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sheetId="1" r:id="rId5"/>
    <sheet state="visible" name="Suomi" sheetId="2" r:id="rId6"/>
    <sheet state="visible" name="Info" sheetId="3" r:id="rId7"/>
    <sheet state="visible" name="Käännöstaulu" sheetId="4" r:id="rId8"/>
  </sheets>
  <definedNames>
    <definedName hidden="1" localSheetId="1" name="_xlnm._FilterDatabase">Suomi!$A$1:$F$14497</definedName>
    <definedName hidden="1" localSheetId="1" name="Z_206DE417_299F_40BB_97D9_7FFA76F9497E_.wvu.FilterData">Suomi!$A$1:$F$14497</definedName>
    <definedName hidden="1" localSheetId="0" name="Z_44EE3972_887B_4826_B0DD_18C9D44E1A0A_.wvu.FilterData">English!$A$1:$F$14497</definedName>
  </definedNames>
  <calcPr/>
  <customWorkbookViews>
    <customWorkbookView activeSheetId="0" maximized="1" windowHeight="0" windowWidth="0" guid="{206DE417-299F-40BB-97D9-7FFA76F9497E}" name="FinnishPokedex filter view"/>
    <customWorkbookView activeSheetId="0" maximized="1" windowHeight="0" windowWidth="0" guid="{44EE3972-887B-4826-B0DD-18C9D44E1A0A}" name="EnglishPokedex filter view"/>
  </customWorkbookViews>
</workbook>
</file>

<file path=xl/sharedStrings.xml><?xml version="1.0" encoding="utf-8"?>
<sst xmlns="http://schemas.openxmlformats.org/spreadsheetml/2006/main" count="148912" uniqueCount="20308">
  <si>
    <t>National Dex #</t>
  </si>
  <si>
    <t>Englanninkielinen lähdeteksti</t>
  </si>
  <si>
    <t>Pokémon Pokédex -aineisto</t>
  </si>
  <si>
    <t>Tieto</t>
  </si>
  <si>
    <t>Kansallinen Pokédex-numero</t>
  </si>
  <si>
    <t>Pokémon (English)</t>
  </si>
  <si>
    <t>Pokémon</t>
  </si>
  <si>
    <t>Suomenkielinen konekäännös (Google Sheets)</t>
  </si>
  <si>
    <t>Kuvaus</t>
  </si>
  <si>
    <t>Lajitieto (konekäännös)</t>
  </si>
  <si>
    <t>Species genus (English)</t>
  </si>
  <si>
    <t>Peliversio</t>
  </si>
  <si>
    <t>Tekstin tyyppi</t>
  </si>
  <si>
    <t>Game version</t>
  </si>
  <si>
    <t>Kattavuus</t>
  </si>
  <si>
    <t>Pokédex entry (English)</t>
  </si>
  <si>
    <t>Seed Pokémon</t>
  </si>
  <si>
    <t>PokéAPI species URL</t>
  </si>
  <si>
    <t>Kansallinen Pokédex #1–1025; yksi rivi kutakin PokéAPI:n englanninkielistä Pokémon–peliversio-merkintää kohti.</t>
  </si>
  <si>
    <t>Tiedot haettu</t>
  </si>
  <si>
    <t>Bulbasaur</t>
  </si>
  <si>
    <t>Pokédex-merkintä (konekäännös)</t>
  </si>
  <si>
    <t>Pokédex-merkintä kootusti</t>
  </si>
  <si>
    <t>Pokémon-lajeja</t>
  </si>
  <si>
    <t>Red</t>
  </si>
  <si>
    <t>Englanninkielisiä peli-entryjä</t>
  </si>
  <si>
    <t>A strange seed was planted on its back at birth. The plant sprouts and grows with this POKéMON.</t>
  </si>
  <si>
    <t>Siemen-Pokémon</t>
  </si>
  <si>
    <t>https://pokeapi.co/api/v2/pokemon-species/1/</t>
  </si>
  <si>
    <t>Genus</t>
  </si>
  <si>
    <t>Peliversioita PokéAPI:ssa</t>
  </si>
  <si>
    <t>Lizard Pokémon</t>
  </si>
  <si>
    <t>Sen selkään kylvettiin outo siemen syntymän yhteydessä. Kasvi itää ja kasvaa tämän POKéMONin mukana.</t>
  </si>
  <si>
    <t>Peliversioita, joista löytyi englanninkielisiä entryjä</t>
  </si>
  <si>
    <t>Bulbasaurilla on syntymästään lähtien selässään siemen, joka kasvaa vähitellen sen mukana. Siemen sisältää runsaasti ravinteita, joita Bulbasaur käyttää nuorena kasvunsa tukena, ja se imee myös auringonvaloa kasvaakseen suuremmaksi. Bulbasaur voi selviytyä päiväkausia ilman ruokaa varastoimalla energiaa selässään olevaan siemeneen. Sen voi usein nähdä nukkuvan kirkkaassa auringonvalossa, jolloin siemen saa auringonsäteistä energiaa.</t>
  </si>
  <si>
    <t>Blue</t>
  </si>
  <si>
    <t>PokéAPI v2</t>
  </si>
  <si>
    <t>https://pokeapi.co/api/v2/pokemon-species/{id}/</t>
  </si>
  <si>
    <t>PokéAPI-dokumentaatio</t>
  </si>
  <si>
    <t>https://pokeapi.co/docs/v2</t>
  </si>
  <si>
    <t>Suomenkielinen PokéAPI-data</t>
  </si>
  <si>
    <t>Flame Pokémon</t>
  </si>
  <si>
    <t>Yellow</t>
  </si>
  <si>
    <t>PokéAPI:n kieliluettelossa ei ollut fi-kieltä aineiston hakuhetkellä. Pokémon-nimet ja peliversioiden nimet säilytetään lähteen mukaisina.</t>
  </si>
  <si>
    <t>It can go for days without eating a single morsel. In the bulb on its back, it stores energy.</t>
  </si>
  <si>
    <t>Suomenkieliset lajityypit ja Pokédex-merkinnät</t>
  </si>
  <si>
    <t>Konekäännetään englannista suomeksi. Käännökset eivät ole virallisia Pokémon-lokalisointeja eikä niitä ole tarkastettu yksitellen.</t>
  </si>
  <si>
    <t>Se voi olla päiväkausia syömättä ainuttakaan palasta. Sen selkäpuolella olevaan lamppuun se varastoi energiaa.</t>
  </si>
  <si>
    <t>Tiny Turtle Pokémon</t>
  </si>
  <si>
    <t>Käännösten laskenta</t>
  </si>
  <si>
    <t>Käännöstaulu-välilehti käyttää Google Sheetsin GOOGLETRANSLATE-funktiota kerran kutakin eri lähdetekstiä kohti. Suomi-välilehti viittaa käännöstauluun.</t>
  </si>
  <si>
    <t>Käyttöönotto</t>
  </si>
  <si>
    <t>Gold</t>
  </si>
  <si>
    <t>Lataa tiedosto Google Driveen ja avaa se Google Sheetsissä, jotta käännöskaavat lasketaan. Google Sheetsin käännösfunktio ei toimi Microsoft Excelissä.</t>
  </si>
  <si>
    <t>The seed on its back is filled with nutrients. The seed grows steadily larger as its body grows.</t>
  </si>
  <si>
    <t>Sen selässä oleva siemen on täynnä ravinteita. Siemen kasvaa tasaisesti suuremmaksi sen ruumiin kasvaessa.</t>
  </si>
  <si>
    <t>Turtle Pokémon</t>
  </si>
  <si>
    <t>Versioiden kattavuus</t>
  </si>
  <si>
    <t>PokéAPI:ssa oli 53 Version-resurssia. Englanninkielisiä Pokédex-merkintöjä löytyi 35 eri peliversiolle; muista versioista ei lisätty tyhjiä rivejä.</t>
  </si>
  <si>
    <t>Silver</t>
  </si>
  <si>
    <t>Se kantaa siementä selässään heti syntymästään lähtien. Vanhetessaan siemen myös kasvaa.</t>
  </si>
  <si>
    <t>Tekstin siistiminen</t>
  </si>
  <si>
    <t>Shellfish Pokémon</t>
  </si>
  <si>
    <t>Lähdetekstin rivinvaihdot ja sivunvaihdot muutettiin välilyönneiksi ja pehmeät tavutusmerkit poistettiin, jotta jokainen entry on yhtenä soluarvona.</t>
  </si>
  <si>
    <t>Crystal</t>
  </si>
  <si>
    <t>Nuorena se käyttää kasvamiseen selässään olevien siementen ravinteita.</t>
  </si>
  <si>
    <t>Ainutkertaisia käännöslähteitä</t>
  </si>
  <si>
    <t>Ruby</t>
  </si>
  <si>
    <t>Worm Pokémon</t>
  </si>
  <si>
    <t>BULBASAURIN voi nähdä nukkuvan kirkkaassa auringonvalossa. Sen selässä on siemen. Auringonsäteitä imemällä siemen kasvaa asteittain suuremmaksi.</t>
  </si>
  <si>
    <t>It carries a seed on its back right from birth. As it grows older, the seed also grows larger.</t>
  </si>
  <si>
    <t>Sapphire</t>
  </si>
  <si>
    <t>Cocoon Pokémon</t>
  </si>
  <si>
    <t>Emerald</t>
  </si>
  <si>
    <t>Butterfly Pokémon</t>
  </si>
  <si>
    <t>FireRed</t>
  </si>
  <si>
    <t>Sen selässä on kasvinsiemen heti syntymäpäivästä lähtien. Siemen kasvaa hitaasti suuremmaksi.</t>
  </si>
  <si>
    <t>While it is young, it uses the nutrients that are stored in the seeds on its back in order to grow.</t>
  </si>
  <si>
    <t>Hairy Bug Pokémon</t>
  </si>
  <si>
    <t>LeafGreen</t>
  </si>
  <si>
    <t>Poison Bee Pokémon</t>
  </si>
  <si>
    <t>Diamond</t>
  </si>
  <si>
    <t>Jonkin aikaa syntymänsä jälkeen se kasvaa saamalla ravintoa selässään olevasta siemenestä.</t>
  </si>
  <si>
    <t>Tiny Bird Pokémon</t>
  </si>
  <si>
    <t>Pearl</t>
  </si>
  <si>
    <t>BULBASAUR can be seen napping in bright sunlight. There is a seed on its back. By soaking up the sun’s rays, the seed grows progressively larger.</t>
  </si>
  <si>
    <t>Bird Pokémon</t>
  </si>
  <si>
    <t>Platinum</t>
  </si>
  <si>
    <t>Mouse Pokémon</t>
  </si>
  <si>
    <t>HeartGold</t>
  </si>
  <si>
    <t>Beak Pokémon</t>
  </si>
  <si>
    <t>SoulSilver</t>
  </si>
  <si>
    <t>Snake Pokémon</t>
  </si>
  <si>
    <t>Black</t>
  </si>
  <si>
    <t>Cobra Pokémon</t>
  </si>
  <si>
    <t>White</t>
  </si>
  <si>
    <t>There is a plant seed on its back right from the day this POKéMON is born. The seed slowly grows larger.</t>
  </si>
  <si>
    <t>Poison Pin Pokémon</t>
  </si>
  <si>
    <t>Black 2</t>
  </si>
  <si>
    <t>White 2</t>
  </si>
  <si>
    <t>Drill Pokémon</t>
  </si>
  <si>
    <t>X</t>
  </si>
  <si>
    <t>Sen selkään kylvettiin outo siemen syntymän yhteydessä. Kasvi itää ja kasvaa tämän Pokémonin mukana.</t>
  </si>
  <si>
    <t>For some time after its birth, it grows by gaining nourishment from the seed on its back.</t>
  </si>
  <si>
    <t>Fairy Pokémon</t>
  </si>
  <si>
    <t>Y</t>
  </si>
  <si>
    <t>Fox Pokémon</t>
  </si>
  <si>
    <t>Omega Ruby</t>
  </si>
  <si>
    <t>Bulbasaurin voi nähdä nukkuvan kirkkaassa auringonvalossa. Sen selässä on siemen. Auringonsäteitä imemällä siemen kasvaa asteittain suuremmaksi.</t>
  </si>
  <si>
    <t>Alpha Sapphire</t>
  </si>
  <si>
    <t>Balloon Pokémon</t>
  </si>
  <si>
    <t>Let’s Go, Pikachu!</t>
  </si>
  <si>
    <t>Bat Pokémon</t>
  </si>
  <si>
    <t>Let’s Go, Eevee!</t>
  </si>
  <si>
    <t>Sword</t>
  </si>
  <si>
    <t>Weed Pokémon</t>
  </si>
  <si>
    <t>Tämän Pokémonin selässä on kasvinsiemen heti syntymäpäivästä lähtien. Siemen kasvaa hitaasti suuremmaksi.</t>
  </si>
  <si>
    <t>Shield</t>
  </si>
  <si>
    <t>Nuorena se käyttää kasvamiseen selässään olevan siemenen ravinteita.</t>
  </si>
  <si>
    <t>Flower Pokémon</t>
  </si>
  <si>
    <t>Ivysaur</t>
  </si>
  <si>
    <t>Kun sen selässä oleva nuppu kasvaa suureksi, se näyttää menettävän kyvyn seistä takajaloillaan.</t>
  </si>
  <si>
    <t>Mushroom Pokémon</t>
  </si>
  <si>
    <t>Ivysaurin selässä oleva nuppu kasvaa vähitellen ravinteiden ja auringonvalon avulla, samalla kun sen jalat ja vartalo vahvistuvat kannatellakseen nupun kasvavaa painoa. Kun nuppu alkaa turvota ja siitä leviää makea, miellyttävä tuoksu, se on merkki siitä, että suuri kukka on pian puhkeamassa. Auringonvalossa oleskelu lisää Ivysaurin voimaa ja edistää nupun kasvua. Nupun kasvaessa suureksi Ivysaur menettää vähitellen kykynsä seistä takajaloillaan.</t>
  </si>
  <si>
    <t>Insect Pokémon</t>
  </si>
  <si>
    <t>Poison Moth Pokémon</t>
  </si>
  <si>
    <t>Sen selkäpuolella oleva nuppu kasvaa vetämällä energiaa. Se erittää tuoksua, kun se on valmis kukkimaan.</t>
  </si>
  <si>
    <t>Mole Pokémon</t>
  </si>
  <si>
    <t>Scratch Cat Pokémon</t>
  </si>
  <si>
    <t>Auringonvalolle altistuminen lisää sen vahvuutta. Auringonvalo myös kasvattaa sen selässä olevaa nuppua suuremmaksi.</t>
  </si>
  <si>
    <t>Classy Cat Pokémon</t>
  </si>
  <si>
    <t>Jos sen selässä oleva nuppu alkaa tuoksua makealta, se on merkki siitä, että suuri kukka kukkii pian.</t>
  </si>
  <si>
    <t>Duck Pokémon</t>
  </si>
  <si>
    <t>Nuppu kasvaa ravinteiden imeytyessään. Nupusta lähtee miellyttävä tuoksu kukinnan aikana.</t>
  </si>
  <si>
    <t>Pig Monkey Pokémon</t>
  </si>
  <si>
    <t>Puppy Pokémon</t>
  </si>
  <si>
    <t>Tämän POKéMONin selässä on nuppu. IVYSAURin jalat ja vartalo kasvavat paksuiksi ja vahvoiksi kannatellakseen sen painoa. Jos se alkaa viettää enemmän aikaa auringonvalossa, se on merkki siitä, että nuppu puhkeaa pian suureksi kukaksi.</t>
  </si>
  <si>
    <t>Legendary Pokémon</t>
  </si>
  <si>
    <t>Tadpole Pokémon</t>
  </si>
  <si>
    <t>Psi Pokémon</t>
  </si>
  <si>
    <t>IVYSAURin nupun tukemiseksi sen jalat kasvavat tukevasti. Jos se viettää enemmän aikaa auringonvalossa, nupusta puhkeaa pian suuri kukka.</t>
  </si>
  <si>
    <t>Superpower Pokémon</t>
  </si>
  <si>
    <t>A strange seed was planted on its back at birth. The plant sprouts and grows with this Pokémon.</t>
  </si>
  <si>
    <t>Flycatcher Pokémon</t>
  </si>
  <si>
    <t>Sen selässä on nuppu. Kun se imee ravinteita, nupun sanotaan puhkeavan suureksi kukaksi.</t>
  </si>
  <si>
    <t>Jellyfish Pokémon</t>
  </si>
  <si>
    <t>Rock Pokémon</t>
  </si>
  <si>
    <t>Megaton Pokémon</t>
  </si>
  <si>
    <t>Kun selässä oleva nuppu alkaa turvota, siitä leijuu makea tuoksu, joka merkitsee kukan tulevaa kukintaa.</t>
  </si>
  <si>
    <t>Bulbasaur can be seen napping in bright sunlight. There is a seed on its back. By soaking up the sun’s rays, the seed grows progressively larger.</t>
  </si>
  <si>
    <t>Fire Horse Pokémon</t>
  </si>
  <si>
    <t>Dopey Pokémon</t>
  </si>
  <si>
    <t>Hermit Crab Pokémon</t>
  </si>
  <si>
    <t>Magnet Pokémon</t>
  </si>
  <si>
    <t>Wild Duck Pokémon</t>
  </si>
  <si>
    <t>Twin Bird Pokémon</t>
  </si>
  <si>
    <t>Triple Bird Pokémon</t>
  </si>
  <si>
    <t>There is a plant seed on its back right from the day this Pokémon is born. The seed slowly grows larger.</t>
  </si>
  <si>
    <t>Sea Lion Pokémon</t>
  </si>
  <si>
    <t>Sludge Pokémon</t>
  </si>
  <si>
    <t>While it is young, it uses the nutrients that are stored in the seed on its back in order to grow.</t>
  </si>
  <si>
    <t>Bivalve Pokémon</t>
  </si>
  <si>
    <t>Gas Pokémon</t>
  </si>
  <si>
    <t>When the bulb on its back grows large, it appears to lose the ability to stand on its hind legs.</t>
  </si>
  <si>
    <t>Shadow Pokémon</t>
  </si>
  <si>
    <t>https://pokeapi.co/api/v2/pokemon-species/2/</t>
  </si>
  <si>
    <t>Rock Snake Pokémon</t>
  </si>
  <si>
    <t>Tämän Pokémonin selässä on nuppu. Kannoittaakseen sen painoa Ivysauruksen jalat ja vartalo kasvavat paksuiksi ja vahvoiksi. Jos se alkaa viettää enemmän aikaa auringonvalossa, se on merkki siitä, että nuppu puhkeaa pian suureksi kukaksi.</t>
  </si>
  <si>
    <t>Hypnosis Pokémon</t>
  </si>
  <si>
    <t>River Crab Pokémon</t>
  </si>
  <si>
    <t>The bulb on its back grows by drawing energy. It gives off an aroma when it is ready to bloom.</t>
  </si>
  <si>
    <t>Pincer Pokémon</t>
  </si>
  <si>
    <t>Sen selässä oleva nuppu kasvaa vetämällä energiaa puoleensa. Se erittää tuoksua, kun se on valmis kukkimaan.</t>
  </si>
  <si>
    <t>Ball Pokémon</t>
  </si>
  <si>
    <t>Exposure to sun light adds to its strength. Sunlight also makes the bud on its back grow larger.</t>
  </si>
  <si>
    <t>Egg Pokémon</t>
  </si>
  <si>
    <t>Coconut Pokémon</t>
  </si>
  <si>
    <t>If the bud on its back starts to smell sweet, it is evidence that the large flower will soon bloom.</t>
  </si>
  <si>
    <t>Lonely Pokémon</t>
  </si>
  <si>
    <t>Bone Keeper Pokémon</t>
  </si>
  <si>
    <t>The bulb on its back grows as it absorbs nutrients. The bulb gives off a pleasant aroma when it blooms.</t>
  </si>
  <si>
    <t>Kicking Pokémon</t>
  </si>
  <si>
    <t>Venusaur</t>
  </si>
  <si>
    <t>Kasvi kukkii, kun se imee itseensä auringon energiaa. Se pysyy liikkeellä etsiessään auringonvaloa.</t>
  </si>
  <si>
    <t>Punching Pokémon</t>
  </si>
  <si>
    <t>Venusauruksen selässä oleva suuri kukka kerää auringonvaloa ja muuttaa sen energiaksi, mikä tekee siitä erityisen voimakkaan etenkin kesällä. Venusaur liikkuu jatkuvasti etsiessään auringonvaloa ja levittää suuret terälehtensä imeäkseen mahdollisimman paljon energiaa. Runsaat ravinteet ja auringonvalo saavat kukan värit kirkastumaan. Kukasta leviää miellyttävä, lumoava tuoksu, joka rauhoittaa ihmisiä ja taisteluun osallistuvia Pokémoneja. Sateen jälkeen tuoksu voimistuu ja houkuttelee muita Pokémoneja.</t>
  </si>
  <si>
    <t>There is a bud on this POKéMON’s back. To support its weight, IVYSAUR’s legs and trunk grow thick and strong. If it starts spending more time lying in the sunlight, it’s a sign that the bud will bloom into a large flower soon.</t>
  </si>
  <si>
    <t>Licking Pokémon</t>
  </si>
  <si>
    <t>Poison Gas Pokémon</t>
  </si>
  <si>
    <t>Spikes Pokémon</t>
  </si>
  <si>
    <t>Selällään oleva kukka kerää auringonsäteet. Auringonvalo imeytyy sitten ja käytetään energiana.</t>
  </si>
  <si>
    <t>Vine Pokémon</t>
  </si>
  <si>
    <t>Levittämällä kukkansa leveät terälehdet ja nappaamalla auringonsäteet se täyttää ruumiinsa voimalla.</t>
  </si>
  <si>
    <t>Parent Pokémon</t>
  </si>
  <si>
    <t>To support its bulb, IVYSAUR’s legs grow sturdy. If it spends more time lying in the sunlight, the bud will soon bloom into a large flower.</t>
  </si>
  <si>
    <t>Dragon Pokémon</t>
  </si>
  <si>
    <t>Se pystyy muuntamaan auringonvalon energiaksi. Tämän seurauksena se on tehokkaampi kesällä.</t>
  </si>
  <si>
    <t>Lämpeneessään ja auringonvaloa imeessään se vapauttaa kukkaterälehdet miellyttävän tuoksun.</t>
  </si>
  <si>
    <t>Goldfish Pokémon</t>
  </si>
  <si>
    <t>There is a plant bulb on its back. When it absorbs nutrients, the bulb is said to blossom into a large flower.</t>
  </si>
  <si>
    <t>Star Shape Pokémon</t>
  </si>
  <si>
    <t>VENUSAURUKSEN selässä on suuri kukka. Kukan sanotaan saavan kirkkaita värejä, jos se saa runsaasti ravinteita ja auringonvaloa. Kukan tuoksu rauhoittaa ihmisten tunteita.</t>
  </si>
  <si>
    <t>Mysterious Pokémon</t>
  </si>
  <si>
    <t>Barrier Pokémon</t>
  </si>
  <si>
    <t>VENUSAURUKSEN kukan sanotaan saavan kirkkaita värejä, jos se saa runsaasti ravinteita ja auringonvaloa. Kukan tuoksu rauhoittaa ihmisten tunteita.</t>
  </si>
  <si>
    <t>When the bud on its back starts swelling, a sweet aroma wafts to indicate the flower’s coming bloom.</t>
  </si>
  <si>
    <t>Mantis Pokémon</t>
  </si>
  <si>
    <t>Sen kukasta leijuu lumoava tuoksu. Tuoksu rauhoittaa taisteluun osallistuvat.</t>
  </si>
  <si>
    <t>Human Shape Pokémon</t>
  </si>
  <si>
    <t>Sen kasvi kukkii, kun se imee itseensä auringon energiaa. Se pysyy liikkeellä etsiessään auringonvaloa.</t>
  </si>
  <si>
    <t>Electric Pokémon</t>
  </si>
  <si>
    <t>Sateisen päivän jälkeen sen selässä oleva kukka tuoksuu voimakkaammalta. Tuoksu houkuttelee muita Pokémoneja.</t>
  </si>
  <si>
    <t>Spitfire Pokémon</t>
  </si>
  <si>
    <t>Exposure to sunlight adds to its strength. Sunlight also makes the bud on its back grow larger.</t>
  </si>
  <si>
    <t>Stag Beetle Pokémon</t>
  </si>
  <si>
    <t>Wild Bull Pokémon</t>
  </si>
  <si>
    <t>Se pystyy muuttamaan auringonvalon energiaksi. Tämän seurauksena se on tehokkaampi kesällä.</t>
  </si>
  <si>
    <t>Fish Pokémon</t>
  </si>
  <si>
    <t>Atrocious Pokémon</t>
  </si>
  <si>
    <t>Transport Pokémon</t>
  </si>
  <si>
    <t>Transform Pokémon</t>
  </si>
  <si>
    <t>Evolution Pokémon</t>
  </si>
  <si>
    <t>Bubble Jet Pokémon</t>
  </si>
  <si>
    <t>Lightning Pokémon</t>
  </si>
  <si>
    <t>Virtual Pokémon</t>
  </si>
  <si>
    <t>Spiral Pokémon</t>
  </si>
  <si>
    <t>There is a bud on this Pokémon’s back. To support its weight, Ivysaur’s legs and trunk grow thick and strong. If it starts spending more time lying in the sunlight, it’s a sign that the bud will bloom into a large flower soon.</t>
  </si>
  <si>
    <t>Fossil Pokémon</t>
  </si>
  <si>
    <t>Sleeping Pokémon</t>
  </si>
  <si>
    <t>Venusauruksen selässä on suuri kukka. Kukan sanotaan saavan kirkkaita värejä, jos se saa runsaasti ravinteita ja auringonvaloa. Kukan tuoksu rauhoittaa ihmisten tunteita.</t>
  </si>
  <si>
    <t>Freeze Pokémon</t>
  </si>
  <si>
    <t>The bud on its back grows by drawing energy. It gives off an aroma when it is ready to bloom.</t>
  </si>
  <si>
    <t>Genetic Pokémon</t>
  </si>
  <si>
    <t>New Species Pokémon</t>
  </si>
  <si>
    <t>Leaf Pokémon</t>
  </si>
  <si>
    <t>Herb Pokémon</t>
  </si>
  <si>
    <t>Fire Mouse Pokémon</t>
  </si>
  <si>
    <t>Charmander</t>
  </si>
  <si>
    <t>Volcano Pokémon</t>
  </si>
  <si>
    <t>Lisko-Pokémon</t>
  </si>
  <si>
    <t>Ilmeisesti se suosii kuumia paikkoja. Kun sataa, sen pyrstön päästä sanotaan purkautuvan höyryä.</t>
  </si>
  <si>
    <t>Charmander pitää kuumista paikoista ja asioista. Sen pyrstön kärjessä palaa syntymästä lähtien liekki, jonka sammuminen merkitsisi sen elämän päättymistä. Liekki kertoo myös Charmanderin elinvoimasta ja terveydestä: terveellä ja elinvoimaisella yksilöllä liekki palaa kirkkaasti ja voimakkaasti, kun taas heikentynyt elinvoima saa liekin palamaan heikosti. Pyrstön liekin sanotaan myös mittaavan sen elinikää.
Pyrstön liekki kuvastaa Charmanderin tunteita. Se välkkyy, kun Charmander on onnellinen tai nauttii, ja roihuaa voimakkaasti sen raivostuessa. Liekin palaessa pyrstön kärjestä kuuluu ääni, jonka voi kuulla vain hiljaisissa paikoissa.
Charmander kestää myös hieman kastumista, jos se on terve, sillä sen pyrstön liekki palaa silloinkin voimakkaasti. Sateella sen pyrstön päästä sanotaan purkautuvan höyryä.</t>
  </si>
  <si>
    <t>Big Jaw Pokémon</t>
  </si>
  <si>
    <t>The plant blooms when it is absorbing solar energy. It stays on the move to seek sunlight.</t>
  </si>
  <si>
    <t>https://pokeapi.co/api/v2/pokemon-species/3/</t>
  </si>
  <si>
    <t>Scout Pokémon</t>
  </si>
  <si>
    <t>Long Body Pokémon</t>
  </si>
  <si>
    <t>Sen pyrstön kärjessä oleva liekki pitää ääntä palaessaan. Sen kuulee vain hiljaisissa paikoissa.</t>
  </si>
  <si>
    <t>The flower on its back catches the sun's rays. The sunlight is then absorbed and used for energy.</t>
  </si>
  <si>
    <t>Owl Pokémon</t>
  </si>
  <si>
    <t>Sen pyrstön liekki osoittaa sen elämänvoiman vahvuuden. Jos se on heikko, liekki myös palaa heikosti.</t>
  </si>
  <si>
    <t>By spreading the broad petals of its flower and catching the sun's rays, it fills its body with power.</t>
  </si>
  <si>
    <t>Sen pyrstön liekki osoittaa CHARMANDERin elinvoiman. Jos se on terve, liekki palaa kirkkaasti.</t>
  </si>
  <si>
    <t>Five Star Pokémon</t>
  </si>
  <si>
    <t>It is able to con vert sunlight into energy. As a result, it is more powerful in the summertime.</t>
  </si>
  <si>
    <t>Jos se on terve, sen pyrstönpäässä oleva liekki palaa voimakkaasti, vaikka se hieman kastuisi.</t>
  </si>
  <si>
    <t>String Spit Pokémon</t>
  </si>
  <si>
    <t>Sen pyrstön kärjessä palava liekki on osoitus sen tunteista. Liekki välkkyy, kun CHARMANDER nauttii. Jos POKéMON raivostuu, liekki palaa raivokkaasti.</t>
  </si>
  <si>
    <t>As it warms it self and absorbs the sunlight, its flower petals release a pleasant fragrance.</t>
  </si>
  <si>
    <t>Long Leg Pokémon</t>
  </si>
  <si>
    <t>There is a large flower on VENUSAUR’s back. The flower is said to take on vivid colors if it gets plenty of nutrition and sunlight. The flower’s aroma soothes the emotions of people.</t>
  </si>
  <si>
    <t>Sen pyrstön kärjessä palava liekki on osoitus sen tunteista. Liekki välkkyy, kun CHARMANDER on onnellinen, ja roihuaa, kun se on raivostunut.</t>
  </si>
  <si>
    <t>Angler Pokémon</t>
  </si>
  <si>
    <t>Syntymästään lähtien sen pyrstön kärjessä palaa liekki. Sen elämä päättyisi, jos liekki sammuisi.</t>
  </si>
  <si>
    <t>Se pitää kuumista asioista. Kun sataa, sen pyrstön päästä sanotaan purkautuvan höyryä.</t>
  </si>
  <si>
    <t>Light Pokémon</t>
  </si>
  <si>
    <t>VENUSAUR’s flower is said to take on vivid colors if it gets plenty of nutrition and sunlight. The flower’s aroma soothes the emotions of people.</t>
  </si>
  <si>
    <t>Sen pyrstönpäässä oleva tuli mittaa sen elinikää. Jos se on terve, sen pyrstö palaa voimakkaasti.</t>
  </si>
  <si>
    <t>Tiny Mouse Pokémon</t>
  </si>
  <si>
    <t>A bewitching aroma wafts from its flower. The fragrance becalms those engaged in a battle.</t>
  </si>
  <si>
    <t>Spike Ball Pokémon</t>
  </si>
  <si>
    <t>Its plant blooms when it is absorbing solar energy. It stays on the move to seek sunlight.</t>
  </si>
  <si>
    <t>Happiness Pokémon</t>
  </si>
  <si>
    <t>Sen pyrstön liekki kertoo CHARMANDERin elinvoimasta. Jos se on terve, liekki palaa kirkkaasti.</t>
  </si>
  <si>
    <t>After a rainy day, the flower on its back smells stronger. The scent attracts other Pokémon.</t>
  </si>
  <si>
    <t>Mystic Pokémon</t>
  </si>
  <si>
    <t>Wool Pokémon</t>
  </si>
  <si>
    <t>Aqua Mouse Pokémon</t>
  </si>
  <si>
    <t>By spreading the broad petals of its flower and catching the sun’s rays, it fills its body with power.</t>
  </si>
  <si>
    <t>Aqua Rabbit Pokémon</t>
  </si>
  <si>
    <t>Sen pyrstön liekki kertoo Charmanderin elinvoimasta. Jos se on terve, liekki palaa kirkkaasti.</t>
  </si>
  <si>
    <t>It is able to convert sunlight into energy. As a result, it is more powerful in the summertime.</t>
  </si>
  <si>
    <t>Imitation Pokémon</t>
  </si>
  <si>
    <t>Frog Pokémon</t>
  </si>
  <si>
    <t>Cottonweed Pokémon</t>
  </si>
  <si>
    <t>Sen hännänpäässä palava liekki on osoitus sen tunteista. Liekki välkkyy, kun Charmander nauttii. Jos Pokémon raivostuu, liekki palaa raivokkaasti.</t>
  </si>
  <si>
    <t>Long Tail Pokémon</t>
  </si>
  <si>
    <t>Sun Pokémon</t>
  </si>
  <si>
    <t>Clear Wing Pokémon</t>
  </si>
  <si>
    <t>Water Fish Pokémon</t>
  </si>
  <si>
    <t>There is a large flower on Venusaur’s back. The flower is said to take on vivid colors if it gets plenty of nutrition and sunlight. The flower’s aroma soothes the emotions of people.</t>
  </si>
  <si>
    <t>Moonlight Pokémon</t>
  </si>
  <si>
    <t>Darkness Pokémon</t>
  </si>
  <si>
    <t>Charmeleon</t>
  </si>
  <si>
    <t>Liekki-Pokémon</t>
  </si>
  <si>
    <t>The flower on its back catches the sun’s rays. The sunlight is then absorbed and used for energy.</t>
  </si>
  <si>
    <t>Kun se heiluttaa palavaa häntäänsä, se nostaa lämpötilan sietämättömän korkealle tasolle.</t>
  </si>
  <si>
    <t>Royal Pokémon</t>
  </si>
  <si>
    <t>Charmeleon on luonteeltaan tulipäinen ja aggressiivinen Pokémon, joka etsii jatkuvasti vastustajia ja rauhoittuu vasta voitettuaan taistelun. Sillä on barbaarinen taisteluluonne, ja se käyttää teräviä kynsiään armottomasti vihollistensa tuhoamiseen. Se voi kaataa vastustajansa heilauttamalla tulista pyrstöään ja repiä tämän jälkeen kaatunutta vihollista terävillä kynsillään.
Kovat ja haastavat taistelut voivat kiihottaa Charmeleonia. Jos se kohtaa voimakkaan vastustajan tai kiihtyy taistelun aikana, sen aggressiivisuus lisääntyy ja pyrstön kärjessä oleva liekki leimahtaa sinertävänvalkoisena. Kiihtyneenä se voi myös hengittää tai suihkuttaa voimakkaita sinertävänvalkoisia liekkejä, jotka voivat polttaa ympäristöä.
Charmeleonin palava pyrstö on niin kuuma, että sitä heiluttaessaan se nostaa ilman lämpötilan sietämättömän korkealle. Kalliovuorilla, joilla Charmeleonit elävät, niiden tuliset pyrstöt loistavat öisin kuin tähdet.</t>
  </si>
  <si>
    <t>Screech Pokémon</t>
  </si>
  <si>
    <t>Symbol Pokémon</t>
  </si>
  <si>
    <t>Kovat taistelut voivat kiihottaa tätä POKéMONIA. Kiihtyneenä se voi räjäyttää sinertävänvalkoisia liekkejä.</t>
  </si>
  <si>
    <t>Patient Pokémon</t>
  </si>
  <si>
    <t>Se on luonteeltaan hyvin tulipäinen, joten se etsii jatkuvasti vastustajia. Se rauhoittuu vasta voitettuaan.</t>
  </si>
  <si>
    <t>Long Neck Pokémon</t>
  </si>
  <si>
    <t>Obviously prefers hot places. When it rains, steam is said to spout from the tip of its tail.</t>
  </si>
  <si>
    <t>https://pokeapi.co/api/v2/pokemon-species/4/</t>
  </si>
  <si>
    <t>Sillä on barbaarinen luonne. Taistelussa se heiluttaa tulista häntäänsä ja viiltää pois terävillä kynsillään.</t>
  </si>
  <si>
    <t>Bagworm Pokémon</t>
  </si>
  <si>
    <t>Jos se kiihtyy taistelun aikana, se suihkuttaa voimakkaita liekkejä ja polttaa ympäristönsä.</t>
  </si>
  <si>
    <t>Land Snake Pokémon</t>
  </si>
  <si>
    <t>Fly Scorpion Pokémon</t>
  </si>
  <si>
    <t>CHARMELEON tuhoaa vihollisensa armottomasti terävillä kynsillään. Jos se kohtaa voimakkaan vihollisen, se muuttuu aggressiiviseksi. Tässä kiihtyneessä tilassa sen pyrstön kärjessä oleva liekki leimahtaa sinertävänvalkoisena.</t>
  </si>
  <si>
    <t>The flame at the tip of its tail makes a sound as it burns. You can only hear it in quiet places.</t>
  </si>
  <si>
    <t>Iron Snake Pokémon</t>
  </si>
  <si>
    <t>Mold Pokémon</t>
  </si>
  <si>
    <t>The flame on its tail shows the strength of its life force. If it is weak, the flame also burns weakly.</t>
  </si>
  <si>
    <t>Säälittä sen terävät kynnet tuhoavat viholliset. Jos se kohtaa voimakkaan vihollisen, se kiihtyy ja sen pyrstön liekki leimahtaa sinertävänvalkoisena.</t>
  </si>
  <si>
    <t>Single Horn Pokémon</t>
  </si>
  <si>
    <t>The flame on its tail indicates CHARMANDER's life force. If it is healthy, the flame burns brightly.</t>
  </si>
  <si>
    <t>Se pieksee häntäänsä kaataakseen vihollisensa. Sitten se repii kaatunutta vastustajaa terävillä kynsillään.</t>
  </si>
  <si>
    <t>Sharp Claw Pokémon</t>
  </si>
  <si>
    <t>If it's healthy, the flame on the tip of its tail will burn vigor ously, even if it gets a bit wet.</t>
  </si>
  <si>
    <t>Kun se heiluttaa palavaa pyrstöään, se nostaa ilman lämpötilan sietämättömän korkealle.</t>
  </si>
  <si>
    <t>Little Bear Pokémon</t>
  </si>
  <si>
    <t>Kalliovuorilla, joilla CHARMELEONIT elävät, niiden tulinen pyrstö loistavat yöllä kuin tähdet.</t>
  </si>
  <si>
    <t>The flame that burns at the tip of its tail is an indication of its emotions. The flame wavers when CHARMANDER is enjoying itself. If the POKéMON becomes enraged, the flame burns fiercely.</t>
  </si>
  <si>
    <t>Hibernator Pokémon</t>
  </si>
  <si>
    <t>Lava Pokémon</t>
  </si>
  <si>
    <t>Pig Pokémon</t>
  </si>
  <si>
    <t>Sillä on barbaarinen luonne. Taistelussa se heiluttaa tulista häntäänsä ja viiltää terävillä kynsillään.</t>
  </si>
  <si>
    <t>The flame that burns at the tip of its tail is an indication of its emotions. The flame wavers when CHARMANDER is happy, and blazes when it is enraged.</t>
  </si>
  <si>
    <t>Swine Pokémon</t>
  </si>
  <si>
    <t>Kalliovuorilla, joilla Charmeleonit elävät, niiden tulinen pyrstö loistavat yöllä kuin tähdet.</t>
  </si>
  <si>
    <t>From the time it is born, a flame burns at the tip of its tail. Its life would end if the flame were to go out.</t>
  </si>
  <si>
    <t>Coral Pokémon</t>
  </si>
  <si>
    <t>It has a preference for hot things. When it rains, steam is said to spout from the tip of its tail.</t>
  </si>
  <si>
    <t>Jet Pokémon</t>
  </si>
  <si>
    <t>The fire on the tip of its tail is a measure of its life. If healthy, its tail burns intensely.</t>
  </si>
  <si>
    <t>Delivery Pokémon</t>
  </si>
  <si>
    <t>Kite Pokémon</t>
  </si>
  <si>
    <t>Charmeleonit tuhoaa vihollisensa armottomasti terävillä kynsillään. Jos se kohtaa voimakkaan vihollisen, se muuttuu aggressiiviseksi. Tässä kiihtyneessä tilassa sen pyrstön kärjessä oleva liekki leimahtaa sinertävänvalkoisena.</t>
  </si>
  <si>
    <t>Armor Bird Pokémon</t>
  </si>
  <si>
    <t>Dark Pokémon</t>
  </si>
  <si>
    <t>Kovat taistelut voivat kiihottaa tätä Pokémonia. Kiihtyneenä se saattaa hengittää sinertävänvalkoisia liekkejä.</t>
  </si>
  <si>
    <t>The flame on its tail indicates CHARMANDER’s life force. If it is healthy, the flame burns brightly.</t>
  </si>
  <si>
    <t>Long Nose Pokémon</t>
  </si>
  <si>
    <t>Armor Pokémon</t>
  </si>
  <si>
    <t>Charizard</t>
  </si>
  <si>
    <t>Big Horn Pokémon</t>
  </si>
  <si>
    <t>Sylkee tulta, joka on niin kuumaa, että se sulattaa lohkareita. Tunnetaan tahattoman metsäpalojen aiheuttajana.</t>
  </si>
  <si>
    <t>Charizard lentää taivaalla etsien voimakkaita vastustajia. Sen siivet voivat kantaa sen lähes 500 metrin korkeuteen. Se ei kuitenkaan koskaan käännä tulista hengitystään itseään heikompaa vastustajaa vastaan.
Charizard hengittää ja sylkee erittäin kuumia, voimakkaita liekkejä, jotka voivat sulattaa lohkareita ja lähes mitä tahansa materiaalia. Sen tulinen hengitys aiheuttaa vihollisille voimakasta kipua. Charizard tunnetaan myös tahattomien metsäpalojen aiheuttajana, sillä sen liekit voivat sytyttää ympäristön tuleen.
Charizardin tulen sanotaan muuttuvan kuumemmaksi sen kartuttaessa taistelukokemusta ja erityisesti ankarien taisteluiden jälkeen. Kun se purkaa ulos erittäin kuuman tuliräjähdyksen, sen pyrstön kärjessä oleva punainen liekki palaa tavallista voimakkaammin. Jos Charizard raivostuu, liekki leimahtaa vaaleansiniseksi.</t>
  </si>
  <si>
    <t>Painter Pokémon</t>
  </si>
  <si>
    <t>Kun se purkaa ulos erittäin kuuman tulen räjähdyksen, sen pyrstön kärjessä oleva punainen liekki palaa voimakkaammin.</t>
  </si>
  <si>
    <t>Scuffle Pokémon</t>
  </si>
  <si>
    <t>The flame on its tail indicates Charmander’s life force. If it is healthy, the flame burns brightly.</t>
  </si>
  <si>
    <t>Jos CHARIZARD raivostuu, sen pyrstön kärjessä oleva liekki leimahtaa vaaleansinisenä.</t>
  </si>
  <si>
    <t>Handstand Pokémon</t>
  </si>
  <si>
    <t>Se hengittää voimakkaita, kuumia liekkejä ja voi sulattaa lähes mitä tahansa. Sen hengitys aiheuttaa vihollisille kauheaa kipua.</t>
  </si>
  <si>
    <t>Se käyttää siipiään lentääkseen korkealla. Sen tulen lämpötila nousee sen karttuessa taistelukokemuksen myötä.</t>
  </si>
  <si>
    <t>Kiss Pokémon</t>
  </si>
  <si>
    <t>CHARIZARD lentää taivaalla etsien voimakkaita vastustajia. Se hengittää niin kuumaa tulta, että se sulattaa kaiken. Se ei kuitenkaan koskaan käännä tulista hengitystään itseään heikompaan vastustajaan.</t>
  </si>
  <si>
    <t>Live Coal Pokémon</t>
  </si>
  <si>
    <t>The flame that burns at the tip of its tail is an indication of its emotions. The flame wavers when Charmander is enjoying itself. If the Pokémon becomes enraged, the flame burns fiercely.</t>
  </si>
  <si>
    <t>Milk Cow Pokémon</t>
  </si>
  <si>
    <t>Thunder Pokémon</t>
  </si>
  <si>
    <t>CHARIZARD lentää ympäriinsä etsien vahvoja vastustajia. Se hengittää voimakkaita liekkejä, jotka voivat sulattaa mitä tahansa materiaalia. Se ei kuitenkaan koskaan polta heikompaa vihollista.</t>
  </si>
  <si>
    <t>Aurora Pokémon</t>
  </si>
  <si>
    <t>Sen siivet voivat kantaa tämän POKéMONin lähes 500 metrin korkeuteen. Se puhaltaa tulta erittäin korkeissa lämpötiloissa.</t>
  </si>
  <si>
    <t>Se sylkee tulta, joka on niin kuumaa, että se sulattaa lohkareita. Se voi aiheuttaa metsäpaloja puhaltamalla liekkejä.</t>
  </si>
  <si>
    <t>Rock Skin Pokémon</t>
  </si>
  <si>
    <t>Hard Shell Pokémon</t>
  </si>
  <si>
    <t>Sanotaan, että CHARIZARDin tuli palaa kuumemmin, jos se on kokenut ankaria taisteluita.</t>
  </si>
  <si>
    <t>Diving Pokémon</t>
  </si>
  <si>
    <t>Rainbow Pokémon</t>
  </si>
  <si>
    <t>Time Travel Pokémon</t>
  </si>
  <si>
    <t>Wood Gecko Pokémon</t>
  </si>
  <si>
    <t>When it swings its burning tail, it elevates the temperature to unbearably high levels.</t>
  </si>
  <si>
    <t>https://pokeapi.co/api/v2/pokemon-species/5/</t>
  </si>
  <si>
    <t>Sanotaan, että Charizardin tuli palaa kuumemmin, jos se on kokenut ankaria taisteluita.</t>
  </si>
  <si>
    <t>Forest Pokémon</t>
  </si>
  <si>
    <t>Tough fights could excite this POKéMON. When excited, it may blow out bluish- white flames.</t>
  </si>
  <si>
    <t>Chick Pokémon</t>
  </si>
  <si>
    <t>It is very hot headed by nature, so it constantly seeks opponents. It calms down only when it wins.</t>
  </si>
  <si>
    <t>Young Fowl Pokémon</t>
  </si>
  <si>
    <t>Blaze Pokémon</t>
  </si>
  <si>
    <t>It has a barbaric nature. In battle, it whips its fiery tail around and slashes away with sharp claws.</t>
  </si>
  <si>
    <t>Mud Fish Pokémon</t>
  </si>
  <si>
    <t>Bite Pokémon</t>
  </si>
  <si>
    <t>If it becomes agitated during battle, it spouts intense flames, incinerating its surroundings.</t>
  </si>
  <si>
    <t>Tiny Raccoon Pokémon</t>
  </si>
  <si>
    <t>Rushing Pokémon</t>
  </si>
  <si>
    <t>CHARMELEON mercilessly destroys its foes using its sharp claws. If it encounters a strong foe, it turns aggressive. In this excited state, the flame at the tip of its tail flares with a bluish white color.</t>
  </si>
  <si>
    <t>Kun se purkaa ulos superkuuman tulen räjähdyksen, sen pyrstön kärjessä oleva punainen liekki palaa voimakkaammin.</t>
  </si>
  <si>
    <t>Water Weed Pokémon</t>
  </si>
  <si>
    <t>Sen siivet voivat kantaa tämän Pokémonin lähes 500 metrin korkeuteen. Se puhaltaa tulta erittäin korkeissa lämpötiloissa.</t>
  </si>
  <si>
    <t>Jolly Pokémon</t>
  </si>
  <si>
    <t>Charizard lentää taivaalla etsien voimakkaita vastustajia. Se hengittää niin kuumaa tulta, että se sulattaa kaiken. Se ei kuitenkaan koskaan käännä tulista hengitystään itseään heikompaan vastustajaan.</t>
  </si>
  <si>
    <t>Without pity, its sharp claws destroy foes. If it encounters a strong enemy, it becomes agitated, and the flame on its tail flares with a bluish white color.</t>
  </si>
  <si>
    <t>Carefree Pokémon</t>
  </si>
  <si>
    <t>Acorn Pokémon</t>
  </si>
  <si>
    <t>Kun tämä Pokémon ampuu superkuuman tuliräjähdyksen, sen pyrstön kärjessä oleva punainen liekki palaa voimakkaammin.</t>
  </si>
  <si>
    <t>It lashes about with its tail to knock down its foe. It then tears up the fallen opponent with sharp claws.</t>
  </si>
  <si>
    <t>Wily Pokémon</t>
  </si>
  <si>
    <t>When it swings its burning tail, it elevates the air temperature to unbearably high levels.</t>
  </si>
  <si>
    <t>Wicked Pokémon</t>
  </si>
  <si>
    <t>Tiny Swallow Pokémon</t>
  </si>
  <si>
    <t>In the rocky mountains where CHARMELEON live, their fiery tails shine at night like stars.</t>
  </si>
  <si>
    <t>Squirtle</t>
  </si>
  <si>
    <t>Pieni kilpikonna-Pokémon</t>
  </si>
  <si>
    <t>Syntymän jälkeen sen selkä turpoaa ja kovettuu kuoreksi. Se suihkuttaa voimakkaasti vaahtoa suustaan.</t>
  </si>
  <si>
    <t>Swallow Pokémon</t>
  </si>
  <si>
    <t>Seagull Pokémon</t>
  </si>
  <si>
    <t>Ampuu saalistaan ​​vedellä ollessaan vedessä. Vetäytyy kuoreensa vaaran uhatessa.</t>
  </si>
  <si>
    <t>Water Bird Pokémon</t>
  </si>
  <si>
    <t>Kuori on pehmeä syntyessään. Siitä tulee pian niin kimmoisa, että tökkivät sormet pomppivat siitä.</t>
  </si>
  <si>
    <t>Feeling Pokémon</t>
  </si>
  <si>
    <t>It is very hotheaded by nature, so it constantly seeks opponents. It calms down only when it wins.</t>
  </si>
  <si>
    <t>Kuori, joka kovettuu pian syntymän jälkeen, on joustava. Jos sitä tökkää, se ponnahtaa takaisin ulos.</t>
  </si>
  <si>
    <t>Emotion Pokémon</t>
  </si>
  <si>
    <t>Tuntiessaan olonsa uhatuksi se vetää jalkansa kuorensa sisään ja suihkuttaa vettä suustaan.</t>
  </si>
  <si>
    <t>Embrace Pokémon</t>
  </si>
  <si>
    <t>SQUIRTLEN kuori ei ole tarkoitettu pelkästään suojaksi. Kuoren pyöreä muoto ja pinnan urat auttavat minimoimaan veden vastusta, minkä ansiosta tämä POKéMON voi uida suurilla nopeuksilla.</t>
  </si>
  <si>
    <t>Pond Skater Pokémon</t>
  </si>
  <si>
    <t>In the rocky mountains where Charmeleon live, their fiery tails shine at night like stars.</t>
  </si>
  <si>
    <t>Eyeball Pokémon</t>
  </si>
  <si>
    <t>Slacker Pokémon</t>
  </si>
  <si>
    <t>Sen kuori ei ole tarkoitettu vain suojaamaan. Sen pyöristetty muoto ja pinnan urat minimoivat veden vastuksen, minkä ansiosta SQUIRTLE voi uida suurilla nopeuksilla.</t>
  </si>
  <si>
    <t>Wild Monkey Pokémon</t>
  </si>
  <si>
    <t>Kun se vetää pitkän kaulansa kuoreensa, se ruiskuttaa vettä ulos voimakkaasti.</t>
  </si>
  <si>
    <t>Lazy Pokémon</t>
  </si>
  <si>
    <t>Trainee Pokémon</t>
  </si>
  <si>
    <t>Se suojaa itseään kuoreensa ja iskee sitten takaisin vesipurskeilla joka tilaisuudessa.</t>
  </si>
  <si>
    <t>Ninja Pokémon</t>
  </si>
  <si>
    <t>Shed Pokémon</t>
  </si>
  <si>
    <t>Charmeleon mercilessly destroys its foes using its sharp claws. If it encounters a strong foe, it turns aggressive. In this excited state, the flame at the tip of its tail flares with a bluish white color.</t>
  </si>
  <si>
    <t>Whisper Pokémon</t>
  </si>
  <si>
    <t>Big Voice Pokémon</t>
  </si>
  <si>
    <t>Loud Noise Pokémon</t>
  </si>
  <si>
    <t>Tough fights could excite this Pokémon. When excited, it may breathe out bluish-white flames.</t>
  </si>
  <si>
    <t>Guts Pokémon</t>
  </si>
  <si>
    <t>Arm Thrust Pokémon</t>
  </si>
  <si>
    <t>Polka Dot Pokémon</t>
  </si>
  <si>
    <t>Compass Pokémon</t>
  </si>
  <si>
    <t>Spits fire that is hot enough to melt boulders. Known to cause forest fires unintentionally.</t>
  </si>
  <si>
    <t>https://pokeapi.co/api/v2/pokemon-species/6/</t>
  </si>
  <si>
    <t>Kitten Pokémon</t>
  </si>
  <si>
    <t>Prim Pokémon</t>
  </si>
  <si>
    <t>When expelling a blast of super hot fire, the red flame at the tip of its tail burns more intensely.</t>
  </si>
  <si>
    <t>Squirtlen kuori ei ole tarkoitettu pelkästään suojaksi. Kuoren pyöreä muoto ja pinnan urat auttavat minimoimaan veden vastusta, minkä ansiosta tämä Pokémon voi uida suurilla nopeuksilla.</t>
  </si>
  <si>
    <t>If CHARIZARD be comes furious, the flame at the tip of its tail flares up in a whitish- blue color.</t>
  </si>
  <si>
    <t>Deceiver Pokémon</t>
  </si>
  <si>
    <t>Breathing intense, hot flames, it can melt almost any thing. Its breath inflicts terrible pain on enemies.</t>
  </si>
  <si>
    <t>Iron Armor Pokémon</t>
  </si>
  <si>
    <t>It uses its wings to fly high. The temperature of its fire increases as it gains exper ience in battle.</t>
  </si>
  <si>
    <t>Meditate Pokémon</t>
  </si>
  <si>
    <t>CHARIZARD flies around the sky in search of powerful opponents. It breathes fire of such great heat that it melts anything. However, it never turns its fiery breath on any opponent weaker than itself.</t>
  </si>
  <si>
    <t>Discharge Pokémon</t>
  </si>
  <si>
    <t>A CHARIZARD flies about in search of strong opponents. It breathes intense flames that can melt any material. However, it will never torch a weaker foe.</t>
  </si>
  <si>
    <t>Cheering Pokémon</t>
  </si>
  <si>
    <t>Tuntiessaan olonsa uhatuksi se vetää raajansa kuorensa sisään ja suihkuttaa vettä suustaan.</t>
  </si>
  <si>
    <t>Its wings can carry this POKéMON close to an altitude of 4,600 feet. It blows out fire at very high temperatures.</t>
  </si>
  <si>
    <t>Wartortle</t>
  </si>
  <si>
    <t>Kilpikonna-Pokémon</t>
  </si>
  <si>
    <t>Firefly Pokémon</t>
  </si>
  <si>
    <t>Usein piiloutuu veteen väijyäkseen varomatonta saalista. Nopeasti uidessaan se liikuttaa korviaan tasapainon ylläpitämiseksi.</t>
  </si>
  <si>
    <t>Thorn Pokémon</t>
  </si>
  <si>
    <t>It spits fire that is hot enough to melt boulders. It may cause forest fires by blowing flames.</t>
  </si>
  <si>
    <t>Napautettaessa tämä POKéMON vetää päänsä sisään, mutta sen häntä jää silti hieman ulos.</t>
  </si>
  <si>
    <t>It is said that CHARIZARD’s fire burns hotter if it has experienced harsh battles.</t>
  </si>
  <si>
    <t>Stomach Pokémon</t>
  </si>
  <si>
    <t>Se tunnustetaan pitkäikäisyyden symboliksi. Jos sen kuoressa on levää, kyseinen WARTORTLE on hyvin vanha.</t>
  </si>
  <si>
    <t>Poison Bag Pokémon</t>
  </si>
  <si>
    <t>Se hallitsee taitavasti karvaisia ​​korviaan ja häntäänsä säilyttääkseen tasapainonsa uinnin aikana.</t>
  </si>
  <si>
    <t>Sen pitkä, karvainen häntä on pitkäikäisyyden symboli, minkä vuoksi se on varsin suosittu vanhempien ihmisten keskuudessa.</t>
  </si>
  <si>
    <t>If CHARIZARD becomes furious, the flame at the tip of its tail flares up in a light blue shade.</t>
  </si>
  <si>
    <t>Savage Pokémon</t>
  </si>
  <si>
    <t>Sen häntä on suuri ja peitetty rikkaalla, paksulla turkilla. Häntä muuttuu väriltään yhä syvemmäksi WARTORTLEn ikääntyessä. Sen kuoren naarmut ovat todiste tämän POKéMONin sitkeydestä taistelijana.</t>
  </si>
  <si>
    <t>Brutal Pokémon</t>
  </si>
  <si>
    <t>Breathing intense, hot flames, it can melt almost anything. Its breath inflicts terrible pain on enemies.</t>
  </si>
  <si>
    <t>Ball Whale Pokémon</t>
  </si>
  <si>
    <t>Sen suuri häntä on peittynyt rikkaaseen, paksuun turkkiin, jonka väri syvenee iän myötä. Sen kuoren naarmut ovat todiste tämän POKéMONin sitkeydestä taistelussa.</t>
  </si>
  <si>
    <t>It is said that Charizard’s fire burns hotter if it has experienced harsh battles.</t>
  </si>
  <si>
    <t>Float Whale Pokémon</t>
  </si>
  <si>
    <t>Tämä POKéMON on erittäin suosittu lemmikki. Sen karvapeitteinen häntä symboloi sen pitkäikäisyyttä.</t>
  </si>
  <si>
    <t>Numb Pokémon</t>
  </si>
  <si>
    <t>Se usein piiloutuu veteen väijyäkseen varomatonta saalista. Nopeaa uintia varten se liikuttaa korviaan tasapainon ylläpitämiseksi.</t>
  </si>
  <si>
    <t>Eruption Pokémon</t>
  </si>
  <si>
    <t>Sen sanotaan elävän 10 000 vuotta. Sen karvainen häntä on suosittu pitkäikäisyyden symboli.</t>
  </si>
  <si>
    <t>Coal Pokémon</t>
  </si>
  <si>
    <t>Bounce Pokémon</t>
  </si>
  <si>
    <t>When expelling a blast of superhot fire, the red flame at the tip of its tail burns more intensely.</t>
  </si>
  <si>
    <t>Se on vakiintunut pitkäikäisyyden symboli. Jos sen kuoressa on levää, kyseinen WARTORTLE on hyvin vanha.</t>
  </si>
  <si>
    <t>Manipulate Pokémon</t>
  </si>
  <si>
    <t>Its wings can carry this Pokémon close to an altitude of 4,600 feet. It blows out fire at very high temperatures.</t>
  </si>
  <si>
    <t>Spot Panda Pokémon</t>
  </si>
  <si>
    <t>Charizard flies around the sky in search of powerful opponents. It breathes fire of such great heat that it melts anything. However, it never turns its fiery breath on any opponent weaker than itself.</t>
  </si>
  <si>
    <t>Ant Pit Pokémon</t>
  </si>
  <si>
    <t>Vibration Pokémon</t>
  </si>
  <si>
    <t>Cactus Pokémon</t>
  </si>
  <si>
    <t>When this Pokémon expels a blast of superhot fire, the red flame at the tip of its tail burns more intensely.</t>
  </si>
  <si>
    <t>Scarecrow Pokémon</t>
  </si>
  <si>
    <t>Cotton Bird Pokémon</t>
  </si>
  <si>
    <t>Napautettaessa tämä Pokémon vetää päänsä sisään, mutta sen häntä jää silti hieman ulos.</t>
  </si>
  <si>
    <t>Humming Pokémon</t>
  </si>
  <si>
    <t>Sen häntä on suuri ja peitetty rikkaalla, paksulla turkilla. Häntä muuttuu väriltään yhä syvemmäksi Wartortlen ikääntyessä. Naarmut sen kuoressa ovat todiste tämän Pokémonin sitkeydestä taistelijana.</t>
  </si>
  <si>
    <t>Cat Ferret Pokémon</t>
  </si>
  <si>
    <t>After birth, its back swells and hardens into a shell. Powerfully sprays foam from its mouth.</t>
  </si>
  <si>
    <t>https://pokeapi.co/api/v2/pokemon-species/7/</t>
  </si>
  <si>
    <t>Fang Snake Pokémon</t>
  </si>
  <si>
    <t>Kun sitä napautetaan päähän, tämä Pokémon vetää sen sisäänpäin, mutta sen häntä työntyy silti hieman ulos.</t>
  </si>
  <si>
    <t>Meteorite Pokémon</t>
  </si>
  <si>
    <t>Shoots water at prey while in the water. Withdraws into its shell when in danger.</t>
  </si>
  <si>
    <t>Whiskers Pokémon</t>
  </si>
  <si>
    <t>The shell is soft when it is born. It soon becomes so resilient, prod ding fingers will bounce off it.</t>
  </si>
  <si>
    <t>Se tunnustetaan pitkäikäisyyden symboliksi. Jos sen kuoressa on levää, kyseinen pahkasika on hyvin vanha.</t>
  </si>
  <si>
    <t>Ruffian Pokémon</t>
  </si>
  <si>
    <t>The shell, which hardens soon after it is born, is resilient. If you poke it, it will bounce back out.</t>
  </si>
  <si>
    <t>Rogue Pokémon</t>
  </si>
  <si>
    <t>Blastoise</t>
  </si>
  <si>
    <t>Äyriäis-Pokémon</t>
  </si>
  <si>
    <t>Clay Doll Pokémon</t>
  </si>
  <si>
    <t>Brutaali POKéMON, jonka kuoressa on paineistetut vesisuihkut. Niitä käytetään nopeisiin taklauksiin.</t>
  </si>
  <si>
    <t>When it feels threatened, it draws its legs inside its shell and sprays water from its mouth.</t>
  </si>
  <si>
    <t>Sea Lily Pokémon</t>
  </si>
  <si>
    <t>Barnacle Pokémon</t>
  </si>
  <si>
    <t>SQUIRTLE’s shell is not merely used for protection. The shell’s rounded shape and the grooves on its surface help minimize resistance in water, enabling this POKéMON to swim at high speeds.</t>
  </si>
  <si>
    <t>Old Shrimp Pokémon</t>
  </si>
  <si>
    <t>Kun se tähtää vihollistaan, se suihkuttaa vettä ulos vielä voimakkaammin kuin paloletku.</t>
  </si>
  <si>
    <t>Plate Pokémon</t>
  </si>
  <si>
    <t>Se tekee itsestään tarkoituksella raskaan, jotta se kestää ampumiensa vesisuihkujen rekyylin.</t>
  </si>
  <si>
    <t>Its shell is not just for protection. Its rounded shape and the grooves on its surface minimize resistance in water, enabling SQUIRTLE to swim at high speeds.</t>
  </si>
  <si>
    <t>Tender Pokémon</t>
  </si>
  <si>
    <t>Weather Pokémon</t>
  </si>
  <si>
    <t>Kranaatin päällä olevat raketin tykit ampuvat vesisuihkuja, jotka kykenevät lävistämään reikiä paksuun teräkseen.</t>
  </si>
  <si>
    <t>Color Swap Pokémon</t>
  </si>
  <si>
    <t>When it retracts its long neck into its shell, it squirts out water with vigorous force.</t>
  </si>
  <si>
    <t>Puppet Pokémon</t>
  </si>
  <si>
    <t>Se asettaa jalkansa tukevasti maahan ennen kuin ampuu vettä selässään olevista suihkuista.</t>
  </si>
  <si>
    <t>Marionette Pokémon</t>
  </si>
  <si>
    <t>BLASTOISEssa on vesisuuttimet, jotka työntyvät ulos sen kuoresta. Vesisuuttimet ovat erittäin tarkkoja. Ne voivat ampua vesiluoteja riittävällä tarkkuudella osuakseen tyhjiin tölkkeihin yli 50 metrin etäisyydeltä.</t>
  </si>
  <si>
    <t>After birth, its back swells and hardens into a shell. It powerfully sprays foam from its mouth.</t>
  </si>
  <si>
    <t>Requiem Pokémon</t>
  </si>
  <si>
    <t>It shelters itself in its shell, then strikes back with spouts of water at every opportunity.</t>
  </si>
  <si>
    <t>Sen kuoresta työntyvät vesipatsaat ovat erittäin tarkkoja. Niiden vesikuulat voivat naulata peltipurkkeja tarkasti yli 50 metrin etäisyydeltä.</t>
  </si>
  <si>
    <t>Beckon Pokémon</t>
  </si>
  <si>
    <t>Se murskaa vihollisensa raskaan ruumiinsa alle aiheuttaen pyörtymisen. Hätätilanteessa se vetäytyy kuoreensa.</t>
  </si>
  <si>
    <t>Fruit Pokémon</t>
  </si>
  <si>
    <t>Wind Chime Pokémon</t>
  </si>
  <si>
    <t>Tämän brutaalin POKéMONin kuoren paineistettuja vesisuihkuja käytetään nopeisiin taklauksiin.</t>
  </si>
  <si>
    <t>The shell is soft when it is born. It soon becomes so resilient, prodding fingers will bounce off it.</t>
  </si>
  <si>
    <t>Disaster Pokémon</t>
  </si>
  <si>
    <t>Sen kuoren rakettitykeistä suihkuavat vesisuihkut voivat lävistää paksun teräksen.</t>
  </si>
  <si>
    <t>Bright Pokémon</t>
  </si>
  <si>
    <t>Snow Hat Pokémon</t>
  </si>
  <si>
    <t>Face Pokémon</t>
  </si>
  <si>
    <t>It shelters itself in its shell then strikes back with spouts of water at every opportunity.</t>
  </si>
  <si>
    <t>Clap Pokémon</t>
  </si>
  <si>
    <t>Ball Roll Pokémon</t>
  </si>
  <si>
    <t>Ice Break Pokémon</t>
  </si>
  <si>
    <t>Deep Sea Pokémon</t>
  </si>
  <si>
    <t>South Sea Pokémon</t>
  </si>
  <si>
    <t>Squirtle’s shell is not merely used for protection. The shell’s rounded shape and the grooves on its surface help minimize resistance in water, enabling this Pokémon to swim at high speeds.</t>
  </si>
  <si>
    <t>Longevity Pokémon</t>
  </si>
  <si>
    <t>Rendezvous Pokémon</t>
  </si>
  <si>
    <t>Tämän brutaalin Pokémonin kuoren paineistettuja vesisuihkuja käytetään nopeisiin taklauksiin.</t>
  </si>
  <si>
    <t>Rock Head Pokémon</t>
  </si>
  <si>
    <t>Blastoisella on vesisuuttimet, jotka työntyvät ulos sen kuoresta. Vesisuuttimet ovat erittäin tarkkoja. Ne voivat ampua vesiluoteja riittävän tarkasti osuakseen tyhjiin tölkkeihin yli 50 metrin etäisyydeltä.</t>
  </si>
  <si>
    <t>Endurance Pokémon</t>
  </si>
  <si>
    <t>Iron Ball Pokémon</t>
  </si>
  <si>
    <t>When it feels threatened, it draws its limbs inside its shell and sprays water from its mouth.</t>
  </si>
  <si>
    <t>Iron Claw Pokémon</t>
  </si>
  <si>
    <t>Often hides in water to stalk unwary prey. For swimming fast, it moves its ears to maintain balance.</t>
  </si>
  <si>
    <t>https://pokeapi.co/api/v2/pokemon-species/8/</t>
  </si>
  <si>
    <t>Iron Leg Pokémon</t>
  </si>
  <si>
    <t>When tapped, this POKéMON will pull in its head, but its tail will still stick out a little bit.</t>
  </si>
  <si>
    <t>Caterpie</t>
  </si>
  <si>
    <t>It is recognized as a symbol of longevity. If its shell has algae on it, that WARTORTLE is very old.</t>
  </si>
  <si>
    <t>Rock Peak Pokémon</t>
  </si>
  <si>
    <t>Mato-Pokémon</t>
  </si>
  <si>
    <t>Sen lyhyissä jaloissa on imukupit, joiden avulla se voi väsymättä kiivetä rinteitä ja seiniä pitkin.</t>
  </si>
  <si>
    <t>It cleverly con trols its furry ears and tail to maintain its balance while swimming.</t>
  </si>
  <si>
    <t>Iceberg Pokémon</t>
  </si>
  <si>
    <t>Iron Pokémon</t>
  </si>
  <si>
    <t>Its long, furry tail is a symbol of longevity, making it quite popular among older people.</t>
  </si>
  <si>
    <t>Jos kosket sen pään päällä olevaan tuntosarjaan, se vapauttaa kamalaa hajua suojatakseen itseään.</t>
  </si>
  <si>
    <t>Eon Pokémon</t>
  </si>
  <si>
    <t>Its tail is large and covered with a rich, thick fur. The tail becomes increasingly deeper in color as WARTORTLE ages. The scratches on its shell are evidence of this POKéMON’s toughness as a battler.</t>
  </si>
  <si>
    <t>Suojautuakseen se vapauttaa päässään olevasta antennista kamalaa löyhkää ajaakseen viholliset pois.</t>
  </si>
  <si>
    <t>Sea Basin Pokémon</t>
  </si>
  <si>
    <t>Continent Pokémon</t>
  </si>
  <si>
    <t>Sen jaloissa on imukupit, jotka on suunniteltu tarttumaan mihin tahansa pintaan. Se kiipeää sinnikkäästi puihin etsimään ruokaa.</t>
  </si>
  <si>
    <t>Sky High Pokémon</t>
  </si>
  <si>
    <t>Its large tail is covered with rich, thick fur that deepens in color with age. The scratches on its shell are evidence of this POKéMON’s toughness in battle.</t>
  </si>
  <si>
    <t>Se ryömii lehtien sekaan, missä se naamioituu vartalonsa väristen lehtien sekaan.</t>
  </si>
  <si>
    <t>Wish Pokémon</t>
  </si>
  <si>
    <t>DNA Pokémon</t>
  </si>
  <si>
    <t>CATERPIELLA on kyltymätön ruokahalu. Se voi ahmia itseään suurempia lehtiä aivan silmiesi edessä. Tuntosarvistaan ​​tämä POKéMON vapauttaa hirvittävän voimakasta hajua.</t>
  </si>
  <si>
    <t>This POKéMON is very popular as a pet. Its fur-covered tail is a symbol of its longevity.</t>
  </si>
  <si>
    <t>Tiny Leaf Pokémon</t>
  </si>
  <si>
    <t>Grove Pokémon</t>
  </si>
  <si>
    <t>It often hides in water to stalk unwary prey. For fast swimming, it moves its ears to maintain balance.</t>
  </si>
  <si>
    <t>Chimp Pokémon</t>
  </si>
  <si>
    <t>Sen kyltymätön ruokahalu pakottaa sen ahmimaan epäröimättä itseään suurempia lehtiä. Se päästää tuntosarvistaan ​​hirvittävän voimakasta hajua.</t>
  </si>
  <si>
    <t>Playful Pokémon</t>
  </si>
  <si>
    <t>It is said to live 10,000 years. Its furry tail is popular as a symbol of longevity.</t>
  </si>
  <si>
    <t>Se on peittynyt vihreään kuoreen. Kasvaessaan se luopuu kuorestaan, peittyy silkkiin ja muuttuu koteloksi.</t>
  </si>
  <si>
    <t>Penguin Pokémon</t>
  </si>
  <si>
    <t>Emperor Pokémon</t>
  </si>
  <si>
    <t>Starling Pokémon</t>
  </si>
  <si>
    <t>Se päästää punaisista tuntosarvistaan ​​hajua torjuakseen vihollisia. Se kasvaa luomalla sulkasatoa toistuvasti.</t>
  </si>
  <si>
    <t>Predator Pokémon</t>
  </si>
  <si>
    <t>It is a well-established symbol of longevity. If its shell has algae on it, that WARTORTLE is very old.</t>
  </si>
  <si>
    <t>Plump Mouse Pokémon</t>
  </si>
  <si>
    <t>Beaver Pokémon</t>
  </si>
  <si>
    <t>It cleverly controls its furry ears and tail to maintain its balance while swimming.</t>
  </si>
  <si>
    <t>Cricket Pokémon</t>
  </si>
  <si>
    <t>Suojautuakseen se päästää päässään olevista tuntosarvista kamalaa löyhkää ajaakseen viholliset pois.</t>
  </si>
  <si>
    <t>Flash Pokémon</t>
  </si>
  <si>
    <t>Spark Pokémon</t>
  </si>
  <si>
    <t>Gleam Eyes Pokémon</t>
  </si>
  <si>
    <t>Bud Pokémon</t>
  </si>
  <si>
    <t>Bouquet Pokémon</t>
  </si>
  <si>
    <t>When tapped, this Pokémon will pull in its head, but its tail will still stick out a little bit.</t>
  </si>
  <si>
    <t>Head Butt Pokémon</t>
  </si>
  <si>
    <t>Shield Pokémon</t>
  </si>
  <si>
    <t>Moth Pokémon</t>
  </si>
  <si>
    <t>Its tail is large and covered with a rich, thick fur. The tail becomes increasingly deeper in color as Wartortle ages. The scratches on its shell are evidence of this Pokémon’s toughness as a battler.</t>
  </si>
  <si>
    <t>Tiny Bee Pokémon</t>
  </si>
  <si>
    <t>Beehive Pokémon</t>
  </si>
  <si>
    <t>Toukalla on kyltymätön ruokahalu. Se voi ahmia itseään suurempia lehtiä aivan silmiesi edessä. Tuntosarvistaan ​​tämä Pokémon vapauttaa erittäin voimakasta hajua.</t>
  </si>
  <si>
    <t>When tapped on its head, this Pokémon will pull it in, but its tail will still stick out a little bit.</t>
  </si>
  <si>
    <t>EleSquirrel Pokémon</t>
  </si>
  <si>
    <t>Sea Weasel Pokémon</t>
  </si>
  <si>
    <t>Cherry Pokémon</t>
  </si>
  <si>
    <t>It is recognized as a symbol of longevity. If its shell has algae on it, that Wartortle is very old.</t>
  </si>
  <si>
    <t>Blossom Pokémon</t>
  </si>
  <si>
    <t>Sun</t>
  </si>
  <si>
    <t>Lintu-Pokémonien hyökkäyksen aikana se vastustaa vapauttamalla tuntosarvistaan ​​valtavan voimakasta hajua, mutta siitä tulee usein niiden saalis.</t>
  </si>
  <si>
    <t>Sea Slug Pokémon</t>
  </si>
  <si>
    <t>Blimp Pokémon</t>
  </si>
  <si>
    <t>A brutal POKéMON with pressurized water jets on its shell. They are used for high speed tackles.</t>
  </si>
  <si>
    <t>Moon</t>
  </si>
  <si>
    <t>https://pokeapi.co/api/v2/pokemon-species/9/</t>
  </si>
  <si>
    <t>Rabbit Pokémon</t>
  </si>
  <si>
    <t>Se on helppo saada kiinni ja se kasvaa nopeasti, joten se on yksi parhaista suosituksista aloitteleville Pokémon-kouluttajille.</t>
  </si>
  <si>
    <t>Magical Pokémon</t>
  </si>
  <si>
    <t>Ultra Sun</t>
  </si>
  <si>
    <t>Ehkäpä siksi, että se haluaisi kasvaa nopeasti, sillä on kyltymätön ruokahalu, joka syö sata lehteä päivässä.</t>
  </si>
  <si>
    <t>Big Boss Pokémon</t>
  </si>
  <si>
    <t>Once it takes aim at its enemy, it blasts out water with even more force than a fire hose.</t>
  </si>
  <si>
    <t>Catty Pokémon</t>
  </si>
  <si>
    <t>Ultra Moon</t>
  </si>
  <si>
    <t>Sen ruumis on pehmeä ja heikko. Luonnossa sen ikuinen kohtalo on, että muut näkevät sen ruokana.</t>
  </si>
  <si>
    <t>Tiger Cat Pokémon</t>
  </si>
  <si>
    <t>It deliberately makes itself heavy so it can with stand the recoil of the water jets it fires.</t>
  </si>
  <si>
    <t>Bell Pokémon</t>
  </si>
  <si>
    <t>Skunk Pokémon</t>
  </si>
  <si>
    <t>The rocket cannons on its shell fire jets of water capable of punch ing holes through thick steel.</t>
  </si>
  <si>
    <t>Bronze Pokémon</t>
  </si>
  <si>
    <t>It firmly plants its feet on the ground before shooting water from the jets on its back.</t>
  </si>
  <si>
    <t>Bronze Bell Pokémon</t>
  </si>
  <si>
    <t>Bonsai Pokémon</t>
  </si>
  <si>
    <t>BLASTOISE has water spouts that protrude from its shell. The water spouts are very accurate. They can shoot bullets of water with enough accuracy to strike empty cans from a distance of over 160 feet.</t>
  </si>
  <si>
    <t>Mime Pokémon</t>
  </si>
  <si>
    <t>Playhouse Pokémon</t>
  </si>
  <si>
    <t>Metapod</t>
  </si>
  <si>
    <t>Kookos-Pokémon</t>
  </si>
  <si>
    <t>Music Note Pokémon</t>
  </si>
  <si>
    <t>The waterspouts that protrude from its shell are highly accurate. Their bullets of water can precisely nail tin cans from a distance of over 160 feet.</t>
  </si>
  <si>
    <t>Tämä POKéMON on altis hyökkäyksille, vaikka sen kuori on pehmeä paljastaen sen heikon ja herkän ruumiin.</t>
  </si>
  <si>
    <t>Forbidden Pokémon</t>
  </si>
  <si>
    <t>It crushes its foe under its heavy body to cause fainting. In a pinch, it will withdraw inside its shell.</t>
  </si>
  <si>
    <t>Land Shark Pokémon</t>
  </si>
  <si>
    <t>Cave Pokémon</t>
  </si>
  <si>
    <t>Kovettaa kuorensa suojatakseen itseään. Voimakas isku voi kuitenkin saada sen ponnahtamaan ulos kuorestaan.</t>
  </si>
  <si>
    <t>The pressurized water jets on this brutal POKéMON’s shell are used for high- speed tackles.</t>
  </si>
  <si>
    <t>Mach Pokémon</t>
  </si>
  <si>
    <t>Kuoren sisällä se on pehmeä ja heikko valmistautuessaan kehittymään. Se pysyy vähemmän liikkeessä kuoren sisällä.</t>
  </si>
  <si>
    <t>The jets of water it spouts from the rocket cannons on its shell can punch through thick steel.</t>
  </si>
  <si>
    <t>Big Eater Pokémon</t>
  </si>
  <si>
    <t>Se valmistautuu evoluutioon karkaisemalla kuortaan niin paljon kuin mahdollista suojellakseen pehmeää kehoaan.</t>
  </si>
  <si>
    <t>Emanation Pokémon</t>
  </si>
  <si>
    <t>Tämä on sen esikehittynyt muoto. Tässä vaiheessa se voi vain kovettua, joten se pysyy liikkumattomana välttääkseen hyökkäyksen.</t>
  </si>
  <si>
    <t>Aura Pokémon</t>
  </si>
  <si>
    <t>Tämän POKéMONin ruumista peittävä kuori on kova kuin rautalaatta. METAPOD ei liiku paljoa. Se pysyy paikallaan, koska se valmistaa pehmeitä sisusosiaan evoluutiota varten kovan kuoren sisällä.</t>
  </si>
  <si>
    <t>It deliberately makes itself heavy so it can withstand the recoil of the water jets it fires.</t>
  </si>
  <si>
    <t>Hippo Pokémon</t>
  </si>
  <si>
    <t>The rocket cannons on its shell fire jets of water capable of punching holes through thick steel.</t>
  </si>
  <si>
    <t>Heavyweight Pokémon</t>
  </si>
  <si>
    <t>Scorpion Pokémon</t>
  </si>
  <si>
    <t>Sen kuori on yhtä kova kuin rautalaatta. METAPOD ei liiku kovin paljon, koska se valmistelee pehmeitä sisusosiaan kuoren sisällä tapahtuvaa evoluutiota varten.</t>
  </si>
  <si>
    <t>Ogre Scorpion Pokémon</t>
  </si>
  <si>
    <t>Vaikka se onkin tukevan kuoren sisällä, sen sisällä oleva ruumis on herkkä. Se ei kestä kovaa hyökkäystä.</t>
  </si>
  <si>
    <t>Toxic Mouth Pokémon</t>
  </si>
  <si>
    <t>Bug Catcher Pokémon</t>
  </si>
  <si>
    <t>Wing Fish Pokémon</t>
  </si>
  <si>
    <t>Teräskova kuori suojelee sen herkkää ruumista. Se kestää hiljaa vastoinkäymisiä odottaessaan evoluutiota.</t>
  </si>
  <si>
    <t>The pressurized water jets on this brutal Pokémon’s shell are used for high-speed tackles.</t>
  </si>
  <si>
    <t>Blastoise has water spouts that protrude from its shell. The water spouts are very accurate. They can shoot bullets of water with enough accuracy to strike empty cans from a distance of over 160 feet.</t>
  </si>
  <si>
    <t>Kuoren sisällä se on pehmeä ja heikko valmistautuessaan kehittymään. Se pysyy liikkumattomana kuoressa.</t>
  </si>
  <si>
    <t>Se valmistautuu evoluutioon kovettamalla kuortaan mahdollisimman paljon suojatakseen pehmeää kehoaan.</t>
  </si>
  <si>
    <t>Neon Pokémon</t>
  </si>
  <si>
    <t>Frost Tree Pokémon</t>
  </si>
  <si>
    <t>Magnet Area Pokémon</t>
  </si>
  <si>
    <t>Thunderbolt Pokémon</t>
  </si>
  <si>
    <t>Blast Pokémon</t>
  </si>
  <si>
    <t>Its short feet are tipped with suction pads that enable it to tirelessly climb slopes and walls.</t>
  </si>
  <si>
    <t>https://pokeapi.co/api/v2/pokemon-species/10/</t>
  </si>
  <si>
    <t>Jubilee Pokémon</t>
  </si>
  <si>
    <t>Tämä Pokémon on altis hyökkäyksille, vaikka sen kuori on pehmeä paljastaen sen heikon ja herkän ruumiin.</t>
  </si>
  <si>
    <t>Ogre Darner Pokémon</t>
  </si>
  <si>
    <t>Tämän Pokémonin vartaloa peittävä kuori on kova kuin rautalevy. Metapodi ei liiku paljoa. Se pysyy paikallaan, koska se valmistelee pehmeitä sisusosiaan evoluutiota varten kovan kuoren sisällä.</t>
  </si>
  <si>
    <t>If you touch the feeler on top of its head, it will release a horrible stink to protect itself.</t>
  </si>
  <si>
    <t>Verdant Pokémon</t>
  </si>
  <si>
    <t>Fresh Snow Pokémon</t>
  </si>
  <si>
    <t>For protection, it releases a horri ble stench from the antenna on its head to drive away enemies.</t>
  </si>
  <si>
    <t>Fang Scorpion Pokémon</t>
  </si>
  <si>
    <t>Sen kuori on täynnä pehmeitä sisuskaluja. Se ei liiku paljon, koska on olemassa vaara, että se saattaa huolimattomasti vuodattaa sisuskalunsa ulos.</t>
  </si>
  <si>
    <t>Its feet have suction cups designed to stick to any surface. It tenaciously climbs trees to forage.</t>
  </si>
  <si>
    <t>Twin Tusk Pokémon</t>
  </si>
  <si>
    <t>Sen kuori on kova, mutta se on silti vain ötökän kuori. Se on tunnetusti taipuvainen rikkoutumaan, joten intensiivisiä taisteluita sen kanssa tulisi välttää.</t>
  </si>
  <si>
    <t>Blade Pokémon</t>
  </si>
  <si>
    <t>It crawls into foliage where it camouflages itself among leaves that are the same color as its body.</t>
  </si>
  <si>
    <t>Gripper Pokémon</t>
  </si>
  <si>
    <t>Sen kuori on täynnä paksua nestettä. Kaikki sen kehon solut rakentuvat uudelleen evoluution valmisteluja varten.</t>
  </si>
  <si>
    <t>CATERPIE has a voracious appetite. It can devour leaves bigger than its body right before your eyes. From its antenna, this POKéMON releases a terrifically strong odor.</t>
  </si>
  <si>
    <t>Snow Land Pokémon</t>
  </si>
  <si>
    <t>Sen kova kuori ei halkeile lainkaan, vaikka Pikipek nokkisi sitä, mutta se kaatuu ja sisus valuu ulos.</t>
  </si>
  <si>
    <t>Plasma Pokémon</t>
  </si>
  <si>
    <t>Knowledge Pokémon</t>
  </si>
  <si>
    <t>Its voracious appetite compels it to devour leaves bigger than itself without hesitation. It releases a terribly strong odor from its antennae.</t>
  </si>
  <si>
    <t>Willpower Pokémon</t>
  </si>
  <si>
    <t>It is covered with a green skin. When it grows, it sheds the skin, covers itself with silk, and becomes a cocoon.</t>
  </si>
  <si>
    <t>Temporal Pokémon</t>
  </si>
  <si>
    <t>Spatial Pokémon</t>
  </si>
  <si>
    <t>Se odottaa hetkeä kehittyäkseen. Tässä vaiheessa se voi vain kovettua, joten se pysyy liikkumattomana välttääkseen hyökkäyksen.</t>
  </si>
  <si>
    <t>It releases a stench from its red antenna to repel enemies. It grows by molting repeatedly.</t>
  </si>
  <si>
    <t>Lava Dome Pokémon</t>
  </si>
  <si>
    <t>Colossal Pokémon</t>
  </si>
  <si>
    <t>Butterfree</t>
  </si>
  <si>
    <t>Perhos-Pokémon</t>
  </si>
  <si>
    <t>Taistelussa se räpyttelee siipiään suurella nopeudella vapauttaen ilmaan erittäin myrkyllistä pölyä.</t>
  </si>
  <si>
    <t>Renegade Pokémon</t>
  </si>
  <si>
    <t>Lunar Pokémon</t>
  </si>
  <si>
    <t>Sea Drifter Pokémon</t>
  </si>
  <si>
    <t>For protection, it releases a horrible stench from the antennae on its head to drive away enemies.</t>
  </si>
  <si>
    <t>Seafaring Pokémon</t>
  </si>
  <si>
    <t>Sen myrkyllisillä jauheilla peittyneet siivet hylkivät vettä. Tämän ansiosta se voi lentää sateessa.</t>
  </si>
  <si>
    <t>Pitch-Black Pokémon</t>
  </si>
  <si>
    <t>Se kerää hunajaa joka päivä. Se hieroo hunajaa jalkojensa karvoihin kuljettaakseen sen takaisin pesäänsä.</t>
  </si>
  <si>
    <t>Gratitude Pokémon</t>
  </si>
  <si>
    <t>Sen siipien vettähylkivä jauhe mahdollistaa hunajan keräämisen jopa rankimmilla sateilla.</t>
  </si>
  <si>
    <t>Alpha Pokémon</t>
  </si>
  <si>
    <t>Victory Pokémon</t>
  </si>
  <si>
    <t>Se lentää kukasta kukkaan keräämässä hunajaa. Se pystyy jopa tunnistamaan kaukaiset kukat.</t>
  </si>
  <si>
    <t>Grass Snake Pokémon</t>
  </si>
  <si>
    <t>Regal Pokémon</t>
  </si>
  <si>
    <t>Fire Pig Pokémon</t>
  </si>
  <si>
    <t>BUTTERFREEllä on ylivertainen kyky etsiä herkullista hunajaa kukista. Se voi jopa etsiä, eristää ja kuljettaa hunajaa kukista, jotka kukkivat yli kymmenen kilometrin päässä sen pesästä.</t>
  </si>
  <si>
    <t>Mega Fire Pig Pokémon</t>
  </si>
  <si>
    <t>Sea Otter Pokémon</t>
  </si>
  <si>
    <t>Caterpie has a voracious appetite. It can devour leaves bigger than its body right before your eyes. From its antenna, this Pokémon releases a terrifically strong odor.</t>
  </si>
  <si>
    <t>Discipline Pokémon</t>
  </si>
  <si>
    <t>Formidable Pokémon</t>
  </si>
  <si>
    <t>Sillä on ylivoimainen kyky etsiä herkullista hunajaa kukista. Se voi etsiä, eristää ja kuljettaa hunajaa yli kuuden mailin päässä kukkivista kukista.</t>
  </si>
  <si>
    <t>Lookout Pokémon</t>
  </si>
  <si>
    <t>Loyal Dog Pokémon</t>
  </si>
  <si>
    <t>When attacked by bird Pokémon, it resists by releasing a terrifically strong odor from its antennae, but it often becomes their prey.</t>
  </si>
  <si>
    <t>Big-Hearted Pokémon</t>
  </si>
  <si>
    <t>It’s easy to catch, and it grows quickly, making it one of the top recommendations for novice Pokémon Trainers.</t>
  </si>
  <si>
    <t>Devious Pokémon</t>
  </si>
  <si>
    <t>Siivet on suojattu sateenpitävällä pölyllä. Tämän seurauksena tämä POKéMON voi lentää jopa sateella.</t>
  </si>
  <si>
    <t>Perhaps because it would like to grow up quickly, it has a voracious appetite, eating a hundred leaves a day.</t>
  </si>
  <si>
    <t>Cruel Pokémon</t>
  </si>
  <si>
    <t>Its body is soft and weak. In nature, its perpetual fate is to be seen by others as food.</t>
  </si>
  <si>
    <t>Taistelussa se räpyttelee siipiään suurella nopeudella vapauttaen erittäin myrkyllistä pölyä ilmaan.</t>
  </si>
  <si>
    <t>Grass Monkey Pokémon</t>
  </si>
  <si>
    <t>Se rakastaa kukkien hunajaa ja pystyy paikantamaan kukkalaikkuja, joissa on pieniä määriä siitepölyä.</t>
  </si>
  <si>
    <t>Thorn Monkey Pokémon</t>
  </si>
  <si>
    <t>High Temp Pokémon</t>
  </si>
  <si>
    <t>For protection, it releases a horrible stench from the antenna on its head to drive away enemies.</t>
  </si>
  <si>
    <t>Ember Pokémon</t>
  </si>
  <si>
    <t>This POKéMON is vulnerable to attack while its shell is soft, exposing its weak and tender body.</t>
  </si>
  <si>
    <t>https://pokeapi.co/api/v2/pokemon-species/11/</t>
  </si>
  <si>
    <t>Spray Pokémon</t>
  </si>
  <si>
    <t>Geyser Pokémon</t>
  </si>
  <si>
    <t>Hardens its shell to protect itself. However, a large impact may cause it to pop out of its shell.</t>
  </si>
  <si>
    <t>Dream Eater Pokémon</t>
  </si>
  <si>
    <t>Inside the shell, it is soft and weak as it pre pares to evolve. It stays motion less in the shell.</t>
  </si>
  <si>
    <t>Drowsing Pokémon</t>
  </si>
  <si>
    <t>Tiny Pigeon Pokémon</t>
  </si>
  <si>
    <t>It prepares for evolution by har dening its shell as much as possi ble to protect its soft body.</t>
  </si>
  <si>
    <t>Wild Pigeon Pokémon</t>
  </si>
  <si>
    <t>Proud Pokémon</t>
  </si>
  <si>
    <t>This is its pre- evolved form. At this stage, it can only harden, so it remains motionless to avoid attack.</t>
  </si>
  <si>
    <t>Electrified Pokémon</t>
  </si>
  <si>
    <t>The shell covering this POKéMON’s body is as hard as an iron slab. METAPOD does not move very much. It stays still because it is preparing its soft innards for evolution inside the hard shell.</t>
  </si>
  <si>
    <t>Siivet on suojattu sateenpitävällä pölyllä. Tämän seurauksena tämä Pokémon voi lentää jopa sateella.</t>
  </si>
  <si>
    <t>Mantle Pokémon</t>
  </si>
  <si>
    <t>Voinhimoisella on ylivertainen kyky etsiä herkullista hunajaa kukista. Se voi jopa etsiä, eristää ja kuljettaa hunajaa kukista, jotka kukkivat yli kuuden mailin päässä sen pesästä.</t>
  </si>
  <si>
    <t>Its shell is as hard as an iron slab. A METAPOD does not move very much because it is preparing its soft innards for evolution inside the shell.</t>
  </si>
  <si>
    <t>Ore Pokémon</t>
  </si>
  <si>
    <t>Even though it is encased in a sturdy shell, the body inside is tender. It can’t withstand a harsh attack.</t>
  </si>
  <si>
    <t>Compressed Pokémon</t>
  </si>
  <si>
    <t>Sen suurten silmien tarkka tarkastelu paljastaa, että jokainen silmä koostuu lukemattomista pienistä silmistä.</t>
  </si>
  <si>
    <t>Courting Pokémon</t>
  </si>
  <si>
    <t>Muiden Pokémonien hyökkäyksen kohteeksi joutuessaan se puolustautuu levittämällä myrkyllisiä suomujaan ja räpyttelemällä siipiään.</t>
  </si>
  <si>
    <t>A steel-hard shell protects its tender body. It quietly endures hardships while awaiting evolution.</t>
  </si>
  <si>
    <t>Subterrene Pokémon</t>
  </si>
  <si>
    <t>Sen siivet ovat myrkyllisten suomujen peitossa. Jos se löytää lintu-Pokémonin, joka on lähdössä Caterpieen perään, Butterfree ripottelee suomujaan niiden päälle ajaakseen ne pois.</t>
  </si>
  <si>
    <t>Kauniiden kukkien mesi on sen lempiruokaa. Kukkapelloilla se käy kiivasta taistelua Cutiefryn kanssa reviiriä.</t>
  </si>
  <si>
    <t>Hearing Pokémon</t>
  </si>
  <si>
    <t>Inside the shell, it is soft and weak as it prepares to evolve. It stays motionless in the shell.</t>
  </si>
  <si>
    <t>Sen myrkyllisen jauheen peittämät siivet hylkivät vettä. Tämän ansiosta se voi lentää sateessa.</t>
  </si>
  <si>
    <t>It prepares for evolution by hardening its shell as much as possible to protect its soft body.</t>
  </si>
  <si>
    <t>Muscular Pokémon</t>
  </si>
  <si>
    <t>Judo Pokémon</t>
  </si>
  <si>
    <t>Karate Pokémon</t>
  </si>
  <si>
    <t>Weedle</t>
  </si>
  <si>
    <t>Karvainen ötökkä-Pokémon</t>
  </si>
  <si>
    <t>Usein metsissä lehtiä syömässä. Sillä on päässään terävä, myrkyllinen pistin.</t>
  </si>
  <si>
    <t>Sewing Pokémon</t>
  </si>
  <si>
    <t>Leaf-Wrapped Pokémon</t>
  </si>
  <si>
    <t>This Pokémon is vulnerable to attack while its shell is soft, exposing its weak and tender body.</t>
  </si>
  <si>
    <t>Varo sen päässä olevaa terävää pistintä. Se piiloutuu ruohikkoon ja pensaisiin, missä se syö lehtiä.</t>
  </si>
  <si>
    <t>Nurturing Pokémon</t>
  </si>
  <si>
    <t>The shell covering this Pokémon’s body is as hard as an iron slab. Metapod does not move very much. It stays still because it is preparing its soft innards for evolution inside the hard shell.</t>
  </si>
  <si>
    <t>Centipede Pokémon</t>
  </si>
  <si>
    <t>Sen myrkyllinen piikki on erittäin voimakas. Sen kirkkaanvärinen ruumis on tarkoitettu varoittamaan vihollisia.</t>
  </si>
  <si>
    <t>Curlipede Pokémon</t>
  </si>
  <si>
    <t>Se hyökkää käyttämällä päässään viiden tuuman mittaista myrkkypiiskaa. Se löytyy yleensä syömiensä lehtien alta.</t>
  </si>
  <si>
    <t>Its shell is filled with its soft innards. It doesn’t move much because of the risk it might carelessly spill its innards out.</t>
  </si>
  <si>
    <t>Megapede Pokémon</t>
  </si>
  <si>
    <t>Sen päälaella oleva piikki erittää voimakasta myrkkyä. Se käyttää tätä myrkyllistä piikkiä suojellakseen itseään.</t>
  </si>
  <si>
    <t>Its shell is hard, but it’s still just a bug shell. It’s been known to break, so intense battles with it should be avoided.</t>
  </si>
  <si>
    <t>Cotton Puff Pokémon</t>
  </si>
  <si>
    <t>WEEDLEllä on erittäin tarkka hajuaisti. Se pystyy erottamaan lempilehdet niistä, joista se ei pidä, pelkästään nuuhkimalla suurella punaisella imukärsällään.</t>
  </si>
  <si>
    <t>Its shell is filled with a thick liquid. All of the cells throughout its body are being rebuilt in preparation for evolution.</t>
  </si>
  <si>
    <t>Windveiled Pokémon</t>
  </si>
  <si>
    <t>Bulb Pokémon</t>
  </si>
  <si>
    <t>Its hard shell doesn’t crack a bit even if Pikipek pecks at it, but it will tip over, spilling out its insides.</t>
  </si>
  <si>
    <t>Flowering Pokémon</t>
  </si>
  <si>
    <t>Hostile Pokémon</t>
  </si>
  <si>
    <t>Desert Croc Pokémon</t>
  </si>
  <si>
    <t>RIKKALAISELLA on erittäin tarkka hajuaisti. Se erottaa lempilehdet niistä, joista se ei pidä, nuuhkimalla niitä suurella punaisella imukärsällään.</t>
  </si>
  <si>
    <t>Intimidation Pokémon</t>
  </si>
  <si>
    <t>It is waiting for the moment to evolve. At this stage, it can only harden, so it remains motionless to avoid attack.</t>
  </si>
  <si>
    <t>Zen Charm Pokémon</t>
  </si>
  <si>
    <t>Usein tavataan metsissä ja ruohoalueilla. Sillä on terävä, myrkyllinen, noin viiden senttimetrin pituinen väkänen pään päällä.</t>
  </si>
  <si>
    <t>Blazing Pokémon</t>
  </si>
  <si>
    <t>Rock Inn Pokémon</t>
  </si>
  <si>
    <t>Usein metsissä lehtiä syömässä. Sillä on päässään terävä piikki, joka ruiskuttaa myrkkyä.</t>
  </si>
  <si>
    <t>In battle, it flaps its wings at high speed to release highly toxic dust into the air.</t>
  </si>
  <si>
    <t>Stone Home Pokémon</t>
  </si>
  <si>
    <t>https://pokeapi.co/api/v2/pokemon-species/12/</t>
  </si>
  <si>
    <t>Se syö painonsa verran lehtiä joka päivä. Se torjuu hyökkääjät päässään olevalla neulalla.</t>
  </si>
  <si>
    <t>Shedding Pokémon</t>
  </si>
  <si>
    <t>Hoodlum Pokémon</t>
  </si>
  <si>
    <t>Avianoid Pokémon</t>
  </si>
  <si>
    <t>Its wings, covered with poisonous powders, repel water. This allows it to fly in the rain.</t>
  </si>
  <si>
    <t>Spirit Pokémon</t>
  </si>
  <si>
    <t>It collects honey every day. It rubs honey onto the hairs on its legs to carry it back to its nest.</t>
  </si>
  <si>
    <t>Coffin Pokémon</t>
  </si>
  <si>
    <t>Prototurtle Pokémon</t>
  </si>
  <si>
    <t>First Bird Pokémon</t>
  </si>
  <si>
    <t>Trash Bag Pokémon</t>
  </si>
  <si>
    <t>Water-repellent powder on its wings enables it to collect honey, even in the heav iest of rains.</t>
  </si>
  <si>
    <t>Trash Heap Pokémon</t>
  </si>
  <si>
    <t>Tricky Fox Pokémon</t>
  </si>
  <si>
    <t>Illusion Fox Pokémon</t>
  </si>
  <si>
    <t>It flits from flower to flower, collecting honey. It can even identify distant flowers in bloom.</t>
  </si>
  <si>
    <t>Chinchilla Pokémon</t>
  </si>
  <si>
    <t>Scarf Pokémon</t>
  </si>
  <si>
    <t>BUTTERFREE has a superior ability to search for delicious honey from flowers. It can even search out, extract, and carry honey from flowers that are blooming over six miles from its nest.</t>
  </si>
  <si>
    <t>Fixation Pokémon</t>
  </si>
  <si>
    <t>Astral Body Pokémon</t>
  </si>
  <si>
    <t>Cell Pokémon</t>
  </si>
  <si>
    <t>It has a superior ability to search for delicious honey from flowers. It can seek, extract, and carry honey from flowers blooming over six miles away.</t>
  </si>
  <si>
    <t>Mitosis Pokémon</t>
  </si>
  <si>
    <t>The wings are protected by rain-repellent dust. As a result, this POKéMON can fly about even in rain.</t>
  </si>
  <si>
    <t>Multiplying Pokémon</t>
  </si>
  <si>
    <t>White Bird Pokémon</t>
  </si>
  <si>
    <t>In battle, it flaps its wings at great speed to release highly toxic dust into the air.</t>
  </si>
  <si>
    <t>Icy Snow Pokémon</t>
  </si>
  <si>
    <t>Weedlellä on erittäin tarkka hajuaisti. Se pystyy erottamaan lempilehdet niistä, joista se ei pidä, pelkästään nuuhkimalla suurella punaisella imukärsällään.</t>
  </si>
  <si>
    <t>Snowstorm Pokémon</t>
  </si>
  <si>
    <t>It loves the honey of flowers and can locate flower patches that have even tiny amounts of pollen.</t>
  </si>
  <si>
    <t>Season Pokémon</t>
  </si>
  <si>
    <t>Sky Squirrel Pokémon</t>
  </si>
  <si>
    <t>Clamping Pokémon</t>
  </si>
  <si>
    <t>Cavalry Pokémon</t>
  </si>
  <si>
    <t>Kakuna</t>
  </si>
  <si>
    <t>Floating Pokémon</t>
  </si>
  <si>
    <t>Lähes liikkumiskyvytön, tämä POKéMON voi vain kovettaa kuorensa suojautuakseen saalistajilta.</t>
  </si>
  <si>
    <t>Caring Pokémon</t>
  </si>
  <si>
    <t>Water-repellent powder on its wings enables it to collect honey, even in the heaviest of rains.</t>
  </si>
  <si>
    <t>Attaching Pokémon</t>
  </si>
  <si>
    <t>EleSpider Pokémon</t>
  </si>
  <si>
    <t>Pystyy liikkumaan vain hieman. Uhanalaisena se voi työntää pistimensä esiin ja myrkyttää vihollisensa.</t>
  </si>
  <si>
    <t>Thorn Seed Pokémon</t>
  </si>
  <si>
    <t>Thorn Pod Pokémon</t>
  </si>
  <si>
    <t>Vaikka se on kotelo, se voi liikkua hieman. Se voi ojentaa myrkkypiikänsä, jos sitä vastaan ​​hyökätään.</t>
  </si>
  <si>
    <t>Gear Pokémon</t>
  </si>
  <si>
    <t>EleFish Pokémon</t>
  </si>
  <si>
    <t>Tästä muodosta se kasvaa aikuiseksi. Kun sen ruumis pehmenee, ulkokuori kovettuu.</t>
  </si>
  <si>
    <t>Cerebral Pokémon</t>
  </si>
  <si>
    <t>Lähes liikkumattomana se nojaa vahvoihin puihin odottaessaan evoluutiotaan.</t>
  </si>
  <si>
    <t>Candle Pokémon</t>
  </si>
  <si>
    <t>Lamp Pokémon</t>
  </si>
  <si>
    <t>The wings are protected by rain-repellent dust. As a result, this Pokémon can fly about even in rain.</t>
  </si>
  <si>
    <t>KAKUNA pysyy käytännössä liikkumattomana roikkuessaan puussa. Sisällä se on kuitenkin erittäin kiireinen valmistautuessaan tulevaan evoluutioonsa. Tämä käy ilmi siitä, kuinka kuumaksi kuori muuttuu kosketettaessa.</t>
  </si>
  <si>
    <t>Luring Pokémon</t>
  </si>
  <si>
    <t>Butterfree has a superior ability to search for delicious honey from flowers. It can even search out, extract, and carry honey from flowers that are blooming over six miles from its nest.</t>
  </si>
  <si>
    <t>Tusk Pokémon</t>
  </si>
  <si>
    <t>Axe Jaw Pokémon</t>
  </si>
  <si>
    <t>Se pysyy käytännössä liikkumattomana roikkuessaan puussa. Sisällä se kuitenkin valmistautuu ahkerasti evoluutioon. Tämä käy ilmi siitä, kuinka kuumaksi sen kuori kuumenee.</t>
  </si>
  <si>
    <t>Chill Pokémon</t>
  </si>
  <si>
    <t>Close examination of its large eyes reveals that each eye is composed of a myriad of tiny eyes.</t>
  </si>
  <si>
    <t>Freezing Pokémon</t>
  </si>
  <si>
    <t>Tämä POKéMON on väliaikaisessa vaiheessa rakentaessaan vartaloaan. Se on lähes täysin kykenemätön liikkumaan omin voimin.</t>
  </si>
  <si>
    <t>Crystallizing Pokémon</t>
  </si>
  <si>
    <t>Snail Pokémon</t>
  </si>
  <si>
    <t>When attacked by other Pokémon, it defends itself by scattering its poisonous scales and fluttering its wings.</t>
  </si>
  <si>
    <t>Shell Out Pokémon</t>
  </si>
  <si>
    <t>Lähes liikkumaton POKéMON voi vain kovettaa kuorensa suojatakseen itseään vaarassa.</t>
  </si>
  <si>
    <t>Its wings are covered in toxic scales. If it finds bird Pokémon going after Caterpie, Butterfree sprinkles its scales on them to drive them off.</t>
  </si>
  <si>
    <t>Trap Pokémon</t>
  </si>
  <si>
    <t>Evoluutiota odottaessaan se piiloutuu saalistajilta lehtien alle ja oksien nurkkiin.</t>
  </si>
  <si>
    <t>Martial Arts Pokémon</t>
  </si>
  <si>
    <t>Nectar from pretty flowers is its favorite food. In fields of flowers, it has heated battles with Cutiefly for territory.</t>
  </si>
  <si>
    <t>Automaton Pokémon</t>
  </si>
  <si>
    <t>Its wings, covered with poisonous powder, repel water. This allows it to fly in the rain.</t>
  </si>
  <si>
    <t>Sharp Blade Pokémon</t>
  </si>
  <si>
    <t>Sword Blade Pokémon</t>
  </si>
  <si>
    <t>Bash Buffalo Pokémon</t>
  </si>
  <si>
    <t>Eaglet Pokémon</t>
  </si>
  <si>
    <t>Valiant Pokémon</t>
  </si>
  <si>
    <t>Diapered Pokémon</t>
  </si>
  <si>
    <t>Often found in forests, eating leaves. It has a sharp venomous stinger on its head.</t>
  </si>
  <si>
    <t>Bone Vulture Pokémon</t>
  </si>
  <si>
    <t>https://pokeapi.co/api/v2/pokemon-species/13/</t>
  </si>
  <si>
    <t>Anteater Pokémon</t>
  </si>
  <si>
    <t>Iron Ant Pokémon</t>
  </si>
  <si>
    <t>Irate Pokémon</t>
  </si>
  <si>
    <t>Beware of the sharp stinger on its head. It hides in grass and bushes where it eats leaves.</t>
  </si>
  <si>
    <t>Torch Pokémon</t>
  </si>
  <si>
    <t>Iron Will Pokémon</t>
  </si>
  <si>
    <t>Its poison stinger is very powerful. Its bright-colored body is intended to warn off its enemies.</t>
  </si>
  <si>
    <t>Cavern Pokémon</t>
  </si>
  <si>
    <t>Grassland Pokémon</t>
  </si>
  <si>
    <t>Cyclone Pokémon</t>
  </si>
  <si>
    <t>It attacks using a two-inch poison barb on its head. It can usually be found under the leaves it eats.</t>
  </si>
  <si>
    <t>Bolt Strike Pokémon</t>
  </si>
  <si>
    <t>Lähes liikkumiskyvytön, tämä Pokémon voi vain kovettaa kuorensa suojatakseen itseään vaarassa.</t>
  </si>
  <si>
    <t>The barb on top of its head secretes a strong poison. It uses this toxic barb to protect itself.</t>
  </si>
  <si>
    <t>Vast White Pokémon</t>
  </si>
  <si>
    <t>Deep Black Pokémon</t>
  </si>
  <si>
    <t>WEEDLE has an extremely acute sense of smell. It is capable of distinguishing its favorite kinds of leaves from those it dislikes just by sniffing with its big red proboscis (nose).</t>
  </si>
  <si>
    <t>Abundance Pokémon</t>
  </si>
  <si>
    <t>Boundary Pokémon</t>
  </si>
  <si>
    <t>Colt Pokémon</t>
  </si>
  <si>
    <t>Kakuna pysyy käytännössä liikkumattomana roikkuessaan puussa. Sisällä se on kuitenkin erittäin kiireinen valmistautuessaan tulevaan evoluutioonsa. Tämä käy ilmi siitä, kuinka kuumaksi kuori muuttuu kosketettaessa.</t>
  </si>
  <si>
    <t>Melody Pokémon</t>
  </si>
  <si>
    <t>A WEEDLE has an extremely acute sense of smell. It distinguishes its favorite kinds of leaves from those it dislikes by sniffing with its big red proboscis (nose).</t>
  </si>
  <si>
    <t>Paleozoic Pokémon</t>
  </si>
  <si>
    <t>Spiny Nut Pokémon</t>
  </si>
  <si>
    <t>Often found in forests and grasslands. It has a sharp, toxic barb of around two inches on top of its head.</t>
  </si>
  <si>
    <t>Spiny Armor Pokémon</t>
  </si>
  <si>
    <t>Bubble Frog Pokémon</t>
  </si>
  <si>
    <t>Often found in forests, eating leaves. It has a sharp stinger on its head that injects poison.</t>
  </si>
  <si>
    <t>Digging Pokémon</t>
  </si>
  <si>
    <t>It eats its weight in leaves every day. It fends off attackers with the needle on its head.</t>
  </si>
  <si>
    <t>Tiny Robin Pokémon</t>
  </si>
  <si>
    <t>Scorching Pokémon</t>
  </si>
  <si>
    <t>Beedrill</t>
  </si>
  <si>
    <t>Myrkyllinen mehiläinen -pokémon</t>
  </si>
  <si>
    <t>Lentää kovalla nopeudella ja hyökkää käyttämällä etujalkoihinsa ja häntään kiinnittyviä suuria myrkyllisiä pistojaan.</t>
  </si>
  <si>
    <t>Scatterdust Pokémon</t>
  </si>
  <si>
    <t>Scale Pokémon</t>
  </si>
  <si>
    <t>Lion Cub Pokémon</t>
  </si>
  <si>
    <t>Sillä on kolme myrkyllistä pistintä etujaloissaan ja hännässään. Niillä se pistää vihollista toistuvasti.</t>
  </si>
  <si>
    <t>Single Bloom Pokémon</t>
  </si>
  <si>
    <t>Se voi kaataa minkä tahansa vastustajan voimakkailla myrkkypistimillään. Joskus se hyökkää parvina.</t>
  </si>
  <si>
    <t>Garden Pokémon</t>
  </si>
  <si>
    <t>Sillä on kolme myrkkypiiskaa. Sen pyrstössä oleva piikki erittää voimakkainta myrkkyä.</t>
  </si>
  <si>
    <t>Mount Pokémon</t>
  </si>
  <si>
    <t>Daunting Pokémon</t>
  </si>
  <si>
    <t>Se käyttää teräviä, myrkyllisiä pistoja saaliin kukistamiseen ja vie uhrin sitten takaisin pesäänsä ravinnoksi.</t>
  </si>
  <si>
    <t>Poodle Pokémon</t>
  </si>
  <si>
    <t>BEEDRILL on erittäin reviiritietoinen. Kenenkään ei tulisi koskaan lähestyä sen pesää – tämä on heidän oman turvallisuutensa vuoksi. Jos ne suuttuvat, ne hyökkäävät raivoisana parvena.</t>
  </si>
  <si>
    <t>Restraint Pokémon</t>
  </si>
  <si>
    <t>Constraint Pokémon</t>
  </si>
  <si>
    <t>HAUSKAPYLÄ on erittäin reviiritietoinen. Turvallisuussyistä kenenkään ei tulisi koskaan lähestyä sen pesää. Jos se suuttuu, se hyökkää parvella.</t>
  </si>
  <si>
    <t>Sword Pokémon</t>
  </si>
  <si>
    <t>Saattaa esiintyä parvessa. Lentää rajulla nopeudella ja pistää samalla takaosassaan olevalla myrkyllisellä pistimellä.</t>
  </si>
  <si>
    <t>Royal Sword Pokémon</t>
  </si>
  <si>
    <t>Se lentää kovaa vauhtia ja hyökkää käyttämällä etujalkojensa ja hännänsä suuria myrkyllisiä pistimiä.</t>
  </si>
  <si>
    <t>Perfume Pokémon</t>
  </si>
  <si>
    <t>Sen paras hyökkäys on lentäminen kovaa vauhtia, iskeminen myrkkyneuloilla ja sitten lentäminen pois.</t>
  </si>
  <si>
    <t>Fragrance Pokémon</t>
  </si>
  <si>
    <t>Cotton Candy Pokémon</t>
  </si>
  <si>
    <t>Weedle has an extremely acute sense of smell. It is capable of distinguishing its favorite kinds of leaves from those it dislikes just by sniffing with its big red proboscis (nose).</t>
  </si>
  <si>
    <t>Meringue Pokémon</t>
  </si>
  <si>
    <t>Revolving Pokémon</t>
  </si>
  <si>
    <t>Overturning Pokémon</t>
  </si>
  <si>
    <t>Two-Handed Pokémon</t>
  </si>
  <si>
    <t>Collective Pokémon</t>
  </si>
  <si>
    <t>Mock Kelp Pokémon</t>
  </si>
  <si>
    <t>Water Gun Pokémon</t>
  </si>
  <si>
    <t>Almost incapable of moving, this POKéMON can only harden its shell to protect itself from predators.</t>
  </si>
  <si>
    <t>https://pokeapi.co/api/v2/pokemon-species/14/</t>
  </si>
  <si>
    <t>Howitzer Pokémon</t>
  </si>
  <si>
    <t>Generator Pokémon</t>
  </si>
  <si>
    <t>Royal Heir Pokémon</t>
  </si>
  <si>
    <t>Able to move only slightly. When endangered, it may stick out its stinger and poison its enemy.</t>
  </si>
  <si>
    <t>Despot Pokémon</t>
  </si>
  <si>
    <t>Although it is a cocoon, it can move a little. It can extend its poison barb if it is attacked.</t>
  </si>
  <si>
    <t>Tundra Pokémon</t>
  </si>
  <si>
    <t>Intertwining Pokémon</t>
  </si>
  <si>
    <t>From this form, it will grow into an adult. As its body becomes soft er, the external shell hardens.</t>
  </si>
  <si>
    <t>Wrestling Pokémon</t>
  </si>
  <si>
    <t>Sillä on kolme myrkyllistä pistintä etujaloissaan ja hännässään. Niillä se pistää vihollistaan ​​toistuvasti.</t>
  </si>
  <si>
    <t>Nearly incapable of movement, it leans against stout trees while waiting for its evolution.</t>
  </si>
  <si>
    <t>Antenna Pokémon</t>
  </si>
  <si>
    <t>KAKUNA remains virtually immobile as it clings to a tree. However, on the inside, it is extremely busy as it prepares for its coming evolution. This is evident from how hot the shell becomes to the touch.</t>
  </si>
  <si>
    <t>Jewel Pokémon</t>
  </si>
  <si>
    <t>Beedrill on erittäin reviiritietoinen. Kenenkään ei tulisi koskaan lähestyä sen pesää – tämä on heidän oman turvallisuutensa vuoksi. Jos ne suuttuvat, ne hyökkäävät raivoisana parvena.</t>
  </si>
  <si>
    <t>Soft Tissue Pokémon</t>
  </si>
  <si>
    <t>It remains virtually immobile while it clings to a tree. However, on the inside, it busily prepares for evolution. This is evident from how hot its shell becomes.</t>
  </si>
  <si>
    <t>Key Ring Pokémon</t>
  </si>
  <si>
    <t>This POKéMON is in a temporary stage while making its body. It is almost completely unable to move on its own.</t>
  </si>
  <si>
    <t>Stump Pokémon</t>
  </si>
  <si>
    <t>Elder Tree Pokémon</t>
  </si>
  <si>
    <t>Almost incapable of moving, this POKéMON can only harden its shell to protect itself when it is in danger.</t>
  </si>
  <si>
    <t>Pumpkin Pokémon</t>
  </si>
  <si>
    <t>Ice Chunk Pokémon</t>
  </si>
  <si>
    <t>Sound Wave Pokémon</t>
  </si>
  <si>
    <t>While awaiting evolution, it hides from predators under leaves and in nooks of branches.</t>
  </si>
  <si>
    <t>Life Pokémon</t>
  </si>
  <si>
    <t>Pidgey</t>
  </si>
  <si>
    <t>Pieni lintu-Pokémon</t>
  </si>
  <si>
    <t>Destruction Pokémon</t>
  </si>
  <si>
    <t>Yleinen näky metsissä ja mökkimaissa. Se räpyttelee siipiään maanpinnan tasolla potkiakseen ilmaan sokaisevaa hiekkaa.</t>
  </si>
  <si>
    <t>Order Pokémon</t>
  </si>
  <si>
    <t>Mischief Pokémon</t>
  </si>
  <si>
    <t>Steam Pokémon</t>
  </si>
  <si>
    <t>Grass Quill Pokémon</t>
  </si>
  <si>
    <t>Blade Quill Pokémon</t>
  </si>
  <si>
    <t>Arrow Quill Pokémon</t>
  </si>
  <si>
    <t>Hyvin säyseä. Hyökkäyksen sattuessa se usein potkii hiekkaa ilmaan suojellakseen itseään sen sijaan, että taistelisi vastaan.</t>
  </si>
  <si>
    <t>Fire Cat Pokémon</t>
  </si>
  <si>
    <t>Heel Pokémon</t>
  </si>
  <si>
    <t>Pop Star Pokémon</t>
  </si>
  <si>
    <t>Se yleensä piiloutuu korkeaan ruohikkoon. Koska se ei pidä taistelusta, se suojelee itseään potkimalla hiekkaa ilmaan.</t>
  </si>
  <si>
    <t>Soloist Pokémon</t>
  </si>
  <si>
    <t>From this form, it will grow into an adult. As its body becomes softer, the external shell hardens.</t>
  </si>
  <si>
    <t>Woodpecker Pokémon</t>
  </si>
  <si>
    <t>Bugle Beak Pokémon</t>
  </si>
  <si>
    <t>Se on yleinen ruohoalueilla ja metsissä, ja se on hyvin säyseä ja ajaa viholliset pois läpsyttämällä hiekkaa ilmaan.</t>
  </si>
  <si>
    <t>Cannon Pokémon</t>
  </si>
  <si>
    <t>Loitering Pokémon</t>
  </si>
  <si>
    <t>Se räpyttelee siipiään nopeasti ruohikossa ja nostattaa pölypilven, joka ajaa hyönteisten saaliin ulos avoimelle paikalle.</t>
  </si>
  <si>
    <t>Stakeout Pokémon</t>
  </si>
  <si>
    <t>Larva Pokémon</t>
  </si>
  <si>
    <t>PIDGEYllä on erittäin tarkka suuntavaisto. Se pystyy palaamaan erehtymättä kotiin pesälleen, olipa se kuinka kaukana tahansa tutusta ympäristöstään.</t>
  </si>
  <si>
    <t>Battery Pokémon</t>
  </si>
  <si>
    <t>Boxing Pokémon</t>
  </si>
  <si>
    <t>Woolly Crab Pokémon</t>
  </si>
  <si>
    <t>Dancing Pokémon</t>
  </si>
  <si>
    <t>Sillä on erittäin tarkka suuntavaisto. Se voi erehtymättä palata pesälleen, olipa se kuinka kaukana tahansa tutusta ympäristöstään.</t>
  </si>
  <si>
    <t>Bee Fly Pokémon</t>
  </si>
  <si>
    <t>Wolf Pokémon</t>
  </si>
  <si>
    <t>Ei pidä tappelusta. Se piiloutuu korkeaan ruohikkoon ja etsii ravintoa, kuten pieniä ötököitä.</t>
  </si>
  <si>
    <t>Small Fry Pokémon</t>
  </si>
  <si>
    <t>Almost incapable of moving, this Pokémon can only harden its shell to protect itself when it is in danger.</t>
  </si>
  <si>
    <t>Brutal Star Pokémon</t>
  </si>
  <si>
    <t>Donkey Pokémon</t>
  </si>
  <si>
    <t>Se on säyseä ja välttää mieluummin konflikteja. Häiriintyessä se voi kuitenkin iskeä raivokkaasti takaisin.</t>
  </si>
  <si>
    <t>Kakuna remains virtually immobile as it clings to a tree. However, on the inside, it is extremely busy as it prepares for its coming evolution. This is evident from how hot the shell becomes to the touch.</t>
  </si>
  <si>
    <t>Draft Horse Pokémon</t>
  </si>
  <si>
    <t>Water Bubble Pokémon</t>
  </si>
  <si>
    <t>Sickle Grass Pokémon</t>
  </si>
  <si>
    <t>Bloom Sickle Pokémon</t>
  </si>
  <si>
    <t>Illuminating Pokémon</t>
  </si>
  <si>
    <t>Toxic Lizard Pokémon</t>
  </si>
  <si>
    <t>Flies at high speed and attacks using its large venomous stingers on its forelegs and tail.</t>
  </si>
  <si>
    <t>https://pokeapi.co/api/v2/pokemon-species/15/</t>
  </si>
  <si>
    <t>Flailing Pokémon</t>
  </si>
  <si>
    <t>Strong Arm Pokémon</t>
  </si>
  <si>
    <t>Posy Picker Pokémon</t>
  </si>
  <si>
    <t>Sage Pokémon</t>
  </si>
  <si>
    <t>It has 3 poisonous stingers on its forelegs and its tail. They are used to jab its enemy repeatedly.</t>
  </si>
  <si>
    <t>Teamwork Pokémon</t>
  </si>
  <si>
    <t>It can take down any opponent with its powerful poi son stingers. It sometimes attacks in swarms.</t>
  </si>
  <si>
    <t>Turn Tail Pokémon</t>
  </si>
  <si>
    <t>Hard Scale Pokémon</t>
  </si>
  <si>
    <t>It has three poison barbs. The barb on its tail secretes the most powerful poison.</t>
  </si>
  <si>
    <t>Sand Heap Pokémon</t>
  </si>
  <si>
    <t>Sand Castle Pokémon</t>
  </si>
  <si>
    <t>It uses sharp, poisonous stings to defeat prey, then takes the victim back to its nest for food.</t>
  </si>
  <si>
    <t>Sea Cucumber Pokémon</t>
  </si>
  <si>
    <t>Synthetic Pokémon</t>
  </si>
  <si>
    <t>BEEDRILL is extremely territorial. No one should ever approach its nest - this is for their own safety. If angered, they will attack in a furious swarm.</t>
  </si>
  <si>
    <t>Meteor Pokémon</t>
  </si>
  <si>
    <t>Blast Turtle Pokémon</t>
  </si>
  <si>
    <t>Roly-Poly Pokémon</t>
  </si>
  <si>
    <t>A BEEDRILL is extremely territorial. For safety reasons, no one should ever approach its nest. If angered, they will attack in a swarm.</t>
  </si>
  <si>
    <t>Pidgeyllä on erittäin tarkka suuntavaisto. Se pystyy palaamaan erehtymättä kotiin pesälleen, olipa se kuinka kaukana tahansa tutusta ympäristöstään.</t>
  </si>
  <si>
    <t>Disguise Pokémon</t>
  </si>
  <si>
    <t>Gnash Teeth Pokémon</t>
  </si>
  <si>
    <t>Placid Pokémon</t>
  </si>
  <si>
    <t>May appear in a swarm. Flies at violent speeds, all the while stabbing with the toxic stinger on its rear.</t>
  </si>
  <si>
    <t>Sea Creeper Pokémon</t>
  </si>
  <si>
    <t>Scaly Pokémon</t>
  </si>
  <si>
    <t>It flies at high speed and attacks using the large venomous stingers on its forelegs and tail.</t>
  </si>
  <si>
    <t>Land Spirit Pokémon</t>
  </si>
  <si>
    <t>Nebula Pokémon</t>
  </si>
  <si>
    <t>Its best attack involves flying around at high speed, striking with poison needles, then flying off.</t>
  </si>
  <si>
    <t>Protostar Pokémon</t>
  </si>
  <si>
    <t>Sunne Pokémon</t>
  </si>
  <si>
    <t>Pidgeotto</t>
  </si>
  <si>
    <t>Lintu-Pokémon</t>
  </si>
  <si>
    <t>Moone Pokémon</t>
  </si>
  <si>
    <t>Tämä POKéMON suojelee erittäin laajaa reviiriään ja nokkii raivokkaasti ketä tahansa tunkeilijaa.</t>
  </si>
  <si>
    <t>Parasite Pokémon</t>
  </si>
  <si>
    <t>Swollen Pokémon</t>
  </si>
  <si>
    <t>It can take down any opponent with its powerful poison stingers. It sometimes attacks in swarms.</t>
  </si>
  <si>
    <t>Lissome Pokémon</t>
  </si>
  <si>
    <t>Glowing Pokémon</t>
  </si>
  <si>
    <t>Tämä POKéMON on täynnä elinvoimaa. Se lentää jatkuvasti laajalla alueellaan etsimässä saalista.</t>
  </si>
  <si>
    <t>Launch Pokémon</t>
  </si>
  <si>
    <t>Drawn Sword Pokémon</t>
  </si>
  <si>
    <t>Sillä on erinomainen näkökyky. Olipa se kuinka korkealla tahansa, se pystyy erottamaan saaliinsa liikkeet.</t>
  </si>
  <si>
    <t>Junkivore Pokémon</t>
  </si>
  <si>
    <t>Prism Pokémon</t>
  </si>
  <si>
    <t>Se lamauttaa saaliinsa hyvin kehittyneiden kynsien avulla ja kantaa sen sitten yli 95 kilometrin päähän pesälleen.</t>
  </si>
  <si>
    <t>Artificial Pokémon</t>
  </si>
  <si>
    <t>Gloomdweller Pokémon</t>
  </si>
  <si>
    <t>Se lentää hitaasti ympyrää pitäen koko ajan tarkkaan silmällä saalista.</t>
  </si>
  <si>
    <t>Rampart Pokémon</t>
  </si>
  <si>
    <t>Fireworks Pokémon</t>
  </si>
  <si>
    <t>PIDGEOTTO pitää suurta aluetta omana reviirinään. Tämä POKéMON lentää ympäriinsä partioiden sen elintilaa. Jos sen reviiriä loukataan, se ei armahda rankaisemalla vihollista perusteellisesti terävillä kynsillään.</t>
  </si>
  <si>
    <t>It has three poisonous stingers on its forelegs and its tail. They are used to jab its enemy repeatedly.</t>
  </si>
  <si>
    <t>Thunderclap Pokémon</t>
  </si>
  <si>
    <t>Hex Nut Pokémon</t>
  </si>
  <si>
    <t>Beat Pokémon</t>
  </si>
  <si>
    <t>Drummer Pokémon</t>
  </si>
  <si>
    <t>Beedrill is extremely territorial. No one should ever approach its nest—this is for their own safety. If angered, they will attack in a furious swarm.</t>
  </si>
  <si>
    <t>Tämä POKéMON lentää ympäriinsä partioiden laajaa aluettaan. Jos sen elintilaa loukataan, se ei armahda rankaisemalla vihollista perusteellisesti terävillä kynsillään.</t>
  </si>
  <si>
    <t>Striker Pokémon</t>
  </si>
  <si>
    <t>Water Lizard Pokémon</t>
  </si>
  <si>
    <t>Sen jalkojen kynnet ovat hyvin kehittyneet. Se voi kantaa saalista, kuten EXEGCUTE-munan, pesäänsä yli 95 kilometrin päähän.</t>
  </si>
  <si>
    <t>Secret Agent Pokémon</t>
  </si>
  <si>
    <t>Cheeky Pokémon</t>
  </si>
  <si>
    <t>Greedy Pokémon</t>
  </si>
  <si>
    <t>Raven Pokémon</t>
  </si>
  <si>
    <t>Se lentää laajan alueensa yli saalista etsien ja kaataa sen pitkälle kehittyneillä kynsillään.</t>
  </si>
  <si>
    <t>Radome Pokémon</t>
  </si>
  <si>
    <t>A common sight in forests and woods. It flaps its wings at ground level to kick up blinding sand.</t>
  </si>
  <si>
    <t>https://pokeapi.co/api/v2/pokemon-species/16/</t>
  </si>
  <si>
    <t>Seven Spot Pokémon</t>
  </si>
  <si>
    <t>Cotton Bloom Pokémon</t>
  </si>
  <si>
    <t>Sheep Pokémon</t>
  </si>
  <si>
    <t>Very docile. If attacked, it will often kick up sand to protect itself rather than fight back.</t>
  </si>
  <si>
    <t>Snapping Pokémon</t>
  </si>
  <si>
    <t>It usually hides in tall grass. Be cause it dislikes fighting, it pro tects itself by kicking up sand.</t>
  </si>
  <si>
    <t>Dog Pokémon</t>
  </si>
  <si>
    <t>Common in grassy areas and forests, it is very docile and will chase off enemies by flap ping up sand.</t>
  </si>
  <si>
    <t>Apple Core Pokémon</t>
  </si>
  <si>
    <t>Se tekee saaliistaan ​​liikkumattomana hyvin kehittyneiden kynsien avulla ja kantaa sitten saaliinsa yli 95 kilometrin päähän pesälleen.</t>
  </si>
  <si>
    <t>It rapidly flaps its wings in the grass, stirring up a dust cloud that drives insect prey out into the open.</t>
  </si>
  <si>
    <t>Apple Wing Pokémon</t>
  </si>
  <si>
    <t>Apple Nectar Pokémon</t>
  </si>
  <si>
    <t>PIDGEY has an extremely sharp sense of direction. It is capable of unerringly returning home to its nest, however far it may be removed from its familiar surroundings.</t>
  </si>
  <si>
    <t>Sand Snake Pokémon</t>
  </si>
  <si>
    <t>Gulp Pokémon</t>
  </si>
  <si>
    <t>Rush Pokémon</t>
  </si>
  <si>
    <t>It has an extremely sharp sense of direction. It can unerringly return home to its nest, however far it may be removed from its familiar surroundings.</t>
  </si>
  <si>
    <t>Skewer Pokémon</t>
  </si>
  <si>
    <t>Baby Pokémon</t>
  </si>
  <si>
    <t>Does not like to fight. It hides in tall grass and so on, foraging for food such as small bugs.</t>
  </si>
  <si>
    <t>Punk Pokémon</t>
  </si>
  <si>
    <t>Radiator Pokémon</t>
  </si>
  <si>
    <t>It is docile and prefers to avoid conflict. If disturbed, however, it can ferociously strike back.</t>
  </si>
  <si>
    <t>Tantrum Pokémon</t>
  </si>
  <si>
    <t>Sen jalkojen kynnet ovat hyvin kehittyneet. Se voi kantaa saalista, kuten Exeggcuten, pesälleen yli 95 kilometrin päähän.</t>
  </si>
  <si>
    <t>Jujitsu Pokémon</t>
  </si>
  <si>
    <t>Black Tea Pokémon</t>
  </si>
  <si>
    <t>Tämä Pokémon suojelee erittäin laajaa reviiriään ja nokkii raivokkaasti ketä tahansa tunkeilijaa.</t>
  </si>
  <si>
    <t>Calm Pokémon</t>
  </si>
  <si>
    <t>Serene Pokémon</t>
  </si>
  <si>
    <t>Pidgeotto pitää suurta aluetta omana reviirinään. Tämä Pokémon lentää ympäriinsä partioiden sen elintilaa. Jos sen reviiriä loukataan, se ei armahda rankaisemalla vihollista perusteellisesti terävillä kynsillään.</t>
  </si>
  <si>
    <t>It usually hides in tall grass. Because it dislikes fighting, it protects itself by kicking up sand.</t>
  </si>
  <si>
    <t>Silent Pokémon</t>
  </si>
  <si>
    <t>Bulk Up Pokémon</t>
  </si>
  <si>
    <t>Common in grassy areas and forests, it is very docile and will chase off enemies by flapping up sand.</t>
  </si>
  <si>
    <t>Blocking Pokémon</t>
  </si>
  <si>
    <t>Tämä Pokémon on täynnä elinvoimaa. Se lentää jatkuvasti laajalla alueellaan etsimässä saalista.</t>
  </si>
  <si>
    <t>Viking Pokémon</t>
  </si>
  <si>
    <t>Comedian Pokémon</t>
  </si>
  <si>
    <t>Pidgeot</t>
  </si>
  <si>
    <t>Grudge Pokémon</t>
  </si>
  <si>
    <t>Metsästäessään se pyyhkäisee veden pintaa suurella nopeudella napatakseen varomattomia saaliita, kuten MAGIKARPin.</t>
  </si>
  <si>
    <t>Cream Pokémon</t>
  </si>
  <si>
    <t>Formation Pokémon</t>
  </si>
  <si>
    <t>Sea Urchin Pokémon</t>
  </si>
  <si>
    <t>Frost Moth Pokémon</t>
  </si>
  <si>
    <t>Big Rock Pokémon</t>
  </si>
  <si>
    <t>Tämä POKéMON lentää Mach 2 -nopeudella etsien saalista. Sen suuria kynsiä pelätään ilkeinä aseina.</t>
  </si>
  <si>
    <t>Two-Sided Pokémon</t>
  </si>
  <si>
    <t>Copperderm Pokémon</t>
  </si>
  <si>
    <t>Alloy Pokémon</t>
  </si>
  <si>
    <t>Sen hyvin kehittyneet rintalihakset tekevät siitä tarpeeksi vahvan nostattamaan puuskaisen myrskyn vain muutamalla läpällä.</t>
  </si>
  <si>
    <t>Lingering Pokémon</t>
  </si>
  <si>
    <t>Caretaker Pokémon</t>
  </si>
  <si>
    <t>Se levittää kauniit siipensä leveälle pelotellakseen vihollisiaan. Se voi lentää Mach 2 -nopeudella.</t>
  </si>
  <si>
    <t>Stealth Pokémon</t>
  </si>
  <si>
    <t>Warrior Pokémon</t>
  </si>
  <si>
    <t>Sen erinomainen näkökyky mahdollistaa MAGIKARPin roiskeiden havaitsemisen jopa 3300 jalan korkeudessa lennettäessä.</t>
  </si>
  <si>
    <t>Gigantic Pokémon</t>
  </si>
  <si>
    <t>Pidgey has an extremely sharp sense of direction. It is capable of unerringly returning home to its nest, however far it may be removed from its familiar surroundings.</t>
  </si>
  <si>
    <t>Tällä POKéMONilla on häikäisevä, kauniisti kiiltävien höyhenten muodostama höyhenpuvu. Monet VALMENTAJAT ihastuvat sen pään höyhenten silmiinpistävään kauneuteen, mikä saa heidät valitsemaan PIDGEOTIN POKéMONIKSI.</t>
  </si>
  <si>
    <t>Wushu Pokémon</t>
  </si>
  <si>
    <t>Rogue Monkey Pokémon</t>
  </si>
  <si>
    <t>Electron Pokémon</t>
  </si>
  <si>
    <t>Dragon Orb Pokémon</t>
  </si>
  <si>
    <t>Tällä POKéMONilla on upeat, kiiltävät höyhenet. Monet VALMENTAJAT ovat niin lumoutuneita sen pään kauniista höyhenistä, että he valitsevat PIDGEOTIN POKéMONIKSI.</t>
  </si>
  <si>
    <t>Wild Horse Pokémon</t>
  </si>
  <si>
    <t>Very protective of its sprawling territorial area, this POKéMON will fiercely peck at any intruder.</t>
  </si>
  <si>
    <t>https://pokeapi.co/api/v2/pokemon-species/17/</t>
  </si>
  <si>
    <t>Swift Horse Pokémon</t>
  </si>
  <si>
    <t>Se levittää upeat siipensä laajalle pelotellakseen vihollisia. Se kiitää taivaalla Mach-2 -nopeudella.</t>
  </si>
  <si>
    <t>King Pokémon</t>
  </si>
  <si>
    <t>Axe Pokémon</t>
  </si>
  <si>
    <t>Peat Pokémon</t>
  </si>
  <si>
    <t>This POKéMON is full of vitality. It constantly flies around its large territory in search of prey.</t>
  </si>
  <si>
    <t>Big Fish Pokémon</t>
  </si>
  <si>
    <t>Läpyttelemällä siipiään kaikin voimin PIDGEOT voi saada aikaan tuulenpuuskan, joka kykenee taivuttamaan korkeita puita.</t>
  </si>
  <si>
    <t>Free Climb Pokémon</t>
  </si>
  <si>
    <t>It has outstanding vision. However high it flies, it is able to distin guish the move ments of its prey.</t>
  </si>
  <si>
    <t>Pin Cluster Pokémon</t>
  </si>
  <si>
    <t>Love-Hate Pokémon</t>
  </si>
  <si>
    <t>It immobilizes its prey using well- developed claws, then carries the prey more than 60 miles to its nest.</t>
  </si>
  <si>
    <t>Grass Cat Pokémon</t>
  </si>
  <si>
    <t>Magician Pokémon</t>
  </si>
  <si>
    <t>It slowly flies in a circular pat tern, all the while keeping a sharp lookout for prey.</t>
  </si>
  <si>
    <t>Fire Croc Pokémon</t>
  </si>
  <si>
    <t>PIDGEOTTO claims a large area as its own territory. This POKéMON flies around, patrolling its living space. If its territory is violated, it shows no mercy in thoroughly punishing the foe with its sharp claws.</t>
  </si>
  <si>
    <t>Singer Pokémon</t>
  </si>
  <si>
    <t>Duckling Pokémon</t>
  </si>
  <si>
    <t>Practicing Pokémon</t>
  </si>
  <si>
    <t>Dancer Pokémon</t>
  </si>
  <si>
    <t>This POKéMON flies around, patrolling its large territory. If its living space is violated, it shows no mercy in thoroughly punishing the foe with its sharp claws.</t>
  </si>
  <si>
    <t>Hog Pokémon</t>
  </si>
  <si>
    <t>Läpyttämällä siipiään kaikin voimin Pidgeot voi saada aikaan tuulenpuuskan, joka kykenee taivuttamaan korkeita puita.</t>
  </si>
  <si>
    <t>The claws on its feet are well developed. It can carry prey such as an EXEGGCUTE to its nest over 60 miles away.</t>
  </si>
  <si>
    <t>String Ball Pokémon</t>
  </si>
  <si>
    <t>Grasshopper Pokémon</t>
  </si>
  <si>
    <t>Hands-On Pokémon</t>
  </si>
  <si>
    <t>Couple Pokémon</t>
  </si>
  <si>
    <t>It flies over its wide territory in search of prey, downing it with its highly developed claws.</t>
  </si>
  <si>
    <t>Family Pokémon</t>
  </si>
  <si>
    <t>Olive Pokémon</t>
  </si>
  <si>
    <t>Parrot Pokémon</t>
  </si>
  <si>
    <t>Rock Salt Pokémon</t>
  </si>
  <si>
    <t>It has outstanding vision. However high it flies, it is able to distinguish the movements of its prey.</t>
  </si>
  <si>
    <t>Fire Child Pokémon</t>
  </si>
  <si>
    <t>Fire Warrior Pokémon</t>
  </si>
  <si>
    <t>It renders its prey immobile using well-developed claws, then carries the prey more than 60 miles to its nest.</t>
  </si>
  <si>
    <t>Metsästäessään se pyyhkäisee veden pintaa suurella nopeudella napatakseen varomattomia saaliita, kuten Magikarpin.</t>
  </si>
  <si>
    <t>Fire Blades Pokémon</t>
  </si>
  <si>
    <t>EleTadpole Pokémon</t>
  </si>
  <si>
    <t>EleFrog Pokémon</t>
  </si>
  <si>
    <t>Storm Petrel Pokémon</t>
  </si>
  <si>
    <t>Tällä Pokémonilla on häikäisevä, kauniisti kiiltävien höyhenten muodostama höyhenpuvun väri. Monet kouluttajat ovat lumoutuneita sen pään höyhenten silmiinpistävästä kauneudesta, mikä saa heidät valitsemaan Pidgeotin Pokémonikseen.</t>
  </si>
  <si>
    <t>Frigatebird Pokémon</t>
  </si>
  <si>
    <t>Rascal Pokémon</t>
  </si>
  <si>
    <t>Boss Pokémon</t>
  </si>
  <si>
    <t>Toxic Mouse Pokémon</t>
  </si>
  <si>
    <t>Toxic Monkey Pokémon</t>
  </si>
  <si>
    <t>Tumbleweed Pokémon</t>
  </si>
  <si>
    <t>Tämä Pokémon lentää Mach 2 -nopeudella etsien saalista. Sen suuria kynsiä pelätään ilkeinä aseina.</t>
  </si>
  <si>
    <t>The claws on its feet are well developed. It can carry prey such as an Exeggcute to its nest over 60 miles away.</t>
  </si>
  <si>
    <t>Woodear Pokémon</t>
  </si>
  <si>
    <t>Ambush Pokémon</t>
  </si>
  <si>
    <t>Spicy Pepper Pokémon</t>
  </si>
  <si>
    <t>Very protective of its sprawling territorial area, this Pokémon will fiercely peck at any intruder.</t>
  </si>
  <si>
    <t>Rolling Pokémon</t>
  </si>
  <si>
    <t>Frill Pokémon</t>
  </si>
  <si>
    <t>Rattata</t>
  </si>
  <si>
    <t>Ostrich Pokémon</t>
  </si>
  <si>
    <t>Hiiri-Pokémon</t>
  </si>
  <si>
    <t>Pidgeotto claims a large area as its own territory. This Pokémon flies around, patrolling its living space. If its territory is violated, it shows no mercy in thoroughly punishing the foe with its sharp claws.</t>
  </si>
  <si>
    <t>Puree mitä tahansa hyökätessään. Pieni ja erittäin nopea, se on yleinen näky monissa paikoissa.</t>
  </si>
  <si>
    <t>Metalsmith Pokémon</t>
  </si>
  <si>
    <t>Hammer Pokémon</t>
  </si>
  <si>
    <t>Garden Eel Pokémon</t>
  </si>
  <si>
    <t>Item Drop Pokémon</t>
  </si>
  <si>
    <t>Dolphin Pokémon</t>
  </si>
  <si>
    <t>This Pokémon is full of vitality. It constantly flies around its large territory in search of prey.</t>
  </si>
  <si>
    <t>Pureskelee mitä tahansa hampaillaan. Jos näet sellaisen, on varmaa, että alueella asuu 40 muuta.</t>
  </si>
  <si>
    <t>Single-Cyl Pokémon</t>
  </si>
  <si>
    <t>Multi-Cyl Pokémon</t>
  </si>
  <si>
    <t>Se syö mitä tahansa. Aina kun ruokaa on saatavilla, se asettuu aloilleen ja tuottaa jatkuvasti jälkeläisiä.</t>
  </si>
  <si>
    <t>Earthworm Pokémon</t>
  </si>
  <si>
    <t>When hunting, it skims the surface of water at high speed to pick off unwary prey such as MAGIKARP.</t>
  </si>
  <si>
    <t>Ghost Dog Pokémon</t>
  </si>
  <si>
    <t>https://pokeapi.co/api/v2/pokemon-species/18/</t>
  </si>
  <si>
    <t>Se elää kaikkialla, missä on ruokaa saatavilla, ja etsii lakkaamatta syötävää koko päivän.</t>
  </si>
  <si>
    <t>Synchronize Pokémon</t>
  </si>
  <si>
    <t>This POKéMON flies at Mach 2 speed, seeking prey. Its large talons are feared as wicked weapons.</t>
  </si>
  <si>
    <t>Terra Whale Pokémon</t>
  </si>
  <si>
    <t>Its well-developed chest muscles make it strong enough to whip up a gusty windstorm with just a few flaps.</t>
  </si>
  <si>
    <t>Tämän POKéMONin vaikuttava elinvoimaisuus mahdollistaa sen elämisen missä tahansa. Se myös lisääntyy erittäin nopeasti.</t>
  </si>
  <si>
    <t>Jettison Pokémon</t>
  </si>
  <si>
    <t>It spreads its beautiful wings wide to frighten its enemies. It can fly at Mach 2 speed.</t>
  </si>
  <si>
    <t>Big Catfish Pokémon</t>
  </si>
  <si>
    <t>Its outstanding vision allows it to spot splashing MAGIKARP, even while flying at 3300 feet.</t>
  </si>
  <si>
    <t>Mimicry Pokémon</t>
  </si>
  <si>
    <t>RATTATA on äärimmäisen varovainen. Jopa nukkuessaan se kuuntelee jatkuvasti liikuttelemalla korviaan. Se ei ole nirso asuinpaikkansa suhteen – se tekee pesänsä minne tahansa.</t>
  </si>
  <si>
    <t>Rage Monkey Pokémon</t>
  </si>
  <si>
    <t>This POKéMON has a dazzling plumage of beautifully glossy feathers. Many TRAINERS are captivated by the striking beauty of the feathers on its head, compelling them to choose PIDGEOT as their POKéMON.</t>
  </si>
  <si>
    <t>Spiny Fish Pokémon</t>
  </si>
  <si>
    <t>Big Blade Pokémon</t>
  </si>
  <si>
    <t>Paradox Pokémon</t>
  </si>
  <si>
    <t>Ice Fin Pokémon</t>
  </si>
  <si>
    <t>Ice Dragon Pokémon</t>
  </si>
  <si>
    <t>This POKéMON has gorgeous, glossy feathers. Many TRAINERS are so captivated by the beautiful feathers on its head that they choose PIDGEOT as their POKéMON.</t>
  </si>
  <si>
    <t>ROTTA on äärimmäisen varovainen. Jopa nukkuessaan se liikuttaa jatkuvasti korviaan ja kuuntelee vaaraa. Se tekee pesänsä minne tahansa.</t>
  </si>
  <si>
    <t>Coin Chest Pokémon</t>
  </si>
  <si>
    <t>Coin Entity Pokémon</t>
  </si>
  <si>
    <t>It spreads its gorgeous wings widely to intimidate enemies. It races through the skies at Mach-2 speed.</t>
  </si>
  <si>
    <t>Sen torahampaat ovat pitkät ja erittäin terävät. Ne kasvavat jatkuvasti, joten se jyrsii kovia esineitä silpoakseen ne.</t>
  </si>
  <si>
    <t>Ruinous Pokémon</t>
  </si>
  <si>
    <t>Candy Apple Pokémon</t>
  </si>
  <si>
    <t>Matcha Pokémon</t>
  </si>
  <si>
    <t>Retainer Pokémon</t>
  </si>
  <si>
    <t>Mask Pokémon</t>
  </si>
  <si>
    <t>Apple Hydra Pokémon</t>
  </si>
  <si>
    <t>By flapping its wings with all its might, PIDGEOT can make a gust of wind capable of bending tall trees.</t>
  </si>
  <si>
    <t>Tera Pokémon</t>
  </si>
  <si>
    <t>Äärimmäisen varovainen, sen kestävä elinvoima antaa sille mahdollisuuden elää missä tahansa ympäristössä.</t>
  </si>
  <si>
    <t>Subjugation Pokémon</t>
  </si>
  <si>
    <t>Pokédex entry</t>
  </si>
  <si>
    <t>By flapping its wings with all its might, Pidgeot can make a gust of wind capable of bending tall trees.</t>
  </si>
  <si>
    <t>Se etsii ruokaa koko päivän. Se jyrsii kovia esineitä kuluttaakseen kulmahampaitaan, jotka kasvavat jatkuvasti sen elinaikana.</t>
  </si>
  <si>
    <t>When hunting, it skims the surface of water at high speed to pick off unwary prey such as Magikarp.</t>
  </si>
  <si>
    <t>This Pokémon has a dazzling plumage of beautifully glossy feathers. Many Trainers are captivated by the striking beauty of the feathers on its head, compelling them to choose Pidgeot as their Pokémon.</t>
  </si>
  <si>
    <t>Rattata on äärimmäisen varovainen. Jopa nukkuessaan se kuuntelee jatkuvasti liikuttelemalla korviaan. Se ei ole nirso asuinpaikkansa suhteen – se tekee pesänsä minne tahansa.</t>
  </si>
  <si>
    <t>This Pokémon flies at Mach 2 speed, seeking prey. Its large talons are feared as wicked weapons.</t>
  </si>
  <si>
    <t>Sen etuhampaat kasvavat kuolemaan asti. Jos kouluttaja ei tarjoa sille viilaa jyrsittäväksi, se jyrsii ovenkarmeja, pöydänjalkoja ja niin edelleen.</t>
  </si>
  <si>
    <t>Bites anything when it attacks. Small and very quick, it is a common sight in many places.</t>
  </si>
  <si>
    <t>https://pokeapi.co/api/v2/pokemon-species/19/</t>
  </si>
  <si>
    <t>Vahvan selviytymiskykynsä ansiosta ne voivat elää likaisissa paikoissa huoletta. Jos niitä ei hillitä, niiden määrä lisääntyy nopeasti.</t>
  </si>
  <si>
    <t>Sen etuhampaat kasvavat jatkuvasti koko sen elämän ajan. Jos sen etuhampaat kasvavat liian pitkiksi, tämä Pokémon menettää syömiskykynsä ja kuolee nälkään.</t>
  </si>
  <si>
    <t>Will chew on any thing with its fangs. If you see one, it is certain that 40 more live in the area.</t>
  </si>
  <si>
    <t>Tämä Pokémon on yleinen mutta vaarallinen. Sen terävät etuhampaat voivat helposti leikata kovan puun läpi.</t>
  </si>
  <si>
    <t>It eats anything. Wherever food is available, it will settle down and produce offspring continuously.</t>
  </si>
  <si>
    <t>Living wherever there is food available, it ceaselessly scav enges for edibles the entire day.</t>
  </si>
  <si>
    <t>Pureskelee mitä tahansa hampaillaan. Jos näet sellaisen, voit olla varma, että alueella asuu 40 muuta.</t>
  </si>
  <si>
    <t>This POKéMON's impressive vital ity allows it to live anywhere. It also multiplies very quickly.</t>
  </si>
  <si>
    <t>RATTATA is cautious in the extreme. Even while it is asleep, it constantly listens by moving its ears around. It is not picky about where it lives - it will make its nest anywhere.</t>
  </si>
  <si>
    <t>Raticate</t>
  </si>
  <si>
    <t>Se käyttää viiksiään tasapainonsa ylläpitämiseen. Se ilmeisesti hidastuu, jos ne katkaistaan.</t>
  </si>
  <si>
    <t>A RATTATA is cautious in the extreme. Even while it is asleep, it constantly moves its ears and listens for danger. It will make its nest anywhere.</t>
  </si>
  <si>
    <t>Sen takajalat ovat räpylämäiset. Ne toimivat räpylöinä, joten se voi uida joissa ja metsästää saalista.</t>
  </si>
  <si>
    <t>Its fangs are long and very sharp. They grow continuously, so it gnaws on hard things to whittle them down.</t>
  </si>
  <si>
    <t>Jyrsii mitä tahansa kovilla hampaillaan. Se voi jopa kaataa betonirakennuksia jyrsimällä niitä.</t>
  </si>
  <si>
    <t>Sen viikset auttavat sitä ylläpitämään tasapainoa. Sen kulmahampaat eivät koskaan lakkaa kasvamasta, joten se jyrsii niitä kuoriakseen.</t>
  </si>
  <si>
    <t>Takajalkojensa verkkojen ansiosta se voi ylittää jokia. Se etsii ravintoa laajoilta alueilta.</t>
  </si>
  <si>
    <t>RATICATEn tukevat hampaat kasvavat tasaisesti. Pitääkseen ne maassa se jyrsii kiviä ja tukkeja. Se saattaa jopa pureskella talojen seiniä.</t>
  </si>
  <si>
    <t>Cautious in the extreme, its hardy vitality lets it live in any kind of environment.</t>
  </si>
  <si>
    <t>SILPPUKALAISEN vankat hampaat kasvavat tasaisesti. Pitääkseen ne maassa se jyrsii kiviä ja tukkeja. Se voi jopa pureskella talojen seiniä.</t>
  </si>
  <si>
    <t>Sen takajaloissa on kolme varvasta. Ne ovat räpylöiden peittämät, minkä ansiosta se voi uida jokien yli.</t>
  </si>
  <si>
    <t>Se käyttää viiksikarvojaan tasapainonsa ylläpitämiseen. Se ilmeisesti hidastaa vauhtiaan, jos ne leikkautuvat eteen.</t>
  </si>
  <si>
    <t>Se veistelee jatkuvasti kasvavia kulmahampaitaan jyrsimällä kovia esineitä. Se voi pureskella rikki tuhkaisia ​​seiniä.</t>
  </si>
  <si>
    <t>Living wherever there is food available, it ceaselessly scavenges for edibles the entire day.</t>
  </si>
  <si>
    <t>It searches for food all day. It gnaws on hard objects to wear down its fangs, which grow constantly during its lifetime.</t>
  </si>
  <si>
    <t>Rattata is cautious in the extreme. Even while it is asleep, it constantly listens by moving its ears around. It is not picky about where it lives—it will make its nest anywhere.</t>
  </si>
  <si>
    <t>Pitkillä kulmahampaillaan tämä yllättävän väkivaltainen Pokémon voi jyrsiä helposti irti jopa paksua betonia.</t>
  </si>
  <si>
    <t>Its incisors continue growing until its death. If its Trainer doesn’t offer it a file to gnaw on, it will gnaw on door frames, table legs, and so on.</t>
  </si>
  <si>
    <t>With their strong capacity for survival, they can live in dirty places without concern. Left unchecked, their numbers multiply rapidly.</t>
  </si>
  <si>
    <t>Its incisors grow continuously throughout its life. If its incisors get too long, this Pokémon becomes unable to eat, and it starves to death.</t>
  </si>
  <si>
    <t>This Pokémon is common but hazardous. Its sharp incisors can easily cut right through hard wood.</t>
  </si>
  <si>
    <t>Will chew on anything with its fangs. If you see one, you can be certain that 40 more live in the area.</t>
  </si>
  <si>
    <t>Raticaten tukevat hampaat kasvavat tasaisesti. Pitääkseen ne maassa se jyrsii kiviä ja tukkeja. Se saattaa jopa pureskella talojen seiniä.</t>
  </si>
  <si>
    <t>It uses its whis kers to maintain its balance. It apparently slows down if they are cut off.</t>
  </si>
  <si>
    <t>https://pokeapi.co/api/v2/pokemon-species/20/</t>
  </si>
  <si>
    <t>Its hind feet are webbed. They act as flippers, so it can swim in rivers and hunt for prey.</t>
  </si>
  <si>
    <t>Sen takajalat ovat räpylät peittämät, joten se on vahva uimari. Se voi ylittää jokia ja joskus jopa valtameriä.</t>
  </si>
  <si>
    <t>Gnaws on anything with its tough fangs. It can even topple concrete buildings by gnaw ing on them.</t>
  </si>
  <si>
    <t>Sen luonne on paljon väkivaltaisempi kuin ulkonäkö antaisi ymmärtää. Älä anna kätesi tulla liian lähelle sen kasvoja, sillä se voi purra kätesi irti.</t>
  </si>
  <si>
    <t>Its whiskers help it to maintain balance. Its fangs never stop grow ing, so it gnaws to pare them down.</t>
  </si>
  <si>
    <t>Ihmiset kertovat, että se pakeni vihollisiaan käyttämällä pieniä, räpylöillä varustettuja takajalkojaan uidakseen saarelta toiselle Alolassa.</t>
  </si>
  <si>
    <t>The webs on its hind legs enable it to cross rivers. It search es wide areas for food.</t>
  </si>
  <si>
    <t>Sen viikset ovat välttämättömät tasapainon ylläpitämiseksi. Olitpa kuinka ystävällinen tahansa, se suuttuu ja puree sinua, jos kosket sen viiksiin.</t>
  </si>
  <si>
    <t>RATICATE’s sturdy fangs grow steadily. To keep them ground down, it gnaws on rocks and logs. It may even chew on the walls of houses.</t>
  </si>
  <si>
    <t>A RATICATE’s sturdy fangs grow steadily. To keep them ground down, it gnaws on rocks and logs. It may even chew on the walls of houses.</t>
  </si>
  <si>
    <t>Spearow</t>
  </si>
  <si>
    <t>Syö hyönteisiä ruohoalueilla. Sen on räpyteltävä lyhyitä siipiään suurella nopeudella pysyäkseen ilmassa.</t>
  </si>
  <si>
    <t>Its rear feet have three toes each. They are webbed, enabling it to swim across rivers.</t>
  </si>
  <si>
    <t>Kyvytön lentämään korkealla. Se voi kuitenkin lentää erittäin nopeasti suojellakseen reviiriään.</t>
  </si>
  <si>
    <t>It uses its whiskers to maintain its balance. It apparently slows down if they are cut off.</t>
  </si>
  <si>
    <t>It whittles its constantly growing fangs by gnawing on hard things. It can chew apart cinder walls.</t>
  </si>
  <si>
    <t>Se räpyttelee lyhyitä siipiään karkottaakseen hyönteisiä korkeasta ruohosta. Sitten se nyppii ne töpöllä nokallaan.</t>
  </si>
  <si>
    <t>Se on erittäin reviiriään suojeleva ja räpyttelee lyhyitä siipiään ahkerasti syöksyäkseen ympäriinsä kovaa vauhtia.</t>
  </si>
  <si>
    <t>Suojellakseen reviiriään se lentää lakkaamatta ympäriinsä ja päästää korkeita huutoja.</t>
  </si>
  <si>
    <t>Gnaws on anything with its tough fangs. It can even topple concrete buildings by gnawing on them.</t>
  </si>
  <si>
    <t>KEIHÄKÄS-linnulla on erittäin kova huuto, joka kuuluu yli 800 metrin päähän. Jos sen korkea, viheltävä huuto kaikuu kaikkialla, se on merkki siitä, että ne varoittavat toisiaan vaarasta.</t>
  </si>
  <si>
    <t>Its whiskers help it to maintain balance. Its fangs never stop growing, so it gnaws to pare them down.</t>
  </si>
  <si>
    <t>Sen kova huuto kuuluu yli 800 metrin päähän. Jos sen korkea, viheltävä huuto kaikuu kaikkialla, se on merkki siitä, että ne varoittavat toisiaan vaarasta.</t>
  </si>
  <si>
    <t>Se leijuu kiireisesti siellä täällä. Vaikka se on hauras, se voi olla kova vihollinen, joka käyttää PEILILIIKKEÄ.</t>
  </si>
  <si>
    <t>With its long fangs, this surprisingly violent Pokémon can gnaw away even thick concrete with ease.</t>
  </si>
  <si>
    <t>Se räpyttelee ahkerasti pieniä siipiään lentääkseen. Nokkaansa käyttäen se etsii saalista ruohikosta.</t>
  </si>
  <si>
    <t>The webs on its hind legs enable it to cross rivers. It searches wide areas for food.</t>
  </si>
  <si>
    <t>Raticate’s sturdy fangs grow steadily. To keep them ground down, it gnaws on rocks and logs. It may even chew on the walls of houses.</t>
  </si>
  <si>
    <t>Its hind feet are webbed, so it’s a strong swimmer. It can cross rivers and sometimes even oceans.</t>
  </si>
  <si>
    <t>Its disposition is far more violent than its looks would suggest. Don’t let your hand get too close to its face, as it could bite your hand clean off.</t>
  </si>
  <si>
    <t>People say that it fled from its enemies by using its small webbed hind feet to swim from island to island in Alola.</t>
  </si>
  <si>
    <t>Its whiskers are essential for maintaining its balance. No matter how friendly you are, it will get angry and bite you if you touch its whiskers.</t>
  </si>
  <si>
    <t>Eats bugs in grassy areas. It has to flap its short wings at high speed to stay airborne.</t>
  </si>
  <si>
    <t>https://pokeapi.co/api/v2/pokemon-species/21/</t>
  </si>
  <si>
    <t>Spearowilla on erittäin kova huuto, joka kuuluu yli 800 metrin päähän. Jos sen korkea, viheltävä huuto kaikuu kaikkialla, se on merkki siitä, että ne varoittavat toisiaan vaarasta.</t>
  </si>
  <si>
    <t>Inept at flying high. However, it can fly around very fast to protect its ter ritory.</t>
  </si>
  <si>
    <t>It flaps its short wings to flush out insects from tall grass. It then plucks them with its stubby beak.</t>
  </si>
  <si>
    <t>Very protective of its territory, it flaps its short wings busily to dart around at high speed.</t>
  </si>
  <si>
    <t>Lyhyiden siipiensä ansiosta se ei osaa lentää. Se liikkuu nopeasti ja nokkii Bug-tyyppisiä Pokémoneja korkeassa ruohikossa.</t>
  </si>
  <si>
    <t>To protect its territory, it flies around ceaselessly, making high- pitched cries.</t>
  </si>
  <si>
    <t>SPEAROW has a very loud cry that can be heard over half a mile away. If its high, keening cry is heard echoing all around, it is a sign that they are warning each other of danger.</t>
  </si>
  <si>
    <t>Maanviljelijät, joiden peltoja ötökkä-Pokémonit vaivaavat, arvostavat Spearow'ta sen voimakkaan ruokahalun vuoksi ja pitävät siitä huolta.</t>
  </si>
  <si>
    <t>Sen holtiton luonne saa sen nousemaan vastustamaan muita – jopa suuria Pokémoneja – jos sen on suojeltava reviiriään.</t>
  </si>
  <si>
    <t>Its loud cry can be heard over half a mile away. If its high, keening cry is heard echoing all around, it is a sign that they are warning each other of danger.</t>
  </si>
  <si>
    <t>Lyhyiden siipiensä vuoksi se ei voi lentää pitkiä matkoja. Se vaeltelee levottomasti ympäriinsä ja nokkii öisiä Pokémoneja.</t>
  </si>
  <si>
    <t>It busily flits around here and there. Even if it is frail, it can be a tough foe that uses MIRROR MOVE.</t>
  </si>
  <si>
    <t>Kyvytön lentämään korkealla. Se voi kuitenkin lentää ympäriinsä erittäin nopeasti suojellakseen reviiriään.</t>
  </si>
  <si>
    <t>It flaps its small wings busily to fly. Using its beak, it searches in grass for prey.</t>
  </si>
  <si>
    <t>Fearow</t>
  </si>
  <si>
    <t>Nokka-Pokémon</t>
  </si>
  <si>
    <t>Valtavien ja mahtavien siipiensä ansiosta se pysyy ilmassa laskeutumatta lepäämään.</t>
  </si>
  <si>
    <t>POKéMON, jonka historia ulottuu monien vuosien taakse. Jos se aistii vaaran, se lentää korkealle ja pois, välittömästi.</t>
  </si>
  <si>
    <t>Se ampuu itsensä yhtäkkiä korkealle taivaalle ja syöksyy sitten yhdellä iskulla alas iskeäkseen saaliiseensa.</t>
  </si>
  <si>
    <t>Se käyttää taitavasti ohutta ja pitkää nokkaansa nyppiäkseen ja syödäkseen maan alla piileskeleviä pieniä hyönteisiä.</t>
  </si>
  <si>
    <t>Se käyttää pitkää nokkaansa hyökkäykseen. Sen ulottuvuus on yllättävän pitkä, joten sitä on käsiteltävä varoen.</t>
  </si>
  <si>
    <t>FEAROW tunnistetaan pitkästä kaulastaan ​​ja pitkänomaisesta nokastaan. Ne ovat muodoltaan sopivia saaliin pyydystämiseen maaperästä tai vedestä. Se liikuttaa taitavasti pitkää ja laihaa nokkaansa napatakseen saaliinsa.</t>
  </si>
  <si>
    <t>Spearow has a very loud cry that can be heard over half a mile away. If its high, keening cry is heard echoing all around, it is a sign that they are warning each other of danger.</t>
  </si>
  <si>
    <t>Sen pitkä kaula ja pitkänokkainen nokka sopivat erinomaisesti saaliin pyydystämiseen maaperästä tai vedestä. Se liikuttaa taitavasti tätä pitkää ja laihaa nokkaa saaliin nappaamiseen.</t>
  </si>
  <si>
    <t>Its short wings make it inept at flying. It moves about hurriedly and pecks at Bug-type Pokémon in the tall grass.</t>
  </si>
  <si>
    <t>Sen valtavat ja upeat siivet pitävät sen ilmassa. Se voi lentää kokonaisen päivän laskeutumatta.</t>
  </si>
  <si>
    <t>Farmers whose fields are troubled by bug Pokémon appreciate Spearow for its vigorous appetite and look after it.</t>
  </si>
  <si>
    <t>Its reckless nature leads it to stand up to others—even large Pokémon—if it has to protect its territory.</t>
  </si>
  <si>
    <t>Due to its short wings, it can’t fly long distances. It wanders about restlessly and pecks at bug Pokémon.</t>
  </si>
  <si>
    <t>Sillä on kestävyys lentää koko päivän leveillä siivillään. Se taistelee terävän nokkansa avulla.</t>
  </si>
  <si>
    <t>Inept at flying high. However, it can fly around very fast to protect its territory.</t>
  </si>
  <si>
    <t>Sillä on kestävyyttä lentää koko päivän leveillä siivillään. Se taistelee terävän nokkansa avulla.</t>
  </si>
  <si>
    <t>With its huge and magnificent wings, it can keep aloft without ever having to land for rest.</t>
  </si>
  <si>
    <t>https://pokeapi.co/api/v2/pokemon-species/22/</t>
  </si>
  <si>
    <t>A POKéMON that dates back many years. If it senses danger, it flies high and away, instantly.</t>
  </si>
  <si>
    <t>It shoots itself suddenly high into the sky, then plummets down in one fell swoop to strike its prey.</t>
  </si>
  <si>
    <t>It cleverly uses its thin, long beak to pluck and eat small insects that hide under the ground.</t>
  </si>
  <si>
    <t>It uses its long beak to attack. It has a surprisingly long reach, so it must be treated with caution.</t>
  </si>
  <si>
    <t>FEAROW is recognized by its long neck and elongated beak. They are conveniently shaped for catching prey in soil or water. It deftly moves its long and skinny beak to pluck prey.</t>
  </si>
  <si>
    <t>Its long neck and elongated beak are ideal for catching prey in soil or water. It deftly moves this extended and skinny beak to pluck prey.</t>
  </si>
  <si>
    <t>Fearow tunnistetaan pitkästä kaulastaan ​​ja pitkänomaisesta nokastaan. Ne ovat muodoltaan sopivia saaliin pyydystämiseen maaperästä tai vedestä. Se liikuttaa taitavasti pitkää ja laihaa nokkaansa napatakseen saaliinsa.</t>
  </si>
  <si>
    <t>Its huge and magnificent wings can keep it aloft in the sky. It can remain flying a whole day without landing.</t>
  </si>
  <si>
    <t>It has the stamina to fly all day on its broad wings. It fights by using its sharp beak.</t>
  </si>
  <si>
    <t>Se on kestävä ja sillä on erinomainen kestävyys. Sillä ei ole ongelmia lentää jatkuvasti koko päivän raskasta kuormaa kantaen.</t>
  </si>
  <si>
    <t>It has the stamina to keep flying all day on its broad wings. It fights by using its sharp beak.</t>
  </si>
  <si>
    <t>Fearowia muistuttavan Pokémonin piirroksia voi nähdä muinaisen historian syvältä peräisin olevissa seinämaalauksissa.</t>
  </si>
  <si>
    <t>Ruoan kantaminen Fearow'n alueen läpi on vaarallista. Se sieppaa ruoan käsistäsi salamannopeasti!</t>
  </si>
  <si>
    <t>Alolassa kala-Pokémonit ovat sen saalista. Sen voi nähdä kiertelevän meren yllä etsimässä ruokaa.</t>
  </si>
  <si>
    <t>Pokémon, jonka historia ulottuu monien vuosien taakse. Jos se aistii vaaran, se lentää korkealle ja pois, välittömästi.</t>
  </si>
  <si>
    <t>Ekans</t>
  </si>
  <si>
    <t>Käärme-Pokémon</t>
  </si>
  <si>
    <t>Liikkuu hiljaa ja hiiviskelevästi. Syö lintujen, kuten pikkulintujen ja keihäslintujen, munia kokonaisina.</t>
  </si>
  <si>
    <t>Mitä vanhemmaksi se tulee, sitä pidemmäksi se kasvaa. Yöllä se kietoo pitkän ruumiinsa puunoksien ympärille levätäkseen.</t>
  </si>
  <si>
    <t>Fearow is recognized by its long neck and elongated beak. They are conveniently shaped for catching prey in soil or water. It deftly moves its long and skinny beak to pluck prey.</t>
  </si>
  <si>
    <t>Se voi vapaasti irrottaa leukansa nielläkseen suuren saaliin kokonaisena. Siitä voi kuitenkin tulla liian raskas liikkuakseen.</t>
  </si>
  <si>
    <t>Se piiloutuu aina ruohikkoon. Vastasyntyneenä sillä ei ole myrkkyä, joten sen purema on kivulias, mutta vaaraton.</t>
  </si>
  <si>
    <t>It’s tough and has excellent stamina. It has no problem flying continuously for a whole day carrying a heavy load.</t>
  </si>
  <si>
    <t>Se heiluttelee kielenkärkeään etsiessään saaliinsa hajua ja nielee sen sitten kokonaisena.</t>
  </si>
  <si>
    <t>Drawings of a Pokémon resembling Fearow can be seen in murals from deep in ancient history.</t>
  </si>
  <si>
    <t>EKANS käpertyy spiraaliksi levätessään. Tämä asento mahdollistaa sen, että se pystyy nopeasti reagoimaan mistä tahansa suunnasta tulevaan uhkaan vilkaisemalla ylös nostetulla päällään.</t>
  </si>
  <si>
    <t>Carrying food through Fearow’s territory is dangerous. It will snatch the food away from you in a flash!</t>
  </si>
  <si>
    <t>In Alola, fish Pokémon are its prey. It can be seen circling above the ocean searching for food.</t>
  </si>
  <si>
    <t>A Pokémon that dates back many years. If it senses danger, it flies high and away, instantly.</t>
  </si>
  <si>
    <t>EKANS käpertyy spiraaliksi levätessään. Tässä asennossa se voi nopeasti vastata viholliseen mistä tahansa suunnasta uhkaamalla sitä nostamalla päänsä.</t>
  </si>
  <si>
    <t>Hyvin yleinen näky nurmikoilla jne. Se heiluttelee kieltään sisään ja ulos aistiakseen ympäristössään olevan vaaran.</t>
  </si>
  <si>
    <t>Moves silently and stealthily. Eats the eggs of birds, such as PIDGEY and SPEAROW, whole.</t>
  </si>
  <si>
    <t>https://pokeapi.co/api/v2/pokemon-species/23/</t>
  </si>
  <si>
    <t>Se liikkuu hiljaa ja salaa ja syö lintujen, kuten PIDGEYn ja SPEAROWin, munia kokonaisina.</t>
  </si>
  <si>
    <t>The older it gets, the longer it grows. At night, it wraps its long body around tree branches to rest.</t>
  </si>
  <si>
    <t>Se hiipii ruohon läpi äänettömästi ja iskee tietämättömään saaliiseen takaapäin.</t>
  </si>
  <si>
    <t>It can freely de tach its jaw to swallow large prey whole. It can be come too heavy to move, however.</t>
  </si>
  <si>
    <t>It always hides in grass. When first born, it has no poison, so its bite is painful, but harmless.</t>
  </si>
  <si>
    <t>It flutters the tip of its tongue to seek out the scent of prey, then swallows the prey whole.</t>
  </si>
  <si>
    <t>Se voi vapaasti irrottaa leukansa nielläkseen suuren saaliin kokonaisena. Siitä voi kuitenkin tulla liian raskas liikuteltavaksi.</t>
  </si>
  <si>
    <t>EKANS curls itself up in a spiral while it rests. Assuming this position allows it to quickly respond to a threat from any direction with a glare from its upraised head.</t>
  </si>
  <si>
    <t>An EKANS curls itself up in a spiral while it rests. This position allows it to quickly respond to an enemy from any direction with a threat from its upraised head.</t>
  </si>
  <si>
    <t>A very common sight in grassland, etc. It flicks its tongue in and out to sense danger in its surroundings.</t>
  </si>
  <si>
    <t>Moving silently and stealthily, it eats the eggs of birds, such as PIDGEY and SPEAROW, whole.</t>
  </si>
  <si>
    <t>It sneaks through grass without making a sound and strikes unsuspecting prey from behind.</t>
  </si>
  <si>
    <t>It can freely detach its jaw to swallow large prey whole. It can become too heavy to move, however.</t>
  </si>
  <si>
    <t>Liikkuen hiljaa ja salaa, se syö lintujen, kuten Pidgeyn ja Spearowin, munia kokonaisina.</t>
  </si>
  <si>
    <t>Ekans käpertyy spiraaliksi levätessään. Tämä asento antaa sille mahdollisuuden reagoida nopeasti mistä tahansa suunnasta tulevaan uhkaan vilkaisemalla ylös nostetulla päällään.</t>
  </si>
  <si>
    <t>Sijoittamalla leukansa se voi niellä itseään suuremman saaliin. Aterian jälkeen se käpertyy ja lepää.</t>
  </si>
  <si>
    <t>Lintu-Pokémonin munat ovat sen lempiruokaa. Se nielee munat kokonaisina, joten joskus muna jää jumiin ja Ekans pyörtyy.</t>
  </si>
  <si>
    <t>Moving silently and stealthily, it eats the eggs of birds, such as Pidgey and Spearow, whole.</t>
  </si>
  <si>
    <t>Ekans curls itself up in a spiral while it rests. Assuming this position allows it to quickly respond to a threat from any direction with a glare from its upraised head.</t>
  </si>
  <si>
    <t>Arbok</t>
  </si>
  <si>
    <t>Kobra-Pokémon</t>
  </si>
  <si>
    <t>Huhutaan, että sen vatsassa olevat raivokkaat varoitusmerkinnät vaihtelevat alueittain.</t>
  </si>
  <si>
    <t>By dislocating its jaw, it can swallow prey larger than itself. After a meal, it curls up and rests.</t>
  </si>
  <si>
    <t>Sen vatsan pelottavia kuvioita on tutkittu. Kuusi variaatiota on vahvistettu.</t>
  </si>
  <si>
    <t>The eggs of bird Pokémon are its favorite food. It swallows eggs whole, so sometimes an egg gets stuck, and Ekans faints.</t>
  </si>
  <si>
    <t>Se tarttuu saaliiseen sen vatsassa olevalla kasvoja muistuttavalla kuviolla, sitoo ja myrkyttää pelästyneen uhrin.</t>
  </si>
  <si>
    <t>Hyvin kostonhaluisen luonteensa ansiosta se ei luovu takaa-ajosta, olipa se kuinka kaukana tahansa, kun se on kohdistanut saaliinsa.</t>
  </si>
  <si>
    <t>Pelotellakseen vihollisia se levittää rintakehänsä leveälle ja päästää aavemaisia ​​ääniä puhaltamalla ilmaa suustaan.</t>
  </si>
  <si>
    <t>Tämä POKéMON on uskomattoman vahva puristaakseen esineitä ruumiillaan. Se voi jopa litistää teräksisiä öljytynnyreitä. Kun ARBOK on kietonut ruumiinsa vihollisensa ympärille, sen murskaavasta syleilystä on mahdotonta paeta.</t>
  </si>
  <si>
    <t>It is rumored that the ferocious warning markings on its belly differ from area to area.</t>
  </si>
  <si>
    <t>https://pokeapi.co/api/v2/pokemon-species/24/</t>
  </si>
  <si>
    <t>The frightening patterns on its belly have been studied. Six variations have been confirmed.</t>
  </si>
  <si>
    <t>Tällä POKéMONilla on valtava kuristusvoima. Se voi jopa litistää teräksisiä öljytynnyreitä. Kun se on kerran kietoutunut vihollisensa ympärille, pakeneminen on mahdotonta.</t>
  </si>
  <si>
    <t>Sen vatsassa oleva kuvio näyttää pelottavalta kasvoilta. Heikot viholliset pakenevat jo nähdessään kuvion.</t>
  </si>
  <si>
    <t>Transfixing prey with the face-like pattern on its belly, it binds and poisons the frightened victim.</t>
  </si>
  <si>
    <t>With a very venge ful nature, it won't give up the chase, no matter how far, once it targets its prey.</t>
  </si>
  <si>
    <t>Sen vatsan kuvio on tarkoitettu pelotteluun. Se kuristaa vihollisia heidän jähmettyessään pelosta.</t>
  </si>
  <si>
    <t>To intimidate foes, it spreads its chest wide and makes eerie sounds by expelling air from its mouth.</t>
  </si>
  <si>
    <t>This POKéMON is terrifically strong in order to constrict things with its body. It can even flatten steel oil drums. Once ARBOK wraps its body around its foe, escaping its crunching embrace is impossible.</t>
  </si>
  <si>
    <t>This POKéMON has a terrifically strong constricting power. It can even flatten steel oil drums. Once it wraps its body around its foe, escaping is impossible.</t>
  </si>
  <si>
    <t>The pattern on its belly appears to be a frightening face. Weak foes will flee just at the sight of the pattern.</t>
  </si>
  <si>
    <t>The pattern on its belly is for intimidation. It constricts foes while they are frozen in fear.</t>
  </si>
  <si>
    <t>Tämä Pokémon on uskomattoman vahva puristaakseen asioita ruumiillaan. Se voi jopa litistää teräksisiä öljytynnyreitä. Kun Arbok kietoo ruumiinsa vihollisensa ympärille, sen murskaavasta syleilystä on mahdotonta paeta.</t>
  </si>
  <si>
    <t>With a very vengeful nature, it won’t give up the chase, no matter how far, once it targets its prey.</t>
  </si>
  <si>
    <t>Uusimmat tutkimukset ovat osoittaneet, että sen vatsassa on yli 20 mahdollista kuviojärjestystä.</t>
  </si>
  <si>
    <t>Tainnutettuaan vastustajansa vatsassaan olevalla kuviolla se käärii heidät nopeasti ruumiiseensa ja odottaa, että ne lopettavat liikkumisen.</t>
  </si>
  <si>
    <t>Pikachu</t>
  </si>
  <si>
    <t>Kun useita näitä POKéMONEJA kerääntyy, niiden sähköistyminen voi aiheuttaa ukkosmyrskyjä.</t>
  </si>
  <si>
    <t>Se pitää häntäänsä ylhäällä tarkkaillakseen ympäristöään. Jos nykäiset sitä häntää, se yrittää purra sinua.</t>
  </si>
  <si>
    <t>Tämä älykäs POKéMON paahtaa kovia MARJOJA sähköllä, jotta ne ovat tarpeeksi pehmeitä syötäväksi.</t>
  </si>
  <si>
    <t>Se nostaa häntäänsä tarkistaakseen ympäristönsä. Tässä asennossa salama iskee joskus häntäänsä.</t>
  </si>
  <si>
    <t>Vihastuttuaan se purkaa välittömästi poskissaan oleviin pusseihin varastoitunutta energiaa.</t>
  </si>
  <si>
    <t>Aina kun PIKACHU kohtaa jotain uutta, se lähettää siihen sähköiskun. Jos kohtaat mustuneen marjan, se on todiste siitä, että tämä POKéMON on erehtynyt varauksensa voimakkuudesta.</t>
  </si>
  <si>
    <t>Tällä POKéMONilla on sähköä varastoivia pusseja poskissaan. Nämä näyttävät latautuvan sähköisesti yön aikana Pikachun nukkuessa. Se purkaa toisinaan sähköä ollessaan unelias herättyään.</t>
  </si>
  <si>
    <t>Se varastoi sähköä poskillaan oleviin sähköpusseihin. Kun se vapauttaa patoutunutta energiaa purkauksena, sähköenergia vastaa salamaniskua.</t>
  </si>
  <si>
    <t>This Pokémon is terrifically strong in order to constrict things with its body. It can even flatten steel oil drums. Once Arbok wraps its body around its foe, escaping its crunching embrace is impossible.</t>
  </si>
  <si>
    <t>Sillä on pieniä sähköpusseja molemmilla poskillaan. Uhattuna se vapauttaa sähköä pusseista.</t>
  </si>
  <si>
    <t>Kun useita näitä POKéMONeja kerääntyy, niiden sähköistyminen voi aiheuttaa ukkosmyrskyjä.</t>
  </si>
  <si>
    <t>Se elää metsissä muiden eläinten kanssa. Se varastoi sähköä poskissaan oleviin pusseihin.</t>
  </si>
  <si>
    <t>The latest research has determined that there are over 20 possible arrangements of the patterns on its stomach.</t>
  </si>
  <si>
    <t>Jos se menettää rätinää poskiensa sähköpusseista, se on varovainen.</t>
  </si>
  <si>
    <t>Se käyttää toisinaan sähköiskua ladatakseen heikentyneessä tilassa olevan toisen Pikachun.</t>
  </si>
  <si>
    <t>After stunning its opponents with the pattern on its stomach, it quickly wraps them up in its body and waits for them to stop moving.</t>
  </si>
  <si>
    <t>Tämä älykäs Pokémon paahtaa kovia marjoja sähköllä, jotta ne olisivat tarpeeksi pehmeitä syötäväksi.</t>
  </si>
  <si>
    <t>Se nostaa häntäänsä tarkistaakseen ympäristönsä. Tässä asennossa salama iskee joskus pyrstöön.</t>
  </si>
  <si>
    <t>Se käyttää toisinaan sähköiskua ladatakseen heikentyneessä tilassa olevan Pikachun.</t>
  </si>
  <si>
    <t>When several of these POKéMON gather, their electricity could build and cause lightning storms.</t>
  </si>
  <si>
    <t>https://pokeapi.co/api/v2/pokemon-species/25/</t>
  </si>
  <si>
    <t>It keeps its tail raised to monitor its surroundings. If you yank its tail, it will try to bite you.</t>
  </si>
  <si>
    <t>This intelligent POKéMON roasts hard BERRIES with electricity to make them tender enough to eat.</t>
  </si>
  <si>
    <t>Aina kun Pikachu kohtaa jotain uutta, se lähettää siihen sähköiskun. Jos kohtaat mustuneen marjan, se on todiste siitä, että tämä Pokémon on erehtynyt sen latauksen voimakkuudesta.</t>
  </si>
  <si>
    <t>It raises its tail to check its sur roundings. The tail is sometimes struck by light ning in this pose.</t>
  </si>
  <si>
    <t>Tällä Pokémonilla on sähköä varastoivia pusseja poskissaan. Nämä näyttävät latautuvan sähköisesti yön aikana Pikachun nukkuessa. Se purkaa toisinaan sähköä ollessaan unelias herättyään.</t>
  </si>
  <si>
    <t>When it is anger ed, it immediately discharges the energy stored in the pouches in its cheeks.</t>
  </si>
  <si>
    <t>Äskettäin julkistettiin suunnitelma kerätä paljon Pikachuja ja rakentaa sähkövoimala.</t>
  </si>
  <si>
    <t>Whenever PIKACHU comes across something new, it blasts it with a jolt of electricity. If you come across a blackened berry, it’s evidence that this POKéMON mistook the intensity of its charge.</t>
  </si>
  <si>
    <t>Sen luonteeseen kuuluu sähkön varastointi. Se tuntee olonsa stressaantuneeksi silloin tällöin, jos se ei pysty purkamaan sähköä kokonaan.</t>
  </si>
  <si>
    <t>Sen luonne on varastoida sähköä. Metsät, joissa Pikachujen pesiä elää, ovat vaarallisia, koska puut joutuvat usein salaman iskemäksi.</t>
  </si>
  <si>
    <t>This POKéMON has electricity-storing pouches on its cheeks. These appear to become electrically charged during the night while PIKACHU sleeps. It occasionally discharges electricity when it is dozy after waking up.</t>
  </si>
  <si>
    <t>Nukkuessaan se tuottaa sähköä poskissaan olevissa pusseissa. Jos se ei nuku tarpeeksi, se pystyy käyttämään vain heikkoa sähköä.</t>
  </si>
  <si>
    <t>It stores electricity in the electric sacs on its cheeks. When it releases pent-up energy in a burst, the electric power is equal to a lightning bolt.</t>
  </si>
  <si>
    <t>Tämä metsässä asuva Pokémon varastoi sähköä poskiinsa, joten tunnet kihelmöivän sähköiskun, jos kosket sitä.</t>
  </si>
  <si>
    <t>It has small electric sacs on both its cheeks. If threatened, it looses electric charges from the sacs.</t>
  </si>
  <si>
    <t>When several of these POKéMON gather, their electricity can build and cause lightning storms.</t>
  </si>
  <si>
    <t>Pikachuilla, jotka voivat tuottaa voimakasta sähköä, on erittäin pehmeät ja joustavat poskipussit.</t>
  </si>
  <si>
    <t>It lives in forests with others. It stores electricity in the pouches on its cheeks.</t>
  </si>
  <si>
    <t>Kun Pikachut kohtaavat, ne koskettavat häntäänsä yhteen ja vaihtavat niiden kautta sähköä tervehdyksen muodossa.</t>
  </si>
  <si>
    <t>Legends: Arceus</t>
  </si>
  <si>
    <t>Sillä on poskipusseja, joihin se varastoi sähköä. Tämä ovela metsän asukas paahtaa sitkeitä marjoja sähköiskulla ennen niiden syömistä.</t>
  </si>
  <si>
    <t>Raichu</t>
  </si>
  <si>
    <t>If it looses crackling power from the electric pouches on its cheeks, it is being wary.</t>
  </si>
  <si>
    <t>Sen pitkä häntä toimii maadoituksena suojatakseen itseään omalta korkeajännitteeltään.</t>
  </si>
  <si>
    <t>It occasionally uses an electric shock to recharge a fellow PIKACHU that is in a weakened state.</t>
  </si>
  <si>
    <t>Kun sen kehoon kertyy sähköä, siitä tulee tulikuuma. Se myös hohtaa pimeässä.</t>
  </si>
  <si>
    <t>This intelligent Pokémon roasts hard berries with electricity to make them tender enough to eat.</t>
  </si>
  <si>
    <t>Kun sen sähköistyminen lisääntyy, sen lihakset stimuloituvat ja siitä tulee tavallista aggressiivisempi.</t>
  </si>
  <si>
    <t>It raises its tail to check its surroundings. The tail is sometimes struck by lightning in this pose.</t>
  </si>
  <si>
    <t>Jos sen poskien sähköpussit latautuvat täyteen, molemmat korvat nousevat suoraan pystyyn.</t>
  </si>
  <si>
    <t>It occasionally uses an electric shock to recharge a fellow Pikachu that is in a weakened state.</t>
  </si>
  <si>
    <t>Jos sen sähkövaraajat tyhjenevät, se nostaa pyrstöään kerätäkseen sähköä ilmakehästä.</t>
  </si>
  <si>
    <t>Jos sähköpussit latautuvat liikaa, RAICHU työntää häntänsä maahan ja purkaa varauksensa. Tämän POKéMONin pesän läheltä löytyy palaneita maanpalasia.</t>
  </si>
  <si>
    <t>Tämä POKéMON säteilee heikkoa sähkövarausta koko kehostaan, joka saa sen hohtamaan hieman pimeässä. RAICHU etsii sähköä työntämällä häntäänsä maahan.</t>
  </si>
  <si>
    <t>Jos se varastoi liikaa sähköä, sen käyttäytyminen muuttuu aggressiiviseksi. Tämän välttämiseksi se purkaa ajoittain ylimääräistä energiaa ja rauhoittuu.</t>
  </si>
  <si>
    <t>Sen sähkövaraukset voivat olla jopa 100 000 volttia. Varomaton kosketus voi aiheuttaa jopa intiannorsun pyörtymisen.</t>
  </si>
  <si>
    <t>Sen pitkä häntä toimii maadoituksena suojatakseen itseään omalta korkeajännitteiseltä voimaltaan.</t>
  </si>
  <si>
    <t>Se muuttuu aggressiiviseksi, jos sen kehossa on liikaa sähköä. Se purkaa energiaa pyrstönsä kautta.</t>
  </si>
  <si>
    <t>Se voi vapauttaa 100 000 voltin sähköpurkauksia, jotka tappavat välittömästi useita kertoja sen kokoisia vihollisia.</t>
  </si>
  <si>
    <t>Sen häntä purkaa sähköä maahan, mikä suojaa sitä sähköiskuilta.</t>
  </si>
  <si>
    <t>Whenever Pikachu comes across something new, it blasts it with a jolt of electricity. If you come across a blackened berry, it’s evidence that this Pokémon mistook the intensity of its charge.</t>
  </si>
  <si>
    <t>This Pokémon has electricity-storing pouches on its cheeks. These appear to become electrically charged during the night while Pikachu sleeps. It occasionally discharges electricity when it is dozy after waking up.</t>
  </si>
  <si>
    <t>A plan was recently announced to gather many Pikachu and make an electric power plant.</t>
  </si>
  <si>
    <t>It’s in its nature to store electricity. It feels stressed now and then if it’s unable to fully discharge the electricity.</t>
  </si>
  <si>
    <t>Its nature is to store up electricity. Forests where nests of Pikachu live are dangerous, since the trees are so often struck by lightning.</t>
  </si>
  <si>
    <t>Jos sähköpussit latautuvat liikaa, Raichu työntää häntäänsä maahan ja purkaa varauksensa. Tämän Pokémonin pesän läheltä löytyy palaneita maanpalasia.</t>
  </si>
  <si>
    <t>While sleeping, it generates electricity in the sacs in its cheeks. If it’s not getting enough sleep, it will be able to use only weak electricity.</t>
  </si>
  <si>
    <t>Tämä Pokémon säteilee heikkoa sähkövarausta kaikkialle kehoonsa, mikä saa sen hohtamaan hieman pimeässä. Raichu työntää häntäänsä maahan purkaakseen sähköä.</t>
  </si>
  <si>
    <t>This forest-dwelling Pokémon stores electricity in its cheeks, so you’ll feel a tingly shock if you touch it.</t>
  </si>
  <si>
    <t>Se antaa sähköiskuja, joiden voimakkuus voi nousta 100 000 volttiin. Ravistettuna se voi tyrmätä jopa intiannorsun.</t>
  </si>
  <si>
    <t>Siitä tulee aggressiivinen, kun sillä on varastoituneena sähköä. Tällaisina aikoina jopa sen kouluttajan on oltava varovainen välttääkseen hyökkäyksen.</t>
  </si>
  <si>
    <t>Pikachu that can generate powerful electricity have cheek sacs that are extra soft and super stretchy.</t>
  </si>
  <si>
    <t>Kun sähkön kertyminen sen kehoon muuttuu aggressiivisemmaksi. Yhden teorian mukaan sähkön kertyminen itse asiassa aiheuttaa stressiä.</t>
  </si>
  <si>
    <t>When Pikachu meet, they’ll touch their tails together and exchange electricity through them as a form of greeting.</t>
  </si>
  <si>
    <t>Possesses cheek sacs in which it stores electricity. This clever forest-dweller roasts tough berries with an electric shock before consuming them.</t>
  </si>
  <si>
    <t>Koska niin monet kouluttajat pitävät Pikachun ulkonäöstä, et näe tätä Pokémonia kovin usein.</t>
  </si>
  <si>
    <t>Its long tail serves as a ground to protect itself from its own high voltage power.</t>
  </si>
  <si>
    <t>https://pokeapi.co/api/v2/pokemon-species/26/</t>
  </si>
  <si>
    <t>When electricity builds up inside its body, it becomes feisty. It also glows in the dark.</t>
  </si>
  <si>
    <t>When its electric ity builds, its muscles are stimu lated, and it be comes more aggres sive than usual.</t>
  </si>
  <si>
    <t>If the electric pouches in its cheeks become fully charged, both ears will stand straight up.</t>
  </si>
  <si>
    <t>If its electric pouches run empty, it raises its tail to gather electri city from the atmosphere.</t>
  </si>
  <si>
    <t>If the electrical sacks become excessively charged, RAICHU plants its tail in the ground and discharges. Scorched patches of ground will be found near this POKéMON’s nest.</t>
  </si>
  <si>
    <t>This POKéMON exudes a weak electrical charge from all over its body that makes it take on a slight glow in darkness. RAICHU searches for electricity by planting its tail in the ground.</t>
  </si>
  <si>
    <t>If it stores too much electricity, its behavior turns aggressive. To avoid this, it occasionally discharges excess energy and calms itself down.</t>
  </si>
  <si>
    <t>Jos sen sähkötaskut tyhjenevät, se nostaa pyrstöään kerätäkseen sähköä ilmakehästä.</t>
  </si>
  <si>
    <t>Its electric charges can reach even 100,000 volts. Careless contact can cause even an Indian elephant to faint.</t>
  </si>
  <si>
    <t>Se voi purkaa yli 100 000 voltin sähköpurkauksia – yksi ainoa tuollainen isku lamauttaisi yhden kotimaani kuparipäälliköistä.</t>
  </si>
  <si>
    <t>Sandshrew</t>
  </si>
  <si>
    <t>Its long tail serves as a ground to protect itself from its own high-voltage power.</t>
  </si>
  <si>
    <t>Kaivautuu syvällä maan alla kuivilla paikoilla kaukana vedestä. Se nousee esiin vain metsästämään ruokaa.</t>
  </si>
  <si>
    <t>It turns aggressive if it has too much electricity in its body. It discharges power through its tail.</t>
  </si>
  <si>
    <t>It can loose 100,000-volt bursts of electricity, instantly downing foes several times its size.</t>
  </si>
  <si>
    <t>Its tail discharges electricity into the ground, protecting it from getting shocked.</t>
  </si>
  <si>
    <t>Sen ruumis on kuiva. Kun yöllä kylmenee, sen nahan sanotaan peittyvän hienoon kastekerrokseen.</t>
  </si>
  <si>
    <t>When its electricity builds, its muscles are stimulated, and it becomes more aggressive than usual.</t>
  </si>
  <si>
    <t>Jos se putoaisi suurelta korkeudelta, tämä POKéMON voisi pelastaa itsensä pyörimällä palloksi ja pomppimalla.</t>
  </si>
  <si>
    <t>Se ei pidä vedestä, joten se elää syvissä koloissa kuivilla alueilla. Se voi käpertyä hetkessä palloksi.</t>
  </si>
  <si>
    <t>Se suosii kuivia, hiekkaisia ​​paikkoja, koska se käyttää hiekkaa suojana uhatessa.</t>
  </si>
  <si>
    <t>SANDSHREWin keho on suunniteltu imemään vettä ilman jätettä, minkä ansiosta se selviytyy kuivassa aavikolla. Tämä POKéMON käpertyy suojautuakseen vihollisiltaan.</t>
  </si>
  <si>
    <t>SANDSHREW'lla on erittäin kuiva ja äärimmäisen kestävä nahka. POKéMON voi pyöriä palloksi, joka torjuu kaikki hyökkäykset. Yöllä se kaivautuu aavikon hiekkaan nukkumaan.</t>
  </si>
  <si>
    <t>If the electrical sacs become excessively charged, Raichu plants its tail in the ground and discharges. Scorched patches of ground will be found near this Pokémon’s nest.</t>
  </si>
  <si>
    <t>This Pokémon exudes a weak electrical charge from all over its body that makes it take on a slight glow in darkness. Raichu plants its tail in the ground to discharge electricity.</t>
  </si>
  <si>
    <t>Kun se käpertyy palloksi, se voi kimpoa minkä tahansa hyökkäyksen vaarattomasti. Sen nahka on muuttunut kovaksi ja vankaksi aavikossa elämisen seurauksena.</t>
  </si>
  <si>
    <t>It unleashes electric shocks that can reach 100,000 volts. When agitated, it can knock out even an Indian elephant.</t>
  </si>
  <si>
    <t>It becomes aggressive when it has electricity stored up. At such times, even its Trainer has to take care to avoid being attacked.</t>
  </si>
  <si>
    <t>As electricity builds up inside its body, it becomes more aggressive. One theory is that the electricity buildup is actually causing stress.</t>
  </si>
  <si>
    <t>Se kaivautuu ja elää maan alla. Uhattuna se käpertyy suojakseen palloksi.</t>
  </si>
  <si>
    <t>Because so many Trainers like the way Pikachu looks, you don’t see this Pokémon very often.</t>
  </si>
  <si>
    <t>Kaivautuu syvällä maan alla kuivilla paikoilla kaukana vedestä. Se nousee esiin vain metsästämään saalista.</t>
  </si>
  <si>
    <t>Suojautuakseen hyökkääjiltä se käpertyy palloksi. Se elää kuivilla alueilla, joilla sataa vähän.</t>
  </si>
  <si>
    <t>If its electric pouches run empty, it raises its tail to gather electricity from the atmosphere.</t>
  </si>
  <si>
    <t>Jos se putoaisi suurelta korkeudelta, tämä Pokémon voisi pelastaa itsensä pyörimällä palloksi ja pomppimalla.</t>
  </si>
  <si>
    <t>It can discharge bursts of electricity exceeding 100,000 volts— a single strike with that amount of power would incapacitate one of the Copperajah of my homeland.</t>
  </si>
  <si>
    <t>Burrows deep underground in arid locations far from water. It only emerges to hunt for food.</t>
  </si>
  <si>
    <t>https://pokeapi.co/api/v2/pokemon-species/27/</t>
  </si>
  <si>
    <t>Its body is dry. When it gets cold at night, its hide is said to become coated with a fine dew.</t>
  </si>
  <si>
    <t>If it fell from a great height, this POKéMON could save itself by rolling into a ball and bouncing.</t>
  </si>
  <si>
    <t>Se kaivaa syviä koloja elääkseen. Vaaran iskiessä se käärii ruumiinsa ylös kestääkseen hyökkäyksiä.</t>
  </si>
  <si>
    <t>Disliking water, it lives in deep burrows in arid areas. It can roll itself instantly into a ball.</t>
  </si>
  <si>
    <t>It prefers dry, sandy places because it uses the sand to protect itself when threatened.</t>
  </si>
  <si>
    <t>SANDSHREW’s body is configured to absorb water without waste, enabling it to survive in an arid desert. This POKéMON curls up to protect itself from its enemies.</t>
  </si>
  <si>
    <t>SANDSHREW has a very dry hide that is extremely tough. The POKéMON can roll into a ball that repels any attack. At night, it burrows into the desert sand to sleep.</t>
  </si>
  <si>
    <t>When it curls up in a ball, it can make any attack bounce off harmlessly. Its hide has turned tough and solid as a result of living in the desert.</t>
  </si>
  <si>
    <t>It burrows and lives underground. If threatened, it curls itself up into a ball for protection.</t>
  </si>
  <si>
    <t>Burrows deep underground in arid locations far from water. It only emerges to hunt for prey.</t>
  </si>
  <si>
    <t>To protect itself from attackers, it curls up into a ball. It lives in arid regions with minimal rainfall.</t>
  </si>
  <si>
    <t>If it fell from a great height, this Pokémon could save itself by rolling into a ball and bouncing.</t>
  </si>
  <si>
    <t>It digs deep burrows to live in. When in danger, it rolls up its body to withstand attacks.</t>
  </si>
  <si>
    <t>Sandshrew'n keho on suunniteltu imemään vettä ilman jätettä, minkä ansiosta se selviytyy kuivassa aavikolla. Tämä Pokémon käpertyy suojautuakseen vihollisiltaan.</t>
  </si>
  <si>
    <t>Sandshrew’s body is configured to absorb water without waste, enabling it to survive in an arid desert. This Pokémon curls up to protect itself from its enemies.</t>
  </si>
  <si>
    <t>Sandshrew has a very dry hide that is extremely tough. The Pokémon can roll into a ball that repels any attack. At night, it burrows into the desert sand to sleep.</t>
  </si>
  <si>
    <t>Sandshrew'lla on erittäin kuiva ja äärimmäisen kestävä nahka. Pokémon voi pyöriä palloksi, joka torjuu kaikki hyökkäykset. Yöllä se kaivautuu aavikon hiekkaan nukkumaan.</t>
  </si>
  <si>
    <t>It can roll its body into a ball. It moves through the desert by rolling at high speeds.</t>
  </si>
  <si>
    <t>It usually makes its home in deserts and arid zones, where rain does not fall. It digs holes to catch Bug-type Pokémon.</t>
  </si>
  <si>
    <t>Se voi pyöritellä ruumistaan ​​palloksi. Se liikkuu aavikon halki pyörimällä suurilla nopeuksilla.</t>
  </si>
  <si>
    <t>It lives in areas of limited rainfall. When danger approaches, it curls up into a ball to protect its soft stomach.</t>
  </si>
  <si>
    <t>When its skin gets wrinkled from moisture, it heads for a volcano. It lies flat on a spot with a lot of geothermal heat and dries itself out.</t>
  </si>
  <si>
    <t>It loves to bathe in the grit of dry, sandy areas. By sand bathing, the Pokémon rids itself of dirt and moisture clinging to its body.</t>
  </si>
  <si>
    <t>Se asuu yleensä aavikoilla ja kuivilla alueilla, joilla ei sada. Se kaivaa kuoppia pyydystääkseen Bug-tyyppisiä Pokémoneja.</t>
  </si>
  <si>
    <t>It burrows into the ground to create its nest. If hard stones impede its tunneling, it uses its sharp claws to shatter them and then carries on digging.</t>
  </si>
  <si>
    <t>Curls up into a spiny ball when threatened. It can roll while curled up to attack or escape.</t>
  </si>
  <si>
    <t>Se elää alueilla, joilla sataa vähän. Vaaran lähestyessä se käpertyy palloksi suojellakseen pehmeää vatsaansa.</t>
  </si>
  <si>
    <t>It is skilled at slashing enemies with its claws. If broken, they start to grow back in a day.</t>
  </si>
  <si>
    <t>In an attempt to hide itself, it will run around at top speed to kick up a blinding dust storm.</t>
  </si>
  <si>
    <t>If it digs at an incredible pace, it may snap off its spikes and claws. They grow back in a day.</t>
  </si>
  <si>
    <t>Kun sen iho rypistyy kosteudesta, se suuntaa kohti tulivuorta. Se makaa tasaisesti paikassa, jossa on paljon geotermistä lämpöä, ja kuivuu itsestään.</t>
  </si>
  <si>
    <t>Adept at climbing trees, it rolls into a spiny ball, then attacks its enemies from above.</t>
  </si>
  <si>
    <t>SANDSLASH’s body is covered by tough spikes, which are hardened sections of its hide. Once a year, the old spikes fall out, to be replaced with new spikes that grow out from beneath the old ones.</t>
  </si>
  <si>
    <t>SANDSLASH can roll up its body as if it were a ball covered with large spikes. In battle, this POKéMON will try to make the foe flinch by jabbing it with its spines. It then leaps at the stunned foe to tear wildly with its sharp claws.</t>
  </si>
  <si>
    <t>It curls up in a ball to protect itself from enemy attacks. It also curls up to prevent heatstroke during the daytime when temperatures rise sharply.</t>
  </si>
  <si>
    <t>It is adept at attacking with the spines on its back and its sharp claws while quickly scurrying about.</t>
  </si>
  <si>
    <t>It curls up, then rolls into foes with its back. Its sharp spines inflict severe damage.</t>
  </si>
  <si>
    <t>Se rakastaa kylpeä kuivien, hiekkaisten alueiden hiekassa. Hiekassa kylpemällä Pokémon pääsee eroon kehoonsa tarttuneesta liasta ja kosteudesta.</t>
  </si>
  <si>
    <t>The spikes on its body are made up of its hardened hide. It rolls up and attacks foes with its spikes.</t>
  </si>
  <si>
    <t>Sandslash’s body is covered by tough spikes, which are hardened sections of its hide. Once a year, the old spikes fall out, to be replaced with new spikes that grow out from beneath the old ones.</t>
  </si>
  <si>
    <t>Sandslash can roll up its body as if it were a ball covered with large spikes. In battle, this Pokémon will try to make the foe flinch by jabbing it with its spines. It then leaps at the stunned foe to tear wildly with its sharp claws.</t>
  </si>
  <si>
    <t>Se kaivautuu maahan pesän tekemiseksi. Jos kovat kivet estävät sen kaivamista, se käyttää teräviä kynsiään niiden murskaamiseen ja jatkaa sitten kaivamista.</t>
  </si>
  <si>
    <t>Although they are sharp, its claws and spikes often break off. They grow back the next day, so it is not bothered by the temporary loss.</t>
  </si>
  <si>
    <t>Sandslash</t>
  </si>
  <si>
    <t>It uses its claws to climb trees and then curls its body into a spiny ball, ready to drop onto any prey that appears.</t>
  </si>
  <si>
    <t>Käpertyy piikkiseksi palloksi uhattuna. Se voi pyöriä käpertyneenä hyökätäkseen tai paetakseen.</t>
  </si>
  <si>
    <t>Its claws and horns often break off. The broken claws and horns can be used to carve plows for tilling farm fields.</t>
  </si>
  <si>
    <t>Thanks to its thick claws, it’s good at climbing trees. There are plenty of Sandslash that park themselves in trees and go right to sleep.</t>
  </si>
  <si>
    <t>Se on taitava viiltämään vihollisia kynsillään. Jos ne katkeavat, ne alkavat kasvaa takaisin päivässä.</t>
  </si>
  <si>
    <t>The drier the area Sandslash lives in, the harder and smoother the Pokémon’s spikes will feel when touched.</t>
  </si>
  <si>
    <t>Yrittäessään piiloutua se juoksee ympäriinsä huippunopeudella ja nostattaa sokaisevan pölymyrskyn.</t>
  </si>
  <si>
    <t>It climbs trees by hooking on with its sharp claws. Sandslash shares the berries it gathers, dropping them down to Sandshrew waiting below the tree.</t>
  </si>
  <si>
    <t>Although small, its venomous barbs render this POKéMON dangerous. The female has smaller horns.</t>
  </si>
  <si>
    <t>Jos se kaivaa uskomattoman nopeasti, se saattaa katkaista piikkinsä ja kyntensä. Ne kasvavat takaisin päivässä.</t>
  </si>
  <si>
    <t>A mild-mannered POKéMON that does not like to fight. Beware, its small horns secrete venom.</t>
  </si>
  <si>
    <t>Se on taitava puihin kiipeämään, pyörii piikkiseksi palloksi ja hyökkää sitten vihollistensa kimppuun ylhäältä.</t>
  </si>
  <si>
    <t>The poison hidden in its small horn is extremely po tent. Even a tiny scratch can have fatal results.</t>
  </si>
  <si>
    <t>Although not very combative, it will torment its foes with poison spikes if it is threat ened in any way.</t>
  </si>
  <si>
    <t>SANDLASHin ruumista peittävät kovat piikit, jotka ovat kovettuneet osat sen nahasta. Kerran vuodessa vanhat piikit putoavat pois, ja niiden alta kasvaa uusia.</t>
  </si>
  <si>
    <t>Small and very docile, it pro tects itself with its small, poison ous horn when attacked.</t>
  </si>
  <si>
    <t>NIDORAN has barbs that secrete a powerful poison. They are thought to have developed as protection for this small-bodied POKéMON. When enraged, it releases a horrible toxin from its horn.</t>
  </si>
  <si>
    <t>SANDLASH voi kääriä ruumiinsa kuin se olisi pallo, joka on täynnä suuria piikkejä. Taistelussa tämä POKéMON yrittää säpsäyttää vihollisen tökkimällä sitä piikillään. Sitten se hyppää tainnutetun vihollisen kimppuun ja repii tätä villisti terävillä kynsillään.</t>
  </si>
  <si>
    <t>Its highly toxic barbs are thought to have developed as protection for this small- bodied POKéMON. When enraged, it releases a horrible toxin from its horn.</t>
  </si>
  <si>
    <t>Though small, it must be treated with caution because of its powerfully toxic barbs. The female has smaller horns.</t>
  </si>
  <si>
    <t>Se käpertyy palloksi suojautuakseen vihollisen hyökkäyksiltä. Se käpertyy myös estääkseen lämpöhalvauksen päiväsaikaan, kun lämpötilat nousevat jyrkästi.</t>
  </si>
  <si>
    <t>While it does not prefer to fight, even one drop of the poison it secretes from barbs can be fatal.</t>
  </si>
  <si>
    <t>The poison hidden in its small horn is extremely potent. Even a tiny scratch can have fatal results.</t>
  </si>
  <si>
    <t>Although not very combative, it will torment its foes with poison spikes if it is threatened in any way.</t>
  </si>
  <si>
    <t>Although small, its venomous barbs render this Pokémon dangerous. The female has smaller horns.</t>
  </si>
  <si>
    <t>Se on taitava hyökkäämään selässään olevien piikien ja terävien kynsiensä avulla samalla kun se vipeltää nopeasti ympäriinsä.</t>
  </si>
  <si>
    <t>Small and very docile, it protects itself with its small, poisonous horn when attacked.</t>
  </si>
  <si>
    <t>Nidoran♀ has barbs that secrete a powerful poison. They are thought to have developed as protection for this small-bodied Pokémon. When enraged, it releases a horrible toxin from its horn.</t>
  </si>
  <si>
    <t>A mild-mannered Pokémon that does not like to fight. Beware—its small horn secretes venom.</t>
  </si>
  <si>
    <t>Females are more sensitive to smells than males. While foraging, they’ll use their whiskers to check wind direction and stay downwind of predators.</t>
  </si>
  <si>
    <t>Se käpertyy ja vierii sitten selällään vihollisten päälle. Sen terävät piikit aiheuttavat vakavaa vahinkoa.</t>
  </si>
  <si>
    <t>It uses its hard incisor teeth to crush and eat berries. The tip of a female Nidoran’s horn is a bit more rounded than the tip of a male’s horn.</t>
  </si>
  <si>
    <t>The female's horn develops slowly. Prefers physical attacks such as clawing and biting.</t>
  </si>
  <si>
    <t>When resting deep in its burrow, its thorns always retract. This is proof that it is relaxed.</t>
  </si>
  <si>
    <t>When feeding its young, it first chews and tender izes the food, then spits it out for the offspring.</t>
  </si>
  <si>
    <t>It has a calm and caring nature. Because its horn grows slowly, it prefers not to fight.</t>
  </si>
  <si>
    <t>It has a docile nature. If it is threatened with attack, it raises the barbs that are all over its body.</t>
  </si>
  <si>
    <t>When NIDORINA are with their friends or family, they keep their barbs tucked away to prevent hurting each other. This POKéMON appears to become nervous if separated from the others.</t>
  </si>
  <si>
    <t>When it is with its friends or family, its barbs are tucked away to prevent injury. It appears to become nervous if separated from the others.</t>
  </si>
  <si>
    <t>The female has a gentle temperament. It emits ultrasonic cries that have the power to befuddle foes.</t>
  </si>
  <si>
    <t>The female’s horns develop slowly. Prefers physical attacks such as clawing and biting.</t>
  </si>
  <si>
    <t>When it senses danger, it raises all the barbs on its body. These barbs grow slower than NIDORINO’s.</t>
  </si>
  <si>
    <t>When feeding its young, it first chews the food into a paste, then spits it out for the offspring.</t>
  </si>
  <si>
    <t>When it senses danger, it raises all the barbs on its body. These barbs grow slower than Nidorino’s.</t>
  </si>
  <si>
    <t>When Nidorina are with their friends or family, they keep their barbs tucked away to prevent hurting each other. This Pokémon appears to become nervous if separated from the others.</t>
  </si>
  <si>
    <t>Sen ruumiin piikit on tehty sen kovettuneesta nahasta. Se kiertyy ja hyökkää vihollisten kimppuun piikkiensä avulla.</t>
  </si>
  <si>
    <t>When resting deep in its burrow, its barbs always retract. This is proof that it is relaxed.</t>
  </si>
  <si>
    <t>The horn on its head has atrophied. It’s thought that this happens so Nidorina’s children won’t get poked while their mother is feeding them.</t>
  </si>
  <si>
    <t>If the group is threatened, these Pokémon will band together to assault enemies with a chorus of ultrasonic waves.</t>
  </si>
  <si>
    <t>Its hard scales provide strong protection. It uses its hefty bulk to execute powerful moves.</t>
  </si>
  <si>
    <t>Tough scales cover the sturdy body of this POKéMON. It appears that the scales grow in cycles.</t>
  </si>
  <si>
    <t>Its body is cover ed with needle- like scales. It never shows signs of shrinking from any attack.</t>
  </si>
  <si>
    <t>https://pokeapi.co/api/v2/pokemon-species/28/</t>
  </si>
  <si>
    <t>It uses its scaly, rugged body to seal the entrance of its nest and protect its young from predators.</t>
  </si>
  <si>
    <t>Sandslashin ruumista peittävät kovat piikit, jotka ovat kovettuneet osat sen nahasta. Kerran vuodessa vanhat piikit putoavat pois, ja niiden alta kasvaa uusia.</t>
  </si>
  <si>
    <t>The hard scales that cover its strong body serve as excellent protection from any attack.</t>
  </si>
  <si>
    <t>Sandslash voi kääriä vartaloaan kuin se olisi pallo, joka on täynnä suuria piikkejä. Taistelussa tämä Pokémon yrittää saada vihollisen säpsähtämään tökkäämällä sitä piikillään. Sitten se hyppää tainnutetun vihollisen kimppuun ja repii tätä villisti terävillä kynsillään.</t>
  </si>
  <si>
    <t>NIDOQUEEN’s body is encased in extremely hard scales. It is adept at sending foes flying with harsh tackles. This POKéMON is at its strongest when it is defending its young.</t>
  </si>
  <si>
    <t>It is adept at sending foes flying with harsh tackles using its tough, scaly body. This POKéMON is at its strongest when it is defending its young.</t>
  </si>
  <si>
    <t>Vaikka ne ovat teräviä, sen kynnet ja piikit katkeavat usein. Ne kasvavat takaisin seuraavana päivänä, joten tilapäinen menetys ei haittaa sitä.</t>
  </si>
  <si>
    <t>The body is covered by stiff, needle- like scales. If it becomes excited, the needles bristle outwards.</t>
  </si>
  <si>
    <t>Its entire body is armored with hard scales. It will protect the young in its burrow with its life.</t>
  </si>
  <si>
    <t>Se käyttää kynsiään kiivetäkseen puihin ja käpertää sitten ruumiinsa piikkiseksi palloksi valmiina putoamaan minkä tahansa ilmestyvän saaliin päälle.</t>
  </si>
  <si>
    <t>Its body is covered with needle-like scales. It never shows signs of shrinking from any attack.</t>
  </si>
  <si>
    <t>The body is covered by stiff, needlelike scales. If it becomes excited, the needles bristle outwards.</t>
  </si>
  <si>
    <t>Sen kynnet ja sarvet katkeavat usein. Katkenneita kynsiä ja sarvia voidaan käyttää aurojen veistämiseen peltojen kyntämiseen.</t>
  </si>
  <si>
    <t>Paksujen kynsiensä ansiosta se on hyvä kiipeilemään puissa. On paljon hiekkakiipeilijöitä, jotka pysähtyvät puihin ja nukahtavat heti.</t>
  </si>
  <si>
    <t>Nidoqueen’s body is encased in extremely hard scales. It is adept at sending foes flying with harsh tackles. This Pokémon is at its strongest when it is defending its young.</t>
  </si>
  <si>
    <t>Tough scales cover the sturdy body of this Pokémon. It appears that the scales grow in cycles.</t>
  </si>
  <si>
    <t>Nidoqueen is better at defense than offense. With scales like armor, this Pokémon will shield its children from any kind of attack.</t>
  </si>
  <si>
    <t>It pacifies offspring by placing them in the gaps between the spines on its back. The spines will never secrete poison while young are present.</t>
  </si>
  <si>
    <t>Stiffens its ears to sense danger. The larger its horns, the more powerful its secreted venom.</t>
  </si>
  <si>
    <t>Its large ears are always kept upright. If it senses danger, it will attack with a poisonous sting.</t>
  </si>
  <si>
    <t>It is small, but its horn is filled with poison. It charges then stabs with the horn to inject poison.</t>
  </si>
  <si>
    <t>Mitä kuivempi alue Sandslashilla on, sitä kovemmilta ja sileämmiltä Pokémonin piikit tuntuvat kosketettaessa.</t>
  </si>
  <si>
    <t>It raises its big ears to check its surroundings. It will strike first if it senses any danger.</t>
  </si>
  <si>
    <t>It constantly moves its large ears in many directions in order to detect danger right away.</t>
  </si>
  <si>
    <t>The male NIDORAN has developed muscles for moving its ears. Thanks to them, the ears can be freely moved in any direction. Even the slightest sound does not escape this POKéMON’s notice.</t>
  </si>
  <si>
    <t>Se kiipeää puihin tarttumalla niihin terävillä kynsillään. Sandslash jakaa keräämänsä marjat ja pudottaa ne puun alla odottavalle Sandshrew'lle.</t>
  </si>
  <si>
    <t>The male NIDORAN has developed muscles that freely move its ears in any direction. Even the slightest sound does not escape this POKéMON’s notice.</t>
  </si>
  <si>
    <t>Nidoran♀</t>
  </si>
  <si>
    <t>Myrkkypinni-Pokémon</t>
  </si>
  <si>
    <t>Its large ears are flapped like wings when it is listening to distant sounds. It extends toxic barbs when angered.</t>
  </si>
  <si>
    <t>Vaikka se on pieni, sen myrkylliset piikit tekevät tästä POKéMONista vaarallisen. Naaraalla on pienemmät sarvet.</t>
  </si>
  <si>
    <t>It stiffens its ears to sense danger. The larger its horns, the more powerful its secreted venom.</t>
  </si>
  <si>
    <t>It scans its surroundings by raising its ears out of the grass. Its toxic horn is for protection.</t>
  </si>
  <si>
    <t>Nidoran♂ has developed muscles for moving its ears. Thanks to them, the ears can be freely moved in any direction. Even the slightest sound does not escape this Pokémon’s notice.</t>
  </si>
  <si>
    <t>Lempeäluonteinen POKéMON, joka ei pidä taistelusta. Varo, sen pienet sarvet erittävät myrkkyä.</t>
  </si>
  <si>
    <t>The horn on a male Nidoran’s forehead contains a powerful poison. This is a very cautious Pokémon, always straining its large ears.</t>
  </si>
  <si>
    <t>Small but brave, this Pokémon will hold its ground and even risk its life in battle to protect the female it’s friendly with.</t>
  </si>
  <si>
    <t>Sen pienessä sarvessa piilevä myrkky on erittäin voimakasta. Jopa pieni naarmu voi aiheuttaa kohtalokkaita seurauksia.</t>
  </si>
  <si>
    <t>An aggressive POKéMON that is quick to attack. The horn on its head secretes a powerful venom.</t>
  </si>
  <si>
    <t>Its horns contain venom. If they are stabbed into an enemy, the impact makes the poison leak out.</t>
  </si>
  <si>
    <t>Vaikka se ei ole kovin taistelunhaluinen, se piinaa vihollisiaan myrkkypiikeillä, jos se on millään tavalla uhattuna.</t>
  </si>
  <si>
    <t>It raises its big ears to check its surroundings. If it senses any thing, it attacks immediately.</t>
  </si>
  <si>
    <t>Quick to anger, it stabs enemies with its horn to inject a powerful poison when it becomes agitated.</t>
  </si>
  <si>
    <t>It is easily agitated and uses its horn for offense as soon as it notices an attacker.</t>
  </si>
  <si>
    <t>Pieni ja hyvin säyseä se suojaa itseään hyökkäyksen varalta pienellä, myrkyllisellä sarvellaan.</t>
  </si>
  <si>
    <t>NIDORINO has a horn that is harder than a diamond. If it senses a hostile presence, all the barbs on its back bristle up at once, and it challenges the foe with all its might.</t>
  </si>
  <si>
    <t>Its horn is harder than a diamond. If it senses a hostile presence, all the barbs on its back bristle up at once, and it challenges the foe with all its might.</t>
  </si>
  <si>
    <t>NIDORANilla on piikkejä, jotka erittävät voimakasta myrkkyä. Niiden uskotaan kehittyneen suojaksi tälle pienikokoiselle POKéMONille. Raivostuessaan se vapauttaa sarvestaan ​​kammottavaa myrkkyä.</t>
  </si>
  <si>
    <t>It is easily angered. By swinging its well- developed horn wildly, it can even punch through diamond.</t>
  </si>
  <si>
    <t>It has a violent disposition and stabs foes with its horn, which oozes poison upon impact.</t>
  </si>
  <si>
    <t>Sen erittäin myrkyllisten piikkien uskotaan kehittyneen suojaksi tälle pienikokoiselle POKéMONille. Raivostuessaan se vapauttaa sarvestaan ​​kammottavaa myrkkyä.</t>
  </si>
  <si>
    <t>It raises its big ears to check its surroundings. If it senses anything, it attacks immediately.</t>
  </si>
  <si>
    <t>An aggressive Pokémon that is quick to attack. The horn on its head secretes a powerful venom.</t>
  </si>
  <si>
    <t>Vaikka se on pieni, sitä on käsiteltävä varoen sen voimakkaasti myrkyllisten piikkien vuoksi. Naaraalla on pienemmät sarvet.</t>
  </si>
  <si>
    <t>Nidorino has a horn that is harder than a diamond. If it senses a hostile presence, all the barbs on its back bristle up at once, and it challenges the foe with all its might.</t>
  </si>
  <si>
    <t>Its horn contains venom. If it stabs an enemy with the horn, the impact makes the poison leak out.</t>
  </si>
  <si>
    <t>With a horn that’s harder than diamond, this Pokémon goes around shattering boulders as it searches for a moon stone.</t>
  </si>
  <si>
    <t>It’s nervous and quick to act aggressively. The potency of its poison increases along with the level of adrenaline present in its body.</t>
  </si>
  <si>
    <t>Vaikka se ei halua taistella, jo yksi pisara sen piikkien erittämää myrkkyä voi olla kohtalokas.</t>
  </si>
  <si>
    <t>It uses its powerful tail in battle to smash, constrict, then break the prey's bones.</t>
  </si>
  <si>
    <t>Its steel-like hide adds to its powerful tackle. Its horns are so hard, they can pierce a diamond.</t>
  </si>
  <si>
    <t>It swings its big tail around during battle. If its foe flinches, it will charge with its sturdy body.</t>
  </si>
  <si>
    <t>Its tail is thick and powerful. If it binds an enemy, it can snap the victim's spine quite easily.</t>
  </si>
  <si>
    <t>It uses its thick arms, legs and tail to attack forcefully. Melee combat is its specialty.</t>
  </si>
  <si>
    <t>NIDOKING’s thick tail packs enormously destructive power. With one swing, it can topple a metal transmission tower. Once this POKéMON goes on a rampage, there is no stopping it.</t>
  </si>
  <si>
    <t>Sen pienessä sarvessa piilevä myrkky on erittäin voimakasta. Jopa pieni naarmu voi johtaa kohtalokkaisiin seurauksiin.</t>
  </si>
  <si>
    <t>A NIDOKING’s thick tail packs enormously destructive power capable of toppling a metal transmission tower. Once it goes on a rampage, there is no stopping it.</t>
  </si>
  <si>
    <t>It is recognized by its rock-hard hide and its extended horn. Be careful with the horn as it contains venom.</t>
  </si>
  <si>
    <t>Vaikka se ei ole kovin taistelunhaluinen, se piinaa vihollisiaan myrkkypiikeillä, jos sitä uhkaa jokin asia.</t>
  </si>
  <si>
    <t>It uses its powerful tail in battle to smash, constrict, then break the prey’s bones.</t>
  </si>
  <si>
    <t>One swing of its mighty tail can snap a telephone pole as if it were a matchstick.</t>
  </si>
  <si>
    <t>Its tail is thick and powerful. If it binds an enemy, it can render the victim helpless quite easily.</t>
  </si>
  <si>
    <t>It is recognized by its rock-hard hide and its extended horn. Be careful with the horn, as it contains venom.</t>
  </si>
  <si>
    <t>Nidoking’s thick tail packs enormously destructive power. With one swing, it can topple a metal transmission tower. Once this Pokémon goes on a rampage, there is no stopping it.</t>
  </si>
  <si>
    <t>When it goes on a rampage, it’s impossible to control. But in the presence of a Nidoqueen it’s lived with for a long time, Nidoking calms down.</t>
  </si>
  <si>
    <t>Nidoking prides itself on its strength. It’s forceful and spirited in battle, making use of its thick tail and diamond-crushing horn.</t>
  </si>
  <si>
    <t>Its magical and cute appeal has many admirers. It is rare and found only in certain areas.</t>
  </si>
  <si>
    <t>Adored for their cute looks and playfulness. They are thought to be rare, as they do not appear often.</t>
  </si>
  <si>
    <t>The moonlight that it stores in the wings on its back apparently gives it the ability to float in midair.</t>
  </si>
  <si>
    <t>Its adorable be havior and cry make it highly popular. However, this cute POKéMON is rarely found.</t>
  </si>
  <si>
    <t>Vaikka Pokémon on pieni, sen myrkylliset piikit tekevät siitä vaarallisen. Naaraalla on pienemmät sarvet.</t>
  </si>
  <si>
    <t>Though rarely seen, it becomes easier to spot, for some reason, on the night of a full moon.</t>
  </si>
  <si>
    <t>On every night of a full moon, groups of this POKéMON come out to play. When dawn arrives, the tired CLEFAIRY return to their quiet mountain retreats and go to sleep nestled up against each other.</t>
  </si>
  <si>
    <t>On every night of a full moon, they come out to play. When dawn arrives, the tired CLEFAIRY go to sleep nestled up against each other in deep and quiet mountains.</t>
  </si>
  <si>
    <t>Its adorable appearance makes it popular as a pet. However, it is rare and difficult to find.</t>
  </si>
  <si>
    <t>Pieni ja hyvin säyseä, se suojaa itseään pienellä, myrkyllisellä sarvellaan hyökkäyksen kohteeksi joutuessaan.</t>
  </si>
  <si>
    <t>With its magical and cute appeal, it has many admirers. It is rare and found only in certain areas.</t>
  </si>
  <si>
    <t>Thought to live with others on quiet mountains, it is popular for its adorable nature.</t>
  </si>
  <si>
    <t>Nidoranilla♀ on piikkejä, jotka erittävät voimakasta myrkkyä. Niiden uskotaan kehittyneen suojaksi tälle pienikokoiselle Pokémonille. Raivostuessaan se vapauttaa kauheaa myrkkyä sarvestaan.</t>
  </si>
  <si>
    <t>It flies using the wings on its back to collect moonlight. This Pokémon is difficult to find.</t>
  </si>
  <si>
    <t>It is said that happiness will come to those who see a gathering of CLEFAIRY dancing under a full moon.</t>
  </si>
  <si>
    <t>https://pokeapi.co/api/v2/pokemon-species/29/</t>
  </si>
  <si>
    <t>Lempeäluonteinen Pokémon, joka ei pidä taistelusta. Varo – sen pieni sarvi erittää myrkkyä.</t>
  </si>
  <si>
    <t>Its adorable behavior and cry make it highly popular. However, this cute Pokémon is rarely found.</t>
  </si>
  <si>
    <t>Naaraat ovat herkempiä hajuille kuin koiraat. Ruokaa etsiessään ne käyttävät viiksikarvojaan tuulen suunnan tarkistamiseen ja petojen alatuuleen pysymiseen.</t>
  </si>
  <si>
    <t>It is said that happiness will come to those who see a gathering of Clefairy dancing under a full moon.</t>
  </si>
  <si>
    <t>On nights with a full moon, Clefairy gather from all over and dance. Bathing in moonlight makes them float.</t>
  </si>
  <si>
    <t>Se käyttää kovia etuhampaitaan marjojen murskaamiseen ja syömiseen. Naaraan nidoranin sarven kärki on hieman pyöreämpi kuin uroksen sarven kärki.</t>
  </si>
  <si>
    <t>Nidorina</t>
  </si>
  <si>
    <t>On every night of a full moon, groups of this Pokémon come out to play. When dawn arrives, the tired Clefairy return to their quiet mountain retreats and go to sleep nestled up against each other.</t>
  </si>
  <si>
    <t>Naaraan sarvi kehittyy hitaasti. Se suosii fyysisiä hyökkäyksiä, kuten raapimista ja puremista.</t>
  </si>
  <si>
    <t>Its adorable behavior and appearance make it popular with men and women, young and old. Its numbers are few, however.</t>
  </si>
  <si>
    <t>On nights with a full moon, they gather together and dance. The surrounding area is enveloped in an abnormal magnetic field.</t>
  </si>
  <si>
    <t>They’re popular, but they’re rare. Trainers who show them off recklessly may be targeted by thieves.</t>
  </si>
  <si>
    <t>Bathed in moonlight, its wings glow faintly. Without even flapping, Clefairy rises into the air, where it dances around.</t>
  </si>
  <si>
    <t>Syvällä kolossaan levätessään sen piikit vetäytyvät aina sisään. Tämä on todiste siitä, että se on rentoutunut.</t>
  </si>
  <si>
    <t>It can be found in quiet mountain areas on a full moon's night. Its dancing and its tiny, faintly glowing wings confer upon it a lovely fairylike quality.</t>
  </si>
  <si>
    <t>A timid fairy POKéMON that is rarely seen. It will run and hide the moment it senses people.</t>
  </si>
  <si>
    <t>Poikasiaan ruokkiessaan se ensin pureskelee ja mureuttaa ruoan ja sylkee sen sitten ulos jälkeläisille.</t>
  </si>
  <si>
    <t>They appear to be very protective of their own world. It is a kind of fairy, rarely seen by people.</t>
  </si>
  <si>
    <t>With its acute hearing, it can pick up sounds from far away. It usually hides in quiet places.</t>
  </si>
  <si>
    <t>Its very sensitive ears lets it dis tinguish distant sounds. As a re sult, it prefers quiet places.</t>
  </si>
  <si>
    <t>Sillä on rauhallinen ja välittävä luonne. Koska sen sarvi kasvaa hitaasti, se ei halua taistella.</t>
  </si>
  <si>
    <t>Said to live in quiet, remote mountains, this type of fairy has a strong aversion to being seen.</t>
  </si>
  <si>
    <t>CLEFABLE moves by skipping lightly as if it were flying using its wings. Its bouncy step lets it even walk on water. It is known to take strolls on lakes on quiet, moonlit nights.</t>
  </si>
  <si>
    <t>Sillä on säyseä luonne. Jos sitä uhkaa hyökkäys, se nostaa esiin koko vartaloaan peittävät piikit.</t>
  </si>
  <si>
    <t>A CLEFABLE uses its wings to skip lightly as if it were flying. Its bouncy step lets it even walk on water. On quiet, moonlit nights, it strolls on lakes.</t>
  </si>
  <si>
    <t>Kun NIDORINAt ovat ystäviensä tai perheensä kanssa, he pitävät piikiensä piilossa estääkseen toisiaan satuttamasta. Tämä POKéMON vaikuttaa hermostuvan, jos se erotetaan muista.</t>
  </si>
  <si>
    <t>It has an acute sense of hearing. It can easily hear a pin being dropped nearly 1,100 yards away.</t>
  </si>
  <si>
    <t>A timid fairy POKéMON that is rarely seen, it will run and hide the moment it senses people.</t>
  </si>
  <si>
    <t>Rarely seen by people, it is said to be drawn by the full moon to play at deserted lakes.</t>
  </si>
  <si>
    <t>Kun se on ystäviensä tai perheensä kanssa, sen piikit ovat piilossa loukkaantumisten estämiseksi. Se näyttää hermostuvan, jos se erotetaan muista.</t>
  </si>
  <si>
    <t>Its hearing is so acute it can hear a pin drop over half a mile away. It lives on quiet mountains.</t>
  </si>
  <si>
    <t>It is very wary and rarely shows itself to people. Its ears can hear a pin drop over half a mile away.</t>
  </si>
  <si>
    <t>Naaraalla on lempeä luonne. Se päästää ultraäänihuutoja, joilla on kyky hämmentää vihollisia.</t>
  </si>
  <si>
    <t>Its very sensitive ears let it distinguish distant sounds. As a result, it prefers quiet places.</t>
  </si>
  <si>
    <t>Naaraan sarvet kehittyvät hitaasti. Se suosii fyysisiä hyökkäyksiä, kuten raapimista ja puremista.</t>
  </si>
  <si>
    <t>Their ears are sensitive enough to hear a pin drop from over a mile away, so they’re usually found in quiet places.</t>
  </si>
  <si>
    <t>A timid fairy Pokémon that is rarely seen, it will run and hide the moment it senses people.</t>
  </si>
  <si>
    <t>Kun se aistii vaaran, se nostaa kaikki ruumiinsa piikit. Nämä piikit kasvavat hitaammin kuin NIDORINOn piikit.</t>
  </si>
  <si>
    <t>Clefable moves by skipping lightly as if it were flying using its wings. Its bouncy step lets it even walk on water. It is known to take strolls on lakes on quiet, moonlit nights.</t>
  </si>
  <si>
    <t>They don’t like to reveal themselves in front of people. They live quietly in packs deep in the mountains.</t>
  </si>
  <si>
    <t>According to tradition, people who see a pair of Clefable skipping by can look forward to a happy marriage.</t>
  </si>
  <si>
    <t>It can’t help but hear a pin drop from over half a mile away, so it lives deep in the mountains where there aren’t many people or Pokémon.</t>
  </si>
  <si>
    <t>Ruokittaessaan poikasiaan se ensin pureskelee ruoan tahnaksi ja sylkee sen sitten ulos jälkeläisille.</t>
  </si>
  <si>
    <t>Some scientists believe that it gazes intently at the sky on nights with a full moon because it’s homesick.</t>
  </si>
  <si>
    <t>Legend says that on clear, quiet nights, it listens for the voices of its kin living on the moon. I, too, often think of my homeland, so far away.</t>
  </si>
  <si>
    <t>At the time of birth, it has just one tail. The tail splits from its tip as it grows older.</t>
  </si>
  <si>
    <t>Both its fur and its tails are beautiful. As it grows, the tails split and form more tails.</t>
  </si>
  <si>
    <t>Kun se aistii vaaran, se nostaa kaikki ruumiinsa piikit. Nämä piikit kasvavat hitaammin kuin Nidorinon piikit.</t>
  </si>
  <si>
    <t>As it develops, its single white tail gains color and splits into six. It is quite warm and cuddly.</t>
  </si>
  <si>
    <t>If it is attacked by an enemy that is stronger than itself, it feigns injury to fool the enemy and escapes.</t>
  </si>
  <si>
    <t>As its body grows larger, its six warm tails become more beautiful, with a more luxur ious coat of fur.</t>
  </si>
  <si>
    <t>At the time of its birth, VULPIX has one white tail. The tail separates into six if this POKéMON receives plenty of love from its TRAINER. The six tails become magnificently curled.</t>
  </si>
  <si>
    <t>Inside VULPIX’s body burns a flame that never goes out. During the daytime, when the temperatures rise, this POKéMON releases flames from its mouth to prevent its body from growing too hot.</t>
  </si>
  <si>
    <t>It can freely control fire, making fiery orbs fly like will-o’-the-wisps. Just before evolution, its six tails grow hot as if on fire.</t>
  </si>
  <si>
    <t>While young, it has six gorgeous tails. When it grows, several new tails are sprouted.</t>
  </si>
  <si>
    <t>When it is born, it has just one snow- white tail. The tail splits from its tip as it grows older.</t>
  </si>
  <si>
    <t>It controls balls of fire. As it grows, its six tails split from their tips to make more tails.</t>
  </si>
  <si>
    <t>As each tail grows, its fur becomes more lustrous. When held, it feels slightly warm.</t>
  </si>
  <si>
    <t>When it is born, it has just one snow-white tail. The tail splits from its tip as it grows older.</t>
  </si>
  <si>
    <t>At the time of its birth, Vulpix has one white tail. The tail separates into six if this Pokémon receives plenty of love from its Trainer. The six tails become magnificently curled.</t>
  </si>
  <si>
    <t>Kun Nidorinat ovat ystäviensä tai perheensä kanssa, he pitävät piikiensä piilossa estääkseen toisiaan satuttamasta. Tämä Pokémon vaikuttaa hermostuneelta, jos se erotetaan muista.</t>
  </si>
  <si>
    <t>Inside Vulpix’s body burns a flame that never goes out. During the daytime, when the temperatures rise, this Pokémon releases flames from its mouth to prevent its body from growing too hot.</t>
  </si>
  <si>
    <t>Its beautiful fur and tails have made it very popular. As it grows, its tails split to form more tails.</t>
  </si>
  <si>
    <t>From its mouth spew flames that seem to resemble the spirits of the deceased. Some people mistakenly think this fire is a ghost.</t>
  </si>
  <si>
    <t>Its beautiful tails have made it very popular. However, if it’s not brushed diligently, it will be a mass of tangles before you know it.</t>
  </si>
  <si>
    <t>It manipulates balls of fire to catch its prey. If you raise one from when it’s young, it will grow close to you like a puppy Pokémon.</t>
  </si>
  <si>
    <t>In its belly burns a fire, which Vulpix spits out in the form of fireballs. When young, this Pokémon has but one white tail. As the Pokémon matures, this single tail splits into six.</t>
  </si>
  <si>
    <t>Very smart and very vengeful. Grabbing one of its many tails could result in a 1000-year curse.</t>
  </si>
  <si>
    <t>According to an enduring legend, 9 noble saints were united and reincarnated as this POKéMON.</t>
  </si>
  <si>
    <t>Some legends claim that each of its nine tails has its own unique type of special mystical power.</t>
  </si>
  <si>
    <t>Sen päässä oleva sarvi on surkastunut. Uskotaan, että näin tehdään, jotta Nidorinan lapsia ei tökittäisi äidin ruokinnan aikana.</t>
  </si>
  <si>
    <t>Its nine beautiful tails are filled with a wondrous energy that could keep it alive for 1,000 years.</t>
  </si>
  <si>
    <t>It is said to live a thousand years, and each of its tails is loaded with supernatural powers.</t>
  </si>
  <si>
    <t>Jos ryhmää uhataan, nämä Pokémonit yhdistävät voimansa hyökätäkseen vihollisten kimppuun ultraääniaaltojen kuorolla.</t>
  </si>
  <si>
    <t>Nidoqueen</t>
  </si>
  <si>
    <t>NINETALES casts a sinister light from its bright red eyes to gain total control over its foe’s mind. This POKéMON is said to live for a thousand years.</t>
  </si>
  <si>
    <t>Poraa Pokémon</t>
  </si>
  <si>
    <t>Sen kovat suomut tarjoavat vahvan suojan. Se käyttää tukevaa kokoaan voimakkaiden liikkeiden suorittamiseen.</t>
  </si>
  <si>
    <t>Legend has it that NINETALES came into being when nine wizards possessing sacred powers merged into one. This POKéMON is highly intelligent - it can understand human speech.</t>
  </si>
  <si>
    <t>It has long been said that each of the nine tails embody an enchanted power. A long-lived NINETALES will have fur that shines like gold.</t>
  </si>
  <si>
    <t>It has nine long tails and fur that gleams gold. It is said to live for 1,000 years.</t>
  </si>
  <si>
    <t>Tämän POKéMONin tukevaa vartaloa peittävät sitkeät suomut. Näyttää siltä, ​​että suomut kasvavat sykleissä.</t>
  </si>
  <si>
    <t>Very smart and very vengeful. Grabbing one of its many tails could result in a 1,000-year curse.</t>
  </si>
  <si>
    <t>https://pokeapi.co/api/v2/pokemon-species/30/</t>
  </si>
  <si>
    <t>Sen ruumis on peittynyt neulanmuotoisiin suomuihin. Se ei koskaan osoita merkkejä kavahtamisesta hyökkäyksen edessä.</t>
  </si>
  <si>
    <t>Its nine tails are said to be imbued with a mystic power. It can live for a thousand years.</t>
  </si>
  <si>
    <t>Each of its nine tails is imbued with supernatural power, and it can live for a thousand years.</t>
  </si>
  <si>
    <t>Se käyttää suomuista, karheaa ruumistaan ​​sulkemaan pesänsä suuaukon ja suojelemaan poikasiaan saalistajilta.</t>
  </si>
  <si>
    <t>Ninetales casts a sinister light from its bright red eyes to gain total control over its foe’s mind. This Pokémon is said to live for a thousand years.</t>
  </si>
  <si>
    <t>Sen vahvaa vartaloa peittävät kovat suomut suojaavat erinomaisesti kaikilta hyökkäyksiltä.</t>
  </si>
  <si>
    <t>Legend has it that Ninetales came into being when nine wizards possessing sacred powers merged into one. This Pokémon is highly intelligent—it can understand human speech.</t>
  </si>
  <si>
    <t>Legend has it that this mystical Pokémon was formed when nine saints coalesced into one.</t>
  </si>
  <si>
    <t>NIDOQUEENin ruumis on verhoiltu erittäin koviin suomuihin. Se on taitava lähettämään viholliset lentoon kovilla taklauksilla. Tämä POKéMON on vahvimmillaan puolustaessaan poikasiaan.</t>
  </si>
  <si>
    <t>Said to live for a thousand years, this Pokémon uses its supernatural abilities to manipulate fire. It can burn its prey to a crisp as it pleases.</t>
  </si>
  <si>
    <t>It is vindictive and relentless by nature. Those who cross it even once will be cursed for a thousand years, along with their descendants.</t>
  </si>
  <si>
    <t>The flickering flames it spews from its mouth leave its opponents hypnotized. Then, this extremely intelligent Pokémon attacks.</t>
  </si>
  <si>
    <t>Se on taitava lähettämään vihollisia lentoon kovilla taklauksilla käyttämällä kovaa, suomuista ruumistaan. Tämä POKéMON on vahvimmillaan puolustaessaan poikasiaan.</t>
  </si>
  <si>
    <t>According to an enduring legend, nine noble saints were united and reincarnated as this Pokémon.</t>
  </si>
  <si>
    <t>It is said to live 1,000 years, and each of its tails is loaded with supernatural powers.</t>
  </si>
  <si>
    <t>Ruumis on peittynyt jäykkiin, neulamaisiin suomuihin. Jos se kiihtyy, neulaset pörröttelevät ulospäin.</t>
  </si>
  <si>
    <t>The coat of gleaming golden fur is quite magnificent. This species is said to store sacred power in its nine long tails and to live for a millennium.</t>
  </si>
  <si>
    <t>When its huge eyes light up, it sings a mysteriously soothing melody that lulls its enemies to sleep.</t>
  </si>
  <si>
    <t>Uses its alluring eyes to enrapture its foe. It then sings a pleasing melody that lulls the foe to sleep.</t>
  </si>
  <si>
    <t>If it inflates to SING a lullaby, it can perform longer and cause sure drowsiness in its audience.</t>
  </si>
  <si>
    <t>Looking into its cute, round eyes causes it to sing a relaxing melody, inducing its enemies to sleep.</t>
  </si>
  <si>
    <t>It rolls its cute eyes as it sings a soothing lullaby. Its gentle song puts anyone who hears it to sleep.</t>
  </si>
  <si>
    <t>Sen koko ruumis on peitetty kovilla suomuilla. Se suojelee poikasta pesässään elämällään.</t>
  </si>
  <si>
    <t>JIGGLYPUFF’s vocal chords can freely adjust the wavelength of its voice. This POKéMON uses this ability to sing at precisely the right wavelength to make its foes most drowsy.</t>
  </si>
  <si>
    <t>When this POKéMON sings, it never pauses to breathe. If it is in a battle against an opponent that does not easily fall asleep, JIGGLYPUFF cannot breathe, endangering its life.</t>
  </si>
  <si>
    <t>Nothing can avoid falling asleep hearing a JIGGLYPUFF’s song. The sound waves of its singing voice match the brain waves of someone in a deep sleep.</t>
  </si>
  <si>
    <t>It captivates foes with its huge, round eyes, then lulls them to sleep by singing a soothing melody.</t>
  </si>
  <si>
    <t>When its huge eyes waver, it sings a mysteriously soothing melody that lulls its enemies to sleep.</t>
  </si>
  <si>
    <t>When it wavers its big, round eyes, it begins singing a lullaby that makes everyone drowsy.</t>
  </si>
  <si>
    <t>If it inflates to sing a lullaby, it can perform longer and cause sure drowsiness in its audience.</t>
  </si>
  <si>
    <t>Looking into its cute, round eyes makes it start singing a song so pleasant listeners can’t help but fall asleep.</t>
  </si>
  <si>
    <t>Jigglypuff’s vocal cords can freely adjust the wavelength of its voice. This Pokémon uses this ability to sing at precisely the right wavelength to make its foes most drowsy.</t>
  </si>
  <si>
    <t>When this Pokémon sings, it never pauses to breathe. If it is in a battle against an opponent that does not easily fall asleep, Jigglypuff cannot breathe, endangering its life.</t>
  </si>
  <si>
    <t>It hugely inflates its stomach and sings a mysterious melody. If you hear this melody, you’ll become sleepy right away.</t>
  </si>
  <si>
    <t>Jigglypuff possess a vocal range that exceeds 12 octaves, but each individual’s singing skill depends on its own effort.</t>
  </si>
  <si>
    <t>Recordings of Jigglypuff’s strange lullabies can be purchased from department stores. These CDs can be found near the bedding area.</t>
  </si>
  <si>
    <t>The songs they sing are totally different depending on the region they live in. Some even sound like they’re shouting!</t>
  </si>
  <si>
    <t>Uses its cute round eyes to enrapture its foe. It then sings a pleasing melody that lulls the foe to sleep.</t>
  </si>
  <si>
    <t>Jigglypuff has top-notch lung capacity, even by comparison to other Pokémon. It won’t stop singing its lullabies until its foes fall asleep.</t>
  </si>
  <si>
    <t>By freely changing the wavelength of its voice, Jigglypuff sings a mysterious melody sure to make any listener sleepy.</t>
  </si>
  <si>
    <t>The body is soft and rubbery. When angered, it will suck in air and inflate itself to an enormous size.</t>
  </si>
  <si>
    <t>Its body is full of elasticity. By inhaling deeply, it can continue to inflate itself without limit.</t>
  </si>
  <si>
    <t>Their fur feels so good that if two of them snuggle together, they won't want to be separated.</t>
  </si>
  <si>
    <t>It has a very fine fur. Take care not to make it angry, or it may inflate steadily and hit with a BODY SLAM.</t>
  </si>
  <si>
    <t>Nidoqueenin ruumis on verhoiltu erittäin koviin suomuihin. Se on taitava lähettämään viholliset lentoon kovilla taklauksilla. Tämä Pokémon on vahvimmillaan puolustaessaan poikasiaan.</t>
  </si>
  <si>
    <t>The rich, fluffy fur that covers its body feels so good that anyone who feels it can't stop touching it.</t>
  </si>
  <si>
    <t>WIGGLYTUFF has large, saucerlike eyes. The surfaces of its eyes are always covered with a thin layer of tears. If any dust gets in this POKéMON’s eyes, it is quickly washed away.</t>
  </si>
  <si>
    <t>WIGGLYTUFF’s body is very flexible. By inhaling deeply, this POKéMON can inflate itself seemingly without end. Once inflated, WIGGLYTUFF bounces along lightly like a balloon.</t>
  </si>
  <si>
    <t>Tämän Pokémonin vankkaa vartaloa peittävät kovat suomut. Näyttää siltä, ​​että suomut kasvavat sykleissä.</t>
  </si>
  <si>
    <t>Its fur is the ultimate in luxuriousness. Sleeping alongside a WIGGLYTUFF is simply divine. Its body expands seemingly without end when it inhales.</t>
  </si>
  <si>
    <t>Its fur is extremely fine, dense, and supple. The exquisitely pleasant fur conveys an image of luxury.</t>
  </si>
  <si>
    <t>Its fine fur feels sublime to the touch. It can expand its body by inhaling air.</t>
  </si>
  <si>
    <t>Their fur feels so good that if two of them snuggle together, they won’t want to be separated.</t>
  </si>
  <si>
    <t>Nidoqueen on parempi puolustamaan kuin hyökkäämään. Suomut muistuttavat haarniskaa, joten tämä Pokémon suojaa lapsiaan kaikenlaisilta hyökkäyksiltä.</t>
  </si>
  <si>
    <t>It has a very fine fur. Take care not to make it angry, or it may inflate steadily and hit with a body slam.</t>
  </si>
  <si>
    <t>Its fine fur feels so pleasant, those who accidentally touch it cannot take their hands away.</t>
  </si>
  <si>
    <t>Se rauhoittelee jälkeläisiä asettamalla ne selässään olevien piikkien väliin. Piikit eivät koskaan eritä myrkkyä poikasten läsnä ollessa.</t>
  </si>
  <si>
    <t>Wigglytuff has large, saucerlike eyes. The surfaces of its eyes are always covered with a thin layer of tears. If any dust gets in this Pokémon’s eyes, it is quickly washed away.</t>
  </si>
  <si>
    <t>Wigglytuff’s body is very flexible. By inhaling deeply, this Pokémon can inflate itself seemingly without end. Once inflated, Wigglytuff bounces along lightly like a balloon.</t>
  </si>
  <si>
    <t>Nidoran♂</t>
  </si>
  <si>
    <t>Jäykistää korvansa aistiakseen vaaran. Mitä suuremmat sen sarvet, sitä voimakkaampaa sen erittämä myrkky.</t>
  </si>
  <si>
    <t>It sheds its fine fur when the seasons change. The fur is gathered and spun into a luxurious yarn.</t>
  </si>
  <si>
    <t>As it inhales, it expands...and expands...and expands. Wigglytuff compete to see which one can inflate itself the most.</t>
  </si>
  <si>
    <t>Sen suuret korvat pysyvät aina pystyssä. Jos se aistii vaaran, se hyökkää myrkyllisellä pistolla.</t>
  </si>
  <si>
    <t>Thanks to its bouncy body and fine fur, this Pokémon is sought after. Holding one in your arms while you sleep feels great.</t>
  </si>
  <si>
    <t>Se on pieni, mutta sen sarvi on täynnä myrkkyä. Se rynnäköi ja pistää sitten sarvella myrkkyä.</t>
  </si>
  <si>
    <t>https://pokeapi.co/api/v2/pokemon-species/31/</t>
  </si>
  <si>
    <t>Se nostaa suuret korvansa tarkistaakseen ympäristönsä. Se iskee ensin, jos se aistii vaaran.</t>
  </si>
  <si>
    <t>When it gets angry, it inhales with all its might, and its body gradually inflates. Sometimes they can grow 20 times larger!</t>
  </si>
  <si>
    <t>Se liikuttaa suuria korviaan jatkuvasti moneen suuntaan havaitakseen vaaran heti.</t>
  </si>
  <si>
    <t>Its body is very elastic. By inhaling deeply, it can continue to inflate itself without limit.</t>
  </si>
  <si>
    <t>NIDORAN-koiras on kehittänyt lihaksia korviensa liikuttamiseen. Niiden ansiosta korvia voi liikuttaa vapaasti mihin tahansa suuntaan. Pieninkään ääni ei jää tältä POKéMONilta huomaamatta.</t>
  </si>
  <si>
    <t>The more air it takes in, the more it inflates. If opponents catch it in a bad mood, it will inflate itself to an enormous size to intimidate them.</t>
  </si>
  <si>
    <t>It’s proud of its fur, which is fine and delicate. In particular, the curl on its forehead has a texture that’s perfectly heavenly.</t>
  </si>
  <si>
    <t>Forms colonies in perpetually dark places. Uses ultrasonic waves to identify and approach targets.</t>
  </si>
  <si>
    <t>NIDORAN-koiras on kehittänyt lihaksia, jotka liikuttavat korviaan vapaasti kaikkiin suuntiin. Pieninkään ääni ei jää tältä POKéMONilta huomaamatta.</t>
  </si>
  <si>
    <t>Emits ultrasonic cries while it flies. They act as a sonar used to check for ob jects in its way.</t>
  </si>
  <si>
    <t>Sen suuret korvat lepattavat kuin siivet, kun se kuuntelee kaukaisia ​​ääniä. Se levittää myrkyllisiä piikkejä suuttuessaan.</t>
  </si>
  <si>
    <t>While flying, it constantly emits ultrasonic waves from its mouth to check its sur roundings.</t>
  </si>
  <si>
    <t>Se jäykistää korviaan aistiakseen vaaran. Mitä suuremmat sen sarvet, sitä voimakkaampaa sen erittämä myrkky.</t>
  </si>
  <si>
    <t>Capable of flying safely in dark places, it emits ultrasonic cries to check for any obstacles.</t>
  </si>
  <si>
    <t>Se tarkkailee ympäristöään nostamalla korvansa ruohosta. Sen myrkyllinen sarvi on suojana.</t>
  </si>
  <si>
    <t>During the day, it gathers with others and hangs from the ceilings of old buildings and caves.</t>
  </si>
  <si>
    <t>ZUBAT remains quietly unmoving in a dark spot during the bright daylight hours. It does so because prolonged exposure to the sun causes its body to become slightly burned.</t>
  </si>
  <si>
    <t>ZUBAT avoids sunlight because exposure causes it to become unhealthy. During the daytime, it stays in caves or under the eaves of old houses, sleeping while hanging upside down.</t>
  </si>
  <si>
    <t>While living in pitch-black caverns, their eyes gradually grew shut and deprived them of vision. They use ultrasonic waves to detect obstacles.</t>
  </si>
  <si>
    <t>It has no eyes. Instead, it relies on its ultrasonic cries for echo location to flit about in darkness.</t>
  </si>
  <si>
    <t>It forms colonies in perpetually dark places and uses ultrasonic waves to identify and approach targets.</t>
  </si>
  <si>
    <t>Even though it has no eyes, it can sense obstacles using ultrasonic waves it emits from its mouth.</t>
  </si>
  <si>
    <t>Disliking sunlight, it sleeps deep in forests and caves until sundown.</t>
  </si>
  <si>
    <t>It checks its surroundings and location using reflections of the ultrasonic waves from its mouth.</t>
  </si>
  <si>
    <t>While flying, it constantly emits ultrasonic waves from its mouth to check its surroundings.</t>
  </si>
  <si>
    <t>It does not need eyes, because it emits ultrasonic waves to check its surroundings while it flies.</t>
  </si>
  <si>
    <t>It has no eyes. Instead, it relies on its ultrasonic cries for echolocation to flit about in darkness.</t>
  </si>
  <si>
    <t>Zubat remains quietly unmoving in a dark spot during the bright daylight hours. It does so because prolonged exposure to the sun causes its body to become slightly burned.</t>
  </si>
  <si>
    <t>Nidoran♂ on kehittänyt lihaksia korviensa liikuttamiseen. Niiden ansiosta korvia voi liikuttaa vapaasti mihin tahansa suuntaan. Pieninkään ääni ei jää tältä Pokémonilta huomaamatta.</t>
  </si>
  <si>
    <t>Zubat avoids sunlight because exposure causes it to become unhealthy. During the daytime, it stays in caves or under the eaves of old houses, sleeping while hanging upside down.</t>
  </si>
  <si>
    <t>It sleeps in caves during the day. It has no eyes, so to check its surroundings while flying, it emits ultrasonic waves.</t>
  </si>
  <si>
    <t>When exposed to sunlight, they suffer burns. The frequency of their ultrasonic waves can differ slightly from colony to colony.</t>
  </si>
  <si>
    <t>It has no eyeballs, so it can’t see. It checks its surroundings via the ultrasonic waves it emits from its mouth.</t>
  </si>
  <si>
    <t>Uros-nidoralaisen otsan sarvi sisältää voimakasta myrkkyä. Tämä on hyvin varovainen Pokémon, joka aina jännittää suuria korviaan.</t>
  </si>
  <si>
    <t>Pieni mutta rohkea Pokémon pitää pintansa ja jopa vaarantaa henkensä taistelussa suojellakseen naaraspuolista Pokémonia, jonka kanssa se on ystävällinen.</t>
  </si>
  <si>
    <t>Their skin is so thin that they’ll be burned if sunlight hits them. When it gets cold out, they gather together to warm one another’s bodies.</t>
  </si>
  <si>
    <t>Nidorino</t>
  </si>
  <si>
    <t>Aggressiivinen POKéMON, joka hyökkää nopeasti. Sen päässä oleva sarvi erittää voimakasta myrkkyä.</t>
  </si>
  <si>
    <t>Emits ultrasonic cries while it flies. They act as a sonar used to check for objects in its way.</t>
  </si>
  <si>
    <t>It emits ultrasonic waves from its mouth to check its surroundings. Even in tight caves, Zubat flies around with skill.</t>
  </si>
  <si>
    <t>Sen sarvet sisältävät myrkkyä. Jos ne isketään viholliseen, isku saa myrkyn vuotamaan ulos.</t>
  </si>
  <si>
    <t>Zubat live in caves, down where the sun’s light won’t reach. In the morning, they gather together to keep each other warm as they sleep.</t>
  </si>
  <si>
    <t>Se nostaa suuret korvansa tarkistaakseen ympäristönsä. Jos se aistii jotain, se hyökkää välittömästi.</t>
  </si>
  <si>
    <t>Makes its home in gloomy caves. Atrophied eyes have left this Pokémon blind, so it scans its surroundings via sound waves that it emits from its mouth as it flies.</t>
  </si>
  <si>
    <t>Se suuttuu nopeasti ja pistää vihollisia sarvellaan ruiskuttaakseen niihin voimakasta myrkkyä kiihtyessään.</t>
  </si>
  <si>
    <t>Once it strikes, it will not stop draining energy from the victim even if it gets too heavy to fly.</t>
  </si>
  <si>
    <t>Se on helposti levoton ja käyttää sarveaan hyökkäykseen heti, kun se huomaa hyökkääjän.</t>
  </si>
  <si>
    <t>It attacks in a stealthy manner, without warning. Its sharp fangs are used to bite and suck blood.</t>
  </si>
  <si>
    <t>NIDORINOlla on sarvi, joka on kovempi kuin timantti. Jos se aistii vihollisen läsnäolon, kaikki sen selän piikit nousevat kerralla pystyyn ja se haastaa vihollisen kaikella voimallaan.</t>
  </si>
  <si>
    <t>Sen sarvi on kovempi kuin timantti. Jos se aistii vihollisen läsnäolon, kaikki sen selän piikit nousevat kerralla pystyyn ja se haastaa vihollisen kaikella voimallaan.</t>
  </si>
  <si>
    <t>Se suuttuu helposti. Heiluttelemalla villisti hyvin kehittynyttä sarveaan se voi jopa lävistää timantin.</t>
  </si>
  <si>
    <t>However hard its victim's hide may be, it punctures with sharp fangs and gorges itself with blood.</t>
  </si>
  <si>
    <t>It can drink more than 10 ounces of blood at once. If it has too much, it gets heavy and flies clumsily.</t>
  </si>
  <si>
    <t>When it plunges its fangs into its prey, it instantly draws and gulps down more than ten ounces of blood.</t>
  </si>
  <si>
    <t>Sillä on väkivaltainen luonne ja se puukottaa vihollisia sarvellaan, josta tihkuu myrkkyä osuessaan.</t>
  </si>
  <si>
    <t>GOLBAT loves to drink the blood of living things. It is particularly active in the pitch black of night. This POKéMON flits around in the night skies, seeking fresh blood.</t>
  </si>
  <si>
    <t>GOLBAT bites down on prey with its four fangs and drinks the victim’s blood. It becomes active on inky dark moonless nights, flying around to attack people and POKéMON.</t>
  </si>
  <si>
    <t>Its fangs easily puncture even thick animal hide. It loves to feast on the blood of people and POKéMON. It flits about in darkness and strikes from behind.</t>
  </si>
  <si>
    <t>It clamps down on its prey with needle- sharp fangs and drains over 10 ounces of blood in one gulp.</t>
  </si>
  <si>
    <t>Once it bites, it will not stop draining energy from the victim even if it gets too heavy to fly.</t>
  </si>
  <si>
    <t>It loves the blood of humans and Pokémon. It flies around at night in search of neck veins.</t>
  </si>
  <si>
    <t>Once it starts sucking blood, it does not stop until it is full. It flies at night in search of prey.</t>
  </si>
  <si>
    <t>https://pokeapi.co/api/v2/pokemon-species/32/</t>
  </si>
  <si>
    <t>Its sharp fangs puncture the toughest of hides and have small holes for greedily sucking blood.</t>
  </si>
  <si>
    <t>However hard its victim’s hide may be, it punctures with sharp fangs and gorges itself with blood.</t>
  </si>
  <si>
    <t>Flitting around in the dead of night, it sinks its fangs into its prey and drains a nearly fatal amount of blood.</t>
  </si>
  <si>
    <t>Golbat loves to drink the blood of living things. It is particularly active in the pitch black of night. This Pokémon flits around in the night skies, seeking fresh blood.</t>
  </si>
  <si>
    <t>Aggressiivinen Pokémon, joka hyökkää nopeasti. Sen päässä oleva sarvi erittää voimakasta myrkkyä.</t>
  </si>
  <si>
    <t>Golbat bites down on prey with its four fangs and drinks the victim’s blood. It becomes active on inky dark moonless nights, flying around to attack people and Pokémon.</t>
  </si>
  <si>
    <t>Nidorinolla on timanttia kovempi sarvi. Jos se aistii vihollisen läsnäolon, kaikki sen selän piikit nousevat kerralla pystyyn ja se haastaa vihollisen kaikella voimallaan.</t>
  </si>
  <si>
    <t>Its thick fangs are hollow like straws, making them unexpectedly fragile. These fangs are specialized for sucking blood.</t>
  </si>
  <si>
    <t>Sometimes they drink so much blood, they can’t fly anymore. Then they fall to the ground and become food for other Pokémon.</t>
  </si>
  <si>
    <t>Sen sarvi sisältää myrkkyä. Jos se iskee vihollista sarvella, isku saa myrkyn vuotamaan ulos.</t>
  </si>
  <si>
    <t>Every once in a while, you’ll see a Golbat that’s missing some fangs. This happens when hunger drives it to try biting a Steel-type Pokémon.</t>
  </si>
  <si>
    <t>They can suck down over 10 ounces of blood in one go. They have been known to drink so much blood that they can no longer fly.</t>
  </si>
  <si>
    <t>It attacks in a stealthy manner, without warning. Its sharp fangs are used to bite and to suck blood.</t>
  </si>
  <si>
    <t>Timanttia kovemman sarvensa ansiosta tämä Pokémon kulkee ympäriinsä rikkoen lohkareita etsiessään kuukiveä.</t>
  </si>
  <si>
    <t>It loves to drink other creatures’ blood. It’s said that if it finds others of its kind going hungry, it sometimes shares the blood it’s gathered.</t>
  </si>
  <si>
    <t>Se on hermostunut ja nopea toimimaan aggressiivisesti. Sen myrkyn teho kasvaa sen kehossa olevan adrenaliinin määrän kasvaessa.</t>
  </si>
  <si>
    <t>Its feet are tiny, but this Pokémon walks skillfully. It sneaks up on sleeping prey before sinking in its fangs and slurping up blood.</t>
  </si>
  <si>
    <t>Nidoking</t>
  </si>
  <si>
    <t>It sinks its sharp fangs into other creatures and slurps up their blood. A closer look at the fangs reveals that they are hollow and akin to straws.</t>
  </si>
  <si>
    <t>Se käyttää taistelussa voimakasta häntäänsä murskatakseen, kuristaakseen ja lopulta rikkoakseen saaliinsa luut.</t>
  </si>
  <si>
    <t>During the day, it keeps its face buried in the ground. At night, it wanders around sowing its seeds.</t>
  </si>
  <si>
    <t>It may be mistaken for a clump of weeds. If you try to yank it out of the ground, it shrieks horribly.</t>
  </si>
  <si>
    <t>Sen teräksen kaltainen nahka lisää sen voimakasta taktiikkaa. Sen sarvet ovat niin kovat, että ne voivat lävistää timantin.</t>
  </si>
  <si>
    <t>Awakened by moon light, it roams actively at night. In the day, it stays quietly underground.</t>
  </si>
  <si>
    <t>If exposed to moonlight, it starts to move. It roams far and wide at night to scatter its seeds.</t>
  </si>
  <si>
    <t>Se heiluttelee isoa häntäänsä taistelun aikana. Jos vihollinen säpsähtää, se hyökkää jykevällä ruumiillaan.</t>
  </si>
  <si>
    <t>During the day, it stays in the cold underground to avoid the sun. It grows by bath ing in moonlight.</t>
  </si>
  <si>
    <t>During the daytime, ODDISH buries itself in soil to absorb nutrients from the ground using its entire body. The more fertile the soil, the glossier its leaves become.</t>
  </si>
  <si>
    <t>Sen häntä on paksu ja voimakas. Jos se sitoo vihollisen, se voi helposti napsauttaa uhrin selkärangan poikki.</t>
  </si>
  <si>
    <t>ODDISH searches for fertile, nutrient- rich soil, then plants itself. During the daytime, while it is planted, this POKéMON’s feet are thought to change shape and become similar to the roots of trees.</t>
  </si>
  <si>
    <t>Se käyttää paksuja käsivarsiaan, jalkojaan ja häntäänsä hyökätäkseen voimakkaasti. Lähitaistelu on sen erikoisalaa.</t>
  </si>
  <si>
    <t>This POKéMON grows by absorbing moonlight. During the daytime, it buries itself in the ground, leaving only its leaves exposed to avoid detection by its enemies.</t>
  </si>
  <si>
    <t>NIDOKINGin paksu häntä on valtavan tuhoisa. Yhdellä iskulla se voi kaataa metallisen lähetystornin. Kun tämä POKéMON riehuu, sitä ei voi pysäyttää.</t>
  </si>
  <si>
    <t>Its scientific name is “Oddium Wanderus.” At night, it is said to walk nearly 1,000 feet on its two roots.</t>
  </si>
  <si>
    <t>It often plants its root feet in the ground during the day and sows seeds as it walks about at night.</t>
  </si>
  <si>
    <t>NIDOKINGin paksu pyrstö kantaa valtavaa tuhovoimaa, joka kykenee kaatamaan metallisen lähetystornin. Kun se lähtee riehumaan, sitä ei voi pysäyttää.</t>
  </si>
  <si>
    <t>Awakened by moonlight, it roams actively at night. In the day, it stays quietly underground.</t>
  </si>
  <si>
    <t>During the day, it stays in the cold underground to avoid the sun. It grows by bathing in moonlight.</t>
  </si>
  <si>
    <t>Sen tunnistaa kivikovasta nahastaan ​​ja pitkästä sarvestaan. Ole varovainen sarven kanssa, sillä se sisältää myrkkyä.</t>
  </si>
  <si>
    <t>Se käyttää taistelussa voimakasta häntäänsä murskatakseen, kuristaakseen ja lopulta katkaistakseen saaliinsa luut.</t>
  </si>
  <si>
    <t>Yksi mahtavan pyrstön heilautus voi katkaista puhelinpylvään kuin tulitikun.</t>
  </si>
  <si>
    <t>During the daytime, Oddish buries itself in soil to absorb nutrients from the ground using its entire body. The more fertile the soil, the glossier its leaves become.</t>
  </si>
  <si>
    <t>Oddish searches for fertile, nutrient-rich soil, then plants itself. During the daytime, while it is planted, this Pokémon’s feet are thought to change shape and become similar to the roots of trees.</t>
  </si>
  <si>
    <t>The fluid that oozes from its mouth isn't drool. It is a nectar that is used to attract prey.</t>
  </si>
  <si>
    <t>Smells incredibly foul! However, around 1 out of 1,000 people enjoy sniffing its nose- bending stink.</t>
  </si>
  <si>
    <t>What appears to be drool is actually sweet honey. It is very sticky and clings stubbornly if touched.</t>
  </si>
  <si>
    <t>It secretes a sticky, drool-like honey. Although sweet, it smells too repulsive to get very close.</t>
  </si>
  <si>
    <t>Sen häntä on paksu ja voimakas. Jos se sitoo vihollisen, se voi tehdä uhrin helposti avuttomaksi.</t>
  </si>
  <si>
    <t>The smell from its drool-like syrup and the pollen on its petals is so bad, it may make opponents faint.</t>
  </si>
  <si>
    <t>GLOOM releases a foul fragrance from the pistil of its flower. When faced with danger, the stench worsens. If this POKéMON is feeling calm and secure, it does not release its usual stinky aroma.</t>
  </si>
  <si>
    <t>From its mouth GLOOM drips honey that smells absolutely horrible. Apparently, it loves the horrid stench. It sniffs the noxious fumes and then drools even more of its honey.</t>
  </si>
  <si>
    <t>A horribly noxious honey drools from its mouth. One whiff of the honey can result in memory loss. Some fans are said to enjoy this overwhelming stink, however.</t>
  </si>
  <si>
    <t>Its pistils exude an incredibly foul odor. The horrid stench can cause fainting at a distance of 1.25 miles.</t>
  </si>
  <si>
    <t>The fluid that oozes from its mouth isn’t drool. It is a nectar that is used to attract prey.</t>
  </si>
  <si>
    <t>The honey it drools from its mouth smells so atrocious, it can curl noses more than a mile away.</t>
  </si>
  <si>
    <t>Smells incredibly foul! However, around one out of a thousand people enjoy sniffing its nose-bending stink.</t>
  </si>
  <si>
    <t>Gloom releases a foul fragrance from the pistil of its flower. When faced with danger, the stench worsens. If this Pokémon is feeling calm and secure, it does not release its usual stinky aroma.</t>
  </si>
  <si>
    <t>From its mouth Gloom drips honey that smells absolutely horrible. Apparently, it loves the horrid stench. It sniffs the noxious fumes and then drools even more of its honey.</t>
  </si>
  <si>
    <t>Nidokingin paksu häntä on valtavan tuhoisa. Yhdellä iskulla se voi kaataa metallisen lähetystornin. Kun tämä Pokémon riehuu, sitä ei voi pysäyttää.</t>
  </si>
  <si>
    <t>https://pokeapi.co/api/v2/pokemon-species/33/</t>
  </si>
  <si>
    <t>The larger its petals, the more toxic pollen it contains. Its big head is heavy and hard to hold up.</t>
  </si>
  <si>
    <t>Flaps its broad flower petals to scatter its poisonous pollen. The flapping sound is very loud.</t>
  </si>
  <si>
    <t>It has the world's largest petals. With every step, the petals shake out heavy clouds of toxic pollen.</t>
  </si>
  <si>
    <t>The bud bursts into bloom with a bang. It then starts scattering allergenic, poi sonous pollen.</t>
  </si>
  <si>
    <t>Kun se riehuu, sitä on mahdotonta hallita. Mutta pitkään yhdessä olleen Nidokeyn läsnäollessa Nidoking rauhoittuu.</t>
  </si>
  <si>
    <t>By shaking its big petals, it scat ters toxic pollen into the air, turning the air yellow.</t>
  </si>
  <si>
    <t>VILEPLUME’s toxic pollen triggers atrocious allergy attacks. That’s why it is advisable never to approach any attractive flowers in a jungle, however pretty they may be.</t>
  </si>
  <si>
    <t>VILEPLUME has the world’s largest petals. They are used to attract prey that are then doused with toxic spores. Once the prey are immobilized, this POKéMON catches and devours them.</t>
  </si>
  <si>
    <t>Nidoking on ylpeä vahvuudestaan. Se on taistelussa voimakas ja eloisa, hyödyntäen paksua häntäänsä ja timantteja murskaavaa sarveaan.</t>
  </si>
  <si>
    <t>Clefairy</t>
  </si>
  <si>
    <t>Keiju-Pokémon</t>
  </si>
  <si>
    <t>In seasons when it produces more pollen, the air around a VILEPLUME turns yellow with the powder as it walks. The pollen is highly toxic and causes paralysis.</t>
  </si>
  <si>
    <t>Sen maaginen ja suloinen viehätysvoima on täynnä ihailijoita. Se on harvinainen ja sitä tavataan vain tietyillä alueilla.</t>
  </si>
  <si>
    <t>Its petals are the largest in the world. It fiendishly scatters allergy-causing pollen from its petals.</t>
  </si>
  <si>
    <t>Its petals are the largest in the world. As it walks, it scatters extremely allergenic pollen.</t>
  </si>
  <si>
    <t>Ihailtu söpön ulkonäkönsä ja leikkisyytensä vuoksi. Niiden uskotaan olevan harvinaisia, koska ne eivät esiinny usein.</t>
  </si>
  <si>
    <t>It has the world’s largest petals. With every step, the petals shake out heavy clouds of toxic pollen.</t>
  </si>
  <si>
    <t>The bud bursts into bloom with a bang. It then starts scattering allergenic, poisonous pollen.</t>
  </si>
  <si>
    <t>Kuunvalo, jonka se varastoi selkänsä siipiin, antaa sille ilmeisesti kyvyn leijua ilmassa.</t>
  </si>
  <si>
    <t>Vileplume’s toxic pollen triggers atrocious allergy attacks. That’s why it is advisable never to approach any attractive flowers in a jungle, however pretty they may be.</t>
  </si>
  <si>
    <t>Sen suloinen käytös ja itku tekevät siitä erittäin suositun. Tätä suloista POKéMONia näkee kuitenkin harvoin.</t>
  </si>
  <si>
    <t>Vileplume has the world’s largest petals. They are used to attract prey that are then doused with toxic spores. Once the prey are immobilized, this Pokémon catches and devours them.</t>
  </si>
  <si>
    <t>Vaikka sitä nähdään harvoin, se on jostain syystä helpompi havaita täysikuun aikaan.</t>
  </si>
  <si>
    <t>Burrows to suck tree roots. The mushrooms on its back grow by draw ing nutrients from the bug host.</t>
  </si>
  <si>
    <t>Joka täysikuun yönä näiden POKéMONien ryhmät tulevat ulos leikkimään. Aamun sarastaessa väsyneet CLEFAIRYt palaavat hiljaisiin vuoristopaikkoihinsa ja nukahtavat painautuneena toisiaan vasten.</t>
  </si>
  <si>
    <t>Burrows under the ground to gnaw on tree roots. The mushrooms on its back absorb most of the nutrition.</t>
  </si>
  <si>
    <t>It is doused with mushroom spores when it is born. As its body grows, mushrooms sprout from its back.</t>
  </si>
  <si>
    <t>Täydenkuun aikaan he tulevat ulos leikkimään. Aamun sarastaessa väsyneet Clefairyt nukahtavat painautuneena toisiaan vasten syvien ja hiljaisten vuorten sekaan.</t>
  </si>
  <si>
    <t>As its body grows large, oriental mushrooms named tochukaso start sprouting out of its back.</t>
  </si>
  <si>
    <t>Sen ihastuttava ulkonäkö tekee siitä suositun lemmikkinä. Se on kuitenkin harvinainen ja vaikea löytää.</t>
  </si>
  <si>
    <t>The tochukaso growing on this POKéMON's back orders it to extract juice from tree trunks.</t>
  </si>
  <si>
    <t>Maagisen ja söpön viehätyksensä ansiosta sillä on paljon ihailijoita. Se on harvinainen ja sitä tavataan vain tietyillä alueilla.</t>
  </si>
  <si>
    <t>PARAS has parasitic mushrooms growing on its back called tochukaso. They grow large by drawing nutrients from the BUG POKéMON host. They are highly valued as a medicine for extending life.</t>
  </si>
  <si>
    <t>Sen uskotaan elävän muiden kanssa hiljaisilla vuorilla, ja se on suosittu ihastuttavan luontonsa vuoksi.</t>
  </si>
  <si>
    <t>PARAS has parasitic mushrooms growing on its back called tochukaso. They grow large by drawing nutrients from this BUG POKéMON host. They are highly valued as a medicine for extending life.</t>
  </si>
  <si>
    <t>Se lentää käyttäen selkänsä siipiä kuunvalon keräämiseen. Tätä Pokémonia on vaikea löytää.</t>
  </si>
  <si>
    <t>A PARAS has parasitic tochukaso mushrooms growing on its back. They grow by drawing nutrients from the host. They are valued as a medicine for long life.</t>
  </si>
  <si>
    <t>Sanotaan, että onni saavuttaa ne, jotka näkevät CLEFAIRY-väen tanssivan täysikuun aikaan.</t>
  </si>
  <si>
    <t>Growing out of the bug’s back are mushrooms called tochukaso. The mushrooms grow with the bug host.</t>
  </si>
  <si>
    <t>Burrows to suck tree roots. The mushrooms on its back grow by drawing nutrients from the bug host.</t>
  </si>
  <si>
    <t>Sen ihastuttava käytös ja itku tekevät siitä erittäin suositun. Tätä suloista Pokémonia löytyy kuitenkin harvoin.</t>
  </si>
  <si>
    <t>Mushrooms named tochukaso grow on its back. They grow along with the host PARAS.</t>
  </si>
  <si>
    <t>Sanotaan, että onni tulee niille, jotka näkevät Clefairy-joukkojen tanssivan täysikuun aikaan.</t>
  </si>
  <si>
    <t>As its body grows, large mushrooms named tochukaso start sprouting out of its back.</t>
  </si>
  <si>
    <t>Mushrooms named tochukaso grow on its back. They grow along with the host Paras.</t>
  </si>
  <si>
    <t>Paras has parasitic mushrooms growing on its back called tochukaso. They grow large by drawing nutrients from this Bug Pokémon host. They are highly valued as a medicine for extending life.</t>
  </si>
  <si>
    <t>Täydenkuun öinä clefairy-perhoset kokoontuvat kaikkialta tanssimaan. Kuunvalossa kylpeminen saa ne leijumaan.</t>
  </si>
  <si>
    <t>No matter how much it eats, the mushrooms growing on its back steal away most of the nutrients it consumes.</t>
  </si>
  <si>
    <t>Mushrooms called tochukaso sprout from its back. They can be dried and powdered to make a medicine used to extend life.</t>
  </si>
  <si>
    <t>Whether it’s due to a lack of moisture or a lack of nutrients, in Alola the mushrooms on Paras don’t grow up quite right.</t>
  </si>
  <si>
    <t>The mushrooms, known as tochukaso, are controlling the bug. Even if the bug bugs the mushrooms, they tell it to bug off.</t>
  </si>
  <si>
    <t>Täydenkuun aikaan tämän Pokémonin ryhmiä tulee ulos leikkimään. Aamun sarastaessa väsyneet Clefairyt palaavat hiljaisiin vuoristopaikkoihinsa ja nukahtavat painautuneena toisiaan vasten.</t>
  </si>
  <si>
    <t>Sometimes seen at the foot of trees in humid forests. The mushrooms on its back—called tochukaso—are not present on infant specimens and instead emerge as Paras matures.</t>
  </si>
  <si>
    <t>A host-parasite pair in which the parasite mushroom has taken over the host bug. Prefers damp places.</t>
  </si>
  <si>
    <t>Sen ihastuttava käytös ja ulkonäkö tekevät siitä suositun miesten ja naisten, nuorten ja vanhojen, keskuudessa. Sitä on kuitenkin vähän.</t>
  </si>
  <si>
    <t>The bug host is drained of energy by the mushrooms on its back. They appear to do all the thinking.</t>
  </si>
  <si>
    <t>Täydenkuun öinä ne kokoontuvat yhteen ja tanssivat. Ympäröivä alue on epänormaalin magneettikentän ympäröimä.</t>
  </si>
  <si>
    <t>It stays mostly in dark, damp places, the preference not of the bug, but of the big mush rooms on its back.</t>
  </si>
  <si>
    <t>The larger the mushroom on its back grows, the stronger the mush room spores it scatters.</t>
  </si>
  <si>
    <t>Ne ovat suosittuja, mutta harvinaisia. Niitä holtittomasti esittelevät kouluttajat voivat joutua varkaiden kohteeksi.</t>
  </si>
  <si>
    <t>When nothing's left to extract from the bug, the mushrooms on its back leave spores on the bug's egg.</t>
  </si>
  <si>
    <t>Kuunvalossa kylpevät sen siivet hehkuvat himmeästi. Räpyttelemättäkään Clefairy nousee ilmaan ja tanssii ympäriinsä.</t>
  </si>
  <si>
    <t>PARASECT is known to infest large trees en masse and drain nutrients from the lower trunk and roots. When an infested tree dies, they move onto another tree all at once.</t>
  </si>
  <si>
    <t>PARASECT are known to infest the roots of large trees en masse and drain nutrients. When an infested tree dies, they move onto another tree all at once.</t>
  </si>
  <si>
    <t>It scatters toxic spores from the mushroom cap. In China, the spores are used as herbal medicine.</t>
  </si>
  <si>
    <t>A mushroom grown larger than the host’s body controls PARASECT. It scatters poisonous spores.</t>
  </si>
  <si>
    <t>It is controlled by a mushroom grown larger than the bug body. It is said to prefer damp places.</t>
  </si>
  <si>
    <t>It stays mostly in dark, damp places, the preference not of the bug, but of the big mushroom on its back.</t>
  </si>
  <si>
    <t>Sitä voi tavata hiljaisilla vuoristoalueilla täysikuun yönä. Sen tanssi ja pienet, himmeästi hohtavat siivet antavat sille ihanan keijukaisen luonteen.</t>
  </si>
  <si>
    <t>Clefable</t>
  </si>
  <si>
    <t>The larger the mushroom on its back grows, the stronger the mushroom spores it scatters.</t>
  </si>
  <si>
    <t>Ujo keiju-POKéMON, jota näkee harvoin. Se juoksee piiloon heti, kun se havaitsee ihmisiä.</t>
  </si>
  <si>
    <t>A mushroom grown larger than the host’s body controls Parasect. It scatters poisonous spores.</t>
  </si>
  <si>
    <t>Parasect is known to infest large trees en masse and drain nutrients from the lower trunk and roots. When an infested tree dies, they move onto another tree all at once.</t>
  </si>
  <si>
    <t>Ne vaikuttavat olevan hyvin suojelevaisia ​​omaa maailmaansa kohtaan. Ne ovat eräänlaisia ​​keijuja, joita ihmiset harvoin näkevät.</t>
  </si>
  <si>
    <t>The large mushroom on its back controls it. It often fights over territory with Shiinotic.</t>
  </si>
  <si>
    <t>Terävän kuulonsa ansiosta se pystyy havaitsemaan ääniä kaukaa. Se yleensä piiloutuu hiljaisiin paikkoihin.</t>
  </si>
  <si>
    <t>It scatters toxic spores from its mushroom cap. Once harvested, these spores can be steeped and boiled down to prepare herbal medicines.</t>
  </si>
  <si>
    <t>https://pokeapi.co/api/v2/pokemon-species/34/</t>
  </si>
  <si>
    <t>Sen erittäin herkät korvat auttavat sitä erottamaan kaukaiset äänet. Siksi se viihtyy hiljaisissa paikoissa.</t>
  </si>
  <si>
    <t>The bug is mostly dead, with the mushroom on its back having become the main body. If the mushroom comes off, the bug stops moving.</t>
  </si>
  <si>
    <t>Tämän tyyppisen keijun sanotaan asuvan hiljaisilla, syrjäisillä vuorilla, ja hänellä on voimakas vastenmielisyys tulla nähdyksi.</t>
  </si>
  <si>
    <t>Its poisonous spores are also used in traditional medicine. Apparently, spores produced in Alola are not of very good quality.</t>
  </si>
  <si>
    <t>CLEFABLE liikkuu hyppimällä kevyesti ikään kuin se lentäisi siipiään käyttäen. Sen pomppivan askeleen ansiosta se voi jopa kävellä veden päällä. Sen tiedetään tekevän kävelyretkiä järvillä hiljaisina, kuutamoisina öinä.</t>
  </si>
  <si>
    <t>The bug host is drained of energy by the mushroom on its back. The mushroom appears to do all the thinking.</t>
  </si>
  <si>
    <t>Mushroom-lacking specimens of this Pokémon lie unmoving in the forest, lending credence to the hypothesis that the large mushroom is in control of Parasect's actions.</t>
  </si>
  <si>
    <t>PUHDISTETTAVA hyppii kevyesti siipiensä avulla aivan kuin se lentäisi. Sen pomppivan askeleen ansiosta se voi jopa kävellä veden päällä. Hiljaisina, kuutamoisina öinä se vaeltelee järvien pinnalla.</t>
  </si>
  <si>
    <t>Lives in the shadows of tall trees where it eats insects. It is attracted by light at night.</t>
  </si>
  <si>
    <t>Sillä on tarkka kuulo. Se kuulee helposti neulan putoamisen lähes 1 100 metrin päästä.</t>
  </si>
  <si>
    <t>Its large eyes act as radars. In a bright place, you can see that they are clusters of many tiny eyes.</t>
  </si>
  <si>
    <t>Harvoin nähty ujo keiju-POKéMON juoksee piiloon havaitessaan ihmisiä.</t>
  </si>
  <si>
    <t>Its eyes also function as radar units. It catches and eats small bugs that hide in darkness.</t>
  </si>
  <si>
    <t>Ihmiset näkevät sen harvoin, ja sen sanotaan vetävän täysikuun puoleensa leikkimään autioilla järvillä.</t>
  </si>
  <si>
    <t>Poison oozes from all over its body. It catches and eats small bugs at night that are at tracted by light.</t>
  </si>
  <si>
    <t>The small bugs it eats appear only at night, so it sleeps in a hole in a tree until night falls.</t>
  </si>
  <si>
    <t>Sen kuulo on niin tarkka, että se voi kuulla neulan putoamisen yli 800 metrin päästä. Se elää hiljaisilla vuorilla.</t>
  </si>
  <si>
    <t>VENONAT is said to have evolved with a coat of thin, stiff hair that covers its entire body for protection. It possesses large eyes that never fail to spot even miniscule prey.</t>
  </si>
  <si>
    <t>Se on hyvin varovainen ja näyttäytyy harvoin ihmisille. Sen korvat kuulevat neulan putoamisen yli 800 metrin päästä.</t>
  </si>
  <si>
    <t>Its coat of thin, stiff hair that covers its entire body is said to have evolved for protection. Its large eyes never fail to spot even miniscule prey.</t>
  </si>
  <si>
    <t>Its eyes act as radar, enabling it to be active in darkness. The eyes can also shoot powerful beams.</t>
  </si>
  <si>
    <t>Sen erittäin herkät korvat auttavat sitä erottamaan kaukaiset äänet. Siksi se suosii hiljaisia ​​paikkoja.</t>
  </si>
  <si>
    <t>Lives in the shadows of tall trees where it eats bugs. It is attracted by light at night.</t>
  </si>
  <si>
    <t>Its big eyes are actually clusters of tiny eyes. At night, its kind is drawn by light.</t>
  </si>
  <si>
    <t>Poison oozes from all over its body. It catches and eats small bugs at night that are attracted by light.</t>
  </si>
  <si>
    <t>Niiden korvat ovat riittävän herkät kuulemaan neulan putoamisen yli mailin päästä, joten ne tavataan yleensä hiljaisissa paikoissa.</t>
  </si>
  <si>
    <t>Venonat is said to have evolved with a coat of thin, stiff hair that covers its entire body for protection. It possesses large eyes that never fail to spot even minuscule prey.</t>
  </si>
  <si>
    <t>Its large eyes act as radar. In a bright place, you can see that they are clusters of many tiny eyes.</t>
  </si>
  <si>
    <t>The dust-like scales covering its wings are color coded to indicate the kinds of poison it has.</t>
  </si>
  <si>
    <t>Harvoin nähty arka keiju-Pokémon juoksee piiloon havaitessaan ihmisiä.</t>
  </si>
  <si>
    <t>The powdery scales on its wings are hard to remove. They also contain poison that leaks out on contact.</t>
  </si>
  <si>
    <t>Clefable liikkuu hyppimällä kevyesti aivan kuin se lentäisi siipiään käyttäen. Sen pomppivan askeleen ansiosta se voi jopa kävellä veden päällä. Sen tiedetään tekevän kävelyretkiä järvillä hiljaisina, kuutamoisina öinä.</t>
  </si>
  <si>
    <t>When it attacks, it flaps its large wings violently to scatter its poi sonous powder all around.</t>
  </si>
  <si>
    <t>The powder on its wings is poisonous if it is dark in color. If it is light, it causes paralysis.</t>
  </si>
  <si>
    <t>The scales it scatters will paralyze anyone who touches them, making that person unable to stand.</t>
  </si>
  <si>
    <t>Ne eivät halua paljastaa itseään ihmisten edessä. Ne elävät hiljaa laumoissa syvällä vuoristossa.</t>
  </si>
  <si>
    <t>VENOMOTH is nocturnal - it is a POKéMON that only becomes active at night. Its favorite prey are small insects that gather around streetlights, attracted by the light in the darkness.</t>
  </si>
  <si>
    <t>Perimätiedon mukaan ihmiset, jotka näkevät Clefable-parin hyppimässä ohi, voivat odottaa onnellista avioliittoa.</t>
  </si>
  <si>
    <t>VENOMOTH are nocturnal--they only are active at night. Their favorite prey are insects that gather around streetlights, attracted by the light in the darkness.</t>
  </si>
  <si>
    <t>Se ei voi olla kuulematta neulan putoavan yli 800 metrin päästä, joten se asuu syvällä vuoristossa, missä ei ole paljon ihmisiä tai Pokémoneja.</t>
  </si>
  <si>
    <t>The wings are covered with dustlike scales. Every time it flaps its wings, it looses highly toxic dust.</t>
  </si>
  <si>
    <t>The dustlike scales covering its wings are color-coded to indicate the kinds of poison it has.</t>
  </si>
  <si>
    <t>Jotkut tiedemiehet uskovat, että se tuijottaa täysikuun öinä intensiivisesti taivasta, koska se kaipaa kotia.</t>
  </si>
  <si>
    <t>It flutters its wings to scatter dustlike scales. The scales leach toxins if they contact skin.</t>
  </si>
  <si>
    <t>When it attacks, it flaps its large wings violently to scatter its poisonous powder all around.</t>
  </si>
  <si>
    <t>The powder on its wings is poisonous if it is dark in hue. If it is light in hue, it causes paralysis.</t>
  </si>
  <si>
    <t>Venomoth is nocturnal—it is a Pokémon that only becomes active at night. Its favorite prey are small insects that gather around streetlights, attracted by the light in the darkness.</t>
  </si>
  <si>
    <t>The powdery scales on its wings are hard to remove from skin. They also contain poison that leaks out on contact.</t>
  </si>
  <si>
    <t>Legendan mukaan se kuuntelee kirkkaina, hiljaisina öinä sukulaistensa ääniä kuussa. Minäkin ajattelen usein kaukaista kotimaatani.</t>
  </si>
  <si>
    <t>Vulpix</t>
  </si>
  <si>
    <t>Lives about one yard underground where it feeds on plant roots. It sometimes appears above ground.</t>
  </si>
  <si>
    <t>Kettu-Pokémon</t>
  </si>
  <si>
    <t>Syntyessään sillä on vain yksi häntä. Häntä haarautuu kärjestä sen kasvaessa.</t>
  </si>
  <si>
    <t>It prefers dark places. It spends most of its time underground, though it may pop up in caves.</t>
  </si>
  <si>
    <t>Its skin is very thin. If it is exposed to light, its blood heats up, causing it to grow weak.</t>
  </si>
  <si>
    <t>If a DIGLETT DIGS through a field, it leaves the soil perfectly tilled and ideal for planting crops.</t>
  </si>
  <si>
    <t>Sekä sen turkki että sen häntä ovat kauniita. Kasvaessaan hännät jakautuvat ja muodostavat lisää häntiä.</t>
  </si>
  <si>
    <t>It digs under ground and chews on tree roots, sticking its head out only when the sun isn't bright.</t>
  </si>
  <si>
    <t>Kehittyessään sen yksi valkoinen häntä saa väriä ja jakautuu kuuteen osaan. Se on melko lämmin ja suloinen.</t>
  </si>
  <si>
    <t>DIGLETT are raised in most farms. The reason is simple - wherever this POKéMON burrows, the soil is left perfectly tilled for planting crops. This soil is made ideal for growing delicious vegetables.</t>
  </si>
  <si>
    <t>Jos sitä hyökkää itseään vahvempi vihollinen, se teeskentelee loukkaantuneensa huijatakseen vihollista ja pakenee.</t>
  </si>
  <si>
    <t>DIGLETT are raised in most farms. The reason is simple--wherever they burrow, the soil is left perfectly tilled for growing delicious crops.</t>
  </si>
  <si>
    <t>Ruumiin kasvaessa sen kuusi lämmintä häntää kauniituvat ja niiden turkki muuttuu ylellisemmäksi.</t>
  </si>
  <si>
    <t>It burrows through the ground at a shallow depth. It leaves raised earth in its wake, making it easy to spot.</t>
  </si>
  <si>
    <t>Syntyessään VULPIXilla on yksi valkoinen häntä. Häntä jakautuu kuudeksi, jos tämä POKéMON saa paljon rakkautta KOULUTTAJALTAAN. Kuusi häntää kiertyvät upeasti.</t>
  </si>
  <si>
    <t>Lives about one yard underground where it feeds on plant roots. It sometimes appears aboveground.</t>
  </si>
  <si>
    <t>A Pokémon that lives underground. Because of its dark habitat, it is repelled by bright sunlight.</t>
  </si>
  <si>
    <t>VULPIXin ruumiin sisällä palaa sammumaton liekki. Päivällä, kun lämpötila nousee, tämä POKéMON päästää liekkejä suustaan ​​estääkseen ruumiinsa kuumenemisen liikaa.</t>
  </si>
  <si>
    <t>If a DIGLETT digs through a field, it leaves the soil perfectly tilled and ideal for planting crops.</t>
  </si>
  <si>
    <t>Se voi hallita tulta vapaasti, saaden tulisia palloja lentämään kuin virvatulia. Juuri ennen evoluutiota sen kuusi pyrstöä kuumenevat kuin tulessa.</t>
  </si>
  <si>
    <t>Diglett are raised in most farms. The reason is simple— wherever this Pokémon burrows, the soil is left perfectly tilled for planting crops. This soil is made ideal for growing delicious vegetables.</t>
  </si>
  <si>
    <t>It chews on plant roots underground. Farmers whose vegetables are vulnerable find it can be quite a pest.</t>
  </si>
  <si>
    <t>Nuorena sillä on kuusi upeaa pyrstöä. Kun se kasvaa, sille kasvaa useita uusia pyrstöjä.</t>
  </si>
  <si>
    <t>Many farmers cherish and nurture Diglett because its droppings enrich the soil it lives in.</t>
  </si>
  <si>
    <t>Syntyessään sillä on vain yksi lumivalkoinen häntä. Pyrstö haarautuu kärjestä sen kasvaessa.</t>
  </si>
  <si>
    <t>It travels through tunnels that it digs underground. It hates sunlight, so it comes out only after the sun goes down.</t>
  </si>
  <si>
    <t>Se hallitsee tulipalloja. Kasvaessaan sen kuusi pyrstöä haarautuvat kärjistään muodostaen lisää pyrstöjä.</t>
  </si>
  <si>
    <t>Around their crops, farmers plant the kind of tree that Diglett like to eat as a way of getting Diglett to plow the fields for them.</t>
  </si>
  <si>
    <t>If a Diglett digs through a field, it leaves the soil perfectly tilled and ideal for planting crops.</t>
  </si>
  <si>
    <t>https://pokeapi.co/api/v2/pokemon-species/35/</t>
  </si>
  <si>
    <t>A team of DIGLETT triplets. It triggers huge earthquakes by burrowing 60 miles underground.</t>
  </si>
  <si>
    <t>A team of triplets that can burrow over 60 MPH. Due to this, some people think it's an earthquake.</t>
  </si>
  <si>
    <t>Its three heads bob separately up and down to loosen the soil nearby, making it easier for it to burrow.</t>
  </si>
  <si>
    <t>Extremely power ful, they can DIG through even the hardest ground to a depth of over 60 miles.</t>
  </si>
  <si>
    <t>These DIGLETT triplets dig over 60 miles below sea level. No one knows what it's like underground.</t>
  </si>
  <si>
    <t>DUGTRIO are actually triplets that emerged from one body. As a result, each triplet thinks exactly like the other two triplets. They work cooperatively to burrow endlessly.</t>
  </si>
  <si>
    <t>Because the triplets originally split from one body, they think exactly alike. They work cooperatively to burrow endlessly through the ground.</t>
  </si>
  <si>
    <t>Kun hännän kasvaa, sen turkki muuttuu kiiltävämmäksi. Kun sitä pitää kädessä, se tuntuu hieman lämpimältä.</t>
  </si>
  <si>
    <t>In battle, it digs through the ground and strikes the unsuspecting foe from an unexpected direction.</t>
  </si>
  <si>
    <t>Its three heads move alternately, driving it through tough soil to depths of over 60 miles.</t>
  </si>
  <si>
    <t>Extremely powerful, they can dig through even the hardest ground to a depth of over 60 miles.</t>
  </si>
  <si>
    <t>Dugtrio are actually triplets that emerged from one body. As a result, each triplet thinks exactly like the other two triplets. They work cooperatively to burrow endlessly.</t>
  </si>
  <si>
    <t>Syntyessään Vulpixilla on yksi valkoinen häntä. Häntä jakautuu kuudeksi, jos Pokémon saa paljon rakkautta kouluttajaltaan. Kuusi häntää käpertyvät upeasti.</t>
  </si>
  <si>
    <t>This set of triplets moves cooperatively. It’s the power of teamwork that enables this Pokémon to dig to a depth of 60 miles.</t>
  </si>
  <si>
    <t>Vulpixin ruumiin sisällä palaa sammumaton liekki. Päivällä, kun lämpötila nousee, tämä Pokémon päästää liekkejä suustaan ​​estääkseen ruumiinsa kuumenemisen liikaa.</t>
  </si>
  <si>
    <t>Despite the closeness between this Pokémon and farmers and other people, no one has ever seen the parts of it concealed underground.</t>
  </si>
  <si>
    <t>Sen kaunis turkki ja häntä ovat tehneet siitä erittäin suositun. Kasvaessaan sen häntä haarautuu muodostaen lisää häntiä.</t>
  </si>
  <si>
    <t>While the three of them normally get along splendidly, on rare occasions a huge fight will break out over which head gets to eat first.</t>
  </si>
  <si>
    <t>Dugtrio’s heads are sleek and smooth and incredibly hard. It can dig through any soil with its headbutts.</t>
  </si>
  <si>
    <t>Sen suusta purkautuu liekkejä, jotka näyttävät muistuttavan kuolleiden henkiä. Jotkut ihmiset virheellisesti luulevat tämän tulen olevan aave.</t>
  </si>
  <si>
    <t>A team of triplets that can burrow to a depth of 60 miles. It’s reported that this triggers an earthquake.</t>
  </si>
  <si>
    <t>Sen kauniit hännät ovat tehneet siitä erittäin suositun. Jos sitä ei kuitenkaan harjata huolellisesti, se kasvaa nopeasti takkuun.</t>
  </si>
  <si>
    <t>A team of Diglett triplets. It triggers huge earthquakes by burrowing 60 miles underground.</t>
  </si>
  <si>
    <t>Se manipuloi tulipalloja pyydystääkseen saaliinsa. Jos kasvatat sellaisen nuoresta pitäen, se kasvaa lähelle sinua kuin pentu-Pokémon.</t>
  </si>
  <si>
    <t>These Diglett triplets dig over 60 miles below sea level. No one knows what it’s like underground.</t>
  </si>
  <si>
    <t>Adores circular objects. Wanders the streets on a nightly basis to look for dropped loose change.</t>
  </si>
  <si>
    <t>Appears to be more active at night. It loves round and shiny things. It can't stop from picking them up.</t>
  </si>
  <si>
    <t>It is fascinated by round objects. It can't stop playing with them until it tires and falls asleep.</t>
  </si>
  <si>
    <t>It loves anything that shines. It especially adores coins that it picks up and se cretly hoards.</t>
  </si>
  <si>
    <t>It loves things that sparkle. When it sees a shiny object, the gold coin on its head shines too.</t>
  </si>
  <si>
    <t>MEOWTH withdraws its sharp claws into its paws to slinkily sneak about without making any incriminating footsteps. For some reason, this POKéMON loves shiny coins that glitter with light.</t>
  </si>
  <si>
    <t>MEOWTH withdraw their sharp claws into their paws to silently sneak about. For some reason, this POKéMON loves shiny coins that glitter with light.</t>
  </si>
  <si>
    <t>Sen vatsassa palaa tuli, jonka Vulpix sylkee ulos tulipallojen muodossa. Nuorena tällä Pokémonilla on vain yksi valkoinen häntä. Pokémonin kypsyessä tämä yksittäinen häntä jakautuu kuuteen osaan.</t>
  </si>
  <si>
    <t>Ninetales</t>
  </si>
  <si>
    <t>All it does is sleep during the daytime. At night, it patrols its territory with its eyes aglow.</t>
  </si>
  <si>
    <t>Hyvin älykäs ja kostonhimoinen. Yhdenkin sen monista hännistä tarttuminen voi johtaa tuhannen vuoden kiroukseen.</t>
  </si>
  <si>
    <t>Adores round objects. It wanders the streets on a nightly basis to look for dropped loose change.</t>
  </si>
  <si>
    <t>Erään legendan mukaan yhdeksän jaloa pyhimystä yhdistyi ja syntyi uudelleen täksi POKéMONiksi.</t>
  </si>
  <si>
    <t>It is nocturnal in nature. If it spots something shiny, its eyes glitter brightly.</t>
  </si>
  <si>
    <t>Jotkut legendat väittävät, että jokaisella sen yhdeksästä hännästä on oma ainutlaatuinen erityinen mystinen voimansa.</t>
  </si>
  <si>
    <t>It is fascinated by round objects. It can’t stop playing with them until it tires and falls asleep.</t>
  </si>
  <si>
    <t>Sen yhdeksän kaunista pyrstöä ovat täynnä ihmeellistä energiaa, joka voisi pitää sen hengissä 1 000 vuotta.</t>
  </si>
  <si>
    <t>It loves anything that shines. It especially adores coins that it picks up and secretly hoards.</t>
  </si>
  <si>
    <t>Meowth withdraws its sharp claws into its paws to slinkily sneak about without making any incriminating footsteps. For some reason, this Pokémon loves shiny coins that glitter with light.</t>
  </si>
  <si>
    <t>Sen sanotaan elävän tuhat vuotta, ja jokainen sen hännistä on täynnä yliluonnollisia voimia.</t>
  </si>
  <si>
    <t>It lies around all day, becoming active near dusk. At night, it wanders the city in search of loose change.</t>
  </si>
  <si>
    <t>It loves shiny things. It often fights with Murkrow over prey they’re both trying to catch.</t>
  </si>
  <si>
    <t>NINETALES heittää pahaenteisen valon kirkkaanpunaisista silmistään saadakseen vihollisensa mielen täysin hallintaansa. Tämän POKéMONin sanotaan elävän tuhat vuotta.</t>
  </si>
  <si>
    <t>When visiting a junkyard, you may catch sight of it having an intense fight with Murkrow over shiny objects.</t>
  </si>
  <si>
    <t>Legendan mukaan NINETALES syntyi, kun yhdeksän pyhiä voimia omaavaa velhoa yhdistyi yhdeksi. Tämä POKéMON on erittäin älykäs – se ymmärtää ihmispuhetta.</t>
  </si>
  <si>
    <t>It loves coins, so if you give it one, you can make friends with Meowth easily. But it’s fickle, so you can’t count on that friendship lasting.</t>
  </si>
  <si>
    <t>On pitkään sanottu, että jokainen yhdeksästä hännästä ilmentää lumottua voimaa. Pitkäikäisen YHDEKSÄNNÄISEN turkki kiiltää kuin kulta.</t>
  </si>
  <si>
    <t>Appears to be more active at night. It loves round and shiny things. It can’t stop itself from picking them up.</t>
  </si>
  <si>
    <t>It loves to collect shiny things. If it’s in a good mood, it might even let its Trainer have a look at its hoard of treasures.</t>
  </si>
  <si>
    <t>Sillä on yhdeksän pitkää häntää ja kultaa hohtava turkki. Sen sanotaan elävän 1 000 vuotta.</t>
  </si>
  <si>
    <t>It washes its face regularly to keep the coin on its forehead spotless. It doesn’t get along with Galarian Meowth.</t>
  </si>
  <si>
    <t>Although its fur has many admirers, it is tough to raise as a pet because of its fickle meanness.</t>
  </si>
  <si>
    <t>Sen yhdeksän pyrstön sanotaan olevan täynnä mystistä voimaa. Se voi elää tuhat vuotta.</t>
  </si>
  <si>
    <t>The gem in its forehead glows on its own! It walks with all the grace and elegance of a proud queen.</t>
  </si>
  <si>
    <t>Many adore it for its sophisticated air. However, it will lash out and scratch for little reason.</t>
  </si>
  <si>
    <t>Its lithe muscles allow it to walk without making a sound. It attacks in an instant.</t>
  </si>
  <si>
    <t>https://pokeapi.co/api/v2/pokemon-species/36/</t>
  </si>
  <si>
    <t>Behind its lithe, elegant appearance lies a barbaric side. It will tear apart its prey on a mere whim.</t>
  </si>
  <si>
    <t>PERSIAN has six bold whiskers that give it a look of toughness. The whiskers sense air movements to determine what is in the POKéMON’s surrounding vicinity. It becomes docile if grabbed by the whiskers.</t>
  </si>
  <si>
    <t>A PERSIAN’s six bold whiskers sense air movements to determine what is in its vicinity. It becomes docile if grabbed by the whiskers.</t>
  </si>
  <si>
    <t>Has a vicious temperament. Beware if it raises its tail straight up. It is a signal that it is about to pounce and bite.</t>
  </si>
  <si>
    <t>Jokainen sen yhdeksästä hännästä on täynnä yliluonnollista voimaa, ja se voi elää tuhat vuotta.</t>
  </si>
  <si>
    <t>A very haughty Pokémon. Among fans, the size of the jewel in its forehead is a topic of much talk.</t>
  </si>
  <si>
    <t>Persian has six bold whiskers that give it a look of toughness. The whiskers sense air movements to determine what is in the Pokémon’s surrounding vicinity. It becomes docile if grabbed by the whiskers.</t>
  </si>
  <si>
    <t>It has a violent temperament. It will attack anything that looks it in the eye. Its sharp claws inflict deep wounds.</t>
  </si>
  <si>
    <t>It has a high opinion of itself, although not to the same extent as the Alolan Persian. It’s quite difficult to make friends with this Pokémon.</t>
  </si>
  <si>
    <t>Ninetales heittää pahaenteisen valon kirkkaanpunaisista silmistään saadakseen vihollisensa mielen täysin hallintaansa. Tämän Pokémonin sanotaan elävän tuhat vuotta.</t>
  </si>
  <si>
    <t>Although the jewel on its forehead appears to be a different color than those of Alolan Persian, it’s mostly made of the same material.</t>
  </si>
  <si>
    <t>Legendan mukaan Ninetales syntyi, kun yhdeksän pyhiä voimia omaavaa velhoa yhdistyi yhdeksi Pokémoniksi. Tämä Pokémon on erittäin älykäs – se ymmärtää ihmispuhetta.</t>
  </si>
  <si>
    <t>This Pokémon is popular with rich people. It’s also targeted by hunters who are after the jewel in its forehead.</t>
  </si>
  <si>
    <t>Legendan mukaan tämä mystinen Pokémon muodostui, kun yhdeksän pyhimystä yhdistyi yhdeksi.</t>
  </si>
  <si>
    <t>Getting this prideful Pokémon to warm up to you takes a lot of effort, and it will claw at you the moment it gets annoyed.</t>
  </si>
  <si>
    <t>Tämän Pokémonin sanotaan elävän tuhat vuotta, ja se käyttää yliluonnollisia kykyjään tulen manipulointiin. Se voi polttaa saaliinsa rapeaksi mielensä mukaan.</t>
  </si>
  <si>
    <t>Its elegant and refined behavior clashes with that of the barbaric Perrserker. The relationship between the two is one of mutual disdain.</t>
  </si>
  <si>
    <t>Se on luonteeltaan kostonhimoinen ja armoton. Ne, jotka ylittävät sen kerrankin, ovat kirottuja tuhanneksi vuodeksi, samoin kuin heidän jälkeläisensä.</t>
  </si>
  <si>
    <t>While lulling its enemies with its vacant look, this wily POKéMON will use psychokinetic powers.</t>
  </si>
  <si>
    <t>Sen suusta sylkevät liekit hypnotisoivat vastustajat. Sitten tämä äärimmäisen älykäs Pokémon hyökkää.</t>
  </si>
  <si>
    <t>Always tormented by headaches. It uses psychic powers, but it is not known if it intends to do so.</t>
  </si>
  <si>
    <t>Kestävän legendan mukaan yhdeksän jaloa pyhimystä yhdistyi ja reinkarnoitui täksi Pokémoniksi.</t>
  </si>
  <si>
    <t>It has mystical powers but doesn't recall that it has used them. That is why it always looks puzzled.</t>
  </si>
  <si>
    <t>If its chronic headache peaks, it may exhibit odd powers. It seems unable to recall such an episode.</t>
  </si>
  <si>
    <t>Sen sanotaan elävän 1 000 vuotta, ja jokainen sen pyrstö on täynnä yliluonnollisia voimia.</t>
  </si>
  <si>
    <t>The only time it can use its psy chic power is when its sleeping brain cells happen to wake.</t>
  </si>
  <si>
    <t>PSYDUCK uses a mysterious power. When it does so, this POKéMON generates brain waves that are supposedly only seen in sleepers. This discovery spurred controversy among scholars.</t>
  </si>
  <si>
    <t>Kiiltävän kultaisen turkin kerrotaan olevan varsin upea. Tämän lajin sanotaan tallentavan pyhää voimaa yhdeksään pitkään häntään ja elävän tuhatvuotiseksi.</t>
  </si>
  <si>
    <t>If it uses its mysterious power, PSYDUCK can’t remember having done so. It apparently can’t form a memory of such an event because it goes into an altered state that is much like deep sleep.</t>
  </si>
  <si>
    <t>Jigglypuff</t>
  </si>
  <si>
    <t>Ilmapallo-Pokémon</t>
  </si>
  <si>
    <t>Kun sen valtavat silmät syttyvät, se laulaa salaperäisen rauhoittavan melodian, joka tuudittaa sen viholliset uneen.</t>
  </si>
  <si>
    <t>When its headache intensifies, it starts using strange powers. However, it has no recollection of its powers, so it always looks befuddled and bewildered.</t>
  </si>
  <si>
    <t>It is constantly wracked by a headache. When the headache turns intense, it begins using mysterious powers.</t>
  </si>
  <si>
    <t>Käyttää vietteleviä silmiään lumotakseen vihollisensa. Sitten se laulaa miellyttävän sävelmän, joka tuudittaa vihollisen uneen.</t>
  </si>
  <si>
    <t>If its usual headache worsens, it starts exhibiting odd powers. It can’t remember doing so, however.</t>
  </si>
  <si>
    <t>Jos se täyttyy LAULAAKSEEN tuutulaulua, se voi kestää pidempään ja aiheuttaa yleisölle varmasti uneliaisuutta.</t>
  </si>
  <si>
    <t>It never remembers using its odd powers, so it always tilts its head in puzzlement.</t>
  </si>
  <si>
    <t>Sen söpöihin, pyöreisiin silmiin katsominen saa sen laulamaan rentouttavan sävelmän, joka saa sen viholliset nukahtamaan.</t>
  </si>
  <si>
    <t>Overwhelmed by enigmatic abilities, it suffers a constant headache. It sometimes uses mysterious powers.</t>
  </si>
  <si>
    <t>Se pyörittelee suloisia silmiään laulaessaan rauhoittavaa tuutulaulua. Sen lempeä laulu nukuttaa jokaisen, joka sen kuulee.</t>
  </si>
  <si>
    <t>It has mystical powers but doesn’t recall that it has used them. That is why it always looks puzzled.</t>
  </si>
  <si>
    <t>JIGGLYPUFFin äänihuulet voivat säätää vapaasti sen äänen aallonpituutta. Tämä POKéMON käyttää tätä kykyä laulaakseen juuri oikealla aallonpituudella tehdäkseen vihollisensa mahdollisimman uneliaiksi.</t>
  </si>
  <si>
    <t>When headaches stimulate its brain cells, which are usually inactive, it can use a mysterious power.</t>
  </si>
  <si>
    <t>Kun tämä POKéMON laulaa, se ei koskaan pysähdy hengittämään. Jos se taistelee vastustajaa vastaan, joka ei nukahda helposti, JIGGLYPUFF ei pysty hengittämään, mikä vaarantaa sen hengen.</t>
  </si>
  <si>
    <t>Psyduck uses a mysterious power. When it does so, this Pokémon generates brain waves that are supposedly only seen in sleepers. This discovery spurred controversy among scholars.</t>
  </si>
  <si>
    <t>Mikään ei voi estää nukahtamista kuullessaan JIGGLYPUFFin laulun. Sen lauluäänen ääniaallot vastaavat syvässä unessa olevan ihmisen aivoaaltoja.</t>
  </si>
  <si>
    <t>If it uses its mysterious power, Psyduck can’t remember having done so. It apparently can’t form a memory of such an event because it goes into an altered state that is much like deep sleep.</t>
  </si>
  <si>
    <t>As a result of headaches so fierce they cause it to cry, it sometimes uses psychokinesis without meaning to.</t>
  </si>
  <si>
    <t>Se lumoaa viholliset valtavilla, pyöreillä silmillään ja tuudittaa heidät sitten uneen laulamalla rauhoittavaa sävelmää.</t>
  </si>
  <si>
    <t>This Pokémon is troubled by constant headaches. The more pain it’s in, the more powerful its psychokinesis becomes.</t>
  </si>
  <si>
    <t>Kun sen valtavat silmät räpyttelevät, se laulaa salaperäisen rauhoittavan sävelmän, joka tuudittaa sen viholliset uneen.</t>
  </si>
  <si>
    <t>Using psychokinesis gives it a headache, so it normally passes the time spacing out and doing as little as possible.</t>
  </si>
  <si>
    <t>It has been found that its brain cells are 10 times more active when Psyduck is experiencing a headache.</t>
  </si>
  <si>
    <t>Kun se räpyttelee suuria, pyöreitä silmiään, se alkaa laulaa tuutulaulua, joka tekee kaikki uneliaiksi.</t>
  </si>
  <si>
    <t>Always tormented by headaches. It uses psychic powers, but whether it intends to do so is not known.</t>
  </si>
  <si>
    <t>Psyduck is constantly beset by headaches. If the Pokémon lets its strange power erupt, apparently the pain subsides for a while.</t>
  </si>
  <si>
    <t>Jos se täyttyy laulaakseen tuutulaulua, se voi kestää pidempään ja aiheuttaa yleisölle varmasti uneliaisuutta.</t>
  </si>
  <si>
    <t>As Psyduck gets stressed out, its headache gets progressively worse. It uses intense psychic energy to overwhelm those around it.</t>
  </si>
  <si>
    <t>Suffers perpetual headaches. If the agony grows too great, Psyduck's latent power erupts, contrary to Psyduck's intent. Ergo, I am exploring ways to ease the pain.</t>
  </si>
  <si>
    <t>Often seen swim ming elegantly by lake shores. It is often mistaken for the Japanese monster, Kappa.</t>
  </si>
  <si>
    <t>Its slim and long limbs end in broad flippers. They are used for swim ming gracefully in lakes.</t>
  </si>
  <si>
    <t>Sen söpöihin, pyöreisiin silmiin katsominen saa sen laulamaan laulun, joten miellyttävät kuuntelijat väistämättä nukahtavat.</t>
  </si>
  <si>
    <t>When it swims at full speed using its long, webbed limbs, its fore head somehow be gins to glow.</t>
  </si>
  <si>
    <t>It appears by waterways at dusk. It may use tele kinetic powers if its forehead glows mysteriously.</t>
  </si>
  <si>
    <t>Jigglypuffin äänijänteet voivat säätää vapaasti sen äänen aallonpituutta. Tämä Pokémon käyttää tätä kykyä laulaakseen täsmälleen oikealla aallonpituudella tehdäkseen vihollisensa mahdollisimman uneliaiksi.</t>
  </si>
  <si>
    <t>Kun tämä Pokémon laulaa, se ei koskaan pysähdy hengittämään. Jos se taistelee vastustajaa vastaan, joka ei nukahda helposti, Jigglypuff ei pysty hengittämään, mikä vaarantaa sen hengen.</t>
  </si>
  <si>
    <t>It swims grace fully along on the quiet, slow-moving rivers and lakes of which it is so fond.</t>
  </si>
  <si>
    <t>The webbed flippers on its forelegs and hind legs and the streamlined body of GOLDUCK give it frightening speed. This POKéMON is definitely much faster than even the most athletic swimmer.</t>
  </si>
  <si>
    <t>Se täyttää vatsansa valtavasti ja laulaa salaperäistä sävelmää. Jos kuulet tämän sävelmän, tulet heti uneliaaksi.</t>
  </si>
  <si>
    <t>GOLDUCK is the fastest swimmer among all POKéMON. It swims effortlessly, even in a rough, stormy sea. It sometimes rescues people from wrecked ships floundering in high seas.</t>
  </si>
  <si>
    <t>Jigglypuffin ääniala on yli 12 oktaavia, mutta jokaisen yksilön laulutaito riippuu hänen omasta ponnistelustaan.</t>
  </si>
  <si>
    <t>Jigglypuffin outojen tuutulaulujen äänitteitä voi ostaa tavarataloista. Nämä CD-levyt löytyvät vuodevaatealueen läheltä.</t>
  </si>
  <si>
    <t>A GOLDUCK is an adept swimmer. It sometimes joins competitive swimmers in training. It uses psychic powers when its forehead shimmers with light.</t>
  </si>
  <si>
    <t>Heidän laulamansa laulut ovat täysin erilaisia ​​asuinalueesta riippuen. Jotkut jopa kuulostavat siltä kuin he huutaisivat!</t>
  </si>
  <si>
    <t>The forelegs are webbed, helping to make it an adept swimmer. It can be seen swimming elegantly in lakes, etc.</t>
  </si>
  <si>
    <t>Se lumoaa vihollisensa suloisilla pyöreillä silmillään. Sitten se laulaa miellyttävän sävelmän, joka tuudittaa vihollisen uneen.</t>
  </si>
  <si>
    <t>Often seen swimming elegantly by lakeshores. It is often mistaken for the Japanese monster Kappa.</t>
  </si>
  <si>
    <t>A Pokémon that lives in lakes. It swims faster than any human swimming champion.</t>
  </si>
  <si>
    <t>Jigglypuffilla on huippuluokan keuhkokapasiteetti, jopa verrattuna muihin Pokémoneihin. Se ei lopeta tuutulaulujensa laulamista ennen kuin sen viholliset nukahtavat.</t>
  </si>
  <si>
    <t>The flippers of its well-developed limbs give it shocking speed. It is the best swimmer among Pokémon.</t>
  </si>
  <si>
    <t>Muuttamalla äänensä aallonpituutta vapaasti Jigglypuff laulaa salaperäisen melodian, joka varmasti nukuttaa kenet tahansa kuuntelijan.</t>
  </si>
  <si>
    <t>It is seen swimming dynamically and elegantly using its well-developed limbs and flippers.</t>
  </si>
  <si>
    <t>Wigglytuff</t>
  </si>
  <si>
    <t>Runko on pehmeä ja kuminen. Vihastuttuaan se imee ilmaa ja paisuu valtavaksi.</t>
  </si>
  <si>
    <t>When it swims at full speed using its long, webbed limbs, its forehead somehow begins to glow.</t>
  </si>
  <si>
    <t>https://pokeapi.co/api/v2/pokemon-species/37/</t>
  </si>
  <si>
    <t>It appears by waterways at dusk. It may use telekinetic powers if its forehead glows mysteriously.</t>
  </si>
  <si>
    <t>Sen runko on täynnä elastisuutta. Syvästi hengittämällä se voi jatkaa itsensä täyttämistä rajattomasti.</t>
  </si>
  <si>
    <t>When its forehead shines mysteriously, Golduck can use the full extent of its power.</t>
  </si>
  <si>
    <t>Niiden turkki tuntuu niin hyvältä, että jos kaksi niistä köllöttelee yhdessä, ne eivät halua erota toisistaan.</t>
  </si>
  <si>
    <t>The webbed flippers on its forelegs and hind legs and the streamlined body of Golduck give it frightening speed. This Pokémon is definitely much faster than even the most athletic swimmer.</t>
  </si>
  <si>
    <t>Sillä on erittäin hieno turkki. Varo ärsyttämästä sitä, sillä se voi paisua tasaisesti ja iskeä VARTALOASI.</t>
  </si>
  <si>
    <t>Golduck is the fastest swimmer among all Pokémon. It swims effortlessly, even in a rough, stormy sea. It sometimes rescues people from wrecked ships floundering in high seas.</t>
  </si>
  <si>
    <t>Sen vartaloa peittävä runsas, pörröinen turkki tuntuu niin hyvältä, että jokainen, joka sitä tuntee, ei voi lakata koskettamasta sitä.</t>
  </si>
  <si>
    <t>It is said that the red part of its forehead grants supernatural powers to those who possess one, so it was over-hunted in the past.</t>
  </si>
  <si>
    <t>WIGGLYTUFFilla on suuret, lautasen kaltaiset silmät. Sen silmien pinnat ovat aina peittyneet ohueen kyynelkerrokseen. Jos pölyä pääsee tämän POKéMONin silmiin, se huuhtoutuu nopeasti pois.</t>
  </si>
  <si>
    <t>It swims along the banks of lakes and catches fish Pokémon. It takes them to the shore and quietly eats them up.</t>
  </si>
  <si>
    <t>WIGGLYTUFFin keho on erittäin joustava. Hengittämällä syvään tämä POKéMON voi täyttyä loputtomasti. Täyttyään WIGGLYTUFF pomppii kevyesti kuin ilmapallo.</t>
  </si>
  <si>
    <t>Even fast-swimming fish Pokémon can be disabled by Golduck. It brings them to a standstill and seizes them.</t>
  </si>
  <si>
    <t>A professional swimmer, it can continue swimming for two days straight by waving its long tail skillfully.</t>
  </si>
  <si>
    <t>Sen turkki on ylellisyyden äärimmäinen ominaisuus. WIGGLYTUFFin vieressä nukkuminen on yksinkertaisesti jumalaista. Sen ruumis laajenee näennäisesti loputtomasti, kun se hengittää sisään.</t>
  </si>
  <si>
    <t>Its long, slim limbs end in broad flippers. They are used for swimming gracefully in lakes.</t>
  </si>
  <si>
    <t>Sen turkki on erittäin hienoa, tiheää ja joustavaa. Aivan ihanan miellyttävä turkki välittää ylellisen kuvan.</t>
  </si>
  <si>
    <t>This Pokémon lives in gently flowing rivers. It paddles through the water with its long limbs, putting its graceful swimming skills on display.</t>
  </si>
  <si>
    <t>Old tales tell of Golduck punishing those that defiled its river. The guilty were dragged into the water and taken away.</t>
  </si>
  <si>
    <t>Its body is strong, and it has webbing on its hands and feet. Golduck can swim easily through rough seas, clawing its way through the high waves.</t>
  </si>
  <si>
    <t>Extremely quick to anger. It could be docile one moment then thrashing away the next instant.</t>
  </si>
  <si>
    <t>An agile POKéMON that lives in trees. It angers easily and will not hesitate to attack anything.</t>
  </si>
  <si>
    <t>Sen hieno turkki tuntuu ihanalta koskettaa. Se voi laajentaa ruumistaan ​​hengittämällä ilmaa.</t>
  </si>
  <si>
    <t>It is extremely ill-tempered. Groups of them will attack any handy target for no reason.</t>
  </si>
  <si>
    <t>It's unsafe to ap proach if it gets violently enraged for no reason and can't distinguish friends from foes.</t>
  </si>
  <si>
    <t>It lives in groups in the treetops. If it loses sight of its group, it becomes infuriated by its loneliness.</t>
  </si>
  <si>
    <t>When MANKEY starts shaking and its nasal breathing turns rough, it’s a sure sign that it is becoming angry. However, because it goes into a towering rage almost instantly, it is impossible for anyone to flee its wrath.</t>
  </si>
  <si>
    <t>Sillä on erittäin hieno turkki. Varo ärsyttämästä sitä, sillä se voi paisua tasaisesti ja iskeä vartalon läiskähdyksellä.</t>
  </si>
  <si>
    <t>When it starts shaking and its nasal breathing turns rough, it’s a sure sign of anger. However, since this happens instantly, there is no time to flee.</t>
  </si>
  <si>
    <t>Light and agile on its feet, and ferocious in temperament. When angered, it flies into an uncontrollable frenzy.</t>
  </si>
  <si>
    <t>Extremely quick to anger. It could be docile one moment, then thrashing away the next instant.</t>
  </si>
  <si>
    <t>It lives in treetop colonies. If one becomes enraged, the whole colony rampages for no reason.</t>
  </si>
  <si>
    <t>Sen hieno turkki tuntuu niin miellyttävältä, etteivät ne, jotka vahingossa koskevat siihen, voi ottaa käsiään siitä pois.</t>
  </si>
  <si>
    <t>It’s unsafe to approach if it gets violently enraged for no reason and can’t distinguish friends from foes.</t>
  </si>
  <si>
    <t>When Mankey starts shaking and its nasal breathing turns rough, it’s a sure sign that it is becoming angry. However, because it goes into a towering rage almost instantly, it is impossible for anyone to flee its wrath.</t>
  </si>
  <si>
    <t>It can spontaneously become enraged. Everyone near it clears out as it rampages, and the resulting loneliness makes it angrier still.</t>
  </si>
  <si>
    <t>Wigglytuffilla on suuret, lautasen kaltaiset silmät. Sen silmien pinnat ovat aina peittyneet ohueen kyynelkerrokseen. Jos tämän Pokémonin silmiin pääsee pölyä, se huuhtoutuu nopeasti pois.</t>
  </si>
  <si>
    <t>Its raging tires it out and causes it to fall asleep, but the anger resonating in its dreams causes it to wake up—which infuriates it all over again.</t>
  </si>
  <si>
    <t>The smallest of things could cause it to lose its temper. Because it doesn’t hold in its stress, this Pokémon can live a long time.</t>
  </si>
  <si>
    <t>Wigglytuffin vartalo on erittäin joustava. Hengittämällä syvään tämä Pokémon voi täyttyä loputtomasti. Täyttyessään Wigglytuff pomppii kevyesti kuin ilmapallo.</t>
  </si>
  <si>
    <t>If one gets angry, all the others around it will get angry, so silence is a rare visitor in a troop of Mankey.</t>
  </si>
  <si>
    <t>An agile Pokémon that lives in trees. It angers easily and will not hesitate to attack anything.</t>
  </si>
  <si>
    <t>Se luopuu hienosta turkistaan ​​vuodenaikojen vaihtuessa. Turkki kerätään ja kehrätään ylelliseksi langaksi.</t>
  </si>
  <si>
    <t>Always furious and tenacious to boot. It will not abandon chasing its quarry until it is caught.</t>
  </si>
  <si>
    <t>Sisäänhengittäessään se laajenee... ja laajenee... ja laajenee. Wigglytuff kilpailee siitä, kumpi pystyy täyttämään itsensä eniten.</t>
  </si>
  <si>
    <t>It stops being angry only when nobody else is around. To view this moment is very difficult.</t>
  </si>
  <si>
    <t>Pomppivan vartalonsa ja hienon turkkinsa ansiosta tämä Pokémon on haluttu. Sen pitäminen sylissä nukkuessa tuntuu mahtavalta.</t>
  </si>
  <si>
    <t>If approached while asleep, it may awaken and angrily give chase in a groggy state of semi-sleep.</t>
  </si>
  <si>
    <t>It becomes wildly furious if it even senses someone looking at it. It chases anyone that meets its glare.</t>
  </si>
  <si>
    <t>Kun se suuttuu, se hengittää sisään täydellä voimallaan ja sen ruumis paisuu vähitellen. Joskus ne voivat kasvaa 20 kertaa suuremmiksi!</t>
  </si>
  <si>
    <t>It will beat up anyone who makes it mad, even if it has to chase them until the end of the world.</t>
  </si>
  <si>
    <t>When PRIMEAPE becomes furious, its blood circulation is boosted. In turn, its muscles are made even stronger. However, it also becomes much less intelligent at the same time.</t>
  </si>
  <si>
    <t>When it becomes furious, its blood circulation becomes more robust, and its muscles are made stronger. But it also becomes much less intelligent.</t>
  </si>
  <si>
    <t>Sen runko on erittäin joustava. Syvästi hengittämällä se voi jatkaa itsensä täyttämistä rajattomasti.</t>
  </si>
  <si>
    <t>It is always outrageously furious. If it gives chase, it will tenaciously track the target no matter how far.</t>
  </si>
  <si>
    <t>Always furious and tenacious to boot. It will not abandon chasing its quarry until it catches up.</t>
  </si>
  <si>
    <t>It grows angry if you see its eyes and gets angrier if you run. If you beat it, it gets even madder.</t>
  </si>
  <si>
    <t>Mitä enemmän ilmaa se imee sisäänsä, sitä enemmän se täyttyy. Jos vastustajat huomaavat sen olevan huonolla tuulella, se täyttyy valtavan kokoiseksi pelotellakseen heitä.</t>
  </si>
  <si>
    <t>When Primeape becomes furious, its blood circulation is boosted. In turn, its muscles are made even stronger. However, it also becomes much less intelligent at the same time.</t>
  </si>
  <si>
    <t>It has been known to become so angry that it dies as a result. Its face looks peaceful in death, however.</t>
  </si>
  <si>
    <t>Se on ylpeä hienosta ja herkästä turkistaan. Erityisesti sen otsan kiharat ovat rakenteeltaan aivan ihanat.</t>
  </si>
  <si>
    <t>Some researchers theorize that Primeape remains angry even when inside a Poké Ball.</t>
  </si>
  <si>
    <t>Zubat</t>
  </si>
  <si>
    <t>Lepakko-Pokémon</t>
  </si>
  <si>
    <t>It will never forgive opponents who have angered it. Even after it has beaten them down until they can’t move, it never ever forgives.</t>
  </si>
  <si>
    <t>Muodostaa yhdyskuntia aina pimeissä paikoissa. Käyttää ultraääniaaltoja kohteiden tunnistamiseen ja lähestymiseen.</t>
  </si>
  <si>
    <t>The blood vessels in its brain are sturdier than those of other Pokémon, so it can stay healthy despite its constant raging.</t>
  </si>
  <si>
    <t>Lähettää ultraäänihuutoja lentäessään. Ne toimivat kaikuluotaimena, jota käytetään tarkistamaan tiellään olevia esineitä.</t>
  </si>
  <si>
    <t>Very protective of its territory. It will bark and bite to repel intruders from its space.</t>
  </si>
  <si>
    <t>A POKéMON with a friendly nature. However, it will bark fiercely at anything invading its territory.</t>
  </si>
  <si>
    <t>Lentäessään se lähettää jatkuvasti ultraääniaaltoja suustaan ​​tarkistaakseen ympäristönsä.</t>
  </si>
  <si>
    <t>It has a brave and trustworthy na ture. It fear lessly stands up to bigger and stronger foes.</t>
  </si>
  <si>
    <t>Extremely loyal, it will fearlessly bark at any oppo nent to protect its own trainer from harm.</t>
  </si>
  <si>
    <t>Se pystyy lentämään turvallisesti pimeissä paikoissa ja lähettää ultraäänihuutoja mahdollisten esteiden varalta.</t>
  </si>
  <si>
    <t>Päivän aikana se kerääntyy muiden joukkoon ja roikkuu vanhojen rakennusten ja luolien katoista.</t>
  </si>
  <si>
    <t>It controls a big territory. If it detects an unknown smell, it roars loudly to force out the intruder.</t>
  </si>
  <si>
    <t>ZUBAT pysyy hiljaa liikkumattomana pimeässä paikassa kirkkaina päivänvalossa, koska pitkäaikainen altistuminen auringolle aiheuttaa sen keholle lieviä palovammoja.</t>
  </si>
  <si>
    <t>GROWLITHE has a superb sense of smell. Once it smells anything, this POKéMON won’t forget the scent, no matter what. It uses its advanced olfactory sense to determine the emotions of other living things.</t>
  </si>
  <si>
    <t>ZUBAT välttelee auringonvaloa, koska altistuminen tekee siitä epäterveellisen. Päivisin se oleskelee luolissa tai vanhojen talojen räystäiden alla ja nukkuu roikkuen ylösalaisin.</t>
  </si>
  <si>
    <t>Its superb sense of smell ensures that this POKéMON won’t forget any scent, no matter what. It uses its sense of smell to detect the emotions of others.</t>
  </si>
  <si>
    <t>Asuessaan pikimustissa luolissa heidän silmänsä vähitellen sulkeutuivat ja veivät heiltä näön. He käyttävät ultraääniaaltoja esteiden havaitsemiseen.</t>
  </si>
  <si>
    <t>Very friendly and faithful to people. It will try to repel enemies by barking and biting.</t>
  </si>
  <si>
    <t>Sillä ei ole silmiä. Sen sijaan se luottaa ultraäänihuutoihinsa kaikujen paikantamiseksi leijaillakseen pimeydessä.</t>
  </si>
  <si>
    <t>It is very protective of its territory. It will bark and bite to repel intruders from its space.</t>
  </si>
  <si>
    <t>Se muodostaa pesäkkeitä aina pimeisiin paikkoihin ja käyttää ultraääniaaltoja kohteiden tunnistamiseen ja lähestymiseen.</t>
  </si>
  <si>
    <t>A Pokémon with a loyal nature. It will remain motionless until it is given an order by its Trainer.</t>
  </si>
  <si>
    <t>Vaikka sillä ei ole silmiä, se voi aistia esteitä suustaan ​​​​säteilevien ultraääniaaltojen avulla.</t>
  </si>
  <si>
    <t>It has a brave and trustworthy nature. It fearlessly stands up to bigger and stronger foes.</t>
  </si>
  <si>
    <t>Koska se ei pidä auringonvalosta, se nukkuu syvällä metsissä ja luolissa auringonlaskuun asti.</t>
  </si>
  <si>
    <t>Extremely loyal, it will fearlessly bark at any opponent to protect its own Trainer from harm.</t>
  </si>
  <si>
    <t>Se tarkistaa ympäristönsä ja sijaintinsa suustaan ​​​​heijastuvien ultraääniaaltojen avulla.</t>
  </si>
  <si>
    <t>Extremely loyal to its Trainer, it will bark at those who approach the Trainer unexpectedly and run them out of town.</t>
  </si>
  <si>
    <t>https://pokeapi.co/api/v2/pokemon-species/38/</t>
  </si>
  <si>
    <t>Growlithe has a superb sense of smell. Once it smells anything, this Pokémon won’t forget the scent, no matter what. It uses its advanced olfactory sense to determine the emotions of other living things.</t>
  </si>
  <si>
    <t>It’s both clever and loyal, but if a stranger tries to invade its territory, it barks threateningly.</t>
  </si>
  <si>
    <t>It looks cute, but when you approach another Trainer’s Growlithe, it will bark at you and bite.</t>
  </si>
  <si>
    <t>While it’s quite friendly toward humans once it’s grown used to them, in the wild it must be quite fierce to defend its territory from Rockruff.</t>
  </si>
  <si>
    <t>It has lived alongside humans since ages ago. Its bones have been found in excavations of ruins from the Stone Age.</t>
  </si>
  <si>
    <t>Se ei tarvitse silmiä, koska se lähettää ultraääniaaltoja ympäristönsä tarkkailuun lennon aikana.</t>
  </si>
  <si>
    <t>A Pokémon with a friendly nature. However, it will bark fiercely at anything invading its territory.</t>
  </si>
  <si>
    <t>They patrol their territory in pairs. I believe the igneous rock components in the fur of this species are the result of volcanic activity in its habitat.</t>
  </si>
  <si>
    <t>A POKéMON that has been admired since the past for its beauty. It runs agilely as if on wings.</t>
  </si>
  <si>
    <t>A legendary POKé MON in China. Many people are charmed by its grace and beauty while running.</t>
  </si>
  <si>
    <t>This legendary Chinese POKEMON is considered magnif icent. Many people are enchanted by its grand mane.</t>
  </si>
  <si>
    <t>Sillä ei ole silmiä. Sen sijaan se luottaa ultraäänihuutoihinsa kaikujen havaitsemiseksi leijaillakseen pimeydessä.</t>
  </si>
  <si>
    <t>Its magnificent bark conveys a sense of majesty. Anyone hearing it can't help but grovel before it.</t>
  </si>
  <si>
    <t>Zubat pysyy hiljaa liikkumatta pimeässä paikassa kirkkaina päivänvalossa, koska pitkäaikainen altistuminen auringolle aiheuttaa sen keholle lieviä palovammoja.</t>
  </si>
  <si>
    <t>An ancient picture scroll shows that people were attracted to its movement as it ran through prairies.</t>
  </si>
  <si>
    <t>Zubat välttää auringonvaloa, koska altistuminen tekee siitä epäterveellisen. Päivisin se oleskelee luolissa tai vanhojen talojen räystäiden alla nukkuen roikkuen ylösalaisin.</t>
  </si>
  <si>
    <t>ARCANINE is known for its high speed. It is said to be capable of running over 6,200 miles in a single day and night. The fire that blazes wildly within this POKéMON’s body is its source of power.</t>
  </si>
  <si>
    <t>Se nukkuu luolissa päivisin. Sillä ei ole silmiä, joten ympäristönsä tarkkailuun lennon aikana se lähettää ultraääniaaltoja.</t>
  </si>
  <si>
    <t>This fleet-footed POKéMON is said to run over 6,200 miles in a single day and night. The fire that blazes wildly within its body is its source of power.</t>
  </si>
  <si>
    <t>A POKéMON that is described in Chinese legends. It is said to race at an unbelievable speed.</t>
  </si>
  <si>
    <t>Auringonvalolle altistuessaan ne saavat palovammoja. Niiden ultraääniaaltojen taajuus voi vaihdella hieman yhdyskunnasta toiseen.</t>
  </si>
  <si>
    <t>A POKéMON that has long been admired for its beauty. It runs agilely as if on wings.</t>
  </si>
  <si>
    <t>Sillä ei ole silmämunia, joten se ei näe. Se tarkkailee ympäristöään suustaan ​​​​lähettyvien ultraääniaaltojen avulla.</t>
  </si>
  <si>
    <t>Its proud and regal appearance has captured the hearts of people since long ago.</t>
  </si>
  <si>
    <t>This legendary Chinese Pokémon is considered magnificent. Many people are enchanted by its grand mane.</t>
  </si>
  <si>
    <t>Niiden iho on niin ohut, että ne palavat, jos auringonvalo osuu niihin. Kun ulkona kylmenee, ne kerääntyvät yhteen lämmittämään toistensa kehoja.</t>
  </si>
  <si>
    <t>Its magnificent bark conveys a sense of majesty. Anyone hearing it can’t help but grovel before it.</t>
  </si>
  <si>
    <t>The sight of it running over 6,200 miles in a single day and night has captivated many people.</t>
  </si>
  <si>
    <t>A Pokémon that has long been admired for its beauty. It runs agilely as if on wings.</t>
  </si>
  <si>
    <t>Se lähettää suustaan ​​ultraääniaaltoja ympäristönsä tarkkailuun. Zubat lentää taitavasti jopa ahtaissa luolissa.</t>
  </si>
  <si>
    <t>Arcanine is known for its high speed. It is said to be capable of running over 6,200 miles in a single day and night. The fire that blazes wildly within this Pokémon’s body is its source of power.</t>
  </si>
  <si>
    <t>Zubatit asuvat luolissa, joihin auringonvalo ei ulotu. Aamulla ne kokoontuvat yhteen pitääkseen toisensa lämpiminä nukkuessaan.</t>
  </si>
  <si>
    <t>Overflowing with beauty and majesty, this strong Pokémon appears in ancient Eastern folklore.</t>
  </si>
  <si>
    <t>The fire burning inside its body serves as the energy to fuel it as it runs great distances. It appears in many legends.</t>
  </si>
  <si>
    <t>Se asuu synkissä luolissa. Surkastuneet silmät ovat tehneet tästä Pokémonista sokean, joten se skannaa ympäristöään ääniaaltojen avulla, joita se lähettää suustaan ​​lentäessään.</t>
  </si>
  <si>
    <t>Golbat</t>
  </si>
  <si>
    <t>Legends tell of its fighting alongside a general and conquering a whole country.</t>
  </si>
  <si>
    <t>Kun se iskee, se ei lakkaa kuluttamasta uhrin energiaa, vaikka siitä tulisi liian raskas lentämään.</t>
  </si>
  <si>
    <t>There are so many old tales about them that they’re called legendary Pokémon, but there are way more of them around than you’d expect.</t>
  </si>
  <si>
    <t>A legendary Pokémon in the East. Many people are charmed by the grace and beauty of its running.</t>
  </si>
  <si>
    <t>Se hyökkää salamyhkäisesti, varoittamatta. Sen teräviä kulmahampaita käytetään puremiseen ja veren imemiseen.</t>
  </si>
  <si>
    <t>Snaps at its foes with fangs cloaked in blazing flame. Despite its bulk, it deftly feints every which way, leading opponents on a deceptively merry chase as it all but dances around them.</t>
  </si>
  <si>
    <t>Olipa uhrinsa nahka kuinka kova tahansa, se puhkaisee terävät kulmahampaat ja mässäilee verellä.</t>
  </si>
  <si>
    <t>Its newly grown legs prevent it from running. It appears to prefer swimming than trying to stand.</t>
  </si>
  <si>
    <t>Se voi juoda yli 30 grammaa verta kerralla. Jos sillä on liikaa verta, siitä tulee raskas ja se lentää kömpelösti.</t>
  </si>
  <si>
    <t>The direction of the spiral on the belly differs by area. It is more adept at swimming than walking.</t>
  </si>
  <si>
    <t>Kun se iskee saaliiseensa kulmahampaansa, se vetää ja nielee välittömästi yli kymmenen unssia verta.</t>
  </si>
  <si>
    <t>Because it is in ept at walking on its newly grown legs, it always swims around in water.</t>
  </si>
  <si>
    <t>GOLBAT rakastaa juoda elävien olentojen verta. Se on erityisen aktiivinen yön pimeydessä. Tämä POKéMON lentää yötaivaalla etsien tuoretta verta.</t>
  </si>
  <si>
    <t>The direction of its belly spiral differs by area. The equator is thought to have an effect on this.</t>
  </si>
  <si>
    <t>The swirl on its belly is its insides showing through the skin. It looks clearer after it eats.</t>
  </si>
  <si>
    <t>GOLBAT puree saalista neljällä hampaalla ja juo uhrin veren. Se aktivoituu musteisina, pimeinä, kuuttomina öinä ja lentelee ympäriinsä hyökäten ihmisten ja POKéMONien kimppuun.</t>
  </si>
  <si>
    <t>POLIWAG has a very thin skin. It is possible to see the POKéMON’s spiral innards right through the skin. Despite its thinness, however, the skin is also very flexible. Even sharp fangs bounce right off it.</t>
  </si>
  <si>
    <t>Sen torahampaat lävistävät helposti jopa paksun eläimen nahan. Se rakastaa herkuttella ihmisten ja POKéMONien verellä. Se lepattaa pimeydessä ja iskee takaapäin.</t>
  </si>
  <si>
    <t>It is possible to see this POKéMON’s spiral innards right through its thin skin. However, the skin is also very flexible. Even sharp fangs bounce right off it.</t>
  </si>
  <si>
    <t>Se puristaa saalistaan ​​neulanterävillä hampailla ja vuodattaa yli 30 grammaa verta yhdellä henkäyksellä.</t>
  </si>
  <si>
    <t>Kun se puree, se ei lakkaa kuluttamasta uhrilta energiaa, vaikka siitä tulisi liian raskas lentämään.</t>
  </si>
  <si>
    <t>Its slick black skin is thin and damp. A part of its internal organs can be seen through the skin as a spiral pattern.</t>
  </si>
  <si>
    <t>Its newly grown legs prevent it from walking well. It appears to prefer swimming over walking.</t>
  </si>
  <si>
    <t>Se rakastaa ihmisten ja Pokémonien verta. Se lentää öisin etsien kaulasuonia.</t>
  </si>
  <si>
    <t>Its skin is so thin, its internal organs are visible. It has trouble walking on its newly grown feet.</t>
  </si>
  <si>
    <t>Kun se alkaa imeä verta, se ei lopeta ennen kuin se on täynnä. Se lentää yöllä etsimässä saalista.</t>
  </si>
  <si>
    <t>Because it is inept at walking on its newly grown legs, it always swims around in water.</t>
  </si>
  <si>
    <t>Sen terävät kulmahampaat lävistävät kovimmatkin nahat ja niissä on pieniä reikiä, joista ne imevät ahneesti verta.</t>
  </si>
  <si>
    <t>Poliwag has a very thin skin. It is possible to see the Pokémon’s spiral innards right through the skin. Despite its thinness, however, the skin is also very flexible. Even sharp fangs bounce right off it.</t>
  </si>
  <si>
    <t>The swirl on its belly is its internal organs showing through. If the swirl is tinged white, that means it’s affected by some disease.</t>
  </si>
  <si>
    <t>It’s still not very good at walking. Its Trainers should train this Pokémon to walk every day.</t>
  </si>
  <si>
    <t>Despite the danger, it wants to come up on land. So it does its best to waddle along, but when an enemy finds it, it rushes back to the water.</t>
  </si>
  <si>
    <t>The direction of the swirl on their stomachs differs depending on where they live. Poliwag aficionados can tell them apart at a glance.</t>
  </si>
  <si>
    <t>For Poliwag, swimming is easier than walking. The swirl pattern on its belly is actually part of the Pokémon’s innards showing through the skin.</t>
  </si>
  <si>
    <t>In rivers with fast-flowing water, this Pokémon will cling to a rock by using its thick lips, which act like a suction cup.</t>
  </si>
  <si>
    <t>Se lepattaa ympäriinsä yön keskellä, iskee kulmahampaansa saaliiseensa ja vuodattaa lähes tappavan määrän verta.</t>
  </si>
  <si>
    <t>Capable of living in or out of water. When out of water, it sweats to keep its body slimy.</t>
  </si>
  <si>
    <t>Under attack, it uses its belly spiral to put the foe to sleep. It then makes its escape.</t>
  </si>
  <si>
    <t>The swirl on its belly subtly un dulates. Staring at it may gradual ly cause drowsi ness.</t>
  </si>
  <si>
    <t>The skin on most of its body is moist. However, the skin on its belly spiral feels smooth.</t>
  </si>
  <si>
    <t>Though it is skilled at walk ing, it prefers to live underwater where there is less danger.</t>
  </si>
  <si>
    <t>Golbat rakastaa juoda elävien olentojen verta. Se on erityisen aktiivinen yön säkkipimeydessä. Tämä Pokémon leijuu yötaivaalla etsien tuoretta verta.</t>
  </si>
  <si>
    <t>Golbat puree saalista neljällä hampaalla ja juo uhrin veren. Se aktivoituu musteisina, pimeinä, kuuttomina öinä ja lentelee ympäriinsä hyökäten ihmisten ja Pokémonien kimppuun.</t>
  </si>
  <si>
    <t>The surface of POLIWHIRL’s body is always wet and slick with an oily fluid. Because of this greasy covering, it can easily slip and slide out of the clutches of any enemy in battle.</t>
  </si>
  <si>
    <t>Sen paksut torahampaat ovat onttoja kuin oljenkorret, mikä tekee niistä odottamattoman hauraita. Nämä torahampaat ovat erikoistuneet veren imemiseen.</t>
  </si>
  <si>
    <t>Its body surface is always wet and slick with an oily fluid. Because of this greasy covering, it can easily slip and slide out of the clutches of any enemy in battle.</t>
  </si>
  <si>
    <t>Its two legs are well developed. Even though it can live on the ground, it prefers living in water.</t>
  </si>
  <si>
    <t>Joskus ne juovat niin paljon verta, etteivät ne pysty enää lentämään. Sitten ne putoavat maahan ja niistä tulee muiden Pokémonien ruokaa.</t>
  </si>
  <si>
    <t>It can live in or out of water. When out of water, it constantly sweats to keep its body slimy.</t>
  </si>
  <si>
    <t>The spiral pattern on its belly subtly undulates. Staring at it gradually causes drowsiness.</t>
  </si>
  <si>
    <t>The swirl on its belly subtly undulates. Staring at it may gradually cause drowsiness.</t>
  </si>
  <si>
    <t>Aina silloin tällöin näet Golbatin, jolta puuttuu kulmahampaita. Näin käy, kun nälkä ajaa sen yrittämään purra terästyyppistä Pokémonia.</t>
  </si>
  <si>
    <t>The surface of Poliwhirl’s body is always wet and slick with a slimy fluid. Because of this slippery covering, it can easily slip and slide out of the clutches of any enemy in battle.</t>
  </si>
  <si>
    <t>Although it can live on land, it prefers to stay in the water, where it has fewer natural enemies.</t>
  </si>
  <si>
    <t>Ne voivat imeä yli 30 grammaa verta kerralla. Niiden tiedetään juovan niin paljon verta, etteivät ne enää pysty lentämään.</t>
  </si>
  <si>
    <t>It marches over the land in search of bug Pokémon to eat. Then it takes them underwater so it can dine on them where it’s safe.</t>
  </si>
  <si>
    <t>Although it has become capable of living on land, it spends its time in the water, where its prey, fish Pokémon, are plentiful.</t>
  </si>
  <si>
    <t>Se rakastaa juoda muiden olentojen verta. Sanotaan, että jos se havaitsee lajitovereidensa olevan nälkäisiä, se joskus jakaa keräämäänsä verta.</t>
  </si>
  <si>
    <t>Its health suffers when its skin dries out, so be sure to moisturize it diligently.</t>
  </si>
  <si>
    <t>Staring at the swirl on its belly causes drowsiness. This trait of Poliwhirl’s has been used in place of lullabies to get children to go to sleep.</t>
  </si>
  <si>
    <t>Sen jalat ovat pienet, mutta tämä Pokémon kävelee taitavasti. Se hiipii nukkuvan saaliinsa luo ennen kuin uppoaa hampaisiinsa ja hörppii verta.</t>
  </si>
  <si>
    <t>This Pokémon’s sweat is a slimy mucus. When captured, Poliwhirl can slither from its enemies’ grasp and escape.</t>
  </si>
  <si>
    <t>Se upottaa terävät kulmahampaansa muihin olentoihin ja hörppää niiden verta. Tarkempi tarkastelu paljastaa, että kulmahampaat ovat ontot ja muistuttavat olkia.</t>
  </si>
  <si>
    <t>Oddish</t>
  </si>
  <si>
    <t>An adept swimmer at both the front crawl and breast stroke. Easily overtakes the best human swimmers.</t>
  </si>
  <si>
    <t>Rikkakasvi-Pokémon</t>
  </si>
  <si>
    <t>Päivällä se pitää kasvonsa hautautuneena maahan. Yöllä se vaeltelee ympäriinsä kylvämässä siemeniä.</t>
  </si>
  <si>
    <t>Swims powerfully using all the muscles in its body. It can even overtake champion swimmers.</t>
  </si>
  <si>
    <t>This strong and skilled swimmer is even capable of crossing the Pacific Ocean just by kicking.</t>
  </si>
  <si>
    <t>Although an ener getic, skilled swimmer that uses all of its mus cles, it lives on dry land.</t>
  </si>
  <si>
    <t>Se voidaan luulla rikkaruohokokaksi. Jos yrität nykäistä sen irti maasta, se kirkuu kamalasti.</t>
  </si>
  <si>
    <t>Kuunvalo herättää sen ja se vaeltaa aktiivisesti yöllä. Päivällä se pysyy hiljaa maan alla.</t>
  </si>
  <si>
    <t>It can use its well-developed arms and legs to run on the surface of the water for a split second.</t>
  </si>
  <si>
    <t>POLIWRATH’s highly developed, brawny muscles never grow fatigued, however much it exercises. It is so tirelessly strong, this POKéMON can swim back and forth across the Pacific Ocean without effort.</t>
  </si>
  <si>
    <t>Kuunvalossa se alkaa liikkua. Se vaeltaa yöllä laajalle levittääkseen siemeniään.</t>
  </si>
  <si>
    <t>Its highly developed muscles never grow fatigued, however much it exercises. This POKéMON can swim back and forth across the Pacific Ocean without effort.</t>
  </si>
  <si>
    <t>https://pokeapi.co/api/v2/pokemon-species/39/</t>
  </si>
  <si>
    <t>Päivällä se pysyy kylmässä maan alla auringonpaisteen välttämiseksi. Se kasvaa kylpemällä kuunvalossa.</t>
  </si>
  <si>
    <t>An adept swimmer, it knows the front crawl, butterfly, and more. It is faster than the best human swimmers.</t>
  </si>
  <si>
    <t>A swimmer adept at both the front crawl and breaststroke. Easily overtakes the best human swimmers.</t>
  </si>
  <si>
    <t>Päivällä ODDISH kaivautuu maahan imeäkseen ravinteita koko kehollaan. Mitä hedelmällisempi maaperä, sitä kiiltävämmiksi sen lehdet tulevat.</t>
  </si>
  <si>
    <t>With its extremely tough muscles, it can keep swimming in the Pacific Ocean without resting.</t>
  </si>
  <si>
    <t>ODDISH etsii hedelmällistä ja ravinnepitoista maaperää ja istuttaa sitten itsensä. Päivän aikana, istutuksen aikana, tämän POKéMONin jalkojen uskotaan muuttavan muotoaan ja tulevan puun juurien kaltaisiksi.</t>
  </si>
  <si>
    <t>Although an energetic, skilled swimmer that uses all of its muscles, it lives on dry land.</t>
  </si>
  <si>
    <t>Tämä POKéMON kasvaa imemällä itseensä kuunvaloa. Päivällä se hautautuu maahan jättäen näkyviin vain lehtensä, jotta viholliset eivät havaitse sitä.</t>
  </si>
  <si>
    <t>Poliwrath’s highly developed, brawny muscles never grow fatigued, however much it exercises. It is so tirelessly strong, this Pokémon can swim back and forth across the ocean without effort.</t>
  </si>
  <si>
    <t>Poliwrath in the Alola region are strong swimmers that use the breaststroke. Many children learn to swim by imitating Poliwrath.</t>
  </si>
  <si>
    <t>Sen tieteellinen nimi on ”Oddium Wanderus”. Yöllä sen sanotaan kävelevän lähes 300 metriä kahdella juurellaan.</t>
  </si>
  <si>
    <t>Its percentage of body fat is nearly zero. Its body is entirely muscle, which makes it heavy and forces its swimming prowess to develop.</t>
  </si>
  <si>
    <t>It’s quite a gifted swimmer, even among Water-type Pokémon, but it normally spends its time on land.</t>
  </si>
  <si>
    <t>Se usein istuttaa juurensa maahan päivällä ja kylvää siemeniä kävellessään yöllä.</t>
  </si>
  <si>
    <t>The muscles it has developed through swimming are thick and powerful. When it lands a square punch, it can turn huge boulders to dust.</t>
  </si>
  <si>
    <t>Swims powerfully using all the muscles in its body. It can even overtake world-class swimmers.</t>
  </si>
  <si>
    <t>Its body is solid muscle. When swimming through cold seas, Poliwrath uses its impressive arms to smash through drift ice and plow forward.</t>
  </si>
  <si>
    <t>Poliwrath is skilled at both swimming and martial arts. It uses its well-trained arms to dish out powerful punches.</t>
  </si>
  <si>
    <t>Kuunvalo herättää sen, ja se vaeltaa aktiivisesti yöllä. Päivällä se pysyy hiljaa maan alla.</t>
  </si>
  <si>
    <t>Using its ability to read minds, it will identify impending danger and TELEPORT to safety.</t>
  </si>
  <si>
    <t>Sleeps 18 hours a day. If it senses danger, it will teleport itself to safety even as it sleeps.</t>
  </si>
  <si>
    <t>It senses impend ing attacks and TELEPORTS away to safety before the actual attacks can strike.</t>
  </si>
  <si>
    <t>If it decides to TELEPORT randomly, it creates the illusion that it has created copies of itself.</t>
  </si>
  <si>
    <t>It hypnotizes itself so that it can teleport away when it senses danger, even if it is asleep.</t>
  </si>
  <si>
    <t>ABRA sleeps for eighteen hours a day. However, it can sense the presence of foes even while it is sleeping. In such a situation, this POKéMON immediately teleports to safety.</t>
  </si>
  <si>
    <t>ABRA needs to sleep for eighteen hours a day. If it doesn’t, this POKéMON loses its ability to use telekinetic powers. If it is attacked, ABRA escapes using TELEPORT while it is still sleeping.</t>
  </si>
  <si>
    <t>A POKéMON that sleeps 18 hours a day. Observation revealed that it uses TELEPORT to change its location once every hour.</t>
  </si>
  <si>
    <t>Päivällä se pysyy kylmässä maan alla auringonpaisteen välttämiseksi. Se kasvaa kuunvalossa kylpemällä.</t>
  </si>
  <si>
    <t>It sleeps for 18 hours a day. It uses a variety of extrasensory powers even while asleep.</t>
  </si>
  <si>
    <t>Päivällä Oddish kaivautuu maahan imeäkseen ravinteita koko ruumiillaan. Mitä hedelmällisempi maaperä, sitä kiiltävämmiksi sen lehdet tulevat.</t>
  </si>
  <si>
    <t>Using its ability to read minds, it will sense impending danger and TELEPORT to safety.</t>
  </si>
  <si>
    <t>Oddish etsii hedelmällistä ja ravinnepitoista maaperää ja istuttaa sitten itsensä. Päivällä, istutuksen aikana, tämän Pokémonin jalkojen uskotaan muuttavan muotoaan ja tulevan puun juurien kaltaisiksi.</t>
  </si>
  <si>
    <t>It sleeps for 18 hours a day. Even when awake, it teleports itself while remaining seated.</t>
  </si>
  <si>
    <t>Even while asleep, it maintains a telepathic radar. It teleports when it is threatened.</t>
  </si>
  <si>
    <t>Using its psychic power is such a strain on its brain that it needs to sleep for 18 hours a day.</t>
  </si>
  <si>
    <t>It senses impending attacks and teleports away to safety before the actual attacks can strike.</t>
  </si>
  <si>
    <t>Gloom</t>
  </si>
  <si>
    <t>If it decides to teleport randomly, it evokes the illusion that it has created copies of itself.</t>
  </si>
  <si>
    <t>Sen suusta valuva neste ei ole kuolaa, vaan mettä, jota käytetään saaliin houkuttelemiseen.</t>
  </si>
  <si>
    <t>Abra sleeps for eighteen hours a day. However, it can sense the presence of foes even while it is sleeping. In such a situation, this Pokémon immediately teleports to safety.</t>
  </si>
  <si>
    <t>Haisee uskomattoman pahalle! Kuitenkin noin yksi tuhannesta ihmisestä nauttii sen nenää taivuttavan hajun nuuhkimisesta.</t>
  </si>
  <si>
    <t>Abra needs to sleep for eighteen hours a day. If it doesn’t, this Pokémon loses its ability to use telekinetic powers. If it is attacked, Abra escapes using Teleport while it is still sleeping.</t>
  </si>
  <si>
    <t>Se, mikä näyttää kuolalta, on itse asiassa makeaa hunajaa. Se on erittäin tahmeaa ja tarttuu itsepäisesti, jos sitä kosketetaan.</t>
  </si>
  <si>
    <t>It sleeps 18 hours a day. Even while sleeping, it will teleport itself to treetops and pick and eat berries there.</t>
  </si>
  <si>
    <t>Se erittää tahmeaa, kuolamaista hunajaa. Vaikka se on makeaa, se tuoksuu liian vastenmieliseltä päästäkseen aivan lähelle.</t>
  </si>
  <si>
    <t>Sen kuolamaisen siirapin ja terälehtien siitepölyn haju on niin paha, että se saattaa saada vastustajat pyörtymään.</t>
  </si>
  <si>
    <t>It can teleport itself to safety while it’s asleep, but when it wakes, it doesn’t know where it is, so it panics.</t>
  </si>
  <si>
    <t>GLOOM vapauttaa kukkansa emiöstä pahanhajuista tuoksua. Vaaran uhatessa löyhkä pahenee. Jos tämä POKéMON tuntee olonsa rauhalliseksi ja turvalliseksi, se ei vapauta tavanomaista pahanhajuista tuoksuaan.</t>
  </si>
  <si>
    <t>It uses various psychic powers even while it’s sleeping, so you can’t tell whether or not it’s awake.</t>
  </si>
  <si>
    <t>Sen suusta GLOOM tippuu hunajaa, joka haisee aivan hirveältä. Ilmeisesti se rakastaa hirvittävää löyhkää. Se haistelee myrkyllisiä höyryjä ja kuolaa sitten vielä lisää hunajaansa.</t>
  </si>
  <si>
    <t>It can read others’ minds and will teleport away when danger approaches. You must clear your mind if you want to catch it.</t>
  </si>
  <si>
    <t>Sen suusta valuu hirvittävän myrkyllistä hunajaa. Yksikin hunajan tuoksu voi johtaa muistinmenetykseen. Joidenkin fanien sanotaan kuitenkin nauttivan tästä valtavasta hajusta.</t>
  </si>
  <si>
    <t>Sen emi-suvut huokuvat uskomattoman pahaa hajua. Kamala löyhkä voi aiheuttaa pyörtymisen 2,9 kilometrin etäisyydellä.</t>
  </si>
  <si>
    <t>This Pokémon uses its psychic powers while it sleeps. The contents of Abra’s dreams affect the powers that the Pokémon wields.</t>
  </si>
  <si>
    <t>Abra can teleport in its sleep. Apparently the more deeply Abra sleeps, the farther its teleportations go.</t>
  </si>
  <si>
    <t>Suustaan ​​valuva hunaja haisee niin hirvittävälle, että se voi käpertyä nenänsä yli mailin päähän.</t>
  </si>
  <si>
    <t>Spends 18 hours of the day sleeping. Even while asleep, Abra can control its psychic powers—should danger approach, the Pokémon will simply teleport away.</t>
  </si>
  <si>
    <t>It emits special alpha waves from its body that induce headaches just by being close by.</t>
  </si>
  <si>
    <t>Many odd things happen if this POKéMON is close by. For example, it makes clocks run backwards.</t>
  </si>
  <si>
    <t>It possesses strong spiritual power. The more danger it faces, the stronger its psychic power.</t>
  </si>
  <si>
    <t>If it uses its abilities, it emits special alpha waves that cause machines to malfunction.</t>
  </si>
  <si>
    <t>When it closes its eyes, twice as many alpha parti cles come out of the surface of its body.</t>
  </si>
  <si>
    <t>KADABRA emits a peculiar alpha wave if it develops a headache. Only those people with a particularly strong psyche can hope to become a TRAINER of this POKéMON.</t>
  </si>
  <si>
    <t>KADABRA holds a silver spoon in its hand. The spoon is used to amplify the alpha waves in its brain. Without the spoon, the POKéMON is said to be limited to half the usual amount of its telekinetic powers.</t>
  </si>
  <si>
    <t>It is rumored that a boy with psychic abilities suddenly transformed into KADABRA while he was assisting research into extrasensory powers.</t>
  </si>
  <si>
    <t>Haisee uskomattoman pahalle! Kuitenkin noin yksi tuhannesta ihmisestä nauttii sen nenää taivuttavan löyhkän nuuhkimisesta.</t>
  </si>
  <si>
    <t>It happened one morning - a boy with extrasensory powers awoke in bed transformed into KADABRA.</t>
  </si>
  <si>
    <t>It emits special alpha waves from its body that induce headaches just by being close.</t>
  </si>
  <si>
    <t>If one is nearby, an eerie shadow appears on TV screens. Seeing the shadow is said to bring bad luck.</t>
  </si>
  <si>
    <t>Synkkyys vapauttaa kukkansa emiöstä pahanhajuista tuoksua. Vaaran uhatessa löyhkä pahenee. Jos tämä Pokémon tuntee olonsa rauhalliseksi ja turvalliseksi, se ei vapauta tavanomaista pahanhajuista tuoksuaan.</t>
  </si>
  <si>
    <t>When it uses its psychic power, it emits strong ha waves that can ruin precision devices.</t>
  </si>
  <si>
    <t>Gloomin suusta tippuu hunajaa, joka haisee aivan hirveältä. Ilmeisesti se rakastaa hirvittävää löyhkää. Se haistelee myrkyllisiä höyryjä ja kuolaa sitten vielä lisää hunajaansa.</t>
  </si>
  <si>
    <t>It stares at its silver spoon to focus its mind. It emits more alpha waves while doing so.</t>
  </si>
  <si>
    <t>When it uses its psychic power, it emits strong alpha waves that can ruin precision devices.</t>
  </si>
  <si>
    <t>Kadabra emits a peculiar alpha wave if it develops a headache. Only those people with a particularly strong psyche can hope to become a Trainer of this Pokémon.</t>
  </si>
  <si>
    <t>https://pokeapi.co/api/v2/pokemon-species/40/</t>
  </si>
  <si>
    <t>Kadabra holds a silver spoon in its hand. The spoon is used to amplify the alpha waves in its brain. Without the spoon, the Pokémon is said to be limited to half the usual amount of its telekinetic powers.</t>
  </si>
  <si>
    <t>A theory exists that this Pokémon was a young boy who couldn’t control his psychic powers and ended up transformed into this Pokémon.</t>
  </si>
  <si>
    <t>Vileplume</t>
  </si>
  <si>
    <t>Kadabra’s presence infests televisions and monitors with creepy shadows that bring bad luck.</t>
  </si>
  <si>
    <t>Kukka-Pokémon</t>
  </si>
  <si>
    <t>Mitä suurempia sen terälehdet ovat, sitä myrkyllisempää siitepölyä se sisältää. Sen suuri pää on painava ja vaikea pitää pystyssä.</t>
  </si>
  <si>
    <t>It stares at a silver spoon to amplify its psychic powers before it lets loose. Apparently, gold spoons are no good.</t>
  </si>
  <si>
    <t>Läpyttää leveitä kukkaterälehtiään levittääkseen myrkyllistä siitepölyä. Läpytysääni on erittäin kova.</t>
  </si>
  <si>
    <t>It possesses strong mental capabilities, but its psychic powers are halved when it’s not holding a silver spoon.</t>
  </si>
  <si>
    <t>Sillä on maailman suurimmat terälehdet. Joka askeleella terälehdet ravistelevat ulos raskaita myrkyllisen siitepölyn pilviä.</t>
  </si>
  <si>
    <t>Many odd things happen if this Pokémon is close by. For example, it makes clocks run backward.</t>
  </si>
  <si>
    <t>Nuppu puhkeaa kukkaan pamahduksella. Sitten se alkaa levittää allergisoivaa, myrkyllistä siitepölyä.</t>
  </si>
  <si>
    <t>Using its psychic power, Kadabra levitates as it sleeps. It uses its springy tail as a pillow.</t>
  </si>
  <si>
    <t>Ravistamalla suuria terälehtiään se levittää myrkyllistä siitepölyä ilmaan, mikä muuttaa ilman keltaiseksi.</t>
  </si>
  <si>
    <t>This Pokémon’s telekinesis is immensely powerful. To prepare for evolution, Kadabra stores up psychic energy in the star on its forehead.</t>
  </si>
  <si>
    <t>VILEPLUMEN myrkyllinen siitepöly laukaisee hirvittäviä allergiakohtauksia. Siksi on suositeltavaa olla koskaan lähestymättä kauniita kukkia viidakossa, olivatpa ne kuinka kauniita tahansa.</t>
  </si>
  <si>
    <t>There are rumors that a child with mystical powers became a Kadabra; however, this remains unverified. I suspect that the spoon Kadabra holds enhances its brain waves.</t>
  </si>
  <si>
    <t>VILEPLUMELLA on maailman suurimmat terälehdet. Niitä käytetään saaliin houkuttelemiseen, ja sitten ne kastellaan myrkyllisillä itiöillä. Kun saalis on lamaantunut, tämä POKéMON nappaa ja syö sen.</t>
  </si>
  <si>
    <t>Its brain can out perform a super computer. Its intelligence quotient is said to be 5,000.</t>
  </si>
  <si>
    <t>Vuodenaikoina, jolloin se tuottaa enemmän siitepölyä, VILEPLUMEN ympärillä oleva ilma muuttuu keltaiseksi jauheesta sen kävellessä. Siitepöly on erittäin myrkyllistä ja aiheuttaa halvaantumisen.</t>
  </si>
  <si>
    <t>A POKéMON that can memorize anything. It never forgets what it learns-- that's why this POKéMON is smart.</t>
  </si>
  <si>
    <t>Sen terälehdet ovat maailman suurimmat. Se levittää terälehdistään allergiaa aiheuttavaa siitepölyä pirullisesti.</t>
  </si>
  <si>
    <t>Closing both its eyes heightens all its other senses. This enables it to use its abilities to their extremes.</t>
  </si>
  <si>
    <t>Its brain cells multiply continu ally until it dies. As a result, it remembers everything.</t>
  </si>
  <si>
    <t>Sen terälehdet ovat maailman suurimmat. Kävellessään se levittää erittäin allergeenista siitepölyä.</t>
  </si>
  <si>
    <t>It has an IQ of 5000. It calcu lates many things in order to gain the edge in every battle.</t>
  </si>
  <si>
    <t>ALAKAZAM’s brain continually grows, making its head far too heavy to support with its neck. This POKéMON holds its head up using its psychokinetic power instead.</t>
  </si>
  <si>
    <t>ALAKAZAM’s brain continually grows, infinitely multiplying brain cells. This amazing brain gives this POKéMON an astoundingly high IQ of 5,000. It has a thorough memory of everything that has occurred in the world.</t>
  </si>
  <si>
    <t>While it has strong psychic abilities and high intelligence, an ALAKAZAM’s muscles are very weak. It uses psychic power to move its body.</t>
  </si>
  <si>
    <t>It does not like physical attacks very much. Instead, it freely uses extra sensory powers to defeat foes.</t>
  </si>
  <si>
    <t>Its brain can outperform a supercomputer. Its IQ (intelligence quotient) is said to be around 5,000.</t>
  </si>
  <si>
    <t>Its superb memory lets it recall everything it has experienced from birth. Its IQ exceeds 5,000.</t>
  </si>
  <si>
    <t>Its highly developed brain is on par with a supercomputer. It can use all forms of psychic abilities.</t>
  </si>
  <si>
    <t>The spoons clutched in its hands are said to have been created by its psychic powers.</t>
  </si>
  <si>
    <t>Vileplumen myrkyllinen siitepöly laukaisee hirvittäviä allergiakohtauksia. Siksi on suositeltavaa olla koskaan lähestymättä kauniita kukkia viidakossa, olivatpa ne kuinka kauniita tahansa.</t>
  </si>
  <si>
    <t>Its brain cells multiply continually until it dies. As a result, it remembers everything.</t>
  </si>
  <si>
    <t>Vileplumella on maailman suurimmat terälehdet. Niitä käytetään saaliin houkuttelemiseen, jotka sitten kastellaan myrkyllisillä itiöillä. Kun saalis on lamaantunut, tämä Pokémon nappaa ja syö sen.</t>
  </si>
  <si>
    <t>Alakazam’s brain continually grows, making its head far too heavy to support with its neck. This Pokémon holds its head up using its psychokinetic power instead.</t>
  </si>
  <si>
    <t>Alakazam’s brain continually grows, infinitely multiplying brain cells. This amazing brain gives this Pokémon an astoundingly high IQ of 5,000. It has a thorough memory of everything that has occurred in the world.</t>
  </si>
  <si>
    <t>It is said to have an IQ of approximately 5,000. Its overflowing psychokinetic powers cause headaches to anyone nearby.</t>
  </si>
  <si>
    <t>Its brain cells continue to increase in number until its death. The older the Alakazam, the larger its head.</t>
  </si>
  <si>
    <t>Paras</t>
  </si>
  <si>
    <t>Sieni-Pokémon</t>
  </si>
  <si>
    <t>Alakazam uses its psychic powers to make the spoons it carries. Each spoon is an original that there’s only one of in the whole world.</t>
  </si>
  <si>
    <t>Koloja puiden juurien imemiseen. Sen selässä olevat sienet kasvavat vetämällä ravinteita hyönteisisännältä.</t>
  </si>
  <si>
    <t>If it trusts someone deeply, it will let them have one of its spoons. Anything you eat with that spoon is apparently delicious.</t>
  </si>
  <si>
    <t>Kaivautuu maan alle jyrsiäkseen puiden juuria. Sen selässä olevat sienet imevät suurimman osan ravinteista.</t>
  </si>
  <si>
    <t>A Pokémon that can memorize anything. It never forgets what it learns—that’s why this Pokémon is smart.</t>
  </si>
  <si>
    <t>Se kastellaan sieni-itiöillä syntymän yhteydessä. Sen ruumiin kasvaessa sienet versovat sen selästä.</t>
  </si>
  <si>
    <t>It has an incredibly high level of intelligence. Some say that Alakazam remembers everything that ever happens to it, from birth till death.</t>
  </si>
  <si>
    <t>Kun sen ruumis kasvaa suureksi, sen selästä alkaa kasvaa itämaisia ​​sieniä nimeltä tochukaso.</t>
  </si>
  <si>
    <t>Alakazam wields potent psychic powers. It’s said that this Pokémon used these powers to create the spoons it holds.</t>
  </si>
  <si>
    <t>Tämän POKéMONin selässä kasvava tochukaso käskee sitä imemään mehua puunrungoista.</t>
  </si>
  <si>
    <t>The longer Alakazam lives, the larger and heavier its head becomes. Our tests have shown that the strength of its psychic powers correlates positively to the weight of its head.</t>
  </si>
  <si>
    <t>PARASilla on selässään kasvavia tochukasoja, joita kutsutaan loissieniksi. Ne kasvavat suuriksi imemällä ravinteita BUG-POKéMON-isännältä. Niitä arvostetaan suuresti lääkkeenä elämän pidentämiseen.</t>
  </si>
  <si>
    <t>Loves to build its muscles. It trains in all styles of martial arts to become even stronger.</t>
  </si>
  <si>
    <t>Very powerful in spite of its small size. Its mastery of many types of martial arts makes it very tough.</t>
  </si>
  <si>
    <t>PARASilla on selässään kasvavia tochukasoja, jotka ovat loissieniä. Ne kasvavat suuriksi imemällä ravinteita tältä BUG-POKéMON-isännältä. Niitä arvostetaan suuresti lääkkeenä elämän pidentämiseen.</t>
  </si>
  <si>
    <t>Always brimming with power, it passes time by lifting boulders. Doing so makes it even stronger.</t>
  </si>
  <si>
    <t>Paras-sienellä kasvaa selässään loismaisia ​​tochukasosieniä. Ne kasvavat ottamalla ravinteita isännästä. Niitä arvostetaan pitkän iän lääkkeenä.</t>
  </si>
  <si>
    <t>It loves to work out and build its muscles. It is never satisfied, even if it trains hard all day long.</t>
  </si>
  <si>
    <t>It trains by lifting rocks in the mountains. It can even pick up a GRAVELER with ease.</t>
  </si>
  <si>
    <t>Luteen selästä kasvaa tochukaso-nimisiä sieniä. Sienet kasvavat yhdessä luteen isännän kanssa.</t>
  </si>
  <si>
    <t>Imee puun juuria koloissaan. Sen selässä olevat sienet kasvavat imemällä ravinteita hyönteisisännältä.</t>
  </si>
  <si>
    <t>MACHOP’s muscles are special - they never get sore no matter how much they are used in exercise. This POKéMON has sufficient power to hurl a hundred adult humans.</t>
  </si>
  <si>
    <t>Sen selässä kasvavat tochukaso-nimiset sienet. Ne kasvavat isäntäeläin Parasin rinnalla.</t>
  </si>
  <si>
    <t>MACHOP exercises by hefting around a GRAVELER as if it were a barbell. There are some MACHOP that travel the world in a quest to master all kinds of martial arts.</t>
  </si>
  <si>
    <t>It continually undertakes strenuous training to master all forms of martial arts. Its strength lets it easily hoist a sumo wrestler onto its shoulders.</t>
  </si>
  <si>
    <t>Its whole body is composed of muscles. Even though it’s the size of a human child, it can hurl 100 grown-ups.</t>
  </si>
  <si>
    <t>It hefts a GRAVELER repeatedly to strengthen its entire body. It uses every type of martial arts.</t>
  </si>
  <si>
    <t>Kun sen ruumis kasvaa, sen selästä alkaa kasvaa suuria sieniä nimeltä tochukaso.</t>
  </si>
  <si>
    <t>Sen selässä kasvavat tochukaso-nimiset sienet. Ne kasvavat isäntäkasvin, Parasin, rinnalla.</t>
  </si>
  <si>
    <t>https://pokeapi.co/api/v2/pokemon-species/41/</t>
  </si>
  <si>
    <t>Its muscles never cramp however much it trains. It lives in the mountains away from humans.</t>
  </si>
  <si>
    <t>Though small in stature, it is powerful enough to easily heft and throw a number of GEODUDE at once.</t>
  </si>
  <si>
    <t>Though small in stature, it is powerful enough to easily heft and throw a number of Geodude at once.</t>
  </si>
  <si>
    <t>It hefts a Graveler repeatedly to strengthen its entire body. It uses every type of martial arts.</t>
  </si>
  <si>
    <t>Machop’s muscles are special—they never get sore no matter how much they are used in exercise. This Pokémon has sufficient power to hurl a hundred adult humans.</t>
  </si>
  <si>
    <t>Paras-pokémonilla on selässään kasvavia loissieniä, joita kutsutaan tochukasoiksi. Ne kasvavat suuriksi imemällä ravinteita tältä Bug-pokémon-isännältä. Niitä arvostetaan suuresti lääkkeenä elämän pidentämiseen.</t>
  </si>
  <si>
    <t>Machop exercises by hefting around a Graveler as if it were a barbell. There are some Machop that travel the world in a quest to master all kinds of martial arts.</t>
  </si>
  <si>
    <t>Syöpä se kuinka paljon tahansa, sen selässä kasvavat sienet varastavat suurimman osan sen kuluttamista ravinteista.</t>
  </si>
  <si>
    <t>It loves working out. As it gazes at its muscles, which continue to swell day by day, it becomes more and more dedicated to its training.</t>
  </si>
  <si>
    <t>Sen selästä kasvaa tochukaso-nimisiä sieniä. Ne voidaan kuivata ja jauhaa lääkkeeksi, jota käytetään elämän pidentämiseen.</t>
  </si>
  <si>
    <t>With its superhuman strength, it’s able to throw a hundred people all at the same time. Its strength comes from lifting Graveler every day.</t>
  </si>
  <si>
    <t>Olipa syynä sitten kosteuden tai ravinteiden puute, Alolassa Paras-vuorten sienet eivät kasva aivan oikein.</t>
  </si>
  <si>
    <t>Once this Pokémon has gained enough confidence and muscle from training with its friends, it challenges Makuhita to a battle.</t>
  </si>
  <si>
    <t>Sienet, jotka tunnetaan nimellä tochukaso, pitävät ötökkää kurissa. Vaikka ötökkä ärsyttäisi sieniä, ne käskevät sitä poistumaan.</t>
  </si>
  <si>
    <t>It likes food that’s highly nutritious because its instincts drive it to build muscle efficiently.</t>
  </si>
  <si>
    <t>Though as small as a child, it has strength enough to easily throw a well-built adult. Striving to become ever stronger, Machop trains by carrying a Graveler on its shoulders.</t>
  </si>
  <si>
    <t>Its muscular body is so powerful, it must wear a power save belt to be able to regulate its motions.</t>
  </si>
  <si>
    <t>Joskus sitä nähdään puiden juurella kosteissa metsissä. Sen selässä olevia sieniä – joita kutsutaan tochukasoiksi – ei ole poikasilla, vaan ne ilmestyvät esiin Paras-lajin kypsyessä.</t>
  </si>
  <si>
    <t>The belt around its waist holds back its energy. Without it, this POKéMON would be unstoppable.</t>
  </si>
  <si>
    <t>Parasect</t>
  </si>
  <si>
    <t>Isäntä-loinen-pari, jossa loinen sieni on ottanut isäntähyönteisen haltuunsa. Viihtyy kosteissa paikoissa.</t>
  </si>
  <si>
    <t>It always goes at its full power, but this very tough and durable POKéMON never gets tired.</t>
  </si>
  <si>
    <t>The muscles cover ing its body teem with power. Even when still, it exudes an amazing sense of strength.</t>
  </si>
  <si>
    <t>Selässään olevat sienet kuluttavat hyönteisen isännän energiaa. Ne näyttävät ajattelevan kaiken.</t>
  </si>
  <si>
    <t>This tough POKéMON always stays in the zone. Its muscles become thicker after every battle.</t>
  </si>
  <si>
    <t>MACHOKE’s thoroughly toned muscles possess the hardness of steel. This POKéMON has so much strength, it can easily hold aloft a sumo wrestler on just one finger.</t>
  </si>
  <si>
    <t>Se viipyy enimmäkseen pimeissä ja kosteissa paikoissa, eikä ötökkä pidä niistä, vaan sen selässä olevista suurista sienistä.</t>
  </si>
  <si>
    <t>MACHOKE undertakes bodybuilding every day even as it helps people with tough, physically demanding labor. On its days off, this POKéMON heads to the fields and mountains to exercise and train.</t>
  </si>
  <si>
    <t>Mitä suuremmaksi selällään oleva sieni kasvaa, sitä voimakkaampia sieni-itiöitä se levittää.</t>
  </si>
  <si>
    <t>A belt is worn by a MACHOKE to keep its overwhelming power under control. Because it is so dangerous, no one has ever removed the belt.</t>
  </si>
  <si>
    <t>Kun ötökästä ei ole enää mitään jäljellä uutettavaa, sen selässä olevat sienet jättävät itiöitä ötökän munaan.</t>
  </si>
  <si>
    <t>Its formidable body never gets tired. It helps people by doing work such as the moving of heavy goods.</t>
  </si>
  <si>
    <t>PARASECT-hyönteisten tiedetään tarttuvan joukoittain suuriin puihin ja imevän ravinteita niiden alarungosta ja juurista. Kun tartunnan saanut puu kuolee, ne siirtyvät kerralla toiseen puuhun.</t>
  </si>
  <si>
    <t>Its muscular body is so powerful, it must wear a power-save belt to be able to regulate its motions.</t>
  </si>
  <si>
    <t>MACHOKE’s boundless power is very dangerous, so it wears a belt that suppresses its energy.</t>
  </si>
  <si>
    <t>PARASECT-hyönteisten tiedetään tarttuvan joukoittain suurten puiden juuriin ja imevän niistä ravinteita. Kun saastunut puu kuolee, ne siirtyvät kerralla toisen puun päälle.</t>
  </si>
  <si>
    <t>Se levittää myrkyllisiä itiöitä sienen lakista. Kiinassa itiöitä käytetään rohdosvalmisteena.</t>
  </si>
  <si>
    <t>It can lift a dump truck with one hand. Using that power, it helps people with heavy jobs.</t>
  </si>
  <si>
    <t>It happily carries heavy cargo to toughen up. It willingly does hard work for people.</t>
  </si>
  <si>
    <t>Isännän kehoa suuremmaksi kasvanut sieni kontrolloi PARASECTia. Se levittää myrkyllisiä itiöitä.</t>
  </si>
  <si>
    <t>It always goes at its full power, but this very tough and durable Pokémon never gets tired.</t>
  </si>
  <si>
    <t>Sitä torjuu sieni, joka on kasvanut luteen ruumista suuremmaksi. Sen sanotaan viihtyvän kosteissa paikoissa.</t>
  </si>
  <si>
    <t>Se viipyy enimmäkseen pimeissä ja kosteissa paikoissa, eikä se ole ötökän, vaan sen selässä olevan ison sienen suosiossa.</t>
  </si>
  <si>
    <t>The muscles covering its body teem with power. Even when still, it exudes an amazing sense of strength.</t>
  </si>
  <si>
    <t>Mitä suuremmaksi sieni selällään kasvaa, sitä voimakkaampia sieni-itiöitä se levittää.</t>
  </si>
  <si>
    <t>Machoke’s thoroughly toned muscles possess the hardness of steel. This Pokémon has so much strength, it can easily hold aloft a sumo wrestler on just one finger.</t>
  </si>
  <si>
    <t>Machoke undertakes bodybuilding every day even as it helps people with tough, physically demanding labor. On its days off, this Pokémon heads to the fields and mountains to exercise and train.</t>
  </si>
  <si>
    <t>Isännän kehoa suuremmaksi kasvanut sieni hallitsee Parasectia. Se levittää myrkyllisiä itiöitä.</t>
  </si>
  <si>
    <t>As a result of its continual workouts, it has developed tremendous power. It uses that power to help people with their work.</t>
  </si>
  <si>
    <t>It willingly assists with hard labor because it knows the work is good training for its muscles.</t>
  </si>
  <si>
    <t>When it encounters an enemy that’s truly mighty, this Pokémon removes the power-save belt from its waist and unleashes its full power.</t>
  </si>
  <si>
    <t>A popular motif for sculptures, its incredibly well-developed muscles have captured the imagination of many an artist.</t>
  </si>
  <si>
    <t>The belt around its waist holds back its energy. Without it, this Pokémon would be unstoppable.</t>
  </si>
  <si>
    <t>A sturdy creature boasting a robust physique and boundless stamina. Loves training above all else and voluntarily assists with tasks such as construction and clearing land.</t>
  </si>
  <si>
    <t>Using its heavy muscles, it throws powerful punches that can send the victim clear over the horizon.</t>
  </si>
  <si>
    <t>One arm alone can move mountains. Using all four arms, this POKéMON fires off awesome punches.</t>
  </si>
  <si>
    <t>It quickly swings its four arms to rock its opponents with ceaseless punches and chops from all angles.</t>
  </si>
  <si>
    <t>Parasektien tiedetään tarttuvan joukoittain suuriin puihin ja imevän ravinteita niiden alarungosta ja juurista. Kun saastunut puu kuolee, ne siirtyvät kaikki kerralla toiseen puuhun.</t>
  </si>
  <si>
    <t>It uses its four powerful arms to pin the limbs of its foe, then throws the victim over the horizon.</t>
  </si>
  <si>
    <t>With four arms that react more quickly than it can think, it can execute many punches at once.</t>
  </si>
  <si>
    <t>MACHAMP has the power to hurl anything aside. However, trying to do any work requiring care and dexterity causes its arms to get tangled. This POKéMON tends to leap into action before it thinks.</t>
  </si>
  <si>
    <t>Sen selässä oleva suuri sieni hallitsee sitä. Se taistelee usein reviiriä vastaan ​​shiinotilaisten kanssa.</t>
  </si>
  <si>
    <t>MACHAMP is known as the POKéMON that has mastered every kind of martial arts. If it grabs hold of the foe with its four arms, the battle is all but over. The hapless foe is thrown far over the horizon.</t>
  </si>
  <si>
    <t>It is impossible to defend against punches and chops doled out by its four arms. Its fighting spirit flares up when it faces a tough opponent.</t>
  </si>
  <si>
    <t>Se levittää myrkyllisiä itiöitä sienen lakistaan. Kerättyinä itiöitä voidaan liottaa ja keittää yrttilääkkeiden valmistamiseksi.</t>
  </si>
  <si>
    <t>Its four ruggedly developed arms can launch a flurry of 1,000 punches in just two seconds.</t>
  </si>
  <si>
    <t>Its superpowerful punches are said to knock the victim flying clear over the horizon.</t>
  </si>
  <si>
    <t>Luunainen on enimmäkseen kuollut, ja sen selässä olevasta sienestä on tullut sen pääruumis. Jos sieni irtoaa, luteinen lakkaa liikkumasta.</t>
  </si>
  <si>
    <t>It punches with its four arms at blinding speed. It can launch 1,000 punches in two seconds.</t>
  </si>
  <si>
    <t>It can knock a train flying with a punch. However, it is terrible at delicate work using its fingers.</t>
  </si>
  <si>
    <t>Sen myrkyllisiä itiöitä käytetään myös perinteisessä lääketieteessä. Ilmeisesti Alolassa tuotetut itiöt eivät ole kovin hyvälaatuisia.</t>
  </si>
  <si>
    <t>Its four muscled arms slam foes with powerful punches and chops at blinding speed.</t>
  </si>
  <si>
    <t>Selällään oleva sieni kuluttaa hyönteisen isännän energiaa. Sieni näyttää ajattelevan kaiken.</t>
  </si>
  <si>
    <t>Machamp has the power to hurl anything aside. However, trying to do any work requiring care and dexterity causes its arms to get tangled. This Pokémon tends to leap into action before it thinks.</t>
  </si>
  <si>
    <t>Machamp is known as the Pokémon that has mastered every kind of martial arts. If it grabs hold of the foe with its four arms, the battle is all but over. The hapless foe is thrown far over the horizon.</t>
  </si>
  <si>
    <t>Tämän Pokémonin sienittömät yksilöt makaavat liikkumatta metsässä, mikä antaa uskottavuutta hypoteesille, jonka mukaan suuri sieni hallitsee Parasectin toimia.</t>
  </si>
  <si>
    <t>It unleashes megaton-level punches that send opponents flying clear over the horizon.</t>
  </si>
  <si>
    <t>Venonat</t>
  </si>
  <si>
    <t>It can lift heavy loads with the greatest of ease. It can even heft dump trucks. But its clumsy fingers prevent it from doing any precision work.</t>
  </si>
  <si>
    <t>Hyönteis-Pokémon</t>
  </si>
  <si>
    <t>Se elää korkeiden puiden varjoissa, missä se syö hyönteisiä. Yöllä valo vetää sitä puoleensa.</t>
  </si>
  <si>
    <t>It grasps its opponents with its four arms and twists them up in an intricate hold. People call it “the Machamp special.”</t>
  </si>
  <si>
    <t>With four arms, it can attack and defend simultaneously. It’s said to have mastered every martial art in the world.</t>
  </si>
  <si>
    <t>One arm alone can move mountains. Using all four arms, this Pokémon fires off awesome punches.</t>
  </si>
  <si>
    <t>Sen suuret silmät toimivat tutkina. Kirkkaassa paikassa ne ovat monien pienten silmien ryppäitä.</t>
  </si>
  <si>
    <t>In close combat, its four arms afford it offensive and defensive supremacy. In but a blink, this valiant Pokémon can overwhelm its foes with more than 1,000 blows from its fists.</t>
  </si>
  <si>
    <t>A carnivorous POKéMON that traps and eats bugs. It uses its root feet to soak up needed moisture.</t>
  </si>
  <si>
    <t>Sen silmät toimivat myös tutkayksiköinä. Se pyydystää ja syö pieniä ötököitä, jotka piileskelevät pimeydessä.</t>
  </si>
  <si>
    <t>Prefers hot and humid places. It ensnares tiny insects with its vines and devours them.</t>
  </si>
  <si>
    <t>Myrkkyä tihkuu kaikkialta sen kehosta. Se pyydystää ja syö yöllä pieniä hyönteisiä, joita valo houkuttelee.</t>
  </si>
  <si>
    <t>Even though its body is extremely skinny, it is blindingly fast when catching its prey.</t>
  </si>
  <si>
    <t>It plants its feet deep underground to replenish wa ter. It can't es cape its enemy while it's rooted.</t>
  </si>
  <si>
    <t>Sen syömät pienet ötökät ilmestyvät vain yöllä, joten se nukkuu puunkolossa yön laskeutumiseen asti.</t>
  </si>
  <si>
    <t>If it notices anything that moves, it immediately flings its vine at the object.</t>
  </si>
  <si>
    <t>VENONATin sanotaan kehittyneen ohuen ja jäykän karvapeitteen kanssa, joka peittää koko sen kehon suojaksi. Sillä on suuret silmät, jotka havaitsevat aina pienimmänkin saaliin.</t>
  </si>
  <si>
    <t>BELLSPROUT’s thin and flexible body lets it bend and sway to avoid any attack, however strong it may be. From its mouth, this POKéMON spits a corrosive fluid that melts even iron.</t>
  </si>
  <si>
    <t>A BELLSPROUT’s thin and flexible body lets it bend and sway to avoid any attack, however strong it may be. From its mouth, it leaks a fluid that melts even iron.</t>
  </si>
  <si>
    <t>Its bud looks like a human face. Because of the bud, it is rumored to be a type of legendary mandrake plant.</t>
  </si>
  <si>
    <t>Sen ohuen ja jäykän karvan, joka peittää koko kehon, sanotaan kehittyneen suojaksi. Sen suuret silmät havaitsevat aina pienimmänkin saaliin.</t>
  </si>
  <si>
    <t>A carnivorous POKéMON that traps and eats bugs. It appears to use its root feet to replenish moisture.</t>
  </si>
  <si>
    <t>It prefers hot and humid environments. It is quick at capturing prey with its vines.</t>
  </si>
  <si>
    <t>Sen silmät toimivat tutkan tavoin, minkä ansiosta se on aktiivinen pimeässä. Silmät voivat myös ampua voimakkaita säteitä.</t>
  </si>
  <si>
    <t>It plants its feet deep underground to replenish water. It can’t escape its enemy while it’s rooted.</t>
  </si>
  <si>
    <t>Bellsprout’s thin and flexible body lets it bend and sway to avoid any attack, however strong it may be. From its mouth, this Pokémon spits a corrosive fluid that melts even iron.</t>
  </si>
  <si>
    <t>Sen suuret silmät ovat itse asiassa pienten silmien ryppäitä. Yöllä valo vetää puoleensa lajiaan.</t>
  </si>
  <si>
    <t>Prefers hot and humid places. It ensnares tiny bugs with its vines and devours them.</t>
  </si>
  <si>
    <t>It spits out POISONPOWDER to immobilize the enemy and then finishes it with a spray of ACID.</t>
  </si>
  <si>
    <t>When hungry, it swallows anything that moves. Its hapless prey is melted inside by strong acids.</t>
  </si>
  <si>
    <t>Even though it is filled with ACID, it does not melt because it also oozes a neutral izing fluid.</t>
  </si>
  <si>
    <t>If its prey is bigger than its mouth, it slices up the victim with sharp leaves, then eats every morsel.</t>
  </si>
  <si>
    <t>When it's hungry, it swings its razor-sharp leaves, slicing up any unlucky object nearby for food.</t>
  </si>
  <si>
    <t>WEEPINBELL has a large hook on its rear end. At night, the POKéMON hooks on to a tree branch and goes to sleep. If it moves around in its sleep, it may wake up to find itself on the ground.</t>
  </si>
  <si>
    <t>At night, a WEEPINBELL hangs on to a tree branch with its hooked rear and sleeps. If it moves around in its sleep, it may wake up to find itself on the ground.</t>
  </si>
  <si>
    <t>The leafy parts act as cutters for slashing foes. It spits a fluid that dissolves everything.</t>
  </si>
  <si>
    <t>A Pokémon that appears to be a plant. It captures unwary prey by dousing them with a toxic powder.</t>
  </si>
  <si>
    <t>https://pokeapi.co/api/v2/pokemon-species/42/</t>
  </si>
  <si>
    <t>Even though it is filled with acid, it does not melt because it also oozes a protective fluid.</t>
  </si>
  <si>
    <t>It spits out Poison Powder to immobilize the enemy and then finishes it with a spray of Acid.</t>
  </si>
  <si>
    <t>Weepinbell has a large hook on its rear end. At night, the Pokémon hooks on to a tree branch and goes to sleep. If it moves around in its sleep, it may wake up to find itself on the ground.</t>
  </si>
  <si>
    <t>When hungry, it swallows anything that moves. Its hapless prey is dissolved by strong acids.</t>
  </si>
  <si>
    <t>Said to live in huge colonies deep in jungles, although no one has ever returned from there.</t>
  </si>
  <si>
    <t>Lures prey with the sweet aroma of honey. Swallowed whole, the prey is melted in a day, bones and all.</t>
  </si>
  <si>
    <t>ACID that has dis solved many prey becomes sweeter, making it even more effective at attracting prey.</t>
  </si>
  <si>
    <t>This horrifying plant POKéMON at tracts prey with aromatic honey, then melts them in its mouth.</t>
  </si>
  <si>
    <t>Venonatin sanotaan kehittyneen ohuen ja jäykän karvapeitteen kanssa, joka peittää koko sen kehon suojaksi. Sillä on suuret silmät, jotka havaitsevat aina pienenkin saaliin.</t>
  </si>
  <si>
    <t>Once ingested into this POKéMON's body, even the hardest object will melt into nothing.</t>
  </si>
  <si>
    <t>VICTREEBEL has a long vine that extends from its head. This vine is waved and flicked about as if it were an animal to attract prey. When an unsuspecting prey draws near, this POKéMON swallows it whole.</t>
  </si>
  <si>
    <t>The long vine extending from its head is waved about as if it were a living thing to attract prey. When an unsuspecting victim approaches, it is swallowed whole.</t>
  </si>
  <si>
    <t>Sen suuret silmät toimivat tutkana. Kirkkaassa paikassa ne ovat monien pienten silmien ryppäitä.</t>
  </si>
  <si>
    <t>Lures prey into its mouth with a honeylike aroma. The helpless prey is melted with a dissolving fluid.</t>
  </si>
  <si>
    <t>It pools in its mouth a fluid with a honeylike scent, which is really an acid that dissolves anything.</t>
  </si>
  <si>
    <t>Acid that has dissolved many prey becomes sweeter, making it even more effective at attracting prey.</t>
  </si>
  <si>
    <t>This horrifying plant Pokémon attracts prey with aromatic honey, then melts them in its mouth.</t>
  </si>
  <si>
    <t>Venomoth</t>
  </si>
  <si>
    <t>Myrkkykoi-Pokémon</t>
  </si>
  <si>
    <t>Sen siipiä peittävät pölymäiset suomut on värikoodattu osoittamaan sen sisältämien myrkkyjen tyyppejä.</t>
  </si>
  <si>
    <t>It pools in its mouth a fluid with a honey-like scent, which is really an acid that dissolves anything.</t>
  </si>
  <si>
    <t>Once ingested into this Pokémon’s body, even the hardest object will melt into nothing.</t>
  </si>
  <si>
    <t>Sen siipien jauhemaiset suomut on vaikea poistaa. Ne sisältävät myös myrkkyä, jota vuotaa kosketuksessa.</t>
  </si>
  <si>
    <t>Victreebel has a long vine that extends from its head. This vine is waved and flicked about as if it were an animal to attract prey. When an unsuspecting prey draws near, this Pokémon swallows it whole.</t>
  </si>
  <si>
    <t>Hyökätessään se räpyttelee rajusti suuria siipiään ja levittää myrkyllistä jauhettaan kaikkialle.</t>
  </si>
  <si>
    <t>Lures prey with the sweet aroma of honey. Swallowed whole, the prey is dissolved in a day, bones and all.</t>
  </si>
  <si>
    <t>Sen siivissä oleva jauhe on myrkyllistä, jos se on tummaa. Jos se on vaaleaa, se aiheuttaa halvaantumisen.</t>
  </si>
  <si>
    <t>Drifts in shallow seas. Anglers who hook them by accident are often punished by its stinging acid.</t>
  </si>
  <si>
    <t>Sen levittämät suomut halvaannuttavat jokaisen, joka niihin koskee, niin että henkilö ei pysty seisomaan.</t>
  </si>
  <si>
    <t>It can sometimes be found all dry and shriveled up on a beach. Toss it back into the sea to revive it.</t>
  </si>
  <si>
    <t>VENOMOTH on yöeläin – se on POKéMON, joka aktivoituu vain yöllä. Sen lempisaalis on pieniä hyönteisiä, jotka kerääntyvät katulamppujen ympärille pimeyden valon houkuttelemina.</t>
  </si>
  <si>
    <t>When the tide goes out, dehydrated TENTACOOL remains can be found washed up on the shore.</t>
  </si>
  <si>
    <t>It drifts aimless ly in waves. Very difficult to see in water, it may not be noticed until it stings.</t>
  </si>
  <si>
    <t>MYRKKYT ovat yöeläimiä – ne ovat aktiivisia vain yöllä. Niiden lempisaalis on hyönteisiä, jotka kerääntyvät katulamppujen ympärille pimeyden valon houkuttelemina.</t>
  </si>
  <si>
    <t>As it floats along on the waves, it uses its toxic feelers to stab anything it touches.</t>
  </si>
  <si>
    <t>Siivet ovat pölymäisten suomujen peitossa. Joka kerta siipiään räpytellen se irrottaa erittäin myrkyllistä pölyä.</t>
  </si>
  <si>
    <t>TENTACOOL’s body is largely composed of water. If it is removed from the sea, it dries up like parchment. If this POKéMON happens to become dehydrated, put it back into the sea.</t>
  </si>
  <si>
    <t>Se räpyttelee siipiään levittääkseen pölymäisiä suomuja. Suomut irrottavat myrkkyjä, jos ne joutuvat kosketuksiin ihon kanssa.</t>
  </si>
  <si>
    <t>TENTACOOL absorbs sunlight and refracts it using water inside its body to convert it into beam energy. This POKéMON shoots beams from its crystal-like eyes.</t>
  </si>
  <si>
    <t>Its body is almost entirely composed of water. It ensnares its foe with its two long tentacles, then stabs with the poison stingers at their tips.</t>
  </si>
  <si>
    <t>Its eyes are as transparent as crystals. From them, it shoots mysterious beams of light.</t>
  </si>
  <si>
    <t>Drifts in shallow seas. Anglers who hook them by accident are often punished by their stingers.</t>
  </si>
  <si>
    <t>Its body is virtually composed of water. It shoots strange beams from its crystal-like eyes.</t>
  </si>
  <si>
    <t>It drifts in sea currents. Countless fishermen are hurt by its poison stingers.</t>
  </si>
  <si>
    <t>Sen siipien jauhe on myrkyllistä, jos se on tummaa. Jos se on vaaleaa, se aiheuttaa halvaantumisen.</t>
  </si>
  <si>
    <t>Because its body is almost entirely composed of water, it shrivels up if it is washed ashore.</t>
  </si>
  <si>
    <t>It drifts aimlessly in waves. Very difficult to see in water, it may not be noticed until it stings.</t>
  </si>
  <si>
    <t>Tentacool’s body is largely composed of water. If it is removed from the sea, it dries up like parchment. If this Pokémon happens to become dehydrated, put it back into the sea.</t>
  </si>
  <si>
    <t>Tentacool absorbs sunlight and refracts it using water inside its body to convert it into beam energy. This Pokémon shoots beams from the small round organ above its eyes.</t>
  </si>
  <si>
    <t>They can be found lying dehydrated on beaches, but they are often still alive. When soaked in water, they will revive.</t>
  </si>
  <si>
    <t>It drifts in shallow seas, such as the areas near beaches. If you get bitten or stabbed by its toxic tentacles, rush to the hospital.</t>
  </si>
  <si>
    <t>It drifts through the sea searching for prey. Its poisonous tentacles break off sometimes, but after a while, they grow back.</t>
  </si>
  <si>
    <t>Venomoth on yöeläin – se on Pokémon, joka aktivoituu vain yöllä. Sen lempisaalis on pieniä hyönteisiä, jotka kerääntyvät katulamppujen ympärille pimeyden valon houkuttelemina.</t>
  </si>
  <si>
    <t>Its body is 99% water. The remaining 1% contains the organ that makes its poison.</t>
  </si>
  <si>
    <t>Tentacool is not a particularly strong swimmer. It drifts across the surface of shallow seas as it searches for prey.</t>
  </si>
  <si>
    <t>Sen siipien jauhemaisia ​​suomuja on vaikea poistaa iholta. Ne sisältävät myös myrkkyä, jota vuotaa kosketuksessa ihon kanssa.</t>
  </si>
  <si>
    <t>This Pokémon is mostly made of water. A Tentacool out in the ocean is very hard to spot, because its body blends in with the sea.</t>
  </si>
  <si>
    <t>Diglett</t>
  </si>
  <si>
    <t>Myyrä-Pokémon</t>
  </si>
  <si>
    <t>Asuu noin metrin syvyydessä maan alla, missä se syö kasvien juuria. Joskus se esiintyy maanpinnan yläpuolella.</t>
  </si>
  <si>
    <t>They fire beams from the glassy, magenta orbs that resemble eyes atop their heads, and they drift in shallow seas. During low tide, they can sometimes be found on beaches, desiccated.</t>
  </si>
  <si>
    <t>The tentacles are normally kept short. On hunts, they are extended to ensnare and immobilize prey.</t>
  </si>
  <si>
    <t>Its 80 tentacles can stretch and contract freely. They wrap around prey and weaken it with poison.</t>
  </si>
  <si>
    <t>Se viihtyy pimeissä paikoissa. Se viettää suurimman osan ajastaan ​​maan alla, vaikka se saattaa ilmestyä luoliin.</t>
  </si>
  <si>
    <t>Its 80 tentacles absorb water and stretch almost endlessly to CON STRICT its prey and enemies.</t>
  </si>
  <si>
    <t>In battle, it extends all 80 of its tentacles to entrap its oppo nent inside a poisonous net.</t>
  </si>
  <si>
    <t>Sen iho on hyvin ohut. Jos se altistuu valolle, sen veri lämpenee, mikä heikentää sitä.</t>
  </si>
  <si>
    <t>When its 80 feel ers absorb water, it stretches to become like a net to entangle its prey.</t>
  </si>
  <si>
    <t>Jos DIGLETT KYLVIÄÄ pellon läpi, se jättää maan täydellisesti muokatuksi ja ihanteelliseksi viljelykasvien istuttamiseen.</t>
  </si>
  <si>
    <t>TENTACRUEL has large red orbs on its head. The orbs glow before lashing the vicinity with a harsh ultrasonic blast. This POKéMON’s outburst creates rough waves around it.</t>
  </si>
  <si>
    <t>Se kaivautuu maan alle ja pureskelee puiden juuria, työntäen päänsä ulos vain silloin, kun aurinko ei paista kirkkaasti.</t>
  </si>
  <si>
    <t>TENTACRUEL has tentacles that can be freely elongated and shortened at will. It ensnares prey with its tentacles and weakens the prey by dosing it with a harsh toxin. It can catch up to 80 prey at the same time.</t>
  </si>
  <si>
    <t>DIGLETT-pokemoneja kasvatetaan useimmilla maatiloilla. Syy on yksinkertainen – minne tahansa tämä POKéMON kaivautuukin, maaperä jätetään täydellisesti kynnetyksi kasvien istuttamista varten. Tämä maaperä on ihanteellinen herkullisten vihannesten kasvattamiseen.</t>
  </si>
  <si>
    <t>It lives in complex rock formations on the ocean floor and traps prey using its 80 tentacles. Its red orbs glow when it grows excited or agitated.</t>
  </si>
  <si>
    <t>It has 80 tentacles that move about freely. They can sting, causing poisoning and sharp, stabbing pain.</t>
  </si>
  <si>
    <t>DIGLETT-kananpoikasia kasvatetaan useimmilla maatiloilla. Syy on yksinkertainen – minne ikinä ne kaivautuvatkin, maaperä jää täydellisesti muokatuksi herkullisten satojen kasvattamista varten.</t>
  </si>
  <si>
    <t>With 80 tentacles for ensnaring victims, it prevents escape until the prey is weakened by poison.</t>
  </si>
  <si>
    <t>Se kaivautuu maahan matalalla syvyydellä. Se jättää jälkeensä kohoumaa, minkä ansiosta se on helppo havaita.</t>
  </si>
  <si>
    <t>It alerts others to danger by stridently flashing the red orbs on its head.</t>
  </si>
  <si>
    <t>It extends its 80 tentacles to form an encircling poisonous net that is difficult to escape.</t>
  </si>
  <si>
    <t>Its 80 tentacles absorb water and stretch almost endlessly to constrict its prey and enemies.</t>
  </si>
  <si>
    <t>Maan alla elävä Pokémon. Pimeän elinympäristönsä vuoksi kirkas auringonvalo karkottaa sitä.</t>
  </si>
  <si>
    <t>In battle, it extends all 80 of its tentacles to entrap its opponent inside a poisonous net.</t>
  </si>
  <si>
    <t>Tentacruel has large red orbs on its head. The orbs glow before lashing the vicinity with a harsh ultrasonic blast. This Pokémon’s outburst creates rough waves around it.</t>
  </si>
  <si>
    <t>Tentacruel has tentacles that can be freely elongated and shortened at will. It ensnares prey with its tentacles and weakens the prey by dosing it with a harsh toxin. It can catch up to 80 prey at the same time.</t>
  </si>
  <si>
    <t>Normally, it has 80 poisonous tentacles. The longer one has been alive, the fewer tentacles it will have.</t>
  </si>
  <si>
    <t>Jos DIGLETT kaivaa pellon läpi, se jättää maaperän täydellisesti muokatuksi ja ihanteelliseksi viljelykasvien istuttamiseen.</t>
  </si>
  <si>
    <t>Although these Pokémon are rare, when a large outbreak of them occurs, all fish Pokémon disappear from the surrounding sea.</t>
  </si>
  <si>
    <t>It fires off ultrasonic waves from its red orbs to weaken its prey, and then it wraps them up in its 80 tentacles.</t>
  </si>
  <si>
    <t>It communicates with others of its kind by lighting up the red orbs on its head. When the orbs are blinking, it’s a warning sign.</t>
  </si>
  <si>
    <t>When the red orbs on Tentacruel’s head glow brightly, watch out. The Pokémon is about to fire off a burst of ultrasonic waves.</t>
  </si>
  <si>
    <t>Its 80 tentacles can stretch and shrink freely. Tentacruel ensnares prey in a net of spread-out tentacles, delivering venomous stings to its catch.</t>
  </si>
  <si>
    <t>It has 80 tentacles, each with a venomous tip. These tentacles are also extendible, lengthening when Tentacruel attempts to catch prey. Use caution.</t>
  </si>
  <si>
    <t>Found in fields and mountains. Mistaking them for boulders, people often step or trip on them.</t>
  </si>
  <si>
    <t>Commonly found near mountain trails, etc. If you step on one by accident, it gets angry.</t>
  </si>
  <si>
    <t>Most people may not notice, but a closer look should reveal that there are many GEODUDE around.</t>
  </si>
  <si>
    <t>It uses its arms to steadily climb steep mountain paths. It swings its fists around if angered.</t>
  </si>
  <si>
    <t>Proud of their sturdy bodies, they bash against each other in a contest to prove whose is harder.</t>
  </si>
  <si>
    <t>The longer a GEODUDE lives, the more its edges are chipped and worn away, making it more rounded in appearance. However, this POKéMON’s heart will remain hard, craggy, and rough always.</t>
  </si>
  <si>
    <t>When GEODUDE sleeps deeply, it buries itself halfway into the ground. It will not awaken even if hikers step on it unwittingly. In the morning, this POKéMON rolls downhill in search of food.</t>
  </si>
  <si>
    <t>Diglettejä kasvatetaan useimmilla maatiloilla. Syy on yksinkertainen – minne tahansa tämä Pokémon kaivautuukin, maaperä jätetään täydellisesti kynnetyksi viljelykasvien istuttamista varten. Tämä maaperä on ihanteellinen herkullisten vihannesten kasvattamiseen.</t>
  </si>
  <si>
    <t>It climbs mountain paths using only the power of its arms. Because they look just like boulders lining paths, hikers may step on them without noticing.</t>
  </si>
  <si>
    <t>Its round form makes it easy to pick up. Some people have used them to hurl at each other in a snowball fight.</t>
  </si>
  <si>
    <t>Many live on mountain trails and remain half buried while keeping an eye on climbers.</t>
  </si>
  <si>
    <t>It is impossible to distinguish from rocks. It slams against others in contests of hardness.</t>
  </si>
  <si>
    <t>Se pureskelee kasvien juuria maan alla. Viljelijät, joiden vihannekset ovat herkkiä, huomaavat sen olevan melkoinen tuholainen.</t>
  </si>
  <si>
    <t>At rest, it looks just like a rock. Carelessly stepping on it will make it swing its fists angrily.</t>
  </si>
  <si>
    <t>The longer a Geodude lives, the more its edges are chipped and worn away, making it more rounded in appearance. However, this Pokémon’s heart will remain hard, craggy, and rough always.</t>
  </si>
  <si>
    <t>Monet maanviljelijät vaalivat ja hoivat Diglettiä, koska sen ulosteet rikastuttavat maaperää, jossa se elää.</t>
  </si>
  <si>
    <t>When Geodude sleeps deeply, it buries itself halfway into the ground. It will not awaken even if hikers step on it unwittingly. In the morning, this Pokémon rolls downhill in search of food.</t>
  </si>
  <si>
    <t>https://pokeapi.co/api/v2/pokemon-species/43/</t>
  </si>
  <si>
    <t>Se kulkee maan alle kaivamiensa tunnelien läpi. Se vihaa auringonvaloa, joten se tulee esiin vasta auringonlaskun jälkeen.</t>
  </si>
  <si>
    <t>Its round body makes it easy to pick up, but it is hard and heavy. It’s dangerous to play with them as if they were snowballs.</t>
  </si>
  <si>
    <t>There are plenty of them to be found along any road. A scholar with too much free time once counted a hundred of them along a single route.</t>
  </si>
  <si>
    <t>Viljelijöiden ympärille istutetaan Diglettin mielellään syömiä puita saadakseen tämän kyntämään pellot heidän puolestaan.</t>
  </si>
  <si>
    <t>Geodude that have lived a long life have had all their edges smoothed out until they’re totally round. They also have a calm, quiet disposition.</t>
  </si>
  <si>
    <t>It uses both hands to climb precipitous cliffs. People who see it in action have been known to take up bouldering.</t>
  </si>
  <si>
    <t>Commonly found near mountain trails and the like. If you step on one by accident, it gets angry.</t>
  </si>
  <si>
    <t>Makes its home in mountainous regions, using its arms to climb along harsh mountain roads. Can be troublesome—carelessly kicking one will cause it to fly into a rage and chase after you.</t>
  </si>
  <si>
    <t>Jos Diglett kaivaa pellon läpi, se jättää maaperän täydellisesti muokatuksi ja ihanteelliseksi viljelykasvien istuttamiseen.</t>
  </si>
  <si>
    <t>Rolls down slopes to move. It rolls over any obstacle without slowing or changing its direction.</t>
  </si>
  <si>
    <t>Often seen rolling down mountain trails. Obstacles are just things to roll straight over, not avoid.</t>
  </si>
  <si>
    <t>Dugtrio</t>
  </si>
  <si>
    <t>With a free and uncaring nature, it doesn't mind if pieces break off while it rolls down mountains.</t>
  </si>
  <si>
    <t>DIGLETT-kolmikosten joukkue. Se laukaisee valtavia maanjäristyksiä kaivautumalla 96 kilometrin syvyyteen maan alle.</t>
  </si>
  <si>
    <t>A slow walker, it rolls to move. It pays no attention to any object that happens to be in its path.</t>
  </si>
  <si>
    <t>It travels by rol ling on mountain paths. If it gains too much speed, it stops by running into huge rocks.</t>
  </si>
  <si>
    <t>GRAVELER grows by feeding on rocks. Apparently, it prefers to eat rocks that are covered in moss. This POKéMON eats its way through a ton of rocks on a daily basis.</t>
  </si>
  <si>
    <t>Kolmosten parvi, joka voi kaivautua yli 95 km/h nopeudella. Tästä syystä jotkut ihmiset pitävät sitä maanjäristyksenä.</t>
  </si>
  <si>
    <t>Rocks are GRAVELER’s favorite food. This POKéMON will climb a mountain from the base to the summit, crunchingly feasting on rocks all the while. Upon reaching the peak, it rolls back down to the bottom.</t>
  </si>
  <si>
    <t>Sen kolme päätä keinuvat erikseen ylös ja alas möyhentääkseen lähellä olevaa maaperää, mikä helpottaa sen kaivamista.</t>
  </si>
  <si>
    <t>They descend from mountains by tumbling down steep slopes. They are so brutal, they smash aside obstructing trees and massive boulders with thunderous tackles.</t>
  </si>
  <si>
    <t>Be careful while hiking on mountain trails. GRAVELER may come rolling down the path without slowing.</t>
  </si>
  <si>
    <t>Erittäin tehokkaina ne voivat KAIVATA läpi kovimmankin maan yli 95 kilometrin syvyyteen.</t>
  </si>
  <si>
    <t>GRAVELER make their homes on sheer cliff faces by gouging out numerous horizontal holes.</t>
  </si>
  <si>
    <t>It tumbles down slopes, heedless of any body parts chipping off. It eats a ton of rocks daily.</t>
  </si>
  <si>
    <t>Nämä DIGLETT-kolmoset kaivautuvat yli 95 kilometriä merenpinnan alapuolelle. Kukaan ei tiedä, millaista maan alla on.</t>
  </si>
  <si>
    <t>It rolls on mountain paths to move. Once it builds momentum, no Pokémon can stop it without difficulty.</t>
  </si>
  <si>
    <t>With a free and uncaring nature, it doesn’t mind if pieces break off while it rolls down mountains.</t>
  </si>
  <si>
    <t>DUGTRIO-kolmoset ovat itse asiassa yhdestä ruumiista syntyneitä kolmosia. Tämän seurauksena jokainen kolmoset ajattelevat täsmälleen samalla tavalla kuin kaksi muuta kolmosta. Ne työskentelevät yhteistyössä kaivautuakseen loputtomasti.</t>
  </si>
  <si>
    <t>Graveler grows by feeding on rocks. Apparently, it prefers to eat rocks that are covered in moss. This Pokémon eats its way through a ton of rocks on a daily basis.</t>
  </si>
  <si>
    <t>Rocks are Graveler’s favorite food. This Pokémon will climb a mountain from the base to the summit, crunchingly feasting on rocks all the while. Upon reaching the peak, it rolls back down to the bottom.</t>
  </si>
  <si>
    <t>Mossy rocks are its favorite food. It can devour a ton a day while crunching loudly.</t>
  </si>
  <si>
    <t>Koska kolmoset alun perin irtosivat yhdestä ruumiista, ne ajattelevat täsmälleen samalla tavalla. Ne työskentelevät yhteistyössä kaivautuakseen loputtomasti maahan.</t>
  </si>
  <si>
    <t>This slow-footed Pokémon moves by curling up and rolling instead of walking. With enough momentum, its speed can exceed 60 mph.</t>
  </si>
  <si>
    <t>Taistelussa se kaivautuu maan läpi ja iskee tietämätöntä vihollista odottamattomasta suunnasta.</t>
  </si>
  <si>
    <t>It climbs up cliffs as it heads toward the peak of a mountain. As soon as it reaches the summit, it rolls back down the way it came.</t>
  </si>
  <si>
    <t>It travels by rolling down cliffs. If it falls into a river, it will explode with its last gasp.</t>
  </si>
  <si>
    <t>Sen kolme päätä liikkuvat vuorotellen ja ajavat sen kovan maaperän läpi yli 95 kilometrin syvyyteen.</t>
  </si>
  <si>
    <t>Dwells in holes dug into sheer walls of stone. It enjoys rolling down slopes as though it were a boulder during a rockfall, so keep an eye upward while traversing mountain roads.</t>
  </si>
  <si>
    <t>Its boulder-like body is extremely hard. It can easily withstand dynamite blasts without damage.</t>
  </si>
  <si>
    <t>Once it sheds its skin, its body turns tender and whitish. Its hide hardens when it's exposed to air.</t>
  </si>
  <si>
    <t>It sheds its skin once a year. The discarded shell immediately hard ens and crumbles away.</t>
  </si>
  <si>
    <t>Erittäin voimakkaat, ne voivat kaivaa läpi jopa kovimman maan yli 95 kilometrin syvyyteen.</t>
  </si>
  <si>
    <t>It is capable of blowing itself up. It uses this explosive force to jump from mountain to mountain.</t>
  </si>
  <si>
    <t>Its rock-like body is so durable, even high-powered dynamite blasts fail to scratch its rugged hide.</t>
  </si>
  <si>
    <t>GOLEM live up on mountains. If there is a large earthquake, these POKéMON will come rolling down off the mountains en masse to the foothills below.</t>
  </si>
  <si>
    <t>GOLEM is known for rolling down from mountains. To prevent them from rolling into the homes of people downhill, grooves have been dug into the sides of mountains to serve as guideways for diverting this POKéMON’s course.</t>
  </si>
  <si>
    <t>It is said to live in volcanic craters on mountain peaks. Once a year, it sheds its hide and grows larger. The shed hide crumbles and returns to the soil.</t>
  </si>
  <si>
    <t>Dugtriot ovat itse asiassa kolmosia, jotka ovat syntyneet yhdestä ruumiista. Tämän seurauksena jokainen kolmoset ajattelevat täsmälleen samalla tavalla kuin kaksi muuta kolmosta. Ne työskentelevät yhteistyössä kaivautuakseen loputtomasti.</t>
  </si>
  <si>
    <t>It is enclosed in a hard shell that is as rugged as slabs of rock. It sheds skin once a year to grow larger.</t>
  </si>
  <si>
    <t>Its boulder-like body is extremely hard. It can easily withstand dynamite blasts without taking damage.</t>
  </si>
  <si>
    <t>Tämä kolmosten pari liikkuu yhteistyössä. Tiimityön voima antaa tälle Pokémonille mahdollisuuden kaivaa jopa 95 kilometrin syvyyteen.</t>
  </si>
  <si>
    <t>It sheds its hide once a year. Its boulderlike body is so tough, even dynamite can’t harm it.</t>
  </si>
  <si>
    <t>Vaikka tämä Pokémon on niin läheinen maanviljelijöille ja muille ihmisille, kukaan ei ole koskaan nähnyt sen osia piilossa maan alla.</t>
  </si>
  <si>
    <t>It tumbles down mountains, leaving grooves from peak to base. Stay clear of these grooves.</t>
  </si>
  <si>
    <t>Vaikka kolmikko tulee yleensä loistavasti toimeen keskenään, harvoin syntyy kova riita siitä, kumpi pää saa syödä ensin.</t>
  </si>
  <si>
    <t>Even dynamite can’t harm its hard, boulderlike body. It sheds its hide just once a year.</t>
  </si>
  <si>
    <t>Dugtrion päät ovat tyylikkäät, sileät ja uskomattoman kovat. Se voi kaivaa läpi minkä tahansa maaperän pääniskuillaan.</t>
  </si>
  <si>
    <t>It sheds its skin once a year. The discarded shell immediately hardens and crumbles away.</t>
  </si>
  <si>
    <t>Kolmosten parvi, joka voi kaivautua 95 kilometrin syvyyteen. Tämän on raportoitu laukaisevan maanjäristyksen.</t>
  </si>
  <si>
    <t>Even dynamite can’t harm its hard, boulder-like body. It sheds its hide just once a year.</t>
  </si>
  <si>
    <t>Golem live up on mountains. If there is a large earthquake, these Pokémon will come rolling down off the mountains en masse to the foothills below.</t>
  </si>
  <si>
    <t>Golem is known for rolling down from mountains. To prevent them from rolling into the homes of people downhill, grooves have been dug into the sides of mountains to serve as guideways for diverting this Pokémon’s course.</t>
  </si>
  <si>
    <t>Diglett-kolmosten joukkue. Se laukaisee valtavia maanjäristyksiä kaivautumalla 96 kilometrin syvyyteen maan alle.</t>
  </si>
  <si>
    <t>Its body can survive dynamite blasts without a single scratch, but it hates rain and humidity.</t>
  </si>
  <si>
    <t>Nämä Diglettin kolmoset kaivautuvat yli 95 kilometriä merenpinnan alapuolelle. Kukaan ei tiedä, millaista maan alla on.</t>
  </si>
  <si>
    <t>Meowth</t>
  </si>
  <si>
    <t>Raaputuskissa-Pokémon</t>
  </si>
  <si>
    <t>Rakastaa pyöreitä esineitä. Vaeltelee kaduilla joka ilta etsimässä pudonneita irtokolleja.</t>
  </si>
  <si>
    <t>Once a year, this Pokémon molts, and its shed shell returns to the soil. This process creates enriched soil, so farmers collect the shells.</t>
  </si>
  <si>
    <t>When Golem grow old, they stop shedding their shells. Those that have lived a long, long time have shells green with moss.</t>
  </si>
  <si>
    <t>Vaikuttaa olevan aktiivisempi yöllä. Se rakastaa pyöreitä ja kiiltäviä asioita. Se ei voi lakata poimimasta niitä.</t>
  </si>
  <si>
    <t>It detonates its own body. The power from that explosion can propel it up steep mountain paths with amazing speed.</t>
  </si>
  <si>
    <t>Se on kiehtova pyöreistä esineistä. Se ei voi lopettaa niiden kanssa leikkimistä ennen kuin väsyy ja nukahtaa.</t>
  </si>
  <si>
    <t>Once it sheds its skin, its body turns tender and whitish. Its hide hardens when it’s exposed to air.</t>
  </si>
  <si>
    <t>Se rakastaa kaikkea kiiltävää. Se jumaloi erityisesti kolikoita, joita se poimii ja salaa hamstraa.</t>
  </si>
  <si>
    <t>The rocklike shell is shed each year. The cast-off shell then crumbles, reverting to a mass of soil, which can be spread across fields to promote crop growth.</t>
  </si>
  <si>
    <t>Se rakastaa kimallusta. Kun se näkee kiiltävän esineen, sen päässä oleva kultakolikko loistaa myös.</t>
  </si>
  <si>
    <t>Its hooves are 10 times harder than diamonds. It can trample anything completely flat in little time.</t>
  </si>
  <si>
    <t>MEOWTH vetää terävät kyntensä tassuihinsa hiipiäkseen hitaasti ympäriinsä jättämättä raskauttavia askeleita. Jostain syystä tämä POKéMON rakastaa kiiltäviä, valoa säihkyviä kolikoita.</t>
  </si>
  <si>
    <t>Capable of jumping incredibly high. Its hooves and sturdy legs absorb the impact of a hard landing.</t>
  </si>
  <si>
    <t>It is a weak run ner immediately after birth. It gradually becomes faster by chasing after its parents.</t>
  </si>
  <si>
    <t>Its hind legs, which have hard er-than-diamond hooves, kick back at any presence it senses behind it.</t>
  </si>
  <si>
    <t>MEOWTH vetää terävät kyntensä tassuihinsa hiipiäkseen hiljaa ympäriinsä. Jostain syystä tämä POKéMON rakastaa kiiltäviä kolikoita, jotka kimaltelevat valossa.</t>
  </si>
  <si>
    <t>Training by jumping over grass that grows longer every day has made it a world-class jumper.</t>
  </si>
  <si>
    <t>Päivisin se vain nukkuu. Yöllä se partioi reviiriään silmät loisteessa.</t>
  </si>
  <si>
    <t>PONYTA is very weak at birth. It can barely stand up. This POKéMON becomes stronger by stumbling and falling to keep up with its parent.</t>
  </si>
  <si>
    <t>A PONYTA is very weak at birth. It can barely stand up. Its legs become stronger as it stumbles and falls while trying to keep up with its parent.</t>
  </si>
  <si>
    <t>Rakastaa pyöreitä esineitä. Se vaeltelee kaduilla öisin etsien pudonneita irtokolleja.</t>
  </si>
  <si>
    <t>Its body is light, and its legs are incredibly powerful. It can clear Ayers Rock in one leap.</t>
  </si>
  <si>
    <t>Its hooves are ten times harder than diamond. It can trample anything completely flat in little time.</t>
  </si>
  <si>
    <t>Se on luonteeltaan yöeläin. Jos se havaitsee jotain kiiltävää, sen silmät loistivat kirkkaasti.</t>
  </si>
  <si>
    <t>About an hour after birth, its fiery mane and tail grow out, giving it an impressive appearance.</t>
  </si>
  <si>
    <t>Its legs grow strong while it chases after its parent. It runs in fields and mountains all day.</t>
  </si>
  <si>
    <t>https://pokeapi.co/api/v2/pokemon-species/44/</t>
  </si>
  <si>
    <t>As a newborn, it can barely stand. However, through galloping, its legs are made tougher and faster.</t>
  </si>
  <si>
    <t>It is a weak runner immediately after birth. It gradually becomes faster by chasing after its parents.</t>
  </si>
  <si>
    <t>Its hind legs, which have hooves that are harder than diamond, kick back at any presence it senses behind it.</t>
  </si>
  <si>
    <t>Ponyta is very weak at birth. It can barely stand up. This Pokémon becomes stronger by stumbling and falling to keep up with its parent.</t>
  </si>
  <si>
    <t>It can’t run properly when it’s newly born. As it races around with others of its kind, its legs grow stronger.</t>
  </si>
  <si>
    <t>If you’ve been accepted by Ponyta, its burning mane is mysteriously no longer hot to the touch.</t>
  </si>
  <si>
    <t>These Pokémon live in herds out in the grassland. Newborn foals lack their fiery manes, which will develop about an hour after birth.</t>
  </si>
  <si>
    <t>Very competitive, this POKéMON will chase anything that moves fast in the hopes of racing it.</t>
  </si>
  <si>
    <t>Just loves to run. If it sees some thing faster than itself, it will give chase at top speed.</t>
  </si>
  <si>
    <t>At full gallop, its four hooves barely touch the ground because it moves so incredi bly fast.</t>
  </si>
  <si>
    <t>With incredible acceleration, it reaches its top speed of 150 mph after running just ten steps.</t>
  </si>
  <si>
    <t>It just loves to gallop. The faster it goes, the long er the swaying flames of its mane will become.</t>
  </si>
  <si>
    <t>RAPIDASH usually can be seen casually cantering in the fields and plains. However, when this POKéMON turns serious, its fiery manes flare and blaze as it gallops its way up to 150 mph.</t>
  </si>
  <si>
    <t>It usually canters casually in the fields and plains. But once a RAPIDASH turns serious, its fiery manes flare and blaze as it gallops its way up to 150 mph.</t>
  </si>
  <si>
    <t>It can gallop at a top speed of 150 miles per hour. It can race as fast as a bullet train while ablaze.</t>
  </si>
  <si>
    <t>It gallops at nearly 150 mph. With its mane blazing ferociously, it races as if it were an arrow.</t>
  </si>
  <si>
    <t>It has astounding acceleration. From a standstill, it can reach top speed within 10 steps.</t>
  </si>
  <si>
    <t>When at an all-out gallop, its blazing mane sparkles, enhancing its beautiful appearance.</t>
  </si>
  <si>
    <t>At full gallop, its four hooves barely touch the ground because it moves so incredibly fast.</t>
  </si>
  <si>
    <t>With incredible acceleration, it reaches its top speed of 150 mph after running just 10 steps.</t>
  </si>
  <si>
    <t>Meowth vetää terävät kyntensä tassuihinsa hiipiäkseen hitaasti ympäriinsä tekemättä raskauttavia askeleita. Jostain syystä tämä Pokémon rakastaa kiiltäviä kolikoita, jotka kimaltelevat valossa.</t>
  </si>
  <si>
    <t>Very competitive, this Pokémon will chase anything that moves fast in the hopes of racing it.</t>
  </si>
  <si>
    <t>Rapidash usually can be seen casually cantering in the fields and plains. However, when this Pokémon turns serious, its fiery manes flare and blaze as it gallops its way up to 150 mph.</t>
  </si>
  <si>
    <t>Just loves to run. If it sees something faster than itself, it will give chase at top speed.</t>
  </si>
  <si>
    <t>This Pokémon can be seen galloping through fields at speeds of up to 150 mph, its fiery mane fluttering in the wind.</t>
  </si>
  <si>
    <t>Se makaa liikkeellä koko päivän ja aktivoituu hämärän laskeuduttua. Yöllä se vaeltelee kaupungissa etsien irtonaisia ​​kolikoita.</t>
  </si>
  <si>
    <t>The fastest runner becomes the leader, and it decides the herd’s pace and direction of travel.</t>
  </si>
  <si>
    <t>Fiery mane aglow, Rapidash darts like an arrow across the land. This prodigiously swift creature can traverse the vast region of Hisui in a day and a half.</t>
  </si>
  <si>
    <t>Se rakastaa kiiltäviä asioita. Se usein tappelee Murkrowin kanssa saaliista, jota he molemmat yrittävät saada kiinni.</t>
  </si>
  <si>
    <t>Incredibly slow and dopey. It takes 5 seconds for it to feel pain when under attack.</t>
  </si>
  <si>
    <t>Incredibly slow and sluggish. It is quite content to loll about without worrying about the time.</t>
  </si>
  <si>
    <t>Romuttamolla vieraillessasi saatat nähdä sen taistelevan Murkrow'n kanssa kiiltävistä esineistä.</t>
  </si>
  <si>
    <t>It lazes vacantly near water. If something bites its tail, it won't even notice for a whole day.</t>
  </si>
  <si>
    <t>A sweet sap leaks from its tail's tip. Although not nutritious, the tail is pleasant to chew on.</t>
  </si>
  <si>
    <t>Se rakastaa kolikoita, joten jos annat sille sellaisen, voit ystävystyä Meowthin kanssa helposti. Mutta se on oikukas, joten et voi luottaa ystävyyden kestävän.</t>
  </si>
  <si>
    <t>It is always so absent-minded that it won't react, even if its flavorful tail is bitten.</t>
  </si>
  <si>
    <t>SLOWPOKE uses its tail to catch prey by dipping it in water at the side of a river. However, this POKéMON often forgets what it’s doing and often spends entire days just loafing at water’s edge.</t>
  </si>
  <si>
    <t>Vaikuttaa olevan aktiivisempi yöllä. Se rakastaa pyöreitä ja kiiltäviä asioita. Se ei voi estää itseään poimimasta niitä.</t>
  </si>
  <si>
    <t>It catches prey by dipping its tail in water at the side of a river. But it often forgets what it is doing and spends entire days just loafing at water’s edge.</t>
  </si>
  <si>
    <t>It is always vacantly lost in thought, but no one knows what it is thinking about. It is good at fishing with its tail.</t>
  </si>
  <si>
    <t>Incredibly slow and dopey. It takes five seconds for it to feel pain when under attack.</t>
  </si>
  <si>
    <t>Although slow, it is skilled at fishing with its tail. It does not feel pain if its tail is bitten.</t>
  </si>
  <si>
    <t>Se rakastaa keräillä kiiltäviä esineitä. Jos se on hyvällä tuulella, se saattaa jopa antaa kouluttajansa vilkaista aarreaittaansa.</t>
  </si>
  <si>
    <t>It lazes vacantly near water. If something bites its tail, it won’t even notice for a whole day.</t>
  </si>
  <si>
    <t>A sweet sap leaks from its tail’s tip. Although not nutritious, the tail is pleasant to chew on.</t>
  </si>
  <si>
    <t>Se pesee kasvonsa säännöllisesti pitääkseen otsassaan olevan kolikon tahrattomana. Se ei tule toimeen Galarian Meowthin kanssa.</t>
  </si>
  <si>
    <t>Slowpoke uses its tail to catch prey by dipping it in water at the side of a river. However, this Pokémon often forgets what it’s doing and often spends entire days just loafing at water’s edge.</t>
  </si>
  <si>
    <t>Persian</t>
  </si>
  <si>
    <t>Tyylikäs kissa-Pokémon</t>
  </si>
  <si>
    <t>Its long tail often breaks off. It doesn’t really feel any pain, though, and the tail grows back, so Slowpoke isn’t particularly bothered.</t>
  </si>
  <si>
    <t>Vaikka sen turkilla on paljon ihailijoita, sitä on vaikea kasvattaa lemmikkinä sen oikukkaan ilkeyden vuoksi.</t>
  </si>
  <si>
    <t>Alolan home cooking involves drying Slowpoke tails and then simmering them into a salty stew.</t>
  </si>
  <si>
    <t>Sen otsassa oleva jalokivi hehkuu itsestään! Se kävelee ylpeän kuningattaren arvokkuudella ja eleganssilla.</t>
  </si>
  <si>
    <t>There are some places where Slowpoke is worshiped because of a long-standing belief that whenever Slowpoke yawns, it rains.</t>
  </si>
  <si>
    <t>Monet ihailevat sitä sen hienostuneen olemuksen vuoksi. Se kuitenkin räksyy ja raapii ihan turhaan.</t>
  </si>
  <si>
    <t>Although their tails, which fall off naturally, can easily be found lying around, they’re a precious ingredient for cooking.</t>
  </si>
  <si>
    <t>Slow-witted and oblivious, this Pokémon won’t feel any pain if its tail gets eaten. It won’t notice when its tail grows back, either.</t>
  </si>
  <si>
    <t>Sen notkeat lihakset mahdollistavat sen kävelemisen äänettömästi. Se hyökkää silmänräpäyksessä.</t>
  </si>
  <si>
    <t>When this Pokémon’s tail is soaked in water, sweetness seeps from it. Slowpoke uses this trait to lure in and fish up other Pokémon.</t>
  </si>
  <si>
    <t>https://pokeapi.co/api/v2/pokemon-species/45/</t>
  </si>
  <si>
    <t>Sen notkean ja elegantin ulkonäön takana piilee barbaarinen puolensa. Se repii saaliinsa kappaleiksi pelkästä oikusta.</t>
  </si>
  <si>
    <t>The SHELLDER that is latched onto SLOWPOKE's tail is said to feed on the host's left over scraps.</t>
  </si>
  <si>
    <t>PERSIANilla on kuusi rohkeaa viikset, jotka antavat sille sitkeän vaikutelman. Viikset aistivat ilman liikkeitä selvittääkseen, mitä POKéMONin lähiympäristössä on. Se säyseytyy, jos viikset tarttuvat siihen.</t>
  </si>
  <si>
    <t>Lives lazily by the sea. If the SHELLDER on its tail comes off, it becomes a SLOWPOKE again.</t>
  </si>
  <si>
    <t>If the tail-biting SHELLDER is thrown off in a harsh battle, it reverts to being an ordi nary SLOWPOKE.</t>
  </si>
  <si>
    <t>Naturally dull to begin with, it lost its ability to feel pain due to SHELLDER's seeping poison.</t>
  </si>
  <si>
    <t>Persialaisen kuusi rohkeaa viikset aistivat ilman liikkeitä määrittääkseen, mitä sen lähellä on. Se säyseytyy, jos viikset tarttuvat siihen.</t>
  </si>
  <si>
    <t>An attached SHELLDER won't let go because of the tasty flavor that oozes out of its tail.</t>
  </si>
  <si>
    <t>Sillä on ilkeämielinen luonne. Ole varovainen, jos se nostaa häntäänsä suoraan ylös. Se on merkki siitä, että se on hyökkäämässä ja puremassa.</t>
  </si>
  <si>
    <t>SLOWBRO’s tail has a SHELLDER firmly attached with a bite. As a result, the tail can’t be used for fishing anymore. This causes SLOWBRO to grudgingly swim and catch prey instead.</t>
  </si>
  <si>
    <t>Its tail has a SHELLDER firmly attached with a bite. As a result, the tail can’t be used for fishing anymore. This forces it to reluctantly swim and catch prey.</t>
  </si>
  <si>
    <t>When a SLOWPOKE went hunting in the sea, its tail was bitten by a SHELLDER. That made it evolve into SLOWBRO.</t>
  </si>
  <si>
    <t>The SHELLDER that latches onto SLOWPOKE’s tail is said to feed on the host’s leftover scraps.</t>
  </si>
  <si>
    <t>Hyvin ylimielinen Pokémon. Fanien keskuudessa sen otsassa olevan jalokiven koko on paljon puhuttavana aiheena.</t>
  </si>
  <si>
    <t>Though usually dim witted, it seems to become inspired if the SHELLDER on its tail bites down.</t>
  </si>
  <si>
    <t>If the tail-biting SHELLDER is thrown off in a harsh battle, it reverts to being an ordinary SLOWPOKE.</t>
  </si>
  <si>
    <t>Naturally dull to begin with, it lost its ability to feel pain due to SHELLDER’s seeping poison.</t>
  </si>
  <si>
    <t>Though usually dim witted, it seems to become inspired if the Shellder on its tail bites down.</t>
  </si>
  <si>
    <t>An attached Shellder won’t let go because of the tasty flavor that oozes out of its tail.</t>
  </si>
  <si>
    <t>When a Slowpoke went hunting in the sea, its tail was bitten by a Shellder. That made it evolve into Slowbro.</t>
  </si>
  <si>
    <t>Slowbro’s tail has a Shellder firmly attached with a bite. As a result, the tail can’t be used for fishing anymore. This causes Slowbro to grudgingly swim and catch prey instead.</t>
  </si>
  <si>
    <t>It spaces out while gazing at the sea. With Shellder’s poison flowing through its body, it becomes even spacier.</t>
  </si>
  <si>
    <t>Whenever Shellder bites down hard on its tail, it gives Slowbro a flash of inspiration...which it forgets a moment later.</t>
  </si>
  <si>
    <t>Spacing out is basically all it does. It turns back into Slowpoke if its tail, along with Shellder, breaks off.</t>
  </si>
  <si>
    <t>Shellder, in its greed to suck out more and more sweetness from Slowbro’s tail, has metamorphosed into a spiral-shaped shell.</t>
  </si>
  <si>
    <t>Lives lazily by the sea. If the Shellder on its tail comes off, it becomes a Slowpoke again.</t>
  </si>
  <si>
    <t>Slowpoke became Slowbro when a Shellder bit on to its tail. Sweet flavors seeping from the tail make the Shellder feel as if its life is a dream.</t>
  </si>
  <si>
    <t>Being bitten by a Shellder shocked this Pokémon into standing on two legs. If the Shellder lets go, it seems Slowbro will turn back into a Slowpoke.</t>
  </si>
  <si>
    <t>Uses anti-gravity to stay suspended. Appears without warning and uses THUNDER WAVE and similar moves.</t>
  </si>
  <si>
    <t>It is born with the ability to defy gravity. It floats in air on powerful electro magnetic waves.</t>
  </si>
  <si>
    <t>It is attracted by electromagnetic waves. It may approach trainers if they are using their POKéGEAR.</t>
  </si>
  <si>
    <t>The units at the sides of its body generate anti gravity energy to keep it aloft in the air.</t>
  </si>
  <si>
    <t>The electricity emitted by the units on each side of its body cause it to become a strong magnet.</t>
  </si>
  <si>
    <t>Persianilla on kuusi rohkeaa viiksikarvaa, jotka antavat sille sitkeän ulkonäön. Viikset aistivat ilman liikkeitä selvittääkseen, mitä Pokémonin lähiympäristössä on. Se säyseytyy, jos viikset tarttuvat siihen.</t>
  </si>
  <si>
    <t>MAGNEMITE attaches itself to power lines to feed on electricity. If your house has a power outage, check your circuit breakers. You may find a large number of this POKéMON clinging to the breaker box.</t>
  </si>
  <si>
    <t>MAGNEMITE floats in the air by emitting electromagnetic waves from the units at its sides. These waves block gravity. This POKéMON becomes incapable of flight if its internal electrical supply is depleted.</t>
  </si>
  <si>
    <t>The units at its sides are extremely powerful magnets. They generate enough magnetism to draw in iron objects from over 300 feet away.</t>
  </si>
  <si>
    <t>It moves while constantly hovering. It discharges THUNDER WAVE and so on from the units at its sides.</t>
  </si>
  <si>
    <t>Uses antigravity to stay suspended. Appears without warning and uses THUNDER WAVE and similar moves.</t>
  </si>
  <si>
    <t>Sillä on väkivaltainen luonne. Se hyökkää kaiken kimppuun, mikä katsoo sitä silmiin. Sen terävät kynnet aiheuttavat syviä haavoja.</t>
  </si>
  <si>
    <t>The units at its sides generate electromagnetic waves that keep it airborne. It feeds on electricity.</t>
  </si>
  <si>
    <t>The faster the units at its sides rotate, the greater the magnetic force they generate.</t>
  </si>
  <si>
    <t>It is attracted by electromagnetic waves. It may approach Trainers if they are using their Pokégear.</t>
  </si>
  <si>
    <t>Sillä on korkea käsitys itsestään, vaikkakaan ei yhtä hyvä kuin Alolan Persianilla. Tämän Pokémonin kanssa on melko vaikea ystävystyä.</t>
  </si>
  <si>
    <t>The units at the sides of its body generate antigravity energy to keep it aloft in the air.</t>
  </si>
  <si>
    <t>Vaikka sen otsassa oleva jalokivi näyttää olevan eri värinen kuin Alolan Persianin jalokivi, se on pääosin tehty samasta materiaalista.</t>
  </si>
  <si>
    <t>The electromagnetic waves emitted by the units at the sides of its head expel antigravity, which allows it to float.</t>
  </si>
  <si>
    <t>Tämä Pokémon on suosittu rikkaiden ihmisten keskuudessa. Se on myös metsästäjien kohde, jotka jahtaavat sen otsassa olevaa jalokiveä.</t>
  </si>
  <si>
    <t>It moves while constantly hovering. It discharges Thunder Wave and so on from the units at its sides.</t>
  </si>
  <si>
    <t>Magnemite attaches itself to power lines to feed on electricity. If your house has a power outage, check your circuit breakers. You may find a large number of this Pokémon clinging to the breaker box.</t>
  </si>
  <si>
    <t>Magnemite floats in the air by emitting electromagnetic waves from the units at its sides. These waves block gravity. This Pokémon becomes incapable of flight if its internal electrical supply is depleted.</t>
  </si>
  <si>
    <t>Tämän ylpeän Pokémonin saaminen lämpenemään sinua kohtaan vaatii paljon vaivaa, ja se raapii sinua heti, kun se ärsyyntyy.</t>
  </si>
  <si>
    <t>They gather in places where electricity is available. They can be found clinging to the steel towers used to support power lines.</t>
  </si>
  <si>
    <t>Sen elegantti ja hienostunut käytös on ristiriidassa barbaarisen Perrserkerin kanssa. Heidän välillään vallitsee keskinäinen halveksunta.</t>
  </si>
  <si>
    <t>Psyduck</t>
  </si>
  <si>
    <t>Ankka-Pokémon</t>
  </si>
  <si>
    <t>It sends out electromagnetic waves, which let it float through the air. Touching it while it’s eating electricity will give you a full-body shock.</t>
  </si>
  <si>
    <t>Tuudittaessaan vihollisiaan tyhjällä katseellaan tämä ovela POKéMON käyttää psykokineettisiä voimia.</t>
  </si>
  <si>
    <t>It’s frequently the cause of power outages, which is why some power plants send out electrical signals that it can’t stand.</t>
  </si>
  <si>
    <t>Perhaps because electrical lines are often buried these days, the number of Magnemite attacks on power plants has increased.</t>
  </si>
  <si>
    <t>It is hatched with the ability to defy gravity. It floats while emitting powerful electromagnetic waves.</t>
  </si>
  <si>
    <t>Aina päänsäryt piinaavat sitä. Se käyttää psyykkisiä voimia, mutta ei tiedetä, aikooko se tehdä niin.</t>
  </si>
  <si>
    <t>Sillä on mystisiä voimia, mutta se ei muista käyttäneensä niitä. Siksi se näyttää aina hämmentyneeltä.</t>
  </si>
  <si>
    <t>https://pokeapi.co/api/v2/pokemon-species/46/</t>
  </si>
  <si>
    <t>Jos sen krooninen päänsärky pahenee, se saattaa osoittaa outoja voimia. Se näyttää kykenemättömältä muistamaan tällaista kohtausta.</t>
  </si>
  <si>
    <t>At times, Magnemite runs out of electricity and ends up on the ground. If you give batteries to a grounded Magnemite, it’ll start moving again.</t>
  </si>
  <si>
    <t>Se voi käyttää psyykkistä voimaansa vain silloin, kun sen nukkuvat aivosolut sattuvat heräämään.</t>
  </si>
  <si>
    <t>It subsists on electricity. As Magnemite flies, it emits electromagnetic waves from the units on each side of its body.</t>
  </si>
  <si>
    <t>A bizarre Pokémon with but a single eye embedded in an iron sphere. I suspect this creature levitates due to the magnetism it emits from its arms, which resemble horseshoe-shaped magnets.</t>
  </si>
  <si>
    <t>PSYDUCK käyttää salaperäistä voimaa. Niin tehdessään tämä POKéMON tuottaa aivoaaltoja, joita oletetaan nähtävän vain nukkujilla. Tämä löytö herätti kiistoja tutkijoiden keskuudessa.</t>
  </si>
  <si>
    <t>Formed by several MAGNEMITEs linked together. They frequently appear when sunspots flare up.</t>
  </si>
  <si>
    <t>Jos se käyttää mystistä voimaansa, PSYDUCK ei muista tehneensä niin. Se ei ilmeisesti pysty muodostamaan muistikuvaa tällaisesta tapahtumasta, koska se vaipuu muuttuneeseen tilaan, joka muistuttaa syvää unta.</t>
  </si>
  <si>
    <t>Generates strange radio signals. It raises the tem perature by 3.6F degrees within 3,300 feet.</t>
  </si>
  <si>
    <t>Kun sen päänsärky voimistuu, se alkaa käyttää outoja voimia. Se ei kuitenkaan muista voimiaan, joten se näyttää aina hämmentyneeltä ja hämmentyneeltä.</t>
  </si>
  <si>
    <t>Three MAGNEMITE are linked by a strong magnetic force. Earaches will occur if you get too close.</t>
  </si>
  <si>
    <t>Sitä vaivaa jatkuva päänsärky. Kun päänsärky muuttuu voimakkaaksi, se alkaa käyttää salaperäisiä voimia.</t>
  </si>
  <si>
    <t>The MAGNEMITE are united by a mag netism so power ful, it dries all moisture in its vicinities.</t>
  </si>
  <si>
    <t>When many MAGNETON gather together, the resulting magnetic storm disrupts radio waves.</t>
  </si>
  <si>
    <t>MAGNETON emits a powerful magnetic force that is fatal to mechanical devices. As a result, large cities sound sirens to warn citizens of large-scale outbreaks of this POKéMON.</t>
  </si>
  <si>
    <t>Jos sen tavanomainen päänsärky pahenee, se alkaa osoittaa outoja voimia. Se ei kuitenkaan muista tehneensä niin.</t>
  </si>
  <si>
    <t>MAGNETON emits a powerful magnetic force that is fatal to electronics and precision instruments. Because of this, it is said that some towns warn people to keep this POKéMON inside a POKé BALL.</t>
  </si>
  <si>
    <t>Se ei koskaan muista käyttäneensä outoja voimiaan, joten se kallistaa aina päätään hämmentyneenä.</t>
  </si>
  <si>
    <t>It is actually three MAGNEMITE linked by magnetism. It generates powerful radio waves that raise temperatures by 3.6 degrees F within a 3,300-foot radius.</t>
  </si>
  <si>
    <t>A linked cluster formed of several MAGNEMITE. It discharges powerful magnetic waves at high voltage.</t>
  </si>
  <si>
    <t>Arvoituksellisten kykyjen valtaamana se kärsii jatkuvasta päänsärystä. Joskus se käyttää salaperäisiä voimia.</t>
  </si>
  <si>
    <t>Formed by several MAGNEMITE linked together. They frequently appear when sunspots flare up.</t>
  </si>
  <si>
    <t>It is actually three MAGNEMITE linked by magnetism. A group can set off a magnetic storm.</t>
  </si>
  <si>
    <t>Many mysteriously appear when more sunspots dot the sun. They stop TV sets from displaying properly.</t>
  </si>
  <si>
    <t>The MAGNEMITE are united by a magnetism so powerful, it dries all moisture in its vicinity.</t>
  </si>
  <si>
    <t>The stronger electromagnetic waves from the three linked Magnemite are enough to dry out surrounding moisture.</t>
  </si>
  <si>
    <t>A linked cluster formed of several Magnemite. It discharges powerful magnetic waves at high voltage.</t>
  </si>
  <si>
    <t>Generates strange radio signals. It raises the temperature by 3.6 degrees Fahrenheit within 3,300 feet.</t>
  </si>
  <si>
    <t>Kun päänsäryt stimuloivat sen aivosoluja, jotka ovat yleensä passiivisia, se voi käyttää salaperäistä voimaa.</t>
  </si>
  <si>
    <t>Magneton emits a powerful magnetic force that is fatal to mechanical devices. As a result, large cities sound sirens to warn citizens of large-scale outbreaks of this Pokémon.</t>
  </si>
  <si>
    <t>Magneton emits a powerful magnetic force that is fatal to electronics and precision instruments. Because of this, it is said that some towns warn people to keep this Pokémon inside a Poké Ball.</t>
  </si>
  <si>
    <t>When three Magnemite link together, their brains also become one. They do not become three times more intelligent.</t>
  </si>
  <si>
    <t>Psyduck käyttää salaperäistä voimaa. Kun se tekee niin, tämä Pokémon tuottaa aivoaaltoja, joita oletetaan nähtävän vain nukkujilla. Tämä löytö herätti kiistoja tutkijoiden keskuudessa.</t>
  </si>
  <si>
    <t>It has about three times the electrical power of Magnemite. For some reason, outbreaks of this Pokémon happen when lots of sunspots appear.</t>
  </si>
  <si>
    <t>Delicate equipment can malfunction in areas inhabited by Magneton, which send out mysterious electrical signals.</t>
  </si>
  <si>
    <t>Jos se käyttää salaperäistä voimaansa, Psyduck ei muista tehneensä niin. Se ei ilmeisesti pysty muodostamaan muistoa tällaisesta tapahtumasta, koska se vaipuu muuttuneeseen tilaan, joka muistuttaa syvää unta.</t>
  </si>
  <si>
    <t>When rain clouds form, many Magneton gather in high places to wait for lightning to strike.</t>
  </si>
  <si>
    <t>Koska päänsärky on niin voimakasta, että se saa sen itkemään, se käyttää joskus tahattomasti psykokineesiä.</t>
  </si>
  <si>
    <t>This Pokémon is three Magnemite that have linked together. Magneton sends out powerful radio waves to study its surroundings.</t>
  </si>
  <si>
    <t>This Pokémon is constantly putting out a powerful magnetic force. Most computers go haywire when a Magneton approaches.</t>
  </si>
  <si>
    <t>Three Magnemite gathered to evolve into this Pokémon. The source of much vexation on my part, as its powerful magnetism destroys my research equipment.</t>
  </si>
  <si>
    <t>Tätä Pokémonia vaivaavat jatkuvat päänsäryt. Mitä enemmän kipua se tuntee, sitä voimakkaammaksi sen psykokineesi muuttuu.</t>
  </si>
  <si>
    <t>The sprig of green onions it holds is its weapon. It is used much like a metal sword.</t>
  </si>
  <si>
    <t>Lives where reedy plants grow. They are rarely seen, so it's thought their numbers are decreasing.</t>
  </si>
  <si>
    <t>Psykokineesin käyttö aiheuttaa sille päänvaivaa, joten se yleensä kuluttaa aikaa harventamalla ja tekemällä mahdollisimman vähän.</t>
  </si>
  <si>
    <t>If anyone tries to disturb where the essential plant sticks grow, it uses its own stick to thwart them.</t>
  </si>
  <si>
    <t>On havaittu, että sen aivosolut ovat 10 kertaa aktiivisempia, kun Psyduckilla on päänsärky.</t>
  </si>
  <si>
    <t>If it eats the plant stick it carries as emer gency rations, it runs off in search of a new stick.</t>
  </si>
  <si>
    <t>In order to pre vent their extinction, more people have made an effort to breed these POKéMON.</t>
  </si>
  <si>
    <t>FARFETCH’D is always seen with a stick from a plant of some sort. Apparently, there are good sticks and bad sticks. This POKéMON has been known to fight with others over sticks.</t>
  </si>
  <si>
    <t>It is always seen with a stick from a plant. Apparently, there are good sticks and bad sticks. This POKéMON occasionally fights with others over choice sticks.</t>
  </si>
  <si>
    <t>It always walks about with a plant stalk clamped in its beak. The stalk is used for building its nest.</t>
  </si>
  <si>
    <t>The plant stalk it holds is its weapon. The stalk is used like a sword to cut all sorts of things.</t>
  </si>
  <si>
    <t>It can’t live without the stalk it holds. That’s why it defends the stalk from attackers with its life.</t>
  </si>
  <si>
    <t>Psyduckia vaivaa jatkuvasti päänsärky. Jos Pokémon antaa oudon voimansa purkautua, kipu ilmeisesti hellittää joksikin aikaa.</t>
  </si>
  <si>
    <t>If anyone tries to disturb where the essential plant stalks grow, it uses its own stalk to thwart them.</t>
  </si>
  <si>
    <t>If it eats the plant stalk it carries as emergency rations, it runs off in search of a new stalk.</t>
  </si>
  <si>
    <t>Psyduckin stressaantuessa sen päänsärky pahenee asteittain. Se käyttää voimakasta psyykkistä energiaa ylikuormittaakseen ympärillään olevat.</t>
  </si>
  <si>
    <t>https://pokeapi.co/api/v2/pokemon-species/47/</t>
  </si>
  <si>
    <t>Kärsii jatkuvista päänsäryistä. Jos tuska kasvaa liian suureksi, Psyduckin piilevä voima purkautuu, vastoin Psyduckin tarkoitusta. Eli tutkin tapoja lievittää kipua.</t>
  </si>
  <si>
    <t>Farfetch’d is always seen with a stalk from a plant of some sort. Apparently, there are good stalks and bad stalks. This Pokémon has been known to fight with others over stalks.</t>
  </si>
  <si>
    <t>Golduck</t>
  </si>
  <si>
    <t>They live where reedy plants grow. Farfetch’d are rarely seen, so it’s thought their numbers are decreasing.</t>
  </si>
  <si>
    <t>Usein nähdään tyylikkäästi uimassa järvien rannoilla. Se sekoitetaan usein japanilaiseen hirviöön, Kappaan.</t>
  </si>
  <si>
    <t>The stalk this Pokémon carries in its wings serves as a sword to cut down opponents. In a dire situation, the stalk can also serve as food.</t>
  </si>
  <si>
    <t>They use a plant stalk as a weapon, but not all of them use it in the same way. Several distinct styles of stalk fighting have been observed.</t>
  </si>
  <si>
    <t>Sen hoikat ja pitkät raajat päättyvät leveisiin räpylöihin. Niitä käytetään uimiseen sulavasti järvissä.</t>
  </si>
  <si>
    <t>A bird that makes up for its poor flying with its fast foot speed. Leaves giant footprints.</t>
  </si>
  <si>
    <t>Kun se ui täydellä vauhdilla pitkiä, räpylöillä peitettyjä raajojaan käyttäen, sen otsaosa alkaa jotenkin hehkua.</t>
  </si>
  <si>
    <t>Its short wings make flying dif ficult. Instead, this POKéMON runs at high speed on developed legs.</t>
  </si>
  <si>
    <t>Se ilmestyy vesistöjen varsille hämärän aikaan. Se saattaa käyttää telekineettisiä voimiaan, jos sen otsa hehkuu mystisesti.</t>
  </si>
  <si>
    <t>By alternately raising and lower ing its two heads, it balances itself to be more stable while running.</t>
  </si>
  <si>
    <t>Se ui tyylikkäästi hiljaisilla, hitaasti virtaavilla joilla ja järvillä, joista se pitää niin paljon.</t>
  </si>
  <si>
    <t>It races through grassy plains with powerful strides, leaving footprints up to four inches deep.</t>
  </si>
  <si>
    <t>Sen etu- ja takajalkojen räpylät ja GOLDUCKin virtaviivainen vartalo antavat sille pelottavan nopeuden. Tämä POKéMON on ehdottomasti paljon nopeampi kuin edes urheilullisin uimari.</t>
  </si>
  <si>
    <t>It lives on a grassy plain where it can see a long way. If it sees an enemy, it runs away at 60 mph.</t>
  </si>
  <si>
    <t>GOLDUCK on nopein uimari kaikista POKéMONeista. Se ui vaivattomasti jopa myrskyisässä meressä. Se joskus pelastaa ihmisiä haaksirikkoutuneista laivoista, jotka ajelehtivat avomerellä.</t>
  </si>
  <si>
    <t>DODUO’s two heads never sleep at the same time. Its two heads take turns sleeping, so one head can always keep watch for enemies while the other one sleeps.</t>
  </si>
  <si>
    <t>KULTASANKA on taitava uimari. Se liittyy joskus kilpauimareiden harjoituksiin. Se käyttää psyykkisiä voimia, kun sen otsa hohtaa valossa.</t>
  </si>
  <si>
    <t>DODUO’s two heads contain completely identical brains. A scientific study reported that on rare occasions, there will be examples of this POKéMON possessing different sets of brains.</t>
  </si>
  <si>
    <t>Eturaajoissa on räpylät, mikä tekee siitä taitavan uimarin. Sen voi nähdä uimassa tyylikkäästi esimerkiksi järvissä.</t>
  </si>
  <si>
    <t>Even while eating or sleeping, one of the heads remains always vigilant for any sign of danger. When threatened, it flees at over 60 miles per hour.</t>
  </si>
  <si>
    <t>Usein nähdään tyylikkäästi uivan järvenrannoilla. Se sekoitetaan usein japanilaiseen hirviöön, Kappaan.</t>
  </si>
  <si>
    <t>A two-headed POKéMON that was discovered as a sudden mutation. It runs at a pace of over 60 miles per hour.</t>
  </si>
  <si>
    <t>The brains in its two heads appear to communicate emotions to each other with a telepathic power.</t>
  </si>
  <si>
    <t>Järvissä elävä Pokémon. Se ui nopeammin kuin kukaan ihmisuinnin mestari.</t>
  </si>
  <si>
    <t>By alternately raising and lowering its two heads, it balances itself to be more stable while running.</t>
  </si>
  <si>
    <t>Sen hyvin kehittyneiden raajojen räpylät antavat sille hämmästyttävän nopeuden. Se on paras uimari Pokémonien joukossa.</t>
  </si>
  <si>
    <t>A two-headed Pokémon that was discovered as a sudden mutation. It runs at a pace of over 60 miles per hour.</t>
  </si>
  <si>
    <t>Sen nähdään uimassa dynaamisesti ja tyylikkäästi käyttäen hyvin kehittyneitä raajojaan ja räpylöitään.</t>
  </si>
  <si>
    <t>Doduo’s two heads never sleep at the same time. Its two heads take turns sleeping, so one head can always keep watch for enemies while the other one sleeps.</t>
  </si>
  <si>
    <t>Kun se ui täydellä vauhdilla pitkiä, räpylöillä peitettyjä raajojaan käyttäen, sen otsa alkaa jotenkin hehkua.</t>
  </si>
  <si>
    <t>Doduo’s two heads contain completely identical brains. A scientific study reported that on rare occasions, there will be examples of this Pokémon possessing different sets of brains.</t>
  </si>
  <si>
    <t>Se ilmestyy vesistöjen varsille hämärän laskeutuessa. Se saattaa käyttää telekineettisiä voimia, jos sen otsa hehkuu mystisesti.</t>
  </si>
  <si>
    <t>Its short wings make flying difficult. Instead, this Pokémon runs at high speed on developed legs.</t>
  </si>
  <si>
    <t>Uses its three brains to execute complex plans. While two heads sleep, one head stays awake.</t>
  </si>
  <si>
    <t>One of DODUO's 2 heads splits to form a unique species. It runs close to 40 MPH in prairies.</t>
  </si>
  <si>
    <t>Kun sen otsa loistaa salaperäisesti, Golduck voi käyttää kaikkia voimansa ominaisuuksia.</t>
  </si>
  <si>
    <t>It collects data and plans three times as wisely, but it may think too much and be come immobilized.</t>
  </si>
  <si>
    <t>If one of the heads gets to eat, the others will be satisfied, too, and they will stop squabbling.</t>
  </si>
  <si>
    <t>An enemy that takes its eyes off any of the three heads--even for a second--will get pecked severely.</t>
  </si>
  <si>
    <t>Watch out if DODRIO’s three heads are looking in three separate directions. It’s a sure sign that it is on its guard. Don’t go near this POKéMON if it’s being wary - it may decide to peck you.</t>
  </si>
  <si>
    <t>Apparently, the heads aren’t the only parts of the body that DODRIO has three of. It has three sets of hearts and lungs as well, so it is capable of running long distances without rest.</t>
  </si>
  <si>
    <t>Sen etu- ja takajalkojen räpylät ja Golduckin virtaviivainen vartalo antavat sille pelottavan nopeuden. Tämä Pokémon on ehdottomasti paljon nopeampi kuin edes urheilullisin uimari.</t>
  </si>
  <si>
    <t>A peculiar POKéMON species with three heads. It vigorously races across grassy plains even in arid seasons with little rainfall.</t>
  </si>
  <si>
    <t>Golduck on nopein uimari kaikista Pokémoneista. Se ui vaivattomasti jopa myrskyisässä ja aallokossa. Se joskus pelastaa ihmisiä avomerellä rännistyneistä laivoista.</t>
  </si>
  <si>
    <t>An odd species that is rarely found. The three heads respectively represent joy, sadness, and anger.</t>
  </si>
  <si>
    <t>Sanotaan, että sen otsan punainen osa antaa yliluonnollisia voimia niille, joilla sellainen on, joten sitä metsästettiin aiemmin liikaa.</t>
  </si>
  <si>
    <t>Uses its three brains to execute complex plans. While two heads sleep, one head is said to stay awake.</t>
  </si>
  <si>
    <t>Se ui järvien rannoilla ja pyydystää kala-Pokémoneja. Se vie ne rannalle ja syö ne hiljaa.</t>
  </si>
  <si>
    <t>When DODUO evolves into this odd breed, one of its heads splits into two. It runs at nearly 40 mph.</t>
  </si>
  <si>
    <t>Golduck voi lamauttaa jopa nopeasti uivia kala-Pokémoneja. Se pysäyttää ne ja ottaa ne kiinni.</t>
  </si>
  <si>
    <t>It collects data and plans three times as wisely, but it may think too much and fall into a state of immobility.</t>
  </si>
  <si>
    <t>Ammattiuimarina se voi jatkaa uintia kaksi päivää putkeen heiluttamalla taitavasti pitkää häntäänsä.</t>
  </si>
  <si>
    <t>When Doduo evolves into this odd breed, one of its heads splits into two. It runs at nearly 40 mph.</t>
  </si>
  <si>
    <t>Sen pitkät, hoikat raajat päättyvät leveisiin räpylöihin. Niitä käytetään uimiseen sulavasti järvissä.</t>
  </si>
  <si>
    <t>Watch out if Dodrio’s three heads are looking in three separate directions. It’s a sure sign that it is on its guard. Don’t go near this Pokémon if it’s being wary—it may decide to peck you.</t>
  </si>
  <si>
    <t>https://pokeapi.co/api/v2/pokemon-species/48/</t>
  </si>
  <si>
    <t>Apparently, the heads aren’t the only parts of the body that Dodrio has three of. It has three sets of hearts and lungs as well, so it is capable of running long distances without rest.</t>
  </si>
  <si>
    <t>Tämä Pokémon elää hiljaa virtaavissa joissa. Se meloo vedessä pitkillä raajoillaan ja esittelee sulavia uintitaitojaan.</t>
  </si>
  <si>
    <t>Vanhoissa tarinoissa kerrotaan, kuinka Golduck rankaisi joen saastuttajia. Syylliset raahattiin veteen ja vietiin pois.</t>
  </si>
  <si>
    <t>One of Doduo’s two heads splits to form a unique species. It runs close to 40 mph in prairies.</t>
  </si>
  <si>
    <t>The protruding horn on its head is very hard. It is used for bashing through thick ice.</t>
  </si>
  <si>
    <t>Sen ruumis on vahva, ja sen käsissä ja jaloissa on verkkoja. Golduck uu helposti kovassa merenkäynnissä ja raapii tiensä korkeiden aaltojen läpi.</t>
  </si>
  <si>
    <t>Loves freezing cold conditions. Relishes swimming in a frigid cli mate of around 14F degrees.</t>
  </si>
  <si>
    <t>Mankey</t>
  </si>
  <si>
    <t>Sika-apinan Pokémon</t>
  </si>
  <si>
    <t>Äärimmäisen nopea suuttumaan. Se voi olla säyseä yhtenä hetkenä ja raivota seuraavana.</t>
  </si>
  <si>
    <t>Although it can't walk well on land, it is a graceful swimmer. It espe cially loves being in frigid seas.</t>
  </si>
  <si>
    <t>In daytime, it is often found asleep on the seabed in shallow waters. Its nostrils close while it swims.</t>
  </si>
  <si>
    <t>The light blue fur that covers it keeps it protected against the cold. It loves iceberg- filled oceans.</t>
  </si>
  <si>
    <t>Ketterä POKéMON, joka asuu puissa. Se suuttuu helposti eikä epäröi hyökätä minkään kimppuun.</t>
  </si>
  <si>
    <t>SEEL hunts for prey in the frigid sea underneath sheets of ice. When it needs to breathe, it punches a hole through the ice with the sharply protruding section of its head.</t>
  </si>
  <si>
    <t>Se on äärimmäisen ärtyisä. Ryhmät niistä hyökkäävät minkä tahansa kätevän kohteen kimppuun ilman syytä.</t>
  </si>
  <si>
    <t>SEEL hunt for prey in frigid, ice-covered seas. When it needs to breathe, it punches a hole through the ice with the sharply protruding section of its head.</t>
  </si>
  <si>
    <t>On vaarallista lähestyä, jos se raivostuu rajusti ilman syytä eikä pysty erottamaan ystäviä vihollisista.</t>
  </si>
  <si>
    <t>Covered with light blue fur, its hide is thick and tough. It is active in bitter cold of minus 40 degrees Fahrenheit.</t>
  </si>
  <si>
    <t>Se elää ryhmissä puiden latvoissa. Jos se kadottaa ryhmänsä näkyvistä, se raivostuu yksinäisyydestään.</t>
  </si>
  <si>
    <t>The protruding horn on its head is very hard. It is used for bashing through thick icebergs.</t>
  </si>
  <si>
    <t>Kun MANKEY alkaa vapista ja sen nenähengitys käy raskaaksi, se on varma merkki siitä, että se on suuttumassa. Koska se kuitenkin raivostuu lähes välittömästi, kukaan ei voi paeta sen vihaa.</t>
  </si>
  <si>
    <t>A Pokémon that lives on icebergs. It swims in the sea using the point on its head to break up ice.</t>
  </si>
  <si>
    <t>Although it can’t walk well on land, it is a graceful swimmer. It especially loves being in frigid seas.</t>
  </si>
  <si>
    <t>The colder it gets, the better it feels. It joyfully swims around oceans so cold that they are filled with floating ice.</t>
  </si>
  <si>
    <t>Covered with light blue fur, its hide is thick and tough. It is active in bitter cold of -40 degrees Fahrenheit.</t>
  </si>
  <si>
    <t>Seel hunts for prey in the frigid sea underneath sheets of ice. When it needs to breathe, it punches a hole through the ice with the sharply protruding section of its head.</t>
  </si>
  <si>
    <t>Kun se alkaa täristä ja sen nenähengitys käy raskaaksi, se on varma merkki vihasta. Koska tämä tapahtuu kuitenkin välittömästi, ei ole aikaa paeta.</t>
  </si>
  <si>
    <t>It has always been supposed that Seel live only in cold seas. Their having shown up in Alola is a mystery.</t>
  </si>
  <si>
    <t>Kevyt ja ketterä jaloillaan ja luonteeltaan raivoisa. Vihastuttuaan se syöksyy hillittömään raivoon.</t>
  </si>
  <si>
    <t>Thanks to its thick fat, cold seas don’t bother it at all, but it gets tired pretty easily in warm waters.</t>
  </si>
  <si>
    <t>Äärimmäisen nopea suuttumaan. Se voi olla säyseä yhtenä hetkenä ja raivota jonain päivänä.</t>
  </si>
  <si>
    <t>Loves freezing-cold conditions. Relishes swimming in a frigid climate of around 14 degrees Fahrenheit.</t>
  </si>
  <si>
    <t>Se elää puiden latvustoissa. Jos yksi raivostuu, koko yhdyskunta riehuu ilman syytä.</t>
  </si>
  <si>
    <t>Stores thermal energy in its body. Swims at a steady 8 knots even in intensely cold waters.</t>
  </si>
  <si>
    <t>Its entire body is a snowy-white. Unharmed by even intense cold, it swims powerfully in icy waters.</t>
  </si>
  <si>
    <t>Its streamlined body has little drag in water. The colder the temperature, the friskier it gets.</t>
  </si>
  <si>
    <t>It loves frigid seas with ice floes. It uses its long tail to change swimming direction quickly.</t>
  </si>
  <si>
    <t>It sleeps under shallow ocean waters during the day, then looks for food at night when it's cold.</t>
  </si>
  <si>
    <t>DEWGONG loves to snooze on bitterly cold ice. The sight of this POKéMON sleeping on a glacier was mistakenly thought to be a mermaid by a mariner long ago.</t>
  </si>
  <si>
    <t>https://pokeapi.co/api/v2/pokemon-species/49/</t>
  </si>
  <si>
    <t>It loves to snooze on bitterly cold ice. The sight of this POKéMON sleeping on a glacier was mistakenly thought to be a mermaid by a mariner long ago.</t>
  </si>
  <si>
    <t>Its body is covered with a pure white fur. The colder the weather, the more active it becomes.</t>
  </si>
  <si>
    <t>It stores thermal energy in the body. It swims at a steady eight knots even in intensely cold waters.</t>
  </si>
  <si>
    <t>In snow, the pure white coat covering its body obscures it from predators.</t>
  </si>
  <si>
    <t>Its streamlined body has low resistance, and it swims around cold oceans at a speed of eight knots.</t>
  </si>
  <si>
    <t>Dewgong loves to snooze on bitterly cold ice. The sight of this Pokémon sleeping on a glacier was mistakenly thought to be a mermaid by a mariner long ago.</t>
  </si>
  <si>
    <t>It swims through the ocean at a speed of eight knots, searching for Pokémon that will become its prey. It’s especially fond of Wishiwashi.</t>
  </si>
  <si>
    <t>Kun Mankey alkaa vapista ja sen nenähengitys käy raskaaksi, se on varma merkki siitä, että se on suuttumassa. Koska se kuitenkin raivostuu lähes välittömästi, kukaan ei voi paeta sen vihaa.</t>
  </si>
  <si>
    <t>It sunbathes on the beach after meals. The rise in its body temperature helps its digestion.</t>
  </si>
  <si>
    <t>Its entire body is a snowy white. Unharmed by even intense cold, it swims powerfully in icy waters.</t>
  </si>
  <si>
    <t>Se voi raivostua spontaanisti. Kaikki sen lähellä olevat raahautuvat pois sen raivotessa, ja siitä johtuva yksinäisyys tekee siitä vielä vihaisemman.</t>
  </si>
  <si>
    <t>Appears in filthy areas. Thrives by sucking up polluted sludge that is pumped out of factories.</t>
  </si>
  <si>
    <t>Sen raivoaminen väsyttää sen ja saa sen nukahtamaan, mutta unissa kaikuva viha saa sen heräämään – mikä raivostuttaa sitä uudelleen.</t>
  </si>
  <si>
    <t>Made of hardened sludge. It smells too putrid to touch. Even weeds won't grow in its path.</t>
  </si>
  <si>
    <t>Pienimmätkin asiat voivat saada sen menettämään malttinsa. Koska se ei pidättele stressiään, tämä Pokémon voi elää pitkään.</t>
  </si>
  <si>
    <t>As it moves, it loses bits of its body from which new GRIMER emerge. This worsens the stench around it.</t>
  </si>
  <si>
    <t>Wherever GRIMER has passed, so many germs are left behind that no plants will ever grow again.</t>
  </si>
  <si>
    <t>Jos yksi suuttuu, kaikki muutkin ympärillä suuttuvat, joten hiljaisuus on harvinainen vieras Mankey-laumassa.</t>
  </si>
  <si>
    <t>When two of these POKéMON's bodies are combined together, new poisons are created.</t>
  </si>
  <si>
    <t>Ketterä Pokémon, joka asuu puissa. Se suuttuu helposti eikä epäröi hyökätä minkään kimppuun.</t>
  </si>
  <si>
    <t>GRIMER’s sludgy and rubbery body can be forced through any opening, however small it may be. This POKéMON enters sewer pipes to drink filthy wastewater.</t>
  </si>
  <si>
    <t>Primeape</t>
  </si>
  <si>
    <t>GRIMER emerged from the sludge that settled on a polluted seabed. This POKéMON loves anything filthy. It constantly leaks a horribly germ- infested fluid from all over its body.</t>
  </si>
  <si>
    <t>Aina raivoisa ja sinnikäs kaiken lisäksi. Se ei lopeta saaliinsa jahtaamista ennen kuin se on kiinni.</t>
  </si>
  <si>
    <t>Born from polluted sludge in the sea, GRIMER’s favorite food is anything filthy. They feed on wastewater pumped out from factories.</t>
  </si>
  <si>
    <t>Sludge exposed to X rays from the moon transformed into GRIMER. It loves feeding on filthy things.</t>
  </si>
  <si>
    <t>Se lakkaa olemasta vihainen vasta, kun ketään muuta ei ole lähellä. Tämän hetken näkeminen on hyvin vaikeaa.</t>
  </si>
  <si>
    <t>Appears in filthy areas. It thrives by sucking up polluted sludge that is pumped out of factories.</t>
  </si>
  <si>
    <t>Jos sitä lähestytään nukkuessaan, se voi herätä ja lähteä vihaisesti takaa-ajoon puoliunessa unessa.</t>
  </si>
  <si>
    <t>It was born when sludge in a dirty stream was exposed to the moon’s X-rays. It appears among filth.</t>
  </si>
  <si>
    <t>As it moves, it loses bits of its body, from which new GRIMER emerge. This worsens the stench around it.</t>
  </si>
  <si>
    <t>Se raivostuu suunnattomasti, jos se edes aistii jonkun katsovan sitä. Se jahtaa ketä tahansa, joka kohtaa sen tuijotuksen.</t>
  </si>
  <si>
    <t>Born from sludge, these Pokémon now gather in polluted places and increase the bacteria in their bodies.</t>
  </si>
  <si>
    <t>Se pieksee jokaisen, joka sen suututtaa, vaikka sen pitäisi jahdata heitä maailman loppuun asti.</t>
  </si>
  <si>
    <t>Sludge exposed to X-rays from the moon transformed into Grimer. It loves feeding on filthy things.</t>
  </si>
  <si>
    <t>Kun PRIMEAPE raivostuu, sen verenkierto vilkastuu. Tämän seurauksena sen lihakset vahvistuvat entisestään. Samalla siitä tulee kuitenkin myös paljon vähemmän älykäs.</t>
  </si>
  <si>
    <t>Grimer’s sludgy and rubbery body can be forced through any opening, however small it may be. This Pokémon enters sewer pipes to drink filthy wastewater.</t>
  </si>
  <si>
    <t>Grimer emerged from the sludge that settled on a polluted seabed. This Pokémon loves anything filthy. It constantly leaks a horribly germ-infested fluid from all over its body.</t>
  </si>
  <si>
    <t>https://pokeapi.co/api/v2/pokemon-species/50/</t>
  </si>
  <si>
    <t>Kun se raivostuu, sen verenkierto vilkastuu ja sen lihakset vahvistuvat. Mutta siitä tulee myös paljon vähemmän älykäs.</t>
  </si>
  <si>
    <t>Its main source of food is the slimy industrial waste of factories. This Pokémon’s numbers have been decreasing in recent years.</t>
  </si>
  <si>
    <t>Se on aina hillittömän raivoissaan. Jos se lähtee takaa-ajoon, se seuraa kohdetta sinnikkäästi, olipa se kuinka kaukana tahansa.</t>
  </si>
  <si>
    <t>It was born from sludge transformed by exposure to X-rays from the moon. When its internal load of germs decreases, it dies.</t>
  </si>
  <si>
    <t>Aina raivoisa ja sinnikäs kaiken lisäksi. Se ei lopeta saaliinsa jahtaamista ennen kuin saa sen kiinni.</t>
  </si>
  <si>
    <t>It was born from sludge on the ocean floor. In a sterile environment, the germs within its body can’t multiply, and it dies.</t>
  </si>
  <si>
    <t>The wastewater coming from factories is clean these days, so Grimer have nothing to eat. They’re said to be on the verge of extinction.</t>
  </si>
  <si>
    <t>Se suuttuu, jos näet sen silmät, ja suuttuu vielä enemmän, jos pakenet. Jos voitat sen, se suuttuu vieläkin enemmän.</t>
  </si>
  <si>
    <t>Made of congealed sludge. It smells too putrid to touch. Even weeds won’t grow in its path.</t>
  </si>
  <si>
    <t>Thickly covered with a filthy, vile sludge. It is so toxic, even its footprints contain poison.</t>
  </si>
  <si>
    <t>Smells so awful, it can cause fainting. Through degeneration, it lost its sense of smell.</t>
  </si>
  <si>
    <t>They love to gath er in smelly areas where sludge ac cumulates, making the stench around them worse.</t>
  </si>
  <si>
    <t>Its body is made of a powerful poi son. Touching it accidentally will cause a fever that requires bed rest.</t>
  </si>
  <si>
    <t>As it moves, a very strong poison leaks from it, making the ground there barren for three years.</t>
  </si>
  <si>
    <t>From MUK’s body seeps a foul fluid that gives off a nose-bendingly horrible stench. Just one drop of this POKéMON’s body fluid can turn a pool stagnant and rancid.</t>
  </si>
  <si>
    <t>This POKéMON’s favorite food is anything that is repugnantly filthy. In dirty towns where people think nothing of throwing away litter on the streets, MUK are certain to gather.</t>
  </si>
  <si>
    <t>It prefers warm and humid habitats. In the summertime, the toxic substances in its body intensify, making MUK reek like putrid kitchen garbage.</t>
  </si>
  <si>
    <t>It is usually undetectable because it blends in with the ground. Touching it can cause terrible poisoning.</t>
  </si>
  <si>
    <t>A toxic fluid seeps from its body. The fluid instantly kills plants and trees on contact.</t>
  </si>
  <si>
    <t>They love to gather in smelly areas where sludge accumulates, making the stench around them worse.</t>
  </si>
  <si>
    <t>Its body is made of a powerful poison. Touching it accidentally will cause a fever that requires bed rest.</t>
  </si>
  <si>
    <t>Kun Primeape raivostuu, sen verenkierto vilkastuu. Tämän seurauksena sen lihakset vahvistuvat entisestään. Samalla siitä tulee kuitenkin myös paljon vähemmän älykäs.</t>
  </si>
  <si>
    <t>It’s so stinky! Muk’s body contains toxic elements, and any plant will wilt when it passes by.</t>
  </si>
  <si>
    <t>From Muk’s body seeps a foul fluid that gives off a nose-bendingly horrible stench. Just one drop of this Pokémon’s body fluid can turn a pool stagnant and rancid.</t>
  </si>
  <si>
    <t>Sen tiedetään suuttuvan niin paljon, että se kuolee sen seurauksena. Sen kasvot näyttävät kuitenkin kuollessa rauhallisilta.</t>
  </si>
  <si>
    <t>This Pokémon’s favorite food is anything that is repugnantly filthy. In dirty towns where people think nothing of throwing away litter on the streets, Muk are certain to gather.</t>
  </si>
  <si>
    <t>Jotkut tutkijat teorioivat, että Primeape pysyy vihaisena jopa Poképallon sisällä.</t>
  </si>
  <si>
    <t>The stench it gives off will make your nose scrunch up. Still, there are Muk fans who think that’s a good thing.</t>
  </si>
  <si>
    <t>Se ei koskaan anna anteeksi vastustajille, jotka ovat suututtaneet sen. Vaikka se olisi lyönyt heidät niin alas, etteivät he pysty liikkumaan, se ei koskaan anna anteeksi.</t>
  </si>
  <si>
    <t>After recent environmental improvements, this Pokémon is now hardly seen at all. People speculate that it may go extinct at some point.</t>
  </si>
  <si>
    <t>Sen aivojen verisuonet ovat vahvemmat kuin muilla Pokémoneilla, joten se pysyy terveenä jatkuvasta raivoamisestaan ​​huolimatta.</t>
  </si>
  <si>
    <t>Their food sources have decreased, and their numbers have declined sharply. Sludge ponds are being built to prevent their extinction.</t>
  </si>
  <si>
    <t>Because they scatter germs everywhere, they’ve long been targeted for extermination, leading to a steep decline in their population.</t>
  </si>
  <si>
    <t>Smells so awful, it can cause fainting. Through degeneration of its nose, it lost its sense of smell.</t>
  </si>
  <si>
    <t>Growlithe</t>
  </si>
  <si>
    <t>Pentu-Pokémon</t>
  </si>
  <si>
    <t>Se on erittäin suojelevainen reviiriään kohtaan. Se haukkuu ja puree torjuakseen tunkeilijat alueeltaan.</t>
  </si>
  <si>
    <t>Its hard shell repels any kind of attack. It is vulnerable only when its shell is open.</t>
  </si>
  <si>
    <t>The shell can withstand any attack. However, when it is open, the tender body is exposed.</t>
  </si>
  <si>
    <t>It swims facing backward by open ing and closing its two-piece shell. It is surprisingly fast.</t>
  </si>
  <si>
    <t>Ystävällinen luonteeltaan POKéMON. Se haukkuu kuitenkin raivokkaasti kaikkea, mikä tunkeutuu sen alueelle.</t>
  </si>
  <si>
    <t>Grains of sand trapped in its shells mix with its body fluids to form beautiful pearls.</t>
  </si>
  <si>
    <t>Sillä on rohkea ja luotettava luonne. Se vastustaa pelottomasti suurempia ja vahvempia vihollisia.</t>
  </si>
  <si>
    <t>Clamping on to an opponent reveals its vulnerable parts, so it uses this move only as a last resort.</t>
  </si>
  <si>
    <t>Äärimmäisen uskollinen se haukkuu pelottomasti vastustajilleen suojellakseen omaa kouluttajaansa vaaralta.</t>
  </si>
  <si>
    <t>At night, this POKéMON uses its broad tongue to burrow a hole in the seafloor sand and then sleep in it. While it is sleeping, SHELLDER closes its shell, but leaves its tongue hanging out.</t>
  </si>
  <si>
    <t>Se hallitsee laajaa aluetta. Jos se havaitsee tuntemattoman hajun, se karjuu kovaa ajaakseen tunkeilijan ulos.</t>
  </si>
  <si>
    <t>At night, it burrows a hole in the seafloor with its broad tongue to make a place to sleep. While asleep, it closes its shell, but leaves its tongue hanging out.</t>
  </si>
  <si>
    <t>https://pokeapi.co/api/v2/pokemon-species/51/</t>
  </si>
  <si>
    <t>GROWLITHE:lla on erinomainen hajuaisti. Kun se haistaa jotain, tämä POKéMON ei unohda sitä, tapahtui mitä tahansa. Se käyttää kehittynyttä hajuaistiaan muiden elävien olentojen tunteiden havaitsemiseen.</t>
  </si>
  <si>
    <t>It is encased in a shell that is harder than diamond. Inside, however, it is surprisingly tender.</t>
  </si>
  <si>
    <t>It swims backward by opening and closing its two shells. Its large tongue is always kept hanging out.</t>
  </si>
  <si>
    <t>It swims facing backward by opening and closing its two-piece shell. It is surprisingly fast.</t>
  </si>
  <si>
    <t>At night, this Pokémon uses its broad tongue to burrow a hole in the seafloor sand and then sleep in it. While it is sleeping, Shellder closes its shell, but leaves its tongue hanging out.</t>
  </si>
  <si>
    <t>Sen erinomainen hajuaisti varmistaa, että tämä POKéMON ei unohda yhtäkään tuoksua, tapahtuipa se mitä tahansa. Se käyttää hajuaistiaan havaitakseen muiden tunteita.</t>
  </si>
  <si>
    <t>The hardness of its shell surpasses the hardness of a diamond. In days gone by, people used the shells to make shields.</t>
  </si>
  <si>
    <t>Hyvin ystävällinen ja uskollinen ihmisille. Se yrittää torjua viholliset haukkumalla ja puremalla.</t>
  </si>
  <si>
    <t>This Pokémon’s tongue is always hanging out. It uses its tongue with great dexterity to dig up sand from the seabed in its search for food.</t>
  </si>
  <si>
    <t>The sand that accumulates inside its shell eventually becomes a pearl. But the pearl gets in the way, so it spits it out and discards it.</t>
  </si>
  <si>
    <t>Even when its shell is closed, its tongue still hangs out. If you give its tongue a good yank, the shock will cause Shellder to open its shell.</t>
  </si>
  <si>
    <t>Uskollinen Pokémon. Se pysyy liikkumattomana, kunnes sen kouluttaja antaa sille käskyn.</t>
  </si>
  <si>
    <t>When attacked, it launches its horns in quick volleys. Its innards have never been seen.</t>
  </si>
  <si>
    <t>For protection, it uses its harder- than-diamonds shell. It also shoots spikes from the shell.</t>
  </si>
  <si>
    <t>Once it slams its shell shut, it is impossible to open, even by those with superi or strength.</t>
  </si>
  <si>
    <t>CLOYSTER that live in seas with harsh tidal currents grow large, sharp spikes on their shells.</t>
  </si>
  <si>
    <t>Even a missile can't break the spikes it uses to stab opponents. They're even hard er than its shell.</t>
  </si>
  <si>
    <t>Äärimmäisen uskollinen, se haukkuu pelottomasti vastustajia suojellakseen omaa kouluttajaansa vahingolta.</t>
  </si>
  <si>
    <t>CLOYSTER is capable of swimming in the sea. It does so by swallowing water, then jetting it out toward the rear. This POKéMON shoots spikes from its shell using the same system.</t>
  </si>
  <si>
    <t>It swims in the sea by swallowing water, then jetting it out toward the rear. The CLOYSTER shoots spikes from its shell using the same system.</t>
  </si>
  <si>
    <t>Its shell is extremely hard. It cannot be shattered, even with a bomb. The shell opens only when it is attacking.</t>
  </si>
  <si>
    <t>Se on äärimmäisen uskollinen kouluttajalleen ja haukkuu niitä, jotka lähestyvät kouluttajaa odottamatta, ja ajaa heidät pois kaupungista.</t>
  </si>
  <si>
    <t>It fights by keeping its shell tightly shut for protection and by shooting spikes to repel foes.</t>
  </si>
  <si>
    <t>Once it slams its shell shut, it is impossible to open, even by those with superior strength.</t>
  </si>
  <si>
    <t>Cloyster that live in seas with harsh tidal currents grow large, sharp spikes on their shells.</t>
  </si>
  <si>
    <t>Cloyster is capable of swimming in the sea. It does so by swallowing water, then jetting it out toward the rear. This Pokémon shoots spikes from its shell using the same system.</t>
  </si>
  <si>
    <t>Its hard shell cannot be shattered—not even by a bomb. The contents of the shell remain unknown.</t>
  </si>
  <si>
    <t>Excavation of the tombs of ancient hunting tribes has turned up many spears tipped with spikes that had fallen off this Pokémon’s shell.</t>
  </si>
  <si>
    <t>Growlithella on erinomainen hajuaisti. Kun se haistaa jotakin, tämä Pokémon ei unohda tuoksua, tapahtuipa mitä tahansa. Se käyttää kehittynyttä hajuaistiaan muiden elävien olentojen tunteiden havaitsemiseen.</t>
  </si>
  <si>
    <t>If areas of Cloyster’s very hard shell get damaged, those areas swell, gradually growing into large sharp spikes.</t>
  </si>
  <si>
    <t>Slowpoke tails are its favorite food. It has even been known to come up on land to look for Slowpoke from time to time.</t>
  </si>
  <si>
    <t>For protection, it uses its harder-than-diamond shell. It also shoots spikes from the shell.</t>
  </si>
  <si>
    <t>Se on sekä älykäs että uskollinen, mutta jos vieras yrittää tunkeutua sen alueelle, se haukkuu uhkaavasti.</t>
  </si>
  <si>
    <t>Almost invisible, this gaseous POKéMON cloaks the target and puts it to sleep without notice.</t>
  </si>
  <si>
    <t>Se näyttää söpöltä, mutta kun lähestyt toisen Trainer’s Growlithea, se haukkuu sinua ja puree.</t>
  </si>
  <si>
    <t>Said to appear in decrepit, deserted buildings. It has no real shape as it appears to be made of a gas.</t>
  </si>
  <si>
    <t>With its gas-like body, it can sneak into any place it desires. However, it can be blown away by wind.</t>
  </si>
  <si>
    <t>Vaikka se on melko ystävällinen ihmisiä kohtaan totuttuaan niihin, luonnossa sen on oltava melko raivoisa puolustaessaan reviiriään kivikkoruffalta.</t>
  </si>
  <si>
    <t>Its thin body is made of gas. It can envelop an opponent of any size and cause suffocation.</t>
  </si>
  <si>
    <t>Se on elänyt ihmisten rinnalla aikoja sitten. Sen luita on löydetty kivikauden rauniokaivauksista.</t>
  </si>
  <si>
    <t>It wraps its op ponent in its gas- like body, slowly weakening its prey by poisoning it through the skin.</t>
  </si>
  <si>
    <t>Ystävällinen Pokémon. Se haukkuu kuitenkin raivokkaasti kaikkea, mikä tunkeutuu sen alueelle.</t>
  </si>
  <si>
    <t>GASTLY is largely composed of gaseous matter. When exposed to a strong wind, the gaseous body quickly dwindles away. Groups of this POKéMON cluster under the eaves of houses to escape the ravages of wind.</t>
  </si>
  <si>
    <t>When exposed to a strong wind, a GASTLY’s gaseous body quickly dwindles away. They cluster under the eaves of houses to escape the ravages of wind.</t>
  </si>
  <si>
    <t>A being that exists as a thin gas. It can topple an Indian elephant by enveloping the prey in two seconds.</t>
  </si>
  <si>
    <t>This Pokémon’s body is 95% made up of gases, which are blown away by strong gusts of wind.</t>
  </si>
  <si>
    <t>Ne partioivat reviiriään pareittain. Uskon, että tämän lajin turkin magmakiviainekset ovat seurausta sen elinympäristön vulkaanisesta toiminnasta.</t>
  </si>
  <si>
    <t>A Pokémon born from poison gases. It defeats even the largest foes by enveloping them in gas.</t>
  </si>
  <si>
    <t>Arcanine</t>
  </si>
  <si>
    <t>Legendaarinen Pokémon</t>
  </si>
  <si>
    <t>Born from gases, anyone would faint if engulfed by its gaseous body, which contains poison.</t>
  </si>
  <si>
    <t>POKéMON, jota on ihailtu kauneutensa vuoksi menneisyydestä lähtien. Se juoksee ketterästi kuin siivillä.</t>
  </si>
  <si>
    <t>Its body is made of gas. Despite lacking substance, it can envelop an opponent of any size and cause suffocation.</t>
  </si>
  <si>
    <t>Gastly is largely composed of gaseous matter. When exposed to a strong wind, the gaseous body quickly dwindles away. Groups of this Pokémon cluster under the eaves of houses to escape the ravages of wind.</t>
  </si>
  <si>
    <t>Legendaarinen POKÉ MON Kiinassa. Monet ihmiset ihastuvat sen tyylikkyyteen ja kauneuteen juostessaan.</t>
  </si>
  <si>
    <t>Should a strange light be seen flickering in an abandoned building, Gastly is lurking there.</t>
  </si>
  <si>
    <t>Although Gastly is barely visible, when it’s near, a faint sweet smell lingers.</t>
  </si>
  <si>
    <t>Tätä legendaarista kiinalaista POKÉMONIA pidetään upeana. Monet ihmiset ovat lumoutuneita sen suuresta harjasta.</t>
  </si>
  <si>
    <t>It’s said that gas emanating from a graveyard was possessed by the grievances of the deceased and thus became a Pokémon.</t>
  </si>
  <si>
    <t>Sen upea haukunta välittää majesteettisuuden tunteen. Kuka tahansa sen kuullessaan ei voi olla nöyrtymättä sen edessä.</t>
  </si>
  <si>
    <t>Poisonous gas comprises 95% of its body. It’s said that the remaining 5% is made up of the souls of those who died from the gas.</t>
  </si>
  <si>
    <t>Muinainen kuvakäärö osoittaa, että ihmisiä kiehtoi sen liike sen kulkiessa preerioiden läpi.</t>
  </si>
  <si>
    <t>Said to appear in decrepit, deserted buildings. It has no real shape, as it appears to be made of a gas.</t>
  </si>
  <si>
    <t>Gaseous and completely impalpable. Also highly dangerous— inhaling part of its poisonous body will cause one to faint instantly.</t>
  </si>
  <si>
    <t>ARCANINE tunnetaan suuresta nopeudestaan. Sen sanotaan pystyvän juoksemaan yli 6 200 mailia yhdessä päivässä ja yössä. Tämän POKéMONin ruumiissa villisti roihuava tuli on sen voimanlähde.</t>
  </si>
  <si>
    <t>Because of its ability to slip through block walls, it is said to be from an other dimension.</t>
  </si>
  <si>
    <t>By licking, it saps the victim's life. It causes shaking that won't stop until the victim's demise.</t>
  </si>
  <si>
    <t>In total darkness, where nothing is visible, HAUNTER lurks, silently stalking its next victim.</t>
  </si>
  <si>
    <t>Tämän nopeajalkaisen POKéMONin sanotaan juoksevan yli 6 200 mailia yhdessä päivässä ja yössä. Sen ruumiissa villisti roihuava tuli on sen voimanlähde.</t>
  </si>
  <si>
    <t>Its tongue is made of gas. If licked, its victim starts shaking constantly until death even tually comes.</t>
  </si>
  <si>
    <t>Kiinalaisissa legendoissa kuvattu POKéMON. Sen sanotaan kiitävän uskomatonta vauhtia.</t>
  </si>
  <si>
    <t>https://pokeapi.co/api/v2/pokemon-species/52/</t>
  </si>
  <si>
    <t>It hides in the dark, planning to take the life of the next living thing that wanders close by.</t>
  </si>
  <si>
    <t>POKéMON, jota on pitkään ihailtu kauneutensa vuoksi. Se juoksee ketterästi kuin siivillä.</t>
  </si>
  <si>
    <t>HAUNTER is a dangerous POKéMON. If one beckons you while floating in darkness, you must never approach it. This POKéMON will try to lick you with its tongue and steal your life away.</t>
  </si>
  <si>
    <t>Sen ylpeä ja majesteettinen ulkonäkö on valloittanut ihmisten sydämet jo kauan sitten.</t>
  </si>
  <si>
    <t>If a HAUNTER beckons you while it is floating in darkness, don’t approach it. This POKéMON will try to lick you with its tongue and steal your life away.</t>
  </si>
  <si>
    <t>If you get the feeling of being watched in darkness when nobody is around, HAUNTER is there.</t>
  </si>
  <si>
    <t>Because of its ability to slip through block walls, it is said to be from another dimension.</t>
  </si>
  <si>
    <t>It can slip through any obstacle. It lurks inside walls to keep an eye on its foes.</t>
  </si>
  <si>
    <t>Tätä legendaarista kiinalaista Pokémonia pidetään upeana. Sen suuri harja lumoaa monia ihmisiä.</t>
  </si>
  <si>
    <t>It licks with its gaseous tongue to steal the victim’s life force. It lurks in darkness for prey.</t>
  </si>
  <si>
    <t>It likes to lurk in the dark and tap shoulders with a gaseous hand. Its touch causes endless shuddering.</t>
  </si>
  <si>
    <t>Its tongue is made of gas. If licked, its victim starts shaking constantly until death eventually comes.</t>
  </si>
  <si>
    <t>If you get the feeling of being watched in darkness when nobody is around, Haunter is there.</t>
  </si>
  <si>
    <t>Sen yli 6 200 mailin juoksu yhdessä päivässä ja yössä on kiehtonut monia ihmisiä.</t>
  </si>
  <si>
    <t>Haunter is a dangerous Pokémon. If one beckons you while floating in darkness, you must never approach it. This Pokémon will try to lick you with its tongue and steal your life away.</t>
  </si>
  <si>
    <t>It strikes at humans from total darkness. Those licked by its cold tongue grow weaker with each passing day until they die.</t>
  </si>
  <si>
    <t>It fears the light and revels in the dark. It may be on the verge of extinction in cities that stay brightly lit at night.</t>
  </si>
  <si>
    <t>Pokémon, jota on pitkään ihailtu kauneutensa vuoksi. Se juoksee ketterästi kuin siivillä.</t>
  </si>
  <si>
    <t>On moonless nights, Haunter searches for someone to curse, so it’s best not to go out walking around.</t>
  </si>
  <si>
    <t>It’s dangerous to go outside alone on nights when you’re feeling sad. Haunter will catch you, and you won’t be able to go back home.</t>
  </si>
  <si>
    <t>Arcanine tunnetaan suuresta nopeudestaan. Sen sanotaan pystyvän juoksemaan yli 6 200 mailia yhdessä päivässä ja yössä. Tämän Pokémonin kehossa villisti roihuava tuli on sen voimanlähde.</t>
  </si>
  <si>
    <t>By licking, it saps the victim’s life. It causes shaking that won’t stop until the victim’s demise.</t>
  </si>
  <si>
    <t>This frightful, malevolent spirit can glide through walls, appearing wherever it likes. According to rumor, victims of a Haunter's lick will wither to death day by day.</t>
  </si>
  <si>
    <t>Under a full moon, this POKéMON likes to mimic the shadows of people and laugh at their fright.</t>
  </si>
  <si>
    <t>Kauneutta ja majesteettisuutta pursuava tämä vahva Pokémon esiintyy muinaisessa itämaisessa kansanperinteessä.</t>
  </si>
  <si>
    <t>A GENGAR is close by if you feel a sudden chill. It may be trying to lay a curse on you.</t>
  </si>
  <si>
    <t>Sen ruumiissa palava tuli toimii energiana sille pitkien matkojen juostessa. Se esiintyy monissa legendoissa.</t>
  </si>
  <si>
    <t>It steals heat from its surround ings. If you feel a sudden chill, it is certain that a GENGAR appeared.</t>
  </si>
  <si>
    <t>Legendat kertovat sen taistelevan kenraalin rinnalla ja valloittaneen kokonaisen maan.</t>
  </si>
  <si>
    <t>To steal the life of its target, it slips into the prey's shadow and silently waits for an opportunity.</t>
  </si>
  <si>
    <t>Niistä on niin paljon vanhoja tarinoita, että niitä kutsutaan legendaarisiksi Pokémoneiksi, mutta niitä on paljon enemmän kuin odottaisi.</t>
  </si>
  <si>
    <t>Hiding in people's shadows at night, it absorbs their heat. The chill it causes makes the victims shake.</t>
  </si>
  <si>
    <t>Sometimes, on a dark night, your shadow thrown by a streetlight will suddenly and startlingly overtake you. It is actually a GENGAR running past you, pretending to be your shadow.</t>
  </si>
  <si>
    <t>Legendaarinen Pokémon idässä. Sen juoksun suloisuus ja kauneus viehättävät monia ihmisiä.</t>
  </si>
  <si>
    <t>Deep in the night, your shadow cast by a streetlight may suddenly overtake you. It is actually a GENGAR running past you, pretending to be your shadow.</t>
  </si>
  <si>
    <t>It is said to emerge from darkness to steal the lives of those who become lost in mountains.</t>
  </si>
  <si>
    <t>On the night of a full moon, if shadows move on their own and laugh, it must be GENGAR’s doing.</t>
  </si>
  <si>
    <t>It hides in shadows. It is said that if GENGAR is hiding, it cools the area by nearly 10 degrees F.</t>
  </si>
  <si>
    <t>Lurking in the shadowy corners of rooms, it awaits chances to steal its prey’s life force.</t>
  </si>
  <si>
    <t>Iskee vihollisiaan liekehtivien hampaiden peittämänä. Suuresta koostaan ​​huolimatta se taitavasti harhauttaa joka suuntaan johdattaen vastustajat petollisen iloiseen takaa-ajoon tanssiessaan heidän ympärillään.</t>
  </si>
  <si>
    <t>The leer that floats in darkness belongs to a GENGAR delighting in casting curses on people.</t>
  </si>
  <si>
    <t>Poliwag</t>
  </si>
  <si>
    <t>Nuijapää-Pokémon</t>
  </si>
  <si>
    <t>Sen vastakasvoiset jalat estävät sitä juoksemasta. Se näyttää mieluummin uivan kuin yrittävän seistä.</t>
  </si>
  <si>
    <t>It steals heat from its surroundings. If you feel a sudden chill, it is certain that a GENGAR appeared.</t>
  </si>
  <si>
    <t>To steal the life of its target, it slips into the prey’s shadow and silently waits for an opportunity.</t>
  </si>
  <si>
    <t>The leer that floats in darkness belongs to a Gengar delighting in casting curses on people.</t>
  </si>
  <si>
    <t>https://pokeapi.co/api/v2/pokemon-species/53/</t>
  </si>
  <si>
    <t>It hides in shadows. It is said that if Gengar is hiding, it cools the area by nearly 10 degrees Fahrenheit.</t>
  </si>
  <si>
    <t>Vatsan spiraalin suunta vaihtelee alueittain. Se on taitavampi uimassa kuin kävelyssä.</t>
  </si>
  <si>
    <t>Hiding in people’s shadows at night, it absorbs their heat. The chill it causes makes the victims shake.</t>
  </si>
  <si>
    <t>Koska se on tottunut kävelemään vastakasvaneilla jaloillaan, se ui aina vedessä.</t>
  </si>
  <si>
    <t>Sometimes, on a dark night, your shadow thrown by a streetlight will suddenly and startlingly overtake you. It is actually a Gengar running past you, pretending to be your shadow.</t>
  </si>
  <si>
    <t>Sen vatsan spiraalin suunta vaihtelee alueittain. Päiväntasaajalla uskotaan olevan vaikutusta tähän.</t>
  </si>
  <si>
    <t>Should you feel yourself attacked by a sudden chill, it is evidence of an approaching Gengar. There is no escaping it. Give up.</t>
  </si>
  <si>
    <t>It apparently wishes for a traveling companion. Since it was once human itself, it tries to create one by taking the lives of other humans.</t>
  </si>
  <si>
    <t>Vatsan pyörre kuvaa sen sisusta, joka näkyy ihon läpi. Se näyttää kirkkaammalta syömisen jälkeen.</t>
  </si>
  <si>
    <t>You can hear tales told all over the world about how Gengar will pay a visit to children who are naughty.</t>
  </si>
  <si>
    <t>Even your home isn’t safe. Gengar will lurk in whatever dark corner of a room it can find and wait for its chance to catch its prey.</t>
  </si>
  <si>
    <t>POLIWAGilla on hyvin ohut iho. POKéMONien spiraalimaiset sisuskalut näkyvät suoraan ihon läpi. Ohuudestaan ​​huolimatta iho on kuitenkin myös erittäin joustava. Jopa terävät torahampaat kimpoavat siitä suoraan.</t>
  </si>
  <si>
    <t>A Gengar is close by if you feel a sudden chill. It may be trying to lay a curse on you.</t>
  </si>
  <si>
    <t>On the night of a full moon, if shadows move on their own and laugh, it must be Gengar’s doing.</t>
  </si>
  <si>
    <t>Possesses potential victims' shadows in an effort to steal away the victims' lives. If your shadow begins to laugh, you must take hold of a protective charm posthaste!</t>
  </si>
  <si>
    <t>As it grows, the stone portions of its body harden to become similar to a diamond, but colored black.</t>
  </si>
  <si>
    <t>Tämän POKéMONin spiraalimaiset sisuskalut näkyvät suoraan sen ohuen ihon läpi. Iho on kuitenkin myös erittäin joustava. Jopa terävät torahampaat kimpoavat siitä suoraan.</t>
  </si>
  <si>
    <t>Burrows at high speed in search of food. The tunnels it leaves are used as homes by DIGLETTs.</t>
  </si>
  <si>
    <t>It twists and squirms through the ground. The thunderous roar of its tunneling echoes a long way.</t>
  </si>
  <si>
    <t>Sen liukas musta iho on ohut ja kostea. Osa sen sisäelimistä näkyy ihon läpi spiraalimaisena kuviona.</t>
  </si>
  <si>
    <t>It rapidly bores through the ground at 50 mph by squirming and twisting its mas sive, rugged body.</t>
  </si>
  <si>
    <t>Sen vastakasvoiset jalat estävät sitä kävelemästä hyvin. Se näyttää pitävän enemmän uimisesta kuin kävelystä.</t>
  </si>
  <si>
    <t>As it digs through the ground, it absorbs many hard objects. This is what makes its body so solid.</t>
  </si>
  <si>
    <t>ONIX has a magnet in its brain. It acts as a compass so that this POKéMON does not lose direction while it is tunneling. As it grows older, its body becomes increasingly rounder and smoother.</t>
  </si>
  <si>
    <t>Sen iho on niin ohut, että sen sisäelimet ovat näkyvissä. Sillä on vaikeuksia kävellä vastakasvaneilla jaloillaan.</t>
  </si>
  <si>
    <t>There is a magnet in its brain that prevents an ONIX from losing direction while tunneling. As it grows older, its body becomes steadily rounder and smoother.</t>
  </si>
  <si>
    <t>It usually lives underground. It searches for food while boring its way through the ground at 50 miles per hour.</t>
  </si>
  <si>
    <t>As it grows, the stone portions of its body harden to become similar to black-colored diamonds.</t>
  </si>
  <si>
    <t>When it travels underground, it causes rumbling and tremors. It can move at 50 mph.</t>
  </si>
  <si>
    <t>It squirms through the ground using its long and rugged body. It always eats while burrowing.</t>
  </si>
  <si>
    <t>Koska se on taitamaton kävelemään vastakasvaneilla jaloillaan, se ui aina vedessä.</t>
  </si>
  <si>
    <t>It burrows through the ground at a speed of 50 mph while feeding on large boulders.</t>
  </si>
  <si>
    <t>It rapidly bores through the ground at 50 mph by squirming and twisting its massive, rugged body.</t>
  </si>
  <si>
    <t>Opening its large mouth, it ingests massive amounts of soil and creates long tunnels.</t>
  </si>
  <si>
    <t>Burrows at high speed in search of food. The tunnels it leaves are used as homes by Diglett.</t>
  </si>
  <si>
    <t>Onix has a magnet in its brain. It acts as a compass so that this Pokémon does not lose direction while it is tunneling. As it grows older, its body becomes increasingly rounder and smoother.</t>
  </si>
  <si>
    <t>This chain of immense stones resembles a giant serpent. Tremors shake the earth above as it burrows deep beneath the ground, feeding on boulders as it goes.</t>
  </si>
  <si>
    <t>Puts enemies to sleep then eats their dreams. Occasionally gets sick from eating bad dreams.</t>
  </si>
  <si>
    <t>If you sleep by it all the time, it will sometimes show you dreams it has eaten in the past.</t>
  </si>
  <si>
    <t>If you think that you had a good dream, but you can't remember it, a DROWZEE has probably eaten it.</t>
  </si>
  <si>
    <t>It remembers every dream it eats. It rarely eats the dreams of adults because children's are much tastier.</t>
  </si>
  <si>
    <t>When it twitches its nose, it can tell where someone is sleeping and what that person is dreaming about.</t>
  </si>
  <si>
    <t>If your nose becomes itchy while you are sleeping, it’s a sure sign that one of these POKéMON is standing above your pillow and trying to eat your dream through your nostrils.</t>
  </si>
  <si>
    <t>If your nose becomes itchy while you are sleeping, it’s a sure sign that a DROWZEE is standing above your pillow and trying to eat your dream through your nostrils.</t>
  </si>
  <si>
    <t>A descendent of the legendary animal baku, which is said to eat dreams. It is skilled at hypnotism.</t>
  </si>
  <si>
    <t>https://pokeapi.co/api/v2/pokemon-species/54/</t>
  </si>
  <si>
    <t>Puts enemies to sleep, then eats their dreams. Occasionally gets sick from eating only bad dreams.</t>
  </si>
  <si>
    <t>It can tell what people are dreaming by sniffing with its big nose. It loves fun dreams.</t>
  </si>
  <si>
    <t>If you think that you had a good dream but you can’t remember it, a DROWZEE has probably eaten it.</t>
  </si>
  <si>
    <t>It remembers every dream it eats. It rarely eats the dreams of adults because children’s are much tastier.</t>
  </si>
  <si>
    <t>If you think that you had a good dream but you can’t remember it, a Drowzee has probably eaten it.</t>
  </si>
  <si>
    <t>If your nose becomes itchy while you are sleeping, it’s a sure sign that one of these Pokémon is standing above your pillow and trying to eat your dream through your nostrils.</t>
  </si>
  <si>
    <t>Poliwagilla on hyvin ohut iho. Pokémonin spiraalimaiset sisuskalut näkyvät suoraan ihon läpi. Ohuudestaan ​​huolimatta iho on kuitenkin myös erittäin joustava. Jopa terävät torahampaat kimpoavat siitä suoraan.</t>
  </si>
  <si>
    <t>A Pokémon that nourishes itself by eating dreams, it is thought to share common ancestry with Munna and Musharna.</t>
  </si>
  <si>
    <t>It finds really fun dreams tasty. When it makes friends with people, it may show them the most delicious dreams it’s ever eaten.</t>
  </si>
  <si>
    <t>It can be spotted near recreational facilities, intending to eat the pleasant dreams of children who enjoyed themselves there that day.</t>
  </si>
  <si>
    <t>Vatsassa oleva pyörre tarkoittaa sen läpi näkyviä sisäelimiä. Jos pyörre on valkoinen, se tarkoittaa, että sillä on jokin sairaus.</t>
  </si>
  <si>
    <t>It puts its prey to sleep and devours their dreams. It seems that bad dreams taste sour, so Drowzee doesn’t particularly like eating them.</t>
  </si>
  <si>
    <t>If you sleep by it all the time, it will sometimes show you dreams it had eaten in the past.</t>
  </si>
  <si>
    <t>Se ei vieläkään ole kovin hyvä kävelemään. Sen kouluttajien pitäisi kouluttaa tämä Pokémon kävelemään joka päivä.</t>
  </si>
  <si>
    <t>When it locks eyes with an enemy, it will use a mix of PSI moves such as HYPNOSIS and CONFUSION.</t>
  </si>
  <si>
    <t>Avoid eye contact if you come across one. It will try to put you to sleep by using its pendulum.</t>
  </si>
  <si>
    <t>Vaarasta huolimatta se haluaa päästä maihin. Niinpä se yrittää parhaansa mukaan vaappua eteenpäin, mutta kun vihollinen löytää sen, se ryntää takaisin veteen.</t>
  </si>
  <si>
    <t>When it is very hungry, it puts humans it meets to sleep, then it feasts on their dreams.</t>
  </si>
  <si>
    <t>Vatsassa olevan pyörteen suunta vaihtelee asuinpaikasta riippuen. Poliwag-harrastajat pystyvät erottamaan ne yhdellä silmäyksellä.</t>
  </si>
  <si>
    <t>Always holding a pendulum that it rocks at a steady rhythm, it causes drowsiness in any one nearby.</t>
  </si>
  <si>
    <t>The longer it swings its pendulum, the longer the effects of its hypnosis last.</t>
  </si>
  <si>
    <t>HYPNO holds a pendulum in its hand. The arcing movement and glitter of the pendulum lull the foe into a deep state of hypnosis. While this POKéMON searches for prey, it polishes the pendulum.</t>
  </si>
  <si>
    <t>The arcing movement and glitter of the pendulum in a HYPNO’s hand lull the foe into deep hypnosis. While searching for prey, it polishes the pendulum.</t>
  </si>
  <si>
    <t>It carries a pendulum-like device. There once was an incident in which it took away a child it hypnotized.</t>
  </si>
  <si>
    <t>Seeing its swinging pendulum can induce sleep in three seconds, even in someone who just woke up.</t>
  </si>
  <si>
    <t>Poliwagille uinti on helpompaa kuin kävely. Sen vatsassa oleva pyörrekuvio on itse asiassa osa Pokémonin sisälmyksiä, jotka näkyvät ihon läpi.</t>
  </si>
  <si>
    <t>Always holding a pendulum that it swings at a steady rhythm, it causes drowsiness in anyone nearby.</t>
  </si>
  <si>
    <t>Hypno holds a pendulum in its hand. The arcing movement and glitter of the pendulum lull the foe into a deep state of hypnosis. While this Pokémon searches for prey, it polishes the pendulum.</t>
  </si>
  <si>
    <t>Nopeasti virtaavissa joissa tämä Pokémon tarttuu kallioon käyttämällä paksuja huuliaan, jotka toimivat imukupin tavoin.</t>
  </si>
  <si>
    <t>Poliwhirl</t>
  </si>
  <si>
    <t>While it is an extremely dangerous Pokémon, people who are in need of a good, sound sleep call it their savior.</t>
  </si>
  <si>
    <t>Kykenee elämään vedessä tai sen ulkopuolella. Veden ulkopuolella se hikoilee pitääkseen kehonsa limaisena.</t>
  </si>
  <si>
    <t>As a matter of course, it makes anyone it meets fall asleep and has a taste of their dreams. Anyone having a good dream, it carries off.</t>
  </si>
  <si>
    <t>In Alola, Komala is Hypno’s main target. It rarely harms people.</t>
  </si>
  <si>
    <t>Hyökkäyksen kohteeksi joutuessaan se käyttää vatsaspiraaliaan nukuttaakseen vihollisen. Sitten se pakenee.</t>
  </si>
  <si>
    <t>There are some Hypno that assist doctors with patients who can’t sleep at night in hospitals.</t>
  </si>
  <si>
    <t>Sen vatsassa oleva pyörre aaltoilee hienovaraisesti. Sen tuijottaminen voi vähitellen aiheuttaa uneliaisuutta.</t>
  </si>
  <si>
    <t>Its pincers are not only powerful weapons, they are used for balance when walking sideways.</t>
  </si>
  <si>
    <t>Its pincers are superb weapons. They sometimes break off during battle, but they grow back fast.</t>
  </si>
  <si>
    <t>Iho on suurimmassa osassa sen kehoa kostea. Vatsaspiraalin iho tuntuu kuitenkin sileältä.</t>
  </si>
  <si>
    <t>If it senses dan ger approaching, it cloaks itself with bubbles from its mouth so it will look bigger.</t>
  </si>
  <si>
    <t>The pincers break off easily. If it loses a pincer, it somehow becomes incapable of walk ing sideways.</t>
  </si>
  <si>
    <t>Vaikka se on taitava kävelemään, se viihtyy mieluummin veden alla, missä on vähemmän vaaraa.</t>
  </si>
  <si>
    <t>If it is unable to find food, it will absorb nutrients by swallowing a mouthful of sand.</t>
  </si>
  <si>
    <t>POLIWHIRLin kehon pinta on aina märkä ja liukas, ja sen päällä on öljymäistä nestettä. Tämän rasvaisen kerroksen vuoksi se voi helposti lipsahtaa ja luisua minkä tahansa vihollisen kynsistä taistelussa.</t>
  </si>
  <si>
    <t>KRABBY live on beaches, burrowed inside holes dug into the sand. On sandy beaches with little in the way of food, these POKéMON can be seen squabbling with each other over territory.</t>
  </si>
  <si>
    <t>KRABBY live in holes dug into beaches. On sandy shores with little in the way of food, they can be seen squabbling with each other over territory.</t>
  </si>
  <si>
    <t>It can be found near the sea. The large pincers grow back if they are torn out of their sockets.</t>
  </si>
  <si>
    <t>It lives in burrows dug on sandy beaches. Its pincers fully grow back if they are broken in battle.</t>
  </si>
  <si>
    <t>Sen ruumiinpinta on aina märkä ja liukas öljymäisestä nesteestä. Tämän rasvaisen peitteen vuoksi se voi helposti lipsahtaa ja luisua minkä tahansa vihollisen kynsistä taistelussa.</t>
  </si>
  <si>
    <t>If it senses danger approaching, it cloaks itself with bubbles from its mouth so it will look bigger.</t>
  </si>
  <si>
    <t>The pincers break off easily. If it loses a pincer, it somehow becomes incapable of walking sideways.</t>
  </si>
  <si>
    <t>Sen kaksi jalkaa ovat hyvin kehittyneet. Vaikka se voi elää maassa, se viihtyy parhaiten vedessä.</t>
  </si>
  <si>
    <t>Krabby live on beaches, burrowed inside holes dug into the sand. On sandy beaches with little in the way of food, these Pokémon can be seen squabbling with each other over territory.</t>
  </si>
  <si>
    <t>The large pincer has 10000 hp of crushing power. However, its huge size makes it unwieldy to use.</t>
  </si>
  <si>
    <t>Se voi elää vedessä tai sen ulkopuolella. Veden ulkopuolella se hikoilee jatkuvasti pitääkseen kehonsa limaisena.</t>
  </si>
  <si>
    <t>One claw grew massively and as hard as steel. It has 10,000-HP strength. However, it is too heavy.</t>
  </si>
  <si>
    <t>It can hardly lift its massive, overgrown pincer. The pincer's size makes it difficult to aim properly.</t>
  </si>
  <si>
    <t>Sen vatsan spiraalimainen kuvio aaltoilee hienovaraisesti. Sen tuijottaminen aiheuttaa vähitellen uneliaisuutta.</t>
  </si>
  <si>
    <t>Its pincers grow peculiarly large. If it lifts the pincers too fast, it loses its bal ance and staggers.</t>
  </si>
  <si>
    <t>Its oversized claw is very powerful, but when it's not in battle, the claw just gets in the way.</t>
  </si>
  <si>
    <t>KINGLER has an enormous, oversized claw. It waves this huge claw in the air to communicate with others. However, because the claw is so heavy, the POKéMON quickly tires.</t>
  </si>
  <si>
    <t>It waves its huge, oversized claw in the air to communicate with others. But since the claw is so heavy, this POKéMON quickly tires.</t>
  </si>
  <si>
    <t>Its large and hard pincer has 10,000- horsepower strength. However, being so big, it is unwieldy to move.</t>
  </si>
  <si>
    <t>The large pincer has 10,000-horsepower crushing force. However, its huge size makes it unwieldy to use.</t>
  </si>
  <si>
    <t>The larger pincer has 10,000- horsepower strength. However, it is so heavy, it is difficult to aim.</t>
  </si>
  <si>
    <t>It can hardly lift its massive, overgrown pincer. The pincer’s size makes it difficult to aim properly.</t>
  </si>
  <si>
    <t>Its pincers grow peculiarly large. If it lifts the pincers too fast, it loses its balance and staggers.</t>
  </si>
  <si>
    <t>Its large and hard pincer has 10,000-horsepower strength. However, being so big, it is unwieldy to move.</t>
  </si>
  <si>
    <t>https://pokeapi.co/api/v2/pokemon-species/55/</t>
  </si>
  <si>
    <t>Kingler has an enormous, oversized claw. It waves this huge claw in the air to communicate with others. However, because the claw is so heavy, the Pokémon quickly tires.</t>
  </si>
  <si>
    <t>One claw grew massively and is as hard as steel. It has 10,000-horsepower strength. However, it is too heavy.</t>
  </si>
  <si>
    <t>Its oversized claw is very powerful, but when it’s not in battle, the claw just gets in the way.</t>
  </si>
  <si>
    <t>Usually found in power plants. Easily mistaken for a POKé BALL, they have zapped many people.</t>
  </si>
  <si>
    <t>It is said to camouflage itself as a POKé BALL. It will self-destruct with very little stimulus.</t>
  </si>
  <si>
    <t>It rolls to move. If the ground is uneven, a sudden jolt from hitting a bump can cause it to explode.</t>
  </si>
  <si>
    <t>It was discovered when POKé BALLS were introduced. It is said that there is some connection.</t>
  </si>
  <si>
    <t>During the study of this POKéMON, it was discovered that its compo nents are not found in nature.</t>
  </si>
  <si>
    <t>VOLTORB was first sighted at a company that manufactures POKé BALLS. The link between that sighting and the fact that this POKéMON looks very similar to a POKé BALL remains a mystery.</t>
  </si>
  <si>
    <t>Poliwhirlin ruumiin pinta on aina märkä ja liukas, ja sitä peittää limainen neste. Tämän liukkaan kerroksen ansiosta se voi helposti lipsahtaa ja luisua pois vihollisen kynsistä taistelussa.</t>
  </si>
  <si>
    <t>VOLTORB is extremely sensitive - it explodes at the slightest of shocks. It is rumored that it was first created when a POKé BALL was exposed to a powerful pulse of energy.</t>
  </si>
  <si>
    <t>It bears an uncanny and unexplained resemblance to a POKé BALL. Because it explodes at the slightest shock, even veteran TRAINERS treat it with caution.</t>
  </si>
  <si>
    <t>Vaikka se voi elää maalla, se viihtyy vedessä, jossa sillä on vähemmän luonnollisia vihollisia.</t>
  </si>
  <si>
    <t>Se marssii maan halki etsien syötäväksi kelpaavia ötökkä-Pokémoneja. Sitten se vie ne veden alle, jotta se voi syödä niitä turvallisessa paikassa.</t>
  </si>
  <si>
    <t>A life-form whose identity is unknown. It is said to SCREECH or suddenly SELFDESTRUCT.</t>
  </si>
  <si>
    <t>Vaikka se on kykenevä elämään maalla, se viettää aikansa vedessä, missä sen saalista, kala-Pokémoneja, on runsaasti.</t>
  </si>
  <si>
    <t>Usually found in power plants. Easily mistaken for a POKé BALL, it has zapped many people.</t>
  </si>
  <si>
    <t>It looks just like a Poké Ball. It is dangerous because it may electrocute or explode on touch.</t>
  </si>
  <si>
    <t>Sen terveys kärsii, kun sen iho kuivuu, joten muista kosteuttaa sitä huolellisesti.</t>
  </si>
  <si>
    <t>It was discovered when Poké Balls were introduced. It is said that there is some connection.</t>
  </si>
  <si>
    <t>It looks just like a Poké Ball. It is dangerous because it may electrocute or explode on contact.</t>
  </si>
  <si>
    <t>Usually found in power plants. Easily mistaken for a Poké Ball, it has zapped many people.</t>
  </si>
  <si>
    <t>Voltorb was first sighted at a company that manufactures Poké Balls. The link between that sighting and the fact that this Pokémon looks very similar to a Poké Ball remains a mystery.</t>
  </si>
  <si>
    <t>Vatsassa olevan pyörteen tuijottaminen aiheuttaa uneliaisuutta. Tätä Poliwhirlin ominaisuutta on käytetty tuutulaulujen sijasta lasten nukahtamiseen.</t>
  </si>
  <si>
    <t>Voltorb is extremely sensitive—it explodes at the slightest of shocks. It is rumored that it was first created when a Poké Ball was exposed to a powerful pulse of energy.</t>
  </si>
  <si>
    <t>Tämän Pokémonin hiki on limaista löysää ainetta. Vangittuna Poliwhirl voi luikerrella vihollistensa otteesta ja paeta.</t>
  </si>
  <si>
    <t>Poliwrath</t>
  </si>
  <si>
    <t>It is said to camouflage itself as a Poké Ball. It will self-destruct with very little stimulus.</t>
  </si>
  <si>
    <t>Taitava uimari sekä konttaus- että rintauinnissa. Ohittaa helposti parhaat ihmisuimarit.</t>
  </si>
  <si>
    <t>An enigmatic Pokémon that happens to bear a resemblance to a Poké Ball. When excited, it discharges the electric current it has stored in its belly, then lets out a great, uproarious laugh.</t>
  </si>
  <si>
    <t>Ui voimakkaasti käyttäen kaikkia kehonsa lihaksia. Se voi jopa ohittaa mestariuimarit.</t>
  </si>
  <si>
    <t>It stores electric energy under very high pressure. It often explodes with little or no provocation.</t>
  </si>
  <si>
    <t>Tämä vahva ja taitava uimari pystyy jopa ylittämään Tyynenmeren pelkällä potkaisemisella.</t>
  </si>
  <si>
    <t>Stores electrical energy inside its body. Even the slightest shock could trigger a huge explosion.</t>
  </si>
  <si>
    <t>It is dangerous. If it has too much electricity and has nothing to do, it amuses itself by exploding.</t>
  </si>
  <si>
    <t>Vaikka se on energinen ja taitava uimari, joka käyttää kaikkia lihaksiaan, se elää kuivalla maalla.</t>
  </si>
  <si>
    <t>It stores an over flowing amount of electric energy inside its body. Even a small shock makes it explode.</t>
  </si>
  <si>
    <t>Se voi käyttää hyvin kehittyneitä käsiään ja jalkojaan juosta veden pinnalla sekunnin murto-osan.</t>
  </si>
  <si>
    <t>The more energy it charges up, the faster it gets. But this also makes it more likely to explode.</t>
  </si>
  <si>
    <t>POLIWRATHin erittäin kehittyneet ja vahvat lihakset eivät koskaan väsy, vaikka se kuinka paljon treenaisi. Se on niin väsymättömän vahva, että tämä POKéMON voi uida edestakaisin Tyynellämerellä vaivattomasti.</t>
  </si>
  <si>
    <t>Sen erittäin kehittyneet lihakset eivät koskaan väsy, vaikka se kuinka paljon treenaisi. Tämä POKéMON voi uida edestakaisin Tyynellämerellä vaivattomasti.</t>
  </si>
  <si>
    <t>ELECTRODE eats electricity in the atmosphere. On days when lightning strikes, you can see this POKéMON exploding all over the place from eating too much electricity.</t>
  </si>
  <si>
    <t>One of ELECTRODE’s characteristics is its attraction to electricity. It is a problematical POKéMON that congregates mostly at electrical power plants to feed on electricity that has just been generated.</t>
  </si>
  <si>
    <t>Taitavana uimarina se osaa konttauksen, perhosuinnin ja paljon muuta. Se on nopeampi kuin parhaat ihmisuimarit.</t>
  </si>
  <si>
    <t>They appear in great numbers at electric power plants. Because they feed on electricity, they cause massive and chaotic blackouts in nearby cities.</t>
  </si>
  <si>
    <t>Uimari, joka on taitava sekä konttauksessa että rintauinnissa. Ohittaa helposti parhaat ihmisuimarit.</t>
  </si>
  <si>
    <t>It explodes in response to even minor stimuli. It is feared, with the nickname of “The Bomb Ball.”</t>
  </si>
  <si>
    <t>Äärimmäisen vahvojen lihastensa ansiosta se voi jatkaa uintia Tyynessämeressä lepäämättä.</t>
  </si>
  <si>
    <t>It is known to drift on winds if it is bloated to bursting with stored electricity.</t>
  </si>
  <si>
    <t>It stores an overflowing amount of electric energy inside its body. Even a small shock makes it explode.</t>
  </si>
  <si>
    <t>Electrode eats electricity in the atmosphere. On days when lightning strikes, you can see this Pokémon exploding all over the place from eating too much electricity.</t>
  </si>
  <si>
    <t>One of Electrode’s characteristics is its attraction to electricity. It is a problematical Pokémon that congregates mostly at electrical power plants to feed on electricity that has just been generated.</t>
  </si>
  <si>
    <t>The tissue on the surface of its body is curiously similar in composition to an Apricorn. When irritated, this Pokémon lets loose an electric current equal to 20 lightning bolts.</t>
  </si>
  <si>
    <t>Often mistaken for eggs. When disturbed, they quickly gather and attack in swarms.</t>
  </si>
  <si>
    <t>The heads attract each other and spin around. There must be 6 heads for it to maintain balance.</t>
  </si>
  <si>
    <t>The shell is very durable. Even if it cracks, it can survive without spilling the contents.</t>
  </si>
  <si>
    <t>Using telepathy only they can receive, they always form a cluster of six EXEGGCUTE.</t>
  </si>
  <si>
    <t>If even one is separated from the group, the energy bond between the six will make them rejoin instantly.</t>
  </si>
  <si>
    <t>This POKéMON consists of six eggs that form a closely knit cluster. The six eggs attract each other and spin around. When cracks increasingly appear on the eggs, EXEGGCUTE is close to evolution.</t>
  </si>
  <si>
    <t>It consists of six eggs that care for each other. The eggs attract each other and spin around. When cracks increasingly appear, it is close to evolution.</t>
  </si>
  <si>
    <t>https://pokeapi.co/api/v2/pokemon-species/56/</t>
  </si>
  <si>
    <t>Even though it appears to be eggs of some sort, it was discovered to be a life- form more like plant seeds.</t>
  </si>
  <si>
    <t>It is often mistaken for eggs. When disturbed, they quickly gather and attack in swarms.</t>
  </si>
  <si>
    <t>Its six eggs converse using telepathy. They can quickly gather if they become separated.</t>
  </si>
  <si>
    <t>Poliwrathin erittäin kehittyneet, lihaksikkaat lihakset eivät koskaan väsy, vaikka se kuinka paljon treenaisi. Se on niin väsymättömän vahva, että tämä Pokémon voi uida edestakaisin valtameren yli vaivattomasti.</t>
  </si>
  <si>
    <t>Their shells are very durable. Even if they crack, they can survive without spilling their contents.</t>
  </si>
  <si>
    <t>Using telepathy only they can employ, they always form a cluster of six EXEGGCUTE.</t>
  </si>
  <si>
    <t>Even though it appears to be eggs of some sort, it was discovered to be a life-form more like plant seeds.</t>
  </si>
  <si>
    <t>Alolan alueen poliwrathit ovat vahvoja uimareita, jotka uivat rintauintia käyttäen. Monet lapset oppivat uimaan matkimalla poliwratheja.</t>
  </si>
  <si>
    <t>This Pokémon consists of six eggs that form a closely knit cluster. The six eggs attract each other and spin around. When cracks increasingly appear on the eggs, Exeggcute is close to evolution.</t>
  </si>
  <si>
    <t>Sen kehon rasvaprosentti on lähes nolla. Sen ruumis on kokonaan lihasta, mikä tekee siitä painavan ja pakottaa sen uimataidon kehittymään.</t>
  </si>
  <si>
    <t>Its six eggs use telepathy to communicate among themselves. It is believed to carry plant genes and the genes of other species.</t>
  </si>
  <si>
    <t>Six of them together form a full-fledged Pokémon. It’s often hunted by Crabrawler, but uses psychokinesis to drive it off.</t>
  </si>
  <si>
    <t>Se on melko lahjakas uimari, jopa vesityypin Pokémonien joukossa, mutta yleensä se viettää aikansa maalla.</t>
  </si>
  <si>
    <t>Six of them form a single Pokémon. Should one of the six be lost, the next morning there will once more be six.</t>
  </si>
  <si>
    <t>Sen uinnin kehittämät lihakset ovat paksut ja voimakkaat. Kun se osuu suorakaiteen muotoiseen lyöntiin, se voi muuttaa valtavia lohkareita tomuksi.</t>
  </si>
  <si>
    <t>Although they are the same size as other Exeggcute, the ones produced in Alola are quite heavy. Their shells are packed full.</t>
  </si>
  <si>
    <t>Ui voimakkaasti käyttäen kaikkia kehonsa lihaksia. Se voi jopa ohittaa maailmanluokan uimarit.</t>
  </si>
  <si>
    <t>The heads attract each other and spin around. There must be six heads for it to maintain balance.</t>
  </si>
  <si>
    <t>Though it may look like it’s just a bunch of eggs, it’s a proper Pokémon. Exeggcute communicates with others of its kind via telepathy, apparently.</t>
  </si>
  <si>
    <t>These Pokémon get nervous when they’re not in a group of six. The minute even one member of the group goes missing, Exeggcute become cowardly.</t>
  </si>
  <si>
    <t>Sen ruumis on jämäkkää lihasta. Kylmässä meressä uidessaan Poliwrath käyttää vaikuttavia käsivarsiaan törmätäkseen ajojäähän ja kyntääkseen eteenpäin.</t>
  </si>
  <si>
    <t>Legend has it that on rare occasions, one of its heads will drop off and continue on as an EXEGGCUTE.</t>
  </si>
  <si>
    <t>Its cries are very noisy. This is because each of the 3 heads thinks about whatever it likes.</t>
  </si>
  <si>
    <t>Poliwrath on taitava sekä uinnissa että kamppailulajeissa. Se käyttää hyvin koulutettuja käsivarsiaan antaakseen voimakkaita iskuja.</t>
  </si>
  <si>
    <t>Its three heads think independent ly. However, they are friendly and never appear to squabble.</t>
  </si>
  <si>
    <t>Abra</t>
  </si>
  <si>
    <t>Psi-Pokémon</t>
  </si>
  <si>
    <t>Käyttäen kykyään lukea ajatuksia se tunnistaa uhkaavan vaaran ja TELEPORTTAA turvaan.</t>
  </si>
  <si>
    <t>If a head drops off, it emits a telepathic call in search of others to form an EXEGGCUTE cluster.</t>
  </si>
  <si>
    <t>Living in a good environment makes it grow lots of heads. A head that drops off becomes an EXEGGCUTE.</t>
  </si>
  <si>
    <t>EXEGGUTOR originally came from the tropics. Its heads steadily grow larger from exposure to strong sunlight. It is said that when the heads fall off, they group together to form EXEGGCUTE.</t>
  </si>
  <si>
    <t>Nukkuu 18 tuntia vuorokaudessa. Jos se aistii vaaran, se teleporttautuu turvaan jopa nukkuessaan.</t>
  </si>
  <si>
    <t>Originally from the tropics, EXEGGUTOR’s heads grow larger from exposure to strong sunlight. It is said that when the heads fall, they group to form an EXEGGCUTE.</t>
  </si>
  <si>
    <t>Se aistii lähestyvät hyökkäykset ja TELEPORTTAA turvaan ennen kuin varsinaiset hyökkäykset ehtivät iskeä.</t>
  </si>
  <si>
    <t>It is called “The Walking Tropical Rainforest.” Each of the nuts has a face and a will of its own.</t>
  </si>
  <si>
    <t>It is said that on rare occasions, one of its heads will drop off and continue on as an EXEGGCUTE.</t>
  </si>
  <si>
    <t>Jos se päättää TELEPORTTAA satunnaisesti, se luo illuusion siitä, että se on luonut kopioita itsestään.</t>
  </si>
  <si>
    <t>It is called “The Walking Jungle.” If a head grows too big, it falls off and becomes an EXEGGCUTE.</t>
  </si>
  <si>
    <t>Se hypnotisoi itsensä, jotta se voi teleporttautua pois aistiessaan vaaran, vaikka se nukkuisikin.</t>
  </si>
  <si>
    <t>Its three heads think independently. However, they are friendly and never appear to squabble.</t>
  </si>
  <si>
    <t>ABRA nukkuu kahdeksantoista tuntia päivässä. Se voi kuitenkin aistia vihollisten läsnäolon jopa nukkuessaan. Tällaisessa tilanteessa tämä POKéMON teleporttautuu välittömästi turvaan.</t>
  </si>
  <si>
    <t>It is called “The Walking Jungle.” If a head grows too big, it falls off and becomes an Exeggcute.</t>
  </si>
  <si>
    <t>Exeggutor originally came from the tropics. Its heads steadily grow larger from exposure to strong sunlight. It is said that when the heads fall off, they group together to form Exeggcute.</t>
  </si>
  <si>
    <t>ABRAN täytyy nukkua kahdeksantoista tuntia päivässä. Muussa tapauksessa tämä POKéMON menettää kykynsä käyttää telekineettisiä voimiaan. Jos sitä hyökätään, ABRA pakenee käyttämällä TELEPORTTIA vielä nukkuessaan.</t>
  </si>
  <si>
    <t>Each of its heads has its own will. They use telepathy to discuss their plans before coming to a joint decision.</t>
  </si>
  <si>
    <t>When the time comes, one of its three heads falls off. Before long, the fallen head grows into an Exeggcute.</t>
  </si>
  <si>
    <t>POKéMON, joka nukkuu 18 tuntia vuorokaudessa. Havainnot paljastivat, että se käyttää TELEPORTTIA vaihtaakseen sijaintiaan kerran tunnissa.</t>
  </si>
  <si>
    <t>It engages its enemies using psychic powers. Each of its three heads fires off psychokinetic energy, tripling its power.</t>
  </si>
  <si>
    <t>Se nukkuu 18 tuntia päivässä. Se käyttää erilaisia ​​yliaistillisia voimia jopa nukkuessaan.</t>
  </si>
  <si>
    <t>Each of its three heads has its own thoughts. When they want to go in different directions, Exeggutor becomes unable to move.</t>
  </si>
  <si>
    <t>Its cries are very noisy. This is because each of the three heads thinks about whatever it likes.</t>
  </si>
  <si>
    <t>Käyttämällä kykyään lukea ajatuksia se aistii uhkaavan vaaran ja TELEPORTTAASI turvaan.</t>
  </si>
  <si>
    <t>Each of Exeggutor’s three heads is thinking different thoughts. The three don’t seem to be very interested in one another.</t>
  </si>
  <si>
    <t>Se nukkuu 18 tuntia päivässä. Hereillä ollessaankin se teleporttautuu ja pysyy istuma-asennossa.</t>
  </si>
  <si>
    <t>When they work together, Exeggutor’s three heads can put out powerful psychic energy. Cloudy days make this Pokémon sluggish.</t>
  </si>
  <si>
    <t>Se ylläpitää telepaattista tutkaa jopa nukkuessaan. Se teleporttautuu, kun sitä uhkaa.</t>
  </si>
  <si>
    <t>Because it never removes its skull helmet, no one has ever seen this POKéMON's real face.</t>
  </si>
  <si>
    <t>Psyykkisten voimiensa käyttäminen on niin raskasta sen aivoille, että sen on nukuttava 18 tuntia päivässä.</t>
  </si>
  <si>
    <t>Wears the skull of its deceased mother. Its cries echo inside the skull and come out as a sad melody.</t>
  </si>
  <si>
    <t>If it is sad or lonely, the skull it wears shakes, and emits a plain tive and mournful sound.</t>
  </si>
  <si>
    <t>Se aistii lähestyvät hyökkäykset ja teleporttautuu turvaan ennen kuin varsinaiset hyökkäykset ehtivät iskeä.</t>
  </si>
  <si>
    <t>It always wears the skull of its dead mother, so no one has any idea what its hidden face looks like.</t>
  </si>
  <si>
    <t>Jos se päättää teleporttautua sattumanvaraisesti, se luo illuusion siitä, että se on luonut kopioita itsestään.</t>
  </si>
  <si>
    <t>It lost its mother after its birth. It wears its mother's skull, never revealing its true face.</t>
  </si>
  <si>
    <t>CUBONE pines for the mother it will never see again. Seeing a likeness of its mother in the full moon, it cries. The stains on the skull the POKéMON wears are made by the tears it sheds.</t>
  </si>
  <si>
    <t>It pines for the mother it will never see again. Seeing a likeness of its mother in the full moon, it cries. The stains on the skull it wears are from its tears.</t>
  </si>
  <si>
    <t>https://pokeapi.co/api/v2/pokemon-species/57/</t>
  </si>
  <si>
    <t>It wears the skull of its dead mother on its head. When it becomes lonesome, it is said to cry loudly.</t>
  </si>
  <si>
    <t>Because it never removes its skull helmet, no one has ever seen this POKéMON’s real face.</t>
  </si>
  <si>
    <t>When it thinks of its dead mother, it cries. Its crying makes the skull it wears rattle hollowly.</t>
  </si>
  <si>
    <t>If it is sad or lonely, the skull it wears shakes and emits a plaintive and mournful sound.</t>
  </si>
  <si>
    <t>Cubone pines for the mother it will never see again. Seeing a likeness of its mother in the full moon, it cries. The stains on the skull the Pokémon wears are made by the tears it sheds.</t>
  </si>
  <si>
    <t>When it thinks of its deceased mother, it weeps loudly. Mandibuzz that hear its cries will attack it from the air.</t>
  </si>
  <si>
    <t>The skull it wears on its head is that of its dead mother. According to some, it will evolve when it comes to terms with the pain of her death.</t>
  </si>
  <si>
    <t>Abra nukkuu kahdeksantoista tuntia päivässä. Se voi kuitenkin aistia vihollisten läsnäolon jopa nukkuessaan. Tällaisessa tilanteessa tämä Pokémon teleporttautuu välittömästi turvaan.</t>
  </si>
  <si>
    <t>At night, it weeps loudly for its dead mother, but those cries only attract its natural enemy—Mandibuzz.</t>
  </si>
  <si>
    <t>It wears its mother’s skull on its head, so no one knows what its bare face looks like. However, it’s clear that it’s always crying.</t>
  </si>
  <si>
    <t>Abra tarvitsee unta kahdeksantoista tuntia päivässä. Jos se ei nuku, tämä Pokémon menettää kykynsä käyttää telekineettisiä voimiaan. Jos sitä hyökätään, Abra pakenee käyttämällä teleporttia vielä nukkuessaan.</t>
  </si>
  <si>
    <t>When the memory of its departed mother brings it to tears, its cries echo mournfully within the skull it wears on its head.</t>
  </si>
  <si>
    <t>Se nukkuu 18 tuntia päivässä. Nukkuessaankin se teleporttautuu puiden latvoihin ja poimii ja syö siellä marjoja.</t>
  </si>
  <si>
    <t>This Pokémon wears the skull of its deceased mother. Sometimes Cubone’s dreams make it cry, but each tear Cubone sheds makes it stronger.</t>
  </si>
  <si>
    <t>The bone it holds is its key weapon. It throws the bone skillfully like a boomerang to KO targets.</t>
  </si>
  <si>
    <t>Se voi teleportata itsensä turvaan nukkuessaan, mutta herätessään se ei tiedä missä se on, joten se panikoi.</t>
  </si>
  <si>
    <t>Small and weak, this POKéMON is adept with its bone club. It has grown more vicious over the ages.</t>
  </si>
  <si>
    <t>Se käyttää erilaisia ​​psyykkisiä voimia jopa nukkuessaan, joten et voi sanoa, onko se hereillä vai ei.</t>
  </si>
  <si>
    <t>It has been seen pounding boulders with the bone it carries in order to tap out mes sages to others.</t>
  </si>
  <si>
    <t>Se voi lukea muiden ajatuksia ja teleporttautuu pois vaaran lähestyessä. Sinun on tyhjennettävä mielesi, jos haluat saada sen kiinni.</t>
  </si>
  <si>
    <t>It collects bones from an unknown place. A MAROWAK graveyard exists somewhere in the world, rumors say.</t>
  </si>
  <si>
    <t>Somewhere in the world is a ceme tery just for MAROWAK. It gets its bones from those graves.</t>
  </si>
  <si>
    <t>MAROWAK is the evolved form of a CUBONE that has overcome its sadness at the loss of its mother and grown tough. This POKéMON’s tempered and hardened spirit is not easily broken.</t>
  </si>
  <si>
    <t>A MAROWAK is the evolved form of a CUBONE that has grown tough by overcoming the grief of losing its mother. Its tempered and hardened spirit is not easily broken.</t>
  </si>
  <si>
    <t>Tämä Pokémon käyttää psyykkisiä voimiaan nukkuessaan. Abran unien sisältö vaikuttaa Pokémonin käyttämiin voimiin.</t>
  </si>
  <si>
    <t>It is small and was originally very weak. Its temperament turned ferocious when it began using bones.</t>
  </si>
  <si>
    <t>From its birth, this savage Pokémon constantly holds bones. It is skilled in using them as weapons.</t>
  </si>
  <si>
    <t>Abra voi teleportata unissaan. Ilmeisesti mitä syvemmin Abra nukkuu, sitä pidemmälle sen teleportaatiot ulottuvat.</t>
  </si>
  <si>
    <t>It has been seen pounding boulders with the bone it carries in order to tap out messages to others.</t>
  </si>
  <si>
    <t>Viettää 18 tuntia päivästä nukkuen. Jopa nukkuessaan Abra pystyy hallitsemaan psyykkisiä voimiaan – jos vaara lähestyy, Pokémon yksinkertaisesti teleporttautuu pois.</t>
  </si>
  <si>
    <t>It collects bones from an unknown place. Some whisper that a MAROWAK graveyard exists somewhere in the world.</t>
  </si>
  <si>
    <t>Kadabra</t>
  </si>
  <si>
    <t>Se lähettää kehostaan ​​erityisiä alfa-aaltoja, jotka aiheuttavat päänsärkyä jo pelkästään lähellä ollessaan.</t>
  </si>
  <si>
    <t>Marowak is the evolved form of a Cubone that has overcome its sadness at the loss of its mother and grown tough. This Pokémon’s tempered and hardened spirit is not easily broken.</t>
  </si>
  <si>
    <t>Jos tämä POKéMON on lähellä, tapahtuu monia outoja asioita. Se esimerkiksi saa kellot käymään taaksepäin.</t>
  </si>
  <si>
    <t>Originally, it was weak and timid. After evolution, its temperament becomes violent, and it begins to wield bones as weapons.</t>
  </si>
  <si>
    <t>This Pokémon is out for vengeance on its natural enemy, Mandibuzz. It throws bones like boomerangs to try to take it down.</t>
  </si>
  <si>
    <t>Sillä on vahva henkinen voima. Mitä enemmän vaaraa se kohtaa, sitä vahvempi sen psyykkinen voima.</t>
  </si>
  <si>
    <t>It throws bones at Mandibuzz to knock it down. It’s thought that Marowak is trying to avenge its parent.</t>
  </si>
  <si>
    <t>Jos se käyttää kykyjään, se lähettää erityisiä alfa-aaltoja, jotka aiheuttavat koneiden toimintahäiriöitä.</t>
  </si>
  <si>
    <t>They thump their bones rhythmically to communicate among themselves. There are nearly 50 different rhythmic patterns.</t>
  </si>
  <si>
    <t>Small and weak, this Pokémon is adept with its bone club. It has grown more vicious over the ages.</t>
  </si>
  <si>
    <t>Kun se sulkee silmänsä, sen kehon pinnalta tulee ulos kaksi kertaa enemmän alfahiukkasia.</t>
  </si>
  <si>
    <t>This Pokémon overcame its sorrow to evolve a sturdy new body. Marowak faces its opponents bravely, using a bone as a weapon.</t>
  </si>
  <si>
    <t>KADABRA lähettää erikoisen alfa-aallon, jos sille tulee päänsärky. Vain erityisen vahvan psyyken omaavat ihmiset voivat toivoa pääsevänsä tämän POKéMONIN KOULUTTAJIKSI.</t>
  </si>
  <si>
    <t>When this Pokémon evolved, the skull of its mother fused to it. Marowak’s temperament also turned vicious at the same time.</t>
  </si>
  <si>
    <t>KADABRA pitää kädessään hopealusikkaa. Lusikkaa käytetään vahvistamaan aivojen alfa-aaltoja. Ilman lusikkaa POKéMONin telekineettisten voimien sanotaan olevan rajoittuneet puoleen tavanomaisesta.</t>
  </si>
  <si>
    <t>When in a hurry, its legs lengthen progressively. It runs smoothly with extra long, loping strides.</t>
  </si>
  <si>
    <t>Huhutaan, että psyykkisiä kykyjä omaava poika muuttui yhtäkkiä KADABRAksi auttaessaan ekstrasensoristen voimien tutkimuksessa.</t>
  </si>
  <si>
    <t>Se tapahtui eräänä aamuna - yliluonnollisten voimien omaava poika heräsi sängyssä muuttuneena KADABRAksi.</t>
  </si>
  <si>
    <t>When kicking, the sole of its foot turns as hard as a diamond on im pact and destroys its enemy.</t>
  </si>
  <si>
    <t>This amazing POKé MON has an awesome sense of balance. It can kick in succession from any position.</t>
  </si>
  <si>
    <t>Se lähettää kehostaan ​​erityisiä alfa-aaltoja, jotka aiheuttavat päänsärkyä jo pelkästään lähellä olemisesta.</t>
  </si>
  <si>
    <t>If it starts kick ing repeatedly, both legs will stretch even long er to strike a fleeing foe.</t>
  </si>
  <si>
    <t>Jos sellainen on lähellä, televisioruutuihin ilmestyy aavemainen varjo. Varjon näkemisen sanotaan tuovan huonoa onnea.</t>
  </si>
  <si>
    <t>It is also called the Kick Master. It uses its elastic legs to execute every known kick.</t>
  </si>
  <si>
    <t>HITMONLEE’s legs freely contract and stretch. Using these springlike legs, it bowls over foes with devastating kicks. After battle, it rubs down its legs and loosens the muscles to overcome fatigue.</t>
  </si>
  <si>
    <t>Kun se käyttää psyykkistä voimaansa, se lähettää voimakkaita ha-aaltoja, jotka voivat pilata tarkkuuslaitteita.</t>
  </si>
  <si>
    <t>Its legs freely stretch and contract. Using these springlike limbs, it bowls over foes with devastating kicks. After battle, it rubs down its tired legs.</t>
  </si>
  <si>
    <t>Se tuijottaa hopealusikkaansa keskittyäkseen. Samalla se säteilee enemmän alfa-aaltoja.</t>
  </si>
  <si>
    <t>The legs freely contract and stretch. The stretchy legs allow it to hit a distant foe with a rising kick.</t>
  </si>
  <si>
    <t>When in a hurry, its legs lengthen progressively. It runs smoothly with extra-long, loping strides.</t>
  </si>
  <si>
    <t>Its legs can stretch double. First-time foes are startled by its extensible reach.</t>
  </si>
  <si>
    <t>This amazing Pokémon has an awesome sense of balance. It can kick in succession from any position.</t>
  </si>
  <si>
    <t>If it starts kicking repeatedly, both legs will stretch even longer to strike a fleeing foe.</t>
  </si>
  <si>
    <t>Hitmonlee’s legs freely contract and stretch. Using these springlike legs, it bowls over foes with devastating kicks. After battle, it rubs down its legs and loosens the muscles to overcome fatigue.</t>
  </si>
  <si>
    <t>When kicking, the sole of its foot turns as hard as a diamond on impact and destroys its enemy.</t>
  </si>
  <si>
    <t>While apparently doing nothing, it fires punches in lightning fast volleys that are impossible to see.</t>
  </si>
  <si>
    <t>Punches in cork screw fashion. It can punch its way through a concrete wall in the same way as a drill.</t>
  </si>
  <si>
    <t>Kun se käyttää psyykkistä voimaansa, se lähettää voimakkaita alfa-aaltoja, jotka voivat pilata tarkkuuslaitteita.</t>
  </si>
  <si>
    <t>Its punches slice the air. However, it seems to need a short break after fighting for three minutes.</t>
  </si>
  <si>
    <t>Its punches slice the air. They are launched at such high speed, even a slight graze could cause a burn.</t>
  </si>
  <si>
    <t>To increase the strength of all its punch moves, it spins its arms just before making contact.</t>
  </si>
  <si>
    <t>Kadabra lähettää erikoisen alfa-aallon, jos sille tulee päänsärky. Vain erityisen vahvan psyyken omaavat ihmiset voivat toivoa pääsevänsä tämän Pokémonin kouluttajiksi.</t>
  </si>
  <si>
    <t>HITMONCHAN is said to possess the spirit of a boxer who had been working towards a world championship. This POKéMON has an indomitable spirit and will never give up in the face of adversity.</t>
  </si>
  <si>
    <t>Kadabra pitää kädessään hopealusikkaa. Lusikkaa käytetään vahvistamaan aivojen alfa-aaltoja. Ilman lusikkaa Pokémonin telekineettisten voimien sanotaan olevan puolet tavallisista.</t>
  </si>
  <si>
    <t>A HITMONCHAN is said to possess the spirit of a boxer who aimed to become the world champion. Having an indomitable spirit means that it will never give up.</t>
  </si>
  <si>
    <t>The spirit of a pro boxer has infused this POKéMON. It throws punches that are faster than a bullet train.</t>
  </si>
  <si>
    <t>On olemassa teoria, jonka mukaan tämä Pokémon oli nuori poika, joka ei pystynyt hallitsemaan psyykkisiä voimiaan ja päätyi muuttumaan täksi Pokémoniksi.</t>
  </si>
  <si>
    <t>https://pokeapi.co/api/v2/pokemon-species/58/</t>
  </si>
  <si>
    <t>While apparently doing nothing, it fires punches in lightning-fast volleys that are impossible to see.</t>
  </si>
  <si>
    <t>Kadabran läsnäolo saastuttaa televisiot ja näytöt kammottavilla varjoilla, jotka tuovat huonoa onnea.</t>
  </si>
  <si>
    <t>The arm-twisting punches it throws pulverize even concrete. It rests after three minutes of fighting.</t>
  </si>
  <si>
    <t>Se tuijottaa hopealusikkaa vahvistaakseen psyykkisiä voimiaan ennen kuin se päästää irti. Kultalusikat eivät ilmeisesti ole hyviä.</t>
  </si>
  <si>
    <t>The spirit of a pro boxer has infused this Pokémon. It throws punches that are faster than a bullet train.</t>
  </si>
  <si>
    <t>Hitmonchan is said to possess the spirit of a boxer who had been working toward a world championship. This Pokémon has an indomitable spirit and will never give up in the face of adversity.</t>
  </si>
  <si>
    <t>Sillä on vahvat henkiset kyvyt, mutta sen psyykkiset voimat puolittuvat, kun se ei pidä kädessään hopealusikkaa.</t>
  </si>
  <si>
    <t>Punches in corkscrew fashion. It can punch its way through a concrete wall like a drill.</t>
  </si>
  <si>
    <t>Jos tämä Pokémon on lähellä, tapahtuu monia outoja asioita. Se esimerkiksi saa kellot käymään taaksepäin.</t>
  </si>
  <si>
    <t>Its tongue can be extended like a chameleon's. It leaves a tingling sensation when it licks enemies.</t>
  </si>
  <si>
    <t>Its tongue spans almost 7 feet and moves more freely than its forelegs. Its licks can cause paralysis.</t>
  </si>
  <si>
    <t>Its tongue has well-developed nerves that run to the very tip, so it can be deft ly manipulated.</t>
  </si>
  <si>
    <t>Kadabra leijuu nukkuessaan psyykkistä voimaansa käyttäen. Se käyttää joustavaa häntäänsä tyynynä.</t>
  </si>
  <si>
    <t>Its long tongue, slathered with a gooey saliva, sticks to any thing, so it is very useful.</t>
  </si>
  <si>
    <t>Tämän Pokémonin telekinesia on valtavan voimakas. Valmistautuakseen evoluutioon Kadabra varastoi psyykkistä energiaa otsassaan olevaan tähteen.</t>
  </si>
  <si>
    <t>It has a tongue that is over 6’6’’ long. It uses this long tongue to lick its body clean.</t>
  </si>
  <si>
    <t>Whenever LICKITUNG comes across something new, it will unfailingly give it a lick. It does so because it memorizes things by texture and by taste. It is somewhat put off by sour things.</t>
  </si>
  <si>
    <t>Huhujen mukaan mystisiä voimia omaavasta lapsesta tuli Kadabra; tätä ei kuitenkaan ole vahvistettu. Epäilen, että Kadabran pitelemä lusikka vahvistaa sen aivoaaltoja.</t>
  </si>
  <si>
    <t>Alakazam</t>
  </si>
  <si>
    <t>Whenever it sees something unfamiliar, it always licks the object because it memorizes things by texture and taste. It is somewhat put off by sour things.</t>
  </si>
  <si>
    <t>Sen aivot pystyvät suoriutumaan supertietokoneesta paremmin. Sen älykkyysosamäärän sanotaan olevan 5 000.</t>
  </si>
  <si>
    <t>Its tongue is twice the length of its body. It can be moved like an arm for grabbing food and attacking.</t>
  </si>
  <si>
    <t>Its tongue can be extended like a chameleon’s. It leaves a tingling sensation when it licks enemies.</t>
  </si>
  <si>
    <t>Instead of hands, it uses its tongue, which is twice its height. Its sticky saliva grips anything.</t>
  </si>
  <si>
    <t>POKéMON, joka pystyy muistamaan mitä tahansa. Se ei koskaan unohda oppimaansa – siksi tämä POKéMON on älykäs.</t>
  </si>
  <si>
    <t>When it extends its over-six-foot- long tongue, its tail quivers. There is a possibility they are connected.</t>
  </si>
  <si>
    <t>Its tongue has well-developed nerves that run to the very tip, so it can be deftly manipulated.</t>
  </si>
  <si>
    <t>Molempien silmien sulkeminen vahvistaa kaikkia muita aisteja. Tämä antaa sille mahdollisuuden käyttää kykyjään äärimmilleen.</t>
  </si>
  <si>
    <t>Its long tongue, slathered with a gooey saliva, sticks to anything, so it is very useful.</t>
  </si>
  <si>
    <t>Sen aivosolut lisääntyvät jatkuvasti, kunnes se kuolee. Tämän seurauksena se muistaa kaiken.</t>
  </si>
  <si>
    <t>Being licked by its long, saliva-covered tongue leaves a tingling sensation. Extending its tongue retracts its tail.</t>
  </si>
  <si>
    <t>Sen älykkyysosamäärä on 5000. Se laskee monia asioita saadakseen etulyöntiaseman jokaisessa taistelussa.</t>
  </si>
  <si>
    <t>Whenever Lickitung comes across something new, it will unfailingly give it a lick. It does so because it memorizes things by texture and by taste. It is somewhat put off by sour things.</t>
  </si>
  <si>
    <t>It checks out whatever’s around it by licking everything. If you don’t clean off a spot where it’s licked you, you’ll break out in a rash!</t>
  </si>
  <si>
    <t>ALAKAZAMin aivot kasvavat jatkuvasti, mikä tekee sen päästä aivan liian raskaan kannateltavaksi kaulalla. Tämä POKéMON pitää päätään ylhäällä käyttämällä sen sijaan psykokineettisiä voimiaan.</t>
  </si>
  <si>
    <t>It licks filth clean with its tongue. Whatever it licks always stinks afterward, so whether it’s really clean is...questionable.</t>
  </si>
  <si>
    <t>Its tongue spans almost seven feet and moves more freely than its forelegs. Its licks can cause paralysis.</t>
  </si>
  <si>
    <t>ALAKAZAMin aivot kasvavat jatkuvasti ja aivosolut lisääntyvät loputtomasti. Tämä hämmästyttävä aivotoiminta antaa tälle POKéMONille hämmästyttävän korkean, 5 000:n älykkyysosamäärän. Se muistaa perusteellisesti kaiken, mitä maailmassa on tapahtunut.</t>
  </si>
  <si>
    <t>If this Pokémon’s sticky saliva gets on you and you don’t clean it off, an intense itch will set in. The itch won’t go away, either.</t>
  </si>
  <si>
    <t>Vaikka sillä on vahvat psyykkiset kyvyt ja korkea älykkyys, ALAKAZAMin lihakset ovat hyvin heikot. Se käyttää psyykkistä voimaa kehonsa liikuttamiseen.</t>
  </si>
  <si>
    <t>Bug Pokémon are Lickitung’s main food source. This Pokémon paralyzes its prey with a lick from its long tongue, then swallows the prey whole.</t>
  </si>
  <si>
    <t>Wields its long tongue deftly, as though it were an arm. The Pokémon's viscous saliva, once it has been collected and boiled down, yields a strong and highly useful adhesive.</t>
  </si>
  <si>
    <t>Se ei pidä fyysisistä hyökkäyksistä kovin paljon. Sen sijaan se käyttää vapaasti ylimääräisiä aistivoimia vihollisten kukistamiseen.</t>
  </si>
  <si>
    <t>Because it stores several kinds of toxic gases in its body, it is prone to exploding without warning.</t>
  </si>
  <si>
    <t>Sen aivot pystyvät suoriutumaan paremmin kuin supertietokone. Sen älykkyysosamäärän sanotaan olevan noin 5 000.</t>
  </si>
  <si>
    <t>In hot places, its internal gases could expand and explode without any warning. Be very careful!</t>
  </si>
  <si>
    <t>Sen erinomainen muisti antaa sille mahdollisuuden muistaa kaiken, mitä se on kokenut syntymästä lähtien. Sen älykkyysosamäärä ylittää 5 000.</t>
  </si>
  <si>
    <t>Its thin, filmy body is filled with gases that cause constant sniffles, coughs and teary eyes.</t>
  </si>
  <si>
    <t>The poisonous gases it contains are a little bit lighter than air, keeping it slight ly airborne.</t>
  </si>
  <si>
    <t>Sen pitkälle kehittynyt aivo on supertietokoneen veroinen. Se pystyy käyttämään kaikenlaisia ​​psyykkisiä kykyjä.</t>
  </si>
  <si>
    <t>If one gets close enough to it when it expels poison ous gas, the gas swirling inside it can be seen.</t>
  </si>
  <si>
    <t>If KOFFING becomes agitated, it raises the toxicity of its internal gases and jets them out from all over its body. This POKéMON may also overinflate its round body, then explode.</t>
  </si>
  <si>
    <t>Sen käsissä puristettujen lusikoiden sanotaan olevan sen psyykkisten voimien luomia.</t>
  </si>
  <si>
    <t>KOFFING embodies toxic substances. It mixes the toxins with raw garbage to set off a chemical reaction that results in a terribly powerful poison gas. The higher the temperature, the more gas is concocted by this POKéMON.</t>
  </si>
  <si>
    <t>Getting up close to a KOFFING will give you a chance to observe, through its thin skin, the toxic gases swirling inside. It blows up at the slightest stimulation.</t>
  </si>
  <si>
    <t>Its thin, balloon-like body is inflated by horribly toxic gases. It reeks when it is nearby.</t>
  </si>
  <si>
    <t>Lighter-than-air gases in its body keep it aloft. The gases not only smell, they are also explosive.</t>
  </si>
  <si>
    <t>The poisonous gases it contains are a little bit lighter than air, keeping it slightly airborne.</t>
  </si>
  <si>
    <t>Toxic gas is held within its thin, balloon-shaped body, so it can cause massive explosions.</t>
  </si>
  <si>
    <t>If Koffing becomes agitated, it raises the toxicity of its internal gases and jets them out from all over its body. This Pokémon may also overinflate its round body, then explode.</t>
  </si>
  <si>
    <t>Koffing embodies toxic substances. It mixes the toxins with raw garbage to set off a chemical reaction that results in a terribly powerful poison gas. The higher the temperature, the more gas is concocted by this Pokémon.</t>
  </si>
  <si>
    <t>Its body is full of poisonous gas. It floats into garbage dumps, seeking out the fumes of raw, rotting trash.</t>
  </si>
  <si>
    <t>It adores polluted air. Some claim that Koffing used to be more plentiful in the Galar region than they are now.</t>
  </si>
  <si>
    <t>Where two kinds of poison gases meet, 2 KOFFINGs can fuse into a WEEZING over many years.</t>
  </si>
  <si>
    <t>It lives and grows by absorbing dust, germs and poison gases that are contained in toxic waste and garbage.</t>
  </si>
  <si>
    <t>Alakazamin aivot kasvavat jatkuvasti, mikä tekee sen päästä aivan liian raskaan kannateltavaksi kaulalla. Tämä Pokémon pitää päätään ylhäällä käyttämällä psykokineettisiä voimiaan.</t>
  </si>
  <si>
    <t>If one of the twin KOFFING inflates, the other one deflates. It con stantly mixes its poisonous gases.</t>
  </si>
  <si>
    <t>Top-grade perfume is made using its internal poison gases by diluting them to the high est level.</t>
  </si>
  <si>
    <t>Alakazamin aivot kasvavat jatkuvasti ja aivosolut lisääntyvät loputtomasti. Tämä hämmästyttävä aivojen ansiosta tälle Pokémonille on hämmästyttävän korkea, 5 000:n älykkyysosamäärä. Sillä on perusteellinen muisti kaikesta, mitä maailmassa on tapahtunut.</t>
  </si>
  <si>
    <t>When it inhales poisonous gases from garbage, its body expands, and its insides smell much worse.</t>
  </si>
  <si>
    <t>WEEZING loves the gases given off by rotted kitchen garbage. This POKéMON will find a dirty, unkempt house and make it its home. At night, when the people in the house are asleep, it will go through the trash.</t>
  </si>
  <si>
    <t>Sen sanotaan omaavan noin 5 000 älykkyysosamäärän. Sen ylitsevuotavat psykokineettiset voimat aiheuttavat päänsärkyä kaikille lähellä oleville.</t>
  </si>
  <si>
    <t>Sen aivosolujen määrä kasvaa jatkuvasti kuolemaan asti. Mitä vanhempi Alakazam on, sitä suurempi sen pää.</t>
  </si>
  <si>
    <t>WEEZING alternately shrinks and inflates its twin bodies to mix together toxic gases inside. The more the gases are mixed, the more powerful the toxins become. The POKéMON also becomes more putrid.</t>
  </si>
  <si>
    <t>Alakazam käyttää psyykkisiä voimiaan valmistaakseen kantamansa lusikat. Jokainen lusikka on ainutlaatuinen, jollaisia ​​on vain yksi koko maailmassa.</t>
  </si>
  <si>
    <t>By diluting its toxic gases with a special process, the highest grade of perfume can be extracted. To WEEZING, gases emanating from garbage are the ultimate feast.</t>
  </si>
  <si>
    <t>Jos se luottaa johonkuhun syvästi, se antaa hänelle yhden lusikoistaan. Kaikki, mitä syöt sillä lusikalla, on näennäisesti herkullista.</t>
  </si>
  <si>
    <t>https://pokeapi.co/api/v2/pokemon-species/59/</t>
  </si>
  <si>
    <t>Very rarely, a sudden mutation can result in two small KOFFING twins becoming conjoined as a WEEZING.</t>
  </si>
  <si>
    <t>Pokémon, joka pystyy muistamaan mitä tahansa. Se ei koskaan unohda oppimaansa – siksi tämä Pokémon on älykäs.</t>
  </si>
  <si>
    <t>Where two kinds of poison gases meet, two KOFFING can fuse into a WEEZING over many years.</t>
  </si>
  <si>
    <t>It grows by feeding on gases released by garbage. Though very rare, triplets have been found.</t>
  </si>
  <si>
    <t>Sillä on uskomattoman korkea älykkyys. Jotkut sanovat, että Alakazam muistaa kaiken, mitä sille tapahtuu, syntymästä kuolemaan.</t>
  </si>
  <si>
    <t>Alakazamin sanotaan käyttäneen voimakkaita psyykkisiä voimia luodakseen lusikat, joita se pitää kädessään.</t>
  </si>
  <si>
    <t>If one of the twin KOFFING inflates, the other one deflates. It constantly mixes its poisonous gases.</t>
  </si>
  <si>
    <t>Mitä kauemmin Alakazam elää, sitä suuremmaksi ja painavammaksi sen pää muuttuu. Testimme ovat osoittaneet, että sen psyykkisten voimien vahvuus korreloi positiivisesti sen pään painon kanssa.</t>
  </si>
  <si>
    <t>Machop</t>
  </si>
  <si>
    <t>Top-grade perfume is made using its internal poison gases by diluting them to the highest level.</t>
  </si>
  <si>
    <t>Supervoima-Pokémon</t>
  </si>
  <si>
    <t>Rakastaa lihasten kasvattamista. Se harjoittelee kaikissa kamppailulajityyleissä tullakseen entistä vahvemmaksi.</t>
  </si>
  <si>
    <t>Inhaling toxic fumes from trash and mixing them inside its body lets it spread an even fouler stench.</t>
  </si>
  <si>
    <t>Erittäin voimakas pienestä koostaan ​​huolimatta. Sen monien kamppailulajien hallinta tekee siitä erittäin sitkeän.</t>
  </si>
  <si>
    <t>If one of the twin Koffing inflates, the other one deflates. It constantly mixes its poisonous gases.</t>
  </si>
  <si>
    <t>Very rarely, a sudden mutation can result in two small Koffing twins becoming conjoined as a Weezing.</t>
  </si>
  <si>
    <t>Aina voimaa pursuava se kuluttaa aikaa nostamalla lohkareita. Näin se vahvistuu entisestään.</t>
  </si>
  <si>
    <t>Weezing loves the gases given off by rotted kitchen garbage. This Pokémon will find a dirty, unkempt house and make it its home. At night, when the people in the house are asleep, it will go through the trash.</t>
  </si>
  <si>
    <t>Se rakastaa treenaamista ja lihasten kasvattamista. Se ei ole koskaan tyytyväinen, vaikka se treenaisi kovaa koko päivän.</t>
  </si>
  <si>
    <t>Weezing alternately shrinks and inflates its twin bodies to mix together toxic gases inside. The more the gases are mixed, the more powerful the toxins become. The Pokémon also becomes more putrid.</t>
  </si>
  <si>
    <t>Se harjoittelee nostamalla kiviä vuorilla. Se voi jopa poimia sora-alustansa helposti.</t>
  </si>
  <si>
    <t>This Pokémon lives and grows by absorbing poison gas, dust, and germs that exist inside garbage.</t>
  </si>
  <si>
    <t>It mixes gases between its two bodies. It’s said that these Pokémon were seen all over the Galar region back in the day.</t>
  </si>
  <si>
    <t>MACHOPin lihakset ovat erityiset – ne eivät koskaan kipeydy, vaikka niitä kuinka paljon liikunnassa käytettäisiin. Tällä POKéMONilla on riittävästi voimaa sinkoamaan sata aikuista ihmistä.</t>
  </si>
  <si>
    <t>It can’t suck in air quite as well as a Galarian Weezing, but the toxins it creates are more potent than those of its counterpart.</t>
  </si>
  <si>
    <t>MACHOP harjoittelee nostamalla GRAVELER-tankoa kuin se olisi levytanko. Jotkut MACHOPit matkustavat ympäri maailmaa pyrkiessään hallitsemaan kaikenlaisia ​​kamppailulajeja.</t>
  </si>
  <si>
    <t>Its massive bones are 1000 times harder than human bones. It can easily knock a trailer flying.</t>
  </si>
  <si>
    <t>Se harjoittelee jatkuvasti raskasta työtä hallitakseen kaikki kamppailulajit. Voimansa ansiosta se voi helposti nostaa sumopainijan harteilleen.</t>
  </si>
  <si>
    <t>A POKéMON with a one-track mind. Once it charges, it won't stop running until it falls asleep.</t>
  </si>
  <si>
    <t>It is inept at turning because of its four short legs. It can only charge and run in one direction.</t>
  </si>
  <si>
    <t>Sen koko ruumis koostuu lihaksista. Vaikka se on ihmislapsen kokoinen, se voi sinkoutua 100 aikuista.</t>
  </si>
  <si>
    <t>It doesn't care if there is anything in its way. It just charges and destroys all ob stacles.</t>
  </si>
  <si>
    <t>It can remember only one thing at a time. Once it starts rushing, it forgets why it started.</t>
  </si>
  <si>
    <t>RHYHORN runs in a straight line, smashing everything in its path. It is not bothered even if it rushes headlong into a block of steel. This POKéMON may feel some pain from the collision the next day, however.</t>
  </si>
  <si>
    <t>Se nostaa GRAVELER-kivääriä toistuvasti vahvistaakseen koko kehoaan. Se käyttää kaikkia kamppailulajeja.</t>
  </si>
  <si>
    <t>RHYHORN’s brain is very small. It is so dense, while on a run it forgets why it started running in the first place. It apparently remembers sometimes if it demolishes something.</t>
  </si>
  <si>
    <t>Once it starts running, it doesn’t stop. Its tiny brain makes it so stupid that it can’t remember why it started running in the first place.</t>
  </si>
  <si>
    <t>Sen lihakset eivät koskaan kramppaa, vaikka se kuinka paljon harjoittelisi. Se elää vuoristossa erillään ihmisistä.</t>
  </si>
  <si>
    <t>Strong, but not too bright, this POKéMON can shatter even a skyscraper with its charging TACKLES.</t>
  </si>
  <si>
    <t>Vaikka se on pienikokoinen, se on tarpeeksi tehokas nostamaan ja heittämään helposti useita GEODUDE-yksiköitä kerralla.</t>
  </si>
  <si>
    <t>Its massive bones are 1,000 times harder than human bones. Its TACKLE can knock a semitrailer flying.</t>
  </si>
  <si>
    <t>Its body is clad in a thick hide, and its tackles topple buildings. Unfortunately, it is not smart.</t>
  </si>
  <si>
    <t>Its powerful tackles can destroy anything. However, it is too slow witted to help people work.</t>
  </si>
  <si>
    <t>It doesn’t care if there is anything in its way. It just charges and destroys all obstacles.</t>
  </si>
  <si>
    <t>Vaikka se on pienikokoinen, se on tarpeeksi tehokas nostamaan ja heittämään helposti useita Geodudeja kerralla.</t>
  </si>
  <si>
    <t>Strong, but not too bright, this Pokémon can shatter even a skyscraper with its charging Tackles.</t>
  </si>
  <si>
    <t>Rhyhorn runs in a straight line, smashing everything in its path. It is not bothered even if it rushes headlong into a block of steel. This Pokémon may feel some pain from the collision the next day, however.</t>
  </si>
  <si>
    <t>Rhyhorn’s brain is very small. It is so dense, while on a run it forgets why it started running in the first place. It apparently remembers sometimes if it demolishes something.</t>
  </si>
  <si>
    <t>A Pokémon with a one-track mind. Once it charges, it won’t stop running until it falls asleep.</t>
  </si>
  <si>
    <t>Strong, but not too bright, this Pokémon can shatter even a skyscraper with its charging tackles.</t>
  </si>
  <si>
    <t>Ludicrously strong—when it butts heads with a mountain, it is the mountain that shatters. But its short legs struggle with turns, and it is incapable of stopping unless it collides with something.</t>
  </si>
  <si>
    <t>Se nostaa Graveleria toistuvasti vahvistaakseen koko kehoaan. Se käyttää kaikkia kamppailulajeja.</t>
  </si>
  <si>
    <t>Protected by an armor-like hide, it is capable of living in molten lava of 3,600 degrees.</t>
  </si>
  <si>
    <t>Walks on its hind legs. Shows signs of intelligence. Its armor-like hide even repels molten lava.</t>
  </si>
  <si>
    <t>Its rugged hide protects it from even the heat of lava. However, the hide also makes it insensitive.</t>
  </si>
  <si>
    <t>Its brain devel oped when it began walking on hind legs. Its thick hide protects it even in magma.</t>
  </si>
  <si>
    <t>Machopin lihakset ovat erityiset – ne eivät koskaan kipeydy, vaikka niitä kuinka paljon liikunnassa käytettäisiin. Tällä Pokémonilla on riittävästi voimaa sinkoamaan sata aikuista ihmistä.</t>
  </si>
  <si>
    <t>By lightly spin ning its drill- like horn, it can easily shatter even a diamond in the rough.</t>
  </si>
  <si>
    <t>RHYDON’s horn can crush even uncut diamonds. One sweeping blow of its tail can topple a building. This POKéMON’s hide is extremely tough. Even direct cannon hits don’t leave a scratch.</t>
  </si>
  <si>
    <t>Machop harjoittelee nostamalla Graveleria kuin se olisi levytanko. Jotkut Machop-harrastajat matkustavat ympäri maailmaa pyrkiessään hallitsemaan kaikenlaisia ​​kamppailulajeja.</t>
  </si>
  <si>
    <t>RHYDON has a horn that serves as a drill. It is used for destroying rocks and boulders. This POKéMON occasionally rams into streams of magma, but the armor-like hide prevents it from feeling the heat.</t>
  </si>
  <si>
    <t>Its horn, which rotates like a drill, destroys tall buildings with one strike. It stands on its hind legs, and its brain is well developed.</t>
  </si>
  <si>
    <t>Se rakastaa treenaamista. Katsellessaan lihaksiaan, jotka turpoavat päivä päivältä, se omistautuu yhä enemmän harjoittelulleen.</t>
  </si>
  <si>
    <t>It begins walking on its hind legs after evolution. It can punch holes through boulders with its horn.</t>
  </si>
  <si>
    <t>Yli-inhimillisillä voimillaan se pystyy heittämään sata ihmistä samanaikaisesti. Sen voima tulee Gravelerin nostamisesta joka päivä.</t>
  </si>
  <si>
    <t>Protected by an armor-like hide, it is capable of living in molten lava of 3,600 degrees Fahrenheit.</t>
  </si>
  <si>
    <t>Kun tämä Pokémon on saanut tarpeeksi itseluottamusta ja lihaksia ystäviensä kanssa harjoitellessaan, se haastaa Makuhitan taisteluun.</t>
  </si>
  <si>
    <t>Its brain developed after it stood up on its hind legs. Its drill horn bores tunnels through solid rock.</t>
  </si>
  <si>
    <t>https://pokeapi.co/api/v2/pokemon-species/60/</t>
  </si>
  <si>
    <t>Se pitää erittäin ravitsevasta ruoasta, koska sen vaistot ajavat sitä rakentamaan lihaksia tehokkaasti.</t>
  </si>
  <si>
    <t>Standing on its hind legs freed its forelegs and made it smarter. It is very forgetful, however.</t>
  </si>
  <si>
    <t>Its brain developed when it began walking on hind legs. Its thick hide protects it even in magma.</t>
  </si>
  <si>
    <t>Rhydon’s horn can crush even uncut diamonds. One sweeping blow of its tail can topple a building. This Pokémon’s hide is extremely tough. Even direct cannon hits don’t leave a scratch.</t>
  </si>
  <si>
    <t>Rhydon has a horn that serves as a drill. It is used for destroying rocks and boulders. This Pokémon occasionally rams into streams of magma, but the armor-like hide prevents it from feeling the heat.</t>
  </si>
  <si>
    <t>Its brain developed when it began walking on its hind legs. Its armor-like hide even repels molten lava.</t>
  </si>
  <si>
    <t>Rapidly rotates its horn to bore through bedrock. It swaggers around volcanic regions, protected from the lava's heat by its tough, armorlike hide.</t>
  </si>
  <si>
    <t>Vaikka se on lapsen kokoinen, sillä on tarpeeksi voimaa heittää helposti vankkarakenteisen aikuisen. Pyrkiessään tulemaan yhä vahvemmaksi, Machop harjoittelee kantamalla Graveleria harteillaan.</t>
  </si>
  <si>
    <t>A rare and elusive POKéMON that is said to bring happiness to those who manage to get it.</t>
  </si>
  <si>
    <t>Machoke</t>
  </si>
  <si>
    <t>Sen lihaksikas ruumis on niin voimakas, että sen on käytettävä energiansäästövyötä voidakseen säädellä liikkeitään.</t>
  </si>
  <si>
    <t>A gentle and kind hearted POKéMON that shares its nutritious eggs if it sees an injured POKéMON.</t>
  </si>
  <si>
    <t>It walks carefully to prevent its egg from breaking. However, it is extremely fast at running away.</t>
  </si>
  <si>
    <t>Vyötäröllä oleva vyö pidättelee sen energiaa. Ilman sitä tämä POKéMON olisi pysäyttämätön.</t>
  </si>
  <si>
    <t>Few in number and difficult to cap ture, it is said to bring happiness to the trainer who catches it.</t>
  </si>
  <si>
    <t>People try to catch it for its extremely nutritious eggs, but it rarely can be found.</t>
  </si>
  <si>
    <t>Se toimii aina täydellä tehollaan, mutta tämä erittäin kestävä ja lujatekoinen POKéMON ei koskaan väsy.</t>
  </si>
  <si>
    <t>CHANSEY lays nutritionally excellent eggs on an everyday basis. The eggs are so delicious, they are easily and eagerly devoured by even those people who have lost their appetite.</t>
  </si>
  <si>
    <t>Sen vartaloa peittävät lihakset ovat täynnä voimaa. Jopa paikallaan ollessaan se huokuu hämmästyttävää voiman tunnetta.</t>
  </si>
  <si>
    <t>CHANSEY lay nutritionally excellent eggs every day. The eggs are so delicious, they are eagerly devoured by even those people who have lost their appetite.</t>
  </si>
  <si>
    <t>Tämä kova POKéMON pysyy aina taistelukentällä. Sen lihakset paksuuntuvat jokaisen taistelun jälkeen.</t>
  </si>
  <si>
    <t>It lays several eggs a day. The eggs are apparently rich in nutrients and extremely delicious.</t>
  </si>
  <si>
    <t>A rare and elusive POKéMON that is said to bring happiness to those who manage to catch one.</t>
  </si>
  <si>
    <t>MACHOKEN läpikotaisin treenatut lihakset ovat teräksen kovia. Tällä POKéMONilla on niin paljon voimaa, että se voi helposti pitää sumopainijan ilmassa yhdellä sormella.</t>
  </si>
  <si>
    <t>It is said to deliver happiness. Being compassionate, it shares its eggs with injured people.</t>
  </si>
  <si>
    <t>MACHOKE tekee kehonrakennustöitä joka päivä, vaikka se auttaakin ihmisiä fyysisesti vaativassa työssä. Vapaapäivinään tämä POKéMON suuntaa pelloille ja vuorille kuntoilemaan ja harjoittelemaan.</t>
  </si>
  <si>
    <t>It lays several eggs a day and won’t share them with those who have evil in their hearts.</t>
  </si>
  <si>
    <t>MACHOKE käyttää vyötä pitääkseen ylivoimaisen voimansa kurissa. Koska se on niin vaarallista, kukaan ei ole koskaan ottanut vyötä pois.</t>
  </si>
  <si>
    <t>A kindly Pokémon that lays highly nutritious eggs and shares them with injured Pokémon or people.</t>
  </si>
  <si>
    <t>Being few in number and difficult to capture, it is said to bring happiness to the Trainer who catches it.</t>
  </si>
  <si>
    <t>Sen mahtava ruumis ei koskaan väsy. Se auttaa ihmisiä esimerkiksi raskaiden tavaroiden siirtämisessä.</t>
  </si>
  <si>
    <t>Chansey lays nutritionally excellent eggs on an everyday basis. The eggs are so delicious, they are easily and eagerly devoured by even those people who have lost their appetite.</t>
  </si>
  <si>
    <t>The eggs laid by Chansey are rich in nutrients and a favorite food of many Pokémon.</t>
  </si>
  <si>
    <t>Sen lihaksikas ruumis on niin voimakas, että sen on käytettävä voimansäästövyötä voidakseen säädellä liikkeitään.</t>
  </si>
  <si>
    <t>Not only are these Pokémon fast runners, they’re also few in number, so anyone who finds one must be lucky indeed.</t>
  </si>
  <si>
    <t>MACHOKEN rajaton voima on erittäin vaarallinen, joten se käyttää vyötä, joka tukahduttaa sen energian.</t>
  </si>
  <si>
    <t>It seems that other Pokémon’s efforts to take its delicious, nutritious egg away from it caused Chansey to get faster at fleeing.</t>
  </si>
  <si>
    <t>Because the eggs on their bellies have been overharvested by people in the past, the Chansey population remains very small.</t>
  </si>
  <si>
    <t>Se voi nostaa kippiauton yhdellä kädellä. Tämän voiman avulla se auttaa ihmisiä raskaissa töissä.</t>
  </si>
  <si>
    <t>A gentle and kindhearted Pokémon that shares its nutritious eggs if it sees an injured Pokémon.</t>
  </si>
  <si>
    <t>The egg Chansey carries is not only delicious but also packed with nutrition. It’s used as a high-class cooking ingredient.</t>
  </si>
  <si>
    <t>Se kantaa mielellään raskaita tavaroita karaistuakseen. Se tekee mielellään kovaa työtä ihmisten puolesta.</t>
  </si>
  <si>
    <t>This species was once very slow. To protect their eggs from other creatures, these Pokémon became able to flee quickly.</t>
  </si>
  <si>
    <t>This purehearted Pokémon shares its eggs with the injured.</t>
  </si>
  <si>
    <t>Se toimii aina täydellä tehollaan, mutta tämä erittäin kova ja kestävä Pokémon ei koskaan väsy.</t>
  </si>
  <si>
    <t>The whole body is swathed with wide vines that are similar to sea weed. Its vines shake as it walks.</t>
  </si>
  <si>
    <t>Its identity is obscured by masses of thick, blue vines. The vines are said to never stop growing.</t>
  </si>
  <si>
    <t>Sen vartaloa peittävät lihakset pursuavat voimaa. Jopa paikallaan ollessaan se huokuu hämmästyttävää voiman tunnetta.</t>
  </si>
  <si>
    <t>The vines that cloak its entire body are always jiggling. They effectively un nerve its foes.</t>
  </si>
  <si>
    <t>https://pokeapi.co/api/v2/pokemon-species/61/</t>
  </si>
  <si>
    <t>It tangles any moving thing with its vines. Their subtle shaking is ticklish if you get ensnared.</t>
  </si>
  <si>
    <t>During battle, it constantly moves the vines that cover its body in order to annoy its opponent.</t>
  </si>
  <si>
    <t>TANGELA’s vines snap off easily if they are grabbed. This happens without pain, allowing it to make a quick getaway. The lost vines are replaced by newly grown vines the very next day.</t>
  </si>
  <si>
    <t>Its vines snap off easily and painlessly if they are grabbed, allowing it to make a quick getaway. The lost vines are replaced by new growth the very next day.</t>
  </si>
  <si>
    <t>Blue plant vines cloak the POKéMON’s identity in a tangled mass. It entangles anything that gets close.</t>
  </si>
  <si>
    <t>The whole body is swathed with wide vines that are similar to seaweed. The vines sway as it walks.</t>
  </si>
  <si>
    <t>It is shrouded by blue vines. No one has seen the face hidden behind this growth of vines.</t>
  </si>
  <si>
    <t>The blue vines shrouding its body are covered in a growth of fine hair. It is known to be ticklish.</t>
  </si>
  <si>
    <t>The vines that cloak its entire body are always jiggling. They effectively unnerve its foes.</t>
  </si>
  <si>
    <t>Many writhing vines cover it, so its true identity remains unknown. The blue vines grow its whole life long.</t>
  </si>
  <si>
    <t>Tangela’s vines snap off easily if they are grabbed. This happens without pain, allowing it to make a quick getaway. The lost vines are replaced by newly grown vines the very next day.</t>
  </si>
  <si>
    <t>Machoken läpikotaisin kiinteytetyt lihakset ovat teräksen kovia. Tällä Pokémonilla on niin paljon voimaa, että se voi helposti pitää sumopainijan ilmassa yhdellä sormella.</t>
  </si>
  <si>
    <t>Its identity is obscured by masses of thick blue vines. The vines are said to never stop growing.</t>
  </si>
  <si>
    <t>Hidden beneath a tangle of vines that grows nonstop even if the vines are torn off, this Pokémon’s true appearance remains a mystery.</t>
  </si>
  <si>
    <t>Machoke tekee kehonrakennustöitä joka päivä, vaikka se auttaakin ihmisiä fyysisesti vaativassa työssä. Vapaapäivinään tämä Pokémon suuntaa pelloille ja vuorille treenaamaan ja liikkumaan.</t>
  </si>
  <si>
    <t>The vines of a Tangela have a distinct scent. In some parts of Galar, Tangela vines are used as herbs.</t>
  </si>
  <si>
    <t>It is cloaked entirely in blue vines, preventing any glimpse of its true identity. The vines impart a refreshing sensation when chewed—they're useful as a spice.</t>
  </si>
  <si>
    <t>Jatkuvien harjoittelujensa tuloksena se on kehittänyt valtavan voiman. Se käyttää tätä voimaa auttaakseen ihmisiä heidän työssään.</t>
  </si>
  <si>
    <t>The infant rarely ventures out of its mother's protective pouch until it is 3 years old.</t>
  </si>
  <si>
    <t>Raises its young in its belly pouch. Won't run from any fight to keep its young protected.</t>
  </si>
  <si>
    <t>Se auttaa mielellään raskaassa työssä, koska se tietää työnsä olevan hyvää harjoitusta sen lihaksille.</t>
  </si>
  <si>
    <t>If it is safe, the young gets out of the belly pouch to play. The adult keeps a close eye on the youngster.</t>
  </si>
  <si>
    <t>Kohdatessaan todella mahtavan vihollisen, tämä Pokémon poistaa voimansäästövyön vyötäröltään ja vapauttaa täyden voimansa.</t>
  </si>
  <si>
    <t>Suosittu veistosaihe, sen uskomattoman hyvin kehittyneet lihakset ovat valloittaneet monien taiteilijoiden mielikuvituksen.</t>
  </si>
  <si>
    <t>To protect its young, it will never give up during battle, no matter how badly wounded it is.</t>
  </si>
  <si>
    <t>Vyötärönsä ympärillä oleva vyö pidättelee sen energiaa. Ilman sitä tämä Pokémon olisi pysäyttämätön.</t>
  </si>
  <si>
    <t>To avoid crushing the baby it carries in its pouch, it always sleeps standing up.</t>
  </si>
  <si>
    <t>If you come across a young KANGASKHAN playing by itself, you must never disturb it or attempt to catch it. The baby POKéMON’s parent is sure to be in the area, and it will become violently enraged at you.</t>
  </si>
  <si>
    <t>If you come across a young KANGASKHAN playing by itself, never try to catch it. The baby’s parent is sure to be in the area, and it will become violently enraged.</t>
  </si>
  <si>
    <t>The female raises its offspring in a pouch on its belly. It is skilled at attacking using COMET PUNCH.</t>
  </si>
  <si>
    <t>The infant rarely ventures out of its mother’s protective pouch until it is three years old.</t>
  </si>
  <si>
    <t>It raises its offspring in its belly pouch. It lets the baby out to play only when it feels safe.</t>
  </si>
  <si>
    <t>If you come across a young Kangaskhan playing by itself, you must never disturb it or attempt to catch it. The baby Pokémon’s parent is sure to be in the area, and it will become violently enraged at you.</t>
  </si>
  <si>
    <t>Vankkarakenteinen ja rajattoman kestävä olento. Rakastaa harjoittelua yli kaiken ja avustaa vapaaehtoisesti esimerkiksi rakennustöissä ja maanraivauksessa.</t>
  </si>
  <si>
    <t>Kangaskhan’s maternal love is so deep that it will brave death to protect its offspring.</t>
  </si>
  <si>
    <t>Machamp</t>
  </si>
  <si>
    <t>Se käyttää raskaita lihaksiaan ja lyö voimakkaita iskuja, jotka voivat lähettää uhrin horisontin taakse.</t>
  </si>
  <si>
    <t>The child in its pouch leaves home after roughly three years. That is the only time the mother is heard to cry wildly.</t>
  </si>
  <si>
    <t>https://pokeapi.co/api/v2/pokemon-species/62/</t>
  </si>
  <si>
    <t>Kangaskhan protects its child by keeping it in its pouch. It has zero forgiveness for those who harm its child and will beat them down.</t>
  </si>
  <si>
    <t>Yksikin käsi voi siirtää vuoria. Käyttämällä kaikkia neljää kättä tämä POKéMON ampuu mahtavia iskuja.</t>
  </si>
  <si>
    <t>You shouldn’t get close to the child when it’s playing outside its mother’s pouch. Its mother is always nearby watching over it.</t>
  </si>
  <si>
    <t>Se heilauttaa nopeasti neljää kättään ja horjuttaa vastustajiaan lakkaamattomilla lyönneillä ja hakkauksilla kaikista kulmista.</t>
  </si>
  <si>
    <t>Raises its young in its belly pouch. Won’t run from any fight to keep its young protected.</t>
  </si>
  <si>
    <t>Se käyttää neljää voimakasta käsivarttaan kiinnittääkseen vihollisensa raajat ja heittää sitten uhrin horisontin taakse.</t>
  </si>
  <si>
    <t>Although it’s carrying its baby in a pouch on its belly, Kangaskhan is swift on its feet. It intimidates its opponents with quick jabs.</t>
  </si>
  <si>
    <t>Neljällä käsivarrella, jotka reagoivat nopeammin kuin se pystyy ajattelemaan, se voi suorittaa useita iskuja kerralla.</t>
  </si>
  <si>
    <t>There are records of a lost human child being raised by a childless Kangaskhan.</t>
  </si>
  <si>
    <t>MACHAMPilla on kyky heittää mikä tahansa syrjään. Huolellisuutta ja näppäryyttä vaativa työ kuitenkin sotkee ​​sen kädet. Tämä POKéMON pyrkii toimimaan ennen kuin ehtii ajatellakaan.</t>
  </si>
  <si>
    <t>Known to shoot down flying bugs with precision blasts of ink from the surface of the water.</t>
  </si>
  <si>
    <t>If it senses any danger, it will vigorously spray water or a special type of ink from its mouth.</t>
  </si>
  <si>
    <t>MACHAMP tunnetaan POKéMONina, joka hallitsee kaikki taistelulajit. Jos se tarttuu viholliseen neljällä kädellään, taistelu on käytännössä ohi. Onneton vihollinen lennähtää kauas horisontin taakse.</t>
  </si>
  <si>
    <t>If attacked by a larger enemy, it quickly swims to safety by adeptly controlling its dorsal fin.</t>
  </si>
  <si>
    <t>Sen neljän käden lyöntejä ja iskuja vastaan ​​on mahdotonta puolustautua. Sen taistelutahto leimahtaa, kun se kohtaa kovan vastustajan.</t>
  </si>
  <si>
    <t>Its big, developed fins move rapidly, allowing it to swim backward while still facing forward.</t>
  </si>
  <si>
    <t>Sen neljä kestävästi kehitettyä kättä voivat laukaista 1 000 iskun sarjan vain kahdessa sekunnissa.</t>
  </si>
  <si>
    <t>When they're in a safe location, they can be seen playfully tangling their tails together.</t>
  </si>
  <si>
    <t>Sen supervoimien iskujen sanotaan lentävän uhrin horisontin taakse.</t>
  </si>
  <si>
    <t>HORSEA eats small insects and moss off of rocks. If the ocean current turns fast, this POKéMON anchors itself by wrapping its tail around rocks or coral to prevent being washed away.</t>
  </si>
  <si>
    <t>If HORSEA senses danger, it will reflexively spray a dense black ink from its mouth and try to escape. This POKéMON swims by cleverly flapping the fins on its back.</t>
  </si>
  <si>
    <t>Se lyö neljällä kädellään häikäisevää vauhtia. Se voi laukaista 1 000 iskua kahdessa sekunnissa.</t>
  </si>
  <si>
    <t>By cleverly flicking the fins on its back side to side, it moves in any direction while facing forward. It spits ink to escape if it senses danger.</t>
  </si>
  <si>
    <t>Se voi lyödä junan lentämään iskulla. Se on kuitenkin surkea sormillaan tehtävissä herkissä töissä.</t>
  </si>
  <si>
    <t>It maintains balance using its tail, which is wound up like a coil. It may spray ink from its mouth.</t>
  </si>
  <si>
    <t>It makes its nest in the shade of corals. If it senses danger, it spits murky ink and flees.</t>
  </si>
  <si>
    <t>Sen neljä lihaksikasta käsivartta iskee vihollisia voimakkailla iskuilla ja silpomisilla sokaisevalla nopeudella.</t>
  </si>
  <si>
    <t>If attacked by a larger enemy, it quickly swims to safety by adeptly controlling its well-developed dorsal fin.</t>
  </si>
  <si>
    <t>Horsea eats small insects and moss off of rocks. If the ocean current turns fast, this Pokémon anchors itself by wrapping its tail around rocks or coral to prevent being washed away.</t>
  </si>
  <si>
    <t>If Horsea senses danger, it will reflexively spray a dense black ink from its mouth and try to escape. This Pokémon swims by cleverly flapping the fin on its back.</t>
  </si>
  <si>
    <t>Horsea makes its home in oceans with gentle currents. If this Pokémon is under attack, it spits out pitch-black ink and escapes.</t>
  </si>
  <si>
    <t>They swim with dance-like motions and cause whirlpools to form. Horsea compete to see which of them can generate the biggest whirlpool.</t>
  </si>
  <si>
    <t>Capable of swim ming backwards by rapidly flapping its wing-like pectoral fins and stout tail.</t>
  </si>
  <si>
    <t>Touching the back fin causes numb ness. It hooks its tail to coral to stay in place while sleeping.</t>
  </si>
  <si>
    <t>An examination of its cells revealed the presence of a gene not found in HORSEA. It became a hot topic.</t>
  </si>
  <si>
    <t>Its fin-tips leak poison. Its fins and bones are highly valued as ingredients in herbal medicine.</t>
  </si>
  <si>
    <t>The male raises the young. If it is approached, it uses its toxic spikes to fend off the intruder.</t>
  </si>
  <si>
    <t>SEADRA sleeps after wriggling itself between the branches of coral. Those trying to harvest coral are occasionally stung by this POKéMON’s poison barbs if they fail to notice it.</t>
  </si>
  <si>
    <t>SEADRA generates whirlpools by spinning its body. The whirlpools are strong enough to swallow even fishing boats. This POKéMON weakens prey with these currents, then swallows it whole.</t>
  </si>
  <si>
    <t>The poisonous barbs all over its body are highly valued as ingredients for making traditional herbal medicine. It shows no mercy to anything approaching its nest.</t>
  </si>
  <si>
    <t>Its body bristles with sharp spikes. Carelessly trying to touch it could cause fainting from the spikes.</t>
  </si>
  <si>
    <t>Machampilla on kyky heittää mitä tahansa syrjään. Kuitenkin, jos sen yrittää tehdä huolellisuutta ja näppäryyttä vaativaa työtä, sen kädet sotkeutuvat. Tämä Pokémon pyrkii hyppäämään toimintaan ennen kuin ajatteleekaan.</t>
  </si>
  <si>
    <t>It is capable of swimming backwards by rapidly flapping its winglike pectoral fins and stout tail.</t>
  </si>
  <si>
    <t>Machamp tunnetaan Pokémonina, joka hallitsee kaikki taistelulajit. Jos se tarttuu viholliseen neljällä kädellään, taistelu on käytännössä ohi. Onneton vihollinen lennähtää kauas horisontin taakse.</t>
  </si>
  <si>
    <t>Its spines provide protection. Its fins and bones are prized as traditional medicine ingredients.</t>
  </si>
  <si>
    <t>Se laukaisee megatonnin tason lyöntejä, jotka lennättävät vastustajat horisontin taakse.</t>
  </si>
  <si>
    <t>Its spines provide protection. Its fins and bones are prized as traditional-medicine ingredients.</t>
  </si>
  <si>
    <t>Se pystyy nostamaan raskaita kuormia erittäin helposti. Se voi jopa kantaa dumppereita. Mutta sen kömpelöt sormet estävät sitä tekemästä tarkkaa työtä.</t>
  </si>
  <si>
    <t>Seadra sleeps after wriggling itself between the branches of coral. Those trying to harvest coral are occasionally stung by this Pokémon’s poison barbs if they fail to notice it.</t>
  </si>
  <si>
    <t>Se tarttuu vastustajiinsa neljällä kädellään ja vääntää heidät monimutkaiseen otteeseen. Ihmiset kutsuvat sitä "Machamp-erikoiseksi".</t>
  </si>
  <si>
    <t>Seadra generates whirlpools by spinning its body. The whirlpools are strong enough to swallow even fishing boats. This Pokémon weakens prey with these currents, then swallows it whole.</t>
  </si>
  <si>
    <t>Neljän käden ansiosta se voi hyökätä ja puolustaa samanaikaisesti. Sen sanotaan hallitsevan kaikki maailman kamppailulajit.</t>
  </si>
  <si>
    <t>Touching the back fin causes numbness. It hooks its tail to coral to stay in place while sleeping.</t>
  </si>
  <si>
    <t>Yksikin käsi voi siirtää vuoria. Käyttämällä kaikkia neljää kättä tämä Pokémon ampuu mahtavia iskuja.</t>
  </si>
  <si>
    <t>It’s the males that raise the offspring. While Seadra are raising young, the spines on their backs secrete thicker and stronger poison.</t>
  </si>
  <si>
    <t>Seadra’s mouth is slender, but its suction power is strong. In an instant, Seadra can suck in food that’s larger than the opening of its mouth.</t>
  </si>
  <si>
    <t>Its tail fin billows like an elegant ballroom dress, giving it the nickname of the Water Queen.</t>
  </si>
  <si>
    <t>Lähitaistelussa sen neljä kättä antavat sille hyökkäys- ja puolustusylivoiman. Vain silmänräpäyksessä tämä urhea Pokémon voi murskata vihollisensa yli 1 000 nyrkkiiskulla.</t>
  </si>
  <si>
    <t>When it is time for them to lay eggs, they can be seen swimming up rivers and falls in large groups.</t>
  </si>
  <si>
    <t>Bellsprout</t>
  </si>
  <si>
    <t>Lihansyöjä-POKéMON, joka pyydystää ja syö hyönteisiä. Se käyttää juurijalkojaan imeäkseen tarvitsemaansa kosteutta.</t>
  </si>
  <si>
    <t>Its dorsal, pecto ral and tail fins wave elegantly in water. That is why it is known as the water dancer.</t>
  </si>
  <si>
    <t>A strong swimmer, it is capable of swimming nonstop up fast streams at a steady speed of five knots.</t>
  </si>
  <si>
    <t>Viihtyy kuumissa ja kosteissa paikoissa. Se houkuttelee pieniä hyönteisiä köynnöksiinsä ja syö ne.</t>
  </si>
  <si>
    <t>During spawning season, they swim gracefully in the water, searching for their perfect mate.</t>
  </si>
  <si>
    <t>Vaikka sen ruumis on äärimmäisen laiha, se on sokean nopea saaliinsa nappaamisessa.</t>
  </si>
  <si>
    <t>GOLDEEN is a very beautiful POKéMON with fins that billow elegantly in water. However, don’t let your guard down around this POKéMON - it could ram you powerfully with its horn.</t>
  </si>
  <si>
    <t>Se istuttaa jalkansa syvälle maan alle täydentääkseen vesivarastojaan. Se ei voi paeta vihollistaan ​​niin kauan kuin se on juurtunut.</t>
  </si>
  <si>
    <t>https://pokeapi.co/api/v2/pokemon-species/63/</t>
  </si>
  <si>
    <t>GOLDEEN loves swimming wild and free in rivers and ponds. If one of these POKéMON is placed in an aquarium, it will shatter even the thickest glass with one ram of its horn and make its escape.</t>
  </si>
  <si>
    <t>In the springtime, schools of GOLDEEN can be seen swimming up falls and rivers. It metes out staggering damage with its single horn.</t>
  </si>
  <si>
    <t>Jos se huomaa jotain liikkuvaa, se heittää heti köynnöksensä sitä kohti.</t>
  </si>
  <si>
    <t>Its dorsal and pectoral fins are strongly developed like muscles. It can swim at a speed of five knots.</t>
  </si>
  <si>
    <t>Its tail fin billows like an elegant ballroom dress, giving it the nickname of “The Water Queen.”</t>
  </si>
  <si>
    <t>BELLSPROUTin ohut ja joustava vartalo antaa sen taipua ja keinua välttääkseen hyökkäyksen, olipa se kuinka voimakas tahansa. Suustaan ​​tämä POKéMON sylkee syövyttävää nestettä, joka sulattaa jopa raudan.</t>
  </si>
  <si>
    <t>It swims elegantly by flittering its tail fin as if it were a dress. It has the look of a queen.</t>
  </si>
  <si>
    <t>It swims at a steady 5 knots. If it senses danger, it will strike back with its sharp horn.</t>
  </si>
  <si>
    <t>Though it appears very elegant when swimming with fins unfurled, it can jab powerfully with its horn.</t>
  </si>
  <si>
    <t>Its dorsal, pectoral and tail fins wave elegantly in water. That is why it is known as the water dancer.</t>
  </si>
  <si>
    <t>BELLSPROUTin ohut ja joustava ruumis antaa sen taipua ja keinua välttääkseen hyökkäyksen, olipa se kuinka voimakas tahansa. Sen suusta vuotaa nestettä, joka sulattaa jopa raudan.</t>
  </si>
  <si>
    <t>A strong swimmer, it is capable of swimming nonstop up fast streams at a steady speed of five knots per hour.</t>
  </si>
  <si>
    <t>Sen nuppu näyttää ihmiskasvoilta. Nupun vuoksi sen huhutaan olevan eräänlainen legendaarinen mandrakekasvi.</t>
  </si>
  <si>
    <t>Its dorsal, pectoral, and tail fins wave elegantly in water. That is why it is known as the water dancer.</t>
  </si>
  <si>
    <t>Goldeen is a very beautiful Pokémon with fins that billow elegantly in water. However, don’t let your guard down around this Pokémon—it could ram you powerfully with its horn.</t>
  </si>
  <si>
    <t>Lihansyöjä-POKéMON, joka pyydystää ja syö hyönteisiä. Se näyttää käyttävän juurijalkojaan kosteuden täydentämiseen.</t>
  </si>
  <si>
    <t>Goldeen loves swimming wild and free in rivers and ponds. If one of these Pokémon is placed in an aquarium, it will shatter even the thickest glass with one ram of its horn and make its escape.</t>
  </si>
  <si>
    <t>Se viihtyy kuumissa ja kosteissa ympäristöissä. Se on nopea nappaamaan saaliin köynnöksillään.</t>
  </si>
  <si>
    <t>When the weather grows warm, they form groups and swim upriver. This sight serves as a poetic reminder that spring has arrived.</t>
  </si>
  <si>
    <t>Spellbound by the length of its horn and the beauty of its fins, many strange Trainers raise Goldeen and nothing but Goldeen.</t>
  </si>
  <si>
    <t>Although known for their splendid tail fins, Goldeen apparently compete among themselves to see whose horn is thickest and sharpest.</t>
  </si>
  <si>
    <t>The way it swims along fluttering its dress-like fins has earned it the name “princess of the water.”</t>
  </si>
  <si>
    <t>Se istuttaa jalkansa syvälle maan alle täydentääkseen vettä. Se ei voi paeta vihollistaan ​​niin kauan kuin se on juurtunut.</t>
  </si>
  <si>
    <t>Its dorsal, pectoral, and tail fins wave elegantly in water. That is why it is known as the Water Dancer.</t>
  </si>
  <si>
    <t>In the autumn spawning season, they can be seen swimming power fully up rivers and creeks.</t>
  </si>
  <si>
    <t>It is the male's job to make a nest by carving out boulders in a stream using the horn on its head.</t>
  </si>
  <si>
    <t>During spawning season, SEAKING gather from all over, coloring the rivers a brilliant red.</t>
  </si>
  <si>
    <t>Using its horn, it bores holes in riverbed boulders, making nests to prevent its eggs from washing away.</t>
  </si>
  <si>
    <t>When autumn comes, the males patrol the area around their nests in order to protect their offspring.</t>
  </si>
  <si>
    <t>In the autumn, SEAKING males can be seen performing courtship dances in riverbeds to woo females. During this season, this POKéMON’s body coloration is at its most beautiful.</t>
  </si>
  <si>
    <t>SEAKING is very protective of its eggs. The male and female will take turns patrolling around their nest and eggs. The guarding of eggs by these POKéMON goes on for over a month.</t>
  </si>
  <si>
    <t>It punches holes in boulders on stream beds. This is a clever innovation that prevents its eggs from being attacked or washed away by the current.</t>
  </si>
  <si>
    <t>The horn on its head is sharp like a drill. It bores a hole in a boulder to make its nest.</t>
  </si>
  <si>
    <t>In the autumn spawning season, they can be seen swimming powerfully up rivers and creeks.</t>
  </si>
  <si>
    <t>Bellsproutin ohut ja joustava vartalo antaa sen taipua ja keinua välttääkseen hyökkäyksen, olipa se kuinka voimakas tahansa. Suustaan ​​tämä Pokémon sylkee syövyttävää nestettä, joka sulattaa jopa raudan.</t>
  </si>
  <si>
    <t>It makes its nest by hollowing out boulders in streams with its horn. It defends its eggs with its life.</t>
  </si>
  <si>
    <t>To protect its family, it will fight with its drill-sharp horn. It lives in hollowed rocks in streams.</t>
  </si>
  <si>
    <t>In autumn, its body becomes more fatty in preparing to propose to a mate. It takes on beautiful colors.</t>
  </si>
  <si>
    <t>Viihtyy kuumissa ja kosteissa paikoissa. Se houkuttelee pieniä ötököitä köynnöksiinsä ja syö ne.</t>
  </si>
  <si>
    <t>During spawning season, SEAKING gather from all over, causing rivers to appear a brilliant red.</t>
  </si>
  <si>
    <t>In the autumn, Seaking males can be seen performing courtship dances in riverbeds to woo females. During this season, this Pokémon’s body coloration is at its most beautiful.</t>
  </si>
  <si>
    <t>Weepinbell</t>
  </si>
  <si>
    <t>Kärpässieppari-Pokémon</t>
  </si>
  <si>
    <t>Seaking is very protective of its eggs. The male and female will take turns patrolling around their nest and eggs. The guarding of eggs by these Pokémon goes on for over a month.</t>
  </si>
  <si>
    <t>Se sylkee MYRKKYRUUDEtta lamauttaakseen vihollisen ja viimeistelee sen sitten HAPPO-suihkeella.</t>
  </si>
  <si>
    <t>When the weather grows cold, its whole body flushes a deep red. This sight serves as a poetic reminder that autumn has arrived.</t>
  </si>
  <si>
    <t>Trainers who are crazy for Seaking are divided into horn enthusiasts and fin enthusiasts. The two groups do not get along well.</t>
  </si>
  <si>
    <t>Nälkäisenä se nielee kaiken liikkuvan. Sen onneton saalis sulaa sisältä vahvojen happojen vaikutuksesta.</t>
  </si>
  <si>
    <t>Its horn spins like a drill to steadily hollow out rocks—even harder ones. The coloration of the male is more vivid.</t>
  </si>
  <si>
    <t>To attract females, males dance on the river’s floor. The females gather around the male that dances most gracefully.</t>
  </si>
  <si>
    <t>Vaikka se on täynnä HAPOA, se ei sula, koska se tihkuu myös neutraloivaa nestettä.</t>
  </si>
  <si>
    <t>It is the male’s job to make a nest by carving out boulders in a stream using the horn on its head.</t>
  </si>
  <si>
    <t>An enigmatic POKéMON that can effortlessly regenerate any appendage it loses in battle.</t>
  </si>
  <si>
    <t>Jos sen saalis on suutaan suurempi, se viipaloi uhrin terävillä lehdillä ja syö sitten jokaisen palan.</t>
  </si>
  <si>
    <t>As long as the center section is unharmed, it can grow back fully even if it is chopped to bits.</t>
  </si>
  <si>
    <t>Kun se on nälkäinen, se heiluttelee teräviä lehtiään ja viipaloi lähellä olevia epäonnisia esineitä ravinnokseen.</t>
  </si>
  <si>
    <t>At night, the cen ter of its body slowly flickers with the same rhythm as a human heartbeat.</t>
  </si>
  <si>
    <t>Even if its body is torn, it can regenerate as long as the glowing central core re mains intact.</t>
  </si>
  <si>
    <t>Itkukellolla on iso koukku takapäässään. Yöllä POKéMON tarttuu puun oksaan ja nukahtaa. Jos se liikkuu unissaan, se saattaa herätä ja huomata olevansa maassa.</t>
  </si>
  <si>
    <t>When the stars twinkle at night, it floats up from the sea floor, and its body's center core flickers.</t>
  </si>
  <si>
    <t>STARYU’s center section has an organ called the core that shines bright red. If you go to a beach toward the end of summer, the glowing cores of these POKéMON look like the stars in the sky.</t>
  </si>
  <si>
    <t>Yöllä kyykkykello roikkuu koukukuorisella takamuksellaan puun oksassa ja nukkuu. Jos se liikkuu unissaan, se saattaa herätä ja huomata olevansa maassa.</t>
  </si>
  <si>
    <t>STARYU apparently communicates with the stars in the night sky by flashing the red core at the center of its body. If parts of its body are torn, this POKéMON simply regenerates the missing pieces and limbs.</t>
  </si>
  <si>
    <t>It gathers with others in the night and makes its red core glow on and off with the twinkling stars. It can regenerate limbs if they are severed from its body.</t>
  </si>
  <si>
    <t>Lehtimäiset osat toimivat viillereinä vihollisten viiltämistä varten. Se sylkee nestettä, joka liuottaa kaiken.</t>
  </si>
  <si>
    <t>It appears in large numbers by seashores. At night, its central core flashes with a red light.</t>
  </si>
  <si>
    <t>If its body is torn, it can grow back if the red core remains. The core flashes at midnight.</t>
  </si>
  <si>
    <t>At night, the middle of its body slowly flickers with the same rhythm as a human heartbeat.</t>
  </si>
  <si>
    <t>Kasvilta näyttävä Pokémon. Se pyydystää varomattomia saaliitaan kastuttamalla ne myrkyllisellä jauheella.</t>
  </si>
  <si>
    <t>Even if its body is torn, it can regenerate as long as the glowing central core remains intact.</t>
  </si>
  <si>
    <t>https://pokeapi.co/api/v2/pokemon-species/64/</t>
  </si>
  <si>
    <t>As long as its red core remains, it can regenerate its body instantly, even if it’s torn apart.</t>
  </si>
  <si>
    <t>Staryu’s center section has an organ called the core that shines bright red. If you go to a beach toward the end of summer, the glowing cores of these Pokémon look like the stars in the sky.</t>
  </si>
  <si>
    <t>Staryu apparently communicates with the stars in the night sky by flashing the red core at the center of its body. If parts of its body are torn, this Pokémon simply regenerates the missing pieces and limbs.</t>
  </si>
  <si>
    <t>Vaikka se on täynnä happoa, se ei sula, koska se tihkuu myös suojaavaa nestettä.</t>
  </si>
  <si>
    <t>Large numbers of these Pokémon make their home at the seaside. At night, a strange red glow radiates from the center of their bodies.</t>
  </si>
  <si>
    <t>This Pokémon gets nibbled on by Lumineon and others. Thanks to its red core, it regenerates fast, so it’s unconcerned by their snack attacks.</t>
  </si>
  <si>
    <t>In many places, there are folktales of stardust falling into the ocean and becoming Staryu.</t>
  </si>
  <si>
    <t>No number of injuries can bother Staryu. Its amazing regenerative powers return it to its previous state in half a day!</t>
  </si>
  <si>
    <t>As long as the center section is unharmed, this Pokémon can grow back fully even if it is chopped to bits.</t>
  </si>
  <si>
    <t>If you visit a beach at the end of summer, you’ll be able to see groups of Staryu lighting up in a steady rhythm.</t>
  </si>
  <si>
    <t>Fish Pokémon nibble at it, but Staryu isn’t bothered. Its body regenerates quickly, even if part of it is completely torn off.</t>
  </si>
  <si>
    <t>Its central core glows with the seven colors of the rainbow. Some people value the core as a gem.</t>
  </si>
  <si>
    <t>The center section is named the core. People think it is communicating when it glows in 7 colors.</t>
  </si>
  <si>
    <t>The center section of its body is called the core. It glows in a dif ferent color each time it is seen.</t>
  </si>
  <si>
    <t>Regardless of the environment it lives in, its body grows to form a symmetrical geo metric shape.</t>
  </si>
  <si>
    <t>It is said that it uses the seven- colored core of its body to send electric waves into outer space.</t>
  </si>
  <si>
    <t>Se sylkee ulos myrkkyjauhetta lamauttaakseen vihollisen ja viimeistelee sen sitten happosuihkeella.</t>
  </si>
  <si>
    <t>STARMIE’s center section - the core - glows brightly in seven colors. Because of its luminous nature, this POKéMON has been given the nickname “the gem of the sea.”</t>
  </si>
  <si>
    <t>Weepinbellillä on iso koukku takapäässään. Yöllä Pokémon tarttuu puun oksaan ja nukahtaa. Jos se liikkuu unissaan, se saattaa herätä ja huomata olevansa maassa.</t>
  </si>
  <si>
    <t>STARMIE swims through water by spinning its star-shaped body as if it were a propeller on a ship. The core at the center of this POKéMON’s body glows in seven colors.</t>
  </si>
  <si>
    <t>People in ancient times imagined that STARMIE were transformed from the reflections of stars that twinkled on gentle waves at night.</t>
  </si>
  <si>
    <t>Nälkäisenä se nielee kaiken liikkuvan. Sen onneton saalis liukenee vahvoihin happoihin.</t>
  </si>
  <si>
    <t>This POKéMON has a geometric body. Because of its body, the locals suspect that it is an alien creature.</t>
  </si>
  <si>
    <t>At the center of its body is a red core, which sends mysterious radio signals into the night sky.</t>
  </si>
  <si>
    <t>Victreebel</t>
  </si>
  <si>
    <t>Sanotaan elävän valtavissa yhdyskunnissa syvällä viidakoissa, vaikka kukaan ei ole koskaan palannut sieltä.</t>
  </si>
  <si>
    <t>Houkuttelee saalista makealla hunajan tuoksulla. Kokonaisena nieltynä saalis sulaa päivässä luineen kaikkineen.</t>
  </si>
  <si>
    <t>The middle section of its body is called the core. It glows in a different color each time it is seen.</t>
  </si>
  <si>
    <t>HAPPO, joka on liuottanut monia saaliita, muuttuu makeammaksi, mikä tekee siitä entistä tehokkaamman saaliin houkuttelemisessa.</t>
  </si>
  <si>
    <t>Tämä kauhistuttava kasvi-POKéMON houkuttelee saalistaan ​​aromaattisella hunajalla ja sulattaa sen sitten suussaan.</t>
  </si>
  <si>
    <t>Kun tämä POKéMON joutuu sen kehoon, jopa kovin esine sulaa tyhjyyteen.</t>
  </si>
  <si>
    <t>Regardless of the environment it lives in, its body grows to form a symmetrical geometric shape.</t>
  </si>
  <si>
    <t>VICTREEBELillä on pitkä köynnös, joka työntyy sen päästä. Köynnöstä heilutetaan ja heilutellaan kuin eläintä saaliin houkuttelemiseksi. Kun pahaa-aavistamaton saalis lähestyy, tämä POKéMON nielee sen kokonaisena.</t>
  </si>
  <si>
    <t>Its core shines in many colors and sends radio signals into space to communicate with something.</t>
  </si>
  <si>
    <t>Starmie’s center section—the core—glows brightly in seven colors. Because of its luminous nature, this Pokémon has been given the nickname “the gem of the sea.”</t>
  </si>
  <si>
    <t>Pitkää, päästä lähtevää köynnöstä heilutellaan kuin elävää olentoa saaliin houkuttelemiseksi. Kun pahaa-aavistamaton uhri lähestyy, se niellään kokonaisena.</t>
  </si>
  <si>
    <t>Starmie swims through water by spinning its star-shaped body as if it were a propeller on a ship. The core at the center of this Pokémon’s body glows in seven colors.</t>
  </si>
  <si>
    <t>Houkuttelee saalista suuhunsa hunajan kaltaisella tuoksulla. Avuton saalis sulatetaan liukenevalla nesteellä.</t>
  </si>
  <si>
    <t>Its shining core is thought to receive and transmit enigmatic signals. It has been known to cause headaches in those who approach it.</t>
  </si>
  <si>
    <t>Its unusual body shape, reminiscent of abstract art, led local people to spread rumors that this Pokémon may be an invader from outer space.</t>
  </si>
  <si>
    <t>Its sparkling core is called “the gem of the sea.” This core can be made into high-priced accessories that are traded in secret.</t>
  </si>
  <si>
    <t>Se kerää suuhunsa hunajaisen tuoksuista nestettä, joka on itse asiassa happoa, joka liuottaa mitä tahansa.</t>
  </si>
  <si>
    <t>It rotates its geometrically shaped body to swim through the water. It always seems to be sending out mysterious radio waves.</t>
  </si>
  <si>
    <t>The center section is named the core. People think it is communicating when it glows in seven colors.</t>
  </si>
  <si>
    <t>https://pokeapi.co/api/v2/pokemon-species/65/</t>
  </si>
  <si>
    <t>This Pokémon has an organ known as its core. The organ glows in seven colors when Starmie is unleashing its potent psychic powers.</t>
  </si>
  <si>
    <t>Happo, joka on liuottanut monia saaliseläimiä, muuttuu makeammaksi, mikä tekee siitä entistä tehokkaamman saaliin houkuttelemisessa.</t>
  </si>
  <si>
    <t>Starmie swims by spinning its body at high speed. As this Pokémon cruises through the ocean, it absorbs tiny plankton.</t>
  </si>
  <si>
    <t>Tämä kauhistuttava kasvi-Pokémon houkuttelee saalista aromaattisella hunajallaan ja sulattaa ne sitten suussaan.</t>
  </si>
  <si>
    <t>If interrupted while it is miming, it will slap around the offender with its broad hands.</t>
  </si>
  <si>
    <t>Always practices its pantomime act. It makes enemies believe something exists that really doesn't.</t>
  </si>
  <si>
    <t>A skilled mime from birth, it gains the ability to create invisi ble objects as it matures.</t>
  </si>
  <si>
    <t>Its fingertips emit a peculiar force field that hardens air to create an actual wall.</t>
  </si>
  <si>
    <t>It uses the mysterious power it has in its fingers to solidify air into an invisible wall.</t>
  </si>
  <si>
    <t>MR. MIME is a master of pantomime. Its gestures and motions convince watchers that something unseeable actually exists. Once it is believed, it will exist as if it were a real thing.</t>
  </si>
  <si>
    <t>A MR. MIME is a master of pantomime. It can convince others that something unseeable actually exists. Once believed, the imaginary object does become real.</t>
  </si>
  <si>
    <t>Kun tämä Pokémon on nielnyt sen kehoonsa, jopa kovin esine sulaa tyhjyyteen.</t>
  </si>
  <si>
    <t>It is adept at conning people. It is said to be able to create walls out of thin air by miming.</t>
  </si>
  <si>
    <t>Victreebelillä on pitkä köynnös, joka työntyy sen päästä. Köynnöstä heilutetaan ja heilutellaan kuin eläintä saaliin houkuttelemiseksi. Kun pahaa-aavistamaton saalis lähestyy, tämä Pokémon nielee sen kokonaisena.</t>
  </si>
  <si>
    <t>If interrupted while it is miming, it will suddenly DOUBLESLAP the offender with its broad hands.</t>
  </si>
  <si>
    <t>It is a pantomime expert that can create invisible but solid walls using miming gestures.</t>
  </si>
  <si>
    <t>Emanations from its fingertips solidify the air into invisible walls that repel even harsh attacks.</t>
  </si>
  <si>
    <t>Houkuttelee saalista makealla hunajan tuoksulla. Kokonaisena nieltynä saalis liukenee päivässä luineen kaikkineen.</t>
  </si>
  <si>
    <t>It shapes an invisible wall in midair by minutely vibrating its fingertips to stop molecules in the air.</t>
  </si>
  <si>
    <t>A skilled mime from birth, it gains the ability to create invisible objects as it matures.</t>
  </si>
  <si>
    <t>Mr. Mime is a master of pantomime. Its gestures and motions convince watchers that something unseeable actually exists. Once the watchers are convinced, the unseeable thing exists as if it were real.</t>
  </si>
  <si>
    <t>Tentacool</t>
  </si>
  <si>
    <t>Meduusa-Pokémon</t>
  </si>
  <si>
    <t>Ajelehtii matalissa merissä. Vahingossa niitä koukkuun tarttuneet kalastajat saavat usein rangaistuksena niiden pistävästä haposta.</t>
  </si>
  <si>
    <t>Its pantomime skills are wonderful. You may become enraptured while watching it, but next thing you know, Mr. Mime has made a real wall.</t>
  </si>
  <si>
    <t>It creates invisible walls with its pantomiming. If you don’t act impressed, it will attack you with a double slap!</t>
  </si>
  <si>
    <t>Always practicing its pantomime act. It makes enemies believe something exists that really doesn’t.</t>
  </si>
  <si>
    <t>Sitä voi joskus löytää kokonaan kuivana ja kurttuisena rannalta. Heitä se takaisin mereen elvyttääksesi sitä.</t>
  </si>
  <si>
    <t>The broadness of its hands may be no coincidence—many scientists believe its palms became enlarged specifically for pantomiming.</t>
  </si>
  <si>
    <t>It’s known for its top-notch pantomime skills. It protects itself from all sorts of attacks by emitting auras from its fingers to create walls.</t>
  </si>
  <si>
    <t>The behavior of this clown-like Pokémon reminds one of pantomime. It creates invisible walls using a force emitted from its fingertips.</t>
  </si>
  <si>
    <t>With ninja-like agility and speed, it can create the illusion that there is more than one.</t>
  </si>
  <si>
    <t>Leaps out of tall grass and slices prey with its scythes. The move ment looks like that of a ninja.</t>
  </si>
  <si>
    <t>It slashes through grass with its sharp scythes, moving too fast for the human eye to track.</t>
  </si>
  <si>
    <t>When it moves, it leaves only a blur. If it hides in grass, its pro tective colors make it invisible.</t>
  </si>
  <si>
    <t>It's very proud of its speed. It moves so fast that its opponent does not even know what knocked it down.</t>
  </si>
  <si>
    <t>SCYTHER is blindingly fast. Its blazing speed enhances the effectiveness of the twin scythes on its forearms. This POKéMON’s scythes are so effective, they can slice through thick logs in one wicked stroke.</t>
  </si>
  <si>
    <t>Its blindingly fast speed adds to the sharpness of its twin forearm scythes. The scythes can slice through thick logs in one wicked stroke.</t>
  </si>
  <si>
    <t>It tears and shreds prey with its wickedly sharp scythes. It very rarely spreads its wings to fly.</t>
  </si>
  <si>
    <t>With ninja-like agility and speed, it can create the illusion that there is more than one of itself.</t>
  </si>
  <si>
    <t>Kun vuorovesi laskee, rannalle voi huuhtoutua kuivuneita TENTACOOL-jäämiä.</t>
  </si>
  <si>
    <t>It is nearly impossible to parry its attacking scythes. Its movements are like a ninja’s.</t>
  </si>
  <si>
    <t>The sharp scythes on its forearms become increasingly sharp by cutting through hard objects.</t>
  </si>
  <si>
    <t>Se ajelehtii päämäärättömästi aalloissa. Vedessä sitä on hyvin vaikea nähdä, eikä sitä ehkä huomaa ennen kuin se pistää.</t>
  </si>
  <si>
    <t>When it moves, it leaves only a blur. If it hides in grass, its protective coloration makes it invisible.</t>
  </si>
  <si>
    <t>Scyther is blindingly fast. Its blazing speed enhances the effectiveness of the twin scythes on its forearms. This Pokémon’s scythes are so effective, they can slice through thick logs in one wicked stroke.</t>
  </si>
  <si>
    <t>Kun se kelluu aalloilla, se käyttää myrkyllisiä tuntosarviaan pistääkseen kaiken, mihin se koskee.</t>
  </si>
  <si>
    <t>It confuses its prey with its quick, ninja-like movements. Then, in an instant, it cleaves them with its scythes.</t>
  </si>
  <si>
    <t>TENTACOOLin ruumis koostuu pääosin vedestä. Jos se nostetaan merestä, se kuivuu kuin pergamentti. Jos tämä POKéMON sattuu kuivumaan, laita se takaisin mereen.</t>
  </si>
  <si>
    <t>TENTACOOL imee auringonvaloa ja taittaa sen kehonsa sisällä olevan veden avulla muuntaakseen sen sädeenergiaksi. Tämä POKéMON ampuu säteitä kristallinkaltaisista silmistään.</t>
  </si>
  <si>
    <t>While young, they live together deep in the mountains, training themselves in how to fight with their scythes and move at high speeds.</t>
  </si>
  <si>
    <t>Sen ruumis koostuu lähes kokonaan vedestä. Se kietoo vihollisensa ansaan kahdella pitkällä lonkerollaan ja sitten iskee myrkkypistimillä niiden kärjissä.</t>
  </si>
  <si>
    <t>Its two sharp scythes are more than just weapons. It uses them with dexterity to dress its prey before eating.</t>
  </si>
  <si>
    <t>Sen silmät ovat läpinäkyvät kuin kristallit. Niistä se ampuu salaperäisiä valonsäteitä.</t>
  </si>
  <si>
    <t>Ajelehtii matalissa vesissä. Vahingossa koukkuun tarttuneet kalastajat saavat usein rangaistuksen piikkiensä kautta.</t>
  </si>
  <si>
    <t>Some call it a ninja. Its movements— imperceptibly quick—are sufficient to cleave the air in two. It’s very popular in Alola.</t>
  </si>
  <si>
    <t>Sen ruumis koostuu käytännössä vedestä. Se ampuu outoja säteitä kristallinkaltaisista silmistään.</t>
  </si>
  <si>
    <t>Leaps out of tall grass and slices prey with its scythes. The movement looks like that of a ninja.</t>
  </si>
  <si>
    <t>As Scyther fights more and more battles, its scythes become sharper and sharper. With a single slice, Scyther can fell a massive tree.</t>
  </si>
  <si>
    <t>If you come across an area in a forest where a lot of the trees have been cut down, what you’ve found is a Scyther’s territory.</t>
  </si>
  <si>
    <t>Se ajelehtii merivirroissa. Lukemattomat kalastajat loukkaantuvat sen myrkyllisistä pistäjistä.</t>
  </si>
  <si>
    <t>The large, wickedly sharp scythes on its forearms are truly fearsome weapons. Prey's attempts to flee are unfailingly thwarted by this Pokémon's nimble motions.</t>
  </si>
  <si>
    <t>It seductively wiggles its hips as it walks. It can cause people to dance in unison with it.</t>
  </si>
  <si>
    <t>Koska sen ruumis koostuu lähes kokonaan vedestä, se kutistuu, jos se ajautuu rannalle.</t>
  </si>
  <si>
    <t>Appears to move to a rhythm of its own, as if it were dancing. It wiggles its hips as it walks.</t>
  </si>
  <si>
    <t>It rocks its body rhythmically. It appears to alter the rhythm depend ing on how it is feeling.</t>
  </si>
  <si>
    <t>It speaks a lan guage similar to that of humans. However, it seems to use dancing to communicate.</t>
  </si>
  <si>
    <t>Se ajelehtii päämäärättömästi aalloissa. Sitä on hyvin vaikea nähdä vedessä, eikä sitä ehkä huomaa ennen kuin se pistää.</t>
  </si>
  <si>
    <t>It has several different cry pat terns, each of which seems to have its own meaning.</t>
  </si>
  <si>
    <t>JYNX walks rhythmically, swaying and shaking its hips as if it were dancing. Its motions are so bouncingly alluring, people seeing it are compelled to shake their hips without giving any thought to what they are doing.</t>
  </si>
  <si>
    <t>A JYNX sashays rhythmically as if it were dancing. Its motions are so bouncingly alluring, people seeing it are compelled to shake their hips without noticing.</t>
  </si>
  <si>
    <t>It speaks using a language that sounds human. Research is under way to determine what is being said.</t>
  </si>
  <si>
    <t>Its cries sound like human speech. However, it is impossible to tell what it is trying to say.</t>
  </si>
  <si>
    <t>It rocks its body rhythmically. It appears to alter the rhythm depending on how it is feeling.</t>
  </si>
  <si>
    <t>It speaks a language similar to that of humans. However, it seems to use dancing to communicate.</t>
  </si>
  <si>
    <t>It wiggles its hips as it walks. It can cause people to dance in unison with it.</t>
  </si>
  <si>
    <t>Jynx walks rhythmically, swaying and shaking its hips as if it were dancing. Its motions are so bouncingly alluring, people seeing it are compelled to shake their hips without giving any thought to what they are doing.</t>
  </si>
  <si>
    <t>https://pokeapi.co/api/v2/pokemon-species/66/</t>
  </si>
  <si>
    <t>It sways its hips to a rhythm all its own. The precise movements of Jynx living in Alola are truly wonderful.</t>
  </si>
  <si>
    <t>Tentacoolin ruumis koostuu pääosin vedestä. Jos se nostetaan merestä, se kuivuu kuin pergamentti. Jos tämä Pokémon sattuu kuivumaan, laita se takaisin mereen.</t>
  </si>
  <si>
    <t>Its strange cries sound like human language. There are some musicians who compose songs for Jynx to sing.</t>
  </si>
  <si>
    <t>In certain parts of Galar, Jynx was once feared and worshiped as the Queen of Ice.</t>
  </si>
  <si>
    <t>Tentacool imee auringonvaloa ja taittaa sen käyttämällä kehonsa sisällä olevaa vettä muuntaakseen sen sädeenergiaksi. Tämä Pokémon ampuu säteitä pienestä pyöreästä elimestä silmiensä yläpuolella.</t>
  </si>
  <si>
    <t>The Jynx of Galar often have beautiful and delicate voices. Some of these Pokémon have even gathered a fan base.</t>
  </si>
  <si>
    <t>Niitä voi löytää kuihtuneina rannoilta, mutta ne ovat usein vielä elossa. Vedessä liotettuina ne heräävät henkiin.</t>
  </si>
  <si>
    <t>Normally found near power plants, they can wander away and cause major blackouts in cities.</t>
  </si>
  <si>
    <t>Se ajelehtii matalissa merissä, kuten rantojen lähellä. Jos sen myrkylliset lonkerot purevat tai pistävät sinua, kiirehdi sairaalaan.</t>
  </si>
  <si>
    <t>If a major power outage occurs, it is certain that this POKéMON has eaten electricity at a power plant.</t>
  </si>
  <si>
    <t>Electricity runs across the surface of its body. In darkness, its en tire body glows a whitish-blue.</t>
  </si>
  <si>
    <t>Its body constant ly discharges electricity. Get ting close to it will make your hair stand on end.</t>
  </si>
  <si>
    <t>Se ajelehtii meren halki saalista etsien. Sen myrkylliset lonkerot katkeavat joskus, mutta jonkin ajan kuluttua ne kasvavat takaisin.</t>
  </si>
  <si>
    <t>When two ELECTABUZZ touch, they control the electric currents to communicate their feelings.</t>
  </si>
  <si>
    <t>Sen keho on 99 % vettä. Loput 1 % sisältää elimen, joka tuottaa sen myrkkyä.</t>
  </si>
  <si>
    <t>When a storm arrives, gangs of this POKéMON compete with each other to scale heights that are likely to be stricken by lightning bolts. Some towns use ELECTABUZZ in place of lightning rods.</t>
  </si>
  <si>
    <t>When a storm approaches, it competes with others to scale heights that are likely to be stricken by lightning. Some towns use ELECTABUZZ in place of lightning rods.</t>
  </si>
  <si>
    <t>It loves to feed on strong electricity. It occasionally appears around large power plants and so on.</t>
  </si>
  <si>
    <t>Half of all blackouts occur when this Pokémon appears at power plants and eats electricity.</t>
  </si>
  <si>
    <t>It windmills its arms to slightly boost its punches. Foes have been known to escape in the meantime.</t>
  </si>
  <si>
    <t>Tentacool ei ole erityisen hyvä uimari. Se ajelehtii matalien merien pinnalla etsiessään saalista.</t>
  </si>
  <si>
    <t>Electricity runs across the surface of its body. In darkness, its entire body glows a whitish-blue.</t>
  </si>
  <si>
    <t>Tämä Pokémon on tehty pääosin vedestä. Tentacoolin havaitseminen meressä on erittäin vaikeaa, koska sen ruumis sulautuu mereen.</t>
  </si>
  <si>
    <t>Its body constantly discharges electricity. Getting close to it will make your hair stand on end.</t>
  </si>
  <si>
    <t>Ne lähettävät säteitä lasinhohtoisista, magentanvärisistä palloista, jotka muistuttavat niiden pään päällä olevia silmiä, ja ne ajelehtivat matalissa merissä. Laskuveden aikaan niitä voi joskus löytää kuivuneilta rannoilta.</t>
  </si>
  <si>
    <t>Tentacruel</t>
  </si>
  <si>
    <t>Research is progressing on storing lightning in Electabuzz so this energy can be used at any time.</t>
  </si>
  <si>
    <t>Lonkerot pidetään yleensä lyhyinä. Metsästyksessä ne ojennetaan saaliin vangitsemiseksi ja liikkumattomana pitämiseksi.</t>
  </si>
  <si>
    <t>Electricity runs across the surface of its body. In darkness, its entire body glows a whitish blue.</t>
  </si>
  <si>
    <t>When a storm arrives, gangs of this Pokémon compete with each other to scale heights that are likely to be stricken by lightning bolts. Some towns use Electabuzz in place of lightning rods.</t>
  </si>
  <si>
    <t>Half of all sudden blackouts are caused by Electabuzz gathering at electric power plants and gobbling up electricity.</t>
  </si>
  <si>
    <t>Sen 80 lonkeroa voivat venytellä ja supistua vapaasti. Ne kietoutuvat saaliinsa ympärille ja heikentävät sitä myrkyllä.</t>
  </si>
  <si>
    <t>Electricity leaks from it in amounts far greater than the amount of electricity it eats.</t>
  </si>
  <si>
    <t>Sen 80 lonkeroa imevät vettä ja venyvät lähes loputtomasti RAIKOTTAAkseen saalistaan ​​ja vihollisiaan.</t>
  </si>
  <si>
    <t>Electricity permeates its body. It swings its arms round and round to charge up electricity before unleashing a punch.</t>
  </si>
  <si>
    <t>Taistelussa se ojentaa kaikki 80 lonkeroaan ja vangitsee vastustajansa myrkylliseen verkkoon.</t>
  </si>
  <si>
    <t>While it’s often blamed for power outages, the truth is the cause of outages is more often an error on the part of the electric company.</t>
  </si>
  <si>
    <t>Kun sen 80 tuntoelimet imevät vettä, se venyy ja muuttuu verkon kaltaiseksi, johon se voi kietoa saaliinsa.</t>
  </si>
  <si>
    <t>If a major power outage occurs, it is certain that this Pokémon has eaten electricity at a power plant.</t>
  </si>
  <si>
    <t>TENTACRUELilla on päässään suuret punaiset pallot. Pallot hehkuvat ennen kuin ne iskevät lähiympäristöön voimakkaalla ultraäänisäteilyllä. Tämän POKéMONin purkaus luo karkeita aaltoja sen ympärille.</t>
  </si>
  <si>
    <t>Many power plants keep Ground-type Pokémon around as a defense against Electabuzz that come seeking electricity.</t>
  </si>
  <si>
    <t>With the coming of a storm, many of these Pokémon will gather under tall trees and sit there waiting for lightning to strike.</t>
  </si>
  <si>
    <t>TENTACRUELilla on lonkeroita, joita voi vapaasti pidentää ja lyhentää mielin määrin. Se kietoo saaliinsa lonkeroillaan ja heikentää sitä annostelemalla siihen ankaraa myrkkyä. Se voi pyydystää jopa 80 saalista samanaikaisesti.</t>
  </si>
  <si>
    <t>Feeds on electrical energy. During sudden showers beneath looming thunderclouds, one can observe Electabuzz scaling tall trees, where the Pokémon will then wait for lightning to strike.</t>
  </si>
  <si>
    <t>Se elää monimutkaisissa kalliomuodostelmissa merenpohjassa ja pyydystää saalista 80 lonkerollaan. Sen punaiset pallot hohtavat, kun se kiihtyy tai levoton.</t>
  </si>
  <si>
    <t>Its body always burns with an orange glow that enables it to hide perfectly among flames.</t>
  </si>
  <si>
    <t>Born in an active volcano. Its body is always cloaked in flames, so it looks like a big ball of fire.</t>
  </si>
  <si>
    <t>Sillä on 80 lonkeroa, jotka liikkuvat vapaasti. Ne voivat pistää aiheuttaen myrkytyksen ja terävää, viiltävää kipua.</t>
  </si>
  <si>
    <t>It dislikes cold places, so it blows scorching flames to make the environment suit able for itself.</t>
  </si>
  <si>
    <t>The fiery surface of its body gives off a wavering, rippling glare that is similar to the sun.</t>
  </si>
  <si>
    <t>80 lonkerolla uhrien houkuttelemiseksi se estää pakenemisen, kunnes saalis on myrkyn heikentämä.</t>
  </si>
  <si>
    <t>It moves more frequently in hot areas. It can heal itself by dipping its wound into lava.</t>
  </si>
  <si>
    <t>Se varoittaa muita vaarasta väläyttämällä päänsä punaisia ​​palloja räikeästi.</t>
  </si>
  <si>
    <t>In battle, MAGMAR blows out intensely hot flames from all over its body to intimidate its opponent. This POKéMON’s fiery bursts create heat waves that ignite grass and trees in its surroundings.</t>
  </si>
  <si>
    <t>In battle, it blows out intense flames from all over its body to intimidate its foe. These fiery bursts create heat waves that ignite grass and trees in the area.</t>
  </si>
  <si>
    <t>Found near the mouth of a volcano. This fire-breather’s body temperature is nearly 2,200 degrees Fahrenheit.</t>
  </si>
  <si>
    <t>Its body always burns with an orange glow that enables it to hide perfectly amidst flames.</t>
  </si>
  <si>
    <t>Born in the spout of a volcano, its body is covered by flames that shimmer like the sun.</t>
  </si>
  <si>
    <t>Se ojentaa 80 lonkeroaan muodostaen ympäröivän myrkyllisen verkon, josta on vaikea päästä eroon.</t>
  </si>
  <si>
    <t>When it breathes deeply, heat waves form around its body, making it hard to see clearly.</t>
  </si>
  <si>
    <t>It dislikes cold places, so it blows scorching flames to make the environment suitable for itself.</t>
  </si>
  <si>
    <t>The scorching fire exhaled by Magmar forms heat waves around its body, making it hard to see the Pokémon clearly.</t>
  </si>
  <si>
    <t>Sen 80 lonkeroa imevät vettä ja venyvät lähes loputtomasti kuristaakseen saalistaan ​​ja vihollisiaan.</t>
  </si>
  <si>
    <t>In battle, Magmar blows out intensely hot flames from all over its body to intimidate its opponent. This Pokémon’s fiery bursts create heat waves that ignite grass and trees in its surroundings.</t>
  </si>
  <si>
    <t>When it’s tired, it leaps into the mouth of a volcano and soaks its body in magma to ease its weariness. Its body burns at 2,192 degrees F.</t>
  </si>
  <si>
    <t>When angered, it spouts brilliant fire from all over its body. It doesn’t calm down until its opponent has burned to ash.</t>
  </si>
  <si>
    <t>https://pokeapi.co/api/v2/pokemon-species/67/</t>
  </si>
  <si>
    <t>Its entire body is burning. When it breathes, the temperature rises. When it sneezes, flames shoot out!</t>
  </si>
  <si>
    <t>The hotter the place, the better they feel. Magmar in Alola are said to be hardier than those in other areas.</t>
  </si>
  <si>
    <t>Magmar dispatches its prey with fire. But it regrets this habit once it realizes that it has burned its intended prey to a charred crisp.</t>
  </si>
  <si>
    <t>Tentacruelilla on päässään suuret punaiset pallot. Pallot hehkuvat ennen kuin ne iskevät lähiympäristöön voimakkaalla ultraäänisäteilyllä. Tämän Pokémonin purkaus luo karkeita aaltoja sen ympärille.</t>
  </si>
  <si>
    <t>These Pokémon’s bodies are constantly burning. Magmar are feared as one of the causes behind fires.</t>
  </si>
  <si>
    <t>Legend has it that this Pokémon was born from the crater of a volcano. When wounded, it bathes in lava to heal its body, much as one would soak in a hot spring.</t>
  </si>
  <si>
    <t>Tentacruelilla on lonkeroita, joita voi vapaasti pidentää ja lyhentää mielin määrin. Se kietoo saaliinsa lonkeroillaan ja heikentää sitä annostelemalla siihen ankaraa myrkkyä. Se voi pyydystää jopa 80 saalista samanaikaisesti.</t>
  </si>
  <si>
    <t>If it fails to crush the victim in its pincers, it will swing it around and toss it hard.</t>
  </si>
  <si>
    <t>Normaalisti sillä on 80 myrkyllistä lonkeroa. Mitä kauemmin se on ollut elossa, sitä vähemmän lonkeroita sillä on.</t>
  </si>
  <si>
    <t>Grips its prey in its pincers and squeezes hard! It can't move if it's cold, so it lives in warm places.</t>
  </si>
  <si>
    <t>Vaikka nämä Pokémonit ovat harvinaisia, suuren epidemian aikana kaikki kala-Pokémonit katoavat ympäröivästä merestä.</t>
  </si>
  <si>
    <t>With its horns, it digs burrows to sleep in at night. In the morning, damp soil clings to its body.</t>
  </si>
  <si>
    <t>Swings its long antlers wildly to attack. During cold periods, it hides deep in forests.</t>
  </si>
  <si>
    <t>Se ampuu punaisista palloistaan ​​ultraääniaaltoja heikentääkseen saalistaan ​​ja sitten käärii ne 80 lonkeroonsa.</t>
  </si>
  <si>
    <t>When the tempera ture drops at night, it sleeps on treetops or among roots where it is well hidden.</t>
  </si>
  <si>
    <t>Se kommunikoi muiden kaltaistensa kanssa valaisemalla päässään olevat punaiset pallot. Kun pallot vilkkuvat, se on varoitusmerkki.</t>
  </si>
  <si>
    <t>PINSIR is astoundingly strong. It can grip a foe weighing twice its weight in its horns and easily lift it. This POKéMON’s movements turn sluggish in cold places.</t>
  </si>
  <si>
    <t>PINSIR has a pair of massive horns Protruding from the surface of these horns are thorns. These thorns are driven deeply into the foe’s body when the pincer closes, making it tough for the foe to escape.</t>
  </si>
  <si>
    <t>Their pincers are strong enough to shatter thick logs. Because they dislike cold, PINSIR burrow and sleep under the ground on chilly nights.</t>
  </si>
  <si>
    <t>Its two long pincer horns are powerful. Once they grip an enemy, they won’t release until the foe is torn.</t>
  </si>
  <si>
    <t>Kun Tentacruelin pään punaiset pallot hehkuvat kirkkaasti, ole varovainen. Pokémon on ampumassa ultraääniaaltojen purkauksen.</t>
  </si>
  <si>
    <t>If it fails to crush the foe in its pincers, it will swing around and toss the opponent.</t>
  </si>
  <si>
    <t>Sen 80 lonkeroa voivat venyä ja kutistua vapaasti. Tentacruel kietoo saaliinsa levittäytyneiden lonkeroiden verkkoon ja antaa saaliilleen myrkyllisiä pistoja.</t>
  </si>
  <si>
    <t>It grips prey with its pincers until the prey is torn in half. What it can’t tear, it tosses far.</t>
  </si>
  <si>
    <t>Siinä on 80 lonkeroa, joista jokaisessa on myrkyllinen kärki. Nämä lonkerot ovat myös pidennettävissä, ja ne pitenevät, kun Tentacruel yrittää napata saalista. Ole varovainen.</t>
  </si>
  <si>
    <t>With its pincer horns, it digs burrows to sleep in at night. In the morning, damp soil clings to its body.</t>
  </si>
  <si>
    <t>Geodude</t>
  </si>
  <si>
    <t>Rock-Pokémon</t>
  </si>
  <si>
    <t>It swings its long pincer horns wildly to attack. During cold periods, it hides deep in forests.</t>
  </si>
  <si>
    <t>Niitä tavataan pelloilla ja vuorilla. Ihmiset usein erehtyvät luulemaan niitä lohkareiksi ja astuvat tai kompastuvat niihin.</t>
  </si>
  <si>
    <t>It grips prey with its powerful pincers and will not let go until the prey is torn in half.</t>
  </si>
  <si>
    <t>Pinsir is astoundingly strong. It can grip a foe weighing twice its weight in its horns and easily lift it. This Pokémon’s movements turn sluggish in cold places.</t>
  </si>
  <si>
    <t>Pinsir has a pair of massive horns. Protruding from the surface of these horns are thorns. These thorns are driven deeply into the foe’s body when the pincer closes, making it tough for the foe to escape.</t>
  </si>
  <si>
    <t>Yleisesti löytyy vuoristopolkujen läheltä jne. Jos astut sellaisen päälle vahingossa, se suuttuu.</t>
  </si>
  <si>
    <t>It grips its prey in its pincers and splits them apart. Although it is a powerful Pokémon, it can’t deal with the cold.</t>
  </si>
  <si>
    <t>Useimmat ihmiset eivät ehkä huomaa, mutta lähempi tarkastelu paljastaa, että GEODUDE-hahmoja on paljon.</t>
  </si>
  <si>
    <t>One solid blow from its horns is enough to split apart a large tree. Its greatest rival in Alola is Vikavolt.</t>
  </si>
  <si>
    <t>Se käyttää käsiään kiivetäkseen tasaisesti jyrkkiä vuoristopolkuja. Se heiluttelee nyrkkejään suuttuessaan.</t>
  </si>
  <si>
    <t>It gets into territorial disputes with Vikavolt. For some reason, it apparently gets along well with Heracross in Alola.</t>
  </si>
  <si>
    <t>Ylpeinä vankoista vartaloistaan ​​he ottavat mittaa toisistaan ​​kilpailussa siitä, kuka on vaikeampi.</t>
  </si>
  <si>
    <t>Mitä pidempään GEODUDE elää, sitä enemmän sen reunat lohkeilevat ja kuluvat pois, mikä tekee siitä pyöreämmän näköisen. Tämän POKéMONin sydän pysyy kuitenkin aina kovana, rosoisena ja rosoisena.</t>
  </si>
  <si>
    <t>Although it’s tough, it can’t handle cold well. When night falls, it buries itself in leafage and sleeps.</t>
  </si>
  <si>
    <t>Kun GEODUDE nukkuu sikeästi, se hautaa itsensä puoliksi maahan. Se ei herää, vaikka retkeilijät astuisivat sen päälle tietämättään. Aamulla tämä POKéMON vieree alamäkeen etsimään ruokaa.</t>
  </si>
  <si>
    <t>Grips its prey in its pincers and squeezes hard! It can’t move if it’s cold out, so it lives in warm places.</t>
  </si>
  <si>
    <t>These Pokémon judge one another based on pincers. Thicker, more impressive pincers make for more popularity with the opposite gender.</t>
  </si>
  <si>
    <t>This Pokémon clamps its pincers down on its prey and then either splits the prey in half or flings it away.</t>
  </si>
  <si>
    <t>Se kiipeää vuoristopolkuja käyttäen vain käsivarsiensa voimaa. Koska ne näyttävät aivan polkuja reunustavilta lohkareilta, retkeilijät saattavat astua niille huomaamattaan.</t>
  </si>
  <si>
    <t>When it targets an enemy, it charges furiously while whipping its body with its long tails.</t>
  </si>
  <si>
    <t>A rowdy POKéMON with a lot of stamina. Once running, it won't stop until it hits something.</t>
  </si>
  <si>
    <t>Pyöreän muotonsa ansiosta se on helppo nostaa. Jotkut ovat käyttäneet niitä lumisotapeliin heitelläkseen toisiaan kohti.</t>
  </si>
  <si>
    <t>They fight each other by locking horns. The herd's protector takes pride in its bat tle-scarred horns.</t>
  </si>
  <si>
    <t>Monet elävät vuoristopoluilla ja pysyvät puoliksi hautautuneina pitäen samalla silmällä kiipeilijöitä.</t>
  </si>
  <si>
    <t>After heightening its will to fight by whipping itself with its three tails, it charges at full speed.</t>
  </si>
  <si>
    <t>These violent POKéMON fight with other mem bers of their herd in order to prove their strength.</t>
  </si>
  <si>
    <t>Sitä on mahdotonta erottaa kivistä. Se iskee muita kiviä vasten kovuuskilpailuissa.</t>
  </si>
  <si>
    <t>This POKéMON is not satisfied unless it is rampaging at all times. If there is no opponent for TAUROS to battle, it will charge at thick trees and knock them down to calm itself.</t>
  </si>
  <si>
    <t>It is not satisfied unless it is rampaging at all times. If there is no opponent for TAUROS to battle, it will charge at thick trees and knock them down to calm itself.</t>
  </si>
  <si>
    <t>Levossa se näyttää aivan kiveltä. Varomaton sen päälle astuminen saa sen heiluttamaan nyrkkejään vihaisesti.</t>
  </si>
  <si>
    <t>https://pokeapi.co/api/v2/pokemon-species/68/</t>
  </si>
  <si>
    <t>When it is about to TACKLE, it whips its body repeatedly with its three long tails.</t>
  </si>
  <si>
    <t>Once it takes aim at its foe, it makes a headlong charge. It is famous for its violent nature.</t>
  </si>
  <si>
    <t>They fight each other by locking horns. The herd’s protector takes pride in its battle-scarred horns.</t>
  </si>
  <si>
    <t>When it is about to tackle, it whips its body repeatedly with its three long tails.</t>
  </si>
  <si>
    <t>This Pokémon is not satisfied unless it is rampaging at all times. If there is no opponent for Tauros to battle, it will charge at thick trees and knock them down to calm itself.</t>
  </si>
  <si>
    <t>Historically, people in areas all over the world have ridden Tauros, but the practice is said to have started in Alola.</t>
  </si>
  <si>
    <t>Although it’s known to be a fierce Pokémon, Tauros in the Alola region are said to possess a measure of calmness.</t>
  </si>
  <si>
    <t>They live in groups. The one with the longest, thickest, and most-scarred horns is the boss of the herd.</t>
  </si>
  <si>
    <t>The climate seems to be related to the reason Tauros in Alola are a little calmer than those in other regions.</t>
  </si>
  <si>
    <t>A rowdy Pokémon with a lot of stamina. Once running, it won’t stop until it hits something.</t>
  </si>
  <si>
    <t>Mitä pidempään Geodude elää, sitä enemmän sen reunat lohkeilevat ja kuluvat pois, mikä tekee siitä pyöreämmän näköisen. Tämän Pokémonin sydän pysyy kuitenkin aina kovana, rosoisena ja karheana.</t>
  </si>
  <si>
    <t>When Tauros begins whipping itself with its tails, it’s a warning that the Pokémon is about to charge with astounding speed.</t>
  </si>
  <si>
    <t>Kun Geodude nukkuu sikeästi, se hautaa itsensä puoliväliin maahan. Se ei herää, vaikka retkeilijät astuisivat sen päälle tietämättään. Aamulla tämä Pokémon vierii alamäkeen etsien ruokaa.</t>
  </si>
  <si>
    <t>The Tauros of the Galar region are volatile in nature, and they won’t allow people to ride on their backs.</t>
  </si>
  <si>
    <t>Sen pyöreä runko tekee siitä helpon nostaa, mutta se on kova ja painava. Niillä on vaarallista leikkiä kuin lumipalloilla.</t>
  </si>
  <si>
    <t>In the distant past, it was somewhat stronger than the horribly weak descendants that exist today.</t>
  </si>
  <si>
    <t>Niitä löytyy runsaasti minkä tahansa tien varrelta. Eräs liikaa vapaa-aikaa omaava oppinut laski kerran niitä sata yhden reitin varrella.</t>
  </si>
  <si>
    <t>Famous for being very unreliable. It can be found swimming in seas, lakes, rivers and shallow puddles.</t>
  </si>
  <si>
    <t>Pitkään eläneiden geodude-käärmeiden kaikki reunat ovat hioutuneet täysin pyöreiksi. Niillä on myös rauhallinen ja hiljainen luonne.</t>
  </si>
  <si>
    <t>An underpowered, pathetic POKéMON. It may jump high on rare occasions, but never more than seven feet.</t>
  </si>
  <si>
    <t>Se käyttää molempia käsiään kiivetäkseen jyrkkiä kallioita. Ihmiset, jotka ovat nähneet sen toiminnassa, ovat alkaneet harrastaa boulderointia.</t>
  </si>
  <si>
    <t>For no reason, it jumps and splashes about, making it easy for predators like PIDGEOTTO to catch it mid-jump.</t>
  </si>
  <si>
    <t>Yleisesti tavattavissa vuoristopolkujen ja vastaavien lähellä. Jos astut sellaisen päälle vahingossa, se suuttuu.</t>
  </si>
  <si>
    <t>This weak and pathetic POKéMON gets easily pushed along rivers when there are strong currents.</t>
  </si>
  <si>
    <t>MAGIKARP is a pathetic excuse for a POKéMON that is only capable of flopping and splashing. This behavior prompted scientists to undertake research into it.</t>
  </si>
  <si>
    <t>MAGIKARP is virtually useless in battle as it can only splash around. As a result, it is considered to be weak. However, it is actually a very hardy POKéMON that can survive in any body of water no matter how polluted it is.</t>
  </si>
  <si>
    <t>Asuu vuoristoalueilla ja kiipeää käsivarsillaan karuja vuoristoteitä pitkin. Voi olla hankala – huolimaton potku saa sen raivostumaan ja jahtaamaan sinua.</t>
  </si>
  <si>
    <t>Graveler</t>
  </si>
  <si>
    <t>Its swimming muscles are weak, so it is easily washed away by currents. In places where water pools, you can see many MAGIKARP deposited there by the flow.</t>
  </si>
  <si>
    <t>Vierii alas rinnettä liikkuakseen. Se vierii minkä tahansa esteen yli hidastamatta tai muuttamatta suuntaansa.</t>
  </si>
  <si>
    <t>It is virtually worthless in terms of both power and speed. It is the most weak and pathetic POKéMON in the world.</t>
  </si>
  <si>
    <t>It is said to be the world’s weakest Pokémon. No one knows why it has managed to survive.</t>
  </si>
  <si>
    <t>It is unable to swim against even slow-moving currents. It always splashes about for some reason.</t>
  </si>
  <si>
    <t>Nähdään usein vierimässä alas vuoristopolkuja. Esteet ovat vain asioita, joiden yli vieritään suoraan, ei väistellä.</t>
  </si>
  <si>
    <t>A MAGIKARP living for many years can leap a mountain using Splash. The move remains useless, though.</t>
  </si>
  <si>
    <t>Vapaana ja välinpitämättömänä luonteena se ei välitä, vaikka palasia irtoaisi sen vieriessä alas vuoria.</t>
  </si>
  <si>
    <t>An underpowered, pathetic Pokémon. It may jump high on rare occasions, but usually not more than seven feet.</t>
  </si>
  <si>
    <t>Hitaana kävelijänä se liikkuu pyörien. Se ei kiinnitä huomiota mihinkään esineeseen, joka sattuu olemaan sen tiellä.</t>
  </si>
  <si>
    <t>A Magikarp living for many years can leap a mountain using Splash. The move remains useless, though.</t>
  </si>
  <si>
    <t>It is virtually worthless in terms of both power and speed. It is the most weak and pathetic Pokémon in the world.</t>
  </si>
  <si>
    <t>Se kulkee pyörien vuoristopolkuja pitkin. Jos se kiihtyy liikaa, se pysähtyy törmäämällä valtaviin kiviin.</t>
  </si>
  <si>
    <t>Magikarp is a pathetic excuse for a Pokémon that is only capable of flopping and splashing. This behavior prompted scientists to undertake research into it.</t>
  </si>
  <si>
    <t>GRAVELER kasvaa syömällä kiviä. Ilmeisesti se syö mieluummin sammaleen peittämiä kiviä. Tämä POKéMON syö tiensä läpi valtavan määrän kiviä päivittäin.</t>
  </si>
  <si>
    <t>Magikarp is virtually useless in battle as it can only splash around. As a result, it is considered to be weak. However, it is actually a very hardy Pokémon that can survive in any body of water no matter how polluted it is.</t>
  </si>
  <si>
    <t>Kivet ovat GRAVELERin lempiruokaa. Tämä POKéMON kiipeää vuorta juurelta huipulle ja herkuttelee samalla kivillä. Huipun saavuttua se vierii takaisin alas.</t>
  </si>
  <si>
    <t>Although weak and helpless, this Pokémon is incredibly fertile. They exist in such multitudes, you’ll soon grow tired of seeing them.</t>
  </si>
  <si>
    <t>Ne laskeutuvat vuorilta syöksymällä alas jyrkkiä rinteitä. Ne ovat niin raakoja, että ne murskaavat tieltään tiehensä estäviä puita ja massiivisia lohkareita jylisevillä taklauksilla.</t>
  </si>
  <si>
    <t>Ole varovainen vaeltaessasi vuoristopoluilla. SORAVELI saattaa vieriä polkua pitkin hidastamatta.</t>
  </si>
  <si>
    <t>Its reckless leaps make it easy pickings for predators. On the bright side, many Pokémon enjoy longer life spans, thanks to Magikarp.</t>
  </si>
  <si>
    <t>In the distant past, they were fairly strong, but they have become gradually weaker over time.</t>
  </si>
  <si>
    <t>SORUALAISET rakentavat kotinsa jyrkille kallioseinämille kaivamalla lukuisia vaakasuoria reikiä.</t>
  </si>
  <si>
    <t>Thanks to their strong hold on life, dirty water doesn’t bother them at all. They live in waters all over the world!</t>
  </si>
  <si>
    <t>Se syöksyy alas rinteitä välittämättä irtoavista ruumiinosistaan. Se syö päivittäin valtavasti kiviä.</t>
  </si>
  <si>
    <t>Famous for being very unreliable. It can be found swimming in seas, lakes, rivers, and shallow puddles.</t>
  </si>
  <si>
    <t>Se liikkuu vuoristopolkuja pitkin. Kun se saa vauhtia, mikään Pokémon ei voi pysäyttää sitä vaikeuksitta.</t>
  </si>
  <si>
    <t>This weak and pathetic Pokémon gets easily pushed along rivers when there are strong currents.</t>
  </si>
  <si>
    <t>A feeble, pitiful imbecile of a Pokémon that is nonetheless very hardy. Unperturbed by turbid water, it can be found living in all sorts of places.</t>
  </si>
  <si>
    <t>Rarely seen in the wild. Huge and vicious, it is capable of destroying entire cities in a rage.</t>
  </si>
  <si>
    <t>Brutally vicious and enormously destructive. Known for totally destroying cities in ancient times.</t>
  </si>
  <si>
    <t>They say that during past wars, GYARADOS would appear and leave blazing ruins in its wake.</t>
  </si>
  <si>
    <t>Once it appears, it goes on a ram page. It remains enraged until it demolishes every thing around it.</t>
  </si>
  <si>
    <t>It appears when ever there is world conflict, burning down any place it travels through.</t>
  </si>
  <si>
    <t>When MAGIKARP evolves into GYARADOS, its brain cells undergo a structural transformation. It is said that this transformation is to blame for this POKéMON’s wildly violent nature.</t>
  </si>
  <si>
    <t>Once GYARADOS goes on a rampage, its ferociously violent blood doesn’t calm until it has burned everything down. There are records of this POKéMON’s rampages lasting a whole month.</t>
  </si>
  <si>
    <t>Graveler kasvaa syömällä kiviä. Ilmeisesti se syö mieluummin sammaleen peittämiä kiviä. Tämä Pokémon syö tiensä läpi valtavan määrän kiviä päivittäin.</t>
  </si>
  <si>
    <t>It is an extremely vicious and violent POKéMON. When humans begin to fight, it will appear and burn everything to the ground with intensely hot flames.</t>
  </si>
  <si>
    <t>Kivet ovat Gravelerin lempiruokaa. Tämä Pokémon kiipeää vuorta juurelta huipulle, herkutellen samalla kivillä. Huipun saavuttua se vierii takaisin alas.</t>
  </si>
  <si>
    <t>It has an extremely aggressive nature. The HYPER BEAM it shoots from its mouth totally incinerates all targets.</t>
  </si>
  <si>
    <t>Sammaleiset kivet ovat sen lempiruokaa. Se voi ahmia tonnin päivässä äänekkäästi rouskuen.</t>
  </si>
  <si>
    <t>Tämä hidasjalkainen Pokémon liikkuu käpertymällä ja pyörimällä kävelemisen sijaan. Riittävän vauhdin avulla sen nopeus voi ylittää 96 km/h.</t>
  </si>
  <si>
    <t>Once it appears, its rage never settles until it has razed the fields and mountains around it.</t>
  </si>
  <si>
    <t>Se kiipeää kallioita ylös kohti vuorenhuippua. Heti saavuttuaan huipun se vierii takaisin alas samaa reittiä kuin tuli.</t>
  </si>
  <si>
    <t>In ancient literature, there is a record of a GYARADOS that razed a village when violence flared.</t>
  </si>
  <si>
    <t>Se kulkee vierimällä alas kallioita. Jos se putoaa jokeen, se räjähtää viimeisellä henkäyksellään.</t>
  </si>
  <si>
    <t>Once it begins to rampage, a GYARADOS will burn everything down, even in a harsh storm.</t>
  </si>
  <si>
    <t>They say that during past strife, GYARADOS would appear and leave blazing ruins in its wake.</t>
  </si>
  <si>
    <t>Once it appears, it goes on a rampage. It remains enraged until it demolishes everything around it.</t>
  </si>
  <si>
    <t>Once it begins to rampage, a Gyarados will burn everything down, even in a harsh storm.</t>
  </si>
  <si>
    <t>Se asuu jyrkkiin kiviseiniin kaiverretuissa koloissa. Se nauttii rinteiden alas vierimisestä kuin lohkare kivivyöryn aikana, joten pidä katsetta ylöspäin vuoristoteillä liikkuessasi.</t>
  </si>
  <si>
    <t>Golem</t>
  </si>
  <si>
    <t>Megaton-Pokémon</t>
  </si>
  <si>
    <t>In ancient literature, there is a record of a Gyarados that razed a village when violence flared.</t>
  </si>
  <si>
    <t>Sen lohkaremainen ruumis on äärimmäisen kova. Se kestää helposti dynamiittiräjähdyksiä vahingoittumatta.</t>
  </si>
  <si>
    <t>When Magikarp evolves into Gyarados, its brain cells undergo a structural transformation. It is said that this transformation is to blame for this Pokémon’s wildly violent nature.</t>
  </si>
  <si>
    <t>Kun se luopuu nahastaan, sen ruumis muuttuu pehmeäksi ja valkoiseksi. Sen nahka kovettuu, kun se altistuu ilmalle.</t>
  </si>
  <si>
    <t>Once Gyarados goes on a rampage, its ferociously violent blood doesn’t calm until it has burned everything down. There are records of this Pokémon’s rampages lasting a whole month.</t>
  </si>
  <si>
    <t>Se luo nahkansa kerran vuodessa. Hylätty kuori kovettuu välittömästi ja murenee pois.</t>
  </si>
  <si>
    <t>A tale is told of a town that angered Gyarados. Before the sun rose the next day, flames utterly consumed the town, leaving not a trace behind.</t>
  </si>
  <si>
    <t>Se pystyy räjäyttämään itsensä. Se käyttää tätä räjähdysvoimaa hypätäkseen vuorelta vuorelle.</t>
  </si>
  <si>
    <t>There are people who swear that any place Gyarados appears is fated for destruction.</t>
  </si>
  <si>
    <t>Sen kivinen ruumis on niin kestävä, että edes tehokkaat dynamiittiräjähdykset eivät naarmuta sen karua nahkaa.</t>
  </si>
  <si>
    <t>It fires hyper beams in all directions, burning the surrounding area to ash. There are some regions where it’s called “the deity of destruction.”</t>
  </si>
  <si>
    <t>Golemit asuvat vuorilla. Jos tapahtuu suuri maanjäristys, nämä Pokémonit vierivät joukoittain vuorilta alas kukkuloille.</t>
  </si>
  <si>
    <t>The energy from evolution stimulated its brain cells strongly, causing it to become very ferocious.</t>
  </si>
  <si>
    <t>It has an extremely aggressive nature. The Hyper Beam it shoots from its mouth totally incinerates all targets.</t>
  </si>
  <si>
    <t>GOLEMit tunnetaan siitä, että ne vierivät alas vuorilta. Jotta ne eivät vieriisi ihmisten koteihin alamäkeen, vuorten rinteisiin on kaivettu uria, jotka toimivat ohjaimina tämän POKéMONin kurssin muuttamiseksi.</t>
  </si>
  <si>
    <t>I suspect this Pokémon to be the true identity of a dragon written of in ancient texts, which claimed that it razed an entire village with white-hot beams from its maw.</t>
  </si>
  <si>
    <t>Sen sanotaan elävän vuorenhuippujen tulivuorenkraattereissa. Kerran vuodessa se luopuu nahastaan ​​ja kasvaa suuremmaksi. Luopunut nahka murenee ja palaa maaperään.</t>
  </si>
  <si>
    <t>A POKéMON that has been over hunted almost to extinction. It can ferry people across the water.</t>
  </si>
  <si>
    <t>Se on suljettu kovaan kuoreen, joka on yhtä karu kuin kivilaatat. Se luopuu nahastaan ​​kerran vuodessa kasvaakseen suuremmaksi.</t>
  </si>
  <si>
    <t>A gentle soul that can read the minds of people. It can ferry people across the sea on its back.</t>
  </si>
  <si>
    <t>Sen lohkaremainen ruumis on äärimmäisen kova. Se kestää helposti dynamiittiräjähdyksiä vaurioitumatta.</t>
  </si>
  <si>
    <t>They have gentle hearts. Because they rarely fight, many have been caught. Their num ber has dwindled.</t>
  </si>
  <si>
    <t>Se luo nahansa kerran vuodessa. Sen lohkaremainen ruumis on niin sitkeä, ettei edes dynamiitti voi vahingoittaa sitä.</t>
  </si>
  <si>
    <t>It ferries people across the sea on its back. It may sing an enchanting cry if it is in a good mood.</t>
  </si>
  <si>
    <t>Se syöksyy alas vuoria jättäen uria huipulta juurelle. Pysy kaukana näistä urista.</t>
  </si>
  <si>
    <t>This gentle POKéMON loves to give people rides and provides a ve ry comfortable way to get around.</t>
  </si>
  <si>
    <t>People have driven LAPRAS almost to the point of extinction. In the evenings, this POKéMON is said to sing plaintively as it seeks what few others of its kind still remain.</t>
  </si>
  <si>
    <t>Edes dynamiitti ei voi vahingoittaa sen kovaa, lohkaremaista ruumista. Se luo nahansa vain kerran vuodessa.</t>
  </si>
  <si>
    <t>People have driven LAPRAS almost to the point of extinction. In the evenings, it is said to sing plaintively as it seeks what few others of its kind still remain.</t>
  </si>
  <si>
    <t>Se luo nahkansa kerran vuodessa. Hylätty kuori kovettuu ja murenee heti pois.</t>
  </si>
  <si>
    <t>Its high intelligence enables it to understand human speech. It likes to ferry people on its back.</t>
  </si>
  <si>
    <t>A POKéMON that has been overhunted almost to extinction. It can ferry people on its back.</t>
  </si>
  <si>
    <t>It loves crossing the sea with people and Pokémon on its back. It understands human speech.</t>
  </si>
  <si>
    <t>They have gentle hearts. Because they rarely fight, many have been caught. Their number has dwindled.</t>
  </si>
  <si>
    <t>Able to understand human speech and very intelligent, it loves to swim in the sea with people on its back.</t>
  </si>
  <si>
    <t>Edes dynamiitti ei voi vahingoittaa sen kovaa, lohkaremaista ruumista. Se luopuu nahastaan ​​vain kerran vuodessa.</t>
  </si>
  <si>
    <t>People have driven Lapras almost to the point of extinction. In the evenings, this Pokémon is said to sing plaintively as it seeks what few others of its kind still remain.</t>
  </si>
  <si>
    <t>Its high intelligence enables it to comprehend human speech. When it’s in a good mood, it sings in its beautiful voice.</t>
  </si>
  <si>
    <t>These Pokémon were once near extinction due to poaching. Following protective regulations, there is now an overabundance of them.</t>
  </si>
  <si>
    <t>https://pokeapi.co/api/v2/pokemon-species/69/</t>
  </si>
  <si>
    <t>It likes swimming around with people on its back. In the Alola region, it’s an important means of transportation over water.</t>
  </si>
  <si>
    <t>Golemit asuvat vuorilla. Jos tapahtuu suuri maanjäristys, nämä Pokémonit vierivät vuorilta joukoittain alas kukkuloille.</t>
  </si>
  <si>
    <t>Golemit tunnetaan vuorilta alas vierimisestä. Jotta ne eivät vieriisi ihmisten koteihin alamäkeen, vuorten rinteisiin on kaivettu uria, jotka toimivat ohjaimina tämän Pokémonin kurssin muuttamiseksi.</t>
  </si>
  <si>
    <t>They’ve been so cherished that there’s now an overabundance. The fish Pokémon population has declined in waters with too many Lapras.</t>
  </si>
  <si>
    <t>Sen ruumis selviää dynamiittiräjähdyksistä naarmutta, mutta se vihaa sadetta ja kosteutta.</t>
  </si>
  <si>
    <t>A gentle soul that can understand human speech. It can ferry people across the sea on its back.</t>
  </si>
  <si>
    <t>Kerran vuodessa tämä Pokémon luopuu nahastaan, ja sen pudonnut kuori palaa maaperään. Tämä prosessi rikastuttaa maaperää, joten maanviljelijät keräävät kuoret.</t>
  </si>
  <si>
    <t>A smart and kindhearted Pokémon, it glides across the surface of the sea while its beautiful song echoes around it.</t>
  </si>
  <si>
    <t>Crossing icy seas is no issue for this cold-resistant Pokémon. Its smooth skin is a little cool to the touch.</t>
  </si>
  <si>
    <t>Kun golemit vanhenevat, ne lopettavat kuorien pudottamisen. Niiden, jotka ovat eläneet pitkään, pitkään, kuoret ovat sammaleenvihreitä.</t>
  </si>
  <si>
    <t>Se räjäyttää oman ruumiinsa. Räjähdyksen voima voi siivittää sen jyrkkiä vuoristopolkuja ylös uskomattomalla nopeudella.</t>
  </si>
  <si>
    <t>Capable of copying an enemy's genetic code to instantly transform itself into a duplicate of the enemy.</t>
  </si>
  <si>
    <t>When it spots an enemy, its body transfigures into an almost perfect copy of its oppo nent.</t>
  </si>
  <si>
    <t>It can transform into anything. When it sleeps, it changes into a stone to avoid being attacked.</t>
  </si>
  <si>
    <t>Its transformation ability is per fect. However, if made to laugh, it can't maintain its disguise.</t>
  </si>
  <si>
    <t>Kivimäinen kuori irtoaa joka vuosi. Irronnut kuori murenee sitten ja palautuu multamassaksi, jota voidaan levittää pelloille kasvien kasvun edistämiseksi.</t>
  </si>
  <si>
    <t>Ponyta</t>
  </si>
  <si>
    <t>When it encount ers another DITTO, it will move faster than normal to duplicate that opponent exactly.</t>
  </si>
  <si>
    <t>Tulihevos-Pokémon</t>
  </si>
  <si>
    <t>Sen kaviot ovat 10 kertaa kovemmat kuin timantit. Se voi tallata minkä tahansa täysin tasaiseksi lyhyessä ajassa.</t>
  </si>
  <si>
    <t>DITTO rearranges its cell structure to transform itself into other shapes. However, if it tries to transform itself into something by relying on its memory, this POKéMON manages to get details wrong.</t>
  </si>
  <si>
    <t>Kykenee hyppäämään uskomattoman korkealle. Sen kaviot ja tukevat jalat vaimentavat kovan laskeutumisen iskuja.</t>
  </si>
  <si>
    <t>A DITTO rearranges its cell structure to transform itself. However, if it tries to change based on its memory, it will get details wrong.</t>
  </si>
  <si>
    <t>It can freely recombine its own cellular structure to transform into other life- forms.</t>
  </si>
  <si>
    <t>Se on heikko juoksuherra heti syntymän jälkeen. Se muuttuu vähitellen nopeammaksi jahdaamalla vanhempiaan.</t>
  </si>
  <si>
    <t>Capable of copying an opponent’s genetic code to instantly transform itself into a duplicate of the enemy.</t>
  </si>
  <si>
    <t>Sen takajalat, joissa on timanttiakin kovat kaviot, potkaisevat taaksepäin kaiken, minkä se aistii takanaan.</t>
  </si>
  <si>
    <t>It has the ability to reconstitute its entire cellular structure to transform into whatever it sees.</t>
  </si>
  <si>
    <t>Päivä päivältä pidemmäksi kasvavan ruohon yli hyppiminen on tehnyt siitä maailmanluokan hyppääjän.</t>
  </si>
  <si>
    <t>Its transformation ability is perfect. However, if made to laugh, it can’t maintain its disguise.</t>
  </si>
  <si>
    <t>PONYTA on syntyessään hyvin heikko. Se pystyy tuskin seisomaan. Tämä POKéMON vahvistuu kompuroimalla ja kaatumalla pysyäkseen vanhempansa vauhdissa.</t>
  </si>
  <si>
    <t>It can reconstitute its entire cellular structure to change into what it sees, but it returns to normal when it relaxes.</t>
  </si>
  <si>
    <t>It can freely recombine its own cellular structure to transform into other life-forms.</t>
  </si>
  <si>
    <t>Ponyta on syntyessään hyvin heikko. Se pystyy tuskin seisomaan. Sen jalat vahvistuvat, kun se kompastelee ja kaatuu yrittäessään pysyä vanhempansa vauhdissa.</t>
  </si>
  <si>
    <t>Ditto rearranges its cell structure to transform itself into other shapes. However, if it tries to transform itself into something by relying on its memory, this Pokémon manages to get details wrong.</t>
  </si>
  <si>
    <t>Sen ruumis on kevyt ja jalat uskomattoman voimakkaat. Se voi ylittää Ayers Rockin yhdellä loikalla.</t>
  </si>
  <si>
    <t>It can reorganize its cells to make itself into a duplicate of anything it sees. The quality of the duplicate depends on the individual.</t>
  </si>
  <si>
    <t>Sen kaviot ovat kymmenen kertaa kovemmat kuin timantti. Se voi tallata minkä tahansa täysin tasaiseksi lyhyessä ajassa.</t>
  </si>
  <si>
    <t>With its astonishing capacity for metamorphosis, it can get along with anything. It does not get along well with its fellow Ditto.</t>
  </si>
  <si>
    <t>While it can transform into anything, each Ditto apparently has its own strengths and weaknesses when it comes to transformations.</t>
  </si>
  <si>
    <t>Noin tunnin kuluttua syntymästä sen tulinen harja ja häntä kasvavat ulos, mikä antaa sille vaikuttavan ulkonäön.</t>
  </si>
  <si>
    <t>Sen jalat vahvistuvat sen jahdatessa vanhempaansa. Se juoksee pelloilla ja vuorilla koko päivän.</t>
  </si>
  <si>
    <t>It transforms into whatever it sees. If the thing it’s transforming into isn’t right in front of it, Ditto relies on its memory—so sometimes it fails.</t>
  </si>
  <si>
    <t>Vastasyntyneenä se pystyy tuskin seisomaan. Laukan myötä sen jalat kuitenkin vahvistuvat ja nopeutuvat.</t>
  </si>
  <si>
    <t>When it spots an enemy, its body transfigures into an almost-perfect copy of its opponent.</t>
  </si>
  <si>
    <t>Se on heikko juoksija heti syntymänsä jälkeen. Se nopeutuu vähitellen jahtaamalla vanhempiaan.</t>
  </si>
  <si>
    <t>When it encounters another Ditto, it will move faster than normal to duplicate that opponent exactly.</t>
  </si>
  <si>
    <t>Its genetic code is irregular. It may mutate if it is exposed to radiation from element STONEs.</t>
  </si>
  <si>
    <t>Sen takajalat, joiden kaviot ovat timanttia kovemmat, potkaisevat taaksepäin kaiken, minkä se aistii takanaan.</t>
  </si>
  <si>
    <t>Its genetic code is unstable, so it could evolve in a variety of ways. There are only a few alive.</t>
  </si>
  <si>
    <t>It has the ability to alter the com position of its body to suit its surrounding envi ronment.</t>
  </si>
  <si>
    <t>Its irregularly configured DNA is affected by its surroundings. It evolves if its en vironment changes.</t>
  </si>
  <si>
    <t>Its ability to evolve into many forms allows it to adapt smoothly and perfectly to any environment.</t>
  </si>
  <si>
    <t>EEVEE has an unstable genetic makeup that suddenly mutates due to the environment in which it lives. Radiation from various STONES causes this POKéMON to evolve.</t>
  </si>
  <si>
    <t>Ponyta on syntyessään hyvin heikko. Se pystyy tuskin seisomaan. Tämä Pokémon vahvistuu kompuroimalla ja kaatumalla pysyäkseen vanhempansa vauhdissa.</t>
  </si>
  <si>
    <t>An EEVEE has an unstable genetic makeup that suddenly mutates due to its environment. Radiation from various STONES causes this POKéMON to evolve.</t>
  </si>
  <si>
    <t>An extremely rare POKéMON that may evolve in a number of different ways depending on stimuli.</t>
  </si>
  <si>
    <t>Its genetic code is irregular. It may mutate if it is exposed to radiation from element STONES.</t>
  </si>
  <si>
    <t>Se ei pysty juoksemaan kunnolla vastasyntyneenä. Kun se kilpailee muiden lajitovereidensa kanssa, sen jalat vahvistuvat.</t>
  </si>
  <si>
    <t>A rare Pokémon that adapts to harsh environments by taking on different evolutionary forms.</t>
  </si>
  <si>
    <t>Jos Ponyta on hyväksynyt sinut, sen palava harja ei ole mystisesti enää kuuma koskettaa.</t>
  </si>
  <si>
    <t>Because its genetic makeup is irregular, it quickly changes its form due to a variety of causes.</t>
  </si>
  <si>
    <t>Nämä Pokémonit elävät laumoissa ruohoalueilla. Vastasyntyneiltä varsoilta puuttuu tulisi harja, joka kehittyy noin tunnin kuluttua syntymästä.</t>
  </si>
  <si>
    <t>Rapidash</t>
  </si>
  <si>
    <t>It has the ability to alter the composition of its body to suit its surrounding environment.</t>
  </si>
  <si>
    <t>Tämä erittäin kilpailuhenkinen POKéMON jahtaa kaikkea nopeasti liikkuvaa toivoen pääsevänsä kilpailemaan sen kanssa.</t>
  </si>
  <si>
    <t>Its irregularly configured DNA is affected by its surroundings. It evolves if its environment changes.</t>
  </si>
  <si>
    <t>Thanks to its unstable genetic makeup, this special Pokémon conceals many different possible evolutions.</t>
  </si>
  <si>
    <t>Rakastaa vain juoksemista. Jos se näkee jotakin itseään nopeampaa, se lähtee takaa täyttä vauhtia.</t>
  </si>
  <si>
    <t>Eevee has an unstable genetic makeup that suddenly mutates due to the environment in which it lives. Radiation from various stones causes this Pokémon to evolve.</t>
  </si>
  <si>
    <t>Possessing an unbalanced and unstable genetic makeup, it conceals many possible evolutions.</t>
  </si>
  <si>
    <t>Täydessä laukassa sen neljä kaviota tuskin koskettavat maata, koska se liikkuu niin uskomattoman nopeasti.</t>
  </si>
  <si>
    <t>Uskomattoman kiihtyvyyden ansiosta se saavuttaa huippunopeutensa 240 km/h vain kymmenen askeleen juostuaan.</t>
  </si>
  <si>
    <t>Current studies show it can evolve into an incredible eight different species of Pokémon.</t>
  </si>
  <si>
    <t>Se rakastaa laukkaa. Mitä nopeammin se juoksee, sitä pidemmiksi sen harjan liehuvat liekit venyvät.</t>
  </si>
  <si>
    <t>The question of why only Eevee has such unstable genes has still not been solved.</t>
  </si>
  <si>
    <t>https://pokeapi.co/api/v2/pokemon-species/70/</t>
  </si>
  <si>
    <t>RAPIDASHin näkee yleensä laukkaamassa pelloilla ja tasangoilla. Kuitenkin, kun tämä POKéMON vakavastuu, sen tulinen harja leimahtaa ja roihuaa sen laukatessa jopa 240 km/h nopeuteen.</t>
  </si>
  <si>
    <t>Its genes are easily influenced by its surroundings. Even its face starts to look like that of its Trainer.</t>
  </si>
  <si>
    <t>It can evolve into a variety of forms. Eevee’s genes are the key to solving the mysteries of Pokémon evolution.</t>
  </si>
  <si>
    <t>Se yleensä laukkaa huolettomasti pelloilla ja tasangoilla. Mutta kun RAPIDASH muuttuu vakavaksi, sen tulinen harja leimahtaa ja roihuaa sen laukatessa jopa 240 km/h nopeuteen.</t>
  </si>
  <si>
    <t>Se voi laukkaa huippunopeudella 240 kilometriä tunnissa. Se voi kiitää yhtä nopeasti kuin luotijuna liekeissä.</t>
  </si>
  <si>
    <t>Harbors the potential to evolve into manifold forms. Within Eevee lies the key to the mysteries of Pokémon evolution—I'm certain of it.</t>
  </si>
  <si>
    <t>Lives close to water. Its long tail is ridged with a fin which is often mistaken for a mermaid's.</t>
  </si>
  <si>
    <t>Se laukkaa lähes 240 km/h nopeudella. Raivokkaasti liekehtivä harja se kiitää kuin nuoli.</t>
  </si>
  <si>
    <t>Its cell structure is similar to water molecules. It will melt away and become invis ible in water.</t>
  </si>
  <si>
    <t>Sen kiihtyvyys on hämmästyttävä. Se saavuttaa huippunopeuden paikaltaan 10 vaiheessa.</t>
  </si>
  <si>
    <t>When VAPOREON's fins begin to vi brate, it is a sign that rain will come within a few hours.</t>
  </si>
  <si>
    <t>Kun se laukkaa täysillä, sen liekehtivä harja kimaltelee ja korostaa sen kaunista ulkonäköä.</t>
  </si>
  <si>
    <t>It prefers beauti ful shores. With cells similar to water molecules, it could melt in water.</t>
  </si>
  <si>
    <t>As it uses the fins on the tip of its tail to swim, it blends with the water perfectly.</t>
  </si>
  <si>
    <t>Uskomattoman kiihtyvyyden ansiosta se saavuttaa huippunopeutensa 240 km/h vain 10 askeleen juostuaan.</t>
  </si>
  <si>
    <t>VAPOREON underwent a spontaneous mutation and grew fins and gills that allow it to live underwater. This POKéMON has the ability to freely control water.</t>
  </si>
  <si>
    <t>VAPOREON underwent a spontaneous mutation and grew fins and gills that allow them to live underwater. They have the ability to freely control water.</t>
  </si>
  <si>
    <t>Its body’s cellular structure is similar to the molecular composition of water. It can melt invisibly in water.</t>
  </si>
  <si>
    <t>Lives close to water. Its long tail is ridged with a fin which is often mistaken for a mermaid’s.</t>
  </si>
  <si>
    <t>It has evolved to be suitable for an aquatic life. It can invisibly melt away into water.</t>
  </si>
  <si>
    <t>Tämä kilpailuhenkinen Pokémon jahtaa kaikkea nopeasti liikkuvaa toivoen pääsevänsä kilpailemaan sen kanssa.</t>
  </si>
  <si>
    <t>Its cell composition is similar to water molecules. As a result, it can melt away into water.</t>
  </si>
  <si>
    <t>When VAPOREON’s fins begin to vibrate, it is a sign that rain will come within a few hours.</t>
  </si>
  <si>
    <t>Rapidashin näkee yleensä laukkaamassa pelloilla ja tasangoilla. Kuitenkin, kun tämä Pokémon vakavastuu, sen tulinen harja leimahtaa ja roihuaa sen laukatessa jopa 240 km/h nopeuteen.</t>
  </si>
  <si>
    <t>It prefers beautiful shores. With cells similar to water molecules, it could melt in water.</t>
  </si>
  <si>
    <t>Its cell composition is similar to water molecules. As a result, it can’t be seen when it melts away into water.</t>
  </si>
  <si>
    <t>Rakastaa vain juoksemista. Jos se näkee jotakin itseään nopeampaa, se lähtee takaa-ajoon täydellä vauhdilla.</t>
  </si>
  <si>
    <t>Vaporeon underwent a spontaneous mutation and grew fins and gills that allow it to live underwater. This Pokémon has the ability to freely control water.</t>
  </si>
  <si>
    <t>Its cells are composed of units much like water molecules. It lives close to water and is often mistaken for a mermaid.</t>
  </si>
  <si>
    <t>Tämän Pokémonin voi nähdä laukkaavan peltojen läpi jopa 240 km/h nopeudella, sen tulinen harja lepattellen tuulessa.</t>
  </si>
  <si>
    <t>Blending in with the water and erasing all signs of its presence, it patiently waits for its prey, fish Pokémon.</t>
  </si>
  <si>
    <t>Nopein juoksija ryhtyy johtajaksi, ja se määrää lauman vauhdin ja suunnan.</t>
  </si>
  <si>
    <t>Tulinen harja hehkuu, Rapidash syöksyy kuin nuoli halki maan. Tämä uskomattoman nopea olento voi kulkea Hisuin laajan alueen puolessatoista päivässä.</t>
  </si>
  <si>
    <t>Clean, clear waters are its usual habitat. When it’s about to be attacked by an invading enemy, it dives into the water to hide.</t>
  </si>
  <si>
    <t>Slowpoke</t>
  </si>
  <si>
    <t>Dopey-Pokémon</t>
  </si>
  <si>
    <t>Uskomattoman hidas ja höpsö. Kestää viisi sekuntia ennen kuin se tuntee kipua hyökkäyksen aikana.</t>
  </si>
  <si>
    <t>It detects nearby moisture with its fin. When its fin begins trembling rapidly, that means rain will fall in a few hours.</t>
  </si>
  <si>
    <t>Uskomattoman hidas ja laiska. Se on varsin tyytyväinen loikoillessaan murehtimatta ajasta.</t>
  </si>
  <si>
    <t>Its cell structure is similar to water molecules. It melts into the water and becomes invisible.</t>
  </si>
  <si>
    <t>Se laiskotelee tyhjänä veden lähellä. Jos jokin puree sen häntään, se ei edes huomaa sitä kokonaiseen päivään.</t>
  </si>
  <si>
    <t>When Vaporeon’s fins begin to vibrate, it is a sign that rain will come within a few hours.</t>
  </si>
  <si>
    <t>Sen pyrstön kärjestä valuu makeaa mahlaa. Vaikka pyrstö ei olekaan ravitseva, sitä on miellyttävä pureskella.</t>
  </si>
  <si>
    <t>Tests show that its cells closely resemble water molecules, which perhaps explains its ability to conceal its form while submerged. I believe the origins of mermaid folklore lie with this Pokémon.</t>
  </si>
  <si>
    <t>Se on aina niin hajamielinen, ettei se reagoi, vaikka sen maukasta häntää purtaisiin.</t>
  </si>
  <si>
    <t>SLOWPOKE käyttää häntäänsä saaliin pyydystämiseen upottamalla sen veteen joen rannalla. Tämä POKéMON kuitenkin usein unohtaa, mitä se tekee, ja viettää usein kokonaisia ​​päiviä vain loikoillen veden reunalla.</t>
  </si>
  <si>
    <t>It accumulates negative ions in the atmosphere to blast out 10000- volt lightning bolts.</t>
  </si>
  <si>
    <t>A sensitive POKé MON that easily becomes sad or angry. Every time its mood changes, it charges power.</t>
  </si>
  <si>
    <t>Se pyydystää saalistaan ​​upottamalla häntäänsä veteen joen rannalla. Mutta se usein unohtaa, mitä tekee, ja viettää kokonaisia ​​päiviä vain loikoillen veden reunalla.</t>
  </si>
  <si>
    <t>It concentrates the weak electric charges emitted by its cells and launches wicked lightning bolts.</t>
  </si>
  <si>
    <t>Se on aina tyhjyyden vallassa ajatuksissaan, mutta kukaan ei tiedä, mitä se ajattelee. Se on hyvä kalastamaan pyrstöllään.</t>
  </si>
  <si>
    <t>Every hair on its body starts to stand sharply on end if it becomes charged with electricity.</t>
  </si>
  <si>
    <t>Vaikka se on hidas, se on taitava kalastamaan pyrstöllään. Se ei tunne kipua, jos sitä purraan.</t>
  </si>
  <si>
    <t>The negatively charged ions generated in its fur create a constant sparking noise.</t>
  </si>
  <si>
    <t>JOLTEON’s cells generate a low level of electricity. This power is amplified by the static electricity of its fur, enabling the POKéMON to drop thunderbolts. The bristling fur is made of electrically charged needles.</t>
  </si>
  <si>
    <t>Se laiskotelee tyhjänä veden lähellä. Jos jokin puree sen pyrstöstä, se ei edes huomaa sitä kokonaiseen päivään.</t>
  </si>
  <si>
    <t>Its cells generate weak power that is amplified by its fur’s static electricity to drop thunderbolts. The bristling fur is made of electrically charged needles.</t>
  </si>
  <si>
    <t>If it is angered or startled, the fur all over its body bristles like sharp needles that pierce foes.</t>
  </si>
  <si>
    <t>It accumulates negative ions in the atmosphere to blast out 10,000-volt lightning bolts.</t>
  </si>
  <si>
    <t>It controls 10,000-volt power and can raise all the fur on its body as if it were sharp needles.</t>
  </si>
  <si>
    <t>If agitated, it uses electricity to straighten out its fur and launch it in small bunches.</t>
  </si>
  <si>
    <t>By storing electricity in its body, it can shoot its bristlelike fur like a barrage of missiles.</t>
  </si>
  <si>
    <t>Jolteon’s cells generate a low level of electricity. This power is amplified by the static electricity of its fur, enabling the Pokémon to drop thunderbolts. The bristling fur is made of electrically charged needles.</t>
  </si>
  <si>
    <t>Hidas Pokémon käyttää häntäänsä saaliin pyydystämiseen upottamalla sen veteen joen rannalla. Tämä Pokémon kuitenkin usein unohtaa, mitä se tekee, ja viettää kokonaisia ​​päiviä vain loikoillen veden reunalla.</t>
  </si>
  <si>
    <t>They send out electrical charges of about 10,000 volts. Because they are high-strung, it can be difficult to grow close to them.</t>
  </si>
  <si>
    <t>https://pokeapi.co/api/v2/pokemon-species/71/</t>
  </si>
  <si>
    <t>When its fur stands on end, that’s a sign it’s about to give off a jolt of electricity. Take care, as sometimes lightning strikes next to it, too.</t>
  </si>
  <si>
    <t>Its lungs contain an organ that creates electricity. The crackling sound of electricity can be heard when it exhales.</t>
  </si>
  <si>
    <t>Its fur stands on end, becoming like needles it fires at enemies. Once they’re weakened, it finishes them off with a 10,000 volt shock.</t>
  </si>
  <si>
    <t>A sensitive Pokémon that easily becomes sad or angry. Every time its mood changes, it charges power.</t>
  </si>
  <si>
    <t>Sen pitkä häntä katkeaa usein. Se ei kuitenkaan tunne kipua, ja häntä kasvaa takaisin, joten Hidaslintu ei ole siitä erityisen huolissaan.</t>
  </si>
  <si>
    <t>Bristles its fur into sharp, needlelike points when enraged. One can hear electricity crackle in its breath when it exhales.</t>
  </si>
  <si>
    <t>When storing thermal energy in its body, its temperature could soar to over 1600 degrees.</t>
  </si>
  <si>
    <t>Alolanin kotiruoanlaittoon kuuluu slowpoke-pyrstön kuivaaminen ja niiden hauduttaminen suolaiseksi muhennokseksi.</t>
  </si>
  <si>
    <t>It has a flame chamber inside its body. It inhales, then blows out fire that is over 3,000F degrees.</t>
  </si>
  <si>
    <t>On joitakin paikkoja, joissa Hidaspiiskaa palvotaan, koska on pitkään uskottu, että aina kun Hidaspiiska haukottelee, sataa.</t>
  </si>
  <si>
    <t>It stores some of the air it inhales in its internal flame pouch, which heats it to over 3,000 degrees.</t>
  </si>
  <si>
    <t>It fluffs out its fur collar to cool down its body temperature, which can reach 1,650 degrees.</t>
  </si>
  <si>
    <t>Vaikka niiden luonnostaan ​​irtoavat pyrstöt löytyvät helposti lojumasta, ne ovat arvokas ainesosa ruoanlaitossa.</t>
  </si>
  <si>
    <t>Once it has stored up enough heat, this POKéMON's body temperature can reach up to 1700 degrees.</t>
  </si>
  <si>
    <t>FLAREON’s fluffy fur has a functional purpose - it releases heat into the air so that its body does not get excessively hot. This POKéMON’s body temperature can rise to a maximum of 1,650 degrees F.</t>
  </si>
  <si>
    <t>FLAREON’s fluffy fur releases heat into the air so that its body does not get excessively hot. Its body temperature can rise to a maximum of 1,650 degrees F.</t>
  </si>
  <si>
    <t>Hidasälyisenä ja tietämättömänä tämä Pokémon ei tunne kipua, jos sen häntä syödään. Se ei myöskään huomaa, milloin sen häntä kasvaa takaisin.</t>
  </si>
  <si>
    <t>It has a flame bag inside its body. After inhaling deeply, it blows out flames of nearly 3,100 degrees Fahrenheit.</t>
  </si>
  <si>
    <t>Kun tämän Pokémonin häntä kastuu veteen, siitä tihkuu makeutta. Slowpoke käyttää tätä ominaisuutta houkutellakseen ja kalastaakseen muita Pokémoneja.</t>
  </si>
  <si>
    <t>When storing thermal energy in its body, its temperature can soar to over 1,600 degrees Fahrenheit.</t>
  </si>
  <si>
    <t>Slowbro</t>
  </si>
  <si>
    <t>Erakkorapu-Pokémon</t>
  </si>
  <si>
    <t>SLOWPOKEn häntään kiinnittyneen SHELLDERin sanotaan syövän isännän tähteitä.</t>
  </si>
  <si>
    <t>It has a flame sac in its body. Its body temperature tops 1,650 degrees Fahrenheit before battle.</t>
  </si>
  <si>
    <t>Inhaled air is heated in the flame sac in its body to an intense fire over 3,000 degrees Fahrenheit.</t>
  </si>
  <si>
    <t>Asuu laiskasti meren rannalla. Jos sen pyrstöstä irtoaa kuori, siitä tulee taas HITAA.</t>
  </si>
  <si>
    <t>It stores some of the air it inhales in its internal flame pouch, which heats it to over 3,000 degrees Fahrenheit.</t>
  </si>
  <si>
    <t>Jos häntäänsä pureva SHELLDER heitetään pois ankarassa taistelussa, se palaa tavalliseksi SLOWPOKEksi.</t>
  </si>
  <si>
    <t>It fluffs out its fur collar to cool down its body temperature, which can reach 1,650 degrees Fahrenheit.</t>
  </si>
  <si>
    <t>Se oli alun perin luonnostaan ​​tylsä, mutta menetti kykynsä tuntea kipua SHELLDERin tihkuvan myrkyn vuoksi.</t>
  </si>
  <si>
    <t>Inhaled air is carried to its flame sac, heated, and exhaled as fire that reaches over 3,000 degrees F.</t>
  </si>
  <si>
    <t>Kiinnitetty SHELLDER ei päästä irti sen pyrstöstä pursuavan maukkaan maun vuoksi.</t>
  </si>
  <si>
    <t>SLOWBRON pyrstössä on tiukasti kiinnittynyt kuori, jolla on purenta. Tämän seurauksena pyrstöä ei voida enää käyttää kalastukseen. Tämä saa SLOWBRON vastahakoisesti uimaan ja pyydystämään saalista.</t>
  </si>
  <si>
    <t>It has a flame bag inside its body. After inhaling deeply, it blows out flames of nearly 3,000 degrees Fahrenheit.</t>
  </si>
  <si>
    <t>Flareon’s fluffy fur has a functional purpose—it releases heat into the air so that its body does not get excessively hot. This Pokémon’s body temperature can rise to a maximum of 1,650 degrees Fahrenheit.</t>
  </si>
  <si>
    <t>Sen pyrstössä on tukevasti kiinnittynyt kuori, jolla on purenta. Tämän seurauksena häntää ei voida enää käyttää kalastukseen. Tämä pakottaa sen vastahakoisesti uimaan ja nappaamaan saalista.</t>
  </si>
  <si>
    <t>When it catches prey or finds berries, it breathes fire on them until they’re well done, and then it gobbles them up.</t>
  </si>
  <si>
    <t>Kun SLOWPOKE meni metsästämään mereen, SHELLDER puri sen pyrstöä. Tästä siitä kehittyi SLOWBRO.</t>
  </si>
  <si>
    <t>SLOWPOKEn häntään tarttuvan SHELLDERin sanotaan syövän isännän tähteitä.</t>
  </si>
  <si>
    <t>Its average body temperature is between 1,300 and 1,500 degrees Fahrenheit. In its internal flame sac, temperatures reach 3,000 degrees.</t>
  </si>
  <si>
    <t>Vaikka se on yleensä älytön, se näyttää inspiroituvan, jos sen pyrstössä oleva SHELLDER puree sitä.</t>
  </si>
  <si>
    <t>If it inhales deeply, that’s a sign it’s about to attack. Prepare to be hit by flames of over 3,000 degrees Fahrenheit!</t>
  </si>
  <si>
    <t>The flame chamber inside its body ignites when Flareon gets agitated, reaching temperatures of up to 1,650 degrees Fahrenheit.</t>
  </si>
  <si>
    <t>It has a flame chamber inside its body. It inhales, then breathes out fire that is over 3,000 degrees Fahrenheit.</t>
  </si>
  <si>
    <t>Once it has stored up enough heat, this Pokémon’s body temperature can reach up to 1,700 degrees Fahrenheit.</t>
  </si>
  <si>
    <t>Jos häntäänsä pureva SHELLDER heitetään pois ankarassa taistelussa, se palautuu tavalliseksi SLOWPOKEksi.</t>
  </si>
  <si>
    <t>Flames burn within a saclike organ inside this Pokémon. When Flareon inhales, these flames grow in intensity, reaching a mighty 3,000 degrees Fahrenheit.</t>
  </si>
  <si>
    <t>A POKéMON that consists entirely of programming code. Capable of moving freely in cyberspace.</t>
  </si>
  <si>
    <t>Vaikka se on yleensä älytön, se näyttää inspiroituvan, jos sen pyrstössä oleva Shellder puree sitä.</t>
  </si>
  <si>
    <t>The only POKéMON people anticipate can fly into space. None has managed the feat yet, however.</t>
  </si>
  <si>
    <t>It is a manmade POKéMON. Since it doesn't breathe, people are eager to try it in any environment.</t>
  </si>
  <si>
    <t>Kiinnitetty Shellder ei päästä irti sen pyrstöstä pursuavan maukkaan maun vuoksi.</t>
  </si>
  <si>
    <t>A manmade POKéMON that came about as a result of re search. It is pro grammed with only basic motions.</t>
  </si>
  <si>
    <t>An artificial POKéMON created due to extensive research, it can perform only what is in its program.</t>
  </si>
  <si>
    <t>Kun hidaslintu meni metsästämään mereen, Shellder puri sen häntää. Se teki siitä Hitaanrintaisen.</t>
  </si>
  <si>
    <t>Slowbron hännässä on tukevasti kiinnittynyt Shellder, jolla on purenta. Tämän seurauksena häntää ei voi enää käyttää kalastukseen. Tämä saa Slowbron vastahakoisesti uimaan ja pyydystämään saalista.</t>
  </si>
  <si>
    <t>PORYGON is capable of reverting itself entirely back to program data and entering cyberspace. This POKéMON is copy-protected so it cannot be duplicated by copying.</t>
  </si>
  <si>
    <t>It is capable of reverting itself entirely back to program data in order to enter cyberspace. A PORYGON is copy- protected so it cannot be duplicated.</t>
  </si>
  <si>
    <t>Se väistyy katsellessaan merta. Shellderin myrkyn virratessa sen kehon läpi siitä tulee entistäkin väljempi.</t>
  </si>
  <si>
    <t>Aina kun Shellder puree lujaa sen pyrstöön, se antaa Slowbrolle välähdyksen inspiraatiosta... jonka se unohtaa hetkeä myöhemmin.</t>
  </si>
  <si>
    <t>Se vain etääntyy toisistaan. Se muuttuu takaisin Slowpokeksi, jos sen häntä ja Shellder katkeavat.</t>
  </si>
  <si>
    <t>Using the most advanced technologies, scientists finally succeeded in making the first artificial POKéMON.</t>
  </si>
  <si>
    <t>https://pokeapi.co/api/v2/pokemon-species/72/</t>
  </si>
  <si>
    <t>Shellder, ahneudessaan imeä yhä enemmän makeutta Slowbron hännästä, on muuttunut spiraalinmuotoiseksi kuoreksi.</t>
  </si>
  <si>
    <t>A POKéMON that consists entirely of programming code. It is capable of moving freely in cyberspace.</t>
  </si>
  <si>
    <t>The world’s first artificially created Pokémon. It can travel through electronic space.</t>
  </si>
  <si>
    <t>Asuu laiskasti meren rannalla. Jos sen pyrstössä oleva Shellder irtoaa, siitä tulee taas Hidaslintu.</t>
  </si>
  <si>
    <t>A man-made Pokémon created using advanced scientific means. It can move freely in cyberspace.</t>
  </si>
  <si>
    <t>It is a manmade Pokémon. Since it doesn’t breathe, people are eager to try it in any environment.</t>
  </si>
  <si>
    <t>A manmade Pokémon that came about as a result of research. It is programmed with only basic motions.</t>
  </si>
  <si>
    <t>A man-made Pokémon that came about as a result of research. It is programmed with only basic motions.</t>
  </si>
  <si>
    <t>Slowpokesta tuli Slowbro, kun Shellder puri sen pyrstöä. Pyrstöstä tihkuvat makeat maut saavat Shellderin tuntemaan kuin sen elämä olisi unelma.</t>
  </si>
  <si>
    <t>A Pokémon that consists entirely of programming code. It is capable of moving freely in cyberspace.</t>
  </si>
  <si>
    <t>Shellderin purema sai tämän Pokémonin seisomaan kahdella jalalla. Jos Shellder päästää irti, näyttää siltä, ​​että Slowbro muuttuu takaisin Slowpokeksi.</t>
  </si>
  <si>
    <t>Porygon is capable of reverting itself entirely back to program data and entering cyberspace. This Pokémon is copy protected so it cannot be duplicated by copying.</t>
  </si>
  <si>
    <t>Magnemite</t>
  </si>
  <si>
    <t>Magneetti-Pokémon</t>
  </si>
  <si>
    <t>Roughly 20 years ago, it was artificially created, utilizing the latest technology of the time.</t>
  </si>
  <si>
    <t>Käyttää antigravitaatiota pysyäkseen leijunnassa. Ilmestyy ilman varoitusta ja käyttää UKKOS-AALTOA ja vastaavia liikkeitä.</t>
  </si>
  <si>
    <t>It can convert its body into digital data, which enables it to enter cyberspace.</t>
  </si>
  <si>
    <t>This Pokémon was created using the cutting-edge science of 20 years ago, so many parts of it have since become obsolete.</t>
  </si>
  <si>
    <t>It was built 20 years ago by scientists who dreamed of exploring space. Their dreams have yet to come true.</t>
  </si>
  <si>
    <t>Se syntyy kyvyllä uhmata painovoimaa. Se leijuu ilmassa voimakkaiden sähkömagneettisten aaltojen varassa.</t>
  </si>
  <si>
    <t>The only Pokémon that people anticipate can fly into space. None has managed the feat yet, however.</t>
  </si>
  <si>
    <t>State-of-the-art technology was used to create Porygon. It was the first artificial Pokémon to be created via computer programming.</t>
  </si>
  <si>
    <t>Sähkömagneettiset aallot vetävät sitä puoleensa. Se voi lähestyä kouluttajia, jos he käyttävät POKéGEAR-laitteitaan.</t>
  </si>
  <si>
    <t>In recent years, this species has been very helpful in cyberspace. These Pokémon will go around checking to make sure no suspicious data exists.</t>
  </si>
  <si>
    <t>It has no discernible heartbeat and does not seem to draw breath, and yet it appears to function without issue. I cannot even begin to explain this utterly bizarre anomaly.</t>
  </si>
  <si>
    <t>Sen rungon sivuilla olevat yksiköt tuottavat antigravitaatioenergiaa pitääkseen sen ilmassa.</t>
  </si>
  <si>
    <t>Although long extinct, in rare cases, it can be genetically resurrected from fossils.</t>
  </si>
  <si>
    <t>Sen kehon kummallakin puolella olevien yksiköiden lähettämä sähkö saa sen toimimaan voimakkaana magneettina.</t>
  </si>
  <si>
    <t>An ancient POKéMON that was recovered from a fossil. It swims by cleverly twisting its 10 tentacles about.</t>
  </si>
  <si>
    <t>Revived from an ancient fossil, this POKéMON uses air stored in its shell to sink and rise in water.</t>
  </si>
  <si>
    <t>MAGNEMIITTIA kiinnittyy sähkölinjoihin syöttääkseen sähköä. Jos talossasi on sähkökatkos, tarkista sulakkeet. Saatat löytää suuren määrän tätä POKéMONIA roikkumassa sulaketaulussa.</t>
  </si>
  <si>
    <t>This POKéMON from ancient times is said to have navi gated the sea by adeptly twisting its 10 tentacles.</t>
  </si>
  <si>
    <t>MAGNEMITE leijuu ilmassa lähettämällä sivuillaan olevista yksiköistä sähkömagneettisia aaltoja. Nämä aallot estävät painovoiman. Tämä POKéMON ei pysty lentämään, jos sen sisäinen sähkönsaanti ehtyy.</t>
  </si>
  <si>
    <t>In prehistoric times, it swam on the sea floor, eating plankton. Its fossils are sometimes found.</t>
  </si>
  <si>
    <t>Sen sivuilla olevat yksiköt ovat erittäin voimakkaita magneetteja. Ne tuottavat tarpeeksi magnetismia vetääkseen puoleensa rautaesineitä yli 90 metrin päästä.</t>
  </si>
  <si>
    <t>OMANYTE is one of the ancient and long- since-extinct POKéMON that have been regenerated from fossils by people. If attacked by an enemy, it withdraws itself inside its hard shell.</t>
  </si>
  <si>
    <t>Se liikkuu leijuen jatkuvasti. Se lähettää UKKOSJÄNKIÄ ja niin edelleen sivuillaan olevista yksiköistä.</t>
  </si>
  <si>
    <t>Käyttää antigravitaatiota pysyäkseen leijunnassa. Ilmestyy ilman varoitusta ja käyttää UKKOS-aaltoa ja vastaavia liikkeitä.</t>
  </si>
  <si>
    <t>One of the ancient and long-since-extinct POKéMON that have been regenerated from fossils by humans. If attacked, it withdraws into its hard shell.</t>
  </si>
  <si>
    <t>A prehistoric POKéMON that lived in the primordial sea, it swims by twisting its 10 tentacles about.</t>
  </si>
  <si>
    <t>Sen sivuilla olevat yksiköt tuottavat sähkömagneettisia aaltoja, jotka pitävät sen ilmassa. Se käyttää sähköä.</t>
  </si>
  <si>
    <t>Although long extinct, in rare cases, it can be genetically regenerated from fossils.</t>
  </si>
  <si>
    <t>A Pokémon that was resurrected from a fossil using modern science. It swam in ancient seas.</t>
  </si>
  <si>
    <t>Revived from an ancient fossil, this Pokémon uses air stored in its shell to sink and rise in water.</t>
  </si>
  <si>
    <t>This Pokémon from ancient times is said to have navigated the sea by adeptly twisting its 10 tentacles.</t>
  </si>
  <si>
    <t>Mitä nopeammin sen sivuilla olevat yksiköt pyörivät, sitä suuremman magneettisen voiman ne tuottavat.</t>
  </si>
  <si>
    <t>A prehistoric Pokémon that lived in the primordial sea, it swims by twisting its 10 tentacles about.</t>
  </si>
  <si>
    <t>Sähkömagneettiset aallot vetävät sitä puoleensa. Se voi lähestyä kouluttajia, jos he käyttävät Pokégearejaan.</t>
  </si>
  <si>
    <t>Omanyte is one of the ancient and long-since-extinct Pokémon that have been regenerated from fossils by people. If attacked by an enemy, it withdraws itself inside its hard shell.</t>
  </si>
  <si>
    <t>Omanyte lived in the seas of antiquity. Its fossils have been found bearing bite marks from Archeops, so apparently Archeops preyed on it.</t>
  </si>
  <si>
    <t>It was restored from an ancient fossil. Those Helix Fossils are excavated from areas that were once oceans long, long ago.</t>
  </si>
  <si>
    <t>An ancient Pokémon that was recovered from a fossil. It swam by cleverly twisting its 10 tentacles about.</t>
  </si>
  <si>
    <t>Because some Omanyte manage to escape after being restored or are released into the wild by people, this species is becoming a problem.</t>
  </si>
  <si>
    <t>This Pokémon is a member of an ancient, extinct species. Omanyte paddles through water with its 10 tentacles, looking like it’s just drifting along.</t>
  </si>
  <si>
    <t>Sen pään sivuilla olevien yksiköiden lähettämät sähkömagneettiset aallot karkottavat antigravitaatiota, mikä mahdollistaa sen kellumisen.</t>
  </si>
  <si>
    <t>A prehistoric POKéMON that died out when its heavy shell made it impossible to catch prey.</t>
  </si>
  <si>
    <t>Sharp beaks ring its mouth. Its shell was too big for it to move freely, so it became extinct.</t>
  </si>
  <si>
    <t>Se liikkuu leijuen jatkuvasti. Se lähettää ukkosaaltoja ja muita vastaavia sivuillaan olevista yksiköistä.</t>
  </si>
  <si>
    <t>Apparently, it cracked SHELLDER's shell with its sharp fangs and sucked out the insides.</t>
  </si>
  <si>
    <t>Magnemiitti kiinnittyy sähkölinjoihin syöttääkseen sähköä. Jos talossasi on sähkökatkos, tarkista sulakkeet. Saatat löytää suuren määrän tätä Pokémonia roikkumassa sulaketaulussa.</t>
  </si>
  <si>
    <t>Once wrapped around its prey, it never lets go. It eats the prey by tearing at it with sharp fangs.</t>
  </si>
  <si>
    <t>Magnemiitti leijuu ilmassa lähettämällä sivuillaan olevista yksiköistä sähkömagneettisia aaltoja. Nämä aallot estävät painovoiman. Tämä Pokémon ei pysty lentämään, jos sen sisäinen sähkönsaanti ehtyy.</t>
  </si>
  <si>
    <t>Its heavy shell allowed it to reach only nearby food. This could be the reason it is extinct.</t>
  </si>
  <si>
    <t>Ne kokoontuvat paikkoihin, joissa on sähköä. Niitä voi löytää takertumasta voimalinjojen kannattelemiseen käytettyihin terästorneihin.</t>
  </si>
  <si>
    <t>OMASTAR uses its tentacles to capture its prey. It is believed to have become extinct because its shell grew too large and heavy, causing its movements to become too slow and ponderous.</t>
  </si>
  <si>
    <t>Se lähettää sähkömagneettisia aaltoja, jotka päästävät sen leijumaan ilmassa. Sen koskettaminen sen syödessä sähköä antaa sinulle koko kehon kattavan sähköiskun.</t>
  </si>
  <si>
    <t>An OMASTAR uses its tentacles to capture its prey. It is believed to have become extinct because its shell grew too large, making its movements slow and ponderous.</t>
  </si>
  <si>
    <t>Se on usein sähkökatkosten syy, minkä vuoksi jotkut voimalaitokset lähettävät sähköisiä signaaleja, joita se ei kestä.</t>
  </si>
  <si>
    <t>Its tentacles are highly developed as if they are hands and feet. As soon as it ensnares prey, it bites.</t>
  </si>
  <si>
    <t>Ehkäpä siksi, että sähkölinjat usein haudataan nykyään maahan, magnemiittihyökkäysten määrä voimalaitoksiin on lisääntynyt.</t>
  </si>
  <si>
    <t>Despite having strong fangs and tentacles, it went extinct when its heavy shell made it unable to catch prey.</t>
  </si>
  <si>
    <t>Se on varustettu kyvyllä uhmata painovoimaa. Se kelluu ja säteilee voimakkaita sähkömagneettisia aaltoja.</t>
  </si>
  <si>
    <t>https://pokeapi.co/api/v2/pokemon-species/73/</t>
  </si>
  <si>
    <t>Magnemitesta loppuu ajoittain sähkö ja se päätyy maahan. Jos annat paristot maadoitettuun Magnemiteen, se alkaa liikkua uudelleen.</t>
  </si>
  <si>
    <t>It is thought that this Pokémon became extinct because its spiral shell grew too large.</t>
  </si>
  <si>
    <t>Se elää sähköllä. Magnemiitti lentää ja lähettää sähkömagneettisia aaltoja kehonsa molemmin puolin olevista yksiköistä.</t>
  </si>
  <si>
    <t>Apparently, it cracked SHELLDER’s shell with its sharp fangs and sucked out the insides.</t>
  </si>
  <si>
    <t>Outo Pokémon, jolla on vain yksi silmä rautapallon sisällä. Epäilen, että tämä olento leijuu käsivarsiensa lähettämän magnetismin vuoksi, jotka muistuttavat hevosenkengän muotoisia magneetteja.</t>
  </si>
  <si>
    <t>Omastar uses its tentacles to capture its prey. It is believed to have become extinct because its shell grew too large and heavy, causing its movements to become too slow and ponderous.</t>
  </si>
  <si>
    <t>Magneton</t>
  </si>
  <si>
    <t>Its heavy shell is thought to be the reason this ancient Pokémon died out. It’s apparently a distant ancestor of Octillery.</t>
  </si>
  <si>
    <t>Muodostuu useista toisiinsa liittyneistä MAGNEMIITEISTA. Ne ilmestyvät usein auringonpilkkujen leimahdusten yhteydessä.</t>
  </si>
  <si>
    <t>It wraps its prey in its tentacles to immobilize them and then finishes them off with its sharp fangs.</t>
  </si>
  <si>
    <t>Its sharp beak rings its mouth. Its shell was too big for it to move freely, so it became extinct.</t>
  </si>
  <si>
    <t>Weighed down by a large and heavy shell, Omastar couldn’t move very fast. Some say it went extinct because it was unable to catch food.</t>
  </si>
  <si>
    <t>Omastar’s sharp fangs could crush rock, but the Pokémon can attack only the prey that come within reach of its tentacles.</t>
  </si>
  <si>
    <t>Tuottaa outoja radiosignaaleja. Se nostaa lämpötilaa 3,6 Fahrenheit-astetta 3 300 jalan säteellä.</t>
  </si>
  <si>
    <t>A POKéMON that was resurrected from a fossil found in what was once the ocean floor eons ago.</t>
  </si>
  <si>
    <t>A POKéMON that was recovered from a fossil. It uses the eyes on its back while hiding on the sea floor.</t>
  </si>
  <si>
    <t>Kolme MAGNEMIITTIA on yhdistetty voimakkaalla magneettisella voimalla. Liian lähelle meneminen voi aiheuttaa korvakipua.</t>
  </si>
  <si>
    <t>On rare occasions, some have been found as fossils which they became while hiding on the ocean floor.</t>
  </si>
  <si>
    <t>This POKéMON lived in ancient times. On rare occasions, it has been discovered as a living fossil.</t>
  </si>
  <si>
    <t>MAGNEMIITTIA yhdistää niin voimakas magnetismi, että se kuivaa kaiken kosteuden lähiympäristöstään.</t>
  </si>
  <si>
    <t>Three hundred million years ago, it hid on the sea floor. It also has eyes on its back that glow.</t>
  </si>
  <si>
    <t>KABUTO is a POKéMON that has been regenerated from a fossil. However, in extremely rare cases, living examples have been discovered. The POKéMON has not changed at all for 300 million years.</t>
  </si>
  <si>
    <t>Kun useita MAGNETONEJA kerääntyy yhteen, syntyvä magneettimyrsky häiritsee radioaaltoja.</t>
  </si>
  <si>
    <t>It is a POKéMON that has been regenerated from a fossil. However, in rare cases, living examples have been discovered. KABUTO have not changed for 300 million years.</t>
  </si>
  <si>
    <t>This POKéMON was regenerated from the fossil of an ancient creature. It protects itself with a hard shell.</t>
  </si>
  <si>
    <t>MAGNETON säteilee voimakasta magneettista voimaa, joka on tappavaa mekaanisille laitteille. Tämän seurauksena suurkaupungit soittavat sireenejä varoittaakseen asukkaita tämän POKéMONin laajamittaisista epidemioista.</t>
  </si>
  <si>
    <t>A POKéMON that was regenerated from a fossil found in what was once the ocean floor long ago.</t>
  </si>
  <si>
    <t>It is thought to have inhabited beaches 300 million years ago. It is protected by a stiff shell.</t>
  </si>
  <si>
    <t>MAGNETONI säteilee voimakasta magneettista voimaa, joka on tappavaa elektroniikalle ja tarkkuusinstrumenteille. Tästä syystä joidenkin kaupunkien sanotaan varoittavan ihmisiä pitämään tätä POKéMONIA POKé-PALLON sisällä.</t>
  </si>
  <si>
    <t>This Pokémon lived in ancient times. On rare occasions, it has been discovered as a living fossil.</t>
  </si>
  <si>
    <t>This Pokémon was regenerated from the fossil of an ancient creature. It protects itself with a hard shell.</t>
  </si>
  <si>
    <t>Kabuto is a Pokémon that has been regenerated from a fossil. However, in extremely rare cases, living examples have been discovered. The Pokémon has not changed at all for 300 million years.</t>
  </si>
  <si>
    <t>Se on itse asiassa kolme magneettisesti yhdistettyä MAGNEMIITTIA. Se tuottaa voimakkaita radioaaltoja, jotka nostavat lämpötilaa 1 celsiusasteella 1 000 metrin säteellä.</t>
  </si>
  <si>
    <t>This Pokémon thrived 300 million years ago. It’s said that living specimens can still be seen in a certain region—a rare sight.</t>
  </si>
  <si>
    <t>Useista MAGNEMIITEISTA muodostunut toisiinsa kytkeytynyt joukko. Se purkaa voimakkaita magneettisia aaltoja korkealla jännitteellä.</t>
  </si>
  <si>
    <t>This Pokémon became extinct everywhere, except in a few areas. It protects itself with its hard shell.</t>
  </si>
  <si>
    <t>A Pokémon that was recovered from a fossil. It used the eyes on its back while hiding on the seafloor.</t>
  </si>
  <si>
    <t>Muodostuu useista toisiinsa liittyneistä magnemiiteista. Ne ilmestyvät usein auringonpilkkujen leimahdusten yhteydessä.</t>
  </si>
  <si>
    <t>This species is almost entirely extinct. Kabuto molt every three days, making their shells harder and harder.</t>
  </si>
  <si>
    <t>While some say this species has gone extinct, Kabuto sightings are apparently fairly common in some places.</t>
  </si>
  <si>
    <t>Its sleek shape is perfect for swim ming. It slashes prey with its claws and drains the body fluids.</t>
  </si>
  <si>
    <t>Se on itse asiassa kolme MAGNEMIITTIA, jotka ovat yhteydessä toisiinsa magnetismin avulla. Ryhmä voi laukaista magneettimyrskyn.</t>
  </si>
  <si>
    <t>A slim and fast swimmer. It slices its prey with its sharp sickles and drinks the body fluids.</t>
  </si>
  <si>
    <t>In the water, it tucks in its limbs to become more compact, then it wiggles its shell to swim fast.</t>
  </si>
  <si>
    <t>With sharp claws, this ferocious, ancient POKéMON rips apart prey and sucks their body fluids.</t>
  </si>
  <si>
    <t>It was able to swim quickly thro ugh the water by compactly folding up its razor-sharp sickles.</t>
  </si>
  <si>
    <t>Monet niistä ilmestyvät salaperäisesti, kun aurinkoa täplittää lisää auringonpilkkuja. Ne estävät televisioita näyttämästä kunnolla.</t>
  </si>
  <si>
    <t>KABUTOPS swam underwater to hunt for its prey in ancient times. The POKéMON was apparently evolving from being a water-dweller to living on land as evident from the beginnings of change in its gills and legs.</t>
  </si>
  <si>
    <t>KABUTOPS once swam underwater to hunt for prey. It was apparently evolving from being a water dweller to living on land as evident from changes in its gills and legs.</t>
  </si>
  <si>
    <t>It swims freely through water. It catches prey with its scythe-like arms and drains the victim’s fluids.</t>
  </si>
  <si>
    <t>Its sleek shape is perfect for swimming. It slashes prey with its claws and drains their fluids.</t>
  </si>
  <si>
    <t>It is thought that this Pokémon came onto land because its prey adapted to life on land.</t>
  </si>
  <si>
    <t>MAGNEMIITTIA yhdistää niin voimakas magnetismi, että se kuivaa kaiken kosteuden läheisyydessään.</t>
  </si>
  <si>
    <t>With sharp claws, this ferocious, ancient Pokémon rips apart prey and sucks their body fluids.</t>
  </si>
  <si>
    <t>Kabutops swam underwater to hunt for its prey in ancient times. The Pokémon was apparently evolving from being a water dweller to living on land as evident from the beginnings of change in its gills and legs.</t>
  </si>
  <si>
    <t>Its body had begun to change so it could function on land. But it didn’t adapt in time and went extinct.</t>
  </si>
  <si>
    <t>It swims at speeds of roughly 29 knots, quickly closing in on its prey and slashing into them with its scythes to finish them off.</t>
  </si>
  <si>
    <t>A slim and fast swimmer. It sliced its prey with its sharp sickles and drank the body fluids.</t>
  </si>
  <si>
    <t>Kabutops slices its prey apart and sucks out the fluids. The discarded body parts become food for other Pokémon.</t>
  </si>
  <si>
    <t>The cause behind the extinction of this species is unknown. Kabutops were aggressive Pokémon that inhabited warm seas.</t>
  </si>
  <si>
    <t>A ferocious, pre historic POKéMON that goes for the enemy's throat with its serrated saw-like fangs.</t>
  </si>
  <si>
    <t>Kolmen toisiinsa kytkeytyneen Magnemiitti-kerroksen voimakkaammat sähkömagneettiset aallot riittävät kuivattamaan ympäröivän kosteuden.</t>
  </si>
  <si>
    <t>A savage POKéMON that died out in ancient times. It was resurrected using DNA taken from amber.</t>
  </si>
  <si>
    <t>A vicious POKéMON from the distant past, it appears to have flown by spreading its wings and gliding.</t>
  </si>
  <si>
    <t>This vicious POKé MON is said to have flown in an cient skies while shrieking high- pitched cries.</t>
  </si>
  <si>
    <t>In prehistoric times, this POKéMON flew freely and fearlessly through the skies.</t>
  </si>
  <si>
    <t>Useista magnemiiteista muodostunut toisiinsa yhteydessä oleva klusteri. Se purkaa voimakkaita magneettisia aaltoja korkealla jännitteellä.</t>
  </si>
  <si>
    <t>AERODACTYL is a POKéMON from the age of dinosaurs. It was regenerated from genetic material extracted from amber. It is imagined to have been the king of the skies in ancient times.</t>
  </si>
  <si>
    <t>AERODACTYL is a POKéMON from the age of dinosaurs. It was regenerated from DNA extracted from amber. It is imagined to have been the king of the skies.</t>
  </si>
  <si>
    <t>Se tuottaa outoja radiosignaaleja. Se nostaa lämpötilaa 3,6 Fahrenheit-astetta 3 300 jalan säteellä.</t>
  </si>
  <si>
    <t>It was regenerated from a dinosaur’s genetic matter that was found in amber. It flies with high-pitched cries.</t>
  </si>
  <si>
    <t>A ferocious, prehistoric POKéMON that goes for the enemy’s throat with its serrated, sawlike fangs.</t>
  </si>
  <si>
    <t>Magneton säteilee voimakasta magneettista voimaa, joka on tappavaa mekaanisille laitteille. Tämän seurauksena suurkaupungit soittavat sireenejä varoittaakseen asukkaita tämän Pokémonin laajamittaisista epidemioista.</t>
  </si>
  <si>
    <t>A Pokémon that roamed the skies in the dinosaur era. Its teeth are like saw blades.</t>
  </si>
  <si>
    <t>A vicious Pokémon from the distant past, it appears to have flown by spreading its wings and gliding.</t>
  </si>
  <si>
    <t>This vicious Pokémon is said to have flown in ancient skies while shrieking high-pitched cries.</t>
  </si>
  <si>
    <t>Aerodactyl is a Pokémon from the age of dinosaurs. It was regenerated from genetic material extracted from amber. It is imagined to have been the king of the skies in ancient times.</t>
  </si>
  <si>
    <t>Magneton säteilee voimakasta magneettista voimaa, joka on kohtalokasta elektroniikalle ja tarkkuusinstrumenteille. Tästä syystä joidenkin kaupunkien sanotaan varoittavan ihmisiä pitämään tätä Pokémonia Poképallon sisällä.</t>
  </si>
  <si>
    <t>A Pokémon from the age of the dinosaurs. It used its sawlike fangs to shred its prey before eating them.</t>
  </si>
  <si>
    <t>Kun kolme magnemiittia yhdistyy, niiden aivot yhdistyvät. Ne eivät tule kolme kertaa älykkäämmiksi.</t>
  </si>
  <si>
    <t>In ancient times, it ruled the skies. A widely accepted theory is that it went extinct due to a large meteor impact.</t>
  </si>
  <si>
    <t>Restored from DNA found in amber, this Pokémon exhibited ferocity that was greater than expected. Some casualties resulted.</t>
  </si>
  <si>
    <t>It flew through the open skies over the ancient continent as if they were its own. When it touched ground, its walk was weak and slow.</t>
  </si>
  <si>
    <t>Sen sähköteho on noin kolme kertaa suurempi kuin Magnemitella. Jostain syystä tämän Pokémonin ilmaantuminen tapahtuu, kun auringonpilkkuja ilmestyy paljon.</t>
  </si>
  <si>
    <t>A savage Pokémon that died out in ancient times. It was resurrected using DNA taken from amber.</t>
  </si>
  <si>
    <t>This is a ferocious Pokémon from ancient times. Apparently even modern technology is incapable of producing a perfectly restored specimen.</t>
  </si>
  <si>
    <t>Aerodactyl’s sawlike fangs can shred skin to tatters—even the skin of Steel-type Pokémon.</t>
  </si>
  <si>
    <t>Very lazy. Just eats and sleeps. As its rotund bulk builds, it becomes steadily more slothful.</t>
  </si>
  <si>
    <t>Herkät laitteet voivat toimia virheellisesti Magnetonin asuttamilla alueilla, jotka lähettävät salaperäisiä sähköisiä signaaleja.</t>
  </si>
  <si>
    <t>Will eat anything, even if the food happens to be a little moldy. It never gets an upset stomach.</t>
  </si>
  <si>
    <t>What sounds like its cry may ac tually be its snores or the rumblings of its hungry belly.</t>
  </si>
  <si>
    <t>Its stomach's di gestive juices can dissolve any kind of poison. It can even eat things off the ground.</t>
  </si>
  <si>
    <t>Kun sadepilviä muodostuu, monet magnetonit kerääntyvät korkeille paikoille odottamaan salaman iskemistä.</t>
  </si>
  <si>
    <t>This POKéMON's stomach is so strong, even eating moldy or rotten food will not affect it.</t>
  </si>
  <si>
    <t>SNORLAX’s typical day consists of nothing more than eating and sleeping. It is such a docile POKéMON that there are children who use its expansive belly as a place to play.</t>
  </si>
  <si>
    <t>SNORLAX’s typical day consists of nothing more than eating and sleeping. It is such a docile POKéMON that there are children who use its big belly as a place to play.</t>
  </si>
  <si>
    <t>It is not satisfied unless it eats over 880 pounds of food every day. When it is done eating, it goes promptly to sleep.</t>
  </si>
  <si>
    <t>https://pokeapi.co/api/v2/pokemon-species/74/</t>
  </si>
  <si>
    <t>Its stomach can digest any kind of food, even if it happens to be moldy or rotten.</t>
  </si>
  <si>
    <t>It stops eating only to sleep. It doesn’t feel full unless it eats nearly 900 pounds a day.</t>
  </si>
  <si>
    <t>When its belly is full, it becomes too lethargic to even lift a finger, so it is safe to bounce on its belly.</t>
  </si>
  <si>
    <t>What sounds like its cry may actually be its snores or the rumblings of its hungry belly.</t>
  </si>
  <si>
    <t>Its stomach’s digestive juices can dissolve any kind of poison. It can even eat things off the ground.</t>
  </si>
  <si>
    <t>Snorlax’s typical day consists of nothing more than eating and sleeping. It is such a docile Pokémon that there are children who use its expansive belly as a place to play.</t>
  </si>
  <si>
    <t>Tämä Pokémon koostuu kolmesta toisiinsa yhdistyneestä Magnemite-pokémonista. Magneton lähettää voimakkaita radioaaltoja tutkiakseen ympäristöään.</t>
  </si>
  <si>
    <t>Its stomach is said to be incomparably strong. Even Muk’s poison is nothing more than a hint of spice on Snorlax’s tongue.</t>
  </si>
  <si>
    <t>It eats nearly 900 pounds of food every day. It starts nodding off while eating—and continues to eat even while it’s asleep.</t>
  </si>
  <si>
    <t>It doesn’t do anything other than eat and sleep. When prompted to make a serious effort, though, it apparently displays awesome power.</t>
  </si>
  <si>
    <t>It has no interest in anything other than eating. Even if you climb up on its stomach while it’s napping, it doesn’t seem to mind at all!</t>
  </si>
  <si>
    <t>Tämä Pokémon tuottaa jatkuvasti voimakasta magneettista voimaa. Useimmat tietokoneet menevät sekaisin, kun magnetoni lähestyy.</t>
  </si>
  <si>
    <t>This Pokémon’s stomach is so strong, even eating moldy or rotten food will not affect it.</t>
  </si>
  <si>
    <t>This glutton appears in villages without warning and devours the entirety of their rice granaries—such occurrences have long been counted among the gravest of disasters.</t>
  </si>
  <si>
    <t>Kolme Magnemiittia kokoontui kehittyäkseen täksi Pokémoniksi. Se aiheutti minulle paljon harmia, sillä sen voimakas magnetismi tuhoaa tutkimuslaitteeni.</t>
  </si>
  <si>
    <t>A legendary bird POKéMON that is said to appear to doomed people who are lost in icy mountains.</t>
  </si>
  <si>
    <t>A legendary bird POKéMON. It freezes water that is contained in winter air and makes it snow.</t>
  </si>
  <si>
    <t>Farfetch’d</t>
  </si>
  <si>
    <t>Villiankka-Pokémon</t>
  </si>
  <si>
    <t>The magnificent, seemingly translu cent wings of this legendary bird POKéMON are said to be made of ice.</t>
  </si>
  <si>
    <t>Sen kädessään pitelemä vihreän sipulin oksa on sen ase. Sitä käytetään paljolti kuin metallista miekkaa.</t>
  </si>
  <si>
    <t>One of the legen dary bird POKéMON, it chills moisture in the atmosphere to create snow while flying.</t>
  </si>
  <si>
    <t>Legendary bird POKéMON. As it flies through the sky, it cools the air, causing snow to fall.</t>
  </si>
  <si>
    <t>ARTICUNO is a legendary bird POKéMON that can control ice. The flapping of its wings chills the air. As a result, it is said that when this POKéMON flies, snow will fall.</t>
  </si>
  <si>
    <t>One of the legendary bird POKéMON. With its long tail trailing behind, its flying form is magnificent.</t>
  </si>
  <si>
    <t>Elää siellä, missä ruokokasvit kasvavat. Niitä näkee harvoin, joten niiden määrän uskotaan olevan vähenemässä.</t>
  </si>
  <si>
    <t>A legendary bird Pokémon. It can create blizzards by freezing moisture in the air.</t>
  </si>
  <si>
    <t>The magnificent, seemingly translucent wings of this legendary bird Pokémon are said to be made of ice.</t>
  </si>
  <si>
    <t>Jos joku yrittää häiritä välttämättömien kasvien oksien kasvupaikkoja, se käyttää omaa oksiaan estääkseen heitä.</t>
  </si>
  <si>
    <t>One of the legendary bird Pokémon, it chills moisture in the atmosphere to create snow while flying.</t>
  </si>
  <si>
    <t>Jos se syö hätämuonana kantamansa kasvitikun, se juoksee etsimään uutta tikkua.</t>
  </si>
  <si>
    <t>A legendary bird Pokémon that is said to appear to doomed people who are lost in icy mountains.</t>
  </si>
  <si>
    <t>Estääkseen niiden sukupuuton yhä useammat ihmiset ovat pyrkineet jalostamaan näitä POKéMONEJA.</t>
  </si>
  <si>
    <t>Articuno is a legendary bird Pokémon that can control ice. The flapping of its wings chills the air. As a result, it is said that when this Pokémon flies, snow will fall.</t>
  </si>
  <si>
    <t>FARFETCH’D nähdään aina jonkin kasvin kepin kanssa. Ilmeisesti on olemassa hyviä ja huonoja keppejä. Tämä POKéMON on tunnettu siitä, että se tappelee muiden kanssa kepeistä.</t>
  </si>
  <si>
    <t>A legendary bird Pokémon. It freezes water that is contained in winter air and makes it snow.</t>
  </si>
  <si>
    <t>It’s said that this Pokémon’s beautiful blue wings are made of ice. Articuno flies over snowy mountains, its long tail fluttering along behind it.</t>
  </si>
  <si>
    <t>This Pokémon can control ice at will. Articuno is said to live in snowy mountains riddled with permafrost.</t>
  </si>
  <si>
    <t>A legendary bird POKéMON that is said to appear from clouds while dropping enormous lightning bolts.</t>
  </si>
  <si>
    <t>Se nähdään aina kasvin kepin kanssa. Ilmeisesti on olemassa hyviä ja huonoja keppejä. Tämä POKéMON tappelee toisinaan muiden kanssa valituista kepeistä.</t>
  </si>
  <si>
    <t>This legendary bird POKéMON is said to appear when the sky turns dark and lightning showers down.</t>
  </si>
  <si>
    <t>This legendary bird POKéMON causes savage thunderstorms by flapping its glit tering wings.</t>
  </si>
  <si>
    <t>Se kävelee aina kasvin varsi nokassaan. Vartta se käyttää pesän rakentamiseen.</t>
  </si>
  <si>
    <t>This legendary bird POKéMON is said to appear only when a thun dercloud parts into two halves.</t>
  </si>
  <si>
    <t>Legendary bird POKéMON. They say lightning caused by the flapping of its wings causes summer storms.</t>
  </si>
  <si>
    <t>ZAPDOS is a legendary bird POKéMON that has the ability to control electricity. It usually lives in thunderclouds. The POKéMON gains power if it is stricken by lightning bolts.</t>
  </si>
  <si>
    <t>ZAPDOS is a legendary bird POKéMON that has the ability to control electricity. It usually lives in thunderclouds. It gains power if it is stricken by lightning bolts.</t>
  </si>
  <si>
    <t>One of the legendary bird POKéMON. While it is flying, it makes crackling and snapping sounds.</t>
  </si>
  <si>
    <t>Sen kädessään oleva kasvin varsi on sen ase. Vartta käytetään kuin miekkaa kaikenlaisten asioiden leikkaamiseen.</t>
  </si>
  <si>
    <t>A legendary Pokémon that is said to live in thunderclouds. It freely controls lightning bolts.</t>
  </si>
  <si>
    <t>This legendary bird Pokémon causes savage thunderstorms by flapping its glittering wings.</t>
  </si>
  <si>
    <t>Se ei voi elää ilman vartta, jota se pitää kiinni. Siksi se puolustaa vartta hyökkääjiltä elämällään.</t>
  </si>
  <si>
    <t>This legendary bird Pokémon is said to appear only when a thundercloud parts into two halves.</t>
  </si>
  <si>
    <t>A legendary bird Pokémon that is said to appear from clouds while dropping enormous lightning bolts.</t>
  </si>
  <si>
    <t>https://pokeapi.co/api/v2/pokemon-species/75/</t>
  </si>
  <si>
    <t>Zapdos is a legendary bird Pokémon that has the ability to control electricity. It usually lives in thunderclouds. The Pokémon gains power if it is stricken by lightning bolts.</t>
  </si>
  <si>
    <t>Jos joku yrittää häiritä välttämättömien kasvien varsien kasvupaikkoja, se käyttää omaa varttaan estääkseen niitä.</t>
  </si>
  <si>
    <t>This legendary bird Pokémon is said to appear when the sky turns dark and lightning showers down.</t>
  </si>
  <si>
    <t>Jos se syö hätämuonaa kantamansa kasvin varren, se juoksee etsimään uutta vartta.</t>
  </si>
  <si>
    <t>This Pokémon has complete control over electricity. There are tales of Zapdos nesting in the dark depths of pitch-black thunderclouds.</t>
  </si>
  <si>
    <t>Zapdos is a legendary bird Pokémon. It’s said that when Zapdos rubs its feathers together, lightning will fall immediately after.</t>
  </si>
  <si>
    <t>Known as the legendary bird of fire. Every flap of its wings creates a dazzling flash of flames.</t>
  </si>
  <si>
    <t>A legendary bird POKéMON. As it flaps its flaming wings, even the night sky will turn red.</t>
  </si>
  <si>
    <t>This legendary POKéMON scatters embers with every flap of its wings. It is a thrilling sight to behold.</t>
  </si>
  <si>
    <t>This legendary bird POKéMON is said to bring early spring to the wintry lands it visits.</t>
  </si>
  <si>
    <t>Legendary bird POKéMON. It is said to migrate from the south along with the spring.</t>
  </si>
  <si>
    <t>MOLTRES is a legendary bird POKéMON that has the ability to control fire. If this POKéMON is injured, it is said to dip its body in the molten magma of a volcano to burn and heal itself.</t>
  </si>
  <si>
    <t>MOLTRES is a legendary bird POKéMON that can control fire. If injured, it is said to dip its body in the molten magma of a volcano to burn and heal itself.</t>
  </si>
  <si>
    <t>One of the legendary bird POKéMON. Those seeing it are overwhelmed by its orange wings that seem to be on fire.</t>
  </si>
  <si>
    <t>It is said to be the legendary bird POKéMON of fire. Every flap of its wings creates a dazzling flare of flames.</t>
  </si>
  <si>
    <t>One of the legendary bird Pokémon. It is said that its appearance indicates the coming of spring.</t>
  </si>
  <si>
    <t>Farfetch’d nähdään aina jonkin kasvin varren kanssa. Ilmeisesti on olemassa hyviä ja huonoja varsia. Tämä Pokémon tunnetaan siitä, että se taistelee muiden kanssa varsista.</t>
  </si>
  <si>
    <t>This legendary Pokémon scatters embers with every flap of its wings. It is a thrilling sight to behold.</t>
  </si>
  <si>
    <t>This legendary bird Pokémon is said to bring early spring to the wintry lands it visits.</t>
  </si>
  <si>
    <t>It is said to be the legendary bird Pokémon of fire. Every flap of its wings creates a dazzling flare of flames.</t>
  </si>
  <si>
    <t>Moltres is a legendary bird Pokémon that has the ability to control fire. If this Pokémon is injured, it is said to dip its body in the molten magma of a volcano to burn and heal itself.</t>
  </si>
  <si>
    <t>A legendary bird Pokémon. As it flaps its flaming wings, even the night sky will turn red.</t>
  </si>
  <si>
    <t>It’s one of the legendary bird Pokémon. When Moltres flaps its flaming wings, they glimmer with a dazzling red glow.</t>
  </si>
  <si>
    <t>There are stories of this Pokémon using its radiant, flame-cloaked wings to light up paths for those lost in the mountains.</t>
  </si>
  <si>
    <t>Ne elävät siellä missä ruokokasvit kasvavat. Farfetch’dejä näkee harvoin, joten niiden määrän uskotaan olevan vähenemässä.</t>
  </si>
  <si>
    <t>Long considered a mythical POKéMON until recently when a small colony was found living underwater.</t>
  </si>
  <si>
    <t>The existence of this mythical POKéMON was only recently confirmed by a fisherman who caught one.</t>
  </si>
  <si>
    <t>It is born large to start with. It repeatedly sheds its skin as it steadily grows longer.</t>
  </si>
  <si>
    <t>This POKéMON is full of life ener gy. It continually sheds its skin and grows steadily larger.</t>
  </si>
  <si>
    <t>It sheds many lay ers of skin as it grows larger. Dur ing this process, it is protected by a rapid waterfall.</t>
  </si>
  <si>
    <t>Tämän Pokémonin siivissä oleva varsi toimii miekkana vastustajien kaatamiseen. Vaikeassa tilanteessa varsi voi toimia myös ruokana.</t>
  </si>
  <si>
    <t>DRATINI continually molts and sloughs off its old skin. It does so because the life energy within its body steadily builds to reach uncontrollable levels.</t>
  </si>
  <si>
    <t>A DRATINI continually molts and sloughs off its old skin. It does so because the life energy within its body steadily builds to reach uncontrollable levels.</t>
  </si>
  <si>
    <t>Even the young can exceed 6.5 feet in length. It grows larger by repeatedly shedding skin.</t>
  </si>
  <si>
    <t>Long considered a mythical POKéMON until recently, when a small colony was found living underwater.</t>
  </si>
  <si>
    <t>Ne käyttävät aseena kasvin vartta, mutta eivät kaikki käytä sitä samalla tavalla. On havaittu useita erilaisia ​​varsitaistelutyylejä.</t>
  </si>
  <si>
    <t>It is called the “Mirage Pokémon” because so few have seen it. Its shed skin has been found.</t>
  </si>
  <si>
    <t>Doduo</t>
  </si>
  <si>
    <t>This Pokémon is full of life energy. It continually sheds its skin and grows steadily larger.</t>
  </si>
  <si>
    <t>Kaksoislintu-Pokémon</t>
  </si>
  <si>
    <t>Lintu, joka korvaa huonon lentonsa nopealla askelnopeudellaan. Jättää jättimäisiä jalanjälkiä.</t>
  </si>
  <si>
    <t>Dratini continually molts and sloughs off its old skin. It does so because the life energy within its body steadily builds to reach uncontrollable levels.</t>
  </si>
  <si>
    <t>It grows by molting repeatedly. Boots made from the tanned cast-off skin are a super luxury item.</t>
  </si>
  <si>
    <t>After a 10-hour struggle, a fisherman was able to pull one up and confirm its existence.</t>
  </si>
  <si>
    <t>Sen lyhyet siivet tekevät lentämisestä vaikeaa. Sen sijaan tämä POKéMON juoksee kovaa vauhtia kehittyneillä jaloilla.</t>
  </si>
  <si>
    <t>It’s still weak, so it lurks on the floor of bodies of water, eating whatever food sinks down and living a quiet life.</t>
  </si>
  <si>
    <t>It sheds its skin—almost on a daily basis—and grows larger. Its skin is soft just after it’s been shed.</t>
  </si>
  <si>
    <t>Nostamalla ja laskemalla vuorotellen kahta päätään se tasapainottaa itseään ja on vakaampi juostessa.</t>
  </si>
  <si>
    <t>Long thought to be a myth, this Pokémon’s existence was only recently confirmed by a fisherman who caught one.</t>
  </si>
  <si>
    <t>Dratini dwells near bodies of rapidly flowing water, such as the plunge pools of waterfalls. As it grows, Dratini will shed its skin many times.</t>
  </si>
  <si>
    <t>Se juoksee ruohoisten tasankojen läpi voimakkain askelin jättäen jälkeensä jopa kymmenen senttimetrin syvyisiä jalanjälkiä.</t>
  </si>
  <si>
    <t>This Pokémon was long considered to be no more than a myth. The small lump on a Dratini’s forehead is actually a horn that’s still coming in.</t>
  </si>
  <si>
    <t>Se elää ruohoisella tasangolla, josta se näkee kauas. Jos se näkee vihollisen, se juoksee karkuun 95 km/h nopeudella.</t>
  </si>
  <si>
    <t>A mystical POKéMON that exudes a gentle aura. Has the ability to change climate conditions.</t>
  </si>
  <si>
    <t>According to a witness, its body was surrounded by a strange aura that gave it a mystical look.</t>
  </si>
  <si>
    <t>They say that if it emits an aura from its whole body, the weather will begin to change instantly.</t>
  </si>
  <si>
    <t>DODUOn kaksi päätä eivät koskaan nuku samaan aikaan. Sen kaksi päätä nukkuvat vuorotellen, joten toinen pää voi aina pitää silmällä vihollisia, kun toinen nukkuu.</t>
  </si>
  <si>
    <t>Its crystalline orbs appear to give this POKéMON the power to freely control the weather.</t>
  </si>
  <si>
    <t>It is called the divine POKéMON. When its entire body brightens slightly, the weather changes.</t>
  </si>
  <si>
    <t>DRAGONAIR stores an enormous amount of energy inside its body. It is said to alter weather conditions in its vicinity by discharging energy from the crystals on its neck and tail.</t>
  </si>
  <si>
    <t>DODUOn kahdessa päässä on täysin identtiset aivot. Tieteellinen tutkimus raportoi, että harvinaisissa tapauksissa tällä POKéMONilla on erilaiset aivot.</t>
  </si>
  <si>
    <t>A DRAGONAIR stores an enormous amount of energy inside its body. It is said to alter the weather around it by loosing energy from the crystals on its neck and tail.</t>
  </si>
  <si>
    <t>It is said to live in seas and lakes. Even though it has no wings, it has been seen flying occasionally.</t>
  </si>
  <si>
    <t>Syödessään tai nukkuessaan toinen päistä pysyy aina valppaana vaaran varalta. Uhkaantuessaan se pakenee yli 95 kilometrin tuntinopeudella.</t>
  </si>
  <si>
    <t>A mystical POKéMON that exudes a gentle aura. It is said to have the ability to change the weather.</t>
  </si>
  <si>
    <t>If its body takes on an aura, the weather changes instantly. It is said to live in seas and lakes.</t>
  </si>
  <si>
    <t>Its crystalline orbs appear to give this Pokémon the power to freely control the weather.</t>
  </si>
  <si>
    <t>Kaksipäinen POKéMON, joka löydettiin äkillisenä mutaationa. Se juoksee yli 95 kilometrin tuntinopeudella.</t>
  </si>
  <si>
    <t>A mystical Pokémon that exudes a gentle aura. It is said to have the ability to change the weather.</t>
  </si>
  <si>
    <t>Dragonair stores an enormous amount of energy inside its body. It is said to alter weather conditions in its vicinity by discharging energy from the crystals on its neck and tail.</t>
  </si>
  <si>
    <t>It has long been thought that its crystalline orbs are imbued with the power to control the weather.</t>
  </si>
  <si>
    <t>Sen kahden pään aivot näyttävät kommunikoivan tunteita toisilleen telepaattisella voimalla.</t>
  </si>
  <si>
    <t>From time immemorial, it has been venerated by agricultural peoples as an entity able to control the weather.</t>
  </si>
  <si>
    <t>Lakes where Dragonair live are filled with offerings from people, because they believe this Pokémon is able to control the weather.</t>
  </si>
  <si>
    <t>Some say that if you see it at the start of the year, flying through the sky and twisting its body, you’ll be healthy all year long.</t>
  </si>
  <si>
    <t>This Pokémon lives in pristine oceans and lakes. It can control the weather, and it uses this power to fly into the sky, riding on the wind.</t>
  </si>
  <si>
    <t>This Pokémon gathers power in the orbs on its tail and controls the weather. When enshrouded by an aura, Dragonair has a mystical appearance.</t>
  </si>
  <si>
    <t>An extremely rarely seen marine POKéMON. Its intelligence is said to match that of humans.</t>
  </si>
  <si>
    <t>It is said that this POKéMON lives somewhere in the sea and that it flies. However, it is only a rumor.</t>
  </si>
  <si>
    <t>It is said that this POKéMON con stantly flies over the immense seas and rescues drown ing people.</t>
  </si>
  <si>
    <t>This marine POKé MON has an impres sive build that lets it freely fly over raging seas without trouble.</t>
  </si>
  <si>
    <t>It is said that somewhere in the ocean lies an island where these gather. Only they live there.</t>
  </si>
  <si>
    <t>DRAGONITE is capable of circling the globe in just sixteen hours. It is a kindhearted POKéMON that leads lost and foundering ships in a storm to the safety of land.</t>
  </si>
  <si>
    <t>It can circle the globe in just 16 hours. It is a kindhearted POKéMON that leads lost and foundering ships in a storm to the safety of land.</t>
  </si>
  <si>
    <t>It can fly in spite of its big and bulky physique. It circles the globe in just 16 hours.</t>
  </si>
  <si>
    <t>Only a very few people ever see this POKéMON. Its intelligence is said to match that of humans.</t>
  </si>
  <si>
    <t>It is said to make its home somewhere in the sea. It guides crews of shipwrecks to shore.</t>
  </si>
  <si>
    <t>It is said that this Pokémon constantly flies over the immense seas and rescues drowning people.</t>
  </si>
  <si>
    <t>This marine Pokémon has an impressive build that lets it freely fly over raging seas without trouble.</t>
  </si>
  <si>
    <t>Dragonite is capable of circling the globe in just 16 hours. It is a kindhearted Pokémon that leads lost and foundering ships in a storm to the safety of land.</t>
  </si>
  <si>
    <t>Kaksipäinen Pokémon, joka löydettiin äkillisenä mutaationa. Se juoksee yli 95 kilometrin tuntinopeudella.</t>
  </si>
  <si>
    <t>This Pokémon saved a shipwrecked man, taking him to a remote island—a paradise occupied solely by Dragonite.</t>
  </si>
  <si>
    <t>Incur the wrath of this normally calm Pokémon at your peril, because it will smash everything to smithereens before it’s satisfied.</t>
  </si>
  <si>
    <t>It flies over raging seas as if they were nothing. Observing this, a ship’s captain dubbed this Pokémon “the sea incarnate.”</t>
  </si>
  <si>
    <t>You’ll often hear tales of this kindhearted Pokémon rescuing people or Pokémon that are drowning.</t>
  </si>
  <si>
    <t>It is said that this Pokémon lives somewhere in the sea and that it flies. However, these are only rumors.</t>
  </si>
  <si>
    <t>https://pokeapi.co/api/v2/pokemon-species/76/</t>
  </si>
  <si>
    <t>It’s a kindhearted Pokémon. If it spots a drowning person or Pokémon, Dragonite simply must help them.</t>
  </si>
  <si>
    <t>Doduon kaksi päätä eivät koskaan nuku samaan aikaan. Sen kaksi päätä nukkuvat vuorotellen, joten toinen pää voi aina pitää silmällä vihollisia, kun toinen nukkuu.</t>
  </si>
  <si>
    <t>This Pokémon is known as the Sea Incarnate. Figureheads that resemble Dragonite decorate the bows of many ships.</t>
  </si>
  <si>
    <t>It was created by a scientist after years of horrific gene splicing and DNA engineering experiments.</t>
  </si>
  <si>
    <t>Its DNA is almost the same as MEW's. However, its size and disposition are vastly dif ferent.</t>
  </si>
  <si>
    <t>Doduon kahdessa päässä on täysin identtiset aivot. Tieteellinen tutkimus raportoi, että harvinaisissa tapauksissa tällä Pokémonilla on erilaiset aivot.</t>
  </si>
  <si>
    <t>Because its battle abilities were raised to the ultimate level, it thinks only of de feating its foes.</t>
  </si>
  <si>
    <t>It usually remains motionless to con serve energy, so that it may un leash its full power in battle.</t>
  </si>
  <si>
    <t>Said to rest qui etly in an undiscovered cave, this POKéMON was created solely for battling.</t>
  </si>
  <si>
    <t>Sen lyhyet siivet tekevät lentämisestä vaikeaa. Sen sijaan tämä Pokémon juoksee kovaa vauhtia kehittyneillä jaloilla.</t>
  </si>
  <si>
    <t>MEWTWO is a POKéMON that was created by genetic manipulation. However, even though the scientific power of humans created this POKéMON’s body, they failed to endow MEWTWO with a compassionate heart.</t>
  </si>
  <si>
    <t>A POKéMON that was created by genetic manipulation. However, even though the scientific power of humans made its body, they failed to give it a warm heart.</t>
  </si>
  <si>
    <t>Dodrio</t>
  </si>
  <si>
    <t>Kolmoislintu-Pokémon</t>
  </si>
  <si>
    <t>A POKéMON whose genetic code was repeatedly recombined for research. It turned vicious as a result.</t>
  </si>
  <si>
    <t>Käyttää kolmea aivoaan monimutkaisten suunnitelmien toteuttamiseen. Kahden pään nukkuessa yksi pysyy hereillä.</t>
  </si>
  <si>
    <t>It was created by a scientist after years of horrific gene-splicing and DNA- engineering experiments.</t>
  </si>
  <si>
    <t>A Pokémon created by recombining MEW’s genes. It’s said to have the most savage heart among Pokémon.</t>
  </si>
  <si>
    <t>Because its battle abilities were raised to the ultimate level, it thinks only of defeating its foes.</t>
  </si>
  <si>
    <t>Toinen DODUOn kahdesta päästä jakautuu muodostaen ainutlaatuisen lajin. Se liikkuu preerioilla lähes 65 kilometriä tunnissa.</t>
  </si>
  <si>
    <t>It usually remains motionless to conserve energy, so that it may unleash its full power in battle.</t>
  </si>
  <si>
    <t>A Pokémon created by recombining Mew’s genes. It’s said to have the most savage heart among Pokémon.</t>
  </si>
  <si>
    <t>Se kerää tietoa ja suunnittelee kolme kertaa viisaammin, mutta se saattaa ajatella liikaa ja lamaantua.</t>
  </si>
  <si>
    <t>It was created by a scientist after years of horrific gene-splicing and DNA-engineering experiments.</t>
  </si>
  <si>
    <t>Jos yksi päistä saa syödä, muutkin tulevat kylläisiksi eivätkä ne enää riitele.</t>
  </si>
  <si>
    <t>Mewtwo is a Pokémon that was created by genetic manipulation. However, even though the scientific power of humans created this Pokémon’s body, they failed to endow Mewtwo with a compassionate heart.</t>
  </si>
  <si>
    <t>Vihollinen, joka irrottaa katseensa mistä tahansa kolmesta päästä – edes sekunniksi – saa ankaran nokkaiskun.</t>
  </si>
  <si>
    <t>Its DNA is almost the same as Mew’s. However, its size and disposition are vastly different.</t>
  </si>
  <si>
    <t>So rare that it is still said to be a mirage by many experts. Only a few people have seen it worldwide.</t>
  </si>
  <si>
    <t>When viewed through a micro scope, this POKéMON's short, fine, delicate hair can be seen.</t>
  </si>
  <si>
    <t>Varo, jos DODRIOn kolme päätä katsovat kolmeen eri suuntaan. Se on varma merkki siitä, että se on varuillaan. Älä mene lähelle tätä POKéMONIA, jos se on varuillaan – se saattaa päättää nokkia sinua.</t>
  </si>
  <si>
    <t>Apparently, it appears only to those people who are pure of heart and have a strong desire to see it.</t>
  </si>
  <si>
    <t>Ilmeisesti päät eivät ole ainoat ruumiinosia, joita DODRIOlla on kolme. Sillä on myös kolme sydäntä ja keuhkoja, joten se pystyy juoksemaan pitkiä matkoja ilman lepoa.</t>
  </si>
  <si>
    <t>Its DNA is said to contain the genet ic codes of all POKéMON, so it can use all kinds of techniques.</t>
  </si>
  <si>
    <t>Because it can learn any move, some people began research to see if it is the ancestor of all POKéMON.</t>
  </si>
  <si>
    <t>Erikoinen kolmipäinen POKéMON-laji. Se kiipeää raivokkaasti ruohoisten tasankojen yli jopa kuivina ja vähäsateisina vuodenaikoina.</t>
  </si>
  <si>
    <t>MEW is said to possess the genetic composition of all POKéMON. It is capable of making itself invisible at will, so it entirely avoids notice even if it approaches people.</t>
  </si>
  <si>
    <t>Harvinainen ja outo laji. Kolme päätä symboloivat iloa, surua ja vihaa.</t>
  </si>
  <si>
    <t>A MEW is said to possess the genes of all POKéMON. It is capable of making itself invisible at will, so it entirely avoids notice even if it approaches people.</t>
  </si>
  <si>
    <t>A POKéMON of South America that was thought to have been extinct. It is very intelligent and learns any move.</t>
  </si>
  <si>
    <t>Käyttää kolmea aivoaan monimutkaisten suunnitelmien toteuttamiseen. Kahden pään nukkuessa toisen sanotaan pysyvän hereillä.</t>
  </si>
  <si>
    <t>Because it can use all kinds of moves, many scientists believe MEW to be the ancestor of Pokémon.</t>
  </si>
  <si>
    <t>Its DNA is said to contain the genetic codes of all Pokémon, so it can use all kinds of techniques.</t>
  </si>
  <si>
    <t>Kun DODUO kehittyy täksi omituiseksi roduksi, toinen sen päistä jakautuu kahtia. Se juoksee lähes 64 km/h nopeudella.</t>
  </si>
  <si>
    <t>Because it can use all kinds of moves, many scientists believe Mew to be the ancestor of Pokémon.</t>
  </si>
  <si>
    <t>Mew is said to possess the genetic composition of all Pokémon. It is capable of making itself invisible at will, so it entirely avoids notice even if it approaches people.</t>
  </si>
  <si>
    <t>When viewed through a microscope, this Pokémon’s short, fine, delicate hair can be seen.</t>
  </si>
  <si>
    <t>A sweet aroma gently wafts from the leaf on its head. It is docile and loves to soak up the sun's rays.</t>
  </si>
  <si>
    <t>Its pleasantly aromatic leaves have the ability to check the hu midity and tem perature.</t>
  </si>
  <si>
    <t>It loves to bask in the sunlight. It uses the leaf on its head to seek out warm places.</t>
  </si>
  <si>
    <t>In battle, CHIKORITA waves its leaf around to keep the foe at bay. However, a sweet fragrance also wafts from the leaf, becalming the battling POKéMON and creating a cozy, friendly atmosphere all around.</t>
  </si>
  <si>
    <t>It waves its leaf around to keep foes at bay. However, a sweet fragrance also wafts from the leaf, creating a friendly atmosphere that becalms the battlers.</t>
  </si>
  <si>
    <t>Se kerää tietoa ja suunnittelee kolme kertaa viisaammin, mutta se saattaa ajatella liikaa ja vaipua liikkumattomuuden tilaan.</t>
  </si>
  <si>
    <t>Its pleasantly aromatic leaves have the ability to check the humidity and temperature.</t>
  </si>
  <si>
    <t>A sweet aroma gently wafts from the leaf on its head. It is docile and loves to soak up the sun’s rays.</t>
  </si>
  <si>
    <t>It uses the leaf on its head to determine the temperature and humidity. It loves to sunbathe.</t>
  </si>
  <si>
    <t>A sweet aroma gently wafts from the leaf on its head. It is docile and loves to soak up sunrays.</t>
  </si>
  <si>
    <t>Its pleasantly aromatic leaf has the ability to check humidity and temperature.</t>
  </si>
  <si>
    <t>Kun doduosta kehittyy tämä omituinen rotu, toinen sen päistä jakautuu kahtia. Se juoksee lähes 64 km/h nopeudella.</t>
  </si>
  <si>
    <t>A sweet aroma gently wafts from the leaf on its head. It is docile and loves to soak up sun rays.</t>
  </si>
  <si>
    <t>In battle, Chikorita waves its leaf around to keep the foe at bay. However, a sweet fragrance also wafts from the leaf, becalming the battling Pokémon and creating a cozy, friendly atmosphere all around.</t>
  </si>
  <si>
    <t>The scent of spices comes from around its neck. Somehow, sniffing it makes you want to fight.</t>
  </si>
  <si>
    <t>A spicy aroma ema nates from around its neck. The aroma acts as a stimulant to re store health.</t>
  </si>
  <si>
    <t>The scent that wafts from the leaves on its neck causes anyone who smells it to become energetic.</t>
  </si>
  <si>
    <t>BAYLEEF’s neck is ringed by curled-up leaves. Inside each tubular leaf is a small shoot of a tree. The fragrance of this shoot makes people peppy.</t>
  </si>
  <si>
    <t>A BAYLEEF’s neck is ringed by curled-up leaves. Inside each leaf is a small tree shoot. The fragrance of this shoot makes people peppy.</t>
  </si>
  <si>
    <t>A spicy aroma emanates from around its neck. The aroma acts as a stimulant to restore health.</t>
  </si>
  <si>
    <t>The buds that ring its neck give off a spicy aroma that perks people up.</t>
  </si>
  <si>
    <t>Bayleef’s neck is ringed by curled-up leaves. Inside each tubular leaf is a small shoot of a tree. The fragrance of this shoot makes people peppy.</t>
  </si>
  <si>
    <t>The aroma that rises from its petals contains a substance that calms aggressive feelings.</t>
  </si>
  <si>
    <t>Varo, jos Dodrion kolme päätä katsovat kolmeen eri suuntaan. Se on varma merkki siitä, että se on varuillaan. Älä mene lähelle tätä Pokémonia, jos se on varuillaan – se saattaa päättää nokkia sinua.</t>
  </si>
  <si>
    <t>MEGANIUM's breath has the power to revive dead grass and plants. It can make them healthy again.</t>
  </si>
  <si>
    <t>Ilmeisesti Dodriolla ei ole ainoita ruumiinosia, joita sillä on kolme. Sillä on myös kolme sydäntä ja keuhkoja, joten se pystyy juoksemaan pitkiä matkoja ilman lepoa.</t>
  </si>
  <si>
    <t>Anyone who stands beside it becomes refreshed, just as if they were relaxing in a sunny forest.</t>
  </si>
  <si>
    <t>The fragrance of MEGANIUM’s flower soothes and calms emotions. In battle, this POKéMON gives off more of its becalming scent to blunt the foe’s fighting spirit.</t>
  </si>
  <si>
    <t>Toinen doduon kahdesta päästä jakautuu muodostaen ainutlaatuisen lajin. Se juoksee preerioilla lähes 64 km/h nopeudella.</t>
  </si>
  <si>
    <t>The fragrance of a MEGANIUM’s flower soothes and calms emotions. In battle, it gives off more of its becalming scent to blunt the foe’s fighting spirit.</t>
  </si>
  <si>
    <t>MEGANIUM’s breath has the power to revive dead grass and plants. It can make them healthy again.</t>
  </si>
  <si>
    <t>Its breath has the fantastic ability to revive dead plants and flowers.</t>
  </si>
  <si>
    <t>Meganium’s breath has the power to revive dead grass and plants. It can make them healthy again.</t>
  </si>
  <si>
    <t>Seel</t>
  </si>
  <si>
    <t>Merileijona-Pokémon</t>
  </si>
  <si>
    <t>The fragrance of Meganium’s flower soothes and calms emotions. In battle, this Pokémon gives off more of its becalming scent to blunt the foe’s fighting spirit.</t>
  </si>
  <si>
    <t>Sen päässä oleva ulkoneva sarvi on erittäin kova. Sitä käytetään paksun jään läpi murskaamiseen.</t>
  </si>
  <si>
    <t>It is timid, and always curls it self up in a ball. If attacked, it flares up its back for protection.</t>
  </si>
  <si>
    <t>It usually stays hunched over. If it is angry or surprised, it shoots flames out of its back.</t>
  </si>
  <si>
    <t>The fire that spouts from its back burns hottest when it is angry. The flaring flames intimidate foes.</t>
  </si>
  <si>
    <t>CYNDAQUIL protects itself by flaring up the flames on its back. The flames are vigorous if the POKéMON is angry. However, if it is tired, the flames splutter fitfully with incomplete combustion.</t>
  </si>
  <si>
    <t>It flares flames from its back to protect itself. The fire burns vigorously if the POKéMON is angry. When it is tired, it sputters with incomplete combustion.</t>
  </si>
  <si>
    <t>It is timid and always curls itself up in a ball. If attacked, it flares up its back for protection.</t>
  </si>
  <si>
    <t>Rakastaa jäätävän kylmyyttä. Nauttii uimisesta noin -14 asteen kylmässä ilmastossa.</t>
  </si>
  <si>
    <t>It has a timid nature. If it is startled, the flames on its back burn more vigorously.</t>
  </si>
  <si>
    <t>It is timid, and always curls itself up in a ball. If attacked, it flares up its back for protection.</t>
  </si>
  <si>
    <t>Cyndaquil protects itself by flaring up the flames on its back. The flames are vigorous if the Pokémon is angry. However, if it is tired, the flames splutter fitfully with incomplete combustion.</t>
  </si>
  <si>
    <t>https://pokeapi.co/api/v2/pokemon-species/77/</t>
  </si>
  <si>
    <t>Vaikka se ei osaa kävellä hyvin maalla, se on sulava uimari. Se rakastaa erityisesti kylmiä meriä.</t>
  </si>
  <si>
    <t>Hails from the Johto region. Though usually curled into a ball due to its timid disposition, it harbors tremendous firepower.</t>
  </si>
  <si>
    <t>Be careful if it turns its back during battle. It means that it will attack with the fire on its back.</t>
  </si>
  <si>
    <t>Päivällä se usein nukkuu merenpohjassa matalassa vedessä. Sen sieraimet sulkeutuvat uinnin aikana.</t>
  </si>
  <si>
    <t>This POKéMON is fully covered by nonflammable fur. It can withstand any kind of fire attack.</t>
  </si>
  <si>
    <t>Vaaleansininen turkki, joka sitä peittää, suojaa sitä kylmältä. Se rakastaa jäävuorien täyttämiä valtameriä.</t>
  </si>
  <si>
    <t>Before battle, it turns its back on its opponent to demonstrate how ferociously its fire blazes.</t>
  </si>
  <si>
    <t>QUILAVA keeps its foes at bay with the intensity of its flames and gusts of superheated air. This POKéMON applies its outstanding nimbleness to dodge attacks even while scorching the foe with flames.</t>
  </si>
  <si>
    <t>SEEL metsästää saalista hyisessä meressä jääpeitteiden alla. Kun sen täytyy hengittää, se tekee reiän jäähän terävästi ulkonevalla päänsä osalla.</t>
  </si>
  <si>
    <t>It intimidates foes with intense gusts of flames and superheated air. Its quick nimbleness lets it dodge attacks even while scorching an enemy.</t>
  </si>
  <si>
    <t>It intimidates foes with the heat of its flames. The fire burns more strongly when it readies to fight.</t>
  </si>
  <si>
    <t>This Pokémon is fully covered by nonflammable fur. It can withstand any kind of fire attack.</t>
  </si>
  <si>
    <t>Quilava keeps its foes at bay with the intensity of its flames and gusts of superheated air. This Pokémon applies its outstanding nimbleness to dodge attacks even while scorching the foe with flames.</t>
  </si>
  <si>
    <t>This creature's fur is most mysterious—it is wholly impervious to the burning touch of flame. Should Quilava turn its back to you, take heed! Such a posture indicates a forthcoming attack.</t>
  </si>
  <si>
    <t>SEEL metsästää saalista kylmissä, jään peittämissä merissä. Kun sen täytyy hengittää, se tekee reiän jäähän terävästi ulkonevalla päänsä osalla.</t>
  </si>
  <si>
    <t>If its rage peaks, it becomes so hot that anything that touches it will instantly go up in flames.</t>
  </si>
  <si>
    <t>Vaaleansinisen turkin peittämä, sen nahka on paksu ja kestävä. Se on aktiivinen jopa -4 celsiusasteen purevassa kylmyydessä.</t>
  </si>
  <si>
    <t>It has a secret, devastating move. It rubs its blaz ing fur together to cause huge explosions.</t>
  </si>
  <si>
    <t>When heat from its body causes the air around it to shimmer, this is a sign that it is ready to battle.</t>
  </si>
  <si>
    <t>Sen päässä oleva ulkoneva sarvi on erittäin kova. Sitä käytetään paksujen jäävuorten läpi murskaamiseen.</t>
  </si>
  <si>
    <t>TYPHLOSION obscures itself behind a shimmering heat haze that it creates using its intensely hot flames. This POKéMON creates blazing explosive blasts that burn everything to cinders.</t>
  </si>
  <si>
    <t>Jäävuorilla elävä Pokémon. Se ui meressä käyttäen päänsä kärkeä jään rikkomiseen.</t>
  </si>
  <si>
    <t>It can hide behind a shimmering heat haze that it creates using its intense flames. TYPHLOSION create blazing explosive blasts that burn everything to cinders.</t>
  </si>
  <si>
    <t>It has a secret, devastating move. It rubs its blazing fur together to cause huge explosions.</t>
  </si>
  <si>
    <t>It attacks using blasts of fire. It creates heat shimmers with intense fire to hide itself.</t>
  </si>
  <si>
    <t>Typhlosion obscures itself behind a shimmering heat haze that it creates using its intensely hot flames. This Pokémon creates blazing explosive blasts that burn everything to cinders.</t>
  </si>
  <si>
    <t>Said to purify lost, forsaken souls with its flames and guide them to the afterlife. I believe its form has been influenced by the energy of the sacred mountain towering at Hisui's center.</t>
  </si>
  <si>
    <t>Its well-developed jaws are powerful and capable of crushing anything. Even its trainer must be careful.</t>
  </si>
  <si>
    <t>It is small but rough and tough. It won't hesitate to take a bite out of anything that moves.</t>
  </si>
  <si>
    <t>This rough critter chomps at any moving object it sees. Turning your back on it is not recommended.</t>
  </si>
  <si>
    <t>Despite the smallness of its body, TOTODILE’s jaws are very powerful. While the POKéMON may think it is just playfully nipping, its bite has enough power to cause serious injury.</t>
  </si>
  <si>
    <t>Despite its small body, TOTODILE’s jaws are very powerful. While it may think it is just playfully nipping, its bite has enough strength to cause serious injury.</t>
  </si>
  <si>
    <t>It is small but rough and tough. It won’t hesitate to take a bite out of anything that moves.</t>
  </si>
  <si>
    <t>Its well-developed jaws are powerful and capable of crushing anything. Even its TRAINER must be careful.</t>
  </si>
  <si>
    <t>It has the habit of biting anything with its developed jaws. Even its Trainer needs to be careful.</t>
  </si>
  <si>
    <t>Its powerful, well-developed jaws are capable of crushing anything. Even its Trainer must be careful.</t>
  </si>
  <si>
    <t>Mitä kylmemmäksi tulee, sitä paremmalta se tuntuu. Se ui iloisesti valtamerissä, jotka ovat niin kylmiä, että ne ovat täynnä kelluvaa jäätä.</t>
  </si>
  <si>
    <t>Despite the smallness of its body, Totodile’s jaws are very powerful. While the Pokémon may think it is just playfully nipping, its bite has enough power to cause serious injury.</t>
  </si>
  <si>
    <t>If it loses a fang, a new one grows back in its place. There are always 48 fangs lining its mouth.</t>
  </si>
  <si>
    <t>It opens its huge jaws wide when attacking. If it loses any fangs while biting, they grow back in.</t>
  </si>
  <si>
    <t>The tips of its fangs are slanted backward. Once those fangs clamp down, the prey has no hope of escape.</t>
  </si>
  <si>
    <t>Once CROCONAW has clamped its jaws on its foe, it will absolutely not let go. Because the tips of its fangs are forked back like barbed fishhooks, they become impossible to remove when they have sunk in.</t>
  </si>
  <si>
    <t>Once its jaws clamp down on its foe, it will absolutely not let go. Because the tips of its fangs are forked back like fishhooks, they become irremovably embedded.</t>
  </si>
  <si>
    <t>Once it bites down, it won’t let go until it loses its fangs. New fangs quickly grow into place.</t>
  </si>
  <si>
    <t>Once Croconaw has clamped its jaws on its foe, it will absolutely not let go. Because the tips of its fangs are forked back like barbed fishhooks, they become impossible to remove when they have sunk in.</t>
  </si>
  <si>
    <t>Vaaleansinisen turkin peittämä, sen nahka on paksu ja kova. Se on aktiivinen purevassa -40 celsiusasteen pakkassa.</t>
  </si>
  <si>
    <t>When it bites with its massive and powerful jaws, it shakes its head and savagely tears its victim up.</t>
  </si>
  <si>
    <t>It is hard for it to support its own weight out of water, so it gets down on all fours. But it moves fast.</t>
  </si>
  <si>
    <t>Although it has a massive body, its powerful hind legs enable it to move quickly, even on the ground.</t>
  </si>
  <si>
    <t>FERALIGATR intimidates its foes by opening its huge mouth. In battle, it will kick the ground hard with its thick and powerful hind legs to charge at the foe at an incredible speed.</t>
  </si>
  <si>
    <t>Seel metsästää saalista hyisessä meressä jääpeitteiden alla. Kun sen täytyy hengittää, se tekee reiän jäähän terävästi ulkonevalla päänsä osalla.</t>
  </si>
  <si>
    <t>It opens its huge mouth to intimidate enemies. In battle, it runs using its thick and powerful hind legs to charge the foe with incredible speed.</t>
  </si>
  <si>
    <t>When it bites with its massive and powerful jaws, it shakes its head and savagely tears up its victim.</t>
  </si>
  <si>
    <t>It usually moves slowly, but it goes at blinding speed when it attacks and bites prey.</t>
  </si>
  <si>
    <t>It is hard for it to support its weight out of water, so it sometimes gets down on all fours. But it moves fast.</t>
  </si>
  <si>
    <t>Feraligatr intimidates its foes by opening its huge mouth. In battle, it will kick the ground hard with its thick and powerful hind legs to charge at the foe at an incredible speed.</t>
  </si>
  <si>
    <t>A very cautious POKéMON, it raises itself up using its tail to get a better view of its surroundings.</t>
  </si>
  <si>
    <t>Seelien on aina oletettu elävän vain kylmissä merissä. Niiden ilmestyminen Alolaan on mysteeri.</t>
  </si>
  <si>
    <t>It stands on its tail so it can see a long way. If it spots an enemy, it cries loudly to warn its kind.</t>
  </si>
  <si>
    <t>When acting as a lookout, it warns others of danger by screeching and hitting the ground with its tail.</t>
  </si>
  <si>
    <t>When SENTRET sleeps, it does so while another stands guard. The sentry wakes the others at the first sign of danger. When this POKéMON becomes separated from its pack, it becomes incapable of sleep due to fear.</t>
  </si>
  <si>
    <t>Paksun rasvansa ansiosta kylmät meret eivät vaivaa sitä lainkaan, mutta lämpimissä vesissä se väsyy melko helposti.</t>
  </si>
  <si>
    <t>They take turns standing guard when it is time to sleep. The sentry awakens the others if it senses danger. If one becomes separated, it turns sleepless with fear.</t>
  </si>
  <si>
    <t>Rakastaa jäätävän kylmyyttä. Nauttii uimisesta noin -5 celsiusasteen kylmässä ilmastossa.</t>
  </si>
  <si>
    <t>It has a very nervous nature. It stands up high on its tail so it can scan wide areas.</t>
  </si>
  <si>
    <t>A very cautious Pokémon, it raises itself up using its tail to get a better view of its surroundings.</t>
  </si>
  <si>
    <t>When Sentret sleeps, it does so while another stands guard. The sentry wakes the others at the first sign of danger. When this Pokémon becomes separated from its pack, it becomes incapable of sleep due to fear.</t>
  </si>
  <si>
    <t>Dewgong</t>
  </si>
  <si>
    <t>It makes a nest to suit its long and skinny body. The nest is impossible for other POKéMON to enter.</t>
  </si>
  <si>
    <t>Varastoi lämpöenergiaa kehoonsa. Ui tasaisesti 8 solmun nopeudella jopa erittäin kylmissä vesissä.</t>
  </si>
  <si>
    <t>There is no tell ing where the tail begins. Despite its short legs, it is quick at hunt ing RATTATA.</t>
  </si>
  <si>
    <t>It lives in narrow burrows that fit its slim body. The deeper the nests go, the more maze like they become.</t>
  </si>
  <si>
    <t>FURRET has a very slim build. When under attack, it can slickly squirm through narrow spaces and get away. In spite of its short limbs, this POKéMON is very nimble and fleet.</t>
  </si>
  <si>
    <t>Sen koko ruumis on lumivalkoinen. Se ei vahingoita itseään edes kovasta kylmyydestä ja ui voimakkaasti jäisissä vesissä.</t>
  </si>
  <si>
    <t>A FURRET has a very slim build. When under attack, it can squirm through narrow spaces and get away. In spite of its short limbs, it is very nimble and fleet.</t>
  </si>
  <si>
    <t>There is no telling where its tail begins. Despite its short legs, it is quick at hunting RATTATA.</t>
  </si>
  <si>
    <t>Sen virtaviivainen vartalo vastustaa vähän vedessä. Mitä kylmempi lämpötila, sitä reippaammaksi se muuttuu.</t>
  </si>
  <si>
    <t>The mother puts its offspring to sleep by curling up around them. It corners foes with speed.</t>
  </si>
  <si>
    <t>It makes a nest to suit its long and skinny body. The nest is impossible for other Pokémon to enter.</t>
  </si>
  <si>
    <t>Se rakastaa kylmiä meriä, joissa on jäälauttoja. Se käyttää pitkää häntäänsä uintisuunnan nopeaan vaihtamiseen.</t>
  </si>
  <si>
    <t>There is no telling where the tail begins. Despite its short legs, it is quick and likes to chase RATTATA.</t>
  </si>
  <si>
    <t>Furret has a very slim build. When under attack, it can slickly squirm through narrow spaces and get away. In spite of its short limbs, this Pokémon is very nimble and fleet.</t>
  </si>
  <si>
    <t>It always stands on one foot. It changes feet so fast, the movement can rarely be seen.</t>
  </si>
  <si>
    <t>Se nukkuu päivisin matalassa meren vedessä ja etsii sitten ruokaa yöllä, kun on kylmä.</t>
  </si>
  <si>
    <t>It has a perfect sense of time. Whatever happens, it keeps rhythm by precisely tilting its head in time.</t>
  </si>
  <si>
    <t>It begins to hoot at the same time every day. Some trainers use them in place of clocks.</t>
  </si>
  <si>
    <t>HOOTHOOT has an internal organ that senses and tracks the earth’s rotation. Using this special organ, this POKéMON begins hooting at precisely the same time every day.</t>
  </si>
  <si>
    <t>It has an internal organ that senses the earth’s rotation. Using this special organ, a HOOTHOOT begins hooting at precisely the same time every day.</t>
  </si>
  <si>
    <t>DEWGONG rakastaa torkkua purevan kylmällä jäällä. Eräs merenkulkija luuli kauan sitten virheellisesti tämän jäätiköllä nukkuvan POKéMONin olevan merenneito.</t>
  </si>
  <si>
    <t>It always stands on one foot. Even when attacked, it does not brace itself using both feet.</t>
  </si>
  <si>
    <t>It switches its standing foot so quickly, it can’t be seen. It cries at the same time every day.</t>
  </si>
  <si>
    <t>It marks time precisely. Some countries consider it to be a wise friend, versed in the world’s ways.</t>
  </si>
  <si>
    <t>Hoothoot has an internal organ that senses and tracks the earth’s rotation. Using this special organ, this Pokémon begins hooting at precisely the same time every day.</t>
  </si>
  <si>
    <t>Every day, it tilts its head in the same rhythm. A long time ago, people raised these Pokémon to serve as clocks.</t>
  </si>
  <si>
    <t>It cries out at the same time every day. A long time ago, people cherished it and considered it a divine messenger sent to tell the time.</t>
  </si>
  <si>
    <t>It begins to hoot at the same time every day. Some Trainers use them in place of clocks.</t>
  </si>
  <si>
    <t>Its eyes are specially adapted. They concentrate even faint light and enable it to see in the dark.</t>
  </si>
  <si>
    <t>When it needs to think, it rotates its head 180 de grees to sharpen its intellectual power.</t>
  </si>
  <si>
    <t>Its extremely soft feathers make no sound in flight. It silently sneaks up on prey without being detected.</t>
  </si>
  <si>
    <t>Se rakastaa torkkua purevan kylmällä jäällä. Eräs merenkulkija luuli kauan sitten virheellisesti tämän jäätiköllä nukkuvan POKéMONin olevan merenneito.</t>
  </si>
  <si>
    <t>NOCTOWL never fails at catching prey in darkness. This POKéMON owes its success to its superior vision that allows it to see in minimal light, and to its soft, supple wings that make no sound in flight.</t>
  </si>
  <si>
    <t>Sen ruumis on peitetty puhtaanvalkoisella turkilla. Mitä kylmempi sää, sitä aktiivisemmaksi se muuttuu.</t>
  </si>
  <si>
    <t>https://pokeapi.co/api/v2/pokemon-species/78/</t>
  </si>
  <si>
    <t>Se varastoi lämpöenergiaa kehoonsa. Se ui tasaisesti kahdeksan solmun nopeudella jopa erittäin kylmissä vesissä.</t>
  </si>
  <si>
    <t>It unfailingly catches prey in darkness. NOCTOWL owe their success to superior vision that allows them to see in minimal light, and to their supple and silent wings.</t>
  </si>
  <si>
    <t>Lumessa sen vartaloa peittävä puhtaanvalkoinen turkki suojaa sitä saalistajilta.</t>
  </si>
  <si>
    <t>When it needs to think, it rotates its head 180 degrees to sharpen its intellectual power.</t>
  </si>
  <si>
    <t>Its eyes are special. They can pick out objects as long as there is the tiniest amount of light.</t>
  </si>
  <si>
    <t>If it flips its head upside down, it’s a sign that it is engaged in very complex thinking.</t>
  </si>
  <si>
    <t>Its eyes are specially developed to enable it to see clearly even in murky darkness and minimal light.</t>
  </si>
  <si>
    <t>Noctowl never fails at catching prey in darkness. This Pokémon owes its success to its superior vision that allows it to see in minimal light, and to its soft, supple wings that make no sound in flight.</t>
  </si>
  <si>
    <t>With eyes that can see in pitch-darkness, it never lets its prey escape. Some even call it “the emperor of dark nights.”</t>
  </si>
  <si>
    <t>When it turns its head entirely upside down, you know it’s troubled by something. If you don’t leave it be, it will peck you.</t>
  </si>
  <si>
    <t>It is very timid. It will be afraid to move if it is alone. But it will be active if it is in a group.</t>
  </si>
  <si>
    <t>When the weather turns cold, lots of LEDYBA gather from everywhere to cluster and keep each other warm.</t>
  </si>
  <si>
    <t>It is timid and clusters together with others. The fluid secreted by its feet indicates its location.</t>
  </si>
  <si>
    <t>Sen virtaviivaisella rungolla on alhainen vastus, ja se ui kylmissä valtamerissä kahdeksan solmun nopeudella.</t>
  </si>
  <si>
    <t>LEDYBA secretes an aromatic fluid from where its legs join its body. This fluid is used for communicating with others. This POKéMON conveys its feelings to others by altering the fluid’s scent.</t>
  </si>
  <si>
    <t>LEDYBA communicate using a fluid that they secrete from where the legs join the body. They are said to convey feelings to others by altering the fluid’s scent.</t>
  </si>
  <si>
    <t>When the weather turns cold, numerous LEDYBA gather from everywhere to cluster and keep each other warm.</t>
  </si>
  <si>
    <t>It is so timid, it can’t move if it isn’t with a swarm of others. It conveys its feelings with scent.</t>
  </si>
  <si>
    <t>When the weather turns cold, lots of Ledyba gather from everywhere to cluster and keep each other warm.</t>
  </si>
  <si>
    <t>Ledyba secretes an aromatic fluid from where its legs join its body. This fluid is used for communicating with others. This Pokémon conveys its feelings to others by altering the fluid’s scent.</t>
  </si>
  <si>
    <t>They are timid and grow uneasy when not in a swarm with others of their kind. The pattern on their backs differs slightly from one to another.</t>
  </si>
  <si>
    <t>They communicate with one another using bodily fluids that give off odors. When they’re angry, their odor smells sour.</t>
  </si>
  <si>
    <t>This Pokémon is very sensitive to cold. In the warmth of Alola, it appears quite lively.</t>
  </si>
  <si>
    <t>These very cowardly Pokémon join together and use Reflect to protect their nest.</t>
  </si>
  <si>
    <t>Dewgong rakastaa torkkua purevan kylmällä jäällä. Eräs merenkulkija luuli kauan sitten virheellisesti tämän jäätiköllä nukkuvan Pokémonin olevan merenneito.</t>
  </si>
  <si>
    <t>When the stars flicker in the night sky, it flutters about, scattering a glowing powder.</t>
  </si>
  <si>
    <t>The star patterns on its back grow larger or smaller depending on the number of stars in the night sky.</t>
  </si>
  <si>
    <t>In the daytime when it gets warm, it curls up inside a big leaf and drifts off into a deep slumber.</t>
  </si>
  <si>
    <t>It is said that in lands with clean air, where the stars fill the sky, there live LEDIAN in countless numbers. There is a good reason for this - the POKéMON uses the light of the stars as its energy.</t>
  </si>
  <si>
    <t>It is said that in lands with clean air, where the stars fill the sky, there live many LEDIAN. For good reason, they use the light of the stars as energy.</t>
  </si>
  <si>
    <t>It uses starlight as energy. When more stars appear at night, the patterns on its back grow larger.</t>
  </si>
  <si>
    <t>The spot patterns on its back grow larger or smaller depending on the number of stars in the night sky.</t>
  </si>
  <si>
    <t>It is said that in lands with clean air, where the stars fill the sky, there live Ledian in countless numbers. There is a good reason for this—the Pokémon uses the light of the stars as its energy.</t>
  </si>
  <si>
    <t>While it’s believed that starlight provides it with energy, this Pokémon also loves to eat berries. In the daytime, it curls up in the grass to sleep.</t>
  </si>
  <si>
    <t>In battle, it throws punches with all four arms. The power of each individual blow is piddly, so it aims to win by quantity rather than quality.</t>
  </si>
  <si>
    <t>Se ui valtameren halki kahdeksan solmun nopeudella etsien Pokémoneja, joista tulisi sen saalis. Se on erityisen ihastunut Wishiwashiin.</t>
  </si>
  <si>
    <t>It’s said that the patterns on its back are related to the stars in the night sky, but the details of that relationship remain unclear.</t>
  </si>
  <si>
    <t>It flies through the night sky, sprinkling sparkly dust. According to some, if that dust sticks to you, good things will happen to you.</t>
  </si>
  <si>
    <t>It lies still in the same pose for days in its web, waiting for its unsuspecting prey to wander close.</t>
  </si>
  <si>
    <t>Se ottaa aurinkoa rannalla aterioiden jälkeen. Sen ruumiinlämmön nousu auttaa sen ruoansulatusta.</t>
  </si>
  <si>
    <t>It spins a web using fine--but durable--thread. It then waits pa tiently for prey to be trapped.</t>
  </si>
  <si>
    <t>If prey becomes ensnared in its nest of spun string, it waits motionlessly until it becomes dark.</t>
  </si>
  <si>
    <t>The web spun by SPINARAK can be considered its second nervous system. It is said that this POKéMON can determine what kind of prey is touching its web just by the tiny vibrations it feels through the web’s strands.</t>
  </si>
  <si>
    <t>The web it spins can be considered its second nervous system. It is said that a SPINARAK determines its prey by the tiny vibrations it feels through the web.</t>
  </si>
  <si>
    <t>It spins a web using fine--but durable-- thread. It then waits patiently for prey to be trapped.</t>
  </si>
  <si>
    <t>It sets a trap by spinning a web with thin but strong silk. It waits motionlessly for prey to arrive.</t>
  </si>
  <si>
    <t>Grimer</t>
  </si>
  <si>
    <t>It spins a web using fine--but durable--thread. It then waits patiently for prey to be trapped.</t>
  </si>
  <si>
    <t>Liete-Pokémon</t>
  </si>
  <si>
    <t>The web spun by Spinarak can be considered its second nervous system. It is said that this Pokémon can determine what kind of prey is touching its web just by the tiny vibrations it feels through the web’s strands.</t>
  </si>
  <si>
    <t>Esiintyy likaisilla alueilla. Viihtyy imemällä tehtaista pumpattua saastunutta lietettä.</t>
  </si>
  <si>
    <t>It waits intently until its preferred prey, Cutiefly, gets caught in its web. In fact, it’s quite a patient Pokémon.</t>
  </si>
  <si>
    <t>Some fishermen weave its sturdy thread into nets to catch fish Pokémon.</t>
  </si>
  <si>
    <t>With threads from its mouth, it fashions sturdy webs that won’t break even if you set a rock on them.</t>
  </si>
  <si>
    <t>Although the poison from its fangs isn’t that strong, it’s potent enough to weaken prey that gets caught in its web.</t>
  </si>
  <si>
    <t>It spins string not only from its rear but also from its mouth. It is hard to tell which end is which.</t>
  </si>
  <si>
    <t>A single strand of a special string is endlessly spun out of its rear. The string leads back to its nest.</t>
  </si>
  <si>
    <t>Rather than mak ing a nest in one specific spot, it wanders in search of food after darkness falls.</t>
  </si>
  <si>
    <t>Tehty kovettuneesta lietteestä. Se haisee liian mädäntyneelle koskettavaksi. Edes rikkaruohot eivät kasva sen tielle.</t>
  </si>
  <si>
    <t>ARIADOS’s feet are tipped with tiny hooked claws that enable it to scuttle on ceilings and vertical walls. This POKéMON constricts the foe with thin and strong silk webbing.</t>
  </si>
  <si>
    <t>Its feet are tipped with tiny hooked claws that enable it to scuttle on ceilings and vertical walls. It constricts its foe with thin and strong silk webbing.</t>
  </si>
  <si>
    <t>It attaches silk to its prey and sets it free. Later, it tracks the silk to the prey and its friends.</t>
  </si>
  <si>
    <t>Liikkuessaan se menettää ruumiinsa osia, joista muodostuu uutta GRIMERiä. Tämä pahentaa sitä ympäröivää hajua.</t>
  </si>
  <si>
    <t>It spins string not only from its rear but also from its mouth. It’s hard to tell which end is which.</t>
  </si>
  <si>
    <t>Ariados’s feet are tipped with tiny hooked claws that enable it to scuttle on ceilings and vertical walls. This Pokémon constricts the foe with thin and strong silk webbing.</t>
  </si>
  <si>
    <t>Minne tahansa GRIMER on kulkenut, jäljelle on jäänyt niin paljon bakteereja, ettei mikään kasvi enää koskaan kasva.</t>
  </si>
  <si>
    <t>There are some areas where people use the string Ariados spins for their own weaving. The resulting cloth is popular for its strength.</t>
  </si>
  <si>
    <t>Kun kahden tällaisen POKéMONin ruumiit yhdistyvät, syntyy uusia myrkkyjä.</t>
  </si>
  <si>
    <t>It spins thread from both its rear and its mouth. Then it wraps its prey up in thread and sips their bodily fluids at its leisure.</t>
  </si>
  <si>
    <t>GRIMERin liejuinen ja kumimainen ruumis voidaan työntää mistä tahansa aukosta, olipa se kuinka pieni tahansa. Tämä POKéMON menee viemäriputkiin juodakseen likaista jätevettä.</t>
  </si>
  <si>
    <t>Every night, it wanders around in search of prey, whose movements it restrains by spewing threads before it bites into them with its fangs.</t>
  </si>
  <si>
    <t>It spews threads from its mouth to catch its prey. When night falls, it leaves its web to go hunt aggressively.</t>
  </si>
  <si>
    <t>GRIMER nousi saastuneelle merenpohjalle laskeutuneesta lieteestä. Tämä POKéMON rakastaa kaikkea saastaista. Se vuotaa jatkuvasti kammottavan bakteeripitoista nestettä kaikkialta kehostaan.</t>
  </si>
  <si>
    <t>It flies so si lently through the dark on its four wings that it may not be noticed even when nearby.</t>
  </si>
  <si>
    <t>The development of wings on its legs enables it to fly fast but also makes it tough to stop and rest.</t>
  </si>
  <si>
    <t>As a result of its pursuit of faster, yet more silent flight, a new set of wings grew on its hind legs.</t>
  </si>
  <si>
    <t>If this POKéMON is flying by fluttering only a pair of wings on either the forelegs or hind legs, it’s proof that CROBAT has been flying a long distance. It switches the wings it uses if it is tired.</t>
  </si>
  <si>
    <t>Meren saastuneesta lietteestä syntyneiden GRIMERien lempiruoka on kaikki likainen. Ne syövät tehtaiden pumppaamasta jätevedestä.</t>
  </si>
  <si>
    <t>CROBAT sneaks up on its intended prey using wings that barely make a sound. This POKéMON rests by hanging on a tree branch with its rear legs that serve as wings.</t>
  </si>
  <si>
    <t>Kuun röntgensäteille altistunut liete muuttui GRIMERiksi. Se rakastaa likaisten asioiden syömistä.</t>
  </si>
  <si>
    <t>Over the course of evolution, its hind legs turned into wings. By alternately resting its front and rear wings, it can fly all day without having to stop.</t>
  </si>
  <si>
    <t>It flies so silently through the dark on its four wings that it may not be noticed even when nearby.</t>
  </si>
  <si>
    <t>Esiintyy likaisilla alueilla. Se viihtyy imemällä tehtaista pumpattua saastunutta lietettä.</t>
  </si>
  <si>
    <t>Having four wings enables it to fly faster and more quietly. It turns active when the night comes.</t>
  </si>
  <si>
    <t>A Pokémon that gained vastly enhanced flying performance by having its legs turn into wings.</t>
  </si>
  <si>
    <t>The transformation of its legs into wings made it better at flying, but more clumsy at walking.</t>
  </si>
  <si>
    <t>Having four wings allows it to fly more quickly and quietly so it can sneak up on prey without its noticing.</t>
  </si>
  <si>
    <t>If this Pokémon is flying by fluttering only a pair of wings on either the forelegs or hind legs, it’s proof that Crobat has been flying a long distance. It switches the wings it uses if it is tired.</t>
  </si>
  <si>
    <t>Se syntyi, kun likaisen puron liete altistettiin kuun röntgensäteille. Se näkyy saastan joukossa.</t>
  </si>
  <si>
    <t>Crobat sneaks up on its intended prey using wings that barely make a sound. This Pokémon rests by hanging on a tree branch with its rear legs that serve as wings.</t>
  </si>
  <si>
    <t>Both its legs became wings, and as a result, it can’t move well on the ground. All it can do is crawl around.</t>
  </si>
  <si>
    <t>Silent and swift in its four-winged flight, it bites down on its prey before they realize what’s happening. In a heartbeat, it drains their blood.</t>
  </si>
  <si>
    <t>Its fangs are so sharp, if it bites you in the dark and sucks your blood, you won’t notice any pain or realize you’ve been bitten.</t>
  </si>
  <si>
    <t>It feeds on the blood of living people and Pokémon. If it can’t drink any blood for even a short while, it becomes weak and unable to fly.</t>
  </si>
  <si>
    <t>Both of its legs have turned into wings. Without a sound, Crobat flies swiftly toward its prey and sinks its fangs into the nape of its target’s neck.</t>
  </si>
  <si>
    <t>Liikkuessaan se menettää osia ruumiistaan, joista muodostuu uutta GRIMERiä. Tämä pahentaa sitä ympäröivää hajua.</t>
  </si>
  <si>
    <t>https://pokeapi.co/api/v2/pokemon-species/79/</t>
  </si>
  <si>
    <t>This Pokémon flaps its four wings skillfully. Crobat can fly through cramped caves without needing to slow down.</t>
  </si>
  <si>
    <t>Its hind limbs have become another set of wings. Crobat expertly maneuvers its four wings to dart in exquisite fashion through even the most confined caves without losing any speed.</t>
  </si>
  <si>
    <t>It shoots positive and negative elec tricity between the tips of its two antennae and zaps its enemies.</t>
  </si>
  <si>
    <t>On the dark ocean floor, its only means of communi cation is its constantly flash ing lights.</t>
  </si>
  <si>
    <t>Its antennae, whi ch evolved from a fin, have both po sitive and neg ative charges flo wing through them.</t>
  </si>
  <si>
    <t>CHINCHOU lets loose positive and negative electrical charges from its two antennas to make its prey faint. This POKéMON flashes its electric lights to exchange signals with others.</t>
  </si>
  <si>
    <t>Lietteestä syntyneet Pokémonit kerääntyvät nyt saastuneisiin paikkoihin ja lisäävät bakteerien määrää kehossaan.</t>
  </si>
  <si>
    <t>CHINCHOU’s two antennas are filled with cells that generate strong electricity. This POKéMON’s cells create so much electrical power, it even makes itself tingle slightly.</t>
  </si>
  <si>
    <t>When it senses danger, it discharges positive and negative electricity from its two antennae. It lives in depths beyond sunlight’s reach.</t>
  </si>
  <si>
    <t>On the dark ocean floor, its only means of communication is its constantly flashing lights.</t>
  </si>
  <si>
    <t>Kuun röntgensäteille altistunut liete muuttui grimeriksi. Se rakastaa likaisten asioiden syömistä.</t>
  </si>
  <si>
    <t>It shoots positive and negative electricity between the tips of its two antennae and zaps its enemies.</t>
  </si>
  <si>
    <t>It discharges positive and negative electricity from its antenna tips to shock its foes.</t>
  </si>
  <si>
    <t>Chinchou lets loose positive and negative electrical charges from its two antennas to make its prey faint. This Pokémon flashes its electric lights to exchange signals with others.</t>
  </si>
  <si>
    <t>Grimerin mudun ja kumin kaltainen ruumis voidaan työntää mistä tahansa aukosta, olipa se kuinka pieni tahansa. Tämä Pokémon menee viemäriputkiin juodakseen likaista jätevettä.</t>
  </si>
  <si>
    <t>Chinchou’s two antennas are filled with cells that generate strong electricity. This Pokémon’s cells create so much electrical power, it even makes itself tingle slightly.</t>
  </si>
  <si>
    <t>Grimer nousi saastuneelle merenpohjalle laskeutuneesta lieteestä. Tämä Pokémon rakastaa kaikkea saastaista. Se vuotaa jatkuvasti kammottavan bakteeripitoista nestettä kaikkialta kehostaan.</t>
  </si>
  <si>
    <t>Its two antennae were originally fins. It discharges electricity to stun its prey before attacking.</t>
  </si>
  <si>
    <t>Sen tärkein ravinnonlähde on tehtaiden limaiset teollisuusjätteet. Tämän Pokémonin määrä on vähentynyt viime vuosina.</t>
  </si>
  <si>
    <t>It lives in the depths beyond the reach of sunlight. It flashes lights on its antennae to communicate with others of its kind.</t>
  </si>
  <si>
    <t>Its two antennae glow softly to lure in prey, making it a useful Pokémon for night fishing.</t>
  </si>
  <si>
    <t>Se syntyi lietteestä, joka muuttui altistuttuaan kuun röntgensäteille. Kun sen sisäinen bakteerikuorma vähenee, se kuolee.</t>
  </si>
  <si>
    <t>Chinchou blink their shining antennae at one another to claim their respective turf.</t>
  </si>
  <si>
    <t>Se syntyi merenpohjan lieteestä. Steriilissä ympäristössä sen kehon bakteerit eivät voi lisääntyä, ja se kuolee.</t>
  </si>
  <si>
    <t>Its antennae, which evolved from a fin, have both positive and negative charges flowing through them.</t>
  </si>
  <si>
    <t>Tehtaiden jätevedet ovat nykyään puhtaita, joten grimereillä ei ole mitään syötävää. Niiden sanotaan olevan sukupuuton partaalla.</t>
  </si>
  <si>
    <t>The light it emits is so bright that it can illuminate the sea's surface from a depth of over three miles.</t>
  </si>
  <si>
    <t>Tehty jähmettyneestä lietteestä. Se haisee liian mädäntyneelle koskettavaksi. Edes rikkaruohot eivät kasva sen tielle.</t>
  </si>
  <si>
    <t>It blinds prey with an intense burst of light, then swallows the immobilized prey in a single gulp.</t>
  </si>
  <si>
    <t>This POKéMON uses the bright part of its body, which changed from a dorsal fin, to lure prey.</t>
  </si>
  <si>
    <t>LANTURN is nicknamed “the deep-sea star” for its illuminated antenna. This POKéMON produces light by causing a chemical reaction between bacteria and its bodily fluids inside the antenna.</t>
  </si>
  <si>
    <t>Muk</t>
  </si>
  <si>
    <t>LANTURN is known to emit light. If you peer down into the dark sea from a ship at night, you can sometimes see this POKéMON’s light rising from the depths where it swims. It gives the sea an appearance of a starlit night.</t>
  </si>
  <si>
    <t>Paksusti likaisen, iljettävän lietteen peitossa. Se on niin myrkyllistä, että jopa sen jalanjäljet ​​sisältävät myrkkyä.</t>
  </si>
  <si>
    <t>The light-emitting orbs on its back are very bright. They are formed from a part of its dorsal fin. This POKéMON illuminates the inky darkness of deep seas.</t>
  </si>
  <si>
    <t>The light it emits is so bright that it can illuminate the sea’s surface from a depth of over three miles.</t>
  </si>
  <si>
    <t>LANTURN’s light can shine up from great depths. It is nicknamed “The Deep-Sea Star.”</t>
  </si>
  <si>
    <t>It blinds prey with an intense burst of light. With the prey incapacitated, the Pokémon swallows it in a single gulp.</t>
  </si>
  <si>
    <t>Se haisee niin kamalalta, että se voi aiheuttaa pyörtymisen. Se menetti rappeutumisen vuoksi hajuaistinsa.</t>
  </si>
  <si>
    <t>Lanturn’s light can shine up from great depths. It is nicknamed “The Deep-Sea Star.”</t>
  </si>
  <si>
    <t>Lanturn is nicknamed “the deep-sea star” for its illuminated antenna. This Pokémon produces light by causing a chemical reaction between bacteria and its bodily fluids inside the antenna.</t>
  </si>
  <si>
    <t>Ne rakastavat kokoontua haiseville alueille, joissa lietettä kertyy ja pahentaa ympärillä olevaa hajua.</t>
  </si>
  <si>
    <t>Lanturn is known to emit light. If you peer down into the dark sea from a ship at night, you can sometimes see this Pokémon’s light rising from the depths where it swims. It gives the sea an appearance of a starlit night.</t>
  </si>
  <si>
    <t>Should you peer into the ocean at night and see a light shining like the stars, that is Lanturn.</t>
  </si>
  <si>
    <t>This Pokémon flashes a bright light that blinds its prey. This creates an opening for it to deliver an electrical attack.</t>
  </si>
  <si>
    <t>Sen ruumis on tehty voimakkaasta myrkystä. Sen vahingossa koskettaminen aiheuttaa kuumetta, joka vaatii vuodelepoa.</t>
  </si>
  <si>
    <t>When the bacteria living inside its antennae absorb Lanturn’s bodily fluids, a strong luminescent effect is produced.</t>
  </si>
  <si>
    <t>It lives far down in the depths of the ocean. It blinds its prey with light, using the moment they’re dazzled to swallow them whole.</t>
  </si>
  <si>
    <t>It is not yet skilled at storing electricity. It may send out a jolt if amused or startled.</t>
  </si>
  <si>
    <t>Sen liikkuessa siitä vuotaa erittäin voimakasta myrkkyä, joka tekee maan karuksi kolmeksi vuodeksi.</t>
  </si>
  <si>
    <t>Despite its small size, it can zap even adult humans. However, if it does so, it also surprises itself.</t>
  </si>
  <si>
    <t>It is unskilled at storing electric power. Any kind of shock causes it to discharge energy spontaneously.</t>
  </si>
  <si>
    <t>PICHU charges itself with electricity more easily on days with thunderclouds or when the air is very dry. You can hear the crackling of static electricity coming off this POKéMON.</t>
  </si>
  <si>
    <t>MUKin ruumiista tihkuu iljettävää nestettä, joka löyhkää nenää koukistavasti. Jopa yksi pisara tämän POKéMONin ruumiinnestettä voi muuttaa altaan seisovaksi ja härskiintyneeksi.</t>
  </si>
  <si>
    <t>When PICHU plays with others, it may short out electricity with another PICHU, creating a shower of sparks. In that event, this POKéMON will begin crying, startled by the flash of sparks.</t>
  </si>
  <si>
    <t>It is still inept at retaining electricity. When it is startled, it discharges power accidentally. It gets better at holding power as it grows older.</t>
  </si>
  <si>
    <t>Tämän POKéMONin lempiruoka on kaikki vastenmielisen likainen. Likaisissa kaupungeissa, joissa ihmiset eivät välitä heittää roskia kaduille, MUKit kokoontuvat varmasti.</t>
  </si>
  <si>
    <t>The electric pouches on its cheeks are still small. They cannot store much electricity yet.</t>
  </si>
  <si>
    <t>It plays with others by touching tails and setting off sparks. This appears to be a test of courage.</t>
  </si>
  <si>
    <t>Se viihtyy lämpimissä ja kosteissa elinympäristöissä. Kesällä sen elimistössä olevat myrkylliset aineet voimistuvat, minkä seurauksena MUK haisee mädäntyneeltä keittiöjätteeltä.</t>
  </si>
  <si>
    <t>The electric sacs in its cheeks are small. If even a little electricity leaks, it becomes shocked.</t>
  </si>
  <si>
    <t>Pichu charges itself with electricity more easily on days with thunderclouds or when the air is very dry. You can hear the crackling of static electricity coming off this Pokémon.</t>
  </si>
  <si>
    <t>Se on yleensä huomaamaton, koska se sulautuu maahan. Sen koskettaminen voi aiheuttaa vakavan myrkytyksen.</t>
  </si>
  <si>
    <t>When Pichu plays with others, it may short out electricity with another Pichu, creating a shower of sparks. In that event, this Pokémon will begin crying, startled by the flash of sparks.</t>
  </si>
  <si>
    <t>It is not yet skilled at controlling electricity. If you take your eyes off it, it may shock itself.</t>
  </si>
  <si>
    <t>Sen kehosta vuotaa myrkyllistä nestettä. Neste tappaa kasvit ja puut välittömästi joutuessaan kosketuksiin sen kanssa.</t>
  </si>
  <si>
    <t>Despite this Pokémon’s cute appearance, those who want to live with one should prepare to be on the receiving end of its electric jolts.</t>
  </si>
  <si>
    <t>It still can’t use electricity well. When it’s surprised or excited, it discharges electricity unintentionally.</t>
  </si>
  <si>
    <t>It has electric sacs in its cheeks. When they’re fully charged, Pichu plays very energetically.</t>
  </si>
  <si>
    <t>Ne rakastavat kokoontua haiseville alueille, joille kertyy lietettä, mikä pahentaa niiden ympärillä olevaa hajua.</t>
  </si>
  <si>
    <t>Pichu stores electricity in the sacs on its cheeks but discharges it inadvertently when agitated or excited. Being yet immature, the Pokémon's handling of electricity is rather inept.</t>
  </si>
  <si>
    <t>Sen ruumis on tehty voimakkaasta myrkystä. Sen vahingossa tapahtuva koskettaminen aiheuttaa kuumetta, joka vaatii vuodelepoon ryhtymistä.</t>
  </si>
  <si>
    <t>Because of its unusual, star-like silhouette, people believe that it came here on a meteor.</t>
  </si>
  <si>
    <t>When numerous me teors illuminate the night sky, sightings of CLEFFA strangely increase.</t>
  </si>
  <si>
    <t>If the impact site of a meteorite is found, this POKéMON is certain to be within the immediate area.</t>
  </si>
  <si>
    <t>On nights with many shooting stars, CLEFFA can be seen dancing in a ring. They dance through the night and stop only at the break of day, when these POKéMON quench their thirst with the morning dew.</t>
  </si>
  <si>
    <t>On nights with many shooting stars, CLEFFA can be seen dancing in a ring. They dance until daybreak, when they quench their thirst with the morning dew.</t>
  </si>
  <si>
    <t>Se on niin pahalle haisevaa! Mukin keho sisältää myrkyllisiä alkuaineita, ja mikä tahansa kasvi kuihtuu sen ohi kulkiessa.</t>
  </si>
  <si>
    <t>When numerous meteors illuminate the night sky, sightings of CLEFFA strangely increase.</t>
  </si>
  <si>
    <t>Because of its unusual, starlike silhouette, people believe that it came here on a meteor.</t>
  </si>
  <si>
    <t>Its silhouette is like a star. It is believed to arrive riding on shooting stars.</t>
  </si>
  <si>
    <t>Many appear when the night skies are filled with shooting stars. They disappear with sunrise.</t>
  </si>
  <si>
    <t>It is often seen when shooting stars fill the night skies. It’s said to arrive riding on a shooting star.</t>
  </si>
  <si>
    <t>According to local rumors, Cleffa are often seen in places where shooting stars have fallen.</t>
  </si>
  <si>
    <t>On nights with many shooting stars, Cleffa can be seen dancing in a ring. They dance through the night and stop only at the break of day, when these Pokémon quench their thirst with the morning dew.</t>
  </si>
  <si>
    <t>Mukin ruumiista tihkuu iljettävää nestettä, joka löyhkää nenää koukistavasti. Jopa yksi pisara tämän Pokémonin ruumiinnestettä voi muuttaa lammen seisovaksi ja härskiintyneeksi.</t>
  </si>
  <si>
    <t>On late nights illuminated by shooting stars, it gazes intently skyward, as if thinking of its home.</t>
  </si>
  <si>
    <t>Tämän Pokémonin lempiruoka on kaikki vastenmielisen likainen. Likaisissa kaupungeissa, joissa ihmiset eivät välitä heittää roskia kaduille, Mukit kokoontuvat varmasti.</t>
  </si>
  <si>
    <t>Because of its silhouette, it’s believed to be a star reborn. For some reason, it loves Minior.</t>
  </si>
  <si>
    <t>On nights with many shooting stars, they gather in packs and dance in circles. If you should see them, something good will happen!</t>
  </si>
  <si>
    <t>Sen levittämä haju saa nenän rypistymään. Silti on Muk-faneja, jotka ajattelevat, että se on hyvä asia.</t>
  </si>
  <si>
    <t>Said to have ridden here on a shooting star, Cleffa seem to appear in places where meteorites have struck in the past.</t>
  </si>
  <si>
    <t>Viimeaikaisten ympäristöparannusten jälkeen tätä Pokémonia ei juurikaan nähdä. Ihmiset arvelevat, että se saattaa kuolla sukupuuttoon jossain vaiheessa.</t>
  </si>
  <si>
    <t>In silhouette, they resemble twinkling starlight. When shooting stars rain from the night sky, Cleffa gather in numbers and dance as though they are indeed incarnations of the stars.</t>
  </si>
  <si>
    <t>Niiden ravinnonlähteet ovat vähentyneet ja niiden määrä on vähentynyt jyrkästi. Lietealtaita rakennetaan niiden sukupuuton estämiseksi.</t>
  </si>
  <si>
    <t>Koska ne levittävät bakteereja kaikkialle, ne ovat pitkään olleet tuhoamisen kohteena, mikä on johtanut niiden populaation jyrkkään vähenemiseen.</t>
  </si>
  <si>
    <t>It has a very soft body. If it starts to roll, it will bounce all over and be impossible to stop.</t>
  </si>
  <si>
    <t>Se haisee niin kamalalta, että se voi aiheuttaa pyörtymisen. Nenänsä rappeutumisen vuoksi se menetti hajuaistinsa.</t>
  </si>
  <si>
    <t>Its extremely flexible and elas tic body makes it bounce continuous ly--anytime, any where.</t>
  </si>
  <si>
    <t>https://pokeapi.co/api/v2/pokemon-species/80/</t>
  </si>
  <si>
    <t>Shellder</t>
  </si>
  <si>
    <t>Instead of walking with its short legs, it moves around by bouncing on its soft, tender body.</t>
  </si>
  <si>
    <t>Simpukka-Pokémon</t>
  </si>
  <si>
    <t>Sen kova kuori torjuu kaikenlaiset hyökkäykset. Se on haavoittuvainen vain kuoren ollessa auki.</t>
  </si>
  <si>
    <t>IGGLYBUFF’s vocal chords are not sufficiently developed. It would hurt its throat if it were to sing too much. This POKéMON gargles with freshwater from a clean stream.</t>
  </si>
  <si>
    <t>IGGLYBUFF has a soft and plushy body that feels very much like a marshmallow. From this body wafts a gently sweet fragrance that soothes and calms the emotions of its foes.</t>
  </si>
  <si>
    <t>Kuori kestää minkä tahansa hyökkäyksen. Kuitenkin, kun se on auki, herkkä ruumis paljastuu.</t>
  </si>
  <si>
    <t>Its soft and pliable body is very bouncy. When it sings continuously with all its might, its body steadily turns a deepening pink color.</t>
  </si>
  <si>
    <t>Se ui selkä taaksepäin avaamalla ja sulkemalla kaksiosaista kuortaan. Se on yllättävän nopea.</t>
  </si>
  <si>
    <t>Its extremely flexible and elastic body makes it bounce continuously--anytime, anywhere.</t>
  </si>
  <si>
    <t>It has a soft and bouncy body. Once it starts bouncing, it becomes impossible to stop.</t>
  </si>
  <si>
    <t>Sen kuoriin jääneet hiekanjyvät sekoittuvat sen ruumiinnesteisiin muodostaen kauniita helmiä.</t>
  </si>
  <si>
    <t>Its body has a faintly sweet scent and is bouncy and soft. If it bounces even once, it cannot stop.</t>
  </si>
  <si>
    <t>Igglybuff’s vocal cords are not sufficiently developed. It would hurt its throat if it were to sing too much. This Pokémon gargles with freshwater from a clean stream.</t>
  </si>
  <si>
    <t>Vastustajaan tarrautuminen paljastaa sen haavoittuvaiset osat, joten se käyttää tätä liikettä vain viimeisenä keinona.</t>
  </si>
  <si>
    <t>Igglybuff has a soft and plushy body that feels very much like a marshmallow. From this body wafts a gently sweet fragrance that soothes and calms the emotions of its foes.</t>
  </si>
  <si>
    <t>It likes to sing but is not yet good at it. With praise and encouragement, it will get better little by little.</t>
  </si>
  <si>
    <t>Yöllä tämä POKéMON kaivaa leveällä kielellään reiän merenpohjan hiekkaan ja nukkuu siinä. Nukkuessaan SHELLDER sulkee kuorensa, mutta jättää kielen roikkumaan ulkona.</t>
  </si>
  <si>
    <t>It moves by bouncing along. As it moves a lot, it sweats, and its body gives off a sweet aroma.</t>
  </si>
  <si>
    <t>It’s always practicing its singing because it wants to improve. Even when it’s asleep, it keeps singing in its dreams!</t>
  </si>
  <si>
    <t>Yöllä se kaivaa leveällä kielellään reiän merenpohjaan nukkumapaikkaa varten. Nukkuessaan se sulkee kuorensa, mutta jättää kielen roikkumaan ulos.</t>
  </si>
  <si>
    <t>Se on suljettu kuoreen, joka on timanttiakin kovempi. Sisältä se on kuitenkin yllättävän herkkä.</t>
  </si>
  <si>
    <t>Left to its own devices, it will constantly practice singing. You should make it take a break so it doesn’t hurt its throat.</t>
  </si>
  <si>
    <t>Igglybuff loves to sing. Its marshmallow-like body gives off a faint sweet smell.</t>
  </si>
  <si>
    <t>Taking advantage of the softness of its body, Igglybuff moves as if bouncing. Its body turns a deep pink when its temperature rises.</t>
  </si>
  <si>
    <t>The shell seems to be filled with joy. It is said that it will share good luck when treated kindly.</t>
  </si>
  <si>
    <t>Se ui takaperin avaamalla ja sulkemalla kahta kuortaan. Sen suuri kieli roikkuu aina ulkona.</t>
  </si>
  <si>
    <t>A proverb claims that happiness will come to any one who can make a sleeping TOGEPI stand up.</t>
  </si>
  <si>
    <t>It is considered to be a symbol of good luck. Its shell is said to be filled with happiness.</t>
  </si>
  <si>
    <t>As its energy, TOGEPI uses the positive emotions of compassion and pleasure exuded by people and POKéMON. This POKéMON stores up feelings of happiness inside its shell, then shares them with others.</t>
  </si>
  <si>
    <t>As its energy, it uses the feelings of compassion and pleasure exuded by people and POKéMON. It stores up happy feelings in its shell, then shares them out.</t>
  </si>
  <si>
    <t>A proverb claims that happiness will come to anyone who can make a sleeping TOGEPI stand up.</t>
  </si>
  <si>
    <t>Its shell is said to be stuffed with happiness that it shares with kindhearted people.</t>
  </si>
  <si>
    <t>It transforms the kindness and joy of others into happiness, which it stores in its shell.</t>
  </si>
  <si>
    <t>A proverb claims that happiness will come to anyone who can make a sleeping Togepi stand up.</t>
  </si>
  <si>
    <t>Se ui selkä taaksepäin avaamalla ja sulkemalla kaksiosaisen kuorensa. Se on yllättävän nopea.</t>
  </si>
  <si>
    <t>As its energy, Togepi uses the positive emotions of compassion and pleasure exuded by people and Pokémon. This Pokémon stores up feelings of happiness inside its shell, then shares them with others.</t>
  </si>
  <si>
    <t>This ovate creature is frequently mistaken for a moving egg when encountered out in the fields or in the mountains. Its guileless smile soothes the soul.</t>
  </si>
  <si>
    <t>They say that it will appear before kindhearted, car ing people and shower them with happiness.</t>
  </si>
  <si>
    <t>It grows dispirit ed if it is not with kind people. It can float in midair without moving its wings.</t>
  </si>
  <si>
    <t>Although it does not flap its wings very much, it can stay up in the air as it tags along after its trainer.</t>
  </si>
  <si>
    <t>TOGETIC is said to be a POKéMON that brings good fortune. When the POKéMON spots someone who is pure of heart, it is said to appear and share its happiness with that person.</t>
  </si>
  <si>
    <t>It is said to be a POKéMON that brings good fortune. When it spots someone who is pure of heart, a TOGETIC appears and shares its happiness with that person.</t>
  </si>
  <si>
    <t>It grows dispirited if it is not with kind people. It can float in midair without moving its wings.</t>
  </si>
  <si>
    <t>They say that it will appear before kindhearted, caring people and shower them with happiness.</t>
  </si>
  <si>
    <t>It is said to appear in front of kindly people to scatter a glowing down called “joy dust.”</t>
  </si>
  <si>
    <t>To share its happiness, it flies around the world seeking kind hearted people.</t>
  </si>
  <si>
    <t>To share its happiness, it flies around the world seeking kind- hearted people.</t>
  </si>
  <si>
    <t>Yöllä tämä Pokémon kaivaa leveällä kielellään reiän merenpohjan hiekkaan ja nukkuu siinä. Nukkuessaan Shellder sulkee kuorensa, mutta jättää kielen roikkumaan ulkona.</t>
  </si>
  <si>
    <t>Togetic is said to be a Pokémon that brings good fortune. When the Pokémon spots someone who is pure of heart, it is said to appear and share its happiness with that person.</t>
  </si>
  <si>
    <t>No records exist of Togetic being seen in the wilds. Rumors abound that it evolves under the loving care of a trusted human companion, upon whom the Pokémon then bestows great joy.</t>
  </si>
  <si>
    <t>Because its wings aren't yet fully grown, it has to hop to get around. It is always star ing at something.</t>
  </si>
  <si>
    <t>Sen kuoren kovuus ylittää timantin kovuuden. Menneinä aikoina ihmiset käyttivät kuoria kilpien valmistukseen.</t>
  </si>
  <si>
    <t>It usually forages for food on the ground but may, on rare occasions, hop onto branches to peck at shoots.</t>
  </si>
  <si>
    <t>It is extremely good at climbing tree trunks and likes to eat the new sprouts on the trees.</t>
  </si>
  <si>
    <t>Tämän Pokémonin kieli roikkuu aina ulkona. Se käyttää kieltään erittäin taitavasti kaivaakseen hiekkaa merenpohjasta etsiessään ruokaa.</t>
  </si>
  <si>
    <t>NATU cannot fly because its wings are not yet fully grown. If your eyes meet with this POKéMON’s eyes, it will stare back intently at you. But if you move even slightly, it will hop away to safety.</t>
  </si>
  <si>
    <t>Kuoren sisään kertyvä hiekka muuttuu lopulta helmeksi. Mutta helmi tulee tielle, joten se sylkee sen ulos ja heittää pois.</t>
  </si>
  <si>
    <t>NATU has a highly developed jumping ability. The POKéMON flaps and leaps onto tree branches that are taller than grown-up people to pick at the tree’s new shoots.</t>
  </si>
  <si>
    <t>Vaikka sen kuori on kiinni, sen kieli roikkuu edelleen ulkona. Jos nykäiset sitä kunnolla, Shellder avaa kuorensa iskusta.</t>
  </si>
  <si>
    <t>It runs up short trees that grow on the savanna to peck at new shoots. A NATU’s eyes look as if they are always observing something.</t>
  </si>
  <si>
    <t>Because its wings aren’t yet fully grown, it has to hop to get around. It is always staring at something.</t>
  </si>
  <si>
    <t>It picks food from cactus plants, deftly avoiding buds and spines. It seems to skip about to move.</t>
  </si>
  <si>
    <t>Natu cannot fly because its wings are not yet fully grown. If your eyes meet with this Pokémon’s eyes, it will stare back intently at you. But if you move even slightly, it will hop away to safety.</t>
  </si>
  <si>
    <t>Natu has a highly developed jumping ability. The Pokémon flaps and leaps onto tree branches that are taller than grown-up people to pick at the tree’s new shoots.</t>
  </si>
  <si>
    <t>Although it still can’t fly, its jumping power is outstanding. It jumps way up into trees and plucks the buds from the branches.</t>
  </si>
  <si>
    <t>The look in its eyes gives the impression that it’s carefully observing you. If you approach it, Natu will hop away.</t>
  </si>
  <si>
    <t>They say that it stays still and quiet because it is seeing both the past and future at the same time.</t>
  </si>
  <si>
    <t>In South America, it is said that its right eye sees the future and its left eye views the past.</t>
  </si>
  <si>
    <t>Cloyster</t>
  </si>
  <si>
    <t>Once it begins to meditate at sun rise, the entire day will pass before it will move again.</t>
  </si>
  <si>
    <t>Hyökkäyksen sattuessa se ampuu sarvensa nopeina sarjoina. Sen sisuskaluja ei ole koskaan nähty.</t>
  </si>
  <si>
    <t>XATU stands rooted and still in one spot all day long. People believe that this POKéMON does so out of fear of the terrible things it has foreseen in the future.</t>
  </si>
  <si>
    <t>XATU is known to stand motionless while staring at the sun all day long. Some people revere it as a mystical POKéMON out of their belief that XATU is in possession of the power to see into the future.</t>
  </si>
  <si>
    <t>It has the enigmatic power of foreseeing the future. Some people in different lands have long believed that XATU are emissaries from another world.</t>
  </si>
  <si>
    <t>This odd Pokémon can see both the past and the future. It eyes the sun’s movement all day.</t>
  </si>
  <si>
    <t>Suojautuakseen se käyttää timanttia kovempaa kuortaan. Se myös ampuu piikkejä kuoresta.</t>
  </si>
  <si>
    <t>Once it begins to meditate at sunrise, the entire day will pass before it will move again.</t>
  </si>
  <si>
    <t>Xatu stands rooted and still in one spot all day long. People believe that this Pokémon does so out of fear of the terrible things it has foreseen in the future.</t>
  </si>
  <si>
    <t>Kun se paiskaa kuorensa kiinni, sitä on mahdotonta avata, edes ylivoimaisten tai vahvojen.</t>
  </si>
  <si>
    <t>Xatu is known to stand motionless while staring at the sun all day long. Some people revere it as a mystical Pokémon out of their belief that Xatu is in possession of the power to see into the future.</t>
  </si>
  <si>
    <t>Ankan vuorovesivirtojen merissä elävät kloysterit kasvattavat kuoriinsa suuria, teräviä piikkejä.</t>
  </si>
  <si>
    <t>It’s said that while this Pokémon has the power to predict the future, it’s not powerful enough to change the future it sees.</t>
  </si>
  <si>
    <t>While it can see the future, it has no desire to change it, which is probably why it remains motionless at all times.</t>
  </si>
  <si>
    <t>Edes ohjus ei voi rikkoa piikkejä, joilla se iskee vastustajiaan. Ne ovat jopa kovempia kuin sen ammus.</t>
  </si>
  <si>
    <t>If static elec tricity builds in its body, its fleece doubles in volume. Touching it will shock you.</t>
  </si>
  <si>
    <t>Its fleece grows continually. In the summer, the fleece is fully shed, but it grows back in a week.</t>
  </si>
  <si>
    <t>CLOYSTER pystyy uimaan meressä. Se tekee sen nielemällä vettä ja suihkuttamalla sitä sitten taaksepäin. Tämä POKéMON ampuu piikkejä kuorestaan ​​käyttämällä samaa järjestelmää.</t>
  </si>
  <si>
    <t>It stores lots of air in its soft fur, allowing it to stay cool in summer and warm in winter.</t>
  </si>
  <si>
    <t>MAREEP’s fluffy coat of wool rubs together and builds a static charge. The more static electricity is charged, the more brightly the lightbulb at the tip of its tail grows.</t>
  </si>
  <si>
    <t>Its fluffy wool rubs together and builds a static charge. The more energy is charged, the more brightly the lightbulb at the tip of its tail glows.</t>
  </si>
  <si>
    <t>If static electricity builds in its body, its fleece doubles in volume. Touching it will shock you.</t>
  </si>
  <si>
    <t>Its fluffy coat swells to double when static electricity builds up. Touching it can be shocking.</t>
  </si>
  <si>
    <t>Se ui meressä nielemällä vettä ja suihkuttamalla sitä sitten takaosaa kohti. CLOYSTER ampuu piikkejä kuorestaan ​​samalla järjestelmällä.</t>
  </si>
  <si>
    <t>When cold weather increases static electricity, its wool doubles in size and the tip of its tail glows slightly.</t>
  </si>
  <si>
    <t>Sen kuori on äärimmäisen kova. Sitä ei voida rikkoa edes pommilla. Kuori avautuu vain hyökkäyksen aikana.</t>
  </si>
  <si>
    <t>Mareep’s fluffy coat of wool rubs together and builds a static charge. The more static electricity is charged, the more brightly the lightbulb at the tip of its tail glows.</t>
  </si>
  <si>
    <t>Clothing made from Mareep’s fleece is easily charged with static electricity, so a special process is used on it.</t>
  </si>
  <si>
    <t>Rubbing its fleece generates electricity. You’ll want to pet it because it’s cute, but if you use your bare hand, you’ll get a painful shock.</t>
  </si>
  <si>
    <t>As a result of storing too much electricity, it developed patches where even downy wool won't grow.</t>
  </si>
  <si>
    <t>Se taistelee pitämällä kuorensa tiukasti kiinni suojakseen ja ampumalla piikkejä vihollisten torjumiseksi.</t>
  </si>
  <si>
    <t>Its fluffy fleece easily stores electricity. Its rubbery hide keeps it from being electrocuted.</t>
  </si>
  <si>
    <t>Because of its rubbery, electric ity-resistant skin, it can store lots of electric ity in its fur.</t>
  </si>
  <si>
    <t>FLAAFFY’s wool quality changes so that it can generate a high amount of static electricity with a small amount of wool. The bare and slick parts of its hide are shielded against electricity.</t>
  </si>
  <si>
    <t>Its fleece quality changes to generate strong static electricity with a small amount of wool. The bare, slick parts of its hide are shielded against electricity.</t>
  </si>
  <si>
    <t>As a result of storing too much electricity, it developed patches where even downy wool won’t grow.</t>
  </si>
  <si>
    <t>If its coat becomes fully charged with electricity, its tail lights up. It fires hair that zaps on impact.</t>
  </si>
  <si>
    <t>Kun se paiskaa kuorensa kiinni, sitä on mahdotonta avata, edes ylivoimaisten.</t>
  </si>
  <si>
    <t>Not even downy wool will grow on its rubbery, nonconductive patches of skin that prevent electrical shock.</t>
  </si>
  <si>
    <t>Flaaffy’s wool quality changes so that it can generate a high amount of static electricity with a small amount of wool. The bare and slick parts of its hide are shielded against electricity.</t>
  </si>
  <si>
    <t>In the places on its body where fleece doesn’t grow, its skin is rubbery and doesn’t conduct electricity. Those spots are safe to touch.</t>
  </si>
  <si>
    <t>It stores electricity in its fluffy fleece. If it stores up too much, it will start to go bald in those patches.</t>
  </si>
  <si>
    <t>The tail's tip shines brightly and can be seen from far away. It acts as a beacon for lost people.</t>
  </si>
  <si>
    <t>The bright light on its tail can be seen far away. It has been treasured since ancient times as a beacon.</t>
  </si>
  <si>
    <t>When it gets dark, the light from its bright, shiny tail can be seen from far away on the ocean's surface.</t>
  </si>
  <si>
    <t>AMPHAROS gives off so much light that it can be seen even from space. People in the old days used the light of this POKéMON to send signals back and forth with others far away.</t>
  </si>
  <si>
    <t>It gives off so much light that it can be seen even from space. People in the old days used its light to send signals back and forth with others far away.</t>
  </si>
  <si>
    <t>Ankarissa vuorovesivirroissa elävillä ahvenioilla kasvaa kuoriinsa suuria, teräviä piikkejä.</t>
  </si>
  <si>
    <t>The tail’s tip shines brightly and can be seen from far away. It acts as a beacon for lost people.</t>
  </si>
  <si>
    <t>The tip of its tail shines brightly. In the olden days, people sent signals using the tail’s light.</t>
  </si>
  <si>
    <t>Cloyster pystyy uimaan meressä. Se tekee sen nielemällä vettä ja suihkuttamalla sitä sitten taaksepäin. Tämä Pokémon ampuu piikkejä kuorestaan ​​käyttämällä samaa järjestelmää.</t>
  </si>
  <si>
    <t>The tip of its tail shines so brightly it can be used to send sea-navigation beacons to distant foreign shores.</t>
  </si>
  <si>
    <t>Ampharos gives off so much light that it can be seen even from space. People in the old days used the light of this Pokémon to send signals back and forth with others far away.</t>
  </si>
  <si>
    <t>https://pokeapi.co/api/v2/pokemon-species/81/</t>
  </si>
  <si>
    <t>The light from its tail can be seen from space. This is why you can always tell exactly where it is, which is why it usually keeps the light off.</t>
  </si>
  <si>
    <t>Sen kovaa kuorta ei voida rikkoa – ei edes pommilla. Kuoren sisältö on tuntematon.</t>
  </si>
  <si>
    <t>Its tail shines bright and strong. It has been prized since long ago as a beacon for sailors.</t>
  </si>
  <si>
    <t>BELLOSSOM gather at times and appear to dance. They say that the dance is a ritual to summon the sun.</t>
  </si>
  <si>
    <t>Muinaisten metsästysheimojen hautojen kaivauksissa on löydetty monia keihäitä, joiden kärjessä on piikkejä, jotka olivat pudonneet tämän Pokémonin kuoresta.</t>
  </si>
  <si>
    <t>Plentiful in the tropics. When it dances, its petals rub together and make a pleasant ringing sound.</t>
  </si>
  <si>
    <t>Jos Cloysterin erittäin kovan kuoren alueet vaurioituvat, ne turpoavat ja kasvavat vähitellen suuriksi teräviksi piikeiksi.</t>
  </si>
  <si>
    <t>When these dance together, their petals rub against each other, making pretty, relaxing sounds.</t>
  </si>
  <si>
    <t>Hidaskalan pyrstöt ovat sen lempiruokaa. Sen tiedetään jopa aika ajoin nousevan maihin etsimään hidaskalaa.</t>
  </si>
  <si>
    <t>When BELLOSSOM gets exposed to plenty of sunlight, the leaves ringing its body begin to spin around. This POKéMON’s dancing is renowned in the southern lands.</t>
  </si>
  <si>
    <t>A BELLOSSOM grows flowers more beautifully if it has evolved from a smelly GLOOM - the stinkier the better. At night, this POKéMON closes its petals and goes to sleep.</t>
  </si>
  <si>
    <t>Suojautumiseen se käyttää timanttiakin kovempaa kuortaan. Se myös ampuu piikkejä kuoresta.</t>
  </si>
  <si>
    <t>Its flower petals deepen in color through exposure to sunlight. When cloudy weather persists, it does a dance that is thought to be a ritual for summoning the sun.</t>
  </si>
  <si>
    <t>When the heavy rainfall season ends, it is drawn out by warm sunlight to dance in the open.</t>
  </si>
  <si>
    <t>BELLOSSOM gather at times and seem to dance. They say that the dance is a ritual to summon the sun.</t>
  </si>
  <si>
    <t>Bellossom gather at times and seem to dance. They say that the dance is a ritual to summon the sun.</t>
  </si>
  <si>
    <t>Gastly</t>
  </si>
  <si>
    <t>Kaasu-Pokémon</t>
  </si>
  <si>
    <t>When Bellossom gets exposed to plenty of sunlight, the leaves ringing its body begin to spin around. This Pokémon’s dancing is renowned in the southern lands.</t>
  </si>
  <si>
    <t>Lähes näkymätön, tämä kaasumainen POKéMON peittää kohteen ja nukuttaa sen huomaamatta.</t>
  </si>
  <si>
    <t>A Bellossom grows flowers more beautifully if it has evolved from a smelly Gloom—the more stinky the better. At night, this Pokémon closes its petals and goes to sleep.</t>
  </si>
  <si>
    <t>Bellossom gather at times and appear to dance. They say that the dance is a ritual to summon the sun.</t>
  </si>
  <si>
    <t>Sanotaan esiintyvän ränsistyneissä, hylätyissä rakennuksissa. Sillä ei ole todellista muotoa, koska se näyttää olevan tehty kaasusta.</t>
  </si>
  <si>
    <t>The tip of its tail, which con tains oil that is lighter than wa ter, lets it swim without drowning.</t>
  </si>
  <si>
    <t>The end of its tail serves as a buoy that keeps it from drowning, even in a vicious current.</t>
  </si>
  <si>
    <t>Kaasumaisen ruumiinsa ansiosta se voi hiipiä minne tahansa. Tuuli voi kuitenkin kuljettaa sen pois.</t>
  </si>
  <si>
    <t>The fur on its body naturally repels water. It can stay dry, even when it plays in the water.</t>
  </si>
  <si>
    <t>Sen ohut runko on tehty kaasusta. Se voi kietoa sisäänsä minkä tahansa kokoisen vihollisen ja aiheuttaa tukehtumisen.</t>
  </si>
  <si>
    <t>MARILL’s oil-filled tail acts much like a life preserver. If you see just its tail bobbing on the water’s surface, it’s a sure indication that this POKéMON is diving beneath the water to feed on aquatic plants.</t>
  </si>
  <si>
    <t>When fishing for food at the edge of a fast-running stream, MARILL wraps its tail around the trunk of a tree. This POKéMON’s tail is flexible and configured to stretch.</t>
  </si>
  <si>
    <t>Se kietoo vastustajansa kaasumaiseen ruumiiseensa ja heikentää saalistaan ​​hitaasti myrkyttämällä sitä ihon läpi.</t>
  </si>
  <si>
    <t>Its body is covered with water-repellent fur. Because of the fur, it can swim through water at high speed without being slowed by the water’s resistance.</t>
  </si>
  <si>
    <t>GASTLY koostuu pääosin kaasumaisesta aineesta. Voimakkaan tuulen iskiessä kaasumainen kappale kutistuu nopeasti. Tämän POKéMONin ryhmät rykeltyvät talojen räystäiden alle paetakseen tuulen tukaloa.</t>
  </si>
  <si>
    <t>The tip of its tail, which contains oil that is lighter than water, lets it swim without drowning.</t>
  </si>
  <si>
    <t>Using its tail as a float, it dives underwater. It likes eating plants that grow on river bottoms.</t>
  </si>
  <si>
    <t>The tip of its tail is filled with oil that is lighter than water, so it acts as a float.</t>
  </si>
  <si>
    <t>Voimakkaassa tuulessa GASTLY-kalan kaasumainen ruumis hupenee nopeasti. Ne kerääntyvät talojen räystäiden alle paetakseen tuulen tukalaa iskua.</t>
  </si>
  <si>
    <t>The oil-filled end of its tail floats on water. It keeps MARILL from drowning even in a strong current.</t>
  </si>
  <si>
    <t>Olento, joka esiintyy ohuena kaasuna. Se voi kaataa intialaisen norsun kietomalla saaliinsa sisäänsä kahdessa sekunnissa.</t>
  </si>
  <si>
    <t>The oil-filled end of its tail floats on water. It keeps Marill from drowning even in a strong current.</t>
  </si>
  <si>
    <t>The oil-filled tail functions as a buoy, so it’s fine even in rivers with strong currents.</t>
  </si>
  <si>
    <t>Marill’s oil-filled tail acts much like a life preserver. If you see just its tail bobbing on the water’s surface, it’s a sure indication that this Pokémon is diving beneath the water to feed on aquatic plants.</t>
  </si>
  <si>
    <t>Tämän Pokémonin ruumis koostuu 95-prosenttisesti kaasuista, joita voimakkaat tuulenpuuskat kuljettavat pois.</t>
  </si>
  <si>
    <t>When fishing for food at the edge of a fast-running stream, Marill wraps its tail around the trunk of a tree. This Pokémon’s tail is flexible and configured to stretch.</t>
  </si>
  <si>
    <t>Myrkyllisistä kaasuista syntynyt Pokémon. Se kukistaa jopa suurimmat viholliset kietomalla ne kaasuun.</t>
  </si>
  <si>
    <t>This Pokémon uses its round tail as a float. The ball of Marill’s tail is filled with nutrients that have been turned into an oil.</t>
  </si>
  <si>
    <t>Even after Marill swims in a cold sea, its water- repellent fur dries almost as soon as Marill leaves the water. That’s why this Pokémon is never cold.</t>
  </si>
  <si>
    <t>Kaasuista syntynyt, kuka tahansa pyörtyisi, jos sen myrkkyä sisältävä kaasumainen ruumis nielaisisi hänet.</t>
  </si>
  <si>
    <t>By keeping still and listening in tently, it can tell what is in even wild, fast- moving rivers.</t>
  </si>
  <si>
    <t>When it plays in water, it rolls up its elongated ears to prevent their insides from get ting wet.</t>
  </si>
  <si>
    <t>The bubble-like pattern on its stomach helps it camouflage itself when it's in the water.</t>
  </si>
  <si>
    <t>AZUMARILL’s long ears are indispensable sensors. By focusing its hearing, this POKéMON can identify what kinds of prey are around, even in rough and fast-running rivers.</t>
  </si>
  <si>
    <t>Sen ruumis on tehty kaasusta. Vaikka siinä ei ole ainetta, se voi kietoa itseensä minkä tahansa kokoisen vihollisen ja tukehduttaa sen.</t>
  </si>
  <si>
    <t>AZUMARILL can make balloons out of air. It makes these air balloons if it spots a drowning POKéMON. The air balloons enable the POKéMON in trouble to breathe.</t>
  </si>
  <si>
    <t>It lives in water virtually all day long. Its body color and pattern act as camouflage that makes it tough for enemies to spot in water.</t>
  </si>
  <si>
    <t>When it plays in water, it rolls up its elongated ears to prevent their insides from getting wet.</t>
  </si>
  <si>
    <t>By keeping still and listening intently, it can even tell what is in wild, fast-moving rivers.</t>
  </si>
  <si>
    <t>It lives in rivers and lakes. In water, its coloring and patterns trick the vision of foes.</t>
  </si>
  <si>
    <t>Its long ears are superb sensors. It can distinguish the movements of living things on riverbeds.</t>
  </si>
  <si>
    <t>It can spend all day in water, since it can inhale and store a large volume of air.</t>
  </si>
  <si>
    <t>By keeping still and listening intently, it can tell what is in even wild, fast-moving rivers.</t>
  </si>
  <si>
    <t>Its long ears are superb sensors. It can distinguish the movements of things in water and tell what they are.</t>
  </si>
  <si>
    <t>The bubble-like pattern on its stomach helps it camouflage itself when it’s in the water.</t>
  </si>
  <si>
    <t>Azumarill’s long ears are indispensable sensors. By focusing its hearing, this Pokémon can identify what kinds of prey are around, even in rough and fast-running rivers.</t>
  </si>
  <si>
    <t>Azumarill can make balloons out of air. It makes these air balloons if it spots a drowning Pokémon. The air balloons enable the Pokémon in trouble to breathe.</t>
  </si>
  <si>
    <t>It spends most of its time in the water. On sunny days, Azumarill floats on the surface of the water and sunbathes.</t>
  </si>
  <si>
    <t>These Pokémon create air-filled bubbles. When Azurill play in rivers, Azumarill will cover them with these bubbles.</t>
  </si>
  <si>
    <t>Although it always pretends to be a tree, its composi tion appears to be closer to a rock than a plant.</t>
  </si>
  <si>
    <t>It disguises it self as a tree to avoid attack. It hates water, so it will disappear if it starts raining.</t>
  </si>
  <si>
    <t>Gastly koostuu pääosin kaasumaisesta aineesta. Voimakkaassa tuulessa kaasumainen aine hupenee nopeasti. Tämän Pokémonin ryhmät kerääntyvät talojen räystäiden alle paetakseen tuulen tukalaa iskua.</t>
  </si>
  <si>
    <t>If a tree branch shakes when there is no wind, it's a SUDOWOODO, not a tree. It hides from the rain.</t>
  </si>
  <si>
    <t>SUDOWOODO camouflages itself as a tree to avoid being attacked by enemies. However, because the forelegs remain green throughout the year, the POKéMON is easily identified as a fake during the winter.</t>
  </si>
  <si>
    <t>It mimics a tree to avoid being attacked by enemies. But since its forelegs remain green throughout the year, it is easily identified as a fake in the winter.</t>
  </si>
  <si>
    <t>Jos hylätyssä rakennuksessa nähdään välkkyvän outo valo, Gastly väijyy siellä.</t>
  </si>
  <si>
    <t>It disguises itself as a tree to avoid attack. It hates water, so it will disappear if it starts raining.</t>
  </si>
  <si>
    <t>Vaikka Gastly on tuskin näkyvissä, lähellä leijuu hento makea tuoksu.</t>
  </si>
  <si>
    <t>Although it always pretends to be a tree, its composition appears to be closer to a rock than a plant.</t>
  </si>
  <si>
    <t>Sanotaan, että hautausmaalta nouseva kaasu oli vainajien vääryyksien riivaamaa ja siitä tuli Pokémon.</t>
  </si>
  <si>
    <t>Despite appearing to be a tree, its body is closer to rocks and stones. It is very weak to water.</t>
  </si>
  <si>
    <t>Myrkyllinen kaasu muodostaa 95 % sen kehosta. Sanotaan, että loput 5 % koostuu kaasuun kuolleiden sieluista.</t>
  </si>
  <si>
    <t>It stands along paths pretending to be a tree. If it starts raining, it seems to disappear.</t>
  </si>
  <si>
    <t>To avoid being attacked, it does nothing but mimic a tree. It hates water and flees from rain.</t>
  </si>
  <si>
    <t>Although it always pretends to be a tree, its composition appears more similar to rock than to vegetation.</t>
  </si>
  <si>
    <t>Sudowoodo camouflages itself as a tree to avoid being attacked by enemies. However, because its hands remain green throughout the year, the Pokémon is easily identified as a fake during the winter.</t>
  </si>
  <si>
    <t>To avoid attack, it mimics a tree. It will run off if splashed with water, which it hates.</t>
  </si>
  <si>
    <t>Apparently, the larger the green parts of this Pokémon, the more collectors value it. It’s a particular favorite among elderly people.</t>
  </si>
  <si>
    <t>It’s so popular with the elderly that there’s a magazine devoted to this Pokémon. Fans obsess over the particular length and angle of its arms.</t>
  </si>
  <si>
    <t>Kaasumaista ja täysin käsin kosketeltavaa. Myös erittäin vaarallista – osan sen myrkyllisen ruumiin hengittäminen aiheuttaa välittömän pyörtymisen.</t>
  </si>
  <si>
    <t>The result of its holding the same pose all the time is arms that have become supple yet strong.</t>
  </si>
  <si>
    <t>Haunter</t>
  </si>
  <si>
    <t>Koska se pystyy livahtamaan lohkoseinien läpi, sen sanotaan olevan toisesta ulottuvuudesta.</t>
  </si>
  <si>
    <t>If a tree branch shakes when there is no wind, it’s a Sudowoodo, not a tree. It hides from the rain.</t>
  </si>
  <si>
    <t>Though it pretends to be a tree, it fails to fool even children. To the touch, its body feels more like rock than tree bark. Sudowoodo's extreme aversion to water merits special note.</t>
  </si>
  <si>
    <t>If POLIWAG and POLIWHIRL hear its echoing cry, they respond by gather ing from far and wide.</t>
  </si>
  <si>
    <t>Nuolemalla se nielee uhrin hengen. Se aiheuttaa vapinaa, joka ei lopu ennen uhrin kuolemaa.</t>
  </si>
  <si>
    <t>Whenever three or more of these get together, they sing in a loud voice that sounds like bellowing.</t>
  </si>
  <si>
    <t>Täydellisen pimeyden keskellä, missä mikään ei näy, VAIMORI vaanii hiljaa seuraavaa uhriaan.</t>
  </si>
  <si>
    <t>When it expands its throat to croak out a tune, nearby POLIWAG and POLIWHIRL gather immediately.</t>
  </si>
  <si>
    <t>The curled hair on POLITOED’s head is proof of its status as a king. It is said that the longer and more curled the hair, the more respect this POKéMON earns from its peers.</t>
  </si>
  <si>
    <t>The curled hair on its head proves its status as a king. It is said that the longer and curlier the hair, the more respect it earns from its peers.</t>
  </si>
  <si>
    <t>Sen kieli on tehty kaasusta. Jos uhria nuolee, se alkaa täristä jatkuvasti, kunnes kuolema lopulta tulee.</t>
  </si>
  <si>
    <t>If POLIWAG and POLIWHIRL hear its echoing cry, they respond by gathering from far and wide.</t>
  </si>
  <si>
    <t>Se piileskelee pimeässä ja suunnittelee seuraavan lähellä vaeltelevan elävän olennon hengen ottamista.</t>
  </si>
  <si>
    <t>It gathers groups of others as their leader. Its cries make POLIWAG obey.</t>
  </si>
  <si>
    <t>It gathers groups of others as their leader. Its cries make Poliwag obey.</t>
  </si>
  <si>
    <t>HAUNTER on vaarallinen POKéMON. Jos sellainen houkuttelee sinua pimeydessä kelluessasi, et saa koskaan lähestyä sitä. Tämä POKéMON yrittää nuolla sinua kielellään ja varastaa henkesi.</t>
  </si>
  <si>
    <t>If Poliwag and Poliwhirl hear its echoing cry, they respond by gathering from far and wide.</t>
  </si>
  <si>
    <t>The curled hair on Politoed’s head is proof of its status as a king. It is said that the longer and more curled the hair, the more respect this Pokémon earns from its peers.</t>
  </si>
  <si>
    <t>https://pokeapi.co/api/v2/pokemon-species/82/</t>
  </si>
  <si>
    <t>They gather on moonlit nights to form a large chorus. Their cries sound angry and not at all pleasant, but they are certainly distinctive.</t>
  </si>
  <si>
    <t>It’s the leader of Poliwag and Poliwhirl. When Politoed roars, they all cower in fear.</t>
  </si>
  <si>
    <t>Although its cries sound like screams, a composer created a beautiful ballad that was influenced by the sounds.</t>
  </si>
  <si>
    <t>Jos pimeydessä leijuva KUMMITUSOHJAAJA houkuttelee sinua luokseen, älä lähesty sitä. Tämä POKéMON yrittää nuolla sinua kielellään ja varastaa henkesi.</t>
  </si>
  <si>
    <t>The longer and more luxurious the curled hair on its head, the greater the number of Poliwag and Poliwhirl that will obey it.</t>
  </si>
  <si>
    <t>Jos sinusta tuntuu, että sinua tarkkaillaan pimeässä, kun ketään ei ole lähellä, HAUNTER on siellä.</t>
  </si>
  <si>
    <t>At nightfall, these Pokémon appear on the shores of lakes. They announce their territorial claims by letting out cries that sound like shouting.</t>
  </si>
  <si>
    <t>The cry of a male is louder than that of a female. Male Politoed with deep, menacing voices find more popularity with the opposite gender.</t>
  </si>
  <si>
    <t>To keep from being blown away by the wind, they gather in clusters. They do enjoy gentle breezes, though.</t>
  </si>
  <si>
    <t>Se voi livahtaa minkä tahansa esteen läpi. Se lymyilee seinien sisäpuolella pitääkseen vihollisiaan silmällä.</t>
  </si>
  <si>
    <t>Its body is so light, it must grip the ground firmly with its feet to keep from being blown away.</t>
  </si>
  <si>
    <t>Se nuolee kaasumaisella kielellään varastaakseen uhrin elinvoiman. Se väijyy pimeydessä saalista etsien.</t>
  </si>
  <si>
    <t>It can be carried away on even the gentlest breeze. It may even float all the way to the next town.</t>
  </si>
  <si>
    <t>Se tykkää väijyä pimeässä ja taputtaa olkapäitä kaasumaisella kädellä. Sen kosketus aiheuttaa loputonta vapinaa.</t>
  </si>
  <si>
    <t>This POKéMON drifts and floats with the wind. If it senses the approach of strong winds, HOPPIP links its leaves with other HOPPIP to prepare against being blown away.</t>
  </si>
  <si>
    <t>This POKéMON drifts and floats with the wind. If it senses the approach of strong winds, a HOPPIP links leaves with others to prepare against being blown away.</t>
  </si>
  <si>
    <t>It drifts on winds. It is said that when HOPPIP gather in fields and mountains, spring is on the way.</t>
  </si>
  <si>
    <t>Sen kieli on tehty kaasusta. Jos uhri nuolee sitä, se alkaa täristä jatkuvasti, kunnes kuolema lopulta tulee.</t>
  </si>
  <si>
    <t>To keep from being blown away by the wind, they gather in clusters. But they do enjoy gentle breezes.</t>
  </si>
  <si>
    <t>It drifts on winds. It is said that when Hoppip gather in fields and mountains, spring is on the way.</t>
  </si>
  <si>
    <t>This Pokémon drifts and floats with the wind. If it senses the approach of strong winds, Hoppip links its leaves with other Hoppip to prepare against being blown away.</t>
  </si>
  <si>
    <t>The bloom on top of its head opens and closes as the temperature fluc tuates up and down.</t>
  </si>
  <si>
    <t>It spreads its petals to absorb sunlight. It also floats in the air to get closer to the sun.</t>
  </si>
  <si>
    <t>As soon as it rains, it closes its flower and hides in the shade of a tree to avoid getting wet.</t>
  </si>
  <si>
    <t>SKIPLOOM’s flower blossoms when the temperature rises above 64 degrees F. How much the flower opens depends on the temperature. For that reason, this POKéMON is sometimes used as a thermometer.</t>
  </si>
  <si>
    <t>It blossoms when the temperature rises above 64 degrees F. Because its flower’s blooming changes with the temperature, it is sometimes used as a thermometer.</t>
  </si>
  <si>
    <t>The bloom on top of its head opens and closes as the temperature fluctuates up and down.</t>
  </si>
  <si>
    <t>It blooms when the weather warms. It floats in the sky to soak up as much sunlight as possible.</t>
  </si>
  <si>
    <t>Skiploom’s flower blossoms when the temperature rises above 64 degrees Fahrenheit. How much the flower opens depends on the temperature. For that reason, this Pokémon is sometimes used as a thermometer.</t>
  </si>
  <si>
    <t>Once it catches the wind, it deft ly controls its cotton-puff spores to float, even around the world.</t>
  </si>
  <si>
    <t>Drifts on seasonal winds and spreads its cotton-like spores all over the world to make more offspring.</t>
  </si>
  <si>
    <t>Jos sinusta tuntuu, että sinua tarkkaillaan pimeässä, kun ketään ei ole lähellä, Haunter on siellä.</t>
  </si>
  <si>
    <t>Even in the fierc est wind, it can control its fluff to make its way to any place in the world it wants.</t>
  </si>
  <si>
    <t>JUMPLUFF rides warm southern winds to cross the sea and fly to foreign lands. The POKéMON descends to the ground when it encounters cold air while it is floating.</t>
  </si>
  <si>
    <t>JUMPLUFF ride warm southern winds to cross the sea and fly to foreign lands. This POKéMON lands when it encounters cold air while it is floating.</t>
  </si>
  <si>
    <t>It drifts on seasonal winds and spreads its cotton-like spores all over the world to make more offspring.</t>
  </si>
  <si>
    <t>Once it catches the wind, it deftly controls its cotton-puff spores to float, even around the world.</t>
  </si>
  <si>
    <t>Blown by seasonal winds, it circles the globe, scattering cotton spores as it goes.</t>
  </si>
  <si>
    <t>Haunter on vaarallinen Pokémon. Jos sellainen houkuttelee sinua pimeydessä kelluessasi, et saa koskaan lähestyä sitä. Tämä Pokémon yrittää nuolla sinua kielellään ja varastaa henkesi.</t>
  </si>
  <si>
    <t>Once it catches the wind, it deftly controls its cotton-puff spores-- it can even float around the world.</t>
  </si>
  <si>
    <t>Even in the fiercest wind, it can control its fluff to make its way to any place in the world it wants.</t>
  </si>
  <si>
    <t>Jumpluff rides warm southern winds to cross the sea and fly to foreign lands. The Pokémon descends to the ground when it encounters cold air while it is floating.</t>
  </si>
  <si>
    <t>Se iskee ihmisiin täydellisestä pimeydestä. Sen kylmän kielen nuolemat heikkenevät päivä päivältä, kunnes kuolevat.</t>
  </si>
  <si>
    <t>Its tail is so powerful that it can use it to grab a tree branch and hold itself up in the air.</t>
  </si>
  <si>
    <t>It lives atop tall trees. When leap ing from branch to branch, it deftly uses its tail for balance.</t>
  </si>
  <si>
    <t>Se pelkää valoa ja nauttii pimeydestä. Se saattaa olla sukupuuton partaalla kaupungeissa, jotka pysyvät kirkkaasti valaistuina yöllä.</t>
  </si>
  <si>
    <t>It uses its tail to hang on to tree branches. It uses its momentum to swing from one branch to another.</t>
  </si>
  <si>
    <t>AIPOM’s tail ends in a hand-like appendage that can be cleverly manipulated. However, because the POKéMON uses its tail so much, its real hands have become rather clumsy.</t>
  </si>
  <si>
    <t>Kuuttomina öinä Haunter etsii jotakuta kirottavaksi, joten on parasta olla lähtemättä ulos kävelemään.</t>
  </si>
  <si>
    <t>Its tail ends with a dexterous, handlike appendage. However, because it uses the tail so much, AIPOM’s real hands have become rather clumsy.</t>
  </si>
  <si>
    <t>On vaarallista mennä ulos yksin öisin, kun on surullinen. Kummitus saa sinut kiinni, etkä pääse takaisin kotiin.</t>
  </si>
  <si>
    <t>It lives atop tall trees. When leaping from branch to branch, it deftly uses its tail for balance.</t>
  </si>
  <si>
    <t>It uses its tail to pluck fruits that are out of reach. Its tail is more adept than its real hands.</t>
  </si>
  <si>
    <t>It lives atop giant trees. It wraps its tail around a branch so it won’t fall off while asleep.</t>
  </si>
  <si>
    <t>It lives high among the treetops. It can use its tail as freely and cleverly as its hands.</t>
  </si>
  <si>
    <t>Aipom’s tail ends in a hand-like appendage that can be cleverly manipulated. However, because the Pokémon uses its tail so much, its real hands have become rather clumsy.</t>
  </si>
  <si>
    <t>Tämä pelottava, pahansuopa henki voi liitää seinien läpi ja ilmestyä minne haluaa. Huhujen mukaan kummitusten nuoleman uhrit kuihtuvat kuoliaaksi päivä päivältä.</t>
  </si>
  <si>
    <t>As it did more and more with its tail, its hands became clumsy. It makes its nest high in the treetops.</t>
  </si>
  <si>
    <t>Gengar</t>
  </si>
  <si>
    <t>Varjo-Pokémon</t>
  </si>
  <si>
    <t>Täydenkuun aikaan tämä POKéMON matkii ihmisten varjoja ja nauraa heidän pelolleen.</t>
  </si>
  <si>
    <t>It searches for prey from the tops of trees. When it spots its favorite food, Bounsweet, Aipom gets excited and pounces.</t>
  </si>
  <si>
    <t>This treetop dweller possesses a tail as dexterous as a hand. Ancient writings describe this Pokémon as a one-armed oddity.</t>
  </si>
  <si>
    <t>Jos tunnet äkillisen vilunväristyksen, lähellä on GENGAR. Se saattaa yrittää langettaa sinulle kirouksen.</t>
  </si>
  <si>
    <t>It may drop out of the sky suddenly. If attacked by a SPEAROW, it will violently shake its leaves.</t>
  </si>
  <si>
    <t>Se varastaa lämpöä ympäristöstään. Jos tunnet äkillisen kylmyyden, on varmaa, että GENGAR on ilmestynyt.</t>
  </si>
  <si>
    <t>It lives by drink ing only dewdrops from under the leaves of plants. It is said that it eats nothing else.</t>
  </si>
  <si>
    <t>Varastaakseen kohteensa hengen se livahtaa saaliinsa varjoon ja odottaa hiljaa tilaisuutta.</t>
  </si>
  <si>
    <t>It is very weak. Its only means of defense is to shake its leaves desperately at its attacker.</t>
  </si>
  <si>
    <t>SUNKERN tries to move as little as it possibly can. It does so because it tries to conserve all the nutrients it has stored in its body for its evolution. It will not eat a thing, subsisting only on morning dew.</t>
  </si>
  <si>
    <t>SUNKERN try to minimize movement to conserve the nutrients they have stored in their bodies for evolution. They will not eat, subsisting only on morning dew.</t>
  </si>
  <si>
    <t>It lives by drinking only dewdrops from under the leaves of plants. It is said that it eats nothing else.</t>
  </si>
  <si>
    <t>It suddenly falls out of the sky in the morning. A year after a cold summer, their population explodes.</t>
  </si>
  <si>
    <t>It may plummet from the sky. If attacked by a SPEAROW, it will violently shake its leaves.</t>
  </si>
  <si>
    <t>Piiloutuessaan ihmisten varjoihin yöllä se imee heidän lämpöään. Sen aiheuttama kylmyys saa uhrit vapisemaan.</t>
  </si>
  <si>
    <t>It suddenly falls out of the sky in the morning. Knowing it’s weak, it simply feeds until it evolves.</t>
  </si>
  <si>
    <t>It may plummet from the sky. If attacked by a Spearow, it will violently shake its leaves.</t>
  </si>
  <si>
    <t>Joskus pimeänä yönä katuvalon heittämä varjo yllättää sinut yhtäkkiä ja yllättäen. Se on itse asiassa GENGAR, joka juoksee ohitsesi ja teeskentelee olevansa varjosi.</t>
  </si>
  <si>
    <t>Sunkern tries to move as little as it possibly can. It does so because it tries to conserve all the nutrients it has stored in its body for its evolution. It will not eat a thing, subsisting only on morning dew.</t>
  </si>
  <si>
    <t>It converts sun light into energy. In the darkness after sunset, it closes its petals and becomes still.</t>
  </si>
  <si>
    <t>Syvällä yöllä katuvalon heittämä varjo saattaa yhtäkkiä yllättää sinut. Se on itse asiassa GENGAR, joka juoksee ohitsesi ja teeskentelee olevansa varjosi.</t>
  </si>
  <si>
    <t>In the daytime, it rushes about in a hectic manner, but it comes to a com plete stop when the sun sets.</t>
  </si>
  <si>
    <t>As the hot season approaches, the petals on this POKéMON's face become more vivid and lively.</t>
  </si>
  <si>
    <t>Sen sanotaan nousevan pimeydestä ja varastavan vuorille eksyneiden ihmisten hengen.</t>
  </si>
  <si>
    <t>SUNFLORA converts solar energy into nutrition. It moves around actively in the daytime when it is warm. It stops moving as soon as the sun goes down for the night.</t>
  </si>
  <si>
    <t>SUNFLORA convert solar energy into nutrition. They are highly active in the warm daytime but suddenly stop moving as soon as the sun sets.</t>
  </si>
  <si>
    <t>Täydenkuun yönä, jos varjot liikkuvat omin avuin ja nauravat, sen täytyy olla GENGARin tekosia.</t>
  </si>
  <si>
    <t>In the daytime, it rushes about in a hectic manner, but it comes to a complete stop when the sun sets.</t>
  </si>
  <si>
    <t>Se piileskelee varjoissa. Sanotaan, että jos GENGAR piileskelee, se viilentää aluetta lähes 10 celsiusastetta.</t>
  </si>
  <si>
    <t>It converts sunlight into energy. In the darkness after sunset, it closes its petals and becomes still.</t>
  </si>
  <si>
    <t>https://pokeapi.co/api/v2/pokemon-species/83/</t>
  </si>
  <si>
    <t>It gets energy from warm sunlight and is known for its habit of moving in pursuit of it.</t>
  </si>
  <si>
    <t>Huoneiden varjoisissa nurkissa lymyillen se odottaa tilaisuuksia varastaa saaliinsa elinvoiman.</t>
  </si>
  <si>
    <t>Since it converts sunlight into energy, it is always looking in the direction of the sun.</t>
  </si>
  <si>
    <t>Pimeydessä leijuva irvistys kuuluu GENGARille, joka nauttii kirousten langettamisesta ihmisille.</t>
  </si>
  <si>
    <t>As the hot season approaches, the petals on this Pokémon’s face become more vivid and lively.</t>
  </si>
  <si>
    <t>Sunflora converts solar energy into nutrition. It moves around actively in the daytime when it is warm. It stops moving as soon as the sun goes down for the night.</t>
  </si>
  <si>
    <t>If it flaps its wings really fast, it can generate shock waves that will shatter win dows in the area.</t>
  </si>
  <si>
    <t>Its large eyes can scan 360 degrees. It looks in all directions to seek out insects as its prey.</t>
  </si>
  <si>
    <t>Pimeydessä leijuva irvistys kuuluu Gengarille, joka nauttii kirousten langettamisesta ihmisille.</t>
  </si>
  <si>
    <t>It can see in all directions without moving its big eyes, helping it spot attackers and food right away.</t>
  </si>
  <si>
    <t>YANMA is capable of seeing 360 degrees without having to move its eyes. It is a great flier that is adept at making sudden stops and turning midair. This POKéMON uses its flying ability to quickly chase down targeted prey.</t>
  </si>
  <si>
    <t>It can see 360 degrees without moving its eyes. It is a great flier capable of making sudden stops and turning midair to quickly chase down targeted prey.</t>
  </si>
  <si>
    <t>If it flaps its wings really fast, it can generate shock waves that will shatter windows in the area.</t>
  </si>
  <si>
    <t>Its eyes can see 360 degrees without moving its head. It won’t miss prey--even those behind it.</t>
  </si>
  <si>
    <t>It can hover in one spot by flapping its wings at high speed. It flits about to guard its territory.</t>
  </si>
  <si>
    <t>Se piiloutuu varjoihin. Sanotaan, että jos Gengar piileskelee, se viilentää aluetta lähes 10 celsiusastetta.</t>
  </si>
  <si>
    <t>By flapping its wings at high speed, it can fly freely through the air. Even sudden stops are no problem.</t>
  </si>
  <si>
    <t>Yanma is capable of seeing 360 degrees without having to move its eyes. It is a great flier that is adept at making sudden stops and turning midair. This Pokémon uses its flying ability to quickly chase down targeted prey.</t>
  </si>
  <si>
    <t>Se piiloutuu ihmisten varjoihin yöllä ja imee itseensä heidän lämpönsä. Sen aiheuttama kylmyys saa uhrit vapisemaan.</t>
  </si>
  <si>
    <t>Its frail wings are so thin that one can see clear through them. However, during flight these wings exhibit the power to churn air with force enough to launch a house skyward.</t>
  </si>
  <si>
    <t>This POKéMON lives in cold water. It will leave the water to search for food when it gets cold outside.</t>
  </si>
  <si>
    <t>When it walks a round on the ground, it coats its body with a slimy, poisonous film.</t>
  </si>
  <si>
    <t>Joskus pimeänä yönä katuvalon heittämä varjo yllättää sinut yllättäen. Se on itse asiassa Gengar, joka juoksee ohitsesi ja teeskentelee olevansa varjosi.</t>
  </si>
  <si>
    <t>A mucous membrane covers its body. Touching it barehanded will cause a shooting pain.</t>
  </si>
  <si>
    <t>WOOPER usually lives in water. However, it occasionally comes out onto land in search of food. On land, it coats its body with a gooey, toxic film.</t>
  </si>
  <si>
    <t>WOOPER usually live in water but come out onto land seeking food occasionally. On land, they coat their bodies with a gooey, toxic film.</t>
  </si>
  <si>
    <t>When it walks around on the ground, it coats its body with a slimy, poisonous film.</t>
  </si>
  <si>
    <t>It lives in cold water, half burying itself in mud at the bottom to sleep.</t>
  </si>
  <si>
    <t>Jos tunnet äkillisen kylmyyden hyökkäävän sinua kohti, se on merkki lähestyvästä Gengarista. Siltä ei pääse pakoon. Anna periksi.</t>
  </si>
  <si>
    <t>When the temperature cools in the evening, they emerge from water to seek food along the shore.</t>
  </si>
  <si>
    <t>Se ilmeisesti toivoo matkakumppania. Koska se oli itsekin kerran ihminen, se yrittää luoda sellaisen ottamalla muiden ihmisten hengen.</t>
  </si>
  <si>
    <t>When walking on land, it covers its body with a poisonous film that keeps its skin from dehydrating.</t>
  </si>
  <si>
    <t>This Pokémon lives in cold water. It will leave the water to search for food when it gets cold outside.</t>
  </si>
  <si>
    <t>Voit kuulla tarinoita ympäri maailmaa siitä, kuinka Gengar vierailee tuhmien lasten luona.</t>
  </si>
  <si>
    <t>Wooper usually lives in water. However, it occasionally comes out onto land in search of food. On land, it coats its body with a gooey, toxic film.</t>
  </si>
  <si>
    <t>Edes kotisi ei ole turvallinen. Gengar lymyilee löytämissään pimeissä huoneen nurkissa ja odottaa tilaisuuttaan napata saaliinsa.</t>
  </si>
  <si>
    <t>This carefree POKéMON has an easy-going nature. While swimming, it always bumps into boat hulls.</t>
  </si>
  <si>
    <t>Due to its relaxed and carefree atti tude, it often bumps its head on boulders and boat hulls as it swims.</t>
  </si>
  <si>
    <t>Its body is always slimy. It often bangs its head on the river bottom as it swims but seems not to care.</t>
  </si>
  <si>
    <t>Jos tunnet äkillisen vilunväristyksen, lähellä on Gengar. Se saattaa yrittää langettaa sinulle kirouksen.</t>
  </si>
  <si>
    <t>QUAGSIRE hunts for food by leaving its mouth wide open in water and waiting for its prey to blunder in unaware. Because the POKéMON does not move, it does not get very hungry.</t>
  </si>
  <si>
    <t>A QUAGSIRE hunts by leaving its mouth wide open in water and waiting for its prey to blunder in. Because it doesn’t move, it does not get very hungry.</t>
  </si>
  <si>
    <t>Due to its relaxed and carefree attitude, it often bumps its head on boulders and boat hulls as it swims.</t>
  </si>
  <si>
    <t>This carefree POKéMON has an easygoing nature. While swimming, it always bumps into boat hulls.</t>
  </si>
  <si>
    <t>It has a sluggish nature. It lies at the river’s bottom, waiting for prey to stray into its mouth.</t>
  </si>
  <si>
    <t>A dim-witted Pokémon. It doesn’t care if it bumps its head into boats or rocks while swimming.</t>
  </si>
  <si>
    <t>Täydenkuun yönä, jos varjot liikkuvat omin avuin ja nauravat, sen täytyy olla Gengarin tekosia.</t>
  </si>
  <si>
    <t>It has an easygoing nature. It doesn’t care if it bumps its head on boats and boulders while swimming.</t>
  </si>
  <si>
    <t>This carefree Pokémon has an easy-going nature. While swimming, it always bumps into boat hulls.</t>
  </si>
  <si>
    <t>This carefree Pokémon has an easygoing nature. While swimming, it always bumps into boat hulls.</t>
  </si>
  <si>
    <t>Riivaa potentiaalisten uhrien varjot ja yrittää varastaa uhrien hengen. Jos varjosi alkaa nauraa, sinun on otettava nopeasti suojaloitsu!</t>
  </si>
  <si>
    <t>Quagsire hunts for food by leaving its mouth wide open in water and waiting for its prey to blunder in unaware. Because the Pokémon does not move, it does not get very hungry.</t>
  </si>
  <si>
    <t>It uses the fine hair that covers its body to sense air currents and predict its ene my's actions.</t>
  </si>
  <si>
    <t>Onix</t>
  </si>
  <si>
    <t>By reading air currents, it can predict things such as the weath er or its foe's next move.</t>
  </si>
  <si>
    <t>Kivikäärme-Pokémon</t>
  </si>
  <si>
    <t>The tip of its forked tail quivers when it is predicting its opponent's next move.</t>
  </si>
  <si>
    <t>Kasvaessaan sen kehon kiviset osat kovettuvat ja muuttuvat timantin kaltaisiksi, mutta mustiksi.</t>
  </si>
  <si>
    <t>ESPEON is extremely loyal to any TRAINER it considers to be worthy. It is said that this POKéMON developed its precognitive powers to protect its TRAINER from harm.</t>
  </si>
  <si>
    <t>An ESPEON is extremely loyal to any TRAINER it considers to be worthy. It is said to have developed precognitive powers to protect its TRAINER from harm.</t>
  </si>
  <si>
    <t>By reading air currents, it can predict things such as the weather or its foe’s next move.</t>
  </si>
  <si>
    <t>It uses the fine hair that covers its body to sense air currents and predict its enemy’s actions.</t>
  </si>
  <si>
    <t>Kaivaa koloissaan kovaa vauhtia etsien ruokaa. Sen jättämiä tunneleita DIGLETTit käyttävät kotinaan.</t>
  </si>
  <si>
    <t>Its fur has the look and feel of velvet. The orb on its forehead glows when it uses psycho-power.</t>
  </si>
  <si>
    <t>Its fur is so sensitive, it can sense minute shifts in the air and predict the weather.</t>
  </si>
  <si>
    <t>Se kiemurtelee ja kiemurtelee maassa. Sen tunnelin jylinän jylinä kaikuu kauas.</t>
  </si>
  <si>
    <t>Its fur is so sensitive, it can feel minute shifts in the air and predict the weather...and its foes’ thoughts.</t>
  </si>
  <si>
    <t>The tip of its forked tail quivers when it is predicting its opponent’s next move.</t>
  </si>
  <si>
    <t>Se porautuu nopeasti maan läpi 80 km/h nopeudella kiemurtelemalla ja vääntäytymällä massiivista, karua ruumistaan.</t>
  </si>
  <si>
    <t>Espeon is extremely loyal to any Trainer it considers to be worthy. It is said that this Pokémon developed its precognitive powers to protect its Trainer from harm.</t>
  </si>
  <si>
    <t>It can instantaneously sense its opponent’s movements by feeling air currents with its fine fur.</t>
  </si>
  <si>
    <t>Kaivaessaan maata se imee itseensä monia kovia esineitä. Tämä tekee sen ruumiista niin vankan.</t>
  </si>
  <si>
    <t>It unleashes psychic power from the orb on its forehead. When its power is exhausted, the orb grows dull and dark.</t>
  </si>
  <si>
    <t>Although it originally had no powers at all, people say its precognitive faculties were awakened by its need to protect itself.</t>
  </si>
  <si>
    <t>ONIXilla on magneetti aivoissaan. Se toimii kompassina, jotta tämä POKéMON ei menetä suuntaa tunneleita kaivaessaan. Vanhetessaan sen kehosta tulee yhä pyöreämpi ja sileämpi.</t>
  </si>
  <si>
    <t>Psychic power builds up in the orb on its forehead as it bathes in the sunshine. Espeon is not good at battling at night.</t>
  </si>
  <si>
    <t>Wields an arcane power with which it can predict the weather and even people's thoughts. When bathed in sunshine, the scarlet orb on its brow glows and builds energy.</t>
  </si>
  <si>
    <t>https://pokeapi.co/api/v2/pokemon-species/84/</t>
  </si>
  <si>
    <t>When agitated, this POKéMON pro tects itself by spraying poisonous sweat from its pores.</t>
  </si>
  <si>
    <t>Sen aivoissa on magneetti, joka estää ONIXia menettämästä suuntaa tunnelointia tehdessään. Vanhetessaan sen kehosta tulee tasaisesti pyöreämpi ja sileämpi.</t>
  </si>
  <si>
    <t>When darkness falls, the rings on the body begin to glow, striking fear in the hearts of anyone nearby.</t>
  </si>
  <si>
    <t>On the night of a full moon, or when it gets excited, the ring patterns on its body glow yellow.</t>
  </si>
  <si>
    <t>Se elää yleensä maan alla. Se etsii ruokaa poratessaan tiensä maan läpi 80 kilometriä tunnissa.</t>
  </si>
  <si>
    <t>UMBREON evolved as a result of exposure to the moon’s waves. It hides silently in darkness and waits for its foes to make a move. The rings on its body glow when it leaps to attack.</t>
  </si>
  <si>
    <t>Kasvaessaan sen kehon kiviset osat kovettuvat ja muuttuvat mustien timanttien kaltaisiksi.</t>
  </si>
  <si>
    <t>UMBREON evolved from exposure to the moon’s energy pulses. It lurks in darkness and waits for its foes to move. The rings on its body glow when it leaps to attack.</t>
  </si>
  <si>
    <t>Kun se kulkee maan alla, se aiheuttaa jyrinää ja vapinaa. Se voi liikkua 80 km/h nopeudella.</t>
  </si>
  <si>
    <t>When darkness falls, the rings on its body begin to glow, striking fear in the hearts of anyone nearby.</t>
  </si>
  <si>
    <t>Se kiemurtelee maassa pitkän ja karhean ruumiinsa avulla. Se syö aina kaivaessaan maahan.</t>
  </si>
  <si>
    <t>When agitated, this POKéMON protects itself by spraying poisonous sweat from its pores.</t>
  </si>
  <si>
    <t>The light of the moon changed EEVEE’s genetic structure. It lurks in darkness for prey.</t>
  </si>
  <si>
    <t>Se kaivautuu maahan 80 km/h nopeudella syöden suuria lohkareita.</t>
  </si>
  <si>
    <t>When exposed to the moon’s aura, the rings on its body glow faintly and it gains a mysterious power.</t>
  </si>
  <si>
    <t>When agitated, this Pokémon protects itself by spraying poisonous sweat from its pores.</t>
  </si>
  <si>
    <t>When exposed to the moon’s aura, the rings on its body glow faintly and it’s filled with a mysterious power.</t>
  </si>
  <si>
    <t>The light of the moon changed Eevee’s genetic structure. It lurks in darkness for prey.</t>
  </si>
  <si>
    <t>Umbreon evolved as a result of exposure to the moon’s waves. It hides silently in darkness and waits for its foes to make a move. The rings on its body glow when it leaps to attack.</t>
  </si>
  <si>
    <t>When this Pokémon becomes angry, its pores secrete a poisonous sweat, which it sprays at its opponent’s eyes.</t>
  </si>
  <si>
    <t>Avattuaan suuren suunsa se nielee valtavia määriä maata ja luo pitkiä tunneleita.</t>
  </si>
  <si>
    <t>With its black fur, it blends into the darkness. It bides its time, and when prey appears, this Pokémon goes for its throat, and then eats it.</t>
  </si>
  <si>
    <t>This Pokémon is nocturnal. Even in total darkness, its large eyes can spot its prey clearly!</t>
  </si>
  <si>
    <t>It lurks in the dark of night looking for prey. At the moment it pounces, the rings on its body glow dimly but ominously.</t>
  </si>
  <si>
    <t>Etsii kourissaan ruokaa nopeasti. Diglett käyttää sen jättämiä tunneleita kotina.</t>
  </si>
  <si>
    <t>It is most active in the wee hours of the night, when moonlight bathes the land. Its large eyes can pierce the darkness and perceive prey with absolute clarity.</t>
  </si>
  <si>
    <t>Feared and loathed by many, it is believed to bring misfortune to all those who see it at night.</t>
  </si>
  <si>
    <t>It is said that when chased, it lures its attacker onto dark mountain trails where the foe will get lost.</t>
  </si>
  <si>
    <t>Onixilla on magneetti aivoissaan. Se toimii kompassina, jotta tämä Pokémon ei menetä suuntaa tunneleita kaivaessaan. Vanhetessaan sen kehosta tulee yhä pyöreämpi ja sileämpi.</t>
  </si>
  <si>
    <t>It hides any shiny object it finds in a secret location. MURKROW and MEOWTH loot one another's stashes.</t>
  </si>
  <si>
    <t>MURKROW was feared and loathed as the alleged bearer of ill fortune. This POKéMON shows strong interest in anything that sparkles or glitters. It will even try to steal rings from women.</t>
  </si>
  <si>
    <t>MURKROW were feared as the alleged bearers of ill fortune. It shows strong interest in anything that sparkles. It will even try to steal rings from women.</t>
  </si>
  <si>
    <t>It is believed that seeing this Pokémon at night will bring about ominous occurrences.</t>
  </si>
  <si>
    <t>It appears near travelers to lure them into deep forests. It is said to carry misfortune.</t>
  </si>
  <si>
    <t>If spotted, it will lure an unwary person into chasing it, then lose the pursuer on mountain trails.</t>
  </si>
  <si>
    <t>If spotted, it will lure an unwary person into chasing it then lose the pursuer on mountain trails.</t>
  </si>
  <si>
    <t>Tämä valtavien kivien ketju muistuttaa jättiläismäistä käärmettä. Maapallon pinta järistyy sen kaivautuessa syvälle maan alle ja syödessä matkallaan lohkareita.</t>
  </si>
  <si>
    <t>Drowzee</t>
  </si>
  <si>
    <t>It hides any shiny object it finds in a secret location. Murkrow and Meowth loot one another’s stashes.</t>
  </si>
  <si>
    <t>Hypnoosi-Pokémon</t>
  </si>
  <si>
    <t>Nukuttaa viholliset ja syö sitten heidän unensa. Sattuu silloin tällöin sairastumaan syötyään pahoja unia.</t>
  </si>
  <si>
    <t>Murkrow was feared and loathed as the alleged bearer of ill fortune. This Pokémon shows strong interest in anything that sparkles or glitters. It will even try to steal rings from women.</t>
  </si>
  <si>
    <t>They awaken at dusk and take wing in the twilight, leading to the expression, “Get home before the Murkrow fly.”</t>
  </si>
  <si>
    <t>Jos nukut sen vieressä koko ajan, se näyttää sinulle joskus unia, joissa se on syönyt aiemmin.</t>
  </si>
  <si>
    <t>Seen as a symbol of bad luck, it’s generally disliked. Yet it gives presents—objects that sparkle or shine—to Trainers it’s close to.</t>
  </si>
  <si>
    <t>Jos luulet nähneesi hyvän unen, mutta et muista sitä, DROWZEE on luultavasti syönyt sen.</t>
  </si>
  <si>
    <t>It has a weakness for shiny things. It’s been known to sneak into the nests of Gabite—noted collectors of jewels—in search of treasure.</t>
  </si>
  <si>
    <t>It searches for shiny things for its boss. Murkrow’s presence is said to be unlucky, so many people detest it.</t>
  </si>
  <si>
    <t>Se muistaa jokaisen syömänsä unen. Se syö harvoin aikuisten unia, koska lasten unet ovat paljon maukkaampia.</t>
  </si>
  <si>
    <t>Widely shunned as a bearer of ill fortune. Upon crossing paths with this creature, I've been told one must chant ”Workrum, Workrum—bad luck, don't come” as a protective incantation.</t>
  </si>
  <si>
    <t>Kun se nykii kuonoaan, se voi kertoa, missä joku nukkuu ja mistä hän unelmoi.</t>
  </si>
  <si>
    <t>It has incredible intellect and in tuition. Whatever the situation, it remains calm and collected.</t>
  </si>
  <si>
    <t>When its head was bitten, toxins entered SLOWPOKE's head and unlocked an extraordinary power.</t>
  </si>
  <si>
    <t>Jos nenäsi kutisee nukkuessasi, se on varma merkki siitä, että jokin näistä POKéMONeista seisoo tyynysi yläpuolella ja yrittää syödä untasi sieraimiesi kautta.</t>
  </si>
  <si>
    <t>Every time it ya wns, SHELLDER injects more poi son into it. The poison makes it more intelligent.</t>
  </si>
  <si>
    <t>SLOWKING undertakes research every day in an effort to solve the mysteries of the world. However, this POKéMON apparently forgets everything it has learned if the SHELLDER on its head comes off.</t>
  </si>
  <si>
    <t>It undertakes research every day to solve the mysteries of the world. However, it apparently forgets everything if the SHELLDER on its head comes off.</t>
  </si>
  <si>
    <t>Jos nenäsi kutisee nukkuessasi, se on varma merkki siitä, että DROWZEE seisoo tyynysi yläpuolella ja yrittää syödä untasi sieraimiesi kautta.</t>
  </si>
  <si>
    <t>When its head was bitten, toxins entered SLOWPOKE’s head and unlocked an extraordinary power.</t>
  </si>
  <si>
    <t>It has incredible intellect and intuition. Whatever the situation, it remains calm and collected.</t>
  </si>
  <si>
    <t>Being bitten by SHELLDER gave it intelligence comparable to that of award-winning scientists.</t>
  </si>
  <si>
    <t>Legendaarisen baku-eläimen jälkeläinen, jonka sanotaan syövän unia. Se on taitava hypnotisoinnissa.</t>
  </si>
  <si>
    <t>Being bitten by Shellder gave it intelligence comparable to that of award-winning scientists.</t>
  </si>
  <si>
    <t>When its head was bitten, toxins entered Slowpoke’s head and unlocked an extraordinary power.</t>
  </si>
  <si>
    <t>Nukuttaa viholliset ja syö sitten heidän unensa. Sairastuu toisinaan syötyään vain pahoja unia.</t>
  </si>
  <si>
    <t>Slowking undertakes research every day in an effort to solve the mysteries of the world. However, this Pokémon apparently forgets everything it has learned if the Shellder on its head comes off.</t>
  </si>
  <si>
    <t>Se pystyy haistelemaan isolla nenällään, mitä ihmiset näkevät unissa. Se rakastaa hauskoja unia.</t>
  </si>
  <si>
    <t>A poisonous bite reacted with its system, blessing it with the enhanced intellect of a genius. It has full control of its psychic powers.</t>
  </si>
  <si>
    <t>This Pokémon is so famed for its intellect that a proverb still persists in some regions: “When in doubt, ask Slowking.”</t>
  </si>
  <si>
    <t>https://pokeapi.co/api/v2/pokemon-species/85/</t>
  </si>
  <si>
    <t>It’s constantly coming up with new ideas that would change the world, but as soon as it hits upon a new idea, it forgets it.</t>
  </si>
  <si>
    <t>It’s called “the sage of the sea.” It engages in battles of wits with Oranguru, but the result is usually a draw.</t>
  </si>
  <si>
    <t>Miraculously, this former Slowpoke’s latent intelligence was drawn out when Shellder poison raced through its brain.</t>
  </si>
  <si>
    <t>Slowking can solve any problem presented to it, but no one can understand a thing Slowking says.</t>
  </si>
  <si>
    <t>It likes playing mischievous tricks such as screaming and wailing to startle people at night.</t>
  </si>
  <si>
    <t>It loves to bite and yank people's hair from behind without warning, just to see their shocked reactions.</t>
  </si>
  <si>
    <t>It loves to watch people it's scar ed. It frightens them by screaming loudly or appear ing suddenly.</t>
  </si>
  <si>
    <t>MISDREAVUS frightens people with a creepy, sobbing cry. The POKéMON apparently uses its red spheres to absorb the fearful feelings of foes and turn them into nutrition.</t>
  </si>
  <si>
    <t>A MISDREAVUS frightens people with a creepy, sobbing cry. It apparently uses its red spheres to absorb the fear of foes as its nutrition.</t>
  </si>
  <si>
    <t>It loves to bite and yank people’s hair from behind without warning, just to see their shocked reactions.</t>
  </si>
  <si>
    <t>It loves to sneak up on people late at night, then startle them with its shrieklike cry.</t>
  </si>
  <si>
    <t>It gets nourishment from fear that it absorbs into its red orbs. In daytime, it sleeps in darkness.</t>
  </si>
  <si>
    <t>A Pokémon that startles people in the middle of the night. It gathers fear as its energy.</t>
  </si>
  <si>
    <t>It likes playing mischievous tricks, such as screaming and wailing to startle people at night.</t>
  </si>
  <si>
    <t>Jos luulet nähneesi hyvän unen, mutta et muista sitä, Drowzee on luultavasti syönyt sen.</t>
  </si>
  <si>
    <t>Misdreavus frightens people with a creepy, sobbing cry. The Pokémon apparently uses its red spheres to absorb the fearful feelings of foes and turn them into nutrition.</t>
  </si>
  <si>
    <t>It will use any means necessary to frighten people and absorb their life energy. It practices constantly to hone its skill in causing fear.</t>
  </si>
  <si>
    <t>If you hear a sobbing sound emanating from a vacant room, it’s undoubtedly a bit of mischief from Misdreavus.</t>
  </si>
  <si>
    <t>Jos nenäsi kutisee nukkuessasi, se on varma merkki siitä, että yksi näistä Pokémoneista seisoo tyynysi yläpuolella ja yrittää syödä untasi sierainten kautta.</t>
  </si>
  <si>
    <t>What gives meaning to its life is surprising others. If you set your ear against the red orbs around its neck, you can hear shrieking.</t>
  </si>
  <si>
    <t>What makes it happy is imitating the voices of weeping people and scaring everyone. It doesn’t deal well with folks who aren’t easily frightened.</t>
  </si>
  <si>
    <t>It conceals itself in darkness, sending chills up travelers' spines with its childlike weeping. As it observes the frightened travelers with glee, the red orbs upon its chest let off an eerie light.</t>
  </si>
  <si>
    <t>Tämä Pokémon ravitsee itseään syömällä unia, ja sen uskotaan jakavan yhteisen esi-isän Munnan ja Musharnan kanssa.</t>
  </si>
  <si>
    <t>Their shapes look like hieroglyphs on ancient tab lets. It is said that the two are somehow related.</t>
  </si>
  <si>
    <t>Its flat, thin body is always stuck on walls. Its shape appears to have some mean ing.</t>
  </si>
  <si>
    <t>Because different types of UNOWN exist, it is said that they must have a variety of abilities.</t>
  </si>
  <si>
    <t>Se pitää todella hauskoja unia maukkaina. Kun se ystävystyy ihmisten kanssa, se saattaa näyttää heille herkullisimpia unia, joita se on koskaan syönyt.</t>
  </si>
  <si>
    <t>This POKéMON is shaped like ancient writing. It is a mystery as to which came first, the ancient writings or the various UNOWN. Research into this topic is ongoing but nothing is known.</t>
  </si>
  <si>
    <t>This POKéMON is shaped like ancient text characters. Although research is ongoing, it is a mystery as to which came first, the ancient writings or the various UNOWN.</t>
  </si>
  <si>
    <t>Sen voi havaita virkistysalueiden lähellä, aikomuksenaan syödä siellä sinä päivänä viihtyneiden lasten miellyttäviä unia.</t>
  </si>
  <si>
    <t>Its flat, thin body is always stuck on walls. Its shape appears to have some meaning.</t>
  </si>
  <si>
    <t>Their shapes look like hieroglyphs on ancient tablets. It is said that the two are somehow related.</t>
  </si>
  <si>
    <t>Shaped like ancient writing, it is a huge mystery whether language or UNOWN came first.</t>
  </si>
  <si>
    <t>Se nukuttaa saaliinsa ja syö niiden unet. Pahat unet tuntuvat maistuvan kitkeriltä, ​​joten Drowzee ei erityisemmin pidä niiden syömisestä.</t>
  </si>
  <si>
    <t>They seem to communicate among each other telepathically. They are always found stuck on walls.</t>
  </si>
  <si>
    <t>When alone, nothing happens. However, if there are two or more, an odd power is said to emerge.</t>
  </si>
  <si>
    <t>Shaped like ancient writing, it is a huge mystery whether language or Unown came first.</t>
  </si>
  <si>
    <t>This Pokémon is shaped like ancient writing. It is a mystery as to which came first, the ancient writings or the various Unown. Research into this topic is ongoing but nothing is known.</t>
  </si>
  <si>
    <t>It is hard to believe these strangely shaped Pokémon are truly living creatures. I've pointed out that the species' many forms resemble writing from other lands; no one will take me seriously.</t>
  </si>
  <si>
    <t>It hates light and shock. If attack ed, it inflates its body to pump up its counter strike.</t>
  </si>
  <si>
    <t>Hypno</t>
  </si>
  <si>
    <t>To keep its pitch- black tail hidden, it lives quietly in the darkness. It is never first to attack.</t>
  </si>
  <si>
    <t>In order to con ceal its black tail, it lives in a dark cave and only moves about at night.</t>
  </si>
  <si>
    <t>Kun se kohtaa vihollisen silmät, se käyttää yhdistelmää PSI-liikkeitä, kuten HYPNOOSI ja SEKAUTUS.</t>
  </si>
  <si>
    <t>If two or more WOBBUFFET meet, they will turn competitive and try to outdo each other’s endurance. However, they may try to see which one can endure the longest without food. TRAINERS need to beware of this habit.</t>
  </si>
  <si>
    <t>WOBBUFFET does nothing but endure attacks - it won’t attack on its own. However, it won’t endure an attack on its tail. When that happens, the POKéMON will try to take the foe with it using DESTINY BOND.</t>
  </si>
  <si>
    <t>Usually docile, a WOBBUFFET strikes back ferociously if its black tail is attacked. It makes its lair in caves where it waits for nightfall.</t>
  </si>
  <si>
    <t>To keep its pitch-black tail hidden, it lives quietly in the darkness. It is never first to attack.</t>
  </si>
  <si>
    <t>https://pokeapi.co/api/v2/pokemon-species/86/</t>
  </si>
  <si>
    <t>It hates light and shock. If attacked, it inflates its body to pump up its counterstrike.</t>
  </si>
  <si>
    <t>It desperately tries to keep its black tail hidden. It is said to be proof the tail hides a secret.</t>
  </si>
  <si>
    <t>Vältä katsekontaktia, jos kohtaat sellaisen. Se yrittää nukuttaa sinut heilurin avulla.</t>
  </si>
  <si>
    <t>It hates light and shock. If attacked, it inflates its body to build up its counterstrike.</t>
  </si>
  <si>
    <t>If two or more Wobbuffet meet, they will turn competitive and try to outdo each other’s endurance. However, they may try to see which one can endure the longest without food. Trainers need to beware of this habit.</t>
  </si>
  <si>
    <t>Kun se on hyvin nälkäinen, se nukuttaa kohtaamansa ihmiset ja sitten se herkuttelee heidän unillaan.</t>
  </si>
  <si>
    <t>Wobbuffet does nothing but endure attacks—it won’t attack on its own. However, it won’t endure an attack on its tail. When that happens, the Pokémon will try to take the foe with it using Destiny Bond.</t>
  </si>
  <si>
    <t>Kun heiluria pidetään aina kädessä ja se keinuu tasaisesti, se aiheuttaa uneliaisuutta lähellä oleville.</t>
  </si>
  <si>
    <t>Its tail has a small brain of its own. Beware! If you get close, it may react to your scent and bite.</t>
  </si>
  <si>
    <t>Mitä kauemmin se heiluttaa heiluriaan, sitä kauemmin sen hypnoosivaikutukset kestävät.</t>
  </si>
  <si>
    <t>Its tail, which also contains a small brain, may bite on its own if it notices an alluring smell.</t>
  </si>
  <si>
    <t>When it is in danger, its tail uses some sort of mysterious powers to drive away the enemy.</t>
  </si>
  <si>
    <t>HYPNO pitelee heiluria kädessään. Heilurin kaarimainen liike ja kimallus tuudittavat vihollisen syvään hypnoositilaan. Samaan aikaan kun tämä POKéMON etsii saalista, se hioo heiluria.</t>
  </si>
  <si>
    <t>GIRAFARIG’s rear head also has a brain, but it is small. The rear head attacks in response to smells and sounds. Approaching this POKéMON from behind can cause the rear head to suddenly lash out and bite.</t>
  </si>
  <si>
    <t>GIRAFARIG’s rear head contains a tiny brain that is too small for thinking. However, the rear head doesn’t need to sleep, so it can keep watch over its surroundings 24 hours a day.</t>
  </si>
  <si>
    <t>A GIRAFARIG is an herbivore--it eats grass and tree shoots. While it is eating, its tail makes chewing and swallowing motions as if it were also eating.</t>
  </si>
  <si>
    <t>Its tail also has a small brain. It bites to repel any foe trying to sneak up on it from behind.</t>
  </si>
  <si>
    <t>While it sleeps, the head on its tail keeps watch. The tail doesn’t need to sleep.</t>
  </si>
  <si>
    <t>Heilurin kaarimainen liike ja kimallus HYPNON kädessä tuudittavat vihollisen syvään hypnoosiin. Saalistaan ​​etsiessään se kiillottaa heiluria.</t>
  </si>
  <si>
    <t>The head on its tail contains a small brain. It can instinctively fight even while facing backward.</t>
  </si>
  <si>
    <t>Se kantaa mukanaan heilurin kaltaista laitetta. Kerran tapahtui tapaus, jossa se vei pois hypnotisoimansa lapsen.</t>
  </si>
  <si>
    <t>Its tail has a small brain of its own. Beware! If you get close, it may react to your scent by biting.</t>
  </si>
  <si>
    <t>Girafarig’s rear head also has a brain, but it is small. The rear head attacks in response to smells and sounds. Approaching this Pokémon from behind can cause the rear head to suddenly lash out and bite.</t>
  </si>
  <si>
    <t>Girafarig’s rear head contains a tiny brain that is too small for thinking. However, the rear head doesn’t need to sleep, so it can keep watch over its surroundings 24 hours a day.</t>
  </si>
  <si>
    <t>Heiluriliikkeen näkeminen voi saada unen kolmessa sekunnissa, jopa juuri heränneelle.</t>
  </si>
  <si>
    <t>It likes to make its shell thicker by adding layers of tree bark. The additional weight doesn't bother it.</t>
  </si>
  <si>
    <t>It hangs and waits for flying insect prey to come near. It does not move about much on its own.</t>
  </si>
  <si>
    <t>It spits out a fluid that it uses to glue tree bark to its body. The fluid hardens when it touches air.</t>
  </si>
  <si>
    <t>Kun heiluria pidetään aina kädessä ja se heiluu tasaisesti, se aiheuttaa uneliaisuutta kaikille lähellä oleville.</t>
  </si>
  <si>
    <t>PINECO hangs from a tree branch and patiently waits for prey to come along. If the POKéMON is disturbed while eating by someone shaking its tree, it drops down to the ground and explodes with no warning.</t>
  </si>
  <si>
    <t>A PINECO hangs from a tree branch and waits for prey. While eating, if it is disturbed by someone shaking its tree, it falls on the ground and suddenly explodes.</t>
  </si>
  <si>
    <t>It hangs and waits for flying-insect prey to come near. It does not move about much on its own.</t>
  </si>
  <si>
    <t>It likes to make its shell thicker by adding layers of tree bark. The extra weight doesn’t bother it.</t>
  </si>
  <si>
    <t>It looks just like a pinecone. Its shell protects it from bird Pokémon that peck it by mistake.</t>
  </si>
  <si>
    <t>It likes to make its shell thicker by adding layers of tree bark. The additional weight doesn’t bother it.</t>
  </si>
  <si>
    <t>Pineco hangs from a tree branch and patiently waits for prey to come along. If the Pokémon is disturbed while eating by someone shaking its tree, it drops down to the ground and explodes with no warning.</t>
  </si>
  <si>
    <t>Motionless, it hangs from trees, waiting for its bug Pokémon prey to come to it. Its favorite in Alola is Cutiefly.</t>
  </si>
  <si>
    <t>It sticks tree bark to itself with its saliva, making itself thicker and larger. Elderly Pineco are ridiculously huge.</t>
  </si>
  <si>
    <t>Its entire body is shielded by a steel-hard shell. What lurks inside the armor is a total mystery.</t>
  </si>
  <si>
    <t>It remains immova bly rooted to its tree. It scatters pieces of its hard shell to drive its enemies away.</t>
  </si>
  <si>
    <t>Hypno pitelee heiluria kädessään. Heilurin kaarimainen liike ja kimallus tuudittavat vihollisen syvään hypnoositilaan. Saalistaan ​​etsiessään tämä Pokémon hioo heiluria.</t>
  </si>
  <si>
    <t>Usually found hanging on to a fat tree trunk. It shoots out bits of its shell when it sees action.</t>
  </si>
  <si>
    <t>FORRETRESS conceals itself inside its hardened steel shell. The shell is opened when the POKéMON is catching prey, but it does so at such a quick pace that the shell’s inside cannot be seen.</t>
  </si>
  <si>
    <t>It keeps itself inside its steel shell. The shell is opened when it is catching prey, but it is so quick that the shell’s inside cannot be seen.</t>
  </si>
  <si>
    <t>Vaikka se on erittäin vaarallinen Pokémon, ihmiset, jotka tarvitsevat hyvää ja sikeää unta, kutsuvat sitä pelastajakseen.</t>
  </si>
  <si>
    <t>It remains immovably rooted to its tree. It scatters pieces of its hard shell to drive its enemies away.</t>
  </si>
  <si>
    <t>Its entire body is shielded by a steel- hard shell. What lurks inside the armor is a total mystery.</t>
  </si>
  <si>
    <t>Se nukuttaa jokaisen vastaantulijan ja maistaa heidän uniaan. Se vie mennessään jokaisen, joka näkee hyvän unen.</t>
  </si>
  <si>
    <t>It is encased in a steel shell. Its peering eyes are all that can be seen of its mysterious innards.</t>
  </si>
  <si>
    <t>Alolassa Hypnon pääkohde on Komala. Se vahingoittaa ihmisiä harvoin.</t>
  </si>
  <si>
    <t>Its entire body is shielded by a steel-hard shell. What lurks inside this shell is a total mystery.</t>
  </si>
  <si>
    <t>Forretress conceals itself inside its hardened steel shell. The shell is opened when the Pokémon is catching prey, but it does so at such a quick pace that the shell’s inside cannot be seen.</t>
  </si>
  <si>
    <t>On olemassa joitakin hypnolaitteita, jotka auttavat lääkäreitä potilaiden kanssa, jotka eivät voi nukkua öisin sairaaloissa.</t>
  </si>
  <si>
    <t>When something approaches it, it fires off fragments of its steel shell in attack. This is not a conscious action but a conditioned reflex.</t>
  </si>
  <si>
    <t>In the moment that it gulps down its prey, the inside of its shell is exposed, but to this day, no one has ever seen that sight.</t>
  </si>
  <si>
    <t>When spotted, this POKéMON escapes backward by furi ously boring into the ground with its tail.</t>
  </si>
  <si>
    <t>If spotted, it es capes by burrowing with its tail. It can float just slightly using its wings.</t>
  </si>
  <si>
    <t>It hides deep inside caves where no light ever reaches it and remains virtually motionless there.</t>
  </si>
  <si>
    <t>DUNSPARCE has a drill for its tail. It uses this tail to burrow into the ground backwards. This POKéMON is known to make its nest in complex shapes deep under the ground.</t>
  </si>
  <si>
    <t>Its drill-tipped tail is used to burrow into the ground backwards. This POKéMON is known to make its nest in complex shapes deep under the ground.</t>
  </si>
  <si>
    <t>Krabby</t>
  </si>
  <si>
    <t>Jokirapu-Pokémon</t>
  </si>
  <si>
    <t>If spotted, it escapes by burrowing with its tail. It can hover just slightly using its wings.</t>
  </si>
  <si>
    <t>Sen pihdit eivät ole vain tehokkaita aseita, vaan niitä käytetään tasapainon ylläpitämiseen sivuttain kävellessä.</t>
  </si>
  <si>
    <t>https://pokeapi.co/api/v2/pokemon-species/87/</t>
  </si>
  <si>
    <t>When spotted, this POKéMON escapes backward by furiously boring into the ground with its tail.</t>
  </si>
  <si>
    <t>It digs into the ground with its tail and makes a mazelike nest. It can fly just a little.</t>
  </si>
  <si>
    <t>When spotted, this Pokémon escapes backward by furiously boring into the ground with its tail.</t>
  </si>
  <si>
    <t>If spotted, it escapes by burrowing with its tail. It can float just slightly using its wings.</t>
  </si>
  <si>
    <t>Sen pihdit ovat loistavia aseita. Ne joskus katkeavat taistelun aikana, mutta kasvavat nopeasti takaisin.</t>
  </si>
  <si>
    <t>It creates mazes in dark locations. When spotted, it flees into the ground by digging with its tail.</t>
  </si>
  <si>
    <t>Dunsparce has a drill for its tail. It uses this tail to burrow into the ground backward. This Pokémon is known to make its nest in complex shapes deep under the ground.</t>
  </si>
  <si>
    <t>It travels by digging through the ground. Diglett and Dunsparce share one another’s tunnels happily.</t>
  </si>
  <si>
    <t>Jos se aistii lähestyvän vaaran, se peittää itsensä suustaan ​​tulevilla kuplilla näyttääkseen suuremmalta.</t>
  </si>
  <si>
    <t>When it sees a person, it digs a hole with its tail to make its escape. If you happen to find one, consider yourself lucky.</t>
  </si>
  <si>
    <t>This Pokémon’s tiny wings have some scientists saying that Dunsparce used to fly through the sky in ancient times.</t>
  </si>
  <si>
    <t>The nests Dunsparce live in are mazes of tunnels. They never get lost in their own nests—they can tell where they are by the scent of the dirt.</t>
  </si>
  <si>
    <t>It flies straight at its target's face then clamps down on the star tled victim to inject poison.</t>
  </si>
  <si>
    <t>It usually clings to cliffs. When it spots its prey, it spreads its wings and glides down to attack.</t>
  </si>
  <si>
    <t>Pihdit katkeavat helposti. Jos se irtoaa, se ei jostain syystä pysty kävelemään sivuttain.</t>
  </si>
  <si>
    <t>It builds its nest on a steep cliff. When it is done gliding, it hops along the ground back to its nest.</t>
  </si>
  <si>
    <t>GLIGAR glides through the air without a sound as if it were sliding. This POKéMON hangs on to the face of its foe using its clawed hind legs and the large pincers on its forelegs, then injects the prey with its poison barb.</t>
  </si>
  <si>
    <t>Jos se ei löydä ruokaa, se imee ravinteita nielemällä suullisen hiekkaa.</t>
  </si>
  <si>
    <t>It glides without making a single sound. It grasps the face of its foe using its hind and large front claws, then stabs with its poison barb.</t>
  </si>
  <si>
    <t>RAPUT elävät rannoilla, kaivautuneina hiekkaan kaivettuihin koloihin. Hiekkarannoilla, joissa on vähän ruokaa, näitä POKéMONEJA voi nähdä riitelemässä keskenään reviirinsä puolesta.</t>
  </si>
  <si>
    <t>It flies straight at its target’s face, then clamps down on the startled victim to inject poison.</t>
  </si>
  <si>
    <t>It sails on the winds with its limbs extended to strike from the sky. It aims for the prey’s face.</t>
  </si>
  <si>
    <t>It glides as if sliding. It startles foes by clamping on to their faces, then jabs with its poison stinger.</t>
  </si>
  <si>
    <t>RAPUT elävät rannoille kaivetuissa koloissa. Hiekkarannoilla, joissa on vähän ruokaa, ne voivat kiistelemään reviirinsä puolesta.</t>
  </si>
  <si>
    <t>It clamps on to its chosen prey then jabs the stinger on its tail into the prey while it’s stunned with surprise.</t>
  </si>
  <si>
    <t>Sitä voi löytää meren läheltä. Suuret pihdit kasvavat takaisin, jos ne revitään irti kuopistaan.</t>
  </si>
  <si>
    <t>Gligar glides through the air without a sound as if it were sliding. This Pokémon hangs on to the face of its foe using its clawed hind legs and the large pincers on its forelegs, then injects the prey with its poison barb.</t>
  </si>
  <si>
    <t>Its tail is tipped by a thick, horrible stinger. To bring down prey, it will first obscure their vision by covering their faces with its body, and then it will use the stinger to inject them with venom.</t>
  </si>
  <si>
    <t>Its body has been compressed deep under the ground. As a result, it is even harder than a diamond.</t>
  </si>
  <si>
    <t>Se elää hiekkarannoille kaivetuissa koloissa. Sen pihdit kasvavat täysin takaisin, jos ne katkeavat taistelussa.</t>
  </si>
  <si>
    <t>It is said that if an ONIX lives for over 100 years, its composition changes to become diamond-like.</t>
  </si>
  <si>
    <t>The many small metal particles that cover this POKéMON's body reflect bright light well.</t>
  </si>
  <si>
    <t>STEELIX lives even further underground than ONIX. This POKéMON is known to dig towards the earth’s core. There are records of this POKéMON reaching a depth of over six-tenths of a mile underground.</t>
  </si>
  <si>
    <t>STEELIX live even further underground than ONIX. This POKéMON is known to dig toward the earth’s core, reaching a depth of over six-tenths of a mile underground.</t>
  </si>
  <si>
    <t>Its body has been compressed deep under the ground. As a result, it is even harder than diamond.</t>
  </si>
  <si>
    <t>Pihdit katkeavat helposti. Jos se irtoaa pihdeistä, se ei jostain syystä pysty kävelemään sivuttain.</t>
  </si>
  <si>
    <t>Tempered underground under high pressure and heat, its body is harder than any metal.</t>
  </si>
  <si>
    <t>It chews its way through boulders with its sturdy jaws. Its eyes can see in the darkness underground.</t>
  </si>
  <si>
    <t>It is thought its body transformed as a result of iron accumulating internally from swallowing soil.</t>
  </si>
  <si>
    <t>It’s said that if an ONIX lives for 100 years, its composition becomes diamondlike as it evolves into a STEELIX.</t>
  </si>
  <si>
    <t>The iron it ingested with the soil it swallowed transformed its body and made it harder than diamonds.</t>
  </si>
  <si>
    <t>Steelix lives even further underground than Onix. This Pokémon is known to dig toward the earth’s core. There are records of this Pokémon reaching a depth of over six-tenths of a mile underground.</t>
  </si>
  <si>
    <t>It is said that if an Onix lives for over 100 years, its composition changes to become diamond-like.</t>
  </si>
  <si>
    <t>This Pokémon evolved through use of a strange item. Its body is coated with steel powder and notably hard—not even diamond can leave so much as a scratch.</t>
  </si>
  <si>
    <t>Although it looks frightening, it is actually kind and affectionate. It is very popular among women.</t>
  </si>
  <si>
    <t>It has an active, playful nature. Many women like to frolic with it because of its af fectionate ways.</t>
  </si>
  <si>
    <t>In truth, it is a cowardly POKéMON. It growls eagerly in order to hide its fear from its opponent.</t>
  </si>
  <si>
    <t>By baring its fangs and making a scary face, SNUBBULL sends smaller POKéMON scurrying away in terror. However, this POKéMON seems a little sad at making its foes flee.</t>
  </si>
  <si>
    <t>By baring its fangs and making a scary face, it sends smaller POKéMON scurrying in terror. The SNUBBULL does seem a little sad at making its foes flee.</t>
  </si>
  <si>
    <t>It has an active, playful nature. Many women like to frolic with it because of its affectionate ways.</t>
  </si>
  <si>
    <t>Krabbyt elävät rannoilla, kaivautuneina hiekkaan kaivettuihin koloihin. Hiekkarannoilla, joilla on vähän ruokaa, näitä Pokémoneja voi nähdä riitelemässä keskenään reviirinsä puolesta.</t>
  </si>
  <si>
    <t>Small Pokémon flee from its scary face. It is, however, considered by women to be cute.</t>
  </si>
  <si>
    <t>By baring its fangs and making a scary face, Snubbull sends smaller Pokémon scurrying away in terror. However, this Pokémon seems a little sad at making its foes flee.</t>
  </si>
  <si>
    <t>Despite its intimidating face, it’s quite cowardly. Its desperate attempts to appear threatening make it popular with people.</t>
  </si>
  <si>
    <t>Its growls make its opponents uneasy. This laid-back Pokémon tends to sleep half the day.</t>
  </si>
  <si>
    <t>It grows close to others easily and is also easily spoiled. The disparity between its face and its actions makes many young people wild about it.</t>
  </si>
  <si>
    <t>In contrast to its appearance, it’s quite timid. When playing with other puppy Pokémon, it sometimes gets bullied.</t>
  </si>
  <si>
    <t>It is actually timid and easily spooked. If at tacked, it flails about to fend off its attacker.</t>
  </si>
  <si>
    <t>Because its fangs are too heavy, it always keeps its head tilted down. However, its BITE is powerful.</t>
  </si>
  <si>
    <t>It can make most any POKéMON run away simply by opening its mouth wide to reveal its big fangs.</t>
  </si>
  <si>
    <t>Kingler</t>
  </si>
  <si>
    <t>Pincer-Pokémon</t>
  </si>
  <si>
    <t>GRANBULL has a particularly well- developed lower jaw. The enormous fangs are heavy, causing the POKéMON to tip its head back for balance. Unless it is startled, it will not try to bite indiscriminately.</t>
  </si>
  <si>
    <t>Suuressa pihdeissä on 10 000 hevosvoiman murskausteho. Sen valtava koko tekee siitä kuitenkin kömpelön käyttää.</t>
  </si>
  <si>
    <t>It has a particularly well-developed lower jaw. The huge fangs are heavy, causing it to tilt its head. Unless it is startled, it will not try to bite.</t>
  </si>
  <si>
    <t>It is actually timid and easily spooked. If attacked, it flails about to fend off its attacker.</t>
  </si>
  <si>
    <t>It is timid in spite of its looks. If it becomes enraged, however, it will strike with its huge fangs.</t>
  </si>
  <si>
    <t>Because its fangs are too heavy, it always keeps its head tilted down. However, its bite is powerful.</t>
  </si>
  <si>
    <t>Yksi kynsi kasvoi valtavasti ja kovaksi kuin teräs. Sen voima on 10 000 hv. Se on kuitenkin liian painava.</t>
  </si>
  <si>
    <t>It can make most any Pokémon run away simply by opening its mouth wide to reveal its big fangs.</t>
  </si>
  <si>
    <t>Se tuskin pystyy nostamaan massiivista, ylikasvanutta pihtiään. Pihdin koko tekee oikean tähtäyksen vaikeaksi.</t>
  </si>
  <si>
    <t>Granbull has a particularly well-developed lower jaw. The enormous fangs are heavy, causing the Pokémon to tip its head back for balance. Unless it is startled, it will not try to bite indiscriminately.</t>
  </si>
  <si>
    <t>Its well-developed lower jaw and heavy fangs are its weapons. As long as it’s not provoked, it rarely bites.</t>
  </si>
  <si>
    <t>Sen pihdit kasvavat omituisen suuriksi. Jos se nostaa pihdit liian nopeasti, se menettää tasapainonsa ja horjuu.</t>
  </si>
  <si>
    <t>More timid than Snubbull, this Pokémon is doted on by young people amused at the contrast between its looks and its attitude.</t>
  </si>
  <si>
    <t>Sen ylisuuri kynsi on erittäin voimakas, mutta taistelun ulkopuolella kynsi on vain tiellä.</t>
  </si>
  <si>
    <t>While it has powerful jaws, it doesn’t care for disputes, so it rarely has a chance to display their might.</t>
  </si>
  <si>
    <t>Although it’s popular with young people, Granbull is timid and sensitive, so it’s totally incompetent as a watchdog.</t>
  </si>
  <si>
    <t>KINGLERillä on valtava, ylisuuri kynsi. Se heiluttaa tätä valtavaa kynttä ilmassa kommunikoidakseen muiden kanssa. Koska kynsi on niin painava, POKéMON väsyy kuitenkin nopeasti.</t>
  </si>
  <si>
    <t>To fire its poison spikes, it must inflate its body by drinking over 2.6 gallons of water all at once.</t>
  </si>
  <si>
    <t>The small spikes covering its body developed from scales. They in ject a toxin that causes fainting.</t>
  </si>
  <si>
    <t>When faced with a larger opponent, it swallows as much water as it can to match the opponent's size.</t>
  </si>
  <si>
    <t>QWILFISH sucks in water, inflating itself. This POKéMON uses the pressure of the water it swallowed to shoot toxic quills all at once from all over its body. It finds swimming somewhat challenging.</t>
  </si>
  <si>
    <t>A QWILFISH uses the pressure of water it swallows to shoot toxic quills all at once from all over its body. It finds swimming to be somewhat challenging.</t>
  </si>
  <si>
    <t>Se heiluttaa valtavaa, ylisuuria kynsiään ilmassa kommunikoidakseen muiden kanssa. Mutta koska kynsi on niin painava, tämä POKéMON väsyy nopeasti.</t>
  </si>
  <si>
    <t>The small spikes covering its body developed from scales. They inject a toxin that causes fainting.</t>
  </si>
  <si>
    <t>It shoots the poison spines on its body in all directions. Its round form makes it a poor swimmer.</t>
  </si>
  <si>
    <t>Sen suuressa ja kovassa pihdeissä on 10 000 hevosvoimaa. Koska se on niin suuri, sitä on kuitenkin hankala liikuttaa.</t>
  </si>
  <si>
    <t>Qwilfish sucks in water, inflating itself. This Pokémon uses the pressure of the water it swallowed to shoot toxic quills all at once from all over its body. It finds swimming somewhat challenging.</t>
  </si>
  <si>
    <t>Suuressa pihdeissä on 10 000 hevosvoiman murskausvoima. Sen valtava koko tekee siitä kuitenkin kömpelön käyttää.</t>
  </si>
  <si>
    <t>When faced with a larger opponent, it swallows as much water as it can to match the opponent’s size.</t>
  </si>
  <si>
    <t>Fishers detest this troublesome Pokémon because it sprays poison from its spines, getting it everywhere. A different form of Qwilfish lives in other regions.</t>
  </si>
  <si>
    <t>Suuremmassa pihtikiväärissä on 10 000 hevosvoimaa. Se on kuitenkin niin painava, että sitä on vaikea tähtätä.</t>
  </si>
  <si>
    <t>It swings its eye- patterned pincers up to scare its foes. This makes it look like it has three heads.</t>
  </si>
  <si>
    <t>Its wings are not used for flying. They are flapped at high speed to adjust its body temperature.</t>
  </si>
  <si>
    <t>This POKéMON's pincers, which contain steel, can crush any hard object it gets a hold of into bits.</t>
  </si>
  <si>
    <t>SCIZOR has a body with the hardness of steel. It is not easily fazed by ordinary sorts of attacks. This POKéMON flaps its wings to regulate its body temperature.</t>
  </si>
  <si>
    <t>A SCIZOR has a body with the hardness of steel. It is not easily fazed by ordinary sorts of attacks. It flaps its wings to regulate its body temperature.</t>
  </si>
  <si>
    <t>It swings its eye-patterned pincers up to scare its foes. This makes it look like it has three heads.</t>
  </si>
  <si>
    <t>It has a steel-hard body. It intimidates foes by upraising its eye-patterned pincers.</t>
  </si>
  <si>
    <t>It raises its pincers with eyelike markings for intimidation. It also swings them down dangerously.</t>
  </si>
  <si>
    <t>This Pokémon’s pincers, which contain steel, can crush any hard object it gets ahold of into bits.</t>
  </si>
  <si>
    <t>Scizor has a body with the hardness of steel. It is not easily fazed by ordinary sorts of attacks. This Pokémon flaps its wings to regulate its body temperature.</t>
  </si>
  <si>
    <t>It uses its wings to adjust its body temperature. Otherwise, its metal body would become too hot and melt in the heat of battle.</t>
  </si>
  <si>
    <t>Once it has identified an enemy, this Pokémon smashes it mercilessly with pincers hard as steel.</t>
  </si>
  <si>
    <t>Sen suuret ja kovat pihdit ovat 10 000 hevosvoiman tehoisia. Kokonsa ansiosta niitä on kuitenkin hankala liikuttaa.</t>
  </si>
  <si>
    <t>Its body is like steel. Its tough, heavy pincers are more suited to smashing enemies than grabbing them.</t>
  </si>
  <si>
    <t>Once it has identified something as an enemy, it will continue beating them with its steel-hard pincers until there’s nothing left but scraps.</t>
  </si>
  <si>
    <t>Bulky pincers account for one third of Scizor’s body weight. A single swing of one of these pincers will crush a boulder completely.</t>
  </si>
  <si>
    <t>Kinglerillä on valtava, ylisuuri kynsi. Se heiluttaa tätä valtavaa kynttä ilmassa kommunikoidakseen muiden kanssa. Koska kynsi on kuitenkin niin painava, Pokémon väsyy nopeasti.</t>
  </si>
  <si>
    <t>Though its body is slim, Scizor has tremendous attacking power. Even Scizor’s muscles are made of metal.</t>
  </si>
  <si>
    <t>Evolved by way of a curious item. The shell covering its body has been shown to be stronger than forged steel.</t>
  </si>
  <si>
    <t>https://pokeapi.co/api/v2/pokemon-species/88/</t>
  </si>
  <si>
    <t>The BERRIES it stores in its vase-like shell decompose and become a gooey liquid.</t>
  </si>
  <si>
    <t>It stores BERRIES inside its shell. To avoid attacks, it hides beneath rocks and remains completely still.</t>
  </si>
  <si>
    <t>The fluid secreted by its toes carves holes in rocks for nesting and can be mixed with BERRIES to make a drink.</t>
  </si>
  <si>
    <t>Yksi kynsi kasvoi valtavasti ja on teräskova. Siinä on 10 000 hevosvoimaa. Se on kuitenkin liian painava.</t>
  </si>
  <si>
    <t>SHUCKLE quietly hides itself under rocks, keeping its body concealed inside its hard shell while eating berries it has stored away. The berries mix with its body fluids to become a juice.</t>
  </si>
  <si>
    <t>A SHUCKLE hides under rocks, keeping its body concealed inside its shell while eating stored berries. The berries mix with its body fluids to become a juice.</t>
  </si>
  <si>
    <t>The BERRIES it stores in its vaselike shell decompose and become a gooey liquid.</t>
  </si>
  <si>
    <t>It stores berries in its shell. The berries eventually ferment to become delicious juices.</t>
  </si>
  <si>
    <t>The berries it stores in its vase-like shell decompose and become a gooey liquid.</t>
  </si>
  <si>
    <t>It stores berries inside its shell. To avoid attacks, it hides beneath rocks and remains completely still.</t>
  </si>
  <si>
    <t>Voltorb</t>
  </si>
  <si>
    <t>Pallo-Pokémon</t>
  </si>
  <si>
    <t>Yleensä voimalaitoksissa. Ne sekoitetaan helposti POKÉ-PALLOIHIN, ja ne ovat tehneet sähköiskun monille ihmisille.</t>
  </si>
  <si>
    <t>The berries stored in its vaselike shell eventually become a thick, pulpy juice.</t>
  </si>
  <si>
    <t>The berries stored in its jar-like shell eventually become a thick, pulpy juice.</t>
  </si>
  <si>
    <t>Sen sanotaan naamioituvan POKÉ-PALLOKSI. Se tuhoutuu itse hyvin pienellä ärsykkeellä.</t>
  </si>
  <si>
    <t>Shuckle quietly hides itself under rocks, keeping its body concealed inside its hard shell while eating berries it has stored away. The berries mix with its body fluids to become a juice.</t>
  </si>
  <si>
    <t>Se liikkuu vierimällä. Jos maa on epätasainen, äkillinen tärinä töyssyyn osumisesta voi saada sen räjähtämään.</t>
  </si>
  <si>
    <t>This powerful POKéMON thrusts its prized horn under its enemies’ bellies then lifts and throws them.</t>
  </si>
  <si>
    <t>Se löydettiin, kun POKÉ-pallot esiteltiin. Sanotaan, että niiden välillä on jonkinlainen yhteys.</t>
  </si>
  <si>
    <t>Usually docile, but if disturbed while sipping honey, it chases off the intruder with its horn.</t>
  </si>
  <si>
    <t>Tämän POKéMONin tutkimuksen aikana havaittiin, että sen osia ei löydy luonnosta.</t>
  </si>
  <si>
    <t>With its Herculean powers, it can easily throw arou nd an object that is 100 times its own weight.</t>
  </si>
  <si>
    <t>VOLTORB havaittiin ensimmäisen kerran POKé-PALLOJA valmistavassa yrityksessä. Yhteys havainnon ja sen välillä, että tämä POKéMON näyttää hyvin samankaltaiselta kuin POKé-PALLO, on edelleen mysteeri.</t>
  </si>
  <si>
    <t>HERACROSS charges in a straight line at its foe, slips beneath the foe’s grasp, and then scoops up and hurls the opponent with its mighty horn. This POKéMON even has enough power to topple a massive tree.</t>
  </si>
  <si>
    <t>VOLTORB on äärimmäisen herkkä – se räjähtää pienimmästäkin iskusta. Huhutaan, että se luotiin, kun POKé-PALLO altistettiin voimakkaalle energiapulssille.</t>
  </si>
  <si>
    <t>HERACROSS has sharp claws on its feet. These are planted firmly into the ground or the bark of a tree, giving the POKéMON a secure and solid footing to forcefully fling away foes with its proud horn.</t>
  </si>
  <si>
    <t>Se muistuttaa omituisesti ja selittämättömästi POKÉ-PALLOA. Koska se räjähtää pienimmästäkin tärinästä, jopa kokeneet VALMENTAJAT suhtautuvat siihen varoen.</t>
  </si>
  <si>
    <t>They gather in forests seeking the sweet sap of trees. It is completely clad in a steel-hard shell. It is proud of its horn, which it uses to fling foes.</t>
  </si>
  <si>
    <t>Elämänmuoto, jonka henkilöllisyys on tuntematon. Sen sanotaan KIRKAAVAN tai äkillisesti ITSETUHOUTUVAN.</t>
  </si>
  <si>
    <t>This powerful POKéMON thrusts its prized horn under its enemies’ bellies, then lifts and throws them.</t>
  </si>
  <si>
    <t>It gathers in forests to search for tree sap, its favorite food. It’s strong enough to hurl foes.</t>
  </si>
  <si>
    <t>Yleensä voimalaitoksissa. Helposti POKÉ-PALLOKSI luultavaksi luultu, se on tehnyt vaikutuksen moniin ihmisiin.</t>
  </si>
  <si>
    <t>With powerful legs and claws, it generates enough power to hurl foes over great distances.</t>
  </si>
  <si>
    <t>Se näyttää aivan Poképallolta. Se on vaarallinen, koska se voi saada sähköiskun tai räjähtää kosketuksesta.</t>
  </si>
  <si>
    <t>It loves sweet honey. To keep all the honey to itself, it hurls rivals away with its prized horn.</t>
  </si>
  <si>
    <t>This powerful Pokémon thrusts its prized horn under its enemies’ bellies, then lifts and throws them.</t>
  </si>
  <si>
    <t>It is usually docile, but if it is disturbed while sipping honey, it chases off the intruder with its horn.</t>
  </si>
  <si>
    <t>No matter how heavy its opponents, it flings them far away with its prized horn.</t>
  </si>
  <si>
    <t>With its Herculean powers, it can easily throw around an object that is 100 times its own weight.</t>
  </si>
  <si>
    <t>Heracross charges in a straight line at its foe, slips beneath the foe’s grasp, and then scoops up and hurls the opponent with its mighty horn. This Pokémon even has enough power to topple a massive tree.</t>
  </si>
  <si>
    <t>Heracross has sharp claws on its feet. These are planted firmly into the ground or the bark of a tree, giving the Pokémon a secure and solid footing to forcefully fling away foes with its proud horn.</t>
  </si>
  <si>
    <t>Se löydettiin, kun Poképallot esiteltiin. Sanotaan, että niiden välillä on jonkinlainen yhteys.</t>
  </si>
  <si>
    <t>It’s proud of its thick horn. In Alola, its biggest rival is Vikavolt, which it’s always fighting with.</t>
  </si>
  <si>
    <t>It roams through forests searching for sweet nectar. Although it boasts fantastic physical strength, it’s not that good at flying.</t>
  </si>
  <si>
    <t>Heracross loves sweet sap and will go looking through forests for it. The Pokémon uses its two antennae to pick up scents as it searches.</t>
  </si>
  <si>
    <t>This Pokémon takes pride in its strength, which allows it to lift things 100 times heavier than itself with no trouble at all.</t>
  </si>
  <si>
    <t>This Pokémon has an unparalleled horn. Heracross itself demonstrates tremendous power—it's capable of throwing several people trained in the traditional arts of war at once.</t>
  </si>
  <si>
    <t>Its paws conceal sharp claws. If attacked, it sud denly extends the claws and startles its enemy.</t>
  </si>
  <si>
    <t>Vicious in nature, it drives PIDGEY from their nests and feasts on the eggs that are left behind.</t>
  </si>
  <si>
    <t>This cunning POKéMON hides under the cover of darkness, waiting to attack its prey.</t>
  </si>
  <si>
    <t>SNEASEL scales trees by punching its hooked claws into the bark. This POKéMON seeks out unguarded nests and steals eggs for food while the parents are away.</t>
  </si>
  <si>
    <t>A SNEASEL scales trees by punching its hooked claws into the bark. It seeks out unguarded nests and steals eggs for food while the parents are away.</t>
  </si>
  <si>
    <t>Its paws conceal sharp claws. If attacked, it suddenly extends the claws and startles its enemy.</t>
  </si>
  <si>
    <t>It feeds on eggs stolen from nests. Its sharply hooked claws rip vulnerable spots on prey.</t>
  </si>
  <si>
    <t>It is extremely vicious and will not stop attacking until its foe is incapable of moving.</t>
  </si>
  <si>
    <t>A smart and sneaky Pokémon. A pair may work together to steal eggs by having one lure the parents away.</t>
  </si>
  <si>
    <t>Yleensä voimalaitoksissa. Helposti Poképalloksi luultava, se on tehnyt monille ihmisille sähköiskun.</t>
  </si>
  <si>
    <t>Vicious in nature, it drives PIDGEY from their nests and scavenges any leftovers it can find.</t>
  </si>
  <si>
    <t>A smart and sneaky Pokémon, it makes its opponents flinch by suddenly showing the claws hidden in its paws.</t>
  </si>
  <si>
    <t>Sneasel scales trees by punching its hooked claws into the bark. This Pokémon seeks out unguarded nests and steals eggs for food while the parents are away.</t>
  </si>
  <si>
    <t>Voltorb nähtiin ensimmäisen kerran Poképalloja valmistavassa yrityksessä. Yhteys havainnon ja Pokémonin ulkonäön ja Poképallon välisen suhteen on edelleen mysteeri.</t>
  </si>
  <si>
    <t>It has a cunning yet savage disposition. It waits for parents to leave their nests, and then it sneaks in to steal their eggs.</t>
  </si>
  <si>
    <t>It uses its claws to poke holes in eggs so it can slurp out the insides. Breeders consider it a scourge and will drive it away or eradicate it.</t>
  </si>
  <si>
    <t>Voltorb on äärimmäisen herkkä – se räjähtää pienimmästäkin iskusta. Huhutaan, että se luotiin, kun Poképallo altistettiin voimakkaalle energiapulssille.</t>
  </si>
  <si>
    <t>They will cooperate to steal eggs from the nests of bird Pokémon, but fights break out to determine which one gets to eat the eggs.</t>
  </si>
  <si>
    <t>It blends into the dark of night to ambush its prey. Sneasel will attack Sandshrew, but its hard skin can cause Sneasel’s claws to snap off.</t>
  </si>
  <si>
    <t>Sen sanotaan naamioituvan Poképalloksi. Se tuhoutuu itsestään hyvin pienellä ärsykkeellä.</t>
  </si>
  <si>
    <t>Its sturdy, curved claws are ideal for traversing precipitous cliffs. From the tips of these claws drips a venom that infiltrates the nerves of any prey caught in Sneasel's grasp.</t>
  </si>
  <si>
    <t>If it finds honey, its crescent mark glows. It always licks its paws because they are soaked with honey.</t>
  </si>
  <si>
    <t>Before food be comes scarce in wintertime, its habit is to hoard food in many hid den locations.</t>
  </si>
  <si>
    <t>It always licks honey. Its palm tastes sweet because of all the honey it has absorbed.</t>
  </si>
  <si>
    <t>This POKéMON likes to lick its palms that are sweetened by being soaked in honey. TEDDIURSA concocts its own honey by blending fruits and pollen collected by BEEDRILL.</t>
  </si>
  <si>
    <t>Arvoituksellinen Pokémon, joka sattuu muistuttamaan Poképalloa. Innostuessaan se purkaa vatsaansa varastoiman sähkövirran ja päästää sitten äänekkään, riehakkaan naurun.</t>
  </si>
  <si>
    <t>It licks its palms that are sweetened by being soaked in honey. A TEDDIURSA makes its own honey by blending fruits and pollen collected by BEEDRILL.</t>
  </si>
  <si>
    <t>Electrode</t>
  </si>
  <si>
    <t>Before food becomes scarce in wintertime, its habit is to hoard food in many hidden locations.</t>
  </si>
  <si>
    <t>Se varastoi sähköenergiaa erittäin korkean paineen alaisena. Se räjähtää usein lähes ilman provokaatiota.</t>
  </si>
  <si>
    <t>It lets honey soak into its paws so it can lick them all the time. Every set of paws tastes unique.</t>
  </si>
  <si>
    <t>If it finds honey, its crescent mark glows. It always licks its paws because they’re soaked with honey.</t>
  </si>
  <si>
    <t>This Pokémon likes to lick its palms that are sweetened by being soaked in honey. Teddiursa concocts its own honey by blending fruits and pollen collected by Beedrill.</t>
  </si>
  <si>
    <t>Varastoi sähköenergiaa kehoonsa. Pieninkin isku voi laukaista valtavan räjähdyksen.</t>
  </si>
  <si>
    <t>It licks its paws because of the sweet honey that has soaked into them. It is cunning, stealing into the nests of Combee and taking for itself the honey that the Combee have amassed.</t>
  </si>
  <si>
    <t>Se on vaarallinen. Jos siinä on liikaa sähköä eikä sillä ole mitään tekemistä, se huvittaa itseään räjähtämällä.</t>
  </si>
  <si>
    <t>Although it is a good climber, it prefers to snap trees with its forelegs and eat fallen BERRIES.</t>
  </si>
  <si>
    <t>Se varastoi valtavan määrän sähköenergiaa kehoonsa. Jopa pieni isku saa sen räjähtämään.</t>
  </si>
  <si>
    <t>With its ability to distinguish any aroma, it unfail ingly finds all food buried deep underground.</t>
  </si>
  <si>
    <t>Although it has a large body, it is quite skilled at climbing trees. It eats and sleeps in the treetops.</t>
  </si>
  <si>
    <t>Mitä enemmän energiaa se latautuu, sitä nopeammin se toimii. Mutta tämä myös lisää sen räjähdysherkkyyttä.</t>
  </si>
  <si>
    <t>In the forests inhabited by URSARING, it is said that there are many streams and towering trees where they gather food. This POKéMON walks through its forest gathering food every day.</t>
  </si>
  <si>
    <t>ELEKTRODI kuluttaa ilmakehässä olevaa sähköä. Päivinä, jolloin salama iskee, voit nähdä tämän POKéMONin räjähtävän joka puolelle syötyään liikaa sähköä.</t>
  </si>
  <si>
    <t>In forests, it is said that there are many streams and towering trees where an URSARING gathers food. It walks through its forest collecting food every day.</t>
  </si>
  <si>
    <t>Yksi ELECTRODEn ominaisuuksista on sen vetovoima sähköön. Se on ongelmallinen POKéMON, joka kerääntyy enimmäkseen sähkölaitoksille syömään juuri tuotettua sähköä.</t>
  </si>
  <si>
    <t>With its ability to distinguish any smell, it unfailingly finds all food buried deep underground.</t>
  </si>
  <si>
    <t>Although it is a good climber, it prefers to snap stout trees with its forelegs and eat fallen BERRIES.</t>
  </si>
  <si>
    <t>Niitä esiintyy sankoin joukoin sähkövoimaloissa. Koska ne käyttävät sähköä, ne aiheuttavat massiivisia ja kaoottisia sähkökatkoksia lähikaupungeissa.</t>
  </si>
  <si>
    <t>In its territory, it leaves scratches on trees that bear delicious berries or fruits.</t>
  </si>
  <si>
    <t>Se räjähtää pienimmistäkin ärsykkeistä. Sitä pelätään, ja sille annetaan lempinimi "Pommipallo".</t>
  </si>
  <si>
    <t>Although it is a good climber, it prefers to snap trees with its forelegs and eat fallen berries.</t>
  </si>
  <si>
    <t>With its ability to distinguish any aroma, it unfailingly finds all food buried deep underground.</t>
  </si>
  <si>
    <t>Sen tiedetään ajelehtivan tuulen mukana, jos se on paisunut niin paljon, että se on täynnä varastoitunutta sähköä.</t>
  </si>
  <si>
    <t>In the forests inhabited by Ursaring, it is said that there are many streams and towering trees where they gather food. This Pokémon walks through its forest gathering food every day.</t>
  </si>
  <si>
    <t>When the cold season arrives in Hisui, this Pokémon will wander fields and mountains alike in search of its favorite berries. Ursaring's hunger during this time makes it a ferocious danger.</t>
  </si>
  <si>
    <t>It never sleeps. It has to keep moving because if it stopped, its magma body would cool and harden.</t>
  </si>
  <si>
    <t>Se varastoi kehoonsa valtavan määrän sähköenergiaa. Jopa pieni isku saa sen räjähtämään.</t>
  </si>
  <si>
    <t>A common sight in volcanic areas, it slowly slithers around in a con stant search for warm places.</t>
  </si>
  <si>
    <t>These group to gether in areas that are hotter than normal. If it cools off, its skin hardens.</t>
  </si>
  <si>
    <t>Molten magma courses throughout SLUGMA’s circulatory system. If this POKéMON is chilled, the magma cools and hardens. Its body turns brittle and chunks fall off, reducing its size.</t>
  </si>
  <si>
    <t>SLUGMA does not have any blood in its body. Instead, intensely hot magma circulates throughout this POKéMON’s body, carrying essential nutrients and oxygen to its organs.</t>
  </si>
  <si>
    <t>It is a species of POKéMON that lives in volcanic areas. If its body cools, its skin hardens and immobilizes it. To avoid that, it sleeps near magma.</t>
  </si>
  <si>
    <t>A common sight in volcanic areas, it slowly slithers around in a constant search for warm places.</t>
  </si>
  <si>
    <t>Its body is made of magma. If it doesn’t keep moving, its body will cool and harden.</t>
  </si>
  <si>
    <t>Molten magma courses throughout Slugma’s circulatory system. If this Pokémon is chilled, the magma cools and hardens. Its body turns brittle and chunks fall off, reducing its size.</t>
  </si>
  <si>
    <t>Slugma does not have any blood in its body. Instead, intensely hot magma circulates throughout this Pokémon’s body, carrying essential nutrients and oxygen to its organs.</t>
  </si>
  <si>
    <t>The shell on its back is just skin that has cooled and hardened. It breaks easily with a slight touch.</t>
  </si>
  <si>
    <t>Its brittle shell occasionally spouts intense flames that cir culate throughout its body.</t>
  </si>
  <si>
    <t>Elektrodi syö sähköä ilmakehässä. Päivinä, jolloin salama iskee, voit nähdä tämän Pokémonin räjähtävän joka paikkaan syötyään liikaa sähköä.</t>
  </si>
  <si>
    <t>Its body is as hot as lava and is always billowing. Flames will occasionally burst from its shell.</t>
  </si>
  <si>
    <t>Yksi Electroden ominaisuuksista on sen vetovoima sähköön. Se on ongelmallinen Pokémon, joka kerääntyy enimmäkseen sähkölaitoksille syömään juuri tuotettua sähköä.</t>
  </si>
  <si>
    <t>https://pokeapi.co/api/v2/pokemon-species/89/</t>
  </si>
  <si>
    <t>MAGCARGO’s shell is actually its skin that hardened as a result of cooling. Its shell is very brittle and fragile - just touching it causes it to crumble apart. This POKéMON returns to its original size by dipping itself in magma.</t>
  </si>
  <si>
    <t>MAGCARGO’s body temperature is approximately 18,000 degrees F. Water is vaporized on contact. If this POKéMON is caught in the rain, the raindrops instantly turn into steam, cloaking the area in a thick fog.</t>
  </si>
  <si>
    <t>The shell on its back is made of hardened magma. Tens of thousands of years spent living in volcanic craters have turned MAGCARGO’s bodies into magma.</t>
  </si>
  <si>
    <t>Its brittle shell occasionally spouts intense flames that circulate throughout its body.</t>
  </si>
  <si>
    <t>Its body temperature is roughly 18,000 degrees F. Flames spout from gaps in its hardened shell.</t>
  </si>
  <si>
    <t>Magcargo’s shell is actually its skin that hardened as a result of cooling. Its shell is very brittle and fragile—just touching it causes it to crumble apart. This Pokémon returns to its original size by dipping itself in magma.</t>
  </si>
  <si>
    <t>Sen kehon pinnalla oleva kudos on koostumukseltaan yllättävän samanlaista kuin aprikoosilla. Ärtyneenä tämä Pokémon päästää 20 salamaniskun verran sähkövirtaa.</t>
  </si>
  <si>
    <t>Magcargo’s body temperature is approximately 18,000 degrees Fahrenheit. Water is vaporized on contact. If this Pokémon is caught in the rain, the raindrops instantly turn into steam, cloaking the area in a thick fog.</t>
  </si>
  <si>
    <t>Exeggcute</t>
  </si>
  <si>
    <t>It rubs its snout on the ground to find and dig up food. It sometimes discovers hot springs.</t>
  </si>
  <si>
    <t>Muna-Pokémon</t>
  </si>
  <si>
    <t>If it smells some thing enticing, it dashes headlong off to find the source of the aroma.</t>
  </si>
  <si>
    <t>Usein luullaan muniksi. Häiriintyessään ne kerääntyvät nopeasti ja hyökkäävät parvina.</t>
  </si>
  <si>
    <t>It uses the tip of its nose to dig for food. Its nose is so tough that even frozen ground poses no problem.</t>
  </si>
  <si>
    <t>SWINUB roots for food by rubbing its snout against the ground. Its favorite food is a mushroom that grows under the cover of dead grass. This POKéMON occasionally roots out hot springs.</t>
  </si>
  <si>
    <t>It roots for food by rubbing its snout against the ground. Its favorite food is a mushroom that grows under dried grass. It occasionally roots out hot springs.</t>
  </si>
  <si>
    <t>If it smells something enticing, it dashes off headlong to find the source of the aroma.</t>
  </si>
  <si>
    <t>Päät vetävät toisiaan puoleensa ja pyörivät ympäri. Tasapainon ylläpitämiseksi tarvitaan kuusi päätä.</t>
  </si>
  <si>
    <t>It loves eating mushrooms that grow under dead grass. It also finds hot springs while foraging.</t>
  </si>
  <si>
    <t>Kuori on erittäin kestävä. Vaikka se halkeaisi, se selviää ilman sisällön läikkymistä.</t>
  </si>
  <si>
    <t>It has a very sensitive nose. It can locate mushrooms, berries, and even hot springs buried under ice.</t>
  </si>
  <si>
    <t>Rooting the tip of its snout into the ground, it searches for food. Sometimes it even digs up a hot spring.</t>
  </si>
  <si>
    <t>Käyttäen vain telepatiaa, jota he voivat vastaanottaa, ne muodostavat aina kuuden EXEGGCUTE-hahmon klusterin.</t>
  </si>
  <si>
    <t>Swinub roots for food by rubbing its snout against the ground. Its favorite food is a mushroom that grows under the cover of dead grass. This Pokémon occasionally roots out hot springs.</t>
  </si>
  <si>
    <t>Swinub excels at sniffing out mushrooms buried beneath grass or snow. Since ancient times, the people of Hisui have often relied upon this skill.</t>
  </si>
  <si>
    <t>Because the long hair all over its body obscures its sight, it just keeps charging repeatedly.</t>
  </si>
  <si>
    <t>Jos yksikin erottuu ryhmästä, kuuden välinen energiaside saa heidät välittömästi liittymään takaisin.</t>
  </si>
  <si>
    <t>If it charges at an enemy, the hairs on its back stand up straight. It is very sensi tive to sound.</t>
  </si>
  <si>
    <t>Although its legs are short, its rugged hooves prevent it from slipping, even on icy ground.</t>
  </si>
  <si>
    <t>PILOSWINE is covered by a thick coat of long hair that enables it to endure the freezing cold. This POKéMON uses its tusks to dig up food that has been buried under ice.</t>
  </si>
  <si>
    <t>A PILOSWINE is covered by a thick coat of long hair for enduring freezing cold. It uses its tusks to dig up food that has been buried under ice.</t>
  </si>
  <si>
    <t>Tämä POKéMON koostuu kuudesta munasta, jotka muodostavat tiiviisti yhteen kietoutuneen ryppään. Kuusi munaa vetävät toisiaan puoleensa ja pyörivät ympäriinsä. Kun muniin ilmestyy yhä enemmän halkeamia, EXEGGCUTE on lähellä evoluutiota.</t>
  </si>
  <si>
    <t>If it charges at an enemy, the hairs on its back stand up straight. It is very sensitive to sound.</t>
  </si>
  <si>
    <t>Its shaggy coat makes it unable to see. It checks surroundings with its sensitive nose instead.</t>
  </si>
  <si>
    <t>Covered by a shaggy coat, it is strong against the cold. Its tusks of ice thicken when it snows.</t>
  </si>
  <si>
    <t>Se koostuu kuudesta toisistaan ​​huolehtivasta munasta. Munat vetävät toisiaan puoleensa ja pyörivät ympäriinsä. Kun halkeamia alkaa ilmestyä yhä enemmän, se on lähellä evoluutiota.</t>
  </si>
  <si>
    <t>With its excellent sense of smell, it’s even able to find mushrooms that are buried under frozen ground.</t>
  </si>
  <si>
    <t>Vaikka se näyttää jonkinlaisilta munilta, sen havaittiin olevan elämänmuoto, joka muistuttaa enemmän kasvien siemeniä.</t>
  </si>
  <si>
    <t>Piloswine is covered by a thick coat of long hair that enables it to endure the freezing cold. This Pokémon uses its tusks to dig up food that has been buried under ice.</t>
  </si>
  <si>
    <t>The long fur of this Pokémon covers its eyes, ears, and even limbs, allowing Piloswine to resist harshly frigid conditions. The Pokémon's white tusks can be used to defeat its enemies.</t>
  </si>
  <si>
    <t>Se sekoitetaan usein muniin. Häirittyinä ne kerääntyvät nopeasti ja hyökkäävät parvina.</t>
  </si>
  <si>
    <t>It continuously sheds and grows. The tip of its head is prized as a treasure for its beauty.</t>
  </si>
  <si>
    <t>Sen kuusi munaa keskustelevat telepatian avulla. Ne voivat nopeasti kokoontua yhteen, jos ne erkanevat toisistaan.</t>
  </si>
  <si>
    <t>In a south sea nation, the people live in communi ties that are built on groups of these POKéMON.</t>
  </si>
  <si>
    <t>The points on its head absorb nutrients from clean water. They cannot survive in polluted water.</t>
  </si>
  <si>
    <t>CORSOLA’s branches glitter very beautifully in seven colors when they catch sunlight. If any branch breaks off, this POKéMON grows it back in just one night.</t>
  </si>
  <si>
    <t>Clusters of CORSOLA congregate in warm seas where they serve as ideal hiding places for smaller POKéMON. When the water temperature falls, this POKéMON migrates to the southern seas.</t>
  </si>
  <si>
    <t>CORSOLA live in warm southern seas. If the sea becomes polluted, the beautiful coral stalks become discolored and crumble away in tatters.</t>
  </si>
  <si>
    <t>Niiden kuoret ovat erittäin kestäviä. Vaikka ne halkeaisivat, ne selviävät hengissä läikyttämättä sisältöään.</t>
  </si>
  <si>
    <t>In a south sea nation, the people live in communities that are built on groups of these POKéMON.</t>
  </si>
  <si>
    <t>Many live in the clean seas of the south. They apparently can’t live in polluted waters.</t>
  </si>
  <si>
    <t>Käyttäen vain itse käyttämäänsä telepatiaa, he muodostavat aina kuuden EXEGGCUTE-hahmon klusterin.</t>
  </si>
  <si>
    <t>It continuously sheds and grows. The tip of its head is prized as a treasure because of its beauty.</t>
  </si>
  <si>
    <t>In a south-sea nation, the people live in communities that are built on groups of these Pokémon.</t>
  </si>
  <si>
    <t>They prefer unpolluted southern seas. Their coral branches lose their color and deteriorate in dirty water.</t>
  </si>
  <si>
    <t>Corsola’s branches glitter very beautifully in seven colors when they catch sunlight. If any branch breaks off, this Pokémon grows it back in just one night.</t>
  </si>
  <si>
    <t>Clusters of Corsola congregate in warm seas where they serve as ideal hiding places for smaller Pokémon. When the water temperature falls, this Pokémon migrates to the southern seas.</t>
  </si>
  <si>
    <t>Coral branches grow from its head. They break off quite easily, but they grow back in about three days.</t>
  </si>
  <si>
    <t>Pursued by Mareanie for the branches on its head, this Pokémon will sometimes snap its own branches off as a diversion while it escapes.</t>
  </si>
  <si>
    <t>The pink of Corsola that live in Alola is deep and vibrant, thanks to seas filled with nutrition.</t>
  </si>
  <si>
    <t>In Alola, where their natural enemies Mareanie are plentiful, many Corsola have stubby branches on their heads.</t>
  </si>
  <si>
    <t>It will regrow any branches that break off its head. People keep particularly beautiful Corsola branches as charms to promote safe childbirth.</t>
  </si>
  <si>
    <t>These Pokémon live in warm seas. In prehistoric times, many lived in the oceans around the Galar region as well.</t>
  </si>
  <si>
    <t>It has superb ac curacy. The water it shoots out can strike even moving prey from more than 300 feet.</t>
  </si>
  <si>
    <t>Using its dorsal fin as a suction pad, it clings to a MANTINE's under side to scavenge for leftovers.</t>
  </si>
  <si>
    <t>Tämä Pokémon koostuu kuudesta munasta, jotka muodostavat tiiviisti yhteen kietoutuneen ryppään. Kuusi munaa vetävät toisiaan puoleensa ja pyörivät ympäriinsä. Kun muniin ilmestyy yhä enemmän halkeamia, Exeggcute on lähellä evoluutiota.</t>
  </si>
  <si>
    <t>To escape from an attacker, it may shoot water out of its mouth, then use that force to swim backward.</t>
  </si>
  <si>
    <t>REMORAID sucks in water, then expels it at high velocity using its abdominal muscles to shoot down flying prey. When evolution draws near, this POKéMON travels downstream from rivers.</t>
  </si>
  <si>
    <t>A REMORAID uses its abdominal muscles to forcefully expel swallowed water, then shoot down flying prey. When evolution approaches, it travels down rivers.</t>
  </si>
  <si>
    <t>Using its dorsal fin as a suction pad, it clings to a MANTINE’s underside to scavenge for leftovers.</t>
  </si>
  <si>
    <t>It has superb accuracy. The water it shoots out can strike even moving prey from more than 100 yards.</t>
  </si>
  <si>
    <t>Sen kuusi munaa käyttävät telepatiaa kommunikoidakseen keskenään. Sen uskotaan kantavan kasvien ja muiden lajien geenejä.</t>
  </si>
  <si>
    <t>It squirts water forcefully from its mouth to shoot down flying prey.</t>
  </si>
  <si>
    <t>Kuusi niistä muodostaa yhdessä täysimittaisen Pokémonin. Crabrawler usein metsästää sitä, mutta se ajaa sen pois psykokineesin avulla.</t>
  </si>
  <si>
    <t>It clings to MANTINE to feed on the big Pokémon’s scraps. This is an adaptation to avoid foes.</t>
  </si>
  <si>
    <t>Kuusi niistä muodostaa yhden Pokémonin. Jos yksi kuudesta katoaa, seuraavana aamuna niitä on jälleen kuusi.</t>
  </si>
  <si>
    <t>It forcefully squirts water. The water jet never misses prey even if the REMORAID is deep in the sea.</t>
  </si>
  <si>
    <t>Vaikka ne ovat saman kokoisia kuin muut Exeggcute-hahmot, Alolassa valmistetut ovat melko painavia. Niiden kuoret on pakattu täyteen.</t>
  </si>
  <si>
    <t>It has superb accuracy. The water it shoots out can strike moving prey from more than 300 feet away.</t>
  </si>
  <si>
    <t>Päät vetävät toisiaan puoleensa ja pyörivät ympäri. Jotta se pysyisi tasapainossa, päitä täytyy olla kuusi.</t>
  </si>
  <si>
    <t>It forcefully squirts water. The water jet never misses prey even if the Remoraid is deep in the sea.</t>
  </si>
  <si>
    <t>The water they shoot from their mouths can hit moving prey from more than 300 feet away.</t>
  </si>
  <si>
    <t>Using its dorsal fin as a suction pad, it clings to a Mantine’s underside to scavenge for leftovers.</t>
  </si>
  <si>
    <t>Vaikka se saattaa näyttää vain joukolta munia, se on oikea Pokémon. Exeggcute kommunikoi ilmeisesti muiden kaltaistensa kanssa telepaattisesti.</t>
  </si>
  <si>
    <t>Remoraid sucks in water, then expels it at high velocity using its abdominal muscles to shoot down flying prey. When evolution draws near, this Pokémon travels downstream from rivers.</t>
  </si>
  <si>
    <t>Nämä Pokémonit hermostuvat, jos he eivät ole kuuden hengen ryhmässä. Heti kun yksikin ryhmän jäsen katoaa, Exeggcutesta tulee pelkurimainen.</t>
  </si>
  <si>
    <t>This Pokémon clings to Mantine and shares in its prosperity. When its Mantine is attacked, Remoraid will fight alongside it!</t>
  </si>
  <si>
    <t>Exeggutor</t>
  </si>
  <si>
    <t>Legendan mukaan harvinaisissa tapauksissa yksi sen päistä putoaa irti ja jatkaa matkaansa TOSISUNTOMUNANA.</t>
  </si>
  <si>
    <t>Also known as the “sniper of the seas,” its water gun can hit prey without fail from over 300 feet away.</t>
  </si>
  <si>
    <t>Spits water from its mouth with incredible accuracy. It captures Burmy by shooting them down off the branches from which they dangle.</t>
  </si>
  <si>
    <t>It traps enemies with its suction- cupped tentacles then smashes them with its rock-hard head.</t>
  </si>
  <si>
    <t>Sen huuto on hyvin äänekästä. Tämä johtuu siitä, että jokainen kolmesta päästä ajattelee mitä haluaa.</t>
  </si>
  <si>
    <t>It instinctively sneaks into rocky holes. If it gets sleepy, it steals the nest of a fel low OCTILLERY.</t>
  </si>
  <si>
    <t>Its instinct is to bury itself in holes. It often steals the nesting holes of others to sleep in them.</t>
  </si>
  <si>
    <t>Sen kolme päätä ajattelevat itsenäisesti. Ne ovat kuitenkin ystävällisiä eivätkä koskaan näytä riitelevän.</t>
  </si>
  <si>
    <t>OCTILLERY grabs onto its foe using its tentacles. This POKéMON tries to immobilize it before delivering the finishing blow. If the foe turns out to be too strong, OCTILLERY spews ink to escape.</t>
  </si>
  <si>
    <t>Jos pää putoaa irti, se lähettää telepaattisen kutsun etsien muita muodostaakseen EXEGGCUTE-ryppää.</t>
  </si>
  <si>
    <t>It ensnares its foe with its suction- cupped tentacles before delivering the finishing blow. If the foe turns out to be too strong, it spews ink to escape.</t>
  </si>
  <si>
    <t>Hyvässä ympäristössä eläminen saa sen kasvattamaan paljon päitä. Pää, joka putoaa pois, muuttuu TODELLISEKSI MUNAKSI.</t>
  </si>
  <si>
    <t>It instinctively sneaks into rocky holes. If it gets sleepy, it steals the nest of a fellow OCTILLERY.</t>
  </si>
  <si>
    <t>It traps enemies with its suction-cupped tentacles, then smashes them with its rock-hard head.</t>
  </si>
  <si>
    <t>EXEGGUTOR on alun perin peräisin tropiikista. Sen päät kasvavat tasaisesti suuremmiksi altistuessaan voimakkaalle auringonvalolle. Sanotaan, että kun päät putoavat irti, ne ryhmittyvät muodostaen EXEGGCUTE-lajin.</t>
  </si>
  <si>
    <t>It lives in the gaps of boulders and in holes on the seafloor. Its suction cups grip prey tightly.</t>
  </si>
  <si>
    <t>It obscures its foe’s vision by spitting a cloud of murky ink. It makes its nest among boulders.</t>
  </si>
  <si>
    <t>It loves to lurk inside holes in rocks. It sometimes sprays ink on prey by sticking out only its mouth.</t>
  </si>
  <si>
    <t>It traps foes with the suction cups on its tentacles, then smashes them with its rock-hard head.</t>
  </si>
  <si>
    <t>It has a tendency to want to be in holes. It prefers rock crags or pots and sprays ink from them before attacking.</t>
  </si>
  <si>
    <t>Alun perin tropiikilta kotoisin olevien EXEGGUTOR-palojen päät kasvavat suuremmiksi altistuessaan voimakkaalle auringonvalolle. Sanotaan, että kun päät putoavat, ne ryhmittyvät muodostaen EXEGGCUTE-palojen.</t>
  </si>
  <si>
    <t>Octillery grabs onto its foe using its tentacles. This Pokémon tries to immobilize it before delivering the finishing blow. If the foe turns out to be too strong, Octillery spews ink to escape.</t>
  </si>
  <si>
    <t>The ink it spits when escaping is special. It contains a substance that dulls the sense of smell, so Pokémon with keen noses get lost.</t>
  </si>
  <si>
    <t>It usually sleeps in caves. The pitch-black ink that Octillery spits is also used for cooking.</t>
  </si>
  <si>
    <t>Sitä kutsutaan ”Käveleväksi trooppiseksi sademetsäksi”. Jokaisella pähkinällä on omat kasvot ja tahtonsa.</t>
  </si>
  <si>
    <t>While Octillery still shoots water from its mouth, the drastic anatomical difference between it and Remoraid meant that for a long time, no one believed the former evolved from the latter.</t>
  </si>
  <si>
    <t>It carries food all day long. There are tales about lost people who were saved by the food it had.</t>
  </si>
  <si>
    <t>Sanotaan, että harvinaisissa tapauksissa yksi sen päistä putoaa irti ja jatkaa matkaansa TOSISEGGCUTE-hahmossa.</t>
  </si>
  <si>
    <t>It nests at the edge of sharp cliffs. It spends all day carrying food to its await ing chicks.</t>
  </si>
  <si>
    <t>https://pokeapi.co/api/v2/pokemon-species/90/</t>
  </si>
  <si>
    <t>It always carries its food with it, wherever it goes. If attacked, it throws its food at the opponent.</t>
  </si>
  <si>
    <t>Sitä kutsutaan ”Käveleväksi viidakoksi”. Jos pää kasvaa liian suureksi, se putoaa ja siitä tulee TOSISUMUNA.</t>
  </si>
  <si>
    <t>DELIBIRD carries its food bundled up in its tail. There once was a famous explorer who managed to reach the peak of Mt. Everest thanks to one of these POKéMON sharing its food.</t>
  </si>
  <si>
    <t>It carries food bundled up in its tail. There was a famous explorer who managed to scale Mt. Everest thanks to a DELIBIRD sharing its food.</t>
  </si>
  <si>
    <t>It nests at the edge of sharp cliffs. It spends all day carrying food to its awaiting chicks.</t>
  </si>
  <si>
    <t>It carries food rolled up in its tail. It has the habit of sharing food with people lost in mountains.</t>
  </si>
  <si>
    <t>It carries food all day long. There are tales about lost people who were saved by its stored food.</t>
  </si>
  <si>
    <t>It carries food all day long. When someone is lost in the mountains, it shares that food.</t>
  </si>
  <si>
    <t>Delibird carries its food bundled up in its tail. There once was a famous explorer who managed to reach the peak of the world’s highest mountain, thanks to one of these Pokémon sharing its food.</t>
  </si>
  <si>
    <t>Although it naturally prefers colder locales, Delibird in Alola seem able to withstand the heat to a certain extent.</t>
  </si>
  <si>
    <t>It has a generous habit of sharing its food with people and Pokémon, so it’s always scrounging around for more food.</t>
  </si>
  <si>
    <t>It shares its food with people who are stranded. Because Delibird is omnivorous, sometimes it gives those people bug Pokémon.</t>
  </si>
  <si>
    <t>Sitä kutsutaan nimellä ”Kävelevä viidakko”. Jos pää kasvaa liian suureksi, se putoaa ja siitä tulee Exeggcute.</t>
  </si>
  <si>
    <t>It wraps food in its tail to carry it around. The Delibird with the biggest tail is the boss of the flock!</t>
  </si>
  <si>
    <t>As it majestically swims, it doesn't care if REMORAID attach to it for scavenging its leftovers.</t>
  </si>
  <si>
    <t>Swimming freely in open seas, it may fly out of the water and over the waves if it builds up enough speed.</t>
  </si>
  <si>
    <t>It swims along freely, eating things that swim into its mouth. Its whole body is very coarse.</t>
  </si>
  <si>
    <t>On sunny days, schools of MANTINE can be seen elegantly leaping over the sea’s waves. This POKéMON is not bothered by the REMORAID that hitches rides.</t>
  </si>
  <si>
    <t>On sunny days, schools of MANTINE can be seen elegantly leaping over the waves. It is not bothered by the REMORAID that hitches rides.</t>
  </si>
  <si>
    <t>As it majestically swims, it doesn’t care if REMORAID attach to it to scavenge for its leftovers.</t>
  </si>
  <si>
    <t>When the waves are calm, one may encounter a swarm of MANTINE swimming as if they are in flight.</t>
  </si>
  <si>
    <t>It swims elegantly, mindless of REMORAID hitching on to its broad fins. It has a docile nature.</t>
  </si>
  <si>
    <t>While elegantly swimming in the sea, it ignores REMORAID that cling to its fins seeking food scraps.</t>
  </si>
  <si>
    <t>As it majestically swims, it doesn’t care if REMORAID attach to it for scavenging its leftovers.</t>
  </si>
  <si>
    <t>While elegantly swimming in the sea, it ignores Remoraid that cling to its fins seeking food scraps.</t>
  </si>
  <si>
    <t>If it builds up enough speed swimming, it can fly over 300 feet out of the water from the surface of the ocean.</t>
  </si>
  <si>
    <t>On sunny days, schools of Mantine can be seen elegantly leaping over the sea’s waves. This Pokémon is not bothered by the Remoraid that hitches rides.</t>
  </si>
  <si>
    <t>Postcards and posters featuring Mantine leaping elegantly above the waves are popular souvenirs of Alola.</t>
  </si>
  <si>
    <t>Many people have taken up surfing because they admire how magnificently Mantine swims.</t>
  </si>
  <si>
    <t>If it builds up enough speed swimming, it can jump out above the waves and glide for over 300 feet.</t>
  </si>
  <si>
    <t>Exeggutor on alun perin kotoisin tropiikista. Sen päät kasvavat tasaisesti suuremmiksi altistuessaan voimakkaalle auringonvalolle. Sanotaan, että kun päät putoavat irti, ne ryhmittyvät muodostaen Exeggcute-lajin.</t>
  </si>
  <si>
    <t>As it majestically swims, it doesn’t care if Remoraid attach to it to scavenge for its leftovers.</t>
  </si>
  <si>
    <t>This calm and gentle Pokémon swims gracefully through the sea. After building speed, it can leap out of the water. It is often misidentified as a bird Pokémon due to this behavior.</t>
  </si>
  <si>
    <t>Its sturdy wings look heavy, but they are actually hollow and light, allowing it to fly freely in the sky.</t>
  </si>
  <si>
    <t>After nesting in bramble bushes, the wings of its chicks grow hard from scratches by thorns.</t>
  </si>
  <si>
    <t>The feathers that it sheds are very sharp. It is said that people once used the feathers as swords.</t>
  </si>
  <si>
    <t>Jokaisella sen päällä on oma tahtonsa. Ne käyttävät telepatiaa keskustellakseen suunnitelmistaan ​​ennen yhteisen päätöksen tekemistä.</t>
  </si>
  <si>
    <t>SKARMORY is entirely encased in hard, protective armor. This POKéMON flies at close to 190 mph. It slashes foes with its wings that possess swordlike cutting edges.</t>
  </si>
  <si>
    <t>SKARMORY’s steel wings become tattered and bashed in from repeated battles. Once a year, the battered wings grow back completely, restoring the cutting edges to their pristine state.</t>
  </si>
  <si>
    <t>Kun aika koittaa, yksi sen kolmesta päästä putoaa pois. Pian pudonneesta päästä kasvaa Exeggcute.</t>
  </si>
  <si>
    <t>A POKéMON that has a body and wings of steel. People in the past used feathers fallen from SKARMORY to make swords and knives.</t>
  </si>
  <si>
    <t>Its sturdy wings look heavy, but its bones are hollow and light, allowing it to fly freely in the sky.</t>
  </si>
  <si>
    <t>Despite being clad entirely in iron-hard armor, it flies at speeds over 180 mph.</t>
  </si>
  <si>
    <t>Se kohtaa vihollisensa psyykkisillä voimilla. Jokainen sen kolmesta päästä ampuu psykokineettistä energiaa, kolminkertaistaen sen voiman.</t>
  </si>
  <si>
    <t>Its heavy-looking iron body is actually thin and light, so it can fly at speeds over 180 mph.</t>
  </si>
  <si>
    <t>Skarmory is entirely encased in hard, protective armor. This Pokémon flies at close to 190 mph. It slashes foes with its wings that possess swordlike cutting edges.</t>
  </si>
  <si>
    <t>Jokaisella sen kolmella päällä on omat ajatuksensa. Kun ne haluavat mennä eri suuntiin, Exeggutor ei pysty liikkumaan.</t>
  </si>
  <si>
    <t>Skarmory’s steel wings become tattered and bashed in from repeated battles. Once a year, the battered wings grow back completely, restoring the cutting edges to their pristine state.</t>
  </si>
  <si>
    <t>Its feathers, which fall off as it grows, are thin and sharp. In times long past, warriors used them as swords.</t>
  </si>
  <si>
    <t>Its metal body is sturdy, but it does rust rather easily. So on rainy days, this Pokémon prefers to stay put in its nest.</t>
  </si>
  <si>
    <t>The wing feathers it sheds can be processed and made into knives whose sharpness is recognized by the finest chefs.</t>
  </si>
  <si>
    <t>Its body is draped in steel armor. It looks heavy, but it can fly at speeds of up to 185 miles an hour!</t>
  </si>
  <si>
    <t>The pointed feathers of these Pokémon are sharper than swords. Skarmory and Corviknight fight viciously over territory.</t>
  </si>
  <si>
    <t>People fashion swords from Skarmory’s shed feathers, so this Pokémon is a popular element in heraldic designs.</t>
  </si>
  <si>
    <t>It uses different kinds of cries for communicating with others of its kind and for pursuing its prey.</t>
  </si>
  <si>
    <t>Jokainen Exeggutorin kolmesta päästä ajattelee eri ajatuksia. Kolmikko ei näytä olevan kovin kiinnostunut toisistaan.</t>
  </si>
  <si>
    <t>To corner prey, they check each other's location using barks that only they can understand.</t>
  </si>
  <si>
    <t>Yhdessä Exeggutorin kolme päätä voivat lähettää voimakasta psyykkistä energiaa. Pilvinen päivä tekee tästä Pokémonista hitaan.</t>
  </si>
  <si>
    <t>Around dawn, its ominous howl echoes through the area to announce that this is its territory.</t>
  </si>
  <si>
    <t>Cubone</t>
  </si>
  <si>
    <t>HOUNDOUR hunt as a coordinated pack. They communicate with each other using a variety of cries to corner their prey. This POKéMON’s remarkable teamwork is unparalleled.</t>
  </si>
  <si>
    <t>Yksinäinen Pokémon</t>
  </si>
  <si>
    <t>Koska se ei koskaan poista kallokypäräänsä, kukaan ei ole koskaan nähnyt tämän POKéMONin todellista kasvoa.</t>
  </si>
  <si>
    <t>HOUNDOUR communicate with each other using a variety of cries to corner their prey. This POKéMON’s remarkable teamwork is simply unparalleled.</t>
  </si>
  <si>
    <t>To corner prey, they check each other’s location using barks that only they can understand.</t>
  </si>
  <si>
    <t>Kantaa kuolleen äitinsä kalloa. Sen huudot kaikuvat kallon sisällä ja tulevat ulos surullisena melodiana.</t>
  </si>
  <si>
    <t>It uses different kinds of cries for communicating with others of its kind and for pursuing prey.</t>
  </si>
  <si>
    <t>It conveys its feelings using different cries. It works in a pack to cleverly take down prey.</t>
  </si>
  <si>
    <t>It is smart enough to hunt in packs. It uses a variety of cries for communicating with others.</t>
  </si>
  <si>
    <t>Houndour hunt as a coordinated pack. They communicate with each other using a variety of cries to corner their prey. This Pokémon’s remarkable teamwork is unparalleled.</t>
  </si>
  <si>
    <t>Jos se on surullinen tai yksinäinen, sen kantama kallo vapisee ja päästää yksinkertaisen ja murheellisen äänen.</t>
  </si>
  <si>
    <t>It cooperates with others skillfully. When it becomes your partner, it’s very loyal to you as its Trainer and will obey your orders.</t>
  </si>
  <si>
    <t>They make repeated eerie howls before dawn to call attention to their pack.</t>
  </si>
  <si>
    <t>If you are burned by the flames it shoots from its mouth, the pain will never go away.</t>
  </si>
  <si>
    <t>Se kantaa aina kuolleen äitinsä kalloa, joten kenelläkään ei ole aavistustakaan, miltä sen piilossa oleva naama näyttää.</t>
  </si>
  <si>
    <t>Upon hearing its eerie howls, other POKéMON get the shivers and head straight back to their nests.</t>
  </si>
  <si>
    <t>The pungent- smelling flame that shoots from its mouth results from toxins burn ing in its body.</t>
  </si>
  <si>
    <t>In a HOUNDOOM pack, the one with its horns raked sharply towards the back serves a leadership role. These POKéMON choose their leader by fighting amongst themselves.</t>
  </si>
  <si>
    <t>Se menetti emonsa syntymänsä jälkeen. Se kantaa emonsa kalloa paljastamatta koskaan todellista kasvojaan.</t>
  </si>
  <si>
    <t>In a HOUNDOOM pack, the one with its horns raked sharply back serves a leadership role. They choose their leader by fighting among themselves.</t>
  </si>
  <si>
    <t>Long ago, people imagined its eerie howls to be the call of the grim reaper.</t>
  </si>
  <si>
    <t>The flames it breathes when angry contain toxins. If they cause a burn, it will hurt forever.</t>
  </si>
  <si>
    <t>CUBONE kaipaa äitiä, jota se ei koskaan enää näe. Nähdessään äitinsä kuvan täysikuun aikaan se itkee. POKéMONin kallossa olevat tahrat ovat syntyneet sen vuodattamista kyynelistä.</t>
  </si>
  <si>
    <t>Upon hearing its eerie howls, other Pokémon get the shivers and head straight back to their nests.</t>
  </si>
  <si>
    <t>In a Houndoom pack, the one with its horns raked sharply toward the back serves a leadership role. These Pokémon choose their leader by fighting among themselves.</t>
  </si>
  <si>
    <t>They spew flames mixed with poison to finish off their opponents. They divvy up their prey evenly among the members of their pack.</t>
  </si>
  <si>
    <t>Identifiable by its eerie howls, people a long time ago thought it was the grim reaper and feared it.</t>
  </si>
  <si>
    <t>Se kaipaa äitiä, jota se ei enää koskaan näe. Nähdessään äitinsä kuvan täysikuun aikaan se itkee. Tahrat sen pääkallossa ovat peräisin sen kyynelistä.</t>
  </si>
  <si>
    <t>It is said that it usually hides in underwater caves. It can create whirlpools by yawning.</t>
  </si>
  <si>
    <t>It sleeps deep on the ocean floor to build its energy. It is said to cause tornadoes as it wakes.</t>
  </si>
  <si>
    <t>It stores energy by sleeping at underwater depths at which no other life forms can survive.</t>
  </si>
  <si>
    <t>Se kantaa kuolleen äitinsä kalloa päässään. Kun se tulee yksinäiseksi, sen sanotaan itkevän äänekkäästi.</t>
  </si>
  <si>
    <t>KINGDRA lives at extreme ocean depths that are otherwise uninhabited. It has long been believed that the yawning of this POKéMON creates spiraling ocean currents.</t>
  </si>
  <si>
    <t>https://pokeapi.co/api/v2/pokemon-species/91/</t>
  </si>
  <si>
    <t>KINGDRA sleeps on the seafloor where it is otherwise devoid of life. When a storm arrives, the POKéMON is said to awaken and wander about in search of prey.</t>
  </si>
  <si>
    <t>It sleeps quietly, deep on the seafloor. When it comes up to the surface, it creates a huge whirlpool that can swallow even ships.</t>
  </si>
  <si>
    <t>It lives in caves on the seafloor and creates giant whirlpools every time it moves.</t>
  </si>
  <si>
    <t>Kun se ajattelee kuollutta äitiään, se itkee. Sen itku saa sen kantaman kallon helisemään ontoksi.</t>
  </si>
  <si>
    <t>It stores energy by sleeping at underwater depths at which no other life-forms can survive.</t>
  </si>
  <si>
    <t>Kingdra lives at extreme ocean depths that are otherwise uninhabited. It has long been believed that the yawning of this Pokémon creates spiraling ocean currents.</t>
  </si>
  <si>
    <t>Kingdra sleeps on the seafloor where it is otherwise devoid of life. When a storm arrives, the Pokémon is said to awaken and wander about in search of prey.</t>
  </si>
  <si>
    <t>With the arrival of a storm at sea, this Pokémon will show itself on the surface. When a Kingdra and a Dragonite meet, a fierce battle ensues.</t>
  </si>
  <si>
    <t>Scales shed by this Pokémon have such a splendorous gleam to them that they’ve been given to royalty as gifts.</t>
  </si>
  <si>
    <t>It swings its long snout around play fully, but because it is so strong, that can be dan gerous.</t>
  </si>
  <si>
    <t>As a sign of af fection, it bumps with its snout. However, it is so strong, it may send you flying.</t>
  </si>
  <si>
    <t>Jos se on surullinen tai yksinäinen, sen kantama kallo tärisee ja päästää valittavan ja murheellisen äänen.</t>
  </si>
  <si>
    <t>During the desert ed morning hours, it comes ashore where it deftly uses its trunk to take a shower.</t>
  </si>
  <si>
    <t>For its nest, PHANPY digs a vertical pit in the ground at the edge of a river. It marks the area around its nest with its trunk to let the others know that the area has been claimed.</t>
  </si>
  <si>
    <t>PHANPY uses its long nose to shower itself. When others gather around, they thoroughly douse each other with water. These POKéMON can be seen drying their soaking-wet bodies at the edge of water.</t>
  </si>
  <si>
    <t>PHANPY’s big ears serve as broad fans. When it becomes hot, it flaps the ears busily to cool down. Even the young are very strong.</t>
  </si>
  <si>
    <t>As a sign of affection, it bumps with its snout. However, it is so strong, it may send you flying.</t>
  </si>
  <si>
    <t>It swings its long snout around playfully, but because it is so strong, this can be dangerous.</t>
  </si>
  <si>
    <t>It is strong despite its compact size. It can easily pick up and carry an adult human on its back.</t>
  </si>
  <si>
    <t>It swings its long snout around playfully, but because it is so strong, that can be dangerous.</t>
  </si>
  <si>
    <t>For its nest, Phanpy digs a vertical pit in the ground at the edge of a river. It marks the area around its nest with its trunk to let the others know that the area has been claimed.</t>
  </si>
  <si>
    <t>Phanpy uses its long nose to shower itself. When others gather around, they thoroughly douse each other with water. These Pokémon can be seen drying their soaking-wet bodies at the edge of water.</t>
  </si>
  <si>
    <t>It has sharp, hard tusks and a rugged hide. Its TACKLE is strong enough to knock down a house.</t>
  </si>
  <si>
    <t>Cubone kaipaa äitiä, jota se ei enää koskaan näe. Nähdessään äitinsä kuvan täysikuun aikaan se itkee. Pokémonin kallossa olevat tahrat ovat syntyneet sen vuodattamista kyynelistä.</t>
  </si>
  <si>
    <t>The longer and bigger its tusks, the higher its rank in its herd. The tusks take long to grow.</t>
  </si>
  <si>
    <t>Because this POKéMON's skin is so tough, a normal attack won't even leave a scratch on it.</t>
  </si>
  <si>
    <t>DONPHAN’s favorite attack is curling its body into a ball, then charging at its foe while rolling at high speed. Once it starts rolling, this POKéMON can’t stop very easily.</t>
  </si>
  <si>
    <t>Kun se ajattelee kuollutta äitiään, se itkee äänekkäästi. Mandibuzzit, jotka kuulevat sen itkun, hyökkäävät sen kimppuun ilmasta.</t>
  </si>
  <si>
    <t>If DONPHAN were to tackle with its hard body, even a house could be destroyed. Using its massive strength, the POKéMON helps clear rock and mud slides that block mountain trails.</t>
  </si>
  <si>
    <t>Päässään oleva kallo on sen kuolleen äitin ​​kallo. Joidenkin mukaan se kehittyy, kun se käsittelee äitinsä kuoleman aiheuttamaa tuskaa.</t>
  </si>
  <si>
    <t>A DONPHAN is so strong it can easily haul a dump truck. Its hide has toughened to a rock-hard state. An ordinary sort of attack won’t even leave a scratch.</t>
  </si>
  <si>
    <t>Yöllä se itkee äänekkäästi kuollutta emoaan, mutta nuo huudot houkuttelevat vain sen luonnollisen vihollisen – Mandibuzzin.</t>
  </si>
  <si>
    <t>The longer and bigger its tusks, the higher its rank in its herd. The tusks take a long time to grow.</t>
  </si>
  <si>
    <t>It attacks by curling up, then rolling into its foe. It can blow apart a house in one hit.</t>
  </si>
  <si>
    <t>Se kantaa emonsa kalloa päässään, joten kukaan ei tiedä, miltä sen paljas naama näyttää. On kuitenkin selvää, että se itkee aina.</t>
  </si>
  <si>
    <t>It has sharp, hard tusks and a rugged hide. Its tackle is strong enough to knock down a house.</t>
  </si>
  <si>
    <t>It attacks by curling up then rolling into its foe. It can blow apart a house in one hit.</t>
  </si>
  <si>
    <t>It has sharp, hard tusks and a rugged hide. Its Tackle is strong enough to knock down a house.</t>
  </si>
  <si>
    <t>Donphan’s favorite attack is curling its body into a ball, then charging at its foe while rolling at high speed. Once it starts rolling, this Pokémon can’t stop very easily.</t>
  </si>
  <si>
    <t>Kun sen poismenneen äidin muisto tuo sen kyyneliin, sen huuto kaikuu surullisesti pääkallossa, jota se pitää päässään.</t>
  </si>
  <si>
    <t>If Donphan were to tackle with its hard body, even a house could be destroyed. Using its massive strength, the Pokémon helps clear rock and mud slides that block mountain trails.</t>
  </si>
  <si>
    <t>Tämä Pokémon kantaa kuolleen äitinsä kalloa. Joskus Cubonen unet saavat sen itkemään, mutta jokainen Cubonen vuodattama kyynel vahvistaa sitä.</t>
  </si>
  <si>
    <t>This upgraded version of PORYGON is designed for space exploration. It can't fly, though.</t>
  </si>
  <si>
    <t>Marowak</t>
  </si>
  <si>
    <t>Further research enhanced its abil ities. Sometimes, it may exhibit motions that were not programmed.</t>
  </si>
  <si>
    <t>Luunvartija-Pokémon</t>
  </si>
  <si>
    <t>This manmade POKéMON evolved from the latest technology. It may have unprog rammed reactions.</t>
  </si>
  <si>
    <t>Sen tärkein ase on luu, jota se pitää sisällään. Se heittää luun taitavasti kuin bumerangin tyrmättyihin kohteisiin.</t>
  </si>
  <si>
    <t>PORYGON2 was created by humans using the power of science. The man-made POKéMON has been endowed with artificial intelligence that enables it to learn new gestures and emotions on its own.</t>
  </si>
  <si>
    <t>It was created by humans using the power of science. It has been given artificial intelligence that enables it to learn new gestures and emotions on its own.</t>
  </si>
  <si>
    <t>Further research enhanced its abilities. Sometimes, it may exhibit motions that were not programmed.</t>
  </si>
  <si>
    <t>This upgraded version of PORYGON is designed for space exploration. However, it can’t even fly.</t>
  </si>
  <si>
    <t>With planetary development software installed, it became capable of working in space.</t>
  </si>
  <si>
    <t>Pieni ja heikko POKéMON on taitava luupamppunsa kanssa. Se on aikojen saatossa muuttunut entistä ilkeämmäksi.</t>
  </si>
  <si>
    <t>It was upgraded to enable the exploration of other planets. However, it failed to measure up.</t>
  </si>
  <si>
    <t>Sen on nähty hakkaavan lohkareita kantamallaan luulla voidakseen lähettää viestejä muille.</t>
  </si>
  <si>
    <t>This upgraded version of PORYGON is designed for space exploration. It can’t fly, however.</t>
  </si>
  <si>
    <t>Porygon2 was created by humans using the power of science. The man-made Pokémon has been endowed with artificial intelligence that enables it to learn new gestures and emotions on its own.</t>
  </si>
  <si>
    <t>Se kerää luita tuntemattomasta paikasta. Huhujen mukaan jossain päin maailmaa on olemassa MAROWAK-hautausmaa.</t>
  </si>
  <si>
    <t>For the purposes of planetary development, Porygon was updated with the most cutting-edge technology available.</t>
  </si>
  <si>
    <t>Jossain päin maailmaa on hautausmaa vain MAROWAKILLE. Se saa luunsa noista haudoista.</t>
  </si>
  <si>
    <t>Porygon was updated to a new version in readiness for planetary development. But that dream remains unrealized as yet.</t>
  </si>
  <si>
    <t>AI has been installed in it. It learns various things all on its own, but it even remembers things it doesn’t need to know.</t>
  </si>
  <si>
    <t>MAROWAK on CUBONEn kehittynyt muoto, joka on voittanut surunsa äitinsä menetyksestä ja kasvanut kovaksi. Tämän POKéMONin karaistunut ja kovettunut mieli ei murru helposti.</t>
  </si>
  <si>
    <t>Even though it doesn’t die in the vacuum of space, it can’t move around very well in zero gravity.</t>
  </si>
  <si>
    <t>This is a Porygon that was updated with special data. Porygon2 develops itself by learning about many different subjects all on its own.</t>
  </si>
  <si>
    <t>After artificial intelligence was implemented in Porygon2, the Pokémon began using a strange language that only other Porygon2 understand.</t>
  </si>
  <si>
    <t>A bizarre item caused this Pokémon to evolve. While it now exhibits many new gestures and expressions, its biology remains inscrutable.</t>
  </si>
  <si>
    <t>MAROWAK on CUBONEn kehittynyt muoto, joka on kasvanut kovaksi voitettuaan äitinsä menettämisen surun. Sen karaistunut ja kovettunut mieli ei murru helposti.</t>
  </si>
  <si>
    <t>The curved antlers subtly change the flow of air to create a strange space where real ity is distorted.</t>
  </si>
  <si>
    <t>Se on pieni ja alun perin hyvin heikko. Sen luonne muuttui raivokkaaksi, kun se alkoi käyttää luita.</t>
  </si>
  <si>
    <t>Those who stare at its antlers will gradually lose control of their senses and be unable to stand.</t>
  </si>
  <si>
    <t>The round balls found on the fallen antlers can be ground into a powder that aids in sleeping.</t>
  </si>
  <si>
    <t>STANTLER’s magnificent antlers were traded at high prices as works of art. As a result, this POKéMON was hunted close to extinction by those who were after the priceless antlers.</t>
  </si>
  <si>
    <t>Syntymästään lähtien tämä villi Pokémon pitää jatkuvasti luita hallussaan. Se on taitava käyttämään niitä aseina.</t>
  </si>
  <si>
    <t>STANTLER’s magnificent antlers were once traded at high prices as works of art. As a result, this POKéMON was hunted close to extinction.</t>
  </si>
  <si>
    <t>Its curved antlers subtly change the flow of air to create a strange space where reality is distorted.</t>
  </si>
  <si>
    <t>Staring at its antlers creates an odd sensation as if one were being drawn into their centers.</t>
  </si>
  <si>
    <t>The curved antlers subtly change the flow of air to create a strange space where reality is distorted.</t>
  </si>
  <si>
    <t>Stantler’s magnificent antlers were traded at high prices as works of art. As a result, this Pokémon was hunted close to extinction by those who were after the priceless antlers.</t>
  </si>
  <si>
    <t>Its strangely shaped antlers have the power to bewitch those who see them. Medicine made by grinding up the black orbs from fallen antlers is an effective treatment for insomnia.</t>
  </si>
  <si>
    <t>Se kerää luita tuntemattomasta paikasta. Jotkut kuiskaavat, että jossain päin maailmaa on olemassa MAROWAK-hautausmaa.</t>
  </si>
  <si>
    <t>A special fluid oozes from the tip of its tail. It paints the fluid everywhere to mark its territory.</t>
  </si>
  <si>
    <t>Once it becomes an adult, it has a tendency to let its comrades plant footprints on its back.</t>
  </si>
  <si>
    <t>The color of the mysterious fluid secreted from its tail is predeter mined for each SMEARGLE.</t>
  </si>
  <si>
    <t>SMEARGLE marks the boundaries of its territory using a body fluid that leaks out from the tip of its tail. Over 5,000 different marks left by this POKéMON have been found.</t>
  </si>
  <si>
    <t>A SMEARGLE marks its territory using a fluid that leaks out from the tip of its tail. About 5,000 different marks left by this POKéMON have been found.</t>
  </si>
  <si>
    <t>It marks its territory by using its tail like a paintbrush. There are more than 5,000 different marks.</t>
  </si>
  <si>
    <t>Smeargle marks the boundaries of its territory using a body fluid that leaks out from the tip of its tail. Over 5,000 different marks left by this Pokémon have been found.</t>
  </si>
  <si>
    <t>The unique creations produced by each Smeargle are painted using the fluid that oozes from its tail. This is how it marks its territory.</t>
  </si>
  <si>
    <t>It draws symbols all over the place to mark its territory. In towns with many Smeargle, the walls are covered in graffiti.</t>
  </si>
  <si>
    <t>Marowak on Cubonen kehittynyt muoto, joka on voittanut surunsa äitinsä menetyksestä ja kasvanut kovaksi. Tämän Pokémonin karaistunut ja kovettunut mieli ei murru helposti.</t>
  </si>
  <si>
    <t>The fluid of Smeargle’s tail secretions changes in the intensity of its hue as the Pokémon’s emotions change.</t>
  </si>
  <si>
    <t>It draws symbols with the fluid that oozes from the tip of its tail. Depending on the symbol, Smeargle fanatics will pay big money for them.</t>
  </si>
  <si>
    <t>It is always bursting with en ergy. To make it self stronger, it keeps on fighting even if it loses.</t>
  </si>
  <si>
    <t>Alun perin se oli heikko ja arka. Evoluution jälkeen sen luonteesta tulee väkivaltainen, ja se alkaa käyttää luita aseina.</t>
  </si>
  <si>
    <t>Even though it is small, it can't be ignored because it will slug any handy target with out warning.</t>
  </si>
  <si>
    <t>Tämä Pokémon janoaa kostoa luonnolliselle viholliselleen, Mandibuzzille. Se heittelee luita kuin bumerangeja yrittäessään kaataa sen.</t>
  </si>
  <si>
    <t>To brush up on its fighting skills, it will challenge anyone. It has a very strong com petitive spirit.</t>
  </si>
  <si>
    <t>TYROGUE becomes stressed out if it does not get to train every day. When raising this POKéMON, the TRAINER must establish and uphold various training methods.</t>
  </si>
  <si>
    <t>Se heittelee luita Mandibuzzia kohti kaataakseen sen. Marowakin uskotaan yrittävän kostaa vanhempansa puolesta.</t>
  </si>
  <si>
    <t>TYROGUE become stressed out if they do not get to train every day. When raising this POKéMON, the TRAINER must establish a regular training schedule.</t>
  </si>
  <si>
    <t>Ne jyskyttävät luitaan rytmisesti kommunikoidakseen keskenään. On lähes 50 erilaista rytmistä kuviota.</t>
  </si>
  <si>
    <t>Even though it is small, it can’t be ignored because it will slug any handy target without warning.</t>
  </si>
  <si>
    <t>Pieni ja heikko Pokémon on taitava luunuijansa kanssa. Se on muuttunut aikojen saatossa entistä ilkeämmäksi.</t>
  </si>
  <si>
    <t>It is always bursting with energy. To make itself stronger, it keeps on fighting even if it loses.</t>
  </si>
  <si>
    <t>It is famous for its eagerness to fight and always nurses injuries from challenging larger foes.</t>
  </si>
  <si>
    <t>To brush up on its fighting skills, it will challenge anyone. It has a very strong competitive spirit.</t>
  </si>
  <si>
    <t>https://pokeapi.co/api/v2/pokemon-species/92/</t>
  </si>
  <si>
    <t>Tämä Pokémon voitti surunsa ja kehitti itselleen vankan uuden ruumiin. Marowak kohtaa vastustajansa rohkeasti käyttäen luuta aseena.</t>
  </si>
  <si>
    <t>Tyrogue becomes stressed out if it does not get to train every day. When raising this Pokémon, the Trainer must establish and uphold various training methods.</t>
  </si>
  <si>
    <t>Kun tämä Pokémon kehittyi, sen emokallon kallo yhdistyi siihen. Myös Marowakin temperamentti muuttui samaan aikaan ilkeäksi.</t>
  </si>
  <si>
    <t>If you become enchanted by its smooth, elegant, dance-like kicks, you may get drilled hard.</t>
  </si>
  <si>
    <t>Hitmonlee</t>
  </si>
  <si>
    <t>Pokémonin potkiminen</t>
  </si>
  <si>
    <t>It launches kicks while spinning. If it spins at high speed, it may bore its way into the ground.</t>
  </si>
  <si>
    <t>Kiireessä sen jalat pitenevät asteittain. Se juoksee sujuvasti erittäin pitkillä, loikkivilla askeleilla.</t>
  </si>
  <si>
    <t>After doing a handstand to throw off the opponent's timing, it presents its fancy kick moves.</t>
  </si>
  <si>
    <t>HITMONTOP spins on its head at high speed, all the while delivering kicks. This technique is a remarkable mix of both offense and defense at the same time. The POKéMON travels faster spinning than it does walking.</t>
  </si>
  <si>
    <t>Potkiessaan sen jalkapohja kovaksi muuttuu osumassa kuin timantti ja tuhoaa vihollisensa.</t>
  </si>
  <si>
    <t>Its technique of kicking while spinning is a remarkable mix of both offense and defense. HITMONTOP travel faster spinning than they do walking.</t>
  </si>
  <si>
    <t>Tällä upealla POKé MONilla on mahtava tasapainotaju. Se voi potkaista peräkkäin mistä tahansa asennosta.</t>
  </si>
  <si>
    <t>It fights while spinning like a top. The centrifugal force boosts its destructive power by ten.</t>
  </si>
  <si>
    <t>If you are enchanted by its smooth, dance-like kicks, you may get a closer experience with one than you’d like.</t>
  </si>
  <si>
    <t>Jos se alkaa potkia toistuvasti, molemmat jalat ojentuvat vielä pidemmälle iskeäkseen pakenevaa vihollista.</t>
  </si>
  <si>
    <t>Sitä kutsutaan myös potkumestariksi. Se käyttää joustavia jalkojaan kaikkien tunnettujen potkujen suorittamiseen.</t>
  </si>
  <si>
    <t>It fights while spinning like a top. The centrifugal force boosts its destructive power by 10.</t>
  </si>
  <si>
    <t>Hitmontop spins on its head at high speed, all the while delivering kicks. This technique is a remarkable mix of both offense and defense at the same time. The Pokémon travels faster spinning than it does walking.</t>
  </si>
  <si>
    <t>HITMONLEE:n jalat supistuvat ja venyvät vapaasti. Näillä jousimaisilla jaloilla se syöksyy vihollisten päälle tuhoisilla potkuilla. Taistelun jälkeen se hieroo jalkojaan ja rentouttaa lihaksiaan voittaakseen väsymyksen.</t>
  </si>
  <si>
    <t>After doing a handstand to throw off the opponent’s timing, it presents its fancy kick moves.</t>
  </si>
  <si>
    <t>Its lips are the most sensitive parts on its body. It always uses its lips first to examine things.</t>
  </si>
  <si>
    <t>Sen jalat venyttelevät ja supistuvat vapaasti. Näitä jousimaisia ​​raajoja käyttäen se syöksyy vihollisten päälle tuhoisilla potkuilla. Taistelun jälkeen se hieroo väsyneitä jalkojaan.</t>
  </si>
  <si>
    <t>It always rocks its head slowly backwards and for wards as if it is trying to kiss someone.</t>
  </si>
  <si>
    <t>Jalat supistuvat ja venyvät vapaasti. Venyvien jalkojen ansiosta se voi osua kaukaiseen viholliseen nousevalla potkulla.</t>
  </si>
  <si>
    <t>The sensitivity of its lips develops most quickly. It uses them to try to identify unknown objects.</t>
  </si>
  <si>
    <t>SMOOCHUM actively runs about, but also falls quite often. Whenever the chance arrives, it will look for its reflection to make sure its face hasn’t become dirty.</t>
  </si>
  <si>
    <t>Sen jalat voivat venyä kaksinkertaisiksi. Ensikertalaiset viholliset säikähtävät sen ulottuvuuden vuoksi.</t>
  </si>
  <si>
    <t>It actively runs about, but also falls often. Whenever it falls, it will check its reflection on a lake’s surface to make sure its face hasn’t become dirty.</t>
  </si>
  <si>
    <t>It always rocks its head slowly backwards and forwards as if it is trying to kiss someone.</t>
  </si>
  <si>
    <t>Tällä upealla Pokémonilla on mahtava tasapainoaisti. Se voi potkaista peräkkäin mistä tahansa asennosta.</t>
  </si>
  <si>
    <t>Jos se alkaa potkia toistuvasti, molemmat jalat ojentuvat vielä pidemmäksi iskeäkseen pakenevaa vihollista.</t>
  </si>
  <si>
    <t>It tests everything by touching with its lips, which remember what it likes and dislikes.</t>
  </si>
  <si>
    <t>Its lips are the most sensitive part of its body. It always uses its lips first to examine things.</t>
  </si>
  <si>
    <t>Smoochum actively runs about, but also falls quite often. Whenever the chance arrives, it will look for its reflection to make sure its face hasn’t become dirty.</t>
  </si>
  <si>
    <t>When it examines things, before touching them with its hands, it makes lip contact and then diligently licks all the dirt off its lips.</t>
  </si>
  <si>
    <t>Highly perceptive sensors, Smoochum’s lips are kept moist by its daily application of tree sap.</t>
  </si>
  <si>
    <t>If its face gets even slightly dirty, Smoochum will bathe immediately. But if its body gets dirty, Smoochum doesn’t really seem to care.</t>
  </si>
  <si>
    <t>This is a very curious Pokémon. Smoochum decides what it likes and dislikes by touching things with its lips.</t>
  </si>
  <si>
    <t>Hitmonleen jalat supistuvat ja venyvät vapaasti. Näillä jousimaisilla jaloilla se syöksyy vihollisten päälle tuhoisilla potkuilla. Taistelun jälkeen se hieroo jalkojaan ja rentouttaa lihaksiaan voittaakseen väsymyksen.</t>
  </si>
  <si>
    <t>It rotates its arms to generate electricity, but it tires easily, so it charges up only a little bit.</t>
  </si>
  <si>
    <t>Potkiessaan sen jalkapohja kovaksi muuttuu osuessaan timantin lailla ja tuhoaa vihollisensa.</t>
  </si>
  <si>
    <t>Even in the most vicious storm, this POKéMON plays happily if thunder rumbles in the sky.</t>
  </si>
  <si>
    <t>It loves violent thunder. The space between its horns flickers bluish- white when it is charging energy.</t>
  </si>
  <si>
    <t>ELEKID stores electricity in its body. If it touches metal and accidentally discharges all its built-up electricity, this POKéMON begins swinging its arms in circles to recharge itself.</t>
  </si>
  <si>
    <t>If it touches metal and discharges the electricity it has stored in its body, an ELEKID begins swinging its arms in circles to recharge itself.</t>
  </si>
  <si>
    <t>Hitmonchan</t>
  </si>
  <si>
    <t>Pokémonin lyöminen</t>
  </si>
  <si>
    <t>It generates electricity by whirling its arms. However, it can’t store the energy it makes.</t>
  </si>
  <si>
    <t>Vaikka se ei näennäisesti tee mitään, se ampuu lyöntejä salamannopeina volleyina, joita on mahdotonta nähdä.</t>
  </si>
  <si>
    <t>A weak electric current flows between its horns. Sticking a hand there shocks the unwary.</t>
  </si>
  <si>
    <t>It rotates its arms to generate electricity, but it tires easily, so it only charges up a little bit.</t>
  </si>
  <si>
    <t>Even in the most vicious storm, this Pokémon plays happily if thunder rumbles in the sky.</t>
  </si>
  <si>
    <t>Spinning its arms around to generate electricity makes the area between its horns shine light blue.</t>
  </si>
  <si>
    <t>Lävistää korkkiruuvin tavoin. Se voi lävistää betoniseinän samalla tavalla kuin pora.</t>
  </si>
  <si>
    <t>Elekid stores electricity in its body. If it touches metal and accidentally discharges all its built-up electricity, this Pokémon begins swinging its arms in circles to recharge itself.</t>
  </si>
  <si>
    <t>Sen iskut viiltävät ilmaa. Se näyttää kuitenkin tarvitsevan lyhyen tauon kolmen minuutin taistelun jälkeen.</t>
  </si>
  <si>
    <t>When it’s in a house, electrical outlets serve as its baby bottles. It sucks down electricity.</t>
  </si>
  <si>
    <t>Sen iskut viiltävät ilmaa. Ne sinkoutuvat niin suurella nopeudella, että pienikin naarmu voi aiheuttaa palovamman.</t>
  </si>
  <si>
    <t>Lisätäkseen kaikkien lyöntiliikkeidensä voimaa se pyörittää käsiään juuri ennen osumaa.</t>
  </si>
  <si>
    <t>This Pokémon is constantly fighting with Togedemaru that try to steal its electricity. It’s a pretty even match.</t>
  </si>
  <si>
    <t>When it hears the crash of thunder, Elekid’s mood improves. It can be useful to record that sound and play it when Elekid’s feeling down.</t>
  </si>
  <si>
    <t>HITMONCHANin sanotaan omaavan nyrkkeilijän hengen, joka on työskennellyt kohti maailmanmestaruutta. Tällä POKéMONilla on lannistumaton henki, eikä hän koskaan anna periksi vastoinkäymisissä.</t>
  </si>
  <si>
    <t>When its horns shine a bluish white, that’s the sign it’s fully charged. You’ll get a shocking jolt if you touch it!</t>
  </si>
  <si>
    <t>When a storm approaches, this Pokémon gets restless. Once Elekid hears the sound of thunder, it gets full-on rowdy.</t>
  </si>
  <si>
    <t>HITMONCHANin sanotaan omaavan nyrkkeilijän hengen, joka tähtäsi maailmanmestaruuteen. Lannistumaton henki tarkoittaa, ettei se koskaan anna periksi.</t>
  </si>
  <si>
    <t>It’s not good at storing electricity yet. This Pokémon sneaks into people’s homes, looking for electrical outlets to eat electricity from.</t>
  </si>
  <si>
    <t>They generate electricity by spinning their arms. During a thunderstorm, if one hears the lively voices of children out in the wilderness, what one is actually hearing are the voices of Elekid.</t>
  </si>
  <si>
    <t>Ammattilaisnyrkkeilijän henki on valaissut tämän POKéMONin. Se heittää lyöntejä, jotka ovat nopeampia kuin luotijuna.</t>
  </si>
  <si>
    <t>Each and every time it inhales and exhales, hot embers dribble out of its mouth and nostrils.</t>
  </si>
  <si>
    <t>It is found in volcanic craters. Its body temp. is over 1100 degrees, so don't under estimate it.</t>
  </si>
  <si>
    <t>It naturally spits an 1100-degree flame. It is said when many appear, it heralds a volcanic eruption.</t>
  </si>
  <si>
    <t>MAGBY’s state of health is determined by observing the fire it breathes. If the POKéMON is spouting yellow flames from its mouth, it is in good health. When it is fatigued, black smoke will be mixed in with the flames.</t>
  </si>
  <si>
    <t>Sen heittämät käsivarsia vääntävät iskut murskaavat jopa betonin. Se lepää kolmen minuutin taistelun jälkeen.</t>
  </si>
  <si>
    <t>If a MAGBY is spouting yellow flames from its mouth, it is in good health. When it is fatigued, black smoke will be mixed in with the flames.</t>
  </si>
  <si>
    <t>It is found in volcanic craters. Its body heat exceeds 1,100 degrees Fahrenheit, so don’t underestimate it.</t>
  </si>
  <si>
    <t>Its body temperature is around 1,100 degrees F. It is healthy if it is breathing yellow flames.</t>
  </si>
  <si>
    <t>Its magma-like blood circulates throughout its body. Its body’s heat can top 1,100 degrees F.</t>
  </si>
  <si>
    <t>Each and every time it inhales and exhales, hot embers dribble from its mouth and nostrils.</t>
  </si>
  <si>
    <t>It is found in volcanic craters. Its body temperature is over 1,100 degrees Fahrenheit, so don’t underestimate it.</t>
  </si>
  <si>
    <t>It’s small, but its body temperature is over 1,100 degrees F. Embers escape its mouth and nose when it breathes.</t>
  </si>
  <si>
    <t>It’s small, but its body temperature is over 1,100 degrees Fahrenheit. Embers escape its mouth and nose when it breathes.</t>
  </si>
  <si>
    <t>https://pokeapi.co/api/v2/pokemon-species/93/</t>
  </si>
  <si>
    <t>Its magma-like blood circulates throughout its body. Its body’s heat can top 1,100 degrees Fahrenheit.</t>
  </si>
  <si>
    <t>Magby’s state of health is determined by observing the fire it breathes. If the Pokémon is spouting yellow flames from its mouth, it is in good health. When it is fatigued, black smoke will be mixed in with the flames.</t>
  </si>
  <si>
    <t>Many of these Pokémon can be seen in areas with volcanic activity. Feeding can get them so excited, they exhale flames of 1,100 degrees F.</t>
  </si>
  <si>
    <t>A famous potter lives with a Magby. Apparently its soft flames produce fine works.</t>
  </si>
  <si>
    <t>Ammattilaisnyrkkeilijän henki on vallannut tämän Pokémonin. Se lyö luotijunaa nopeammin.</t>
  </si>
  <si>
    <t>When flames drip from its nose, that means it has a cold. Have it lie down for a nice rest in some magma.</t>
  </si>
  <si>
    <t>Its body temperature is always around 1,100 degrees Fahrenheit. If Magby falls into a small- enough pond, the whole thing will dry up.</t>
  </si>
  <si>
    <t>Hitmonchanin sanotaan omaavan nyrkkeilijän hengen, joka on työskennellyt kohti maailmanmestaruutta. Tällä Pokémonilla on lannistumaton henki, eikä se koskaan anna periksi vastoinkäymisten edessä.</t>
  </si>
  <si>
    <t>This Pokémon is still small and timid. Whenever Magby gets excited or surprised, flames leak from its mouth and its nose.</t>
  </si>
  <si>
    <t>This Pokémon makes its home near volcanoes. At the end of the day, Magby soaks in magma, resting and recovering from the day’s fatigue.</t>
  </si>
  <si>
    <t>This Pokémon lives in volcanic areas. With each breath, sparks spurt from its mouth and nose. When Magby is in good health, its flames gain a yellow tint.</t>
  </si>
  <si>
    <t>Lävistää korkkiruuvin tavoin. Se voi lävistää betoniseinän kuin pora.</t>
  </si>
  <si>
    <t>Its milk is packed with nutrition, making it the ultimate beverage for the sick or weary.</t>
  </si>
  <si>
    <t>If it has just had a baby, the milk it produces con tains much more nutrition than usual.</t>
  </si>
  <si>
    <t>In order to milk a MILTANK, one must have a knack for rhythmically pull ing up and down on its udders.</t>
  </si>
  <si>
    <t>MILTANK gives over five gallons of milk on a daily basis. Its sweet milk is enjoyed by children and grown-ups alike. People who can’t drink milk turn it into yogurt and eat it instead.</t>
  </si>
  <si>
    <t>Lickitung</t>
  </si>
  <si>
    <t>Nuolee Pokémonia</t>
  </si>
  <si>
    <t>Sen kieli ojenee kuin kameleontin. Se jättää kihelmöivän tunteen nuollessaan vihollisia.</t>
  </si>
  <si>
    <t>It gives over five gallons of milk daily. Its sweet milk is enjoyed by children and grown-ups alike. People who can’t drink milk turn it into yogurt and eat it instead.</t>
  </si>
  <si>
    <t>If it has just had a baby, the milk it produces contains much more nutrition than usual.</t>
  </si>
  <si>
    <t>It is said that kids who drink MILTANK’s milk grow up to become hearty, healthy adults.</t>
  </si>
  <si>
    <t>If it is around babies, the milk it produces contains much more nutrition than usual.</t>
  </si>
  <si>
    <t>Sen kieli on lähes 2,1 metriä pitkä ja liikkuu vapaammin kuin sen etujalat. Sen nuoleminen voi aiheuttaa halvaantumisen.</t>
  </si>
  <si>
    <t>It is said that kids who drink Miltank’s milk grow up to become hearty, healthy adults.</t>
  </si>
  <si>
    <t>Miltank gives over five gallons of milk on a daily basis. Its sweet milk is enjoyed by children and grown-ups alike. People who can’t drink milk turn it into yogurt and eat it instead.</t>
  </si>
  <si>
    <t>Its milk is high in calories and packed with nutrients. Therefore, if you drink too much of it, you may wind up with a body like Miltank’s.</t>
  </si>
  <si>
    <t>Sen kielellä on hyvin kehittyneet hermot, jotka ulottuvat aivan kärkeen asti, joten sitä voidaan manipuloida taitavasti.</t>
  </si>
  <si>
    <t>Most people raise it for its milk, but it’s quite tough and strong, so it’s also well suited for battle.</t>
  </si>
  <si>
    <t>Sen pitkä, tahmealla syljellä peittynyt kieli tarttuu mihin tahansa, joten se on erittäin hyödyllinen.</t>
  </si>
  <si>
    <t>Sen kieli on yli 190 cm pitkä. Se nuolee tätä pitkää kieltään puhtaaksi ruumiistaan.</t>
  </si>
  <si>
    <t>It produces over five gallons of milk a day. The higher the quality of the pastures it lives in, the richer and tastier its milk becomes.</t>
  </si>
  <si>
    <t>Its milk is delicious and chock-full of nutrients. However, if you drink too much, it could make your stomach hurt, so be careful.</t>
  </si>
  <si>
    <t>Aina kun LICKITUNG kohtaa jotain uutta, se nuolee sitä poikkeuksetta. Se tekee niin, koska se muistaa asioita rakenteen ja maun perusteella. Se on hieman epäluotettava happamista asioista.</t>
  </si>
  <si>
    <t>Miltank produces highly nutritious milk, so it’s been supporting the lives of people and other Pokémon since ancient times.</t>
  </si>
  <si>
    <t>This Pokémon needs to be milked every day, or else it will fall ill. The flavor of Miltank milk changes with the seasons.</t>
  </si>
  <si>
    <t>Anyone who takes even one bite of BLISSEY's egg be comes unfailingly caring and pleas ant to everyone.</t>
  </si>
  <si>
    <t>It has a very com passionate nature. If it sees a sick POKéMON, it will nurse the sufferer back to health.</t>
  </si>
  <si>
    <t>Biting into one of the delicious eggs that BLISSEY provides will make everyone around smile with joy.</t>
  </si>
  <si>
    <t>BLISSEY senses sadness with its fluffy coat of fur. If it does so, this POKéMON will rush over to the sad person, however far they may be, to share an egg of happiness that brings a smile to any face.</t>
  </si>
  <si>
    <t>If it senses sadness with its fluffy fur, a BLISSEY will rush over to the sad person, however far away, to share an egg of happiness that brings a smile to any face.</t>
  </si>
  <si>
    <t>Aina kun se näkee jotain outoa, se nuolee esinettä, koska se muistaa asioita rakenteen ja maun perusteella. Happamat asiat pelottavat sitä jonkin verran.</t>
  </si>
  <si>
    <t>It has a very compassionate nature. If it sees a sick POKéMON, it will nurse the sufferer back to health.</t>
  </si>
  <si>
    <t>Anyone who takes even one bite of BLISSEY’s egg becomes unfailingly caring and pleasant to everyone.</t>
  </si>
  <si>
    <t>Sen kieli on kaksi kertaa vartalon pituinen. Sitä voidaan liikuttaa kuin käsivartta ruoan nappaamiseen ja hyökkäämiseen.</t>
  </si>
  <si>
    <t>This kindhearted Pokémon nurses sick Pokémon to health. It senses feelings of sadness.</t>
  </si>
  <si>
    <t>It is a Pokémon that delivers happiness. Eating its egg is said to make one kind to everyone.</t>
  </si>
  <si>
    <t>Käsien sijaan se käyttää kieltään, joka on kaksi kertaa sen pituinen. Sen tahmea sylki tarttuu mihin tahansa.</t>
  </si>
  <si>
    <t>The eggs it lays are filled with happiness. Eating even one bite will bring a smile to anyone.</t>
  </si>
  <si>
    <t>Anyone who takes even one taste of BLISSEY’s egg becomes unfailingly caring and pleasant to everyone.</t>
  </si>
  <si>
    <t>It has a very compassionate nature. If it sees a sick Pokémon, it will nurse the sufferer back to health.</t>
  </si>
  <si>
    <t>Blissey senses sadness with its fluffy coat of fur. If it does so, this Pokémon will rush over to a sad person, no matter how far away, to share a Lucky Egg that brings a smile to any face.</t>
  </si>
  <si>
    <t>Kun se ojentaa yli kahden metrin pituisen kielensä, sen häntä värisee. On mahdollista, että ne ovat yhteydessä toisiinsa.</t>
  </si>
  <si>
    <t>Even the most ferocious Pokémon become calm when they eat Blissey’s egg, which is said to be filled with happiness.</t>
  </si>
  <si>
    <t>Its fluffy fur coat acts as a sensor, enabling it to read the feelings of people and Pokémon.</t>
  </si>
  <si>
    <t>Their eggs are such a delicacy that some say eating one will bring you happiness. These eggs fetch the highest prices on the market.</t>
  </si>
  <si>
    <t>This Pokémon is overflowing with love. Only Chansey that share a strong bond with their Trainer can evolve, so people say.</t>
  </si>
  <si>
    <t>Sen pitkä, tahmealla syljellä peittynyt kieli tarttuu kaikkeen, joten se on erittäin hyödyllinen.</t>
  </si>
  <si>
    <t>Whenever a Blissey finds a weakened Pokémon, it will share its egg and offer its care until the other Pokémon is all better.</t>
  </si>
  <si>
    <t>Blissey lays mysterious eggs that are filled with happiness. It’s said that anyone who eats a Blissey egg will start acting kindly to all others.</t>
  </si>
  <si>
    <t>A kindhearted Pokémon that will care for any sick person or Pokémon until their health improves. The eggs it lays are delicious and bring good fortune to those who eat them.</t>
  </si>
  <si>
    <t>The rain clouds it carries let it fire thunderbolts at will. They say that it descended with lightning.</t>
  </si>
  <si>
    <t>Pitkän, syljen peittämän kielen nuoleminen aiheuttaa kihelmöivän tunteen. Kielen ojentaminen vetää häntäänsä taaksepäin.</t>
  </si>
  <si>
    <t>A POKéMON that races across the land while barking a cry that sounds like crashing thunder.</t>
  </si>
  <si>
    <t>This rough POKéMON stores energy inside its body, then sweeps across the land, shooting off electricity.</t>
  </si>
  <si>
    <t>RAIKOU embodies the speed of lightning. The roars of this POKéMON send shock waves shuddering through the air and shake the ground as if lightning bolts had come crashing down.</t>
  </si>
  <si>
    <t>RAIKOU embodies the speed of lightning. Its roars send shock waves shuddering through the air and ground as if lightning bolts were crashing down.</t>
  </si>
  <si>
    <t>This POKéMON races across the land while barking a cry that sounds like crashing thunder.</t>
  </si>
  <si>
    <t>It is said to have fallen with lightning. It can fire thunderbolts from the rain clouds on its back.</t>
  </si>
  <si>
    <t>A Pokémon that races across the land while barking a cry that sounds like crashing thunder.</t>
  </si>
  <si>
    <t>This rough Pokémon stores energy inside its body, then sweeps across the land, shooting off electricity.</t>
  </si>
  <si>
    <t>Aina kun Lickitung kohtaa jotain uutta, se nuolee sitä poikkeuksetta. Se tekee niin, koska se muistaa asioita rakenteen ja maun perusteella. Se on hieman epäluotettava happamista asioista.</t>
  </si>
  <si>
    <t>Raikou embodies the speed of lightning. The roars of this Pokémon send shock waves shuddering through the air and shake the ground as if lightning bolts had come crashing down.</t>
  </si>
  <si>
    <t>Volcanoes erupt when it barks. Un able to restrain its extreme power, it races headlong around the land.</t>
  </si>
  <si>
    <t>Se nuolee kaikkea ympärillään. Jos et puhdista kohtaa, josta se on nuollut sinua, saat ihottumaa!</t>
  </si>
  <si>
    <t>A POKéMON that races across the land. It is said that one is born every time a new volcano appears.</t>
  </si>
  <si>
    <t>https://pokeapi.co/api/v2/pokemon-species/94/</t>
  </si>
  <si>
    <t>This brawny POKéMON courses around the earth, spouting flames hotter than a volcano's magma.</t>
  </si>
  <si>
    <t>Se nuolee lian puhtaaksi kielellään. Kaikki mitä se nuolee, haisee aina jälkeenpäin, joten onko se todella puhdasta...kyseenalaista.</t>
  </si>
  <si>
    <t>ENTEI embodies the passion of magma. This POKéMON is thought to have been born in the eruption of a volcano. It sends up massive bursts of fire that utterly consume all that they touch.</t>
  </si>
  <si>
    <t>ENTEI embodies the passion of magma. It is thought to have been born in the eruption of a volcano. It blasts fire that consumes all that it touches.</t>
  </si>
  <si>
    <t>Sen kieli on lähes kaksi metriä pitkä ja liikkuu vapaammin kuin sen etujalat. Sen nuoleminen voi aiheuttaa halvaantumisen.</t>
  </si>
  <si>
    <t>Volcanoes erupt when it barks. Unable to restrain its extreme power, it races headlong around the land.</t>
  </si>
  <si>
    <t>It is said that when it roars, a volcano erupts somewhere around the globe.</t>
  </si>
  <si>
    <t>Jos tämän Pokémonin tahmeaa sylkeä joutuu päällesi etkä puhdista sitä pois, se aiheuttaa voimakasta kutinaa. Kutina ei myöskään katoa.</t>
  </si>
  <si>
    <t>Volcanoes erupt when it barks. Unable to contain its sheer power, it races headlong around the land.</t>
  </si>
  <si>
    <t>A Pokémon that races across the land. It is said that one is born every time a new volcano appears.</t>
  </si>
  <si>
    <t>Ötökkä-Pokémonit ovat Lickitungin tärkein ravinnonlähde. Tämä Pokémon lamauttaa saaliinsa pitkällä kielellään nuolemalla ja nielee sen sitten kokonaisena.</t>
  </si>
  <si>
    <t>Entei embodies the passion of magma. This Pokémon is thought to have been born in the eruption of a volcano. It sends up massive bursts of fire that utterly consume all that they touch.</t>
  </si>
  <si>
    <t>Käyttää pitkää kieltään taitavasti kuin se olisi käsivarsi. Pokémonin sitkeä sylki, kun se on kerätty ja keitetty, tuottaa vahvan ja erittäin hyödyllisen liiman.</t>
  </si>
  <si>
    <t>Koffing</t>
  </si>
  <si>
    <t>Said to be the reincarnation of north winds, it can instantly purify filthy, murky water.</t>
  </si>
  <si>
    <t>Myrkyllinen kaasu-Pokémon</t>
  </si>
  <si>
    <t>Koska se varastoi kehossaan useita erilaisia ​​myrkyllisiä kaasuja, se on altis räjähtämään varoittamatta.</t>
  </si>
  <si>
    <t>This POKéMON races across the land. It is said that north winds will somehow blow when ever it appears.</t>
  </si>
  <si>
    <t>This divine POKéMON blows around the world, always in search of a pure reservoir.</t>
  </si>
  <si>
    <t>SUICUNE embodies the compassion of a pure spring of water. It runs across the land with gracefulness. This POKéMON has the power to purify dirty water.</t>
  </si>
  <si>
    <t>SUICUNE embodies the compassion of a pure spring of water. It runs across the land with gliding elegance. It has the power to purify dirty water.</t>
  </si>
  <si>
    <t>This POKéMON races across the land. It is said that north winds will somehow blow whenever it appears.</t>
  </si>
  <si>
    <t>Kuumissa paikoissa sen sisäiset kaasut voivat laajentua ja räjähtää ilman varoitusta. Ole erittäin varovainen!</t>
  </si>
  <si>
    <t>It races around the world to purify fouled water. It dashes away with the north wind.</t>
  </si>
  <si>
    <t>Said to be the embodiment of north winds, it can instantly purify filthy, murky water.</t>
  </si>
  <si>
    <t>Sen ohut, kalvomainen ruumis on täynnä kaasuja, jotka aiheuttavat jatkuvaa nuhaa, yskää ja kyynelehtiviä silmiä.</t>
  </si>
  <si>
    <t>This Pokémon races across the land. It is said that north winds will somehow blow whenever it appears.</t>
  </si>
  <si>
    <t>Suicune embodies the compassion of a pure spring of water. It runs across the land with gracefulness. This Pokémon has the power to purify dirty water.</t>
  </si>
  <si>
    <t>It feeds on soil. After it has eaten a large mountain, it will fall asleep so it can grow.</t>
  </si>
  <si>
    <t>Sen sisältämät myrkylliset kaasut ovat hieman ilmaa kevyempiä, minkä vuoksi se pysyy hieman ilmassa.</t>
  </si>
  <si>
    <t>It is born deep underground. It can't emerge until it has entirely consumed the soil around it.</t>
  </si>
  <si>
    <t>Jos sitä pääsee tarpeeksi lähelle, kun siitä tulee myrkyllistä kaasua, sen sisällä pyörteilevän kaasun voi nähdä.</t>
  </si>
  <si>
    <t>Born deep under ground, this POKéMON becomes a pupa after eating enough dirt to make a mountain.</t>
  </si>
  <si>
    <t>LARVITAR is born deep under the ground. To come up to the surface, this POKéMON must eat its way through the soil above. Until it does so, LARVITAR cannot see its parent’s face.</t>
  </si>
  <si>
    <t>Jos KOFFING kiihtyy, se lisää sisäisten kaasujensa myrkyllisyyttä ja suihkuttaa niitä ulos kaikkialle kehoonsa. Tämä POKéMON voi myös täyttää pyöreän ruumiinsa liikaa ja sitten räjähtää.</t>
  </si>
  <si>
    <t>A LARVITAR is born deep under the ground. It must eat its way through the soil above and reach the surface for it to see its parents’ faces.</t>
  </si>
  <si>
    <t>KOFFING ilmentää myrkyllisiä aineita. Se sekoittaa myrkkyjä raa'an jätteen kanssa laukaisten kemiallisen reaktion, joka johtaa erittäin voimakkaaseen myrkkykaasuun. Mitä korkeampi lämpötila, sitä enemmän kaasua tämä POKéMON valmistaa.</t>
  </si>
  <si>
    <t>It is born deep underground. It can’t emerge until it has entirely consumed the soil around it.</t>
  </si>
  <si>
    <t>Lähelle pääseminen antaa sinulle mahdollisuuden tarkkailla KOFFINGin ohuen kalvon läpi sisällä pyöriviä myrkyllisiä kaasuja. Se räjähtää pienimmästäkin ärsykkeestä.</t>
  </si>
  <si>
    <t>A Pokémon that eats soil. Once it has eaten a large mountain, it goes to sleep so it can grow.</t>
  </si>
  <si>
    <t>It feeds on soil. After it has eaten a large mountain, it falls asleep so it can grow.</t>
  </si>
  <si>
    <t>Sen ohut, ilmapallomainen ruumis on täynnä hirvittävän myrkyllisiä kaasuja. Se haisee pahalle ollessaan lähellä.</t>
  </si>
  <si>
    <t>Born deep underground, it comes aboveground and becomes a pupa once it has finished eating the surrounding soil.</t>
  </si>
  <si>
    <t>Larvitar is born deep under the ground. To come up to the surface, this Pokémon must eat its way through the soil above. Until it does so, Larvitar cannot see its parents.</t>
  </si>
  <si>
    <t>Born underground, it eats its way through dirt to the surface, where its parents are. It doesn’t deal well with the bright light it finds there.</t>
  </si>
  <si>
    <t>Raised on nutrients it finds in the dirt, it eats roughly a mountain’s worth of dirt before it becomes a pupa.</t>
  </si>
  <si>
    <t>Its shell is as hard as sheet rock, and it is also very strong. Its THRASHING can topple a mountain.</t>
  </si>
  <si>
    <t>Sen kehossa olevat ilmaa kevyemmät kaasut pitävät sen ilmassa. Kaasut eivät ainoastaan ​​haise, vaan ne ovat myös räjähdysherkkiä.</t>
  </si>
  <si>
    <t>Even sealed in its shell, it can move freely. Hard and fast, it has out standing destruc tive power.</t>
  </si>
  <si>
    <t>It will not stay still, even while it's a pupa. It already has arms and legs under its solid shell.</t>
  </si>
  <si>
    <t>PUPITAR creates a gas inside its body that it compresses and forcefully ejects to propel itself like a jet. The body is very durable - it avoids damage even if it hits solid steel.</t>
  </si>
  <si>
    <t>A PUPITAR creates a gas inside its body that it ejects under compression to propel itself like a jet. Its body can withstand a collision with solid steel.</t>
  </si>
  <si>
    <t>Even sealed in its shell, it can move freely. Hard and fast, it has outstanding destructive power.</t>
  </si>
  <si>
    <t>Its body is as hard as bedrock. By venting pressurized gas, it can launch itself like a rocket.</t>
  </si>
  <si>
    <t>Its shell is as hard as sheet rock, and it is also very strong. Its thrashing can topple a mountain.</t>
  </si>
  <si>
    <t>This pupa flies around wildly by venting with great force the gas pressurized inside its body.</t>
  </si>
  <si>
    <t>Pupitar creates a gas inside its body that it compresses and forcefully ejects to propel itself like a jet. The body is very durable—it avoids damage even if it hits solid steel.</t>
  </si>
  <si>
    <t>This troublesome Pokémon can’t wait to evolve, so it relieves its stress by wildly propelling itself around using compressed gas.</t>
  </si>
  <si>
    <t>This dangerous pupa thrashes about. Its shell is as hard as bedrock, containing its gradually forming new body within.</t>
  </si>
  <si>
    <t>It will not stay still, even while it’s a pupa. It already has arms and legs under its solid shell.</t>
  </si>
  <si>
    <t>Sen sisältämät myrkylliset kaasut ovat hieman ilmaa kevyempiä, minkä vuoksi se leijuu lievästi ilmassa.</t>
  </si>
  <si>
    <t>Its body can't be harmed by any sort of attack, so it is very eager to make challenges against enemies.</t>
  </si>
  <si>
    <t>Extremely strong, it can change the landscape. It has an insolent nature that makes it not care about others.</t>
  </si>
  <si>
    <t>In just one of its mighty hands, it has the power to make the ground shake and moun tains crumble.</t>
  </si>
  <si>
    <t>TYRANITAR is so overwhelmingly powerful, it can bring down a whole mountain to make its nest. This POKéMON wanders about in mountains seeking new opponents to fight.</t>
  </si>
  <si>
    <t>A TYRANITAR is so overwhelmingly powerful, it can bring down a whole mountain to make its nest. It roams in mountains seeking new opponents to fight.</t>
  </si>
  <si>
    <t>Its body can’t be harmed by any sort of attack, so it is very eager to make challenges against enemies.</t>
  </si>
  <si>
    <t>If it rampages, it knocks down mountains and buries rivers. Maps must be redrawn afterward.</t>
  </si>
  <si>
    <t>Myrkyllistä kaasua pidätetään sen ohuen, ilmapallomaisen rungon sisällä, joten se voi aiheuttaa massiivisia räjähdyksiä.</t>
  </si>
  <si>
    <t>The quakes caused when it walks make even great mountains crumble and change the surrounding terrain.</t>
  </si>
  <si>
    <t>In just one of its mighty hands, it has the power to make the ground shake and mountains crumble.</t>
  </si>
  <si>
    <t>Tyranitar is so overwhelmingly powerful, it can bring down a whole mountain to make its nest. This Pokémon wanders about in mountains seeking new opponents to fight.</t>
  </si>
  <si>
    <t>It wanders through the mountains seeking opponents to fight. If it finds an opponent that’s not worthy, Tyranitar ignores it and wanders on.</t>
  </si>
  <si>
    <t>This Pokémon is a mobile disaster, leaving mountains crumbled and houses destroyed in its wake.</t>
  </si>
  <si>
    <t>It is said that it quietly spends its time deep at the bottom of the sea because its powers are too strong.</t>
  </si>
  <si>
    <t>It is said to be the guardian of the seas. It is rumored to have been seen on the night of a storm.</t>
  </si>
  <si>
    <t>It has an incred ible ability to calm raging sto rms. It is said that LUGIA appears when storms start.</t>
  </si>
  <si>
    <t>Jos Koffing kiihtyy, se lisää sisäisten kaasujensa myrkyllisyyttä ja suihkuttaa niitä ulos kaikkialle kehoonsa. Tämä Pokémon voi myös ylipaisuttaa pyöreää ruumistaan ​​ja sitten räjähtää.</t>
  </si>
  <si>
    <t>LUGIA’s wings pack devastating power - a light fluttering of its wings can blow apart regular houses. As a result, this POKéMON chooses to live out of sight deep under the sea.</t>
  </si>
  <si>
    <t>LUGIA is so powerful even a light fluttering of its wings can blow apart houses. As a result, it chooses to live out of sight deep under the sea.</t>
  </si>
  <si>
    <t>Koffing ilmentää myrkyllisiä aineita. Se sekoittaa myrkkyjä raa'an jätteen kanssa laukaisten kemiallisen reaktion, joka johtaa erittäin voimakkaaseen myrkkykaasuun. Mitä korkeampi lämpötila, sitä enemmän kaasua tämä Pokémon valmistaa.</t>
  </si>
  <si>
    <t>It sleeps in a deep-sea trench. If it flaps its wings, it is said to cause a 40-day storm.</t>
  </si>
  <si>
    <t>Lugia’s wings pack devastating power—a light fluttering of its wings can blow apart regular houses. As a result, this Pokémon chooses to live out of sight deep under the sea.</t>
  </si>
  <si>
    <t>Legends claim this POKéMON flies the world's skies con tinuously on its magnificent seven- colored wings.</t>
  </si>
  <si>
    <t>A legend says that its body glows in seven colors. A rainbow is said to form behind it when it flies.</t>
  </si>
  <si>
    <t>It will reveal itself before a pure-hearted trainer by shining its bright rain bow-colored wings.</t>
  </si>
  <si>
    <t>Sen ruumis on täynnä myrkyllistä kaasua. Se kelluu kaatopaikoille etsien raa'an, mätänevän jätteen höyryjä.</t>
  </si>
  <si>
    <t>HO-OH’s feathers glow in seven colors depending on the angle at which they are struck by light. These feathers are said to bring happiness to the bearers. This POKéMON is said to live at the foot of a rainbow.</t>
  </si>
  <si>
    <t>Its feathers--which glow in seven colors depending on the angle at which they are struck by light--are thought to bring joy. It is said to live at the foot of a rainbow.</t>
  </si>
  <si>
    <t>Se rakastaa saastunutta ilmaa. Jotkut väittävät, että koffingeja oli ennen Galarin alueella runsaammin kuin nyt.</t>
  </si>
  <si>
    <t>Legends claim this POKéMON flies the world’s skies continuously on its magnificent seven-colored wings.</t>
  </si>
  <si>
    <t>Weezing</t>
  </si>
  <si>
    <t>Its feathers are in seven colors. It is said that anyone seeing it is promised eternal happiness.</t>
  </si>
  <si>
    <t>https://pokeapi.co/api/v2/pokemon-species/95/</t>
  </si>
  <si>
    <t>Kun kahdenlaisia ​​myrkyllisiä kaasuja kohtaavat, kaksi KOFFINGIA voi sulautua yhteen VISUMISEKSI vuosien kuluessa.</t>
  </si>
  <si>
    <t>Legends claim this Pokémon flies the world’s skies continuously on its magnificent, seven-colored wings.</t>
  </si>
  <si>
    <t>It will reveal itself before a pure-hearted Trainer by shining its bright, rainbow-colored wings.</t>
  </si>
  <si>
    <t>Ho-Oh’s feathers glow in seven colors depending on the angle at which they are struck by light. These feathers are said to bring happiness to the bearers. This Pokémon is said to live at the foot of a rainbow.</t>
  </si>
  <si>
    <t>Se elää ja kasvaa imemällä itseensä pölyä, bakteereja ja myrkyllisiä kaasuja, joita on myrkyllisessä jätteessä ja roskissa.</t>
  </si>
  <si>
    <t>This POKéMON wan ders across time. Grass and trees flourish in the forests in which it has appeared.</t>
  </si>
  <si>
    <t>Jos toinen KOFFING-kaksosista täyttyy, toinen tyhjenee. Se sekoittaa jatkuvasti myrkyllisiä kaasujaan.</t>
  </si>
  <si>
    <t>When CELEBI disap pears deep in a forest, it is said to leave behind an egg it brought from the future.</t>
  </si>
  <si>
    <t>Revered as a guardian of the forest, CELEBI appears wherever beautiful forests exist.</t>
  </si>
  <si>
    <t>Huippuluokan hajuvesi valmistetaan sen sisäisistä myrkyllisistä kaasuista laimentamalla ne korkeimpaan mahdolliseen pitoisuuteen.</t>
  </si>
  <si>
    <t>This POKéMON came from the future by crossing over time. It is thought that so long as CELEBI appears, a bright and shining future awaits us.</t>
  </si>
  <si>
    <t>When CELEBI disappears deep in a forest, it is said to leave behind an egg it brought from the future.</t>
  </si>
  <si>
    <t>Kun se hengittää sisään myrkyllisiä kaasuja roskista, sen ruumis laajenee ja sen sisäosat haisevat paljon pahemmalta.</t>
  </si>
  <si>
    <t>This POKéMON wanders across time. Grass and trees flourish in the forests in which it has appeared.</t>
  </si>
  <si>
    <t>It has the power to travel across time, but it is said to appear only in peaceful times.</t>
  </si>
  <si>
    <t>WEEZING rakastaa mädäntyneen keittiöjätteen kaasuja. Tämä POKéMON löytää likaisen ja hoitamattoman talon ja tekee siitä kotinsa. Yöllä, kun talossa olevat ihmiset nukkuvat, se penkoo roskia.</t>
  </si>
  <si>
    <t>This Pokémon wanders across time. Grass and trees flourish in the forests in which it has appeared.</t>
  </si>
  <si>
    <t>WEEZING vuorotellen kutistaa ja paisuttaa kaksoisruumiitaan sekoittaen niiden sisällä myrkyllisiä kaasuja. Mitä enemmän kaasuja sekoitetaan, sitä voimakkaammiksi myrkyt tulevat. POKéMONista tulee myös mädäntyneempi.</t>
  </si>
  <si>
    <t>This Pokémon came from the future by crossing over time. It is thought that so long as Celebi appears, a bright and shining future awaits us.</t>
  </si>
  <si>
    <t>This Pokémon has the ability to move through time. Records describing it as a forest deity can be found from many different eras.</t>
  </si>
  <si>
    <t>Laimentamalla sen myrkyllisiä kaasuja erityisellä menetelmällä voidaan erottaa korkeimman luokan hajuvesi. VISUILLE roskista purkautuvat kaasut ovat lopullinen juhla.</t>
  </si>
  <si>
    <t>This Pokémon traveled through time to come from the future. It bolsters grass and trees with its own strength, and it can heal wounds, too.</t>
  </si>
  <si>
    <t>TREECKO has small hooks on the bottom of its feet that enable it to scale vertical walls. This POKéMON attacks by slamming foes with its thick tail.</t>
  </si>
  <si>
    <t>Hyvin harvoin äkillinen mutaatio voi johtaa kahden pienen KOFFING-kaksosen yhdistymiseen WEEZING-muodostelmana.</t>
  </si>
  <si>
    <t>TREECKO is cool, calm, and collected - it never panics under any situation. If a bigger foe were to glare at this POKéMON, it would glare right back without conceding an inch of ground.</t>
  </si>
  <si>
    <t>It makes its nest in a giant tree in the forest. It ferociously guards against anything nearing its territory. It is said to be the protector of the forest’s trees.</t>
  </si>
  <si>
    <t>Kun kahdenlaisia ​​myrkyllisiä kaasuja kohtaavat, kaksi KOFFINGIA voi sulautua VISUMISEKSI vuosien kuluessa.</t>
  </si>
  <si>
    <t>It quickly scales even vertical walls. It senses humidity with its tail to predict the next day’s weather.</t>
  </si>
  <si>
    <t>The soles of its feet are covered by countless tiny spikes, enabling it to walk on walls and ceilings.</t>
  </si>
  <si>
    <t>Se kasvaa syömällä roskista vapautuvia kaasuja. Vaikka se on hyvin harvinaista, siitä on löydetty kolmosia.</t>
  </si>
  <si>
    <t>Small hooks on the bottom of its feet catch on walls and ceilings. That is how it can hang from above.</t>
  </si>
  <si>
    <t>Treecko has small hooks on the bottom of its feet that enable it to scale vertical walls. This Pokémon attacks by slamming foes with its thick tail.</t>
  </si>
  <si>
    <t>Treecko is cool, calm, and collected—it never panics under any situation. If a bigger foe were to glare at this Pokémon, it would glare right back without conceding an inch of ground.</t>
  </si>
  <si>
    <t>The leaves growing out of GROVYLE’s body are convenient for camouflaging it from enemies in the forest. This POKéMON is a master at climbing trees in jungles.</t>
  </si>
  <si>
    <t>This POKéMON adeptly flies from branch to branch in trees. In a forest, no POKéMON can ever hope to catch a fleeing GROVYLE however fast they may be.</t>
  </si>
  <si>
    <t>Leaves grow out of this POKéMON’s body. They help obscure a GROVYLE from the eyes of its enemies while it is in a thickly overgrown forest.</t>
  </si>
  <si>
    <t>Its strongly developed thigh muscles give it astounding agility and jumping performance.</t>
  </si>
  <si>
    <t>It lives in dense jungles. While closing in on its prey, it leaps from branch to branch.</t>
  </si>
  <si>
    <t>It leaps from tree branch to tree branch quite swiftly. It shows astounding agility.</t>
  </si>
  <si>
    <t>The leaves growing out of Grovyle’s body are convenient for camouflaging it from enemies in the forest. This Pokémon is a master at climbing trees in jungles.</t>
  </si>
  <si>
    <t>This Pokémon adeptly flies from branch to branch in trees. In a forest, no Pokémon can ever hope to catch a fleeing Grovyle however fast they may be.</t>
  </si>
  <si>
    <t>The leaves growing on SCEPTILE’s body are very sharp edged. This POKéMON is very agile - it leaps all over the branches of trees and jumps on its foe from above or behind.</t>
  </si>
  <si>
    <t>SCEPTILE has seeds growing on its back. They are said to be bursting with nutrients that revitalize trees. This POKéMON raises the trees in a forest with loving care.</t>
  </si>
  <si>
    <t>In the jungle, its power is without equal. This POKéMON carefully grows trees and plants. It regulates its body temperature by basking in sunlight.</t>
  </si>
  <si>
    <t>The leaves on its forelegs are as sharp as swords. It agilely leaps about the branches of trees to strike.</t>
  </si>
  <si>
    <t>Roskien myrkyllisten höyryjen hengittäminen ja niiden sekoittaminen kehoonsa saa sen levittämään vielä pahempaa hajua.</t>
  </si>
  <si>
    <t>The leaves that grow on its arms can slice down thick trees. It is without peer in jungle combat.</t>
  </si>
  <si>
    <t>It agilely leaps about the jungle and uses the sharp leaves on its arms to strike its prey.</t>
  </si>
  <si>
    <t>The leaves growing on Sceptile’s body are very sharp edged. This Pokémon is very agile—it leaps all over the branches of trees and jumps on its foe from above or behind.</t>
  </si>
  <si>
    <t>Jos toinen kaksoiskoffingeista täyttyy, toinen tyhjenee. Se sekoittaa jatkuvasti myrkyllisiä kaasujaan.</t>
  </si>
  <si>
    <t>Sceptile has seeds growing on its back. They are said to be bursting with nutrients that revitalize trees. This Pokémon raises the trees in a forest with loving care.</t>
  </si>
  <si>
    <t>Hyvin harvoin äkillinen mutaatio voi johtaa kahden pienen Koffing-kaksosen yhdistymiseen Weezingiksi.</t>
  </si>
  <si>
    <t>TORCHIC sticks with its TRAINER, following behind with unsteady steps. This POKéMON breathes fire of over 1,800 degrees F, including fireballs that leave the foe scorched black.</t>
  </si>
  <si>
    <t>Weezing rakastaa mädäntyneen keittiöjätteen kaasuja. Tämä Pokémon löytää likaisen ja hoitamattoman talon ja tekee siitä kotinsa. Yöllä, kun talon asukkaat nukkuvat, se penkoo roskia.</t>
  </si>
  <si>
    <t>TORCHIC has a place inside its body where it keeps its flame. Give it a hug - it will be glowing with warmth. This POKéMON is covered all over by a fluffy coat of down.</t>
  </si>
  <si>
    <t>Pissaaminen vuorotellen kutistaa ja paisuttaa kaksoisruumiitaan sekoittaen sisällään myrkyllisiä kaasuja. Mitä enemmän kaasuja sekoittuu, sitä voimakkaammiksi myrkyt tulevat. Pokémonista tulee myös mädäntyneempi.</t>
  </si>
  <si>
    <t>If attacked, it strikes back by spitting balls of fire it forms in its stomach. A TORCHIC dislikes darkness because it can’t see its surroundings.</t>
  </si>
  <si>
    <t>It has a flame sac inside its belly that perpetually burns. It feels warm if it is hugged.</t>
  </si>
  <si>
    <t>Tämä Pokémon elää ja kasvaa imemällä itseensä roskissa olevaa myrkyllistä kaasua, pölyä ja bakteereja.</t>
  </si>
  <si>
    <t>A fire burns inside, so it feels very warm to hug. It launches fireballs of 1,800 degrees F.</t>
  </si>
  <si>
    <t>Inside its body is a place where it keeps a small flame. Hug it! It will be as warm as a hot-water bottle.</t>
  </si>
  <si>
    <t>Se sekoittaa kaasuja kahden ruumiinsa välillä. Kerrotaan, että näitä Pokémoneja nähtiin aikoinaan kaikkialla Galarin alueella.</t>
  </si>
  <si>
    <t>A fire burns inside, so it feels very warm to hug. It launches fireballs of 1,800 degrees Fahrenheit.</t>
  </si>
  <si>
    <t>Se ei pysty imemään ilmaa aivan yhtä hyvin kuin galarialainen Weezing, mutta sen tuottamat toksiinit ovat voimakkaampia kuin vastineensa.</t>
  </si>
  <si>
    <t>Torchic sticks with its Trainer, following behind with unsteady steps. This Pokémon breathes fire of over 1,800 degrees Fahrenheit, including fireballs that leave the foe scorched black.</t>
  </si>
  <si>
    <t>Rhyhorn</t>
  </si>
  <si>
    <t>Spike-Pokémon</t>
  </si>
  <si>
    <t>Torchic has a place inside its body where it keeps its flame. Give it a hug—it will be glowing with warmth. This Pokémon is covered all over by a fluffy coat of down.</t>
  </si>
  <si>
    <t>Sen massiiviset luut ovat tuhat kertaa kovempia kuin ihmisen luut. Se voi helposti lennättää perävaunun ilmaan.</t>
  </si>
  <si>
    <t>COMBUSKEN toughens up its legs and thighs by running through fields and mountains. This POKéMON’s legs possess both speed and power, enabling it to dole out ten kicks in one second.</t>
  </si>
  <si>
    <t>COMBUSKEN battles with the intensely hot flames it spews from its beak and with outstandingly destructive kicks. This POKéMON’s cry is very loud and distracting.</t>
  </si>
  <si>
    <t>Yhden radan ajattelutapaa noudattava POKéMON. Latauksen jälkeen se ei pysähdy ennen kuin nukahtaa.</t>
  </si>
  <si>
    <t>https://pokeapi.co/api/v2/pokemon-species/96/</t>
  </si>
  <si>
    <t>It lashes out with 10 kicks per second. Its strong fighting instinct compels it to keep up its offensive until the opponent gives up.</t>
  </si>
  <si>
    <t>Se on kömpelö neljän lyhyen jalkansa vuoksi. Se voi rynnätä ja juosta vain yhteen suuntaan.</t>
  </si>
  <si>
    <t>It boosts its concentration by emitting harsh cries. Its kicks have outstanding destructive power.</t>
  </si>
  <si>
    <t>Its kicking mastery lets it loose 10 kicks per second. It emits sharp cries to intimidate foes.</t>
  </si>
  <si>
    <t>During a battle, the hot flame in its body increases. Its kicks have outstanding destructive power.</t>
  </si>
  <si>
    <t>Se ei välitä, jos sen tiellä on jotain. Se vain rynnäköi ja tuhoaa kaikki esteet.</t>
  </si>
  <si>
    <t>Combusken toughens up its legs and thighs by running through fields and mountains. This Pokémon’s legs possess both speed and power, enabling it to dole out 10 kicks in one second.</t>
  </si>
  <si>
    <t>Combusken battles with the intensely hot flames it spews from its beak and with outstandingly destructive kicks. This Pokémon’s cry is very loud and distracting.</t>
  </si>
  <si>
    <t>Se muistaa vain yhden asian kerrallaan. Kun se alkaa kiirehtiä, se unohtaa miksi se aloitti.</t>
  </si>
  <si>
    <t>In battle, BLAZIKEN blows out intense flames from its wrists and attacks foes courageously. The stronger the foe, the more intensely this POKéMON’s wrists burn.</t>
  </si>
  <si>
    <t>BLAZIKEN has incredibly strong legs - it can easily clear a 30-story building in one leap. This POKéMON’s blazing punches leave its foes scorched and blackened.</t>
  </si>
  <si>
    <t>RHYHORN juoksee suoraa linjaa ja murskaa kaiken tielleen tulevan. Se ei välitä, vaikka se törmäisi päätä myöten teräslohkareeseen. Tämä POKéMON saattaa kuitenkin tuntea törmäyksestä jonkin verran kipua seuraavana päivänä.</t>
  </si>
  <si>
    <t>It learns martial arts that use punches and kicks. Every several years, its old feathers burn off, and new, supple feathers grow back in their place.</t>
  </si>
  <si>
    <t>RHYHORNin aivot ovat hyvin pienet. Ne ovat niin tiheät, että juostessaan se unohtaa, miksi se alun perin lähti juoksemaan. Se ilmeisesti muistaa joskus, jos se tuhoaa jonkin.</t>
  </si>
  <si>
    <t>When facing a tough foe, it looses flames from its wrists. Its powerful legs let it jump clear over buildings.</t>
  </si>
  <si>
    <t>Flames spout from its wrists, enveloping its knuckles. Its punches scorch its foes.</t>
  </si>
  <si>
    <t>It can clear a 30-story building in a leap. Its fiery punches scorch its foes.</t>
  </si>
  <si>
    <t>Kun se kerran lähtee juoksemaan, se ei pysähdy. Sen pienet aivot tekevät siitä niin tyhmän, ettei se muista, miksi se alun perin lähti juoksemaan.</t>
  </si>
  <si>
    <t>In battle, Blaziken blows out intense flames from its wrists and attacks foes courageously. The stronger the foe, the more intensely this Pokémon’s wrists burn.</t>
  </si>
  <si>
    <t>Blaziken has incredibly strong legs—it can easily clear a 30-story building in one leap. This Pokémon’s blazing punches leave its foes scorched and blackened.</t>
  </si>
  <si>
    <t>Vahva, mutta ei liian kirkas, tämä POKéMON voi rikkoa jopa pilvenpiirtäjän latautuvilla VÄLINEillään.</t>
  </si>
  <si>
    <t>The fin on MUDKIP’s head acts as highly sensitive radar. Using this fin to sense movements of water and air, this POKéMON can determine what is taking place around it without using its eyes.</t>
  </si>
  <si>
    <t>Sen massiiviset luut ovat 1000 kertaa kovempia kuin ihmisluut. Sen TALJA voi lennättää puoliperävaunun ilmaan.</t>
  </si>
  <si>
    <t>Sen ruumis on verhottu paksuun nahkaan, ja se kaataa rakennuksia. Valitettavasti se ei ole fiksu.</t>
  </si>
  <si>
    <t>In water, MUDKIP breathes using the gills on its cheeks. If it is faced with a tight situation in battle, this POKéMON will unleash its amazing power - it can crush rocks bigger than itself.</t>
  </si>
  <si>
    <t>On land, it can powerfully lift large boulders by planting its four feet and heaving. It sleeps by burying itself in soil at the water’s edge.</t>
  </si>
  <si>
    <t>Its large tail fin propels it through water with powerful acceleration. It is strong in spite of its size.</t>
  </si>
  <si>
    <t>Sen voimakkaat taklaukset voivat tuhota mitä tahansa. Se on kuitenkin liian hidasälyinen auttamaan ihmisiä työskentelyssä.</t>
  </si>
  <si>
    <t>To alert it, the fin on its head senses the flow of water. It has the strength to heft boulders.</t>
  </si>
  <si>
    <t>Its power can crush boulders. It rests by covering itself with mud at the bottom of a river.</t>
  </si>
  <si>
    <t>The fin on Mudkip’s head acts as highly sensitive radar. Using this fin to sense movements of water and air, this Pokémon can determine what is taking place around it without using its eyes.</t>
  </si>
  <si>
    <t>Se ei välitä, jos sen tiellä on mitään. Se vain rynnäköi ja tuhoaa kaikki esteet.</t>
  </si>
  <si>
    <t>In water, Mudkip breathes using the gills on its cheeks. If it is faced with a tight situation in battle, this Pokémon will unleash its amazing power—it can crush rocks bigger than itself.</t>
  </si>
  <si>
    <t>The surface of MARSHTOMP’s body is enveloped by a thin, sticky film that enables it to live on land. This POKéMON plays in mud on beaches when the ocean tide is low.</t>
  </si>
  <si>
    <t>MARSHTOMP is much faster at traveling through mud than it is at swimming. This POKéMON’s hindquarters exhibit obvious development, giving it the ability to walk on just its hind legs.</t>
  </si>
  <si>
    <t>Its toughened hind legs enable it to stand upright. Because it weakens if its skin dries out, it replenishes fluids by playing in mud.</t>
  </si>
  <si>
    <t>It is at its best when on muddy ground with poor footing. It quickly overwhelms foes struggling in mud.</t>
  </si>
  <si>
    <t>Its sturdy legs give it sure footing, even in mud. It burrows into dirt to sleep.</t>
  </si>
  <si>
    <t>Living on muddy ground that provides poor footing has made its legs sturdy.</t>
  </si>
  <si>
    <t>The surface of Marshtomp’s body is enveloped by a thin, sticky film that enables it to live on land. This Pokémon plays in mud on beaches when the ocean tide is low.</t>
  </si>
  <si>
    <t>Vahva, mutta ei liian kirkas, tämä Pokémon voi rikkoa jopa pilvenpiirtäjän rynnäkköväkeillään.</t>
  </si>
  <si>
    <t>Marshtomp is much faster at traveling through mud than it is at swimming. This Pokémon’s hindquarters exhibit obvious development, giving it the ability to walk on just its hind legs.</t>
  </si>
  <si>
    <t>SWAMPERT is very strong. It has enough power to easily drag a boulder weighing more than a ton. This POKéMON also has powerful vision that lets it see even in murky water.</t>
  </si>
  <si>
    <t>Rhyhorn juoksee suoraa linjaa ja murskaa kaiken tielleen tulevan. Se ei välitä, vaikka se törmäisi päätä myöten teräslohkareeseen. Tämä Pokémon saattaa kuitenkin tuntea törmäyksestä jonkin verran kipua seuraavana päivänä.</t>
  </si>
  <si>
    <t>SWAMPERT predicts storms by sensing subtle differences in the sounds of waves and tidal winds with its fins. If a storm is approaching, it piles up boulders to protect itself.</t>
  </si>
  <si>
    <t>If it senses the approach of a storm and a tidal wave, it protects its seaside nest by piling up boulders. It swims as fast as a jet ski.</t>
  </si>
  <si>
    <t>Rhyhornin aivot ovat hyvin pienet. Ne ovat niin tiheät, että juostessaan se unohtaa, miksi se alun perin lähti juoksemaan. Se ilmeisesti muistaa joskus, jos se tuhoaa jonkin.</t>
  </si>
  <si>
    <t>Its arms are rock-hard. With one swing, they can batter down its foe. It makes its nest on beautiful beaches.</t>
  </si>
  <si>
    <t>Pokémon, jolla on yhden radan ajattelutapa. Kun se latautuu, se ei lopeta juoksemista ennen kuin nukahtaa.</t>
  </si>
  <si>
    <t>It can swim while towing a large ship. It bashes down foes with a swing of its thick arms.</t>
  </si>
  <si>
    <t>Its arms are hard as rock. With one swing, it can break a boulder into pieces.</t>
  </si>
  <si>
    <t>Swampert is very strong. It has enough power to easily drag a boulder weighing more than a ton. This Pokémon also has powerful vision that lets it see even in murky water.</t>
  </si>
  <si>
    <t>Vahva, mutta ei liian kirkas, tämä Pokémon voi rikkoa jopa pilvenpiirtäjän rynnäkkövälineillään.</t>
  </si>
  <si>
    <t>Swampert predicts storms by sensing subtle differences in the sounds of waves and tidal winds with its fins. If a storm is approaching, it piles up boulders to protect itself.</t>
  </si>
  <si>
    <t>At first sight, POOCHYENA takes a bite at anything that moves. This POKéMON chases after prey until the victim becomes exhausted. However, it may turn tail if the prey strikes back.</t>
  </si>
  <si>
    <t>POOCHYENA is an omnivore - it will eat anything. A distinguishing feature is how large its fangs are compared to its body. This POKéMON tries to intimidate its foes by making the hair on its tail bristle out.</t>
  </si>
  <si>
    <t>Naurettavan vahva – kun se törmää vuoreen, vuori hajoaa. Mutta sen lyhyet jalat kamppailevat käännöksien kanssa, eikä se pysty pysähtymään, ellei se törmää johonkin.</t>
  </si>
  <si>
    <t>It savagely threatens foes with bared fangs. It chases after fleeing targets tenaciously. It turns tail and runs, however, if the foe strikes back.</t>
  </si>
  <si>
    <t>It has a very tenacious nature. Its acute sense of smell lets it chase a chosen prey without ever losing track.</t>
  </si>
  <si>
    <t>Rhydon</t>
  </si>
  <si>
    <t>Panssarin kaltaisen nahan suojaamana se pystyy elämään 3 600 asteen sulassa laavassa.</t>
  </si>
  <si>
    <t>A Pokémon with a persistent nature, it chases its chosen prey until the prey becomes exhausted.</t>
  </si>
  <si>
    <t>It chases its prey until the victim becomes exhausted. However, it turns tail if the prey strikes back.</t>
  </si>
  <si>
    <t>At first sight, Poochyena takes a bite at anything that moves. This Pokémon chases after prey until the victim becomes exhausted. However, it may turn tail if the prey strikes back.</t>
  </si>
  <si>
    <t>Kävelee takajaloillaan. Osoittaa älykkyyden merkkejä. Sen panssarin kaltainen nahka hylkii jopa sulaa laavaa.</t>
  </si>
  <si>
    <t>Poochyena is an omnivore—it will eat anything. A distinguishing feature is how large its fangs are compared to its body. This Pokémon tries to intimidate its foes by making the hair on its tail bristle out.</t>
  </si>
  <si>
    <t>MIGHTYENA gives obvious signals when it is preparing to attack. It starts to growl deeply and then flattens its body. This POKéMON will bite savagely with its sharply pointed fangs.</t>
  </si>
  <si>
    <t>Sen karu nahka suojaa sitä jopa laavan kuumuudelta. Nahka tekee siitä kuitenkin myös tunnottoman.</t>
  </si>
  <si>
    <t>MIGHTYENA travel and act as a pack in the wild. The memory of its life in the wild compels the POKéMON to obey only those TRAINERS that it recognizes to possess superior skill.</t>
  </si>
  <si>
    <t>https://pokeapi.co/api/v2/pokemon-species/97/</t>
  </si>
  <si>
    <t>In the wild, MIGHTYENA live in a pack. They never defy their leader’s orders. They defeat foes with perfectly coordinated teamwork.</t>
  </si>
  <si>
    <t>Sen aivot kehittyivät, kun se alkoi kävellä takajaloilla. Sen paksu nahka suojaa sitä jopa magmassa.</t>
  </si>
  <si>
    <t>It will always obey the commands of a skilled TRAINER. Its behavior arises from its living in packs in ancient times.</t>
  </si>
  <si>
    <t>It chases down prey in a pack. It will never disobey the commands of a skilled Trainer.</t>
  </si>
  <si>
    <t>Pyörittämällä kevyesti poramaista sarveaan se voi helposti rikkoa jopa raakatimantin.</t>
  </si>
  <si>
    <t>It chases down prey in a pack of around ten. They defeat foes with perfectly coordinated teamwork.</t>
  </si>
  <si>
    <t>It will always obey the commands of a skilled Trainer. Its behavior arises from its living in packs in ancient times.</t>
  </si>
  <si>
    <t>Mightyena gives obvious signals when it is preparing to attack. It starts to growl deeply and then flattens its body. This Pokémon will bite savagely with its sharply pointed fangs.</t>
  </si>
  <si>
    <t>RHYDONIN sarvi voi murskata jopa hiomattomat timantit. Yksi pyrstön isku voi kaataa rakennuksen. Tämän POKéMONin nahka on äärimmäisen kestävä. Edes suorat tykin osumat eivät jätä naarmua.</t>
  </si>
  <si>
    <t>Mightyena travel and act as a pack in the wild. The memory of its life in the wild compels the Pokémon to obey only those Trainers that it recognizes to possess superior skill.</t>
  </si>
  <si>
    <t>RHYDONilla on torvi, joka toimii porana. Sitä käytetään kivien ja lohkareiden tuhoamiseen. Tämä POKéMON törmää toisinaan magmapuroihin, mutta panssarin kaltainen nahka estää sitä tuntemasta kuumuutta.</t>
  </si>
  <si>
    <t>ZIGZAGOON restlessly wanders everywhere at all times. This POKéMON does so because it is very curious. It becomes interested in anything that it happens to see.</t>
  </si>
  <si>
    <t>The hair on ZIGZAGOON’s back is bristly. It rubs the hard back hair against trees to leave its territorial markings. This POKéMON may play dead to fool foes in battle.</t>
  </si>
  <si>
    <t>Rubbing its nose against the ground, it always wanders about back and forth in search of something. It is distinguished by the zigzag footprints it leaves.</t>
  </si>
  <si>
    <t>Sen porakoneen tavoin pyörivä sarvi tuhoaa korkeita rakennuksia yhdellä iskulla. Se seisoo takajaloillaan, ja sen aivot ovat hyvin kehittyneet.</t>
  </si>
  <si>
    <t>A POKéMON with abundant curiosity. It shows an interest in everything, so it always zigs and zags.</t>
  </si>
  <si>
    <t>It walks in zigzag fashion. It is good at finding items in the grass and even in the ground.</t>
  </si>
  <si>
    <t>It gets interested in everything, which is why it zigs and zags. It is good at finding items.</t>
  </si>
  <si>
    <t>Se alkaa kävellä takajaloillaan evoluution jälkeen. Se voi lävistää reikiä lohkareiden läpi sarvellaan.</t>
  </si>
  <si>
    <t>It walks in zigzag fashion. It’s good at finding items in the grass and even in the ground.</t>
  </si>
  <si>
    <t>A Pokémon with abundant curiosity. It shows an interest in everything, so it always zigzags.</t>
  </si>
  <si>
    <t>Zigzagoon restlessly wanders everywhere at all times. This Pokémon does so because it is very curious. It becomes interested in anything that it happens to see.</t>
  </si>
  <si>
    <t>Panssarin kaltaisen nahan suojaamana se pystyy elämään 3 600 Fahrenheit-asteen sulassa laavassa.</t>
  </si>
  <si>
    <t>The hair on Zigzagoon’s back is bristly. It rubs the hard back hair against trees to leave its territorial markings. This Pokémon may play dead to fool foes in battle.</t>
  </si>
  <si>
    <t>It marks its territory by rubbing its bristly fur on trees. This variety of Zigzagoon is friendlier and calmer than the kind native to Galar.</t>
  </si>
  <si>
    <t>Sen aivot kehittyivät sen jälkeen, kun se nousi takajaloilleen. Sen poran sarvi poraa tunneleita kiinteän kallion läpi.</t>
  </si>
  <si>
    <t>Zigzagoon that adapted to regions outside Galar acquired this appearance. If you’ve lost something, this Pokémon can likely find it.</t>
  </si>
  <si>
    <t>LINOONE always runs full speed and only in straight lines. If facing an obstacle, it makes a right-angle turn to evade it. This POKéMON is very challenged by gently curving roads.</t>
  </si>
  <si>
    <t>When hunting, LINOONE will make a beeline straight for the prey at a full run. While this POKéMON is capable of topping 60 mph, it has to come to a screeching halt before it can turn.</t>
  </si>
  <si>
    <t>It is exceedingly fast if it only has to run in a straight line. When it spots pond- dwelling prey underwater, it quickly leaps in and catches it with its sharp claws.</t>
  </si>
  <si>
    <t>Takajaloilleen seisominen vapautti sen etujalat ja teki siitä älykkäämmän. Se on kuitenkin hyvin hajamielinen.</t>
  </si>
  <si>
    <t>When running in a straight line, it can top 60 miles per hour. However, it has a tough time with curved roads.</t>
  </si>
  <si>
    <t>It charges prey at speeds over 60 mph. However, because it can only run straight, it often fails.</t>
  </si>
  <si>
    <t>When running in a straight line, it can easily top 60 miles an hour. It has a tough time with curved roads.</t>
  </si>
  <si>
    <t>Linoone always runs full speed and only in straight lines. If facing an obstacle, it makes a right-angle turn to evade it. This Pokémon is very challenged by gently curving roads.</t>
  </si>
  <si>
    <t>When hunting, Linoone will make a beeline straight for the prey at a full run. While this Pokémon is capable of topping 60 mph, it has to come to a screeching halt before it can turn.</t>
  </si>
  <si>
    <t>Its fur is strong and supple. Shaving brushes made with shed Linoone hairs are highly prized.</t>
  </si>
  <si>
    <t>It uses its explosive speed and razor-sharp claws to bring down prey. Running along winding paths is not its strong suit.</t>
  </si>
  <si>
    <t>Using the spikes on its rear end, WURMPLE peels the bark off trees and feeds on the sap that oozes out. This POKéMON’s feet are tipped with suction pads that allow it to cling to glass without slipping.</t>
  </si>
  <si>
    <t>Rhydonin sarvi voi murskata jopa hiomattomat timantit. Yksi pyyhkäisyn isku voi kaataa rakennuksen. Tämän Pokémonin nahka on äärimmäisen kestävä. Edes suorat tykin osumat eivät jätä naarmua.</t>
  </si>
  <si>
    <t>WURMPLE is targeted by SWELLOW as prey. This POKéMON will try to resist by pointing the spikes on its rear at the attacking predator. It will weaken the foe by leaking poison from the spikes.</t>
  </si>
  <si>
    <t>Rhydonilla on sarvi, joka toimii porana. Sitä käytetään kivien ja lohkareiden tuhoamiseen. Tämä Pokémon törmää toisinaan magmapuroihin, mutta panssarin kaltainen nahka estää sitä tuntemasta kuumuutta.</t>
  </si>
  <si>
    <t>It sticks to tree branches and eats leaves. The thread it spits from its mouth, which becomes gooey when it touches air, slows the movement of its foes.</t>
  </si>
  <si>
    <t>Sen aivot kehittyivät, kun se alkoi kävellä takajaloillaan. Sen panssarin kaltainen nahka hylkii jopa sulaa laavaa.</t>
  </si>
  <si>
    <t>It lives amidst tall grass and in forests. When attacked, it resists by pointing its venomous spikes at the foe.</t>
  </si>
  <si>
    <t>It loves to eat leaves. If it is attacked by a STARLY, it will defend itself with its spiked rear.</t>
  </si>
  <si>
    <t>It spits a white silk that turns sticky when it contacts air. It is used to immobilize foes.</t>
  </si>
  <si>
    <t>Pyörittää nopeasti sarveaan porautuakseen kallioperän läpi. Se kekselee vulkaanisilla alueilla, suojattuna laavan kuumuudelta kovan, panssarin kaltaisen nahkansa ansiosta.</t>
  </si>
  <si>
    <t>Chansey</t>
  </si>
  <si>
    <t>Harvinainen ja vaikeasti tavoitettava POKéMON, jonka sanotaan tuovan onnea niille, jotka onnistuvat saamaan sen.</t>
  </si>
  <si>
    <t>Often targeted by bird Pokémon, it desperately resists by releasing poison from its tail spikes.</t>
  </si>
  <si>
    <t>Lempeä ja hyväsydäminen POKéMON, joka jakaa ravitsevia muniaan, jos se näkee loukkaantuneen POKéMONin.</t>
  </si>
  <si>
    <t>It lives among the tall grass and in forests. It repels attacks by raising up the spikes on its rear.</t>
  </si>
  <si>
    <t>It loves to eat leaves. If it is attacked by a Starly, it will defend itself with its spiked rear.</t>
  </si>
  <si>
    <t>Se kävelee varovasti estääkseen munansa rikkoutumisen. Se on kuitenkin erittäin nopea karkaamaan.</t>
  </si>
  <si>
    <t>Using the spikes on its rear end, Wurmple peels the bark off trees and feeds on the sap that oozes out. This Pokémon’s feet are tipped with suction pads that allow it to cling to glass without slipping.</t>
  </si>
  <si>
    <t>Harvalukuisena ja vaikeasti pyydystettävänä sen sanotaan tuovan onnellisuutta kouluttajalle, joka sen pyydystää.</t>
  </si>
  <si>
    <t>Wurmple is targeted by Swellow as prey. This Pokémon will try to resist by pointing the spikes on its rear at the attacking predator. It will weaken the foe by leaking poison from the spikes.</t>
  </si>
  <si>
    <t>Ihmiset yrittävät pyydystää sitä sen erittäin ravitsevien munien vuoksi, mutta sitä löytyy harvoin.</t>
  </si>
  <si>
    <t>Likes sap and is abundant in the wild. Why it evolves into various different forms is unknown. One cannot tell from a Wurmple's appearance which form it will take when it evolves.</t>
  </si>
  <si>
    <t>CHANSEY munii päivittäin ravitsemuksellisesti erinomaisia ​​munia. Munat ovat niin herkullisia, että jopa ruokahalunsa menettäneet ihmiset ahmivat ne helposti ja innokkaasti.</t>
  </si>
  <si>
    <t>SILCOON tethers itself to a tree branch using silk to keep from falling. There, this POKéMON hangs quietly while it awaits evolution. It peers out of the silk cocoon through a small hole.</t>
  </si>
  <si>
    <t>SILCOON was thought to endure hunger and not consume anything before its evolution. However, it is now thought that this POKéMON slakes its thirst by drinking rainwater that collects on its silk.</t>
  </si>
  <si>
    <t>It prepares for evolution using the energy it stored while it was a WURMPLE. It keeps watch over the surroundings with its two eyes.</t>
  </si>
  <si>
    <t>CHANSEY munii ravitsemuksellisesti erinomaisia ​​munia joka päivä. Munat ovat niin herkullisia, että jopa ruokahalunsa menettäneet ihmiset ahmivat niitä innokkaasti.</t>
  </si>
  <si>
    <t>It conserves its energy by moving as little as possible. It awaits evolution while drinking only a little rainwater.</t>
  </si>
  <si>
    <t>It anchors itself by wrapping twigs with the silk from its body. It motionlessly awaits evolution.</t>
  </si>
  <si>
    <t>Se munii useita munia päivässä. Munat ovat ilmeisen ravinteikasta ja erittäin herkullista.</t>
  </si>
  <si>
    <t>It drinks dew that collects on its silk and waits for evolution. Its hard cocoon repels attacks.</t>
  </si>
  <si>
    <t>It wraps silk around the branches of a tree. It drinks rainwater on its silk while awaiting evolution.</t>
  </si>
  <si>
    <t>Having wrapped silk around the branches of a tree, it quiescently awaits evolution.</t>
  </si>
  <si>
    <t>Silcoon tethers itself to a tree branch using silk to keep from falling. There, this Pokémon hangs quietly while it awaits evolution. It peers out of the silk cocoon through a small hole.</t>
  </si>
  <si>
    <t>Silcoon was thought to endure hunger and not consume anything before its evolution. However, it is now thought that this Pokémon slakes its thirst by drinking rainwater that collects on its silk.</t>
  </si>
  <si>
    <t>Harvinainen ja vaikeasti tavoitettava POKéMON, jonka sanotaan tuovan onnea niille, jotka onnistuvat nappaamaan sellaisen.</t>
  </si>
  <si>
    <t>Wraps itself in thin strings of silk while it stores energy for evolution. It can't extend its limbs and its movement is slow, but its eyes keep a sharp lookout—Silcoon is always on guard.</t>
  </si>
  <si>
    <t>Sen sanotaan tuovan onnellisuutta. Myötätuntoisena se jakaa munansa loukkaantuneiden ihmisten kanssa.</t>
  </si>
  <si>
    <t>BEAUTIFLY’s favorite food is the sweet pollen of flowers. If you want to see this POKéMON, just leave a potted flower by an open window. BEAUTIFLY is sure to come looking for pollen.</t>
  </si>
  <si>
    <t>BEAUTIFLY has a long mouth like a coiled needle, which is very convenient for collecting pollen from flowers. This POKéMON rides the spring winds as it flits around gathering pollen.</t>
  </si>
  <si>
    <t>Se munii useita munia päivässä eikä jaa niitä niiden kanssa, joilla on pahuus sydämessään.</t>
  </si>
  <si>
    <t>Its colorfully patterned wings are its most prominent feature. It flies through flower-covered fields collecting pollen. It attacks ferociously when angered.</t>
  </si>
  <si>
    <t>Ystävällinen Pokémon, joka munii erittäin ravitsevia munia ja jakaa niitä loukkaantuneiden Pokémonien tai ihmisten kanssa.</t>
  </si>
  <si>
    <t>Despite its appearance, it has an aggressive nature. It attacks by jabbing with its long, thin mouth.</t>
  </si>
  <si>
    <t>It has an aggressive nature. It stabs prey with its long, narrow mouth to drain the prey’s fluids.</t>
  </si>
  <si>
    <t>When flower fields bloom, it flits around, collecting pollen. Despite its appearance, it is savage.</t>
  </si>
  <si>
    <t>Despite its looks, it is aggressive. It jabs with its long, thin mouth if disturbed while collecting pollen.</t>
  </si>
  <si>
    <t>Koska sitä on vähän ja se on vaikea pyydystää, sen sanotaan tuovan onnea kouluttajalle, joka sen pyydystää.</t>
  </si>
  <si>
    <t>Vibrantly patterned wings are its prominent feature. It sucks sweet flower nectar with its long mouth.</t>
  </si>
  <si>
    <t>Beautifly’s favorite food is the sweet pollen of flowers. If you want to see this Pokémon, just leave a potted flower by an open window. Beautifly is sure to come looking for pollen.</t>
  </si>
  <si>
    <t>Beautifly has a long mouth like a coiled needle, which is very convenient for collecting pollen from flowers. This Pokémon rides the spring winds as it flits around gathering pollen.</t>
  </si>
  <si>
    <t>Chansey munii ravitsemuksellisesti erinomaisia ​​munia päivittäin. Munat ovat niin herkullisia, että jopa ruokahalunsa menettäneet ihmiset ahmivat ne helposti ja innokkaasti.</t>
  </si>
  <si>
    <t>A colorful and incredibly beautiful but also greedy Pokémon. In an effort to keep its favorite food all to itself, it will chase away Combee as they try to gather nectar.</t>
  </si>
  <si>
    <t>Chanseyn munimat munat ovat ravinteikasta ja monien Pokémonien suosikkiruokaa.</t>
  </si>
  <si>
    <t>Nämä Pokémonit eivät ole ainoastaan ​​nopeita juoksijoita, vaan niitä on myös vähän, joten jokaisen, joka löytää sellaisen, täytyy olla todella onnekas.</t>
  </si>
  <si>
    <t>CASCOON makes its protective cocoon by wrapping its body entirely with a fine silk from its mouth. Once the silk goes around its body, it hardens. This POKéMON prepares for its evolution inside the cocoon.</t>
  </si>
  <si>
    <t>Näyttää siltä, ​​että muiden Pokémonien yritykset ottaa siltä herkullinen ja ravitseva muna saivat Chanseyn pakenemaan nopeammin.</t>
  </si>
  <si>
    <t>If it is attacked, CASCOON remains motionless however badly it may be hurt. It does so because if it were to move, its body would be weak upon evolution. This POKéMON will also not forget the pain it endured.</t>
  </si>
  <si>
    <t>https://pokeapi.co/api/v2/pokemon-species/98/</t>
  </si>
  <si>
    <t>Koska ihmiset ovat aiemmin kalastaneet liikaa niiden vatsassa olevia munia, Chanseyn populaatio on edelleen hyvin pieni.</t>
  </si>
  <si>
    <t>Lempeä ja hyväsydäminen Pokémon, joka jakaa ravitsevia muniaan, jos se näkee loukkaantuneen Pokémonin.</t>
  </si>
  <si>
    <t>To avoid detection by its enemies, it hides motionlessly beneath large leaves and in the gaps of branches. It also attaches dead leaves to its body for camouflage.</t>
  </si>
  <si>
    <t>Its body, which is made of soft silk, hardens over time. When cracks appear, evolution is near.</t>
  </si>
  <si>
    <t>Chanseyn kananmuna ei ole ainoastaan ​​herkullinen, vaan myös täynnä ravintoaineita. Sitä käytetään korkealaatuisena ruoanlaiton ainesosana.</t>
  </si>
  <si>
    <t>Tämä laji oli aikoinaan hyvin hidas. Suojellakseen muniaan muilta olennoilta nämä Pokémonit oppivat pakenemaan nopeasti.</t>
  </si>
  <si>
    <t>It is hot inside its cocoon. All the cells in its body create the energy for it to evolve.</t>
  </si>
  <si>
    <t>Tämä puhdassydäminen Pokémon jakaa munansa haavoittuneiden kanssa.</t>
  </si>
  <si>
    <t>Tangela</t>
  </si>
  <si>
    <t>Vine-Pokémon</t>
  </si>
  <si>
    <t>Encased within its tough cocoon, it endures attacks. It never forgets the appearance of its foes.</t>
  </si>
  <si>
    <t>Koko vartalo on peittynyt leveisiin, merilevän kaltaisiin köynnöksiin. Sen köynnökset tärisevät sen kävellessä.</t>
  </si>
  <si>
    <t>It never forgets any attack it endured while in the cocoon. After evolution, it seeks payback.</t>
  </si>
  <si>
    <t>Sen identiteettiä hämärtävät paksut, siniset köynnökset. Köynnösten sanotaan kasvavan jatkuvasti.</t>
  </si>
  <si>
    <t>It endures attacks with patience, because the more pain before evolution, the sturdier it becomes.</t>
  </si>
  <si>
    <t>Koko sen vartaloa peittävät köynnökset heiluvat jatkuvasti. Ne hermostuttavat tehokkaasti sen vihollisia.</t>
  </si>
  <si>
    <t>Cascoon makes its protective cocoon by wrapping its body entirely with a fine silk from its mouth. Once the silk goes around its body, it hardens. This Pokémon prepares for its evolution inside the cocoon.</t>
  </si>
  <si>
    <t>Se sotkee ​​köynnöksillään minkä tahansa liikkuvan esineen. Niiden hienovarainen tärinä on kutittavaa, jos jäät ansaan.</t>
  </si>
  <si>
    <t>If it is attacked, Cascoon remains motionless however badly it may be hurt. It does so because if it were to move, its body would be weak upon evolution. This Pokémon will also not forget the pain it endured.</t>
  </si>
  <si>
    <t>Taistelun aikana se liikuttaa jatkuvasti vartaloaan peittäviä köynnöksiä ärsyttääkseen vastustajaansa.</t>
  </si>
  <si>
    <t>The silk coating its body is thin but sufficiently strong. Cascoon's silk has a luster and texture superior to that of Silcoon's, and clothes made using Cascoon silk are regarded as top-notch.</t>
  </si>
  <si>
    <t>TANGELAn köynnökset katkeavat helposti, jos niihin tarttuu. Tämä tapahtuu kivuttomasti, minkä ansiosta se pääsee nopeasti pakoon. Kadonneet köynnökset korvataan uusilla jo seuraavana päivänä.</t>
  </si>
  <si>
    <t>DUSTOX is instinctively drawn to light. Swarms of this POKéMON are attracted by the bright lights of cities, where they wreak havoc by stripping the leaves off roadside trees for food.</t>
  </si>
  <si>
    <t>Sen köynnökset katkeavat helposti ja kivuttomasti, jos niihin tarttuu, jolloin se pääsee nopeasti pakoon. Kadonneet köynnökset korvautuvat uusilla versoilla jo seuraavana päivänä.</t>
  </si>
  <si>
    <t>When DUSTOX flaps its wings, a fine dust is scattered all over. This dust is actually a powerful poison that will even make a pro wrestler sick. This POKéMON searches for food using its antennae like radar.</t>
  </si>
  <si>
    <t>Siniset köynnökset kätkevät POKéMONien identiteetin takkuiseen massaan. Se kietoo sisäänsä kaiken lähelle tulevan.</t>
  </si>
  <si>
    <t>It is a nocturnal POKéMON that flies from fields and mountains to the attraction of streetlights at night. It looses highly toxic powder from its wings.</t>
  </si>
  <si>
    <t>Koko vartalo on leveiden, merilevän kaltaisten köynnösten peitossa. Köynnökset huojuvat sen kävellessä.</t>
  </si>
  <si>
    <t>It scatters horribly toxic dust when it senses danger. They tend to gather in the glow of streetlamps at night.</t>
  </si>
  <si>
    <t>Sitä ympäröivät siniset köynnökset. Kukaan ei ole nähnyt tämän köynnöskasvuston takana piilevää kasvoja.</t>
  </si>
  <si>
    <t>A nocturnal Pokémon. Drawn by streetlights, they messily eat the leaves of trees lining boulevards.</t>
  </si>
  <si>
    <t>It violently flutters its wings to scatter toxic dust when attacked. It becomes active after sunset.</t>
  </si>
  <si>
    <t>Toxic powder is scattered with each flap. At night, it is known to strip leaves off trees lining boulevards.</t>
  </si>
  <si>
    <t>Sen vartaloa ympäröivät siniset köynnökset ovat hienojen karvojen peitossa. Sen tiedetään olevan kutiava.</t>
  </si>
  <si>
    <t>It scatters its fine dust all over when it is attacked. It is a nocturnal Pokémon.</t>
  </si>
  <si>
    <t>Dustox is instinctively drawn to light. Swarms of this Pokémon are attracted by the bright lights of cities, where they wreak havoc by stripping the leaves off roadside trees for food.</t>
  </si>
  <si>
    <t>When Dustox flaps its wings, a fine dust is scattered all over. This dust is actually a powerful poison that will even make a pro wrestler sick. This Pokémon searches for food using its antennae like radar.</t>
  </si>
  <si>
    <t>Tends to be drawn to bonfires on dark nights. Difficult to chase away from settlements because of the way it scatters highly toxic scales.</t>
  </si>
  <si>
    <t>LOTAD live in ponds and lakes, where they float on the surface. It grows weak if its broad leaf dies. On rare occasions, this POKéMON travels on land in search of clean water.</t>
  </si>
  <si>
    <t>LOTAD is said to have dwelled on land before. However, this POKéMON is thought to have returned to water because the leaf on its head grew large and heavy. It now lives by floating atop the water.</t>
  </si>
  <si>
    <t>Monet kiemurtelevat köynnökset peittävät sitä, joten sen todellinen identiteetti jää tuntemattomaksi. Siniset köynnökset kasvavat koko sen elämän ajan.</t>
  </si>
  <si>
    <t>This POKéMON lives in ponds with clean water. It is known to ferry small POKéMON across ponds by carrying them on the broad leaf on its head.</t>
  </si>
  <si>
    <t>It searches about for clean water. If it does not drink water for too long, the leaf on its head wilts.</t>
  </si>
  <si>
    <t>It looks like an aquatic plant and serves as a ferry to Pokémon that can’t swim.</t>
  </si>
  <si>
    <t>Its leaf grew too large for it to live on land. That is how it began to live floating in the water.</t>
  </si>
  <si>
    <t>Lotad live in ponds and lakes, where they float on the surface. It grows weak if its broad leaf dies. On rare occasions, this Pokémon travels on land in search of clean water.</t>
  </si>
  <si>
    <t>Tangelan köynnökset katkeavat helposti, jos niihin tarttuu. Tämä tapahtuu kivuttomasti, minkä ansiosta se pääsee nopeasti pakoon. Kadonneet köynnökset korvautuvat uusilla jo seuraavana päivänä.</t>
  </si>
  <si>
    <t>Lotad is said to have dwelled on land before. However, this Pokémon is thought to have returned to water because the leaf on its head grew large and heavy. It now lives by floating atop the water.</t>
  </si>
  <si>
    <t>LOMBRE is nocturnal - it will get active after dusk. It is also a mischief-maker. When this POKéMON spots anglers, it tugs on their fishing lines from beneath the surface and enjoys their consternation.</t>
  </si>
  <si>
    <t>LOMBRE’s entire body is covered by a slippery, slimy film. It feels horribly unpleasant to be touched by this POKéMON’s hands. LOMBRE is often mistaken for a human child.</t>
  </si>
  <si>
    <t>Sen identiteettiä hämärtävät paksut siniset köynnökset. Köynnösten sanotaan kasvavan jatkuvasti.</t>
  </si>
  <si>
    <t>In the evening, it takes great delight in popping out of rivers and startling people. It feeds on aquatic moss that grows on rocks in the riverbed.</t>
  </si>
  <si>
    <t>It lives at the water’s edge where it is sunny. It sleeps on a bed of water grass by day and becomes active at night.</t>
  </si>
  <si>
    <t>Köynnösvyyhden alle piiloutuneena, vaikka köynnökset revittäisiin irti, tämän Pokémonin todellinen ulkonäkö on edelleen mysteeri.</t>
  </si>
  <si>
    <t>It has a mischievous spirit. If it spots an angler, it will tug on the fishing line to interfere.</t>
  </si>
  <si>
    <t>It is nocturnal and becomes active at nightfall. It feeds on aquatic mosses that grow in the riverbed.</t>
  </si>
  <si>
    <t>Tangela-köynnöksillä on tunnusomainen tuoksu. Joissakin Galarin osissa Tangela-köynnöksiä käytetään yrtteinä.</t>
  </si>
  <si>
    <t>It lives at the water’s edge where it is sunny. It sleeps on a bed of water-grass by day and becomes active at night.</t>
  </si>
  <si>
    <t>Se on kokonaan sinisten köynnösten peitossa, mikä estää vilauksen sen todellisesta luonteesta. Köynnökset antavat pureskeltaessa virkistävän tunteen – ne ovat hyödyllinen mauste.</t>
  </si>
  <si>
    <t>Lombre is nocturnal—it will get active after dusk. It is also a mischief maker. When this Pokémon spots anglers, it tugs on their fishing lines from beneath the surface and enjoys their consternation.</t>
  </si>
  <si>
    <t>Kangaskhan</t>
  </si>
  <si>
    <t>Vanhempi-Pokémon</t>
  </si>
  <si>
    <t>Vauva uskaltautuu harvoin ulos äitinsä suojapussista ennen kuin se on 3-vuotias.</t>
  </si>
  <si>
    <t>Lombre’s entire body is covered by a slippery, slimy film. It feels horribly unpleasant to be touched by this Pokémon’s hands. Lombre is often mistaken for a human child.</t>
  </si>
  <si>
    <t>LUDICOLO begins dancing as soon as it hears cheerful, festive music. This POKéMON is said to appear when it hears the singing of children on hiking outings.</t>
  </si>
  <si>
    <t>Upon hearing an upbeat and cheerful rhythm, the cells in LUDICOLO’s body become very energetic and active. Even in battle, this POKéMON will exhibit an amazing amount of power.</t>
  </si>
  <si>
    <t>Kasvattaa poikasensa vatsapussissaan. Ei pakene taistelua suojellakseen poikasiaan.</t>
  </si>
  <si>
    <t>When it hears festive music, all the cells in its body become stimulated, and it begins moving in rhythm. It does not quail even when it faces a tough opponent.</t>
  </si>
  <si>
    <t>Jos se on turvallista, poikanen nousee vatsapussista leikkimään. Aikuinen pitää poikasta tarkasti silmällä.</t>
  </si>
  <si>
    <t>The rhythm of bright, festive music activates LUDICOLO’s cells, making it more powerful.</t>
  </si>
  <si>
    <t>Suojellakseen poikasiaan se ei koskaan anna periksi taistelussa, olipa haavoittunut kuinka pahasti tahansa.</t>
  </si>
  <si>
    <t>If it hears festive music, all its muscles fill with energy. It can’t help breaking out into a dance.</t>
  </si>
  <si>
    <t>Välttääkseen vauvan murskaantumisen pussissaan, se nukkuu aina seisten.</t>
  </si>
  <si>
    <t>If it hears festive music, it begins moving in rhythm in order to amplify its power.</t>
  </si>
  <si>
    <t>The rhythm of bright, festive music activates Ludicolo’s cells, making it more powerful.</t>
  </si>
  <si>
    <t>Jos kohtaat yksin leikkivän KANGASKHANin, älä koskaan häiritse sitä tai yritä saada sitä kiinni. Vauva-POKéMONin vanhempi on varmasti lähistöllä, ja se raivostuu sinulle rajusti.</t>
  </si>
  <si>
    <t>Ludicolo begins dancing as soon as it hears cheerful, festive music. This Pokémon is said to appear when it hears the singing of children on hiking outings.</t>
  </si>
  <si>
    <t>Upon hearing an upbeat and cheerful rhythm, the cells in Ludicolo’s body become very energetic and active. Even in battle, this Pokémon will exhibit an amazing amount of power.</t>
  </si>
  <si>
    <t>SEEDOT attaches itself to a tree branch using the top of its head. It sucks moisture from the tree while hanging off the branch. The more water it drinks, the glossier this POKéMON’s body becomes.</t>
  </si>
  <si>
    <t>Jos kohtaat yksin leikkivän pienen KANGASKHANin, älä koskaan yritä saada sitä kiinni. Vauvan vanhempi on varmasti lähistöllä, ja vauva raivostuu rajusti.</t>
  </si>
  <si>
    <t>Naaras kasvattaa jälkeläisensä vatsallaan olevassa pussissa. Se on taitava hyökkäämään KOMEETTAISKUA käyttäen.</t>
  </si>
  <si>
    <t>SEEDOT looks exactly like an acorn when it is dangling from a tree branch. It startles other POKéMON by suddenly moving. This POKéMON polishes its body once a day using leaves.</t>
  </si>
  <si>
    <t>It hangs off branches and absorbs nutrients. When it finishes eating, its body becomes so heavy that it drops to the ground with a thump.</t>
  </si>
  <si>
    <t>Vauva uskaltautuu harvoin ulos äitinsä suojapussista ennen kuin se on kolmevuotias.</t>
  </si>
  <si>
    <t>If it remains still, it becomes impossible to distinguish from real nuts. It delights in surprising foraging PIDGEY.</t>
  </si>
  <si>
    <t>Se kasvattaa jälkeläisensä vatsapussissaan. Se päästää poikasen ulos leikkimään vain silloin, kun se tuntee olonsa turvalliseksi.</t>
  </si>
  <si>
    <t>When it dangles from a tree branch, it looks just like an acorn. It enjoys scaring other Pokémon.</t>
  </si>
  <si>
    <t>It attaches itself to a tree branch using the top of its head. Strong winds can sometimes make it fall.</t>
  </si>
  <si>
    <t>https://pokeapi.co/api/v2/pokemon-species/99/</t>
  </si>
  <si>
    <t>Seedot attaches itself to a tree branch using the top of its head. It sucks moisture from the tree while hanging off the branch. The more water it drinks, the glossier this Pokémon’s body becomes.</t>
  </si>
  <si>
    <t>Seedot looks exactly like an acorn when it is dangling from a tree branch. It startles other Pokémon by suddenly moving. This Pokémon polishes its body once a day using leaves.</t>
  </si>
  <si>
    <t>If it remains still, it looks just like a real nut. It delights in surprising foraging Pokémon.</t>
  </si>
  <si>
    <t>NUZLEAF live in densely overgrown forests. They occasionally venture out of the forest to startle people. This POKéMON dislikes having its long nose pinched.</t>
  </si>
  <si>
    <t>This POKéMON pulls out the leaf on its head and makes a flute with it. The sound of NUZLEAF’s flute strikes fear and uncertainty in the hearts of people lost in a forest.</t>
  </si>
  <si>
    <t>A forest-dwelling POKéMON that is skilled at climbing trees. Its long and pointed nose is its weak point. It loses power if the nose is gripped.</t>
  </si>
  <si>
    <t>They live in holes bored in large trees. The sound of NUZLEAF’s grass flute fills listeners with dread.</t>
  </si>
  <si>
    <t>Jos kohtaat yksin leikkivän Kangaskhanin, älä koskaan häiritse sitä tai yritä saada sitä kiinni. Vauvan Pokémonin vanhempi on varmasti lähistöllä, ja se raivostuu sinulle rajusti.</t>
  </si>
  <si>
    <t>The sound of its grass flute makes its listeners uneasy. It lives deep in forests.</t>
  </si>
  <si>
    <t>It lives deep in forests. With the leaf on its head, it makes a flute whose song makes listeners uneasy.</t>
  </si>
  <si>
    <t>Kangaskhanin äidinrakkaus on niin syvää, että se uhmaa kuolemaa suojellakseen jälkeläisiään.</t>
  </si>
  <si>
    <t>Nuzleaf live in densely overgrown forests. They occasionally venture out of the forest to startle people. This Pokémon dislikes having its long nose pinched.</t>
  </si>
  <si>
    <t>Lapsi pussukassa lähtee kotoa noin kolmen vuoden iän jälkeen. Se on ainoa kerta, kun äidin kuullaan itkevän villisti.</t>
  </si>
  <si>
    <t>This Pokémon pulls out the leaf on its head and makes a flute with it. The sound of Nuzleaf’s flute strikes fear and uncertainty in the hearts of people lost in a forest.</t>
  </si>
  <si>
    <t>They live in holes bored in large trees. The sound of Nuzleaf’s grass flute fills listeners with dread.</t>
  </si>
  <si>
    <t>Kangaskhan suojelee lastaan ​​pitämällä tätä pussukassa. Se ei anna minkäänlaista anteeksi niille, jotka vahingoittavat sen lasta, ja lyö heidät alas.</t>
  </si>
  <si>
    <t>SHIFTRY is a mysterious POKéMON that is said to live atop towering trees dating back over a thousand years. It creates terrific windstorms with the fans it holds.</t>
  </si>
  <si>
    <t>SHIFTRY’s large fans generate awesome gusts of wind at a speed close to 100 feet per second. The whipped-up wind blows anything away. This POKéMON chooses to live quietly deep in forests.</t>
  </si>
  <si>
    <t>It is said to arrive on chilly, wintry winds. Feared from long ago as the guardian of forests, this POKéMON lives in a deep forest where people do not venture.</t>
  </si>
  <si>
    <t>Sinun ei pitäisi mennä lähelle lasta, kun se leikkii emonsa pussin ulkopuolella. Äiti on aina lähellä ja pitää siitä huolta.</t>
  </si>
  <si>
    <t>A POKéMON that was feared as a forest guardian. It can read the foe’s mind and take preemptive action.</t>
  </si>
  <si>
    <t>By flapping its leafy fan, it can whip up gusts of 100 ft/second that can level houses.</t>
  </si>
  <si>
    <t>It lives quietly in the deep forest. It is said to create chilly winter winds with the fans it holds.</t>
  </si>
  <si>
    <t>A Pokémon that was feared as a forest guardian. It can read the foe’s mind and take preemptive action.</t>
  </si>
  <si>
    <t>By flapping its leafy fan, it can whip up gusts of 100 feet per second that can level houses.</t>
  </si>
  <si>
    <t>Shiftry is a mysterious Pokémon that is said to live atop towering trees dating back over a thousand years. It creates terrific windstorms with the fans it holds.</t>
  </si>
  <si>
    <t>Vaikka Kangaskhan kantaa vauvaansa pussissa vatsallaan, se on nopea jaloillaan. Se pelottelee vastustajiaan nopeilla iskuilla.</t>
  </si>
  <si>
    <t>Shiftry’s large fans generate awesome gusts of wind at a speed close to 100 feet per second. The whipped-up wind blows anything away. This Pokémon chooses to live quietly deep in forests.</t>
  </si>
  <si>
    <t>TAILLOW courageously stands its ground against foes, however strong they may be. This gutsy POKéMON will remain defiant even after a loss. On the other hand, it cries loudly if it becomes hungry.</t>
  </si>
  <si>
    <t>On olemassa tietoja kadonneesta ihmislapsesta, jonka lapseton Kangaskhan kasvatti.</t>
  </si>
  <si>
    <t>TAILLOW is young - it has only just left its nest. As a result, it sometimes becomes lonesome and cries at night. This POKéMON feeds on WURMPLE that live in forests.</t>
  </si>
  <si>
    <t>Horsea</t>
  </si>
  <si>
    <t>Lohikäärme-Pokémon</t>
  </si>
  <si>
    <t>Although it is small, it is very courageous. It will take on a larger SKARMORY on an equal footing. However, its will weakens if it becomes hungry.</t>
  </si>
  <si>
    <t>Tunnetaan siitä, että se ampuu alas lentäviä hyönteisiä tarkoilla mustesuihkuilla veden pinnalta.</t>
  </si>
  <si>
    <t>It dislikes cold seasons. They migrate to other lands in search of warmth, flying over 180 miles a day.</t>
  </si>
  <si>
    <t>It has a gutsy spirit that makes it bravely take on tough foes. It flies in search of warm climates.</t>
  </si>
  <si>
    <t>Jos se aistii vaaran, se suihkuttaa voimakkaasti vettä tai erityistä mustetta suustaan.</t>
  </si>
  <si>
    <t>When it gets cold, they migrate, flying over 180 miles a day. It hunts for tasty prey.</t>
  </si>
  <si>
    <t>Jos suurempi vihollinen hyökkää sitä vastaan, se ui nopeasti turvaan hallitsemalla taitavasti selkäeväänsä.</t>
  </si>
  <si>
    <t>Taillow courageously stands its ground against foes, however strong they may be. This gutsy Pokémon will remain defiant even after a loss. On the other hand, it cries loudly if it becomes hungry.</t>
  </si>
  <si>
    <t>Sen suuret, kehittyneet evät liikkuvat nopeasti, minkä ansiosta se voi uida taaksepäin katsomatta edelleen eteenpäin.</t>
  </si>
  <si>
    <t>Taillow is young—it has only just left its nest. As a result, it sometimes becomes lonesome and cries at night. This Pokémon feeds on Wurmple that live in forests.</t>
  </si>
  <si>
    <t>Turvallisessa paikassa ne voivat nähdä leikkisästi sotkemassa häntiään yhteen.</t>
  </si>
  <si>
    <t>SWELLOW flies high above our heads, making graceful arcs in the sky. This POKéMON dives at a steep angle as soon as it spots its prey. The hapless prey is tightly grasped by SWELLOW’s clawed feet, preventing escape.</t>
  </si>
  <si>
    <t>HEVONEN syö pieniä hyönteisiä ja sammalta kivistä. Jos merivirta muuttuu nopeaksi, tämä POKéMON ankkuroi itsensä kietomalla pyrstönsä kivien tai korallien ympärille estääkseen sen huuhtoutumisen pois.</t>
  </si>
  <si>
    <t>SWELLOW is very conscientious about the upkeep of its glossy wings. Once two SWELLOW are gathered, they diligently take care of cleaning each other’s wings.</t>
  </si>
  <si>
    <t>Jos HEVONEN aistii vaaran, se suihkuttaa refleksinomaisesti suustaan ​​tiheää mustaa mustetta ja yrittää paeta. Tämä POKéMON ui räpyttelemällä taitavasti eviään selässään.</t>
  </si>
  <si>
    <t>Heilauttamalla taitavasti selkäeviä puolelta toiselle se liikkuu mihin tahansa suuntaan katsoessaan eteenpäin. Se sylkee mustetta paetakseen, jos se aistii vaaran.</t>
  </si>
  <si>
    <t>A SWELLOW dives upon prey from far above. It never misses its targets. It takes to the skies in search of lands with a warm climate.</t>
  </si>
  <si>
    <t>Se pitää tasapainon yllä pyrstöllään, joka on kierretty kelan muotoon. Se voi suihkuttaa mustetta suustaan.</t>
  </si>
  <si>
    <t>If its two tail feathers are standing at attention, it is proof of good health. It soars elegantly in the sky.</t>
  </si>
  <si>
    <t>It circles the sky in search of prey. When it spots one, it dives steeply to catch the prey.</t>
  </si>
  <si>
    <t>Se tekee pesänsä korallien varjoon. Jos se aistii vaaran, se sylkee sameaa mustetta ja pakenee.</t>
  </si>
  <si>
    <t>It dives at a steep angle as soon as it spots its prey. It catches its prey with sharp claws.</t>
  </si>
  <si>
    <t>Swellow flies high above our heads, making graceful arcs in the sky. This Pokémon dives at a steep angle as soon as it spots its prey. The hapless prey is tightly grasped by Swellow’s clawed feet, preventing escape.</t>
  </si>
  <si>
    <t>Swellow is very conscientious about the upkeep of its glossy wings. Once two Swellow are gathered, they diligently take care of cleaning each other’s wings.</t>
  </si>
  <si>
    <t>WINGULL has the habit of carrying prey and valuables in its beak and hiding them in all sorts of locations. This POKéMON rides the winds and flies as if it were skating across the sky.</t>
  </si>
  <si>
    <t>Jos suurempi vihollinen hyökkää sitä vastaan, se ui nopeasti turvaan hallitsemalla taitavasti hyvin kehittynyttä selkäeväänsä.</t>
  </si>
  <si>
    <t>WINGULL rides updrafts rising from the sea by extending its long and narrow wings to glide. This POKéMON’s long beak is useful for catching prey.</t>
  </si>
  <si>
    <t>It makes its nest on a sheer cliff at the edge of the sea. It has trouble keeping its wings flapping in flight. Instead, it soars on updrafts.</t>
  </si>
  <si>
    <t>It rides upon ocean winds as if it were a glider. In the winter, it hides food around its nest.</t>
  </si>
  <si>
    <t>It makes its nest on steep sea cliffs. Riding updrafts, it soars to great heights.</t>
  </si>
  <si>
    <t>Catching sea winds with its long wings, it soars as if it were a glider. It folds its wings to rest.</t>
  </si>
  <si>
    <t>It soars high in the sky, riding on updrafts like a glider. It carries food tucked in its bill.</t>
  </si>
  <si>
    <t>https://pokeapi.co/api/v2/pokemon-species/100/</t>
  </si>
  <si>
    <t>It soars on updrafts without flapping its wings. It makes a nest on sheer cliffs at the sea’s edge.</t>
  </si>
  <si>
    <t>It makes its nest on sheer cliffs. Riding the sea breeze, it glides up into the expansive skies.</t>
  </si>
  <si>
    <t>Wingull has the habit of carrying prey and valuables in its beak and hiding them in all sorts of locations. This Pokémon rides the winds and flies as if it were skating across the sky.</t>
  </si>
  <si>
    <t>Wingull rides updrafts rising from the sea by extending its long and narrow wings to glide. This Pokémon’s long beak is useful for catching prey.</t>
  </si>
  <si>
    <t>Its hollow bones enhance its lightness. It spreads its wings to the wind and soars away into the sky.</t>
  </si>
  <si>
    <t>Horsea syö pieniä hyönteisiä ja sammalta kivistä. Jos merivirta muuttuu nopeaksi, tämä Pokémon ankkuroi itsensä kietomalla häntänsä kivien tai korallien ympärille estääkseen sen huuhtoutumisen pois.</t>
  </si>
  <si>
    <t>Fishermen keep an eye out for Wingull in the sky, because wherever they’re circling, the ocean is sure to be teeming with fish Pokémon.</t>
  </si>
  <si>
    <t>Jos Horsea aistii vaaran, se suihkuttaa refleksinomaisesti suustaan ​​tiheää mustaa mustetta ja yrittää paeta. Tämä Pokémon ui räpyttelemällä taitavasti evää selässään.</t>
  </si>
  <si>
    <t>With its long, thin wings, it catches updrafts and flies like a glider high up into the sky.</t>
  </si>
  <si>
    <t>It builds nests in cliffs by the sea. It circles the skies above the ocean looking for its favorite food—Wishiwashi.</t>
  </si>
  <si>
    <t>PELIPPER is a flying transporter that carries small POKéMON and eggs inside its massive bill. This POKéMON builds its nest on steep cliffs facing the sea.</t>
  </si>
  <si>
    <t>PELIPPER searches for food while in flight by skimming the wave tops. This POKéMON dips its large bill in the sea to scoop up food, then swallows everything in one big gulp.</t>
  </si>
  <si>
    <t>Horsea asuu valtamerissä, joissa on lempeät virtaukset. Jos tämä Pokémon on hyökkäyksen kohteena, se sylkee ulos pikimustaa mustetta ja pakenee.</t>
  </si>
  <si>
    <t>It skims the tops of waves as it flies. When it spots prey, it uses its large beak to scoop up the victim with water. It protects its eggs in its beak.</t>
  </si>
  <si>
    <t>Ne uivat tanssimaisin liikkein ja aiheuttavat pyörteitä. Horseat kilpailevat siitä, mikä niistä pystyy tuottamaan suurimman pyörteen.</t>
  </si>
  <si>
    <t>Seadra</t>
  </si>
  <si>
    <t>It is a flying transporter that carries small POKéMON in its beak. It bobs on the waves to rest its wings.</t>
  </si>
  <si>
    <t>Pystyy uimaan taaksepäin räpyttelemällä nopeasti siipimäisiä rintaeviään ja paksua pyrstöään.</t>
  </si>
  <si>
    <t>It dips its large bill in the sea, then scoops up numerous prey along with water.</t>
  </si>
  <si>
    <t>It acts as a delivery service by carrying small Pokémon in its bill. It bobs on the waves to rest.</t>
  </si>
  <si>
    <t>It is a messenger of the skies, carrying small Pokémon and eggs to safety in its bill.</t>
  </si>
  <si>
    <t>Takaevän koskettaminen aiheuttaa tunnottomuutta. Se kiinnittää pyrstönsä koralliin pysyäkseen paikallaan nukkuessaan.</t>
  </si>
  <si>
    <t>It protects its young in its beak. It bobs on waves, resting on them on days when the waters are calm.</t>
  </si>
  <si>
    <t>Skimming the water’s surface, it dips its large bill in the sea, scoops up food and water, and carries it.</t>
  </si>
  <si>
    <t>Sen solujen tutkimus paljasti geenin, jota ei löydy HORSEAsta. Siitä tuli kuuma puheenaihe.</t>
  </si>
  <si>
    <t>Pelipper is a flying transporter that carries small Pokémon and eggs inside its massive bill. This Pokémon builds its nest on steep cliffs facing the sea.</t>
  </si>
  <si>
    <t>Pelipper searches for food while in flight by skimming the wave tops. This Pokémon dips its large bill in the sea to scoop up food, then swallows everything in one big gulp.</t>
  </si>
  <si>
    <t>Sen evien kärjistä vuotaa myrkkyä. Sen evät ja luut ovat erittäin arvostettuja ainesosia yrttilääkkeissä.</t>
  </si>
  <si>
    <t>Its spacious beak is large enough for a small child to fit right inside.</t>
  </si>
  <si>
    <t>Gathering food is the work of young males. They store food in their capacious beaks and carry it back to others waiting in the nest.</t>
  </si>
  <si>
    <t>It places small Pokémon into its spacious beak and carries them around. No one knows where it’s taking them.</t>
  </si>
  <si>
    <t>Uros kasvattaa poikaset. Jos sitä lähestytään, se käyttää myrkyllisiä piikkejään torjuakseen tunkeilijan.</t>
  </si>
  <si>
    <t>It scoops up Wishiwashi in its huge beak and swallows them whole. It can devour more than 30 at one go!</t>
  </si>
  <si>
    <t>RALTS senses the emotions of people using the horns on its head. This POKéMON rarely appears before people. But when it does, it draws closer if it senses that the person has a positive disposition.</t>
  </si>
  <si>
    <t>SEADRA nukkuu luikerreltuaan korallien oksien välissä. Korallien keräämistä yrittävät joutuvat toisinaan tämän POKéMONin myrkkypiikkien pistoksiin, jos he eivät huomaa sitä.</t>
  </si>
  <si>
    <t>RALTS has the ability to sense the emotions of people. If its TRAINER is in a cheerful mood, this POKéMON grows cheerful and joyous in the same way.</t>
  </si>
  <si>
    <t>A RALTS has the power to sense the emotions of people and POKéMON with the horns on its head. It takes cover if it senses any hostility.</t>
  </si>
  <si>
    <t>It is highly attuned to the emotions of people and POKéMON. It hides if it senses hostility.</t>
  </si>
  <si>
    <t>SEADRA tuottaa pyörteitä pyörittämällä kehoaan. Pyörteet ovat niin voimakkaita, että ne nielevät jopa kalastusveneet. Tämä POKéMON heikentää saalistaan ​​näillä virtauksilla ja nielee sen sitten kokonaisena.</t>
  </si>
  <si>
    <t>It uses the horns on its head to sense human emotions. It is said to appear in front of cheerful people.</t>
  </si>
  <si>
    <t>If its horns capture the warm feelings of people or Pokémon, its body warms up slightly.</t>
  </si>
  <si>
    <t>Sen kehossa olevat myrkylliset piikit ovat erittäin arvostettuja ainesosia perinteisen yrttilääkkeen valmistuksessa. Se ei armahda mitään pesäänsä lähestyvää.</t>
  </si>
  <si>
    <t>The horns on its head provide a strong power that enables it to sense people’s emotions.</t>
  </si>
  <si>
    <t>It is highly attuned to the emotions of people and Pokémon. It hides if it senses hostility.</t>
  </si>
  <si>
    <t>Sen ruumis on täynnä teräviä piikkejä. Varomaton kosketus voi aiheuttaa piikkien takia pyörtymisen.</t>
  </si>
  <si>
    <t>Ralts senses the emotions of people using the horns on its head. This Pokémon rarely appears before people. But when it does, it draws closer if it senses that the person has a positive disposition.</t>
  </si>
  <si>
    <t>Se pystyy uimaan taaksepäin räpyttelemällä nopeasti siipimäisiä rintaeviään ja paksua pyrstöään.</t>
  </si>
  <si>
    <t>Ralts has the ability to sense the emotions of people. If its Trainer is in a cheerful mood, this Pokémon grows cheerful and joyous in the same way.</t>
  </si>
  <si>
    <t>Tends to prefer people with a chipper disposition to those who are gloomy, but it has shown no discrimination with regard to age or gender. Needs more research.</t>
  </si>
  <si>
    <t>Sen piikit tarjoavat suojaa. Sen evät ja luut ovat arvostettuja perinteisen lääketieteen ainesosia.</t>
  </si>
  <si>
    <t>It is said that a KIRLIA that is exposed to the positive emotions of its TRAINER grows beautiful. This POKéMON controls psychokinetic powers with its highly developed brain.</t>
  </si>
  <si>
    <t>KIRLIA uses the horns on its head to amplify its psychokinetic power. When the POKéMON uses its power, the air around it becomes distorted, creating mirages of nonexistent scenery.</t>
  </si>
  <si>
    <t>A KIRLIA has the psychic power to create a rip in the dimensions and see into the future. It is said to dance with pleasure on sunny mornings.</t>
  </si>
  <si>
    <t>The cheerful spirit of its TRAINER gives it energy for its psychokinetic power. It spins and dances when happy.</t>
  </si>
  <si>
    <t>https://pokeapi.co/api/v2/pokemon-species/101/</t>
  </si>
  <si>
    <t>It is highly perceptive of its Trainer’s feelings. It dances when it is feeling happy.</t>
  </si>
  <si>
    <t>If its Trainer becomes happy, it overflows with energy, dancing joyously while spinning about.</t>
  </si>
  <si>
    <t>It has a psychic power that enables it to distort the space around it and see into the future.</t>
  </si>
  <si>
    <t>The cheerful spirit of its Trainer gives it energy for its psychokinetic power. It spins and dances when happy.</t>
  </si>
  <si>
    <t>It is said that a Kirlia that is exposed to the positive emotions of its Trainer grows beautiful. This Pokémon controls psychokinetic powers with its highly developed brain.</t>
  </si>
  <si>
    <t>Kirlia uses the horns on its head to amplify its psychokinetic power. When the Pokémon uses its power, the air around it becomes distorted, creating mirages of nonexistent scenery.</t>
  </si>
  <si>
    <t>It resembles a maiden in appearance, but it wields strange powers to project visions of paradise. I suspect the crimson ornaments on its head are the key to its abilities.</t>
  </si>
  <si>
    <t>GARDEVOIR has the ability to read the future. If it senses impending danger to its TRAINER, this POKéMON is said to unleash its psychokinetic energy at full power.</t>
  </si>
  <si>
    <t>GARDEVOIR has the psychokinetic power to distort the dimensions and create a small black hole. This POKéMON will try to protect its TRAINER even at the risk of its own life.</t>
  </si>
  <si>
    <t>Seadra nukkuu luikerrettuaan korallien oksien välissä. Korallien keräämistä yrittävät joutuvat toisinaan tämän Pokémonin myrkkypiikkien pistoksiin, jos he eivät huomaa sitä.</t>
  </si>
  <si>
    <t>It apparently does not feel the pull of gravity because it supports itself with psychic power. It will give its life to protect its TRAINER.</t>
  </si>
  <si>
    <t>Seadra tuottaa pyörteitä pyörittämällä kehoaan. Pyörteet ovat niin voimakkaita, että ne voivat niellä jopa kalastusveneitä. Tämä Pokémon heikentää saalista näillä virtauksilla ja nielee sen sitten kokonaisena.</t>
  </si>
  <si>
    <t>It has the power to predict the future. Its power peaks when it is protecting its TRAINER.</t>
  </si>
  <si>
    <t>It will try to guard its trusted Trainer with its life. It has the ability to see the future.</t>
  </si>
  <si>
    <t>Urokset kasvattavat jälkeläiset. Seadran kasvattaessa poikasia niiden selässä olevat piikit erittävät paksumpaa ja vahvempaa myrkkyä.</t>
  </si>
  <si>
    <t>To protect its Trainer, it will expend all its psychic power to create a small black hole.</t>
  </si>
  <si>
    <t>Seadran suu on kapea, mutta sen imuteho on voimakas. Se voi hetkessä imeä sisäänsä ruokaa, joka on suuaukkoa suurempaa.</t>
  </si>
  <si>
    <t>It unleashes psychokinetic energy at full power when protecting a Trainer it has bonded closely with.</t>
  </si>
  <si>
    <t>Goldeen</t>
  </si>
  <si>
    <t>Kultakala-Pokémon</t>
  </si>
  <si>
    <t>Sen pyrstöevä liehuu kuin elegantti tanssiaismekko, mistä se on saanut lempinimen Vesikuningatar.</t>
  </si>
  <si>
    <t>It has the power to predict the future. Its power peaks when it is protecting its Trainer.</t>
  </si>
  <si>
    <t>Gardevoir has the ability to read the future. If it senses impending danger to its Trainer, this Pokémon is said to unleash its psychokinetic energy at full power.</t>
  </si>
  <si>
    <t>Kun niiden on aika munia, ne voidaan nähdä uimassa jokia ja putouksia pitkin suurina parvina.</t>
  </si>
  <si>
    <t>Gardevoir has the psychokinetic power to distort the dimensions and create a small black hole. This Pokémon will try to protect its Trainer even at the risk of its own life.</t>
  </si>
  <si>
    <t>Sen selkä-, rinta- ja pyrstöevät aaltoilevat tyylikkäästi vedessä. Siksi sitä kutsutaan vesitanssijaksi.</t>
  </si>
  <si>
    <t>Se on vahva uimari ja pystyy uimaan tauotta nopeissa puroissa tasaisella viiden solmun nopeudella.</t>
  </si>
  <si>
    <t>Kutuaikana ne uivat sulavasti vedessä etsien täydellistä kumppaniaan.</t>
  </si>
  <si>
    <t>GOLDEEN on erittäin kaunis POKéMON, jonka evät liehuvat elegantisti vedessä. Älä kuitenkaan laske varovaisuuttasi tämän POKéMONin lähellä - se voi törmätä sinuun voimakkaasti sarvellaan.</t>
  </si>
  <si>
    <t>It will dedicate itself to defending a master it has come to adore. Its pure white dress, reminiscent of those worn by ladies of nobility, is the dress of one who is willing to risk their life.</t>
  </si>
  <si>
    <t>GOLDEEN rakastaa uida vapaana joissa ja lammissa. Jos jokin näistä POKéMONeista laitetaan akvaarioon, se rikkoo paksuimmankin lasin yhdellä sarvensa iskulla ja pääsee karkuun.</t>
  </si>
  <si>
    <t>Keväällä GOLDEEN-parvia voi nähdä uimassa putouksissa ja joissa. Se aiheuttaa huimaavaa vahinkoa yhdellä ainoalla sarvellaan.</t>
  </si>
  <si>
    <t>From the tips of its feet, SURSKIT secretes an oil that enables it to walk on water as if it were skating. This POKéMON feeds on microscopic organisms in ponds and lakes.</t>
  </si>
  <si>
    <t>Sen selkä- ja rintaevät ovat vahvasti kehittyneet kuin lihakset. Se voi uida viiden solmun nopeudella.</t>
  </si>
  <si>
    <t>If SURSKIT senses danger, it secretes a thick, sugary syrup from the tip of its head. There are some POKéMON that love eating this syrup.</t>
  </si>
  <si>
    <t>Sen pyrstöevä liehuu kuin elegantti tanssiaispuku, mistä se on saanut lempinimen "Veden kuningatar".</t>
  </si>
  <si>
    <t>Se ui tyylikkäästi heiluttamalla pyrstöeväänsä kuin mekkoa. Sillä on kuningattaren ulkonäkö.</t>
  </si>
  <si>
    <t>They gather on puddles after evening downpours, gliding across the surface of water as if sliding. It secretes honey with a sweet aroma from its head.</t>
  </si>
  <si>
    <t>Se ui tasaisesti viiden solmun nopeudella. Jos se aistii vaaran, se iskee takaisin terävällä sarvellaan.</t>
  </si>
  <si>
    <t>They usually live on ponds, but after an evening shower, they may appear on puddles in towns.</t>
  </si>
  <si>
    <t>Vaikka se näyttää erittäin elegantilta uidessaan evät avattuna, se voi iskeä voimakkaasti sarvellaan.</t>
  </si>
  <si>
    <t>Sen selkä-, rinta- ja pyrstöevät huojuvat tyylikkäästi vedessä. Siksi sitä kutsutaan vesitanssijaksi.</t>
  </si>
  <si>
    <t>It appears as if it is skating on water. It draws prey with a sweet scent from the tip of its head.</t>
  </si>
  <si>
    <t>Se on vahva uimari ja pystyy uimaan tauotta nopeissa puroissa tasaisella viiden solmun tunnissa nopeudella.</t>
  </si>
  <si>
    <t>It secretes a thick, sweet-scented syrup from the tip of its head. It lives on weed-choked ponds.</t>
  </si>
  <si>
    <t>From the tips of its feet, Surskit secretes an oil that enables it to walk on water as if it were skating. This Pokémon feeds on microscopic organisms in ponds and lakes.</t>
  </si>
  <si>
    <t>If Surskit senses danger, it secretes a thick, sugary syrup from the tip of its head. There are some Pokémon that love eating this syrup.</t>
  </si>
  <si>
    <t>It moves as if skating on the surface of the water. It often fights with Dewpider over food.</t>
  </si>
  <si>
    <t>When this Pokémon senses danger, a sweet fluid oozes from the tip of its head. The taste of it disgusts bird Pokémon.</t>
  </si>
  <si>
    <t>If it’s in a pinch, it will secrete a sweet liquid from the tip of its head. Syrup made from gathering that liquid is tasty on bread.</t>
  </si>
  <si>
    <t>Goldene on erittäin kaunis Pokémon, jonka evät liehuvat elegantisti vedessä. Älä kuitenkaan laske varovaisuuttasi tämän Pokémonin lähellä – se voi iskeä sinuun voimakkaasti sarvellaan.</t>
  </si>
  <si>
    <t>It lives in ponds and marshes that feature lots of plant life. It often fights with Dewpider, whose habitat and diet are similar.</t>
  </si>
  <si>
    <t>Goldeneen rakastaa uida vapaana joissa ja lammissa. Jos jokin näistä Pokémoneista laitetaan akvaarioon, se rikkoo paksuimmankin lasin yhdellä sarvensa iskulla ja pääsee karkuun.</t>
  </si>
  <si>
    <t>Kun sää lämpenee, ne muodostavat parvia ja uivat ylävirtaan. Tämä näky toimii runollisena muistutuksena kevään saapumisesta.</t>
  </si>
  <si>
    <t>MASQUERAIN intimidates enemies with the eyelike patterns on its antennas. This POKéMON flaps its four wings to freely fly in any direction - even sideways and backwards - as if it were a helicopter.</t>
  </si>
  <si>
    <t>Sen sarven pituuden ja evien kauneuden lumoamia monet oudot kouluttajat kasvattavat vain Goldeneenia.</t>
  </si>
  <si>
    <t>MASQUERAIN’s antennas have eyelike patterns that usually give it an angry look. If the “eyes” are droopy and appear sad, it is said to be a sign that a heavy rainfall is on its way.</t>
  </si>
  <si>
    <t>Vaikka Goldenit tunnetaan upeista pyrstöevistään, ne ilmeisesti kilpailevat keskenään siitä, kenen sarvi on paksuin ja terävin.</t>
  </si>
  <si>
    <t>Tapa, jolla se ui lepattaen mekkoa muistuttavia eviään, on ansainnut sille nimen "veden prinsessa".</t>
  </si>
  <si>
    <t>It intimidates foes with the large eyelike patterns on its antennae. Because it can’t fly if its wings get wet, it shelters itself from rain under large trees and eaves.</t>
  </si>
  <si>
    <t>The antennae have distinctive patterns that look like eyes. When it rains, they grow heavy, making flight impossible.</t>
  </si>
  <si>
    <t>Its antennae have eye patterns on them. Its four wings enable it to hover and fly in any direction.</t>
  </si>
  <si>
    <t>Seaking</t>
  </si>
  <si>
    <t>It flaps its four wings to hover and fly freely in any direction-- to and fro and sideways.</t>
  </si>
  <si>
    <t>Syksyn kutuaikana ne voivat nähdä uiden täydellä teholla jokia ja puroja ylös.</t>
  </si>
  <si>
    <t>It flaps its four wings to hover and fly freely in any direction--to and fro and sideways.</t>
  </si>
  <si>
    <t>Uroksen tehtävänä on tehdä pesä kaivertamalla lohkareita puroon päässään olevan sarven avulla.</t>
  </si>
  <si>
    <t>Masquerain intimidates enemies with the eyelike patterns on its antennas. This Pokémon flaps its four wings to freely fly in any direction—even sideways and backwards—as if it were a helicopter.</t>
  </si>
  <si>
    <t>Kutuaikana SEAKEING-kaloja kerääntyy kaikkialta ja ne värjäävät joet kirkkaanpunaisiksi.</t>
  </si>
  <si>
    <t>Masquerain’s antennas have eyelike patterns that usually give it an angry look. If the “eyes” are droopy and appear sad, it is said to be a sign that a heavy rainfall is on its way.</t>
  </si>
  <si>
    <t>Sarvellaan se poraa reikiä joenpohjan lohkareisiin ja tekee pesiä estääkseen munien huuhtoutumisen pois.</t>
  </si>
  <si>
    <t>It intimidates enemies with the eye-like patterns on its antennae. Its four wings allow it to fly in any direction.</t>
  </si>
  <si>
    <t>Syksyn saapuessa koiraat partioivat pesiensä ympäristöä suojellakseen poikasiaan.</t>
  </si>
  <si>
    <t>https://pokeapi.co/api/v2/pokemon-species/102/</t>
  </si>
  <si>
    <t>Its wings and antennae don’t cope well with moisture. After a rain, it faces sunward to dry off.</t>
  </si>
  <si>
    <t>Masquerain intimidates enemies with the eyelike patterns of its eyespots. If that doesn’t work, it deftly makes its escape on its set of four wings.</t>
  </si>
  <si>
    <t>Syksyllä SEAKING-koiria voi nähdä esittämässä seurustelutansseja jokiuomissa naaraiden houkuttelemiseksi. Tänä vuodenaikana tämän POKéMONin ruumiinväritys on kauneimmillaan.</t>
  </si>
  <si>
    <t>Its thin, winglike antennae are highly absorbent. It waits out rainy days in tree hollows.</t>
  </si>
  <si>
    <t>SHROOMISH live in damp soil in the dark depths of forests. They are often found keeping still under fallen leaves. This POKéMON feeds on compost that is made up of fallen, rotted leaves.</t>
  </si>
  <si>
    <t>If SHROOMISH senses danger, it shakes its body and scatters spores from the top of its head. This POKéMON’s spores are so toxic, they make trees and weeds wilt.</t>
  </si>
  <si>
    <t>SEAKING on erittäin suojelevainen muniensa suhteen. Uros ja naaras partioivat vuorotellen pesänsä ja munien ympärillä. Näiden POKéMONien munien vartiointi kestää yli kuukauden.</t>
  </si>
  <si>
    <t>It loves to eat damp, composted soil in forests. If you enter a forest after a long rain, you can see many SHROOMISH feasting on composted soil.</t>
  </si>
  <si>
    <t>It prefers damp places. By day it remains still in the forest shade. It releases toxic powder from its head.</t>
  </si>
  <si>
    <t>Se tekee reikiä jokiuomien lohkareisiin. Tämä on nerokas innovaatio, joka estää sen munia joutumasta virran hyökkäyksen kohteeksi tai huuhtoutumasta pois.</t>
  </si>
  <si>
    <t>It spouts poison spores from the top of its head. These spores cause pain all over if inhaled.</t>
  </si>
  <si>
    <t>Sen päässä oleva sarvi on terävä kuin pora. Se poraa reiän lohkareeseen pesänsä rakentamiseksi.</t>
  </si>
  <si>
    <t>If it senses danger, it scatters spores from the top of its head to protect itself.</t>
  </si>
  <si>
    <t>Shroomish live in damp soil in the dark depths of forests. They are often found keeping still under fallen leaves. This Pokémon feeds on compost that is made up of fallen, rotted leaves.</t>
  </si>
  <si>
    <t>Syksyn kutuaikana ne voivat nähdä uivat voimakkaasti jokia ja puroja ylös.</t>
  </si>
  <si>
    <t>If Shroomish senses danger, it shakes its body and scatters spores from the top of its head. This Pokémon’s spores are so toxic, they make trees and weeds wilt.</t>
  </si>
  <si>
    <t>BRELOOM closes in on its foe with light and sprightly footwork, then throws punches with its stretchy arms. This POKéMON’s fighting technique puts boxers to shame.</t>
  </si>
  <si>
    <t>The seeds ringing BRELOOM’s tail are made of hardened toxic spores. It is horrible to eat the seeds. Just taking a bite of this POKéMON’s seed will cause your stomach to rumble.</t>
  </si>
  <si>
    <t>Se tekee pesänsä kovertamalla sarvellaan kiviä puroihin. Se puolustaa munia elämällään.</t>
  </si>
  <si>
    <t>It scatters spores from holes in the cap on its head. It loves warm and humid climates. It feeds on trees and plants in fields and forests.</t>
  </si>
  <si>
    <t>The seeds on its tail are made of toxic spores. It knocks out foes with quick, virtually invisible punches.</t>
  </si>
  <si>
    <t>Its short arms stretch when it throws punches. Its technique is equal to that of pro boxers.</t>
  </si>
  <si>
    <t>Suojellakseen perhettään se taistelee terävällä sarvellaan. Se asuu purojen onteloissa kallioissa.</t>
  </si>
  <si>
    <t>It scatters poisonous spores and throws powerful punches while its foe is hampered by inhaled spores.</t>
  </si>
  <si>
    <t>Breloom closes in on its foe with light and sprightly footwork, then throws punches with its stretchy arms. This Pokémon’s fighting technique puts boxers to shame.</t>
  </si>
  <si>
    <t>Syksyllä sen ruumis muuttuu rasvaisemmaksi valmistautuessaan kosimaan. Se saa kauniita värejä.</t>
  </si>
  <si>
    <t>The seeds ringing Breloom’s tail are made of hardened toxic spores. It is horrible to eat the seeds. Just taking a bite of this Pokémon’s seed will cause your stomach to rumble.</t>
  </si>
  <si>
    <t>Kutuaikana SEA-kaloja kerääntyy kaikkialta, mikä saa joet näyttämään kirkkaan punaisilta.</t>
  </si>
  <si>
    <t>SLAKOTH lolls around for over twenty hours every day. Because it moves so little, it does not need much food. This POKéMON’s sole daily meal consists of just three leaves.</t>
  </si>
  <si>
    <t>SLAKOTH’s heart beats just once a minute. Whatever happens, it is content to loaf around motionless. It is rare to see this POKéMON in motion.</t>
  </si>
  <si>
    <t>It sleeps virtually all day and night long. It doesn’t change its nest its entire life, but it sometimes travels great distances by swimming in rivers.</t>
  </si>
  <si>
    <t>It sleeps for 20 hours every day. Making drowsy those that see it is one of its abilities.</t>
  </si>
  <si>
    <t>It spends nearly all its time in a day sprawled out. Just seeing it makes one drowsy.</t>
  </si>
  <si>
    <t>The way SLAKOTH lolls around makes anyone who watches it feel like doing the same.</t>
  </si>
  <si>
    <t>If it eats just three leaves in a day, it is satisfied. Other than that, it sleeps for 20 hours a day.</t>
  </si>
  <si>
    <t>The way Slakoth lolls around makes anyone who watches it feel like doing the same.</t>
  </si>
  <si>
    <t>Slakoth lolls around for over 20 hours every day. Because it moves so little, it does not need much food. This Pokémon’s sole daily meal consists of just three leaves.</t>
  </si>
  <si>
    <t>Syksyllä Seaking-urokset esittävät seurustelutansseja jokiuomissa naaraiden houkuttelemiseksi. Tänä vuodenaikana tämän Pokémonin ruumiinväritys on kauneimmillaan.</t>
  </si>
  <si>
    <t>Slakoth’s heart beats just once a minute. Whatever happens, it is content to loaf around motionless. It is rare to see this Pokémon in motion.</t>
  </si>
  <si>
    <t>VIGOROTH is always itching and agitated to go on a wild rampage. It simply can’t tolerate sitting still for even a minute. This POKéMON’s stress level rises if it can’t be moving constantly.</t>
  </si>
  <si>
    <t>Seaking on erittäin suojelevainen muniensa suhteen. Uros ja naaras partioivat vuorotellen pesänsä ja munien ympärillä. Näiden Pokémonien munien vartiointi kestää yli kuukauden.</t>
  </si>
  <si>
    <t>VIGOROTH is simply incapable of remaining still. Even when it tries to sleep, the blood in its veins grows agitated, compelling this POKéMON to run wild throughout the jungle before it can settle down.</t>
  </si>
  <si>
    <t>It can’t keep still because its blood boils with energy. It runs through the fields and mountains all day to calm itself. If it doesn’t, it can’t sleep at night.</t>
  </si>
  <si>
    <t>Kun sää kylmenee, koko sen ruumis punastuu syvän punaiseksi. Tämä näky toimii runollisena muistutuksena syksyn saapumisesta.</t>
  </si>
  <si>
    <t>It is always hungry because it won’t stop rampaging. Even while it is eating, it can’t keep still.</t>
  </si>
  <si>
    <t>Its heart beats at a tenfold tempo, so it cannot sit still for even a moment.</t>
  </si>
  <si>
    <t>Seakingista hulluna olevat kouluttajat jakautuvat torviharrastajiin ja evien harrastajiin. Nämä kaksi ryhmää eivät tule hyvin toimeen keskenään.</t>
  </si>
  <si>
    <t>Its stress level rises if it cannot keep moving constantly. Too much stress makes it feel sick.</t>
  </si>
  <si>
    <t>Its heartbeat is fast and its blood so agitated that it can’t sit still for one second.</t>
  </si>
  <si>
    <t>Vigoroth is always itching and agitated to go on a wild rampage. It simply can’t tolerate sitting still for even a minute. This Pokémon’s stress level rises if it can’t be moving constantly.</t>
  </si>
  <si>
    <t>Sen sarvi pyörii kuin pora ja kovertaa tasaisesti kiviä – jopa kovempia. Koiraan väritys on eloisampi.</t>
  </si>
  <si>
    <t>Vigoroth is simply incapable of remaining still. Even when it tries to sleep, the blood in its veins grows agitated, compelling this Pokémon to run wild throughout the jungle before it can settle down.</t>
  </si>
  <si>
    <t>SLAKING spends all day lying down and lolling about. It eats grass growing within its reach. If it eats all the grass it can reach, this POKéMON reluctantly moves to another spot.</t>
  </si>
  <si>
    <t>Wherever SLAKING live, rings of over a yard in diameter appear in grassy fields. They are made by the POKéMON as it eats all the grass within reach while lying prone on the ground.</t>
  </si>
  <si>
    <t>Houkutellakseen naaraita koiraat tanssivat joen pohjassa. Naaraat kerääntyvät sen koiraan ympärille, joka tanssii sulavimmin.</t>
  </si>
  <si>
    <t>Hordes of SLAKING gather around trees when fruits come into season. They wait around patiently for ripened fruits to fall out of the trees.</t>
  </si>
  <si>
    <t>It is the world’s most slothful POKéMON. However, it can exert horrifying power by releasing pent-up energy all at once.</t>
  </si>
  <si>
    <t>Koiran tehtävänä on tehdä pesä kaivertamalla lohkareita puroon päässään olevan sarven avulla.</t>
  </si>
  <si>
    <t>The world’s laziest Pokémon. When it is lounging, it is actually saving energy for striking back.</t>
  </si>
  <si>
    <t>The world’s laziest Pokémon. It moves to another spot when there’s no food left within its reach.</t>
  </si>
  <si>
    <t>This Pokémon lives lying on its side. It only rolls over and moves when there is no more grass to eat.</t>
  </si>
  <si>
    <t>It is the world’s most slothful Pokémon. However, it can exert horrifying power by releasing pent-up energy all at once.</t>
  </si>
  <si>
    <t>Staryu</t>
  </si>
  <si>
    <t>Tähdenmuotoinen Pokémon</t>
  </si>
  <si>
    <t>Arvoituksellinen POKéMON, joka pystyy vaivattomasti regeneroimaan minkä tahansa taistelussa menettämänsä raajan.</t>
  </si>
  <si>
    <t>Slaking spends all day lying down and lolling about. It eats grass growing within its reach. If it eats all the grass it can reach, this Pokémon reluctantly moves to another spot.</t>
  </si>
  <si>
    <t>Wherever Slaking live, rings of over a yard in diameter appear in grassy fields. They are made by the Pokémon as it eats all the grass within reach while lying prone on the ground.</t>
  </si>
  <si>
    <t>Niin kauan kuin keskiosa on vahingoittumaton, se voi kasvaa takaisin kokonaan, vaikka se pilkottaisiin palasiksi.</t>
  </si>
  <si>
    <t>NINCADA lives underground for many years in complete darkness. This POKéMON absorbs nutrients from the roots of trees. It stays motionless as it waits for evolution.</t>
  </si>
  <si>
    <t>Yöllä sen kehon keskiosa lepattaa hitaasti samalla rytmillä kuin ihmisen sydämenlyönti.</t>
  </si>
  <si>
    <t>NINCADA lives underground. It uses its sharp claws to carve the roots of trees and absorb moisture and nutrients. This POKéMON can’t withstand bright sunlight so avoids it.</t>
  </si>
  <si>
    <t>Vaikka sen runko repeytyisi, se voi uusiutua niin kauan kuin hehkuva keskusydin pysyy ehjänä.</t>
  </si>
  <si>
    <t>It makes its nest at the roots of a mighty tree. Using its whiskerlike antennae, it probes its surroundings in the pitch-black darkness of soil.</t>
  </si>
  <si>
    <t>Kun tähdet tuikkivat yöllä, se kelluu ylös merenpohjasta ja sen kehon keskiosa välkkyy.</t>
  </si>
  <si>
    <t>Because it lived almost entirely underground, it is nearly blind. It uses its antennae instead.</t>
  </si>
  <si>
    <t>It grows underground, sensing its surroundings using antennae instead of its virtually blind eyes.</t>
  </si>
  <si>
    <t>STARYUn keskiosassa on elin nimeltä ydin, joka hohtaa kirkkaan punaisena. Jos menet rannalle loppukesästä, näiden POKéMONien hohtavat ytimet näyttävät taivaan tähdiltä.</t>
  </si>
  <si>
    <t>It can sometimes live underground for more than 10 years. It absorbs nutrients from the roots of trees.</t>
  </si>
  <si>
    <t>STARYU ilmeisesti kommunikoi yötaivaan tähtien kanssa väläyttämällä punaisen ytimen ruumiinsa keskellä. Jos osia sen ruumiista repeytyy, tämä POKéMON yksinkertaisesti luo puuttuvat osat ja raajat.</t>
  </si>
  <si>
    <t>Nincada lives underground for many years in complete darkness. This Pokémon absorbs nutrients from the roots of trees. It stays motionless as it waits for evolution.</t>
  </si>
  <si>
    <t>Se kerääntyy muiden joukkoon yöllä ja saa punaisen ytimensä hehkumaan tuikkien tähtien valossa. Se voi luoda uusia raajoja, jos ne irrotetaan sen kehosta.</t>
  </si>
  <si>
    <t>Se esiintyy suurina määrinä merenrannoilla. Yöllä sen ydin välkkyy punaisena valona.</t>
  </si>
  <si>
    <t>Nincada lives underground. It uses its sharp claws to carve the roots of trees and absorb moisture and nutrients. This Pokémon can’t withstand bright sunlight so avoids it.</t>
  </si>
  <si>
    <t>NINJASK moves around at such a high speed that it cannot be seen, even while its crying can be clearly heard. For that reason, this POKéMON was long believed to be invisible.</t>
  </si>
  <si>
    <t>Jos sen runko repeytyy, se voi kasvaa takaisin, jos punainen ydin on jäljellä. Ydin välähtää keskiyöllä.</t>
  </si>
  <si>
    <t>If NINJASK is not trained properly, it will refuse to obey the TRAINER and cry loudly continuously. Because of this quality, this POKéMON is said to be one that puts the TRAINER’s abilities to the test.</t>
  </si>
  <si>
    <t>Because it darts about vigorously at high speed, it is very difficult to see. Hearing its distinctive cries for too long induces a headache.</t>
  </si>
  <si>
    <t>This POKéMON is so quick, it is said to be able to avoid any attack. It loves to feed on tree sap.</t>
  </si>
  <si>
    <t>Vaikka sen runko repeytyisi, se voi uudistua niin kauan kuin hehkuva keskusydin pysyy ehjänä.</t>
  </si>
  <si>
    <t>Because it moves so quickly, it sometimes becomes unseeable. It congregates around tree sap.</t>
  </si>
  <si>
    <t>Its cry leaves a lasting headache if heard for too long. It moves so quickly that it is almost invisible.</t>
  </si>
  <si>
    <t>Ninjask moves around at such a high speed that it cannot be seen, even while its crying can be clearly heard. For that reason, this Pokémon was long believed to be invisible.</t>
  </si>
  <si>
    <t>Niin kauan kuin sen punainen ydin on jäljellä, se voi uudistaa kehonsa välittömästi, vaikka se repeytyisi kappaleiksi.</t>
  </si>
  <si>
    <t>If Ninjask is not trained properly, it will refuse to obey the Trainer and cry loudly continuously. Because of this quality, this Pokémon is said to be one that puts the Trainer’s abilities to the test.</t>
  </si>
  <si>
    <t>This Pokémon is so quick, it is said to be able to avoid any attack. It loves to feed on tree sap.</t>
  </si>
  <si>
    <t>SHEDINJA’s hard body doesn’t move - not even a twitch. In fact, its body appears to be merely a hollow shell. It is believed that this POKéMON will steal the spirit of anyone peering into its hollow body from its back.</t>
  </si>
  <si>
    <t>Staryun keskiosassa on elin nimeltä ydin, joka hohtaa kirkkaan punaisena. Jos menet rannalle loppukesästä, näiden Pokémonien hohtavat ytimet näyttävät taivaan tähdiltä.</t>
  </si>
  <si>
    <t>SHEDINJA is a peculiar POKéMON. It seems to appear unsought in a POKé BALL after a NINCADA evolves. This bizarre POKéMON is entirely immobile - it doesn’t even breathe.</t>
  </si>
  <si>
    <t>Staryu ilmeisesti kommunikoi yötaivaan tähtien kanssa väläyttämällä punaisen ytimen kehonsa keskellä. Jos osia sen ruumiista repeytyy, tämä Pokémon yksinkertaisesti luo puuttuvat osat ja raajat.</t>
  </si>
  <si>
    <t>A peculiar POKéMON that floats in air even though its wings remain completely still. The inside of its body is hollow and utterly dark.</t>
  </si>
  <si>
    <t>Suuri määrä näitä Pokémoneja asuu meren rannalla. Yöllä niiden keskeltä säteilee outo punainen hehku.</t>
  </si>
  <si>
    <t>Lumineon ja muut nakertelevat tätä Pokémonia. Punaisen ytimensä ansiosta se uusiutuu nopeasti, joten heidän välipalahyökkäyksensä eivät häiritse sitä.</t>
  </si>
  <si>
    <t>A most peculiar POKéMON that somehow appears in a POKé BALL when a NINCADA evolves.</t>
  </si>
  <si>
    <t>A discarded bug shell that came to life. Peering into the crack on its back is said to steal one’s spirit.</t>
  </si>
  <si>
    <t>Monissa paikoissa on kansantarinoita tähtipölystä, joka putoaa mereen ja muuttuu Staryuksi.</t>
  </si>
  <si>
    <t>A strange Pokémon--it flies without moving its wings, has a hollow shell for a body, and does not breathe.</t>
  </si>
  <si>
    <t>Mitkään vammat eivät voi vaivata Staryua. Sen hämmästyttävät uudistumisvoimat palauttavat sen alkuperäiseen tilaansa puolessa päivässä!</t>
  </si>
  <si>
    <t>https://pokeapi.co/api/v2/pokemon-species/103/</t>
  </si>
  <si>
    <t>Niin kauan kuin keskiosa on vahingoittumaton, tämä Pokémon voi kasvaa takaisin kokonaan, vaikka se pilkottaisiin palasiksi.</t>
  </si>
  <si>
    <t>A most peculiar Pokémon that somehow appears in a Poké Ball when a Nincada evolves.</t>
  </si>
  <si>
    <t>Shedinja’s hard body doesn’t move—not even a twitch. In fact, its body appears to be merely a hollow shell. It is believed that this Pokémon will steal the spirit of anyone peering into its hollow body from its back.</t>
  </si>
  <si>
    <t>Jos vierailet rannalla loppukesästä, voit nähdä Staryun linturyhmien syttyvän tasaiseen rytmiin.</t>
  </si>
  <si>
    <t>Shedinja is a peculiar Pokémon. It seems to appear unsought in a Poké Ball after a Nincada evolves. This bizarre Pokémon is entirely immobile—it doesn’t even breathe.</t>
  </si>
  <si>
    <t>Kala-Pokémonit näykkivät sitä, mutta Staryu ei välitä. Sen ruumis uusiutuu nopeasti, vaikka osa siitä repeytyisi kokonaan irti.</t>
  </si>
  <si>
    <t>Starmie</t>
  </si>
  <si>
    <t>A strange Pokémon—it flies without moving its wings, has a hollow shell for a body, and does not breathe.</t>
  </si>
  <si>
    <t>Normally, WHISMUR’s voice is very quiet - it is barely audible even if one is paying close attention. However, if this POKéMON senses danger, it starts crying at an earsplitting volume.</t>
  </si>
  <si>
    <t>Salaperäinen Pokémon</t>
  </si>
  <si>
    <t>Sen keskusydin hehkuu sateenkaaren seitsemässä värissä. Jotkut ihmiset arvostavat ydintä jalokivenä.</t>
  </si>
  <si>
    <t>WHISMUR is very timid. If it starts to cry loudly, it becomes startled by its own crying and cries even harder. When it finally stops crying, the POKéMON goes to sleep, all tired out.</t>
  </si>
  <si>
    <t>Keskiosaa kutsutaan ytimeksi. Ihmiset luulevat sen kommunikoivan, kun se hehkuu seitsemässä värissä.</t>
  </si>
  <si>
    <t>Its cries equal a jet plane in volume. It inhales through its ear canals. Because of this system, it can cry continually without having to catch its breath.</t>
  </si>
  <si>
    <t>Sen rungon keskiosaa kutsutaan ytimeksi. Se hehkuu eri värillä joka kerta, kun se nähdään.</t>
  </si>
  <si>
    <t>It usually murmurs, but starts crying loudly if it senses danger. It stops when its ear covers are shut.</t>
  </si>
  <si>
    <t>Ympäristöstä riippumatta sen ruumis kasvaa symmetrisen geometrisen muodon mukaisesti.</t>
  </si>
  <si>
    <t>Sanotaan, että se käyttää seitsemänväristä kehonsa ydintä lähettääkseen sähköaaltoja avaruuteen.</t>
  </si>
  <si>
    <t>Usually, its cries are like quiet murmurs. If frightened, it shrieks at the same volume as a jet plane.</t>
  </si>
  <si>
    <t>STARMIEn keskiosa – ydin – hohtaa kirkkaasti seitsemässä värissä. Hohtavan luonteensa vuoksi tälle POKéMONille on annettu lempinimi "meren helmi".</t>
  </si>
  <si>
    <t>If it senses danger, it scares the foe by crying out with the volume of a jet-plane engine.</t>
  </si>
  <si>
    <t>STARMIE ui vedessä pyörittämällä tähdenmuotoista vartaloaan aivan kuin se olisi laivan potkuri. Tämän POKéMONin kehon keskellä oleva ydin hehkuu seitsemässä värissä.</t>
  </si>
  <si>
    <t>It usually murmurs but starts crying loudly if it senses danger. It stops when its ear covers are shut.</t>
  </si>
  <si>
    <t>Muinaiset ihmiset kuvittelivat, että TÄHTIT muuttuivat yöllä lempeillä aalloilla tuikkivien tähtien heijastuksista.</t>
  </si>
  <si>
    <t>Normally, Whismur’s voice is very quiet—it is barely audible even if one is paying close attention. However, if this Pokémon senses danger, it starts crying at an earsplitting volume.</t>
  </si>
  <si>
    <t>Tällä POKéMONilla on geometrinen ruumis. Sen ruumiin perusteella paikalliset epäilevät sitä avaruusolennoksi.</t>
  </si>
  <si>
    <t>Whismur is very timid. If it starts to cry loudly, it becomes startled by its own crying and cries even harder. When it finally stops crying, the Pokémon goes to sleep, all tired out.</t>
  </si>
  <si>
    <t>Sen rungon keskellä on punainen ydin, joka lähettää salaperäisiä radiosignaaleja yötaivaalle.</t>
  </si>
  <si>
    <t>The cry of a Whismur is over 100 decibels. If you’re close to a Whismur when it lets out a cry, you’ll be stuck with an all-day headache.</t>
  </si>
  <si>
    <t>When Whismur cries, the sound of its own voice startles it, making the Pokémon cry even louder. It cries until it’s exhausted, then it falls asleep.</t>
  </si>
  <si>
    <t>LOUDRED’s bellowing can completely decimate a wood-frame house. It uses its voice to punish its foes. This POKéMON’s round ears serve as loudspeakers.</t>
  </si>
  <si>
    <t>LOUDRED shouts while stamping its feet. After it finishes shouting, this POKéMON becomes incapable of hearing anything for a while. This is considered to be a weak point.</t>
  </si>
  <si>
    <t>It positions the round speakers on its head to assail foes with ultrasonic waves at massive volume. It builds power by stomping the ground.</t>
  </si>
  <si>
    <t>When it stamps its feet and bellows, it generates ultrasonic waves that can blow apart a house.</t>
  </si>
  <si>
    <t>Sen ydin loistaa monissa väreissä ja lähettää radiosignaaleja avaruuteen kommunikoidakseen jonkin kanssa.</t>
  </si>
  <si>
    <t>The shock waves from its cries can tip over trucks. It stamps its feet to power up.</t>
  </si>
  <si>
    <t>It shouts loudly by inhaling air, and then uses its well-developed stomach muscles to exhale.</t>
  </si>
  <si>
    <t>Loudred’s bellowing can completely decimate a wood-frame house. It uses its voice to punish its foes. This Pokémon’s round ears serve as loudspeakers.</t>
  </si>
  <si>
    <t>Loudred shouts while stamping its feet. After it finishes shouting, this Pokémon becomes incapable of hearing anything for a while. This is considered to be a weak point.</t>
  </si>
  <si>
    <t>Starmien keskiosa – ydin – hohtaa kirkkaasti seitsemässä värissä. Hohtavan luonteensa vuoksi tälle Pokémonille on annettu lempinimi "meren helmi".</t>
  </si>
  <si>
    <t>Starmie ui vedessä pyörittämällä tähdenmuotoista vartaloaan aivan kuin se olisi laivan potkuri. Tämän Pokémonin kehon keskellä oleva ydin hehkuu seitsemässä värissä.</t>
  </si>
  <si>
    <t>Loudred’s ears serve as speakers, and they can put out sound waves powerful enough to blow away a house.</t>
  </si>
  <si>
    <t>Sen kiiltävän ytimen uskotaan vastaanottavan ja lähettävän arvoituksellisia signaaleja. Sen tiedetään aiheuttavan päänsärkyä sitä lähestyville.</t>
  </si>
  <si>
    <t>The force of this Pokémon’s loud voice isn’t just the sound—it’s also the wave of air pressure that blows opponents away and damages them.</t>
  </si>
  <si>
    <t>Sen epätavallinen, abstraktia taidetta muistuttava ruumiinmuoto sai paikalliset ihmiset levittämään huhuja, että tämä Pokémon saattaa olla avaruudesta tullut tunkeilija.</t>
  </si>
  <si>
    <t>EXPLOUD triggers earthquakes with the tremors it creates by bellowing. If this POKéMON violently inhales from the ports on its body, it’s a sign that it is preparing to let loose a huge bellow.</t>
  </si>
  <si>
    <t>Sen kimaltelevaa ydintä kutsutaan "meren jalokiveksi". Tästä ytimestä voidaan tehdä kalliita asusteita, joilla käydään kauppaa salaa.</t>
  </si>
  <si>
    <t>EXPLOUD communicates its feelings to the others by emitting whistle-like sounds from the tubes on its body. This POKéMON only raises its voice when it is in battle.</t>
  </si>
  <si>
    <t>Se pyörittää geometrisesti muotoiltua vartaloaan uidakseen vedessä. Se näyttää jatkuvasti lähettävän salaperäisiä radioaaltoja.</t>
  </si>
  <si>
    <t>It has sound-generating organs all over its body. It communicates with others by adjusting the tone and volume of the cries it emits.</t>
  </si>
  <si>
    <t>It emits a variety of sounds from the holes all over its body. Its loud cries can be heard from over six miles away.</t>
  </si>
  <si>
    <t>Its howls can be heard over six miles away. It emits all sorts of noises from the ports on its body.</t>
  </si>
  <si>
    <t>Tällä Pokémonilla on elin, jota kutsutaan sen ytimeksi. Elin hohtaa seitsemässä värissä, kun Starmie vapauttaa voimakkaita psyykkisiä voimiaan.</t>
  </si>
  <si>
    <t>Its roar in battle shakes the ground like a tremor--or like an earthquake has struck.</t>
  </si>
  <si>
    <t>Exploud triggers earthquakes with the tremors it creates by bellowing. If this Pokémon violently inhales from the ports on its body, it’s a sign that it is preparing to let loose a huge bellow.</t>
  </si>
  <si>
    <t>Starmie ui pyörittämällä kehoaan kovaa vauhtia. Meren halki risteillessään tämä Pokémon imee itseensä pientä planktonia.</t>
  </si>
  <si>
    <t>Mr. Mime</t>
  </si>
  <si>
    <t>Exploud communicates its feelings to the others by emitting whistle-like sounds from the tubes on its body. This Pokémon only raises its voice when it is in battle.</t>
  </si>
  <si>
    <t>Este-Pokémon</t>
  </si>
  <si>
    <t>Jos se keskeytetään matkimisen aikana, se läimäyttää loukkaajaa leveillä käsillään.</t>
  </si>
  <si>
    <t>In the past, people would use the loud voices of these Pokémon as a means of communication between distant cities.</t>
  </si>
  <si>
    <t>This Pokémon can do more than just shout. To communicate with others of its kind, it’ll emit all sorts of sounds from the holes in its body.</t>
  </si>
  <si>
    <t>Harjoittelee aina pantomiimiaan. Se saa viholliset uskomaan, että on olemassa jotain, mitä ei oikeasti ole.</t>
  </si>
  <si>
    <t>MAKUHITA is tenacious - it will keep getting up and attacking its foe however many times it is knocked down. Every time it gets back up, this POKéMON stores more energy in its body for evolving.</t>
  </si>
  <si>
    <t>Se on syntymästään asti taitava miimikko, ja se saa kyvyn luoda näkymättömiä esineitä kypsyessään.</t>
  </si>
  <si>
    <t>MAKUHITA has a tireless spirit - it will never give up hope. It eats a lot of food, gets plenty of sleep, and it trains very rigorously. By living that way, this POKéMON packs its body with energy.</t>
  </si>
  <si>
    <t>Sen sormenpäät lähettävät erikoisen voimakentän, joka kovettaa ilman ja luo todellisen seinän.</t>
  </si>
  <si>
    <t>It loves to toughen up its body above all else. If you hear quaking rumbles in a cave, it is the sound of MAKUHITA undertaking strenuous training.</t>
  </si>
  <si>
    <t>Se käyttää sormissaan olevaa salaperäistä voimaa jähmettääkseen ilman näkymättömäksi seinäksi.</t>
  </si>
  <si>
    <t>It grows stronger by enduring harsh training. It is a gutsy POKéMON that can withstand any attack.</t>
  </si>
  <si>
    <t>MR. MIME on pantomiimin mestari. Sen eleet ja liikkeet vakuuttavat katsojat siitä, että jokin näkymätön on todella olemassa. Kun siihen uskotaan, se on olemassa kuin se olisi todellinen asia.</t>
  </si>
  <si>
    <t>It toughens its body by slamming into thick trees. Many snapped trees can be found near its nest.</t>
  </si>
  <si>
    <t>It toughens up by slamming into thick trees over and over. It gains a sturdy body and dauntless spirit.</t>
  </si>
  <si>
    <t>MR. MIME on pantomiimin mestari. Se voi vakuuttaa muut siitä, että jokin näkymätön on todella olemassa. Kun kuvitteelliseen objektiin kerran uskotaan, siitä tulee todellinen.</t>
  </si>
  <si>
    <t>It grows stronger by enduring harsh training. It is a gutsy Pokémon that can withstand any attack.</t>
  </si>
  <si>
    <t>Makuhita is tenacious—it will keep getting up and attacking its foe however many times it is knocked down. Every time it gets back up, this Pokémon stores more energy in its body for evolving.</t>
  </si>
  <si>
    <t>Se on taitava huijaamaan ihmisiä. Sen sanotaan pystyvän luomaan muureja tyhjästä matkimalla.</t>
  </si>
  <si>
    <t>Jos se keskeytetään matkimisen aikana, se yhtäkkiä LÄPÄISEE loukkaajaa KAKSINKERTAISESTI leveillä käsillään.</t>
  </si>
  <si>
    <t>Makuhita has a tireless spirit—it will never give up hope. It eats a lot of food, gets plenty of sleep, and it trains very rigorously. By living that way, this Pokémon packs its body with energy.</t>
  </si>
  <si>
    <t>It was originally brought in from another region, but now Makuhita from Alola are more famous.</t>
  </si>
  <si>
    <t>Hän on pantomiimin asiantuntija, joka pystyy luomaan näkymättömiä mutta kiinteitä seiniä matkivien eleiden avulla.</t>
  </si>
  <si>
    <t>Their daily routine consists of training together first thing in the morning, eating and napping in the afternoon, and then more training afterward.</t>
  </si>
  <si>
    <t>It practices its slaps by repeatedly slapping tree trunks. It has been known to slap an Exeggutor and get flung away.</t>
  </si>
  <si>
    <t>Sen sormenpäistä lähtevät säteilyt jähmettävät ilman näkymättömiksi muureiksi, jotka torjuvat jopa ankarimmat hyökkäykset.</t>
  </si>
  <si>
    <t>There’s a rumor of a traditional recipe for stew that Trainers can use to raise strong Makuhita.</t>
  </si>
  <si>
    <t>HARIYAMA practices its straight-arm slaps in any number of locations. One hit of this POKéMON’s powerful, openhanded, straight-arm punches could snap a telephone pole in two.</t>
  </si>
  <si>
    <t>Se muodostaa näkymättömän seinän ilmaan värähtelemällä sormenpäitään tarkasti pysäyttääkseen ilmassa olevat molekyylit.</t>
  </si>
  <si>
    <t>HARIYAMA’s thick body may appear fat, but it is actually a hunk of solid muscle. If this POKéMON bears down and tightens all its muscles, its body becomes as hard as a rock.</t>
  </si>
  <si>
    <t>Taitava miimikko syntymästään asti, se saa kyvyn luoda näkymättömiä esineitä kypsyessään.</t>
  </si>
  <si>
    <t>It has the habit of challenging others without hesitation to tests of strength. It’s been known to stand on train tracks and stop trains using forearm thrusts.</t>
  </si>
  <si>
    <t>It stomps on the ground to build power. It can send a 10-ton truck flying with a straight-arm punch.</t>
  </si>
  <si>
    <t>It loves to match power with big-bodied Pokémon. It can knock a truck flying with its arm thrusts.</t>
  </si>
  <si>
    <t>It loves challenging others to tests of strength. It has the power to stop a train with a slap.</t>
  </si>
  <si>
    <t>Hariyama practices its straight-arm slaps in any number of locations. One hit of this Pokémon’s powerful, openhanded, straight-arm punches could snap a telephone pole in two.</t>
  </si>
  <si>
    <t>Hariyama’s thick body may appear fat, but it is actually a hunk of solid muscle. If this Pokémon bears down and tightens all its muscles, its body becomes as hard as a rock.</t>
  </si>
  <si>
    <t>It is known for its fantastic strength, but as it grows older, it focuses more on training Makuhita.</t>
  </si>
  <si>
    <t>They love to compare their freakish strength— strength enough to send a truck flying with a single slap.</t>
  </si>
  <si>
    <t>Herra Miimikko on pantomiimin mestari. Sen eleet ja liikkeet vakuuttavat katsojat siitä, että jokin näkymätön on todella olemassa. Kun katsojat ovat vakuuttuneita, näkymätön asia on olemassa ikään kuin se olisi todellinen.</t>
  </si>
  <si>
    <t>Although they enjoy comparing their strength, they’re also kind. They value etiquette, praising opponents they battle.</t>
  </si>
  <si>
    <t>Hariyama that are big and fat aren’t necessarily strong. There are some small ones that move nimbly and use moves skillfully.</t>
  </si>
  <si>
    <t>AZURILL spins its tail as if it were a lasso, then hurls it far. The momentum of the throw sends its body flying, too. Using this unique action, one of these POKéMON managed to hurl itself a record 33 feet.</t>
  </si>
  <si>
    <t>Sen pantomiimitaidot ovat upeat. Saatat lumoutua sitä katsellessasi, mutta seuraavaksi herra Miimikko on tehnyt todellisen muurin.</t>
  </si>
  <si>
    <t>AZURILL’s tail is large and bouncy. It is packed full of the nutrients this POKéMON needs to grow. AZURILL can be seen bouncing and playing on its big, rubbery tail.</t>
  </si>
  <si>
    <t>Se luo näkymättömiä muureja pantomiimillään. Jos et teeskentele vaikuttunutta, se hyökkää kimppuusi tuplaläimäyksellä!</t>
  </si>
  <si>
    <t>Its tail, which is packed with nutrition, is very bouncy like a rubber ball. On sunny days they gather at the edge of water and splash about for fun.</t>
  </si>
  <si>
    <t>Harjoittelee aina pantomiimiesitystään. Se saa viholliset uskomaan, että on olemassa jotain, mitä ei oikeasti ole.</t>
  </si>
  <si>
    <t>It battles by flinging around its tail, which is bigger than its body. The tail is a flotation device in water.</t>
  </si>
  <si>
    <t>A Pokémon that lives by water. It moves quickly on land by bouncing on its big tail.</t>
  </si>
  <si>
    <t>https://pokeapi.co/api/v2/pokemon-species/104/</t>
  </si>
  <si>
    <t>Sen käsien leveys ei ehkä ole sattumaa – monet tiedemiehet uskovat, että sen kämmenet suurenivat erityisesti pantomiimia varten.</t>
  </si>
  <si>
    <t>Its tail is filled with nutrients necessary for growth. It plays by bouncing on its tail.</t>
  </si>
  <si>
    <t>Its tail bounces like a rubber ball. It flings that tail around to fight opponents bigger than itself.</t>
  </si>
  <si>
    <t>Se tunnetaan huippuluokan pantomiimitaidoistaan. Se suojaa itseään kaikenlaisilta hyökkäyksiltä lähettämällä sormistaan ​​auroja luodakseen seiniä.</t>
  </si>
  <si>
    <t>Its tail is packed full of the nutrients it needs to grow.</t>
  </si>
  <si>
    <t>Tämän pellemäisen Pokémonin käytös muistuttaa pantomiimia. Se luo näkymättömiä seiniä sormenpäistään lähtevän voiman avulla.</t>
  </si>
  <si>
    <t>It swings its large, nutrient-filled tail around to fight opponents bigger than itself.</t>
  </si>
  <si>
    <t>Scyther</t>
  </si>
  <si>
    <t>Rukoilijasirkka-Pokémon</t>
  </si>
  <si>
    <t>Ninjamaisella ketteryydellä ja nopeudella se voi luoda illuusion, että niitä on useampi kuin yksi.</t>
  </si>
  <si>
    <t>Azurill spins its tail as if it were a lasso, then hurls it far. The momentum of the throw sends its body flying, too. Using this unique action, one of these Pokémon managed to hurl itself a record 33 feet.</t>
  </si>
  <si>
    <t>Azurill’s tail is large and bouncy. It is packed full of the nutrients this Pokémon needs to grow. Azurill can be seen bouncing and playing on its big, rubbery tail.</t>
  </si>
  <si>
    <t>The ball on Azurill’s tail bounces like a rubber ball, and it’s full of the nutrients the Pokémon needs to grow.</t>
  </si>
  <si>
    <t>Hyppää korkeasta ruohosta ja viipaloi saalista viikatteillaan. Liike näyttää ninjan liikkeeltä.</t>
  </si>
  <si>
    <t>Although Azurill are normally docile, an angry one will swing around the big ball on its tail and try to smash its opponents.</t>
  </si>
  <si>
    <t>NOSEPASS’s magnetic nose is always pointed to the north. If two of these POKéMON meet, they cannot turn their faces to each other when they are close because their magnetic noses repel one another.</t>
  </si>
  <si>
    <t>Se viiltää ruohoa terävillä viikatteillaan liian nopeasti ihmissilmän seurattavaksi.</t>
  </si>
  <si>
    <t>NOSEPASS had been said to be completely unmoving, with its magnetic nose pointed due north. However, close observation has revealed that the POKéMON actually moves by a little over 3/8 of an inch every year.</t>
  </si>
  <si>
    <t>Its body emits a powerful magnetism. It feeds on prey that is pulled in by the force. Its magnetism is stronger in cold seasons.</t>
  </si>
  <si>
    <t>Liikkuessaan se jättää jälkeensä vain sumennuksen. Jos se piiloutuu ruohikkoon, sen suojaavat värit tekevät siitä näkymättömän.</t>
  </si>
  <si>
    <t>Its magnetic nose consistently faces north. Travelers check NOSEPASS to get their bearings.</t>
  </si>
  <si>
    <t>Se on erittäin ylpeä nopeudestaan. Se liikkuu niin nopeasti, ettei vastustaja edes tiedä, mikä sen kaatoi.</t>
  </si>
  <si>
    <t>Its nose is a magnet. As a result, this Pokémon always keeps its face pointing north.</t>
  </si>
  <si>
    <t>When endangered, it may protect itself by raising its magnetism and drawing iron objects to its body.</t>
  </si>
  <si>
    <t>SCYTHER on sokaisevan nopea. Sen salamannopeus parantaa sen kyynärvarsissa olevien kaksoisviikatteiden tehokkuutta. Tämän POKéMONin viikatteet ovat niin tehokkaita, että ne voivat viiltää paksuja tukin läpi yhdellä voimakkaalla vedolla.</t>
  </si>
  <si>
    <t>If two of these meet, they cannot get too close because their noses repel each other.</t>
  </si>
  <si>
    <t>Its magnetic nose always faces north and draws iron objects to its body to protect itself better.</t>
  </si>
  <si>
    <t>Sen sokaisevan nopea nopeus lisää sen kahden kyynärvarsiviikatteen terävyyttä. Viikatteet voivat viiltää paksuja tukin läpi yhdellä voimakkaalla vedolla.</t>
  </si>
  <si>
    <t>Its magnetic nose consistently faces north. Travelers check Nosepass to get their bearings.</t>
  </si>
  <si>
    <t>Se repii ja silppuaa saalistaan ​​terävillä viikatteillaan. Se levittää siipensä lentoon hyvin harvoin.</t>
  </si>
  <si>
    <t>Nosepass’s magnetic nose is always pointed to the north. If two of these Pokémon meet, they cannot turn their faces to each other when they are close because their magnetic noses repel one another.</t>
  </si>
  <si>
    <t>Ninjamaisella ketteryydellä ja nopeudella se voi luoda illuusion siitä, että sitä itseään on useampi kuin yksi.</t>
  </si>
  <si>
    <t>Nosepass had been said to be completely unmoving, with its magnetic nose pointed due north. However, close observation has revealed that the Pokémon actually moves by a little over 3/8 of an inch every year.</t>
  </si>
  <si>
    <t>The magnet in Nosepass’s nose provides an unerring compass, making it an excellent partner for Trainers going on a journey.</t>
  </si>
  <si>
    <t>Sen hyökkäysviikatteita on lähes mahdotonta torjua. Sen liikkeet ovat kuin ninjan.</t>
  </si>
  <si>
    <t>It uses powerful magnetism to drag its prey toward it. It’s also been known to pull in metal, which it collects and uses to protect itself.</t>
  </si>
  <si>
    <t>It moves less than an inch a year, but when it’s in a jam, it will spin and drill down into the ground in a split second.</t>
  </si>
  <si>
    <t>Sen kyynärvarsien terävät viikatteet terävöityvät entisestään leikkaamalla kovia esineitä.</t>
  </si>
  <si>
    <t>It hunts without twitching a muscle by pulling in its prey with powerful magnetism. But sometimes it pulls natural enemies in close.</t>
  </si>
  <si>
    <t>Liikkuessaan se jättää jälkeensä vain sumun. Jos se piiloutuu ruohikkoon, sen suojaava väritys tekee siitä näkymättömän.</t>
  </si>
  <si>
    <t>Once the people of Hisui discovered that its red nose always points north, they grew to rely on it greatly when traveling afar. The nose seems to work in a similar way to ancient compasses.</t>
  </si>
  <si>
    <t>SKITTY has the habit of becoming fascinated by moving objects and chasing them around. This POKéMON is known to chase after its own tail and become dizzy.</t>
  </si>
  <si>
    <t>SKITTY is known to chase around playfully after its own tail. In the wild, this POKéMON lives in holes in the trees of forests. It is very popular as a pet because of its adorable looks.</t>
  </si>
  <si>
    <t>A SKITTY’s adorably cute behavior makes it highly popular. In battle, it makes its tail puff out. It threatens foes with a sharp growl.</t>
  </si>
  <si>
    <t>It is said to be difficult to earn its trust. However, it is extremely popular for its cute looks and behavior.</t>
  </si>
  <si>
    <t>It can’t stop itself from chasing moving things, and it runs in a circle, chasing its own tail.</t>
  </si>
  <si>
    <t>It’s adorable when it chases its own tail. It’s difficult to earn its trust.</t>
  </si>
  <si>
    <t>It shows its cute side by chasing its own tail until it gets dizzy.</t>
  </si>
  <si>
    <t>Skitty has the habit of becoming fascinated by moving objects and chasing them around. This Pokémon is known to chase after its own tail and become dizzy.</t>
  </si>
  <si>
    <t>Scyther on sokaisevan nopea. Sen salamannopeus parantaa sen kyynärvarsissa olevien kaksoisviikatteiden tehokkuutta. Tämän Pokémonin viikatteet ovat niin tehokkaita, että ne voivat viiltää paksuja tukin läpi yhdellä voimakkaalla vedolla.</t>
  </si>
  <si>
    <t>Skitty is known to chase around playfully after its own tail. In the wild, this Pokémon lives in holes in the trees of forests. It is very popular as a pet because of its adorable looks.</t>
  </si>
  <si>
    <t>DELCATTY prefers to live an unfettered existence in which it can do as it pleases at its own pace. Because this POKéMON eats and sleeps whenever it decides, its daily routines are completely random.</t>
  </si>
  <si>
    <t>DELCATTY sleeps anywhere it wants without keeping a permanent nest. If other POKéMON approach it as it sleeps, this POKéMON will never fight - it will just move away somewhere else.</t>
  </si>
  <si>
    <t>Se hämmentää saalistaan ​​nopeilla, ninjamaisilla liikkeillään. Sitten, hetkessä, se halkaisee sen viikatteillaan.</t>
  </si>
  <si>
    <t>Rather than keeping a permanent lair, it habitually seeks comfortable spots and sleeps there. It is nocturnal and becomes active at dusk.</t>
  </si>
  <si>
    <t>Nuorena ne asuvat yhdessä syvällä vuoristossa ja harjoittelevat taistelemaan viikatteillaan ja liikkumaan suurilla nopeuksilla.</t>
  </si>
  <si>
    <t>The favorite of trend-conscious female TRAINERS, they are used in competition for their style and fur.</t>
  </si>
  <si>
    <t>Sen kaksi terävää viikatettä ovat enemmän kuin vain aseita. Se käyttää niitä taitavasti saaliinsa pukemiseen ennen syömistä.</t>
  </si>
  <si>
    <t>It is highly popular among female Trainers for its sublime fur. It does not keep a nest.</t>
  </si>
  <si>
    <t>Jotkut kutsuvat sitä ninjaksi. Sen liikkeet – huomaamattoman nopeat – riittävät halkaisemaan ilman kahtia. Se on erittäin suosittu Alolassa.</t>
  </si>
  <si>
    <t>It dislikes dirty places. It often searches for a comfortable place in which to groom itself.</t>
  </si>
  <si>
    <t>The reason it does not have a nest is that it simply searches for a clean, comfortable place then sleeps there.</t>
  </si>
  <si>
    <t>Hyppää korkeasta ruohosta ja viiltää saalista viikatteillaan. Liike näyttää ninjan liikkeeltä.</t>
  </si>
  <si>
    <t>Delcatty prefers to live an unfettered existence in which it can do as it pleases at its own pace. Because this Pokémon eats and sleeps whenever it decides, its daily routines are completely random.</t>
  </si>
  <si>
    <t>Delcatty sleeps anywhere it wants without keeping a permanent nest. If other Pokémon approach it as it sleeps, this Pokémon will never fight—it will just move away somewhere else.</t>
  </si>
  <si>
    <t>Scytherin käydessä yhä useampia taisteluita, sen viikatteet terävöityvät ja terävöityvät. Yhdellä viikatteella Scyther voi kaataa valtavan puun.</t>
  </si>
  <si>
    <t>SABLEYE lead quiet lives deep inside caverns. They are feared, however, because these POKéMON are thought to steal the spirits of people when their eyes burn with a sinister glow in the darkness.</t>
  </si>
  <si>
    <t>SABLEYE digs the ground with sharpened claws to find rocks that it eats. Substances in the eaten rocks crystallize and rise up to the POKéMON’s body surface.</t>
  </si>
  <si>
    <t>Jos törmäät metsäalueeseen, jossa paljon puita on kaadettu, olet löytänyt viikatemiehen reviirin.</t>
  </si>
  <si>
    <t>It digs branching holes in caves using its sharp claws in search of food--raw gems. A SABLEYE lurks in darkness and is seen only rarely.</t>
  </si>
  <si>
    <t>It feeds on gemstone crystals. In darkness, its eyes sparkle with the glitter of jewels.</t>
  </si>
  <si>
    <t>It hides in the darkness of caves. Its diet of gems has transformed its eyes into gemstones.</t>
  </si>
  <si>
    <t>Sen kyynärvarsien suuret, ilkeän terävät viikatteet ovat todella pelottavia aseita. Preyn pakoyritykset estyvät poikkeuksetta tämän Pokémonin ketterillä liikkeillä.</t>
  </si>
  <si>
    <t>It dwells in the darkness of caves. It uses its sharp claws to dig up gems to nourish itself.</t>
  </si>
  <si>
    <t>Sableye lead quiet lives deep inside caverns. They are feared, however, because these Pokémon are thought to steal the spirits of people when their eyes burn with a sinister glow in the darkness.</t>
  </si>
  <si>
    <t>Jynx</t>
  </si>
  <si>
    <t>Ihmisen muotoinen Pokémon</t>
  </si>
  <si>
    <t>Sableye digs the ground with sharpened claws to find rocks that it eats. Substances in the eaten rocks crystallize and rise up to the Pokémon’s body surface.</t>
  </si>
  <si>
    <t>Se heiluttelee viettelevästi lanteitaan kävellessään. Se voi saada ihmiset tanssimaan yhdessä sen kanssa.</t>
  </si>
  <si>
    <t>It’s a fiend for gemstones, so it stalks Carbink. Unfortunately, Gabite almost always grabs them first.</t>
  </si>
  <si>
    <t>This Pokémon is feared. When its gemstone eyes begin to glow with a sinister shine, it’s believed that Sableye will steal people’s spirits away.</t>
  </si>
  <si>
    <t>It digs through the ground with its hard claws and crunches down gems with its thick pointy teeth. Carbink is its favorite food.</t>
  </si>
  <si>
    <t>Materials from gems it has eaten float to the surface of its body and can form an infinite number of patterns among individuals.</t>
  </si>
  <si>
    <t>Näyttää liikkuvan omassa rytmissään, ikään kuin tanssisi. Se heiluttaa lantiotaan kävellessään.</t>
  </si>
  <si>
    <t>MAWHILE’s huge jaws are actually steel horns that have been transformed. Its docile-looking face serves to lull its foe into letting down its guard. When the foe least expects it, MAWHILE chomps it with its gaping jaws.</t>
  </si>
  <si>
    <t>Don’t be taken in by this POKéMON’s cute face - it’s very dangerous. MAWILE fools the foe into letting down its guard, then chomps down with its massive jaws. The steel jaws are really horns that have been transformed.</t>
  </si>
  <si>
    <t>Se keinuttelee kehoaan rytmisesti. Se näyttää muuttavan rytmiä tuntemusten mukaan.</t>
  </si>
  <si>
    <t>Its giant jaws are actually steel horns that transformed. It fools foes into complacency with its adorable gestures, then chomps them with its huge jaws.</t>
  </si>
  <si>
    <t>It uses its docile-looking face to lull foes into complacency, then bites with its huge, relentless jaws.</t>
  </si>
  <si>
    <t>Se puhuu samanlaista kieltä kuin ihmiset. Se näyttää kuitenkin kommunikoivan tanssimalla.</t>
  </si>
  <si>
    <t>Attached to its head is a huge set of jaws formed by horns. It can chew through iron beams.</t>
  </si>
  <si>
    <t>It chomps with its gaping mouth. Its huge jaws are actually steel horns that have been transformed.</t>
  </si>
  <si>
    <t>Mawile’s huge jaws are actually steel horns that have been transformed. Its docile-looking face serves to lull its foe into letting down its guard. When the foe least expects it, Mawile chomps it with its gaping jaws.</t>
  </si>
  <si>
    <t>Siinä on useita erilaisia ​​itkukuvioita, joilla jokaisella näyttää olevan oma merkityksensä.</t>
  </si>
  <si>
    <t>Don’t be taken in by this Pokémon’s cute face—it’s very dangerous. Mawile fools the foe into letting down its guard, then chomps down with its massive jaws. The steel jaws are really horns that have been transformed.</t>
  </si>
  <si>
    <t>A cunning and terrifying Pokémon, its cuteness makes opponents let down their guard—and then it swallows them whole with its huge jaws.</t>
  </si>
  <si>
    <t>JYNX kävelee rytmikkäästi, keinuen ja ravistellen lantiotaan kuin tanssien. Sen liikkeet ovat niin pomppivan houkuttelevia, että sen näkevät ihmiset tekevät pakkoa ravistella lantiotaan ajattelematta lainkaan, mitä he tekevät.</t>
  </si>
  <si>
    <t>It has two mouths. The big jaws on the back of its head can’t taste anything, so that’s the mouth it uses to eat foods it doesn’t like.</t>
  </si>
  <si>
    <t>This POKéMON has a body of steel. To make its body, ARON feeds on iron ore that it digs from mountains. Occasionally, it causes major trouble by eating bridges and rails.</t>
  </si>
  <si>
    <t>ARON has a body of steel. With one all-out charge, this POKéMON can demolish even a heavy dump truck. The destroyed dump truck then becomes a handy meal for the POKéMON.</t>
  </si>
  <si>
    <t>JYNX heiluu rytmisesti kuin tanssien. Sen liikkeet ovat niin pomppivan houkuttelevia, että sen näkevät ihmiset pakottavat heiluttamaan lantiotaan huomaamattaan.</t>
  </si>
  <si>
    <t>A POKéMON that is clad in steel armor. A new suit of armor is made when it evolves. The old, discarded armor is salvaged as metal for making iron products.</t>
  </si>
  <si>
    <t>Se puhuu kielellä, joka kuulostaa ihmiseltä. Tutkimus on käynnissä sen selvittämiseksi, mitä sanotaan.</t>
  </si>
  <si>
    <t>It eats iron to build its steel body. It is a pest that descends from mountains to eat bridges and train tracks.</t>
  </si>
  <si>
    <t>It usually lives deep in mountains. However, hunger may drive it to eat railroad tracks and cars.</t>
  </si>
  <si>
    <t>When it evolves, it sheds the steel carapace that covered its whole body and develops a new one.</t>
  </si>
  <si>
    <t>In order to build up its steel body, it eats iron ore. This pesky Pokémon is known to eat railroad tracks.</t>
  </si>
  <si>
    <t>Sen huudot kuulostavat ihmispuheelta. On kuitenkin mahdotonta sanoa, mitä se yrittää sanoa.</t>
  </si>
  <si>
    <t>This Pokémon has a body of steel. To make its body, Aron feeds on iron ore that it digs from mountains. Occasionally, it causes major trouble by eating bridges and rails.</t>
  </si>
  <si>
    <t>Aron has a body of steel. With one all-out charge, this Pokémon can demolish even a heavy dump truck. The destroyed dump truck then becomes a handy meal for the Pokémon.</t>
  </si>
  <si>
    <t>It eats iron ore—and sometimes railroad tracks— to build up the steel armor that protects its body.</t>
  </si>
  <si>
    <t>When Aron evolves, its steel armor peels off. In ancient times, people would collect Aron’s shed armor and make good use of it in their daily lives.</t>
  </si>
  <si>
    <t>Se keinuttaa kehoaan rytmisesti. Se näyttää muuttavan rytmiä tunteidensa mukaan.</t>
  </si>
  <si>
    <t>LAIRON tempers its steel body by drinking highly nutritious mineral springwater until it is bloated. This POKéMON makes its nest close to springs of delicious water.</t>
  </si>
  <si>
    <t>Se puhuu samanlaista kieltä kuin ihmisten kieli. Se näyttää kuitenkin kommunikoivan tanssin avulla.</t>
  </si>
  <si>
    <t>LAIRON feeds on iron contained in rocks and water. It makes its nest on mountains where iron ore is buried. As a result, the POKéMON often clashes with humans mining the iron ore.</t>
  </si>
  <si>
    <t>When two LAIRON meet in the wild, they fight for territory by bashing into each other with their steel bodies. The sound of their collision carries for miles.</t>
  </si>
  <si>
    <t>It habitually shows off its strength with the size of sparks it creates by ramming its steel body into boulders.</t>
  </si>
  <si>
    <t>For food, it digs up iron ore. It smashes its steely body against others to fight over territory.</t>
  </si>
  <si>
    <t>It loves iron ore. Groups of them fight for territory by bashing one another with their steel bodies.</t>
  </si>
  <si>
    <t>Lairon fight over territory, and when their steel bodies collide, sparks fly.</t>
  </si>
  <si>
    <t>Lairon tempers its steel body by drinking highly nutritious mineral springwater until it is bloated. This Pokémon makes its nest close to springs of delicious water.</t>
  </si>
  <si>
    <t>Lairon feeds on iron contained in rocks and water. It makes its nest on mountains where iron ore is buried. As a result, the Pokémon often clashes with humans mining the iron ore.</t>
  </si>
  <si>
    <t>Se heiluttelee lanteitaan kävellessään. Se voi saada ihmiset tanssimaan yhdessä sen kanssa.</t>
  </si>
  <si>
    <t>Lairon live in mountains brimming with spring water and iron ore, so these Pokémon often came into conflict with humans in the past.</t>
  </si>
  <si>
    <t>During territorial disputes, Lairon fight by slamming into each other. Close inspection of their steel armor reveals scratches and dents.</t>
  </si>
  <si>
    <t>AGGRON claims an entire mountain as its own territory. It mercilessly beats up anything that violates its environment. This POKéMON vigilantly patrols its territory at all times.</t>
  </si>
  <si>
    <t>Jynx kävelee rytmikkäästi, keinuen ja ravistellen lanteitaan kuin tanssien. Sen liikkeet ovat niin pomppivan houkuttelevia, että sen näkevät ihmiset tekevät pakkoa ravistella lanteitaan ajattelematta lainkaan, mitä he tekevät.</t>
  </si>
  <si>
    <t>AGGRON is surprisingly protective of its environment. If its mountain is ravaged by a landslide or a fire, this POKéMON will haul topsoil to the area, plant trees, and beautifully restore its own territory.</t>
  </si>
  <si>
    <t>Its iron horns grow longer a little at a time. They are used to determine the AGGRON’s age. The gouges in its armor are worn with pride as mementos from battles.</t>
  </si>
  <si>
    <t>It claims a large mountain as its sole territory. It mercilessly thrashes those that violate its space.</t>
  </si>
  <si>
    <t>Se heiluttaa lantiotaan aivan omaan rytmiinsä. Alolassa asuvan Jynxin tarkat liikkeet ovat todella upeita.</t>
  </si>
  <si>
    <t>While seeking iron for food, it digs tunnels by breaking through bedrock with its steel horns.</t>
  </si>
  <si>
    <t>You can tell its age by the length of its iron horns. It claims an entire mountain as its territory.</t>
  </si>
  <si>
    <t>Sen oudot huudot kuulostavat ihmiskieleltä. Jotkut muusikot säveltävät lauluja Jynxin laulettavaksi.</t>
  </si>
  <si>
    <t>It claims an entire mountain as its own. The more wounds it has, the more it has battled, so don’t take it lightly.</t>
  </si>
  <si>
    <t>https://pokeapi.co/api/v2/pokemon-species/105/</t>
  </si>
  <si>
    <t>Aggron claims an entire mountain as its own territory. It mercilessly beats up anything that violates its environment. This Pokémon vigilantly patrols its territory at all times.</t>
  </si>
  <si>
    <t>Aggron is protective of its environment. If its mountain is ravaged by a landslide or a fire, this Pokémon will haul topsoil to the area, plant trees, and beautifully restore its own territory.</t>
  </si>
  <si>
    <t>Tietyillä Galarin alueilla Jynxiä pelättiin ja palvottiin aikoinaan Jään kuningattarena.</t>
  </si>
  <si>
    <t>Aggron has a horn sharp enough to perforate thick iron sheets. It brings down its opponents by ramming into them horn first.</t>
  </si>
  <si>
    <t>Long ago, there was a king who wore a helmet meant to resemble the head of an Aggron. He was trying to channel the Pokémon’s strength.</t>
  </si>
  <si>
    <t>Galarin Jynxeillä on usein kauniit ja herkät äänet. Jotkut näistä Pokémoneista ovat jopa keränneet fanikunnan.</t>
  </si>
  <si>
    <t>Electabuzz</t>
  </si>
  <si>
    <t>Sähköinen Pokémon</t>
  </si>
  <si>
    <t>MEDITITE undertakes rigorous mental training deep in the mountains. However, whenever it meditates, this POKéMON always loses its concentration and focus. As a result, its training never ends.</t>
  </si>
  <si>
    <t>Normaalisti voimalaitosten lähellä esiintyviä niitä voi harhailla pois ja aiheuttaa suuria sähkökatkoksia kaupungeissa.</t>
  </si>
  <si>
    <t>MEDITITE heightens its inner energy through meditation. It survives on just one berry a day. Minimal eating is another aspect of this POKéMON’s training.</t>
  </si>
  <si>
    <t>It continually meditates for hours every day. As a result of rigorous and dedicated yoga training, it has tempered its spiritual power so much it can fly.</t>
  </si>
  <si>
    <t>Jos tapahtuu iso sähkökatko, on varmaa, että tämä POKéMON on syönyt sähköä voimalaitoksessa.</t>
  </si>
  <si>
    <t>It never skips its daily yoga training. It heightens its inner strength through meditation.</t>
  </si>
  <si>
    <t>It eats just one berry a day. By enduring hunger, its spirit is tempered and made sharper.</t>
  </si>
  <si>
    <t>Sähkö kulkee sen kehon pinnalla. Pimeydessä koko sen ruumis hehkuu vaaleansinisenä.</t>
  </si>
  <si>
    <t>It never misses its daily yoga workouts, and it heightens its spiritual power through meditation.</t>
  </si>
  <si>
    <t>Sen keho purkaa jatkuvasti sähköä. Lähelle meneminen saa hiuksesi nousemaan pystyyn.</t>
  </si>
  <si>
    <t>It always trains deep in mountains. It levitates when it heightens its spiritual power through meditation.</t>
  </si>
  <si>
    <t>Kun kaksi ELECTABUZZ-kuuloketta koskettavat toisiaan, ne ohjaavat sähkövirtoja ja viestivät tunteitaan.</t>
  </si>
  <si>
    <t>It meditates to heighten its inner energy and to float in the air. It eats one berry a day.</t>
  </si>
  <si>
    <t>Meditite undertakes rigorous mental training deep in the mountains. However, whenever it meditates, this Pokémon always loses its concentration and focus. As a result, its training never ends.</t>
  </si>
  <si>
    <t>Myrskyn saapuessa tämän POKéMONin jengit kilpailevat keskenään kiivetäkseen korkeuksille, joihin salamat todennäköisesti iskevät. Joissakin kaupungeissa käytetään ELECTABUZZia salamanjohtimien sijasta.</t>
  </si>
  <si>
    <t>Meditite heightens its inner energy through meditation. It survives on just one berry a day. Minimal eating is another aspect of this Pokémon’s training.</t>
  </si>
  <si>
    <t>It is said that through meditation, MEDICHAM heightens energy inside its body and sharpens its sixth sense. This POKéMON hides its presence by merging itself with fields and mountains.</t>
  </si>
  <si>
    <t>Kun myrsky lähestyy, se kilpailee muiden kanssa kiivetäkseen korkeuksille, joilla salama todennäköisesti iskee. Joissakin kaupungeissa käytetään ELECTABUZZ-tekniikkaa salamanjohtimien sijaan.</t>
  </si>
  <si>
    <t>Through the power of meditation, MEDICHAM developed its sixth sense. It gained the ability to use psychokinetic powers. This POKéMON is known to meditate for a whole month without eating.</t>
  </si>
  <si>
    <t>Se rakastaa vahvaa sähköä. Se esiintyy toisinaan suurten voimalaitosten lähellä ja niin edelleen.</t>
  </si>
  <si>
    <t>Through crushingly harsh yoga training, it gained the power to foretell its foe’s actions. It battles with elegant, dance- like movement.</t>
  </si>
  <si>
    <t>It elegantly avoids attacks with dance- like steps, then launches a devastating blow in the same motion.</t>
  </si>
  <si>
    <t>Through yoga training, it has honed its sixth sense. Its movements are elegant.</t>
  </si>
  <si>
    <t>Puolet kaikista sähkökatkoksista tapahtuu, kun tämä Pokémon ilmestyy voimalaitoksiin ja syö sähköä.</t>
  </si>
  <si>
    <t>Through daily meditation, it hones its spiritual power. It can sense what others are thinking.</t>
  </si>
  <si>
    <t>It gains the ability to see the aura of its opponents by honing its mind through starvation.</t>
  </si>
  <si>
    <t>Through yoga training, it gained the psychic power to predict its foe’s next move.</t>
  </si>
  <si>
    <t>Se pyörittää käsivarsiaan hieman tehostaakseen iskujaan. Viholliset ovat usein paenneet sillä välin.</t>
  </si>
  <si>
    <t>It elegantly avoids attacks with dance-like steps, then launches a devastating blow in the same motion.</t>
  </si>
  <si>
    <t>Sähkö kulkee sen kehon pinnalla. Pimeydessä koko sen keho hehkuu vaaleansinisenä.</t>
  </si>
  <si>
    <t>It is said that through meditation, Medicham heightens energy inside its body and sharpens its sixth sense. This Pokémon hides its presence by merging itself with fields and mountains.</t>
  </si>
  <si>
    <t>Sen keho purkaa jatkuvasti sähköä. Sen lähelle meneminen saa hiuksesi nousemaan pystyyn.</t>
  </si>
  <si>
    <t>Through the power of meditation, Medicham developed its sixth sense. It gained the ability to use psychokinetic powers. This Pokémon is known to meditate for a whole month without eating.</t>
  </si>
  <si>
    <t>ELECTRIKE stores electricity in its long body hair. This POKéMON stimulates its leg muscles with electric charges. These jolts of power give its legs explosive acceleration performance.</t>
  </si>
  <si>
    <t>ELECTRIKE runs faster than the human eye can follow. The friction from running is converted into electricity, which is then stored in this POKéMON’s fur.</t>
  </si>
  <si>
    <t>Tutkimus salaman varastoinnista Electabuzziin edistyy, jotta tätä energiaa voidaan käyttää milloin tahansa.</t>
  </si>
  <si>
    <t>It generates electricity using friction from the atmosphere. In seasons with especially arid air, its entire body blazes with violent showers of sparks.</t>
  </si>
  <si>
    <t>It stores static electricity in its fur for discharging. It gives off sparks if a storm approaches.</t>
  </si>
  <si>
    <t>Using electricity stored in its fur, it stimulates its muscles to heighten its reaction speed.</t>
  </si>
  <si>
    <t>It stores electricity in its fur. It gives off sparks from all over its body in seasons when the air is dry.</t>
  </si>
  <si>
    <t>Electrike stores electricity in its long body hair. This Pokémon stimulates its leg muscles with electric charges. These jolts of power give its legs explosive acceleration performance.</t>
  </si>
  <si>
    <t>Myrskyn saapuessa tämän Pokémonin jengit kilpailevat keskenään kiivetäkseen korkeuksiin, joihin salamat todennäköisesti iskevät. Joissakin kaupungeissa käytetään Electabuzzia salamanjohtimien sijasta.</t>
  </si>
  <si>
    <t>Electrike runs faster than the human eye can follow. The friction from running is converted into electricity, which is then stored in this Pokémon’s fur.</t>
  </si>
  <si>
    <t>Friction between the air and its fur produces static electricity. When Electrike runs, it makes a crackling sound.</t>
  </si>
  <si>
    <t>Puolet kaikista äkillisistä sähkökatkoksista johtuu sähkövoimaloihin kerääntyvästä sähkösurinasta, joka kuluttaa sähköä.</t>
  </si>
  <si>
    <t>Static electricity builds up all over its body as strands of its long fur rub together. This Pokémon boasts incredible speed.</t>
  </si>
  <si>
    <t>Siitä vuotaa sähköä paljon suurempia määriä kuin se syö sähköä.</t>
  </si>
  <si>
    <t>MANECTRIC is constantly discharging electricity from its mane. The sparks sometimes ignite forest fires. When it enters a battle, this POKéMON creates thunderclouds.</t>
  </si>
  <si>
    <t>Sähkö läpäisee sen kehon. Se heilauttaa käsiään ympäri latautuakseen sähköä ennen kuin päästää irti iskun.</t>
  </si>
  <si>
    <t>MANECTRIC discharges strong electricity from its mane. The mane is used for collecting electricity in the atmosphere. This POKéMON creates thunderclouds above its head.</t>
  </si>
  <si>
    <t>Because lightning falls in their vicinities, MANECTRIC were thought to have been born from lightning. In battle, they create thunderclouds.</t>
  </si>
  <si>
    <t>Vaikka sitä usein syytetään sähkökatkoksista, totuus on, että katkosten syynä on useimmiten sähköyhtiön tekemä virhe.</t>
  </si>
  <si>
    <t>It rarely appears before people. It is said to nest where lightning has fallen.</t>
  </si>
  <si>
    <t>Jos tapahtuu suuri sähkökatkos, on varmaa, että tämä Pokémon on syönyt sähköä voimalaitoksessa.</t>
  </si>
  <si>
    <t>It discharges electricity from its mane. It creates a thundercloud overhead to drop lightning bolts.</t>
  </si>
  <si>
    <t>Its nest can be found where a thunderbolt hits. It is discharging electricity from its mane.</t>
  </si>
  <si>
    <t>Manectric is constantly discharging electricity from its mane. The sparks sometimes ignite forest fires. When it enters a battle, this Pokémon creates thunderclouds.</t>
  </si>
  <si>
    <t>Monet voimalaitokset pitävät maatyyppisiä Pokémoneja suojana sähköä etsiviä Electabuzzeja vastaan.</t>
  </si>
  <si>
    <t>Manectric discharges strong electricity from its mane. The mane is used for collecting electricity in the atmosphere. This Pokémon creates thunderclouds above its head.</t>
  </si>
  <si>
    <t>Myrskyn lähestyessä monet näistä Pokémoneista kerääntyvät korkeiden puiden alle ja odottavat salaman iskemistä.</t>
  </si>
  <si>
    <t>Manectric can be found beneath unnatural thunderclouds. People say it can run at the same speed as lightning striking.</t>
  </si>
  <si>
    <t>Käyttää sähköenergiaa. Äkillisten sadekuurojen aikana uhkaavien ukkospilvien alla voi nähdä Electabuzzien kiipeilevän korkeiden puiden läpi, missä Pokémonit odottavat salaman iskemistä.</t>
  </si>
  <si>
    <t>It stimulates its own muscles with electricity, so it can move quickly. It eases its soreness with electricity, too, so it can recover quickly as well.</t>
  </si>
  <si>
    <t>Magmar</t>
  </si>
  <si>
    <t>Spitfire-Pokémon</t>
  </si>
  <si>
    <t>PLUSLE always acts as a cheerleader for its partners. Whenever a teammate puts out a good effort in battle, this POKéMON shorts out its body to create the crackling noises of sparks to show its joy.</t>
  </si>
  <si>
    <t>Sen ruumis palaa aina oranssilla hehkulla, minkä ansiosta se voi piiloutua täydellisesti liekkien sekaan.</t>
  </si>
  <si>
    <t>When PLUSLE is cheering on its partner, it flashes with electric sparks from all over its body. If its partner loses, this POKéMON cries loudly.</t>
  </si>
  <si>
    <t>It has the trait of cheering on its fellow POKéMON. By shorting out the electricity it releases from its paws, it creates pom-poms for cheering.</t>
  </si>
  <si>
    <t>Syntynyt aktiivisessa tulivuoressa. Sen ruumis on aina liekkien peitossa, joten se näyttää suurelta tulipallolta.</t>
  </si>
  <si>
    <t>It cheers on partners while scattering sparks from its body. It climbs telephone poles to absorb electricity.</t>
  </si>
  <si>
    <t>It cheers on friends with pom-poms made of sparks. It drains power from telephone poles.</t>
  </si>
  <si>
    <t>Se ei pidä kylmistä paikoista, joten se puhaltaa polttavia liekkejä tehdäkseen ympäristöstä itselleen sopivan.</t>
  </si>
  <si>
    <t>It absorbs electricity from telephone poles. It shorts out its body to create crackling noises.</t>
  </si>
  <si>
    <t>Sen ruumiin tulinen pinta säteilee väreilevää, aaltoilevaa loistoa, joka on samanlainen kuin aurinko.</t>
  </si>
  <si>
    <t>Plusle always acts as a cheerleader for its partners. Whenever a teammate puts out a good effort in battle, this Pokémon shorts out its body to create the crackling noises of sparks to show its joy.</t>
  </si>
  <si>
    <t>Se liikkuu useammin kuumilla alueilla. Se voi parantaa itsensä kastamalla haavansa laavaan.</t>
  </si>
  <si>
    <t>When Plusle is cheering on its partner, it flashes with electric sparks from all over its body. If its partner loses, this Pokémon cries loudly.</t>
  </si>
  <si>
    <t>Taistelussa MAGMAR puhaltaa kuumia liekkejä kaikkialle kehoonsa pelotellakseen vastustajaansa. Tämän POKéMONin tulisia purkauksia luo helleaaltoja, jotka sytyttävät ruohon ja puut sen ympäristössä.</t>
  </si>
  <si>
    <t>MINUN is more concerned about cheering on its partners than its own safety. It shorts out the electricity in its body to create brilliant showers of sparks to cheer on its teammates.</t>
  </si>
  <si>
    <t>MINUN loves to cheer on its partner in battle. It gives off sparks from its body while it is doing so. If its partner is in trouble, this POKéMON gives off increasing amounts of sparks.</t>
  </si>
  <si>
    <t>At a meeting of POKéMON academics, it was announced that simultaneous exposure to electricity from a PLUSLE and MINUN will promote circulation and boost vitality.</t>
  </si>
  <si>
    <t>Taistelussa se puhaltaa voimakkaita liekkejä kaikkialle kehoonsa pelotellakseen vihollistaan. Nämä tulisia purkauksia luovat helleaaltoja, jotka sytyttävät alueen ruohon ja puut.</t>
  </si>
  <si>
    <t>Its dislike of water makes it take shelter under the eaves of houses in rain. It uses pom-poms made of sparks for cheering.</t>
  </si>
  <si>
    <t>Löytyy tulivuoren suun läheltä. Tämän tulta hengittävän olennon ruumiinlämpö on lähes 2 200 celsiusastetta.</t>
  </si>
  <si>
    <t>It cheers on friends. If its friends are losing, its body lets off more and more sparks.</t>
  </si>
  <si>
    <t>Sen ruumis palaa aina oranssilla hehkulla, minkä ansiosta se voi piiloutua täydellisesti liekkien keskelle.</t>
  </si>
  <si>
    <t>Exposure to electricity from MINUN and PLUSLE promotes blood circulation and relaxes muscles.</t>
  </si>
  <si>
    <t>Exposure to electricity from Minun and Plusle promotes blood circulation and relaxes muscles.</t>
  </si>
  <si>
    <t>Se on syntynyt tulivuoren purkauksessa, ja sen ruumis on peitetty liekeillä, jotka hohtavat kuin aurinko.</t>
  </si>
  <si>
    <t>Minun is more concerned about cheering on its partners than its own safety. It shorts out the electricity in its body to create brilliant showers of sparks to cheer on its teammates.</t>
  </si>
  <si>
    <t>Minun loves to cheer on its partner in battle. It gives off sparks from its body while it is doing so. If its partner is in trouble, this Pokémon gives off increasing amounts of sparks.</t>
  </si>
  <si>
    <t>Kun se hengittää syvään, sen kehon ympärille muodostuu lämpöaaltoja, jotka vaikeuttavat näkemistä selvästi.</t>
  </si>
  <si>
    <t>With the arrival of night, VOLBEAT emits light from its tail. It communicates with others by adjusting the intensity and flashing of its light. This POKéMON is attracted by the sweet aroma of ILLUMISE.</t>
  </si>
  <si>
    <t>VOLBEAT’s tail glows like a lightbulb. With other VOLBEAT, it uses its tail to draw geometric shapes in the night sky. This POKéMON loves the sweet aroma given off by ILLUMISE.</t>
  </si>
  <si>
    <t>With their taillights lit, VOLBEAT fly in a swarm, drawing geometric designs in the night sky. They move their nests if their pond water becomes dirty.</t>
  </si>
  <si>
    <t>It lives around clean ponds. At night, its rear lights up. It converses with others by flashing its light.</t>
  </si>
  <si>
    <t>It communicates with others by lighting up its rear at night. It loves ILLUMISE’s sweet aroma.</t>
  </si>
  <si>
    <t>It emits light from its tail to communicate. It loves the sweet aroma given off by ILLUMISE.</t>
  </si>
  <si>
    <t>Magmarin uloshengittämään polttavaan tuleen muodostuu lämpöaaltoja sen ympärille, mikä tekee Pokémonin näkemisestä vaikeaa.</t>
  </si>
  <si>
    <t>It communicates with others by lighting up its rear at night. It loves Illumise’s sweet aroma.</t>
  </si>
  <si>
    <t>With the arrival of night, Volbeat emits light from its tail. It communicates with others by adjusting the intensity and flashing of its light. This Pokémon is attracted by the sweet aroma of Illumise.</t>
  </si>
  <si>
    <t>Volbeat’s tail glows like a lightbulb. With other Volbeat, it uses its tail to draw geometric shapes in the night sky. This Pokémon loves the sweet aroma given off by Illumise.</t>
  </si>
  <si>
    <t>ILLUMISE attracts a swarm of VOLBEAT using a sweet fragrance. Once the VOLBEAT have gathered, this POKéMON leads the lit-up swarm in drawing geometric designs on the canvas of the night sky.</t>
  </si>
  <si>
    <t>ILLUMISE leads a flight of illuminated VOLBEAT to draw signs in the night sky. This POKéMON is said to earn greater respect from its peers by composing more complex designs in the sky.</t>
  </si>
  <si>
    <t>https://pokeapi.co/api/v2/pokemon-species/106/</t>
  </si>
  <si>
    <t>Taistelussa Magmar puhaltaa kuumia liekkejä kaikkialle kehoonsa pelotellakseen vastustajaansa. Tämän Pokémonin tulisia purkauksia luo helleaaltoja, jotka sytyttävät ruohon ja puut sen ympäristössä.</t>
  </si>
  <si>
    <t>A nocturnal POKéMON that becomes active upon nightfall. It leads a VOLBEAT swarm to draw patterns in the night sky. Over 200 different patterns have been confirmed.</t>
  </si>
  <si>
    <t>It guides VOLBEAT to draw signs in night skies. There are scientists that study the patterns it creates.</t>
  </si>
  <si>
    <t>Kun se on väsynyt, se hyppää tulivuoren suulle ja kastelee ruumiinsa magmassa helpottaakseen väsymystään. Sen ruumis palaa 2 192 Fahrenheit-asteessa.</t>
  </si>
  <si>
    <t>Vihastuttuaan se purkaa loistavaa tulta kaikkialle kehoonsa. Se ei rauhoitu ennen kuin sen vastustaja on palanut tuhkaksi.</t>
  </si>
  <si>
    <t>Koko sen ruumis palaa. Kun se hengittää, lämpötila nousee. Kun se aivastaa, liekit leimahtavat!</t>
  </si>
  <si>
    <t>With its sweet aroma, it guides VOLBEAT to draw signs with light in the night sky.</t>
  </si>
  <si>
    <t>Mitä kuumempi paikka, sitä paremmalta ne tuntuvat. Alolan magmareiden sanotaan olevan kestävämpiä kuin muiden alueiden magmarien.</t>
  </si>
  <si>
    <t>Its fragrance attracts a swarm of VOLBEAT, so they draw over 200 patterns in the night sky.</t>
  </si>
  <si>
    <t>With its sweet aroma, it guides Volbeat to draw signs with light in the night sky.</t>
  </si>
  <si>
    <t>Its fragrance attracts a swarm of Volbeat, so they draw over 200 patterns in the night sky.</t>
  </si>
  <si>
    <t>Illumise attracts a swarm of Volbeat using a sweet fragrance. Once the Volbeat have gathered, this Pokémon leads the lit-up swarm in drawing geometric designs on the canvas of the night sky.</t>
  </si>
  <si>
    <t>Magmar tuhoaa saaliinsa tulella. Mutta se katuu tätä tapaa tajuttuaan polttaneensa aiotun saaliinsa rapeiksi paloiksi.</t>
  </si>
  <si>
    <t>Illumise leads a flight of illuminated Volbeat to draw signs in the night sky. This Pokémon is said to earn greater respect from its peers by composing more complex designs in the sky.</t>
  </si>
  <si>
    <t>Näiden Pokémonien ruumiit palavat jatkuvasti. Magmaria pelätään yhtenä tulipalojen syttyjistä.</t>
  </si>
  <si>
    <t>ROSELIA shoots sharp thorns as projectiles at any opponent that tries to steal the flowers on its arms. The aroma of this POKéMON brings serenity to living things.</t>
  </si>
  <si>
    <t>On extremely rare occasions, a ROSELIA is said to appear with its flowers in unusual colors. The thorns on this POKéMON’s head contain a vicious poison.</t>
  </si>
  <si>
    <t>Legendan mukaan tämä Pokémon syntyi tulivuoren kraatterissa. Haavoittuessaan se kylpee laavassa parantaakseen kehonsa, aivan kuten kuumassa lähteessä liotettaisiin.</t>
  </si>
  <si>
    <t>Pinsir</t>
  </si>
  <si>
    <t>Hirvikuoriaisen Pokémon</t>
  </si>
  <si>
    <t>A ROSELIA that drinks nutritionally rich springwater blooms with lovely flowers. The fragrance of its flowers has the effect of making its foes careless.</t>
  </si>
  <si>
    <t>Jos se ei saa uhria puristettua pihdeillään, se heilauttaa sitä ympäri ja heittää sitä lujaa.</t>
  </si>
  <si>
    <t>Its flowers give off a relaxing fragrance. The stronger its aroma, the healthier the ROSELIA is.</t>
  </si>
  <si>
    <t>ROSELIA raised on clean drinking water are known to grow vividly colored flowers.</t>
  </si>
  <si>
    <t>Puristaa saalistaan ​​pihdeillään ja lujaa! Se ei voi liikkua kylmässä, joten se elää lämpimissä paikoissa.</t>
  </si>
  <si>
    <t>The beautiful flowers on its arms have toxic thorns. Don’t even think about picking those flowers.</t>
  </si>
  <si>
    <t>The more healthy the ROSELIA, the more pleasant its flowers’ aroma. Its scent deeply relaxes people.</t>
  </si>
  <si>
    <t>Sarvillaan se kaivaa koloja nukkuakseen yöllä. Aamulla kostea multa tarttuu sen ruumiiseen.</t>
  </si>
  <si>
    <t>ROSELIA that drink nutritionally rich springwater are said to reveal rare coloration when they bloom.</t>
  </si>
  <si>
    <t>Heiluttaa pitkiä sarviaan villisti hyökätessään. Kylminä kausina se piiloutuu syvälle metsiin.</t>
  </si>
  <si>
    <t>Kun lämpötila laskee yöllä, se nukkuu puiden latvoissa tai juurien välissä, missä se on hyvin piilossa.</t>
  </si>
  <si>
    <t>The more healthy the Roselia, the more pleasant its flowers’ aroma. Its scent deeply relaxes people.</t>
  </si>
  <si>
    <t>PINSIR on hämmästyttävän vahva. Se voi tarttua sarviinsa kaksi kertaa sen painoiseen viholliseen ja nostaa sen helposti. Tämän POKéMONin liikkeet hidastuvat kylmissä paikoissa.</t>
  </si>
  <si>
    <t>It uses the different poisons in each hand separately when it attacks. The stronger its aroma, the healthier it is.</t>
  </si>
  <si>
    <t>PINSIRillä on pari massiivisia sarvia. Näiden sarvien pinnasta työntyvät piikit. Piikit iskeytyvät syvälle vihollisen kehoon, kun pihdit sulkeutuvat, mikä tekee vihollisen pakenemisesta vaikeaa.</t>
  </si>
  <si>
    <t>Roselia that drink nutritionally rich springwater are said to reveal rare coloration when they bloom.</t>
  </si>
  <si>
    <t>Roselia shoots sharp thorns as projectiles at any opponent that tries to steal the flowers on its arms. The aroma of this Pokémon brings serenity to living things.</t>
  </si>
  <si>
    <t>Niiden pihdit ovat riittävän vahvat murskaamaan paksuja puita. Koska ne eivät pidä kylmästä, ne kaivautuvat maan alle ja nukkuvat kylminä öinä.</t>
  </si>
  <si>
    <t>On extremely rare occasions, a Roselia is said to appear with its flowers in unusual colors. The thorns on this Pokémon’s head contain a vicious poison.</t>
  </si>
  <si>
    <t>Sen kaksi pitkää pihtisarvea ovat voimakkaat. Kun ne tarttuvat viholliseen, ne eivät päästä irti ennen kuin vihollinen on revitty.</t>
  </si>
  <si>
    <t>Its flowers give off a relaxing fragrance. The stronger its aroma, the healthier the Roselia is.</t>
  </si>
  <si>
    <t>Jos se ei onnistu murskaamaan vihollista pihdeissään, se pyörähtää ympäri ja heittää vastustajan ympäri.</t>
  </si>
  <si>
    <t>Se puristaa saalista pihdeillään, kunnes se repäisee sen kahtia. Mitä se ei voi repiä, sen se heittää kauas.</t>
  </si>
  <si>
    <t>Though beautiful, it has highly poisonous thorns. There is an old tradition in my homeland wherein one would send these thorns to an opponent to challenge them to a duel.</t>
  </si>
  <si>
    <t>Virtually all of GULPIN’s body is its stomach. As a result, it can swallow something its own size. This POKéMON’s stomach contains a special fluid that digests anything.</t>
  </si>
  <si>
    <t>Most of GULPIN’s body is made up of its stomach - its heart and brain are very small in comparison. This POKéMON’s stomach contains special enzymes that dissolve anything.</t>
  </si>
  <si>
    <t>Se kaivaa yöksi nukkumaan koloja pinssarvillaan. Aamulla kostea multa tarttuu sen ruumiiseen.</t>
  </si>
  <si>
    <t>This POKéMON’s stomach fluid can even digest scrap iron. In one gulp, it can swallow something that is as large as itself.</t>
  </si>
  <si>
    <t>Se heiluttelee pitkiä pihtisarvejaan villisti hyökätessään. Kylminä kausina se piiloutuu syvälle metsiin.</t>
  </si>
  <si>
    <t>There is nothing its stomach can’t digest. While it is digesting, vile, overpowering gases are expelled.</t>
  </si>
  <si>
    <t>Almost all its body is its stomach. Its harsh digestive juices quickly dissolve anything it swallows.</t>
  </si>
  <si>
    <t>It has a small heart and brain. Its stomach comprises most of its body, with enzymes to dissolve anything.</t>
  </si>
  <si>
    <t>Se tarttuu saaliiseen voimakkailla pihdeillään eikä päästä irti ennen kuin saalis on revitty kahtia.</t>
  </si>
  <si>
    <t>Virtually all of Gulpin’s body is its stomach. As a result, it can swallow something its own size. This Pokémon’s stomach contains a special fluid that digests anything.</t>
  </si>
  <si>
    <t>Most of Gulpin’s body is made up of its stomach—its heart and brain are very small in comparison. This Pokémon’s stomach contains special enzymes that dissolve anything.</t>
  </si>
  <si>
    <t>When SWALOT spots prey, it spurts out a hideously toxic fluid from its pores and sprays the target. Once the prey has weakened, this POKéMON gulps it down whole with its cavernous mouth.</t>
  </si>
  <si>
    <t>Pinsir on hämmästyttävän vahva. Se voi tarttua sarviinsa kaksi kertaa sen painoiseen viholliseen ja nostaa sen helposti. Tämän Pokémonin liikkeet hidastuvat kylmissä paikoissa.</t>
  </si>
  <si>
    <t>SWALOT has no teeth, so what it eats, it swallows whole, no matter what. Its cavernous mouth yawns widely. An automobile tire could easily fit inside this POKéMON’s mouth.</t>
  </si>
  <si>
    <t>Pinsirillä on pari massiivisia sarvia. Sarvien pinnasta työntyy esiin piikkejä. Piikit iskeytyvät syvälle vihollisen kehoon, kun pihdit sulkeutuvat, mikä tekee vihollisen pakenemisesta vaikeaa.</t>
  </si>
  <si>
    <t>Its powerful stomach acid is capable of digesting almost anything. The one thing in the whole world a SWALOT can’t digest is its own stomach.</t>
  </si>
  <si>
    <t>Se tarttuu saaliiseensa pihdeillään ja halkaisee ne erilleen. Vaikka se on voimakas Pokémon, se ei kestä kylmää.</t>
  </si>
  <si>
    <t>It can swallow a tire whole in one gulp. It secretes a horribly toxic fluid from the pores on its body.</t>
  </si>
  <si>
    <t>Yksi napakka isku sen sarvista riittää halkaisemaan suuren puun. Sen suurin kilpailija Alolassa on Vikavolt.</t>
  </si>
  <si>
    <t>It swallows anything whole. It sweats toxic fluids from its follicles to douse foes.</t>
  </si>
  <si>
    <t>Se joutuu aluekiistoihin Vikavoltin kanssa. Jostain syystä se ilmeisesti tulee hyvin toimeen Heracrossin kanssa Alolassa.</t>
  </si>
  <si>
    <t>It gulps anything that fits in its mouth. Its special enzymes can dissolve anything.</t>
  </si>
  <si>
    <t>Vaikka se on sitkeä, se ei kestä kylmää hyvin. Yön laskeutuessa se hautautuu lehtiin ja nukkuu.</t>
  </si>
  <si>
    <t>When Swalot spots prey, it spurts out a hideously toxic fluid from its pores and sprays the target. Once the prey has weakened, this Pokémon gulps it down whole with its cavernous mouth.</t>
  </si>
  <si>
    <t>Swalot has no teeth, so what it eats, it swallows whole, no matter what. Its cavernous mouth yawns widely. An automobile tire could easily fit inside this Pokémon’s mouth.</t>
  </si>
  <si>
    <t>Nämä Pokémonit arvioivat toisiaan pinssien perusteella. Paksummat ja vaikuttavammat pihdit ovat suositumpia vastakkaisen sukupuolen keskuudessa.</t>
  </si>
  <si>
    <t>CARVANHA’s strongly developed jaws and its sharply pointed fangs pack the destructive power to rip out boat hulls. Many boats have been attacked and sunk by this POKéMON.</t>
  </si>
  <si>
    <t>Tämä Pokémon puristaa saaliinsa pihdeillään ja joko halkaisee saaliin kahtia tai heittää sen pois.</t>
  </si>
  <si>
    <t>Tauros</t>
  </si>
  <si>
    <t>Villi härkä-Pokémon</t>
  </si>
  <si>
    <t>Kun se kohdistaa vihollisen, se rynnistää raivokkaasti ja piiskaa ruumistaan ​​pitkillä hännillään.</t>
  </si>
  <si>
    <t>If anything invades CARVANHA’s territory, it will swarm and tear at the intruder with its pointed fangs. On its own, however, this POKéMON turns suddenly timid.</t>
  </si>
  <si>
    <t>CARVANHA attack ships in swarms, making them sink. Although it is said to be a very vicious POKéMON, it timidly flees as soon as it finds itself alone.</t>
  </si>
  <si>
    <t>Räjähtävä ja kestävä POKéMON. Kun se on kerran juossut, se ei pysähdy ennen kuin osuu johonkin.</t>
  </si>
  <si>
    <t>It lives in massive rivers that course through jungles. It swarms prey that enter its territory.</t>
  </si>
  <si>
    <t>Ne taistelevat toisiaan vastaan ​​lukitsemalla sarvet yhteen. Lauman suojelija on ylpeä sen taistelun arpeuttamista sarvista.</t>
  </si>
  <si>
    <t>They swarm any foe that invades their territory. Their sharp fangs can tear out boat hulls.</t>
  </si>
  <si>
    <t>Lisättyään taistelutahtoaan piiskaamalla itseään kolmella hännällään se ryntää täydellä vauhdilla.</t>
  </si>
  <si>
    <t>They form packs to attack boats and rip out their hulls to sink them. They live in rivers in the jungle.</t>
  </si>
  <si>
    <t>Nämä väkivaltaiset POKéMONit taistelevat laumansa muita jäseniä vastaan ​​​​osoittaakseen voimansa.</t>
  </si>
  <si>
    <t>Carvanha’s strongly developed jaws and its sharply pointed fangs pack the destructive power to rip out boat hulls. Many boats have been attacked and sunk by this Pokémon.</t>
  </si>
  <si>
    <t>Tämä POKéMON ei ole tyytyväinen, ellei se riehu koko ajan. Jos TAUROSilla ei ole vastustajaa taisteltavana, se hyökkää tiheiden puiden kimppuun ja kaataa ne rauhoittaakseen itsensä.</t>
  </si>
  <si>
    <t>If anything invades Carvanha’s territory, it will swarm and tear at the intruder with its pointed fangs. On its own, however, this Pokémon turns suddenly timid.</t>
  </si>
  <si>
    <t>https://pokeapi.co/api/v2/pokemon-species/107/</t>
  </si>
  <si>
    <t>Each school has its own territory. Any intruders are mercilessly attacked with fangs bared.</t>
  </si>
  <si>
    <t>Se ei ole tyytyväinen, ellei se riehu koko ajan. Jos TAUROSilla ei ole vastustajaa taisteltavana, se hyökkää tiheiden puiden kimppuun ja kaataa ne rauhoittaakseen itsensä.</t>
  </si>
  <si>
    <t>If they scent the faintest trace of blood, they rush to attack en masse. When alone, they’re rather cowardly.</t>
  </si>
  <si>
    <t>Kun se on aikeissa HYÖKKÄÄ, se piiskaa ruumistaan ​​toistuvasti kolmella pitkällä hännällään.</t>
  </si>
  <si>
    <t>They’re such cowards that they won’t hunt alone. When five or so of them get together, they suddenly turn ferocious!</t>
  </si>
  <si>
    <t>Kun se tähtää viholliseensa, se hyökkää suin päin. Se on kuuluisa väkivaltaisesta luonteestaan.</t>
  </si>
  <si>
    <t>With its sturdy jaws and fangs, it can easily chomp wooden boats to splinters. It fights with Basculin over food.</t>
  </si>
  <si>
    <t>It won’t attack while it’s alone—not even if it spots prey. Instead, it waits for other Carvanha to join it, and then the Pokémon attack as a group.</t>
  </si>
  <si>
    <t>These Pokémon have sharp fangs and powerful jaws. Sailors avoid Carvanha dens at all costs.</t>
  </si>
  <si>
    <t>Nicknamed “the bully of the sea,” SHARPEDO is widely feared. Its cruel fangs grow back immediately if they snap off. Just one of these POKéMON can thoroughly tear apart a supertanker.</t>
  </si>
  <si>
    <t>SHARPEDO can swim at speeds of up to 75 mph by jetting seawater out of its backside. This POKéMON’s drawback is its inability to swim long distances.</t>
  </si>
  <si>
    <t>The vicious and sly gangster of the sea. Its skin is specially textured to minimize drag in water. Its speed tops out at over 75 miles per hour.</t>
  </si>
  <si>
    <t>The ruffian of the seas, it has fangs that crunch through iron. It swims by jetting water from its rear.</t>
  </si>
  <si>
    <t>Its fangs rip through sheet iron. It swims at 75 mph and is known as “The Bully of the Sea.”</t>
  </si>
  <si>
    <t>It can swim at speeds of 75 mph by jetting seawater through its body. It is the bandit of the sea.</t>
  </si>
  <si>
    <t>Nicknamed “the bully of the sea,” Sharpedo is widely feared. Its cruel fangs grow back immediately if they snap off. Just one of these Pokémon can thoroughly tear apart a supertanker.</t>
  </si>
  <si>
    <t>Sharpedo can swim at speeds of up to 75 mph by jetting seawater out of its backside. This Pokémon’s drawback is its inability to swim long distances.</t>
  </si>
  <si>
    <t>Kun se on aikeissa tarttua hyökkäykseen, se piiskaa ruumistaan ​​toistuvasti kolmella pitkällä hännällään.</t>
  </si>
  <si>
    <t>It pursues its prey at speeds of 75 mph and finishes them off with fangs that can crush iron. It is known as the bully of the sea.</t>
  </si>
  <si>
    <t>It has a sad history. In the past, its dorsal fin was a treasured foodstuff, so this Pokémon became a victim of overfishing.</t>
  </si>
  <si>
    <t>People believe that carrying one of its discarded fangs will prevent mishaps at sea, so the fangs are made into accessories.</t>
  </si>
  <si>
    <t>Tämä Pokémon ei ole tyytyväinen, ellei se riehu koko ajan. Jos Taurosilla ei ole vastustajaa taisteltavana, se hyökkää paksujen puiden kimppuun ja kaataa ne rauhoittaakseen itsensä.</t>
  </si>
  <si>
    <t>It drinks in seawater and jets it from its rear to propel itself. It’s very sensitive to the scent of blood.</t>
  </si>
  <si>
    <t>As soon as it catches the scent of prey, Sharpedo will jet seawater from its backside, hurtling toward the target to attack at 75 mph.</t>
  </si>
  <si>
    <t>This Pokémon is known as the Bully of the Sea. Any ship entering the waters Sharpedo calls home will be attacked—no exceptions.</t>
  </si>
  <si>
    <t>WAILMER’s nostrils are located above its eyes. This playful POKéMON loves to startle people by forcefully snorting out seawater it stores inside its body out of its nostrils.</t>
  </si>
  <si>
    <t>WAILMER can store water inside its body to transform itself into a ball for bouncing around on the ground. By filling itself up with more water, this POKéMON can elevate the height of its bounces.</t>
  </si>
  <si>
    <t>While this POKéMON usually lives in the sea, it can survive on land, although not too long. It loses vitality if its body becomes dried out.</t>
  </si>
  <si>
    <t>Historiallisesti ihmiset ympäri maailmaa ovat ratsastaneet Tauroilla, mutta käytännön sanotaan saaneen alkunsa Alolassa.</t>
  </si>
  <si>
    <t>When it sucks in a large volume of seawater, it becomes like a big, bouncy ball. It eats a ton of food daily.</t>
  </si>
  <si>
    <t>On sunny days, it lands on beaches to bounce like a ball and play. It spouts water from its nose.</t>
  </si>
  <si>
    <t>Vaikka sen tiedetään olevan hurja Pokémon, Alolan alueen Tauroksilla sanotaan olevan jonkin verran rauhallisuutta.</t>
  </si>
  <si>
    <t>It bounces playfully like a ball. The more seawater it swallows, the higher it bounces.</t>
  </si>
  <si>
    <t>It eats one ton of food every day. It plays by shooting stored seawater out its blowholes with great force.</t>
  </si>
  <si>
    <t>Ne elävät ryhmissä. Se, jolla on pisimmät, paksuimmat ja arpeutuneimmat sarvet, on lauman pomo.</t>
  </si>
  <si>
    <t>Wailmer’s nostrils are located above its eyes. This playful Pokémon loves to startle people by forcefully snorting out seawater it stores inside its body out of its nostrils.</t>
  </si>
  <si>
    <t>Ilmasto näyttää liittyvän siihen, miksi Alolan taurot ovat hieman rauhallisempia kuin muiden alueiden taurot.</t>
  </si>
  <si>
    <t>Wailmer can store water inside its body to transform itself into a ball for bouncing around on the ground. By filling itself up with more water, this Pokémon can elevate the height of its bounces.</t>
  </si>
  <si>
    <t>Räikkä ja kestävä Pokémon. Kun se on kerran juossut, se ei pysähdy ennen kuin osuu johonkin.</t>
  </si>
  <si>
    <t>It loves to startle people. It fills itself up with seawater and plays by bouncing around like a ball.</t>
  </si>
  <si>
    <t>It shows off by spraying jets of seawater from the nostrils above its eyes. It eats a solid ton of Wishiwashi every day.</t>
  </si>
  <si>
    <t>It swims along with its mouth open and swallows down seawater along with its food. It sprays excess water out of its nostrils.</t>
  </si>
  <si>
    <t>Kun Tauros alkaa piiskaa itseään hännällään, se on varoitus siitä, että Pokémon on rynnäkkökiihtymässä hämmästyttävällä nopeudella.</t>
  </si>
  <si>
    <t>Due to their memories of when they once lived on land, pods of them will, very rarely, wash up on shore.</t>
  </si>
  <si>
    <t>Galarin alueen Taurot ovat luonteeltaan epävakaita, eivätkä he anna ihmisten ratsastaa selällään.</t>
  </si>
  <si>
    <t>WAILORD is the largest of all identified POKéMON up to now. This giant POKéMON swims languorously in the vast open sea, eating massive amounts of food at once with its enormous mouth.</t>
  </si>
  <si>
    <t>Magikarp</t>
  </si>
  <si>
    <t>Kala-Pokémon</t>
  </si>
  <si>
    <t>When chasing prey, WAILORD herds them by leaping out of the water and making a humongous splash. It is breathtaking to see this POKéMON leaping out of the sea with others in its pod.</t>
  </si>
  <si>
    <t>Kaukaisessa menneisyydessä se oli jonkin verran vahvempi kuin nykyään olemassa olevat hirvittävän heikot jälkeläiset.</t>
  </si>
  <si>
    <t>It breathes through nostrils that it raises above the sea. By inhaling to its maximum capacity, a WAILORD can dive close to 10,000 feet beneath the waves.</t>
  </si>
  <si>
    <t>It is among the largest of all POKéMON. It herds prey in a pack then swallows the massed prey in one gulp.</t>
  </si>
  <si>
    <t>The biggest of all Pokémon. It can dive to a depth of almost 10,000 feet on only one breath.</t>
  </si>
  <si>
    <t>Kuuluisa erittäin epäluotettavana. Sitä voi löytää uimasta merissä, järvissä, joissa ja matalissa lätäköissä.</t>
  </si>
  <si>
    <t>It is the largest of all identified Pokémon. They jump as a pack to herd their prey.</t>
  </si>
  <si>
    <t>Heikotehoinen ja säälittävä POKéMON. Se saattaa hypätä korkealle harvoin, mutta ei koskaan yli kaksi metriä.</t>
  </si>
  <si>
    <t>It can sometimes knock out opponents with the shock created by breaching and crashing its big body onto the water.</t>
  </si>
  <si>
    <t>Se hyppii ja loiskii ilman syytä, minkä ansiosta petoeläimet, kuten PIDGEOTTO, voivat helposti napata sen kesken hypyn.</t>
  </si>
  <si>
    <t>Wailord is the largest of all identified Pokémon up to now. This giant Pokémon swims languorously in the vast open sea, eating massive amounts of food at once with its enormous mouth.</t>
  </si>
  <si>
    <t>Tämä heikko ja säälittävä POKéMON työntyy helposti jokien mukana voimakkaissa virtauksissa.</t>
  </si>
  <si>
    <t>When chasing prey, Wailord herds them by leaping out of the water and making a humongous splash. It is breathtaking to see this Pokémon leaping out of the sea with others in its pod.</t>
  </si>
  <si>
    <t>MAGIKARP on säälittävä tekosyy POKéMONille, joka pystyy vain pyörimään ja roiskimaan. Tämä käytös sai tiedemiehet ryhtymään tutkimukseen sen suhteen.</t>
  </si>
  <si>
    <t>Wailord pursue their prey in pods. With their large mouths, they can swallow entire schools of Wishiwashi whole.</t>
  </si>
  <si>
    <t>MAGIKARP on käytännössä hyödytön taistelussa, koska se voi vain loiskia ympäriinsä. Tämän seurauksena sitä pidetään heikkona. Se on kuitenkin itse asiassa erittäin kestävä POKéMON, joka voi selviytyä missä tahansa vesistössä riippumatta siitä, kuinka saastunut se on.</t>
  </si>
  <si>
    <t>Its immense size is the reason for its popularity. Wailord watching is a favorite sightseeing activity in various parts of the world.</t>
  </si>
  <si>
    <t>Sen uintilihakset ovat heikot, joten virtaukset huuhtovat sen helposti mukaansa. Paikoissa, joissa vesi on lammikoita, voi nähdä paljon MAGIKARP-jäänteitä virtauksen kerrostamana.</t>
  </si>
  <si>
    <t>They eat so many fish Pokémon that when Wailord become too numerous, fishermen have to chase them off.</t>
  </si>
  <si>
    <t>Se on käytännössä arvoton sekä tehon että nopeuden suhteen. Se on maailman heikoin ja säälittävin POKéMON.</t>
  </si>
  <si>
    <t>When a small Wailmer is attacked by Sharpedo or Dhelmise, its whole pod works together to protect it.</t>
  </si>
  <si>
    <t>Sen sanotaan olevan maailman heikoin Pokémon. Kukaan ei tiedä, miksi se on onnistunut selviytymään.</t>
  </si>
  <si>
    <t>NUMEL is extremely dull witted - it doesn’t notice being hit. However, it can’t stand hunger for even a second. This POKéMON’s body is a seething cauldron of boiling magma.</t>
  </si>
  <si>
    <t>Se ei pysty uimaan edes hitaasti virtaavia virtauksia vastaan. Se loiskii aina jostain syystä.</t>
  </si>
  <si>
    <t>Monta vuotta elänyt MAGIKARP voi hypätä vuoren Roiskeella. Liike on kuitenkin edelleen hyödytön.</t>
  </si>
  <si>
    <t>NUMEL stores magma of almost 2,200 degrees F within its body. If it gets wet, the magma cools and hardens. In that event, the POKéMON’s body grows heavy and its movements become sluggish.</t>
  </si>
  <si>
    <t>Heikotehoinen ja säälittävä Pokémon. Se saattaa hypätä korkealle harvinaisissa tapauksissa, mutta yleensä korkeintaan kaksi metriä.</t>
  </si>
  <si>
    <t>A NUMEL stores boiling magma in the hump on its back. It is a hardy POKéMON that can transport a 220-pound load. It has served humans at work since long ago.</t>
  </si>
  <si>
    <t>Magma of almost 2,200 degrees Fahrenheit courses through its body. When it grows cold, the magma hardens and slows it.</t>
  </si>
  <si>
    <t>Monia vuosia elänyt Magikarp voi hypätä vuoren Roiskeella. Liike on kuitenkin edelleen hyödytön.</t>
  </si>
  <si>
    <t>Its humped back stores intensely hot magma. In rain, the magma cools, slowing its movement.</t>
  </si>
  <si>
    <t>The flaming magma it stores in the hump on its back is the source of its tremendous power.</t>
  </si>
  <si>
    <t>https://pokeapi.co/api/v2/pokemon-species/108/</t>
  </si>
  <si>
    <t>The magma in its body reaches 2,200 degrees F. Its hump gets smaller when it uses Fire-type moves.</t>
  </si>
  <si>
    <t>Se on käytännössä arvoton sekä voiman että nopeuden suhteen. Se on maailman heikoin ja säälittävin Pokémon.</t>
  </si>
  <si>
    <t>The magma in its body reaches 2,200 degrees Fahrenheit. Its hump gets smaller when it uses Fire-type moves.</t>
  </si>
  <si>
    <t>Magikarp on säälittävä tekosyy Pokémonille, joka pystyy vain pyörittelemään ja roiskimaan. Tämä käytös sai tiedemiehet ryhtymään tutkimukseen sen suhteen.</t>
  </si>
  <si>
    <t>Numel is extremely dull witted—it doesn’t notice being hit. However, it can’t stand hunger for even a second. This Pokémon’s body is a seething cauldron of boiling magma.</t>
  </si>
  <si>
    <t>Magikarp on käytännössä hyödytön taistelussa, koska se voi vain loiskia ympäriinsä. Tämän seurauksena sitä pidetään heikkona. Se on kuitenkin itse asiassa erittäin kestävä Pokémon, joka voi selviytyä missä tahansa vesistössä riippumatta siitä, kuinka saastunut se on.</t>
  </si>
  <si>
    <t>Numel stores magma of almost 2,200 degrees Fahrenheit within its body. If it gets wet, the magma cools and hardens. In that event, the Pokémon’s body grows heavy and its movements become sluggish.</t>
  </si>
  <si>
    <t>Vaikka tämä Pokémon on heikko ja avuton, se on uskomattoman hedelmällinen. Niitä on niin paljon, että kyllästyt pian näkemään niitä.</t>
  </si>
  <si>
    <t>Sen holtittomat loikat tekevät siitä helpon saalistajien saaliiksi. Onneksi monet Pokémonit elävät pidempään Magikarpin ansiosta.</t>
  </si>
  <si>
    <t>CAMERUPT has a volcano inside its body. Magma of 18,000 degrees F courses through its body. Occasionally, the humps on this POKéMON’s back erupt, spewing the superheated magma.</t>
  </si>
  <si>
    <t>Kaukaisessa menneisyydessä ne olivat melko vahvoja, mutta ajan myötä ne ovat vähitellen heikkeneneet.</t>
  </si>
  <si>
    <t>Koska ne pitävät otteessaan elämään, likainen vesi ei häiritse niitä lainkaan. Ne elävät vesissä kaikkialla maailmassa!</t>
  </si>
  <si>
    <t>The humps on CAMERUPT’s back are formed by a transformation of its bones. They sometimes blast out molten magma. This POKéMON apparently erupts often when it is enraged.</t>
  </si>
  <si>
    <t>A POKéMON that lives in the crater of a volcano. Every 10 years, the volcanoes on its back erupt violently. Research is under way on the cause of eruption.</t>
  </si>
  <si>
    <t>If angered, the humps on its back erupt in a shower of molten lava. It lives in the craters of volcanoes.</t>
  </si>
  <si>
    <t>Tämä heikko ja säälittävä Pokémon työntyy helposti jokien mukana voimakkaissa virtauksissa.</t>
  </si>
  <si>
    <t>It has volcanoes on its back. If magma builds up in its body, it shudders, then erupts violently.</t>
  </si>
  <si>
    <t>Heikko, säälittävä ja idioottimainen Pokémon, joka on kuitenkin erittäin kestävä. Samea vesi ei häiritse sitä, ja sitä voi tavata monenlaisissa paikoissa.</t>
  </si>
  <si>
    <t>Gyarados</t>
  </si>
  <si>
    <t>It lives in the crater of a volcano. It is well known that the humps on its back erupt every 10 years.</t>
  </si>
  <si>
    <t>Hirvittävä Pokémon</t>
  </si>
  <si>
    <t>Harvoin nähty luonnossa. Valtava ja ilkeä, se kykenee tuhoamaan kokonaisia ​​kaupunkeja raivoissaan.</t>
  </si>
  <si>
    <t>The volcanoes on its back have a major eruption every 10 years--or whenever it becomes really angry.</t>
  </si>
  <si>
    <t>Raa'an julma ja valtavan tuhoisa. Tunnettu kaupunkien täydellisestä tuhoamisesta muinaisilla ajoilla.</t>
  </si>
  <si>
    <t>Camerupt has a volcano inside its body. Magma of 18,000 degrees Fahrenheit courses through its body. Occasionally, the humps on this Pokémon’s back erupt, spewing the superheated magma.</t>
  </si>
  <si>
    <t>He sanovat, että menneiden sotien aikana GYARADOS ilmestyi ja jätti jälkeensä hehkuvia raunioita.</t>
  </si>
  <si>
    <t>Kun se ilmestyy, se siirtyy ram-sivulle. Se pysyy raivoissaan, kunnes tuhoaa kaiken ympärillään.</t>
  </si>
  <si>
    <t>The humps on Camerupt’s back are formed by a transformation of its bones. They sometimes blast out molten magma. This Pokémon apparently erupts often when it is enraged.</t>
  </si>
  <si>
    <t>Se ilmestyy aina, kun maailmassa on konflikti, ja polttaa maan tasalle kaikki paikat, joiden läpi se kulkee.</t>
  </si>
  <si>
    <t>TORKOAL digs through mountains in search of coal. If it finds some, it fills hollow spaces on its shell with the coal and burns it. If it is attacked, this POKéMON spouts thick black smoke to beat a retreat.</t>
  </si>
  <si>
    <t>Kun MAGIKARP kehittyy GYARADOSiksi, sen aivosolut käyvät läpi rakenteellisen muutoksen. Sanotaan, että tämä muutos on syypää tämän POKéMONin villisti väkivaltaiseen luonteeseen.</t>
  </si>
  <si>
    <t>TORKOAL generates energy by burning coal. It grows weaker as the fire dies down. When it is preparing for battle, this POKéMON burns more coal.</t>
  </si>
  <si>
    <t>Kun GYARADOS riehuu, sen raju veri ei tyynny ennen kuin se on polttanut kaiken maan tasalle. Tämän POKéMONin riehumisista on tietoa kokonaisen kuukauden ajan.</t>
  </si>
  <si>
    <t>Se on äärimmäisen ilkeä ja väkivaltainen POKéMON. Kun ihmiset alkavat taistella, se ilmestyy ja polttaa kaiken maan tasalle kuumilla liekeillä.</t>
  </si>
  <si>
    <t>It battles using energy it gets from burning coal. When loosing smoke from its nostrils, it lets off a sound that is similar to a locomotive’s horn.</t>
  </si>
  <si>
    <t>Sillä on äärimmäisen aggressiivinen luonne. Sen suusta ampuma HYPERSÄDE polttaa kaikki kohteet täysin.</t>
  </si>
  <si>
    <t>It burns coal inside its shell. If it is attacked, it belches thick, black smoke and flees.</t>
  </si>
  <si>
    <t>It burns coal inside its shell for energy. It blows out black soot if it is endangered.</t>
  </si>
  <si>
    <t>Kun se ilmestyy, sen raivo ei laannu ennen kuin se on tuhonnut ympäröivät pellot ja vuoret.</t>
  </si>
  <si>
    <t>You find abandoned coal mines full of them. They dig tirelessly in search of coal.</t>
  </si>
  <si>
    <t>Muinaisessa kirjallisuudessa on kuvaus gyaradoksesta, joka tuhosi kylän väkivallan leimahdellessa.</t>
  </si>
  <si>
    <t>Torkoal digs through mountains in search of coal. If it finds some, it fills hollow spaces on its shell with the coal and burns it. If it is attacked, this Pokémon spouts thick black smoke to beat a retreat.</t>
  </si>
  <si>
    <t>Kun gyarados alkaa riehua, se polttaa kaiken maan tasalle, jopa ankarassa myrskyssä.</t>
  </si>
  <si>
    <t>Torkoal generates energy by burning coal. It grows weaker as the fire dies down. When it is preparing for battle, this Pokémon burns more coal.</t>
  </si>
  <si>
    <t>Coal is the source of Torkoal’s energy. Large amounts of coal can be found in the mountains where they live.</t>
  </si>
  <si>
    <t>If the fire burning within its shell goes out, it will die. Those who wish to raise one in their home must always keep something flammable at hand.</t>
  </si>
  <si>
    <t>You can tell how it’s feeling by the smoke spouting from its shell. Tremendous velocity is a sign of good health.</t>
  </si>
  <si>
    <t>He sanovat, että menneiden taisteluiden aikana GYARADOS ilmestyi ja jätti jälkeensä liekehtiviä raunioita.</t>
  </si>
  <si>
    <t>It burns coal to produce energy. When it has burned through all of its coal, it becomes unable to move.</t>
  </si>
  <si>
    <t>Heti ilmestyttyään se riehuu. Se pysyy raivoissaan, kunnes tuhoaa kaiken ympärillään.</t>
  </si>
  <si>
    <t>SPOINK bounces around on its tail. The shock of its bouncing makes its heart pump. As a result, this POKéMON cannot afford to stop bouncing - if it stops, its heart will stop.</t>
  </si>
  <si>
    <t>SPOINK keeps a pearl on top of its head. The pearl functions to amplify this POKéMON’s psychokinetic powers. It is therefore on a constant search for a bigger pearl.</t>
  </si>
  <si>
    <t>Kun Gyarados alkaa riehua, se polttaa kaiken maan tasalle, jopa ankarassa myrskyssä.</t>
  </si>
  <si>
    <t>A POKéMON that manipulates psychic power at will. It doesn’t stop bouncing even when it is asleep. It loves eating mushrooms that grow underground.</t>
  </si>
  <si>
    <t>It apparently dies if it stops bouncing about. It carries a pearl from CLAMPERL on its head.</t>
  </si>
  <si>
    <t>It bounces constantly, using its tail like a spring. The shock of bouncing keeps its heart beating.</t>
  </si>
  <si>
    <t>Muinaisessa kirjallisuudessa on maininta Gyaradosista, joka tuhosi kylän väkivallan leimahdettua.</t>
  </si>
  <si>
    <t>It bounces around on its tail to keep its heart pumping. It carries a pearl from CLAMPERL on its head.</t>
  </si>
  <si>
    <t>Using its tail like a spring, it keeps its heart beating by bouncing constantly. If it stops, it dies.</t>
  </si>
  <si>
    <t>Kun Magikarp kehittyy Gyaradokseksi, sen aivosolut käyvät läpi rakenteellisen muutoksen. Sanotaan, että tämä muutos on syypää tämän Pokémonin villisti väkivaltaiseen luonteeseen.</t>
  </si>
  <si>
    <t>It bounces around on its tail to keep its heart pumping. It carries a pearl from Clamperl on its head.</t>
  </si>
  <si>
    <t>Kun Gyarados riehuu, sen raivoisa veri ei tyynny ennen kuin se on polttanut kaiken maan tasalle. Tämän Pokémonin riehumisista on tietoa, jotka ovat kestäneet kokonaisen kuukauden.</t>
  </si>
  <si>
    <t>Spoink bounces around on its tail. The shock of its bouncing makes its heart pump. As a result, this Pokémon cannot afford to stop bouncing—if it stops, its heart will stop.</t>
  </si>
  <si>
    <t>Kertomus kertoo kaupungista, joka suututti Gyaradosin. Ennen auringonnousua seuraavana päivänä liekit tuhosivat kaupungin täysin jättämättä jälkeään.</t>
  </si>
  <si>
    <t>Spoink keeps a pearl on top of its head. The pearl functions to amplify this Pokémon’s psychokinetic powers. It is therefore on a constant search for a bigger pearl.</t>
  </si>
  <si>
    <t>Jotkut vannovat, että kaikki Gyaradosin ilmestymispaikat ovat tuhon omaisia.</t>
  </si>
  <si>
    <t>GRUMPIG uses the black pearls on its body to amplify its psychic power waves for gaining total control over its foe. When this POKéMON uses its special power, its snorting breath grows labored.</t>
  </si>
  <si>
    <t>Se ampuu hypersäteitä kaikkiin suuntiin polttaen ympäröivän alueen tuhkaksi. On joitakin alueita, joilla sitä kutsutaan "tuhon jumaluudeksi".</t>
  </si>
  <si>
    <t>GRUMPIG uses the black pearls on its body to wield its fantastic powers. When it is doing so, it dances bizarrely. This POKéMON’s black pearls are valuable as works of art.</t>
  </si>
  <si>
    <t>Evoluution energia stimuloi sen aivosoluja voimakkaasti, mikä teki siitä hyvin raivoisan.</t>
  </si>
  <si>
    <t>It stores power in the black pearls on its forehead. When it uses psychic power, it performs an odd dance step. Its style of dancing became hugely popular overseas.</t>
  </si>
  <si>
    <t>It can gain control over foes by doing odd dance steps. The black pearls on its forehead are precious gems.</t>
  </si>
  <si>
    <t>It uses black pearls to amplify its psycho-power. It does an odd dance to gain control over foes.</t>
  </si>
  <si>
    <t>It can perform odd dance steps to influence foes. Its style of dancing became hugely popular overseas.</t>
  </si>
  <si>
    <t>Sillä on äärimmäisen aggressiivinen luonne. Sen suusta ampuma hypersäde polttaa kaikki kohteet täysin.</t>
  </si>
  <si>
    <t>It uses black pearls to amplify its psychic power. It does a strange dance to control foes’ minds.</t>
  </si>
  <si>
    <t>It uses black pearls to amplify its psychic power. It does an odd dance to gain control over foes.</t>
  </si>
  <si>
    <t>Grumpig uses the black pearls on its body to amplify its psychic power waves for gaining total control over its foe. When this Pokémon uses its special power, its snorting breath grows labored.</t>
  </si>
  <si>
    <t>Epäilen tämän Pokémonin olevan muinaisissa teksteissä mainitun lohikäärmeen oikea henkilöllisyys. Teksteissä väitetään, että se tuhosi kokonaisen kylän kitansa valkohehkuisilla säteillä.</t>
  </si>
  <si>
    <t>Lapras</t>
  </si>
  <si>
    <t>Grumpig uses the black pearls on its body to wield its fantastic powers. When it is doing so, it dances bizarrely. This Pokémon’s black pearls are valuable as works of art.</t>
  </si>
  <si>
    <t>Kuljetus-Pokémon</t>
  </si>
  <si>
    <t>Pokémon, jota on metsästetty lähes sukupuuttoon. Se voi kuljettaa ihmisiä veden yli.</t>
  </si>
  <si>
    <t>All the SPINDA that exist in the world are said to have utterly unique spot patterns. The shaky, tottering steps of this POKéMON give it the appearance of dancing.</t>
  </si>
  <si>
    <t>No two SPINDA are said to have identical spot patterns on their hides. This POKéMON moves in a curious manner as if it is stumbling in dizziness. Its lurching movements can cause the opponent to become confused.</t>
  </si>
  <si>
    <t>It is distinguished by a pattern of spots that is always different. Its unsteady, tottering walk has the effect of fouling its foe’s aim.</t>
  </si>
  <si>
    <t>Lempeä sielu, joka osaa lukea ihmisten ajatuksia. Se voi kuljettaa ihmisiä meren yli selässään.</t>
  </si>
  <si>
    <t>No two SPINDA are said to have identical patterns. It confuses foes with its stumbling motions.</t>
  </si>
  <si>
    <t>Heillä on lempeät sydämet. Koska he harvoin taistelevat, monet heistä on jäänyt kiinni. Heidän lukumääränsä on vähentynyt.</t>
  </si>
  <si>
    <t>No two SPINDA have the same pattern of spots. Its tottering step fouls the aim of foes.</t>
  </si>
  <si>
    <t>Se kuljettaa ihmisiä meren yli selällään. Se voi laulaa lumoavan huudon, jos se on hyvällä tuulella.</t>
  </si>
  <si>
    <t>The chances of two SPINDA having identical spot patterns is less than one in four billion.</t>
  </si>
  <si>
    <t>Tämä lempeä POKéMON rakastaa kyydin antamista ja tarjoaa erittäin mukavan tavan liikkua.</t>
  </si>
  <si>
    <t>No two Spinda have the same pattern of spots. Its tottering step fouls the aim of foes.</t>
  </si>
  <si>
    <t>The chances of two Spinda having identical spot patterns is less than one in four billion.</t>
  </si>
  <si>
    <t>Ihmiset ovat ajaneet LAPRASin lähes sukupuuton partaalle. Iltaisin tämän POKéMONin sanotaan laulavan valittavasti etsiessään sitä, mitä vain harvat lajitoverinsa ovat enää jäljellä.</t>
  </si>
  <si>
    <t>All the Spinda that exist in the world are said to have utterly unique spot patterns. The shaky, tottering steps of this Pokémon give it the appearance of dancing.</t>
  </si>
  <si>
    <t>No two Spinda are said to have identical spot patterns on their hides. This Pokémon moves in a curious manner as if it is stumbling in dizziness. Its lurching movements can cause the opponent to become confused.</t>
  </si>
  <si>
    <t>Its steps are staggering and unsteady, but Spinda thinks it’s walking in a straight line.</t>
  </si>
  <si>
    <t>Each and every Spinda has a slightly different configuration of spots. There are collectors who enjoy the tiny differences in their spot patterns.</t>
  </si>
  <si>
    <t>Its steps are shaky and stumbling. Walking for a long time makes it feel sick.</t>
  </si>
  <si>
    <t>Ihmiset ovat ajaneet LAPRASin lähes sukupuuton partaalle. Iltaisin sen sanotaan laulavan valittavasti etsiessään sitä, mitä harvat lajinsa edustajat ovat enää jäljellä.</t>
  </si>
  <si>
    <t>https://pokeapi.co/api/v2/pokemon-species/109/</t>
  </si>
  <si>
    <t>Each Spinda’s spot pattern is different. With its stumbling movements, it evades opponents’ attacks brilliantly!</t>
  </si>
  <si>
    <t>TRAPINCH’s nest is a sloped, bowl-like pit dug in sand. This POKéMON patiently waits for prey to tumble down the pit. Its giant jaws have enough strength to crush even boulders.</t>
  </si>
  <si>
    <t>Sen korkea älykkyys mahdollistaa ihmispuheen ymmärtämisen. Se kuljettaa mielellään ihmisiä selässään.</t>
  </si>
  <si>
    <t>TRAPINCH is a patient hunter. It digs an inescapable pit in a desert and waits for its prey to come tumbling down. This POKéMON can go a whole week without access to any water.</t>
  </si>
  <si>
    <t>Its big jaws crunch through boulders. Because its head is so big, it has a hard time getting back upright if it tips over onto its back.</t>
  </si>
  <si>
    <t>It lives in arid deserts. It makes a sloping pit trap in sand where it patiently awaits prey.</t>
  </si>
  <si>
    <t>Lähes sukupuuttoon kuollut POKéMON. Se voi kuljettaa ihmisiä selässään.</t>
  </si>
  <si>
    <t>It makes a conical pit in desert sand and lies in wait at the bottom for prey to come tumbling down.</t>
  </si>
  <si>
    <t>Its nest is a sloped, bowl-like pit in the desert. Once something has fallen in, there is no escape.</t>
  </si>
  <si>
    <t>It makes an inescapable conical pit and lies in wait at the bottom for prey to come tumbling down.</t>
  </si>
  <si>
    <t>Trapinch’s nest is a sloped, bowl-like pit dug in sand. This Pokémon patiently waits for prey to tumble down the pit. Its giant jaws have enough strength to crush even boulders.</t>
  </si>
  <si>
    <t>Se rakastaa meren ylittämistä ihmisten ja Pokémonien kanssa selässään. Se ymmärtää ihmispuhetta.</t>
  </si>
  <si>
    <t>Trapinch is a patient hunter. It digs an inescapable pit in a desert and waits for its prey to come tumbling down. This Pokémon can go a whole week without access to any water.</t>
  </si>
  <si>
    <t>It can live for a week without eating a thing. It waits patiently at the bottom of its nest for prey to appear.</t>
  </si>
  <si>
    <t>As it digs through the sand, its giant jaws crush any rocks that obstruct its path. It builds a funnel-shaped nest.</t>
  </si>
  <si>
    <t>Its jaws are strong enough to crush rocks but so heavy that it can’t get up if it flips over. Sandile seize those moments as their chance.</t>
  </si>
  <si>
    <t>It builds nests that double as traps, lying in wait for its prey to get caught. When night falls, it digs itself a spot beneath the sand to sleep.</t>
  </si>
  <si>
    <t>To make prey faint, VIBRAVA generates ultrasonic waves by vigorously making its two wings vibrate. This POKéMON’s ultrasonic waves are so powerful, they can bring on headaches in people.</t>
  </si>
  <si>
    <t>Heillä on lempeät sydämet. Koska he harvoin taistelevat, monet ovat jääneet kiinni. Heidän määränsä on vähentynyt.</t>
  </si>
  <si>
    <t>VIBRAVA’s wings have not yet completed the process of growing. Rather than flying long distances, they are more useful for generating ultrasonic waves by vibrating.</t>
  </si>
  <si>
    <t>It looses ultrasonic waves by rubbing its wings together. Since a VIBRAVA’s wings are still in the process of growing, it can only fly short distances.</t>
  </si>
  <si>
    <t>It generates ultrasonic waves by violently flapping its wings. After making its prey faint, it melts the prey with acid.</t>
  </si>
  <si>
    <t>Se pystyy ymmärtämään ihmispuhetta ja on erittäin älykäs, ja rakastaa uida meressä ihmisten selässään.</t>
  </si>
  <si>
    <t>It violently shudders its wings, generating ultrasonic waves to induce headaches in people.</t>
  </si>
  <si>
    <t>It vibrates its wings vigorously, creating ultrasonic waves that cause serious headaches.</t>
  </si>
  <si>
    <t>The ultrasonic waves it generates by rubbing its two wings together cause severe headaches.</t>
  </si>
  <si>
    <t>To make prey faint, Vibrava generates ultrasonic waves by vigorously making its two wings vibrate. This Pokémon’s ultrasonic waves are so powerful, they can bring on headaches in people.</t>
  </si>
  <si>
    <t>Ihmiset ovat ajaneet Laprasin lähes sukupuuton partaalle. Iltaisin tämän Pokémonin sanotaan laulavan valittavasti etsiessään sitä, mitä harvat lajitoverinsa ovat enää jäljellä.</t>
  </si>
  <si>
    <t>Vibrava’s wings have not yet completed the process of growing. Rather than flying long distances, they are more useful for generating ultrasonic waves by vibrating.</t>
  </si>
  <si>
    <t>Rather than using its underdeveloped wings for flight, it rubs them together, producing ultrasonic waves to attack its enemies.</t>
  </si>
  <si>
    <t>To help make its wings grow, it dissolves quantities of prey in its digestive juices and guzzles them down every day.</t>
  </si>
  <si>
    <t>Sen korkea älykkyys mahdollistaa ihmispuheen ymmärtämisen. Hyvällä tuulella se laulaa kauniilla äänellään.</t>
  </si>
  <si>
    <t>It vibrates its wings to generate ultrasonic waves, causing its prey to faint. Then it buries the prey alive in the sand to preserve it.</t>
  </si>
  <si>
    <t>Nämä Pokémonit olivat aikoinaan sukupuuton partaalla salametsästyksen vuoksi. Suojelumääräysten vuoksi niitä on nyt ylitarjontaa.</t>
  </si>
  <si>
    <t>It vibrates its wings to send out odd sound waves. Trainers who are with it need earplugs.</t>
  </si>
  <si>
    <t>FLYGON is nicknamed “the elemental spirit of the desert.” Because its flapping wings whip up a cloud of sand, this POKéMON is always enveloped in a sandstorm while flying.</t>
  </si>
  <si>
    <t>Se tykkää uida ihmisten selässään. Alolan alueella se on tärkeä kulkuväline vesillä.</t>
  </si>
  <si>
    <t>FLYGON whips up a sandstorm by flapping its wings. The wings create a series of notes that sound like singing. Because the “singing” is the only thing that can be heard in a sandstorm, this POKéMON is said to be the desert spirit.</t>
  </si>
  <si>
    <t>Niitä on pidetty niin vaalimana, että niitä on nyt ylitarjontaa. Kala-Pokémon-populaatio on vähentynyt vesissä, joissa on liikaa Lapras-pokémoneja.</t>
  </si>
  <si>
    <t>The flapping of its wings sounds like singing. To prevent detection by enemies, it hides itself by flapping up a cloud of desert sand.</t>
  </si>
  <si>
    <t>Lempeä sielu, joka ymmärtää ihmispuhetta. Se voi kuljettaa ihmisiä meren yli selässään.</t>
  </si>
  <si>
    <t>It hides itself by kicking up desert sand with its wings. Red covers shield its eyes from sand.</t>
  </si>
  <si>
    <t>It whips up sandstorms with powerful flaps of its wings. It is known as “The Desert Spirit.”</t>
  </si>
  <si>
    <t>Älykäs ja hyväsydäminen Pokémon liitää meren pinnalla kauniin laulunsa kaikuessa ympärillään.</t>
  </si>
  <si>
    <t>It is nicknamed “The Desert Spirit” because the flapping of its wings sounds like a woman singing.</t>
  </si>
  <si>
    <t>Jäisten merien ylittäminen ei ole ongelma tälle kylmänkestävälle Pokémonille. Sen sileä iho on hieman viileä koskettaa.</t>
  </si>
  <si>
    <t>Known as “The Desert Spirit,” this Pokémon hides in the sandstorms it causes by beating its wings.</t>
  </si>
  <si>
    <t>Ditto</t>
  </si>
  <si>
    <t>Muunna Pokémoneja</t>
  </si>
  <si>
    <t>Flygon is nicknamed “the elemental spirit of the desert.” Because its flapping wings whip up a cloud of sand, this Pokémon is always enveloped in a sandstorm while flying.</t>
  </si>
  <si>
    <t>Kykenee kopioimaan vihollisen geneettisen koodin ja muuttamaan itsensä välittömästi vihollisen kopioksi.</t>
  </si>
  <si>
    <t>Flygon whips up a sandstorm by flapping its wings. The wings create a series of notes that sound like singing. Because the “singing” is the only thing that can be heard in a sandstorm, this Pokémon is said to be the desert spirit.</t>
  </si>
  <si>
    <t>The flapping of its wings sounds something like singing. Those lured by the sound are enveloped in a sandstorm, becoming Flygon’s prey.</t>
  </si>
  <si>
    <t>Kun se havaitsee vihollisen, sen ruumis muuttuu lähes täydelliseksi kopioksi vastustajasta.</t>
  </si>
  <si>
    <t>This Pokémon hides in the heart of sandstorms it creates and seldom appears where people can see it.</t>
  </si>
  <si>
    <t>Se voi muuttua miksi tahansa. Nukkuessaan se muuttuu kiveksi välttääkseen hyökkäyksen.</t>
  </si>
  <si>
    <t>By flapping their wings, Flygon cause sandstorms that conceal Krookodile. The team then splits the prey they catch.</t>
  </si>
  <si>
    <t>Sen muodonmuutoskyky on täydellinen. Jos se kuitenkin naurattaa, se ei pysty säilyttämään naamiotaan.</t>
  </si>
  <si>
    <t>People continue to have their hearts stolen by its enchanting songs and find themselves stranded in the desert.</t>
  </si>
  <si>
    <t>It is nicknamed the Desert Spirit because the flapping of its wings sounds like a woman singing.</t>
  </si>
  <si>
    <t>Kun se kohtaa toisen SAMANLAISEN, se liikkuu normaalia nopeammin kopioidakseen vastustajan täsmälleen.</t>
  </si>
  <si>
    <t>CACNEA lives in arid locations such as deserts. It releases a strong aroma from its flower to attract prey. When prey comes near, this POKéMON shoots sharp thorns from its body to bring the victim down.</t>
  </si>
  <si>
    <t>DITTO järjestelee solurakennettaan uudelleen muuttaakseen itsensä muihin muotoihin. Jos se kuitenkin yrittää muuttaa itsensä joksikin muistinsa avulla, tämä POKéMON onnistuu erehtymään yksityiskohdissa.</t>
  </si>
  <si>
    <t>The more arid and harsh the environment, the more pretty and fragrant a flower CACNEA grows. This POKéMON battles by wildly swinging its thorny arms.</t>
  </si>
  <si>
    <t>CACNEA live in deserts with virtually no rainfall. It battles by swinging its thick, spiked arms. Once a year, a yellow flower blooms.</t>
  </si>
  <si>
    <t>DITTO järjestelee solurakennettaan uudelleen muuttaakseen itseään. Jos se kuitenkin yrittää muuttua muistinsa perusteella, se saa virheellisiä tietoja.</t>
  </si>
  <si>
    <t>It prefers harsh environments such as deserts. It can survive for 30 days on water stored in its body.</t>
  </si>
  <si>
    <t>By storing water in its body, this desert dweller can survive for 30 days without water.</t>
  </si>
  <si>
    <t>Se voi vapaasti yhdistää oman solurakenteensa uudelleen muuntuakseen muiksi elämänmuodoiksi.</t>
  </si>
  <si>
    <t>It lives in arid locations. Its yellow flowers bloom once a year.</t>
  </si>
  <si>
    <t>Cacnea lives in arid locations such as deserts. It releases a strong aroma from its flower to attract prey. When prey comes near, this Pokémon shoots sharp thorns from its body to bring the victim down.</t>
  </si>
  <si>
    <t>Kykenee kopioimaan vastustajan geneettisen koodin ja muuttamaan itsensä välittömästi vihollisen kopioksi.</t>
  </si>
  <si>
    <t>The more arid and harsh the environment, the more pretty and fragrant a flower Cacnea grows. This Pokémon battles by wildly swinging its thorny arms.</t>
  </si>
  <si>
    <t>Sillä on kyky rakentaa koko solurakenteensa uudelleen ja muuttua siksi, mitä se näkee.</t>
  </si>
  <si>
    <t>During the daytime, CACTURNE remains unmoving so that it does not lose any moisture to the harsh desert sun. This POKéMON becomes active at night when the temperature drops.</t>
  </si>
  <si>
    <t>If a traveler is going through a desert in the thick of night, CACTURNE will follow in a ragtag group. The POKéMON are biding their time, waiting for the traveler to tire and become incapable of moving.</t>
  </si>
  <si>
    <t>After spending thousands of years in harsh deserts, its blood transformed into the same substances as sand. It is nocturnal, so it hunts at night.</t>
  </si>
  <si>
    <t>It lives in deserts. It becomes active at night when it hunts for prey exhausted from the desert’s heat.</t>
  </si>
  <si>
    <t>It becomes active at night, seeking prey that is exhausted from the day’s desert heat.</t>
  </si>
  <si>
    <t>Packs of them follow travelers through the desert until the travelers can no longer move.</t>
  </si>
  <si>
    <t>During the daytime, Cacturne remains unmoving so that it does not lose any moisture to the harsh desert sun. This Pokémon becomes active at night when the temperature drops.</t>
  </si>
  <si>
    <t>https://pokeapi.co/api/v2/pokemon-species/110/</t>
  </si>
  <si>
    <t>If a traveler is going through a desert in the thick of night, Cacturne will follow in a ragtag group. The Pokémon are biding their time, waiting for the traveler to tire and become incapable of moving.</t>
  </si>
  <si>
    <t>SWABLU has light and fluffy wings that are like cottony clouds. This POKéMON is not frightened of people. It lands on the heads of people and sits there like a cotton-fluff hat.</t>
  </si>
  <si>
    <t>SWABLU loves to make things clean. If it spots something dirty, it will wipe and polish it with its cottony wings. If its wings become dirty, this POKéMON finds a stream and showers itself.</t>
  </si>
  <si>
    <t>Se voi rakentaa koko solurakenteensa uudelleen ja muuttua näkemäkseen, mutta se palautuu normaaliksi rentoutuessaan.</t>
  </si>
  <si>
    <t>A POKéMON that has wings like cottony clouds. After enduring winter, in which little food is available, SWABLU flocks move closer to towns in the spring.</t>
  </si>
  <si>
    <t>It constantly grooms its cotton-like wings. It takes a shower to clean itself if it becomes dirty.</t>
  </si>
  <si>
    <t>Its wings are like cotton tufts. If it perches on someone’s head, it looks like a cotton hat.</t>
  </si>
  <si>
    <t>Se voi vapaasti rekombinoida omaa solurakennettaan muuntuakseen muiksi elämänmuodoiksi.</t>
  </si>
  <si>
    <t>It can’t relax if it or its surroundings are not clean. It wipes off dirt with its wings.</t>
  </si>
  <si>
    <t>Its wings bring cottony clouds to mind. It grooms with springwater and loves to sit on heads.</t>
  </si>
  <si>
    <t>Ditto järjestelee solurakennettaan uudelleen muuttaakseen itsensä muihin muotoihin. Jos se kuitenkin yrittää muuttaa itsensä joksikin muistinsa avulla, tämä Pokémon onnistuu erehtymään yksityiskohdissa.</t>
  </si>
  <si>
    <t>For some reason, it likes to land on people’s heads softly and act like it’s a hat.</t>
  </si>
  <si>
    <t>Swablu has light and fluffy wings that are like cottony clouds. This Pokémon is not frightened of people. It lands on the heads of people and sits there like a cotton-fluff hat.</t>
  </si>
  <si>
    <t>Se voi järjestää solunsa uudelleen ja tehdä itsestään kopion kaikesta näkemästään. Kopion laatu riippuu yksilöstä.</t>
  </si>
  <si>
    <t>Swablu loves to make things clean. If it spots something dirty, it will wipe and polish it with its cottony wings. If its wings become dirty, this Pokémon finds a stream and showers itself.</t>
  </si>
  <si>
    <t>Its cottony wings are full of air, making them light and fluffy to the touch. Swablu takes diligent care of its wings.</t>
  </si>
  <si>
    <t>Hämmästyttävän muodonmuutoskykynsä ansiosta se tulee toimeen minkä tahansa kanssa. Se ei tule hyvin toimeen Ditto-toverinsa kanssa.</t>
  </si>
  <si>
    <t>Since Swablu looks like a cumulus cloud, foes can have a hard time finding it. Apparently its wings turned white over many generations.</t>
  </si>
  <si>
    <t>Vaikka se voi muuttua miksi tahansa, jokaisella Ditolla on ilmeisesti omat vahvuutensa ja heikkoutensa muuntautumisten suhteen.</t>
  </si>
  <si>
    <t>ALTARIA dances and wheels through the sky among billowing, cotton-like clouds. By singing melodies in its crystal-clear voice, this POKéMON makes its listeners experience dreamy wonderment.</t>
  </si>
  <si>
    <t>Se muuttuu miksi tahansa näkemäkseen. Jos asia, joksi se muuttuu, ei ole aivan sen edessä, Ditto luottaa muistiinsa – joten joskus se epäonnistuu.</t>
  </si>
  <si>
    <t>ALTARIA sings in a gorgeous soprano. Its wings are like cotton clouds. This POKéMON catches updrafts with its buoyant wings and soars way up into the wild blue yonder.</t>
  </si>
  <si>
    <t>It hums in a beautiful soprano voice. It flies among white clouds in the blue sky. It launches intensely hot fireballs from its mouth.</t>
  </si>
  <si>
    <t>If you hear a beautiful melody trilling deep among mountains far from people, it is ALTARIA’s humming.</t>
  </si>
  <si>
    <t>It looks like a fluffy cloud when it is in flight. It hums with its soprano voice.</t>
  </si>
  <si>
    <t>If it bonds with a person, it will gently envelop the friend with its soft wings, then hum.</t>
  </si>
  <si>
    <t>Kun se kohtaa toisen Ditton, se liikkuu normaalia nopeammin kopioidakseen vastustajan täsmälleen.</t>
  </si>
  <si>
    <t>It flies gracefully through the sky. Its melodic humming makes you feel like you’re in a dream.</t>
  </si>
  <si>
    <t>Eevee</t>
  </si>
  <si>
    <t>Evoluutio-Pokémon</t>
  </si>
  <si>
    <t>Sen geneettinen koodi on epäsäännöllinen. Se voi mutatoitua, jos se altistuu alkuaineiden STONE säteilylle.</t>
  </si>
  <si>
    <t>On sunny days, it flies freely through the sky and blends into the clouds. It sings in a beautiful soprano.</t>
  </si>
  <si>
    <t>Altaria dances and wheels through the sky among billowing, cotton-like clouds. By singing melodies in its crystal-clear voice, this Pokémon makes its listeners experience dreamy wonderment.</t>
  </si>
  <si>
    <t>Sen geneettinen koodi on epävakaa, joten se voi kehittyä monin eri tavoin. Niitä on elossa vain muutama.</t>
  </si>
  <si>
    <t>Altaria sings in a gorgeous soprano. Its wings are like cotton clouds. This Pokémon catches updrafts with its buoyant wings and soars way up into the wild blue yonder.</t>
  </si>
  <si>
    <t>Sillä on kyky muuttaa kehonsa koostumusta ympäristöönsä sopivaksi.</t>
  </si>
  <si>
    <t>As it flies in a calm and relaxed manner, Altaria performs a humming song that would enrapture any audience.</t>
  </si>
  <si>
    <t>Sen epäsäännöllisesti muodostuneeseen DNA:han vaikuttaa sen ympäristö. Se kehittyy, jos sen ympäristö muuttuu.</t>
  </si>
  <si>
    <t>Sen kyky kehittyä moniin eri muotoihin mahdollistaa sen sopeutumisen sujuvasti ja täydellisesti mihin tahansa ympäristöön.</t>
  </si>
  <si>
    <t>This Pokémon has a kind disposition, but if it’s provoked, it will threaten opponents with shrill cries before attacking them without mercy.</t>
  </si>
  <si>
    <t>EEVEE:llä on epävakaa geneettinen koostumus, joka mutatoituu äkillisesti elinympäristön vuoksi. Erilaisten KIVEIDEN säteily saa tämän POKéMONin kehittymään.</t>
  </si>
  <si>
    <t>Memories of battling its arch-rival SEVIPER are etched into every cell of ZANGOOSE’s body. This POKéMON adroitly dodges attacks with incredible agility.</t>
  </si>
  <si>
    <t>ZANGOOSE usually stays on all fours, but when angered, it gets up on its hind legs and extends its claws. This POKéMON shares a bitter rivalry with SEVIPER that dates back over generations.</t>
  </si>
  <si>
    <t>When it battles, it stands on its hind legs and attacks with its sharply clawed forelegs. Its fur bristles if it encounters any SEVIPER.</t>
  </si>
  <si>
    <t>EEVEE:llä on epävakaa geneettinen koostumus, joka mutatoituu äkillisesti ympäristön vuoksi. Erilaisten KIVEIDEN säteily saa tämän POKéMONin kehittymään.</t>
  </si>
  <si>
    <t>If it comes across a SEVIPER, its fur bristles and it assumes its battle pose. Its sharp claws are its best weapon.</t>
  </si>
  <si>
    <t>Erittäin harvinainen POKéMON, joka voi kehittyä monella eri tavalla ärsykkeistä riippuen.</t>
  </si>
  <si>
    <t>Sen geneettinen koodi on epäsäännöllinen. Se voi mutatoitua, jos se altistuu KIVET-elementin säteilylle.</t>
  </si>
  <si>
    <t>It has feuded with SEVIPER for many generations. Its sharp claws are its biggest weapons.</t>
  </si>
  <si>
    <t>Harvinainen Pokémon, joka sopeutuu ankariin ympäristöihin ottamalla erilaisia ​​evolutiivisia muotoja.</t>
  </si>
  <si>
    <t>Its fur would all stand on end if it smelled a SEVIPER nearby. Its sharp claws tear up its foes.</t>
  </si>
  <si>
    <t>It has feuded with Seviper for many generations. Its sharp claws are its biggest weapons.</t>
  </si>
  <si>
    <t>Koska sen geneettinen koostumus on epäsäännöllinen, se muuttaa muotoaan nopeasti useista syistä johtuen.</t>
  </si>
  <si>
    <t>It’s Seviper’s archrival. To threaten those it encounters, it fans out the claws on its front paws.</t>
  </si>
  <si>
    <t>Sillä on kyky muuttaa kehonsa koostumusta ympäristönsä olosuhteisiin sopivaksi.</t>
  </si>
  <si>
    <t>Its fur would all stand on end if it smelled a Seviper nearby. Its sharp claws tear up its foes.</t>
  </si>
  <si>
    <t>Memories of battling its archrival Seviper are etched into every cell of Zangoose’s body. This Pokémon adroitly dodges attacks with incredible agility.</t>
  </si>
  <si>
    <t>Zangoose usually stays on all fours, but when angered, it gets up on its hind legs and extends its claws. This Pokémon shares a bitter rivalry with Seviper that dates back over generations.</t>
  </si>
  <si>
    <t>SEVIPER shares a generations-long feud with ZANGOOSE. The scars on its body are evidence of vicious battles. This POKéMON attacks using its sword- edged tail.</t>
  </si>
  <si>
    <t>SEVIPER’s swordlike tail serves two purposes - it slashes foes and douses them with secreted poison. This POKéMON will not give up its long- running blood feud with ZANGOOSE.</t>
  </si>
  <si>
    <t>Epävakaan geneettisen koostumuksensa ansiosta tämä erityinen Pokémon kätkee sisäänsä monia erilaisia ​​​​mahdollisuuksia evoluutiossa.</t>
  </si>
  <si>
    <t>SEVIPER and ZANGOOSE are eternal rivals. It counters a ZANGOOSE’s dazzling agility with its swordlike tail, which also oozes a horrible poison.</t>
  </si>
  <si>
    <t>It sharpens its swordlike tail on hard rocks. It hides in tall grass and strikes unwary prey with venomous fangs.</t>
  </si>
  <si>
    <t>For many generations, it has feuded with ZANGOOSE. It whets its bladed tail on rocks for battle.</t>
  </si>
  <si>
    <t>In battle, it uses its bladed tail to counter any ZANGOOSE. It secretes a deadly venom in its tail.</t>
  </si>
  <si>
    <t>For many generations, it has feuded with Zangoose. It whets its bladed tail on rocks for battle.</t>
  </si>
  <si>
    <t>Constant polishing makes the edge of the blade on its tail extremely sharp. It’s Zangoose’s archrival.</t>
  </si>
  <si>
    <t>Eeveellä on epävakaa geneettinen koostumus, joka mutatoituu äkillisesti elinympäristön vuoksi. Erilaisten kivien säteily saa tämän Pokémonin kehittymään.</t>
  </si>
  <si>
    <t>In battle, it uses its bladed tail to counter any Zangoose. It secretes a deadly venom in its tail.</t>
  </si>
  <si>
    <t>Seviper shares a generations-long feud with Zangoose. The scars on its body are evidence of vicious battles. This Pokémon attacks using its sword-edged tail.</t>
  </si>
  <si>
    <t>Seviper’s swordlike tail serves two purposes—it slashes foes and douses them with secreted poison. This Pokémon will not give up its long-running blood feud with Zangoose.</t>
  </si>
  <si>
    <t>Epätasapainoisen ja epävakaan geneettisen koostumuksensa ansiosta se kätkee sisäänsä monia mahdollisia evoluutioita.</t>
  </si>
  <si>
    <t>LUNATONE was discovered at a location where a meteorite fell. As a result, some people theorize that this POKéMON came from space. However, no one has been able to prove this theory so far.</t>
  </si>
  <si>
    <t>https://pokeapi.co/api/v2/pokemon-species/111/</t>
  </si>
  <si>
    <t>LUNATONE becomes active around the time of the full moon. Instead of walking, it moves by floating in midair. The POKéMON’s intimidating red eyes cause all those who see it to become transfixed with fear.</t>
  </si>
  <si>
    <t>Nykytutkimukset osoittavat, että se voi kehittyä uskomattomaksi kahdeksaksi eri Pokémon-lajiksi.</t>
  </si>
  <si>
    <t>It becomes very active on the night of a full moon. This POKéMON was first discovered 40 years ago at the site of a meteor strike.</t>
  </si>
  <si>
    <t>Its health ebbs and flows with the lunar cycle. It brims with power when exposed to the light of the full moon.</t>
  </si>
  <si>
    <t>Kysymys siitä, miksi vain Eeveellä on niin epävakaat geenit, on edelleen ratkaisematta.</t>
  </si>
  <si>
    <t>Because it turns active on nights of the full moon, it is said to have some link to the lunar phases.</t>
  </si>
  <si>
    <t>It was discovered at the site of a meteor strike 40 years ago. Its stare can lull its foes to sleep.</t>
  </si>
  <si>
    <t>Ympäristö vaikuttaa helposti sen geeneihin. Jopa sen kasvot alkavat näyttää kouluttajansa kasvoilta.</t>
  </si>
  <si>
    <t>The phase of the moon apparently has some effect on its power. It’s active on the night of a full moon.</t>
  </si>
  <si>
    <t>Se voi kehittyä monenlaisiksi. Eeveen geenit ovat avain Pokémonien evoluution mysteerien ratkaisemiseen.</t>
  </si>
  <si>
    <t>Lunatone was discovered at a location where a meteoroid fell. As a result, some people theorize that this Pokémon came from space. However, no one has been able to prove this theory so far.</t>
  </si>
  <si>
    <t>Lunatone becomes active around the time of the full moon. Instead of walking, it moves by floating in midair. The Pokémon’s intimidating red eyes cause all those who see it to become transfixed with fear.</t>
  </si>
  <si>
    <t>SOLROCK is a new species of POKéMON that is said to have fallen from space. It floats in air and moves silently. In battle, this POKéMON releases intensely bright light.</t>
  </si>
  <si>
    <t>Sunlight is the source of SOLROCK’s power. It is said to possess the ability to read the emotions of others. This POKéMON gives off intense heat while rotating its body.</t>
  </si>
  <si>
    <t>Sisältää potentiaalin kehittyä moniin eri muotoihin. Eeveessä piilee avain Pokémonin evoluution mysteereihin – olen siitä varma.</t>
  </si>
  <si>
    <t>Solar energy is the source of this POKéMON’s power. On sunny days, groups of SOLROCK line up facing the sun and absorb its light.</t>
  </si>
  <si>
    <t>Vaporeon</t>
  </si>
  <si>
    <t>Kuplasuihku-Pokémon</t>
  </si>
  <si>
    <t>It absorbs solar energy during the day. Always expressionless, it can sense what its foe is thinking.</t>
  </si>
  <si>
    <t>Asuu veden lähellä. Sen pitkässä pyrstössä on harjanne ja evä, jota usein luullaan merenneidon eväksi.</t>
  </si>
  <si>
    <t>A new Pokémon species, rumored to be from the sun. It gives off light while spinning.</t>
  </si>
  <si>
    <t>When it rotates itself, it gives off light similar to the sun, thus blinding its foes.</t>
  </si>
  <si>
    <t>Solar energy is the source of its power, so it is strong during the daytime. When it spins, its body shines.</t>
  </si>
  <si>
    <t>Sen solurakenne on samanlainen kuin vesimolekyylien. Se sulaa pois ja muuttuu näkymättömäksi vedessä.</t>
  </si>
  <si>
    <t>Solrock is a new species of Pokémon that is said to have fallen from space. It floats in air and moves silently. In battle, this Pokémon releases intensely bright light.</t>
  </si>
  <si>
    <t>Kun VAPOREONin evät alkavat värähdellä, se on merkki siitä, että sadetta tulee muutaman tunnin kuluessa.</t>
  </si>
  <si>
    <t>Sunlight is the source of Solrock’s power. It is said to possess the ability to read the emotions of others. This Pokémon gives off intense heat while rotating its body.</t>
  </si>
  <si>
    <t>Se viihtyy kauniissa rannoissa. Koska sen solut ovat vesimolekyylien kaltaisia, se voisi sulaa vedessä.</t>
  </si>
  <si>
    <t>BARBOACH’s sensitive whiskers serve as a superb radar system. This POKéMON hides in mud, leaving only its two whiskers exposed while it waits for prey to come along.</t>
  </si>
  <si>
    <t>Koska se käyttää uintiin pyrstönsä kärjessä olevia eviä, se sulautuu veteen täydellisesti.</t>
  </si>
  <si>
    <t>BARBOACH’s body is covered with a slimy film. If a foe grabs it, this POKéMON just slips out of the enemy’s grip. This POKéMON grows weak if the slimy coating dries up.</t>
  </si>
  <si>
    <t>VAPOREON koki spontaanin mutaation ja kasvatti evät ja kidukset, jotka mahdollistavat sen elämän veden alla. Tällä POKéMONilla on kyky hallita vettä vapaasti.</t>
  </si>
  <si>
    <t>Its body is covered with a slimy film. The film acts as a barrier to prevent germs in muddy water from entering the BARBOACH’s body.</t>
  </si>
  <si>
    <t>It probes muddy riverbeds with its two long whiskers. A slimy film protects its body.</t>
  </si>
  <si>
    <t>It coats its entire body with a slimy fluid so it can squirm and slip away if grabbed.</t>
  </si>
  <si>
    <t>VAPOREONit kokivat spontaanin mutaation ja kasvattivat evät ja kidukset, jotka mahdollistavat niiden elämän veden alla. Niillä on kyky hallita vettä vapaasti.</t>
  </si>
  <si>
    <t>Its whiskers make a superb radar. They are used to locate prey, even in the murkiest of water.</t>
  </si>
  <si>
    <t>Sen kehon solurakenne on samanlainen kuin veden molekyylikoostumus. Se voi sulaa näkymättömästi veteen.</t>
  </si>
  <si>
    <t>Its slimy body is hard to grasp. In one region, it is said to have been born from hardened mud.</t>
  </si>
  <si>
    <t>BARBOACH uses its whiskers to taste things just as a person uses his or her tongue to taste things.</t>
  </si>
  <si>
    <t>Barboach’s sensitive whiskers serve as a superb radar system. This Pokémon hides in mud, leaving only its two whiskers exposed while it waits for prey to come along.</t>
  </si>
  <si>
    <t>Se on kehittynyt sopivaksi vesieliöille. Se voi sulaa näkymättömästi veteen.</t>
  </si>
  <si>
    <t>Barboach’s body is covered with a slimy film. If a foe grabs it, this Pokémon just slips out of the enemy’s grip. This Pokémon grows weak if the slimy coating dries up.</t>
  </si>
  <si>
    <t>Its two whiskers provide a sensitive radar. Even in muddy waters, it can detect its prey’s location.</t>
  </si>
  <si>
    <t>Sen solukoostumus on samanlainen kuin vesimolekyylien. Tämän seurauksena se voi sulaa vedeksi.</t>
  </si>
  <si>
    <t>Its slippery body is hard to grasp, so much so that there are festivals where people compete to see how many they can catch barehanded.</t>
  </si>
  <si>
    <t>Its entire body is gooey. When pecked at by bird Pokémon, it slips and slides its way to freedom.</t>
  </si>
  <si>
    <t>Its whiskers are filled with nerves. They can sense smells and flavors just as a person’s nose or tongue would.</t>
  </si>
  <si>
    <t>Makes its home in swamps with murky water. The poor visibility hides this Pokémon from predators, and the slime on its body makes grasping it difficult.</t>
  </si>
  <si>
    <t>WHISCASH is extremely territorial. Just one of these POKéMON will claim a large pond as its exclusive territory. If a foe approaches it, it thrashes about and triggers a massive earthquake.</t>
  </si>
  <si>
    <t>If WHISCASH goes on a wild rampage, it sets off a quake-like tremor with a radius of over three miles. This POKéMON has the ability to predict real earthquakes.</t>
  </si>
  <si>
    <t>Mysteriously, it can foretell earthquakes. In the daytime, it sleeps in mud at the bottom of a pond. When it awakens, it continually feeds throughout the night.</t>
  </si>
  <si>
    <t>Sen solukoostumus on samanlainen kuin vesimolekyylien. Tämän seurauksena sitä ei voida nähdä, kun se sulaa vedeksi.</t>
  </si>
  <si>
    <t>It makes its nest at the bottom of swamps. It will eat anything - if it is alive, WHISCASH will eat it.</t>
  </si>
  <si>
    <t>It is very territorial. It repels foes by setting off tremors that extend over a three-mile radius.</t>
  </si>
  <si>
    <t>As a result of causing tremors by thrashing about, it developed the ability to foretell real quakes.</t>
  </si>
  <si>
    <t>It is extremely protective of its territory. If any foe approaches, it attacks using vicious tremors.</t>
  </si>
  <si>
    <t>It claims a large swamp to itself. If a foe comes near it, it sets off tremors by thrashing around.</t>
  </si>
  <si>
    <t>Vaporeonille tapahtui spontaanisti mutaatio, ja sille kasvoi evät ja kidukset, joiden avulla se voi elää veden alla. Tällä Pokémonilla on kyky hallita vettä vapaasti.</t>
  </si>
  <si>
    <t>It makes its nest at the bottom of swamps. It will eat anything--if it is alive, Whiscash will eat it.</t>
  </si>
  <si>
    <t>Whiscash is extremely territorial. Just one of these Pokémon will claim a large pond as its exclusive territory. If a foe approaches it, it thrashes about and triggers a massive earthquake.</t>
  </si>
  <si>
    <t>Sen solut koostuvat vesimolekyylien kaltaisista yksiköistä. Se elää veden lähellä ja sitä usein luullaan merenneidoksi.</t>
  </si>
  <si>
    <t>If Whiscash goes on a wild rampage, it sets off a quake-like tremor with a radius of over three miles. This Pokémon has the ability to predict real earthquakes.</t>
  </si>
  <si>
    <t>A glutton that devours anything that moves, it quietly lurks at the bottom of swamps, lying in wait for prey.</t>
  </si>
  <si>
    <t>Se sulautuu veteen ja pyyhkii pois kaikki merkit läsnäolostaan ​​odottaen kärsivällisesti saalistaan, kala-Pokémonia.</t>
  </si>
  <si>
    <t>Sighting Whiscash leaping from the water is believed to herald an earthquake.</t>
  </si>
  <si>
    <t>Whiscash shakes the ground at high intensities to intimidate its opponents. It swallows its prey whole—along with mud from the swamp floor.</t>
  </si>
  <si>
    <t>Kirkkaat ja puhtaat vedet ovat sen tavanomainen elinympäristö. Kun se on vihollisen hyökkäyksen uhan alla, se sukeltaa veteen piiloon.</t>
  </si>
  <si>
    <t>Its vision is not that good. It senses vibrations in the water with its whiskers to determine the location of its prey.</t>
  </si>
  <si>
    <t>It makes its nest at the bottom of swamps. It will eat anything—if it is alive, Whiscash will eat it.</t>
  </si>
  <si>
    <t>Se havaitsee lähellä olevan kosteuden evällään. Kun sen evä alkaa täristä nopeasti, se tarkoittaa, että muutaman tunnin kuluttua sataa.</t>
  </si>
  <si>
    <t>Strikes its caudal fin against the swamp bed to shake the ground and startle its prey. It will then swallow the fleeing prey whole. People mistook this behavior as the cause of earthquakes.</t>
  </si>
  <si>
    <t>CORPHISH were originally foreign POKéMON that were imported as pets. They eventually turned up in the wild. This POKéMON is very hardy and has greatly increased its population.</t>
  </si>
  <si>
    <t>Sen solurakenne on samanlainen kuin vesimolekyylien. Se sulaa veteen ja muuttuu näkymättömäksi.</t>
  </si>
  <si>
    <t>CORPHISH catches prey with its sharp claws. It has no likes or dislikes when it comes to food - it will eat anything. This POKéMON has no trouble living in filthy water.</t>
  </si>
  <si>
    <t>Once it grips prey with its large pincers, it will never let go, no matter what. It is a hardy POKéMON that can thrive in any environment.</t>
  </si>
  <si>
    <t>It came from overseas. It is a very hardy creature that will quickly proliferate, even in polluted streams.</t>
  </si>
  <si>
    <t>Its hardy vitality enables it to adapt to any environment. Its pincers will never release prey.</t>
  </si>
  <si>
    <t>It was originally a Pokémon from afar that escaped to the wild. It can adapt to the dirtiest river.</t>
  </si>
  <si>
    <t>Kun Vaporeonin evät alkavat värähdellä, se on merkki siitä, että sadetta tulee muutaman tunnin kuluessa.</t>
  </si>
  <si>
    <t>No matter how dirty the water in the river, it will adapt and thrive. It has a strong will to survive.</t>
  </si>
  <si>
    <t>Corphish were originally foreign Pokémon that were imported as pets. They eventually turned up in the wild. This Pokémon is very hardy and has greatly increased its population.</t>
  </si>
  <si>
    <t>Corphish catches prey with its sharp claws. It has no likes or dislikes when it comes to food—it will eat anything. This Pokémon has no trouble living in filthy water.</t>
  </si>
  <si>
    <t>Testit osoittavat, että sen solut muistuttavat läheisesti vesimolekyylejä, mikä kenties selittää sen kyvyn kätkeä muotonsa veden alla. Uskon, että merenneitoperinteen alkuperä on tässä Pokémonissa.</t>
  </si>
  <si>
    <t>Individuals that have been set free by Trainers who could no longer raise them have become common, and they can now be found in Alola.</t>
  </si>
  <si>
    <t>Jolteon</t>
  </si>
  <si>
    <t>Salama-Pokémon</t>
  </si>
  <si>
    <t>It can adapt very well to its environment. Feebas and Corphish are about the only Pokémon to live in stagnant ditches.</t>
  </si>
  <si>
    <t>Se kerää ilmakehään negatiivisia ioneja, jotka voivat laukaista 10 000 voltin salamoita.</t>
  </si>
  <si>
    <t>CRAWDAUNT has an extremely violent nature that compels it to challenge other living things to battle. Other life-forms refuse to live in ponds inhabited by this POKéMON, making them desolate places.</t>
  </si>
  <si>
    <t>CRAWDAUNT molts (sheds) its shell regularly. Immediately after molting, its shell is soft and tender. Until the shell hardens, this POKéMON hides in its streambed burrow to avoid attack from its foes.</t>
  </si>
  <si>
    <t>A brutish POKéMON that loves to battle. A veteran CRAWDAUNT that has prevailed in hundreds of battles has giant pincers marked with countless scars.</t>
  </si>
  <si>
    <t>https://pokeapi.co/api/v2/pokemon-species/112/</t>
  </si>
  <si>
    <t>A rough customer that wildly flails its giant claws. It is said to be extremely hard to raise.</t>
  </si>
  <si>
    <t>It is a ruffian that uses its pincers to pick up and toss out other Pokémon from its pond.</t>
  </si>
  <si>
    <t>Herkkä POKé MON, joka helposti surullistuu tai suuttuu. Joka kerta, kun sen mieliala muuttuu, se latautuu.</t>
  </si>
  <si>
    <t>A brutish Pokémon that loves to battle. It will crash itself into any foe that approaches its nest.</t>
  </si>
  <si>
    <t>Loving to battle, this Pokémon pinches all Pokémon that enter its territory with its pincers and throws them out.</t>
  </si>
  <si>
    <t>Crawdaunt has an extremely violent nature that compels it to challenge other living things to battle. Other life-forms refuse to live in ponds inhabited by this Pokémon, making them desolate places.</t>
  </si>
  <si>
    <t>Se keskittää kennojensa lähettämät heikot sähkövaraukset ja laukaisee voimakkaita salamoita.</t>
  </si>
  <si>
    <t>Crawdaunt molts (sheds) its shell regularly. Immediately after molting, its shell is soft and tender. Until the shell hardens, this Pokémon hides in its streambed burrow to avoid attack from its foes.</t>
  </si>
  <si>
    <t>Its temperament is rough and it loves to fight, but as soon as its pincers break off, it turns cowardly. It stays timid until they grow back.</t>
  </si>
  <si>
    <t>Jokainen sen kehon karva nousee pystyyn, jos siihen tulee sähkövaraus.</t>
  </si>
  <si>
    <t>Its pincers often fall off. Unlike with Crabrawler or Clauncher, the meat in its claws is utterly nasty and stinking.</t>
  </si>
  <si>
    <t>BALTOY moves while spinning around on its one foot. Primitive wall paintings depicting this POKéMON living among people were discovered in some ancient ruins.</t>
  </si>
  <si>
    <t>As soon as it spots others of its kind, BALTOY congregates with them and then begins crying noisily in unison. This POKéMON sleeps while cleverly balancing itself on its one foot.</t>
  </si>
  <si>
    <t>Sen turkissa syntyvät negatiivisesti varautuneet ionit aiheuttavat jatkuvaa kipinöintiääntä.</t>
  </si>
  <si>
    <t>A BALTOY moves by spinning on its single foot. It has been depicted in murals adorning the walls of a once-bustling city in an ancient age.</t>
  </si>
  <si>
    <t>It was discovered in ancient ruins. While moving, it constantly spins. It stands on one foot even when asleep.</t>
  </si>
  <si>
    <t>It moves by spinning on its foot. It is a rare Pokémon that was discovered in ancient ruins.</t>
  </si>
  <si>
    <t>JOLTEONin kennot tuottavat vähän sähköä. Tätä tehoa vahvistaa sen turkin staattinen sähkö, minkä ansiosta POKéMON voi pudottaa salamoja. Harjaksinen turkki on tehty sähköisesti varautuneista neuloista.</t>
  </si>
  <si>
    <t>It moves while spinning around on its single foot. Some BALTOY have been seen spinning on their heads.</t>
  </si>
  <si>
    <t>Discovered in ancient ruins, it moves by spinning around and forms a group when it finds others.</t>
  </si>
  <si>
    <t>It moves while spinning around on its single foot. Some Baltoy have been seen spinning on their heads.</t>
  </si>
  <si>
    <t>Baltoy moves while spinning around on its one foot. Primitive wall paintings depicting this Pokémon living among people were discovered in some ancient ruins.</t>
  </si>
  <si>
    <t>As soon as it spots others of its kind, Baltoy congregates with them and then begins crying noisily in unison. This Pokémon sleeps while cleverly balancing itself on its one foot.</t>
  </si>
  <si>
    <t>Sen solut tuottavat heikkoa virtaa, jota sen turkin staattinen sähkö vahvistaa ja joka saa aikaan salamaiskuja. Harjaksinen turkki on tehty sähköisesti varautuneista neuloista.</t>
  </si>
  <si>
    <t>Depictions of Pokémon similar to Baltoy have been found on the walls of caves where primitive humans lived.</t>
  </si>
  <si>
    <t>When they find others of their kind, they cry out loudly and gather together. Large numbers of them can be found in old graveyards.</t>
  </si>
  <si>
    <t>Jos se on vihainen tai säikähtänyt, sen turkki nousee pystyyn kuin terävät neulat, jotka lävistävät vihollisia.</t>
  </si>
  <si>
    <t>CLAYDOL are said to be dolls of mud made by primitive humans and brought to life by exposure to a mysterious ray. This POKéMON moves about while levitating.</t>
  </si>
  <si>
    <t>CLAYDOL is an enigma that appeared from a clay statue made by an ancient civilization dating back 20,000 years. This POKéMON shoots beams from both its hands.</t>
  </si>
  <si>
    <t>A CLAYDOL sleeps while hovering in midair. Its arms are separate from its body. They are kept floating by the POKéMON’s manipulation of psychic power.</t>
  </si>
  <si>
    <t>Se kerää ilmakehään negatiivisia ioneja, jotka laukaisevat 10 000 voltin salamoita.</t>
  </si>
  <si>
    <t>It appears to have been born from clay dolls made by ancient people. It uses telekinesis to float and move.</t>
  </si>
  <si>
    <t>An ancient clay figurine that came to life as a Pokémon from exposure to a mysterious ray of light.</t>
  </si>
  <si>
    <t>It is said that it originates from clay dolls made by an ancient civilization.</t>
  </si>
  <si>
    <t>Se ohjaa 10 000 voltin tehoa ja voi nostaa kaikki ruumiinsa karvat kuin teräviä neuloja.</t>
  </si>
  <si>
    <t>This mysterious Pokémon started life as an ancient clay figurine made over 20,000 years ago.</t>
  </si>
  <si>
    <t>Claydol are said to be dolls of mud made by primitive humans and brought to life by exposure to a mysterious ray. This Pokémon moves about while levitating.</t>
  </si>
  <si>
    <t>Claydol is an enigma that appeared from a clay statue made by an ancient civilization dating back 20,000 years. This Pokémon shoots beams from both its hands.</t>
  </si>
  <si>
    <t>If it gets wet, its body melts. When rain starts to fall, it wraps its whole body up with its psychic powers to protect itself.</t>
  </si>
  <si>
    <t>The ancient people who made it apparently modeled it after something that descended from the sky. It fires beams from both arms.</t>
  </si>
  <si>
    <t>Jos se on levoton, se käyttää sähköä suoristaakseen turkkinsa ja laukaistakseen sen pieninä nippuina.</t>
  </si>
  <si>
    <t>LILEEP became extinct approximately a hundred million years ago. This ancient POKéMON attaches itself to a rock on the seafloor and catches approaching prey using tentacles shaped like flower petals.</t>
  </si>
  <si>
    <t>LILEEP is an ancient POKéMON that was regenerated from a fossil. It remains permanently anchored to a rock. From its immobile perch, this POKéMON intently scans for prey with its two eyes.</t>
  </si>
  <si>
    <t>It disguises itself as seaweed by making its tentacles sway. Unsuspecting prey that come too close are swallowed whole. It became extinct 100 million years ago.</t>
  </si>
  <si>
    <t>It became extinct roughly 100 million years ago. It was regenerated from a fossil using advanced techniques.</t>
  </si>
  <si>
    <t>It lived on the seafloor 100 million years ago and was reanimated scientifically.</t>
  </si>
  <si>
    <t>It disguises its tentacles as flowers to attract and catch prey. It became extinct in ancient times.</t>
  </si>
  <si>
    <t>Lileep became extinct approximately a hundred million years ago. This ancient Pokémon attaches itself to a rock on the seafloor and catches approaching prey using tentacles shaped like flower petals.</t>
  </si>
  <si>
    <t>Lileep is an ancient Pokémon that was regenerated from a fossil. It remains permanently anchored to a rock. From its immobile perch, this Pokémon intently scans for prey with its two eyes.</t>
  </si>
  <si>
    <t>In ancient times, it lived in warm seas. It disguised itself as seaweed to ambush its prey and devoured them whole when they got close.</t>
  </si>
  <si>
    <t>It sticks to rocks with its powerful suckers and can’t be washed away no matter how rough the surf gets.</t>
  </si>
  <si>
    <t>This Pokémon was restored from a fossil. Lileep once lived in warm seas that existed approximately 100,000,000 years ago.</t>
  </si>
  <si>
    <t>Varastoimalla sähköä kehoonsa se voi ampua harjasmaista turkkiaan kuin ohjussarven.</t>
  </si>
  <si>
    <t>Lileep clings to rocks on the seabed. When prey comes close, this Pokémon entangles it with petallike tentacles.</t>
  </si>
  <si>
    <t>CRADILY roams around the ocean floor in search of food. This POKéMON freely extends its tree trunk-like neck and captures unwary prey using its eight tentacles.</t>
  </si>
  <si>
    <t>CRADILY’s body serves as an anchor, preventing it from being washed away in rough seas. This POKéMON secretes a strong digestive fluid from its tentacles.</t>
  </si>
  <si>
    <t>It drags its heavy body along the seafloor. It makes its nest in the shallows of warm seas. CRADILY can be seen on beaches when the tide goes out.</t>
  </si>
  <si>
    <t>It ensnares prey with its eight tentacles. It then melts the prey with a strong acid before feeding.</t>
  </si>
  <si>
    <t>It lives in the shallows of warm seas. When the tide goes out, it digs up prey from beaches.</t>
  </si>
  <si>
    <t>It lives in warm seas. Its heavy body weighs it down so it won’t get washed away in rough weather.</t>
  </si>
  <si>
    <t>Jolteonin solut tuottavat vähän sähköä. Tätä tehoa vahvistaa sen turkin staattinen sähkö, minkä ansiosta Pokémon voi pudottaa salamoja. Harjaksinen turkki on tehty sähköisesti varautuneista neuloista.</t>
  </si>
  <si>
    <t>Cradily roams around the ocean floor in search of food. This Pokémon freely extends its tree trunk-like neck and captures unwary prey using its eight tentacles.</t>
  </si>
  <si>
    <t>Cradily’s body serves as an anchor, preventing it from being washed away in rough seas. This Pokémon secretes a strong digestive fluid from its tentacles.</t>
  </si>
  <si>
    <t>Normally, it lived on shallow sea shoals. When the tide went out, this Pokémon came up on land to search for prey.</t>
  </si>
  <si>
    <t>Ne lähettävät noin 10 000 voltin sähkövarauksia. Koska ne ovat erittäin jännitteisiä, niiden lähellä voi olla vaikea kasvaa.</t>
  </si>
  <si>
    <t>This carnivorous Pokémon lived in primordial seas. It catches prey in its eight tentacles and dissolves them with digestive fluid as it eats.</t>
  </si>
  <si>
    <t>Kun sen turkki nousee pystyyn, se on merkki siitä, että se on päästämässä sähköiskun. Ole varovainen, sillä joskus salama iskee myös sen viereen.</t>
  </si>
  <si>
    <t>It has short legs and can’t walk very fast, but its neck and tentacles can extend to over three times their usual length to nab distant prey.</t>
  </si>
  <si>
    <t>Once Cradily catches prey in its tentacles, it digests them whole and absorbs their nutrients.</t>
  </si>
  <si>
    <t>Sen keuhkoissa on elin, joka tuottaa sähköä. Sähkön rätinää voi kuulla sen uloshengityksessä.</t>
  </si>
  <si>
    <t>ANORITH was regenerated from a prehistoric fossil. This primitive POKéMON once lived in warm seas. It grips its prey firmly between its two large claws.</t>
  </si>
  <si>
    <t>ANORITH is said to be a type of POKéMON predecessor, with eight wings at the sides of its body. This POKéMON swam in the primordial sea by undulating these eight wings.</t>
  </si>
  <si>
    <t>Sen turkki nousee pystyyn ja muuttuu neulojen kaltaiseksi, joita se ampuu vihollisia kohti. Kun ne ovat heikentyneet, se viimeistelee ne 10 000 voltin sähköiskulla.</t>
  </si>
  <si>
    <t>It was resurrected from a fossil using the power of science. It swims by undulating the eight wings at its sides. They were feet that adapted to life in the sea.</t>
  </si>
  <si>
    <t>It is a kind of POKéMON progenitor. It uses its extending claws to catch prey hiding among rocks on the seafloor.</t>
  </si>
  <si>
    <t>Herkkä Pokémon, joka helposti sureutuu tai suuttuu. Joka kerta, kun sen mieliala muuttuu, se latautuu voimalla.</t>
  </si>
  <si>
    <t>A Pokémon ancestor that was reanimated from a fossil. It lived in the sea and hunted with claws.</t>
  </si>
  <si>
    <t>An ancestral Pokémon that lived in the ocean. Over time, its eight feet transformed into wings.</t>
  </si>
  <si>
    <t>It is a kind of Pokémon progenitor. It uses its extending claws to catch prey hiding among rocks on the seafloor.</t>
  </si>
  <si>
    <t>Anorith was regenerated from a prehistoric fossil. This primitive Pokémon once lived in warm seas. It grips its prey firmly between its two large claws.</t>
  </si>
  <si>
    <t>Anorith is said to be a type of Pokémon predecessor, with eight wings at the sides of its body. This Pokémon swam in the primordial sea by undulating these eight wings.</t>
  </si>
  <si>
    <t>When restored Anorith are released into the ocean, they don’t thrive, because the water composition has changed since their era.</t>
  </si>
  <si>
    <t>This is one kind of primeval bug Pokémon. With eight wings, it could apparently swim a lot faster than you’d expect.</t>
  </si>
  <si>
    <t>This Pokémon was restored from a fossil. Anorith lived in the ocean about 100,000,000 years ago, hunting with its pair of claws.</t>
  </si>
  <si>
    <t>https://pokeapi.co/api/v2/pokemon-species/113/</t>
  </si>
  <si>
    <t>Anorith can swim swiftly by pulling its eight wings through the water like oars on a boat. This Pokémon is an ancestor of modern bug Pokémon.</t>
  </si>
  <si>
    <t>Raivostuneena se harjaa turkkinsa teräviksi, neulanmuotoisiksi harjaksiksi. Sen hengityksessä voi kuulla sähkön rätinää uloshengittäessä.</t>
  </si>
  <si>
    <t>ARMALDO’s tough armor makes all attacks bounce off. This POKéMON’s two enormous claws can be freely extended or contracted. They have the power to punch right through a steel slab.</t>
  </si>
  <si>
    <t>Flareon</t>
  </si>
  <si>
    <t>ARMALDO is a POKéMON species that became extinct in prehistoric times. This POKéMON is said to have walked on its hind legs, which would have been more convenient for life on land.</t>
  </si>
  <si>
    <t>Kun se varastoi lämpöenergiaa kehoonsa, sen lämpötila voi nousta yli 1600 asteeseen.</t>
  </si>
  <si>
    <t>ARMALDO usually lives on land. However, when it hunts for prey, it dives beneath the ocean. It swims around using its two large wings.</t>
  </si>
  <si>
    <t>Protected by a hard shell, its body is very sturdy. It skewers prey with its claws to feed.</t>
  </si>
  <si>
    <t>It went ashore after evolving. Its entire body is clad in a sturdy armor.</t>
  </si>
  <si>
    <t>Its enormous, retractable claws can cut through most anything. Its entire body is clad in sturdy plates.</t>
  </si>
  <si>
    <t>Armaldo’s tough armor makes all attacks bounce off. This Pokémon’s two enormous claws can be freely extended or contracted. They have the power to punch right through a steel slab.</t>
  </si>
  <si>
    <t>Sen ruumiissa on liekkikammio. Se hengittää sisään ja puhaltaa sitten ulos yli 1 000 celsiusasteen tulen.</t>
  </si>
  <si>
    <t>Armaldo is a Pokémon species that became extinct in prehistoric times. This Pokémon is said to have walked on its hind legs, which would have been more convenient for life on land.</t>
  </si>
  <si>
    <t>Se varastoi osan hengittämästään ilmasta sisäiseen liekkipussiinsa, joka lämmittää sen yli 3 000 asteeseen.</t>
  </si>
  <si>
    <t>It lived on land and went out into the sea to hunt for prey. Its sharp claws were its greatest weapon.</t>
  </si>
  <si>
    <t>Se pöyhii turkiskaulustaan ​​​​viilentääkseen ruumiinlämpöään, joka voi nousta 1 650 asteeseen.</t>
  </si>
  <si>
    <t>Armaldo adapted from living in water to living on land. It has been determined that it is the ancestor of some bug Pokémon.</t>
  </si>
  <si>
    <t>After evolution, this Pokémon emerged onto land. Its lower body has become stronger, and blows from its tail are devastating.</t>
  </si>
  <si>
    <t>Though it lives on land, it’s also a good swimmer. It dives into the ocean in search of prey, using its sharp claws to take down its quarry.</t>
  </si>
  <si>
    <t>FEEBAS’s fins are ragged and tattered from the start of its life. Because of its shoddy appearance, this POKéMON is largely ignored. It is capable of living in both the sea and in rivers.</t>
  </si>
  <si>
    <t>Kun se on varastoinut tarpeeksi lämpöä, tämän POKéMONin ruumiinlämpötila voi nousta jopa 1700 asteeseen.</t>
  </si>
  <si>
    <t>While FEEBAS’s body is in tatters, it has a hardy and tenacious life force that enables it to live anywhere. However, this POKéMON is also slow and dimwitted, making it an easy catch.</t>
  </si>
  <si>
    <t>FEEBAS live in ponds that are heavily infested with weeds. Because of its hopelessly shabby appearance, it seems as if few TRAINERS raise it.</t>
  </si>
  <si>
    <t>Ridiculed for its shabby appearance, it is ignored by researchers. It lives in ponds choked with weeds.</t>
  </si>
  <si>
    <t>FLAREONin pörröisellä turkilla on toiminnallinen tarkoitus – se vapauttaa lämpöä ilmaan, jotta sen ruumis ei kuumene liikaa. Tämän POKéMONin ruumiinlämpötila voi nousta enintään 1 650 Fahrenheit-asteeseen.</t>
  </si>
  <si>
    <t>It is famous for its shabby appearance. While populous, they tend to cluster in set locations.</t>
  </si>
  <si>
    <t>It eats anything, so it can even live in polluted streams and lakes. No one pays any attention to it.</t>
  </si>
  <si>
    <t>It is a shabby and ugly Pokémon. However, it is very hardy and can survive on little water.</t>
  </si>
  <si>
    <t>FLAREONin pörröinen turkki vapauttaa lämpöä ilmaan, jotta sen ruumis ei kuumene liikaa. Sen ruumiinlämpötila voi nousta korkeintaan 1 650 Fahrenheit-asteeseen.</t>
  </si>
  <si>
    <t>It is the shabbiest Pokémon of all. It forms in schools and lives at the bottom of rivers.</t>
  </si>
  <si>
    <t>Sen ruumiissa on liekkipussi. Syvän sisäänhengityksen jälkeen se puhaltaa ulos lähes 1 000 celsiusasteen liekit.</t>
  </si>
  <si>
    <t>Feebas’s fins are ragged and tattered from the start of its life. Because of its shoddy appearance, this Pokémon is largely ignored. It is capable of living in both the sea and in rivers.</t>
  </si>
  <si>
    <t>Kun se varastoi lämpöenergiaa kehoonsa, sen lämpötila voi nousta yli 1 600 celsiusasteeseen.</t>
  </si>
  <si>
    <t>While Feebas’s body is in tatters, it has a hardy and tenacious life force that enables it to live anywhere. However, this Pokémon is also slow and dimwitted, making it an easy catch.</t>
  </si>
  <si>
    <t>Sen ruumiissa on liekkipussi. Sen ruumiinlämpötila nousee ennen taistelua 1 650 Fahrenheit-asteeseen.</t>
  </si>
  <si>
    <t>Hengitetty ilma kuumennetaan sen kehon liekkipussissa yli 3 000 Fahrenheit-asteeseen.</t>
  </si>
  <si>
    <t>A tough Pokémon that is perfectly fine even in dirty water. However, due to its ragged, shabby appearance, it isn’t popular.</t>
  </si>
  <si>
    <t>Se varastoi osan hengittämästään ilmasta sisäiseen liekkipussiinsa, joka lämmittää sen yli 3 000 celsiusasteeseen.</t>
  </si>
  <si>
    <t>Although unattractive and unpopular, this Pokémon’s marvelous vitality has made it a subject of research.</t>
  </si>
  <si>
    <t>Se pöyhii turkiskaulustaan ​​​​viilentääkseen ruumiinlämpöään, joka voi nousta 1 650 celsiusasteeseen.</t>
  </si>
  <si>
    <t>They look ragged, so no one catches them. They look like they’d taste bad, so predators won’t eat them. And their numbers continue to grow.</t>
  </si>
  <si>
    <t>Because of its wretched appearance, most people pay it no attention, but there are some who collect Feebas—and Feebas alone!</t>
  </si>
  <si>
    <t>Sisäänhengitetty ilma kuljetetaan liekkipussiinsa, lämmitetään ja uloshengitetään yli 3 000 Fahrenheit-astetta lämpötilaan nousevana tulena.</t>
  </si>
  <si>
    <t>MILOTIC is said to be the most beautiful of all the POKéMON. It has the power to becalm such emotions as anger and hostility to quell bitter feuding.</t>
  </si>
  <si>
    <t>MILOTIC live at the bottom of large lakes. When this POKéMON’s body glows a vivid pink, it releases a pulsing wave of energy that brings soothing calm to restless spirits.</t>
  </si>
  <si>
    <t>It is said to live at the bottom of large lakes. Considered to be the most beautiful of all POKéMON, it has been depicted in paintings and statues.</t>
  </si>
  <si>
    <t>MILOTIC is breathtakingly beautiful. Those that see it are said to forget their combative spirits.</t>
  </si>
  <si>
    <t>When people bicker, it is said to arise from the depths of lakes to becalm violent hearts.</t>
  </si>
  <si>
    <t>Flareonin pörröisellä turkilla on toiminnallinen tarkoitus – se vapauttaa lämpöä ilmaan, jotta sen ruumis ei kuumene liikaa. Tämän Pokémonin ruumiinlämpötila voi nousta korkeintaan 1 650 Fahrenheit-asteeseen.</t>
  </si>
  <si>
    <t>It is the world’s most beautiful Pokémon. There are many works of art featuring MILOTIC.</t>
  </si>
  <si>
    <t>Its lovely scales are described as rainbow colored. They change color depending on the viewing angle.</t>
  </si>
  <si>
    <t>Kun se saa saaliin tai löytää marjoja, se sylkee niihin tulta, kunnes ne ovat kypsiä, ja sitten se hotkaisee ne.</t>
  </si>
  <si>
    <t>It’s said that a glimpse of a MILOTIC and its beauty will calm any hostile emotions you’re feeling.</t>
  </si>
  <si>
    <t>Sen keskimääräinen ruumiinlämpötila on 1 300–1 500 Fahrenheit-astetta. Sen sisäisessä liekkipussissa lämpötila nousee 3 000 asteeseen.</t>
  </si>
  <si>
    <t>Milotic is breathtakingly beautiful. Those that see it are said to forget their combative spirits.</t>
  </si>
  <si>
    <t>Jos se hengittää syvään sisään, se on merkki siitä, että se on hyökkäämässä. Valmistaudu yli 1 000 celsiusasteen liekkien osumaan siihen!</t>
  </si>
  <si>
    <t>It is the world’s most beautiful Pokémon. There are many works of art featuring Milotic.</t>
  </si>
  <si>
    <t>Flareonin sisällä oleva liekkikammio syttyy, kun sitä sekoitetaan, ja lämpötila nousee jopa 1 650 Fahrenheit-asteeseen.</t>
  </si>
  <si>
    <t>Milotic is said to be the most beautiful of all the Pokémon. It has the power to becalm such emotions as anger and hostility to quell bitter feuding.</t>
  </si>
  <si>
    <t>Milotic live at the bottom of large lakes. When this Pokémon’s body glows a vivid pink, it releases a pulsing wave of energy that brings soothing calm to troubled hearts.</t>
  </si>
  <si>
    <t>Sen ruumiissa on liekkikammio. Se hengittää sisään ja puhaltaa ulos yli 1 000 celsiusasteen tulta.</t>
  </si>
  <si>
    <t>Milotic has provided inspiration to many artists. It has even been referred to as the most beautiful Pokémon of all.</t>
  </si>
  <si>
    <t>It lives at the bottom of clear lakes. In times of war, it shows itself, which soothes people’s minds and hearts.</t>
  </si>
  <si>
    <t>Kun se on varastoinut tarpeeksi lämpöä, tämän Pokémonin ruumiinlämpötila voi nousta jopa 1700 Fahrenheit-asteeseen.</t>
  </si>
  <si>
    <t>While Milotic is said to be the most beautiful Pokémon, Trainers who like Feebas and have raised it are seemingly disappointed by Milotic.</t>
  </si>
  <si>
    <t>Its dwelling place is the bottom of big lakes. Those who behold its loveliness are said to have their hearts purified.</t>
  </si>
  <si>
    <t>Liekit palavat tämän Pokémonin sisällä olevassa pussimaisessa elimessä. Kun Flareon hengittää sisään, liekit voimistuvat ja saavuttavat mahtavat 3 000 Fahrenheit-astetta.</t>
  </si>
  <si>
    <t>It’s said that a glimpse of a Milotic and its beauty will calm any hostile emotions you’re feeling.</t>
  </si>
  <si>
    <t>Porygon</t>
  </si>
  <si>
    <t>Virtuaalinen Pokémon</t>
  </si>
  <si>
    <t>POKéMON, joka koostuu kokonaan ohjelmointikoodista. Pystyy liikkumaan vapaasti kyberavaruudessa.</t>
  </si>
  <si>
    <t>CASTFORM’s appearance changes with the weather. This POKéMON gained the ability to use the vast power of nature to protect its tiny body.</t>
  </si>
  <si>
    <t>CASTFORM borrows the power of nature to transform itself into the guises of the sun, rain clouds, and snow clouds. This POKéMON’s feelings change with the weather.</t>
  </si>
  <si>
    <t>Ainoat POKéMONit, joiden ihmiset odottavat voivan lentää avaruuteen. Kukaan ei kuitenkaan ole vielä onnistunut siinä.</t>
  </si>
  <si>
    <t>It alters its form depending on the weather. Changes in the climate such as the temperature and humidity appear to affect its cellular structure.</t>
  </si>
  <si>
    <t>Se on ihmisen tekemä POKéMON. Koska se ei hengitä, ihmiset haluavat kokeilla sitä missä tahansa ympäristössä.</t>
  </si>
  <si>
    <t>It has the ability to change its form into the sun, the rain, or a snow cloud, depending on the weather.</t>
  </si>
  <si>
    <t>Tutkimuksen tuloksena syntynyt ihmisen tekemä POKéMON. Se on ohjelmoitu vain perusliikkeillä.</t>
  </si>
  <si>
    <t>Its appearance changes with the weather. Recently, its molecules were found to be just like water.</t>
  </si>
  <si>
    <t>Laajan tutkimuksen tuloksena luotu keinotekoinen POKéMON pystyy suorittamaan vain sen, mitä sen ohjelmassa on.</t>
  </si>
  <si>
    <t>This Pokémon can change its cells, taking different forms based on the temperature and humidity.</t>
  </si>
  <si>
    <t>PORYGON pystyy palauttamaan itsensä kokonaan takaisin ohjelmadataksi ja siirtymään kyberavaruuteen. Tämä POKéMON on kopiosuojattu, joten sitä ei voi kopioida.</t>
  </si>
  <si>
    <t>Temperature and weather affect its cellular structure, so this Pokémon changes form according to the weather.</t>
  </si>
  <si>
    <t>Castform’s appearance changes with the weather. This Pokémon gained the ability to use the vast power of nature to protect its tiny body.</t>
  </si>
  <si>
    <t>Se pystyy palauttamaan itsensä kokonaan takaisin ohjelmadataksi päästäkseen kyberavaruuteen. PORYGON on kopiosuojattu, joten sitä ei voida kopioida.</t>
  </si>
  <si>
    <t>Castform borrows the power of nature to transform itself into the guises of the sun, rain, and snow-clouds. This Pokémon’s feelings change with the weather.</t>
  </si>
  <si>
    <t>Käyttämällä edistyneintä teknologiaa tiedemiehet onnistuivat vihdoin luomaan ensimmäisen keinotekoisen POKéMONin.</t>
  </si>
  <si>
    <t>It changes its form depending on the weather. Changes in the temperature or humidity appear to affect its cellular structure.</t>
  </si>
  <si>
    <t>POKéMON, joka koostuu kokonaan ohjelmointikoodista. Se pystyy liikkumaan vapaasti kyberavaruudessa.</t>
  </si>
  <si>
    <t>Its form changes on its own, due to its cells’ sensitive reactions to temperature and humidity.</t>
  </si>
  <si>
    <t>Maailman ensimmäinen keinotekoisesti luotu Pokémon. Se voi matkustaa elektronisessa avaruudessa.</t>
  </si>
  <si>
    <t>Although its form changes with the weather, that is apparently the result of a chemical reaction and not the result of its own free will.</t>
  </si>
  <si>
    <t>https://pokeapi.co/api/v2/pokemon-species/114/</t>
  </si>
  <si>
    <t>Its form changes depending on the weather. The rougher conditions get, the rougher Castform’s disposition!</t>
  </si>
  <si>
    <t>Keinotekoinen Pokémon, joka on luotu edistyneillä tieteellisillä keinoilla. Se voi liikkua vapaasti kyberavaruudessa.</t>
  </si>
  <si>
    <t>KECLEON is capable of changing its body colors at will to blend in with its surroundings. There is one exception - this POKéMON can’t change the zigzag pattern on its belly.</t>
  </si>
  <si>
    <t>KECLEON alters its body coloration to blend in with its surroundings, allowing it to sneak up on its prey unnoticed. Then it lashes out with its long, stretchy tongue to instantly ensnare the unsuspecting target.</t>
  </si>
  <si>
    <t>Se on ihmisen tekemä Pokémon. Koska se ei hengitä, ihmiset haluavat kokeilla sitä missä tahansa ympäristössä.</t>
  </si>
  <si>
    <t>Tutkimuksen tuloksena syntynyt ihmisen tekemä Pokémon. Se on ohjelmoitu vain perusliikkeillä.</t>
  </si>
  <si>
    <t>A POKéMON that has the ability to alter its body colors to match its surroundings. A KECLEON reverts to its original colors if it is startled.</t>
  </si>
  <si>
    <t>It changes body color to blend in with its surroundings. It also changes color if it is happy or sad.</t>
  </si>
  <si>
    <t>It can freely change its body’s color. The zigzag pattern on its belly doesn’t change, however.</t>
  </si>
  <si>
    <t>It changes its shading to match its surroundings so it can sneak up on prey. Only its belly patterns stay fixed.</t>
  </si>
  <si>
    <t>Kecleon is capable of changing its body colors at will to blend in with its surroundings. There is one exception—this Pokémon can’t change the zigzag pattern on its belly.</t>
  </si>
  <si>
    <t>Kecleon alters its body coloration to blend in with its surroundings, allowing it to sneak up on its prey unnoticed. Then it lashes out with its long, stretchy tongue to instantly ensnare the unsuspecting target.</t>
  </si>
  <si>
    <t>Pokémon, joka koostuu kokonaan ohjelmointikoodista. Se pystyy liikkumaan vapaasti kyberavaruudessa.</t>
  </si>
  <si>
    <t>It changes its hue to blend into its surroundings. If no one takes notice of it for too long, it will pout and never reveal itself.</t>
  </si>
  <si>
    <t>Porygon pystyy palauttamaan itsensä kokonaan takaisin ohjelmadataksi ja siirtymään kyberavaruuteen. Tämä Pokémon on kopiosuojattu, joten sitä ei voi kopioida.</t>
  </si>
  <si>
    <t>Its color changes for concealment and also when its mood or health changes. The darker the color, the healthier it is.</t>
  </si>
  <si>
    <t>Noin 20 vuotta sitten se luotiin keinotekoisesti hyödyntäen aikansa uusinta teknologiaa.</t>
  </si>
  <si>
    <t>SHUPPET is attracted by feelings of jealousy and vindictiveness. If someone develops strong feelings of vengeance, this POKéMON will appear in a swarm and line up beneath the eaves of that person’s home.</t>
  </si>
  <si>
    <t>Se voi muuntaa kehonsa digitaaliseksi dataksi, mikä mahdollistaa sen pääsyn kyberavaruuteen.</t>
  </si>
  <si>
    <t>SHUPPET grows by feeding on dark emotions, such as vengefulness and envy, in the hearts of people. It roams through cities in search of grudges that taint people.</t>
  </si>
  <si>
    <t>Tämä Pokémon luotiin 20 vuotta sitten huipputieteen avulla, joten monet sen osat ovat sittemmin vanhentuneet.</t>
  </si>
  <si>
    <t>This POKéMON roams about deep in the night seeking such negative emotions as grudges and envy. It retreats to its nest when the sun begins to rise.</t>
  </si>
  <si>
    <t>It loves to feed on feelings like envy and malice. Its upright horn catches the emotions of people.</t>
  </si>
  <si>
    <t>Sen rakensivat 20 vuotta sitten tiedemiehet, jotka unelmoivat avaruuden tutkimisesta. Heidän unelmansa eivät ole vielä toteutuneet.</t>
  </si>
  <si>
    <t>It loves vengeful emotions and hangs in rows under the eaves of houses where vengeful people live.</t>
  </si>
  <si>
    <t>Ainoa Pokémon, jonka ihmiset odottavat pystyvän lentämään avaruuteen. Kukaan ei kuitenkaan ole vielä onnistunut siinä.</t>
  </si>
  <si>
    <t>It uses its horn to feed on envy and malice, or so it’s said. It’s very active at night.</t>
  </si>
  <si>
    <t>It feeds on the dark emotions of sadness and hatred, which make it grow steadily stronger.</t>
  </si>
  <si>
    <t>It uses its horn to feed on envy and malice-- or so it’s said. It’s very active at night.</t>
  </si>
  <si>
    <t>Porygonin luomiseen käytettiin huipputeknologiaa. Se oli ensimmäinen tietokoneohjelmoinnin avulla luotu keinotekoinen Pokémon.</t>
  </si>
  <si>
    <t>Shuppet is attracted by feelings of jealousy and vindictiveness. If someone develops strong feelings of vengeance, this Pokémon will appear in a swarm and line up beneath the eaves of that person’s home.</t>
  </si>
  <si>
    <t>Viime vuosina tämä laji on ollut erittäin hyödyllinen kyberavaruudessa. Nämä Pokémonit kiertelevät ympäriinsä tarkistaen, ettei epäilyttävää dataa ole olemassa.</t>
  </si>
  <si>
    <t>Shuppet grows by feeding on dark emotions, such as vengefulness and envy, in the hearts of people. It roams through cities in search of grudges that taint people.</t>
  </si>
  <si>
    <t>It eats up emotions like malice, jealousy, and resentment, so some people are grateful for its presence.</t>
  </si>
  <si>
    <t>Siinä ei ole havaittavaa sydämenlyöntiä eikä se tunnu vetävän henkeä, ja silti se näyttää toimivan ongelmitta. En pysty edes selittämään tätä äärimmäisen omituista poikkeavuutta.</t>
  </si>
  <si>
    <t>There’s a proverb that says, “Shun the house where Shuppet gather in the growing dusk.”</t>
  </si>
  <si>
    <t>Omanyte</t>
  </si>
  <si>
    <t>Spiraali-Pokémon</t>
  </si>
  <si>
    <t>Vaikka se on ollut sukupuuttoon kuollut jo kauan sitten, se voidaan harvinaisissa tapauksissa herättää geneettisesti fossiileista henkiin.</t>
  </si>
  <si>
    <t>BANETTE generates energy for laying strong curses by sticking pins into its own body. This POKéMON was originally a pitiful plush doll that was thrown away.</t>
  </si>
  <si>
    <t>A cursed energy permeated the stuffing of a discarded and forgotten plush doll, giving it new life as BANETTE. The POKéMON’s energy would escape if it were to ever open its mouth.</t>
  </si>
  <si>
    <t>An abandoned plush doll became this POKéMON. They are said to live in garbage dumps and wander about in search of the children that threw them away.</t>
  </si>
  <si>
    <t>Fossiilista löydetty muinainen POKéMON. Se ui kiertämällä taitavasti kymmentä lonkeroaan.</t>
  </si>
  <si>
    <t>Strong feelings of hatred turned a puppet into a POKéMON. If it opens its mouth, its cursed energy escapes.</t>
  </si>
  <si>
    <t>A doll that became a Pokémon over its grudge from being junked. It seeks the child that disowned it.</t>
  </si>
  <si>
    <t>Muinaisesta fossiilista herätetty POKéMON käyttää kuoressaan varastoitunutta ilmaa uppoamiseen ja nousemiseen vedessä.</t>
  </si>
  <si>
    <t>This Pokémon developed from an abandoned doll that amassed a grudge. It is seen in dark alleys.</t>
  </si>
  <si>
    <t>Tämän muinaisten aikojen POKéMONin sanotaan navigoineen merellä kiertämällä taitavasti kymmentä lonkeroaan.</t>
  </si>
  <si>
    <t>A doll that became a Pokémon over its grudge of being thrown away. It seeks the child who disowned it.</t>
  </si>
  <si>
    <t>Esihistoriallisella ajalla se ui merenpohjassa syöden planktonia. Sen fossiileja löytyy joskus.</t>
  </si>
  <si>
    <t>Strong feelings of hatred turned a puppet into a Pokémon. If it opens its mouth, its cursed energy escapes.</t>
  </si>
  <si>
    <t>OMANYTE on yksi muinaisista ja kauan sitten sukupuuttoon kuolleista POKéMONeista, jotka ihmiset ovat luoneet fossiileista. Jos vihollinen hyökkää sitä vastaan, se vetäytyy kovaan kuoreensa.</t>
  </si>
  <si>
    <t>Banette generates energy for laying strong curses by sticking pins into its own body. This Pokémon was originally a pitiful plush doll that was thrown away.</t>
  </si>
  <si>
    <t>A cursed energy permeated the stuffing of a discarded and forgotten plush doll, giving it new life as Banette. The Pokémon’s energy would escape if it were to ever open its mouth.</t>
  </si>
  <si>
    <t>It’s a stuffed toy that was thrown away and became possessed, ever searching for the one who threw it away so it can exact its revenge.</t>
  </si>
  <si>
    <t>Yksi muinaisista ja kauan sitten sukupuuttoon kuolleista POKéMONeista, jotka ihmiset ovat luoneet fossiileista. Hyökkäyksen sattuessa se vetäytyy kovaan kuoreensa.</t>
  </si>
  <si>
    <t>Resentment at being cast off made it spring into being. Some say that treating it well will satisfy it, and it will once more become a stuffed toy.</t>
  </si>
  <si>
    <t>Se on esihistoriallinen POKéMON, joka eli alkukantaisessa meressä. Se ui kiertämällä kymmentä lonkeroaan.</t>
  </si>
  <si>
    <t>DUSKULL can pass through any wall no matter how thick it may be. Once this POKéMON chooses a target, it will doggedly pursue the intended victim until the break of dawn.</t>
  </si>
  <si>
    <t>DUSKULL wanders lost among the deep darkness of midnight. There is an oft- told admonishment given to misbehaving children that this POKéMON will spirit away bad children who earn scoldings from their mothers.</t>
  </si>
  <si>
    <t>Vaikka se on ollut sukupuuttoon kuollut jo kauan sitten, se voidaan harvinaisissa tapauksissa synnyttää geneettisesti fossiileista.</t>
  </si>
  <si>
    <t>A glare from its single scarlet eye makes even burly grown-ups freeze in utter fear. It is a nocturnal POKéMON that roams about under the cloak of darkness.</t>
  </si>
  <si>
    <t>Pokémon, joka herätettiin henkiin fossiilista nykyaikaisen tieteen avulla. Se ui muinaisissa merissä.</t>
  </si>
  <si>
    <t>Making itself invisible, it silently sneaks up to prey. It has the ability to slip through thick walls.</t>
  </si>
  <si>
    <t>It doggedly pursues its prey wherever it goes. However, the chase is abandoned at sunrise.</t>
  </si>
  <si>
    <t>It loves the crying of children. It startles bad kids by passing through walls and making them cry.</t>
  </si>
  <si>
    <t>If it finds bad children who won’t listen to their parents, it will spirit them away--or so it’s said.</t>
  </si>
  <si>
    <t>Muinaisesta fossiilista herätetty Pokémon käyttää kuoressaan varastoitunutta ilmaa uppoamiseen ja nousemiseen vedessä.</t>
  </si>
  <si>
    <t>Duskull can pass through any wall no matter how thick it may be. Once this Pokémon chooses a target, it will doggedly pursue the intended victim until the break of dawn.</t>
  </si>
  <si>
    <t>Tämän muinaisten aikojen Pokémonin sanotaan navigoineen meressä taitavasti kiertämällä kymmentä lonkeroaan.</t>
  </si>
  <si>
    <t>Duskull wanders lost among the deep darkness of midnight. There is an oft-told admonishment given to misbehaving children that this Pokémon will spirit away bad children who earn scoldings from their mothers.</t>
  </si>
  <si>
    <t>If it finds bad children who won’t listen to their parents, it will spirit them away—or so it’s said.</t>
  </si>
  <si>
    <t>I've heard that the children of Hisui all begin to behave once they've been told the story of how this Pokémon roams about before the witching hour to spirit away misbehaving children.</t>
  </si>
  <si>
    <t>DUSCLOPS’s body is completely hollow - there is nothing at all inside. It is said that its body is like a black hole. This POKéMON will absorb anything into its body, but nothing will ever come back out.</t>
  </si>
  <si>
    <t>DUSCLOPS absorbs anything, however large the object may be. This POKéMON hypnotizes its foe by waving its hands in a macabre manner and by bringing its single eye to bear. The hypnotized foe is made to do DUSCLOPS’s bidding.</t>
  </si>
  <si>
    <t>It is thought that its body is hollow with only a spectral ball of fire burning inside. However, no one has been able to confirm this theory as fact.</t>
  </si>
  <si>
    <t>Its body is entirely hollow. When it opens its mouth, it sucks everything in as if it were a black hole.</t>
  </si>
  <si>
    <t>Its body is hollow. It is said that those who look into its body are sucked into the void.</t>
  </si>
  <si>
    <t>It seeks drifting will-o’-the-wisps and sucks them into its empty body. What happens inside is a mystery.</t>
  </si>
  <si>
    <t>Tämä esihistoriallinen Pokémon eli alkukantaisessa meressä ja ui kiertämällä kymmentä lonkeroaan.</t>
  </si>
  <si>
    <t>Anyone who dares peer into its body to see its spectral ball of fire will have their spirit stolen away.</t>
  </si>
  <si>
    <t>Dusclops’s body is completely hollow—there is nothing at all inside. It is said that its body is like a black hole. This Pokémon will absorb anything into its body, but nothing will ever come back out.</t>
  </si>
  <si>
    <t>https://pokeapi.co/api/v2/pokemon-species/115/</t>
  </si>
  <si>
    <t>Omanyte on yksi muinaisista ja kauan sitten sukupuuttoon kuolleista Pokémoneista, jotka ihmiset ovat luoneet fossiileista. Jos vihollinen hyökkää sitä vastaan, se vetäytyy kovaan kuoreensa.</t>
  </si>
  <si>
    <t>Dusclops absorbs anything, however large the object may be. This Pokémon hypnotizes its foe by waving its hands in a macabre manner and by bringing its single eye to bear. The hypnotized foe is made to do Dusclops’s bidding.</t>
  </si>
  <si>
    <t>There are rumors that peeking inside its bandage-wrapped body will cause one to get pulled in through the gaps between the bandages, never to return. I've been too scared to verify.</t>
  </si>
  <si>
    <t>Omanyte eli antiikin merissä. Sen fossiileista on löydetty Archeopsin puremajälkiä, joten Archeops ilmeisesti saalisti sitä.</t>
  </si>
  <si>
    <t>The bunches of fruit around TROPIUS’s neck are very popular with children. This POKéMON loves fruit, and eats it continuously. Apparently, its love for fruit resulted in its own outgrowth of fruit.</t>
  </si>
  <si>
    <t>Children of the southern tropics eat as snacks the fruit that grows in bunches around the neck of TROPIUS. This POKéMON flies by flapping the leaves on its back as if they were wings.</t>
  </si>
  <si>
    <t>Se on restauroitu muinaisesta fossiilista. Nuo Helix-fossiilit on kaivettu esiin alueilta, jotka olivat aikoinaan valtameriä kauan, kauan sitten.</t>
  </si>
  <si>
    <t>It flies by flapping its broad leaves. The bunch of fruit that grows around its neck is deliciously sweet. In the spring, it scatters pollen from its neck.</t>
  </si>
  <si>
    <t>Fossiilista löydetty muinainen Pokémon. Se ui pyörittelemällä taitavasti kymmentä lonkeroaan.</t>
  </si>
  <si>
    <t>It lives in tropical jungles. The bunch of fruit around its neck is delicious. The fruit grows twice a year.</t>
  </si>
  <si>
    <t>Because it continually ate only its favorite fruit, the fruit started growing around its neck.</t>
  </si>
  <si>
    <t>Koska jotkut omanytit onnistuvat pakenemaan ennallistamisen jälkeen tai ihmisten päästämät ne luontoon, tästä lajista on tulossa ongelma.</t>
  </si>
  <si>
    <t>Delicious fruits grew out from around its neck because it always ate the same kind of fruit.</t>
  </si>
  <si>
    <t>The bunch of fruit around its neck ripens twice a year and is delicious. It’s a highly favored tropical snack.</t>
  </si>
  <si>
    <t>Tämä Pokémon kuuluu muinaiseen, sukupuuttoon kuolleeseen lajiin. Omanyte meloo vedessä kymmenellä lonkerollaan näyttäen siltä kuin se vain ajelehtisi.</t>
  </si>
  <si>
    <t>Omastar</t>
  </si>
  <si>
    <t>It flies by flapping its broad leaves and gives the sweet, delicious fruit around its neck to children.</t>
  </si>
  <si>
    <t>Esihistoriallinen POKéMON, joka kuoli sukupuuttoon, kun sen raskas kuori esti saaliin pyydystämisen.</t>
  </si>
  <si>
    <t>The bunches of fruit around Tropius’s neck are very popular with children. This Pokémon loves fruit, and eats it continuously. Apparently, its love for fruit resulted in its own outgrowth of fruit.</t>
  </si>
  <si>
    <t>Children of the southern tropics eat as snacks the fruit that grows in bunches around the neck of Tropius. This Pokémon flies by flapping the leaves on its back as if they were wings.</t>
  </si>
  <si>
    <t>The bunches of fruit growing around the necks of Tropius in Alola are especially sweet compared to those in other regions.</t>
  </si>
  <si>
    <t>Terävät nokat ympäröivät sen suuta. Sen kuori oli liian suuri liikkuakseen vapaasti, joten se kuoli sukupuuttoon.</t>
  </si>
  <si>
    <t>Bunches of delicious fruit grow around its neck. In warm areas, many ranches raise Tropius.</t>
  </si>
  <si>
    <t>Ilmeisesti se halkaisi SHELLDERin kuoren terävillä hampaillaan ja imi sisukset ulos.</t>
  </si>
  <si>
    <t>CHIMECHO makes its cries echo inside its hollow body. When this POKéMON becomes enraged, its cries result in ultrasonic waves that have the power to knock foes flying.</t>
  </si>
  <si>
    <t>Kun se on kerran kiertynyt saaliinsa ympärille, se ei koskaan päästä irti. Se syö saaliin repimällä sitä terävillä hampailla.</t>
  </si>
  <si>
    <t>In high winds, CHIMECHO cries as it hangs from a tree branch or the eaves of a building using a suction cup on its head. This POKéMON plucks berries with its long tail and eats them.</t>
  </si>
  <si>
    <t>They fly about very actively when the hot season arrives. They communicate among themselves using seven different and distinguishing cries.</t>
  </si>
  <si>
    <t>Sen painava kuori mahdollisti sen pääsyn vain lähellä olevaan ruokaan. Tämä voi olla syynä sen sukupuuttoon.</t>
  </si>
  <si>
    <t>It travels by riding on winds. It cleverly uses its long tail to pluck nuts and berries, which it loves to eat.</t>
  </si>
  <si>
    <t>OMASTAR käyttää lonkeroitaan saaliinsa pyydystämiseen. Sen uskotaan kuolleen sukupuuttoon, koska sen kuori kasvoi liian suureksi ja raskaaksi, mikä teki sen liikkeistä liian hitaita ja raskaita.</t>
  </si>
  <si>
    <t>To knock foes flying, it makes the air shudder with its cries. It converses using seven cries.</t>
  </si>
  <si>
    <t>Emitting ultrasonic cries, it floats on winds to travel great distances.</t>
  </si>
  <si>
    <t>OMASTAR käyttää lonkeroitaan saaliinsa pyydystämiseen. Sen uskotaan kuolleen sukupuuttoon, koska sen kuori kasvoi liian suureksi, mikä teki sen liikkeistä hitaita ja raskkaita.</t>
  </si>
  <si>
    <t>Its cries echo inside its hollow body to emerge as beautiful notes for startling and repelling foes.</t>
  </si>
  <si>
    <t>Sen lonkerot ovat erittäin kehittyneet, aivan kuin ne olisivat käsiä ja jalkoja. Heti kun se saa saaliinsa ansaan, se puree.</t>
  </si>
  <si>
    <t>It uses the sucker on its head to hang from a tree or from eaves. It can produce seven different tones.</t>
  </si>
  <si>
    <t>Chimecho makes its cries echo inside its hollow body. When this Pokémon becomes enraged, its cries result in ultrasonic waves that have the power to knock foes flying.</t>
  </si>
  <si>
    <t>Vaikka sillä oli vahvat torahampaat ja lonkerot, se kuoli sukupuuttoon, kun sen raskas kuori esti sitä kykenemästä saalistamaan.</t>
  </si>
  <si>
    <t>In high winds, Chimecho cries as it hangs from a tree branch or the eaves of a building using a suction cup on its head. This Pokémon plucks berries with its long tail and eats them.</t>
  </si>
  <si>
    <t>Tämän Pokémonin uskotaan kuolleen sukupuuttoon, koska sen spiraalimainen kuori kasvoi liian suureksi.</t>
  </si>
  <si>
    <t>Can emit waves of air powerful enough to knock out prey taller than itself. I hypothesize that it amplifies the faint sound of wind within its body.</t>
  </si>
  <si>
    <t>Every time ABSOL appears before people, it is followed by a disaster such as an earthquake or a tidal wave. As a result, it came to be known as the disaster POKéMON.</t>
  </si>
  <si>
    <t>ABSOL has the ability to foretell the coming of natural disasters. It lives in a harsh, rugged mountain environment. This POKéMON very rarely ventures down from the mountains.</t>
  </si>
  <si>
    <t>It sharply senses even subtle changes in the sky and the land to predict natural disasters. It is a long-lived POKéMON that has a life-span of 100 years.</t>
  </si>
  <si>
    <t>It appears when it senses an impending natural disaster. As a result, it was mistaken as a doom-bringer.</t>
  </si>
  <si>
    <t>It senses coming disasters and appears before people only to warn them of impending danger.</t>
  </si>
  <si>
    <t>Rumored to sense disasters with its horn, it became a target. It fled deep into the mountains.</t>
  </si>
  <si>
    <t>It has the ability to foretell natural disasters. Its life span is over a hundred years.</t>
  </si>
  <si>
    <t>It appears from deep in the mountains to warn people about upcoming disasters it has sensed with its horn.</t>
  </si>
  <si>
    <t>It appears when it senses an impending natural disaster. As a result, it was mistaken as a doom bringer.</t>
  </si>
  <si>
    <t>Every time Absol appears before people, it is followed by a disaster such as an earthquake or a tidal wave. As a result, it came to be known as the disaster Pokémon.</t>
  </si>
  <si>
    <t>Absol has the ability to foretell the coming of natural disasters. It lives in a harsh, rugged mountain environment. This Pokémon very rarely ventures down from the mountains.</t>
  </si>
  <si>
    <t>Long ago, superstitions were spread about it, saying it brought disaster. This fed a hatred of it, and it was driven deep into the mountains.</t>
  </si>
  <si>
    <t>Although it’s said to bring disaster, in actuality, this Pokémon possesses a calm disposition and warns people of any crises that loom.</t>
  </si>
  <si>
    <t>The only thing unlucky about Absol is its appearance. It protects fields and warns people of disaster, so one ought to be grateful for it.</t>
  </si>
  <si>
    <t>Omastar käyttää lonkeroitaan saaliinsa pyydystämiseen. Sen uskotaan kuolleen sukupuuttoon, koska sen kuori kasvoi liian suureksi ja raskaaksi, mikä teki sen liikkeistä liian hitaita ja raskaita.</t>
  </si>
  <si>
    <t>The elderly call it the disaster Pokémon and detest it, but interest in its power to predict disasters is on the rise.</t>
  </si>
  <si>
    <t>Swift as the wind, Absol races through fields and mountains. Its curved, bow-like horn is acutely sensitive to the warning signs of natural disasters.</t>
  </si>
  <si>
    <t>Sen raskaan kuoren uskotaan olevan syy tämän muinaisen Pokémonin kuolemaan. Se on ilmeisesti Octilleryn kaukainen esi-isä.</t>
  </si>
  <si>
    <t>Because of this Pokémon’s ability to detect danger, people mistook Absol as a bringer of doom.</t>
  </si>
  <si>
    <t>WYNAUT can always be seen with a big, happy smile on its face. Look at its tail to determine if it is angry. When angered, this POKéMON will be slapping the ground with its tail.</t>
  </si>
  <si>
    <t>Se käärii saaliinsa lonkeroihinsa lamauttaakseen sen ja viimeistelee sen sitten terävillä hampaillaan.</t>
  </si>
  <si>
    <t>WYNAUT gather on moonlit nights to play by squeezing up against each other. By being squeezed, this POKéMON gains endurance and is trained to dole out powerful counterattacks.</t>
  </si>
  <si>
    <t>Sen terävä nokka ympäröi sen suuta. Sen kuori oli liian suuri liikkuakseen vapaasti, joten se kuoli sukupuuttoon.</t>
  </si>
  <si>
    <t>A WYNAUT loves to eat sweet fruits. It cleverly picks fruits using its earlike arms. They gather in fruit gardens, drawn by the fragrance.</t>
  </si>
  <si>
    <t>It tends to move in a pack with others. They cluster in a tight group to sleep in a cave.</t>
  </si>
  <si>
    <t>It grows strong by pushing up against others en masse. It loves eating sweet fruit.</t>
  </si>
  <si>
    <t>Suuren ja raskaan kuoren painamana Omastar ei pystynyt liikkumaan kovin nopeasti. Jotkut sanovat sen kuolleen sukupuuttoon, koska se ei kyennyt saamaan ruokaa.</t>
  </si>
  <si>
    <t>It tends to move in a pack. Individuals squash against one another to toughen their spirits.</t>
  </si>
  <si>
    <t>Omastarin terävät kulmahampaat pystyivät murskaamaan kiven, mutta Pokémon voi hyökätä vain saaliin kimppuun, joka tulee sen lonkeroiden ulottuville.</t>
  </si>
  <si>
    <t>Wynaut can always be seen with a big, happy smile on its face. Look at its tail to determine if it is angry. When angered, this Pokémon will be slapping the ground with its tail.</t>
  </si>
  <si>
    <t>Kabuto</t>
  </si>
  <si>
    <t>Wynaut gather on moonlit nights to play by squeezing up against each other. By being squeezed, this Pokémon gains endurance and is trained to dole out powerful counterattacks.</t>
  </si>
  <si>
    <t>POKéMON, joka herätettiin henkiin aikoinaan merenpohjasta löydetystä fossiilista.</t>
  </si>
  <si>
    <t>SNORUNT live in regions with heavy snowfall. In seasons without snow, such as spring and summer, this POKéMON steals away to live quietly among stalactites and stalagmites deep in caverns.</t>
  </si>
  <si>
    <t>SNORUNT survives by eating only snow and ice. Old folklore claims that a house visited by this POKéMON is sure to prosper for many generations to come.</t>
  </si>
  <si>
    <t>Fossiilista löydetty POKéMON. Se käyttää selässään olevia silmiä piileskellessään merenpohjassa.</t>
  </si>
  <si>
    <t>They tend to move about in groups of around five SNORUNT. In snowy regions, it is said that when they are seen late at night, snowfall will arrive by morning.</t>
  </si>
  <si>
    <t>Harvinaisissa tapauksissa joitakin on löydetty fossiileina, joiksi ne ovat tulleet piiloutuessaan merenpohjaan.</t>
  </si>
  <si>
    <t>It is said that a home visited by a SNORUNT will prosper. It can withstand cold of minus 150 degrees Fahrenheit.</t>
  </si>
  <si>
    <t>In the snow country, certain folklore says a house will prosper if a SNORUNT lives there.</t>
  </si>
  <si>
    <t>Tämä POKéMON eli muinaisina aikoina. Harvinaisissa tapauksissa se on löydetty elävänä fossiilina.</t>
  </si>
  <si>
    <t>It is said that several SNORUNT gather under giant leaves and live together in harmony.</t>
  </si>
  <si>
    <t>Kolmesataa miljoonaa vuotta sitten se piileskeli merenpohjassa. Sillä on myös selässään hohtavat silmät.</t>
  </si>
  <si>
    <t>It’s said that if they are seen at midnight, they’ll cause heavy snow. They eat snow and ice to survive.</t>
  </si>
  <si>
    <t>It is said that several Snorunt gather under giant leaves and live together in harmony.</t>
  </si>
  <si>
    <t>KABUTO on fossiilista uusiutunut POKéMON. Erittäin harvinaisissa tapauksissa on kuitenkin löydetty eläviä esimerkkejä. POKéMON ei ole muuttunut lainkaan 300 miljoonaan vuoteen.</t>
  </si>
  <si>
    <t>In the snow country, certain folklore says a house will prosper if a Snorunt lives there.</t>
  </si>
  <si>
    <t>Snorunt live in regions with heavy snowfall. In seasons without snow, such as spring and summer, this Pokémon steals away to live quietly among stalactites and stalagmites deep in caverns.</t>
  </si>
  <si>
    <t>Se on fossiilista uusiutunut POKéMON. Harvinaisissa tapauksissa on kuitenkin löydetty eläviä esimerkkejä. KABUTO ei ole muuttunut 300 miljoonaan vuoteen.</t>
  </si>
  <si>
    <t>Snorunt survives by eating only snow and ice. Old folklore claims that a house visited by this Pokémon is sure to prosper for many generations to come.</t>
  </si>
  <si>
    <t>Their numbers seem to have rapidly increased in Alola. Custom has it that houses where Snorunt live will be prosperous for generations to come.</t>
  </si>
  <si>
    <t>Tämä POKéMON luotiin muinaisen olennon fossiilista. Se suojaa itseään kovalla kuorella.</t>
  </si>
  <si>
    <t>It can only survive in cold areas. It bounces happily around, even in environments as cold as -150 degrees Fahrenheit.</t>
  </si>
  <si>
    <t>POKéMON, joka on uusiutunut kauan sitten merenpohjasta löydetystä fossiilista.</t>
  </si>
  <si>
    <t>It feeds mainly on ice and snow. It’s only able to survive in a limited number of places in the warm Alola region.</t>
  </si>
  <si>
    <t>Sen uskotaan olleen asuttu rannoilla 300 miljoonaa vuotta sitten. Sitä suojaa jäykkä kuori.</t>
  </si>
  <si>
    <t>Rich people from cold areas all share childhood memories of playing with Snorunt.</t>
  </si>
  <si>
    <t>It can only survive in cold areas. It bounces happily around, even in environments as cold as −150 degrees Fahrenheit.</t>
  </si>
  <si>
    <t>https://pokeapi.co/api/v2/pokemon-species/116/</t>
  </si>
  <si>
    <t>Arrives alongside the first snow. It's thought that homes Snorunt visit will prosper for many generations. By tradition, one might offer a lump of ice made from pure water at one's front door.</t>
  </si>
  <si>
    <t>GLALIE has a body made of rock, which it hardens with an armor of ice. This POKéMON has the ability to freeze moisture in the atmosphere into any shape it desires.</t>
  </si>
  <si>
    <t>GLALIE has the ability to freely control ice. For example, it can instantly freeze its foe solid. After immobilizing its foe in ice, this POKéMON enjoys eating it in leisurely fashion.</t>
  </si>
  <si>
    <t>Tämä Pokémon eli muinaisina aikoina. Harvinaisissa tapauksissa se on löydetty elävänä fossiilina.</t>
  </si>
  <si>
    <t>A GLALIE has the power to instantaneously freeze moisture in the atmosphere. A dazzling cloud of diamondlike ice crystals forms around its body.</t>
  </si>
  <si>
    <t>It has a body of ice that won’t melt, even with fire. It can instantly freeze moisture in the atmosphere.</t>
  </si>
  <si>
    <t>To protect itself, it clads its body in an armor of ice, made by freezing moisture in the air.</t>
  </si>
  <si>
    <t>It prevents prey from escaping by instantaneously freezing moisture in the air.</t>
  </si>
  <si>
    <t>It can instantly freeze moisture in the atmosphere. It uses this power to freeze its foes.</t>
  </si>
  <si>
    <t>To protect itself, it clad its body in an armor of ice, made by freezing moisture in the air.</t>
  </si>
  <si>
    <t>Glalie has a body made of rock, which it hardens with an armor of ice. This Pokémon has the ability to freeze moisture in the atmosphere into any shape it desires.</t>
  </si>
  <si>
    <t>Tämä Pokémon luotiin muinaisen olennon fossiilista. Se suojaa itseään kovalla kuorella.</t>
  </si>
  <si>
    <t>Glalie has the ability to freely control ice. For example, it can instantly freeze its prey solid. After immobilizing its prey in ice, this Pokémon enjoys eating it in leisurely fashion.</t>
  </si>
  <si>
    <t>Legend says a boulder on an icy mountain absorbed the distress and regrets of a stranded mountaineer, giving rise to Glalie.</t>
  </si>
  <si>
    <t>Kabuto on fossiilista uusiutunut Pokémon. Hyvin harvinaisissa tapauksissa on kuitenkin löydetty eläviä esimerkkejä. Pokémon ei ole muuttunut lainkaan 300 miljoonaan vuoteen.</t>
  </si>
  <si>
    <t>Its prey is instantaneously frozen stiff by the cold air it exhales from its huge mouth. While they’re in that frozen state, it gobbles them up.</t>
  </si>
  <si>
    <t>It freezes its prey and chews them whole. However, it prefers to eat Pokémon like Vanillite that are already frozen.</t>
  </si>
  <si>
    <t>Tämä Pokémon kukoisti 300 miljoonaa vuotta sitten. Sanotaan, että eläviä yksilöitä voi edelleen nähdä tietyllä alueella – harvinainen näky.</t>
  </si>
  <si>
    <t>Its actual body is a rock that isn’t particularly hard. Glalie absorbs moisture from the air and drapes itself in an armor of ice.</t>
  </si>
  <si>
    <t>It covers its body with an armor of ice harder than steel. Uses its breath to freeze prey, which it then devours as if they were frozen desserts.</t>
  </si>
  <si>
    <t>Tämä Pokémon kuoli sukupuuttoon kaikkialla, paitsi muutamilla alueilla. Se suojaa itseään kovalla kuorellaan.</t>
  </si>
  <si>
    <t>SPHEAL is much faster rolling than walking to get around. When groups of this POKéMON eat, they all clap at once to show their pleasure. Because of this, their mealtimes are noisy.</t>
  </si>
  <si>
    <t>Fossiilista löydetty Pokémon. Se käytti selässään olevia silmiä piileskellessään merenpohjassa.</t>
  </si>
  <si>
    <t>SPHEAL always travels by rolling around on its ball-like body. When the season for ice floes arrives, this POKéMON can be seen rolling about on ice and crossing the sea.</t>
  </si>
  <si>
    <t>It is completely covered with plushy fur. As a result, it never feels the cold even when it is rolling about on ice floes or diving in the sea.</t>
  </si>
  <si>
    <t>Its body is covered in fluffy fur. The fur keeps it from feeling cold while it is rolling on ice.</t>
  </si>
  <si>
    <t>Tämä laji on lähes kokonaan sukupuuttoon kuollut. Kabuto-kakadut sulkasavat kolmen päivän välein, minkä vuoksi niiden kuoret kovenevat ja kovetuvat.</t>
  </si>
  <si>
    <t>It rolls across ice floes to reach shore because its body is poorly shaped for swimming.</t>
  </si>
  <si>
    <t>Vaikka jotkut sanovat tämän lajin kuolleen sukupuuttoon, Kabuto-havainnot ovat ilmeisesti melko yleisiä joissakin paikoissa.</t>
  </si>
  <si>
    <t>It crosses the oceans by rolling itself on drifting ice. Fluffy fur keeps it warm when the temperature is below freezing.</t>
  </si>
  <si>
    <t>Kabutops</t>
  </si>
  <si>
    <t>Sen virtaviivainen muoto sopii täydellisesti uimiseen. Se viiltää saalista kynsillään ja imee siitä nesteitä.</t>
  </si>
  <si>
    <t>They can’t swim well yet, and they move much faster by rolling. When they’re happy, they clap fins.</t>
  </si>
  <si>
    <t>Spheal is much faster rolling than walking to get around. When groups of this Pokémon eat, they all clap at once to show their pleasure. Because of this, their mealtimes are noisy.</t>
  </si>
  <si>
    <t>Hoikka ja nopea uimari. Se viiltää saalistaan ​​terävillä sirpeillään ja juo sen ruumiinnesteitä.</t>
  </si>
  <si>
    <t>Spheal always travels by rolling around on its ball-like body. When the season for ice floes arrives, this Pokémon can be seen rolling about on ice and crossing the sea.</t>
  </si>
  <si>
    <t>This Pokémon’s body is covered in blubber and impressively round. It’s faster for Spheal to roll around than walk.</t>
  </si>
  <si>
    <t>Vedessä se vetää raajansa sisäänpäin tiivistääkseen kokoaan ja sitten se heiluttelee kuortaan uidakseen nopeasti.</t>
  </si>
  <si>
    <t>As it drifts among the waves, Spheal probes the sea. As soon as it spots prey, it informs the Walrein in its herd.</t>
  </si>
  <si>
    <t>Terävillä kynsillään tämä raivoisa, muinainen POKéMON repii saaliinsa kappaleiksi ja imee niiden ruumiinnesteitä.</t>
  </si>
  <si>
    <t>During the season when drift ice approaches the shore, Spheal prefers living on the ice—where fewer predators lurk—rather than the land. Its fur retains heat superbly and resists harsh cold.</t>
  </si>
  <si>
    <t>Se pystyi uida nopeasti vedessä taittamalla terävät sirppinsä tiiviisti kokoon.</t>
  </si>
  <si>
    <t>SEALEO has the habit of always juggling on the tip of its nose anything it sees for the first time. This POKéMON occasionally entertains itself by balancing and rolling a SPHEAL on its nose.</t>
  </si>
  <si>
    <t>SEALEO often balances and rolls things on the tip of its nose. While the POKéMON is rolling something, it checks the object’s aroma and texture to determine whether it likes the object or not.</t>
  </si>
  <si>
    <t>Muinaisina aikoina kabutopsit uivat veden alla metsästääkseen saalistaan. Pokémon oli ilmeisesti kehittymässä vesieliöistä maalla eläviksi, kuten sen kidusten ja jalkojen muutokset osoittavat.</t>
  </si>
  <si>
    <t>SEALEO live in herds on ice floes. Using its powerful flippers, it shatters ice. It dives into the sea to hunt prey five times a day.</t>
  </si>
  <si>
    <t>It touches new things with its nose to test for smell and feel. It plays by spinning SPHEAL on its nose.</t>
  </si>
  <si>
    <t>It habitually spins things on its nose. By doing so, it learns textures and odors.</t>
  </si>
  <si>
    <t>KABUTOPS ui aikoinaan veden alla metsästääkseen saalista. Se oli ilmeisesti kehittymässä vesieliöstä maalla eläväksi, kuten sen kidusten ja jalkojen muutokset osoittavat.</t>
  </si>
  <si>
    <t>It has a very sensitive nose. It touches new things with its nose to examine them.</t>
  </si>
  <si>
    <t>Se ui vapaasti vedessä. Se pyydystää saaliin viikatteen kaltaisilla käsillään ja imee uhrin nesteet.</t>
  </si>
  <si>
    <t>Be it Spheal or Poké Ball, it will spin any round object on its nose with the greatest of ease.</t>
  </si>
  <si>
    <t>Sen virtaviivainen muoto on täydellinen uimiseen. Se viiltää saalista kynsillään ja imee sen nesteet pois.</t>
  </si>
  <si>
    <t>Sealeo has the habit of always juggling on the tip of its nose anything it sees for the first time. This Pokémon occasionally entertains itself by balancing and rolling a Spheal on its nose.</t>
  </si>
  <si>
    <t>Tämän Pokémonin uskotaan tulleen maalle, koska sen saalis sopeutui maaelämään.</t>
  </si>
  <si>
    <t>Sealeo often balances and rolls things on the tip of its nose. While the Pokémon is rolling something, it checks the object’s aroma and texture to determine whether it likes the object or not.</t>
  </si>
  <si>
    <t>Sealeo live on top of drift ice. They go swimming when they’re on the hunt, seeking out their prey by scent.</t>
  </si>
  <si>
    <t>This Pokémon has a habit of spinning round things on its nose, whether those things are Poké Balls or Spheal.</t>
  </si>
  <si>
    <t>Its white whiskers are very sensitive. Sealeo will balance Spheal on the tip of its nose, checking its scent and its feel to be sure the Spheal is healthy.</t>
  </si>
  <si>
    <t>WALREIN’s two massively developed tusks can totally shatter blocks of ice weighing ten tons with one blow. This POKéMON’s thick coat of blubber insulates it from subzero temperatures.</t>
  </si>
  <si>
    <t>WALREIN swims all over in frigid seawater while crushing icebergs with its grand, imposing tusks. Its thick layer of blubber makes enemy attacks bounce off harmlessly.</t>
  </si>
  <si>
    <t>To protect its herd, the leader battles anything that invades its territory, even at the cost of its life. Its tusks may snap off in battle.</t>
  </si>
  <si>
    <t>It swims through icy seas while shattering ice floes with its large tusks. It is protected by its thick blubber.</t>
  </si>
  <si>
    <t>Terävillä kynsillään tämä raivoisa, muinainen Pokémon repii saaliinsa kappaleiksi ja imee niiden ruumiinnesteitä.</t>
  </si>
  <si>
    <t>It shatters ice with its big tusks. Its thick blubber repels not only the cold, but also enemy attacks.</t>
  </si>
  <si>
    <t>It shatters drift ice with its strong tusks. Its thick layer of blubber repels enemy attacks.</t>
  </si>
  <si>
    <t>Not only does its thick blubber keep it warm, it also protects it from attacks. It shatters ice with its prized tusks.</t>
  </si>
  <si>
    <t>Walrein’s two massively developed tusks can totally shatter blocks of ice weighing 10 tons with one blow. This Pokémon’s thick coat of blubber insulates it from subzero temperatures.</t>
  </si>
  <si>
    <t>https://pokeapi.co/api/v2/pokemon-species/117/</t>
  </si>
  <si>
    <t>Walrein swims all over in frigid seawater while crushing icebergs with its grand, imposing tusks. Its thick layer of blubber makes enemy attacks bounce off harmlessly.</t>
  </si>
  <si>
    <t>Muinaisina aikoina kabutopsit uivat veden alla metsästääkseen saalistaan. Pokémonit olivat ilmeisesti kehittymässä vesieliöistä maalla eläviksi, mikä käy ilmi sen kidusten ja jalkojen muutoksista.</t>
  </si>
  <si>
    <t>Walrein form herds of 20 to 30 individuals. When a threat appears, the herd’s leader will protect the group with its life.</t>
  </si>
  <si>
    <t>Sen ruumis oli alkanut muuttua, jotta se kykenisi toimimaan maalla. Mutta se ei sopeutunut ajoissa ja kuoli sukupuuttoon.</t>
  </si>
  <si>
    <t>Walrein’s tusks keep growing throughout its life. Tusks broken in battle will grow back to their usual impressive size in a year.</t>
  </si>
  <si>
    <t>Its thick tusks are strong enough to shatter drift ice. They have been known to break, but they will grow back by the next year. The Hisui region is well known for these broken tusks.</t>
  </si>
  <si>
    <t>Se ui noin 29 solmun nopeudella, lähestyy nopeasti saalistaan ​​ja viivoittaa sitä viikatteillaan lopettaakseen sen.</t>
  </si>
  <si>
    <t>CLAMPERL’s sturdy shell is not only good for protection - it is also used for clamping and catching prey. A fully grown CLAMPERL’s shell will be scored with nicks and scratches all over.</t>
  </si>
  <si>
    <t>Hoikka ja nopea uimari. Se viilsi saalistaan ​​terävillä sirpeillään ja joi sen ruumiinnesteet.</t>
  </si>
  <si>
    <t>CLAMPERL grows while being protected by its rock-hard shell. When its body becomes too large to fit inside the shell, it is sure evidence that this POKéMON is getting close to evolution.</t>
  </si>
  <si>
    <t>Kabutops viipaloi saaliinsa ja imee nesteet ulos. Hylätyistä ruumiinosista tulee ruokaa muille Pokémoneille.</t>
  </si>
  <si>
    <t>Tämän lajin sukupuuton syytä ei tiedetä. Kabutopsit olivat aggressiivisia Pokémoneja, jotka asuttivat lämpimiä meriä.</t>
  </si>
  <si>
    <t>A CLAMPERL slams its shell closed on prey to prevent escape. The pearl it creates upon evolution is said to be infused with a mysterious energy.</t>
  </si>
  <si>
    <t>Aerodactyl</t>
  </si>
  <si>
    <t>Fossiilinen Pokémon</t>
  </si>
  <si>
    <t>Raivoisa, esihistoriallinen POKéMON, joka hyökkää vihollisen kurkkuun sahalaitaisilla, sahan kaltaisilla hampaillaan.</t>
  </si>
  <si>
    <t>It is protected by a sturdy shell. Once in a lifetime, it makes a magnificent pearl.</t>
  </si>
  <si>
    <t>It makes a single pearl during its lifetime. The pearl is said to amplify psychic power.</t>
  </si>
  <si>
    <t>Villi POKéMON, joka kuoli sukupuuttoon muinaisina aikoina. Se herätettiin henkiin meripihkasta otetulla DNA:lla.</t>
  </si>
  <si>
    <t>When it evolves, it makes a mysterious pearl that amplifies psychic powers when it’s held.</t>
  </si>
  <si>
    <t>Kaukaisesta menneisyydestä peräisin oleva ilkeä POKéMON näyttää lentäneen levittämällä siipensä ja liitämällä.</t>
  </si>
  <si>
    <t>Clamperl’s sturdy shell is not only good for protection—it is also used for clamping and catching prey. A fully grown Clamperl’s shell will be scored with nicks and scratches all over.</t>
  </si>
  <si>
    <t>Tämän ilkeän POKé MONin kerrotaan lentäneen muinaisella taivaalla kirkuen korkeita huutoja.</t>
  </si>
  <si>
    <t>Clamperl grows while being protected by its rock-hard shell. When its body becomes too large to fit inside the shell, it is sure evidence that this Pokémon is getting close to evolution.</t>
  </si>
  <si>
    <t>Esihistoriallisina aikoina tämä POKéMON lensi vapaasti ja pelottomasti taivaalla.</t>
  </si>
  <si>
    <t>Despite its appearance, it’s carnivorous. It clamps down on its prey with both sides of its shell and doesn’t let go until they stop moving.</t>
  </si>
  <si>
    <t>AERODACTYL on dinosaurusten aikakauden POKéMON. Se luotiin uudelleen meripihkasta uutetusta geneettisestä materiaalista. Sen uskotaan olleen taivaiden kuningas muinaisissa ajoissa.</t>
  </si>
  <si>
    <t>Clamperl’s pearls are exceedingly precious. They can be more than 10 times as costly as Shellder’s pearls.</t>
  </si>
  <si>
    <t>HUNTAIL’s presence went unnoticed by people for a long time because it lives at extreme depths in the sea. This POKéMON’s eyes can see clearly even in the murky dark depths of the ocean.</t>
  </si>
  <si>
    <t>HUNTAIL’s tail is shaped like a fish. It uses the tail to attract prey, then swallows the prey whole with its large, gaping mouth. This POKéMON swims by wiggling its slender body like a snake.</t>
  </si>
  <si>
    <t>AERODACTYL on dinosaurusten aikakauden POKéMON. Se luotiin uudelleen meripihkasta uutetusta DNA:sta. Sen uskotaan olleen taivaiden kuningas.</t>
  </si>
  <si>
    <t>To withstand the crushing pressure of water deep under the sea, its spine is very thick and sturdy. Its tail, which is shaped like a small fish, has eyes that light up.</t>
  </si>
  <si>
    <t>Se luotiin uudelleen dinosauruksen geneettisestä aineksesta, jota löydettiin meripihkasta. Se lentää korkeilla äänillä.</t>
  </si>
  <si>
    <t>It lives deep in the sea where no light ever filters down. It lights up its small fishlike tail to attract prey.</t>
  </si>
  <si>
    <t>It lives deep in the sea. With a tail shaped like a small fish, it attracts unsuspecting prey.</t>
  </si>
  <si>
    <t>Pokémon, joka vaelsi taivailla dinosaurusten aikakaudella. Sen hampaat ovat kuin sahanterät.</t>
  </si>
  <si>
    <t>It lives deep in the pitch-dark sea. It attracts prey by moving its tail in mimicry of a small animal.</t>
  </si>
  <si>
    <t>Huntail’s presence went unnoticed by people for a long time because it lives at extreme depths in the sea. This Pokémon’s eyes can see clearly even in the murky dark depths of the ocean.</t>
  </si>
  <si>
    <t>Huntail’s tail is shaped like a fish. It uses the tail to attract prey, then swallows the prey whole with its large, gaping mouth. This Pokémon swims by wiggling its slender body like a snake.</t>
  </si>
  <si>
    <t>It’s not the strongest swimmer. It wags its tail to lure in its prey and then gulps them down as soon as they get close.</t>
  </si>
  <si>
    <t>Kaukaisesta menneisyydestä peräisin oleva ilkeä Pokémon näyttää lentäneen levittämällä siipiään ja liitämällä.</t>
  </si>
  <si>
    <t>Deep seas are their habitat. According to tradition, when Huntail wash up onshore, something unfortunate will happen.</t>
  </si>
  <si>
    <t>Tämän ilkeän Pokémonin sanotaan lentäneen muinaisilla taivailla kirkuen korkeita huutoja.</t>
  </si>
  <si>
    <t>GOREBYSS lives in the southern seas at extreme depths. Its body is built to withstand the enormous pressure of water at incredible depths. Because of this, this POKéMON’s body is unharmed by ordinary attacks.</t>
  </si>
  <si>
    <t>Although GOREBYSS is the very picture of elegance and beauty while swimming, it is also cruel. When it spots prey, this POKéMON inserts its thin mouth into the prey’s body and drains the prey of its body fluids.</t>
  </si>
  <si>
    <t>A GOREBYSS siphons the body fluids of prey through its thin, tubular mouth. Its light pink body color turns vivid when it finishes feeding.</t>
  </si>
  <si>
    <t>Its swimming form is exquisitely elegant. With its thin mouth, it feeds on seaweed that grows between rocks.</t>
  </si>
  <si>
    <t>It lives at the bottom of the sea. In the springtime, its pink body turns more vivid for some reason.</t>
  </si>
  <si>
    <t>Its pink body becomes more vivid with the rise of water temperatures in the springtime.</t>
  </si>
  <si>
    <t>Gorebyss lives in the southern seas at extreme depths. Its body is built to withstand the enormous pressure of water at incredible depths. Because of this, this Pokémon’s body is unharmed by ordinary attacks.</t>
  </si>
  <si>
    <t>Although Gorebyss is the very picture of elegance and beauty while swimming, it is also cruel. When it spots prey, this Pokémon inserts its thin mouth into the prey’s body and drains the prey of its body fluids.</t>
  </si>
  <si>
    <t>The color of its body changes with the water temperature. The coloration of Gorebyss in Alola is almost blindingly vivid.</t>
  </si>
  <si>
    <t>Aerodactyl on dinosaurusten aikakauden Pokémon. Se luotiin uudelleen meripihkasta uutetusta geneettisestä materiaalista. Sen uskotaan olleen taivaiden kuningas muinaisina aikoina.</t>
  </si>
  <si>
    <t>It sucks bodily fluids out of its prey. The leftover meat sinks to the seafloor, where it becomes food for other Pokémon.</t>
  </si>
  <si>
    <t>RELICANTH is a POKéMON species that existed for a hundred million years without ever changing its form. This ancient POKéMON feeds on microscopic organisms with its toothless mouth.</t>
  </si>
  <si>
    <t>Dinosaurusten aikakauden Pokémon. Se käytti sahamaisia ​​hampaitaan saaliinsa silppuamiseen ennen sen syömistä.</t>
  </si>
  <si>
    <t>RELICANTH is a rare species that was discovered in deep-sea explorations. This POKéMON’s body withstands the enormous water pressure of the ocean depths. Its body is covered in tough scales that are like craggy rocks.</t>
  </si>
  <si>
    <t>Muinaisina aikoina se hallitsi taivaita. Yleisesti hyväksytyn teorian mukaan se kuoli sukupuuttoon suuren meteoritörmäyksen seurauksena.</t>
  </si>
  <si>
    <t>A POKéMON that was once believed to have been extinct. The species has not changed its form for 100 million years. It walks on the seafloor using its pectoral fins.</t>
  </si>
  <si>
    <t>It has remained unchanged for 100 million years. It was discovered during a deep-sea exploration.</t>
  </si>
  <si>
    <t>Meripihkasta löydetystä DNA:sta ennallistettu Pokémon osoitti odotettua suurempaa raivoa. Joitakin uhreja seurasi.</t>
  </si>
  <si>
    <t>A rare Pokémon discovered during a deep-sea exploration. It has not changed in over 100 million years.</t>
  </si>
  <si>
    <t>Se lensi muinaisen mantereen yllä avoimen taivaan halki kuin omansa. Maata koskettaessaan sen kävely oli heikkoa ja hidasta.</t>
  </si>
  <si>
    <t>Discovered by chance during deep-sea explorations, it has not changed since ancient times.</t>
  </si>
  <si>
    <t>Villi Pokémon, joka kuoli sukupuuttoon muinaisina aikoina. Se herätettiin henkiin meripihkasta otetulla DNA:lla.</t>
  </si>
  <si>
    <t>Relicanth is a Pokémon species that existed for a hundred million years without ever changing its form. This ancient Pokémon feeds on microscopic organisms with its toothless mouth.</t>
  </si>
  <si>
    <t>Relicanth is a rare species that was discovered in deep-sea explorations. This Pokémon’s body withstands the enormous water pressure of the ocean depths. Its body is covered in tough scales that are like craggy rocks.</t>
  </si>
  <si>
    <t>Tämä on hurja Pokémon muinaisista ajoista. Ilmeisesti edes nykyteknologia ei kykene tuottamaan täydellisesti restauroitua yksilöä.</t>
  </si>
  <si>
    <t>Its form has remained the same for one hundred million years. Its body is filled with fat, so it can withstand the water pressure of the deep sea.</t>
  </si>
  <si>
    <t>It was fortuitously discovered during a deep sea expedition. Its teeth have atrophied, so it now survives on microscopic organisms it sucks up.</t>
  </si>
  <si>
    <t>Aerodactylin sahan kaltaiset kulmahampaat voivat repiä ihon kappaleiksi – jopa terästyyppisen Pokémonin ihon.</t>
  </si>
  <si>
    <t>Snorlax</t>
  </si>
  <si>
    <t>Thought to have gone extinct, Relicanth was given a name that is a variation of the name of the person who discovered it.</t>
  </si>
  <si>
    <t>Nukkuva Pokémon</t>
  </si>
  <si>
    <t>Hyvin laiska. Syö ja nukkuu vain. Kun sen pyöreä massa kasvaa, siitä tulee yhä laiskampi.</t>
  </si>
  <si>
    <t>The reason it hasn’t changed at all in a hundred million years is that it’s apparently already a perfect life-form.</t>
  </si>
  <si>
    <t>Rock-hard scales and oil-filled swim bladders allow this Pokémon to survive the intense water pressure of the deep sea.</t>
  </si>
  <si>
    <t>https://pokeapi.co/api/v2/pokemon-species/118/</t>
  </si>
  <si>
    <t>This Pokémon was discovered during deep-sea exploration. Its appearance hasn’t changed in 100,000,000 years, so it’s called a living fossil.</t>
  </si>
  <si>
    <t>Syö mitä tahansa, vaikka ruoka sattuisi olemaan vähän homeista. Vatsa ei koskaan mene sekaisin.</t>
  </si>
  <si>
    <t>LUVDISC live in shallow seas in the tropics. This heart-shaped POKéMON earned its name by swimming after loving couples it spotted in the ocean’s waves.</t>
  </si>
  <si>
    <t>Se, mikä kuulostaa sen huudolta, voi todellisuudessa olla sen kuorsausta tai nälkäisen vatsan kurnimista.</t>
  </si>
  <si>
    <t>Sen mahan ruoansulatusnesteet voivat liuottaa minkä tahansa tyyppisiä myrkkyjä. Se voi jopa syödä maasta irronneita esineitä.</t>
  </si>
  <si>
    <t>LUVDISC’s heart-shaped body is a symbol of love and romance. It is said that any couple meeting this POKéMON is promised a loving relationship that never ends.</t>
  </si>
  <si>
    <t>LUVDISC make the branches of CORSOLA their nests. There is a custom from long ago of giving a LUVDISC as a gift to express one’s feelings of love.</t>
  </si>
  <si>
    <t>Tämän POKéMONin vatsa on niin vahva, ettei edes homeisen tai pilaantuneen ruoan syöminen vaikuta siihen.</t>
  </si>
  <si>
    <t>During the spawning season, countless LUVDISC congregate at coral reefs, turning the waters pink.</t>
  </si>
  <si>
    <t>SNORLAXin tyypillinen päivä koostuu pelkästä syömisestä ja nukkumisesta. Se on niin säyseä POKéMON, että jotkut lapset käyttävät sen valtavaa vatsaa leikkipaikkana.</t>
  </si>
  <si>
    <t>It lives in warm seas. It is said that a couple finding this Pokémon will be blessed with eternal love.</t>
  </si>
  <si>
    <t>Its heart-shaped body makes it popular. In some places, you would give a LUVDISC to someone you love.</t>
  </si>
  <si>
    <t>During the spawning season, countless Luvdisc congregate at coral reefs, turning the waters pink.</t>
  </si>
  <si>
    <t>SNORLAXin tyypillinen päivä koostuu pelkästä syömisestä ja nukkumisesta. Se on niin säyseä POKéMON, että jotkut lapset käyttävät sen isoa vatsaa leikkipaikkana.</t>
  </si>
  <si>
    <t>Luvdisc live in shallow seas in the tropics. This heart-shaped Pokémon earned its name by swimming after loving couples it spotted in the ocean’s waves.</t>
  </si>
  <si>
    <t>Se ei ole kylläinen, ellei se syö yli 400 kiloa ruokaa joka päivä. Syötyään se menee heti nukkumaan.</t>
  </si>
  <si>
    <t>Luvdisc’s heart-shaped body is a symbol of love and romance. It is said that any couple meeting this Pokémon is promised a loving relationship that never ends.</t>
  </si>
  <si>
    <t>If a Luvdisc is left on its own, it becomes despondent, leaving itself open to attack. That is when Pelipper snatch them up.</t>
  </si>
  <si>
    <t>Loving couples have a soft spot for this Pokémon, so honeymoon hotels often release this Pokémon into their pools.</t>
  </si>
  <si>
    <t>Sen vatsa voi sulattaa minkä tahansa ruoan, vaikka se sattuisi olemaan homeista tai mätää.</t>
  </si>
  <si>
    <t>There was an era when it was overfished due to the rumor that having one of its heart-shaped scales would enable you to find a sweetheart.</t>
  </si>
  <si>
    <t>Se lopettaa syömisen vain nukkuakseen. Se ei tunne oloaan kylläiseksi, ellei se syö lähes 400 kiloa päivässä.</t>
  </si>
  <si>
    <t>Luvdisc makes its home in coral reefs in warm seas. It especially likes sleeping in the space between Corsola’s branches.</t>
  </si>
  <si>
    <t>Kun sen vatsa on täynnä, siitä tulee liian apaattinen edes nostaakseen sormea, joten se on turvallista pomppia vatsallaan.</t>
  </si>
  <si>
    <t>BAGON has a dream of one day soaring in the sky. In doomed efforts to fly, this POKéMON hurls itself off cliffs. As a result of its dives, its head has grown tough and as hard as tempered steel.</t>
  </si>
  <si>
    <t>BAGON harbors a never-ending dream of one day soaring high among the clouds. As if trying to dispel its frustration over its inability to fly, this POKéMON slams its hard head against huge rocks and shatters them into pebbles.</t>
  </si>
  <si>
    <t>Although it is small, this POKéMON is very powerful because its body is a bundle of muscles. It launches head-butts with its ironlike skull.</t>
  </si>
  <si>
    <t>Its steel-hard head can shatter boulders. It longingly hopes for wings to grow so it can fly.</t>
  </si>
  <si>
    <t>Dreaming of one day flying, it practices by leaping off cliffs every day.</t>
  </si>
  <si>
    <t>Its well-developed neck muscles and ironlike head can smash boulders into pieces.</t>
  </si>
  <si>
    <t>Snorlaxin tyypillinen päivä koostuu vain syömisestä ja nukkumisesta. Se on niin säyseä Pokémon, että jotkut lapset käyttävät sen laajaa vatsaa leikkipaikkana.</t>
  </si>
  <si>
    <t>Its well-developed neck muscles and iron-like head can smash boulders into pieces.</t>
  </si>
  <si>
    <t>Bagon has a dream of one day soaring in the sky. In doomed efforts to fly, this Pokémon hurls itself off cliffs. As a result of its dives, its head has grown tough and as hard as tempered steel.</t>
  </si>
  <si>
    <t>Sen vatsan sanotaan olevan verrattoman vahva. Jopa Mukin myrkky on vain häivähdys mausteita Snorlaxin kielellä.</t>
  </si>
  <si>
    <t>Se syö lähes 400 kiloa ruokaa joka päivä. Se alkaa torkahtaa syödessään – ja jatkaa syömistä jopa nukkuessaan.</t>
  </si>
  <si>
    <t>Bagon harbors a never-ending dream of one day soaring high among the clouds. As if trying to dispel its frustration over its inability to fly, this Pokémon slams its hard head against huge rocks and shatters them into pebbles.</t>
  </si>
  <si>
    <t>Se ei tee mitään muuta kuin syö ja nukkuu. Kun sitä kehotetaan ponnistelemaan tosissaan, se ilmeisesti osoittaa mahtavaa voimaa.</t>
  </si>
  <si>
    <t>Its belief that it will be able to fly one day is apparently the influence of information carried in its genes.</t>
  </si>
  <si>
    <t>Se ei ole kiinnostunut mistään muusta kuin syömisestä. Vaikka kiipeäisit sen vatsalle sen nukkuessa, se ei näytä välittävän ollenkaan!</t>
  </si>
  <si>
    <t>With its steel-hard stone head, it headbutts indiscriminately. This is because of the stress it feels at being unable to fly.</t>
  </si>
  <si>
    <t>Whenever it sees bird Pokémon flying through the sky, it becomes envious and smashes its surroundings to bits with headbutts.</t>
  </si>
  <si>
    <t>Some theories suggest that its behavior of forcefully bashing its head into things stimulates cells that affect its evolution.</t>
  </si>
  <si>
    <t>Tämän Pokémonin vatsa on niin vahva, ettei edes homeisen tai pilaantuneen ruoan syöminen vaikuta siihen.</t>
  </si>
  <si>
    <t>Tämä ahmatti ilmestyy kyliin varoittamatta ja ahmii kaikki niiden riisiviljat – tällaisia ​​​​tapauksia on pitkään pidetty vakavimpien katastrofien joukossa.</t>
  </si>
  <si>
    <t>Bagon jumps off cliffs every day, trying to grow stronger so that someday it will be able to fly.</t>
  </si>
  <si>
    <t>Articuno</t>
  </si>
  <si>
    <t>Jäädytä Pokémonit</t>
  </si>
  <si>
    <t>Legendaarinen lintu-POKéMON, jonka sanotaan ilmestyvän jäisiin vuoriin eksyneille tuhoon tuomituille ihmisille.</t>
  </si>
  <si>
    <t>Bagon is a solitary Pokémon that doesn’t form groups with others of its kind. It also has a head hard enough to cleave a boulder in one strike.</t>
  </si>
  <si>
    <t>Inside SHELGON’s armor-like shell, cells are in the midst of transformation to create an entirely new body. This POKéMON’s shell is extremely heavy, making its movements sluggish.</t>
  </si>
  <si>
    <t>Legendaarinen lintu-POKéMON. Se jäädyttää talvi-ilmassa olevan veden ja tekee siitä lunta.</t>
  </si>
  <si>
    <t>Tämän legendaarisen lintu-POKéMONin upeiden, näennäisen läpikuultavien siipien sanotaan olevan tehty jäästä.</t>
  </si>
  <si>
    <t>Covering SHELGON’s body are outgrowths much like bones. The shell is very hard and bounces off enemy attacks. When awaiting evolution, this POKéMON hides away in a cavern.</t>
  </si>
  <si>
    <t>Yksi legendaarisista Pokémon-linnuista, se jäähdyttää ilmakehän kosteutta luodakseen lunta lentäessään.</t>
  </si>
  <si>
    <t>It hardly eats while it awaits evolution. It becomes hardier by enduring hunger. Its shell peels off the instant it begins to evolve.</t>
  </si>
  <si>
    <t>Legendaarinen lintu-POKéMON. Lentäessään taivaalla se viilentää ilmaa ja aiheuttaa lunta.</t>
  </si>
  <si>
    <t>ARTICUNO on legendaarinen lintu-POKéMON, joka pystyy hallitsemaan jäätä. Sen siipien räpyttely viilentää ilmaa. Tämän seurauksena sanotaan, että kun tämä POKéMON lentää, sataa lunta.</t>
  </si>
  <si>
    <t>Its armored body makes all attacks bounce off. The armor is too tough, however, making it heavy and somewhat sluggish.</t>
  </si>
  <si>
    <t>Within its rugged shell, its cells have begun changing. The shell peels off the instant it evolves.</t>
  </si>
  <si>
    <t>Yksi legendaarisista lintu-POKéMONeista. Pitkän pyrstönsä ansiosta sen lentomuoto on upea.</t>
  </si>
  <si>
    <t>It surrounds its body in an iron-hard shell to accumulate enough power to evolve.</t>
  </si>
  <si>
    <t>Legendaarinen lintu-Pokémon. Se voi aiheuttaa lumimyrskyjä jäädyttämällä ilman kosteutta.</t>
  </si>
  <si>
    <t>Inside Shelgon’s armor-like shell, cells are in the midst of transformation to create an entirely new body. This Pokémon’s shell is extremely heavy, making its movements sluggish.</t>
  </si>
  <si>
    <t>Covering Shelgon’s body are outgrowths much like bones. The shell is very hard and bounces off enemy attacks. When awaiting evolution, this Pokémon hides away in a cavern.</t>
  </si>
  <si>
    <t>Tämän legendaarisen lintu-Pokémonin upeiden, näennäisesti läpikuultavien siipien sanotaan olevan tehty jäästä.</t>
  </si>
  <si>
    <t>Yksi legendaarisista lintu-Pokémoneista, se jäähdyttää ilmakehän kosteutta luodakseen lunta lentäessään.</t>
  </si>
  <si>
    <t>The cells within its shell transform with explosive speed, preparing it for evolution.</t>
  </si>
  <si>
    <t>https://pokeapi.co/api/v2/pokemon-species/119/</t>
  </si>
  <si>
    <t>They lurk deep within caves—motionless, neither eating nor drinking. Why they don’t die is not known.</t>
  </si>
  <si>
    <t>The cells within its body are changing at a bewildering pace. Its hard shell is made from the same substance as bone.</t>
  </si>
  <si>
    <t>Shelgon lives deep within caves. It stays shut up in its hard shell, dreaming of the day it will be able to fly.</t>
  </si>
  <si>
    <t>This Pokémon has covered its body in a hard shell that has the same composition as bone. Shelgon stores energy for evolution.</t>
  </si>
  <si>
    <t>Legendaarinen lintu-Pokémon, jonka sanotaan ilmestyvän jäisiin vuoriin eksyneille tuhoon tuomituille ihmisille.</t>
  </si>
  <si>
    <t>Articuno on legendaarinen lintu-Pokémon, joka pystyy hallitsemaan jäätä. Sen siipien räpyttely viilentää ilmaa. Tämän Pokémonin sanotaan lentävän ja satavan lunta.</t>
  </si>
  <si>
    <t>Shelgon ignores its hunger entirely, never eating any food. Apparently, Shelgon will evolve once all its energy stores are used up.</t>
  </si>
  <si>
    <t>Legendaarinen lintu-Pokémon. Se jäädyttää talvi-ilmassa olevan veden ja tekee siitä lunta.</t>
  </si>
  <si>
    <t>SALAMENCE came about as a result of a strong, long-held dream of growing wings. It is said that this powerful desire triggered a sudden mutation in this POKéMON’s cells, causing it to sprout its magnificent wings.</t>
  </si>
  <si>
    <t>By evolving into SALAMENCE, this POKéMON finally realizes its long-held dream of growing wings. To express its joy, it flies and wheels all over the sky while spouting flames from its mouth.</t>
  </si>
  <si>
    <t>Sanotaan, että tämän Pokémonin kauniit siniset siivet ovat jäätä. Articuno lentää lumihuippuisten vuorten yli, sen pitkä häntä lepattellen sen perässä.</t>
  </si>
  <si>
    <t>After many long years, its cellular structure underwent a sudden mutation to grow wings. When angered, it loses all thought and rampages out of control.</t>
  </si>
  <si>
    <t>Tämä Pokémon voi hallita jäätä mielensä mukaan. Articunon sanotaan elävän lumisilla vuorilla, joita peittää ikirouta.</t>
  </si>
  <si>
    <t>Zapdos</t>
  </si>
  <si>
    <t>Legendaarinen lintu-POKéMON, jonka sanotaan ilmestyvän pilvistä pudottaen valtavia salamoita.</t>
  </si>
  <si>
    <t>It becomes uncontrollable if it is enraged. It destroys everything with shredding claws and fire.</t>
  </si>
  <si>
    <t>As a result of its long-held dream of flying, its cellular structure changed, and wings grew out.</t>
  </si>
  <si>
    <t>Tämän legendaarisen lintu-POKéMONin sanotaan ilmestyvän, kun taivas pimenee ja salamointi iskee.</t>
  </si>
  <si>
    <t>Tämä legendaarinen lintu-POKéMON aiheuttaa rajuja ukkosmyrskyjä räpyttelemällä kimaltelevia siipiään.</t>
  </si>
  <si>
    <t>Tämän legendaarisen lintu-POKéMONin sanotaan ilmestyvän vain, kun ukkospilvi jakautuu kahtia.</t>
  </si>
  <si>
    <t>It’s uncontrollable if enraged. It flies around spouting flames and scorching fields and mountains.</t>
  </si>
  <si>
    <t>Legendaarinen lintu-POKéMON. Sanotaan, että sen siipien räpyttelystä johtuva salama aiheuttaa kesämyrskyjä.</t>
  </si>
  <si>
    <t>Salamence came about as a result of a strong, long-held dream of growing wings. It is said that this powerful desire triggered a sudden mutation in this Pokémon’s cells, causing it to sprout its magnificent wings.</t>
  </si>
  <si>
    <t>ZAPDOS on legendaarinen lintu-POKéMON, jolla on kyky hallita sähköä. Se elää yleensä ukkospilvissä. POKéMON saa voimaa, jos siihen iskee salama.</t>
  </si>
  <si>
    <t>By evolving into Salamence, this Pokémon finally realizes its long-held dream of growing wings. To express its joy, it flies and wheels all over the sky while spouting flames from its mouth.</t>
  </si>
  <si>
    <t>When angered, it loses all sense of itself and destroys everything around it. The destruction will continue until Salamence has tired itself out.</t>
  </si>
  <si>
    <t>ZAPDOS on legendaarinen lintu-POKéMON, jolla on kyky hallita sähköä. Se elää yleensä ukkospilvissä. Se saa voimaa, jos salama iskee siihen.</t>
  </si>
  <si>
    <t>It flies around on its wings, which have grown in at last. In its happiness, it gushes hot flames, burning up the fields it passes over.</t>
  </si>
  <si>
    <t>Yksi legendaarisista lintu-POKéMONeista. Lentäessään se päästää rätinää ja napsahtelua.</t>
  </si>
  <si>
    <t>Overjoyed at finally being able to fly, it flies all over the place and usually doesn’t land until it’s completely exhausted and needs to sleep.</t>
  </si>
  <si>
    <t>Thanks to its fervent wishes, the cells in its body finally mutated, and at last it has its heart’s desire—wings.</t>
  </si>
  <si>
    <t>Legendaarinen Pokémon, jonka sanotaan elävän ukkospilvissä. Se hallitsee vapaasti salamoita.</t>
  </si>
  <si>
    <t>Salamence is an unusual Pokémon in that it was able to evolve a body with wings just by constantly wishing to be able to fly.</t>
  </si>
  <si>
    <t>While basking in the joy of flight generally keeps this Pokémon in high spirits, Salamence turns into an uncontrollable menace if something angers it.</t>
  </si>
  <si>
    <t>Instead of blood, a powerful magnetic force courses throughout BELDUM’s body. This POKéMON communicates with others by sending controlled pulses of magnetism.</t>
  </si>
  <si>
    <t>BELDUM keeps itself floating by generating a magnetic force that repels earth’s natural magnetism. When it sleeps, this POKéMON anchors itself to a cliff using the hooks on its rear.</t>
  </si>
  <si>
    <t>When BELDUM gather in a swarm, they move in perfect unison as if they were but one POKéMON. They communicate with each other using brain waves.</t>
  </si>
  <si>
    <t>Tämä legendaarinen lintu-Pokémon aiheuttaa rajuja ukkosmyrskyjä räpyttelemällä kimaltelevia siipiään.</t>
  </si>
  <si>
    <t>It uses magnetic waves to converse with its kind. All the cells in its body are magnetic.</t>
  </si>
  <si>
    <t>Tämän legendaarisen lintu-Pokémonin sanotaan ilmestyvän vain, kun ukkospilvi jakautuu kahtia.</t>
  </si>
  <si>
    <t>It converses with others by using magnetic pulses. In a swarm, they move in perfect unison.</t>
  </si>
  <si>
    <t>The magnetic force generated by its body repels the ground’s natural magnetism, letting it float.</t>
  </si>
  <si>
    <t>Its cells are all magnetic, and it communicates with others by using magnetic pulses.</t>
  </si>
  <si>
    <t>Instead of blood, a powerful magnetic force courses throughout Beldum’s body. This Pokémon communicates with others by sending controlled pulses of magnetism.</t>
  </si>
  <si>
    <t>Beldum keeps itself floating by generating a magnetic force that repels earth’s natural magnetism. When it sleeps, this Pokémon anchors itself to a cliff using the hooks on its rear.</t>
  </si>
  <si>
    <t>Its cells are all magnets. It uses magnetism to communicate with others of its kind.</t>
  </si>
  <si>
    <t>With magnetic traction, it pulls its opponents in close. When they’re in range, it slashes them with its rear claws.</t>
  </si>
  <si>
    <t>Instead of blood, magnetism flows through its body. When it’s feeling bad, try giving it a magnet.</t>
  </si>
  <si>
    <t>If you anger it, it will do more than rampage. It will also burst out strong magnetism, causing nearby machines to break.</t>
  </si>
  <si>
    <t>Legendaarinen lintu-Pokémon, jonka sanotaan ilmestyvän pilvistä pudottaen valtavia salamoita.</t>
  </si>
  <si>
    <t>From its rear, Beldum emits a magnetic force that rapidly pulls opponents in. They get skewered on Beldum’s sharp claws.</t>
  </si>
  <si>
    <t>The cells in this Pokémon’s body are composed of magnetic material. Instead of blood, magnetic forces flow through Beldum’s body.</t>
  </si>
  <si>
    <t>When two BELDUM fuse together, METANG is formed. The brains of the BELDUM are joined by a magnetic nervous system. By linking its brains magnetically, this POKéMON generates strong psychokinetic power.</t>
  </si>
  <si>
    <t>When two BELDUM fuse together, METANG is formed. The brains of the BELDUM are joined by a magnetic nervous system. This POKéMON turns its arms to the rear for traveling at high speed.</t>
  </si>
  <si>
    <t>The claws tipping its arms pack the destructive power to tear through thick iron sheets as if they were silk. It flies at over 60 miles per hour.</t>
  </si>
  <si>
    <t>Zapdos on legendaarinen lintu-Pokémon, jolla on kyky hallita sähköä. Se elää yleensä ukkospilvissä. Pokémon saa voimaa, jos salama iskee siihen.</t>
  </si>
  <si>
    <t>It floats midair using magnetism. Its body is so tough, even a crash with a jet plane won’t leave a scratch.</t>
  </si>
  <si>
    <t>It is formed by two BELDUM joining together. Its steel body won’t be scratched if it collides with a jet.</t>
  </si>
  <si>
    <t>When two BELDUM fuse together, a magnetic nervous system places their brains in union.</t>
  </si>
  <si>
    <t>It is formed by two Beldum joining together. Its steel body won’t be scratched if it collides with a jet.</t>
  </si>
  <si>
    <t>Tämän legendaarisen lintu-Pokémonin sanotaan ilmestyvän, kun taivas pimenee ja salamointi iskee.</t>
  </si>
  <si>
    <t>It is formed by two Beldum joining together. Its two brains are linked, amplifying its psychic power.</t>
  </si>
  <si>
    <t>When two Beldum fuse together, Metang is formed. The brains of the Beldum are joined by a magnetic nervous system. By linking its brains magnetically, this Pokémon generates strong psychokinetic power.</t>
  </si>
  <si>
    <t>When two Beldum fuse together, Metang is formed. The brains of the Beldum are joined by a magnetic nervous system. This Pokémon turns its arms to the rear for traveling at high speed.</t>
  </si>
  <si>
    <t>When two Beldum link together, their psychic power is doubled. Their intelligence, however, remains unchanged.</t>
  </si>
  <si>
    <t>Tämä Pokémon hallitsee täysin sähköä. Tarinoiden mukaan Zapdos pesii pikimustien ukkospilvien syvyyksissä.</t>
  </si>
  <si>
    <t>It adores magnetic minerals, so it pursues Nosepass at speeds exceeding 60 mph.</t>
  </si>
  <si>
    <t>With its two brains, it fires powerful psychic energy to stop its prey in their tracks.</t>
  </si>
  <si>
    <t>It flies at high speeds around the skies. When it finds its prey, Metang takes a firm grip with its sharp claws and never lets go.</t>
  </si>
  <si>
    <t>Zapdos on legendaarinen lintu-Pokémon. Sanotaan, että kun Zapdos hieroo höyheniä yhteen, salama iskee heti perään.</t>
  </si>
  <si>
    <t>Two Beldum have become stuck together via their own magnetic forces. With two brains, the resulting Metang has doubled psychic powers.</t>
  </si>
  <si>
    <t>Moltres</t>
  </si>
  <si>
    <t>Using magnetic forces to stay aloft, this Pokémon flies at high speeds, weaving through harsh mountain terrain in pursuit of prey.</t>
  </si>
  <si>
    <t>Tunnetaan legendaarisena tulilintuna. Jokainen sen siivenlyönti luo häikäisevän liekkien välähdyksen.</t>
  </si>
  <si>
    <t>METAGROSS has four brains in total. Combined, the four brains can breeze through difficult calculations faster than a supercomputer. This POKéMON can float in the air by tucking in its four legs.</t>
  </si>
  <si>
    <t>METAGROSS is the result of two METANG achieving fusion. When hunting, this POKéMON pins the prey to the ground under its massive body. It then eats the helpless victim using the large mouth on its stomach.</t>
  </si>
  <si>
    <t>METAGROSS has four brains that are joined by a complex neural network. As a result of integration, this POKéMON is smarter than a supercomputer.</t>
  </si>
  <si>
    <t>It is formed by two METANG fusing. Its four brains are said to be superior to a supercomputer.</t>
  </si>
  <si>
    <t>METANG combined to form it. With four brains, it has the intelligence of a supercomputer.</t>
  </si>
  <si>
    <t>Legendaarinen lintu-POKéMON. Kun se räpyttelee liekehtiviä siipiään, jopa yötaivas muuttuu punaiseksi.</t>
  </si>
  <si>
    <t>It folds its four legs when flying. Its four brains are said to be superior to a supercomputer.</t>
  </si>
  <si>
    <t>Metang combined to form it. With four brains, it has the intelligence of a supercomputer.</t>
  </si>
  <si>
    <t>With four linked brains, it’s more intelligent than a supercomputer, and it uses calculations to analyze foes.</t>
  </si>
  <si>
    <t>Tämä legendaarinen POKéMON sirottelee kekäleitä jokaisella siivenläpäyksellä. Se on jännittävä näky.</t>
  </si>
  <si>
    <t>Metagross has four brains in total. Combined, the four brains can breeze through difficult calculations faster than a supercomputer. This Pokémon can float in the air by tucking in its four legs.</t>
  </si>
  <si>
    <t>https://pokeapi.co/api/v2/pokemon-species/120/</t>
  </si>
  <si>
    <t>Metagross is the result of two Metang achieving fusion. When hunting, this Pokémon pins the prey to the ground under its massive body. It then eats the helpless victim using the large mouth on its stomach.</t>
  </si>
  <si>
    <t>It firmly pins its prey using its four claws and large body. Then the teeth in the mouth on its stomach chew the prey to bits.</t>
  </si>
  <si>
    <t>Tämän legendaarisen lintu-POKéMONin sanotaan tuovan aikaisen kevään talvisiin maihin, joissa se vierailee.</t>
  </si>
  <si>
    <t>A linkage of two Metang, this Pokémon can perform any calculation in a flash by utilizing parallel processing in its four brains.</t>
  </si>
  <si>
    <t>It boasts not only psychic powers but also fantastic strength. It grabs its prey with its four legs and holds them in place with its claws.</t>
  </si>
  <si>
    <t>Legendaarinen lintu-POKéMON. Sen sanotaan muuttavan etelästä kevään mukana.</t>
  </si>
  <si>
    <t>It analyzes its opponents with more accuracy than a supercomputer, which enables it to calmly back them into a corner.</t>
  </si>
  <si>
    <t>Because the magnetic powers of these Pokémon get stronger in freezing temperatures, Metagross living on snowy mountains are full of energy.</t>
  </si>
  <si>
    <t>Metagross is the result of the fusion of two Metang. This Pokémon defeats its opponents through use of its supercomputer-level brain.</t>
  </si>
  <si>
    <t>MOLTRES on legendaarinen lintu-POKéMON, jolla on kyky hallita tulta. Jos tämä POKéMON loukkaantuu, sen sanotaan kastavan ruumiinsa tulivuoren sulaan magmaan palamaan ja parantamaan itsensä.</t>
  </si>
  <si>
    <t>REGIROCK was sealed away by people long ago. If this POKéMON’s body is damaged in battle, it is said to seek out suitable rocks on its own to repair itself.</t>
  </si>
  <si>
    <t>REGIROCK’s body is composed entirely of rocks. Recently, a study made the startling discovery that the rocks were all unearthed from different locations.</t>
  </si>
  <si>
    <t>A POKéMON that is made entirely of rocks and boulders. If parts of its body chip off in battle, REGIROCK repairs itself by adding new rocks.</t>
  </si>
  <si>
    <t>It is entirely composed of rocks with no sign of a brain or heart. It is a mystery even to modern scientists.</t>
  </si>
  <si>
    <t>MOLTRES on legendaarinen lintu-POKéMON, joka osaa hallita tulta. Jos se loukkaantuu, sen sanotaan kastavan ruumiinsa tulivuoren sulaan magmaan palamaan ja parantamaan itsensä.</t>
  </si>
  <si>
    <t>Its entire body is made of rock. If any part chips off in battle, it attaches rocks to repair itself.</t>
  </si>
  <si>
    <t>The same rocks that form its body have been found in ground layers around the world.</t>
  </si>
  <si>
    <t>Regirock was sealed away by people long ago. If this Pokémon’s body is damaged in battle, it is said to seek out suitable rocks on its own to repair itself.</t>
  </si>
  <si>
    <t>Yksi legendaarisista lintu-POKéMONeista. Sen näkevät hämmästyvät sen oransseista, tulessa hehkuvista siivistä.</t>
  </si>
  <si>
    <t>Regirock’s body is composed entirely of rocks. Recently, a study made the startling discovery that the rocks were all unearthed from different locations.</t>
  </si>
  <si>
    <t>Every bit of Regirock’s body is made of stone. As parts of its body erode, this Pokémon sticks rocks to itself to repair what’s been lost.</t>
  </si>
  <si>
    <t>Sen sanotaan olevan legendaarinen tulilintu-POKéMON. Jokainen sen siivenlyönti luo häikäisevän liekkien leimahduksen.</t>
  </si>
  <si>
    <t>Cutting-edge technology was used to study the internals of this Pokémon’s rock body, but nothing was found—not even a brain or a heart.</t>
  </si>
  <si>
    <t>REGICE’s body was made during an ice age. The deep-frozen body can’t be melted, even by fire. This POKéMON controls frigid air of minus 328 degrees F.</t>
  </si>
  <si>
    <t>Yksi legendaarisista lintu-Pokémoneista. Sanotaan, että sen ilmestyminen ennustaa kevään tuloa.</t>
  </si>
  <si>
    <t>REGICE cloaks itself with frigid air of negative 328 degrees F. Things will freeze solid just by going near this POKéMON. Its icy body is so cold, it will not melt even if it is immersed in magma.</t>
  </si>
  <si>
    <t>Its entire body is made of Antarctic ice. After extensive studies, researchers believe the ice was formed during an ice age.</t>
  </si>
  <si>
    <t>Research revealed that its body is made of the same kind of ice that is found at the South Pole.</t>
  </si>
  <si>
    <t>Its body is made of ice from the ice age. It controls frigid air of -328 degrees Fahrenheit.</t>
  </si>
  <si>
    <t>It is said to have slept in a glacier for thousands of years. Its body can’t be melted, even by magma.</t>
  </si>
  <si>
    <t>Regice’s body was made during an ice age. The deep-frozen body can’t be melted, even by fire. This Pokémon controls frigid air of -328 degrees Fahrenheit.</t>
  </si>
  <si>
    <t>Regice cloaks itself with frigid air of -328 degrees Fahrenheit. Things will freeze solid just by going near this Pokémon. Its icy body is so cold, it will not melt even if it is immersed in magma.</t>
  </si>
  <si>
    <t>Tämä legendaarinen Pokémon sirottelee kekäleitä jokaisella siivenläpäyksellään. Se on jännittävä näky.</t>
  </si>
  <si>
    <t>With cold air that can reach temperatures as low as −328 degrees Fahrenheit, Regice instantly freezes any creature that approaches it.</t>
  </si>
  <si>
    <t>This Pokémon’s body is made of solid ice. It’s said that Regice was born beneath thick ice in the ice age.</t>
  </si>
  <si>
    <t>Tämän legendaarisen lintu-Pokémonin sanotaan tuovan aikaisen kevään talvisiin maihin, joissa se vierailee.</t>
  </si>
  <si>
    <t>REGISTEEL has a body that is harder than any kind of metal. Its body is apparently hollow. No one has any idea what this POKéMON eats.</t>
  </si>
  <si>
    <t>REGISTEEL was imprisoned by people in ancient times. The metal composing its body is thought to be a curious substance that is not of this earth.</t>
  </si>
  <si>
    <t>Its body is harder than any other kind of metal. The body metal is composed of a mysterious substance. Not only is it hard, it shrinks and stretches flexibly.</t>
  </si>
  <si>
    <t>It is sturdier than any kind of metal. It hardened due to pressure underground over tens of thousands of years.</t>
  </si>
  <si>
    <t>Tempered by pressure underground over tens of thousands of years, its body cannot be scratched.</t>
  </si>
  <si>
    <t>Its body is said to be harder than any kind of metal. A study has revealed that its body is hollow.</t>
  </si>
  <si>
    <t>Registeel has a body that is harder than any kind of metal. Its body is apparently hollow. No one has any idea what this Pokémon eats.</t>
  </si>
  <si>
    <t>Registeel was imprisoned by people in ancient times. The metal composing its body is thought to be a curious substance that is not of this earth.</t>
  </si>
  <si>
    <t>Sen sanotaan olevan legendaarinen tulilintu-Pokémon. Jokainen sen siivenlyönti luo häikäisevän liekkien leimahduksen.</t>
  </si>
  <si>
    <t>Registeel’s body is made of a strange material that is flexible enough to stretch and shrink but also more durable than any metal.</t>
  </si>
  <si>
    <t>It’s rumored that this Pokémon was born deep underground in the planet’s mantle and that it emerged onto the surface 10,000 years ago.</t>
  </si>
  <si>
    <t>LATIAS is highly sensitive to the emotions of people. If it senses any hostility, this POKéMON ruffles the feathers all over its body and cries shrilly to intimidate the foe.</t>
  </si>
  <si>
    <t>LATIAS is highly intelligent and capable of understanding human speech. It is covered with a glass-like down. The POKéMON enfolds its body with its down and refracts light to alter its appearance.</t>
  </si>
  <si>
    <t>Moltres on legendaarinen lintu-Pokémon, jolla on kyky hallita tulta. Jos tämä Pokémon loukkaantuu, sen sanotaan kastavan ruumiinsa tulivuoren sulaan magmaan palamaan ja parantamaan itsensä.</t>
  </si>
  <si>
    <t>They make a small herd of only several members. They rarely make contact with people or other POKéMON. They disappear if they sense enemies.</t>
  </si>
  <si>
    <t>It can telepathically communicate with people. It changes its appearance using its down that refracts light.</t>
  </si>
  <si>
    <t>Its body is covered with a down that can refract light in such a way that it becomes invisible.</t>
  </si>
  <si>
    <t>Legendaarinen lintu-Pokémon. Kun se räpyttelee liekehtiviä siipiään, jopa yötaivas muuttuu punaiseksi.</t>
  </si>
  <si>
    <t>It communicates using telepathy. Its body is covered in down that refracts light to make it invisible.</t>
  </si>
  <si>
    <t>Latias is highly sensitive to the emotions of people. If it senses any hostility, this Pokémon ruffles the feathers all over its body and cries shrilly to intimidate the foe.</t>
  </si>
  <si>
    <t>Se on yksi legendaarisista lintu-Pokémoneista. Kun Moltres räpyttelee liekehtiviä siipiään, ne hohtavat häikäisevän punaisena.</t>
  </si>
  <si>
    <t>Latias is highly intelligent and capable of understanding human speech. It is covered with a glass-like down. The Pokémon enfolds its body with its down and refracts light to alter its appearance.</t>
  </si>
  <si>
    <t>Tarinoissa kerrotaan, kuinka tämä Pokémon käyttää säteileviä, liekkien peittämiä siipiään valaisemaan polkuja vuorilla eksyneille.</t>
  </si>
  <si>
    <t>LATIOS has the ability to make its foe see an image of what it has seen or imagines in its head. This POKéMON is intelligent and understands human speech.</t>
  </si>
  <si>
    <t>Dratini</t>
  </si>
  <si>
    <t>Pitkään pidetty myyttisenä POKéMONina, kunnes pieni yhdyskunta löydettiin veden alta.</t>
  </si>
  <si>
    <t>LATIOS will only open its heart to a TRAINER with a compassionate spirit. This POKéMON can fly faster than a jet plane by folding its forelegs to minimize air resistance.</t>
  </si>
  <si>
    <t>Even in hiding, it can detect the locations of others and sense their emotions since it has telepathy. Its intelligence allows it to understand human languages.</t>
  </si>
  <si>
    <t>It has a docile temperament and dislikes fighting. Tucking in its forelegs, it can fly faster than a jet plane.</t>
  </si>
  <si>
    <t>A highly intelligent Pokémon. By folding back its wings in flight, it can overtake jet planes.</t>
  </si>
  <si>
    <t>Tämän myyttisen POKéMONin olemassaolo vahvistettiin vasta äskettäin kalastajan toimesta, joka sai sellaisen kiinni.</t>
  </si>
  <si>
    <t>It understands human speech and is highly intelligent. It is a tender Pokémon that dislikes fighting.</t>
  </si>
  <si>
    <t>Se syntyy aluksi suurena. Se luo nahkansa toistuvasti kasvaessaan tasaisesti pituudeltaan.</t>
  </si>
  <si>
    <t>Latios has the ability to make others see an image of what it has seen or imagines in its head. This Pokémon is intelligent and understands human speech.</t>
  </si>
  <si>
    <t>Tämä POKéMON on täynnä elämänenergiaa. Se luo jatkuvasti nahkaansa ja kasvaa tasaisesti suuremmaksi.</t>
  </si>
  <si>
    <t>Latios will only open its heart to a Trainer with a compassionate spirit. This Pokémon can fly faster than a jet plane by folding its forelegs to minimize air resistance.</t>
  </si>
  <si>
    <t>Se karistaa useita ihokerroksia kasvaessaan. Tämän prosessin aikana sitä suojaa nopea vesiputous.</t>
  </si>
  <si>
    <t>KYOGRE has the power to create massive rain clouds that cover the entire sky and bring about torrential downpours. This POKéMON saved people who were suffering from droughts.</t>
  </si>
  <si>
    <t>DRATINI jatkuvasti luo ja kuorii vanhaa nahkaansa. Se tekee niin, koska sen kehon elämänenergia kasvaa tasaisesti ja saavuttaa hallitsemattomat tasot.</t>
  </si>
  <si>
    <t>KYOGRE is named in mythology as the POKéMON that expanded the sea by covering the land with torrential rains and towering tidal waves. It took to sleep after a cataclysmic battle with GROUDON.</t>
  </si>
  <si>
    <t>KYOGRE has appeared in mythology as the creator of the sea. After long years of feuding with GROUDON, it took to sleep at the bottom of the sea.</t>
  </si>
  <si>
    <t>This POKéMON is said to have expanded the sea by bringing heavy rains. It has the power to control water.</t>
  </si>
  <si>
    <t>DRATINI jatkuvasti luopuu ja kuorii pois vanhan nahkansa. Se tekee niin, koska sen kehon elämänenergia kasvaa tasaisesti ja saavuttaa hallitsemattomat tasot.</t>
  </si>
  <si>
    <t>It is said to have widened the seas by causing downpours. It had been asleep in a marine trench.</t>
  </si>
  <si>
    <t>Jopa poikaset voivat kasvaa yli 2 metrin pituisiksi. Ne kasvavat suuremmiksi luomalla toistuvasti nahkaa.</t>
  </si>
  <si>
    <t>A mythical Pokémon said to have swelled the seas with rain and tidal waves. It battled with GROUDON.</t>
  </si>
  <si>
    <t>Pitkään pidetty myyttisenä POKéMONina, kunnes pieni yhdyskunta löydettiin veden alla.</t>
  </si>
  <si>
    <t>A mythical Pokémon said to have swelled the seas with rain and tidal waves. It battled with Groudon.</t>
  </si>
  <si>
    <t>Through Primal Reversion and with nature’s full power, it will take back its true form. It can summon storms that cause the sea levels to rise.</t>
  </si>
  <si>
    <t>Sitä kutsutaan "Mirage Pokémoniksi", koska niin harvat ovat nähneet sen. Sen irronnut nahka on löydetty.</t>
  </si>
  <si>
    <t>Kyogre is said to be the personification of the sea itself. Legends tell of its many clashes against Groudon, as each sought to gain the power of nature.</t>
  </si>
  <si>
    <t>GROUDON has long been described in mythology as the POKéMON that raised lands and expanded continents. This POKéMON took to sleep after a cataclysmic battle with KYOGRE.</t>
  </si>
  <si>
    <t>GROUDON has the power to scatter rain clouds and make water evaporate with light and heat. It came as a savior to people who had been suffering from terrible floods.</t>
  </si>
  <si>
    <t>GROUDON has appeared in mythology as the creator of the land. It sleeps in magma underground and is said to make volcanoes erupt on awakening.</t>
  </si>
  <si>
    <t>This legendary POKéMON is said to represent the land. It went to sleep after dueling KYOGRE.</t>
  </si>
  <si>
    <t>It had been asleep in underground magma ever since it fiercely fought KYOGRE long ago.</t>
  </si>
  <si>
    <t>Tämä Pokémon on täynnä elämänenergiaa. Se luopuu jatkuvasti ihoaan ja kasvaa tasaisesti suuremmaksi.</t>
  </si>
  <si>
    <t>Said to have expanded the lands by evaporating water with raging heat. It battled titanically with KYOGRE.</t>
  </si>
  <si>
    <t>It had been asleep in underground magma ever since it fiercely fought Kyogre long ago.</t>
  </si>
  <si>
    <t>Said to have expanded the lands by evaporating water with raging heat. It battled titanically with Kyogre.</t>
  </si>
  <si>
    <t>This legendary Pokémon is said to represent the land. It went to sleep after dueling Kyogre.</t>
  </si>
  <si>
    <t>Groudon is said to be the personification of the land itself. Legends tell of its many clashes against Kyogre, as each sought to gain the power of nature.</t>
  </si>
  <si>
    <t>Through Primal Reversion and with nature’s full power, it will take back its true form. It can cause magma to erupt and expand the landmass of the world.</t>
  </si>
  <si>
    <t>RAYQUAZA lived for hundreds of millions of years in the earth’s ozone layer, never descending to the ground. This POKéMON appears to feed on water and particles in the atmosphere.</t>
  </si>
  <si>
    <t>https://pokeapi.co/api/v2/pokemon-species/121/</t>
  </si>
  <si>
    <t>RAYQUAZA is said to have lived for hundreds of millions of years in the earth’s ozone layer, above the clouds. Its existence had been completely unknown because it lived so high in the sky.</t>
  </si>
  <si>
    <t>Dratini jatkuvasti luopuu ja kuorii pois vanhan nahkansa. Se tekee niin, koska sen kehon elämänenergia kasvaa tasaisesti ja saavuttaa hallitsemattomat tasot.</t>
  </si>
  <si>
    <t>A POKéMON that flies endlessly in the ozone layer. It is said it would descend to the ground if KYOGRE and GROUDON were to fight.</t>
  </si>
  <si>
    <t>It has lived for hundreds of millions of years in the ozone layer. Its flying form looks like a meteor.</t>
  </si>
  <si>
    <t>It lives in the ozone layer far above the clouds and cannot be seen from the ground.</t>
  </si>
  <si>
    <t>Se kasvaa luopumalla toistuvasta sulkasateesta. Ruskettuneesta irtonahasta tehdyt saappaat ovat superluksustuote.</t>
  </si>
  <si>
    <t>It flies in the ozone layer, way up high in the sky. Until recently, no one had ever seen it.</t>
  </si>
  <si>
    <t>Kymmenen tunnin taistelun jälkeen kalastaja onnistui vetämään sellaisen ylös ja varmistamaan sen olemassaolon.</t>
  </si>
  <si>
    <t>Rayquaza is said to have lived for hundreds of millions of years. Legends remain of how it put to rest the clash between Kyogre and Groudon.</t>
  </si>
  <si>
    <t>Se on vielä heikko, joten se lymyilee vesistöjen pohjalla, syö kaiken alas vajoavan ruoan ja elää hiljaista elämää.</t>
  </si>
  <si>
    <t>It flies forever through the ozone layer, consuming meteoroids for sustenance. The many meteoroids in its body provide the energy it needs to Mega Evolve.</t>
  </si>
  <si>
    <t>Se luo nahkansa – lähes päivittäin – ja kasvaa suuremmaksi. Sen nahka on pehmeä heti luomisen jälkeen.</t>
  </si>
  <si>
    <t>A legend states that JIRACHI will make true any wish that is written on notes attached to its head when it awakens. If this POKéMON senses danger, it will fight without awakening.</t>
  </si>
  <si>
    <t>JIRACHI will awaken from its sleep of a thousand years if you sing to it in a voice of purity. It is said to make true any wish that people desire.</t>
  </si>
  <si>
    <t>Pitkään myytiksi luultu Pokémon sai vasta äskettäin vahvistuksen kalastajan toimesta, joka sai sellaisen.</t>
  </si>
  <si>
    <t>JIRACHI is said to make wishes come true. While it sleeps, a tough crystalline shell envelops the body to protect it from enemies.</t>
  </si>
  <si>
    <t>It is said to make any wish come true. It is awake for only seven days out of a thousand years.</t>
  </si>
  <si>
    <t>Dratini asuu nopeasti virtaavien vesistöjen, kuten vesiputousten, lähellä. Kasvaessaan Dratini luopuu nahkansa useita kertoja.</t>
  </si>
  <si>
    <t>It is said to have the ability to grant any wish for just one week every thousand years.</t>
  </si>
  <si>
    <t>Generations have believed that any wish written on a note on its head will come true when it awakens.</t>
  </si>
  <si>
    <t>Tätä Pokémonia pidettiin pitkään vain myyttina. Dratinin otsassa oleva pieni kyhmy on itse asiassa sarvi, joka on yhä kasvamassa.</t>
  </si>
  <si>
    <t>A legend states that Jirachi will make true any wish that is written on notes attached to its head when it awakens. If this Pokémon senses danger, it will fight without awakening.</t>
  </si>
  <si>
    <t>Dragonair</t>
  </si>
  <si>
    <t>Mystinen POKéMON, joka huokuu lempeää auraa. Kyky muuttaa ilmasto-olosuhteita.</t>
  </si>
  <si>
    <t>Jirachi will awaken from its sleep of a thousand years if you sing to it in a voice of purity. It is said to make true any wish that people desire.</t>
  </si>
  <si>
    <t>Once every 1,000 years, the singing of a pure voice will rouse this Pokémon from its near- perpetual slumber. It wakes for only seven days.</t>
  </si>
  <si>
    <t>It’s believed that when this Pokémon wakes from its 1,000-year slumber, it will grant any wishes written on the notes attached to its head.</t>
  </si>
  <si>
    <t>Silminnäkijän mukaan sen ruumista ympäröi outo aura, joka antoi sille mystisen ilmeen.</t>
  </si>
  <si>
    <t>The DNA of a space virus underwent a sudden mutation upon exposure to a laser beam and resulted in DEOXYS. The crystalline organ on this POKéMON’s chest appears to be its brain.</t>
  </si>
  <si>
    <t>He sanovat, että jos se säteilee auraa koko kehostaan, sää alkaa muuttua välittömästi.</t>
  </si>
  <si>
    <t>DEOXYS emerged from a virus that came from space. It is highly intelligent and wields psychokinetic powers. This POKéMON shoots lasers from the crystalline organ on its chest.</t>
  </si>
  <si>
    <t>A POKéMON that mutated from an extraterrestrial virus exposed to a laser beam. Its body is configured for superior agility and speed.</t>
  </si>
  <si>
    <t>Sen kristalliset pallot näyttävät antavan tälle POKéMONille kyvyn hallita säätä vapaasti.</t>
  </si>
  <si>
    <t>This DEOXYS has transformed into its aggressive guise. It can fool enemies by altering its appearance.</t>
  </si>
  <si>
    <t>Sitä kutsutaan jumalaiseksi POKéMONiksi. Kun sen koko keho kirkastuu hieman, sää muuttuu.</t>
  </si>
  <si>
    <t>When it changes form, an aurora appears. It absorbs attacks by altering its cellular structure.</t>
  </si>
  <si>
    <t>DRAGONAIR varastoi valtavan määrän energiaa kehoonsa. Sen sanotaan muuttavan lähiympäristönsä sääolosuhteita purkamalla energiaa kaulassaan ja hännässään olevista kristalleista.</t>
  </si>
  <si>
    <t>LOHIKÄÄRMEENKARJA varastoi valtavan määrän energiaa kehoonsa. Sen sanotaan muuttavan ympärillään olevaa säätä menettämällä energiaa kaulassaan ja hännässään olevista kristalleista.</t>
  </si>
  <si>
    <t>Sen sanotaan elävän merissä ja järvissä. Vaikka sillä ei ole siipiä, sitä on nähty lentävän satunnaisesti.</t>
  </si>
  <si>
    <t>An alien virus that fell to earth on a meteor underwent a DNA mutation to become this Pokémon.</t>
  </si>
  <si>
    <t>Mystinen POKéMON, jolla on lempeä aura. Sen sanotaan pystyvän muuttamaan säätä.</t>
  </si>
  <si>
    <t>DNA from a space virus mutated and became a Pokémon. It appears where auroras are seen.</t>
  </si>
  <si>
    <t>The DNA of a space virus underwent a sudden mutation upon exposure to a laser beam and resulted in Deoxys. The crystalline organ on this Pokémon’s chest appears to be its brain.</t>
  </si>
  <si>
    <t>Jos sen kehoon muodostuu aura, sää muuttuu välittömästi. Sen sanotaan elävän merissä ja järvissä.</t>
  </si>
  <si>
    <t>Deoxys emerged from a virus that came from space. It is highly intelligent and wields psychokinetic powers. This Pokémon shoots lasers from the crystalline organ on its chest.</t>
  </si>
  <si>
    <t>Made from soil, the shell on its back hardens when it drinks water. It lives along lakes.</t>
  </si>
  <si>
    <t>It undertakes photosynthesis with its body, making oxygen. The leaf on its head wilts if it is thirsty.</t>
  </si>
  <si>
    <t>The shell on its back is made of soil. On a very healthy TURTWIG, the shell should feel moist.</t>
  </si>
  <si>
    <t>Photosynthesis occurs across its body under the sun. The shell on its back is actually hardened soil.</t>
  </si>
  <si>
    <t>Sen kristalliset pallot näyttävät antavan tälle Pokémonille voiman hallita säätä vapaasti.</t>
  </si>
  <si>
    <t>The shell on its back is made of soil. On a very healthy Turtwig, the shell should feel moist.</t>
  </si>
  <si>
    <t>This Pokémon becomes more energetic the more sunlight there is. The part resembling a shell is similar to silt and is slightly damp and warm to the touch.</t>
  </si>
  <si>
    <t>It lives along water in forests. In the daytime, it leaves the forest to sunbathe its treed shell.</t>
  </si>
  <si>
    <t>The shell is hardened soil. Some Pokémon come to peck the berries growing on the trees on its back.</t>
  </si>
  <si>
    <t>It knows where pure water wells up. It carries fellow Pokémon there on its back.</t>
  </si>
  <si>
    <t>A GROTLE that lives in the forest is said to have its own secret springwater.</t>
  </si>
  <si>
    <t>Appears where there is clean spring water. The fruit that grows on the shrubs on its shell is sweet, nutritious, and truly delicious.</t>
  </si>
  <si>
    <t>Small Pokémon occasionally gather on its unmoving back to begin building their nests.</t>
  </si>
  <si>
    <t>Mystinen Pokémon, jolla on lempeä aura. Sen sanotaan pystyvän muuttamaan säätä.</t>
  </si>
  <si>
    <t>Groups of this Pokémon migrating in search of water have been mistaken for “moving forests.”</t>
  </si>
  <si>
    <t>Dragonair varastoi valtavan määrän energiaa kehoonsa. Sen sanotaan muuttavan lähiympäristönsä sääolosuhteita purkamalla energiaa kaulassaan ja pyrstössään olevista kristalleista.</t>
  </si>
  <si>
    <t>Some Pokémon are born on a TORTERRA’s back and spend their entire life there.</t>
  </si>
  <si>
    <t>Ancient people imagined that beneath the ground, a gigantic TORTERRA dwelled.</t>
  </si>
  <si>
    <t>Some Pokémon are born on a Torterra’s back and spend their entire life there.</t>
  </si>
  <si>
    <t>On pitkään ajateltu, että sen kiteiset pallot kykenevät hallitsemaan säätä.</t>
  </si>
  <si>
    <t>Ancient people imagined that beneath the ground, a gigantic Torterra dwelled.</t>
  </si>
  <si>
    <t>Maatalouskansat ovat muinaisista ajoista lähtien kunnioittaneet sitä säätä hallitsevana tekijänä.</t>
  </si>
  <si>
    <t>This remarkable, large-bodied Pokémon would serve beautifully as borrowed scenery for a garden, and its strength is peerless. Torterra roams the wilderness in search of clean water.</t>
  </si>
  <si>
    <t>Järvet, joissa Dragonairit asuvat, ovat täynnä ihmisten uhreja, koska he uskovat tämän Pokémonin pystyvän hallitsemaan säätä.</t>
  </si>
  <si>
    <t>It agilely scales sheer cliffs to live atop craggy mountains. Its fire is put out when it sleeps.</t>
  </si>
  <si>
    <t>Jotkut sanovat, että jos näet sen vuoden alussa lentämässä taivaalla ja vääntämässä vartaloaan, olet terve koko vuoden.</t>
  </si>
  <si>
    <t>Its fiery rear end is fueled by gas made in its belly. Even rain can’t extinguish the fire.</t>
  </si>
  <si>
    <t>It is very agile. Before going to sleep, it extinguishes the flame on its tail to prevent fires.</t>
  </si>
  <si>
    <t>The gas made in its belly burns from its rear end. The fire burns weakly when it feels sick.</t>
  </si>
  <si>
    <t>Full of vigor and always in high spirits. It was once known by the name ”Lantern-Tail” and feared as some kind of apparition.</t>
  </si>
  <si>
    <t>Tämä Pokémon elää koskemattomissa valtamerissä ja järvissä. Se voi hallita säätä ja käyttää tätä voimaa lentääkseen taivaalle tuulen varassa.</t>
  </si>
  <si>
    <t>To intimidate attackers, it stretches the fire on its tail to make itself appear bigger.</t>
  </si>
  <si>
    <t>It uses ceilings and walls to launch aerial attacks. Its fiery tail is but one weapon.</t>
  </si>
  <si>
    <t>Tämä Pokémon kerää voimaa pyrstössään oleviin palloihin ja hallitsee säätä. Auran ympäröimänä Dragonairilla on mystinen ulkonäkö.</t>
  </si>
  <si>
    <t>Dragonite</t>
  </si>
  <si>
    <t>It skillfully controls the intensity of the fire on its tail to keep its foes at an ideal distance.</t>
  </si>
  <si>
    <t>Äärimmäisen harvoin nähty meri-POKéMON. Sen älykkyyden sanotaan vastaavan ihmisten älykkyyttä.</t>
  </si>
  <si>
    <t>A bigger fire on its tail and a brighter blue pattern on its face means its rank in its pack is higher.</t>
  </si>
  <si>
    <t>https://pokeapi.co/api/v2/pokemon-species/122/</t>
  </si>
  <si>
    <t>The deeper the blue on its face, the more powerful it will grow to become. It leaps about every which way and lands powerful blows against its opponents with the flame on its tail.</t>
  </si>
  <si>
    <t>Sanotaan, että tämä POKéMON asuu jossain meressä ja että se lentää. Se on kuitenkin vain huhu.</t>
  </si>
  <si>
    <t>It uses a special kind of martial arts involving all its limbs. Its fire never goes out.</t>
  </si>
  <si>
    <t>Its crown of fire is indicative of its fiery nature. It is beaten by none in terms of quickness.</t>
  </si>
  <si>
    <t>Kerrotaan, että tämä Pokémon lentää jatkuvasti valtavien merien yllä ja pelastaa hukkuvia ihmisiä.</t>
  </si>
  <si>
    <t>It uses unique fighting moves with fire on its hands and feet. It will take on any opponent.</t>
  </si>
  <si>
    <t>Tämän merellisen POKé MONin vaikuttava rakenne antaa sen lentää vapaasti raivoavien merien yli ongelmitta.</t>
  </si>
  <si>
    <t>It tosses its enemies around with agility. It uses all its limbs to fight in its own unique style.</t>
  </si>
  <si>
    <t>A tall, hardy Pokémon with a dazzling appearance. It shrouds itself in flame and battles as if engaged in dance—truly a sight to behold.</t>
  </si>
  <si>
    <t>Sanotaan, että jossain meressä on saari, jossa nämä kerääntyvät. Vain ne elävät siellä.</t>
  </si>
  <si>
    <t>Because it is very proud, it hates accepting food from people. Its thick down guards it from cold.</t>
  </si>
  <si>
    <t>DRAGONITE pystyy kiertämään maapallon vain kuudessatoista tunnissa. Se on hyväsydäminen POKéMON, joka johdattaa myrskyssä eksyneet ja haaksirikkoutuneet laivat turvaan maihin.</t>
  </si>
  <si>
    <t>It lives along shores in northern countries. A skilled swimmer, it dives for over 10 minutes to hunt.</t>
  </si>
  <si>
    <t>A poor walker, it often falls down. However, its strong pride makes it puff up its chest without a care.</t>
  </si>
  <si>
    <t>Se voi kiertää maapallon vain 16 tunnissa. Se on hyväsydäminen POKéMON, joka johdattaa myrskyssä eksyneet ja haaksirikkoutuneet laivat turvaan maihin.</t>
  </si>
  <si>
    <t>It doesn’t like to be taken care of. It’s difficult to bond with since it won’t listen to its Trainer.</t>
  </si>
  <si>
    <t>Prefers cold climes and appears along coasts. It's an adorable little thing—as cute as any child—but it's also prideful, unwilling to accept handouts from people.</t>
  </si>
  <si>
    <t>Se pystyy lentämään suuresta ja kömpelöstä ruumiinrakenteestaan ​​huolimatta. Se kiertää maapallon vain 16 tunnissa.</t>
  </si>
  <si>
    <t>It lives alone, away from others. Apparently, every one of them believes it is the most important.</t>
  </si>
  <si>
    <t>Vain hyvin harvat ihmiset näkevät tämän POKéMONin. Sen älykkyyden sanotaan vastaavan ihmisten älykkyyttä.</t>
  </si>
  <si>
    <t>Its wings deliver wicked blows that snap even the thickest of trees. It searches for prey in icy seas.</t>
  </si>
  <si>
    <t>Sen sanotaan asuvan jossain meressä. Se opastaa hylkyjen miehistöjä rantaan.</t>
  </si>
  <si>
    <t>Because every PRINPLUP considers itself to be the most important, they can never form a group.</t>
  </si>
  <si>
    <t>It lives a solitary life. Its wings deliver wicked blows that can snap even the thickest of trees.</t>
  </si>
  <si>
    <t>Because every Prinplup considers itself to be the most important, they can never form a group.</t>
  </si>
  <si>
    <t>It swims gracefully through the frigid sea and sings with a voice like the roaring tide. It has powerful, sturdy wings and dignity to match.</t>
  </si>
  <si>
    <t>Sanotaan, että tämä Pokémon lentää jatkuvasti valtavien merien yllä ja pelastaa hukkuvia ihmisiä.</t>
  </si>
  <si>
    <t>The three horns that extend from its beak attest to its power. The leader has the biggest horns.</t>
  </si>
  <si>
    <t>Tällä meri-Pokémonilla on vaikuttava rakenne, jonka ansiosta se voi lentää vapaasti raivoavien merien yli ongelmitta.</t>
  </si>
  <si>
    <t>It swims as fast as a jet boat. The edges of its wings are sharp and can slice apart drifting ice.</t>
  </si>
  <si>
    <t>If anyone were to hurt its pride, it would slash them with wings that can cleave through an ice floe.</t>
  </si>
  <si>
    <t>It avoids unnecessary disputes, but it will decimate anything that threatens its pride.</t>
  </si>
  <si>
    <t>Since ancient times, it has been revered by the people of Hisui, who call it the Master of the Waves. Its wings are a match for even master-crafted blades.</t>
  </si>
  <si>
    <t>They flock in great numbers. Though small, they flap their wings with great power.</t>
  </si>
  <si>
    <t>Usually with a large flock, it is barely noticeable when alone. Its cries are very strident.</t>
  </si>
  <si>
    <t>Because they are weak individually, they form groups. However, they bicker if the group grows too big.</t>
  </si>
  <si>
    <t>They flock around mountains and fields, chasing after bug Pokémon. Their singing is noisy and annoying.</t>
  </si>
  <si>
    <t>They live in the fields and mountains, gathering in large flocks. Their cries are quite obnoxious. Though small, their wings are strong—a strike from them leaves pain that persists for a week.</t>
  </si>
  <si>
    <t>It flies around forests and fields in search of bug Pokémon. It stays within a huge flock.</t>
  </si>
  <si>
    <t>Dragonite pystyy kiertämään maapallon vain 16 tunnissa. Se on hyväsydäminen Pokémon, joka johdattaa myrskyssä eksyneet ja haaksirikkoutuneet laivat turvaan maihin.</t>
  </si>
  <si>
    <t>It lives in forests and fields. Squabbles over territory occur when flocks collide.</t>
  </si>
  <si>
    <t>Recognizing their own weakness, they always live in a group. When alone, a STARAVIA cries noisily.</t>
  </si>
  <si>
    <t>Tämä Pokémon pelasti haaksirikkoutuneen miehen ja vei hänet syrjäiselle saarelle – paratiisiin, jossa asuu yksinomaan Dragonite.</t>
  </si>
  <si>
    <t>They maintain huge flocks, although fierce scuffles break out between various flocks.</t>
  </si>
  <si>
    <t>Vedä tämän normaalisti rauhallisen Pokémonin viha niskaasi omalla vastuullasi, sillä se murskaa kaiken palasiksi ennen kuin on tyytyväinen.</t>
  </si>
  <si>
    <t>Recognizing their own weakness, they always live in a group. When alone, a Staravia cries noisily.</t>
  </si>
  <si>
    <t>They form remarkably large flocks and are constantly fighting amongst themselves. I suspect that those with magnificent plumes on their heads are the strong ones.</t>
  </si>
  <si>
    <t>Se lentää raivoavien merien yllä kuin ne eivät olisi mitään. Tämän havaittuaan laivan kapteeni nimesi tämän Pokémonin "meri-inkarnaatioksi".</t>
  </si>
  <si>
    <t>It has a savage nature. It will courageously challenge foes that are much larger.</t>
  </si>
  <si>
    <t>Kuulet usein tarinoita tästä hyväsydämisestä Pokémonista, joka pelastaa ihmisiä tai hukkumassa olevia Pokémoneja.</t>
  </si>
  <si>
    <t>The muscles in its wings and legs are strong. It can easily fly while gripping a small Pokémon.</t>
  </si>
  <si>
    <t>Sanotaan, että tämä Pokémon asuu jossain meressä ja että se lentää. Nämä ovat kuitenkin vain huhuja.</t>
  </si>
  <si>
    <t>It never stops attacking even if it is injured. It fusses over the shape of its comb.</t>
  </si>
  <si>
    <t>When STARAVIA evolve into STARAPTOR, they leave the flock to live alone. They have sturdy wings.</t>
  </si>
  <si>
    <t>When Staravia evolve into Staraptor, they leave the flock to live alone. They have sturdy wings.</t>
  </si>
  <si>
    <t>It has left the flock, having gained strength enough to survive on its own. The astounding force with which Staraptor flies through the air allows it to carry away large, burly targets.</t>
  </si>
  <si>
    <t>Se on hyväsydäminen Pokémon. Jos se havaitsee hukkuvan ihmisen tai Pokémonin, Dragoniten on yksinkertaisesti autettava heitä.</t>
  </si>
  <si>
    <t>With nerves of steel, nothing can perturb it. It is more agile and active than it appears.</t>
  </si>
  <si>
    <t>Tämä Pokémon tunnetaan nimellä Sea Incarnate. Monien laivojen keulassa on Dragonitea muistuttavia keulakuvia.</t>
  </si>
  <si>
    <t>It constantly gnaws on logs and rocks to whittle down its front teeth. It nests alongside water.</t>
  </si>
  <si>
    <t>Mewtwo</t>
  </si>
  <si>
    <t>Geneettinen Pokémon</t>
  </si>
  <si>
    <t>Sen loi tiedemies vuosien hirvittävien geenien silmukointi- ja DNA-muokkauskokeiden jälkeen.</t>
  </si>
  <si>
    <t>A comparison revealed that BIDOOF’s front teeth grow at the same rate as RATTATA’s.</t>
  </si>
  <si>
    <t>It lives in groups by the water. It chews up boulders and trees around its nest with its incisors.</t>
  </si>
  <si>
    <t>A comparison revealed that Bidoof’s front teeth grow at the same rate as Rattata’s.</t>
  </si>
  <si>
    <t>Sen DNA on lähes sama kuin MEW:n. Sen koko ja luonne ovat kuitenkin hyvin erilaiset.</t>
  </si>
  <si>
    <t>Bidoof has an unsophisticated face and is rarely flustered by anything. There have been incidents involving Bidoof sauntering into villages and gnawing on the houses without a single care.</t>
  </si>
  <si>
    <t>Koska sen taistelukyvyt on nostettu huipputasolle, se ajattelee vain vihollistensa voittamista.</t>
  </si>
  <si>
    <t>It makes its nest by damming streams with bark and mud. It is known as an industrious worker.</t>
  </si>
  <si>
    <t>Se pysyy yleensä liikkumattomana säästääkseen energiaa, jotta se voi päästää koko voimansa valloilleen taistelussa.</t>
  </si>
  <si>
    <t>While its movements out of water are sluggish, it can swim as fast as any FEEBAS.</t>
  </si>
  <si>
    <t>A river dammed by BIBAREL will never overflow its banks, which is appreciated by people nearby.</t>
  </si>
  <si>
    <t>Tämän POKéMONin sanotaan lepäävän hiljaa tuntemattomassa luolassa, ja se luotiin yksinomaan taistelua varten.</t>
  </si>
  <si>
    <t>It busily makes its nest with stacks of branches and roots it has cut up with its sharp incisors.</t>
  </si>
  <si>
    <t>MEWTWO on geenimanipulaation avulla luotu POKéMON. Vaikka ihmisten tieteellinen voima loi tämän POKéMONin kehon, he eivät onnistuneet antamaan MEWTWOlle myötätuntoista sydäntä.</t>
  </si>
  <si>
    <t>A river dammed by Bibarel will never overflow its banks, which is appreciated by people nearby.</t>
  </si>
  <si>
    <t>Bibarel fur repels water and is also a fantastic material for heat retention. These Pokémon create dams on rivers to live in.</t>
  </si>
  <si>
    <t>It shakes its head back to front, causing its antennae to hit each other and sound like a xylophone.</t>
  </si>
  <si>
    <t>Geenimanipulaatiolla luotu POKéMON. Vaikka ihmisten tieteellinen voima loi sille ruumiin, he eivät kuitenkaan onnistuneet antamaan sille lämmintä sydäntä.</t>
  </si>
  <si>
    <t>It chats with others using the sounds of its colliding antennae. These sounds are fall hallmarks.</t>
  </si>
  <si>
    <t>POKéMON, jonka geneettistä koodia yhdisteltiin toistuvasti tutkimusta varten. Siitä tuli sen seurauksena ilkeämielinen.</t>
  </si>
  <si>
    <t>Its legs are short. Whenever it stumbles, its stiff antennae clack with a xylophone-like sound.</t>
  </si>
  <si>
    <t>When its antennae hit each other, it sounds like the music of a xylophone.</t>
  </si>
  <si>
    <t>When the trees take on new hues, more of these Pokémon appear. The tone they create by striking their antennae together resembles that of the marimba, an instrument of foreign lands.</t>
  </si>
  <si>
    <t>MEW:n geenien rekombinaatiosta luotu Pokémon. Sen sanotaan omaavan villiinki sydämen Pokémoneista.</t>
  </si>
  <si>
    <t>It crosses its knifelike arms in front of its chest when it cries. It can compose melodies ad lib.</t>
  </si>
  <si>
    <t>It signals its emotions with its melodies. Scientists are studying these melodic patterns.</t>
  </si>
  <si>
    <t>There is a village that hosts a contest based on the amazingly variable cries of this Pokémon.</t>
  </si>
  <si>
    <t>By allowing its cry to resonate in the hollow of its belly, it produces a captivating sound.</t>
  </si>
  <si>
    <t>It uses its cutlass-like arms to produce sound, the melody of which varies from individual to individual. It is a worthwhile endeavor to seek out one's favorite tunes.</t>
  </si>
  <si>
    <t>Se pysyy yleensä liikkumattomana energian säästämiseksi, jotta se voi vapauttaa täyden voimansa taistelussa.</t>
  </si>
  <si>
    <t>All of its fur dazzles if danger is sensed. It flees while the foe is momentarily blinded.</t>
  </si>
  <si>
    <t>Mew'n geenien rekombinaatiosta luotu Pokémon. Sen sanotaan omaavan villiinki sydämen Pokémoneista.</t>
  </si>
  <si>
    <t>Its forelegs have a muscle-based system of generating electricity. Its body shines if endangered.</t>
  </si>
  <si>
    <t>The extension and contraction of its muscles generates electricity. It glows when in trouble.</t>
  </si>
  <si>
    <t>The extension and contraction of its muscles generates electricity. Its fur glows when it’s in trouble.</t>
  </si>
  <si>
    <t>This Pokémon generates electricity by contracting its muscles. Excited trembling is a sign that Shinx is generating a tremendous amount of electricity.</t>
  </si>
  <si>
    <t>Electricity makes this Pokémon’s fur glow. Shinx sends signals to others of its kind by shaking the tip of its tail while the tail tip is shining brightly.</t>
  </si>
  <si>
    <t>Shakes its body to generate electricity. Its stature belies its aggression—one must be patient to tame this Pokémon.</t>
  </si>
  <si>
    <t>Its claws loose electricity with enough amperage to cause fainting. They live in small groups.</t>
  </si>
  <si>
    <t>It rests its forelegs on others to communicate with rhythmic electric pulses from its claws.</t>
  </si>
  <si>
    <t>Mewtwo on geenimanipulaation avulla luotu Pokémon. Vaikka ihmisten tieteellinen voima loi tämän Pokémonin kehon, he eivät onnistuneet antamaan Mewtwolle myötätuntoista sydäntä.</t>
  </si>
  <si>
    <t>Strong electricity courses through the tips of its sharp claws. A light scratch causes fainting in foes.</t>
  </si>
  <si>
    <t>By gathering their tails together, they collectively generate powerful electricity from their claws.</t>
  </si>
  <si>
    <t>Sen DNA on lähes sama kuin Mew'n. Sen koko ja luonne ovat kuitenkin hyvin erilaiset.</t>
  </si>
  <si>
    <t>By joining its tail with that of another Luxio, this Pokémon can receive some of the other Luxio’s electricity and power up its own electric blasts.</t>
  </si>
  <si>
    <t>Upon encountering an opponent, this Pokémon prepares for battle by extending its claws, which can put out 1,000,000 volts of electricity.</t>
  </si>
  <si>
    <t>Mew</t>
  </si>
  <si>
    <t>Proudly uses its electrified claws as weapons. It seems to be a gracious Pokémon, evenly sharing the spoils of the hunt with others of its kind.</t>
  </si>
  <si>
    <t>Uusi Pokémon-laji</t>
  </si>
  <si>
    <t>Niin harvinainen, että monet asiantuntijat pitävät sitä edelleen kangastuksena. Vain harvat ihmiset ovat nähneet sen maailmanlaajuisesti.</t>
  </si>
  <si>
    <t>It has eyes that can see through anything. It spots and captures prey hiding behind objects.</t>
  </si>
  <si>
    <t>When its eyes gleam gold, it can spot hiding prey--even those taking shelter behind a wall.</t>
  </si>
  <si>
    <t>It can see clearly through walls to track down its prey and seek its lost young.</t>
  </si>
  <si>
    <t>Mikroskoopin läpi katsottuna tämän POKéMONin lyhyet, hienot ja hentoiset hiukset näkyvät.</t>
  </si>
  <si>
    <t>LUXRAY’s ability to see through objects comes in handy when it’s scouting for danger.</t>
  </si>
  <si>
    <t>Ilmeisesti se näkyy vain niille ihmisille, jotka ovat puhdassydämisiä ja joilla on voimakas halu nähdä se.</t>
  </si>
  <si>
    <t>Luxray’s ability to see through objects comes in handy when it’s scouting for danger.</t>
  </si>
  <si>
    <t>When its eyes gleam gold, it can spot hiding prey—even those taking shelter behind a wall.</t>
  </si>
  <si>
    <t>Sen DNA:n sanotaan sisältävän kaikkien POKéMONien geneettiset koodit, joten se voi käyttää kaikenlaisia ​​tekniikoita.</t>
  </si>
  <si>
    <t>Luxray can see through solid objects. It will instantly spot prey trying to hide behind walls, even if the walls are thick.</t>
  </si>
  <si>
    <t>Koska se voi oppia minkä tahansa liikkeen, jotkut alkoivat tutkia, onko se kaikkien POKéMONien esi-isä.</t>
  </si>
  <si>
    <t>Seeing through solid objects uses up a lot of Luxray’s electricity, so the Pokémon sleeps for long periods of time to store up energy.</t>
  </si>
  <si>
    <t>https://pokeapi.co/api/v2/pokemon-species/123/</t>
  </si>
  <si>
    <t>They form packs, each having one male as leader. Legends say that when Luxray's two eyes shimmer with gold, the Pokémon can see through anything.</t>
  </si>
  <si>
    <t>MEWin sanotaan omaavan kaikkien POKéMONien geneettisen koostumuksen. Se pystyy tekemään itsestään näkymättömän milloin tahansa, joten se välttyy täysin huomiotta, vaikka se lähestyisi ihmisiä.</t>
  </si>
  <si>
    <t>Over the winter, it closes its bud and endures the cold. In spring, the bud opens and releases pollen.</t>
  </si>
  <si>
    <t>It lives alongside clear ponds. It scatters pollen that induces harsh sneezing and runny noses.</t>
  </si>
  <si>
    <t>MEWin sanotaan omaavan kaikkien POKéMONien geenit. Se pystyy tekemään itsestään näkymättömän milloin tahansa, joten se välttyy täysin huomiotta, vaikka se lähestyisi ihmisiä.</t>
  </si>
  <si>
    <t>Sensitive to changing temperature, the bud is said to bloom when it feels the sun’s warm touch.</t>
  </si>
  <si>
    <t>When it feels the sun’s warm touch, it opens its bud to release pollen. It lives alongside clear pools.</t>
  </si>
  <si>
    <t>Etelä-Amerikasta kotoisin oleva POKéMON, jonka luultiin kuolleen sukupuuttoon. Se on erittäin älykäs ja oppii kaikki liikkeet.</t>
  </si>
  <si>
    <t>Sensitive to changing temperatures, the bud blooms when it’s warm, releasing toxic pollen.</t>
  </si>
  <si>
    <t>The pollen it releases contains poison. If this Pokémon is raised on clean water, the poison’s toxicity is increased.</t>
  </si>
  <si>
    <t>This Pokémon is highly sensitive to temperature changes. When its bud starts to open, that means spring is right around the corner.</t>
  </si>
  <si>
    <t>Koska MEW voi käyttää kaikenlaisia ​​liikkeitä, monet tiedemiehet uskovat sen olevan Pokémonien esi-isä.</t>
  </si>
  <si>
    <t>When the sun's light strengthens, the bud atop this Pokémon's head opens. This is a sign to the people that the harsh winter is over, and the season of budding has begun.</t>
  </si>
  <si>
    <t>It attracts prey with a sweet aroma, then downs it with thorny whips hidden in its arms.</t>
  </si>
  <si>
    <t>With the movements of a dancer, it strikes with whips that are densely lined with poison thorns.</t>
  </si>
  <si>
    <t>Each of its hands contains different toxins, but both hands can jab with near-fatal power.</t>
  </si>
  <si>
    <t>Its sweet aroma attracts prey. Then it spews poison. The more toxic it is, the sweeter its aroma.</t>
  </si>
  <si>
    <t>Sen DNA:n sanotaan sisältävän kaikkien Pokémonien geneettiset koodit, joten se voi käyttää kaikenlaisia ​​tekniikoita.</t>
  </si>
  <si>
    <t>Luring prey with a sweet scent, it uses poison whips on its arms to poison, bind, and finish off the prey.</t>
  </si>
  <si>
    <t>Koska Mew pystyy käyttämään kaikenlaisia ​​liikkeitä, monet tiedemiehet uskovat sen olevan Pokémonien esi-isä.</t>
  </si>
  <si>
    <t>After captivating opponents with its sweet scent, it lashes them with its thorny whips.</t>
  </si>
  <si>
    <t>The poison in its right hand is quick acting. The poison in its left hand is slow acting. Both are life threatening.</t>
  </si>
  <si>
    <t>Hidden within the bouquet on each hand are thorned whips loaded with virulent poison. Roserade moves gracefully as it corners its prey and mercilessly lashes them with its whips.</t>
  </si>
  <si>
    <t>It lived in jungles around 100 million years ago. Its skull is as hard as iron.</t>
  </si>
  <si>
    <t>It was resurrected from an iron ball-like fossil. It downs prey with its head butts.</t>
  </si>
  <si>
    <t>A lifelong jungle dweller from 100 million years ago, it would snap obstructing trees with head butts.</t>
  </si>
  <si>
    <t>CRANIDOS toughen up their already rock-hard heads by headbutting one another.</t>
  </si>
  <si>
    <t>It was resurrected from an iron ball-like fossil. It downs prey with its headbutts.</t>
  </si>
  <si>
    <t>Mew'n sanotaan omaavan kaikkien Pokémonien geneettisen koostumuksen. Se pystyy tekemään itsestään näkymättömän milloin tahansa, joten se välttyy kokonaan huomiotta, vaikka se lähestyisi ihmisiä.</t>
  </si>
  <si>
    <t>A lifelong jungle dweller from 100 million years ago, it would snap obstructing trees with headbutts.</t>
  </si>
  <si>
    <t>It lived in jungles around a hundred million years ago. It used its skillful headbutts to combat Aerodactyl.</t>
  </si>
  <si>
    <t>In rock layers where Cranidos fossils are found, the fossilized trunks of trees snapped in two are also often found.</t>
  </si>
  <si>
    <t>Mikroskoopilla katsottuna tämän Pokémonin lyhyet, hienot ja herkät hiukset näkyvät.</t>
  </si>
  <si>
    <t>A primeval Pokémon, it possesses a hard and sturdy skull, lacking any intelligence within.</t>
  </si>
  <si>
    <t>Its hard skull is its distinguishing feature. It snapped trees by headbutting them, and then it fed on their ripe berries.</t>
  </si>
  <si>
    <t>Chikorita</t>
  </si>
  <si>
    <t>An incredibly rare sight. They duel each other by ramming their heads together, and the resulting sound echoes throughout the area like the pealing of a bell.</t>
  </si>
  <si>
    <t>Lehti-Pokémon</t>
  </si>
  <si>
    <t>Sen päässä olevasta lehdestä leijuu lempeästi makea tuoksu. Se on säyseä ja rakastaa nauttia auringonsäteistä.</t>
  </si>
  <si>
    <t>Its powerful head butt has enough power to shatter even the most durable things upon impact.</t>
  </si>
  <si>
    <t>Sen miellyttävän aromaattiset lehdet pystyvät säätelemään kosteutta ja lämpötilaa.</t>
  </si>
  <si>
    <t>Its skull is as hard as iron. It is a brute that tears down jungle trees while catching prey.</t>
  </si>
  <si>
    <t>If two were to smash their heads together, their foot-thick skulls would keep them from fainting.</t>
  </si>
  <si>
    <t>Se rakastaa paistatella auringonvalossa. Se käyttää päänsä lehteä etsiäkseen lämpimiä paikkoja.</t>
  </si>
  <si>
    <t>Its skull withstands impacts of any magnitude. As a result, its brain never gets the chance to grow.</t>
  </si>
  <si>
    <t>The result of repeated headbutts is a skull grown thick and hard. However, its brain has shrunk in size compared with Cranidos’s.</t>
  </si>
  <si>
    <t>Taistelussa CHIKORITA heiluttaa lehteään pitääkseen vihollisen loitolla. Lehdestä leijuu kuitenkin myös makea tuoksu, joka rauhoittaa taistelevat POKéMONit ja luo ympärille viihtyisän ja ystävällisen ilmapiirin.</t>
  </si>
  <si>
    <t>Records exist of a revived fossil that evolved into Rampardos. It proceeded to escape and then destroy a skyscraper with a headbutt.</t>
  </si>
  <si>
    <t>In ancient times, people would dig up fossils of this Pokémon and use its skull, which is harder than steel, to make helmets.</t>
  </si>
  <si>
    <t>This ancient Pokémon used headbutts skillfully. Its brain was really small, so some theories suggest that its stupidity led to its extinction.</t>
  </si>
  <si>
    <t>Se heiluttaa lehteään pitääkseen viholliset loitolla. Lehdestä leijuu kuitenkin myös makea tuoksu, joka luo ystävällisen ilmapiirin, joka rauhoittaa taistelijat.</t>
  </si>
  <si>
    <t>Very little is known about its biology. Can knock down massive trees by smashing its beautiful, pearl-like crown against them.</t>
  </si>
  <si>
    <t>A Pokémon that lived in jungles around 100 million years ago. Its facial hide is extremely hard.</t>
  </si>
  <si>
    <t>It habitually polishes its face by rubbing it against tree trunks. It is weak to attacks from behind.</t>
  </si>
  <si>
    <t>Sen päässä olevasta lehdestä leijuu lempeästi makea tuoksu. Se on säyseä ja rakastaa auringonsäteitä.</t>
  </si>
  <si>
    <t>It is outstandingly armored. As a result, it can eat grass and berries without having to fight.</t>
  </si>
  <si>
    <t>Se käyttää päänsä lehteä lämpötilan ja kosteuden määrittämiseen. Se rakastaa auringonottoa.</t>
  </si>
  <si>
    <t>It was generated from a fossil dug out of a layer of clay that was older than anyone knows. It has a sturdy face.</t>
  </si>
  <si>
    <t>Many fossils of this Pokémon have been found, but almost none have shown signs of damage to the face.</t>
  </si>
  <si>
    <t>This Pokémon lived in primeval jungles. Few enemies would have been willing to square off against its heavily armored face, so it’s thought.</t>
  </si>
  <si>
    <t>A mild-mannered, herbivorous Pokémon, it used its face to dig up tree roots to eat. The skin on its face was plenty tough.</t>
  </si>
  <si>
    <t>Although its fossils can be found in layers of primeval rock, nothing but its face has ever been discovered.</t>
  </si>
  <si>
    <t>Much remains unknown about this Pokémon, as few have ever seen it. However, we know that it is calm and dislikes conflict, and it enjoys polishing its face against trees and rocks.</t>
  </si>
  <si>
    <t>Sen miellyttävän aromaattinen lehti pystyy tarkistamaan kosteuden ja lämpötilan.</t>
  </si>
  <si>
    <t>Any frontal attack is repulsed. It is a docile Pokémon that feeds on grass and berries.</t>
  </si>
  <si>
    <t>When attacked, they form a wall with their shieldlike faces to protect their young.</t>
  </si>
  <si>
    <t>When they lined up side by side, no foe could break through. They shielded their young in that way.</t>
  </si>
  <si>
    <t>When attacked, they form a wall. Their rock-hard faces serve to protect them from the attacks.</t>
  </si>
  <si>
    <t>While it can guard against any sort of attack from the front, it is left without recourse when attacked from behind.</t>
  </si>
  <si>
    <t>It lived in the same environments as Rampardos. Their fossils have been found together— seemingly from after they’d fought to the finish.</t>
  </si>
  <si>
    <t>The bones of its face are huge and hard, so they were mistaken for its spine until after this Pokémon was successfully restored.</t>
  </si>
  <si>
    <t>This Pokémon is from roughly 100 million years ago. Its terrifyingly tough face is harder than steel.</t>
  </si>
  <si>
    <t>Its face is sturdy—as strong as diamond—and this hardness offers a very stable defense. Much about this species is still unknown, such as its natural habitat.</t>
  </si>
  <si>
    <t>Taistelussa Chikorita heiluttaa lehteään pitääkseen vihollisen loitolla. Lehdestä leijuu kuitenkin myös makea tuoksu, joka rauhoittaa taistelevan Pokémonin ja luo ympärille viihtyisän ja ystävällisen ilmapiirin.</t>
  </si>
  <si>
    <t>To shelter itself from cold, wintry winds, it covers itself with a cloak made of twigs and leaves.</t>
  </si>
  <si>
    <t>If its cloak is broken in battle, it quickly remakes the cloak with materials nearby.</t>
  </si>
  <si>
    <t>Even if it is born where there are no cocooning materials, it somehow always ends up with a cloak.</t>
  </si>
  <si>
    <t>Bayleef</t>
  </si>
  <si>
    <t>Mausteiden tuoksu tulee sen kaulasta. Jostain syystä sen nuuhkiminen saa sinut haluamaan taistella.</t>
  </si>
  <si>
    <t>It covers itself with a cloak to shelter from the cold. When it’s hot, its cloak is thinner.</t>
  </si>
  <si>
    <t>If its cloak is even slightly damaged, Burmy will immediately repair it with whatever is close at hand. The Pokémon within the cloak is scrawny and vulnerable to the cold.</t>
  </si>
  <si>
    <t>Sen kaulasta leijuu mausteinen tuoksu. Tuoksu toimii terveyden palauttajana.</t>
  </si>
  <si>
    <t>When BURMY evolved, its cloak became a part of this Pokémon’s body. The cloak is never shed.</t>
  </si>
  <si>
    <t>Sen kaulassa olevista lehdistä leijuva tuoksu saa jokaisen, joka sitä haistaa, energiseksi.</t>
  </si>
  <si>
    <t>Its appearance changes depending on where it evolved. The materials on hand become a part of its body.</t>
  </si>
  <si>
    <t>When evolving, its body takes in surrounding materials. As a result, there are many body variations.</t>
  </si>
  <si>
    <t>BAYLEEFin kaulaa reunustavat käpristyneet lehdet. Jokaisen putkimaisen lehden sisällä on pieni puunverso. Verson tuoksu piristää ihmisiä.</t>
  </si>
  <si>
    <t>It is said that a WORMADAM that evolves on a cold day will have a thicker cloak.</t>
  </si>
  <si>
    <t>When Burmy evolved, its cloak became a part of this Pokémon’s body. The cloak is never shed.</t>
  </si>
  <si>
    <t>Laakerinlehden kaulaa reunustavat käpristyneet lehdet. Jokaisen lehden sisällä on pieni puunverso. Verson tuoksu piristää ihmisiä.</t>
  </si>
  <si>
    <t>It loves the honey of flowers and steals honey collected by COMBEE.</t>
  </si>
  <si>
    <t>Sen kaulasta leijuu mausteinen tuoksu, joka toimii terveyttä palauttavana piristeenä.</t>
  </si>
  <si>
    <t>It does not keep a nest. It flies over fields and mountains in constant search of floral honey.</t>
  </si>
  <si>
    <t>Sen kaulaa ympäröivät nuput levittävät mausteista tuoksua, joka piristää ihmisiä.</t>
  </si>
  <si>
    <t>While it loves floral honey, it won’t gather any itself. Instead, it plots to steal some from COMBEE.</t>
  </si>
  <si>
    <t>It flutters around at night and steals honey from the COMBEE hive.</t>
  </si>
  <si>
    <t>While it loves floral honey, it won’t gather any itself. Instead, it plots to steal some from Combee.</t>
  </si>
  <si>
    <t>https://pokeapi.co/api/v2/pokemon-species/124/</t>
  </si>
  <si>
    <t>It loves the honey of flowers and steals honey collected by Combee.</t>
  </si>
  <si>
    <t>It flutters around at night and steals honey from the Combee hive.</t>
  </si>
  <si>
    <t>Scatters steel-colored scales as it flaps its wings. Despite being observed feeding primarily on the nectar of flowers, Mothim is not often seen around flower gardens.</t>
  </si>
  <si>
    <t>A Pokémon formed by three others. It busily carries sweet floral honey to VESPIQUEN.</t>
  </si>
  <si>
    <t>It collects and delivers honey to its colony. At night, they cluster to form a beehive and sleep.</t>
  </si>
  <si>
    <t>The trio is together from birth. It constantly gathers honey from flowers to please VESPIQUEN.</t>
  </si>
  <si>
    <t>At night, COMBEE sleep in a group of about a thousand, packed closely together in a lump.</t>
  </si>
  <si>
    <t>The trio is together from birth. It constantly gathers honey from flowers to please Vespiquen.</t>
  </si>
  <si>
    <t>This Pokémon is a set of three. When they sleep, they gather up and form a giant hive of 100 Combee.</t>
  </si>
  <si>
    <t>The members of the trio spend all their time together. Each one has a slightly different taste in nectar.</t>
  </si>
  <si>
    <t>It ceaselessly gathers nectar from sunrise to sundown, all for the sake of Vespiquen and the swarm.</t>
  </si>
  <si>
    <t>Laakerinlehden kaulaa reunustavat käpristyneet lehdet. Jokaisen putkimaisen lehden sisällä on pieni puunverso. Verson tuoksu piristää ihmisiä.</t>
  </si>
  <si>
    <t>They swear fealty to a queen Pokémon and work diligently to gather nectar. Each swarm produces a different flavor of honey.</t>
  </si>
  <si>
    <t>Its abdomen is a honeycomb for grubs. It raises its grubs on honey collected by COMBEE.</t>
  </si>
  <si>
    <t>When endangered, grubs from its six-cell honeycomb strike back. There is only one in a colony.</t>
  </si>
  <si>
    <t>It releases various pheromones to make the grubs in its body do its bidding while fighting foes.</t>
  </si>
  <si>
    <t>Meganium</t>
  </si>
  <si>
    <t>It raises grubs in the holes in its body. It secretes pheromones to control COMBEE.</t>
  </si>
  <si>
    <t>Yrtti-Pokémon</t>
  </si>
  <si>
    <t>It houses its colony in cells in its body and releases various pheromones to make those grubs do its bidding.</t>
  </si>
  <si>
    <t>Sen terälehdistä nouseva tuoksu sisältää ainetta, joka rauhoittaa aggressiivisia tunteita.</t>
  </si>
  <si>
    <t>Its abdomen is a honeycomb for grubs. It raises its grubs on honey collected by Combee.</t>
  </si>
  <si>
    <t>MEGANIUMin hengityksellä on voima elvyttää kuollutta ruohoa ja kasveja. Se voi tehdä niistä jälleen terveitä.</t>
  </si>
  <si>
    <t>It skillfully commands its grubs in battles with its enemies. The grubs are willing to risk their lives to defend Vespiquen.</t>
  </si>
  <si>
    <t>Jokainen sen vieressä seisova virkistyy, aivan kuin rentoutuisi aurinkoisessa metsässä.</t>
  </si>
  <si>
    <t>Vespiquen that give off more pheromones have larger swarms of Combee attendants.</t>
  </si>
  <si>
    <t>Commands its subjects to build its hive. It will dispatch any interlopers who dare sneak into its nest and use them as nourishment for itself.</t>
  </si>
  <si>
    <t>MEGANIUMin kukan tuoksu rauhoittaa ja tyynnyttää tunteita. Taistelussa tämä POKéMON erittää lisää rauhoittavaa tuoksuaan lannistaakseen vihollisen taistelutahtoa.</t>
  </si>
  <si>
    <t>It makes fur balls that crackle with static electricity. It stores them with berries in tree holes.</t>
  </si>
  <si>
    <t>It makes electricity with pouches in its cheeks and shoots charges from its tail. It lives atop trees.</t>
  </si>
  <si>
    <t>MEGANIUMIN kukan tuoksu rauhoittaa ja tyynnyttää tunteita. Taistelussa se erittää lisää rauhoittavaa tuoksuaan lannistaakseen vihollisen taistelutahtoa.</t>
  </si>
  <si>
    <t>A pair may be seen rubbing their cheek pouches together in an effort to share stored electricity.</t>
  </si>
  <si>
    <t>It’s one of the kinds of Pokémon with electric cheek pouches. It shoots charges from its tail.</t>
  </si>
  <si>
    <t>A species related to the Pikachu line. Though Pachirisu is a calm Pokémon, it still presents a danger should one touch its electrified tail or cheeks.</t>
  </si>
  <si>
    <t>Sen hengityksellä on fantastinen kyky herättää kuolleita kasveja ja kukkia henkiin.</t>
  </si>
  <si>
    <t>It has a flotation sac that is like an inflatable collar. It floats on water with its head out.</t>
  </si>
  <si>
    <t>It swims by rotating its two tails like a screw. When it dives, its flotation sac collapses.</t>
  </si>
  <si>
    <t>It spins its two tails like a screw to propel itself through water. The tails also slice clinging seaweed.</t>
  </si>
  <si>
    <t>It inflates its flotation sac, keeping its face above water in order to watch for prey movement.</t>
  </si>
  <si>
    <t>It inflates the flotation sac around its neck and pokes its head out of the water to see what is going on.</t>
  </si>
  <si>
    <t>It moves freely in the water by spinning its forked tail for propulsion. The resemblance to the screw of a steamboat is coincidental.</t>
  </si>
  <si>
    <t>It floats using its well-developed flotation sac. It assists in the rescues of drowning people.</t>
  </si>
  <si>
    <t>Its flotation sac developed as a result of pursuing aquatic prey. It can double as a rubber raft.</t>
  </si>
  <si>
    <t>It is a common sight around fishing ports. It is known to rescue people and carry off prey.</t>
  </si>
  <si>
    <t>Meganiumin hengityksellä on voima elvyttää kuollutta ruohoa ja kasveja. Se voi tehdä niistä jälleen terveitä.</t>
  </si>
  <si>
    <t>With its flotation sac inflated, it can carry people on its back. It deflates the sac before it dives.</t>
  </si>
  <si>
    <t>Has a long, rather splendid flotation sac, which prevents Floatzel from drowning even in stormy seas. One might glimpse this species around fishing hamlets from time to time.</t>
  </si>
  <si>
    <t>Meganiumin kukan tuoksu rauhoittaa ja tyynnyttää tunteita. Taistelussa tämä Pokémon erittää lisää rauhoittavaa tuoksuaan lannistaakseen vihollisen taistelutahtoa.</t>
  </si>
  <si>
    <t>The small ball holds the nutrients needed for evolution. Apparently, it is very sweet and tasty.</t>
  </si>
  <si>
    <t>Sunlight colors it red. When the small ball is drained of nutrients, it shrivels to herald evolution.</t>
  </si>
  <si>
    <t>The small ball is not only filled with nutrients, it is also tasty. STARLY try to peck it off.</t>
  </si>
  <si>
    <t>Cyndaquil</t>
  </si>
  <si>
    <t>Tulihiiri-Pokémon</t>
  </si>
  <si>
    <t>It evolves by sucking the energy out of the small ball where it had been storing nutrients.</t>
  </si>
  <si>
    <t>Se on arka ja käpertyy aina palloksi. Hyökkäyksen sattuessa se levittää selkäänsä suojakseen.</t>
  </si>
  <si>
    <t>The small ball is not only filled with nutrients, it is also tasty. Starly try to peck it off.</t>
  </si>
  <si>
    <t>It nimbly dashes about to avoid getting pecked by bird Pokémon that would love to make off with its small, nutrient-rich storage ball.</t>
  </si>
  <si>
    <t>Se pysyy yleensä kumarassa. Jos se on vihainen tai yllättynyt, se ampuu liekkejä selästään.</t>
  </si>
  <si>
    <t>Sen selästä purkautuva tuli palaa kuumimmin, kun se on vihainen. Liekit pelottavat vihollisia.</t>
  </si>
  <si>
    <t>The deeper a Cherubi’s red, the more nutrients it has stockpiled in its body. And the sweeter and tastier its small ball!</t>
  </si>
  <si>
    <t>CYNDAQUIL suojaa itseään sytyttämällä liekkejä selälleen. Liekit ovat voimakkaita, jos POKéMON on vihainen. Jos se on kuitenkin väsynyt, liekit pauhaavat epätäydellisen palamisen seurauksena.</t>
  </si>
  <si>
    <t>Once the fruit growing alongside the main body is large and plump, Cherubi will use the nutrients within to evolve. The fruit then detaches, becoming nourishment for other creatures.</t>
  </si>
  <si>
    <t>It blooms during times of strong sunlight. It tries to make up for everything it endured as a bud.</t>
  </si>
  <si>
    <t>It is docile as a bud, but turns cheerful when it blooms. It folds back into a bud if sunlight wanes.</t>
  </si>
  <si>
    <t>Se ampuu liekkejä selästään suojautuakseen. Tuli palaa voimakkaasti, jos POKéMON on vihainen. Kun se on väsynyt, se roiskuu epätäydellisen palamisen seurauksena.</t>
  </si>
  <si>
    <t>If it senses strong sunlight, it opens its folded petals to absorb the sun’s rays with its whole body.</t>
  </si>
  <si>
    <t>During times of strong sunlight, its bud blooms, its petals open fully, and it becomes very active.</t>
  </si>
  <si>
    <t>Se on arka ja käpertyy aina palloksi. Jos sitä vastaan ​​hyökätään, se levittää selkäänsä suojakseen.</t>
  </si>
  <si>
    <t>As a bud, it barely moves. It sits still, placidly waiting for sunlight to appear.</t>
  </si>
  <si>
    <t>Se on luonteeltaan arka. Jos se säikähtää, sen selässä olevat liekit palavat voimakkaammin.</t>
  </si>
  <si>
    <t>Its folded petals are pretty tough. Bird Pokémon can peck at them all they want, and Cherrim won’t be bothered at all.</t>
  </si>
  <si>
    <t>Motionless, save for the occasional quiver. A rich array of Pokémon can be found gathered around it, drawn by the scent exuded from Cherrim's folded petals.</t>
  </si>
  <si>
    <t>Its colors and shapes differ from region to region. In the Sinnoh region, two types are confirmed.</t>
  </si>
  <si>
    <t>It lives along bodies of water. Its body shape has changed to suit its habitat.</t>
  </si>
  <si>
    <t>Beware of pushing strongly on its squishy body, as it makes a mysterious purple fluid ooze out.</t>
  </si>
  <si>
    <t>Its shape and coloration vary, depending on its habitat.</t>
  </si>
  <si>
    <t>For the most part, it makes its home along the seashore. Its color and form differ according to its habitat and the quality of its food.</t>
  </si>
  <si>
    <t>Purple mucus sticks to the hands of anyone who touches it. Take care, as the substance is troublesome to wash off.</t>
  </si>
  <si>
    <t>While they normally live in the sea, they can function on land, too, until their skin dries out.</t>
  </si>
  <si>
    <t>https://pokeapi.co/api/v2/pokemon-species/125/</t>
  </si>
  <si>
    <t>When it senses danger, a purple liquid oozes out of it. The liquid is thought to be something like greasy sweat.</t>
  </si>
  <si>
    <t>This Pokémon’s habitat shapes its physique. According to some theories, life in warm ocean waters causes this variation to develop.</t>
  </si>
  <si>
    <t>Subjecting this Pokémon to a strong force causes it to secrete a strange purple fluid. Though harmless, the fluid is awfully sticky.</t>
  </si>
  <si>
    <t>Found in abundance on seashores bordering warm waters. Shellos are unexpectedly friendly and will crawl toward any person they see. Take care not to get coated in mucus!</t>
  </si>
  <si>
    <t>Cyndaquil suojaa itseään sytyttämällä liekkejä selässään. Liekit ovat voimakkaita, jos Pokémon on vihainen. Jos se on kuitenkin väsynyt, liekit pauhaavat epätäydellisen palamisen seurauksena.</t>
  </si>
  <si>
    <t>It has a pliable body without any bones. If any part of its body is torn off, it grows right back.</t>
  </si>
  <si>
    <t>It apparently had a huge shell for protection in ancient times. It lives in shallow tidal pools.</t>
  </si>
  <si>
    <t>Kotoisin Johto-alueelta. Vaikka se yleensä käpertyy palloksi aran luonteensa vuoksi, sillä on valtava tulivoima.</t>
  </si>
  <si>
    <t>Quilava</t>
  </si>
  <si>
    <t>Tulivuori-Pokémon</t>
  </si>
  <si>
    <t>Ole varovainen, jos se kääntää selkänsä taistelun aikana. Se tarkoittaa, että se hyökkää tuli selässään.</t>
  </si>
  <si>
    <t>Tämä POKéMON on kokonaan peitetty palamattomalla turkilla. Se kestää minkä tahansa tulipalon.</t>
  </si>
  <si>
    <t>Ennen taistelua se kääntää selkänsä vastustajalleen osoittaakseen kuinka raivokkaasti sen tuli roihuaa.</t>
  </si>
  <si>
    <t>QUILAVA pitää vihollisensa loitolla liekkiensä voimakkuudella ja ylikuumennetun ilman puuskilla. Tämä POKéMON käyttää erinomaista ketteryyttään väistelläkseen hyökkäyksiä jopa samalla, kun se polttaa vihollista liekeillä.</t>
  </si>
  <si>
    <t>Long ago, its entire back was shielded with a sturdy shell. There are traces of it left in its cells.</t>
  </si>
  <si>
    <t>When its natural enemy attacks, it oozes purple fluid and escapes.</t>
  </si>
  <si>
    <t>Se pelottelee vihollisia voimakkailla liekkien puuskilla ja ylikuumennetulla ilmalla. Nopean ketteryytensä ansiosta se pystyy väistelemään hyökkäyksiä jopa vihollista polttaessaan.</t>
  </si>
  <si>
    <t>It has strong regenerative capabilities. Even if parts of it are bitten off by fish Pokémon, it will return to normal within a few hours.</t>
  </si>
  <si>
    <t>Plankton, invisible to the naked eye, is its main food source. It comes onto the land periodically, but the reason for this is not known.</t>
  </si>
  <si>
    <t>Se pelottaa vihollisia liekkiensä kuumuudella. Tuli palaa voimakkaammin, kun se on valmis taisteluun.</t>
  </si>
  <si>
    <t>Long ago, it had a shell on its back. There’s now a vestigial plate on its back that’s hard but thin.</t>
  </si>
  <si>
    <t>Their shape and color change, depending on their environment and diet. There are many of them at beaches where the waves are calm.</t>
  </si>
  <si>
    <t>Its search for food sometimes leads it onto land, where it leaves behind a sticky trail of slime as it passes through.</t>
  </si>
  <si>
    <t>The softness of its body helps disperse the force of impacts, so although its body is uncommonly squishy, it’s also surprisingly resilient.</t>
  </si>
  <si>
    <t>Tämä Pokémon on kokonaan peitetty palamattomalla turkilla. Se kestää minkä tahansa tulipalon.</t>
  </si>
  <si>
    <t>Eats beach sand for nourishment. Should one Gastrodon encounter another of a different color, a fierce battle will inevitably ensue.</t>
  </si>
  <si>
    <t>To eat, it deftly shucks nuts with its two tails. It rarely uses its arms now.</t>
  </si>
  <si>
    <t>They work in large colonies and make rings by linking their tails, apparently in friendship.</t>
  </si>
  <si>
    <t>Split into two, the tails are so adept at handling and doing things, AMBIPOM rarely uses its hands.</t>
  </si>
  <si>
    <t>They live on large trees. They are said to communicate by connecting their tails to those of others.</t>
  </si>
  <si>
    <t>It is very difficult to dodge the consecutive strikes of its two tails.</t>
  </si>
  <si>
    <t>Split into two, the tails are so adept at handling and doing things, Ambipom rarely uses its hands.</t>
  </si>
  <si>
    <t>In their search for comfortable trees, they get into territorial disputes with groups of Passimian. They win about half the time.</t>
  </si>
  <si>
    <t>It uses its tails for everything. If it wraps both of its tails around you and gives you a squeeze, that’s proof it really likes you.</t>
  </si>
  <si>
    <t>Quilava pitää vihollisensa loitolla liekkiensä voimakkuudella ja ylikuumennetun ilman puuskilla. Tämä Pokémon käyttää poikkeuksellista ketteryyttään väistelläkseen hyökkäyksiä, vaikka se polttaisi vihollista liekeillä.</t>
  </si>
  <si>
    <t>To affirm their kinship, members of this species will form a ring by linking their newly doubled tails together. On rare occasions, humans have been accepted into such rings.</t>
  </si>
  <si>
    <t>Tämän olennon turkki on hyvin salaperäinen – se on täysin immuuni liekin polttavalle kosketukselle. Jos Quilava kääntää selkänsä sinulle, ole varovainen! Tällainen asento ennakoi tulevaa hyökkäystä.</t>
  </si>
  <si>
    <t>A Pokémon formed by the spirits of people and Pokémon. It loves damp, humid seasons.</t>
  </si>
  <si>
    <t>Typhlosion</t>
  </si>
  <si>
    <t>Jos sen raivo huipentuu, se kuumenee niin paljon, että kaikki siihen liittyvä syttyy välittömästi liekkeihin.</t>
  </si>
  <si>
    <t>It tugs on the hands of children to steal them away. However, it gets pulled around instead.</t>
  </si>
  <si>
    <t>Sillä on salainen, tuhoisa ele. Se hieroo hehkuvaa turkkiaan yhteen aiheuttaakseen valtavia räjähdyksiä.</t>
  </si>
  <si>
    <t>Because of the way it floats aimlessly, an old folktale calls it a “Signpost for Wandering Spirits.”</t>
  </si>
  <si>
    <t>It is whispered that any child who mistakes DRIFLOON for a balloon and holds on to it could wind up missing.</t>
  </si>
  <si>
    <t>Kun sen ruumiista tuleva lämpö saa sen ympärillä olevan ilman hohtamaan, se on merkki siitä, että se on valmis taisteluun.</t>
  </si>
  <si>
    <t>These Pokémon are called the “Signpost for Wandering Spirits.” Children holding them sometimes vanish.</t>
  </si>
  <si>
    <t>TYPHLOSION kätkee itsensä kimaltelevan kuuman usvan taakse, jonka se luo erittäin kuumilla liekeillään. Tämä POKéMON luo roihuavia räjähdyksiä, jotka polttavat kaiken tuhkaksi.</t>
  </si>
  <si>
    <t>Stories go that it grabs the hands of small children and drags them away to the afterlife. It dislikes heavy children.</t>
  </si>
  <si>
    <t>If for some reason its body bursts, its soul spills out with a screaming sound.</t>
  </si>
  <si>
    <t>Its round body is stuffed with souls and expands each time it leads someone away.</t>
  </si>
  <si>
    <t>Wandering souls gathered together to form this Pokémon. When trying to make friends with children, Drifloon grabs them by the hand.</t>
  </si>
  <si>
    <t>Se voi piiloutua hohtavan kuumuuden taakse, jonka se luo voimakkailla liekeillään. TYPHLOSION luo roihuavia räjähdyksiä, jotka polttavat kaiken tuhkaksi.</t>
  </si>
  <si>
    <t>Perhaps seeking company, it approaches children. However, it often quickly runs away again when the children play too roughly with it.</t>
  </si>
  <si>
    <t>The gathering of many souls gave rise to this Pokémon. During humid seasons, they seem to appear in abundance.</t>
  </si>
  <si>
    <t>Se hyökkää tuliräjähdyksillä. Se luo lämpöhohteita voimakkaalla tulella piiloutuakseen.</t>
  </si>
  <si>
    <t>Said to lure away young children and carry them off to the afterlife. Some whisper that Drifloon are formed of reincarnated human souls, but these rumors are as yet unconfirmed.</t>
  </si>
  <si>
    <t>It’s drowzy in daytime, but flies off in the evening in big groups. No one knows where they go.</t>
  </si>
  <si>
    <t>It carries people and Pokémon when it flies. But since it only drifts, it can end up anywhere.</t>
  </si>
  <si>
    <t>At dusk, swarms of them are carried aloft on winds. When noticed, they suddenly vanish.</t>
  </si>
  <si>
    <t>It can generate and release gas within its body. That’s how it can control the altitude of its drift.</t>
  </si>
  <si>
    <t>They carry people and Pokémon, but the wind can catch them, so there can’t be a fixed destination.</t>
  </si>
  <si>
    <t>It’s drowsy in daytime, but flies off in the evening in big groups. No one knows where they go.</t>
  </si>
  <si>
    <t>There was once an incident in which a man took a trip riding a Drifblim, only to go missing.</t>
  </si>
  <si>
    <t>Even while under careful observation, large flocks of Drifblim flying at dusk will inexplicably disappear from view.</t>
  </si>
  <si>
    <t>There’s a rumor that if you catch a Drifblim floating on the wind at dusk, you’ll be carried away to the afterlife.</t>
  </si>
  <si>
    <t>The raw material for the gas inside its body is souls. When its body starts to deflate, it’s thought to carry away people and Pokémon.</t>
  </si>
  <si>
    <t>Some say this Pokémon is a collection of souls burdened with regrets, silently drifting through the dusk.</t>
  </si>
  <si>
    <t>It grabs people and Pokémon and carries them off somewhere. Where do they go? Nobody knows.</t>
  </si>
  <si>
    <t>It drifts along at dusk, perfectly silent. Its transient, melancholy aspect touches some people deeply—every so often, one will come upon a song or poem devoted to Drifblim.</t>
  </si>
  <si>
    <t>It slams foes by sharply uncoiling its rolled ears. It stings enough to make a grown-up cry in pain.</t>
  </si>
  <si>
    <t>When it senses danger, it perks up its ears. On cold nights, it sleeps with its head tucked into its fur.</t>
  </si>
  <si>
    <t>Typhlosion kätkee itsensä hohtavan kuuman usvan taakse, jonka se luo erittäin kuumilla liekuillaan. Tämä Pokémon luo roihuavia räjähdyksiä, jotka polttavat kaiken tuhkaksi.</t>
  </si>
  <si>
    <t>Its ears are always rolled up. They can be forcefully extended to shatter even a large boulder.</t>
  </si>
  <si>
    <t>You can tell how it feels by the way it rolls its ears. When it’s scared, both ears are rolled up.</t>
  </si>
  <si>
    <t>By extending its rolled-up ears and striking the ground, it can bound so high it surprises itself.</t>
  </si>
  <si>
    <t>Sanotaan puhdistavan kadonneita, hylättyjä sieluja liekeillään ja ohjaavan heidät tuonpuoleiseen. Uskon, että sen muotoon on vaikuttanut Hisuin keskustassa kohoavan pyhän vuoren energia.</t>
  </si>
  <si>
    <t>Its arms and legs are weak, but when it rolls its ears up tight and then unleashes them with its full force, it can smash boulders to dust.</t>
  </si>
  <si>
    <t>https://pokeapi.co/api/v2/pokemon-species/126/</t>
  </si>
  <si>
    <t>Totodile</t>
  </si>
  <si>
    <t>The reason it keeps one ear rolled up is so it can launch a swift counterattack if it’s attacked by an enemy.</t>
  </si>
  <si>
    <t>Iso Leuka-Pokémon</t>
  </si>
  <si>
    <t>Sen hyvin kehittyneet leuat ovat voimakkaat ja kykenevät murskaamaan mitä tahansa. Jopa sen kouluttajan on oltava varovainen.</t>
  </si>
  <si>
    <t>If both of Buneary’s ears are rolled up, something is wrong with its body or mind. It’s a sure sign the Pokémon is in need of care.</t>
  </si>
  <si>
    <t>Buneary can attack by rolling up their ears and then striking with the force created by unrolling them. This attack becomes stronger with training.</t>
  </si>
  <si>
    <t>Se on pieni mutta karu ja sitkeä. Se ei epäröi purra mitään, mikä liikkuu.</t>
  </si>
  <si>
    <t>My hypothesis as to why Buneary rolls up its ears is that its hearing is far too keen. I surmise that the Pokémon protects its hearing by limiting the sound that may enter its ears.</t>
  </si>
  <si>
    <t>Tämä karkea otus jyrää kaikkia näkemiään liikkuvia kohteita. Selän kääntämistä sille ei suositella.</t>
  </si>
  <si>
    <t>An extremely cautious Pokémon. It cloaks its body with its fluffy ear fur when it senses danger.</t>
  </si>
  <si>
    <t>It is very conscious of its looks and never fails to groom its ears. It runs with sprightly jumps.</t>
  </si>
  <si>
    <t>Pienestä koostaan ​​huolimatta TOTODILEn leuat ovat erittäin voimakkaat. Vaikka POKéMON saattaa luulla vain leikkisän näykkivän, sen purema on tarpeeksi voimakas aiheuttamaan vakavia vammoja.</t>
  </si>
  <si>
    <t>The ears appear to be delicate. If they are touched roughly, it kicks with its graceful legs.</t>
  </si>
  <si>
    <t>It sheds its fur twice a year. Its winter fur is soft and fluffy.</t>
  </si>
  <si>
    <t>Extremely cautious, it quickly bounds off when it senses danger.</t>
  </si>
  <si>
    <t>Pienestä ruumiistaan ​​huolimatta TOTODILEn leuat ovat erittäin voimakkaat. Vaikka se saattaa luulla vain leikkisän näykkivän, sen purenta on tarpeeksi voimakas aiheuttamaan vakavan vamman.</t>
  </si>
  <si>
    <t>Lopunny regrows its coat twice a year. Mufflers and hats made from its fur are really warm.</t>
  </si>
  <si>
    <t>It’s notably wary and has a dislike of fighting, but at the same time, it can deliver powerful kicks with its lithe legs.</t>
  </si>
  <si>
    <t>Lopunny is constantly monitoring its surroundings. If danger approaches, this Pokémon responds with superdestructive kicks.</t>
  </si>
  <si>
    <t>Sen hyvin kehittyneet leuat ovat voimakkaat ja kykenevät murskaamaan mitä tahansa. Jopa sen KOULUTTAJAN on oltava varovainen.</t>
  </si>
  <si>
    <t>Once hot seasons are over, Lopunny’s coat will be replaced with fur that holds a lot of insulating air in preparation for colder weather.</t>
  </si>
  <si>
    <t>Sillä on tapana purra mitä tahansa kehittyneillä leuoillaan. Jopa sen kouluttajan on oltava varovainen.</t>
  </si>
  <si>
    <t>Its fur is warm and yet remarkably light. This Pokémon kicks as though it were a master of karate, driving back its opponents with ease.</t>
  </si>
  <si>
    <t>Its cries sound like incantations. Those hearing it are tormented by headaches and hallucinations.</t>
  </si>
  <si>
    <t>It chants incantations. While they usually torment targets, some chants bring happiness.</t>
  </si>
  <si>
    <t>Sen voimakkaat ja hyvin kehittyneet leuat pystyvät murskaamaan mitä tahansa. Jopa sen kouluttajan on oltava varovainen.</t>
  </si>
  <si>
    <t>Its cry sounds like an incantation. It is said the cry may rarely be imbued with happiness-giving power.</t>
  </si>
  <si>
    <t>Its cries sound like incantations to torment the foe. It appears where you least expect it.</t>
  </si>
  <si>
    <t>It appears as if from nowhere—muttering incantations, placing curses, and giving people terrifying visions.</t>
  </si>
  <si>
    <t>Mismagius have been known to cast spells to make people fall in love, so some people search for this Pokémon as if their life depended on it.</t>
  </si>
  <si>
    <t>Feared for its wrath and the curses it spreads, this Pokémon will also, on a whim, cast spells that help people.</t>
  </si>
  <si>
    <t>Its muttered curses can cause awful headaches or terrifying visions that torment others.</t>
  </si>
  <si>
    <t>The incantations Mismagius chants can ward against misfortune, so a custom exists of inviting it into one's home. Incur the Pokémon's displeasure, however, and disaster will surely ensue.</t>
  </si>
  <si>
    <t>Becoming active at night, it is known to swarm with numerous MURKROW in tow.</t>
  </si>
  <si>
    <t>It makes its MURKROW cronies bring it food. It idles its time away, grooming itself in its nest.</t>
  </si>
  <si>
    <t>If one utters a deep cry, many MURKROW gather quickly. For this, it is called “Summoner of Night.”</t>
  </si>
  <si>
    <t>It is merciless by nature. It is said that it never forgives the mistakes of its MURKROW followers.</t>
  </si>
  <si>
    <t>Pienestä koostaan ​​huolimatta Totodilen leuat ovat erittäin voimakkaat. Vaikka Pokémon saattaa luulla vain leikkisän näykkivän, sen purema on tarpeeksi voimakas aiheuttamaan vakavia vammoja.</t>
  </si>
  <si>
    <t>If one utters a deep cry, many Murkrow gather quickly. For this, it is called “Summoner of Night.”</t>
  </si>
  <si>
    <t>Croconaw</t>
  </si>
  <si>
    <t>Becoming active at night, it is known to swarm with numerous Murkrow in tow.</t>
  </si>
  <si>
    <t>Jos se menettää hampaansa, uusi kasvaa sen tilalle. Sen suussa on aina 48 hampaista.</t>
  </si>
  <si>
    <t>A single cry from this nocturnal Pokémon, and more than a hundred of its Murkrow cronies will assemble.</t>
  </si>
  <si>
    <t>Se avaa valtavat leukansa ammolleen hyökätessään. Jos se menettää purressaan kulmahampaitaan, ne kasvavat takaisin.</t>
  </si>
  <si>
    <t>If its Murkrow cronies fail to catch food for it, or if it feels they have betrayed it, it will hunt them down wherever they are and punish them.</t>
  </si>
  <si>
    <t>Sen kulmahampaiden kärjet ovat taaksepäin kallistuneet. Kun kulmahampaat ovat kiinni, saaliilla ei ole toivoa paeta.</t>
  </si>
  <si>
    <t>It will absolutely not forgive failure from or betrayal by its goons. It has no choice in this if it wants to maintain the order of the flock.</t>
  </si>
  <si>
    <t>Kun CROCONAW on puristanut leukansa viholliseensa, se ei missään nimessä päästä irti. Koska sen kulmahampaiden kärjet ovat haarukkamaiset kuin piikkiset ongenkoukut, niitä on mahdotonta poistaa niiden upottua maahan.</t>
  </si>
  <si>
    <t>Its goons take care of most of the fighting for it. The only time it dirties its own hands is in delivering a final blow to finish off an opponent.</t>
  </si>
  <si>
    <t>Kun sen leuat ovat kerran puristaneet vihollistaan, se ei missään nimessä päästä irti. Koska sen kulmahampaiden kärjet ovat haarukkamaiset taaksepäin kuin ongenkoukut, ne juuttuvat pysyvästi kiinni viholliseen.</t>
  </si>
  <si>
    <t>One cry from this Pokémon, and a murder of Murkrow come flying. At such times, one would think the curtain of night had fallen, plunging the world into jet-black darkness.</t>
  </si>
  <si>
    <t>It claws if displeased and purrs when affectionate. Its fickleness is very popular among some.</t>
  </si>
  <si>
    <t>Kun se puree alas, se ei päästä irti ennen kuin menettää kulmahampaansa. Uudet kulmahampaat kasvavat nopeasti tilalle.</t>
  </si>
  <si>
    <t>With its sharp glare, it puts foes in a mild hypnotic state. It is a very fickle Pokémon.</t>
  </si>
  <si>
    <t>It hides its spiteful tendency of hooking its claws into the nose of its Trainer if it isn’t fed.</t>
  </si>
  <si>
    <t>When it’s happy, GLAMEOW demonstrates beautiful movements of its tail, like a dancing ribbon.</t>
  </si>
  <si>
    <t>When it’s happy, Glameow demonstrates beautiful movements of its tail, like a dancing ribbon.</t>
  </si>
  <si>
    <t>Bewitches humans with its helical tail and piercing gaze. Its hidden claws are quite sharp as well, making this Pokémon an exceedingly tricky opponent if antagonized.</t>
  </si>
  <si>
    <t>It is a brazen brute that barges its way into another Pokémon’s nest and claims it as its own.</t>
  </si>
  <si>
    <t>To make itself appear intimidatingly beefy, it tightly cinches its waist with its twin tails.</t>
  </si>
  <si>
    <t>It binds its body with its tails to make itself look bigger. If it locks eyes, it will glare ceaselessly.</t>
  </si>
  <si>
    <t>It would claim another Pokémon’s nest as its own if it finds a nest sufficiently comfortable.</t>
  </si>
  <si>
    <t>Though impudent and difficult to tame, Purugly enjoys great popularity due to its fur, the beauty of which surpasses even velveteen.</t>
  </si>
  <si>
    <t>It emits cries by agitating an orb at the back of its throat. It moves with flouncing hops.</t>
  </si>
  <si>
    <t>Each time it hops, it makes a ringing sound. It deafens foes by emitting high-frequency cries.</t>
  </si>
  <si>
    <t>There is an orb inside its mouth. When it hops, the orb bounces all over and makes a ringing sound.</t>
  </si>
  <si>
    <t>It emits high-frequency cries that people can’t hear. Once it starts, it can cry for an awfully long time.</t>
  </si>
  <si>
    <t>Kun Croconaw on puristanut leukansa viholliseensa, se ei missään nimessä päästä irti. Koska sen kulmahampaiden kärjet ovat haarukkamaiset kuin piikkiset ongenkoukut, niitä on mahdotonta poistaa niiden upottua sisään.</t>
  </si>
  <si>
    <t>This Pokémon gave me an excruciating headache when it seemingly cried out without making a sound. Perhaps there are some sounds that the human ear is simply incapable of hearing.</t>
  </si>
  <si>
    <t>It protects itself by spraying a noxious fluid from its rear. The stench lingers for 24 hours.</t>
  </si>
  <si>
    <t>Feraligatr</t>
  </si>
  <si>
    <t>https://pokeapi.co/api/v2/pokemon-species/127/</t>
  </si>
  <si>
    <t>Kun se puree massiivisilla ja voimakkailla leuoillaan, se pudistelee päätään ja repii uhrinsa raa'asti irti.</t>
  </si>
  <si>
    <t>It sprays a nose-curling, stinky fluid from its rear to repel attackers.</t>
  </si>
  <si>
    <t>Sen on vaikea kannatella omaa painoaan vedessä, joten se laskeutuu kontalleen. Mutta se liikkuu nopeasti.</t>
  </si>
  <si>
    <t>It sprays a foul fluid from its rear. Its stench spreads over a mile radius, driving Pokémon away.</t>
  </si>
  <si>
    <t>Vaikka sillä on massiivinen ruumis, sen voimakkaat takajalat mahdollistavat nopean liikkumisen jopa maassa.</t>
  </si>
  <si>
    <t>The foul fluid from its rear is so revolting that it can make people feel queasy up to a mile and a quarter away.</t>
  </si>
  <si>
    <t>FERALIGATR pelottelee vihollisiaan avaamalla valtavan kitansa. Taistelussa se potkaisee maata lujaa paksuilla ja voimakkailla takajaloillaan ja hyökkää vihollisen kimppuun uskomattomalla nopeudella.</t>
  </si>
  <si>
    <t>From its rear, it sprays a foul-smelling liquid at opponents. It aims for their faces, and it can hit them from over 16 feet away.</t>
  </si>
  <si>
    <t>If it lifts its tail and points its rear at you, beware. It’s about to spray you with a fluid stinky enough to make you faint.</t>
  </si>
  <si>
    <t>Se avaa valtavan kitansa pelotellakseen vihollisia. Taistelussa se juoksee käyttäen paksuja ja voimakkaita takajalkojaan hyökätäkseen vihollisen kimppuun uskomattomalla nopeudella.</t>
  </si>
  <si>
    <t>The poison that gushes from its aft end is accompanied by an utterly evil-smelling odor with such potency that one whiff can induce memory loss.</t>
  </si>
  <si>
    <t>Kun se puree massiivisilla ja voimakkailla leuoillaan, se pudistelee päätään ja repii uhrinsa raa'asti.</t>
  </si>
  <si>
    <t>Se liikkuu yleensä hitaasti, mutta hyökätessään ja purressaan saalista se etenee sokaisevaa vauhtia.</t>
  </si>
  <si>
    <t>It sprays a vile-smelling fluid from the tip of its tail to attack. Its range is over 160 feet.</t>
  </si>
  <si>
    <t>It sprays a stinky fluid from its tail. The fluid smells worse the longer it is allowed to fester.</t>
  </si>
  <si>
    <t>It attacks by spraying a horribly smelly fluid from the tip of its tail. Attacks from above confound it.</t>
  </si>
  <si>
    <t>Sen on vaikea kannatella painoaan vedessä, joten se joskus laskeutuu kontalleen. Mutta se liikkuu nopeasti.</t>
  </si>
  <si>
    <t>It attacks by spraying a repugnant fluid from its tail, but the stench dulls after a few squirts.</t>
  </si>
  <si>
    <t>In its belly, it reserves stinky fluid that it shoots from its tail during battle. As this Pokémon’s diet varies, so does the stench of its fluid.</t>
  </si>
  <si>
    <t>It digs holes in the ground to make its nest. The stench of the fluid it lets fly from the tip of its tail is extremely potent.</t>
  </si>
  <si>
    <t>Sprays a poisonous fluid to take down prey. Sometimes, unable to stomach the stench of its own fluid, it leaves the bested prey uneaten.</t>
  </si>
  <si>
    <t>Implements shaped like it were discovered in ancient tombs. It is unknown if they are related.</t>
  </si>
  <si>
    <t>Feraligatr pelottelee vihollisiaan avaamalla valtavan kitansa. Taistelussa se potkaisee maata lujaa paksuilla ja voimakkailla takajaloillaan ja hyökkää vihollisen kimppuun uskomattomalla nopeudella.</t>
  </si>
  <si>
    <t>X-ray photos were taken to check its body structure. Nothing appeared, however.</t>
  </si>
  <si>
    <t>Sentret</t>
  </si>
  <si>
    <t>Tiedustelu-Pokémon</t>
  </si>
  <si>
    <t>There are researchers who believe this Pokémon reflected like a mirror in the distant past.</t>
  </si>
  <si>
    <t>Hyvin varovainen POKéMON, se nostaa itsensä ilmaan käyttäen häntäänsä nähdäkseen paremmin ympäristönsä.</t>
  </si>
  <si>
    <t>Se seisoo hännällään nähdäkseen kauas. Jos se havaitsee vihollisen, se huutaa kovaa varoittaakseen lajitovereitaan.</t>
  </si>
  <si>
    <t>Ancient people believed that the pattern on BRONZOR’s back contained a mysterious power.</t>
  </si>
  <si>
    <t>Tähystäessään se varoittaa muita vaarasta kirskumalla ja lyömällä maata hännällään.</t>
  </si>
  <si>
    <t>They are found in ancient tombs. The patterns on their backs are said to be imbued with mysterious power.</t>
  </si>
  <si>
    <t>Kun SENTRET nukkuu, se tekee niin toisen seisoessa vartijana. Vartija herättää muut ensimmäisestä vaaran merkistä. Kun tämä POKéMON irtoaa laumastaan, se ei pysty nukkumaan pelon vuoksi.</t>
  </si>
  <si>
    <t>Ancient people believed that the pattern on Bronzor’s back contained a mysterious power.</t>
  </si>
  <si>
    <t>It appears in ancient ruins. The pattern on its body doesn’t come from any culture in the Galar region, so it remains shrouded in mystery.</t>
  </si>
  <si>
    <t>Ne vuorottelevat vartiossa, kun on aika mennä nukkumaan. Vartiomies herättää muut, jos se aistii vaaran. Jos yksi joutuu erilleen, se menettää unensa pelosta.</t>
  </si>
  <si>
    <t>Polishing Bronzor to a shine makes its surface reflect the truth, according to common lore. Be that as it may, Bronzor hates being polished.</t>
  </si>
  <si>
    <t>Floats using a mysterious energy. The pattern engraved upon its back is held as sacred and can sometimes be found in imagery from ancient cemeteries and other such timeworn places.</t>
  </si>
  <si>
    <t>Se on luonteeltaan hyvin hermostunut. Se seisoo korkealla hännällään, jotta se voi tarkkailla laajoja alueita.</t>
  </si>
  <si>
    <t>One caused a news sensation when it was dug up at a construction site after a 2,000-year sleep.</t>
  </si>
  <si>
    <t>It can summon rain clouds. People long ago revered it as the bringer of plentiful harvests.</t>
  </si>
  <si>
    <t>It brought rains by opening portals to another world. It was revered as a bringer of plentiful harvests.</t>
  </si>
  <si>
    <t>Hyvin varovainen Pokémon, se nostaa itsensä ylös häntäänsä käyttäen saadakseen paremman näkymän ympäristöönsä.</t>
  </si>
  <si>
    <t>Ancient people believed that petitioning BRONZONG for rain was the way to make crops grow.</t>
  </si>
  <si>
    <t>In ages past, this Pokémon was revered as a bringer of rain. It was found buried in the ground.</t>
  </si>
  <si>
    <t>Ancient people believed that petitioning Bronzong for rain was the way to make crops grow.</t>
  </si>
  <si>
    <t>Some believe it to be a deity that summons rain clouds. When angered, it lets out a warning cry that rings out like the tolling of a bell.</t>
  </si>
  <si>
    <t>Many scientists suspect that this Pokémon originated outside the Galar region, based on the patterns on its body.</t>
  </si>
  <si>
    <t>Some believe that its bell-like cry opens holes to another world. It has been revered as a deity since ancient times.</t>
  </si>
  <si>
    <t>It looks as if it is always crying. It is actually adjusting its body’s fluid levels by eliminating excess.</t>
  </si>
  <si>
    <t>It prefers arid environments. It leaks water from its eyes to adjust its body’s fluid levels.</t>
  </si>
  <si>
    <t>https://pokeapi.co/api/v2/pokemon-species/128/</t>
  </si>
  <si>
    <t>Kun Sentret nukkuu, se tekee niin toisen vartioidessaan. Vartija herättää muut ensimmäisestä vaaran merkistä. Kun tämä Pokémon irtoaa laumastaan, se ei pysty nukkumaan pelon vuoksi.</t>
  </si>
  <si>
    <t>It prefers an arid atmosphere. It leaks water that looks like tears when adjusting its moisture level.</t>
  </si>
  <si>
    <t>In order to adjust the level of fluids in its body, it exudes water from its eyes. This makes it appear to be crying.</t>
  </si>
  <si>
    <t>Furret</t>
  </si>
  <si>
    <t>Pitkävartaloinen Pokémon</t>
  </si>
  <si>
    <t>Se tekee pesän, joka sopii pitkälle ja laihalle ruumiilleen. Muut POKéMONit eivät pääse pesään.</t>
  </si>
  <si>
    <t>It does not deal well with water, so it lives in dry locales. Since its surroundings tend to lack greenery, it stands out noticeably.</t>
  </si>
  <si>
    <t>Ei ole selvää, mistä häntä alkaa. Lyhyistä jaloistaan ​​huolimatta se on nopea metsästämään RATTATAA.</t>
  </si>
  <si>
    <t>From its eyes, it can expel excess moisture from its body. This liquid is similar in composition to human sweat.</t>
  </si>
  <si>
    <t>Se elää kapeissa koloissa, jotka sopivat sen hoikkaan vartaloon. Mitä syvemmälle pesät menevät, sitä labyrinttimaisemmiksi ne muuttuvat.</t>
  </si>
  <si>
    <t>FURRETilla on hyvin hoikka rakenne. Hyökkäyksen kohteena se voi liukua sujuvasti ahtaiden paikkojen läpi ja paeta. Lyhyistä raajoistaan ​​huolimatta tämä POKéMON on erittäin ketterä ja nopea.</t>
  </si>
  <si>
    <t>It discharges moisture from its eyes, making it look like it’s crying—apparently an effective way of getting enemies to let down their guard.</t>
  </si>
  <si>
    <t>If its body gets too damp, it will die. So, in a process reminiscent of sweating, its eyes expel moisture.</t>
  </si>
  <si>
    <t>TURKILLA on hyvin hoikka rakenne. Hyökkäyksen kohteeksi joutuessaan se voi puikkelehtia ahtaissa tiloissa ja paeta. Lyhyistä raajoistaan ​​huolimatta se on erittäin ketterä ja nopea.</t>
  </si>
  <si>
    <t>It expels both sweat and tears from its eyes. The sweat is a little salty, while the tears have a slight bitterness.</t>
  </si>
  <si>
    <t>Sen häntä alkaa mahdottomalta. Lyhyistä jaloistaan ​​huolimatta se on nopea metsästämään RATTATAA.</t>
  </si>
  <si>
    <t>This Pokémon lives in dry, rocky areas. As its green spheres dry out, their dull luster increases.</t>
  </si>
  <si>
    <t>Its tears elicit sympathy from those who see them, but do not be deceived! This expulsion of body water is merely a physiological mechanism for keeping itself in good health.</t>
  </si>
  <si>
    <t>Emo nukuttaa poikasensa käpertymällä niiden ympärille. Se ahdistaa viholliset nopeasti.</t>
  </si>
  <si>
    <t>It habitually mimics foes. Once mimicked, the foe cannot take its eyes off this Pokémon.</t>
  </si>
  <si>
    <t>It likes places where people gather. It mimics foes to confuse them, then makes its getaway.</t>
  </si>
  <si>
    <t>Se tekee pesän, joka sopii pitkälle ja laihalle ruumiilleen. Muut Pokémonit eivät pääse pesään.</t>
  </si>
  <si>
    <t>It mimics the expressions and motions of those it sees to understand the feelings of others.</t>
  </si>
  <si>
    <t>Ei ole selvää, mistä häntä alkaa. Lyhyistä jaloistaan ​​huolimatta se on nopea ja jahtaa mielellään RATTATAA.</t>
  </si>
  <si>
    <t>In an attempt to confuse its enemy, it mimics the enemy’s movements. Then it wastes no time in making itself scarce!</t>
  </si>
  <si>
    <t>It does its absolute best to mimic the movements and expressions of its opponents, but it’s still not very good at it.</t>
  </si>
  <si>
    <t>When this gifted mimic surprises an opponent, Mime Jr. feels so happy that it ends up forgetting it was imitating something.</t>
  </si>
  <si>
    <t>It mimics everyone it sees, but it puts extra effort into copying the graceful dance steps of Mr. Rime as practice.</t>
  </si>
  <si>
    <t>It looks for a Mr. Rime that’s a good dancer and carefully copies the Mr. Rime’s steps like an apprentice.</t>
  </si>
  <si>
    <t>Furretilla on hyvin hoikka rakenne. Hyökkäyksen kohteena se voi liukua sulavasti ahtaiden paikkojen läpi ja paeta. Lyhyistä raajoistaan ​​huolimatta tämä Pokémon on erittäin ketterä ja nopea.</t>
  </si>
  <si>
    <t>Known to turn up in bustling marketplaces now and again. It mimics people much as a child would, then watches how they react, eyes sparkling.</t>
  </si>
  <si>
    <t>Hoothoot</t>
  </si>
  <si>
    <t>It loves round white things. It carries an egg-shaped rock in imitation of CHANSEY.</t>
  </si>
  <si>
    <t>Pöllö-Pokémon</t>
  </si>
  <si>
    <t>Se seisoo aina yhdellä jalalla. Se vaihtaa jalkaa niin nopeasti, että liikettä on harvoin havaittavissa.</t>
  </si>
  <si>
    <t>It carries a round, egg-shaped rock in its belly pouch and gives the rock to its friends.</t>
  </si>
  <si>
    <t>Sillä on täydellinen ajantaju. Tapahtuipa mitä tahansa, se pysyy rytmissä kallistamalla päätään tarkasti tahdissa.</t>
  </si>
  <si>
    <t>It likes to carry around a small rock. It may wander around others’ feet and cause them to stumble.</t>
  </si>
  <si>
    <t>Se alkaa huhuilla samaan aikaan joka päivä. Jotkut valmentajat käyttävät niitä kellojen sijasta.</t>
  </si>
  <si>
    <t>It carefully carries a round, white rock that it thinks is an egg. It’s bothered by how curly its hair looks.</t>
  </si>
  <si>
    <t>HOOTHOOTilla on sisäinen elin, joka aistii ja seuraa maapallon pyörimistä. Tämän erityisen elimen avulla tämä POKéMON alkaa huutaa täsmälleen samaan aikaan joka päivä.</t>
  </si>
  <si>
    <t>It carries a round white rock in its belly pouch. If it gets along well with someone, it will sometimes give that person the rock.</t>
  </si>
  <si>
    <t>It’s too small to lay eggs yet. As a surrogate, it searches out round white stones.</t>
  </si>
  <si>
    <t>Sillä on sisäinen elin, joka aistii maapallon pyörimisen. Tämän erityisen elimen avulla HOOTHOOT alkaa huhuilla täsmälleen samaan aikaan joka päivä.</t>
  </si>
  <si>
    <t>Usually it’s a well-behaved Pokémon, but if you take its round rock away, it will cry and fuss and throw a big old tantrum.</t>
  </si>
  <si>
    <t>When it sees something round and white, Happiny puts it into the pouch on its stomach. It sometimes becomes overloaded and can’t move.</t>
  </si>
  <si>
    <t>Se seisoo aina yhdellä jalalla. Vaikka sitä vastaan ​​hyökättäisiin, se ei tue itseään molemmilla jaloilla.</t>
  </si>
  <si>
    <t>Mimicking Chansey, Happiny will place an egg- shaped stone in its belly pouch. Happiny will treasure this stone.</t>
  </si>
  <si>
    <t>Se vaihtaa seisoma-asentoa niin nopeasti, ettei sitä näe. Se itkee samaan aikaan joka päivä.</t>
  </si>
  <si>
    <t>Happiny’s willing to lend its precious round stone to those it’s friendly with, but if the stone isn’t returned, Happiny will cry and throw a tantrum.</t>
  </si>
  <si>
    <t>Se mittaa aikaa tarkasti. Joissakin maissa sitä pidetään viisaana ystävänä, joka tuntee maailman tavat.</t>
  </si>
  <si>
    <t>In imitation of Chansey, it keeps a round stone tucked into its belly pouch and cherishes it dearly. It gets along well with children and will sometimes play house with them for fun.</t>
  </si>
  <si>
    <t>It can learn and speak human words. If they gather, they all learn the same saying.</t>
  </si>
  <si>
    <t>It keeps rhythm by flicking its tail feathers like a metronome. It imitates human speech.</t>
  </si>
  <si>
    <t>Its tongue is just like a human’s. As a result, it can cleverly mimic human speech.</t>
  </si>
  <si>
    <t>It mimics the cries of other Pokémon to trick them into thinking it’s one of them. This way they won’t attack it.</t>
  </si>
  <si>
    <t>A versatile performer skilled in the imitation of human speech. It is said that older, more experienced Chatot can even understand the meaning of the words they mimic.</t>
  </si>
  <si>
    <t>A Pokémon that was formed by 108 spirits. It is bound to a fissure in an odd keystone.</t>
  </si>
  <si>
    <t>Hoothootilla on sisäinen elin, joka aistii ja seuraa maapallon pyörimistä. Tämän erityisen elimen avulla tämä Pokémon alkaa huutaa täsmälleen samaan aikaan joka päivä.</t>
  </si>
  <si>
    <t>It was bound to a fissure in an odd keystone as punishment for misdeeds 500 years ago.</t>
  </si>
  <si>
    <t>Its constant mischief and misdeeds resulted in it being bound to an Odd Keystone by a mysterious spell.</t>
  </si>
  <si>
    <t>Se kallistaa päätään joka päivä samaan rytmiin. Kauan sitten ihmiset kasvattivat näitä Pokémoneja kelloiksi.</t>
  </si>
  <si>
    <t>It was formed by uniting 108 spirits. It has been bound to the Odd Keystone to keep it from doing any mischief.</t>
  </si>
  <si>
    <t>Se huutaa samaan aikaan joka päivä. Kauan sitten ihmiset vaalivat sitä ja pitivät sitä jumalallisena sanansaattajana, joka lähetettiin kertomaan aika.</t>
  </si>
  <si>
    <t>Exactly 108 spirits gathered to become this Pokémon. Apparently there are some ill-natured spirits in the mix.</t>
  </si>
  <si>
    <t>All Spiritomb’s mischief and misdeeds compelled a traveler to use a mysterious spell to bind Spiritomb to an odd keystone.</t>
  </si>
  <si>
    <t>Se alkaa huhuilla samaan aikaan joka päivä. Jotkut kouluttajat käyttävät niitä kellojen sijasta.</t>
  </si>
  <si>
    <t>It lays curses by thinking wicked thoughts. Writings tell that this Pokémon was born out of the assembly of five score and eight malevolent spirits.</t>
  </si>
  <si>
    <t>Noctowl</t>
  </si>
  <si>
    <t>Sen silmät ovat erityisesti sopeutuneet. Ne keskittävät himmeänkin valon ja mahdollistavat sen näkemisen pimeässä.</t>
  </si>
  <si>
    <t>It nests in small, horizontal holes in cave walls. It pounces to catch prey that stray too close.</t>
  </si>
  <si>
    <t>It once lived in the tropics. To avoid the cold, it lives in caves warmed by geothermal heat.</t>
  </si>
  <si>
    <t>Kun sen täytyy ajatella, se kääntää päätään 180 astetta terävöittääkseen älyllisiä kykyjään.</t>
  </si>
  <si>
    <t>It attacks using its huge mouth. While its attacks are powerful, it hurts itself out of clumsiness, too.</t>
  </si>
  <si>
    <t>Sen erittäin pehmeät höyhenet eivät pidä ääntä lennon aikana. Se hiipii hiljaa saaliinsa luokse huomaamatta.</t>
  </si>
  <si>
    <t>It nests in horizontal holes warmed by geothermal heat. Foes who get too close can expect to be pounced on and bitten.</t>
  </si>
  <si>
    <t>It lives in caves warmed by geothermal heat. Even so, when the weather gets cold, it will huddle close with others of its kind.</t>
  </si>
  <si>
    <t>NOCTOWL ei koskaan epäonnistu saaliin nappaamisessa pimeässä. Tämä POKéMON on menestyksensä velkaa erinomaiselle näkökyvylleen, jonka ansiosta se näkee vähäisessä valossa, sekä pehmeille, taipuisille siivilleen, jotka eivät pidä ääntä lennon aikana.</t>
  </si>
  <si>
    <t>It skulks in caves, and when prey or an enemy passes by, it leaps out and chomps them. The force of its attack sometimes chips its teeth.</t>
  </si>
  <si>
    <t>It reacts to anything that moves—flies right at it and bites it. Sometimes it injures itself, but it doesn’t care too much.</t>
  </si>
  <si>
    <t>Se pyydystää saalista erehtymättä pimeydessä. NOCTOWL-suvun menestys perustuu niiden erinomaiseen näkökykyyn, jonka ansiosta ne näkevät vähässä valossa, sekä taipuisiin ja äänettömiin siivihinsä.</t>
  </si>
  <si>
    <t>Its original home is an area much hotter than Alola. If you’re planning to live with one, your heating bill will soar.</t>
  </si>
  <si>
    <t>Gible prefers to stay in narrow holes in the sides of caves heated by geothermal energy. This way, Gible can stay warm even during a blizzard.</t>
  </si>
  <si>
    <t>Sen silmät ovat erityiset. Ne pystyvät erottamaan esineitä, kunhan niitä on vähänkin valoa.</t>
  </si>
  <si>
    <t>Gible attacks anything that moves, and it drags whatever it catches into the crevice that is its lair. Despite the big mouth, Gible’s stomach is small.</t>
  </si>
  <si>
    <t>Jos se kääntää päänsä ylösalaisin, se on merkki siitä, että se ajattelee erittäin monimutkaisesti.</t>
  </si>
  <si>
    <t>It nests in caves untouched by sunlight. Its sharp teeth may fall out when worn away or after an impact, but they regrow within a few days.</t>
  </si>
  <si>
    <t>Sen silmät on kehitetty erityisesti, jotta se näkee selvästi jopa hämärässä ja vähäisessä valossa.</t>
  </si>
  <si>
    <t>There is a long-held belief that medicine made from its scales will heal even incurable illnesses.</t>
  </si>
  <si>
    <t>https://pokeapi.co/api/v2/pokemon-species/129/</t>
  </si>
  <si>
    <t>It habitually digs up and hoards gems in its nest. Its loot is constantly targeted by thieves.</t>
  </si>
  <si>
    <t>It loves sparkly things. It seeks treasures in caves and hoards the loot in its nest.</t>
  </si>
  <si>
    <t>As it digs to expand its nest, it habitually digs up gems that it then hoards in its nest.</t>
  </si>
  <si>
    <t>In rare cases, it molts and sheds its scales. Medicine containing its scales as an ingredient will make a weary body feel invigorated.</t>
  </si>
  <si>
    <t>Shiny objects are its passion. It can be found in its cave, scarcely moving, its gaze fixed on the jewels it’s amassed or Carbink it has caught.</t>
  </si>
  <si>
    <t>It loves shiny things. When it finds a Sableye trying to catch a Carbink, Gabite becomes furiously angry and attacks the Sableye.</t>
  </si>
  <si>
    <t>It sheds its skin and gradually grows larger. Its scales can be ground into a powder and used as raw materials for traditional medicine.</t>
  </si>
  <si>
    <t>This Pokémon emits ultrasonic waves from a protrusion on either side of its head to probe pitch-dark caves.</t>
  </si>
  <si>
    <t>Jewels are buried in the caves these Pokémon nest in, but you’ll be torn apart by claws and fangs the moment you enter one of these caves.</t>
  </si>
  <si>
    <t>Though Gabite are usually of a violent disposition, when I gave one a glass bead it had been eyeing covetously, it suddenly became quite docile.</t>
  </si>
  <si>
    <t>Yököykky ei koskaan epäonnistu saaliin nappaamisessa pimeässä. Tämä Pokémon on menestyksensä velkaa erinomaiselle näölleen, jonka ansiosta se näkee vähäisessä valossa, sekä pehmeille, taipuisille siivilleen, jotka eivät pidä ääntä lennon aikana.</t>
  </si>
  <si>
    <t>When it folds up its body and extends its wings, it looks like a jet plane. It flies at sonic speed.</t>
  </si>
  <si>
    <t>It flies at speeds equal to a jet fighter plane. It never allows its prey to escape.</t>
  </si>
  <si>
    <t>Sen silmät näkevät pilkkopimeässä, joten se ei koskaan päästä saalistaan ​​karkuun. Jotkut kutsuvat sitä jopa "pimeiden öiden keisariksi".</t>
  </si>
  <si>
    <t>It is said that when one runs at high speed, its wings create blades of wind that can fell nearby trees.</t>
  </si>
  <si>
    <t>Kun se kääntää päänsä kokonaan ylösalaisin, tiedät, että sitä vaivaa jokin. Jos et jätä sitä rauhaan, se nokkaa sinua.</t>
  </si>
  <si>
    <t>Its body is covered in fine scales that reduce drag, enabling it to fly at high speeds.</t>
  </si>
  <si>
    <t>It can fly at speeds rivaling jet planes. It dives into flocks of bird Pokémon and gulps the entire flock down whole.</t>
  </si>
  <si>
    <t>The protuberances on its head serve as sensors. It can even detect distant prey.</t>
  </si>
  <si>
    <t>It flies at the speed of sound while searching for prey, and it has midair battles with Salamence as the two compete for food.</t>
  </si>
  <si>
    <t>Its fine scales don’t just reduce wind resistance—their sharp edges also cause injury to any opponent who attacks it.</t>
  </si>
  <si>
    <t>Garchomp makes its home in volcanic mountains. It flies through the sky as fast as a jet airplane, hunting down as much prey as it can.</t>
  </si>
  <si>
    <t>Garchomp is fast both underground and above. It can bring down prey and return to its den before its body has chilled from being outside.</t>
  </si>
  <si>
    <t>Ledyba</t>
  </si>
  <si>
    <t>Viiden tähden Pokémon</t>
  </si>
  <si>
    <t>Soars across the heavens at blinding speed—a magnificent sight! It has a feral disposition. Utmost caution is required if one meets a Garchomp out in the wilds.</t>
  </si>
  <si>
    <t>Se on hyvin arka. Se pelkää liikkua yksin. Mutta se on aktiivinen ryhmässä.</t>
  </si>
  <si>
    <t>It wolfs down its weight in food once a day, swallowing food whole with almost no chewing.</t>
  </si>
  <si>
    <t>It hides food under its long body hair. However, it forgets it has hidden the food.</t>
  </si>
  <si>
    <t>Kun sää kylmenee, paljon LEDYBA-ryhmiä kokoontuu kaikkialta ryhmittymään ja pitämään toisiaan lämpiminä.</t>
  </si>
  <si>
    <t>In its desperation to gulp down food, it forgets about the food it has hidden under its fur.</t>
  </si>
  <si>
    <t>It conceals food under the long fur on its body. It carts around this food stash and swallows it without chewing.</t>
  </si>
  <si>
    <t>Se on arka ja kerääntyy muiden joukkoon. Sen jaloista erittyvä neste osoittaa sen sijainnin.</t>
  </si>
  <si>
    <t>It needs to consume its own weight in food every day. As far as flavor is concerned, it’s indifferent.</t>
  </si>
  <si>
    <t>LEDYBA erittää aromaattista nestettä kohdasta, josta sen jalat liittyvät kehoon. Tätä nestettä käytetään kommunikointiin muiden kanssa. Tämä POKéMON välittää tunteitaan muille muuttamalla nesteen tuoksua.</t>
  </si>
  <si>
    <t>When it finds something that looks like it might be edible, it goes right ahead and swallows it whole. That’s why it gets fatter day by day.</t>
  </si>
  <si>
    <t>It hides food under its long fur, but it sometimes forgets about it and causes a stinky disturbance.</t>
  </si>
  <si>
    <t>LEDYBA-käärmeet kommunikoivat nesteen avulla, jota ne erittävät jalkojen ja kehon liitoskohdasta. Niiden sanotaan välittävän tunteita muille muuttamalla nesteen tuoksua.</t>
  </si>
  <si>
    <t>Anything that looks edible, Munchlax will go on and swallow whole. Its stomach is tough enough to handle it even if the food has gone rotten.</t>
  </si>
  <si>
    <t>Kun sää kylmenee, lukuisat LEDYBA-olentojen jäsenet kokoontuvat kaikkialta ryhmittymään ja lämmittämään toisiaan.</t>
  </si>
  <si>
    <t>Stuffing itself with vast amounts of food is its only concern. Whether the food is rotten or fresh, yummy or tasteless—it does not care.</t>
  </si>
  <si>
    <t>It stores food beneath its fur. It might share just one bite, but only if it really trusts you.</t>
  </si>
  <si>
    <t>Its robust stomach allows it to nonchalantly devour even rotted matter. It pays frequent visits to villages, seeking out food scraps intended for compost.</t>
  </si>
  <si>
    <t>Se on niin arka, ettei se voi liikkua, ellei se ole muiden parven seurassa. Se ilmaisee tunteitaan hajulla.</t>
  </si>
  <si>
    <t>The aura that emanates from its body intensifies to alert others if it is afraid or sad.</t>
  </si>
  <si>
    <t>Its body is lithe yet powerful. It can crest three mountains and cross two canyons in one night.</t>
  </si>
  <si>
    <t>It has the peculiar power of being able to see emotions such as joy and rage in the form of waves.</t>
  </si>
  <si>
    <t>They communicate with one another using their auras. They are able to run all through the night.</t>
  </si>
  <si>
    <t>It uses the shapes of auras, which change according to emotion, to communicate with others.</t>
  </si>
  <si>
    <t>It can discern the physical and emotional states of people, Pokémon, and other natural things from the shape of their aura waves.</t>
  </si>
  <si>
    <t>It’s tough enough to run right through the night, and it’s also a hard worker, but it’s still just a youngster.</t>
  </si>
  <si>
    <t>It knows how people and Pokémon feel by looking at their auras. It doesn’t approach dangerous opponents.</t>
  </si>
  <si>
    <t>It uses waves called auras to communicate with others of its kind. It doesn’t make any noise during this time, so its enemies can’t detect it.</t>
  </si>
  <si>
    <t>It’s exceedingly energetic, with enough stamina to keep running all through the night. Taking it for walks can be a challenging experience.</t>
  </si>
  <si>
    <t>Kun sää kylmenee, paljon Ledyba-väkeä kokoontuu kaikkialta pitämään toisiaan lämpiminä.</t>
  </si>
  <si>
    <t>It can use waves called auras to gauge how others are feeling. These same waves can also tell this Pokémon about the state of the environment.</t>
  </si>
  <si>
    <t>Though infantile in appearance, it has the mysterious ability to read the minds of humans. The pure of heart are met with Riolu's approval, while those of ill nature earn only its loathing.</t>
  </si>
  <si>
    <t>Ledyba erittää aromaattista nestettä kohdasta, josta sen jalat liittyvät kehoon. Tätä nestettä käytetään kommunikointiin muiden kanssa. Tämä Pokémon välittää tunteitaan muille muuttamalla nesteen tuoksua.</t>
  </si>
  <si>
    <t>It has the ability to sense the auras of all things. It understands human speech.</t>
  </si>
  <si>
    <t>Ne ovat arkoja ja levottomia, jos ne eivät ole parvessa muiden lajitovereidensa kanssa. Niiden selkäkuvio vaihtelee hieman lajista toiseen.</t>
  </si>
  <si>
    <t>By catching the aura emanating from others, it can read their thoughts and movements.</t>
  </si>
  <si>
    <t>Ne kommunikoivat keskenään käyttämällä ruumiinnesteitä, jotka erittävät hajuja. Kun ne ovat vihaisia, niiden haju haisee happamalle.</t>
  </si>
  <si>
    <t>A well-trained one can sense auras to identify and take in the feelings of creatures over half a mile away.</t>
  </si>
  <si>
    <t>Tämä Pokémon on hyvin herkkä kylmälle. Alolan lämmössä se näyttää melko vilkkaalta.</t>
  </si>
  <si>
    <t>https://pokeapi.co/api/v2/pokemon-species/130/</t>
  </si>
  <si>
    <t>It’s said that no foe can remain invisible to LUCARIO, since it can detect auras. Even foes it could not otherwise see.</t>
  </si>
  <si>
    <t>Nämä hyvin pelkurimaiset Pokémonit liittyvät yhteen ja käyttävät Reflectiä suojellakseen pesäänsä.</t>
  </si>
  <si>
    <t>Ledian</t>
  </si>
  <si>
    <t>By reading the auras of all things, it can tell how others are feeling from over half a mile away.</t>
  </si>
  <si>
    <t>Kun tähdet välkkyvät yötaivaalla, se lepattaa ympäriinsä sirotellen hehkuvaa jauhetta.</t>
  </si>
  <si>
    <t>Sen selässä olevat tähtikuviot kasvavat suuremmiksi tai pienemmiksi riippuen yötaivaan tähtien määrästä.</t>
  </si>
  <si>
    <t>Not only does it perceive auras, but it has also gained the power to control them. It employs them in battle.</t>
  </si>
  <si>
    <t>Päivällä, kun tulee lämmin, se käpertyy suuren lehden sisään ja vaipuu syvään uneen.</t>
  </si>
  <si>
    <t>They can detect the species of a living being— and its emotions—from over half a mile away. They control auras and hunt their prey in packs.</t>
  </si>
  <si>
    <t>Sanotaan, että maissa, joissa on puhdas ilma ja tähtien täyttämä taivas, asuu lukemattomia määriä LEDIANEJA. Tähän on hyvä syy - POKéMONit käyttävät tähtien valoa energianaan.</t>
  </si>
  <si>
    <t>It concentrates its mental energy and fires off mysterious waves called auras, which can crush boulders of large size to dust.</t>
  </si>
  <si>
    <t>Lucario reads its opponent’s feelings with its aura waves. It finds out things it would rather not know, so it gets stressed out easily.</t>
  </si>
  <si>
    <t>Sanotaan, että maissa, joissa on puhdas ilma ja tähtien täyttämä taivas, asuu paljon LEDIALAISIA. Hyvästä syystä he käyttävät tähtien valoa energianaan.</t>
  </si>
  <si>
    <t>It controls waves known as auras, which are powerful enough to pulverize huge rocks. It uses these waves to take down its prey.</t>
  </si>
  <si>
    <t>It can tell what people are thinking. Only Trainers who have justice in their hearts can earn this Pokémon’s trust.</t>
  </si>
  <si>
    <t>A most gallant-looking creature. It emits energy waves and controls them with precision, using them to sense even faraway beings. I have given the name ”aura” to this power.</t>
  </si>
  <si>
    <t>It lives in arid places. Instead of perspiration, it expels grainy sand from its body.</t>
  </si>
  <si>
    <t>It enshrouds itself with sand to protect itself from germs. It does not enjoy getting wet.</t>
  </si>
  <si>
    <t>Se käyttää tähtien valoa energianaan. Kun yöllä ilmestyy lisää tähtiä, sen selässä olevat kuviot suurenevat.</t>
  </si>
  <si>
    <t>It shuts its nostrils tight then travels through sand as if walking. They form colonies of around ten.</t>
  </si>
  <si>
    <t>It shrouds itself in sand to ward off germs. It travels easily through the sands of the desert.</t>
  </si>
  <si>
    <t>It shuts its nostrils tight then travels through sand as if walking. They form colonies of around 10.</t>
  </si>
  <si>
    <t>It moves through the sands with its mouth open, swallowing sand along with its prey. It gets rid of the sand by spouting it from its nose.</t>
  </si>
  <si>
    <t>Sen selässä olevat täpläkuviot kasvavat suuremmiksi tai pienemmiksi riippuen yötaivaan tähtien määrästä.</t>
  </si>
  <si>
    <t>This Pokémon is active during the day and passes the cold desert nights burrowed snugly into the sand.</t>
  </si>
  <si>
    <t>Though large and languid, Hippopotas is difficult to detect due to its tendency to burrow into and lurk beneath the soil. When agitated or excited, it expels sand from its nostrils.</t>
  </si>
  <si>
    <t>It blasts internally stored sand from ports on its body to create a towering twister for attack.</t>
  </si>
  <si>
    <t>Its huge mouth is almost seven feet across. It has enough power to completely crush a car.</t>
  </si>
  <si>
    <t>It is surprisingly quick to anger. It holds its mouth agape as a display of its strength.</t>
  </si>
  <si>
    <t>It brandishes its gaping mouth in a display of fearsome strength. It raises vast quantities of sand while attacking.</t>
  </si>
  <si>
    <t>Stones can get stuck in the ports on their bodies. Dwebble help dislodge such stones, so Hippowdon look after these Pokémon.</t>
  </si>
  <si>
    <t>When roused to violence by its rage, it spews out the quantities of sand it has swallowed and whips up a sandstorm.</t>
  </si>
  <si>
    <t>Short-tempered and easily moved to violence. It whips up whirlwinds of sand to crush its foes' spirits, then goes in for the attack.</t>
  </si>
  <si>
    <t>Sanotaan, että maissa, joissa on puhdas ilma ja tähtien täyttämä taivas, asuu lukemattomia määriä ledialaisia. Tähän on hyvä syy – Pokémonit käyttävät tähtien valoa energianaan.</t>
  </si>
  <si>
    <t>It grips prey with its tail claws and injects poison. It tenaciously hangs on until the poison takes.</t>
  </si>
  <si>
    <t>It lives in arid lands. It buries itself in sand and lies in wait for unsuspecting prey.</t>
  </si>
  <si>
    <t>Vaikka uskotaan, että tähtien valo antaa sille energiaa, tämä Pokémon rakastaa myös marjojen syömistä. Päivällä se käpertyy ruohikkoon nukkumaan.</t>
  </si>
  <si>
    <t>As soon as the tail claws close, its needle tips secrete poison. It can survive a year without food.</t>
  </si>
  <si>
    <t>Taistelussa se lyö kaikilla neljällä kädellään. Kunkin yksittäisen iskun voima on mitätön, joten se pyrkii voittamaan määrän eikä laadun perusteella.</t>
  </si>
  <si>
    <t>It burrows under the sand to lie in wait for prey. Its tail claws can inject its prey with a savage poison.</t>
  </si>
  <si>
    <t>Sanotaan, että sen selän kuviot liittyvät yötaivaan tähtiin, mutta tämän suhteen yksityiskohdat ovat edelleen epäselviä.</t>
  </si>
  <si>
    <t>It lives in arid regions and can go without food for a year while waiting for prey.</t>
  </si>
  <si>
    <t>Se lentää yötaivaan halki ja sirottelee kimaltelevaa pölyä. Joidenkin mukaan jos tuo pöly tarttuu sinuun, sinulle tapahtuu hyviä asioita.</t>
  </si>
  <si>
    <t>Spinarak</t>
  </si>
  <si>
    <t>Narusylkeä-Pokémon</t>
  </si>
  <si>
    <t>After burrowing into the sand, it waits patiently for prey to come near. This Pokémon and Sizzlipede share common descent.</t>
  </si>
  <si>
    <t>Se makaa päiväkausia samassa asennossa verkossaan odottaen tietämättömän saaliinsa vaeltavan lähelle.</t>
  </si>
  <si>
    <t>Se kutoo verkkoa ohuesta – mutta kestävästä – langasta. Sitten se odottaa kärsivällisesti saaliinsa pyydystämistä.</t>
  </si>
  <si>
    <t>It attacks using the claws on its tail. Once locked in its grip, its prey is unable to move as this Pokémon’s poison seeps in.</t>
  </si>
  <si>
    <t>Jos saalis jää kiinni kehrätystä narusta tehtyyn pesäänsä, se odottaa liikkumatta, kunnes tulee pimeää.</t>
  </si>
  <si>
    <t>Its claws are not only razor-sharp but poisonous, making Skorupi a highly dangerous Pokémon. It seems to be weakened by cold temperatures, however.</t>
  </si>
  <si>
    <t>SPINARAKin kehräämää verkkoa voidaan pitää sen toisena hermostona. Sanotaan, että tämä POKéMON pystyy päättelemään, millainen saalis koskettaa sen verkkoa, pelkästään niiden pienten värähtelyjen perusteella, joita se tuntee verkon säikeiden läpi.</t>
  </si>
  <si>
    <t>It has the power in its clawed arms to make scrap of a car. The tips of its claws release poison.</t>
  </si>
  <si>
    <t>Sen kehräämää verkkoa voidaan pitää sen toisena hermostona. Sanotaan, että SPINARAK tunnistaa saaliinsa verkon läpi tuntemiensa pienten värähtelyjen perusteella.</t>
  </si>
  <si>
    <t>Its body is encased in a sturdy shell. Its head rotates 180 degrees, eliminating blind spots.</t>
  </si>
  <si>
    <t>Se kutoo verkkoa ohuesta mutta kestävästä langasta. Sitten se odottaa kärsivällisesti saaliinsa pyydystämistä.</t>
  </si>
  <si>
    <t>Possessing a sturdy build, it takes pride in its strength, taking down foes without using toxins.</t>
  </si>
  <si>
    <t>It attacks people and Pokémon that cross the desert. This has only furthered its bad reputation.</t>
  </si>
  <si>
    <t>Se virittää ansan kehrämällä ohuesta mutta vahvasta silkistä tehdyn verkon. Se odottaa liikkumatta saalista.</t>
  </si>
  <si>
    <t>It takes pride in its strength. Even though it can tear foes apart, it finishes them off with powerful poison.</t>
  </si>
  <si>
    <t>Its poison is potent, but it rarely sees use. This Pokémon prefers to use physical force instead, going on rampages with its car-crushing strength.</t>
  </si>
  <si>
    <t>It’s so vicious that it’s called the Sand Demon. Yet when confronted by Hippowdon, Drapion keeps a low profile and will never pick a fight.</t>
  </si>
  <si>
    <t>Has a brutish, ferocious temperament. With immense strength and a sturdy shell off which swords will bounce, it rampages about and wreaks havoc.</t>
  </si>
  <si>
    <t>Its cheeks hold poison sacs. It tries to catch foes off guard to jab them with toxic fingers.</t>
  </si>
  <si>
    <t>Inflating its poison sacs, it makes an eerie blubbering sound for intimidation.</t>
  </si>
  <si>
    <t>It rarely fights fairly, but that is strictly to ensure survival. It is popular as a mascot.</t>
  </si>
  <si>
    <t>Fluid squeezed from its finger, albeit poisonous, is a significant ingredient in remedies for lower-back pain.</t>
  </si>
  <si>
    <t>Fluid squeezed from its finger, albeit poisonous, is a significant ingredient in remedies for lower back pain.</t>
  </si>
  <si>
    <t>Inflating its poison sacs, it fills the area with an odd sound and hits flinching opponents with a poison jab.</t>
  </si>
  <si>
    <t>It makes frightening noises with its poison-filled cheek sacs. When opponents flinch, Croagunk hits them with a poison jab.</t>
  </si>
  <si>
    <t>Once diluted, its poison becomes medicinal. This Pokémon came into popularity after a pharmaceutical company chose it as a mascot.</t>
  </si>
  <si>
    <t>A poison wielder with a dastardly personality. Despite such qualities, this species is afforded a measure of popularity due to its peculiar cry and comical features.</t>
  </si>
  <si>
    <t>Its knuckle claws secrete a toxin so vile that even a scratch could prove fatal.</t>
  </si>
  <si>
    <t>https://pokeapi.co/api/v2/pokemon-species/131/</t>
  </si>
  <si>
    <t>The toxin made in its poison sacs is pumped to the knuckle claws through tubes down its arms.</t>
  </si>
  <si>
    <t>Spinarakin kehräämää verkkoa voidaan pitää sen toisena hermostona. Sanotaan, että tämä Pokémon pystyy päättelemään, millainen saalis koskettaa sen verkkoa, pelkästään niiden pienten värähtelyjen perusteella, joita se tuntee verkon säikeiden läpi.</t>
  </si>
  <si>
    <t>It has a poison sac at its throat. When it croaks, the stored poison is churned for greater potency.</t>
  </si>
  <si>
    <t>Swaying and dodging the attacks of its foes, it weaves its flexible body in close, then lunges out with its poisonous claws.</t>
  </si>
  <si>
    <t>The croaking that Toxicroak produces before a battle is for churning the poison it has stored in its poison sac.</t>
  </si>
  <si>
    <t>Se odottaa tarkkaavaisesti, kunnes sen suosikkisaalis, Cutiefly, jää kiinni sen verkkoon. Itse asiassa se on melko kärsivällinen Pokémon.</t>
  </si>
  <si>
    <t>It bounces toward opponents and gouges them with poisonous claws. No more than a scratch is needed to knock out its adversaries.</t>
  </si>
  <si>
    <t>Jotkut kalastajat kutovat sen tukevaa lankaa verkkoihin pyydystääkseen Pokémoneja.</t>
  </si>
  <si>
    <t>It booms out a victory croak when its prey goes down in defeat. This Pokémon and Seismitoad are related species.</t>
  </si>
  <si>
    <t>Suustaan ​​lähtevillä langoilla se muodostaa tukevia verkkoja, jotka eivät katkea, vaikka niiden päälle laittaisi kiven.</t>
  </si>
  <si>
    <t>Its crimson claws contain a virulent toxin. This toxin can be made into a tonic by diluting it, mixing it with several types of wild grass, and boiling it down over two days.</t>
  </si>
  <si>
    <t>It attracts prey with its sweet- smelling saliva, then chomps down. It takes a whole day to eat prey.</t>
  </si>
  <si>
    <t>Vaikka sen hampaiden myrkky ei ole kovin vahvaa, se on riittävän tehokas heikentämään sen verkkoon jäävää saalista.</t>
  </si>
  <si>
    <t>Ariados</t>
  </si>
  <si>
    <t>Hanging from branches using its tentacles, it looks like a plant. It awaits prey, mouth wide open.</t>
  </si>
  <si>
    <t>Pitkäjalka-Pokémon</t>
  </si>
  <si>
    <t>Se kehrää narua paitsi takapuolestaan ​​myös suustaan. On vaikea sanoa, kumpi pää on kumpi.</t>
  </si>
  <si>
    <t>It binds itself to trees in marshes. It attracts prey with its sweet- smelling drool and gulps them down.</t>
  </si>
  <si>
    <t>It walks around on its tentacles in search of a tree branch where it can dangle down and ambush prey.</t>
  </si>
  <si>
    <t>Yksittäinen säie erityistä narua pyörii loputtomasti sen takaosasta. Naru johtaa takaisin pesäänsä.</t>
  </si>
  <si>
    <t>Using its tentacles to lash itself to trees, it lies in wait for prey, luring it close with sweet-smelling drool.</t>
  </si>
  <si>
    <t>Sen sijaan, että se tekisi pesän yhteen tiettyyn paikkaan, se vaeltaa pimeän laskeuduttua etsimässä ruokaa.</t>
  </si>
  <si>
    <t>It attracts prey with its sweet-smelling saliva, then chomps down. It takes a whole day to eat prey.</t>
  </si>
  <si>
    <t>It binds itself to trees in marshes. It attracts prey with its sweet-smelling drool and gulps them down.</t>
  </si>
  <si>
    <t>ARIADOSin jaloissa on pienet koukkuiset kynnet, joiden avulla se voi kiivetä katoissa ja pystysuorilla seinillä. Tämä POKéMON kuristaa vihollisen ohuella ja vahvalla silkkiverkolla.</t>
  </si>
  <si>
    <t>Though this is a plant Pokémon, it has a gluttonous and unruly temperament. Carnivine attacks its prey with its cavernous maw wide open.</t>
  </si>
  <si>
    <t>Sen jalkojen kärjissä on pienet koukkuiset kynnet, joiden avulla se voi kiivetä katoissa ja pystysuorilla seinillä. Se kuristaa vihollistaan ​​ohuilla ja vahvoilla silkkiverkoilla.</t>
  </si>
  <si>
    <t>After long exposure to sunlight, the patterns on its tail fins shine vividly when darkness arrives.</t>
  </si>
  <si>
    <t>The way its two tail fins flutter while it swims has earned it the nickname “BEAUTIFLY of the Sea.”</t>
  </si>
  <si>
    <t>The line running down its side can store sunlight. It shines vividly at night.</t>
  </si>
  <si>
    <t>Swimming and fluttering its two tail fins, it looks like a BEAUTIFLY. At night, the patterns on its tail fins softly shine.</t>
  </si>
  <si>
    <t>It absorbs sunlight with the pink areas of its skin, which then shine. This appears to be a form of camouflage.</t>
  </si>
  <si>
    <t>Se kiinnittää silkkiä saaliiseensa ja päästää sen vapaaksi. Myöhemmin se jäljittää silkin saaliinsa ja sen ystävien luo.</t>
  </si>
  <si>
    <t>Its double tail fins propel its energetic jumps. When it breaks the surface of the sea, Wingull swoop down to grab it on the fly.</t>
  </si>
  <si>
    <t>When night falls, their pink patterns begin to shine. They’re popular with divers, so there are resorts that feed them to keep them close.</t>
  </si>
  <si>
    <t>It lures in prey with its shining tail fins. It stays near the surface during the day and moves to the depths when night falls.</t>
  </si>
  <si>
    <t>What a gorgeous sight this Pokémon is as it swims with its long, pink-painted caudal fins fluttering behind it. Finneon's beautiful appearance has led to its nickname: ”finery fish.”</t>
  </si>
  <si>
    <t>It lives on the deep-sea floor. It attracts prey by flashing the patterns on its four tail fins.</t>
  </si>
  <si>
    <t>To avoid detection by predators, it crawls along the seafloor using the two fins on its chest.</t>
  </si>
  <si>
    <t>It crawls along the seafloor using its long front fins like legs. It competes for food with LANTURN.</t>
  </si>
  <si>
    <t>Se pyörittää narua paitsi takapuolestaan ​​myös suustaan. On vaikea sanoa, kumpi pää on kumpi.</t>
  </si>
  <si>
    <t>LUMINEON swimming in the darkness of the deep sea look like stars shining in the night sky.</t>
  </si>
  <si>
    <t>It crawls along the seafloor using its long front fins like legs. It competes for food with Lanturn.</t>
  </si>
  <si>
    <t>With its shining light, it lures its prey close. However, the light also happens to attract ferocious fish Pokémon—its natural predators.</t>
  </si>
  <si>
    <t>This deep-sea Pokémon lives at the bottom of the sea. Its fins haul it over the seabed in search of its favorite food—Starmie.</t>
  </si>
  <si>
    <t>Deep down at the bottom of the ocean, prey is scarce. Lumineon get into fierce disputes with Lanturn over food.</t>
  </si>
  <si>
    <t>They traverse the deep waters as if crawling over the seafloor. The fantastic lights of its fins shine like stars in the night sky.</t>
  </si>
  <si>
    <t>Uses its gleaming fins to hunt its prey. The view of Lumineon schooling near the surface of the sea at night is breathtaking— it's as though there were shining stars right there.</t>
  </si>
  <si>
    <t>A friendly Pokémon that captures the subtle flows of seawater using its two antennae.</t>
  </si>
  <si>
    <t>Scientists discovered that the distinctive patterns on its back differ by region.</t>
  </si>
  <si>
    <t>People organize tours to see this Pokémon frolic and skim the tops of waves with REMORAID.</t>
  </si>
  <si>
    <t>When it swims close to the surface of the ocean, people aboard ships are able to observe the pattern on its back.</t>
  </si>
  <si>
    <t>People organize tours to see this Pokémon frolic and skim the tops of waves with Remoraid.</t>
  </si>
  <si>
    <t>The pattern on its back varies by region. It often swims in a school of Remoraid.</t>
  </si>
  <si>
    <t>Ariadosin jaloissa on pienet koukkuiset kynnet, joiden avulla se voi kiivetä katoissa ja pystysuorilla seinillä. Tämä Pokémon kuristaa vihollisen ohuilla ja vahvoilla silkkiverkoilla.</t>
  </si>
  <si>
    <t>It’s highly friendly and easily tamed. Tours that take people swimming with Mantyke are a super-popular beach activity.</t>
  </si>
  <si>
    <t>https://pokeapi.co/api/v2/pokemon-species/132/</t>
  </si>
  <si>
    <t>Joillakin alueilla ihmiset käyttävät Ariadosin kehräämää narua omaan kutomiseen. Tuloksena oleva kangas on suosittua kestävyytensä ansiosta.</t>
  </si>
  <si>
    <t>Mantyke are friendly toward people and will approach boats closely. The patterns on their backs differ depending on their habitat.</t>
  </si>
  <si>
    <t>Se kehrää lankaa sekä takapuolestaan ​​että suustaan. Sitten se käärii saaliinsa lankaan ja siemailee sen ruumiinnesteitä kaikessa rauhassa.</t>
  </si>
  <si>
    <t>Mantyke living in Galar seem to be somewhat sluggish. The colder waters of the seas in this region may be the cause.</t>
  </si>
  <si>
    <t>Joka yö se vaeltelee ympäriinsä etsien saalista, jonka liikkeitä se hillitsee oksentamalla lankoja ennen kuin puree niitä hampaillaan.</t>
  </si>
  <si>
    <t>It swims along with a school of Remoraid, and they’ll all fight together to repel attackers.</t>
  </si>
  <si>
    <t>Se sylkee suustaan ​​lankoja saalistaakseen. Yön laskeutuessa se jättää verkkonsa ja lähtee aggressiivisesti metsästämään.</t>
  </si>
  <si>
    <t>Crobat</t>
  </si>
  <si>
    <t>Though ball-like in shape, this Pokémon is a proficient swimmer. I have discovered that if a Mantyke spends much time with schools of Remoraid, it will eventually achieve evolution.</t>
  </si>
  <si>
    <t>Se lentää niin hiljaa pimeyden läpi neljällä siivellään, ettei sitä ehkä huomaa edes lähellä ollessaan.</t>
  </si>
  <si>
    <t>It lives on snowy mountains. Having had little contact with humans, it is boldly inquisitive.</t>
  </si>
  <si>
    <t>Jalkojen siipien kehitys mahdollistaa nopean lentämisen, mutta tekee myös pysähtymisen ja lepäämisen vaikeaksi.</t>
  </si>
  <si>
    <t>In the spring, it grows berries with the texture of frozen treats around its belly.</t>
  </si>
  <si>
    <t>Pyrkimyksenään lentää nopeammin mutta hiljaisemmin, sen takajalkoihin kasvoi uudet siivet.</t>
  </si>
  <si>
    <t>Seemingly curious about people, they gather around footsteps they find on snowy mountains.</t>
  </si>
  <si>
    <t>Jos tämä POKéMON lentää räpyttelemällä vain siipiparia joko etu- tai takajaloillaan, se on todiste siitä, että CROBAT on lentänyt pitkän matkan. Se vaihtaa siipiään, jos se on väsynyt.</t>
  </si>
  <si>
    <t>KROBATT hiipii saaliinsa luo tuskin ääntä pitävillä siipillään. Tämä POKéMON lepää roikkuen puun oksalla takajalat toimivat siipinä.</t>
  </si>
  <si>
    <t>During cold seasons, it migrates to the mountain’s lower reaches. It returns to the snow-covered summit in the spring.</t>
  </si>
  <si>
    <t>Evoluution aikana sen takajalat muuttuivat siiviksi. Lepuuttamalla vuorotellen etu- ja takasiipiä se voi lentää koko päivän pysähtymättä.</t>
  </si>
  <si>
    <t>It lives on snowy mountains. It sinks its legs into the snow to absorb water and keep its own temperature down.</t>
  </si>
  <si>
    <t>The berries that grow around its belly are like ice pops. Galarian Darumaka absolutely love these berries.</t>
  </si>
  <si>
    <t>Se lentää niin äänettömästi pimeyden läpi neljällä siivellään, ettei sitä ehkä huomaa edes lähellä ollessaan.</t>
  </si>
  <si>
    <t>Neljän siiven ansiosta se lentää nopeammin ja hiljaisemmin. Se aktivoituu yön laskeutuessa.</t>
  </si>
  <si>
    <t>Pokémon, jonka lento-ominaisuudet paranivat huomattavasti muuttamalla sen jalat siiviksi.</t>
  </si>
  <si>
    <t>One is likely to encounter this Pokémon while out in the snow. There are stories of Snover appearing in human settlements but doing no harm—rather, they bond with the children.</t>
  </si>
  <si>
    <t>Jalkojen muuttuminen siiviksi teki siitä paremman lentämisen, mutta kömpelömmän kävelyn.</t>
  </si>
  <si>
    <t>It whips up blizzards in mountains that are always buried in snow. It is the abominable snowman.</t>
  </si>
  <si>
    <t>It blankets wide areas in snow by whipping up blizzards. It is also known as “The Ice Monster.”</t>
  </si>
  <si>
    <t>They appear when the snow flowers bloom. When the petals fall, they retreat to places unknown again.</t>
  </si>
  <si>
    <t>It lives a quiet life on mountains that are perpetually covered in snow. It hides itself by whipping up blizzards.</t>
  </si>
  <si>
    <t>Neljän siiven ansiosta se voi lentää nopeammin ja hiljaisemmin, joten se voi hiipiä saaliinsa kimppuun huomaamattaan.</t>
  </si>
  <si>
    <t>If it sees any packs of Darumaka going after Snover, it chases them off, swinging its sizable arms like hammers.</t>
  </si>
  <si>
    <t>This Pokémon is known to bring blizzards. A shake of its massive body is enough to cause whiteout conditions.</t>
  </si>
  <si>
    <t>A powerful Pokémon that can split huge boulders with ease. Dislikes associating with others and chooses to live quietly deep within the mountains, playing with the snow.</t>
  </si>
  <si>
    <t>Jos tämä Pokémon lentää räpyttelemällä vain siipiparia joko etu- tai takajaloillaan, se on todiste siitä, että Crobat on lentänyt pitkän matkan. Se vaihtaa siipiään, jos se on väsynyt.</t>
  </si>
  <si>
    <t>They live in cold regions, forming groups of four or five that hunt prey with impressive coordination.</t>
  </si>
  <si>
    <t>Krobatti hiipii saaliinsa luo käyttäen siipiä, jotka tuskin pitävät ääntä. Tämä Pokémon lepää roikkuen puun oksalla takajalkojensa toimiessa siipinä.</t>
  </si>
  <si>
    <t>It sends signals to others by carving odd patterns in frost- covered trees and ice.</t>
  </si>
  <si>
    <t>Sen molemmat jalat muuttuivat siiviksi, minkä seurauksena se ei pysty liikkumaan hyvin maassa. Se pystyy vain ryömiä ympäriinsä.</t>
  </si>
  <si>
    <t>Evolution made it even more devious. It communicates by clawing signs in boulders.</t>
  </si>
  <si>
    <t>Hiljaisena ja nopeana nelisiipisellä lennossaan se puree saalistaan ​​ennen kuin ne tajuavat, mitä tapahtuu. Sydämenlyönnissä se imee niiden veret.</t>
  </si>
  <si>
    <t>It lives in snowy regions. It carves patterns in trees with its claws as a signal to others.</t>
  </si>
  <si>
    <t>They communicate by clawing signs in boulders and work together to surround enemies.</t>
  </si>
  <si>
    <t>They travel in groups of four or five, leaving signs for one another on trees and rocks. They bring down their prey with coordinated attacks.</t>
  </si>
  <si>
    <t>Sen torahampaat ovat niin terävät, että jos se puree sinua pimeässä ja imee vertasi, et huomaa kipua etkä tajua tulleensa purruksi.</t>
  </si>
  <si>
    <t>They dwell in cold places. This Pokémon’s main food source in Alola is Vulpix and Sandshrew, which they carefully divide among their group.</t>
  </si>
  <si>
    <t>Se syö elävien ihmisten ja Pokémonien verta. Jos se ei pysty juomaan verta edes hetkeen, siitä tulee heikko eikä se pysty lentämään.</t>
  </si>
  <si>
    <t>One Weavile will trip a Sandshrew and flip it over, and then another Weavile will deal the finishing blow with its sharp claws.</t>
  </si>
  <si>
    <t>Sen molemmat jalat ovat muuttuneet siiviksi. Äänettömästi Crobat lentää nopeasti saalistaan ​​kohti ja upottaa kulmahampaansa kohteensa niskaan.</t>
  </si>
  <si>
    <t>Thanks to its increased intelligence, scrapping over food is a thing of the past. A scratch from its claws will give you a case of frostbite!</t>
  </si>
  <si>
    <t>Tämä Pokémon räpyttelee taitavasti neljää siipeään. Crobat voi lentää ahtaiden luolien läpi hidastamatta.</t>
  </si>
  <si>
    <t>They attack their quarry in packs. Prey as large as Mamoswine easily fall to the teamwork of a group of Weavile.</t>
  </si>
  <si>
    <t>Sen takaraajat ovat muuttuneet toisiksi siipiksi. Crobat ohjaa taitavasti neljää siipeään syöksyäkseen upealla tavalla ahtaimmissakin luolissa menettämättä nopeuttaan.</t>
  </si>
  <si>
    <t>With its claws, it leaves behind signs for its friends to find. The number of distinct signs is said to be over 500.</t>
  </si>
  <si>
    <t>Chinchou</t>
  </si>
  <si>
    <t>Kalastaja-Pokémon</t>
  </si>
  <si>
    <t>Se ampuu positiivista ja negatiivista sähköä kahden antenninsa kärkien väliin ja tuhoaa vihollisensa.</t>
  </si>
  <si>
    <t>Pimeällä merenpohjalla sen ainoa kommunikointikeino ovat jatkuvasti vilkkuvat valot.</t>
  </si>
  <si>
    <t>https://pokeapi.co/api/v2/pokemon-species/133/</t>
  </si>
  <si>
    <t>This species corners prey as a pack, under the guidance of a leader. Weavile displays increased cunning, leading me to speculate that its evolution caused further brain development.</t>
  </si>
  <si>
    <t>Sen evästä kehittyneissä tuntosarvissa kulkee sekä positiivisia että negatiivisia varauksia.</t>
  </si>
  <si>
    <t>It evolved from exposure to a special magnetic field. Three units generate magnetism.</t>
  </si>
  <si>
    <t>CHINCHOU vapauttaa positiivisia ja negatiivisia sähkövarauksia kahdesta antennistaan, mikä pyörryttää saalistaan. Tämä POKéMON väläyttää sähkövalojaan vaihtaakseen signaaleja muiden POKéMONien kanssa.</t>
  </si>
  <si>
    <t>A group tried to use scientific means to make MAGNEZONE evolve, but their efforts ended in failure.</t>
  </si>
  <si>
    <t>Exposure to a special magnetic field changed MAGNETON’s molecular structure, turning it into MAGNEZONE.</t>
  </si>
  <si>
    <t>CHINCHOUn kaksi antennia on täynnä kennoja, jotka tuottavat voimakasta sähköä. Tämän POKéMONin kennot tuottavat niin paljon sähköenergiaa, että se jopa kihelmöi hieman.</t>
  </si>
  <si>
    <t>A group tried to use scientific means to make Magnezone evolve, but their efforts ended in failure.</t>
  </si>
  <si>
    <t>Kun se aistii vaaran, se purkaa positiivista ja negatiivista sähköä kahdesta antennistaan. Se elää syvyyksissä, joihin auringonvalo ei pääse.</t>
  </si>
  <si>
    <t>Sometimes the magnetism emitted by Magnezone is too strong, making them attract each other so they cannot move.</t>
  </si>
  <si>
    <t>Three units generate magnetism. There have been many mistaken reports of UFO sightings when Magnezone flies through the night sky.</t>
  </si>
  <si>
    <t>Se purkaa positiivista ja negatiivista sähköä antennikärjistään antaakseen sähköiskuja vihollisilleen.</t>
  </si>
  <si>
    <t>As it zooms through the sky, this Pokémon seems to be receiving signals of unknown origin, while transmitting signals of unknown purpose.</t>
  </si>
  <si>
    <t>It uses radar to monitor its territory. Intruders are quickly disposed of with a hyper beam.</t>
  </si>
  <si>
    <t>There are still people who believe that this Pokémon came from outer space. It emanates a powerful magnetic field.</t>
  </si>
  <si>
    <t>Some say that Magnezone receives signals from space via the antenna on its head and that it’s being controlled by some mysterious being.</t>
  </si>
  <si>
    <t>It’s thought that a special magnetic field changed the molecular structure of this Pokémon’s body, and that’s what caused the Pokémon’s evolution.</t>
  </si>
  <si>
    <t>I theorize that a special magnetic field influenced this Pokémon, changing its molecular structure and causing it to evolve. It emits strange radio waves toward space from its antenna.</t>
  </si>
  <si>
    <t>It wraps things with its extensible tongue. Getting too close to it will leave you soaked with drool.</t>
  </si>
  <si>
    <t>The long tongue is always soggy with slobber. The saliva contains a solvent that causes numbness.</t>
  </si>
  <si>
    <t>Its saliva can decompose anything. It wraps its long tongue around things to coat them with its sticky saliva.</t>
  </si>
  <si>
    <t>It has space in its throat to store saliva. It can also roll up its tongue and store it in the same spot.</t>
  </si>
  <si>
    <t>Their saliva contains lots of components that can dissolve anything. The numbness caused by their lick does not dissipate.</t>
  </si>
  <si>
    <t>A contest is under way to determine which one can stick its tongue out the farthest. The current record is...more than 82 feet.</t>
  </si>
  <si>
    <t>It uses its tongue much more skillfully than its hands or its feet. It can deftly pick up a single small bean with its tongue.</t>
  </si>
  <si>
    <t>Lickilicky’s strange tongue can stretch to many times the length of its body. No one has figured out how Lickilicky’s tongue can stretch so far.</t>
  </si>
  <si>
    <t>Chinchou päästää positiivisia ja negatiivisia sähkövarauksia kahdesta antennistaan ​​pyörryttääkseen saaliinsa. Tämä Pokémon väläyttää sähkövalojaan vaihtaakseen signaaleja muiden Pokémonien kanssa.</t>
  </si>
  <si>
    <t>Chinchoun kaksi antennia on täynnä soluja, jotka tuottavat voimakasta sähköä. Tämän Pokémonin solut tuottavat niin paljon sähköenergiaa, että se jopa saa itsensä kihelmöimään hieman.</t>
  </si>
  <si>
    <t>Lickilicky can do just about anything with its tongue, which is as dexterous as the human hand. In contrast, Lickilicky’s use of its fingers is clumsy.</t>
  </si>
  <si>
    <t>Sen kaksi tuntosarvia olivat alun perin eviä. Se purkaa sähköä tainnuttaakseen saaliinsa ennen hyökkäystä.</t>
  </si>
  <si>
    <t>Its tongue can extend and contract freely, and it is capable of reaching lengths over 10 times Lickilicky's height. Beware of the saliva, as it contains corrosive elements.</t>
  </si>
  <si>
    <t>Se elää syvyyksissä auringonvalon ulottumattomissa. Se väläyttää valoja tuntosarvissaan kommunikoidakseen muiden kaltaistensa kanssa.</t>
  </si>
  <si>
    <t>Sen kaksi tuntosarvea hohtavat pehmeästi houkutellakseen saalista, mikä tekee siitä hyödyllisen Pokémonin yökalastukseen.</t>
  </si>
  <si>
    <t>It puts rocks in holes in its palms and uses its muscles to shoot them. GEODUDE are shot at rare times.</t>
  </si>
  <si>
    <t>Chinchout räpyttelevät kiiltäviä tuntosarviaan toisilleen vallatakseen oman reviirinsä.</t>
  </si>
  <si>
    <t>It can launch a rock held in its hand like a missile by tightening then expanding muscles instantly.</t>
  </si>
  <si>
    <t>Sen evästä kehittyneissä tuntosarvissa virtaa sekä positiivisia että negatiivisia varauksia.</t>
  </si>
  <si>
    <t>From holes in its palms, it fires out GEODUDE. Its carapace can withstand volcanic eruptions.</t>
  </si>
  <si>
    <t>Lanturn</t>
  </si>
  <si>
    <t>Valo-Pokémon</t>
  </si>
  <si>
    <t>Sen lähettämä valo on niin kirkasta, että se voi valaista merenpinnan yli viiden kilometrin syvyydestä.</t>
  </si>
  <si>
    <t>From holes in its palms, it fires out Geodude. Its carapace can withstand volcanic eruptions.</t>
  </si>
  <si>
    <t>Se sokaisee saaliin voimakkaalla valonpurkauksella ja nielee sitten liikkumattoman saaliin yhdellä kulauksella.</t>
  </si>
  <si>
    <t>It puts rocks in holes in its palms and uses its muscles to shoot them. Geodude are shot at rare times.</t>
  </si>
  <si>
    <t>Tämä POKéMON käyttää ruumiinsa kirkasta osaa, joka on muuttunut selkäevästä, houkutellakseen saalista.</t>
  </si>
  <si>
    <t>It can load up to three projectiles per arm into the holes in its hands. What launches out of those holes could be either rocks or Roggenrola.</t>
  </si>
  <si>
    <t>LANTURNia kutsutaan lempinimellä "syvänmeren tähti" sen valaistun antennin mukaan. Tämä POKéMON tuottaa valoa aiheuttamalla kemiallisen reaktion bakteerien ja niiden ruumiinnesteiden välillä antennin sisällä.</t>
  </si>
  <si>
    <t>It relies on its carapace to deflect incoming attacks and throw its enemy off balance. As soon as that happens, it drives its drill into the foe.</t>
  </si>
  <si>
    <t>LANTURNin tiedetään säteilevän valoa. Jos katsot yöllä laivasta alas pimeään mereen, voit joskus nähdä tämän POKéMONin valon nousevan syvyyksistä, joissa se ui. Se antaa merelle tähtitaivaan yön vaikutelman.</t>
  </si>
  <si>
    <t>This Pokémon evolved through use of a curious item. Its rocklike hide is composed of a mysterious substance and can withstand a blow from a masterwork sword with nary a scratch.</t>
  </si>
  <si>
    <t>Sen selässä olevat valoa emittoivat pallot ovat erittäin kirkkaita. Ne muodostuvat osasta sen selkäevää. Tämä POKéMON valaisee syvänmeren musteen pimeyttä.</t>
  </si>
  <si>
    <t>It ensnares prey by extending arms made of vines. Losing arms to predators does not trouble it.</t>
  </si>
  <si>
    <t>Its arms are made of plants that bind themselves to things. They grow back right away if cut.</t>
  </si>
  <si>
    <t>When it remains still, it appears to be a large shrub. Unsuspecting prey that wander near get ensnared by its vines.</t>
  </si>
  <si>
    <t>LANTURNin valo voi loistaa suurista syvyyksistä. Se on saanut lempinimen "Syvänmeren tähti".</t>
  </si>
  <si>
    <t>Its vines grow so profusely that, in the warm season, you can’t even see its eyes.</t>
  </si>
  <si>
    <t>Even if one of its arms is eaten, it’s fine. The Pokémon regenerates quickly and will go right back to normal.</t>
  </si>
  <si>
    <t>Tangrowth has two arms that it can extend as it pleases. Recent research has shown that these arms are, in fact, bundles of vines.</t>
  </si>
  <si>
    <t>Vine growth is accelerated for Tangrowth living in warm climates. If the vines grow long, Tangrowth shortens them by tearing parts of them off.</t>
  </si>
  <si>
    <t>Draped with long vines, it resembles a shrub in appearance. It swings bundles of vines as though they were arms, wrapping them around prey to ensnare them.</t>
  </si>
  <si>
    <t>Se sokaisee saaliinsa voimakkaalla valonvälähdyksellä. Kun saalis on toimintakyvytön, Pokémon nielee sen yhdellä kulauksella.</t>
  </si>
  <si>
    <t>It pushes the tips of its two tails against the foe, then lets loose with over 20,000 volts of power.</t>
  </si>
  <si>
    <t>Lanturnin valo voi loistaa suurista syvyyksistä. Se on saanut lempinimen "Syvänmeren tähti".</t>
  </si>
  <si>
    <t>https://pokeapi.co/api/v2/pokemon-species/134/</t>
  </si>
  <si>
    <t>Heedless of enemy attacks, it closes in, shoves its tails onto the foe, then looses high voltage.</t>
  </si>
  <si>
    <t>As its electric charge amplifies, blue sparks begin to crackle between its horns.</t>
  </si>
  <si>
    <t>The instant it presses the tips of its tails onto an opponent, it sends over 20,000 volts of electricity into the foe.</t>
  </si>
  <si>
    <t>It pushes the tips of its tails against its foes and then lets loose a high-voltage current. Its foes are burned to a crisp in an instant.</t>
  </si>
  <si>
    <t>When it gets excited, it thumps its chest. With every thud, thunder roars and electric sparks shower all around.</t>
  </si>
  <si>
    <t>It grips its tail, which spews electricity, and then beats down opponents with the power of its electrified fist.</t>
  </si>
  <si>
    <t>Lanturnia kutsutaan lempinimellä "syvänmeren tähti" sen valaistun antennin mukaan. Tämä Pokémon tuottaa valoa aiheuttamalla kemiallisen reaktion bakteerien ja ruumiinnesteiden välillä antennin sisällä.</t>
  </si>
  <si>
    <t>A single Electivire can provide enough electricity for all the buildings in a big city for a year.</t>
  </si>
  <si>
    <t>Lanturnin tiedetään säteilevän valoa. Jos katsot yöllä laivasta alas pimeään mereen, voit joskus nähdä tämän Pokémonin valon nousevan syvyyksistä, joissa se ui. Se antaa merelle tähtitaivaan vaikutelman.</t>
  </si>
  <si>
    <t>The amount of electrical energy this Pokémon produces is proportional to the rate of its pulse. The voltage jumps while Electivire is battling.</t>
  </si>
  <si>
    <t>Jos katsot yöllä mereen ja näet valon, joka hohtaa kuin tähdet, se on Lanturn.</t>
  </si>
  <si>
    <t>In terms of electrical-energy output, Electivire is one of the best among all Electric Pokémon. It discharges high-voltage currents from its tails.</t>
  </si>
  <si>
    <t>Tämä Pokémon väläyttää kirkasta valoa, joka sokaisee saaliinsa. Tämä luo sille aukon sähköiskun suorittamiseen.</t>
  </si>
  <si>
    <t>Its evolution was induced by an unusual item, and its electrical output rises along with its heart rate. From its tails, it can unleash an electric current measuring 20,000 volts.</t>
  </si>
  <si>
    <t>It blasts fireballs of over 3,600 degrees F from the ends of its arms. It lives in volcanic craters.</t>
  </si>
  <si>
    <t>Kun Lanturnin tuntosarvien sisällä elävät bakteerit imevät sen ruumiinnesteitä, syntyy voimakas luminesoiva vaikutus.</t>
  </si>
  <si>
    <t>When launching 3,600 degrees F fireballs, its body takes on a whitish hue from the intense heat.</t>
  </si>
  <si>
    <t>It blasts fireballs of over 3,600 degrees Fahrenheit out of its arms. Its breath also sears and sizzles.</t>
  </si>
  <si>
    <t>Se elää syvällä meren syvyyksissä. Se sokaisee saaliinsa valolla ja käyttää hetken, jolloin ne häikäistyvät, nielläkseen ne kokonaisina.</t>
  </si>
  <si>
    <t>When shooting 3,600 degree F fireballs from its arms, its body takes on a whitish hue from the intense heat.</t>
  </si>
  <si>
    <t>It blasts fireballs of over 3,600 degrees Fahrenheit from the ends of its arms. It lives in volcanic craters.</t>
  </si>
  <si>
    <t>They dwell in volcanic craters. According to what is known, a single pair of male and female Magmortar lives in one volcano.</t>
  </si>
  <si>
    <t>From its arm, it launches fireballs hotter than 3,500 degrees Fahrenheit. Its arm starts to melt when it fires a whole barrage.</t>
  </si>
  <si>
    <t>Pichu</t>
  </si>
  <si>
    <t>Pieni hiiri-Pokémon</t>
  </si>
  <si>
    <t>Se ei ole vielä taitava varastoimaan sähköä. Se saattaa lähettää tärinän, jos se on huvittunut tai säikähtänyt.</t>
  </si>
  <si>
    <t>There are still quite a few factories that rely on the flames provided by Magmortar to process metals.</t>
  </si>
  <si>
    <t>Magmortar takes down its enemies by shooting fireballs, which burn them to a blackened crisp. It avoids this method when hunting prey.</t>
  </si>
  <si>
    <t>Pienestä koostaan ​​huolimatta se voi ällistyttää jopa aikuiset ihmiset. Jos se kuitenkin tekee niin, se yllättää myös itsensä.</t>
  </si>
  <si>
    <t>When Magmortar inhales deeply, the fire burning in its belly intensifies, rising in temperature to over 3,600 degrees Fahrenheit.</t>
  </si>
  <si>
    <t>Living in the crater of a volcano has caused this Pokémon’s body to resemble its environment— it has an organ similar to a magma chamber.</t>
  </si>
  <si>
    <t>Se ei ole taitava sähköenergian varastoinnissa. Minkä tahansa tyyppinen sähköisku saa sen purkamaan energiaa itsestään.</t>
  </si>
  <si>
    <t>Use of a strange item caused this Pokémon to evolve. Fireballs launched from the ends of its tubelike arms are hot enough to melt an iron pot in an instant.</t>
  </si>
  <si>
    <t>It will never appear where there is strife. Its sightings have become rare recently.</t>
  </si>
  <si>
    <t>PICHU latautuu sähköllä helpommin ukkospilvien aikaan tai erittäin kuivalla ilmalla. Voit kuulla tästä POKéMONista tulevan staattisen sähkön rätinän.</t>
  </si>
  <si>
    <t>It shares many blessings with people who respect one another’s rights and avoid needless strife.</t>
  </si>
  <si>
    <t>As everyone knows, it visits peaceful regions, bringing them gifts of kindness and sweet blessings.</t>
  </si>
  <si>
    <t>Kun PICHU leikkii muiden PICHUjen kanssa, se saattaa aiheuttaa oikosulun toisen PICHUn kanssa, mikä aiheuttaa kipinäsateen. Tässä tapauksessa tämä POKéMON alkaa itkeä säikähtäen kipinöiden välähdyksestä.</t>
  </si>
  <si>
    <t>These Pokémon are never seen anywhere near conflict or turmoil. In recent times, they’ve hardly been seen at all.</t>
  </si>
  <si>
    <t>Known as a bringer of blessings, it’s been depicted on good-luck charms since ancient times.</t>
  </si>
  <si>
    <t>Se on vielä kyvytön säilyttämään sähköä. Säikähtäessään se purkaa vahingossa virtaa. Sen kyky pitää virta paranee vanhetessaan.</t>
  </si>
  <si>
    <t>Scant few have ever sighted this Pokémon. After studying what literature remains, I am certain Togekiss will reveal itself when peace reigns in the land.</t>
  </si>
  <si>
    <t>By churning its wings, it creates shock waves that inflict critical internal injuries to foes.</t>
  </si>
  <si>
    <t>Its jaw power is incredible. It is adept at biting apart foes while flying by at high speed.</t>
  </si>
  <si>
    <t>This six-legged Pokémon is easily capable of transporting an adult in flight. The wings on its tail help it stay balanced.</t>
  </si>
  <si>
    <t>Sen poskissa olevat sähköpussit ovat vielä pieniä. Ne eivät pysty vielä varastoimaan paljon sähköä.</t>
  </si>
  <si>
    <t>The beat of its wings is so powerful that it accidentally dislodges full-grown trees when it takes off in flight.</t>
  </si>
  <si>
    <t>It prefers to battle by biting apart foes’ heads instantly while flying by at high speed.</t>
  </si>
  <si>
    <t>Se leikkii muiden kanssa koskettamalla häntäänsä ja sytyttämällä kipinöitä. Tämä näyttää olevan rohkeuden testi.</t>
  </si>
  <si>
    <t>Extremely violent. When hunting, it wastes none of its energy, aiming only for prey's most vulnerable spots. Any who manage to tame this Pokémon must be of incredible bravery.</t>
  </si>
  <si>
    <t>Just like a plant, it uses photosynthesis. As a result, it is always enveloped in clear air.</t>
  </si>
  <si>
    <t>Sen poskissa olevat sähköpussit ovat pienet. Jo pienikin sähkövuoto saa sen säikähtämään.</t>
  </si>
  <si>
    <t>It basically does not fight. With cells similar to those of plants, it can perform photosynthesis.</t>
  </si>
  <si>
    <t>When you see LEAFEON asleep in a patch of sunshine, you’ll know it is using photosynthesis to produce clean air.</t>
  </si>
  <si>
    <t>With cells similar to those of plants, it performs photosynthesis inside its body and creates pure air.</t>
  </si>
  <si>
    <t>When you see Leafeon asleep in a patch of sunshine, you’ll know it is using photosynthesis to produce clean air.</t>
  </si>
  <si>
    <t>Its cellular composition is closer to that of a plant than an animal. It uses photosynthesis to produce its energy supply without eating food.</t>
  </si>
  <si>
    <t>The younger they are, the more they smell like fresh grass. With age, their fragrance takes on the odor of fallen leaves.</t>
  </si>
  <si>
    <t>Although it doesn’t like disputes, it will sharpen the leaf on its tail into a blade and fight if it has to protect its friends.</t>
  </si>
  <si>
    <t>It gets its nutrition from photosynthesis. It lives a quiet life deep in forests where clean rivers flow.</t>
  </si>
  <si>
    <t>Galarians favor the distinctive aroma that drifts from this Pokémon’s leaves. There’s a popular perfume made using that scent.</t>
  </si>
  <si>
    <t>This Pokémon’s tail is blade sharp, with a fantastic cutting edge that can slice right though large trees.</t>
  </si>
  <si>
    <t>Cells similar to those of plants have been found in its fur. Its hard tail can fell a large tree with one stroke, and the tail's sharpness exceeds even that of a sword crafted by a master.</t>
  </si>
  <si>
    <t>Pichu latautuu sähköllä helpommin ukkospilvien aikaan tai erittäin kuivalla ilmalla. Voit kuulla tästä Pokémonista lähtevän staattisen sähkön rätinän.</t>
  </si>
  <si>
    <t>As a protective technique, it can completely freeze its fur to make its hairs stand like needles.</t>
  </si>
  <si>
    <t>By controlling its body heat, it can freeze the atmosphere around it to make a diamond-dust flurry.</t>
  </si>
  <si>
    <t>Kun Pichu leikkii muiden kanssa, se saattaa aiheuttaa oikosulun toisen Pichun kanssa, mikä aiheuttaa kipinäsateen. Tässä tapauksessa tämä Pokémon alkaa itkeä säikähtäen kipinöiden välähdyksestä.</t>
  </si>
  <si>
    <t>It causes small ice crystals to form by lowering the temperature of the surrounding atmosphere.</t>
  </si>
  <si>
    <t>Se ei ole vielä taitava hallitsemaan sähköä. Jos irrotat katseesi siitä, se saattaa sähköiskua itseensä.</t>
  </si>
  <si>
    <t>It lowers its body heat to freeze its fur. The hairs then become like needles it can fire.</t>
  </si>
  <si>
    <t>Vaikka tämä Pokémon on söpöstä ulkonäöstä huolimatta, niiden, jotka haluavat elää sellaisen kanssa, tulisi valmistautua joutumaan sen sähköiskujen kohteeksi.</t>
  </si>
  <si>
    <t>It can control its body temperature at will. This enables it to freeze the moisture in the atmosphere, creating flurries of diamond dust.</t>
  </si>
  <si>
    <t>It freezes its fur into icicles, spiky and sharp, and tackles its prey.</t>
  </si>
  <si>
    <t>Se ei vieläkään osaa käyttää sähköä hyvin. Yllättyessään tai innostuessaan se purkaa tahattomasti sähköä.</t>
  </si>
  <si>
    <t>https://pokeapi.co/api/v2/pokemon-species/135/</t>
  </si>
  <si>
    <t>It protects itself by freezing its fur into sharp needles. It can drop its body temperature below –75 degrees Fahrenheit.</t>
  </si>
  <si>
    <t>Sen poskissa on sähköpusseja. Täyteen ladattuina Pichu soittaa erittäin energisesti.</t>
  </si>
  <si>
    <t>It can instantaneously freeze any moisture that’s around it, creating ice pellets to shoot at its prey.</t>
  </si>
  <si>
    <t>Any who become captivated by the beauty of the snowfall that Glaceon creates will be frozen before they know it.</t>
  </si>
  <si>
    <t>The coldness emanating from Glaceon causes powdery snow to form, making it quite a popular Pokémon at ski resorts.</t>
  </si>
  <si>
    <t>Glaceon is able to lower its body temperature very quickly. It freezes the atmosphere, creating diamond dust that glitters like gems while it flutters and dances around.</t>
  </si>
  <si>
    <t>Pichu varastoi sähköä poskillaan oleviin pusseihin, mutta purkaa sitä tahattomasti ollessaan levoton tai kiihtynyt. Koska Pokémon on vielä kehittymätön, sen sähkönkäsittely on melko kömpelöä.</t>
  </si>
  <si>
    <t>It observes prey while hanging inverted from branches. When the chance presents itself, it swoops!</t>
  </si>
  <si>
    <t>Cleffa</t>
  </si>
  <si>
    <t>Epätavallisen, tähtimäisen siluettinsa vuoksi ihmiset uskovat, että se tuli tänne meteorin mukana.</t>
  </si>
  <si>
    <t>If it succeeds in catching even a faint breeze properly, it can circle the globe without flapping once.</t>
  </si>
  <si>
    <t>Its flight is soundless. It uses its lengthy tail to carry off its prey... Then its elongated fangs do the rest.</t>
  </si>
  <si>
    <t>Kun lukuisat meteorit valaisevat yötaivasta, CLEFFA-havainnot lisääntyvät oudolla tavalla.</t>
  </si>
  <si>
    <t>It dances silently through the sky. When it approaches prey, it can land a critical hit in an instant.</t>
  </si>
  <si>
    <t>Jos meteoriitin törmäyskohta löytyy, tämä POKéMON on varmasti sen välittömässä läheisyydessä.</t>
  </si>
  <si>
    <t>It glides soundlessly on pitch-black wings and sinks sharp fangs into the throat of its prey. It takes on a look of satisfaction once it has entirely drained its prey of blood.</t>
  </si>
  <si>
    <t>Its impressive tusks are made of ice. The population thinned when it turned warm after the ice age.</t>
  </si>
  <si>
    <t>Öinä, jolloin on paljon tähdenlentoja, CLEFFA-pokemoneja voi nähdä tanssimassa kehässä. Ne tanssivat läpi yön ja pysähtyvät vasta aamunkoitteessa, jolloin nämä POKéMONit sammuttavat janonsa aamukasteella.</t>
  </si>
  <si>
    <t>A frozen one was dug up from soil dating back 10,000 years. It woke up to much amazement.</t>
  </si>
  <si>
    <t>A frozen MAMOSWINE was dug from ice dating back 10,000 years. This Pokémon has been around a long, long, long time.</t>
  </si>
  <si>
    <t>It flourished worldwide during the ice age but its population declined when the masses of ice began to dwindle.</t>
  </si>
  <si>
    <t>Öinä, jolloin on paljon tähdenlentoja, CLEFFA-lintuja voi nähdä tanssimassa kehässä. Ne tanssivat aamunkoittoon asti, jolloin ne sammuttavat janonsa aamukasteella.</t>
  </si>
  <si>
    <t>When the temperature rose at the end of the ice age, most Mamoswine disappeared.</t>
  </si>
  <si>
    <t>A frozen Mamoswine was dug from ice dating back 10,000 years. This Pokémon has been around a long, long, long time.</t>
  </si>
  <si>
    <t>This Pokémon can be spotted in wall paintings from as far back as 10,000 years ago. For a while, it was thought to have gone extinct.</t>
  </si>
  <si>
    <t>Sen siluetti on kuin tähti. Sen uskotaan saapuvan paikalle tähdenlentojen päällä ratsastaen.</t>
  </si>
  <si>
    <t>It looks strong, and that’s exactly what it is. As the weather grows colder, its ice tusks grow longer, thicker, and more impressive.</t>
  </si>
  <si>
    <t>This species reached its zenith during the period known as the ice age. I suspect that Hisui's frigid climate is in harmony with Mamoswine's constitution, thus awakening hidden potential.</t>
  </si>
  <si>
    <t>Monet ilmestyvät, kun yötaivas on täynnä tähdenlentoja. Ne katoavat auringonnousun myötä.</t>
  </si>
  <si>
    <t>Additional software was installed to make it a better Pokémon. It began acting oddly, however.</t>
  </si>
  <si>
    <t>Se nähdään usein, kun tähdenlennot täyttävät yötaivaan. Sen sanotaan saapuvan ratsastaen tähdenlennon selässä.</t>
  </si>
  <si>
    <t>Its programming was modified to enable work in alien dimensions. It did not work as planned.</t>
  </si>
  <si>
    <t>Its programming was modified to enable it to travel through alien dimensions. Seems there might have been an error...</t>
  </si>
  <si>
    <t>In order to create a more advanced Pokémon, an additional program was installed, but apparently it contained a defect that makes it move oddly.</t>
  </si>
  <si>
    <t>Its program was modified to facilitate extra-dimensional activities, but that led to noticeably strange behavior.</t>
  </si>
  <si>
    <t>Its behavior is noticeably unstable, which is apparently due to the incompetence of the engineer who updated its programming.</t>
  </si>
  <si>
    <t>A faulty update was added to its programming. Its behavior is noticeably strange, so the experiment may have been a failure.</t>
  </si>
  <si>
    <t>Porygon-Z had a program installed to allow it to move between dimensions, but the program also caused instability in Porygon-Z’s behavior.</t>
  </si>
  <si>
    <t>Paikallisten huhujen mukaan Cleffoja nähdään usein paikoissa, joissa tähdenlennot ovat pudonneet.</t>
  </si>
  <si>
    <t>Some say an additional program made this Pokémon evolve, but even academics can’t agree on whether Porygon-Z is really an evolution.</t>
  </si>
  <si>
    <t>A curious item induced this evolution. The Pokémon's offensive capabilities have greatly increased, but the strangeness of its behavior has magnified in equal measure. This worries me.</t>
  </si>
  <si>
    <t>A master of courtesy and swordsmanship, it fights using extending swords on its elbows.</t>
  </si>
  <si>
    <t>When trying to protect someone, it extends its elbows as if they were swords and fights savagely.</t>
  </si>
  <si>
    <t>Because it can sense what its foe is thinking, its attacks burst out first, fast, and fierce.</t>
  </si>
  <si>
    <t>Öinä, jolloin tähdenlentoja on paljon, Cleffan voi nähdä tanssivan kehässä. Ne tanssivat läpi yön ja pysähtyvät vasta aamunkoitteessa, jolloin nämä Pokémonit sammuttavat janonsa aamukasteella.</t>
  </si>
  <si>
    <t>True to its honorable-warrior image, it uses the blades on its elbows only in defense of something or someone.</t>
  </si>
  <si>
    <t>Sharply attuned to others’ wishes for help, this Pokémon seeks out those in need and aids them in battle.</t>
  </si>
  <si>
    <t>The blades extending from its elbows are sharper than the finest swords. Its swordsmanship, albeit self-taught, is astonishingly impressive.</t>
  </si>
  <si>
    <t>It exudes strong magnetism from all over. It controls three small units called Mini-Noses.</t>
  </si>
  <si>
    <t>Myöhään öisin, tähdenlennon valaisemina, se tuijottaa intensiivisesti taivasta kohti, ikään kuin ajatellen kotiaan.</t>
  </si>
  <si>
    <t>It freely controls three small units called Mini-Noses using magnetic force.</t>
  </si>
  <si>
    <t>It controls three units called Mini-Noses using magnetic force. With them, it can attack the foe from three directions.</t>
  </si>
  <si>
    <t>Siluettinsa vuoksi sen uskotaan olevan uudestisyntynyt tähti. Jostain syystä se rakastaa Minioria.</t>
  </si>
  <si>
    <t>It freely controls three units called Mini-Noses using magnetic force.</t>
  </si>
  <si>
    <t>It radiates such a powerful magnetic field that nearby electrical appliances become unusable.</t>
  </si>
  <si>
    <t>The main body controls three mobile units called Mini-Noses, which it maneuvers to catch prey.</t>
  </si>
  <si>
    <t>Öinä, jolloin tähdenlentoja on paljon, ne kerääntyvät laumoihin ja tanssivat ympyrää. Jos näet ne, tapahtuu jotain hyvää!</t>
  </si>
  <si>
    <t>Although it can control its units known as Mini-Noses, they sometimes get lost and don’t come back.</t>
  </si>
  <si>
    <t>It uses three small units to catch prey and battle enemies. The main body mostly just gives orders.</t>
  </si>
  <si>
    <t>Cleffan sanotaan ratsastaneen täällä tähdenlennon kyydissä, ja se näyttää ilmestyvän paikoissa, joihin meteoriitit ovat osuneet aiemmin.</t>
  </si>
  <si>
    <t>It is able to emit powerful magnetism, allowing it control over the iron sand that forms its luscious mustache. Using this iron sand, Probopass forms hard stones with which it smites its prey.</t>
  </si>
  <si>
    <t>The antenna on its head captures radio waves from the world of spirits that command it to take people there.</t>
  </si>
  <si>
    <t>It is said to take lost spirits into its pliant body and guide them home.</t>
  </si>
  <si>
    <t>This feared Pokémon is said to travel to worlds unknown. Some even believe that it takes lost spirits along with it.</t>
  </si>
  <si>
    <t>At the bidding of transmissions from the spirit world, it steals people and Pokémon away. No one knows whether it has a will of its own.</t>
  </si>
  <si>
    <t>With the mouth on its belly, Dusknoir swallows its target whole. The soul is the only thing eaten— Dusknoir disgorges the body before departing.</t>
  </si>
  <si>
    <t>Comes to those whose lives have come to an end and escorts their souls to the afterlife. Known to mistakenly take the souls of those who yet have life left in them, albeit rarely.</t>
  </si>
  <si>
    <t>It freezes foes with an icy breath nearly -60 degrees F. What seems to be its body is actually hollow.</t>
  </si>
  <si>
    <t>It freezes prey by blowing its -58 degrees F breath. It is said to then secretly display its prey.</t>
  </si>
  <si>
    <t>Legends in snowy regions say that a woman who was lost on an icy mountain was reborn as FROSLASS.</t>
  </si>
  <si>
    <t>Legends in snowy regions say that a woman who was lost on an icy mountain was reborn as FROSLASS</t>
  </si>
  <si>
    <t>Siluetissa ne muistuttavat tuikkivaa tähtien valoa. Kun tähdenlentoja sataa yötaivaalta, Cleffat kokoontuvat joukoittain ja tanssivat aivan kuin he olisivat todellakin tähtien inkarnaatioita.</t>
  </si>
  <si>
    <t>It freezes foes with an icy breath nearly -60 degrees Fahrenheit. What seems to be its body is actually hollow.</t>
  </si>
  <si>
    <t>Legends in snowy regions say that a woman who was lost on an icy mountain was reborn as Froslass.</t>
  </si>
  <si>
    <t>Igglybuff</t>
  </si>
  <si>
    <t>When it finds humans or Pokémon it likes, it freezes them and takes them to its chilly den, where they become decorations.</t>
  </si>
  <si>
    <t>Sillä on erittäin pehmeä runko. Jos se alkaa pyöriä, se pomppii ympäriinsä eikä sitä voi pysäyttää.</t>
  </si>
  <si>
    <t>The soul of a woman lost on a snowy mountain possessed an icicle, becoming this Pokémon. The food it most relishes is the souls of men.</t>
  </si>
  <si>
    <t>It freezes hikers who have come to climb snowy mountains and carries them back to its home. It only goes after men it thinks are handsome.</t>
  </si>
  <si>
    <t>Sen erittäin joustava ja kimmoisa runko saa sen pomppimaan jatkuvasti – milloin ja missä tahansa.</t>
  </si>
  <si>
    <t>It’s said that on nights of terrible blizzards, it comes down to human settlements. If you hear it knocking at your door, do not open it!</t>
  </si>
  <si>
    <t>After a woman met her end on a snowy mountain, her regrets lingered on. From them, this Pokémon was born. Its favorite food is frozen souls.</t>
  </si>
  <si>
    <t>Lyhyiden jalkojensa sijaan se liikkuu pomppimalla pehmeällä, hellällä vartalollaan.</t>
  </si>
  <si>
    <t>It spits out cold air of nearly −60 degrees Fahrenheit to freeze its quarry. It brings frozen prey back to its lair and neatly lines them up.</t>
  </si>
  <si>
    <t>IGGLYBUFFin äänihuulet eivät ole riittävän kehittyneet. Sen kurkku loukkaantuisi, jos se laulaisi liikaa. Tämä POKéMON kurlaa makealla vedellä puhtaasta purosta.</t>
  </si>
  <si>
    <t>A Pokémon inhabited by the soul of a woman who died bearing a grudge in the snowy mountains. Legends of Froslass placing deathly curses on misbehaving men send shivers down my spine.</t>
  </si>
  <si>
    <t>Its body is composed of plasma. It is known to infiltrate electronic devices and wreak havoc.</t>
  </si>
  <si>
    <t>IGGLYBUFFilla on pehmeä ja muhkea vartalo, joka tuntuu hyvin paljon vaahtokarkilta. Tästä vartalosta leijuu lempeän makea tuoksu, joka rauhoittaa ja tyynnyttää vihollisten tunteita.</t>
  </si>
  <si>
    <t>Its electric-like body can enter some kinds of machines and take control in order to make mischief.</t>
  </si>
  <si>
    <t>Sen pehmeä ja taipuisa ruumis on erittäin kimmoisa. Kun se laulaa jatkuvasti täydellä voimallaan, sen ruumis muuttuu tasaisesti syvenevän vaaleanpunaiseksi.</t>
  </si>
  <si>
    <t>Research continues on this Pokémon, which could be the power source of a unique motor.</t>
  </si>
  <si>
    <t>One boy’s invention led to the development of many different machines that take advantage of Rotom’s unique capabilities.</t>
  </si>
  <si>
    <t>With a body made of plasma, it can inhabit all sorts of machines. It loves to surprise others.</t>
  </si>
  <si>
    <t>This bizarre Pokémon appears to be a will-o'-the-wisp powered by electricity. Be wary, as Rotom is both smart and mischievous.</t>
  </si>
  <si>
    <t>Known as “The Being of Knowledge.” It is said that it can wipe out the memory of those who see its eyes.</t>
  </si>
  <si>
    <t>Sillä on pehmeä ja kimmoisa runko. Kun se alkaa pomppia, sitä on mahdotonta pysäyttää.</t>
  </si>
  <si>
    <t>It is said that its emergence gave humans the intelligence to improve their quality of life.</t>
  </si>
  <si>
    <t>When UXIE flew, people gained the ability to solve problems. It was the birth of knowledge.</t>
  </si>
  <si>
    <t>According to some sources, this Pokémon provided people with the intelligence necessary to solve various problems.</t>
  </si>
  <si>
    <t>When Uxie flew, people gained the ability to solve problems. It was the birth of knowledge.</t>
  </si>
  <si>
    <t>A Pokémon feared but also respected for stealing away the memories of evildoers. I have found records that suggest Uxie holds dominion over knowledge.</t>
  </si>
  <si>
    <t>Known as “The Being of Emotion.” It taught humans the nobility of sorrow, pain, and joy.</t>
  </si>
  <si>
    <t>It sleeps at the bottom of a lake. Its spirit is said to leave its body to fly on the lake’s surface.</t>
  </si>
  <si>
    <t>When MESPRIT flew, people learned the joy and sadness of living. It was the birth of emotions.</t>
  </si>
  <si>
    <t>This Pokémon is said to have endowed the human heart with emotions, such as sorrow and joy.</t>
  </si>
  <si>
    <t>When Mesprit flew, people learned the joy and sadness of living. It was the birth of emotions.</t>
  </si>
  <si>
    <t>Known as the Being of Emotion. In legend, this Pokémon was feared, as any who showed disrespect would have their emotions thrown into disarray.</t>
  </si>
  <si>
    <t>Sen vartalolla on hennon makea tuoksu, ja se on kimmoisa ja pehmeä. Jos se pomppaa kerrankaan, se ei voi pysähtyä.</t>
  </si>
  <si>
    <t>Known as “The Being of Willpower.” It sleeps at the bottom of a lake to keep the world in balance.</t>
  </si>
  <si>
    <t>It is thought that UXIE, MESPRIT and AZELF all came from the same egg.</t>
  </si>
  <si>
    <t>When AZELF flew, people gained the determination to do things. It was the birth of willpower.</t>
  </si>
  <si>
    <t>This Pokémon is said to have endowed humans with the determination needed to face any of life’s difficulties.</t>
  </si>
  <si>
    <t>When Azelf flew, people gained the determination to do things. It was the birth of willpower.</t>
  </si>
  <si>
    <t>It is thought that Uxie, Mesprit, and Azelf all came from the same egg.</t>
  </si>
  <si>
    <t>The dreaded Being of Willpower. Legends tell of this Pokémon manipulating the will of its adversaries and turning them into puppets of its own.</t>
  </si>
  <si>
    <t>It has the power to control time. It appears in Sinnoh-region myths as an ancient deity.</t>
  </si>
  <si>
    <t>A Pokémon spoken of in legend. It is said that time began moving when DIALGA was born.</t>
  </si>
  <si>
    <t>A legendary Pokémon of Sinnoh. It is said that time flows when DIALGA’s heart beats.</t>
  </si>
  <si>
    <t>Igglybuffin äänihuulet eivät ole riittävän kehittyneet. Sen kurkku loukkaantuisi, jos se laulaisi liikaa. Tämä Pokémon kurlaa makealla vedellä puhtaasta purosta.</t>
  </si>
  <si>
    <t>This Pokémon completely controls the flow of time. It uses its power to travel at will through the past and future.</t>
  </si>
  <si>
    <t>A legendary Pokémon of Sinnoh. It is said that time flows when Dialga’s heart beats.</t>
  </si>
  <si>
    <t>A Pokémon spoken of in legend. It is said that time began moving when Dialga was born.</t>
  </si>
  <si>
    <t>Igglybuffilla on pehmeä ja muhkea vartalo, joka tuntuu hyvin paljon vaahtokarkilta. Tästä vartalosta leijuu lempeän makea tuoksu, joka rauhoittaa ja tyynnyttää vihollisten tunteita.</t>
  </si>
  <si>
    <t>This Pokémon is revered as a deity in Hisuian legend. The birth of Dialga was what caused the vast river of time to begin flowing in our world.</t>
  </si>
  <si>
    <t>It has the ability to distort space. It is described as a deity in Sinnoh-region mythology.</t>
  </si>
  <si>
    <t>It is said to live in a gap in the spatial dimension parallel to ours. It appears in mythology.</t>
  </si>
  <si>
    <t>Se tykkää laulaa, mutta ei ole vielä siinä hyvä. Kehumalla ja kannustuksella se paranee pikkuhiljaa.</t>
  </si>
  <si>
    <t>A legendary Pokémon of Sinnoh. It is said that space becomes more stable with PALKIA’s every breath.</t>
  </si>
  <si>
    <t>Its total control over the boundaries of space enable it to transport itself to faraway places or even other dimensions.</t>
  </si>
  <si>
    <t>A legendary Pokémon of Sinnoh. It is said that space becomes more stable with Palkia’s every breath.</t>
  </si>
  <si>
    <t>Se liikkuu pomppimalla. Liikkuessaan paljon se hikoilee, ja sen kehosta lähtee makea tuoksu.</t>
  </si>
  <si>
    <t>This Pokémon is feared as a deity in Hisuian legend. The birth of Palkia was what caused the walls of our world to disappear, creating a sky that spans for infinity.</t>
  </si>
  <si>
    <t>It dwells in volcanic caves. It digs in with its cross-shaped feet to crawl on ceilings and walls.</t>
  </si>
  <si>
    <t>Se harjoittelee aina laulamistaan, koska se haluaa kehittyä. Se laulaa unissaan jopa nukkuessaan!</t>
  </si>
  <si>
    <t>Its body is made of rugged steel. However, it is partially melted in spots because of its own heat.</t>
  </si>
  <si>
    <t>Boiling blood, like magma, circulates through its body. It makes its dwelling place in volcanic caves.</t>
  </si>
  <si>
    <t>https://pokeapi.co/api/v2/pokemon-species/136/</t>
  </si>
  <si>
    <t>Stories tell of this Pokémon being birthed from the boiling magma within Mount Coronet. Its molten-steel body holds many mysteries.</t>
  </si>
  <si>
    <t>Omalla jalallaan se harjoittelee laulamista jatkuvasti. Sinun pitäisi antaa sen pitää taukoa, jotta sen kurkku ei satu.</t>
  </si>
  <si>
    <t>There is an enduring legend that states this Pokémon towed continents with ropes.</t>
  </si>
  <si>
    <t>It is said to have made Pokémon that look like itself from a special ice mountain, rocks, and magma.</t>
  </si>
  <si>
    <t>Igglybuff rakastaa laulamista. Sen vaahtokarkkia muistuttava ruumis tuoksuu heikosti makealta.</t>
  </si>
  <si>
    <t>It is believed to have shaped REGIROCK, REGICE, and REGISTEEL out of clay, ice, and magma.</t>
  </si>
  <si>
    <t>All over the world, there are legends that tell of Regigigas creating other Pokémon in its own image.</t>
  </si>
  <si>
    <t>It’s said that Regigigas created other Pokémon from many different materials before it moved the continents to where they are today.</t>
  </si>
  <si>
    <t>According to legend, Regigigas pulled landmasses together and bound them with rope to create the continent of Hisui. Though I have my doubts, the story could well contain a shred of truth.</t>
  </si>
  <si>
    <t>Igglybuff hyödyntää pehmeää kehoaan ja liikkuu kuin pomppisi. Sen ruumis muuttuu syvän vaaleanpunaiseksi lämpötilan noustessa.</t>
  </si>
  <si>
    <t>A Pokémon that is said to live in a world on the reverse side of ours. It appears in an ancient cemetery.</t>
  </si>
  <si>
    <t>Togepi</t>
  </si>
  <si>
    <t>Piikkipallo-Pokémon</t>
  </si>
  <si>
    <t>It was banished for its violence. It silently gazed upon the old world from the Distortion World.</t>
  </si>
  <si>
    <t>Simpukankuori näyttää olevan täynnä iloa. Sanotaan, että se jakaa onnea, kun sitä kohdellaan ystävällisesti.</t>
  </si>
  <si>
    <t>This Pokémon is said to live in a world on the reverse side of ours, where common knowledge is distorted and strange.</t>
  </si>
  <si>
    <t>There is one Hisuian verse that tells of a powerful light creating a deep shadow. I imagine that this deep shadow is Giratina.</t>
  </si>
  <si>
    <t>Shiny particles are released from its wings like a veil. It is said to represent the crescent moon.</t>
  </si>
  <si>
    <t>Sananlasku sanoo, että onni saavuttaa sen, joka pystyy nostamaan nukkuvan togepin ylös.</t>
  </si>
  <si>
    <t>On nights around the quarter moon, the aurora from its tail extends and undulates beautifully.</t>
  </si>
  <si>
    <t>Those who sleep holding CRESSELIA’s feather are assured of joyful dreams. It is said to represent the crescent moon.</t>
  </si>
  <si>
    <t>Sitä pidetään onnen symbolina. Sen kuoren sanotaan olevan täynnä onnellisuutta.</t>
  </si>
  <si>
    <t>Those who sleep holding Cresselia’s feather are assured of joyful dreams. It is said to represent the crescent moon.</t>
  </si>
  <si>
    <t>Cresselia is reminiscent of the crescent moon. It leaves a brilliant line of light in its wake as it flies across the night sky. I daresay it resembles the heavenly maiden who created the Milky Way.</t>
  </si>
  <si>
    <t>A Pokémon that lives in warm seas. It inflates the flotation sac on its head to drift and search for food.</t>
  </si>
  <si>
    <t>Energianaan TOGEPI käyttää ihmisten ja POKéMONien huokumia myötätunnon ja mielihyvän positiivisia tunteita. Tämä POKéMON varastoi onnellisuuden tunteita kuoreensa ja jakaa ne sitten muiden kanssa.</t>
  </si>
  <si>
    <t>It drifts in warm seas. It always returns to where it was born, no matter how far it may have drifted.</t>
  </si>
  <si>
    <t>When the water warms, they inflate the flotation sac on their heads and drift languidly on the sea in packs.</t>
  </si>
  <si>
    <t>Can be seen floating offshore during seasons when the seas are warm. Its azure body blends in with the ocean waters—logic suggests this is a defense mechanism against natural predators.</t>
  </si>
  <si>
    <t>Energianaan se käyttää ihmisten ja POKéMONien huokumia myötätunnon ja mielihyvän tunteita. Se varastoi onnellisuuden tunteita kuoreensa ja jakaa ne sitten eteenpäin.</t>
  </si>
  <si>
    <t>Sananlasku väittää, että onni tulee sille, joka saa nukkuvan TOGEPI:n nousemaan seisomaan.</t>
  </si>
  <si>
    <t>Born on a cold seafloor, it will swim great distances to return to its birthplace.</t>
  </si>
  <si>
    <t>Water makes up 80% of its body. This Pokémon is easily affected by its environment.</t>
  </si>
  <si>
    <t>Sen kuoren sanotaan olevan täynnä onnea, jota se jakaa hyväsydämisten ihmisten kanssa.</t>
  </si>
  <si>
    <t>It is born with a wondrous power that lets it bond with any kind of Pokémon.</t>
  </si>
  <si>
    <t>Se muuttaa muiden ystävällisyyden ja ilon onnellisuudeksi, jonka se varastoi kuoreensa.</t>
  </si>
  <si>
    <t>It starts its life with a wondrous power that permits it to bond with any kind of Pokémon.</t>
  </si>
  <si>
    <t>Rumored to migrate across the oceans and visit Hisui's coastal waters only rarely. Although Manaphy resembles Phione, it is also quite different. The relation between the two is unclear.</t>
  </si>
  <si>
    <t>It can lull people to sleep and make them dream. It is active during nights of the new moon.</t>
  </si>
  <si>
    <t>Folklore has it that on moonless nights, this Pokémon will make people see horrific nightmares.</t>
  </si>
  <si>
    <t>To protect itself, it afflicts those around it with nightmares. However, it means no harm.</t>
  </si>
  <si>
    <t>It chases people and Pokémon from its territory by causing them to experience deep, nightmarish slumbers.</t>
  </si>
  <si>
    <t>On a moonless night, a strange incident occurred in which every one of a village's inhabitants suffered nightmares. The villagers attested that Darkrai appeared before them in these nightmares.</t>
  </si>
  <si>
    <t>It lives in flower patches and avoids detection by curling up to look like a flowering plant.</t>
  </si>
  <si>
    <t>Sananlasku väittää, että onni tulee sille, joka saa nukkuvan Togepin nousemaan ylös.</t>
  </si>
  <si>
    <t>It can dissolve toxins in the air to instantly transform ruined land into a lush field of flowers.</t>
  </si>
  <si>
    <t>Energianaan Togepi käyttää ihmisten ja Pokémonien huokumia myötätunnon ja nautinnon positiivisia tunteita. Tämä Pokémon varastoi onnellisuuden tunteita kuoreensa ja jakaa ne sitten muiden kanssa.</t>
  </si>
  <si>
    <t>The flowers all over its body burst into bloom if it is lovingly hugged and senses gratitude.</t>
  </si>
  <si>
    <t>The blooming of Gracidea flowers confers the power of flight upon it. Feelings of gratitude are the message it delivers.</t>
  </si>
  <si>
    <t>When the turning of seasons brings the cruel winter to its end and the joyous people give thanks to the heavens, Shaymin appears and covers the withered land with flowers.</t>
  </si>
  <si>
    <t>It is described in mythology as the Pokémon that shaped the universe with its 1,000 arms.</t>
  </si>
  <si>
    <t>It is told in mythology that this Pokémon was born before the universe even existed.</t>
  </si>
  <si>
    <t>Tämä soikea olento sekoitetaan usein liikkuvaan munaan, kun se nähdään pelloilla tai vuorilla. Sen vilpitön hymy rauhoittaa sielua.</t>
  </si>
  <si>
    <t>It is said to have emerged from an egg in a place where there was nothing, then shaped the world.</t>
  </si>
  <si>
    <t>Togetic</t>
  </si>
  <si>
    <t>Onnellisuus-Pokémon</t>
  </si>
  <si>
    <t>He sanovat, että se ilmestyy hyväsydämisten ja huolehtivien ihmisten eteen ja hukuttaa heidät onnellisuuteen.</t>
  </si>
  <si>
    <t>According to the legends of Sinnoh, this Pokémon emerged from an egg and shaped all there is in this world.</t>
  </si>
  <si>
    <t>It is said to have emerged from an egg in a place where there was nothing then shaped the world.</t>
  </si>
  <si>
    <t>Se masentuu, jos se ei ole ystävällisten ihmisten seurassa. Se voi leijua ilmassa liikauttamatta siipiään.</t>
  </si>
  <si>
    <t>It is the heavenly fount from which pours the light that shines across Hisui. Its luminance guides and protects all Pokémon. Hisuian mythology states that Arceus is the creator of all things.</t>
  </si>
  <si>
    <t>This Pokémon brings victory. It is said that Trainers with Victini always win, regardless of the type of encounter.</t>
  </si>
  <si>
    <t>Vaikka se ei räpyttele siipiään paljon, se pysyy ilmassa seuratessaan kouluttajaansa.</t>
  </si>
  <si>
    <t>It creates an unlimited supply of energy inside its body, which it shares with those who touch it.</t>
  </si>
  <si>
    <t>TOGETICin sanotaan olevan onnea tuova POKéMON. Kun POKéMON havaitsee puhdassydämisen henkilön, sen sanotaan ilmestyvän ja jakavan onnensa kyseisen henkilön kanssa.</t>
  </si>
  <si>
    <t>When it shares the infinite energy it creates, that being’s entire body will be overflowing with power.</t>
  </si>
  <si>
    <t>It is very intelligent and calm. Being exposed to lots of sunlight makes its movements swifter.</t>
  </si>
  <si>
    <t>They photosynthesize by bathing their tails in sunlight. When they are not feeling well, their tails droop.</t>
  </si>
  <si>
    <t>Sen sanotaan olevan onnea tuova POKéMON. Kun se havaitsee puhdassydämisen ihmisen, TOGETIC ilmestyy ja jakaa onnensa kyseisen henkilön kanssa.</t>
  </si>
  <si>
    <t>Being exposed to sunlight makes its movements swifter. It uses vines more adeptly than its hands.</t>
  </si>
  <si>
    <t>It moves along the ground as if sliding. Its swift movements befuddle its foes, and it then attacks with a vine whip.</t>
  </si>
  <si>
    <t>They avoid attacks by sinking into the shadows of thick foliage. They retaliate with masterful whipping techniques.</t>
  </si>
  <si>
    <t>He sanovat, että se ilmestyy hyväsydämisten, välittävien ihmisten eteen ja suihkuttaa heidät onnellisuuteen.</t>
  </si>
  <si>
    <t>Sen sanotaan ilmestyvän ystävällisten ihmisten eteen levittämään hehkuvaa untuvaa, jota kutsutaan "ilopölyksi".</t>
  </si>
  <si>
    <t>When it gets dirty, its leaves can’t be used in photosynthesis, so it always keeps itself clean.</t>
  </si>
  <si>
    <t>Jakaakseen onneaan se lentää ympäri maailmaa etsien hyväsydämisiä ihmisiä.</t>
  </si>
  <si>
    <t>It can stop its opponents’ movements with just a glare. It takes in solar energy and boosts it internally.</t>
  </si>
  <si>
    <t>They raise their heads to intimidate opponents but only give it their all when fighting a powerful opponent.</t>
  </si>
  <si>
    <t>It only gives its all against strong opponents who are not fazed by the glare from Serperior’s noble eyes.</t>
  </si>
  <si>
    <t>It can deftly dodge its foe’s attacks while shooting fireballs from its nose. It roasts berries before it eats them.</t>
  </si>
  <si>
    <t>It blows fire through its nose. When it catches a cold, the fire becomes pitch-black smoke instead.</t>
  </si>
  <si>
    <t>It loves to eat roasted berries, but sometimes it gets too excited and burns them to a crisp.</t>
  </si>
  <si>
    <t>When its internal fire flares up, its movements grow sharper and faster. When in trouble, it emits smoke.</t>
  </si>
  <si>
    <t>Whatever it eats becomes fuel for the flame in its stomach. When it is angered, the intensity of the flame increases.</t>
  </si>
  <si>
    <t>The more it eats, the more fuel it has to make the fire in its stomach stronger. This fills it with even more power.</t>
  </si>
  <si>
    <t>https://pokeapi.co/api/v2/pokemon-species/137/</t>
  </si>
  <si>
    <t>It can throw a fire punch by setting its fists on fire with its fiery chin. It cares deeply about its friends.</t>
  </si>
  <si>
    <t>It has mastered fast and powerful fighting moves. It grows a beard of fire.</t>
  </si>
  <si>
    <t>A flaring beard of fire is proof that it is fired up. It is adept at using many different moves.</t>
  </si>
  <si>
    <t>It fights using the scalchop on its stomach. In response to an attack, it retaliates immediately by slashing.</t>
  </si>
  <si>
    <t>The scalchop on its stomach is made from the same elements as claws. It detaches the scalchop for use as a blade.</t>
  </si>
  <si>
    <t>The scalchop on its stomach isn’t just used for battle--it can be used to break open hard berries as well.</t>
  </si>
  <si>
    <t>The scalchop on its stomach isn’t just used for battle—it can be used to break open hard berries as well.</t>
  </si>
  <si>
    <t>This Pokémon from the Unova region uses the shell on its belly as a weapon to cut down its foes. Thus, I've conferred upon this shell the name ”scalchop”.</t>
  </si>
  <si>
    <t>Strict training is how it learns its flowing double-scalchop technique.</t>
  </si>
  <si>
    <t>Scalchop techniques differ from one Dewott to another. It never neglects maintaining its scalchops.</t>
  </si>
  <si>
    <t>As a result of strict training, each Dewott learns different forms for using the scalchops.</t>
  </si>
  <si>
    <t>Its exquisite double-scalchop technique is likely the result of daily training, and it can send even masters of the blade fleeing in defeat.</t>
  </si>
  <si>
    <t>Togeticin sanotaan olevan onnea tuova Pokémon. Kun Pokémon havaitsee puhdassydämisen henkilön, sen sanotaan ilmestyvän ja jakavan onnensa kyseisen henkilön kanssa.</t>
  </si>
  <si>
    <t>One swing of the sword incorporated in its armor can fell an opponent. A simple glare from one of them quiets everybody.</t>
  </si>
  <si>
    <t>Part of the armor on its anterior legs becomes a giant sword. Its cry alone is enough to intimidate most enemies.</t>
  </si>
  <si>
    <t>In the time it takes a foe to blink, it can draw and sheathe the seamitars attached to its front legs.</t>
  </si>
  <si>
    <t>Hard of heart and deft of blade, this rare form of Samurott is a product of the Pokémon's evolution in the region of Hisui. Its turbulent blows crash into foes like ceaseless pounding waves.</t>
  </si>
  <si>
    <t>Using food stored in cheek pouches, they can keep watch for days. They use their tails to communicate with others.</t>
  </si>
  <si>
    <t>Extremely cautious, they take shifts to maintain a constant watch of their nest. They feel insecure without a lookout.</t>
  </si>
  <si>
    <t>Togeticin näkemisestä luonnossa ei ole tietoja. Huhujen mukaan se kehittyy luotettavan ihmiskumppanin rakastavan hoivan alaisena, jolle Pokémon sitten tuo suurta iloa.</t>
  </si>
  <si>
    <t>Extremely cautious, one of them will always be on the lookout, but it won’t notice a foe coming from behind.</t>
  </si>
  <si>
    <t>Natu</t>
  </si>
  <si>
    <t>When they see an enemy, their tails stand high, and they spit the seeds of berries stored in their cheek pouches.</t>
  </si>
  <si>
    <t>Koska sen siivet eivät ole vielä täysin kasvaneet, sen täytyy hypätä liikkuakseen. Se tuijottaa aina jotakin.</t>
  </si>
  <si>
    <t>Se yleensä etsii ravintoa maasta, mutta voi harvinaisissa tapauksissa hypätä oksille nokkimaan versoja.</t>
  </si>
  <si>
    <t>They make the patterns on their bodies shine in order to threaten predators. Keen eyesight lets them see in the dark.</t>
  </si>
  <si>
    <t>Se on erittäin hyvä kiipeilemään puunrunkoja ja syö mielellään puiden uusia versoja.</t>
  </si>
  <si>
    <t>Using luminescent matter, it makes its eyes and body glow and stuns attacking opponents.</t>
  </si>
  <si>
    <t>It faces strong opponents with great courage. But, when at a disadvantage in a fight, this intelligent Pokémon flees.</t>
  </si>
  <si>
    <t>The long hair around its face provides an amazing radar that lets it sense subtle changes in its surroundings.</t>
  </si>
  <si>
    <t>NATU ei voi lentää, koska sen siivet eivät ole vielä täysin kasvaneet. Jos katseesi kohtaavat tämän POKéMONin silmät, se tuijottaa sinua takaisin intensiivisesti. Mutta jos liikut vähänkään, se hyppää turvaan.</t>
  </si>
  <si>
    <t>Though it is a very brave Pokémon, it’s also smart enough to check its foe’s strength and avoid battle.</t>
  </si>
  <si>
    <t>NATUlla on erittäin kehittynyt hyppykyky. POKéMON räpyttelee ja hyppää aikuista pidemmille puiden oksille nyppiäkseen puun uusia versoja.</t>
  </si>
  <si>
    <t>Because it doesn’t yelp, it’s extremely popular with Trainers who live in apartment buildings.</t>
  </si>
  <si>
    <t>Se kiipeää savannilla kasvavien lyhyiden puiden latvoihin nokkimaan uusia versoja. NATUn silmät näyttävät siltä kuin ne tarkkailisivat jatkuvasti jotakin.</t>
  </si>
  <si>
    <t>The long fur surrounding its face functions as radar, enabling it to probe the condition of its battle opponents.</t>
  </si>
  <si>
    <t>This Pokémon has excellent judgment. If it decides it can’t defeat an opponent, it immediately turns tail and vamooses.</t>
  </si>
  <si>
    <t>This Pokémon is popular with beginners because it’s intelligent, obedient to its Trainer’s commands, and easy to raise.</t>
  </si>
  <si>
    <t>This Pokémon is courageous but also cautious. It uses the soft fur covering its face to collect information about its surroundings.</t>
  </si>
  <si>
    <t>This Pokémon is far brighter than the average child, and Lillipup won’t forget the love it receives or any abuse it suffers.</t>
  </si>
  <si>
    <t>It has black, cape-like fur that is very hard and decreases the amount of damage it receives.</t>
  </si>
  <si>
    <t>Se poimii ruokaa kaktuksista, väistäen taitavasti silmuja ja piikkejä. Se näyttää hyppivän liikkuessaan.</t>
  </si>
  <si>
    <t>It loyally follows its Trainer’s orders. For ages, they have helped Trainers raise Pokémon.</t>
  </si>
  <si>
    <t>This very loyal Pokémon helps Trainers, and it also takes care of other Pokémon.</t>
  </si>
  <si>
    <t>Its dense black fur grows continuously. The high cost of keeping its hard fur properly groomed makes this a troublesome Pokémon to train.</t>
  </si>
  <si>
    <t>This Pokémon obeys its master’s orders faithfully. However, it refuses to listen to anything said by a person it doesn’t respect.</t>
  </si>
  <si>
    <t>The longer its black fur grows, the harder and more impervious it gets. Claws and fangs can’t easily penetrate it.</t>
  </si>
  <si>
    <t>It has been living with people for so long that portrayals of it can be found on the walls of caves from long, long ago.</t>
  </si>
  <si>
    <t>Herdier is a very smart and friendly Pokémon. So much so that there’s a theory that Herdier was the first Pokémon to partner with people.</t>
  </si>
  <si>
    <t>The black fur that covers this Pokémon’s body is dense and springy. Even sharp fangs bounce right off.</t>
  </si>
  <si>
    <t>It rescues people stranded by blizzards in the mountains. Its shaggy fur shields it from the cold.</t>
  </si>
  <si>
    <t>This extremely wise Pokémon excels at rescuing people stranded at sea or in the mountains.</t>
  </si>
  <si>
    <t>Being wrapped in its long fur is so comfortable that a person would be fine even overnight on a wintry mountain.</t>
  </si>
  <si>
    <t>Intelligent, good-natured, and valiant, it’s a trustworthy partner on rescue teams.</t>
  </si>
  <si>
    <t>With this wise Pokémon, there could be no concern that it would ever attack people. Some parents even trust it to babysit.</t>
  </si>
  <si>
    <t>It pays no mind to the cold, thanks to its long warm coat. Stoutland in Alola look a little uncomfortable.</t>
  </si>
  <si>
    <t>Its fur is long and thick. A long time ago in cold regions, every household kept a Stoutland.</t>
  </si>
  <si>
    <t>These Pokémon seem to enjoy living with humans. Even a Stoutland caught in the wild will warm up to people in about three days.</t>
  </si>
  <si>
    <t>Stoutland is immensely proud of its impressive moustache. It’s said that moustache length is what determines social standing among this species.</t>
  </si>
  <si>
    <t>They steal from people for fun, but their victims can’t help but forgive them. Their deceptively cute act is perfect.</t>
  </si>
  <si>
    <t>Its cute act is a ruse. When victims let down their guard, they find their items taken. It attacks with sharp claws.</t>
  </si>
  <si>
    <t>Their cute act is a ruse. They trick people and steal their valuables just to see the looks on their faces.</t>
  </si>
  <si>
    <t>It steals things from people just to amuse itself with their frustration. A rivalry exists between this Pokémon and Nickit.</t>
  </si>
  <si>
    <t>Natu ei voi lentää, koska sen siivet eivät ole vielä täysin kasvaneet. Jos katseesi kohtaavat tämän Pokémonin silmien, se tuijottaa sinua takaisin intensiivisesti. Mutta jos liikut vähänkään, se hyppää turvaan.</t>
  </si>
  <si>
    <t>Opponents that get drawn in by its adorable behavior come away with stinging scratches from its claws and stinging pride from its laughter.</t>
  </si>
  <si>
    <t>These Pokémon vanish and appear unexpectedly. Many Trainers are drawn to their beautiful form and fur.</t>
  </si>
  <si>
    <t>Stealthily, it sneaks up on its target, striking from behind before its victim has a chance to react.</t>
  </si>
  <si>
    <t>Natulla on erittäin kehittynyt hyppykyky. Pokémon räpyttelee ja hyppää aikuisia pidemmille puiden oksille nyppiäkseen puun uusia versoja.</t>
  </si>
  <si>
    <t>Their beautiful form comes from the muscles they have developed. They run silently in the night.</t>
  </si>
  <si>
    <t>Don’t be fooled by its gorgeous fur and elegant figure. This is a moody and vicious Pokémon.</t>
  </si>
  <si>
    <t>Vaikka se ei vieläkään osaa lentää, sen hyppyvoima on huomattava. Se hyppää korkealle puihin ja nyppii silmuja oksista.</t>
  </si>
  <si>
    <t>This stealthy Pokémon sneaks up behind prey without making any sound at all. It competes with Thievul for territory.</t>
  </si>
  <si>
    <t>This Pokémon dwells deep in the forest. Eating a leaf from its head whisks weariness away as if by magic.</t>
  </si>
  <si>
    <t>It shares the leaf on its head with weary-looking Pokémon. These leaves are known to relieve stress.</t>
  </si>
  <si>
    <t>Sen katse antaa vaikutelman, että se tarkkailee sinua tarkasti. Jos lähestyt sitä, Natu hyppää pois.</t>
  </si>
  <si>
    <t>It’s good at finding berries and gathers them from all over. It’s kind enough to share them with friends.</t>
  </si>
  <si>
    <t>Ill tempered, it fights by swinging its barbed tail around wildly. The leaf growing on its head is very bitter.</t>
  </si>
  <si>
    <t>It attacks enemies with strikes of its thorn-covered tail. This Pokémon is wild tempered.</t>
  </si>
  <si>
    <t>It strikes its enemies with a thorn-covered tail. The leaf on its head is bitter.</t>
  </si>
  <si>
    <t>Xatu</t>
  </si>
  <si>
    <t>Mystinen Pokémon</t>
  </si>
  <si>
    <t>When it is angered, the temperature of its head tuft reaches 600° F. It uses its tuft to roast berries.</t>
  </si>
  <si>
    <t>Sanotaan, että se pysyy hiljaa ja liikkumattomana, koska se näkee sekä menneisyyden että tulevaisuuden samaan aikaan.</t>
  </si>
  <si>
    <t>This Pokémon lives in caves in volcanoes. The fire within the tuft on its head can reach 600° F.</t>
  </si>
  <si>
    <t>Very intelligent, it roasts berries before eating them. It likes to help people.</t>
  </si>
  <si>
    <t>Etelä-Amerikassa sanotaan, että oikea silmä näkee tulevaisuuden ja vasen silmä menneisyyden.</t>
  </si>
  <si>
    <t>This Pokémon lives in caves in volcanoes. The fire within the tuft on its head can reach 600 degrees Fahrenheit.</t>
  </si>
  <si>
    <t>Kun se alkaa meditoida auringonnousun aikaan, koko päivä kuluu ennen kuin se liikkuu uudelleen.</t>
  </si>
  <si>
    <t>It loves sweets because they become energy for the fire burning inside its body.</t>
  </si>
  <si>
    <t>A flame burns inside its body. It scatters embers from its head and tail to sear its opponents.</t>
  </si>
  <si>
    <t>XATU seisoo juurtuneena ja liikkumatta yhdessä paikassa koko päivän. Ihmiset uskovat, että tämä POKéMON tekee niin pelätessään tulevaisuuden kauheita asioita.</t>
  </si>
  <si>
    <t>When it gets excited, embers rise from its head and tail and it gets hot. For some reason, it loves sweets.</t>
  </si>
  <si>
    <t>https://pokeapi.co/api/v2/pokemon-species/138/</t>
  </si>
  <si>
    <t>XATUn tiedetään seisovan liikkumattomana tuijottaen aurinkoa koko päivän. Jotkut ihmiset kunnioittavat sitä mystisenä POKéMONina, koska he uskovat XATUn omaavan kyvyn nähdä tulevaisuuteen.</t>
  </si>
  <si>
    <t>The water stored inside the tuft on its head is full of nutrients. Plants that receive its water grow large.</t>
  </si>
  <si>
    <t>It does not thrive in dry environments. It keeps itself damp by shooting water stored in its head tuft from its tail.</t>
  </si>
  <si>
    <t>Sillä on arvoituksellinen kyky ennustaa tulevaisuutta. Jotkut ihmiset eri maissa ovat pitkään uskoneet, että XATU:t ovat lähettiläitä toisesta maailmasta.</t>
  </si>
  <si>
    <t>The water stored inside the tuft on its head is full of nutrients. It waters plants with it using its tail.</t>
  </si>
  <si>
    <t>The tuft on its head holds water. When the level runs low, it replenishes the tuft by siphoning up water with its tail.</t>
  </si>
  <si>
    <t>The high-pressure water expelled from its tail is so powerful, it can destroy a concrete wall.</t>
  </si>
  <si>
    <t>It prefers places with clean water. When its tuft runs low, it replenishes it by siphoning up water with its tail.</t>
  </si>
  <si>
    <t>Tämä outo Pokémon näkee sekä menneisyyden että tulevaisuuden. Se tarkkailee auringon liikettä koko päivän.</t>
  </si>
  <si>
    <t>Munna always float in the air. People whose dreams are eaten by them forget what the dreams had been about.</t>
  </si>
  <si>
    <t>It eats the dreams of people and Pokémon. When it eats a pleasant dream, it expels pink-colored mist.</t>
  </si>
  <si>
    <t>This Pokémon appears before people and Pokémon who are having nightmares and eats those dreams.</t>
  </si>
  <si>
    <t>Late at night, it appears beside people’s pillows. As it feeds on dreams, the patterns on its body give off a faint glow.</t>
  </si>
  <si>
    <t>It eats dreams and releases mist. The mist is pink when it’s eating a good dream, and black when it’s eating a nightmare.</t>
  </si>
  <si>
    <t>The mist emanating from their foreheads is packed with the dreams of people and Pokémon.</t>
  </si>
  <si>
    <t>With the mist from its forehead, it can create shapes of things from dreams it has eaten.</t>
  </si>
  <si>
    <t>The dream mist coming from its forehead changes into many different colors depending on the dream that was eaten.</t>
  </si>
  <si>
    <t>When dark mists emanate from its body, don’t get too near. If you do, your nightmares will become reality.</t>
  </si>
  <si>
    <t>It drowses and dreams all the time. It’s best to leave it be if it’s just woken up, as it’s a terrible grump when freshly roused from sleep.</t>
  </si>
  <si>
    <t>Each follows its Trainer’s orders as best it can, but they sometimes fail to understand complicated commands.</t>
  </si>
  <si>
    <t>These Pokémon live in cities. They are accustomed to people. Flocks often gather in parks and plazas.</t>
  </si>
  <si>
    <t>This very forgetful Pokémon will wait for a new order from its Trainer even though it already has one.</t>
  </si>
  <si>
    <t>Where people go, these Pokémon follow. If you’re scattering food for them, be careful— several hundred of them can gather at once.</t>
  </si>
  <si>
    <t>It’s forgetful and not very bright, but many Trainers love it anyway for its friendliness and sincerity.</t>
  </si>
  <si>
    <t>It can return to its Trainer’s location regardless of the distance separating them.</t>
  </si>
  <si>
    <t>Many people believe that, deep in the forest where Tranquill live, there is a peaceful place where there is no war.</t>
  </si>
  <si>
    <t>No matter where in the world it goes, it knows where its nest is, so it never gets separated from its Trainer.</t>
  </si>
  <si>
    <t>It can fly moderately quickly. No matter how far it travels, it can always find its way back to its master and its nest.</t>
  </si>
  <si>
    <t>These bright Pokémon have acute memories. Apparently delivery workers often choose them as their partners.</t>
  </si>
  <si>
    <t>Xatu seisoo juurtuneena ja liikkumatta yhdessä paikassa koko päivän. Ihmiset uskovat, että tämä Pokémon tekee niin pelätessään tulevaisuuden kauheita asioita.</t>
  </si>
  <si>
    <t>Males swing their head plumage to threaten opponents. The females’ flying abilities surpass those of the males.</t>
  </si>
  <si>
    <t>Xatun tiedetään seisovan liikkumattomana tuijottaen aurinkoa koko päivän. Jotkut ihmiset kunnioittavat sitä mystisenä Pokémonina, koska he uskovat Xatun omaavan kyvyn nähdä tulevaisuuteen.</t>
  </si>
  <si>
    <t>Males have plumage on their heads. They will never let themselves feel close to anyone other than their Trainers.</t>
  </si>
  <si>
    <t>Sanotaan, että vaikka tällä Pokémonilla on kyky ennustaa tulevaisuutta, se ei ole tarpeeksi voimakas muuttamaan näkemäänsä tulevaisuutta.</t>
  </si>
  <si>
    <t>Males swing the plumage on their heads to threaten others, but females are better at flying.</t>
  </si>
  <si>
    <t>Vaikka se näkee tulevaisuuden, sillä ei ole halua muuttaa sitä, minkä vuoksi se luultavasti pysyy aina liikkumattomana.</t>
  </si>
  <si>
    <t>Unfezant are exceptional fliers. The females are known for their stamina, while the males outclass them in terms of speed.</t>
  </si>
  <si>
    <t>This Pokémon is intelligent and intensely proud. People will sit up and take notice if you become the Trainer of one.</t>
  </si>
  <si>
    <t>Its mane shines when it discharges electricity. They use their flashing manes to communicate with one another.</t>
  </si>
  <si>
    <t>When thunderclouds cover the sky, it will appear. It can catch lightning with its mane and store the electricity.</t>
  </si>
  <si>
    <t>Mareep</t>
  </si>
  <si>
    <t>Villa-Pokémon</t>
  </si>
  <si>
    <t>Jos sen kehoon kertyy staattista sähköä, sen fleecekankaan tilavuus kaksinkertaistuu. Sen koskettaminen aiheuttaa sähköiskun.</t>
  </si>
  <si>
    <t>Its mane shines when it discharges electricity. They use the frequency and rhythm of these flashes to communicate.</t>
  </si>
  <si>
    <t>They have lightning-like movements. When Zebstrika run at full speed, the sound of thunder reverberates.</t>
  </si>
  <si>
    <t>Sen turkki kasvaa jatkuvasti. Kesällä turkki karvaa kokonaan, mutta kasvaa takaisin viikossa.</t>
  </si>
  <si>
    <t>This ill-tempered Pokémon is dangerous because when it’s angry, it shoots lightning from its mane in all directions.</t>
  </si>
  <si>
    <t>Se varastoi paljon ilmaa pehmeään turkkiinsa, minkä ansiosta se pysyy viileänä kesällä ja lämpimänä talvella.</t>
  </si>
  <si>
    <t>When this ill-tempered Pokémon runs wild, it shoots lightning from its mane in all directions.</t>
  </si>
  <si>
    <t>MAREEPin pörröinen villaturkki hankautuu yhteen ja varaa staattisen sähkön. Mitä enemmän staattista sähköä sen pyrstössä on, sitä kirkkaammin sen hännänpäässä oleva hehkulamppu palaa.</t>
  </si>
  <si>
    <t>Its ear is hexagonal in shape. Compressed underground, its body is as hard as steel.</t>
  </si>
  <si>
    <t>They were discovered a hundred years ago in an earthquake fissure. Inside each one is an energy core.</t>
  </si>
  <si>
    <t>The hexagonal-shaped hole is its ear. It has a tendency to walk in the direction the sound is coming from.</t>
  </si>
  <si>
    <t>Born deep within the ground, it compares itself with similar species, such as Geodude and Carbink, to settle which has the hardest body.</t>
  </si>
  <si>
    <t>The hexagonal cavity is its ear. It walks in the direction of sounds it hears, but if the sounds cease, it panics and topples over.</t>
  </si>
  <si>
    <t>The hexagonal hole is its ear. Deep in that ear is an energy core, so if you stick your hand in there, Roggenrola will be very angry!</t>
  </si>
  <si>
    <t>It was found in a fissure in a layer of exposed rock. The material that makes up its body is dirt from several hundred years ago.</t>
  </si>
  <si>
    <t>It’s as hard as steel, but apparently a long soak in water will cause it to soften a bit.</t>
  </si>
  <si>
    <t>Sen pörröinen villa hankautuu yhteen ja varaa staattisen sähkön. Mitä enemmän energiaa latautuu, sitä kirkkaammin sen pyrstön kärjessä oleva hehkulamppu hehkuu.</t>
  </si>
  <si>
    <t>When it detects a noise, it starts to move. The energy core inside it makes this Pokémon slightly warm to the touch.</t>
  </si>
  <si>
    <t>When it overflows with power, the orange crystal on its body glows. It looks for underground water in caves.</t>
  </si>
  <si>
    <t>Jos sen kehoon kertyy staattista sähköä, sen fleecevuori kaksinkertaistuu tilavuudeltaan. Sen koskettaminen aiheuttaa sähköiskun.</t>
  </si>
  <si>
    <t>Because its energy was too great to be contained, the energy leaked and formed orange crystals.</t>
  </si>
  <si>
    <t>When it is healthy, its core sticks out. Always facing the same way, it swiftly moves front to back and left to right.</t>
  </si>
  <si>
    <t>Sen pörröinen turkki turpoaa kaksinkertaiseksi staattisen sähkön kertyessä. Sen koskettaminen voi olla järkyttävää.</t>
  </si>
  <si>
    <t>Its orange crystal is a mass of energy. Just one crystal fragment would provide enough fuel for a hundred dump trucks.</t>
  </si>
  <si>
    <t>It explores caves in search of underground water. It’s not comfortable around water, so this Pokémon takes great care in lapping it up.</t>
  </si>
  <si>
    <t>The energy overflowing from its body has turned into orange crystals that are hard enough to smash diamonds.</t>
  </si>
  <si>
    <t>Its orange crystals are lumps of powerful energy. They’re valuable, so Boldore is sometimes targeted for them.</t>
  </si>
  <si>
    <t>If you see its orange crystals start to glow, be wary. It’s about to fire off bursts of energy.</t>
  </si>
  <si>
    <t>It relies on sound in order to monitor what’s in its vicinity. When angered, it will attack without ever changing the direction it’s facing.</t>
  </si>
  <si>
    <t>Compressing the energy from its internal core lets it fire off an attack capable of blowing away a mountain.</t>
  </si>
  <si>
    <t>The solar energy absorbed by its body’s orange crystals is magnified internally and fired from its mouth.</t>
  </si>
  <si>
    <t>Kun kylmä sää lisää staattista sähköä, sen villa kaksinkertaistuu kooltaan ja sen hännänpää hehkuu hieman.</t>
  </si>
  <si>
    <t>The solar rays it absorbs are processed in its energy core and fired as a ball of light.</t>
  </si>
  <si>
    <t>The blasts of energy it makes from sunbeams have terrifying power. However, it’s not able to fire its blasts at night or on rainy days.</t>
  </si>
  <si>
    <t>Known for its hefty horsepower, this Pokémon is a popular partner for construction workers.</t>
  </si>
  <si>
    <t>When it fires off energy with all its might, the power creates countless fissures on its body.</t>
  </si>
  <si>
    <t>It absorbs rays of sunlight and shoots out energy. It’s usually lurking deep beneath the surface.</t>
  </si>
  <si>
    <t>This hardy Pokémon can often be found on construction sites and in mines, working alongside people and Copperajah.</t>
  </si>
  <si>
    <t>Although its energy blasts can blow away a dump truck, they have a limitation— they can only be fired when the sun is out.</t>
  </si>
  <si>
    <t>Its habitat is dark forests and caves. It emits ultrasonic waves from its nose to learn about its surroundings.</t>
  </si>
  <si>
    <t>Suction from its nostrils enables it to stick to cave walls during sleep. It leaves a heart-shaped mark behind.</t>
  </si>
  <si>
    <t>The heart-shaped mark left on a body after a Woobat has been attached to it is said to bring good fortune.</t>
  </si>
  <si>
    <t>While inside a cave, if you look up and see lots of heart-shaped marks lining the walls, it’s evidence that Woobat live there.</t>
  </si>
  <si>
    <t>It emits ultrasonic waves as it flutters about, searching for its prey—bug Pokémon.</t>
  </si>
  <si>
    <t>It emits sound waves of various frequencies from its nose, including some powerful enough to destroy rocks.</t>
  </si>
  <si>
    <t>Mareepin pörröinen villaturkki hankautuu yhteen ja varaa staattisen sähkön. Mitä enemmän staattista sähköä sen hännänpäässä on, sitä kirkkaammin sen pyrstönpäässä oleva hehkulamppu hehkuu.</t>
  </si>
  <si>
    <t>Anyone who comes into contact with the ultrasonic waves emitted by a courting male experiences a positive mood shift.</t>
  </si>
  <si>
    <t>It shakes its tail vigorously when it emits ultrasonic waves strong enough to reduce concrete to rubble.</t>
  </si>
  <si>
    <t>Emitting powerful sound waves tires it out. Afterward, it won’t be able to fly for a little while.</t>
  </si>
  <si>
    <t>The auspicious shape of this Pokémon’s nose apparently led some regions to consider Swoobat a symbol of good luck.</t>
  </si>
  <si>
    <t>It can dig through the ground at a speed of 30 mph. It could give a car running aboveground a good race.</t>
  </si>
  <si>
    <t>Mareepin fleecekankaasta valmistetut vaatteet latautuvat helposti staattisella sähköllä, joten niihin käytetään erityistä prosessia.</t>
  </si>
  <si>
    <t>It makes its way swiftly through the soil by putting both claws together and rotating at high speed.</t>
  </si>
  <si>
    <t>By spinning its body, it can dig straight through the ground at a speed of 30 mph.</t>
  </si>
  <si>
    <t>It brings its claws together and whirls around at high speed before rushing toward its prey.</t>
  </si>
  <si>
    <t>Sen fleecen hankaaminen tuottaa sähköä. Haluat varmasti silittää sitä, koska se on söpö, mutta jos käytät sitä paljaalla kädellä, saat tuskallisen sähköiskun.</t>
  </si>
  <si>
    <t>It’s a digger, using its claws to burrow through the ground. It causes damage to vegetable crops, so many farmers have little love for it.</t>
  </si>
  <si>
    <t>It can help in tunnel construction. Its drill has evolved into steel strong enough to bore through iron plates.</t>
  </si>
  <si>
    <t>Flaaffy</t>
  </si>
  <si>
    <t>More than 300 feet below the surface, they build mazelike nests. Their activity can be destructive to subway tunnels.</t>
  </si>
  <si>
    <t>Liian suuren sähkön varastoinnin seurauksena sille kehittyi laikkuja, joilla edes untuvainen villa ei kasva.</t>
  </si>
  <si>
    <t>Forming a drill with its steel claws and head, it can bore through a steel plate, no matter how thick it is.</t>
  </si>
  <si>
    <t>https://pokeapi.co/api/v2/pokemon-species/139/</t>
  </si>
  <si>
    <t>It’s not uncommon for tunnels that appear to have formed naturally to actually be a result of Excadrill’s rampant digging.</t>
  </si>
  <si>
    <t>Sen pörröinen fleece varastoi helposti sähköä. Sen kumimainen nahka estää sähköiskun.</t>
  </si>
  <si>
    <t>Known as the Drill King, this Pokémon can tunnel through the terrain at speeds of over 90 mph.</t>
  </si>
  <si>
    <t>It touches others with the feelers on its ears, using the sound of their heartbeats to tell how they are feeling.</t>
  </si>
  <si>
    <t>Its auditory sense is astounding. It has a radarlike ability to understand its surroundings through slight sounds.</t>
  </si>
  <si>
    <t>Using the feelers on its ears, it can tell how someone is feeling or when an egg might hatch.</t>
  </si>
  <si>
    <t>Kumisen ja sähköä kestävän ihonsa ansiosta se voi varastoida paljon sähköä turkkiinsa.</t>
  </si>
  <si>
    <t>Audino’s sense of hearing is superb. Not even a pebble rolling along over a mile away will escape Audino’s ears.</t>
  </si>
  <si>
    <t>This Pokémon has a kind heart. By touching with its feelers, Audino can gauge other creatures’ feelings and physical conditions.</t>
  </si>
  <si>
    <t>It fights by swinging a piece of lumber around. It is close to evolving when it can handle the lumber without difficulty.</t>
  </si>
  <si>
    <t>FLAAFFYn villan laatu muuttuu siten, että se voi tuottaa paljon staattista sähköä pienellä villamäärällä. Sen nahan paljaat ja liukkaat osat on suojattu sähköltä.</t>
  </si>
  <si>
    <t>These Pokémon appear at building sites and help out with construction. They always carry squared logs.</t>
  </si>
  <si>
    <t>Always carrying squared logs, they help out with construction. As they grow, they carry bigger logs.</t>
  </si>
  <si>
    <t>It loves helping out with construction projects. It loves it so much that if rain causes work to halt, it swings its log around and throws a tantrum.</t>
  </si>
  <si>
    <t>Timburr that have started carrying logs that are about three times their size are nearly ready to evolve.</t>
  </si>
  <si>
    <t>Sen fleecen laatu muuttuu ja pieni määrä villaa tuottaa voimakasta staattista sähköä. Sen nahan paljaat, liukkaat osat ovat suojattuja sähköltä.</t>
  </si>
  <si>
    <t>This Pokémon is so muscular and strongly built that even a group of wrestlers could not make it budge an inch.</t>
  </si>
  <si>
    <t>They strengthen their bodies by carrying steel beams. They show off their big muscles to their friends.</t>
  </si>
  <si>
    <t>With strengthened bodies, they skillfully wield steel beams to take down buildings.</t>
  </si>
  <si>
    <t>It shows off its muscles to Machoke and other Gurdurr. If it fails to measure up to the other Pokémon, it lies low for a little while.</t>
  </si>
  <si>
    <t>Jos sen turkki latautuu täyteen sähköllä, sen pyrstö syttyy. Se ampuu karvoja, jotka lentävät iskusta irti.</t>
  </si>
  <si>
    <t>Gurdurr excels at demolition—construction is not its forte. In any case, there’s skill in the way this Pokémon wields its metal beam.</t>
  </si>
  <si>
    <t>It is thought that Conkeldurr taught humans how to make concrete more than 2,000 years ago.</t>
  </si>
  <si>
    <t>They use concrete pillars as walking canes. They know moves that enable them to swing the pillars freely in battle.</t>
  </si>
  <si>
    <t>Rather than rely on force, they master moves that utilize the centrifugal force of spinning concrete.</t>
  </si>
  <si>
    <t>Concrete mixed by Conkeldurr is much more durable than normal concrete, even when the compositions of the two materials are the same.</t>
  </si>
  <si>
    <t>When going all out, this Pokémon throws aside its concrete pillars and leaps at opponents to pummel them with its fists.</t>
  </si>
  <si>
    <t>They warn others of danger by vibrating their cheeks to create a high-pitched sound.</t>
  </si>
  <si>
    <t>By vibrating its cheeks, it emits sound waves imperceptible to humans. It uses the rhythm of these sounds to talk.</t>
  </si>
  <si>
    <t>By vibrating its cheeks, it emits sound waves imperceptible to humans and warns others of danger.</t>
  </si>
  <si>
    <t>Graceful ripples running across the water’s surface are a sure sign that Tympole are singing in high-pitched voices below.</t>
  </si>
  <si>
    <t>It uses sound waves to communicate with others of its kind. People and other Pokémon species can’t hear its cries of warning.</t>
  </si>
  <si>
    <t>When they vibrate the bumps on their heads, they can make waves in water or earthquake-like vibrations on land.</t>
  </si>
  <si>
    <t>Sen kumimaisilla, sähköä johtamattomilla ihoalueilla, jotka estävät sähköiskun, ei kasva edes untuvainen villa.</t>
  </si>
  <si>
    <t>It lives in the water and on land. It uses its long, sticky tongue to capture prey.</t>
  </si>
  <si>
    <t>It lives in the water and on land. It uses its long, sticky tongue to immobilize its opponents.</t>
  </si>
  <si>
    <t>It weakens its prey with sound waves intense enough to cause headaches, then entangles them with its sticky tongue.</t>
  </si>
  <si>
    <t>Flaaffyn villan laatu muuttuu niin, että se voi tuottaa paljon staattista sähköä pienellä villamäärällä. Sen nahan paljaat ja liukkaat osat ovat suojattuja sähköltä.</t>
  </si>
  <si>
    <t>On occasion, their cries are sublimely pleasing to the ear. Palpitoad with larger lumps on their bodies can sing with a wider range of sounds.</t>
  </si>
  <si>
    <t>Niissä kehon kohdissa, joissa villaa ei kasva, sen iho on kumimaista eikä johda sähköä. Näitä kohtia on turvallista koskettaa.</t>
  </si>
  <si>
    <t>They shoot paralyzing liquid from their head bumps. They use vibration to hurt their opponents.</t>
  </si>
  <si>
    <t>Se varastoi sähköä pörröiseen fleeceensä. Jos se varastoi liikaa, se alkaa kaljuuntua noista kohdista.</t>
  </si>
  <si>
    <t>It increases the power of its punches by vibrating the bumps on its fists. It can turn a boulder to rubble with one punch.</t>
  </si>
  <si>
    <t>Ampharos</t>
  </si>
  <si>
    <t>Hännän kärki loistaa kirkkaasti ja näkyy kaukaa. Se toimii majakkana eksyneille.</t>
  </si>
  <si>
    <t>By putting power into its bumps, it creates vibrations and increases the power of its punches.</t>
  </si>
  <si>
    <t>The vibrating of the bumps all over its body causes earthquake-like tremors. Seismitoad and Croagunk are similar species.</t>
  </si>
  <si>
    <t>Sen pyrstön kirkas valo näkyy kauas. Sitä on vaalittu majakkana muinaisista ajoista lähtien.</t>
  </si>
  <si>
    <t>This Pokémon is popular among the elderly, who say the vibrations of its lumps are great for massages.</t>
  </si>
  <si>
    <t>Kun hämärtyy, sen kirkkaan, kiiltävän pyrstön valo näkyy kaukaa meren pinnalla.</t>
  </si>
  <si>
    <t>When it tightens its belt, it becomes stronger. Wild Throh use vines to weave their own belts.</t>
  </si>
  <si>
    <t>AMPHAROS säteilee niin paljon valoa, että se näkyy jopa avaruudesta. Ennen vanhaan ihmiset käyttivät tämän POKéMONin valoa lähettääkseen signaaleja edestakaisin kaukaisten POKéMONien kanssa.</t>
  </si>
  <si>
    <t>When they encounter foes bigger than themselves, they try to throw them. They always travel in packs of five.</t>
  </si>
  <si>
    <t>When it encounters a foe bigger than itself, it wants to throw it. It changes belts as it gets stronger.</t>
  </si>
  <si>
    <t>It performs throwing moves with first-rate skill. Over the course of many battles, Throh’s belt grows darker as it absorbs its wearer’s sweat.</t>
  </si>
  <si>
    <t>Se säteilee niin paljon valoa, että se näkyy jopa avaruudesta. Ennen vanhaan ihmiset käyttivät sen valoa lähettääkseen signaaleja edestakaisin kaukaisten ihmisten kanssa.</t>
  </si>
  <si>
    <t>They train in groups of five. Any member that can’t keep up will discard its belt and leave the group.</t>
  </si>
  <si>
    <t>The sound of Sawk punching boulders and trees can be heard all the way from the mountains where they train.</t>
  </si>
  <si>
    <t>Tying their belts gets them pumped and makes their punches more destructive. Disturbing their training angers them.</t>
  </si>
  <si>
    <t>Desiring the strongest karate chop, they seclude themselves in mountains and train without sleeping.</t>
  </si>
  <si>
    <t>Sen pyrstönpää loistaa kirkkaasti. Ennen vanhaan ihmiset lähettivät signaaleja pyrstön valon avulla.</t>
  </si>
  <si>
    <t>If you see a Sawk training in the mountains in its single-minded pursuit of strength, it’s best to quietly pass by.</t>
  </si>
  <si>
    <t>The karate chops of a Sawk that’s trained itself to the limit can cleave the ocean itself.</t>
  </si>
  <si>
    <t>Leavanny dress it in clothes they made for it when it hatched. It hides its head in its hood while it is sleeping.</t>
  </si>
  <si>
    <t>This Pokémon makes clothes for itself. It chews up leaves and sews them with sticky thread extruded from its mouth.</t>
  </si>
  <si>
    <t>Since this Pokémon makes its own clothes out of leaves, it is a popular mascot for fashion designers.</t>
  </si>
  <si>
    <t>Forests where Swadloon live have superb foliage because the nutrients they make from fallen leaves nourish the plant life.</t>
  </si>
  <si>
    <t>https://pokeapi.co/api/v2/pokemon-species/140/</t>
  </si>
  <si>
    <t>It protects itself from the cold by wrapping up in leaves. It stays on the move, eating leaves in forests.</t>
  </si>
  <si>
    <t>Preferring dark, damp places, it spends the entire day eating fallen leaves that lie around it.</t>
  </si>
  <si>
    <t>Upon finding a small Pokémon, it weaves clothing for it from leaves, using the cutters on its arms and sticky silk.</t>
  </si>
  <si>
    <t>It keeps its eggs warm with heat from fermenting leaves. It also uses leaves to make warm wrappings for Sewaddle.</t>
  </si>
  <si>
    <t>Sen pyrstönkärki loistaa niin kirkkaasti, että sitä voidaan käyttää merimerkkien lähettämiseen kaukaisille vieraille rannoille.</t>
  </si>
  <si>
    <t>Upon finding a small Pokémon, it weaves clothing for it from leaves by using the sticky silk secreted from its mouth.</t>
  </si>
  <si>
    <t>Its bite injects a potent poison, enough to paralyze large bird Pokémon that try to prey on it.</t>
  </si>
  <si>
    <t>It discovers what is going on around it by using the feelers on its head and tail. It is brutally aggressive.</t>
  </si>
  <si>
    <t>Using the feelers on its head and tail, it picks up vibrations in the air to determine its prey’s location and state.</t>
  </si>
  <si>
    <t>Venipede and Sizzlipede are similar species, but when the two meet, a huge fight ensues.</t>
  </si>
  <si>
    <t>Ampharos säteilee niin paljon valoa, että se näkyy jopa avaruudesta. Vanhaan aikaan ihmiset käyttivät tämän Pokémonin valoa lähettääkseen signaaleja edestakaisin kaukaisten Pokémonien kanssa.</t>
  </si>
  <si>
    <t>Its fangs are highly venomous. If this Pokémon finds prey it thinks it can eat, it leaps for them without any thought of how things might turn out.</t>
  </si>
  <si>
    <t>Protected by a hard shell, it spins its body like a wheel and crashes furiously into its enemies.</t>
  </si>
  <si>
    <t>It is usually motionless, but when attacked, it rotates at high speed and then crashes into its opponent.</t>
  </si>
  <si>
    <t>Sen pyrstön valo näkyy avaruudesta. Siksi sen sijainti on aina nähtävissä, minkä vuoksi se yleensä pitää valon sammutettuna.</t>
  </si>
  <si>
    <t>Storing energy for evolution, it sits. But, when predators approach, it moves to stab them with poison spikes.</t>
  </si>
  <si>
    <t>Sen pyrstö loistaa kirkkaasti ja voimakkaasti. Sitä on arvostettu merimiesten majakkana jo kauan sitten.</t>
  </si>
  <si>
    <t>This Pokémon spins itself rapidly and charges into its opponents. Its top speed is just over 60 mph.</t>
  </si>
  <si>
    <t>Bellossom</t>
  </si>
  <si>
    <t>Whirlipede protects itself with a sturdy shell and poisonous spikes while it stores up the energy it’ll need for evolution.</t>
  </si>
  <si>
    <t>BELLOSSOM kokoontuu ajoittain ja näyttää tanssivan. Heidän sanotaan, että tanssi on rituaali auringon kutsumiseksi.</t>
  </si>
  <si>
    <t>With quick movements, it chases down its foes, attacking relentlessly with its horns until it prevails.</t>
  </si>
  <si>
    <t>Runsas tropiikissa. Tanssiessaan sen terälehdet hankautuvat yhteen ja muodostavat miellyttävän soivan äänen.</t>
  </si>
  <si>
    <t>Highly aggressive, it uses the claws near its neck to dig into its opponents and poison them.</t>
  </si>
  <si>
    <t>Kun nämä tanssivat yhdessä, niiden terälehdet hankautuvat toisiaan vasten ja tuottavat kauniita, rentouttavia ääniä.</t>
  </si>
  <si>
    <t>It clasps its prey with the claws on its neck until it stops moving. Then it finishes it off with deadly poison.</t>
  </si>
  <si>
    <t>Scolipede latches on to its prey with the claws on its neck before slamming them into the ground and jabbing them with its claws’ toxic spikes.</t>
  </si>
  <si>
    <t>Kun BELLOSSOM altistuu runsaalle auringonvalolle, sen kehoa ympäröivät lehdet alkavat pyöriä. Tämän POKéMONin tanssiminen on tunnettua eteläisillä alueilla.</t>
  </si>
  <si>
    <t>Scolipede engage in fierce territorial battles with Centiskorch. At the end of one of these battles, the victor makes a meal of the loser.</t>
  </si>
  <si>
    <t>When attacked, it escapes by shooting cotton from its body. The cotton serves as a decoy to distract the attacker.</t>
  </si>
  <si>
    <t>They go wherever the wind takes them. On rainy days, their bodies are heavier, so they take shelter beneath big trees.</t>
  </si>
  <si>
    <t>BELLOSSOM kukkii kauniimmin, jos se on kehittynyt haisevasta synkkyydestä – mitä haisevampi, sen parempi. Yöllä tämä POKéMON sulkee terälehtensä ja nukahtaa.</t>
  </si>
  <si>
    <t>Perhaps because they feel more at ease in a group, they stick to others they find. They end up looking like a cloud.</t>
  </si>
  <si>
    <t>When it finds others of its kind, they all stick together. When enough of them have collected, the mass resembles a cumulonimbus cloud.</t>
  </si>
  <si>
    <t>Sen kukkaterälehdet syventyvät auringonvalon vaikutuksesta. Pilvisellä säällä se tanssii, jonka uskotaan olevan auringon kutsumiseen tarkoitettu rituaali.</t>
  </si>
  <si>
    <t>Pillows and beds stuffed with cotton exhaled by Cottonee are soft and puffy, light and airy— altogether top quality.</t>
  </si>
  <si>
    <t>To protect itself, it shoots cotton from its body. When it gets wet in the rain, its cotton grows moist and heavy, and it can’t move as well.</t>
  </si>
  <si>
    <t>When attacked, it expels cotton from its body to create a diversion. The cotton it loses grows back in quickly.</t>
  </si>
  <si>
    <t>It shoots cotton from its body to protect itself. If it gets caught up in hurricane-strength winds, it can get sent to the other side of the Earth.</t>
  </si>
  <si>
    <t>Weaving together the cotton of both Cottonee and Eldegoss produces exquisite cloth that’s highly prized by many luxury brands.</t>
  </si>
  <si>
    <t>Like the wind, it can slip through any gap, no matter how small. It leaves balls of white fluff behind.</t>
  </si>
  <si>
    <t>Riding whirlwinds, they appear. These Pokémon sneak through gaps into houses and cause all sorts of mischief.</t>
  </si>
  <si>
    <t>They appear along with whirlwinds. They pull pranks, such as moving furniture and leaving balls of cotton in homes.</t>
  </si>
  <si>
    <t>Kun rankkasadekausi päättyy, lämmin auringonvalo vetää sen tanssimaan ulkona.</t>
  </si>
  <si>
    <t>It rides on the wind and slips into people’s homes. After it has turned a room into a cotton- filled mess, it giggles to itself and takes off.</t>
  </si>
  <si>
    <t>This Pokémon appears, riding upon the wind. But if the wind gusts up, it’ll blow the cotton on this Pokémon’s head clean off.</t>
  </si>
  <si>
    <t>This nuisance sneaks into people’s homes, where it hides important things and scatters cotton all over the place.</t>
  </si>
  <si>
    <t>Whimsicott doesn’t live in a fixed location. It floats around on whirling winds, appearing all over the place to perform its mischief.</t>
  </si>
  <si>
    <t>It scatters cotton all over the place as a prank. If it gets wet, it’ll become too heavy to move and have no choice but to answer for its mischief.</t>
  </si>
  <si>
    <t>As long as this Pokémon bathes in sunlight, its cotton keeps growing. If too much cotton fluff builds up, Whimsicott tears it off and scatters it.</t>
  </si>
  <si>
    <t>The leaves on its head are very bitter. Eating one of these leaves is known to refresh a tired body.</t>
  </si>
  <si>
    <t>Since they prefer moist, nutrient-rich soil, the areas where Petilil live are known to be good for growing plants.</t>
  </si>
  <si>
    <t>BELLOSSOM kokoontuu ajoittain ja näyttää tanssivan. He sanovat, että tanssi on rituaali auringon kutsumiseksi.</t>
  </si>
  <si>
    <t>The leaves on its head grow right back even if they fall out. These bitter leaves refresh those who eat them.</t>
  </si>
  <si>
    <t>Although the leaves on its head are bitter enough to cause dizziness, they provide relief from weariness—even more so when boiled.</t>
  </si>
  <si>
    <t>By pruning the leaves on its head with regularity, this Pokémon can be grown into a fine plump shape.</t>
  </si>
  <si>
    <t>https://pokeapi.co/api/v2/pokemon-species/141/</t>
  </si>
  <si>
    <t>Some say if you dry the leaves on its head, boil them down, and drink the infusion, your vigor will return, so Petilil is popular with the elderly.</t>
  </si>
  <si>
    <t>They prefer clean water and soil. When the environment they live in turns bad, the whole bunch will up and move to a new area.</t>
  </si>
  <si>
    <t>Petilil appears around sources of clean water. Boiling leaves from this Pokémon’s head results in a liquid that’s sometimes used as a bug repellent.</t>
  </si>
  <si>
    <t>The deeper the color of a Petilil’s leaves, the healthier the Pokémon is. Petilil sometimes makes its home in a well-tended field or flowerbed.</t>
  </si>
  <si>
    <t>The leaves on its head are highly valued for medicinal purposes. Dry the leaves in the sun, boil them, and then drink the bitter decoction for remarkably effective relief from fatigue.</t>
  </si>
  <si>
    <t>Even veteran Trainers face a challenge in getting its beautiful flower to bloom. This Pokémon is popular with celebrities.</t>
  </si>
  <si>
    <t>The fragrance of the garland on its head has a relaxing effect. It withers if a Trainer does not take good care of it.</t>
  </si>
  <si>
    <t>The fragrance of the garland on its head has a relaxing effect, but taking care of it is very difficult.</t>
  </si>
  <si>
    <t>No matter how much time and money is spent raising it, its flowers are the most beautiful when they bloom in the wild.</t>
  </si>
  <si>
    <t>As soon as it finds a male to be its partner, the beautiful flower on its head darkens, droops, and withers away.</t>
  </si>
  <si>
    <t>The fragrance of its flower differs slightly depending on the soil where it grew up. Sniffing the aroma calms your heart and mind.</t>
  </si>
  <si>
    <t>It’s well liked by other Pokémon because of its beauty. The flower on its head needs constant care, or it will soon wither and rot.</t>
  </si>
  <si>
    <t>Bellossom kokoontuu ajoittain ja näyttää tanssivan. Heidän sanotaan, että tanssi on rituaali auringon kutsumiseksi.</t>
  </si>
  <si>
    <t>It’s believed that even first-rate gardeners have a hard time getting the flower on a Lilligant’s head to bloom.</t>
  </si>
  <si>
    <t>Essential oils made from Lilligant flowers have a sublime scent, but they’re also staggeringly expensive.</t>
  </si>
  <si>
    <t>I suspect that its well-developed legs are the result of a life spent on mountains covered in deep snow. The scent it exudes from its flower crown heartens those in proximity.</t>
  </si>
  <si>
    <t>Red and blue Basculin get along so poorly, they’ll start fighting instantly. These Pokémon are very hostile.</t>
  </si>
  <si>
    <t>Red and blue Basculin usually do not get along, but sometimes members of one school mingle with the other’s school.</t>
  </si>
  <si>
    <t>Kun Bellossom altistuu runsaalle auringonvalolle, sen vartaloa ympäröivät lehdet alkavat pyöriä. Tämän Pokémonin tanssi on tunnettua eteläisillä seuduilla.</t>
  </si>
  <si>
    <t>Red- and blue-striped Basculin are very violent and always fighting. They are also remarkably tasty.</t>
  </si>
  <si>
    <t>Savage, violent Pokémon, red and blue Basculin are always fighting each other over territory.</t>
  </si>
  <si>
    <t>When a school of Basculin appears in a lake, everything else disappears, except for Corphish and Crawdaunt. That’s how violent Basculin are.</t>
  </si>
  <si>
    <t>Bellossom kasvattaa kukkia kauniimmin, jos se on kehittynyt haisevasta synkkyydestä – mitä haisevampi, sen parempi. Yöllä tämä Pokémon sulkee terälehtensä ja nukahtaa.</t>
  </si>
  <si>
    <t>Anglers love the fight this Pokémon puts up on the hook. And there are always more to catch— many people release them into lakes illicitly.</t>
  </si>
  <si>
    <t>In the past, it often appeared on the dinner table. The meat of red-striped Basculin is on the fatty side, and it’s more popular with the youth.</t>
  </si>
  <si>
    <t>Though it differs from other Basculin in several respects, including demeanor—this one is gentle—I have categorized it as a regional form given the vast array of shared qualities.</t>
  </si>
  <si>
    <t>Marill</t>
  </si>
  <si>
    <t>Aqua-hiiri-Pokémon</t>
  </si>
  <si>
    <t>They live buried in the sands of the desert. The sun-warmed sands prevent their body temperature from dropping.</t>
  </si>
  <si>
    <t>Sen pyrstönkärki, joka sisältää vettä kevyempää öljyä, antaa sen uida hukkumatta.</t>
  </si>
  <si>
    <t>It moves along below the sand’s surface, except for its nose and eyes. A dark membrane shields its eyes from the sun.</t>
  </si>
  <si>
    <t>They live hidden under hot desert sands in order to keep their body temperature from dropping.</t>
  </si>
  <si>
    <t>Sen pyrstön pää toimii poijuna, joka estää sitä hukkumasta edes voimakkaassa virtauksessa.</t>
  </si>
  <si>
    <t>It submerges itself in sand and moves as if swimming. This wise behavior keeps its enemies from finding it and maintains its temperature.</t>
  </si>
  <si>
    <t>It conceals itself in the sand and chomps down on the legs of any prey that unwarily walk over it. Its favorite food is Trapinch.</t>
  </si>
  <si>
    <t>Sen turkki hylkii luonnostaan ​​vettä. Se pysyy kuivana, jopa leikkiessään vedessä.</t>
  </si>
  <si>
    <t>Alola, where it’s warm all year round, is a comfortable environment for this Pokémon. Sometimes you’ll even see it outside of deserts.</t>
  </si>
  <si>
    <t>Sandile’s still not good at hunting, so it mostly eats things that have collapsed in the desert. It’s called “the cleaner of the desert.”</t>
  </si>
  <si>
    <t>MARILLin öljyinen pyrstö toimii paljolti pelastusrenkaan tavoin. Jos näet jo pelkästään sen pyrstön kelluvan veden pinnalla, se on varma merkki siitä, että tämä POKéMON sukeltaa veden alle syömään vesikasveja.</t>
  </si>
  <si>
    <t>The desert gets cold at night, so when the sun sets, this Pokémon burrows deep into the sand and sleeps until sunrise.</t>
  </si>
  <si>
    <t>Kun MARILL kalastaa ruokaa nopeasti virtaavan puron reunalla, se kietoo pyrstönsä puun rungon ympärille. Tämän POKéMONin häntä on joustava ja venyvä.</t>
  </si>
  <si>
    <t>Sandile is small, but its legs and lower body are powerful. Pushing sand aside as it goes, Sandile moves through the desert as if it’s swimming.</t>
  </si>
  <si>
    <t>They live in groups of a few individuals. Protective membranes shield their eyes from sandstorms.</t>
  </si>
  <si>
    <t>Sen ruumis on peitetty vettähylkivällä turkilla. Turkin ansiosta se voi uida vedessä suurella nopeudella veden vastuksen hidastumatta.</t>
  </si>
  <si>
    <t>The special membrane covering its eyes can sense the heat of objects, so it can see its surroundings even in darkness.</t>
  </si>
  <si>
    <t>Protected by thin membranes, their eyes can see even in the dead of night. They live in groups of a few individuals.</t>
  </si>
  <si>
    <t>They move in groups of a few individuals. A female is often the leader of the group, and the males will gather food.</t>
  </si>
  <si>
    <t>Sen pyrstönpää, joka sisältää vettä kevyempää öljyä, antaa sen uida hukkumatta.</t>
  </si>
  <si>
    <t>Thanks to the special membrane covering its eyes, it can see its surroundings clearly, even in the middle of the night.</t>
  </si>
  <si>
    <t>Se sukeltaa veden alla käyttäen pyrstöään kellukkeena. Se syö mielellään jokien pohjassa kasvavia kasveja.</t>
  </si>
  <si>
    <t>Krokorok really hates it when its body gets cold. On nights when the temperature drops, it digs deep into the desert sands.</t>
  </si>
  <si>
    <t>Sen pyrstön kärki on täynnä vettä kevyempää öljyä, joten se toimii kellukkeena.</t>
  </si>
  <si>
    <t>It buries some of its prey in the sand to use as emergency meals when its hunts are unsuccessful.</t>
  </si>
  <si>
    <t>Krokorok has specialized eyes that enable it to see in the dark. This ability lets Krokorok hunt in the dead of night without getting lost.</t>
  </si>
  <si>
    <t>Although this Pokémon has specialized eyes that allow it to see in the dark, Krokorok won’t move much at night—the desert gets cold after sunset.</t>
  </si>
  <si>
    <t>Öljyinen pyrstönpää kelluu vedessä. Se estää MARILLia hukkumasta edes voimakkaassa virtauksessa.</t>
  </si>
  <si>
    <t>They never allow prey to escape. Their jaws are so powerful, they can crush the body of an automobile.</t>
  </si>
  <si>
    <t>It can expand the focus of its eyes, enabling it to see objects in the far distance as if it were using binoculars.</t>
  </si>
  <si>
    <t>Very violent Pokémon, they try to clamp down on anything that moves in front of their eyes.</t>
  </si>
  <si>
    <t>Its unique faculty of sight can detect small prey more than 30 miles away, even in the midst of a sandstorm.</t>
  </si>
  <si>
    <t>After clamping down with its powerful jaws, it twists its body around to rip its prey in half.</t>
  </si>
  <si>
    <t>When it spots prey, even at a distance of over 30 miles, it swims through the desert as if it were water, then jumps out and chomps them.</t>
  </si>
  <si>
    <t>Öljyinen pyrstönpää kelluu vedessä. Se estää Marillia hukkumasta edes voimakkaassa virtauksessa.</t>
  </si>
  <si>
    <t>It conceals itself in sandstorms that Flygon whip up and waits patiently for prey to appear.</t>
  </si>
  <si>
    <t>This Pokémon is known as the Bully of the Sands. Krookodile’s mighty jaws can bite through heavy plates of iron with almost no effort at all.</t>
  </si>
  <si>
    <t>While terribly aggressive, Krookodile also has the patience to stay hidden under sand for days, lying in wait for prey.</t>
  </si>
  <si>
    <t>Öljyllä täytetty pyrstö toimii poijuna, joten se sopii hyvin myös voimakkaissa joissa.</t>
  </si>
  <si>
    <t>When its internal fire is burning, it cannot calm down and it runs around. When the fire diminishes, it falls asleep.</t>
  </si>
  <si>
    <t>Darumaka’s droppings are hot, so people used to put them in their clothes to keep themselves warm.</t>
  </si>
  <si>
    <t>When it sleeps, it pulls its limbs into its body and its internal fire goes down to 1,100° F.</t>
  </si>
  <si>
    <t>When it sleeps, it pulls its limbs into its body and its internal fire goes down to 1,100 degrees Fahrenheit.</t>
  </si>
  <si>
    <t>It derives its power from fire burning inside its body. If the fire dwindles, this Pokémon will immediately fall asleep.</t>
  </si>
  <si>
    <t>Marillin öljyinen häntä toimii paljolti pelastusrenkaan tavoin. Jos näet vain sen hännän kelluvan veden pinnalla, se on varma merkki siitä, että tämä Pokémon sukeltaa veden alle syömään vesikasveja.</t>
  </si>
  <si>
    <t>This popular symbol of good fortune will never fall over in its sleep, no matter how it’s pushed or pulled.</t>
  </si>
  <si>
    <t>Kun Marill kalastaa ruokaa nopeasti virtaavan puron reunalla, se kietoo häntänsä puun rungon ympärille. Tämän Pokémonin häntä on joustava ja muotoiltu venymään.</t>
  </si>
  <si>
    <t>Its internal fire burns at 2,500° F, making enough power that it can destroy a dump truck with one punch.</t>
  </si>
  <si>
    <t>When weakened in battle, it transforms into a stone statue. Then it sharpens its mind and fights on mentally.</t>
  </si>
  <si>
    <t>Tämä Pokémon käyttää pyöreää häntäänsä kellukkeena. Marillin hännän pallo on täynnä ravinteita, jotka on muutettu öljyksi.</t>
  </si>
  <si>
    <t>When one is injured in a fierce battle, it hardens into a stone-like form. Then it meditates and sharpens its mind.</t>
  </si>
  <si>
    <t>https://pokeapi.co/api/v2/pokemon-species/142/</t>
  </si>
  <si>
    <t>Vaikka Marill ui kylmässä meressä, sen vettähylkivä turkki kuivuu lähes heti Marillin noustua vedestä. Siksi tämä Pokémon ei ole koskaan kylmä.</t>
  </si>
  <si>
    <t>Its internal fire burns at 2,500 degrees Fahrenheit, making enough power that it can destroy a dump truck with one punch.</t>
  </si>
  <si>
    <t>Azumarill</t>
  </si>
  <si>
    <t>Vesijänis-Pokémon</t>
  </si>
  <si>
    <t>Pysymällä paikallaan ja kuuntelemalla tarkkaavaisesti se voi kertoa, mitä on jopa villeissä, nopeasti virtaavissa joissa.</t>
  </si>
  <si>
    <t>The thick arms of this hot-blooded Pokémon can deliver punches capable of obliterating a dump truck.</t>
  </si>
  <si>
    <t>Kun se leikkii vedessä, se kääntää pitkänomaiset korvansa ylös estääkseen niiden sisäpuolen kastumisen.</t>
  </si>
  <si>
    <t>This Pokémon’s power level rises along with the temperature of its fire, which can reach 2,500 degrees Fahrenheit.</t>
  </si>
  <si>
    <t>Vatsan kuplamainen kuvio auttaa sitä naamioimaan itsensä vedessä.</t>
  </si>
  <si>
    <t>It uses an up-tempo song and dance to drive away the bird Pokémon that prey on its flower seeds.</t>
  </si>
  <si>
    <t>Arid regions are their habitat. They move rhythmically, making a sound similar to maracas.</t>
  </si>
  <si>
    <t>AZUMARILLin pitkät korvat ovat korvaamattomia antureita. Keskittämällä kuuloaan tämä POKéMON pystyy tunnistamaan ympärillä olevia saaliseläimiä jopa kovaäänisissä ja nopeasti virtaavissa joissa.</t>
  </si>
  <si>
    <t>When it moves rhythmically, it makes a sound similar to maracas, making the surprised Pokémon flee.</t>
  </si>
  <si>
    <t>AZUMARILL osaa tehdä ilmapalloja ilmasta. Se tekee näitä ilmapalloja, jos se havaitsee hukkuvan POKéMONin. Ilmapallot mahdollistavat pulassa olevan POKéMONin hengittämisen.</t>
  </si>
  <si>
    <t>With noises that could be mistaken for the rattles of maracas, it creates an upbeat rhythm, startling bird Pokémon and making them fly off in a hurry.</t>
  </si>
  <si>
    <t>Se elää vedessä käytännössä koko päivän. Sen ruumiin väri ja kuvio toimivat naamiointina, minkä vuoksi vihollisten on vaikea havaita sitä vedessä.</t>
  </si>
  <si>
    <t>Once each year, this Pokémon scatters its seeds. They’re jam-packed with nutrients, making them a precious food source out in the desert.</t>
  </si>
  <si>
    <t>This Pokémon can easily melt holes in hard rocks with a liquid secreted from its mouth.</t>
  </si>
  <si>
    <t>It makes a hole in a suitable rock. If that rock breaks, the Pokémon remains agitated until it locates a replacement.</t>
  </si>
  <si>
    <t>Pysymällä paikallaan ja kuuntelemalla tarkkaavaisesti se voi jopa kertoa, mitä on villeissä, nopeasti virtaavissa joissa.</t>
  </si>
  <si>
    <t>When it finds a stone of a suitable size, it secretes a liquid from its mouth to open up a hole to crawl into.</t>
  </si>
  <si>
    <t>Se elää joissa ja järvissä. Vedessä sen väritys ja kuviot hämäävät vihollisten näkökyvyn.</t>
  </si>
  <si>
    <t>When it finds a stone appealing, it creates a hole inside it and uses it as its home. This Pokémon is the natural enemy of Roggenrola and Rolycoly.</t>
  </si>
  <si>
    <t>It first tries to find a rock to live in, but if there are no suitable rocks to be found, Dwebble may move in to the ports of a Hippowdon.</t>
  </si>
  <si>
    <t>Sen pitkät korvat ovat erinomaisia ​​aistimia. Se pystyy erottamaan elävien olentojen liikkeet joenuomissa.</t>
  </si>
  <si>
    <t>Competing for territory, Crustle fight viciously. The one whose boulder is broken is the loser of the battle.</t>
  </si>
  <si>
    <t>Se voi viettää koko päivän vedessä, koska se voi hengittää ja varastoida suuren määrän ilmaa.</t>
  </si>
  <si>
    <t>It possesses legs of enormous strength, enabling it to carry heavy slabs for many days, even when crossing arid land.</t>
  </si>
  <si>
    <t>When its boulder is broken in battles for territory, it feels unsure and begins to weaken.</t>
  </si>
  <si>
    <t>This highly territorial Pokémon prefers dry climates. It won’t come out of its boulder on rainy days.</t>
  </si>
  <si>
    <t>Its thick claws are its greatest weapons. They’re mighty enough to crack Rhyperior’s carapace.</t>
  </si>
  <si>
    <t>Its skin has a rubbery elasticity, so it can reduce damage by defensively pulling its skin up to its neck.</t>
  </si>
  <si>
    <t>It immediately headbutts anyone that makes eye contact with it. Its skull is massively thick.</t>
  </si>
  <si>
    <t>Proud of its sturdy skull, it suddenly headbutts everything, but its weight makes it unstable, too.</t>
  </si>
  <si>
    <t>They move in small groups, walking around lazily. Anyone who makes eye contact gets smacked with a headbutt.</t>
  </si>
  <si>
    <t>It stretches its saggy skin up to its neck to protect itself. The saggier their skin, the more respect they garner.</t>
  </si>
  <si>
    <t>If it locks eyes with you, watch out! Nothing and no one is safe from the reckless headbutts of this troublesome Pokémon.</t>
  </si>
  <si>
    <t>Sen pitkät korvat ovat erinomaisia ​​aistimia. Se pystyy erottamaan vedessä olevien esineiden liikkeet ja kertomaan, mitä ne ovat.</t>
  </si>
  <si>
    <t>It protects itself with its durable skin. It’s thought that this Pokémon will evolve once its skin has completely stretched out.</t>
  </si>
  <si>
    <t>Groups of them beat up anything that enters their territory. Each can spit acidic liquid from its mouth.</t>
  </si>
  <si>
    <t>It can smash concrete blocks with its kicking attacks. The one with the biggest crest is the group leader.</t>
  </si>
  <si>
    <t>It pulls up its shed skin to protect itself while it kicks. The bigger the crest, the more respected it is.</t>
  </si>
  <si>
    <t>This Pokémon may be rude, but it takes very good care of its family, its friends, and its turf.</t>
  </si>
  <si>
    <t>It taunts its opponents by spitting. It has a certain territory that it never leaves its whole life long.</t>
  </si>
  <si>
    <t>Azumarillin pitkät korvat ovat korvaamattomia antureita. Keskittämällä kuuloaan tämä Pokémon pystyy tunnistamaan ympärillä olevia saaliseläimiä jopa karuissa ja nopeasti virtaavissa joissa.</t>
  </si>
  <si>
    <t>As halfhearted as this Pokémon’s kicks may seem, they pack enough power to shatter Conkeldurr’s concrete pillars.</t>
  </si>
  <si>
    <t>Azumarill voi tehdä ilmapalloja ilmasta. Se tekee näitä ilmapalloja, jos se havaitsee hukkuvan Pokémonin. Ilmapallot mahdollistavat pulassa olevan Pokémonin hengittämisen.</t>
  </si>
  <si>
    <t>While mostly known for having the temperament of an aggressive ruffian, this Pokémon takes very good care of its family, friends, and territory.</t>
  </si>
  <si>
    <t>They never vary the route they fly, because their memories of guarding an ancient city remain steadfast.</t>
  </si>
  <si>
    <t>Se viettää suurimman osan ajastaan ​​vedessä. Aurinkoisina päivinä Azumarill kelluu veden pinnalla ja ottaa aurinkoa.</t>
  </si>
  <si>
    <t>The guardians of an ancient city, they use their psychic power to attack enemies that invade their territory.</t>
  </si>
  <si>
    <t>Nämä Pokémonit luovat ilmatäytteisiä kuplia. Kun Azurill leikkii joissa, Azumarill peittää ne näillä kuplilla.</t>
  </si>
  <si>
    <t>The guardians of an ancient city, they always fly the same route while keeping watch for invaders.</t>
  </si>
  <si>
    <t>Sudowoodo</t>
  </si>
  <si>
    <t>Jäljitelmä-Pokémon</t>
  </si>
  <si>
    <t>Psychic power allows these Pokémon to fly. Some say they were the guardians of an ancient city. Others say they were the guardians’ emissaries.</t>
  </si>
  <si>
    <t>Vaikka se aina teeskentelee olevansa puu, sen koostumus näyttää olevan lähempänä kiveä kuin kasvia.</t>
  </si>
  <si>
    <t>A discovery was made in the desert where Sigilyph fly. The ruins of what may have been an ancient city were found beneath the sands.</t>
  </si>
  <si>
    <t>Se naamioituu puuksi välttääkseen hyökkäyksen. Se vihaa vettä, joten se katoaa, jos alkaa sataa.</t>
  </si>
  <si>
    <t>Each of them carries a mask that used to be its face when it was human. Sometimes they look at it and cry.</t>
  </si>
  <si>
    <t>Jos puun oksa tärisee, kun ei ole tuulta, se on SUDOWOODO, ei puu. Se piiloutuu sateelta.</t>
  </si>
  <si>
    <t>These Pokémon arose from the spirits of people interred in graves in past ages. Each retains memories of its former life.</t>
  </si>
  <si>
    <t>These Pokémon arose from the spirits of people interred in graves. Each retains memories of its former life.</t>
  </si>
  <si>
    <t>Sudowoodo naamioi itsensä puuksi välttääkseen vihollisten hyökkäyksiä. Koska etujalat pysyvät kuitenkin vihreinä ympäri vuoden, POKéMON on helppo tunnistaa feikkiksi talvella.</t>
  </si>
  <si>
    <t>It wanders through ruins by night, carrying a mask that’s said to have been the face it had when it was still human.</t>
  </si>
  <si>
    <t>The spirit of a person from a bygone age became this Pokémon. It rambles through ruins, searching for someone who knows its face.</t>
  </si>
  <si>
    <t>It has been said that they swallow those who get too close and turn them into mummies. They like to eat gold nuggets.</t>
  </si>
  <si>
    <t>Se matkii puuta välttääkseen vihollisten hyökkäyksiä. Mutta koska sen etujalat pysyvät vihreinä ympäri vuoden, se on helppo tunnistaa feikiksi talvella.</t>
  </si>
  <si>
    <t>They pretend to be elaborate coffins to teach lessons to grave robbers. Their bodies are covered in pure gold.</t>
  </si>
  <si>
    <t>Grave robbers who mistake them for real coffins and get too close end up trapped inside their bodies.</t>
  </si>
  <si>
    <t>This Pokémon has a body of sparkling gold. People say it no longer remembers that it was once human.</t>
  </si>
  <si>
    <t>Vaikka se näyttää puulta, sen ruumis on lähempänä kiviä ja kiviä. Se on hyvin heikko vedelle.</t>
  </si>
  <si>
    <t>Se seisoo polkujen varrella teeskennellen olevansa puu. Jos alkaa sataa, se näyttää katoavan.</t>
  </si>
  <si>
    <t>There are many depictions of Cofagrigus decorating ancient tombs. They’re symbols of the wealth that kings of bygone eras had.</t>
  </si>
  <si>
    <t>Restored from a fossil, this Pokémon can dive to depths beyond half a mile.</t>
  </si>
  <si>
    <t>Välttääkseen hyökkäyksen se vain matkii puuta. Se vihaa vettä ja pakenee sadetta.</t>
  </si>
  <si>
    <t>About 100 million years ago, these Pokémon swam in oceans. It is thought they also went on land to attack prey.</t>
  </si>
  <si>
    <t>Vaikka se aina teeskentelee olevansa puu, sen koostumus näyttää enemmän kalliolta kuin kasvillisuudelta.</t>
  </si>
  <si>
    <t>This Pokémon was restored from a fossil. It swam skillfully and dove to depths beyond half a mile.</t>
  </si>
  <si>
    <t>Based on studies of its skeletal structure, it can apparently dive to ocean depths of over half a mile.</t>
  </si>
  <si>
    <t>Reputed to be the ancestor of most turtle Pokémon, it lived in warm seas approximately a hundred million years ago.</t>
  </si>
  <si>
    <t>It was restored from an ancient fossil. Tirtouga lived in the sea but came up onto the land to search for prey.</t>
  </si>
  <si>
    <t>Its hunting grounds encompassed a broad area, from the land to more than half a mile deep in the ocean.</t>
  </si>
  <si>
    <t>This Pokémon inhabited ancient seas. Although it can only crawl, it still comes up onto land in search of prey.</t>
  </si>
  <si>
    <t>Tirtouga is considered to be the ancestor of many turtle Pokémon. It was restored to life from a fossil.</t>
  </si>
  <si>
    <t>They can live both in the ocean and on land. A slap from one of them is enough to open a hole in the bottom of a tanker.</t>
  </si>
  <si>
    <t>Incredible jaw strength enables them to chew up steel beams and rocks along with their prey.</t>
  </si>
  <si>
    <t>It could knock out a foe with a slap from one of its developed front appendages and chew it up, shell or bones and all.</t>
  </si>
  <si>
    <t>Sudowoodo naamioi itsensä puuksi välttääkseen vihollisten hyökkäyksiä. Koska sen kädet pysyvät kuitenkin vihreinä ympäri vuoden, Pokémon on helppo tunnistaa feikkiksi talvella.</t>
  </si>
  <si>
    <t>https://pokeapi.co/api/v2/pokemon-species/143/</t>
  </si>
  <si>
    <t>It constructed its sturdy shell by crunching and swallowing the hard shells or bones of its prey.</t>
  </si>
  <si>
    <t>Active both on land and in the sea, this Pokémon drags its land-based prey into the water to finish it off.</t>
  </si>
  <si>
    <t>Välttääkseen hyökkäyksen se matkii puuta. Se juoksee karkuun, jos sitä roiskuu vedellä, mitä se vihaa.</t>
  </si>
  <si>
    <t>Ilmeisesti mitä suurempia tämän Pokémonin vihreät osat ovat, sitä enemmän keräilijät sitä arvostavat. Se on erityisen suosittu ikääntyneiden keskuudessa.</t>
  </si>
  <si>
    <t>Its jaws are terrifyingly powerful. It could eat Omastar and Omanyte whole and not be bothered in the slightest by their shells.</t>
  </si>
  <si>
    <t>Se on niin suosittu ikääntyneiden keskuudessa, että sille on omistettu oma aikakauslehti. Fanit ovat pakkomielteisesti ihastuneet sen käsivarsien erityiseen pituuteen ja kulmaan.</t>
  </si>
  <si>
    <t>Carracosta eats every last bit of the prey it catches, even the shells and bones, to further strengthen its sturdy shell.</t>
  </si>
  <si>
    <t>Saman asennon pitäminen koko ajan johtaa siihen, että käsivarsista on tullut notkeat mutta vahvat.</t>
  </si>
  <si>
    <t>Carracosta completely devours its prey—bones, shells, and all. Because of this, Carracosta’s own shell grows thick and sturdy.</t>
  </si>
  <si>
    <t>Jos puun oksa tärisee, kun ei ole tuulta, se on sudowoodo, ei puu. Se piiloutuu sateelta.</t>
  </si>
  <si>
    <t>This Pokémon emerges from the water in search of prey despite the fact that it moves more slowly on land.</t>
  </si>
  <si>
    <t>Vaikka se teeskentelee olevansa puu, se ei onnistu hämäämään edes lapsia. Sen ruumis tuntuu kosketettaessa enemmän kiveltä kuin puunkuorelta. Sudowoodon äärimmäinen vastenmielisyys vettä kohtaan ansaitsee erityishuomion.</t>
  </si>
  <si>
    <t>Said to be an ancestor of bird Pokémon, they were unable to fly and moved about by hopping from one branch to another.</t>
  </si>
  <si>
    <t>Politoed</t>
  </si>
  <si>
    <t>Sammakko-Pokémon</t>
  </si>
  <si>
    <t>Jos POLIWAG ja POLIWHIRL kuulevat sen kaikuvan huudon, ne vastaavat kokoontumalla kaukaa ja laajalti.</t>
  </si>
  <si>
    <t>Revived from a fossil, this Pokémon is thought to be the ancestor of all bird Pokémon.</t>
  </si>
  <si>
    <t>Aina kun kolme tai useampi näistä kokoontuu yhteen, ne laulavat kovaan ääneen, joka kuulostaa mölyn ääneltä.</t>
  </si>
  <si>
    <t>It was revived from an ancient fossil. Not able to fly, it lived in treetops and hopped from one branch to another.</t>
  </si>
  <si>
    <t>Kun se laajentaa kurkkuaan raakuttaakseen sävelmän, lähellä olevat POLIWAG ja POLIPYÖRÄ kokoontuvat välittömästi.</t>
  </si>
  <si>
    <t>POLITOEDin pään kiharat hiukset todistavat sen asemasta kuninkaana. Sanotaan, että mitä pidemmät ja kiharammat hiukset ovat, sitä enemmän kunnioitusta tämä POKéMON ansaitsee vertaisiltaan.</t>
  </si>
  <si>
    <t>It is the ancestor of all bird Pokémon. Archen itself could not actually fly but moved by hopping from treetop to treetop.</t>
  </si>
  <si>
    <t>To all appearances flightless, it was able to glide down from tall treetops to snag its prey.</t>
  </si>
  <si>
    <t>Once thought to be the ancestor of all bird Pokémon, some of the latest research suggests that may not be the case.</t>
  </si>
  <si>
    <t>Sen kiharat hiukset todistavat sen aseman kuninkaana. Sanotaan, että mitä pidemmät ja kiharammat hiukset, sitä enemmän kunnioitusta se ansaitsee tovereiltaan.</t>
  </si>
  <si>
    <t>Restored from a fossil, this ancient bird Pokémon has wings but can’t yet fly.</t>
  </si>
  <si>
    <t>Jos POLIWAG ja POLIPWHIRL kuulevat sen kaikuvan huudon, ne vastaavat kokoontumalla kaukaa ja laajalti.</t>
  </si>
  <si>
    <t>This Pokémon was successfully restored from a fossil. As research suggested, Archen is unable to fly. But it’s very good at jumping.</t>
  </si>
  <si>
    <t>Se kokoaa joukon muita johtajikseen. Sen huudot saavat POLIWAGin tottelemaan.</t>
  </si>
  <si>
    <t>Archen is said to be the ancestor of bird Pokémon. It lived in treetops, eating berries and bug Pokémon.</t>
  </si>
  <si>
    <t>They are intelligent and will cooperate to catch prey. From the ground, they use a running start to take flight.</t>
  </si>
  <si>
    <t>It runs better than it flies. It catches prey by running at speeds comparable to those of an automobile.</t>
  </si>
  <si>
    <t>It runs better than it flies. It takes off into the sky by running at a speed of 25 mph.</t>
  </si>
  <si>
    <t>Se kokoaa joukon muita johtajikseen. Sen huudot saavat Poliwagin tottelemaan.</t>
  </si>
  <si>
    <t>Although apparently able to fly, they tended to run along the ground, averaging speeds of roughly 25 mph.</t>
  </si>
  <si>
    <t>They hunted in flocks. When one Archeops had the prey cornered, another would swoop on it.</t>
  </si>
  <si>
    <t>This ancient Pokémon’s plumage is delicate, so if anyone other than an experienced professional tries to restore it, they will fail.</t>
  </si>
  <si>
    <t>Said to be an ancestor of bird Pokémon, the muscles it uses to flap its wings are still weak, so it needs a long runway in order to take off.</t>
  </si>
  <si>
    <t>Jos Poliwag ja Poliwhirl kuulevat sen kaikuvan huudon, ne vastaavat kokoontumalla kaukaa ja laajalti.</t>
  </si>
  <si>
    <t>It needs a running start to take off. If Archeops wants to fly, it first needs to run nearly 25 mph, building speed over a course of about 2.5 miles.</t>
  </si>
  <si>
    <t>Though capable of flight, Archeops was apparently better at hunting on the ground.</t>
  </si>
  <si>
    <t>Politoedin pään kiharat hiukset todistavat sen asemasta kuninkaana. Sanotaan, että mitä pidemmät ja kiharammat hiukset ovat, sitä enemmän kunnioitusta tämä Pokémon ansaitsee vertaisiltaan.</t>
  </si>
  <si>
    <t>Inhaling the gas they belch will make you sleep for a week. They prefer unsanitary places.</t>
  </si>
  <si>
    <t>The combination of garbage bags and industrial waste caused the chemical reaction that created this Pokémon.</t>
  </si>
  <si>
    <t>Wanting more garbage, they follow people who litter. They always belch poison gas.</t>
  </si>
  <si>
    <t>Ne kokoontuvat kuutamoöinä muodostamaan suuren kuoron. Niiden huuto kuulostaa vihaiselta ja epämiellyttävältä, mutta ne ovat varmasti tunnusomaisia.</t>
  </si>
  <si>
    <t>Unsanitary places are what they like best. They can be spotted in Alola, often with Grimer in hot pursuit.</t>
  </si>
  <si>
    <t>Se on Poliwagin ja Poliwhirlin johtaja. Kun Politoed karjuu, he kaikki vapisevat pelosta.</t>
  </si>
  <si>
    <t>It gorges on trash until its stomach is full. Then it belches toxic gas. An unlucky whiff of gas will put a person in the hospital.</t>
  </si>
  <si>
    <t>Poisonous gas leaks out of it when it breathes. Muk that catch a whiff of that stench will come drooling.</t>
  </si>
  <si>
    <t>Vaikka sen huudot kuulostavat kirkaisuilta, säveltäjä loi kauniin balladin, johon äänet vaikuttivat.</t>
  </si>
  <si>
    <t>If a young Pokémon or child breathes in the toxic gas that Trubbish belches out, it could be a life-threatening situation.</t>
  </si>
  <si>
    <t>Mitä pidemmät ja ylellisemmät kiharat sen päässä ovat, sitä useampi Poliwag ja Poliwhirl tottelee sitä.</t>
  </si>
  <si>
    <t>Its favorite places are unsanitary ones. If you leave trash lying around, you could even find one of these Pokémon living in your room.</t>
  </si>
  <si>
    <t>Illan hämärtyessä nämä Pokémonit ilmestyvät järvien rannoille. Ne ilmoittavat reviirivaatimuksistaan ​​päästämällä huutoja, jotka kuulostavat huudolta.</t>
  </si>
  <si>
    <t>This Pokémon was born from a bag stuffed with trash. Galarian Weezing relish the fumes belched by Trubbish.</t>
  </si>
  <si>
    <t>Miehen huuto on kovempi kuin naisen. Syvällä, uhkaavalla äänellä varustetut politoed-urokset ovat suositumpia vastakkaisen sukupuolen keskuudessa.</t>
  </si>
  <si>
    <t>It clenches opponents with its left arm and finishes them off with foul-smelling poison gas belched from its mouth.</t>
  </si>
  <si>
    <t>Hoppip</t>
  </si>
  <si>
    <t>Cottonweed-Pokémon</t>
  </si>
  <si>
    <t>They absorb garbage and make it part of their bodies. They shoot a poisonous liquid from their right-hand fingertips.</t>
  </si>
  <si>
    <t>Estääkseen tuulen viemisen ne kerääntyvät ryhmiin. Ne kuitenkin nauttivat lempeästä tuulesta.</t>
  </si>
  <si>
    <t>Consuming garbage makes new kinds of poison gases and liquids inside their bodies.</t>
  </si>
  <si>
    <t>Sen ruumis on niin kevyt, että sen on pidettävä jaloillaan tiukasti kiinni maassa estääkseen sen tuulenpuuskan viemästä sitä mennessään.</t>
  </si>
  <si>
    <t>Beware the poisonous liquid it shoots from its right arm. If even a little of it gets on you, you’ll experience the effects of the unidentified toxin.</t>
  </si>
  <si>
    <t>Se voi kulkeutua mukanaan jopa lempeimmässä tuulessa. Se voi jopa leijua seuraavaan kaupunkiin asti.</t>
  </si>
  <si>
    <t>For a time, their numbers increased explosively in Alola. Since the arrival of Grimer, their population has decreased dramatically.</t>
  </si>
  <si>
    <t>Tämä POKéMON ajelehtii ja kelluu tuulen mukana. Jos se havaitsee voimakkaan tuulen lähestyvän, HOPPIP yhdistää lehtensä muiden HOPPIPien kanssa varautuakseen tuulen viemiseltä.</t>
  </si>
  <si>
    <t>Tämä POKéMON ajelehtii ja kelluu tuulen mukana. Jos se havaitsee voimakkaan tuulen lähestyvän, HOPPIP yhdistää lehtiä muiden lehtien kanssa valmistautuakseen siihen, ettei se joudu viemään sitä mukanaan.</t>
  </si>
  <si>
    <t>It locks opponents in place with its left hand, immobilizing them by entirely dousing their bodies with poisonous liquid.</t>
  </si>
  <si>
    <t>Some say the reason Garbodor in Alola are a little stronger than their counterparts elsewhere is the presence of Muk, their natural enemy.</t>
  </si>
  <si>
    <t>Se ajelehtii tuulen mukana. Sanotaan, että kun HOPPIPit kerääntyvät pelloille ja vuorille, kevät on tulossa.</t>
  </si>
  <si>
    <t>This Pokémon eats trash, which turns into poison inside its body. The main component of the poison depends on what sort of trash was eaten.</t>
  </si>
  <si>
    <t>Estääkseen tuulen viemisen ne kerääntyvät ryhmiin. Mutta ne nauttivat lempeästä tuulesta.</t>
  </si>
  <si>
    <t>The toxic liquid it launches from its right arm is so virulent that it can kill a weakened creature instantly.</t>
  </si>
  <si>
    <t>It changes into the forms of others to surprise them. Apparently, it often transforms into a silent child.</t>
  </si>
  <si>
    <t>To protect themselves from danger, they hide their true identities by transforming into people and Pokémon.</t>
  </si>
  <si>
    <t>It changes so it looks just like its foe, tricks it, and then uses that opportunity to flee.</t>
  </si>
  <si>
    <t>This Pokémon has a cowardly disposition, so when it’s not around friends, it basically always stays transformed as something else.</t>
  </si>
  <si>
    <t>If a normally talkative child suddenly stops talking, it may have been replaced by Zorua.</t>
  </si>
  <si>
    <t>Zorua is a timid Pokémon. This disposition seems to be what led to the development of Zorua’s ability to take on the forms of other creatures.</t>
  </si>
  <si>
    <t>Se ajelehtii tuulen mukana. Sanotaan, että kun hoppipit kokoontuvat pelloille ja vuorille, kevät on tulossa.</t>
  </si>
  <si>
    <t>Zorua sometimes transforms into a person and goes into cities to search for food. When Zorua does this, it usually takes on the form of a child.</t>
  </si>
  <si>
    <t>A once-departed soul, returned to life in Hisui. Derives power from resentment, which rises as energy atop its head and takes on the forms of foes. In this way, Zorua vents lingering malice.</t>
  </si>
  <si>
    <t>https://pokeapi.co/api/v2/pokemon-species/144/</t>
  </si>
  <si>
    <t>Bonds between these Pokémon are very strong. It protects the safety of its pack by tricking its opponents.</t>
  </si>
  <si>
    <t>Each has the ability to fool a large group of people simultaneously. They protect their lair with illusory scenery.</t>
  </si>
  <si>
    <t>Stories say those who tried to catch Zoroark were trapped in an illusion and punished.</t>
  </si>
  <si>
    <t>It doesn’t just transform itself—it also has the power to make hundreds of people see its illusions.</t>
  </si>
  <si>
    <t>Tämä Pokémon ajelehtii ja kelluu tuulen mukana. Jos se havaitsee voimakkaan tuulen lähestyvän, Hoppip yhdistää lehtensä muiden Hoppippien kanssa varautuakseen tuulen viemiseltä.</t>
  </si>
  <si>
    <t>If it thinks humans are going to discover its den, Zoroark shows them visions that make them wander around in the woods.</t>
  </si>
  <si>
    <t>This Pokémon cares deeply about others of its kind, and it will conjure terrifying illusions to keep its den and pack safe.</t>
  </si>
  <si>
    <t>Skiploom</t>
  </si>
  <si>
    <t>Sen pään päällä oleva kukinto avautuu ja sulkeutuu lämpötilan vaihdellessa ylös ja alas.</t>
  </si>
  <si>
    <t>Seeking to ease the burden of their solitude, lonely Trainers tell Zoroark to show illusions to them.</t>
  </si>
  <si>
    <t>Se levittää terälehtiään absorboidakseen auringonvaloa. Se myös leijuu ilmassa päästäkseen lähemmäksi aurinkoa.</t>
  </si>
  <si>
    <t>With its disheveled white fur, it looks like an embodiment of death. Heedless of its own safety, Zoroark attacks its nemeses with a bitter energy so intense, it lacerates Zoroark's own body.</t>
  </si>
  <si>
    <t>They greet one another by rubbing each other with their tails, which are always kept well groomed and clean.</t>
  </si>
  <si>
    <t>Heti kun sataa, se sulkee kukkansa ja piiloutuu puun varjoon välttääkseen kastumisen.</t>
  </si>
  <si>
    <t>These Pokémon prefer a tidy habitat. They are always sweeping and dusting, using their tails as brooms.</t>
  </si>
  <si>
    <t>SKIPLOOMin kukka puhkeaa kukkiin, kun lämpötila nousee yli 19 celsiusasteen. Kukan avautumisaste riippuu lämpötilasta. Tästä syystä tätä POKéMONia käytetään joskus lämpömittarina.</t>
  </si>
  <si>
    <t>Minccino greet each other by grooming one another thoroughly with their tails.</t>
  </si>
  <si>
    <t>A clean freak that will not allow even the slightest mess, it uses its tail like a mop to thoroughly clean any and all filth.</t>
  </si>
  <si>
    <t>When its tail has gotten dirty from self-cleaning or from cleaning its nest, Minccino spends a whole day washing its tail in clean spring water.</t>
  </si>
  <si>
    <t>The way it brushes away grime with its tail can be helpful when cleaning. But its focus on spotlessness can make cleaning more of a hassle.</t>
  </si>
  <si>
    <t>Se kukkii, kun lämpötila nousee yli 18 celsiusasteen. Koska sen kukan kukinta muuttuu lämpötilan mukaan, sitä käytetään joskus lämpömittarina.</t>
  </si>
  <si>
    <t>They pet each other with their tails as a form of greeting. Of the two, the one whose tail is fluffier is a bit more boastful.</t>
  </si>
  <si>
    <t>Their white fur is coated in a special oil that makes it easy for them to deflect attacks.</t>
  </si>
  <si>
    <t>Their white fur feels amazing to touch. Their fur repels dust and prevents static electricity from building up.</t>
  </si>
  <si>
    <t>Pään päällä oleva kukinta avautuu ja sulkeutuu lämpötilan vaihdellessa ylös ja alas.</t>
  </si>
  <si>
    <t>Cinccino’s body is coated in a special oil that helps it deflect attacks, such as punches.</t>
  </si>
  <si>
    <t>The white parts of its coat are covered in an oil secreted from its body, so this Pokémon can slide right away from its enemies’ attacks.</t>
  </si>
  <si>
    <t>Se kukkii, kun sää lämpenee. Se leijuu taivaalla imeäkseen itseensä mahdollisimman paljon auringonvaloa.</t>
  </si>
  <si>
    <t>The oil that seeps from its body is really smooth. For people troubled by bad skin, this oil is an effective treatment.</t>
  </si>
  <si>
    <t>Its body secretes oil that this Pokémon spreads over its nest as a coating to protect it from dust. Cinccino won’t tolerate even a speck of the stuff.</t>
  </si>
  <si>
    <t>A special oil that seeps through their fur helps them avoid attacks. The oil fetches a high price at market.</t>
  </si>
  <si>
    <t>Their ribbonlike feelers increase their psychic power. They are always staring at something.</t>
  </si>
  <si>
    <t>They intently observe both Trainers and Pokémon. Apparently, they are looking at something that only Gothita can see.</t>
  </si>
  <si>
    <t>It stares intently at everything. It can become so obsessed with watching that it doesn’t notice attacks.</t>
  </si>
  <si>
    <t>Though they’re still only babies, there’s psychic power stored in their ribbonlike feelers, and sometimes they use that power to fight.</t>
  </si>
  <si>
    <t>Even when nobody seems to be around, Gothita can still be heard making a muted cry. Many believe it’s speaking to something only it can see.</t>
  </si>
  <si>
    <t>They use hypnosis to control people and Pokémon. Tales of Gothorita leading people astray are told in every corner.</t>
  </si>
  <si>
    <t>Starlight is the source of their power. At night, they mark star positions by using psychic power to float stones.</t>
  </si>
  <si>
    <t>According to many old tales, it creates friends for itself by controlling sleeping children on starry nights.</t>
  </si>
  <si>
    <t>It’s said that when stars shine in the night sky, this Pokémon will spirit away sleeping children. Some call it the Witch of Punishment.</t>
  </si>
  <si>
    <t>On nights when the stars shine, this Pokémon’s psychic power is at its strongest. It’s unknown just what link Gothorita has to the greater universe.</t>
  </si>
  <si>
    <t>Starry skies thousands of light-years away are visible in the space distorted by their intense psychic power.</t>
  </si>
  <si>
    <t>They can predict the future from the placement and movement of the stars. They can see Trainers’ life spans.</t>
  </si>
  <si>
    <t>Skiploomin kukka puhkeaa kukkiin, kun lämpötila nousee yli 19 celsiusasteen. Kukan avautumisaste riippuu lämpötilasta. Tästä syystä tätä Pokémonia käytetään joskus lämpömittarina.</t>
  </si>
  <si>
    <t>It can see the future from the movement of the stars. When it learns its Trainer’s life span, it cries in sadness.</t>
  </si>
  <si>
    <t>It has tremendous psychic power, but it dislikes conflict. It’s also able to predict the future based on the movement of the stars.</t>
  </si>
  <si>
    <t>Jumpluff</t>
  </si>
  <si>
    <t>Kun se saa tuulen, se hallitsee taitavasti vanutuppomaisia ​​itiöitään leijuakseen jopa ympäri maailmaa.</t>
  </si>
  <si>
    <t>A criminal who was shown his fate by a Gothitelle went missing that same day and was never seen again.</t>
  </si>
  <si>
    <t>Ajelehtii vuodenaikojen tuulissa ja levittää puuvillamaisia ​​itiöitään kaikkialle maailmaan tehdäkseen lisää jälkeläisiä.</t>
  </si>
  <si>
    <t>They drive away attackers by unleashing psychic power. They can use telepathy to talk with others.</t>
  </si>
  <si>
    <t>Because their bodies are enveloped in a special liquid, they can survive in any environment.</t>
  </si>
  <si>
    <t>Kovimmassakin tuulessa se pystyy hallitsemaan höyhenpeitteensä ja pääsemään minne tahansa maailmassa.</t>
  </si>
  <si>
    <t>Because their bodies are enveloped in a special liquid, they are fine in any environment, no matter how severe.</t>
  </si>
  <si>
    <t>JUMPLUFF ratsastaa lämpimien etelätuulien kyydissä ylittääkseen meren ja lentääkseen vieraisiin maihin. POKéMON laskeutuu maahan kohdatessaan kylmää ilmaa leijuessaan.</t>
  </si>
  <si>
    <t>It communicates with others telepathically. Its body is encapsulated in liquid, but if it takes a heavy blow, the liquid will leak out.</t>
  </si>
  <si>
    <t>Many say that the special liquid covering this Pokémon’s body would allow it to survive in the vacuum of space.</t>
  </si>
  <si>
    <t>Since they have two divided brains, at times they suddenly try to take two different actions at once.</t>
  </si>
  <si>
    <t>JUMPLUFF ratsastaa lämpimillä etelätuulella ylittääkseen meren ja lentääkseen vieraisiin maihin. Tämä POKéMON laskeutuu kohdatessaan kylmää ilmaa leijuessaan.</t>
  </si>
  <si>
    <t>When their brains, now divided in two, are thinking the same thoughts, these Pokémon exhibit their maximum power.</t>
  </si>
  <si>
    <t>When their two divided brains think the same thoughts, their psychic power is maximized.</t>
  </si>
  <si>
    <t>Se ajelehtii vuodenaikojen tuulissa ja levittää puuvillamaisia ​​itiöitään kaikkialle maailmaan tehdäkseen lisää jälkeläisiä.</t>
  </si>
  <si>
    <t>Its psychic power can supposedly cover a range of more than half a mile—but only if its two brains can agree with each other.</t>
  </si>
  <si>
    <t>Its brain has split into two, and the two halves rarely think alike. Its actions are utterly unpredictable.</t>
  </si>
  <si>
    <t>When Reuniclus shake hands, a network forms between their brains, increasing their psychic power.</t>
  </si>
  <si>
    <t>Kun se saa tuulen, se hallitsee taitavasti pumpulimaisia ​​itiöitään leijuakseen jopa ympäri maailmaa.</t>
  </si>
  <si>
    <t>These remarkably intelligent Pokémon fight by controlling arms that can grip with rock-crushing power.</t>
  </si>
  <si>
    <t>Vuodenaikojen tuulien puhaltamana se kiertää maapalloa ja levittää puuvillan itiöitä matkan varrella.</t>
  </si>
  <si>
    <t>They use psychic power to control their arms, which are made of a special liquid. They can crush boulders psychically.</t>
  </si>
  <si>
    <t>While it could use its psychic abilities in battle, this Pokémon prefers to swing its powerful arms around to beat opponents into submission.</t>
  </si>
  <si>
    <t>It’s said that drinking the liquid surrounding Reuniclus grants wisdom. Problem is, the liquid is highly toxic to anything besides Reuniclus itself.</t>
  </si>
  <si>
    <t>These bird Pokémon are excellent divers. They swim around in the water eating their favorite food--peat moss.</t>
  </si>
  <si>
    <t>When attacked, it uses its feathers to splash water, escaping under cover of the spray.</t>
  </si>
  <si>
    <t>They are better at swimming than flying, and they happily eat their favorite food, peat moss, as they dive underwater.</t>
  </si>
  <si>
    <t>Kun se saa tuulen, se hallitsee taitavasti pumpulituppumaisia ​​itiöitään – se voi jopa leijua ympäri maailmaa.</t>
  </si>
  <si>
    <t>Swanna start to dance at dusk. The one dancing in the middle is the leader of the flock.</t>
  </si>
  <si>
    <t>It administers sharp, powerful pecks with its bill. It whips its long neck to deliver forceful repeated strikes.</t>
  </si>
  <si>
    <t>Despite their elegant appearance, they can flap their wings strongly and fly for thousands of miles.</t>
  </si>
  <si>
    <t>The temperature of their breath is -58° F. They create snow crystals and make snow fall in the areas around them.</t>
  </si>
  <si>
    <t>This Pokémon formed from icicles bathed in energy from the morning sun. It sleeps buried in snow.</t>
  </si>
  <si>
    <t>Theoretically, this Pokémon formed from icicles bathed in energy from the morning sun. Their breath is -58° F.</t>
  </si>
  <si>
    <t>The temperature of their breath is -58 degrees Fahrenheit. They create snow crystals and make snow fall in the areas around them.</t>
  </si>
  <si>
    <t>Born of an icicle, this Pokémon uses its frosty breath to make ice crystals, causing snow to fall.</t>
  </si>
  <si>
    <t>It feels pleasantly cool when embraced. This Pokémon is treasured by households in warm regions.</t>
  </si>
  <si>
    <t>It exhales cold air that is at –58 degrees Fahrenheit. When it’s in a warm place, it shrinks little by little.</t>
  </si>
  <si>
    <t>https://pokeapi.co/api/v2/pokemon-species/145/</t>
  </si>
  <si>
    <t>When the morning sun hit an icicle, it wished not to melt, and thus Vanillite was born. At night, it buries itself in snow to sleep.</t>
  </si>
  <si>
    <t>Unable to survive in hot areas, it makes itself comfortable by breathing out air cold enough to cause snow. It burrows into the snow to sleep.</t>
  </si>
  <si>
    <t>Supposedly, this Pokémon was born from an icicle. It spews out freezing air at −58 degrees Fahrenheit to make itself more comfortable.</t>
  </si>
  <si>
    <t>Snowy mountains are this Pokémon’s habitat. During an ancient ice age, they moved to southern areas.</t>
  </si>
  <si>
    <t>It conceals itself from enemy eyes by creating many small ice particles and hiding among them.</t>
  </si>
  <si>
    <t>Jumpluff ratsastaa lämpimien etelätuulien kyydissä ylittääkseen meren ja lentääkseen vieraisiin maihin. Pokémon laskeutuu maahan kohdatessaan kylmää ilmaa kelluessaan.</t>
  </si>
  <si>
    <t>They cool down the surrounding air and create ice particles, which they use to freeze their foes.</t>
  </si>
  <si>
    <t>Aipom</t>
  </si>
  <si>
    <t>Hot days cause its body to melt. It can be restored by refreezing it, but the process leaves its body slightly warped.</t>
  </si>
  <si>
    <t>Pitkähäntäinen Pokémon</t>
  </si>
  <si>
    <t>Sen häntä on niin voimakas, että se voi tarttua sillä puun oksaan ja pitää itsensä ilmassa.</t>
  </si>
  <si>
    <t>This Pokémon has existed since the Ice Age. It controls particles of ice, freezes its opponents, and then shatters them with a headbutt.</t>
  </si>
  <si>
    <t>Se elää korkeiden puiden latvoissa. Hyppääessään oksalta oksalle se käyttää taitavasti häntäänsä tasapainon ylläpitämiseen.</t>
  </si>
  <si>
    <t>It sprays its enemies with grains of ice to freeze them. Most Vanillish in Alola are smaller than average.</t>
  </si>
  <si>
    <t>Se käyttää häntäänsä roikkuakseen puiden oksissa. Se käyttää vauhtiaan heilahtaakseen oksalta toiselle.</t>
  </si>
  <si>
    <t>This hearty Pokémon survived the Ice Age. It’s incredibly popular in very hot regions.</t>
  </si>
  <si>
    <t>By drinking pure water, it grows its icy body. This Pokémon can be hard to find on days with warm, sunny weather.</t>
  </si>
  <si>
    <t>AIPOMin häntä päättyy käden kaltaiseen ulokkeeseen, jota voidaan taitavasti manipuloida. Koska POKéMON käyttää häntäänsä niin paljon, sen oikeista käsistä on tullut melko kömpelöitä.</t>
  </si>
  <si>
    <t>It blasts enemies with cold air reaching −148 degrees Fahrenheit, freezing them solid. But it spares their lives afterward—it’s a kind Pokémon.</t>
  </si>
  <si>
    <t>Swallowing large amounts of water, they make snow clouds inside their bodies and attack their foes with violent blizzards.</t>
  </si>
  <si>
    <t>If both heads get angry simultaneously, this Pokémon expels a blizzard, burying everything in snow.</t>
  </si>
  <si>
    <t>Sen häntä päättyy taitavaan, käden kaltaiseen ulokkeeseen. Koska se käyttää häntää niin paljon, AIPOMin oikeista käsistä on kuitenkin tullut melko kömpelöitä.</t>
  </si>
  <si>
    <t>Swallowing large amounts of water, they make snow clouds inside their bodies and, when angry, cause violent blizzards.</t>
  </si>
  <si>
    <t>Each of its two heads has a brain, and when they are in agreement, it attacks its enemies by exhaling a violent blizzard.</t>
  </si>
  <si>
    <t>Even if it loses one of its heads, it can live relatively problem-free. It makes snow clouds inside its body.</t>
  </si>
  <si>
    <t>It blasts blizzards from its two mouths. It can create snow anywhere, so it gets a lot of love from skiers and snowboarders.</t>
  </si>
  <si>
    <t>Vanilluxe is born when two Vanillish, half-melted by the day’s light, stick to each other and freeze together in the cold return of night.</t>
  </si>
  <si>
    <t>Se käyttää häntäänsä poimiakseen ulottumattomissaan olevia hedelmiä. Sen häntä on taitavampi kuin sen oikeat kädet.</t>
  </si>
  <si>
    <t>When its anger reaches a breaking point, this Pokémon unleashes a fierce blizzard that freezes every creature around it, be they friend or foe.</t>
  </si>
  <si>
    <t>Se elää jättimäisten puiden latvoissa. Se kietoo häntänsä oksan ympärille, jottei putoaisi nukkuessaan.</t>
  </si>
  <si>
    <t>People believe this Pokémon formed when two Vanillish stuck together. Its body temperature is roughly 21 degrees Fahrenheit.</t>
  </si>
  <si>
    <t>The color and scent of their fur changes to match the mountain grass. When they sense hostility, they hide in the grass.</t>
  </si>
  <si>
    <t>Se asuu korkealla puiden latvoissa. Se osaa käyttää häntäänsä yhtä vapaasti ja taitavasti kuin käsiään.</t>
  </si>
  <si>
    <t>The turning of the seasons changes the color and scent of this Pokémon’s fur. People use it to mark the seasons.</t>
  </si>
  <si>
    <t>Their coloring changes according to the seasons and can be slightly affected by the temperature and humidity as well.</t>
  </si>
  <si>
    <t>They migrate according to the seasons. People can tell the season by looking at Sawsbuck’s horns.</t>
  </si>
  <si>
    <t>The plants growing on its horns change according to the season. The leaders of the herd possess magnificent horns.</t>
  </si>
  <si>
    <t>They migrate according to the seasons, so some people call Sawsbuck the harbingers of spring.</t>
  </si>
  <si>
    <t>The energy made in its cheeks’ electric pouches is stored inside its membrane and released while it is gliding.</t>
  </si>
  <si>
    <t>They live on treetops and glide using the inside of a cape-like membrane while discharging electricity.</t>
  </si>
  <si>
    <t>It glides on its outstretched membrane while shocking foes with the electricity stored in the pouches on its cheeks.</t>
  </si>
  <si>
    <t>It glides using its cape-like membrane. Electrical energy scatters from it, shocking its friends and foes alike.</t>
  </si>
  <si>
    <t>It grills berries and bug Pokémon with electric shocks and makes a meal of them. It usually nests in the holes gouged in trees by Pikipek.</t>
  </si>
  <si>
    <t>They store up electricity to fly through the air. When thunder cracks at night, sometimes there are almost enough of them to blot out the sky.</t>
  </si>
  <si>
    <t>As it flies, it scatters electricity around, so bird Pokémon keep their distance. That’s why Emolga can keep all its food to itself.</t>
  </si>
  <si>
    <t>Aipomin häntä päättyy käden kaltaiseen ulokkeeseen, jota voidaan taitavasti manipuloida. Koska Pokémon käyttää häntäänsä niin paljon, sen oikeat kädet ovat kuitenkin käyneet melko kömpelöiksi.</t>
  </si>
  <si>
    <t>As Emolga flutters through the air, it crackles with electricity. This Pokémon is cute, but it can cause a lot of trouble.</t>
  </si>
  <si>
    <t>This Pokémon absolutely loves sweet berries. Sometimes it stuffs its cheeks full of so much food that it can’t fly properly.</t>
  </si>
  <si>
    <t>These mysterious Pokémon evolve when they receive electrical stimulation while they are in the same place as Shelmet.</t>
  </si>
  <si>
    <t>When they feel threatened, they spit an acidic liquid to drive attackers away. This Pokémon targets Shelmet.</t>
  </si>
  <si>
    <t>Kun se liikkui yhä enemmän hännällään, sen kädet kävivät kömpelöiksi. Se tekee pesänsä korkealle puiden latvoihin.</t>
  </si>
  <si>
    <t>For some reason they evolve when they receive electrical energy while they are attacking Shelmet.</t>
  </si>
  <si>
    <t>Its strange physiology reacts to electrical energy in interesting ways. The presence of a Shelmet will cause this Pokémon to evolve.</t>
  </si>
  <si>
    <t>Se etsii saalista puiden latvoista. Havaitessaan lempiruokansa, makean makean, Aipom innostuu ja hyökkää kimppuun.</t>
  </si>
  <si>
    <t>It spits a liquid from its mouth to melt through Shelmet’s shell. Karrablast doesn’t eat the shell— it eats only the contents.</t>
  </si>
  <si>
    <t>They fly around at high speed, striking with their pointed spears. Even when in trouble, they face opponents bravely.</t>
  </si>
  <si>
    <t>Tällä puiden latvoissa asuvalla Pokémonilla on käden taitava häntä. Muinaiset kirjoitukset kuvaavat tätä Pokémonia yksikätiseksi erikoisuudeksi.</t>
  </si>
  <si>
    <t>These Pokémon evolve by wearing the shell covering of a Shelmet. The steel armor protects their whole body.</t>
  </si>
  <si>
    <t>Sunkern</t>
  </si>
  <si>
    <t>Wearing the shell covering they stole from Shelmet, they defend themselves and attack with two lances.</t>
  </si>
  <si>
    <t>https://pokeapi.co/api/v2/pokemon-species/146/</t>
  </si>
  <si>
    <t>Se voi pudota taivaalta yhtäkkiä. Jos keihäs hyökkää sen kimppuun, se ravistelee lehtiään rajusti.</t>
  </si>
  <si>
    <t>They use shells they’ve stolen from Shelmet to arm and protect themselves. They’re very popular Pokémon in the Galar region.</t>
  </si>
  <si>
    <t>It charges its enemies, lances at the ready. An image of one of its duels is captured in a famous painting of Escavalier clashing with Sirfetch’d.</t>
  </si>
  <si>
    <t>Se elää juomalla vain kastepisaroita kasvien lehtien alta. Sanotaan, ettei se syö mitään muuta.</t>
  </si>
  <si>
    <t>It lures people in with its Poké Ball pattern, then releases poison spores. Why it resembles a Poké Ball is unknown.</t>
  </si>
  <si>
    <t>For some reason, this Pokémon resembles a Poké Ball. They release poison spores to repel those who try to catch them.</t>
  </si>
  <si>
    <t>Se on hyvin heikko. Sen ainoa puolustuskeino on pudistaa epätoivoisesti lehtiään hyökkääjälleen.</t>
  </si>
  <si>
    <t>It lures Pokémon with its pattern that looks just like a Poké Ball then releases poison spores.</t>
  </si>
  <si>
    <t>It lures Pokémon with its pattern that looks just like a Poké Ball, then releases poison spores.</t>
  </si>
  <si>
    <t>SUNKERN pyrkii liikkumaan niin vähän kuin mahdollista. Se tekee niin, koska se yrittää säilyttää kaikki kehoonsa varastoimat ravintoaineet evoluutiotaan varten. Se ei syö mitään, vaan elää vain aamukasteella.</t>
  </si>
  <si>
    <t>No one knows what the Poké Ball–like pattern on Foongus means or why Foongus has it.</t>
  </si>
  <si>
    <t>The spores released from this Pokémon’s hands are highly poisonous, but when thoroughly dried, the spores can be used as stomach medicine.</t>
  </si>
  <si>
    <t>It lures prey close by dancing and waving its arm caps, which resemble Poké Balls, in a swaying motion.</t>
  </si>
  <si>
    <t>SUNKERNit pyrkivät minimoimaan liikkumisen säästääkseen kehoonsa evoluutiota varten varastoimiaan ravinteita. Ne eivät syö, vaan elävät vain aamukasteella.</t>
  </si>
  <si>
    <t>They show off their Poké Ball caps to lure prey, but very few Pokémon are fooled by this.</t>
  </si>
  <si>
    <t>It moves the caps on both arms and does a dance to lure prey. It prefers damp places.</t>
  </si>
  <si>
    <t>This Pokémon puffs poisonous spores at its foes. If the spores aren’t washed off quickly, they’ll grow into mushrooms wherever they land.</t>
  </si>
  <si>
    <t>Amoonguss generally doesn’t move much. It tends to stand still near Poké Balls that have been dropped on the ground.</t>
  </si>
  <si>
    <t>With its thin, veil-like arms wrapped around the body of its opponent, it sinks to the ocean floor.</t>
  </si>
  <si>
    <t>They paralyze prey with poison, then drag them down to their lairs, five miles below the surface.</t>
  </si>
  <si>
    <t>Se putoaa yhtäkkiä taivaalta aamulla. Vuotta kylmän kesän jälkeen niiden populaatio räjähtää.</t>
  </si>
  <si>
    <t>If its veil-like arms stun and wrap a foe, that foe will be dragged miles below the surface, never to return.</t>
  </si>
  <si>
    <t>It wraps its veillike arms and legs around prey swimming by and drags them down to the depths of the ocean.</t>
  </si>
  <si>
    <t>Using the invisible poison spikes on its veillike arms and legs, it paralyzes its enemies and causes them to drown.</t>
  </si>
  <si>
    <t>It envelops its prey in its veillike arms and draws it down to the deeps, five miles below the ocean’s surface.</t>
  </si>
  <si>
    <t>Legend has it that the residents of a sunken ancient city changed into these Pokémon.</t>
  </si>
  <si>
    <t>Se voi pudota taivaalta. Jos keihäs hyökkää sen kimppuun, se ravistelee lehtiään rajusti.</t>
  </si>
  <si>
    <t>The fate of the ships and crew that wander into Jellicent’s habitat: all sunken, all lost, all vanished.</t>
  </si>
  <si>
    <t>They propel themselves by expelling absorbed seawater from their bodies. Their favorite food is life energy.</t>
  </si>
  <si>
    <t>Its body is mostly seawater. It’s said there’s a castle of ships Jellicent have sunk on the seafloor.</t>
  </si>
  <si>
    <t>Jellicent is always hanging around fancy cruise ships and tankers, hoping to drag away its prey.</t>
  </si>
  <si>
    <t>Fishermen are terrified of Jellicent. It’s rumored to drag them into the sea and steal their lives away.</t>
  </si>
  <si>
    <t>Most of this Pokémon’s body composition is identical to sea water. It makes sunken ships its lair.</t>
  </si>
  <si>
    <t>Whenever a full moon hangs in the night sky, schools of Jellicent gather near the surface of the sea, waiting for their prey to appear.</t>
  </si>
  <si>
    <t>Se putoaa yhtäkkiä taivaalta aamulla. Tietäen olevansa heikko, se vain syö, kunnes kehittyy.</t>
  </si>
  <si>
    <t>The special membrane enveloping Alomomola has the ability to heal wounds.</t>
  </si>
  <si>
    <t>Floating in the open sea is how they live. When they find a wounded Pokémon, they embrace it and bring it to shore.</t>
  </si>
  <si>
    <t>It gently holds injured and weak Pokémon in its fins. Its special membrane heals their wounds.</t>
  </si>
  <si>
    <t>Se voi pudota taivaalta. Jos keihäskärsäinen hyökkää sen kimppuun, se ravistelee lehtiään rajusti.</t>
  </si>
  <si>
    <t>It uses its special mucus to close the wounds of injured Pokémon. The reason for this behavior remains unknown.</t>
  </si>
  <si>
    <t>They float upon the open sea. Many water Pokémon gather in the area around Alomomola.</t>
  </si>
  <si>
    <t>Fishermen take them along on long voyages, because if you have an Alomomola with you, there’ll be no need for a doctor or medicine.</t>
  </si>
  <si>
    <t>The reason it helps Pokémon in a weakened condition is that any Pokémon coming after them may also attack Alomomola.</t>
  </si>
  <si>
    <t>Joltik that live in cities have learned a technique for sucking electricity from the outlets in houses.</t>
  </si>
  <si>
    <t>Sunkern yrittää liikkua niin vähän kuin mahdollista. Se tekee niin, koska se yrittää säilyttää kaikki kehoonsa varastoimat ravintoaineet evoluutiotaan varten. Se ei syö mitään, vaan elää vain aamukasteella.</t>
  </si>
  <si>
    <t>They attach themselves to large-bodied Pokémon and absorb static electricity, which they store in an electric pouch.</t>
  </si>
  <si>
    <t>Since it can’t generate its own electricity, it sticks onto large-bodied Pokémon and absorbs static electricity.</t>
  </si>
  <si>
    <t>Sunflora</t>
  </si>
  <si>
    <t>Joltik can be found clinging to other Pokémon. It’s soaking up static electricity because it can’t produce a charge on its own.</t>
  </si>
  <si>
    <t>Aurinko-Pokémon</t>
  </si>
  <si>
    <t>Se muuntaa auringonvalon energiaksi. Auringonlaskun jälkeisessä pimeydessä se sulkee terälehtensä ja pysähtyy.</t>
  </si>
  <si>
    <t>Joltik latch on to other Pokémon and suck out static electricity. They’re often found sticking to Yamper’s hindquarters.</t>
  </si>
  <si>
    <t>Päivällä se juoksee kiireisesti, mutta pysähtyy kokonaan auringon laskiessa.</t>
  </si>
  <si>
    <t>When attacked, they create an electric barrier by spitting out many electrically charged threads.</t>
  </si>
  <si>
    <t>They employ an electrically charged web to trap their prey. While it is immobilized by shock, they leisurely consume it.</t>
  </si>
  <si>
    <t>Kuuman kauden lähestyessä tämän POKéMONin kasvojen terälehdet muuttuvat eloisammiksi ja eloisammiksi.</t>
  </si>
  <si>
    <t>It creates barriers from electrified silk that stun foes. This works as a weapon as well as a defense.</t>
  </si>
  <si>
    <t>AURINGONKUKKASVI muuntaa auringon energian ravinteeksi. Se liikkuu aktiivisesti päiväsaikaan, kun on lämmintä. Se pysähtyy heti auringon laskiessa yöksi.</t>
  </si>
  <si>
    <t>It launches electrified fur from its abdomen as its means of attack. Opponents hit by the fur could be in for three full days and nights of paralysis.</t>
  </si>
  <si>
    <t>It lays traps of electrified threads near the nests of bird Pokémon, aiming to snare chicks that are not yet good at flying.</t>
  </si>
  <si>
    <t>AURINGONKUKAT muuttavat auringon energian ravinnoksi. Ne ovat erittäin aktiivisia lämpimällä päivällä, mutta lakkaavat yhtäkkiä liikkumasta heti auringon laskiessa.</t>
  </si>
  <si>
    <t>When threatened, it attacks by shooting a barrage of spikes, which gives it a chance to escape by rolling away.</t>
  </si>
  <si>
    <t>They stick their spikes into cave walls and absorb the minerals they find in the rock.</t>
  </si>
  <si>
    <t>It absorbs the iron it finds in the rock while clinging to the ceiling. It shoots spikes when in danger.</t>
  </si>
  <si>
    <t>It defends itself by launching spikes, but its aim isn’t very good at first. Only after a lot of practice will it improve.</t>
  </si>
  <si>
    <t>Se saa energiaa lämpimästä auringonvalosta ja tunnetaan tavastaan ​​liikkua sen perässä.</t>
  </si>
  <si>
    <t>Mossy caves are their preferred dwellings. Enzymes contained in mosses help Ferroseed’s spikes grow big and strong.</t>
  </si>
  <si>
    <t>It fights by swinging around its three spiky feelers. A hit from these steel spikes can reduce a boulder to rubble.</t>
  </si>
  <si>
    <t>They attach themselves to cave ceilings, firing steel spikes at targets passing beneath them.</t>
  </si>
  <si>
    <t>By swinging around its three spiky feelers and shooting spikes, it can obliterate an opponent.</t>
  </si>
  <si>
    <t>This Pokémon scrapes its spikes across rocks, and then uses the tips of its feelers to absorb the nutrients it finds within the stone.</t>
  </si>
  <si>
    <t>Its spikes are harder than steel. This Pokémon crawls across rock walls by stabbing the spikes on its feelers into the stone.</t>
  </si>
  <si>
    <t>The two minigears that mesh together are predetermined. Each will rebound from other minigears without meshing.</t>
  </si>
  <si>
    <t>Interlocking two bodies and spinning around generates the energy they need to live.</t>
  </si>
  <si>
    <t>Koska se muuntaa auringonvalon energiaksi, se katsoo aina aurinkoon.</t>
  </si>
  <si>
    <t>Two bodies comprise a fixed pair. They spin around each other to generate energy.</t>
  </si>
  <si>
    <t>The two minigears that compose this Pokémon are closer than twins. They mesh well only with each other.</t>
  </si>
  <si>
    <t>Kuuman kauden lähestyessä tämän Pokémonin kasvojen terälehdet muuttuvat eloisammiksi ja eloisammiksi.</t>
  </si>
  <si>
    <t>It’s suspected that Klink were the inspiration behind ancient people’s invention of the first gears.</t>
  </si>
  <si>
    <t>By changing the direction in which it rotates, it communicates its feelings to others. When angry, it rotates faster.</t>
  </si>
  <si>
    <t>Spinning minigears are rotated at high speed and repeatedly fired away. It is dangerous if the gears don’t return.</t>
  </si>
  <si>
    <t>Auringonkukka muuntaa auringon energian ravinteeksi. Se liikkuu aktiivisesti päiväsaikaan lämpimällä säällä. Se pysähtyy heti auringon laskiessa yöksi.</t>
  </si>
  <si>
    <t>A minigear and big gear comprise its body. If the minigear it launches at a foe doesn’t return, it will die.</t>
  </si>
  <si>
    <t>https://pokeapi.co/api/v2/pokemon-species/147/</t>
  </si>
  <si>
    <t>When Klang goes all out, the minigear links up perfectly with the outer part of the big gear, and this Pokémon’s rotation speed increases sharply.</t>
  </si>
  <si>
    <t>Yanma</t>
  </si>
  <si>
    <t>Kirkasiipi-Pokémon</t>
  </si>
  <si>
    <t>Many companies in the Galar region choose Klang as their logo. This Pokémon is considered the symbol of industrial technology.</t>
  </si>
  <si>
    <t>Jos se räpyttelee siipiään todella nopeasti, se voi tuottaa paineaaltoja, jotka rikkovat alueen ikkunoita.</t>
  </si>
  <si>
    <t>Its red core functions as an energy tank. It fires the charged energy through its spikes into an area.</t>
  </si>
  <si>
    <t>Sen suuret silmät voivat skannata 360 astetta. Se katsoo kaikkiin suuntiin etsiessään saaliikseen hyönteisiä.</t>
  </si>
  <si>
    <t>The gear with the red core is rotated at high speed for a rapid energy charge.</t>
  </si>
  <si>
    <t>Se näkee kaikkiin suuntiin liikuttamatta suuria silmiään, mikä auttaa sitä havaitsemaan hyökkääjät ja ruoan heti.</t>
  </si>
  <si>
    <t>The minigear spins at high speed. Then the energy from the red core charges the minigear to make it ready to fire.</t>
  </si>
  <si>
    <t>From its spikes, it launches powerful blasts of electricity. Its red core contains an enormous amount of energy.</t>
  </si>
  <si>
    <t>YANMA pystyy näkemään 360 astetta ilman, että sen tarvitsee liikuttaa silmiään. Se on loistava lentäjä, joka on taitava tekemään äkillisiä pysähdyksiä ja kääntymään ilmassa. Tämä POKéMON käyttää lentokykyään jahdatakseen nopeasti kohteena olevaa saalista.</t>
  </si>
  <si>
    <t>The three gears that compose this Pokémon spin at high speed. Its new spiked gear isn’t a living creature.</t>
  </si>
  <si>
    <t>While one alone doesn’t have much power, a chain of many Tynamo can be as powerful as lightning.</t>
  </si>
  <si>
    <t>Se näkee 360 ​​astetta liikuttamatta silmiään. Se on loistava lentäjä, joka pystyy tekemään äkillisiä pysähdyksiä ja kääntymään ilmassa nopeasti jahdatakseen kohteensa saalista.</t>
  </si>
  <si>
    <t>These Pokémon move in schools. They have an electricity-generating organ, so they discharge electricity if in danger.</t>
  </si>
  <si>
    <t>One alone can emit only a trickle of electricity, so a group of them gathers to unleash a powerful electric shock.</t>
  </si>
  <si>
    <t>They coil around foes and shock them with electricity-generating organs that seem simply to be circular patterns.</t>
  </si>
  <si>
    <t>These Pokémon have a big appetite. When they spot their prey, they attack it and paralyze it with electricity.</t>
  </si>
  <si>
    <t>Sen silmät näkevät 360 astetta liikuttamatta päätä. Se ei jätä saalista huomaamatta – edes sen takana olevia.</t>
  </si>
  <si>
    <t>It wraps itself around its prey and paralyzes it with electricity from the round spots on its sides. Then it chomps.</t>
  </si>
  <si>
    <t>They crawl out of the ocean using their arms. They will attack prey on shore and immediately drag it into the ocean.</t>
  </si>
  <si>
    <t>With their sucker mouths, they suck in prey. Then they use their fangs to shock the prey with electricity.</t>
  </si>
  <si>
    <t>Se voi leijua paikallaan räpyttelemällä siipiään suurella nopeudella. Se liitelee ympäriinsä vartioidakseen reviiriään.</t>
  </si>
  <si>
    <t>It latches on to prey with its sucker mouth, sinking in its fangs and shocking the prey with powerful electricity.</t>
  </si>
  <si>
    <t>It uses its strong psychic power to squeeze its opponent’s brain, causing unendurable headaches.</t>
  </si>
  <si>
    <t>This Pokémon had never been seen until it appeared from far in the desert 50 years ago.</t>
  </si>
  <si>
    <t>Rumors of its origin are linked to a UFO crash site in the desert 50 years ago.</t>
  </si>
  <si>
    <t>It controls tremendous psychic power. Most reports of alien sightings are actually just people mistaking Elgyem for an alien.</t>
  </si>
  <si>
    <t>This Pokémon is shrouded in mystery. It’s said to have appeared from a UFO that fell from the sky about 50 years ago.</t>
  </si>
  <si>
    <t>If this Pokémon stands near a TV, strange scenery will appear on the screen. That scenery is said to be from its home.</t>
  </si>
  <si>
    <t>Läpyttelemällä siipiään suurella nopeudella se voi lentää vapaasti ilmassa. Edes äkilliset pysähdykset eivät ole ongelma.</t>
  </si>
  <si>
    <t>This Pokémon was discovered about 50 years ago. Its highly developed brain enables it to exert its psychic powers.</t>
  </si>
  <si>
    <t>It can manipulate an opponent’s memory. Apparently, it communicates by flashing its three different-colored fingers.</t>
  </si>
  <si>
    <t>It uses psychic power to control an opponent’s brain and tamper with its memories.</t>
  </si>
  <si>
    <t>Apparently, it communicates by flashing its three fingers, but those patterns haven’t been decoded.</t>
  </si>
  <si>
    <t>With its psychic powers, it rewrites its opponents’ memories. You, too, may have already had your memories rewritten.</t>
  </si>
  <si>
    <t>Yanma pystyy näkemään 360 astetta liikuttamatta silmiään. Se on loistava lentäjä, joka on taitava tekemään äkillisiä pysähdyksiä ja kääntymään ilmassa. Tämä Pokémon käyttää lentokykyään jahdatakseen nopeasti kohteena olevaa saalista.</t>
  </si>
  <si>
    <t>It has strong psychic powers. Using its fingers that flash three different colors, it controls its opponents and rewrites their memories.</t>
  </si>
  <si>
    <t>Whenever a Beheeyem visits a farm, a Dubwool mysteriously disappears.</t>
  </si>
  <si>
    <t>Sometimes found drifting above wheat fields, this Pokémon can control the memories of its opponents.</t>
  </si>
  <si>
    <t>Sen hauraat siivet ovat niin ohuet, että niiden läpi näkee selvästi. Lennon aikana nämä siivet kuitenkin pystyvät pyörittämään ilmaa niin voimakkaasti, että ne voisivat sinkoa talon ilmaan.</t>
  </si>
  <si>
    <t>Litwick shines a light that absorbs the life energy of people and Pokémon, which becomes the fuel that it burns.</t>
  </si>
  <si>
    <t>While shining a light and pretending to be a guide, it leeches off the life force of any who follow it.</t>
  </si>
  <si>
    <t>Its flame is usually out, but it starts shining when it absorbs life force from people or Pokémon.</t>
  </si>
  <si>
    <t>Wooper</t>
  </si>
  <si>
    <t>Vesikala-Pokémon</t>
  </si>
  <si>
    <t>The flame on its head keeps its body slightly warm. This Pokémon takes lost children by the hand to guide them to the spirit world.</t>
  </si>
  <si>
    <t>Tämä POKéMON elää kylmässä vedessä. Se lähtee vedestä etsimään ruokaa, kun ulkona kylmenee.</t>
  </si>
  <si>
    <t>The younger the life this Pokémon absorbs, the brighter and eerier the flame on its head burns.</t>
  </si>
  <si>
    <t>Kun se kävelee kierroksen maassa, se peittää ruumiinsa limaisella, myrkyllisellä kalvolla.</t>
  </si>
  <si>
    <t>This ominous Pokémon is feared. Through cities it wanders, searching for the spirits of the fallen.</t>
  </si>
  <si>
    <t>It arrives near the moment of death and steals spirit from the body.</t>
  </si>
  <si>
    <t>Sen vartaloa peittää limakalvo. Sen koskettaminen paljain käsin aiheuttaa vihlovaa kipua.</t>
  </si>
  <si>
    <t>The spirits it absorbs fuel its baleful fire. It hangs around hospitals waiting for people to pass on.</t>
  </si>
  <si>
    <t>WOOPER elää yleensä vedessä. Se kuitenkin tulee toisinaan maihin etsimään ruokaa. Maalla se peittää ruumiinsa tahmealla, myrkyllisellä kalvolla.</t>
  </si>
  <si>
    <t>This Pokémon appears just before someone passes away, so it’s feared as an emissary of death.</t>
  </si>
  <si>
    <t>It lurks in cities, pretending to be a lamp. Once it finds someone whose death is near, it will trail quietly after them.</t>
  </si>
  <si>
    <t>It absorbs a spirit, which it then burns. By waving the flames on its arms, it puts its foes into a hypnotic trance.</t>
  </si>
  <si>
    <t>WOOPER elää yleensä vedessä, mutta tulee silloin tällöin maihin etsimään ruokaa. Maalla ne peittävät ruumiinsa tahmealla, myrkyllisellä kalvolla.</t>
  </si>
  <si>
    <t>Being consumed in Chandelure’s flame burns up the spirit, leaving the body behind.</t>
  </si>
  <si>
    <t>Maassa kävellessään se peittää ruumiinsa limaisella, myrkyllisellä kalvolla.</t>
  </si>
  <si>
    <t>The spirits burned up in its ominous flame lose their way and wander this world forever.</t>
  </si>
  <si>
    <t>This Pokémon haunts dilapidated mansions. It sways its arms to hypnotize opponents with the ominous dancing of its flames.</t>
  </si>
  <si>
    <t>In homes illuminated by Chandelure instead of lights, funerals were a constant occurrence— or so it’s said.</t>
  </si>
  <si>
    <t>Se elää kylmässä vedessä, puoliksi hautautuneena pohjaan mutaan nukkuakseen.</t>
  </si>
  <si>
    <t>They use their tusks to crush the berries they eat. Repeated regrowth makes their tusks strong and sharp.</t>
  </si>
  <si>
    <t>Kun lämpötila laskee illalla, ne nousevat vedestä etsimään ruokaa rannalta.</t>
  </si>
  <si>
    <t>They mark their territory by leaving gashes in trees with their tusks. If a tusk breaks, a new one grows in quickly.</t>
  </si>
  <si>
    <t>Maalla kävellessään se peittää ruumiinsa myrkyllisellä kalvolla, joka estää sen ihoa kuivumasta.</t>
  </si>
  <si>
    <t>Its large tusks have a tendency to break, but each time they grow back, they grow in harder and sturdier.</t>
  </si>
  <si>
    <t>Tämä Pokémon elää kylmässä vedessä. Se lähtee vedestä etsimään ruokaa, kun ulkona kylmenee.</t>
  </si>
  <si>
    <t>These Pokémon nest in the ground and use their tusks to crush hard berries. Crushing berries is also how they test each other’s strength.</t>
  </si>
  <si>
    <t>They play with each other by knocking their large tusks together. Their tusks break sometimes, but they grow back so quickly that it isn’t a concern.</t>
  </si>
  <si>
    <t>Since a broken tusk will not grow back, they diligently sharpen their tusks on river rocks after they’ve been fighting.</t>
  </si>
  <si>
    <t>Their tusks can shatter rocks. Territory battles between Fraxure can be intensely violent.</t>
  </si>
  <si>
    <t>A broken tusk will not grow back, so it diligently sharpens its tusks on river rocks after the end of a battle.</t>
  </si>
  <si>
    <t>After battle, this Pokémon carefully sharpens its tusks on river rocks. It needs to take care of its tusks—if one breaks, it will never grow back.</t>
  </si>
  <si>
    <t>Its skin is as hard as a suit of armor. Fraxure’s favorite strategy is to tackle its opponents, stabbing them with its tusks at the same time.</t>
  </si>
  <si>
    <t>They are kind but can be relentless when defending territory. They challenge foes with tusks that can cut steel.</t>
  </si>
  <si>
    <t>Their sturdy tusks will stay sharp even if used to cut steel beams. These Pokémon are covered in hard armor.</t>
  </si>
  <si>
    <t>Its tusks are incredibly destructive. They can easily slice through a thick, sturdy steel column every time.</t>
  </si>
  <si>
    <t>Wooper elää yleensä vedessä. Se kuitenkin tulee toisinaan maihin etsimään ruokaa. Maalla se peittää ruumiinsa tahmealla, myrkyllisellä kalvolla.</t>
  </si>
  <si>
    <t>Its resilient tusks are its pride and joy. It licks up dirt to take in the minerals it needs to keep its tusks in top condition.</t>
  </si>
  <si>
    <t>While usually kindhearted, it can be terrifying if angered. Tusks that can slice through steel beams are how Haxorus deals with its adversaries.</t>
  </si>
  <si>
    <t>When it is not feeling well, its mucus gets watery and the power of its Ice-type moves decreases.</t>
  </si>
  <si>
    <t>Its nose is always running. It sniffs the snot back up because the mucus provides the raw material for its moves.</t>
  </si>
  <si>
    <t>Their snot is a barometer of health. When healthy, their snot is sticky and the power of their ice moves increases.</t>
  </si>
  <si>
    <t>https://pokeapi.co/api/v2/pokemon-species/148/</t>
  </si>
  <si>
    <t>Quagsire</t>
  </si>
  <si>
    <t>When this Pokémon is in good health, its snot becomes thicker and stickier. It will smear its snot on anyone it doesn’t like.</t>
  </si>
  <si>
    <t>Tämä huoleton POKéMON on luonteeltaan leppoisa. Uidessaan se törmää aina veneiden runkoihin.</t>
  </si>
  <si>
    <t>It sniffles before performing a move, using its frosty snot to provide an icy element to any move that needs it.</t>
  </si>
  <si>
    <t>Rentouttavan ja huolettoman olemuksensa vuoksi se usein törmää uidessaan päänsä lohkareisiin ja veneen runkoihin.</t>
  </si>
  <si>
    <t>It can make its breath freeze at will. Very able in the water, it swims around in northern seas and catches prey.</t>
  </si>
  <si>
    <t>Sen ruumis on aina limainen. Se usein lyö päätään joen pohjaan uidessaan, mutta ei näytä välittävän siitä.</t>
  </si>
  <si>
    <t>It freezes its breath to create fangs and claws of ice to fight with. Cold northern areas are its habitat.</t>
  </si>
  <si>
    <t>QUAGSIRE metsästää ruokaa pitämällä suunsa auki vedessä ja odottamalla saaliinsa kompastuvan sisään tietämättään. Koska POKéMON ei liiku, se ei tule kovin nälkäiseksi.</t>
  </si>
  <si>
    <t>They love the cold seas of the north. They create pathways across the ocean waters by freezing their own breath.</t>
  </si>
  <si>
    <t>It swims through frigid seas, searching for prey. From its frozen breath, it forms icy fangs that are harder than steel.</t>
  </si>
  <si>
    <t>QUAGSIRE metsästää jättämällä suunsa auki veteen ja odottamalla saaliinsa kompastuvan sisään. Koska se ei liiku, se ei tule kovin nälkäiseksi.</t>
  </si>
  <si>
    <t>It swims energetically through frigid seas. When it gets tired, it freezes the seawater with its breath so it can rest on the ice.</t>
  </si>
  <si>
    <t>Rentouttavan ja huolettoman asenteensa vuoksi se usein törmää uidessaan päänsä lohkareisiin ja veneen runkoihin.</t>
  </si>
  <si>
    <t>When its body temperature goes up, it turns into steam and vanishes. When its temperature lowers, it returns to ice.</t>
  </si>
  <si>
    <t>They are born in snow clouds. They use chains made of ice crystals to capture prey.</t>
  </si>
  <si>
    <t>They are composed of ice crystals. They capture prey with chains of ice, freezing the prey at -148° F.</t>
  </si>
  <si>
    <t>They are composed of ice crystals. They capture prey with chains of ice, freezing the prey at -148 degrees Fahrenheit.</t>
  </si>
  <si>
    <t>Se on luonteeltaan hidas. Se makaa joen pohjassa odottamassa saalista eksyvän suuhunsa.</t>
  </si>
  <si>
    <t>With its icy chains, Cryogonal freezes those it encounters. It then takes its victims away to somewhere unknown.</t>
  </si>
  <si>
    <t>When the weather gets hot, these Pokémon turn into water vapor. Cryogonal are almost never seen during summer.</t>
  </si>
  <si>
    <t>Tyhmäjärkinen Pokémon. Se ei välitä, vaikka se uidessaan törmäisi päällään veneeseen tai kiviin.</t>
  </si>
  <si>
    <t>When attacked, it defends itself by closing the lid of its shell. It can spit a sticky, poisonous liquid.</t>
  </si>
  <si>
    <t>Sillä on leppoisa luonne. Se ei välitä, vaikka se uidessaan törmäisi päänsä veneisiin tai lohkareisiin.</t>
  </si>
  <si>
    <t>It evolves when bathed in an electric-like energy along with Karrablast. The reason is still unknown.</t>
  </si>
  <si>
    <t>Tämä huoleton Pokémon on luonteeltaan rento. Uidessaan se törmää aina veneen runkoihin.</t>
  </si>
  <si>
    <t>When it and Karrablast are together, and both receive electrical stimulation, they both evolve.</t>
  </si>
  <si>
    <t>When attacked, it tightly shuts the lid of its shell. This reaction fails to protect it from Karrablast, however, because they can still get into the shell.</t>
  </si>
  <si>
    <t>It has a strange physiology that responds to electricity. When together with Karrablast, Shelmet evolves for some reason.</t>
  </si>
  <si>
    <t>When its body dries out, it weakens. So, to prevent dehydration, it wraps itself in many layers of thin membrane.</t>
  </si>
  <si>
    <t>Tämä huoleton Pokémon on luonteeltaan leppoisa. Uidessaan se törmää aina veneen runkoihin.</t>
  </si>
  <si>
    <t>Having removed its heavy shell, it becomes very light and can fight with ninja-like movements.</t>
  </si>
  <si>
    <t>Quagsire metsästää ruokaa jättämällä suunsa auki veteen ja odottamalla saaliinsa kompastuvan sisään tietämättään. Koska Pokémon ei liiku, se ei tule kovin nälkäiseksi.</t>
  </si>
  <si>
    <t>When its body dries out, it weakens. So it wraps a membrane around itself for protection while it spits poison.</t>
  </si>
  <si>
    <t>It moves with blinding speed and lobs poison at foes. Featuring Accelgor as a main character is a surefire way to make a movie or comic popular.</t>
  </si>
  <si>
    <t>Espeon</t>
  </si>
  <si>
    <t>Discarding its shell made it nimble. To keep itself from dehydrating, it wraps its body in bands of membrane.</t>
  </si>
  <si>
    <t>Se käyttää kehoaan peittävää hienoa karvaa aistiakseen ilmavirtoja ja ennustaakseen vihollistensa toimia.</t>
  </si>
  <si>
    <t>Lukemalla ilmavirtauksia se voi ennustaa esimerkiksi säätä tai vihollisensa seuraavaa liikettä.</t>
  </si>
  <si>
    <t>Its skin is very hard, so it is unhurt even if stepped on by sumo wrestlers. It smiles when transmitting electricity.</t>
  </si>
  <si>
    <t>Sen kaksihaaraisen hännän kärki värisee, kun se ennustaa vastustajansa seuraavaa siirtoa.</t>
  </si>
  <si>
    <t>It conceals itself in the mud of the seashore. Then it waits. When prey touch it, it delivers a jolt of electricity.</t>
  </si>
  <si>
    <t>ESPEON on äärimmäisen uskollinen kaikille arvokkaille KOULUTTAJILLE. Kerrotaan, että tämä POKéMON kehitti ennakointikykynsä suojellakseen KOULUTTAJAAN vahingolta.</t>
  </si>
  <si>
    <t>When its opponent can’t be paralyzed, it contorts itself with unexpected speed and flops away.</t>
  </si>
  <si>
    <t>Thanks to bacteria that lived in the mud flats with it, this Pokémon developed the organs it uses to generate electricity.</t>
  </si>
  <si>
    <t>ESPEON on äärimmäisen uskollinen kaikille KOULUTTAJILLE, joita se pitää arvoisina. Sen sanotaan kehittäneen ennakoivia kykyjä suojellakseen KOULUTTAJAANsa vahingolta.</t>
  </si>
  <si>
    <t>For some reason, this Pokémon smiles slightly when it emits a strong electric current from the yellow markings on its body.</t>
  </si>
  <si>
    <t>Se käyttää vartaloaan peittävää hienoa karvaa aistiakseen ilmavirtoja ja ennustaakseen vihollisensa toimia.</t>
  </si>
  <si>
    <t>In fights, they dominate with onslaughts of flowing, continuous attacks. With their sharp claws, they cut enemies.</t>
  </si>
  <si>
    <t>Sen turkki näyttää ja tuntuu sametilta. Sen otsassa oleva pallo hehkuu, kun se käyttää psykovoimaa.</t>
  </si>
  <si>
    <t>They have mastered elegant combos. As they concentrate, their battle moves become swifter and more precise.</t>
  </si>
  <si>
    <t>It takes pride in the speed at which it can use moves. What it loses in power, it makes up for in quantity.</t>
  </si>
  <si>
    <t>Sen turkki on niin herkkä, että se voi aistia pienetkin muutokset ilmassa ja ennustaa sään.</t>
  </si>
  <si>
    <t>They can often be seen in packs in the morning, slowly moving their bodies through a series of poses.</t>
  </si>
  <si>
    <t>https://pokeapi.co/api/v2/pokemon-species/149/</t>
  </si>
  <si>
    <t>They seclude themselves in the mountains and devote themselves to training. The form of their kicks and chops differs from pack to pack.</t>
  </si>
  <si>
    <t>In one minute, a well-trained Mienfoo can chop with its arms more than 100 times.</t>
  </si>
  <si>
    <t>Sen turkki on niin herkkä, että se voi aistia pienetkin muutokset ilmassa ja ennustaa sään... ja vihollistensa ajatukset.</t>
  </si>
  <si>
    <t>Though small, Mienfoo’s temperament is fierce. Any creature that approaches Mienfoo carelessly will be greeted with a flurry of graceful attacks.</t>
  </si>
  <si>
    <t>It wields the fur on its arms like a whip. Its arm attacks come with such rapidity that they cannot even be seen.</t>
  </si>
  <si>
    <t>They use the long fur on their arms as a whip to strike their opponents.</t>
  </si>
  <si>
    <t>Using the long fur on its arms like whips, it launches into combo attacks that, once started, no one can stop.</t>
  </si>
  <si>
    <t>It overwhelms its opponents with continuous attacks and then slowly stores up power before delivering the finishing blow.</t>
  </si>
  <si>
    <t>Espeon on äärimmäisen uskollinen kaikille kouluttajille, joita se pitää arvoisina. Kerrotaan, että tämä Pokémon kehitti ennakointikykynsä suojellakseen kouluttajaansa vahingolta.</t>
  </si>
  <si>
    <t>When Mienshao lets out a bizarre wail, you’re in danger. A flurry of kicks and chops too fast to see is about to be unleashed!</t>
  </si>
  <si>
    <t>When Mienshao comes across a truly challenging opponent, it will lighten itself by biting off the fur on its arms.</t>
  </si>
  <si>
    <t>Delivered at blinding speeds, kicks from this Pokémon can shatter massive boulders into tiny pieces.</t>
  </si>
  <si>
    <t>It warms its body by absorbing sunlight with its wings. When its body temperature falls, it can no longer move.</t>
  </si>
  <si>
    <t>Se voi aistia vastustajansa liikkeet välittömästi tunnustelemalla ilmavirtoja hienolla turkillaan.</t>
  </si>
  <si>
    <t>It races through narrow caves, using its sharp claws to catch prey. The skin on its face is harder than a rock.</t>
  </si>
  <si>
    <t>Se vapauttaa psyykkistä voimaa otsassaan olevasta pallosta. Kun sen voima on loppunut, pallo muuttuu himmeäksi ja tummaksi.</t>
  </si>
  <si>
    <t>It runs through the narrow tunnels formed by Excadrill and Onix. It uses its sharp claws to catch prey.</t>
  </si>
  <si>
    <t>The red skin on its face is harder than rock. In narrow caves, it squares off against its enemies and charges face-first right into them.</t>
  </si>
  <si>
    <t>Vaikka sillä alun perin ei ollut lainkaan voimia, sanotaan, että sen ennaltaehkäisykyky heräsi sen tarpeesta suojella itseään.</t>
  </si>
  <si>
    <t>It infiltrates tunnels that Pokémon like Diglett and Dugtrio have dug and quietly waits for prey to pass through.</t>
  </si>
  <si>
    <t>Druddigon lives in caves, but it never skips sunbathing—it won’t be able to move if its body gets too cold.</t>
  </si>
  <si>
    <t>Sen otsassa olevaan palloon kertyy psyykkistä voimaa sen kylpiessä auringonpaisteessa. Espeon ei ole hyvä taistelemaan yöllä.</t>
  </si>
  <si>
    <t>Druddigon are vicious and cunning. They take up residence in nests dug out by other Pokémon, treating the stolen nests as their own lairs.</t>
  </si>
  <si>
    <t>The energy that burns inside it enables it to move, but no one has yet been able to identify this energy.</t>
  </si>
  <si>
    <t>These Pokémon are thought to have been created by the science of an ancient and mysterious civilization.</t>
  </si>
  <si>
    <t>Ancient science fashioned this Pokémon from clay. It’s been active for thousands of years.</t>
  </si>
  <si>
    <t>Its movements are powered by a mysterious energy. It has continued to move since ancient times, so its power may soon run out.</t>
  </si>
  <si>
    <t>Käyttää salaperäistä voimaa, jolla se voi ennustaa säätä ja jopa ihmisten ajatuksia. Auringonpaisteessa sen otsassa oleva helakanpunainen pallo hehkuu ja kerää energiaa.</t>
  </si>
  <si>
    <t>Umbreon</t>
  </si>
  <si>
    <t>Kuunvalo-Pokémon</t>
  </si>
  <si>
    <t>Levottomana tämä POKéMON suojaa itseään suihkuttamalla myrkyllistä hikeä ihohuokosistaan.</t>
  </si>
  <si>
    <t>Although ancient people apparently built it by working with clay, the source of its energy is unclear.</t>
  </si>
  <si>
    <t>Kun pimeys laskeutuu, kehon renkaat alkavat hehkua ja herättävät pelkoa kaikkien lähellä olevien sydämissä.</t>
  </si>
  <si>
    <t>They were sculpted from clay in ancient times. No one knows why, but some of them are driven to continually line up boulders.</t>
  </si>
  <si>
    <t>Täydenkuun yönä tai kun se innostuu, sen kehon rengaskuviot hehkuvat keltaisina.</t>
  </si>
  <si>
    <t>UMBREON kehittyi altistuttuaan kuun aalloille. Se piiloutuu hiljaa pimeyteen ja odottaa vihollistensa tekevän liikkeen. Sen kehon renkaat hehkuvat, kun se hyppää hyökkäämään.</t>
  </si>
  <si>
    <t>This Pokémon was created from clay. It received orders from its master many thousands of years ago, and it still follows those orders to this day.</t>
  </si>
  <si>
    <t>UMBREON kehittyi altistuttuaan kuun energiapulsseille. Se väijyy pimeydessä ja odottaa vihollistensa liikkumista. Sen kehon renkaat hehkuvat, kun se hyppää hyökkäämään.</t>
  </si>
  <si>
    <t>It flies across the sky at Mach speeds. Removing the seal on its chest makes its internal energy go out of control.</t>
  </si>
  <si>
    <t>Kun pimeys laskeutuu, sen kehon renkaat alkavat hehkua ja herättävät pelkoa kaikkien lähellä olevien sydämissä.</t>
  </si>
  <si>
    <t>It is said that Golurk were ordered to protect people and Pokémon by the ancient people who made them.</t>
  </si>
  <si>
    <t>Golurk were created to protect people and Pokémon. They run on a mysterious energy.</t>
  </si>
  <si>
    <t>Kuunvalo muutti EEVEE:n geneettistä rakennetta. Se vaanii pimeydessä saalista etsien.</t>
  </si>
  <si>
    <t>Some say that ancient people invented Golurk to serve as a laborer. It follows its master’s orders faithfully.</t>
  </si>
  <si>
    <t>When the seal on its chest is removed, it rages indiscriminately, turning the whole town around it into a mountain of rubble.</t>
  </si>
  <si>
    <t>Artillery platforms built into the walls of ancient castles served as perches from which Golurk could fire energy beams.</t>
  </si>
  <si>
    <t>Kuun aura lämmittää sen kehon renkaita, ja se saa salaperäisen voiman.</t>
  </si>
  <si>
    <t>There’s a theory that inside Golurk is a perpetual motion machine that produces limitless energy, but this belief hasn’t been proven.</t>
  </si>
  <si>
    <t>Levottomana tämä Pokémon suojaa itseään suihkuttamalla myrkyllistä hikeä huokosistaan.</t>
  </si>
  <si>
    <t>Blades comprise this Pokémon’s entire body. If battling dulls the blades, it sharpens them on stones by the river.</t>
  </si>
  <si>
    <t>They fight at Bisharp’s command. They cling to their prey and inflict damage by sinking their blades into it.</t>
  </si>
  <si>
    <t>Ignoring their injuries, groups attack by sinking the blades that cover their bodies into their prey.</t>
  </si>
  <si>
    <t>After shredding its prey, it sharpens its blades on a stone by the river. Each Pawniard has its own favorite sharpening stone.</t>
  </si>
  <si>
    <t>It follows Bisharp’s orders to a tee when it attacks enemies. After slashing an opponent, Pawniard clangs both of its blades together.</t>
  </si>
  <si>
    <t>It uses river stones to maintain the cutting edges of the blades covering its body. These sharpened blades allow it to bring down opponents.</t>
  </si>
  <si>
    <t>Kun se altistuu kuun auralle, sen kehon renkaat hehkuvat himmeästi ja se täyttyy salaperäisestä voimasta.</t>
  </si>
  <si>
    <t>A pack of these Pokémon forms to serve a Bisharp boss. Each Pawniard trains diligently, dreaming of one day taking the lead.</t>
  </si>
  <si>
    <t>It leads a group of Pawniard. It battles to become the boss, but will be driven from the group if it loses.</t>
  </si>
  <si>
    <t>Bisharp pursues prey in the company of a large group of Pawniard. Then Bisharp finishes off the prey.</t>
  </si>
  <si>
    <t>Kuunvalo muutti Eeveen geneettistä rakennetta. Se vaanii pimeydessä saalista etsien.</t>
  </si>
  <si>
    <t>This pitiless Pokémon commands a group of Pawniard to hound prey into immobility. It then moves in to finish the prey off.</t>
  </si>
  <si>
    <t>No matter how strong the Bisharp, it’s said that if the blade on its head is chipped, it will retire from its position as the boss.</t>
  </si>
  <si>
    <t>Umbreon kehittyi kuun aaltojen vaikutuksesta. Se piiloutuu hiljaa pimeyteen ja odottaa vihollistensa liikkeitä. Sen kehon renkaat hehkuvat, kun se hyppää hyökkäämään.</t>
  </si>
  <si>
    <t>It leads a group of Pawniard. Bisharp doesn’t even change its expression when it deals the finishing blow to an opponent.</t>
  </si>
  <si>
    <t>It’s accompanied by a large retinue of Pawniard. Bisharp keeps a keen eye on its minions, ensuring none of them even think of double-crossing it.</t>
  </si>
  <si>
    <t>Violent conflicts erupt between Bisharp and Fraxure over places where sharpening stones can be found.</t>
  </si>
  <si>
    <t>Kun tämä Pokémon suuttuu, sen ihohuokoset erittävät myrkyllistä hikeä, jota se suihkuttaa vastustajansa silmiin.</t>
  </si>
  <si>
    <t>Their fluffy fur absorbs damage, even if they strike foes with a fierce headbutt.</t>
  </si>
  <si>
    <t>Mustalla turkillaan se sulautuu pimeyteen. Se odottaa hetkeään, ja kun saalis ilmestyy, tämä Pokémon tarttuu sen kurkkuun ja syö sen.</t>
  </si>
  <si>
    <t>They charge wildly and headbutt everything. Their headbutts have enough destructive force to derail a train.</t>
  </si>
  <si>
    <t>Tämä Pokémon on yöeläin. Sen suuret silmät pystyvät havaitsemaan saaliinsa selvästi jopa täydellisessä pimeydessä!</t>
  </si>
  <si>
    <t>They are known to charge so wildly that if a train were to enter their territory, they would send it flying.</t>
  </si>
  <si>
    <t>Se väijyy yön pimeydessä etsien saalista. Hyökkäyshetkellä sen ruumiin renkaat hohtavat himmeästi mutta uhkaavasti.</t>
  </si>
  <si>
    <t>These Pokémon can crush a car with no more than a headbutt. Bouffalant with more hair on their heads hold higher positions within the herd.</t>
  </si>
  <si>
    <t>These Pokémon live in herds of about 20 individuals. Bouffalant that betray the herd will lose the hair on their heads for some reason.</t>
  </si>
  <si>
    <t>Se on aktiivisimmillaan yön pikkutunneilla, kun kuunvalo kylpee maata. Sen suuret silmät lävistävät pimeyden ja havaitsevat saaliin ehdottoman selkeästi.</t>
  </si>
  <si>
    <t>They crush berries with their talons. They bravely stand up to any opponent, no matter how strong it is.</t>
  </si>
  <si>
    <t>Murkrow</t>
  </si>
  <si>
    <t>They will challenge anything, even strong opponents, without fear. Their frequent fights help them become stronger.</t>
  </si>
  <si>
    <t>Pimeyden Pokémon</t>
  </si>
  <si>
    <t>Monet pelkäävät ja inhoavat sitä, ja sen uskotaan tuovan epäonnea kaikille, jotka näkevät sen yöllä.</t>
  </si>
  <si>
    <t>It stands up to massive opponents, not out of courage, but out of recklessness. But that is how it gets stronger.</t>
  </si>
  <si>
    <t>https://pokeapi.co/api/v2/pokemon-species/150/</t>
  </si>
  <si>
    <t>They pick fights indiscriminately. They grow stronger and more powerful each time they faint or are injured.</t>
  </si>
  <si>
    <t>With its sharp claws, this Pokémon pierces its prey, and then it pecks at them. Although it also consumes berries, it’s a carnivore at heart.</t>
  </si>
  <si>
    <t>Sanotaan, että takaa-ajettuna se houkuttelee hyökkääjänsä pimeille vuoristopoluille, joilla vihollinen eksyy.</t>
  </si>
  <si>
    <t>With its powerful legs and sturdy claws, it can crack even the hard shells of Shellder and pluck out their insides.</t>
  </si>
  <si>
    <t>Known as a natural-born warrior, soon after its hatching, it will challenge its parent to a fight in order to gain their acceptance.</t>
  </si>
  <si>
    <t>Se piilottaa kaikki löytämänsä kiiltävät esineet salaiseen paikkaan. MURKROW ja MEOWTH ryöstävät toistensa kätköjä.</t>
  </si>
  <si>
    <t>If it spies a strong Pokémon, Rufflet can’t resist challenging it to a battle. But if Rufflet loses, it starts bawling.</t>
  </si>
  <si>
    <t>MURKROWia pelättiin ja inhottiin, koska sitä väitettiin tuovan huonoa onnea. Tämä POKéMON osoittaa vahvaa kiinnostusta kaikkeen, mikä kimaltelee tai säihkyy. Se voi jopa yrittää varastaa sormuksia naisilta.</t>
  </si>
  <si>
    <t>A combative Pokémon, it’s ready to pick a fight with anyone. It has talons that can crush hard berries.</t>
  </si>
  <si>
    <t>Its chick-like looks belie its hotheadedness. It challenges its parents at every opportunity, desperate to prove its strength.</t>
  </si>
  <si>
    <t>They fight for their friends without any thought about danger to themselves. One can carry a car while flying.</t>
  </si>
  <si>
    <t>MURKROW-koiria pelättiin epäonnen tuojina. Ne osoittavat voimakasta kiinnostusta kaikkeen kimaltelevaan. Ne jopa yrittävät varastaa sormuksia naisilta.</t>
  </si>
  <si>
    <t>The more scars they have, the more respect these brave soldiers of the sky get from their peers.</t>
  </si>
  <si>
    <t>For the sake of its friends, this brave warrior of the sky will not stop battling, even if injured.</t>
  </si>
  <si>
    <t>With its brave disposition, it fears nothing—not even death. Ancient Alolan people respected it, referring to it as “the hero of the sky.”</t>
  </si>
  <si>
    <t>Uskotaan, että tämän Pokémonin näkeminen yöllä tuo mukanaan pahaenteisiä tapahtumia.</t>
  </si>
  <si>
    <t>It’s thought that people disturbed their habitats in the past, so Braviary banded together to fight back.</t>
  </si>
  <si>
    <t>Se ilmestyy matkalaisten lähelle houkutellakseen heidät syviin metsiin. Sen sanotaan tuovan epäonnea.</t>
  </si>
  <si>
    <t>The more scars it has on its front, the more heroic it’s considered to be. Those with many scars on their back are mocked by the flock.</t>
  </si>
  <si>
    <t>Jos se havaitaan, se houkuttelee varomattoman ihmisen jahtaamaan sitä ja kadottaa sitten takaa-ajajan vuoristopoluilla.</t>
  </si>
  <si>
    <t>Known as “the hero of the skies,” this Pokémon is so proud and so brave that it will never retreat, even when it’s injured.</t>
  </si>
  <si>
    <t>Known for its bravery and pride, this majestic Pokémon is often seen as a motif for various kinds of emblems.</t>
  </si>
  <si>
    <t>Because this Pokémon is hotheaded and belligerent, it’s Corviknight that’s taken the role of transportation in Galar.</t>
  </si>
  <si>
    <t>Screaming a bloodcurdling battle cry, this huge and ferocious bird Pokémon goes out on the hunt. It blasts lakes with shock waves, then scoops up any prey that float to the water's surface.</t>
  </si>
  <si>
    <t>Its wings are too tiny to allow it to fly. As the time approaches for it to evolve, it discards the bones it was wearing.</t>
  </si>
  <si>
    <t>They tend to guard their posteriors with suitable bones they have found. They pursue weak Pokémon.</t>
  </si>
  <si>
    <t>Jos se havaitaan, se houkuttelee varomattoman henkilön jahtaamaan sitä ja eksyy sitten takaa-ajajan vuoristopoluilla.</t>
  </si>
  <si>
    <t>Their wings are too tiny to allow them to fly. They guard their posteriors with bones that were gathered by Mandibuzz.</t>
  </si>
  <si>
    <t>It protects its plump posterior with the bones of prey it has consumed. As it grows, it replaces the bones.</t>
  </si>
  <si>
    <t>Se piilottaa kaikki löytämänsä kiiltävät esineet salaiseen paikkaan. Murkrow ja Meowth ryöstävät toistensa kätköjä.</t>
  </si>
  <si>
    <t>It can’t fly yet and must wait until its wings have developed more. Since it’s still at a playful age, it hops around friskily.</t>
  </si>
  <si>
    <t>Mandibuzz gives it the bones it wears. Vullaby’s wings are short, so it can’t fly yet, but it jumps around, dreaming of wide open skies.</t>
  </si>
  <si>
    <t>Murkrowia pelättiin ja inhottiin, koska sitä pidettiin epäonnen tuojana. Tämä Pokémon osoittaa vahvaa kiinnostusta kaikkeen, mikä kimaltelee tai säihkyy. Se yrittää jopa varastaa sormuksia naisilta.</t>
  </si>
  <si>
    <t>Its healthy appetite leads to visible growth spurts. It often has to replace the bones it wears as its size increases.</t>
  </si>
  <si>
    <t>It wears a bone to protect its rear. It often squabbles with others of its kind over particularly comfy bones.</t>
  </si>
  <si>
    <t>Vullaby grow quickly. Bones that have gotten too small for older Vullaby to wear often get passed down to younger ones in the nest.</t>
  </si>
  <si>
    <t>Ne heräävät hämärän aikaan ja nousevat lentoon hämärässä, mistä juontaa juurensa sanonta: ”Pääse kotiin ennen kuin Murkrow lentää.”</t>
  </si>
  <si>
    <t>It makes a nest out of bones it finds. It grabs weakened prey in its talons and hauls it to its nest of bones.</t>
  </si>
  <si>
    <t>Koska sitä pidetään huonon onnen symbolina, sitä ei yleensä pidetä. Silti se antaa lahjoja – kimaltelevia tai hohtavia esineitä – lähellä oleville kouluttajille.</t>
  </si>
  <si>
    <t>Watching from the sky, they swoop to strike weakened Pokémon on the ground. They decorate themselves with bones.</t>
  </si>
  <si>
    <t>They fly in circles around the sky. When they spot prey, they attack and carry it back to their nest with ease.</t>
  </si>
  <si>
    <t>Sillä on heikkous kiiltäviin asioihin. Sen tiedetään hiipineen gabiittien – tunnettujen jalokivien keräilijöiden – pesiin aarteenetsinnässä.</t>
  </si>
  <si>
    <t>They adorn themselves beautifully with bones. This is supposedly an effort to attract males, but no male Mandibuzz have ever been found.</t>
  </si>
  <si>
    <t>Se etsii kiiltäviä asioita pomolleen. Murkrow'n läsnäolon sanotaan tuovan epäonnea, joten monet ihmiset inhoavat sitä.</t>
  </si>
  <si>
    <t>It circles in the sky, keeping a keen eye out for Pokémon in a weakened state. Its choicest food is Cubone.</t>
  </si>
  <si>
    <t>Laajalti karttaan huonon onnen tuojana. Minulle on kerrottu, että tämän olennon kohtaamisen jälkeen on lausuttava suojelevaksi loitsuksi ”Workrum, Workrum – huono onni, älä tule”.</t>
  </si>
  <si>
    <t>It skillfully arranges the bones of its prey to construct its nest. Most of the bones are Cubone.</t>
  </si>
  <si>
    <t>Slowking</t>
  </si>
  <si>
    <t>Kuninkaallinen Pokémon</t>
  </si>
  <si>
    <t>It’s always searching for food for Vullaby. When it finds a weak Pokémon, Mandibuzz swoops it right off to its nest.</t>
  </si>
  <si>
    <t>Sillä on uskomaton älykkyys ja oppineisuus. Olipa tilanne mikä tahansa, se pysyy rauhallisena ja tyynenä.</t>
  </si>
  <si>
    <t>Although it’s a bit of a ruffian, this Pokémon will take lost Vullaby under its wing and care for them till they’re ready to leave the nest.</t>
  </si>
  <si>
    <t>Kun sen päätä purtiin, myrkkyjä pääsi SLOWPOKEn päähän ja avasi ainutlaatuisen voiman.</t>
  </si>
  <si>
    <t>They adorn themselves with bones. There seem to be fashion trends among them, as different bones come into and fall out of popularity.</t>
  </si>
  <si>
    <t>Joka kerta kun se iskee, SHELLDER ruiskuttaa siihen lisää myrkkyä. Myrkky tekee siitä älykkäämmän.</t>
  </si>
  <si>
    <t>It breathes through a hole in its tail while it burns with an internal fire. Durant is its prey.</t>
  </si>
  <si>
    <t>SLOWKING tekee tutkimusta joka päivä ratkaistakseen maailman mysteerejä. Tämä POKéMON kuitenkin ilmeisesti unohtaa kaiken oppimansa, jos sen päästä irtoaa SHELLDER.</t>
  </si>
  <si>
    <t>Using their very hot, flame-covered tongues, they burn through Durant’s steel bodies and consume their insides.</t>
  </si>
  <si>
    <t>It draws in air through its tail, transforms it into fire, and uses it like a tongue. It melts Durant and eats them.</t>
  </si>
  <si>
    <t>There’s a hole in its tail that allows it to draw in the air it needs to keep its fire burning. If the hole gets blocked, this Pokémon will fall ill.</t>
  </si>
  <si>
    <t>Se tekee tutkimusta joka päivä ratkaistakseen maailman mysteerejä. Se kuitenkin ilmeisesti unohtaa kaiken, jos sen päästä oleva SHELLDER irtoaa.</t>
  </si>
  <si>
    <t>A flame serves as its tongue, melting through the hard shell of Durant so that Heatmor can devour their insides.</t>
  </si>
  <si>
    <t>They attack in groups, covering themselves in steel armor to protect themselves from Heatmor.</t>
  </si>
  <si>
    <t>Sillä on uskomaton älykkyys ja intuitio. Olipa tilanne mikä tahansa, se pysyy rauhallisena ja tyynenä.</t>
  </si>
  <si>
    <t>Durant dig nests in mountains. They build their complicated, interconnected tunnels into mazes.</t>
  </si>
  <si>
    <t>Individuals each play different roles in driving Heatmor, their natural predator, away from their colony.</t>
  </si>
  <si>
    <t>SHELLDERin purema antoi sille älykkyyttä, joka oli verrattavissa palkittujen tiedemiesten älykkyyteen.</t>
  </si>
  <si>
    <t>They lay their eggs deep inside their nests. When attacked by Heatmor, they retaliate using their massive mandibles.</t>
  </si>
  <si>
    <t>With their large mandibles, these Pokémon can crunch their way through rock. They work together to protect their eggs from Sandaconda.</t>
  </si>
  <si>
    <t>It tends to bite everything, and it is not a picky eater. Approaching it carelessly is dangerous.</t>
  </si>
  <si>
    <t>They cannot see, so they tackle and bite to learn about their surroundings. Their bodies are covered in wounds.</t>
  </si>
  <si>
    <t>Lacking sight, it’s unaware of its surroundings, so it bumps into things and eats anything that moves.</t>
  </si>
  <si>
    <t>When it encounters something, its first urge is usually to bite it. If it likes what it tastes, it will commit the associated scent to memory.</t>
  </si>
  <si>
    <t>Shellderin purema antoi sille älykkyyttä, joka oli verrattavissa palkittujen tiedemiesten älykkyyteen.</t>
  </si>
  <si>
    <t>Because it can’t see, this Pokémon is constantly biting at everything it touches, trying to keep track of its surroundings.</t>
  </si>
  <si>
    <t>After it has eaten up all the food in its territory, it moves to another area. Its two heads do not get along.</t>
  </si>
  <si>
    <t>Since their two heads do not get along and compete with each other for food, they always eat too much.</t>
  </si>
  <si>
    <t>The two heads do not get along. Whichever head eats more than the other gets to be the leader.</t>
  </si>
  <si>
    <t>While hunting for prey, Zweilous wanders its territory, its two heads often bickering over which way to go.</t>
  </si>
  <si>
    <t>Their two heads will fight each other over a single piece of food. Zweilous are covered in scars even without battling others.</t>
  </si>
  <si>
    <t>Kun sen päätä purtiin, myrkkyjä pääsi Slowpoken päähän ja avasi ainutlaatuisen voiman.</t>
  </si>
  <si>
    <t>This brutal Pokémon travels the skies on its six wings. Anything that moves seems like a foe to it, triggering its attack.</t>
  </si>
  <si>
    <t>Hidaskuningas tekee tutkimusta joka päivä ratkaistakseen maailman mysteerejä. Tämä Pokémon kuitenkin ilmeisesti unohtaa kaiken oppimansa, jos sen päästä irtoaa Shellder.</t>
  </si>
  <si>
    <t>The heads on their arms do not have brains. They use all three heads to consume and destroy everything.</t>
  </si>
  <si>
    <t>It responds to movement by attacking. This scary, three-headed Pokémon devours everything in its path!</t>
  </si>
  <si>
    <t>Myrkyllinen purema reagoi sen elimistöön ja antoi sille nerouden tehostuneen älyn. Se hallitsee täysin psyykkisiä voimiaan.</t>
  </si>
  <si>
    <t>There are a slew of stories about villages that were destroyed by Hydreigon. It bites anything that moves.</t>
  </si>
  <si>
    <t>The three heads take turns sinking their teeth into the opponent. Their attacks won’t slow until their target goes down.</t>
  </si>
  <si>
    <t>Tämä Pokémon on niin kuuluisa älykkyydestään, että joillakin alueilla elää edelleen sananlasku: "Jos olet epävarma, kysy Hidaskuninkaalta."</t>
  </si>
  <si>
    <t>This Pokémon was believed to have been born from the sun. When it evolves, its entire body is engulfed in flames.</t>
  </si>
  <si>
    <t>The base of volcanoes is where they make their homes. They shoot fire from their five horns to repel attacking enemies.</t>
  </si>
  <si>
    <t>Se keksii jatkuvasti uusia ideoita, jotka muuttaisivat maailmaa, mutta heti kun se iskee uuteen ideaan, se unohtaa sen.</t>
  </si>
  <si>
    <t>Said to have been born from the sun, it spews fire from its horns and encases itself in a cocoon of fire when it evolves.</t>
  </si>
  <si>
    <t>https://pokeapi.co/api/v2/pokemon-species/151/</t>
  </si>
  <si>
    <t>Sitä kutsutaan "meren viisaaksi". Se käy älytaisteluita Orangurua vastaan, mutta tulos on yleensä tasapeli.</t>
  </si>
  <si>
    <t>When battling opponents, it sprays fire from its five horns. The max temperature of the flames can reach nearly 5,500 degrees Fahrenheit.</t>
  </si>
  <si>
    <t>It protects itself with flame. Long years ago, people believed Larvesta had a nest on the sun.</t>
  </si>
  <si>
    <t>Ihmeellisesti tämän entisen Hidassuovan piilevä älykkyys paljastui, kun Shellderin myrkky syöksyi sen aivojen läpi.</t>
  </si>
  <si>
    <t>The people of ancient times believed that Larvesta fell from the sun.</t>
  </si>
  <si>
    <t>Hidas kuningas voi ratkaista minkä tahansa sille esitetyn ongelman, mutta kukaan ei voi ymmärtää mitään siitä, mitä Hidas kuningas sanoo.</t>
  </si>
  <si>
    <t>Larvesta’s body is warm all over. It spouts fire from the tips of its horns to intimidate predators and scare prey.</t>
  </si>
  <si>
    <t>Misdreavus</t>
  </si>
  <si>
    <t>Kirkuva Pokémon</t>
  </si>
  <si>
    <t>Se tykkää leikkiä ilkikurisia temppuja, kuten huutamista ja valittamista, säikäyttääkseen ihmisiä yöllä.</t>
  </si>
  <si>
    <t>When volcanic ash darkened the atmosphere, it is said that Volcarona’s fire provided a replacement for the sun.</t>
  </si>
  <si>
    <t>A sea of fire engulfs the surroundings of their battles, since they use their six wings to scatter their ember scales.</t>
  </si>
  <si>
    <t>Se rakastaa purra ja nyppiä ihmisten hiuksia takaapäin varoittamatta vain nähdäkseen heidän järkyttyneet reaktionsa.</t>
  </si>
  <si>
    <t>Thought to be an embodiment of the sun, it appeared during a bitterly cold winter and saved Pokémon from freezing.</t>
  </si>
  <si>
    <t>Se rakastaa katsella ihmisiä, sillä sillä on arpia. Se pelottelee heitä huutamalla kovaa tai ilmestymällä yhtäkkiä esiin.</t>
  </si>
  <si>
    <t>As it flies, it scatters its flaming scales. It was feared by ancient people, who referred to it as “the rage of the sun.”</t>
  </si>
  <si>
    <t>According to legends, it was hatched from a flaming cocoon to save people and Pokémon that were suffering from the cold.</t>
  </si>
  <si>
    <t>MISDREAVUS pelottaa ihmisiä kammottavalla, nyyhkyttävällä huudolla. POKéMON ilmeisesti käyttää punaisia ​​pallojaan imeäkseen vihollisten pelottavat tunteet ja muuttaakseen ne ravinnoksi.</t>
  </si>
  <si>
    <t>Volcarona scatters burning scales. Some say it does this to start fires. Others say it’s trying to rescue those that suffer in the cold.</t>
  </si>
  <si>
    <t>This Pokémon emerges from a cocoon formed of raging flames. Ancient murals depict Volcarona as a deity of fire.</t>
  </si>
  <si>
    <t>This legendary Pokémon battled against humans to protect Pokémon. Its personality is calm and composed.</t>
  </si>
  <si>
    <t>MISDREAVUS pelottaa ihmisiä kammottavalla, nyyhkyttävällä huudolla. Se ilmeisesti käyttää punaisia ​​pallojaan vihollisten pelon imemiseen ravinnokseen.</t>
  </si>
  <si>
    <t>It has a body and heart of steel. Its glare is sufficient to make even an unruly Pokémon obey it.</t>
  </si>
  <si>
    <t>It has a body and heart of steel. It worked with its allies to punish people when they hurt Pokémon.</t>
  </si>
  <si>
    <t>This Pokémon appears in a legend alongside Terrakion and Virizion, fighting against humans in defense of the Unova region’s Pokémon.</t>
  </si>
  <si>
    <t>From the moment it’s born, this Pokémon radiates the air of a leader. Its presence will calm even vicious foes.</t>
  </si>
  <si>
    <t>This Pokémon came to the defense of Pokémon that had lost their homes in a war among humans.</t>
  </si>
  <si>
    <t>Its charge is strong enough to break through a giant castle wall in one blow. This Pokémon is spoken of in legends.</t>
  </si>
  <si>
    <t>Se rakastaa hiipiä ihmisten luo myöhään yöllä ja säikäyttää heidät sitten kirkuvalla huudolla.</t>
  </si>
  <si>
    <t>Spoken of in legend, this Pokémon used its phenomenal power to destroy a castle in its effort to protect Pokémon.</t>
  </si>
  <si>
    <t>It has phenomenal power. It will mercilessly crush anyone or anything that bullies small Pokémon.</t>
  </si>
  <si>
    <t>In Unovan legend, Terrakion battled against humans in an effort to protect other Pokémon.</t>
  </si>
  <si>
    <t>Se saa ravintoa pelosta, jonka se imee punaisiin palloihinsa. Päivällä se nukkuu pimeydessä.</t>
  </si>
  <si>
    <t>This Pokémon fought humans in order to protect its friends. Legends about it continue to be passed down.</t>
  </si>
  <si>
    <t>Pokémon, joka säikäyttää ihmisiä keskellä yötä. Se kerää energiakseen pelkoa.</t>
  </si>
  <si>
    <t>Its head sprouts horns as sharp as blades. Using whirlwind-like movements, it confounds and swiftly cuts opponents.</t>
  </si>
  <si>
    <t>Legends say this Pokémon confounded opponents with its swift movements.</t>
  </si>
  <si>
    <t>A legend tells of this Pokémon working together with Cobalion and Terrakion to protect the Pokémon of the Unova region.</t>
  </si>
  <si>
    <t>Se tykkää leikkiä ilkikurisia temppuja, kuten huutaa ja valittaa säikäyttääkseen ihmisiä yöllä.</t>
  </si>
  <si>
    <t>It darts around opponents with a flurry of quick movements, slicing them up with its horns.</t>
  </si>
  <si>
    <t>The lower half of its body is wrapped in a cloud of energy. It zooms through the sky at 200 mph.</t>
  </si>
  <si>
    <t>Tornadus expels massive energy from its tail, causing severe storms. Its power is great enough to blow houses away.</t>
  </si>
  <si>
    <t>In every direction it flies, creating winds so powerful, they blow everything away.</t>
  </si>
  <si>
    <t>This storm-stirring Pokémon is said to cause the seasons to turn by whipping up the air. I suspect its humanlike form to be a false one.</t>
  </si>
  <si>
    <t>Countless charred remains mar the landscape of places through which Thundurus has passed.</t>
  </si>
  <si>
    <t>The spikes on its tail discharge immense bolts of lightning. It flies around the Unova region firing off lightning bolts.</t>
  </si>
  <si>
    <t>As it flies around, it shoots lightning all over the place and causes forest fires. It is therefore disliked.</t>
  </si>
  <si>
    <t>They say this wielder of electricity has waged war with its nemesis, Tornadus, since time immemorial. The lightning bolts it hurls pierce the very earth and enrich the soil.</t>
  </si>
  <si>
    <t>This Pokémon appears in legends. It sends flames into the air from its tail, burning up everything around it.</t>
  </si>
  <si>
    <t>When Reshiram’s tail flares, the heat energy moves the atmosphere and changes the world’s weather.</t>
  </si>
  <si>
    <t>This legendary Pokémon can scorch the world with fire. It helps those who want to build a world of truth.</t>
  </si>
  <si>
    <t>Misdreavus pelottaa ihmisiä kammottavalla, nyyhkyttävällä huudolla. Pokémon ilmeisesti käyttää punaisia ​​pallojaan imeäkseen vihollisten pelottavat tunteet ja muuttaakseen ne ravinnoksi.</t>
  </si>
  <si>
    <t>Flames spew from its tail as it flies through the sky like a jet airplane. It’s said that this Pokémon will scorch the world.</t>
  </si>
  <si>
    <t>According to myth, if people ignore truth and let themselves become consumed by greed, Reshiram will arrive to burn their kingdoms down.</t>
  </si>
  <si>
    <t>Concealing itself in lightning clouds, it flies throughout the Unova region. It creates electricity in its tail.</t>
  </si>
  <si>
    <t>This Pokémon appears in legends. In its tail, it has a giant generator that creates electricity.</t>
  </si>
  <si>
    <t>Se käyttää kaikkia tarvittavia keinoja pelotellakseen ihmisiä ja imeäkseen heidän elinvoimansa. Se harjoittelee jatkuvasti hioakseen taitojaan pelon aiheuttamisessa.</t>
  </si>
  <si>
    <t>This legendary Pokémon can scorch the world with lightning. It assists those who want to build an ideal world.</t>
  </si>
  <si>
    <t>When the interior part of its tail spins like a motor, Zekrom can generate many bolts of lightning to blast its surroundings.</t>
  </si>
  <si>
    <t>Jos kuulet nyyhkytyksen tyhjästä huoneesta, Misdreavus tekee epäilemättä vähän ilkikurisuutta.</t>
  </si>
  <si>
    <t>Mythology tells us that if people lose the righteousness in their hearts, their kingdoms will be razed by Zekrom’s lightning.</t>
  </si>
  <si>
    <t>Lands visited by Landorus grant such bountiful crops that it has been hailed as “The Guardian of the Fields.”</t>
  </si>
  <si>
    <t>The energy that comes pouring from its tail increases the nutrition in the soil, making crops grow to great size.</t>
  </si>
  <si>
    <t>Sen elämälle merkityksen antaa muiden yllättäminen. Jos painat korvasi sen kaulassa olevien punaisten pallojen viereen, voit kuulla kirkumista.</t>
  </si>
  <si>
    <t>From the forces of lightning and wind, it creates energy to give nutrients to the soil and make the land abundant.</t>
  </si>
  <si>
    <t>When the incarnations of wind and of lightning clash, Landorus arrives to quell the conflict. After the tempests and thunderbolts abate, the land is sure to be blessed with bountiful harvests.</t>
  </si>
  <si>
    <t>Sen tekee onnelliseksi itkevien ihmisten äänien matkiminen ja kaikkien pelottelu. Se ei tule hyvin toimeen ihmisten kanssa, jotka eivät säikähdä helposti.</t>
  </si>
  <si>
    <t>It generates a powerful, freezing energy inside itself, but its body became frozen when the energy leaked out.</t>
  </si>
  <si>
    <t>It can produce ultracold air. Its body is frozen.</t>
  </si>
  <si>
    <t>Se kätkee itsensä pimeyteen ja lähettää kylmiä väreitä matkalaisten selkäpiitä pitkin lapsenomaisella itkullaan. Kun se tarkkailee peloissaan olevia matkalaisia ​​riemusta, sen rinnassa olevat punaiset pallot säteilevät aavemaista valoa.</t>
  </si>
  <si>
    <t>Unown</t>
  </si>
  <si>
    <t>Symboli-Pokémon</t>
  </si>
  <si>
    <t>This legendary ice Pokémon waits for a hero to fill in the missing parts of its body with truth or ideals.</t>
  </si>
  <si>
    <t>Niiden muodot näyttävät muinaisten kirjoituslehtien hieroglyfeiltä. Sanotaan, että ne ovat jotenkin sukua toisilleen.</t>
  </si>
  <si>
    <t>Dwelling within it is a power even greater than that of Reshiram or Zekrom, but the extreme cold keeps that power bound.</t>
  </si>
  <si>
    <t>It appears that this Pokémon uses its powers over ice to freeze its own body in order to stabilize its cellular structure.</t>
  </si>
  <si>
    <t>Sen litteä, ohut runko on aina kiinni seinissä. Sen muodolla näyttää olevan jokin merkitys.</t>
  </si>
  <si>
    <t>By blasting water from its hooves, it can glide across water. It excels at using leg moves while battling.</t>
  </si>
  <si>
    <t>It crosses the world, running over the surfaces of oceans and rivers. It appears at scenic waterfronts.</t>
  </si>
  <si>
    <t>Koska UNOWN-tyyppejä on olemassa, sanotaan, että niillä täytyy olla erilaisia ​​kykyjä.</t>
  </si>
  <si>
    <t>When it is resolute, its body fills with power and it becomes swifter. Its jumps are then too fast to follow.</t>
  </si>
  <si>
    <t>Cobalion, Terrakion, and Virizion taught this Pokémon how to fight. It dashes across the world, seeking more opportunities to further its training.</t>
  </si>
  <si>
    <t>Tämä POKéMON on muodoltaan kuin muinainen kirjoitus. On mysteeri, kumpi oli ensin, muinaiset kirjoitukset vai erilaiset YK:n omat. Tutkimus aiheesta on käynnissä, mutta siitä ei tiedetä mitään.</t>
  </si>
  <si>
    <t>They say that Keldeo must survive harsh battles and fully develop the horn on its forehead before this Pokémon’s true power will awaken.</t>
  </si>
  <si>
    <t>Its melodies are sung with a special vocalization method that can control the feelings of those who hear it.</t>
  </si>
  <si>
    <t>Many famous songs have been inspired by the melodies that Meloetta plays.</t>
  </si>
  <si>
    <t>The melodies sung by Meloetta have the power to make Pokémon that hear them happy or sad.</t>
  </si>
  <si>
    <t>Tämä POKéMON on muodoltaan kuin muinaiset tekstimerkit. Vaikka tutkimus on käynnissä, on mysteeri, kumpi tuli ensin, muinaiset kirjoitukset vai erilaiset YKSIOLAISET.</t>
  </si>
  <si>
    <t>https://pokeapi.co/api/v2/pokemon-species/152/</t>
  </si>
  <si>
    <t>Over 300 million years ago, it was feared as the strongest of hunters. It has been modified by Team Plasma.</t>
  </si>
  <si>
    <t>This ancient bug Pokémon was altered by Team Plasma. They upgraded the cannon on its back.</t>
  </si>
  <si>
    <t>This Pokémon existed 300 million years ago. Team Plasma altered it and attached a cannon to its back.</t>
  </si>
  <si>
    <t>The quills on its head are usually soft. When it flexes them, the points become so hard and sharp that they can pierce rock.</t>
  </si>
  <si>
    <t>Such a thick shell of wood covers its head and back that even a direct hit from a truck wouldn’t faze it.</t>
  </si>
  <si>
    <t>Niiden muodot näyttävät muinaisten taulujen hieroglyfeiltä. Sanotaan, että ne ovat jotenkin sukua toisilleen.</t>
  </si>
  <si>
    <t>It relies on its sturdy shell to deflect predators’ attacks. It counterattacks with its sharp quills.</t>
  </si>
  <si>
    <t>They strengthen their lower bodies by running into one another. They are very kind and won’t start fights.</t>
  </si>
  <si>
    <t>Its Tackle is forceful enough to flip a 50-ton tank. It shields its allies from danger with its own body.</t>
  </si>
  <si>
    <t>Muinaisen kirjoituksen muotoinen se on valtava mysteeri, syntyikö ensin kieli vai UNOWN.</t>
  </si>
  <si>
    <t>When it takes a defensive posture with its fists guarding its face, it could withstand a bomb blast.</t>
  </si>
  <si>
    <t>Eating a twig fills it with energy, and its roomy ears give vent to air hotter than 390 degrees Fahrenheit.</t>
  </si>
  <si>
    <t>Ne näyttävät kommunikoivan keskenään telepaattisesti. Ne löytyvät aina seiniltä jumiutuneina.</t>
  </si>
  <si>
    <t>As it walks, it munches on a twig in place of a snack. It intimidates opponents by puffing hot air out of its ears.</t>
  </si>
  <si>
    <t>It has a twig stuck in its tail. With friction from its tail fur, it sets the twig on fire and launches into battle.</t>
  </si>
  <si>
    <t>When the twig is plucked from its tail, friction sets the twig alight. The flame is used to send signals to its allies.</t>
  </si>
  <si>
    <t>Yksin ollessaan mitään ei tapahdu. Jos heitä kuitenkin on kaksi tai enemmän, sanotaan ilmaantuvan outo voima.</t>
  </si>
  <si>
    <t>It gazes into the flame at the tip of its branch to achieve a focused state, which allows it to see into the future.</t>
  </si>
  <si>
    <t>Using psychic power, it generates a fiery vortex of 5,400 degrees Fahrenheit, incinerating foes swept into this whirl of flame.</t>
  </si>
  <si>
    <t>It secretes flexible bubbles from its chest and back. The bubbles reduce the damage it would otherwise take when attacked.</t>
  </si>
  <si>
    <t>It protects its skin by covering its body in delicate bubbles. Beneath its happy-go-lucky air, it keeps a watchful eye on its surroundings.</t>
  </si>
  <si>
    <t>It can throw bubble-covered pebbles with precise control, hitting empty cans up to a hundred feet away.</t>
  </si>
  <si>
    <t>Its swiftness is unparalleled. It can scale a tower of more than 2,000 feet in a minute’s time.</t>
  </si>
  <si>
    <t>It creates throwing stars out of compressed water. When it spins them and throws them at high speed, these stars can split metal in two.</t>
  </si>
  <si>
    <t>It appears and vanishes with a ninja’s grace. It toys with its enemies using swift movements, while slicing them with throwing stars of sharpest water.</t>
  </si>
  <si>
    <t>They use their large ears to dig burrows. They will dig the whole night through.</t>
  </si>
  <si>
    <t>Muinaisen kirjoituksen muotoinen se on valtava mysteeri, syntyikö ensin kieli vai Unown.</t>
  </si>
  <si>
    <t>It has ears like shovels. Digging holes strengthens its ears so much that they can sever thick roots effortlessly.</t>
  </si>
  <si>
    <t>Tämä Pokémon on muodoltaan kuin muinainen kirjoitus. On mysteeri, kumpi oli ensin, muinaiset kirjoitukset vai erilaiset Unown-kirjoitukset. Tutkimus aiheesta on käynnissä, mutta siitä ei tiedetä mitään.</t>
  </si>
  <si>
    <t>It excels at digging holes. Using its ears, it can dig a nest 33 feet deep in one night.</t>
  </si>
  <si>
    <t>It’s very sensitive to danger. The sound of Corviknight’s flapping will have Bunnelby digging a hole to hide underground in moments.</t>
  </si>
  <si>
    <t>On vaikea uskoa, että nämä omituisen muotoiset Pokémonit ovat todella eläviä olentoja. Olen huomauttanut, että lajin monet muodot muistuttavat muiden maiden kirjoitusta; kukaan ei ota minua vakavasti.</t>
  </si>
  <si>
    <t>Wobbuffet</t>
  </si>
  <si>
    <t>With their powerful ears, they can heft boulders of a ton or more with ease. They can be a big help at construction sites.</t>
  </si>
  <si>
    <t>Potilas-Pokémon</t>
  </si>
  <si>
    <t>Se vihaa valoa ja iskuja. Hyökkäyksen sattuessa se täyttää kehonsa ilmalla tehostaakseen vastaiskuaan.</t>
  </si>
  <si>
    <t>As powerful as an excavator, its ears can reduce dense bedrock to rubble. When it’s finished digging, it lounges lazily.</t>
  </si>
  <si>
    <t>With power equal to an excavator, it can dig through dense bedrock. It’s a huge help during tunnel construction.</t>
  </si>
  <si>
    <t>Pitääkseen pikimustan pyrstönsä piilossa se elää hiljaa pimeydessä. Se ei ole koskaan ensimmäinen hyökkääjä.</t>
  </si>
  <si>
    <t>The fur on its belly retains heat exceptionally well. People used to make heavy winter clothing from fur shed by this Pokémon.</t>
  </si>
  <si>
    <t>Piilottaakseen mustan pyrstönsä se asuu pimeässä luolassa ja liikkuu vain yöllä.</t>
  </si>
  <si>
    <t>These friendly Pokémon send signals to one another with beautiful chirps and tail-feather movements.</t>
  </si>
  <si>
    <t>Jos kaksi tai useampi WOBBUFFET kohtaa, heistä tulee kilpailuhenkisiä ja he yrittävät päihittää toistensa kestävyyden. He saattavat kuitenkin yrittää nähdä, kumpi kestää pisimpään ilman ruokaa. VALMENTAJIEN on oltava varovaisia ​​tämän tavan suhteen.</t>
  </si>
  <si>
    <t>Despite the beauty of its lilting voice, it’s merciless to intruders that enter its territory.</t>
  </si>
  <si>
    <t>This amiable Pokémon is easy to train. But when battle is joined, it shows its ferocious side.</t>
  </si>
  <si>
    <t>WOBBUFFET kestää vain hyökkäyksiä – se ei hyökkää yksin. Se ei kuitenkaan kestä hyökkäystä häntäänsä kohti. Kun näin tapahtuu, POKéMON yrittää ottaa vihollisen mukaansa KOHTALOSIDOKSELLA.</t>
  </si>
  <si>
    <t>When it’s excited, its temperature can double, spiking hormone production in its body.</t>
  </si>
  <si>
    <t>While it’s an amiable Pokémon, if you touch it unexpectedly, it will heat up its body in an instant, and you’ll be burned.</t>
  </si>
  <si>
    <t>Yleensä säyseä WOBBUFFET iskee raivokkaasti takaisin, jos sen mustaa pyrstöä hyökätään. Se tekee pesänsä luoliin, joissa se odottaa iltahämärää.</t>
  </si>
  <si>
    <t>Its body is always warm. Trainers who live in cold areas apparently sleep with it in their bed.</t>
  </si>
  <si>
    <t>Its melodious cries are actually warnings. Fletchling will mercilessly peck at anything that enters its territory.</t>
  </si>
  <si>
    <t>When this Pokémon gets excited, its body temperature increases sharply. If you touch a Fletchling with bare hands, you might get burned.</t>
  </si>
  <si>
    <t>From its beak, it expels embers that set the tall grass on fire. Then it pounces on the bewildered prey that pop out of the grass.</t>
  </si>
  <si>
    <t>https://pokeapi.co/api/v2/pokemon-species/153/</t>
  </si>
  <si>
    <t>The hotter the flame sac on its belly, the faster it can fly, but it takes some time to get the fire going.</t>
  </si>
  <si>
    <t>Se yrittää epätoivoisesti pitää mustan häntänsä piilossa. Sen sanotaan olevan todiste siitä, että häntä kätkee salaisuuden.</t>
  </si>
  <si>
    <t>From its beak, it fires embers at its prey. Once it has caught them, it grills them at high heat before feasting upon them.</t>
  </si>
  <si>
    <t>It will not tolerate other Fletchinder entering its territory, which has a radius of several miles.</t>
  </si>
  <si>
    <t>It scatters embers in the tall grass. Then bug Pokémon, frightened by the flames, come flying out, and Fletchinder gobbles them up.</t>
  </si>
  <si>
    <t>Its speed right after takeoff already puts it in the top speed class of all bird Pokémon.</t>
  </si>
  <si>
    <t>Se vihaa valoa ja iskuja. Hyökkäyksen sattuessa se täyttää kehonsa puhaltamalla vahvistaakseen vastaiskuaan.</t>
  </si>
  <si>
    <t>Fletchinder launches embers into the den of its prey. When the prey comes leaping out, Fletchinder’s sharp talons finish it off.</t>
  </si>
  <si>
    <t>Fletchinder are exceedingly territorial and aggressive. These Pokémon fight among themselves over feeding grounds.</t>
  </si>
  <si>
    <t>In the fever of an exciting battle, it showers embers from the gaps between its feathers and takes to the air.</t>
  </si>
  <si>
    <t>When attacking prey, it can reach speeds of up to 310 mph. It finishes its prey off with a colossal kick.</t>
  </si>
  <si>
    <t>Its favorite foods are Wingull and Pikipek. It attacks with a powerful kick and grasps them firmly in its talons.</t>
  </si>
  <si>
    <t>It zooms directly at its prey at flight speeds of close to 310 mph, while fiery embers scatter from gaps in its feathers.</t>
  </si>
  <si>
    <t>Its tough wings don’t allow fire to pass through them. A long time ago, firefighters’ outfits were made from Talonflame wings.</t>
  </si>
  <si>
    <t>Bird Pokémon make up most of its diet. It approaches at high speeds and smacks them down to the ground with its powerful kick.</t>
  </si>
  <si>
    <t>Talonflame mainly preys upon other bird Pokémon. To intimidate opponents, it sends embers spewing from gaps between its feathers.</t>
  </si>
  <si>
    <t>Talonflame dives toward prey at speeds of up to 310 mph and assaults them with powerful kicks, giving the prey no chance to escape.</t>
  </si>
  <si>
    <t>When under attack from bird Pokémon, it spews a poisonous black powder that causes paralysis on contact.</t>
  </si>
  <si>
    <t>The powder that covers its body regulates its temperature, so it can live in any region or climate.</t>
  </si>
  <si>
    <t>Jos kaksi tai useampi Wobbuffet-koira kohtaa toisensa, ne alkavat kilpailla keskenään ja yrittävät päihittää toistensa kestävyyden. Ne saattavat kuitenkin yrittää selvittää, kumpi kestää pisimpään ilman ruokaa. Valmentajien on oltava varovaisia ​​tämän tavan suhteen.</t>
  </si>
  <si>
    <t>It lives hidden within thicket shadows. When predators attack, it quickly bristles the fur covering its body in an effort to threaten them.</t>
  </si>
  <si>
    <t>The beaks of bird Pokémon can’t begin to scratch its stalwart body. To defend itself, it spews powder.</t>
  </si>
  <si>
    <t>Wobbuffet ei tee muuta kuin kestää hyökkäyksiä – se ei hyökkää yksin. Se ei kuitenkaan kestä hyökkäystä häntäänsä vastaan. Kun näin tapahtuu, Pokémon yrittää ottaa vihollisen mukaansa Destiny Bondilla.</t>
  </si>
  <si>
    <t>Vivillon with many different patterns are found all over the world. These patterns are affected by the climate of their habitat.</t>
  </si>
  <si>
    <t>The patterns on this Pokémon’s wings depend on the climate and topography of its habitat. It scatters colorful scales.</t>
  </si>
  <si>
    <t>The stronger the opponent it faces, the more heat surges from its mane and the more power flows through its body.</t>
  </si>
  <si>
    <t>Girafarig</t>
  </si>
  <si>
    <t>They set off on their own from their pride and live by themselves to become stronger. These hot-blooded Pokémon are quick to fight.</t>
  </si>
  <si>
    <t>Pitkäkaulainen Pokémon</t>
  </si>
  <si>
    <t>Sen hännällä on omat pienet aivonsa. Varo! Jos tulet lähelle, se saattaa reagoida hajuusi ja purraasi.</t>
  </si>
  <si>
    <t>When they’re young, they live with a pride. Once they’re able to hunt prey on their own, they’re kicked out and have to make their own way.</t>
  </si>
  <si>
    <t>Sen häntä, jossa on myös pieni aivo, voi purra itsestään, jos se huomaa houkuttelevan hajun.</t>
  </si>
  <si>
    <t>This hot-blooded Pokémon is filled with curiosity. When it gets angry or starts fighting, its short mane gets hot.</t>
  </si>
  <si>
    <t>Vaaran uhatessa sen häntä käyttää jonkinlaisia ​​salaperäisiä voimia vihollisen karkottamiseen.</t>
  </si>
  <si>
    <t>The male with the largest mane of fire is the leader of the pride.</t>
  </si>
  <si>
    <t>With fiery breath of more than 10,000 degrees Fahrenheit, they viciously threaten any challenger. The females protect the pride’s cubs.</t>
  </si>
  <si>
    <t>KIRAHVI-POKÉMONIN takapäässä on myös aivot, mutta ne ovat pienet. Takapää hyökkää hajujen ja äänien perusteella. Tämän POKéMONin lähestyminen takaapäin voi saada takapään äkillisesti iskemään ja puremaan.</t>
  </si>
  <si>
    <t>The males are usually lazy, but when attacked by a strong foe, a male will protect its friends with no regard for its own safety.</t>
  </si>
  <si>
    <t>KIRAHVI-kiihkon takaosassa on pieni aivokoko, joka on liian pieni ajattelemiseen. Takaosan ei kuitenkaan tarvitse nukkua, joten se voi tarkkailla ympäristöään 24 tuntia vuorokaudessa.</t>
  </si>
  <si>
    <t>The temperature of its breath is over 10,000 degrees Fahrenheit, but Pyroar doesn’t use it on its prey. This Pokémon prefers to eat raw meat.</t>
  </si>
  <si>
    <t>It draws out and controls the hidden power of flowers. The flower Flabébé holds is most likely part of its body.</t>
  </si>
  <si>
    <t>KIRAHVI on kasvinsyöjä – se syö ruohoa ja puiden versoja. Syödessään sen häntä tekee pureskelu- ja nielemisliikkeitä aivan kuin sekin söisi.</t>
  </si>
  <si>
    <t>When it finds a flower it likes, it dwells on that flower its whole life long. It floats in the wind’s embrace with an untroubled heart.</t>
  </si>
  <si>
    <t>It’s not safe without the power of a flower, but it will keep traveling around until it finds one with the color and shape it wants.</t>
  </si>
  <si>
    <t>Flabébé wears a crown made from pollen it’s collected from its flower. The crown has hidden healing properties.</t>
  </si>
  <si>
    <t>It flutters around fields of flowers and cares for flowers that are starting to wilt. It draws out the hidden power of flowers to battle.</t>
  </si>
  <si>
    <t>When the flowers of a well-tended flower bed bloom, it appears and celebrates with an elegant dance.</t>
  </si>
  <si>
    <t>Sen hännässä on myös pienet aivot. Se puree torjuakseen kaikki viholliset, jotka yrittävät hiipiä sen luo takaapäin.</t>
  </si>
  <si>
    <t>It raises flowers and uses them as weapons. The more gorgeous the blossom, the more power it contains.</t>
  </si>
  <si>
    <t>It gives its own power to flowers, pouring its heart into caring for them. Floette never forgives anyone who messes up a flower bed.</t>
  </si>
  <si>
    <t>Sen nukkuessa sen häntäpää pitää silmällä. Hännän ei tarvitse nukkua.</t>
  </si>
  <si>
    <t>It claims exquisite flower gardens as its territory, and it obtains power from basking in the energy emitted by flowering plants.</t>
  </si>
  <si>
    <t>Sen häntäpäässä on pienet aivot. Se voi vaistomaisesti taistella jopa selkä taaksepäin katsoen.</t>
  </si>
  <si>
    <t>In times long past, governors of castles would invite Florges to create flower gardens to embellish the castle domains.</t>
  </si>
  <si>
    <t>It controls the flowers it grows. The petal blizzards that Florges triggers are overwhelming in their beauty and power.</t>
  </si>
  <si>
    <t>Sen hännällä on omat pienet aivonsa. Varo! Jos tulet lähelle, se saattaa reagoida hajuusi puremalla.</t>
  </si>
  <si>
    <t>Its life can span several hundred years. It’s said to devote its entire life to protecting gardens.</t>
  </si>
  <si>
    <t>Thought to be one of the first Pokémon to live in harmony with humans, it has a placid disposition.</t>
  </si>
  <si>
    <t>If it has sunshine and water, it doesn’t need to eat, because it can generate energy from the leaves on its back.</t>
  </si>
  <si>
    <t>It can tell how its Trainer is feeling by subtle shifts in the grip on its horns. This empathic sense lets them run as if one being.</t>
  </si>
  <si>
    <t>They inhabit mountainous regions. The leader of the herd is decided by a battle of clashing horns.</t>
  </si>
  <si>
    <t>It does its best to be taken seriously by its enemies, but its glare is not sufficiently intimidating. Chewing on a leaf is its trademark.</t>
  </si>
  <si>
    <t>It does its level best to glare and pull a scary face, but it can’t help grinning if anyone pats its head.</t>
  </si>
  <si>
    <t>It grows up imitating the behavior of Pangoro, which it looks up to as a leader.</t>
  </si>
  <si>
    <t>There’s no point to the leaf in its mouth, aside from an effort to look cool. It’s mischievous, so it’s not well suited to inexperienced Trainers.</t>
  </si>
  <si>
    <t>It follows Pangoro around like a henchman. When Pancham makes a big mistake, its leaf gets taken away.</t>
  </si>
  <si>
    <t>It’s desperate to intimidate its opponents. Be nice and pretend to be scared if you catch it glaring at you intensely.</t>
  </si>
  <si>
    <t>It chooses a Pangoro as its master and then imitates its master’s actions. This is how it learns to battle and hunt for prey.</t>
  </si>
  <si>
    <t>Wanting to make sure it’s taken seriously, Pancham’s always giving others a glare. But if it’s not focusing, it ends up smiling.</t>
  </si>
  <si>
    <t>Girafarigin takapäässä on myös aivot, mutta ne ovat pienet. Takapää hyökkää hajujen ja äänien perusteella. Tämän Pokémonin lähestyminen takaapäin voi saada takapään äkillisesti iskemään ja puremaan.</t>
  </si>
  <si>
    <t>Although it possesses a violent temperament, it won’t put up with bullying. It uses the leaf in its mouth to sense the movements of its enemies.</t>
  </si>
  <si>
    <t>It charges ahead and bashes its opponents like a berserker, uncaring about any hits it might take. Its arms are mighty enough to snap a telephone pole.</t>
  </si>
  <si>
    <t>Girafarigin takapäässä on pieni aivokoko, joka on liian pieni ajattelemiseen. Takapään ei kuitenkaan tarvitse nukkua, joten se voi tarkkailla ympäristöään 24 tuntia vuorokaudessa.</t>
  </si>
  <si>
    <t>Pineco</t>
  </si>
  <si>
    <t>It boasts superb physical strength. Those who wish to become Pangoro’s Trainer have no choice but to converse with their fists.</t>
  </si>
  <si>
    <t>Pussimato-Pokémon</t>
  </si>
  <si>
    <t>Se tykkää paksuntaa kuortaan lisäämällä siihen puunkuorta. Lisäpaino ei haittaa sitä.</t>
  </si>
  <si>
    <t>From the slight twitches of its bamboo leaf, it deduces its opponent’s movements. It’s eager to tussle but kindhearted toward its companions.</t>
  </si>
  <si>
    <t>This rowdy Pokémon boasts great physical strength. Many Trainers are also smitten by its lively character.</t>
  </si>
  <si>
    <t>Se roikkuu paikallaan ja odottaa lentävien hyönteisten saalista tulevan lähelle. Se ei liiku paljoakaan yksin.</t>
  </si>
  <si>
    <t>Pangoro is the type to talk with its fists. It doesn’t say much as it pummels opponents with enough force to send a dump truck flying.</t>
  </si>
  <si>
    <t>https://pokeapi.co/api/v2/pokemon-species/154/</t>
  </si>
  <si>
    <t>This Pokémon is quick to anger, and it has no problem using its prodigious strength to get its way. It lives for duels against Obstagoon.</t>
  </si>
  <si>
    <t>Se sylkee ulos nestettä, jolla se liimaa puunkuorta kehoonsa. Neste kovettuu, kun se koskettaa ilmaa.</t>
  </si>
  <si>
    <t>Using its leaf, Pangoro can predict the moves of its opponents. It strikes with punches that can turn a dump truck into scrap with just one hit.</t>
  </si>
  <si>
    <t>Trimming its fluffy fur not only makes it more elegant but also increases the swiftness of its movements.</t>
  </si>
  <si>
    <t>PINECO roikkuu puun oksalla ja odottaa kärsivällisesti saalista. Jos joku ravistaa puuta ja häiritsee syömistä, POKéMON putoaa maahan ja räjähtää ilman varoitusta.</t>
  </si>
  <si>
    <t>Historically, in the Kalos region, these Pokémon were the designated guardians of the king.</t>
  </si>
  <si>
    <t>There was an era when aristocrats would compete to see who could trim their Furfrou’s fur into the most exquisite style.</t>
  </si>
  <si>
    <t>Left alone, its fur will grow longer and longer, but it will only allow someone it trusts to cut it.</t>
  </si>
  <si>
    <t>Mänty roikkuu puun oksalla ja odottaa saalista. Jos joku ravistaa puuta ja häiritsee sitä syödessään, se putoaa maahan ja räjähtää yhtäkkiä.</t>
  </si>
  <si>
    <t>The organ that emits its intense psychic power is sheltered by its ears to keep power from leaking out.</t>
  </si>
  <si>
    <t>It has enough psychic energy to blast everything within 300 feet of itself, but it has no control over its power.</t>
  </si>
  <si>
    <t>Se roikkuu paikallaan ja odottaa lentävien hyönteisten saalista lähelle. Se ei liiku paljoakaan yksin.</t>
  </si>
  <si>
    <t>Though Espurr’s expression never changes, behind that blank stare is an intense struggle to contain its devastating psychic power.</t>
  </si>
  <si>
    <t>Se tykkää paksuntaa kuortaan lisäämällä siihen puunkuorta. Ylimääräinen paino ei haittaa sitä.</t>
  </si>
  <si>
    <t>There’s enough psychic power in Espurr to send a wrestler flying, but because this power can’t be controlled, Espurr finds it troublesome.</t>
  </si>
  <si>
    <t>When in danger, it raises its ears and releases enough psychic power to grind a 10-ton truck into dust.</t>
  </si>
  <si>
    <t>Se näyttää aivan kävyltä. Sen kuori suojaa sitä lintu-Pokémoneilta, jotka nokkivat sitä vahingossa.</t>
  </si>
  <si>
    <t>The eyeball patterns on the interior of its ears emit psychic energy. It keeps the patterns tightly covered because that power is too immense.</t>
  </si>
  <si>
    <t>Revealing the eyelike patterns on the insides of its ears will unleash its psychic powers. It normally keeps the patterns hidden, however.</t>
  </si>
  <si>
    <t>The defensive instinct of the males is strong. It’s when they’re protecting themselves or their partners that they unleash their full power.</t>
  </si>
  <si>
    <t>Apparently this Pokémon is born when a departed spirit inhabits a sword. It attaches itself to people and drinks their life force.</t>
  </si>
  <si>
    <t>If anyone dares to grab its hilt, it wraps a blue cloth around that person’s arm and drains that person’s life energy completely.</t>
  </si>
  <si>
    <t>Honedge’s soul once belonged to a person who was killed a long time ago by the sword that makes up Honedge’s body.</t>
  </si>
  <si>
    <t>The blue eye on the sword’s handguard is the true body of Honedge. With its old cloth, it drains people’s lives away.</t>
  </si>
  <si>
    <t>When Honedge evolves, it divides into two swords, which cooperate via telepathy to coordinate attacks and slash their enemies to ribbons.</t>
  </si>
  <si>
    <t>The complex attack patterns of its two swords are unstoppable, even for an opponent greatly accomplished at swordplay.</t>
  </si>
  <si>
    <t>Honedge evolves into twins. The two blades rub together to emit a metallic sound that unnerves opponents.</t>
  </si>
  <si>
    <t>The two swords employ a strategy of rapidly alternating between offense and defense to bring down their prey.</t>
  </si>
  <si>
    <t>Generations of kings were attended by these Pokémon, which used their spectral power to manipulate and control people and Pokémon.</t>
  </si>
  <si>
    <t>Apparently, it can detect the innate qualities of leadership. According to legend, whoever it recognizes is destined to become king.</t>
  </si>
  <si>
    <t>In this defensive stance, Aegislash uses its steel body and a force field of spectral power to reduce the damage of any attack.</t>
  </si>
  <si>
    <t>Its potent spectral powers allow it to manipulate others. It once used its powers to force people and Pokémon to build a kingdom to its liking.</t>
  </si>
  <si>
    <t>It emits a scent that enraptures those who smell it. This fragrance changes depending on what it has eaten.</t>
  </si>
  <si>
    <t>In the past, rather than using perfume, royal ladies carried a Spritzee that would waft a fragrance they liked.</t>
  </si>
  <si>
    <t>A scent pouch within this Pokémon’s body allows it to create various scents. A change in its diet will alter the fragrance it produces.</t>
  </si>
  <si>
    <t>The scent its body gives off enraptures those who smell it. Noble ladies had no shortage of love for Spritzee.</t>
  </si>
  <si>
    <t>It devises various scents, pleasant and unpleasant, and emits scents that its enemies dislike in order to gain an edge in battle.</t>
  </si>
  <si>
    <t>Its scent is so overpowering that, unless a Trainer happens to really enjoy the smell, he or she will have a hard time walking alongside it.</t>
  </si>
  <si>
    <t>The scent that constantly emits from its fur is so powerful that this Pokémon’s companions will eventually lose their sense of smell.</t>
  </si>
  <si>
    <t>Pineco roikkuu puun oksalla ja odottaa kärsivällisesti saalista. Jos joku ravistaa puuta ja häiritsee Pokémonia syödessään, se putoaa maahan ja räjähtää ilman varoitusta.</t>
  </si>
  <si>
    <t>The scents Aromatisse can produce range from sweet smells that bolster allies to foul smells that sap an opponent’s will to fight.</t>
  </si>
  <si>
    <t>To entangle its opponents in battle, it extrudes white threads as sweet and sticky as cotton candy.</t>
  </si>
  <si>
    <t>Because it eats nothing but sweets, its fur is as sticky sweet as cotton candy.</t>
  </si>
  <si>
    <t>It eats its own weight in sugar every day. If it doesn’t get enough sugar, it becomes incredibly grumpy.</t>
  </si>
  <si>
    <t>The sweet smell of cotton candy perfumes Swirlix’s fluffy fur. This Pokémon spits out sticky string to tangle up its enemies.</t>
  </si>
  <si>
    <t>It can distinguish the faintest of scents. It puts its sensitive sense of smell to use by helping pastry chefs in their work.</t>
  </si>
  <si>
    <t>Liikkumattomana se roikkuu puissa odottaen ötökkä-Pokémon-saalistaan. Sen suosikki Alolassa on Cutiefly.</t>
  </si>
  <si>
    <t>Its sense of smell is 100 million times better than a human’s, so even the faintest scent tells it about everything in the area. It’s like it can see with its nose!</t>
  </si>
  <si>
    <t>By taking in a person’s scent, it can sniff out their mental and physical condition. It’s hoped that this skill will have many medical applications.</t>
  </si>
  <si>
    <t>Se tarttuu syljellään puunkuoreen, mikä tekee itsestään paksumman ja suuremman. Iäkkäät pineco-hirvet ovat naurettavan valtavia.</t>
  </si>
  <si>
    <t>Forretress</t>
  </si>
  <si>
    <t>Sen koko vartalo on suojattu teräskovalla kuorella. Se, mitä panssarin sisällä piilee, on täysi mysteeri.</t>
  </si>
  <si>
    <t>Slurpuff’s fur contains a lot of air, making it soft to the touch and lighter than it looks.</t>
  </si>
  <si>
    <t>Opponents who stare at the flashing of the light-emitting spots on its body become dazed and lose their will to fight.</t>
  </si>
  <si>
    <t>It flashes the light-emitting spots on its body, which drains its opponent’s will to fight. It takes the opportunity to scuttle away and hide.</t>
  </si>
  <si>
    <t>Se pysyy liikkumattomasti juurtuneena puuhunsa. Se hajottaa kovan kuorensa paloja ajaakseen vihollisensa pois.</t>
  </si>
  <si>
    <t>It draws prey near with its blinking lights and then wraps them up in its long tentacles and holds them in place.</t>
  </si>
  <si>
    <t>When exchanging information with others of its kind, it flashes the light-emitting spots on its body in a complex rhythm.</t>
  </si>
  <si>
    <t>It spins while making its luminescent spots flash. These spots allow it to communicate with others by using different patterns of light.</t>
  </si>
  <si>
    <t>Yleensä se roikkuu paksussa puunrungossa. Se ampuu paloja kuorestaan ​​nähdessään toimintaa.</t>
  </si>
  <si>
    <t>By exposing foes to the blinking of its luminescent spots, Inkay demoralizes them, and then it seizes the chance to flee.</t>
  </si>
  <si>
    <t>It wields the most compelling hypnotic powers of any Pokémon, and it forces others to do whatever it wants.</t>
  </si>
  <si>
    <t>FORRETRESS piiloutuu karkaistusta teräskuorestaan. Kuori avataan, kun POKéMON pyydystää saalista, mutta se tapahtuu niin nopeasti, ettei kuoren sisältöä näy.</t>
  </si>
  <si>
    <t>It lures its prey close with hypnotic motions, then wraps its tentacles around it before finishing it off with digestive fluids.</t>
  </si>
  <si>
    <t>When it comes to strong hypnosis, there’s an endless number of people who utilize Malamar for their nefarious deeds.</t>
  </si>
  <si>
    <t>It flashes the pattern on its torso to control its prey and draw them in. The edges of its fins are supremely sharp.</t>
  </si>
  <si>
    <t>Gazing at its luminescent spots will quickly induce a hypnotic state, putting the observer under Malamar’s control.</t>
  </si>
  <si>
    <t>Se pysyttelee teräskuorensa sisällä. Kuori avataan saalista pyydystäessään, mutta se aukeaa niin nopeasti, ettei kuoren sisältöä voida nähdä.</t>
  </si>
  <si>
    <t>It’s said that Malamar’s hypnotic powers played a role in certain history-changing events.</t>
  </si>
  <si>
    <t>Se pysyy järkähtämättömästi juurtuneena puuhunsa. Se sirottelee kovan kuorensa paloja ajaakseen vihollisensa pois.</t>
  </si>
  <si>
    <t>Two Binacle live together on one rock. When they fight, one of them will move to a different rock.</t>
  </si>
  <si>
    <t>They stretch and then contract, yanking their rocks along with them in bold hops. They eat seaweed that washes up on the shoreline.</t>
  </si>
  <si>
    <t>After two Binacle find a suitably sized rock, they adhere themselves to it and live together. They cooperate to gather food during high tide.</t>
  </si>
  <si>
    <t>If the two don’t work well together, both their offense and defense fall apart. Without good teamwork, they won’t survive.</t>
  </si>
  <si>
    <t>Se on teräskuoren sisällä. Sen salaperäisistä sisusosista näkyy vain sen tiirailevat silmät.</t>
  </si>
  <si>
    <t>When they evolve, two Binacle multiply into seven. They fight with the power of seven Binacle.</t>
  </si>
  <si>
    <t>Barbaracle’s legs and hands have minds of their own, and they will move independently. But they usually follow the head’s orders.</t>
  </si>
  <si>
    <t>Seven Binacle come together to form one Barbaracle. The Binacle that serves as the head gives orders to those serving as the limbs.</t>
  </si>
  <si>
    <t>https://pokeapi.co/api/v2/pokemon-species/155/</t>
  </si>
  <si>
    <t>Having an eye on each palm allows it to keep watch in all directions. In a pinch, its limbs start to act on their own to ensure the enemy’s defeat.</t>
  </si>
  <si>
    <t>Camouflaged as rotten kelp, they spray liquid poison on prey that approaches unawares and then finish it off.</t>
  </si>
  <si>
    <t>Sen koko ruumis on teräskovan kuoren suojaama. Se, mitä kuoren sisällä piilee, on täysi mysteeri.</t>
  </si>
  <si>
    <t>It looks just like rotten kelp. It hides from foes while storing up power for its evolution.</t>
  </si>
  <si>
    <t>It vanishes into seaweed and remains perfectly still to avoid attacks from large Pokémon. Rotten seaweed is its main food source.</t>
  </si>
  <si>
    <t>It’s not good at swimming, so it clings to the seaweed. In the Alola region, it’s often found near Dhelmise.</t>
  </si>
  <si>
    <t>It drifts in the ocean, blending in with floating seaweed. When other Pokémon come to feast on the seaweed, Skrelp feasts on them instead.</t>
  </si>
  <si>
    <t>Skrelp looks like a piece of rotten seaweed, so it can blend in with seaweed drifting on the ocean and avoid being detected by enemies.</t>
  </si>
  <si>
    <t>Their poison is strong enough to eat through the hull of a tanker, and they spit it indiscriminately at anything that enters their territory.</t>
  </si>
  <si>
    <t>Tales are told of ships that wander into seas where Dragalge live, never to return.</t>
  </si>
  <si>
    <t>This vicious Pokémon sprays a poisonous liquid on opponents that come near. For whatever reason, it gets along really well with Dhelmise.</t>
  </si>
  <si>
    <t>It blends in with seaweed to ambush its prey and then takes them down with a poisonous liquid strong enough to melt metal.</t>
  </si>
  <si>
    <t>Dragalge uses a poisonous liquid capable of corroding metal to send tankers that enter its territory to the bottom of the sea.</t>
  </si>
  <si>
    <t>Dragalge generates dragon energy by sticking the plume on its head out above the ocean’s surface and bathing it in sunlight.</t>
  </si>
  <si>
    <t>Forretress piiloutuu karkaistusta teräskuorestaan. Kuori avataan, kun Pokémon pyydystää saalista, mutta se tapahtuu niin nopeasti, ettei kuoren sisältöä näy.</t>
  </si>
  <si>
    <t>They knock down flying prey by firing compressed water from their massive claws like shooting a pistol.</t>
  </si>
  <si>
    <t>Through controlled explosions of internal gas, it can expel water like a pistol shot. At close distances, it can shatter rock.</t>
  </si>
  <si>
    <t>Kun jokin lähestyy sitä, se ampuu teräskuorensa sirpaleita hyökkäyksessä. Tämä ei ole tietoinen toiminta, vaan ehdollinen refleksi.</t>
  </si>
  <si>
    <t>Its claws occasionally fall off, and it keeps a low profile until they grow back. The meat of its claws is so delicious!</t>
  </si>
  <si>
    <t>Sillä hetkellä, kun se nielee saaliinsa, sen kuoren sisäpuoli paljastuu, mutta tähän päivään mennessä kukaan ei ole koskaan nähnyt tuota näkyä.</t>
  </si>
  <si>
    <t>It moves around by jetting water from its right pincer. It has a poor sense of balance, so it’s terrible at swimming straight.</t>
  </si>
  <si>
    <t>Dunsparce</t>
  </si>
  <si>
    <t>Clauncher’s claws can fall off during battle, but they’ll regenerate. The meat inside the claws is popular as a delicacy in Galar.</t>
  </si>
  <si>
    <t>By detonating gas that accumulates in its right claw, this Pokémon launches water like a bullet. This is how Clauncher defeats its enemies.</t>
  </si>
  <si>
    <t>Their enormous claws launch cannonballs of water powerful enough to pierce tanker hulls.</t>
  </si>
  <si>
    <t>Maakäärme-Pokémon</t>
  </si>
  <si>
    <t>By expelling water from the nozzle in the back of its claw, it can move at a speed of 60 knots.</t>
  </si>
  <si>
    <t>It compresses the water it has sucked up and then projects it with enough power to punch a hole right through a thick sheet of iron.</t>
  </si>
  <si>
    <t>Havaittaessa tämä POKéMON pakenee takaperin porautumalla raivokkaasti maahan pyrstöllään.</t>
  </si>
  <si>
    <t>Its right arm is packed with meat. When its pincer falls off, it’s exported to be used as a cooking ingredient.</t>
  </si>
  <si>
    <t>After using the feelers on its oversized claw to detect the location of prey, Clawitzer launches a cannonball of water at its target.</t>
  </si>
  <si>
    <t>Jos se havaitaan, se pakenee viitoista kaivautumalla pyrstöllään. Se voi kellua vain hieman siipiensä avulla.</t>
  </si>
  <si>
    <t>Clawitzer’s right arm is a cannon that launches projectiles made of seawater. Shots from a Clawitzer’s cannon arm can sink a tanker.</t>
  </si>
  <si>
    <t>They make their home in deserts. They can generate their energy from basking in the sun, so eating food is not a requirement.</t>
  </si>
  <si>
    <t>Se piileskelee syvällä luolissa, joihin valo ei koskaan pääse, ja pysyy siellä käytännössä liikkumattomana.</t>
  </si>
  <si>
    <t>The frills on either side of its head have cells that generate electricity when exposed to sunlight.</t>
  </si>
  <si>
    <t>DUNSPARCElla on pora pyrstöään varten. Se käyttää tätä pyrstöä kaivautuakseen maahan takaperin. Tämä POKéMON tunnetaan siitä, että se rakentaa pesänsä monimutkaisiin muotoihin syvälle maan alle.</t>
  </si>
  <si>
    <t>When spread, the frills on its head act like solar panels, generating the power behind this Pokémon’s electric moves.</t>
  </si>
  <si>
    <t>The sun powers this Pokémon’s electricity generation. Interruption of that process stresses Helioptile to the point of weakness.</t>
  </si>
  <si>
    <t>They flare their frills and generate energy. A single Heliolisk can generate sufficient electricity to power a skyscraper.</t>
  </si>
  <si>
    <t>It stimulates its muscles with electricity, boosting the strength in its legs and enabling it to run 100 yards in five seconds.</t>
  </si>
  <si>
    <t>A now-vanished desert culture treasured these Pokémon. Appropriately, when Heliolisk came to the Galar region, treasure came with them.</t>
  </si>
  <si>
    <t>One Heliolisk basking in the sun with its frill outspread is all it would take to produce enough electricity to power a city.</t>
  </si>
  <si>
    <t>This Pokémon was restored from a fossil. If something happens that it doesn’t like, it throws a tantrum and runs wild.</t>
  </si>
  <si>
    <t>Its immense jaws have enough destructive force that it can chew up an automobile. It lived 100 million years ago.</t>
  </si>
  <si>
    <t>Sen porakärkistä pyrstöä käytetään kaivautumiseen maahan takaperin. Tämä POKéMON tunnetaan siitä, että se rakentaa monimutkaisia ​​pesiä syvälle maan alle.</t>
  </si>
  <si>
    <t>Its large jaw has incredible destructive power. Some theories suggest that its restored form is different from its form of long ago.</t>
  </si>
  <si>
    <t>Tyrunt is spoiled and selfish. It may just be trying to frolic, but sometimes the ones it’s trying to frolic with are gravely injured.</t>
  </si>
  <si>
    <t>This is an ancient Pokémon, revived in modern times. It has a violent disposition, and it’ll tear apart anything it gets between its hefty jaws.</t>
  </si>
  <si>
    <t>Jos se havaitaan, se pakenee kaivautumalla maahan pyrstöllään. Se voi leijua hieman siipiensä avulla.</t>
  </si>
  <si>
    <t>This Pokémon is selfish and likes to be pampered. It can also inflict grievous wounds on its Trainer just by playing around.</t>
  </si>
  <si>
    <t>Thanks to its gargantuan jaws, which could shred thick metal plates as if they were paper, it was invincible in the ancient world it once inhabited.</t>
  </si>
  <si>
    <t>Nothing could stop this Pokémon 100 million years ago, so it behaved like a king.</t>
  </si>
  <si>
    <t>Se kaivautuu maahan pyrstöllään ja tekee sokkelomaisen pesän. Se osaa lentää vain vähän.</t>
  </si>
  <si>
    <t>Complete restoration is impossible, allowing room for theories that its entire body was once covered in a feather-like coat.</t>
  </si>
  <si>
    <t>The king of the ancient world, it can easily crunch a car with the devastating strength of its enormous jaws.</t>
  </si>
  <si>
    <t>This Pokémon is from about 100,000,000 years ago. It has the presence of a king, vicious but magnificent.</t>
  </si>
  <si>
    <t>A single bite of Tyrantrum’s massive jaws will demolish a car. This Pokémon was the king of the ancient world.</t>
  </si>
  <si>
    <t>This ancient Pokémon was restored from part of its body that had been frozen in ice for over 100 million years.</t>
  </si>
  <si>
    <t>Havaittaessa tämä Pokémon pakenee takaperin porautumalla raivokkaasti maahan hännällään.</t>
  </si>
  <si>
    <t>This calm Pokémon lived in a cold land where there were no violent predators like Tyrantrum.</t>
  </si>
  <si>
    <t>It lived in cold areas in ancient times. It’s said that when Amaura whinnies, auroras appear in the night sky.</t>
  </si>
  <si>
    <t>Jos se havaitaan, se pakenee kaivautumalla pyrstöllään. Se voi kellua vain hieman siipiensä avulla.</t>
  </si>
  <si>
    <t>Amaura was restored successfully, but it’s not expected to live long because of the heat of the current environment.</t>
  </si>
  <si>
    <t>This Pokémon was successfully restored from a fossil. In the past, it lived with others of its kind in cold lands where there were fewer predators.</t>
  </si>
  <si>
    <t>Amaura is an ancient Pokémon that has gone extinct. Specimens of this species can sometimes be found frozen in ice.</t>
  </si>
  <si>
    <t>The diamond-shaped crystals on its body expel air as cold as -240 degrees Fahrenheit, surrounding its enemies and encasing them in ice.</t>
  </si>
  <si>
    <t>Se luo sokkeloita pimeisiin paikkoihin. Havaitessaan se pakenee maahan kaivamalla häntäänsä.</t>
  </si>
  <si>
    <t>Using its diamond-shaped crystals, it can instantly create a wall of ice to block an opponent’s attack.</t>
  </si>
  <si>
    <t>https://pokeapi.co/api/v2/pokemon-species/156/</t>
  </si>
  <si>
    <t>An Aurorus was found frozen solid within a glacier, just as it appeared long ago, which became quite a big event in the news.</t>
  </si>
  <si>
    <t>This usually quiet and kindly Pokémon has a surface temperature of around –240 degrees Fahrenheit.</t>
  </si>
  <si>
    <t>Aurorus was restored from a fossil. It’s said that when this Pokémon howls, auroras appear in the night sky.</t>
  </si>
  <si>
    <t>When gripped by rage, Aurorus will emanate freezing air, covering everything around it in ice.</t>
  </si>
  <si>
    <t>Dunsparcella on pora pyrstöään varten. Se käyttää tätä pyrstöä kaivautuakseen maahan takaperin. Tämän Pokémonin tiedetään tekevän pesänsä monimutkaisiin muotoihin syvälle maan alle.</t>
  </si>
  <si>
    <t>It sends a soothing aura from its ribbonlike feelers to calm fights.</t>
  </si>
  <si>
    <t>It wraps its ribbonlike feelers around the arm of its beloved Trainer and walks with him or her.</t>
  </si>
  <si>
    <t>Its ribbonlike feelers give off an aura that weakens hostility in its prey, causing them to let down their guard. Then it attacks.</t>
  </si>
  <si>
    <t>When this Pokémon sights its prey, it swirls its ribbonlike feelers as a distraction. A moment later, it pounces.</t>
  </si>
  <si>
    <t>Once a fight breaks out, it will unflinchingly charge at dragon Pokémon that are many times larger than itself.</t>
  </si>
  <si>
    <t>Sylveon wraps its ribbonlike feelers around its Trainer’s arm because this touch enables it to read its Trainer’s feelings.</t>
  </si>
  <si>
    <t>Se kulkee kaivautumalla maan läpi. Diglett ja Dunsparce jakavat toistensa tunnelit onnellisesti.</t>
  </si>
  <si>
    <t>By releasing enmity-erasing waves from its ribbonlike feelers, Sylveon stops any conflict.</t>
  </si>
  <si>
    <t>Kun se näkee ihmisen, se kaivaa hännällään kuopan päästäkseen pakoon. Jos satut löytämään sellaisen, pidä itseäsi onnekkaana.</t>
  </si>
  <si>
    <t>There’s a Galarian fairy tale that describes a beautiful Sylveon vanquishing a dreadful dragon Pokémon.</t>
  </si>
  <si>
    <t>It emits a soothing aura from its ribbon-shaped organs. It wraps these appendages around quarrelers to instantly restore calm to the situation.</t>
  </si>
  <si>
    <t>Tämän Pokémonin pienten siipien perusteella jotkut tiedemiehet sanovat, että Dunsparce lensi taivaalla muinaisina aikoina.</t>
  </si>
  <si>
    <t>Although its body is small, its proficient fighting skills enable it to keep up with big bruisers like Machamp and Hariyama.</t>
  </si>
  <si>
    <t>With its wings, it controls its position in the air. It likes to attack from above, a maneuver that is difficult to defend against.</t>
  </si>
  <si>
    <t>Dunsparcen pesät ovat tunnelien sokkeloita. Ne eivät koskaan eksy omiin pesiinsä – ne osaavat päätellä missä ne ovat mullan hajusta.</t>
  </si>
  <si>
    <t>It overwhelms opponents with quick moves, but sometimes it showboats for too long when it’s using a special move and gets itself into a pinch.</t>
  </si>
  <si>
    <t>Gligar</t>
  </si>
  <si>
    <t>Lentävä skorpioni-Pokémon</t>
  </si>
  <si>
    <t>Se lentää suoraan kohteensa kasvoihin ja painaa sitten kiinni tähystettyyn uhriin ruiskuttaakseen myrkkyä.</t>
  </si>
  <si>
    <t>In combat, Hawlucha leaps nimbly about, taking advantage of its opponents’ blind spots. It’s also skilled at using superb submission holds.</t>
  </si>
  <si>
    <t>It drives its opponents to exhaustion with its agile maneuvers, then ends the fight with a flashy finishing move.</t>
  </si>
  <si>
    <t>Se yleensä tarrautuu kallioille. Havaitessaan saaliinsa se levittää siipensä ja liitää alas hyökkäämään.</t>
  </si>
  <si>
    <t>It always strikes a pose before going for its finishing move. Sometimes opponents take advantage of that time to counterattack.</t>
  </si>
  <si>
    <t>Se rakentaa pesänsä jyrkälle kalliolle. Kun se on lopettanut liitämisen, se hyppää maata pitkin takaisin pesälleen.</t>
  </si>
  <si>
    <t>Its whiskers serve as antennas. By sending and receiving electrical waves, it can communicate with others over vast distances.</t>
  </si>
  <si>
    <t>GLIGAR liitää ilmassa äänettömästi aivan kuin se liukuisi. Tämä POKéMON roikkuu vihollisensa kasvoissa kynsillään takajaloillaan ja eturaajojensa suurilla pihdeillä ja pistää sitten saaliiseensa myrkkypiikin.</t>
  </si>
  <si>
    <t>It uses its tail to absorb electricity from power plants or from outlets in houses, and then it fires the electricity from its whiskers.</t>
  </si>
  <si>
    <t>It sneaks into people’s homes and steals electricity from their outlets. When your electric bill seems off, it’s the handiwork of this rascal.</t>
  </si>
  <si>
    <t>Se liitää äänettömästi. Se tarttuu vihollisensa kasvoihin taka- ja suurilla etukynsillään ja iskee sitten myrkkypiikillään.</t>
  </si>
  <si>
    <t>Its upper whiskers are sensors that survey its surroundings. Its lower whiskers are organs that shoot electricity.</t>
  </si>
  <si>
    <t>A Dedenne’s whiskers pick up electrical waves other Dedenne send out. These Pokémon share locations of food or electricity with one another.</t>
  </si>
  <si>
    <t>Since Dedenne can’t generate much electricity on its own, it steals electricity from outlets or other electric Pokémon.</t>
  </si>
  <si>
    <t>Se lentää suoraan kohteensa kasvoihin ja puristaa sitten säikähtäneen uhrin kiinni ruiskuttaakseen myrkkyä.</t>
  </si>
  <si>
    <t>Born from the temperatures and pressures deep underground, it fires beams from the stone in its head.</t>
  </si>
  <si>
    <t>It has slept underground for hundreds of millions of years since its birth. It’s occasionally found during the excavation of caves.</t>
  </si>
  <si>
    <t>Se liitää tuulessa raajat ojennettuina iskeäkseen taivaalta. Se tähtää saaliinsa kasvoihin.</t>
  </si>
  <si>
    <t>Born from the high temperatures and pressures deep underground, it defends itself by firing beams from the jewel part of its body.</t>
  </si>
  <si>
    <t>Se liukuu kuin liukuen. Se säikäyttää viholliset tarttumalla heidän kasvoihinsa ja sitten iskee myrkkypistimellään.</t>
  </si>
  <si>
    <t>Although this Pokémon is not especially rare, its glittering, jewel-draped body draws attention from people.</t>
  </si>
  <si>
    <t>Some say that deep beneath the surface of the world, a pack of Carbink live with their queen in a kingdom of jewels.</t>
  </si>
  <si>
    <t>To keep the jewels on their bodies free of tarnish, packs of Carbink use their soft manes to polish one another’s jewels.</t>
  </si>
  <si>
    <t>When beset by attackers, Carbink wipes them all out by firing high-energy beams from the gems embedded in its body.</t>
  </si>
  <si>
    <t>It’s said that somewhere in the world, there’s a mineral vein housing a large pack of slumbering Carbink. It’s also said that this pack has a queen.</t>
  </si>
  <si>
    <t>The weakest Dragon-type Pokémon, it lives in damp, shady places, so its body doesn’t dry out.</t>
  </si>
  <si>
    <t>It’s covered in a slimy membrane that makes any punches or kicks slide off it harmlessly.</t>
  </si>
  <si>
    <t>The weakest of all Dragon-type Pokémon, it’s unable to breathe if its skin dries out, so it sticks to shady places.</t>
  </si>
  <si>
    <t>Se tarraa kiinni valitsemaansa saaliiseen ja iskee sitten pyrstössään olevalla pistimellä saalistaan ​​hämmästyneenä.</t>
  </si>
  <si>
    <t>Its source of protection is its slimy, germ-laden mucous membrane. Anyone who touches it needs some thorough hand-washing.</t>
  </si>
  <si>
    <t>It uses its horns to check out its surroundings. They’re very sensitive, so if you grab them, it will feel a strong shock and be unable to move.</t>
  </si>
  <si>
    <t>Its body is mostly water. If it dries out, it will die, so it’s always sitting with perfect stillness in the shade.</t>
  </si>
  <si>
    <t>Because most of its body is water, it will dry up if the weather becomes too arid. It’s considered the weakest dragon Pokémon.</t>
  </si>
  <si>
    <t>Their horns are powerful sensors. As soon as Goomy pick up any sign of enemies, they go into hiding. This is how they’ve survived.</t>
  </si>
  <si>
    <t>Goomy hides away in the shade of trees, where it's nice and humid. If the slime coating its body dries out, the Pokémon instantly becomes lethargic.</t>
  </si>
  <si>
    <t>It drives away opponents by excreting a sticky liquid that can dissolve anything. Its eyes devolved, so it can’t see anything.</t>
  </si>
  <si>
    <t>Its four horns are a high-performance radar system. It uses them to sense sounds and smells, rather than using ears or a nose.</t>
  </si>
  <si>
    <t>Gligar liitää ilmassa äänettömästi aivan kuin se liukuisi. Tämä Pokémon roikkuu vihollisensa kasvoissa kynsillään takajaloillaan ja eturaajojensa suurilla pihdeillä ja pistää sitten saaliiseensa myrkkypiiskansa.</t>
  </si>
  <si>
    <t>https://pokeapi.co/api/v2/pokemon-species/157/</t>
  </si>
  <si>
    <t>It has trouble drawing a line between friends and food. It will calmly try to melt and eat even those it gets along well with.</t>
  </si>
  <si>
    <t>This Pokémon’s mucous can dissolve anything. Toothless, it sprays mucous on its prey. Once they’re nicely dissolved, it slurps them up.</t>
  </si>
  <si>
    <t>It crawls along sluggishly. The swirly protrusion on its back is filled with its brain and other organs.</t>
  </si>
  <si>
    <t>Sen pyrstöä varjostaa paksu, hirvittävä pistin. Saaliin kaatamiseksi se ensin peittää niiden näön peittämällä niiden kasvot ruumiillaan ja sitten käyttää pistintä pistääkseen niihin myrkkyä.</t>
  </si>
  <si>
    <t>Its entire body is covered with gooey mucus that can dissolve anything. Be sure to put gloves on if you’re going to touch it.</t>
  </si>
  <si>
    <t>Steelix</t>
  </si>
  <si>
    <t>Rautakäärme-Pokémon</t>
  </si>
  <si>
    <t>Although this Pokémon isn’t very strong, its body is coated in a caustic slime that can melt through anything, so predators steer clear of it.</t>
  </si>
  <si>
    <t>Sen runko on puristettu syvälle maan alle. Tämän seurauksena se on jopa timanttia kovempi.</t>
  </si>
  <si>
    <t>The lump on its back contains its tiny brain. It thinks only of food and escaping its enemies.</t>
  </si>
  <si>
    <t>A creature given to melancholy. I suspect its metallic shell developed as a result of the mucus on its skin reacting with the iron in Hisui's water.</t>
  </si>
  <si>
    <t>Sanotaan, että jos ONIX elää yli 100 vuotta, sen koostumus muuttuu timantin kaltaiseksi.</t>
  </si>
  <si>
    <t>Tämän POKéMONin vartaloa peittävät monet pienet metallihiukkaset heijastavat kirkasta valoa hyvin.</t>
  </si>
  <si>
    <t>This very friendly Dragon-type Pokémon will hug its beloved Trainer, leaving that Trainer covered in sticky slime.</t>
  </si>
  <si>
    <t>It attacks with retractable horns. It throws a punch that’s the equivalent of the force of a hundred pro boxers.</t>
  </si>
  <si>
    <t>STEELIX elää vielä syvemmällä maan alla kuin ONIX. Tämän POKéMONin tiedetään kaivavan kohti maan ydintä. On olemassa tietoja siitä, että tämä POKéMON on saavuttanut yli 200 kilometrin syvyyden maan alla.</t>
  </si>
  <si>
    <t>An amazingly friendly Pokémon, but if left to itself, loneliness overcomes it, and it oozes gooey tears.</t>
  </si>
  <si>
    <t>It gets picked on because it’s meek. But then, whoever teased it gets to feel the full force of its horns and a good swatting from its thick tail.</t>
  </si>
  <si>
    <t>STEELIXIT elävät vielä syvemmällä maan alla kuin ONIXIT. Tämän POKéMONin tiedetään kaivavan maan ytimeen ja ulottuvan yli 200 kilometrin syvyyteen.</t>
  </si>
  <si>
    <t>It’s very friendly toward people. If you grow close to it, Goodra will hug you with its sticky, slime-covered body. Don’t get mad.</t>
  </si>
  <si>
    <t>Underneath its slimy skin is a thick layer of fat, and the combination of the two makes enemies’ attacks slide right off.</t>
  </si>
  <si>
    <t>Sometimes it misunderstands instructions and appears dazed or bewildered. Many Trainers don’t mind, finding this behavior to be adorable.</t>
  </si>
  <si>
    <t>Its form of offense is forcefully stretching out its horns. The strikes land 100 times harder than any blow from a heavyweight boxer.</t>
  </si>
  <si>
    <t>Maan alla korkeassa paineessa ja kuumuudessa karkaistuna sen runko on kovempi kuin mikään metalli.</t>
  </si>
  <si>
    <t>Able to freely control the hardness of its metallic shell. It loathes solitude and is extremely clingy—it will fume and run riot if those dearest to it ever leave its side.</t>
  </si>
  <si>
    <t>Se pureskelee tiensä lohkareiden läpi tukevilla leuoillaan. Sen silmät näkevät pimeydessä maan alla.</t>
  </si>
  <si>
    <t>These key collectors threaten any attackers by fiercely jingling their keys at them.</t>
  </si>
  <si>
    <t>It never lets go of a key that it likes, so people give it the keys to vaults and safes as a way to prevent crime.</t>
  </si>
  <si>
    <t>Sen ruumiin uskotaan muuttuneen maaperän nielemisestä kertyneen sisäisesti raudan seurauksena.</t>
  </si>
  <si>
    <t>This even-tempered Pokémon has a habit of collecting keys. It will sneak into people’s homes to steal their keys.</t>
  </si>
  <si>
    <t>It inserts its horn into chinks in metal, absorbing metal ions. For some reason, it collects keys.</t>
  </si>
  <si>
    <t>Although it’s unclear why it collects keys, giving it a key makes Klefki very happy. However, it apparently only likes master keys.</t>
  </si>
  <si>
    <t>Sanotaan, että jos ONIX elää 100 vuotta, sen koostumus muuttuu timantin kaltaiseksi sen kehittyessä STEELIXiksi.</t>
  </si>
  <si>
    <t>Long ago it lived in mines, but once the minerals that make up its diet became scarcer, Klefki began appearing in human settlements.</t>
  </si>
  <si>
    <t>This Pokémon is constantly collecting keys. Entrust a Klefki with important keys, and the Pokémon will protect them no matter what.</t>
  </si>
  <si>
    <t>Klefki sucks in metal ions with the horn topping its head. It seems this Pokémon loves keys so much that its head needed to look like one, too.</t>
  </si>
  <si>
    <t>These Pokémon are created when spirits possess rotten tree stumps. They prefer to live in abandoned forests.</t>
  </si>
  <si>
    <t>Nielemän maaperän mukana nauttima rauta muutti sen ruumiin ja teki siitä kovemman kuin timantit.</t>
  </si>
  <si>
    <t>According to old tales, these Pokémon are stumps possessed by the spirits of children who died while lost in the forest.</t>
  </si>
  <si>
    <t>These Pokémon are stumps possessed by the spirits of children who died in the forest. Their cries sound like eerie screams.</t>
  </si>
  <si>
    <t>According to legend, medicine to cure any illness can be made by plucking the green leaves on its head, brewing them, and boiling down the liquid.</t>
  </si>
  <si>
    <t>By imitating the voice of a child, it causes people to get hopelessly lost deep in the forest. It’s trying to make friends with them.</t>
  </si>
  <si>
    <t>An unknown spirit came to lodge in a tree stump, creating this Pokémon. A cure-all can be made from an infusion of its green leaves.</t>
  </si>
  <si>
    <t>After a lost child perished in the forest, their spirit possessed a tree stump, causing the spirit’s rebirth as this Pokémon.</t>
  </si>
  <si>
    <t>With a voice like a human child’s, it cries out to lure adults deep into the forest, getting them lost among the trees.</t>
  </si>
  <si>
    <t>It can control trees at will. It will trap people who harm the forest, so they can never leave.</t>
  </si>
  <si>
    <t>Steelix elää vielä syvemmällä maan alla kuin Onix. Tämän Pokémonin tiedetään kaivavan kohti maan ydintä. On olemassa tietoja tästä Pokémonista, joka on saavuttanut yli 2,5 kilometrin syvyyden maan alla.</t>
  </si>
  <si>
    <t>Using its roots as a nervous system, it controls the trees in the forest. It’s kind to the Pokémon that reside in its body.</t>
  </si>
  <si>
    <t>This Pokémon is said to devour anyone daring to ravage the forest. To the creatures dwelling in the forest, it offers great kindness.</t>
  </si>
  <si>
    <t>Through its roots, it exerts control over other trees. A deadly curse falls upon anyone cutting down trees in forests where Trevenant dwell.</t>
  </si>
  <si>
    <t>Sanotaan, että jos oniksi elää yli sata vuotta, sen koostumus muuttuu timantin kaltaiseksi.</t>
  </si>
  <si>
    <t>It’s feared as a ghost of the forest. Lumberjacks bring along Fire types, which Trevenant hates, when they enter the forest.</t>
  </si>
  <si>
    <t>This Pokémon controls trees via roots stretching from its feet, and it will attack anyone that dares to ravage the forest.</t>
  </si>
  <si>
    <t>People fear it due to a belief that it devours any who try to cut down trees in its forest, but to the Pokémon it shares its woods with, it’s kind.</t>
  </si>
  <si>
    <t>Small roots that extend from the tips of this Pokémon’s feet can tie into the trees of the forest and give Trevenant control over them.</t>
  </si>
  <si>
    <t>Tämä Pokémon kehittyi oudon esineen käytön ansiosta. Sen ruumis on päällystetty teräsjauheella ja huomattavan kova – edes timantti ei voi jättää naarmuakaan.</t>
  </si>
  <si>
    <t>The pumpkin body is inhabited by a spirit trapped in this world. As the sun sets, it becomes restless and active.</t>
  </si>
  <si>
    <t>Snubbull</t>
  </si>
  <si>
    <t>It is said to carry wandering spirits to the place where they belong so they can move on.</t>
  </si>
  <si>
    <t>Vaikka se näyttää pelottavalta, se on itse asiassa kiltti ja hellä. Se on erittäin suosittu naisten keskuudessa.</t>
  </si>
  <si>
    <t>Spirits that wander this world are placed into Pumpkaboo’s body. They’re then moved on to the afterlife.</t>
  </si>
  <si>
    <t>Sillä on aktiivinen ja leikkisä luonne. Monet naiset tykkäävät leikkiä sen kanssa sen hellän luonteen vuoksi.</t>
  </si>
  <si>
    <t>https://pokeapi.co/api/v2/pokemon-species/158/</t>
  </si>
  <si>
    <t>The light that streams out from the holes in the pumpkin can hypnotize and control the people and Pokémon that see it.</t>
  </si>
  <si>
    <t>Todellisuudessa se on pelkurimainen POKéMON. Se muurii innokkaasti peittääkseen pelkonsa vastustajaltaan.</t>
  </si>
  <si>
    <t>Singing in eerie voices, they wander town streets on the night of the new moon. Anyone who hears their song is cursed.</t>
  </si>
  <si>
    <t>It enwraps its prey in its hairlike arms. It sings joyfully as it observes the suffering of its prey.</t>
  </si>
  <si>
    <t>Paljastamalla kulmahampaansa ja tekemällä pelottavan ilmeen SNUBBULL lähettää pienempiä POKéMONeja kauhuissaan karkuun. Tämä POKéMON vaikuttaa kuitenkin hieman surulliselta vihollistensa pakenemisesta.</t>
  </si>
  <si>
    <t>Eerie cries emanate from its body in the dead of night. The sounds are said to be the wails of spirits who are suffering in the afterlife.</t>
  </si>
  <si>
    <t>In the darkness of a new-moon night, Gourgeist will come knocking. Whoever answers the door will be swept off to the afterlife.</t>
  </si>
  <si>
    <t>It blocks opponents’ attacks with the ice that shields its body. It uses cold air to repair any cracks with new ice.</t>
  </si>
  <si>
    <t>Using air of -150 degrees Fahrenheit, they freeze opponents solid. They live in herds above the snow line on mountains.</t>
  </si>
  <si>
    <t>They chill the air around them to −150 degrees Fahrenheit, freezing the water in the air into ice that they use as armor.</t>
  </si>
  <si>
    <t>Paljastamalla kulmahampaansa ja tekemällä pelottavan ilmeen se lähettää pienempiä POKéMONEJA kauhuissaan juoksemaan. SNUBBULL vaikuttaa kyllä ​​hieman surulliselta vihollistensa pakenemisesta.</t>
  </si>
  <si>
    <t>This Pokémon lives in areas of frigid cold. It secures itself to the back of an Avalugg by freezing its feet in place.</t>
  </si>
  <si>
    <t>Lives on mountains blanketed in perennial snow. It freezes water vapor in the air to make the ice helmet that it dons for defense.</t>
  </si>
  <si>
    <t>Its ice-covered body is as hard as steel. Its cumbersome frame crushes anything that stands in its way.</t>
  </si>
  <si>
    <t>The way several Bergmite huddle on its back makes it look like an aircraft carrier made of ice.</t>
  </si>
  <si>
    <t>At high latitudes, this Pokémon can be found with clusters of Bergmite on its back as it swims among the icebergs.</t>
  </si>
  <si>
    <t>As Avalugg moves about during the day, the cracks in its body deepen. The Pokémon’s body returns to a pristine state overnight.</t>
  </si>
  <si>
    <t>Pienet Pokémonit pakenevat sen pelottavaa naamaa. Naiset kuitenkin pitävät sitä söpönä.</t>
  </si>
  <si>
    <t>The armor of ice covering its lower jaw puts steel to shame and can shatter rocks with ease. This Pokémon barrels along steep mountain paths, cleaving through the deep snow.</t>
  </si>
  <si>
    <t>They live in pitch-black caves. Their enormous ears can emit ultrasonic waves of 200,000 hertz.</t>
  </si>
  <si>
    <t>Even a robust wrestler will become dizzy and unable to stand when exposed to its 200,000-hertz ultrasonic waves.</t>
  </si>
  <si>
    <t>Fruits are its favorite foods. This gourmet carefully picks out just the ripe ones using its sonar.</t>
  </si>
  <si>
    <t>It flies around in search of fruit to eat. It uses ultrasonic waves to detect which fruits are ripe.</t>
  </si>
  <si>
    <t>After nightfall, they emerge from the caves they nest in during the day. Using their ultrasonic waves, they go on the hunt for ripened fruit.</t>
  </si>
  <si>
    <t>No wavelength of sound is beyond Noibat’s ability to produce. The ultrasonic waves it generates can overcome much larger Pokémon.</t>
  </si>
  <si>
    <t>They fly around on moonless nights and attack careless prey. Nothing can beat them in a battle in the dark.</t>
  </si>
  <si>
    <t>The ultrasonic waves it emits from its ears can reduce a large boulder to pebbles. It swoops out of the dark to attack.</t>
  </si>
  <si>
    <t>Although it has a violent disposition, if you give it a nice ripe fruit that it loves, Noivern will suddenly become tame.</t>
  </si>
  <si>
    <t>This hot-blooded Pokémon attacks anything it sees with ultrasonic waves that can crush boulders.</t>
  </si>
  <si>
    <t>Aggressive and cruel, this Pokémon will ruthlessly torment enemies that are helpless in the dark.</t>
  </si>
  <si>
    <t>Flying through the darkness, it weakens enemies with ultrasonic waves that could crush stone. Its fangs finish the fight.</t>
  </si>
  <si>
    <t>Legends say it can share eternal life. It slept for a thousand years in the form of a tree before its revival.</t>
  </si>
  <si>
    <t>When the horns on its head shine in seven colors, it is said to be sharing everlasting life.</t>
  </si>
  <si>
    <t>When this legendary Pokémon’s wings and tail feathers spread wide and glow red, it absorbs the life force of living creatures.</t>
  </si>
  <si>
    <t>When its life comes to an end, it absorbs the life energy of every living thing and turns into a cocoon once more.</t>
  </si>
  <si>
    <t>When the Kalos region’s ecosystem falls into disarray, it appears and reveals its secret power.</t>
  </si>
  <si>
    <t>It’s hypothesized that it’s monitoring those who destroy the ecosystem from deep in the cave where it lives.</t>
  </si>
  <si>
    <t>This is Zygarde’s form when it has gathered 50% of its cells. It wipes out all those who oppose it, showing not a shred of mercy.</t>
  </si>
  <si>
    <t>It’s thought to be monitoring the ecosystem. There are rumors that even greater power lies hidden within it.</t>
  </si>
  <si>
    <t>Paljastamalla kulmahampaansa ja tekemällä pelottavan ilmeen Snubbull lähettää pienempiä Pokémoneja kauhuissaan karkuun. Tämä Pokémon vaikuttaa kuitenkin hieman surulliselta vihollistensa pakenemisesta.</t>
  </si>
  <si>
    <t>This is Zygarde’s form when about half of its pieces have been assembled. It plays the role of monitoring the ecosystem.</t>
  </si>
  <si>
    <t>Some say it can change to an even more powerful form when battling those who threaten the ecosystem.</t>
  </si>
  <si>
    <t>A sudden transformation of Carbink, its pink, glimmering body is said to be the loveliest sight in the whole world.</t>
  </si>
  <si>
    <t>It can instantly create many diamonds by compressing the carbon in the air between its hands.</t>
  </si>
  <si>
    <t>Uhkaavasta ulkonäöstään huolimatta se on melko pelkurimainen. Sen epätoivoiset yritykset näyttää uhkaavalta tekevät siitä suositun ihmisten keskuudessa.</t>
  </si>
  <si>
    <t>This troublemaker sends anything and everything to faraway places using its loop, which can warp space.</t>
  </si>
  <si>
    <t>Sen murinat levottomuutta herättävät vastustajat. Tämä rento Pokémon nukkuu yleensä puolet päivästä.</t>
  </si>
  <si>
    <t>It gathers things it likes and passes them through its loop to teleport them to a secret place.</t>
  </si>
  <si>
    <t>https://pokeapi.co/api/v2/pokemon-species/159/</t>
  </si>
  <si>
    <t>In its true form, it possess a huge amount of power. Legends of its avarice tell how it once carried off an entire castle to gain the treasure hidden within.</t>
  </si>
  <si>
    <t>Se viihtyy helposti muiden lähellä ja on myös helppo pilata. Sen kasvojen ja tekojen välinen ero tekee monista nuorista siitä villiintyneitä.</t>
  </si>
  <si>
    <t>It is said to be able to seize anything it desires with its six rings and six huge arms. With its power sealed, it is transformed into a much smaller form.</t>
  </si>
  <si>
    <t>It lets out billows of steam and disappears into the dense fog. It’s said to live in mountains where humans do not tread.</t>
  </si>
  <si>
    <t>Ulkonäköönsä nähden se on melko arka. Leikkiessään muiden pentu-Pokémonien kanssa sitä joskus kiusataan.</t>
  </si>
  <si>
    <t>It expels its internal steam from the arms on its back. It has enough power to blow away a mountain.</t>
  </si>
  <si>
    <t>This wary Pokémon uses photosynthesis to store up energy during the day, while becoming active at night.</t>
  </si>
  <si>
    <t>Granbull</t>
  </si>
  <si>
    <t>Silently it glides, drawing near its targets. Before they even notice it, it begins to pelt them with vicious kicks.</t>
  </si>
  <si>
    <t>Se on itse asiassa arka ja helposti säikähtävä. Jos sitä vastaan ​​hyökätään, se räpyttelee ympäriinsä torjuakseen hyökkääjänsä.</t>
  </si>
  <si>
    <t>It sends its feathers, which are as sharp as blades, flying in attack. Its legs are strong, so its kicks are also formidable.</t>
  </si>
  <si>
    <t>It feels relaxed in tight, dark places and has been known to use its Trainer’s pocket or bag as a nest.</t>
  </si>
  <si>
    <t>Koska sen kulmahampaat ovat liian raskaat, se pitää päänsä aina kallistettuna alaspäin. Sen PURENTA on kuitenkin voimakas.</t>
  </si>
  <si>
    <t>At a distance, it launches its sharp feathers while flying about. If the enemy gets too close, Rowlet switches tactics and delivers vicious kicks.</t>
  </si>
  <si>
    <t>During the day, it builds up energy via photosynthesis. At night, it flies silently through the sky, on the prowl for prey.</t>
  </si>
  <si>
    <t>Se voi saada useimmat POKéMONit karkuun yksinkertaisesti avaamalla suunsa ammolleen paljastaen suuret kulmahampaansa.</t>
  </si>
  <si>
    <t>Flies noiselessly on delicate wings. It has mastered the art of deftly launching dagger-sharp feathers from those same wings.</t>
  </si>
  <si>
    <t>GRANBULLilla on erityisen hyvin kehittynyt alaleuka. Valtavat kulmahampaat ovat painavat, minkä vuoksi POKéMON kallistaa päätään taaksepäin tasapainon säilyttämiseksi. Ellei se säikähdä, se ei yritä purra umpimähkään.</t>
  </si>
  <si>
    <t>A bit of a dandy, it spends its free time preening its wings. Its preoccupation with any dirt on its plumage can leave it unable to battle.</t>
  </si>
  <si>
    <t>It throws sharp feathers called blade quills at enemies or prey. It seldom misses.</t>
  </si>
  <si>
    <t>This narcissistic Pokémon is a clean freak. If you don’t groom it diligently, it will stop listening to you.</t>
  </si>
  <si>
    <t>Supremely sensitive to the presence of others, it can detect opponents standing behind it, flinging its sharp feathers to take them out.</t>
  </si>
  <si>
    <t>Sillä on erityisen hyvin kehittynyt alaleuka. Valtavat kulmahampaat ovat painavat, minkä vuoksi se kallistaa päätään. Ellei se säikähdä, se ei yritä purra.</t>
  </si>
  <si>
    <t>It throws one knifelike feather after another at its enemies, and each one precisely strikes a weak point. These feathers are known as blade quills.</t>
  </si>
  <si>
    <t>It never slacks when it comes to the task of cleaning its feathers. Thorough preening keeps it looking spiffy and its blade quills nice and sharp.</t>
  </si>
  <si>
    <t>Regularly basks in sunlight to gather power—presumably due to the frigid climate. Nonetheless, the edges of the blade quills set into its wings are keen as ever.</t>
  </si>
  <si>
    <t>It fires arrow quills from its wings with such precision, they can pierce a pebble at distances over a hundred yards.</t>
  </si>
  <si>
    <t>Se on itse asiassa arka ja helposti säikähtävä. Jos sitä hyökätään, se räpyttelee ympäriinsä torjuakseen hyökkääjänsä.</t>
  </si>
  <si>
    <t>Although basically cool and cautious, when it’s caught by surprise, it’s seized by panic.</t>
  </si>
  <si>
    <t>Se on ulkonäöstään huolimatta arka. Jos se kuitenkin raivostuu, se iskee valtavilla hampaillaan.</t>
  </si>
  <si>
    <t>It nocks its arrow quills and shoots them at opponents. When it simply can’t afford to miss, it tugs the vine on its head to improve its focus.</t>
  </si>
  <si>
    <t>Decidueye can nock and fire an arrow at an enemy in a tenth of a second, so its battles are decided in the blink of an eye.</t>
  </si>
  <si>
    <t>As if wielding a bow, it launches the arrow quills hidden among the feathers of its wings. Decidueye’s shots never miss.</t>
  </si>
  <si>
    <t>In a tenth of a second, it can nock and fire an arrow quill, piercing an opponent’s weak point before they notice what’s happening.</t>
  </si>
  <si>
    <t>The air stored inside the rachises of Decidueye's feathers insulates the Pokémon against Hisui's extreme cold. This is firm proof that evolution can be influenced by environment.</t>
  </si>
  <si>
    <t>While grooming itself, it builds up fur inside its stomach. It sets the fur alight and spews fiery attacks, which change based on how it coughs.</t>
  </si>
  <si>
    <t>It doesn’t allow its emotions to be easily seen. Earning its trust takes time. It prefers solitude.</t>
  </si>
  <si>
    <t>If you try too hard to get close to it, it won’t open up to you. Even if you do grow close, giving it too much affection is still a no-no.</t>
  </si>
  <si>
    <t>Koska sen kulmahampaat ovat liian raskaat, se pitää päänsä aina kallistettuna alaspäin. Sen purema on kuitenkin voimakas.</t>
  </si>
  <si>
    <t>Its coat regrows twice a year. When the time comes, Litten sets its own body on fire and burns away the old fur.</t>
  </si>
  <si>
    <t>It spends even the smallest amount of downtime grooming its fur with its tongue. Loose fur gathers in its stomach and serves as fuel for fiery moves.</t>
  </si>
  <si>
    <t>Trying to pet Litten before it trusts you will result in a nasty scratch from its sharp claws. Be careful.</t>
  </si>
  <si>
    <t>At its throat, it bears a bell of fire. The bell rings brightly whenever this Pokémon spits fire.</t>
  </si>
  <si>
    <t>It boasts powerful front legs. With a single punch, it can bend an iron bar right over.</t>
  </si>
  <si>
    <t>It can act spoiled if it grows close to its Trainer. A powerful Pokémon, its sharp claws can leave its Trainer’s whole body covered in scratches.</t>
  </si>
  <si>
    <t>When its mane is standing on end, you can tell it’s feeling good. When it isn’t feeling well, its fur will lie down flat.</t>
  </si>
  <si>
    <t>In the midst of battle, the fire pouch on Torracat’s neck rings like a bell and produces stronger flames than usual.</t>
  </si>
  <si>
    <t>When facing a powerful enemy, Torracat’s fighting spirit gets pumped up, and its fire bell blazes hotter.</t>
  </si>
  <si>
    <t>This Pokémon has a violent, selfish disposition. If it’s not in the mood to listen, it will ignore its Trainer’s orders with complete nonchalance.</t>
  </si>
  <si>
    <t>Se voi saada useimmat Pokémonit karkuun yksinkertaisesti avaamalla suunsa leveälle paljastaen suuret kulmahampaansa.</t>
  </si>
  <si>
    <t>After hurling ferocious punches and flinging furious kicks, it finishes opponents off by spewing fire from around its navel.</t>
  </si>
  <si>
    <t>Granbullilla on erityisen hyvin kehittynyt alaleuka. Valtavat kulmahampaat ovat painavat, minkä vuoksi Pokémon kallistaa päätään taaksepäin tasapainon säilyttämiseksi. Ellei se säikähdä, se ei yritä purra umpimähkään.</t>
  </si>
  <si>
    <t>Although it’s rough mannered and egotistical, it finds beating down unworthy opponents boring. It gets motivated for stronger opponents.</t>
  </si>
  <si>
    <t>When its fighting spirit is set alight, the flames around its waist become especially intense.</t>
  </si>
  <si>
    <t>https://pokeapi.co/api/v2/pokemon-species/160/</t>
  </si>
  <si>
    <t>It excels at violent, no-holds-barred battles. The temperature of the flames that issue from its navel exceeds 3,600 degrees Fahrenheit.</t>
  </si>
  <si>
    <t>Sen hyvin kehittynyt alaleuka ja raskaat kulmahampaat ovat sen aseita. Niin kauan kuin sitä ei provosoida, se puree harvoin.</t>
  </si>
  <si>
    <t>Incineroar’s rough and aggressive behavior is its most notable trait, but the way it helps out small Pokémon shows that it has a kind side as well.</t>
  </si>
  <si>
    <t>Tämä Snubbullia arempi Pokémon on nuorten ihailema, sillä nuoret ovat huvittuneita sen ulkonäön ja asenteen välisestä kontrastista.</t>
  </si>
  <si>
    <t>Vaikka sillä on voimakkaat leuat, se ei välitä riidoista, joten sillä on harvoin tilaisuus näyttää voimaansa.</t>
  </si>
  <si>
    <t>Vaikka Granbull on suosittu nuorten keskuudessa, se on ujo ja herkkä, joten se on täysin epäpätevä vahtikoiraksi.</t>
  </si>
  <si>
    <t>Qwilfish</t>
  </si>
  <si>
    <t>Myrkkypiikkien laukaisemiseksi sen on täytettävä kehonsa juomalla yli 2,6 gallonaa vettä kerralla.</t>
  </si>
  <si>
    <t>Sen kehoa peittävät pienet piikit kehittyivät suomuista. Ne ruiskuttavat myrkkyä, joka aiheuttaa pyörtymisen.</t>
  </si>
  <si>
    <t>This Pokémon snorts body fluids from its nose, blowing balloons to smash into its foes. It’s famous for being a hard worker.</t>
  </si>
  <si>
    <t>Kohdatessaan suuremman vihollisen, se nielee niin paljon vettä kuin pystyy vastaamaan vastustajan kokoa.</t>
  </si>
  <si>
    <t>This Pokémon can control water bubbles. It practices diligently so it can learn to make big bubbles.</t>
  </si>
  <si>
    <t>QWILFISH imee vettä ja täyttää itsensä. Tämä POKéMON käyttää nielemänsä veden painetta ampuakseen myrkyllisiä piikkejä kerralla kaikkialta kehostaan. Uiminen on sen mielestä hieman haastavaa.</t>
  </si>
  <si>
    <t>The balloons it inflates with its nose grow larger and larger as it practices day by day.</t>
  </si>
  <si>
    <t>Popplio gets on top of its bouncy water balloons to jump higher. It’s quite the acrobatic fighter!</t>
  </si>
  <si>
    <t>It creates special bouncy balloons to send at its opponents. When the balloons pop, the sheer force of their bursting is what deals damage.</t>
  </si>
  <si>
    <t>QWILFISH käyttää nielemänsä veden painetta ampuakseen myrkyllisiä piikkien kärkiä kerralla kaikkialta kehostaan. Uiminen on sille jonkin verran haastavaa.</t>
  </si>
  <si>
    <t>If Popplio want to create big, powerful balloons, they must be persistent. It takes daily practice for these Pokémon to develop their skills.</t>
  </si>
  <si>
    <t>A skillful dancer, it creates a sequence of water balloons as it dances, and briskly bombards its enemies.</t>
  </si>
  <si>
    <t>It cares deeply for its companions. When its Trainer is feeling down, it performs a cheery dance to try and help.</t>
  </si>
  <si>
    <t>It gets excited when it sees a dance it doesn’t know. This hard worker practices diligently until it can learn that dance.</t>
  </si>
  <si>
    <t>Se ampuu myrkkypiikkejään joka suuntaan. Pyöreän muotonsa ansiosta se on huono uimari.</t>
  </si>
  <si>
    <t>It attacks by smacking its enemies with the exploding water balloons that it creates.</t>
  </si>
  <si>
    <t>As if dancing, it artfully dodges the attacks of its enemies. All the while, it’s busy forming a bunch of balloons to overwhelm its foes.</t>
  </si>
  <si>
    <t>On nights when the sea is calm, Brionne dance with one another to the singing of the Primarina that’s leading them.</t>
  </si>
  <si>
    <t>It controls its water balloons with song. The melody is learned from others of its kind and is passed down from one generation to the next.</t>
  </si>
  <si>
    <t>Its singing voice is its chief weapon in battle. This Pokémon’s Trainer must prioritize the daily maintenance of its throat at all costs.</t>
  </si>
  <si>
    <t>https://pokeapi.co/api/v2/pokemon-species/161/</t>
  </si>
  <si>
    <t>To Primarina, every battle is a stage. It takes down its prey with beautiful singing and dancing.</t>
  </si>
  <si>
    <t>Also known as a songstress, it has a fantastical look on moonlit nights when it leads its colony in song.</t>
  </si>
  <si>
    <t>With its mouth, it makes sonic waves that sound like beautiful singing. It uses the sonic waves to control its water balloons.</t>
  </si>
  <si>
    <t>For Primarina, every battle’s a stage. Its singing and the dancing of its balloons will mesmerize the audience.</t>
  </si>
  <si>
    <t>It can peck at a rate of 16 times a second to drill holes in trees. It uses the holes for food storage and for nesting.</t>
  </si>
  <si>
    <t>This Pokémon feeds on berries, whose leftover seeds become the ammunition for the attacks it fires off from its mouth.</t>
  </si>
  <si>
    <t>It pecks at trees with its hard beak. You can get some idea of its mood or condition from the rhythm of its pecking.</t>
  </si>
  <si>
    <t>It may look spindly, but its neck muscles are heavy-duty. It can peck at a tree 16 times per second!</t>
  </si>
  <si>
    <t>It eats berries and stores their seeds in its beak. When it encounters enemies or prey, it fires off all the seeds in a burst.</t>
  </si>
  <si>
    <t>By bending its beak, it can produce a variety of calls and brand itself a noisy nuisance for its neighbors.</t>
  </si>
  <si>
    <t>Qwilfish imee vettä ja täyttää itsensä ilmalla. Tämä Pokémon käyttää nielemänsä veden painetta ampuakseen myrkyllisiä piikkejä kerralla kaikkialta kehostaan. Uiminen on sen mielestä hieman haastavaa.</t>
  </si>
  <si>
    <t>It can bend the tip of its beak to produce over a hundred different cries at will.</t>
  </si>
  <si>
    <t>From its mouth, it fires the seeds of berries it has eaten. The scattered seeds give rise to new plants.</t>
  </si>
  <si>
    <t>When it battles, its beak heats up. The temperature can easily exceed 212 degrees Fahrenheit, causing severe burns when it hits.</t>
  </si>
  <si>
    <t>Kohdatessaan suuremman vihollisen se nielee niin paljon vettä kuin pystyy vastaamaan vastustajan kokoa.</t>
  </si>
  <si>
    <t>Within its beak, its internal gas ignites, explosively launching seeds with enough power to pulverize boulders.</t>
  </si>
  <si>
    <t>They smack beaks with others of their kind to communicate. The strength and number of hits tell each other how they feel.</t>
  </si>
  <si>
    <t>Known for forming harmonious couples, this Pokémon is brought to wedding ceremonies as a good luck charm.</t>
  </si>
  <si>
    <t>https://pokeapi.co/api/v2/pokemon-species/162/</t>
  </si>
  <si>
    <t>With its sharp fangs, it will bite anything. It did not originally live in Alola but was imported from another region.</t>
  </si>
  <si>
    <t>Kalastajat inhoavat tätä hankalaa Pokémonia, koska se suihkuttaa myrkkyä piikillään ja levittää sitä kaikkialle. Erilainen Qwilfish-muoto elää muilla alueilla.</t>
  </si>
  <si>
    <t>It wanders around in a never-ending search for food. At dusk, it collapses from exhaustion and falls asleep on the spot.</t>
  </si>
  <si>
    <t>Scizor</t>
  </si>
  <si>
    <t>Se heilauttaa silmäkuvioisia pihtiään pelotellakseen vihollisiaan. Tämä saa sen näyttämään siltä kuin sillä olisi kolme päätä.</t>
  </si>
  <si>
    <t>Its stomach takes up most of its long torso. It’s a big eater, so the amount Trainers have to spend on its food is no laughing matter.</t>
  </si>
  <si>
    <t>Sen siipiä ei käytetä lentämiseen. Niitä räpytellään suurella nopeudella ruumiinlämpötilan säätämiseksi.</t>
  </si>
  <si>
    <t>Although it will eat anything, it prefers fresh living things, so it marches down streets in search of prey.</t>
  </si>
  <si>
    <t>Tämän POKéMONin terästä sisältävät pihdit voivat murskata minkä tahansa kovan esineen, johon se saa tarttua.</t>
  </si>
  <si>
    <t>When it finds a trace of its prey, it patiently stakes out the location...but it’s always snoozing by nightfall.</t>
  </si>
  <si>
    <t>SCIZORilla on teräksenkova vartalo. Tavanomaiset hyökkäykset eivät helposti säikäytä sitä. Tämä POKéMON läpäyttää siipiään säädelläkseen ruumiinlämpöään.</t>
  </si>
  <si>
    <t>It adores having Rattata and Raticate for dinner, but as it’s diurnal, it never encounters them. This Pokémon boasts incredible patience.</t>
  </si>
  <si>
    <t>SCIZORilla on teräksenkova ruumis. Tavanomaiset hyökkäykset eivät helposti säikäytä sitä. Se läpsyttää siipiään säädelläkseen ruumiinlämpöään.</t>
  </si>
  <si>
    <t>Although it wasn’t originally found in Alola, this Pokémon was brought over a long time ago when there was a huge Rattata outbreak.</t>
  </si>
  <si>
    <t>Patient by nature, this Pokémon loses control of itself and pounces when it spots its favorite meal—Rattata!</t>
  </si>
  <si>
    <t>Its strong jaw enables it to scrape trees and slurp out the sap. It normally lives underground.</t>
  </si>
  <si>
    <t>They often gather near places frequented by electric Pokémon in order to avoid being attacked by bird Pokémon.</t>
  </si>
  <si>
    <t>Sillä on teräskova ruumis. Se pelottelee vihollisia nostamalla silmäkuvioiset pihtinsä.</t>
  </si>
  <si>
    <t>If you find its nest, you shouldn’t stick your hand inside. You’ll get bitten by an irritated Grubbin.</t>
  </si>
  <si>
    <t>It spits a sticky thread to stop opponents in their tracks, and then it grabs them in its sharp, sturdy mandibles to take them down.</t>
  </si>
  <si>
    <t>Its natural enemies, like Rookidee, may flee rather than risk getting caught in its large mandibles that can snap thick tree branches.</t>
  </si>
  <si>
    <t>Se nostaa silmänmuotoisine kuvioin varustettuja pihtiään pelotellakseen. Se myös heilauttaa niitä alas vaarallisesti.</t>
  </si>
  <si>
    <t>It uses its big jaws to dig nests into the forest floor, and it loves to feed on sweet tree sap.</t>
  </si>
  <si>
    <t>Its body is capable of storing electricity. On camping trips, people are grateful to have one around.</t>
  </si>
  <si>
    <t>From the food it digests, it generates electricity, and it stores this energy in its electric sac.</t>
  </si>
  <si>
    <t>https://pokeapi.co/api/v2/pokemon-species/163/</t>
  </si>
  <si>
    <t>It buries itself in fallen leaves and barely moves, munching away on humus. If you accidentally step on one, you’ll get a shock!</t>
  </si>
  <si>
    <t>Its stout shell provides excellent defense from attacks. It uses electricity on persistent opponents.</t>
  </si>
  <si>
    <t>While its durable shell protects it from attacks, Charjabug strikes at enemies with jolts of electricity discharged from the tips of its jaws.</t>
  </si>
  <si>
    <t>Its digestive processes convert the leaves it eats into electricity. An electric sac in its belly stores the electricity for later use.</t>
  </si>
  <si>
    <t>It zips around, on sharp lookout for an opening. It concentrates electrical energy within its large jaws and uses it to zap its enemies.</t>
  </si>
  <si>
    <t>It produces electricity via an electrical organ in its abdomen. It overwhelms bird Pokémon with shocking beams of electrical energy.</t>
  </si>
  <si>
    <t>It has an organ that generates electricity in its abdomen. It concentrates energy in its strong jaws and fires off powerful jolts of electricity.</t>
  </si>
  <si>
    <t>Tämän Pokémonin pihdit, jotka sisältävät terästä, voivat murskata minkä tahansa kovan esineen, johon se tarttuu, palasiksi.</t>
  </si>
  <si>
    <t>Vikavolt flusters opponents with acrobatic flying maneuvers. This creates an opening for it to deliver an electric beam attack.</t>
  </si>
  <si>
    <t>It builds up electricity in its abdomen, focuses it through its jaws, and then fires the electricity off in concentrated beams.</t>
  </si>
  <si>
    <t>Scizorilla on teräksenkova vartalo. Tavanomaiset hyökkäykset eivät helposti säikäytä sitä. Tämä Pokémon läpäyttää siipiään säädelläkseen ruumiinlämpöään.</t>
  </si>
  <si>
    <t>If it carries a Charjabug to use as a spare battery, a flying Vikavolt can rapidly fire high-powered beams of electricity.</t>
  </si>
  <si>
    <t>While guarding its weak points with its pincers, it looks for an opening and unleashes punches. When it loses, it foams at the mouth and faints.</t>
  </si>
  <si>
    <t>It punches so much, its pincers often come off from overuse, but they grow back quickly. What little meat they contain is rich and delicious.</t>
  </si>
  <si>
    <t>Se käyttää siipiään ruumiinlämpötilansa säätelyyn. Muuten sen metallinen ruumis kuumenisi liikaa ja sulaisi taistelun tuoksinassa.</t>
  </si>
  <si>
    <t>Its hard pincers are well suited to both offense and defense. Fights between two Crabrawler are like boxing matches.</t>
  </si>
  <si>
    <t>Kun Pokémon on tunnistanut vihollisen, se murskaa sen armottomasti teräskovilla pihdeillä.</t>
  </si>
  <si>
    <t>Crabrawler has been known to mistake Exeggutor for a coconut tree and climb it. The enraged Exeggutor shakes it off and stomps it.</t>
  </si>
  <si>
    <t>Sen runko on kuin terästä. Sen kovat ja raskaat pihdit sopivat paremmin vihollisten murskaamiseen kuin heidän nappaamiseensa.</t>
  </si>
  <si>
    <t>It aimed for the top but got lost and ended up on a snowy mountain. Being forced to endure the cold, this Pokémon evolved and grew fur.</t>
  </si>
  <si>
    <t>It just throws punches indiscriminately. In times of desperation, it can lop off its own pincers and fire them like rockets.</t>
  </si>
  <si>
    <t>Kun se on tunnistanut jonkin viholliseksi, se jatkaa sen pieksemistä teräskovilla pihdeillään, kunnes jäljellä ei ole enää muuta kuin murusia.</t>
  </si>
  <si>
    <t>It stores coldness in its pincers and pummels its foes. It can even smash thick walls of ice to bits!</t>
  </si>
  <si>
    <t>Jättimäiset pihdit muodostavat kolmanneksen Scizorin painosta. Yksikin näiden pihtien heilautus murskaa lohkareen kokonaan.</t>
  </si>
  <si>
    <t>Before it stops to think, it just starts pummeling. There are records of its turning back avalanches with a flurry of punches.</t>
  </si>
  <si>
    <t>Vaikka Scizorin vartalo on hoikka, sillä on valtava hyökkäysvoima. Jopa Scizorin lihakset ovat metallia.</t>
  </si>
  <si>
    <t>Kehittynyt erikoisen esineen avulla. Sen runkoa peittävän kuoren on osoitettu olevan vahvempi kuin taottu teräs.</t>
  </si>
  <si>
    <t>It beats its wings together to create fire. As it moves in the steps of its beautiful dance, it bathes opponents in intense flames.</t>
  </si>
  <si>
    <t>Shuckle</t>
  </si>
  <si>
    <t>Home Pokémon</t>
  </si>
  <si>
    <t>Maljakkomaisessa kuoressaan säilyttämänsä MARJAT hajoavat ja muuttuvat tahmeaksi nesteeksi.</t>
  </si>
  <si>
    <t>This Oricorio has sipped red nectar. Its passionate dance moves cause its enemies to combust in both body and mind.</t>
  </si>
  <si>
    <t>Se varastoi MARJOJA kuorensa sisällä. Välttääkseen hyökkäyksiä se piiloutuu kivien alle ja pysyy täysin paikallaan.</t>
  </si>
  <si>
    <t>It wins the hearts of its enemies with its passionate dancing and then uses the opening it creates to burn them up with blazing flames.</t>
  </si>
  <si>
    <t>Sen varpaiden erittämä neste kaivertaa reikiä kiviin pesimistä varten ja sitä voidaan sekoittaa MARJOIHIN juoman valmistamiseksi.</t>
  </si>
  <si>
    <t>This Oricorio has drunk red nectar. If its Trainer gives the wrong order, this passionate Pokémon becomes fiercely angry.</t>
  </si>
  <si>
    <t>SHUCKLE piiloutuu hiljaa kivien alle pitäen ruumiinsa kovan kuorensa sisällä syödessään samalla varastoimiaan marjoja. Marjat sekoittuvat sen ruumiinnesteisiin muodostaen mehuksi.</t>
  </si>
  <si>
    <t>It feeds on the nectar and pollen of flowers. Because it’s able to sense auras, it can identify which flowers are about to bloom.</t>
  </si>
  <si>
    <t>Myriads of Cutiefly flutter above the heads of people who have auras resembling those of flowers.</t>
  </si>
  <si>
    <t>SHUCKLE piiloutuu kivien alle ja pitää ruumiinsa kuorensa sisällä syödessään varastoituja marjoja. Marjat sekoittuvat sen ruumiinnesteisiin ja muodostavat mehua.</t>
  </si>
  <si>
    <t>Nectar and pollen are its favorite fare. In fields of flowers, it gets into skirmishes with Butterfree over food.</t>
  </si>
  <si>
    <t>Maljakkomaisessa kuoressaan säilyttämänsä MARJAT hajoavat ja niistä tulee tahmeaa nestettä.</t>
  </si>
  <si>
    <t>Cutiefly can pick up the auras of living things. It skillfully reads those auras to predict its foes’ movements and make fools of them.</t>
  </si>
  <si>
    <t>Se säilyttää marjoja kuoressaan. Marjat käyvät lopulta herkullisiksi mehuiksi.</t>
  </si>
  <si>
    <t>https://pokeapi.co/api/v2/pokemon-species/164/</t>
  </si>
  <si>
    <t>Nectar and pollen are its favorite fare. You can find Cutiefly hovering around Gossifleur, trying to get some of Gossifleur’s pollen.</t>
  </si>
  <si>
    <t>An opponent’s aura can tell Cutiefly what that opponent’s next move will be. Then Cutiefly can glide around the attack and strike back.</t>
  </si>
  <si>
    <t>Sen maljakkomaisessa kuoressa säilyttämät marjat hajoavat ja niistä tulee tahmeaa nestettä.</t>
  </si>
  <si>
    <t>It rolls up pollen into puffs. It makes many different varieties, some used as food and others used in battle.</t>
  </si>
  <si>
    <t>Se varastoi marjoja kuorensa sisällä. Välttääkseen hyökkäyksiä se piiloutuu kivien alle ja pysyy täysin paikallaan.</t>
  </si>
  <si>
    <t>Some of Ribombee’s pollen puffs are highly nutritious. They are sometimes sold as supplements.</t>
  </si>
  <si>
    <t>Rain makes pollen damp, so Ribombee hates rain. When it sees ominous clouds, it finds a hollow in a tree, where it waits stock-still.</t>
  </si>
  <si>
    <t>Maljakkomaisessa kuoressa säilytetyistä marjoista tulee lopulta paksua, mehevää mehua.</t>
  </si>
  <si>
    <t>It can predict the weather from moisture levels and wind direction. Ribombee only reveals itself when there are a few clear days in a row.</t>
  </si>
  <si>
    <t>It makes pollen puffs from pollen and nectar. The puffs’ effects depend on the type of ingredients and how much of each one is used.</t>
  </si>
  <si>
    <t>Purkkimaisessa kuoressa säilytetyistä marjoista tulee lopulta paksua, mehevää mehua.</t>
  </si>
  <si>
    <t>Ribombee absolutely hate getting wet or rained on. In the cloudy Galar region, they are very seldom seen.</t>
  </si>
  <si>
    <t>It’s considered to be a good Pokémon for beginners because of its friendliness, but its disposition grows rougher as it grows up.</t>
  </si>
  <si>
    <t>Shuckle piiloutuu hiljaa kivien alle pitäen ruumiinsa kovan kuorensa sisällä syödessään samalla varastoimiaan marjoja. Marjat sekoittuvat sen ruumiinnesteisiin muodostaen mehuksi.</t>
  </si>
  <si>
    <t>This Pokémon has lived with people since times long ago. It can sense when its Trainer is in the dumps and will stick close by its Trainer’s side.</t>
  </si>
  <si>
    <t>As they develop, their disposition grows more violent and aggressive. Many Trainers find them too much to handle and abandon them.</t>
  </si>
  <si>
    <t>Heracross</t>
  </si>
  <si>
    <t>Yhden sarven Pokémon</t>
  </si>
  <si>
    <t>Tämä voimakas POKéMON työntää arvokkaan sarvensa vihollistensa vatsan alle, nostaa sen ja heittää ne sitten.</t>
  </si>
  <si>
    <t>When it rubs the rocks on its neck against you, that’s proof of its love for you. However, the rocks are sharp, so the gesture is quite painful!</t>
  </si>
  <si>
    <t>This Pokémon can bond very strongly with its Trainer, but it also has a habit of biting. Raising a Rockruff for a long time can be challenging.</t>
  </si>
  <si>
    <t>Yleensä säyseä, mutta jos sitä häiritään hunajaa siemaillessaan, se ajaa tunkeilijan pois sarvellaan.</t>
  </si>
  <si>
    <t>This Pokémon intimidates opponents by striking the ground with the rocks on its neck. The moment an opponent flinches, Rockruff attacks.</t>
  </si>
  <si>
    <t>Herkuleen voimillaan se voi helposti heitellä ympäriinsä esineen, joka on 100 kertaa sen oma paino.</t>
  </si>
  <si>
    <t>Its quick movements confuse its enemies. Well equipped with claws and fangs, it also uses the sharp rocks in its mane as weapons.</t>
  </si>
  <si>
    <t>HERACROSS hyökkää suorassa linjassa vihollistaan ​​kohti, livahtaa vihollisen otteen alta ja nostaa tämän ilmaan mahtavalla sarvellaan. Tällä POKéMONilla on jopa tarpeeksi voimaa kaataakseen valtavan puun.</t>
  </si>
  <si>
    <t>When properly raised from a young age, it will become a trustworthy partner that will absolutely never betray its Trainer.</t>
  </si>
  <si>
    <t>HERACROSSilla on terävät kynnet jaloissaan. Ne on isketty tiukasti maahan tai puun kuoreen, mikä antaa POKéMONille turvallisen ja vakaan jalansijan paiskoa vihollisia voimakkaasti ylpeällä sarvellaan.</t>
  </si>
  <si>
    <t>The sharp rocks in its mane can cut like knives. Lycanroc wears its prey down by degrees before finishing them off.</t>
  </si>
  <si>
    <t>Ne kokoontuvat metsiin etsimään puiden makeaa mahlaa. Se on kokonaan verhoutunut teräskovaan kuoreen. Se on ylpeä sarvestaan, jota se käyttää vihollisten paiskomiseen.</t>
  </si>
  <si>
    <t>The rocks in its mane are sharper than a knife. Fragments that break off are treasured as good luck charms.</t>
  </si>
  <si>
    <t>This Lycanroc is calm and cautious. The rocks jutting from its mane are razor sharp.</t>
  </si>
  <si>
    <t>Tämä voimakas POKéMON työntää arvokkaan sarvensa vihollistensa vatsan alle, nostaa ja heittää heidät.</t>
  </si>
  <si>
    <t>Se kerääntyy metsiin etsimään puunmahlaa, lempiravintoaan. Se on tarpeeksi vahva paiskomaan vihollisia.</t>
  </si>
  <si>
    <t>Voimakkaiden jalkojen ja kynsien ansiosta se tuottaa tarpeeksi voimaa sinkoamaan vihollisia pitkien matkojen päähän.</t>
  </si>
  <si>
    <t>With swift movements, this Pokémon gradually backs its prey into a corner. Lycanroc’s fangs are always aimed toward opponents’ weak spots.</t>
  </si>
  <si>
    <t>Se rakastaa makeaa hunajaa. Pitääkseen kaiken hunajan itsellään se heittää kilpailijat pois arvokkaalla sarvellaan.</t>
  </si>
  <si>
    <t>When it’s in trouble, its eyes moisten and begin to shine. The shining light attracts its comrades, and they stand together against their enemies.</t>
  </si>
  <si>
    <t>Tämä voimakas Pokémon työntää arvokkaan sarvensa vihollistensa vatsan alle, nostaa ja heittää ne sitten.</t>
  </si>
  <si>
    <t>It’s awfully weak and notably tasty, so everyone is always out to get it. As it happens, anyone trying to bully it receives a painful lesson.</t>
  </si>
  <si>
    <t>Se on yleensä säyseä, mutta jos sitä häiritään hunajaa siemaillessaan, se ajaa tunkeilijan pois sarvellaan.</t>
  </si>
  <si>
    <t>They’re weak, so they move in schools. However, they can also often be seen all alone, having strayed from the school.</t>
  </si>
  <si>
    <t>When it’s in a jam, its shining eyes attract others of its kind. The light from its eyes is visible almost 25 miles away.</t>
  </si>
  <si>
    <t>Individually, they’re incredibly weak. It’s by gathering up into schools that they’re able to confront opponents.</t>
  </si>
  <si>
    <t>When it senses danger, its eyes tear up. The sparkle of its tears signals other Wishiwashi to gather.</t>
  </si>
  <si>
    <t>It plunges the poison spike on its head into its prey. When the prey has weakened, Mareanie deals the finishing blow with its 10 tentacles.</t>
  </si>
  <si>
    <t>https://pokeapi.co/api/v2/pokemon-species/165/</t>
  </si>
  <si>
    <t>It’s found crawling on beaches and seafloors. The coral that grows on Corsola’s head is as good as a five-star banquet to this Pokémon.</t>
  </si>
  <si>
    <t>They eat Corsola branches, so Mareanie are hated by craftsmen who work with Corsola branches that have naturally fallen off.</t>
  </si>
  <si>
    <t>Olivatpa sen vastustajat kuinka raskaita tahansa, se heittää heidät kauas pois arvokkaalla sarvellaan.</t>
  </si>
  <si>
    <t>Aside from its head, its body parts regenerate quickly if they’re cut off. After a good night’s sleep, Mareanie is back to normal.</t>
  </si>
  <si>
    <t>The first symptom of its sting is numbness. The next is an itching sensation so intense that it’s impossible to resist the urge to claw at your skin.</t>
  </si>
  <si>
    <t>Unlike their Alolan counterparts, the Mareanie of the Galar region have not yet figured out that the branches of Corsola are delicious.</t>
  </si>
  <si>
    <t>Toxapex crawls along the ocean floor on its 12 legs. It leaves a trail of Corsola bits scattered in its wake.</t>
  </si>
  <si>
    <t>Heracross hyökkää suorassa linjassa vihollistaan ​​kohti, livahtaa vihollisen otteen alta ja nostaa tämän ilmaan mahtavalla sarvellaan. Tällä Pokémonilla on jopa tarpeeksi voimaa kaataakseen valtavan puun.</t>
  </si>
  <si>
    <t>Those attacked by Toxapex’s poison will suffer intense pain for three days and three nights. Post-recovery, there will be some aftereffects.</t>
  </si>
  <si>
    <t>Heracrossilla on terävät kynnet jaloissaan. Ne on isketty tiukasti maahan tai puun kuoreen, mikä antaa Pokémonille turvallisen ja vakaan jalansijan paiskoa vihollisia pois ylpeällä sarvellaan.</t>
  </si>
  <si>
    <t>To attack, this Pokémon sends toxic spikes flying at its enemies. Ones that come close get mown down by the claws on its feet.</t>
  </si>
  <si>
    <t>Se on ylpeä paksusta sarvestaan. Alolassa sen suurin kilpailija on Vikavolt, jota vastaan ​​se aina taistelee.</t>
  </si>
  <si>
    <t>Se vaeltelee metsissä etsien makeaa mettä. Vaikka sillä on fantastinen fyysinen vahvuus, se ei ole kovin hyvä lentämään.</t>
  </si>
  <si>
    <t>With its 12 legs, it creates a dome to shelter within. The flow of the tides doesn’t affect Toxapex in there, so it’s very comfortable.</t>
  </si>
  <si>
    <t>Heracross rakastaa makeaa mahlaa ja etsii sitä metsistä. Pokémon käyttää kahta tuntosarviaan tuoksujen poimimiseen etsiessään.</t>
  </si>
  <si>
    <t>To survive in the cold waters of Galar, this Pokémon forms a dome with its legs, enclosing its body so it can capture its own body heat.</t>
  </si>
  <si>
    <t>Tämä Pokémon on ylpeä voimastaan, jonka ansiosta se voi nostaa 100 kertaa itseään painavampia esineitä ilman vaikeuksia.</t>
  </si>
  <si>
    <t>Within the poison sac in its body is a poison so toxic that Pokémon as large as Wailord will still be suffering three days after it first takes effect.</t>
  </si>
  <si>
    <t>Tällä Pokémonilla on vertaansa vailla oleva sarvi. Heracross itsessään osoittaa valtavaa voimaa – se pystyy heittämään useita perinteisiä sodankäynnin taitoja hallitsevia ihmisiä kerralla.</t>
  </si>
  <si>
    <t>Sneasel</t>
  </si>
  <si>
    <t>Teräväkärkinen Pokémon</t>
  </si>
  <si>
    <t>The mud stuck to Mudbray’s hooves enhances its grip and its powerful running gait.</t>
  </si>
  <si>
    <t>Sen käpälät kätkevät terävät kynnet. Hyökkäyksen sattuessa se ojentaa kynnet äkillisesti ja säikäyttää vihollisensa.</t>
  </si>
  <si>
    <t>It has a stubborn, individualistic disposition. Eating dirt, making mud, and playing in the mire all form part of its daily routine.</t>
  </si>
  <si>
    <t>Luonteeltaan ilkeämielinen se ajaa pidgey-kakarat pesistään ja herkuttelee jäljelle jääneillä munilla.</t>
  </si>
  <si>
    <t>It loves playing in the mud. If it isn’t showered with mud on a daily basis, it gets stressed out and stops listening to its Trainer.</t>
  </si>
  <si>
    <t>Tämä ovela POKéMON piileskelee pimeyden turvin odottaen saaliinsa hyökkäystä.</t>
  </si>
  <si>
    <t>Possessing mighty power, Mudbray can be loaded with 50 times its own body weight and will be totally fine.</t>
  </si>
  <si>
    <t>Loads weighing up to 50 times as much as its own body weight pose no issue for this Pokémon. It’s skilled at making use of mud.</t>
  </si>
  <si>
    <t>It eats dirt to create mud and smears this mud all over its feet, giving them the grip needed to walk on rough terrain without slipping.</t>
  </si>
  <si>
    <t>SNEASEL kiipeää puiden läpi iskemällä koukkukyntensä kaarnaan. Tämä POKéMON etsii vartioimattomia pesiä ja varastaa munia ravinnokseen vanhempien ollessa poissa.</t>
  </si>
  <si>
    <t>It spits a mud that provides resistance to both wind and rain, so the walls of old houses were often coated with it.</t>
  </si>
  <si>
    <t>Its heavy, mud-covered kicks are its best means of attack, and it can reduce large trucks to scrap without breaking a sweat.</t>
  </si>
  <si>
    <t>It remains calm and unmoving no matter the situation. It mixes dirt with the saliva in its mouth to make a special kind of mud.</t>
  </si>
  <si>
    <t>KIERTOLAINEN kiipeilee puiden seassa iskemällä koukkukyntensä kaarnaan. Se etsii vartioimattomia pesiä ja varastaa munia ravinnokseen vanhempien ollessa poissa.</t>
  </si>
  <si>
    <t>It can trudge mountain roads without rest for three days and three nights, all the while dragging a 10-ton load.</t>
  </si>
  <si>
    <t>https://pokeapi.co/api/v2/pokemon-species/166/</t>
  </si>
  <si>
    <t>Mud that hardens around a Mudsdale’s legs sets harder than stone. It’s so hard that it allows this Pokémon to scrap a truck with a single kick.</t>
  </si>
  <si>
    <t>Mudsdale has so much stamina that it could carry over 10 tons across the Galar region without rest or sleep.</t>
  </si>
  <si>
    <t>It crawls onto the land in search of food. Its water bubble allows it to breathe and protects its soft head.</t>
  </si>
  <si>
    <t>Se syö pesistä varastettuja munia. Sen terävät, koukkuiset kynnet repivät saaliin haavoittuvaisia ​​kohtia.</t>
  </si>
  <si>
    <t>When it comes across enemies or potential prey, this Pokémon smashes its water-bubble-covered head into them.</t>
  </si>
  <si>
    <t>When two Dewpider meet, they display their water bubbles to each other. Then the one with the smaller bubble gets out of the other’s way.</t>
  </si>
  <si>
    <t>Se on äärimmäisen vihainen eikä lopeta hyökkäystä ennen kuin vihollinen on liikkumiskyvytön.</t>
  </si>
  <si>
    <t>It can only breathe oxygen that has dissolved in water, so it wears a water bubble on its head when it walks around on land.</t>
  </si>
  <si>
    <t>Älykäs ja salakavala Pokémon. Pari voi työskennellä yhdessä varastaakseen munia houkuttelemalla vanhemmat pois.</t>
  </si>
  <si>
    <t>It forms a water bubble at the rear of its body and then covers its head with it. Meeting another Dewpider means comparing water-bubble sizes.</t>
  </si>
  <si>
    <t>Dewpider normally lives underwater. When it comes onto land in search of food, it takes water with it in the form of a bubble on its head.</t>
  </si>
  <si>
    <t>It delivers headbutts with the water bubble on its head. Small Pokémon get sucked into the bubble, where they drown.</t>
  </si>
  <si>
    <t>Luonteeltaan ilkeämielinen se ajaa pidgey-kakarat pesistään ja raapii kaikki löytämänsä tähteet.</t>
  </si>
  <si>
    <t>Despite what its appearance suggests, it cares for others. If it finds vulnerable, weak Pokémon, it protectively brings them into its water bubble.</t>
  </si>
  <si>
    <t>It usually passes its time in the water. When its belly is full, it stores its subdued prey in the water bubble on its head.</t>
  </si>
  <si>
    <t>Älykäs ja ovela Pokémon, se saa vastustajansa säpsähtämään näyttämällä yhtäkkiä tassujensa piilossa olevat kynnet.</t>
  </si>
  <si>
    <t>It has a habit of storing things it values in its water bubble. If its Trainer doesn’t watch out, Araquanid will try to put them in its bubble!</t>
  </si>
  <si>
    <t>It launches water bubbles with its legs, drowning prey within the bubbles. This Pokémon can then take its time to savor its meal.</t>
  </si>
  <si>
    <t>It acts as a caretaker for Dewpider, putting them inside its bubble and letting them eat any leftover food.</t>
  </si>
  <si>
    <t>During the day, it sleeps and soaks up light. When night falls, it walks around looking for a safer place to sleep.</t>
  </si>
  <si>
    <t>They give off a sweet and refreshing scent. Cutiefly often gather near the tall grass where Fomantis are hiding.</t>
  </si>
  <si>
    <t>Sneasel kiipeää puiden läpi iskemällä koukkukyntensä kaarnaan. Tämä Pokémon etsii vartioimattomia pesiä ja varastaa munia ravinnokseen vanhempien ollessa poissa.</t>
  </si>
  <si>
    <t>When the sun rises, Fomantis spreads its four leaves and bathes in the sunlight. The tip of its head has a pleasant aroma.</t>
  </si>
  <si>
    <t>It loves the sunshine. When it basks in the sunlight regularly, it grows up with vivid coloration.</t>
  </si>
  <si>
    <t>Sillä on viekas mutta raa'a luonne. Se odottaa vanhempien lähtevän pesistään ja sitten hiipii sisään varastamaan niiden munat.</t>
  </si>
  <si>
    <t>When bathed in sunlight, this Pokémon emits a pleasantly sweet scent, which causes bug Pokémon to gather around it.</t>
  </si>
  <si>
    <t>During the day, Fomantis basks in sunlight and sleeps peacefully. It wakes and moves around at night.</t>
  </si>
  <si>
    <t>Se käyttää kynsiään reikien tekemiseen muniin, jotta se voi syöksyä niiden sisukset ulos. Kasvattajat pitävät sitä vitsauksena ja ajavat sen pois tai hävittävät sen kokonaan.</t>
  </si>
  <si>
    <t>It requires a lot of effort to maintain Lurantis’s vivid coloring, but some collectors enjoy this work and treat it as their hobby.</t>
  </si>
  <si>
    <t>Ne tekevät yhteistyötä varastaakseen munia lintu-Pokémonien pesistä, mutta taistelut puhkeavat siitä, kuka saa syödä munat.</t>
  </si>
  <si>
    <t>It fires beams from its sickle-shaped petals. These beams are powerful enough to cleave through thick metal plates.</t>
  </si>
  <si>
    <t>For self-protection, it pretends to be a bug Pokémon. Both of its arms bear keen-edged petals.</t>
  </si>
  <si>
    <t>Se sulautuu yön pimeyteen väijyttääkseen saalistaan. Sneasel hyökkää Sandshrewin kimppuun, mutta sen kova iho voi saada Sneaselin kynnet katkeamaan.</t>
  </si>
  <si>
    <t>As it slashes into its enemies, it looks like it’s dancing. Its elegant appearance has led some to call it the most glamorous Grass Pokémon.</t>
  </si>
  <si>
    <t>This Pokémon resembles a beautiful flower. A properly raised Lurantis will have gorgeous, brilliant colors.</t>
  </si>
  <si>
    <t>The petals on this Pokémon’s arms are thin and super sharp, and they can fire laser beams if Lurantis gathers light first.</t>
  </si>
  <si>
    <t>It scatters spores that flicker and glow. Anyone seeing these lights falls into a deep slumber.</t>
  </si>
  <si>
    <t>Sen tukevat, kaarevat kynnet ovat ihanteelliset jyrkkien kallioiden ylittämiseen. Kynsien kärjistä tippuu myrkkyä, joka tunkeutuu minkä tahansa Sneaselin otteeseen jäävän saaliin hermoihin.</t>
  </si>
  <si>
    <t>Teddiursa</t>
  </si>
  <si>
    <t>As it drowses the day away, it nourishes itself by sucking from tree roots. It wakens at the fall of night, wandering off in search of a new tree.</t>
  </si>
  <si>
    <t>Pikku Karhu-Pokémon</t>
  </si>
  <si>
    <t>Jos se löytää hunajaa, sen puolikuu hohtaa. Se nuolee aina tassujaan, koska ne ovat hunajasta läpimärät.</t>
  </si>
  <si>
    <t>It scatters its shining spores around itself. Even though they’re dangerous, nighttime tours of forests where Morelull live are popular.</t>
  </si>
  <si>
    <t>Ennen kuin ruoasta tulee talvella niukkaa, sillä on tapana hamstrata ruokaa moniin piilopaikkoihin.</t>
  </si>
  <si>
    <t>Se nuolee aina hunajaa. Sen kämmen maistuu makealta kaiken sen hunajan vuoksi, jota se on imenyt.</t>
  </si>
  <si>
    <t>It likes damp dark places. When night falls, the spores filling the caps of its mushrooms glow.</t>
  </si>
  <si>
    <t>Tämä POKéMON nuolee mielellään hunajasta makeutettuja kämmeniään. TEDDIURSA valmistaa omaa hunajaansa sekoittamalla BEEDRILLin keräämiä hedelmiä ja siitepölyä.</t>
  </si>
  <si>
    <t>Pokémon living in the forest eat the delicious caps on Morelull’s head. The caps regrow overnight.</t>
  </si>
  <si>
    <t>https://pokeapi.co/api/v2/pokemon-species/167/</t>
  </si>
  <si>
    <t>Morelull live in forests that stay dark even during the day. They scatter flickering spores that put enemies to sleep.</t>
  </si>
  <si>
    <t>Forests where Shiinotic live are treacherous to enter at night. People confused by its strange lights can never find their way home again.</t>
  </si>
  <si>
    <t>Se nuolee kämmeniään, jotka ovat makeutuneet liottamalla niitä hunajassa. TEDDIURSA valmistaa omaa hunajaansa sekoittamalla BEEDRILLin keräämiä hedelmiä ja siitepölyä.</t>
  </si>
  <si>
    <t>It emits flickering spores that cause drowsiness. When its prey succumb to sleep, this Pokémon feeds on them by sucking in their energy.</t>
  </si>
  <si>
    <t>It puts its prey to sleep and siphons off their vitality through the tip of its arms. If one of its kind is weakened, it helps by sending it vitality.</t>
  </si>
  <si>
    <t>Ennen kuin ruoasta tulee niukkaa talvella, sillä on tapana hamstrata ruokaa moniin piilopaikkoihin.</t>
  </si>
  <si>
    <t>When it starts fighting for territory with Parasect, the entire area gets completely coated in spores!</t>
  </si>
  <si>
    <t>Its flickering spores lure in prey and put them to sleep. Once this Pokémon has its prey snoozing, it drains their vitality with its fingertips.</t>
  </si>
  <si>
    <t>If you see a light deep in a forest at night, don’t go near. Shiinotic will make you fall fast asleep.</t>
  </si>
  <si>
    <t>Se antaa hunajan imeytyä tassuihinsa, jotta se voi nuolla niitä koko ajan. Jokainen tassu maistuu ainutlaatuiselta.</t>
  </si>
  <si>
    <t>It burns its bodily fluids to create a poisonous gas. When its enemies become disoriented from inhaling the gas, it attacks them.</t>
  </si>
  <si>
    <t>Volcanoes or dry, craggy places are its home. It emanates a sweet-smelling poisonous gas that attracts bug Pokémon, then attacks them.</t>
  </si>
  <si>
    <t>The males will do whatever the females tell them. They give the females most of their food. Due to malnutrition, the males can’t evolve.</t>
  </si>
  <si>
    <t>It weakens opponents and sends them reeling with its poisonous gas. Salandit doesn’t deal well with Spinda, since it’s always reeling.</t>
  </si>
  <si>
    <t>Its venom sacs produce a fluid that this Pokémon then heats up with the flame in its tail. This process creates Salandit’s poisonous gas.</t>
  </si>
  <si>
    <t>This sneaky Pokémon will slink behind its prey and immobilize it with poisonous gas before the prey even realizes Salandit is there.</t>
  </si>
  <si>
    <t>For some reason, only females have been found. It creates a reverse harem of male Salandit that it lives with.</t>
  </si>
  <si>
    <t>Filled with pheromones, its poisonous gas can be diluted to use in the production of luscious perfumes.</t>
  </si>
  <si>
    <t>Salazzle lives deep in caves and forces the Salandit it has attracted with its pheromones to serve it.</t>
  </si>
  <si>
    <t>It punishes Salandit that couldn’t bring it food with a fierce slap of its flame-spewing palm.</t>
  </si>
  <si>
    <t>Only female Salazzle exist. They emit a gas laden with pheromones to captivate male Salandit.</t>
  </si>
  <si>
    <t>The winner of competitions between Salazzle is decided by which one has the most male Salandit with it.</t>
  </si>
  <si>
    <t>Tämä Pokémon nuolee mielellään hunajaan kastettuja kämmeniään, jotka ovat makeuttaneet ne. Teddiursa valmistaa omaa hunajaansa sekoittamalla Beedrillin keräämiä hedelmiä ja siitepölyä.</t>
  </si>
  <si>
    <t>Despite its adorable appearance, when it gets angry and flails about, its arms and legs could knock a pro wrestler sprawling.</t>
  </si>
  <si>
    <t>A touch from anyone except a known friend sends it into a surging frenzy. It’s an incredibly dangerous Pokémon.</t>
  </si>
  <si>
    <t>Se nuolee tassujaan niihin imeytyneen makean hunajan vuoksi. Se on ovela, hiipii Combeen pesiin ja ottaa itselleen Combeen keräämän hunajan.</t>
  </si>
  <si>
    <t>Ursaring</t>
  </si>
  <si>
    <t>Talviuni-Pokémon</t>
  </si>
  <si>
    <t>It boasts power enough to split large trees in half. The organ on its rear releases an odor that it uses to communicate with others of its kind.</t>
  </si>
  <si>
    <t>Vaikka se on hyvä kiipeilijä, se mieluiten napsailee puita etujaloillaan ja syö pudonneita MARJOJA.</t>
  </si>
  <si>
    <t>Kykynsä erottaa minkä tahansa aromin ansiosta se löytää erehtymättä kaiken syvällä maan alla olevan ruoan.</t>
  </si>
  <si>
    <t>Stufful hates to be hugged or touched in any way. It will squirm, thrash, and resist with amazing power.</t>
  </si>
  <si>
    <t>Vaikka sillä on suuri ruumis, se on melko taitava kiipeilemään puissa. Se syö ja nukkuu puiden latvoissa.</t>
  </si>
  <si>
    <t>Its fluffy fur is a delight to pet, but carelessly reaching out to touch this Pokémon could result in painful retaliation.</t>
  </si>
  <si>
    <t>URSARINGien asuttamissa metsissä sanotaan olevan monia puroja ja korkeita puita, joista ne keräävät ruokaa. Tämä POKéMON kävelee metsänsä läpi keräämässä ruokaa joka päivä.</t>
  </si>
  <si>
    <t>The way it protects itself by flailing its arms may be an adorable sight, but stay well away. This is flailing that can snap thick tree trunks.</t>
  </si>
  <si>
    <t>This immensely dangerous Pokémon possesses overwhelming physical strength. Its habitat is generally off-limits.</t>
  </si>
  <si>
    <t>This Pokémon has the habit of hugging its companions. Many Trainers have left this world after their spines were squashed by its hug.</t>
  </si>
  <si>
    <t>Metsissä sanotaan olevan paljon puroja ja korkeita puita, joista ursaari kerää ravintoa. Se vaeltaa metsässään keräämässä ravintoa joka päivä.</t>
  </si>
  <si>
    <t>It waves its hands wildly in intimidation and warning. Life is over for anyone who doesn’t run away as fast as possible.</t>
  </si>
  <si>
    <t>Kykynsä erottaa minkä tahansa hajun ansiosta se löytää erehtymättä kaiken syvällä maan alla olevan ruoan.</t>
  </si>
  <si>
    <t>It boasts tremendous physical strength. Many people call it the most dangerous Pokémon in the Alola region.</t>
  </si>
  <si>
    <t>Vaikka se on hyvä kiipeilijä, se mieluiten katkaisee paksuja puita etujaloillaan ja syö pudonneita MARJOJA.</t>
  </si>
  <si>
    <t>Once it accepts you as a friend, it tries to show its affection with a hug. Letting it do that is dangerous—it could easily shatter your bones.</t>
  </si>
  <si>
    <t>Se jättää alueellaan naarmuja puihin, jotka tuottavat herkullisia marjoja tai hedelmiä.</t>
  </si>
  <si>
    <t>The moves it uses to take down its prey would make a martial artist jealous. It tucks subdued prey under its arms to carry them to its nest.</t>
  </si>
  <si>
    <t>A delectable aroma pours from its body. They are often swallowed whole by Toucannon lured by that wafting deliciousness.</t>
  </si>
  <si>
    <t>Although it’s too sugary for human consumption, Bounsweet’s sweat can be watered down into a juice with just the right amount of sweetness.</t>
  </si>
  <si>
    <t>Vaikka se on hyvä kiipeilijä, se mieluiten napsailee puita etujaloillaan ja syö pudonneita marjoja.</t>
  </si>
  <si>
    <t>Because of its sweet, delicious aroma, bird Pokémon are always after it, but it’s not intelligent enough to care.</t>
  </si>
  <si>
    <t>It tries to resist being swallowed by a bird Pokémon by spinning the sepals on its head. It’s usually a fruitless attempt.</t>
  </si>
  <si>
    <t>Its body gives off a sweet, fruity scent that is extremely appetizing to bird Pokémon.</t>
  </si>
  <si>
    <t>When under attack, it secretes a sweet and delicious sweat. The scent only calls more enemies to it.</t>
  </si>
  <si>
    <t>https://pokeapi.co/api/v2/pokemon-species/168/</t>
  </si>
  <si>
    <t>The sepals on its head developed to protect its body. These are quite hard, so even if pecked by bird Pokémon, this Pokémon is totally fine.</t>
  </si>
  <si>
    <t>This Pokémon is always bouncing around energetically. Other Pokémon are attracted by its lively appearance and pleasant aroma.</t>
  </si>
  <si>
    <t>Ursaringin asuttamissa metsissä sanotaan olevan monia puroja ja korkeita puita, joista ne keräävät ruokaa. Tämä Pokémon kävelee metsänsä läpi keräämässä ruokaa joka päivä.</t>
  </si>
  <si>
    <t>It’s protected by its hard sepals, so it plays with bird Pokémon without worry. They peck it relentlessly, but it doesn’t care.</t>
  </si>
  <si>
    <t>Kun kylmä vuodenaika saapuu Hisuihin, tämä Pokémon vaeltaa pelloilla ja vuorilla etsien lempimarjojaan. Ursaringin nälkä tänä aikana tekee siitä raivokkaan vaaran.</t>
  </si>
  <si>
    <t>Slugma</t>
  </si>
  <si>
    <t>Laava-Pokémon</t>
  </si>
  <si>
    <t>Se ei koskaan nuku. Sen on jatkuvasti liikkeessä, koska jos se pysähtyisi, sen magmamassa jäähtyisi ja kovettuisi.</t>
  </si>
  <si>
    <t>It bounces around, swinging the sepals on its head with abandon. They’re quite painful when they smack you!</t>
  </si>
  <si>
    <t>Se on yleinen näky tulivuorialueilla, ja se luikertelee hitaasti ympäriinsä etsien jatkuvasti lämpimiä paikkoja.</t>
  </si>
  <si>
    <t>As it twirls like a dancer, a sweet smell spreads out around it. Anyone who inhales the scent will feel a surge of happiness.</t>
  </si>
  <si>
    <t>Any Corvisquire that pecks at this Pokémon will be greeted with a smack from its sepals followed by a sharp kick.</t>
  </si>
  <si>
    <t>Nämä ryhmittyvät tavallista kuumemmille alueille. Jos se jäähtyy, sen kuori kovettuu.</t>
  </si>
  <si>
    <t>Its long, striking legs aren’t just for show but to be used to kick with skill. In victory, it shows off by kicking the defeated, laughing boisterously.</t>
  </si>
  <si>
    <t>Sula magma virtaa SLUGMAn verenkiertoelimistössä. Jos tämä POKéMON jäähdytetään, magma jäähtyy ja kovettuu. Sen runko muuttuu hauraaksi ja siitä putoaa paloja, mikä pienentää sen kokoa.</t>
  </si>
  <si>
    <t>A Pokémon known for the beauty of its well-shaped legs, it sometimes appears as a mascot in advertisements for beauty salons.</t>
  </si>
  <si>
    <t>A master of grand and beautiful kicks, it can knock out even kickboxing champions with a single blow.</t>
  </si>
  <si>
    <t>SLUGMAlla ei ole verta kehossaan. Sen sijaan erittäin kuuma magma kiertää tämän POKéMONin kehossa kuljettaen välttämättömiä ravinteita ja happea sen elimiin.</t>
  </si>
  <si>
    <t>A Pokémon with an aggressive personality and a mastery of kicking, it cackles every time it kicks an opponent.</t>
  </si>
  <si>
    <t>Se on tulivuorialueilla elävä POKéMON-laji. Jos sen ruumis jäähtyy, sen iho kovettuu ja tekee siitä liikkumattoman. Tämän välttämiseksi se nukkuu magman lähellä.</t>
  </si>
  <si>
    <t>This feared Pokémon has long, slender legs and a cruel heart. It shows no mercy as it stomps on its opponents.</t>
  </si>
  <si>
    <t>A kick from the hardened tips of this Pokémon’s legs leaves a wound in the opponent’s body and soul that will never heal.</t>
  </si>
  <si>
    <t>Yleinen näky tulivuorialueilla, se luikertelee hitaasti ympäriinsä etsien jatkuvasti lämpimiä paikkoja.</t>
  </si>
  <si>
    <t>It attaches flowers to its highly nutritious vine. This revitalizes the flowers, and they give off an aromatic scent.</t>
  </si>
  <si>
    <t>Baths prepared with the flowers from its vine have a relaxing effect, so this Pokémon is a hit with many people.</t>
  </si>
  <si>
    <t>Sen runko on tehty magmasta. Jos se ei pysy liikkeessä, se jäähtyy ja kovettuu.</t>
  </si>
  <si>
    <t>It stretches sticky vines out from its head and picks flowers to adorn itself with. When it doesn’t have any flowers, it feels uneasy.</t>
  </si>
  <si>
    <t>It picks flowers and sticks them to its body with fluids it produces. The aroma that wafts from its petals has a healing effect.</t>
  </si>
  <si>
    <t>Comfey picks flowers with its vine and decorates itself with them. For some reason, flowers won’t wither once they’re attached to a Comfey.</t>
  </si>
  <si>
    <t>These Pokémon smell very nice. All Comfey wear different flowers, so each of these Pokémon has its own individual scent.</t>
  </si>
  <si>
    <t>Known for its extreme intelligence, this Pokémon will look down on inexperienced Trainers, so it’s best suited to veteran Trainers.</t>
  </si>
  <si>
    <t>Deep in the jungle, high in the lofty canopy, this Pokémon abides. On rare occasions, it shows up at the beach to match wits with Slowking.</t>
  </si>
  <si>
    <t>It normally spends its time meditating in the treetops. It throws Poké Balls and gives other Pokémon orders as it pleases.</t>
  </si>
  <si>
    <t>Oranguru don’t get along with each other, so they’re always engaging in battles of wits to decide which one is superior.</t>
  </si>
  <si>
    <t>With waves of its fan—made from leaves and its own fur—Oranguru skillfully gives instructions to other Pokémon.</t>
  </si>
  <si>
    <t>It knows the forest inside and out. If it comes across a wounded Pokémon, Oranguru will gather medicinal herbs to treat it.</t>
  </si>
  <si>
    <t>They form groups of roughly 20 individuals. Their mutual bond is remarkable—they will never let down a comrade.</t>
  </si>
  <si>
    <t>They battle with hard berries for weapons. Their techniques are passed from the boss to the group, generation upon generation.</t>
  </si>
  <si>
    <t>They use their saliva to stick leaves to their shoulders. You can tell what troop they belong to from the position of the leaves.</t>
  </si>
  <si>
    <t>Berries are its weapons as well as the staple of its diet. The one that can throw a berry the farthest is the boss of the troop.</t>
  </si>
  <si>
    <t>Sula magma virtaa Slugman verenkiertoelimistössä. Jos tämä Pokémon jäähdytetään, magma jäähtyy ja kovettuu. Sen ruumis muuttuu hauraaksi ja siitä putoaa paloja, mikä pienentää sen kokoa.</t>
  </si>
  <si>
    <t>Displaying amazing teamwork, they follow the orders of their boss as they all help out in the search for their favorite berries.</t>
  </si>
  <si>
    <t>Passimian live in groups of about 20, with each member performing an assigned role. Through cooperation, the group survives.</t>
  </si>
  <si>
    <t>Slugmalla ei ole verta kehossaan. Sen sijaan erittäin kuuma magma kiertää tämän Pokémonin kehossa kuljettaen välttämättömiä ravinteita ja happea sen elimiin.</t>
  </si>
  <si>
    <t>This Pokémon is a coward. As it desperately dashes off, the flailing of its many legs leaves a sparkling clean path in its wake.</t>
  </si>
  <si>
    <t>Magcargo</t>
  </si>
  <si>
    <t>Its habitat varies from beaches to seabeds. A natural scavenger, it will gleefully chow down on anything edible, no matter how rotten.</t>
  </si>
  <si>
    <t>Sen selkäpuolella oleva kuori on vain jäähtynyttä ja kovettunutta ihoa. Se rikkoutuu helposti pienestä kosketuksesta.</t>
  </si>
  <si>
    <t>It will pick up anything it finds on the ground. Sometimes it finds coins, so Murkrow and Meowth will go after it.</t>
  </si>
  <si>
    <t>An astonishingly cowardly Pokémon, Wimpod will whir its legs at high speeds to run away if anything comes near it.</t>
  </si>
  <si>
    <t>https://pokeapi.co/api/v2/pokemon-species/169/</t>
  </si>
  <si>
    <t>Sen hauras kuori suihkuttaa ajoittain voimakkaita liekkejä, jotka kiertävät koko sen ruumiissa.</t>
  </si>
  <si>
    <t>It’s nature’s cleaner—it eats anything and everything, including garbage and rotten things. The ground near its nest is always clean.</t>
  </si>
  <si>
    <t>Wimpod gather in swarms, constantly on the lookout for danger. They scatter the moment they detect an enemy’s presence.</t>
  </si>
  <si>
    <t>With a flashing slash of its giant sharp claws, it cleaves seawater—or even air—right in two.</t>
  </si>
  <si>
    <t>Sen ruumis on kuuma kuin laava ja se paisuu jatkuvasti. Liekit purkautuvat ajoittain sen kuoresta.</t>
  </si>
  <si>
    <t>It battles skillfully with its six arms, but spends most of its time peacefully meditating in caves deep beneath the sea.</t>
  </si>
  <si>
    <t>The shell covering its body is as hard as diamond. This Pokémon will do anything it takes to win.</t>
  </si>
  <si>
    <t>Its claws, which it can extend and retract at will, are its greatest weapons. Golisopod is sometimes accompanied by Wimpod.</t>
  </si>
  <si>
    <t>MAGCARGOn kuori on itse asiassa sen jäähtymisen kovettama iho. Sen kuori on hyvin hauras ja herkkä – jo pelkkä sen koskettaminen saa sen murenemaan. Tämä POKéMON palaa alkuperäiseen kokoonsa upottamalla itsensä magmaan.</t>
  </si>
  <si>
    <t>It will do anything to win, taking advantage of every opening and finishing opponents off with the small claws on its front legs.</t>
  </si>
  <si>
    <t>They live in sunken ships or in holes in the seabed. When Golisopod and Grapploct battle, the loser becomes the winner’s meal.</t>
  </si>
  <si>
    <t>MAGCARGOn ruumiinlämpötila on noin 18 000 Fahrenheit-astetta. Vesi höyrystyy kosketuksessa sen kanssa. Jos tämä POKéMON joutuu sateeseen, sadepisarat muuttuvat välittömästi höyryksi ja peittävät alueen paksuun sumuun.</t>
  </si>
  <si>
    <t>Born from a sand mound playfully built by a child, this Pokémon embodies the grudges of the departed.</t>
  </si>
  <si>
    <t>It takes control of anyone who puts a hand in its mouth. And so it adds to the accumulation of its sand-mound body.</t>
  </si>
  <si>
    <t>Sen selkäpuolella oleva kuori on tehty kovettuneesta magmasta. Kymmenien tuhansien vuosien aikana tulivuoren kraattereissa eläminen on muuttanut MAGCARGOn ruumiit magmaksi.</t>
  </si>
  <si>
    <t>It likes the shovel on its head, so Sandygast will get serious and fight any children who come to take it back.</t>
  </si>
  <si>
    <t>Sen hauras kuori suihkuttaa ajoittain voimakkaita liekkejä, jotka kiertävät koko kehossa.</t>
  </si>
  <si>
    <t>If you build sand mounds when you’re playing, destroy them before you go home, or they may get possessed and become Sandygast.</t>
  </si>
  <si>
    <t>Grudges of the dead have possessed a mound of sand and become a Pokémon. Sandygast is fond of the shovel on its head.</t>
  </si>
  <si>
    <t>Sen ruumiinlämpötila on noin 18 000 Fahrenheit-astetta. Liekit purkautuvat sen kovettuneessa kuoressa olevista raoista.</t>
  </si>
  <si>
    <t>Sandygast mainly inhabits beaches. It takes control of anyone who puts their hand into its mouth, forcing them to make its body bigger.</t>
  </si>
  <si>
    <t>Possessed people controlled by this Pokémon transformed its sand mound into a castle. As it evolved, its power to curse grew ever stronger.</t>
  </si>
  <si>
    <t>Buried beneath the castle are masses of dried-up bones from those whose vitality it has drained.</t>
  </si>
  <si>
    <t>Each of its grains of sand has its own will. Palossand eats small Pokémon and siphons away their vital essence while they’re still alive.</t>
  </si>
  <si>
    <t>Once it has whipped up a sandstorm to halt its opponents in their tracks, this terrifying Pokémon snatches away their vitality.</t>
  </si>
  <si>
    <t>Palossand is known as the Beach Nightmare. It pulls its prey down into the sand by controlling the sand itself, and then it sucks out their souls.</t>
  </si>
  <si>
    <t>This Pokémon lives on beaches, but it hates water. Palossand can’t maintain its castle-like shape if it gets drenched by a heavy rain.</t>
  </si>
  <si>
    <t>It lives in shallow seas, such as areas near a beach. It can eject its internal organs, which it uses to engulf its prey or battle enemies.</t>
  </si>
  <si>
    <t>Magcargon kuori on itse asiassa sen iho, joka kovettuu jäähtymisen seurauksena. Sen kuori on hyvin hauras ja hauras – jo pelkkä sen koskettaminen saa sen murenemaan. Tämä Pokémon palaa alkuperäiseen kokoonsa upottamalla itsensä magmaan.</t>
  </si>
  <si>
    <t>These Pokémon line the beaches. The sticky mucous that covers their bodies can be used to soothe sunburned skin. How convenient!</t>
  </si>
  <si>
    <t>Magcargon ruumiinlämpö on noin 18 000 Fahrenheit-astetta. Vesi höyrystyy kosketuksessa. Jos tämä Pokémon joutuu sateeseen, sadepisarat muuttuvat välittömästi höyryksi ja peittävät alueen paksuun sumuun.</t>
  </si>
  <si>
    <t>The tradition known as Pyukumuku chucking started from the custom of throwing Pyukumuku back into the sea after they wash onshore.</t>
  </si>
  <si>
    <t>Swinub</t>
  </si>
  <si>
    <t>Sika-Pokémon</t>
  </si>
  <si>
    <t>Its entire body is covered in its own slime. If you accidentally step on one, you’ll slip, and it will get mad and smack you!</t>
  </si>
  <si>
    <t>Se hieroo kuonoaan maahan löytääkseen ja kaivaakseen esiin ruokaa. Joskus se löytää kuumia lähteitä.</t>
  </si>
  <si>
    <t>It lives in warm, shallow waters. If it encounters a foe, it will spit out its internal organs as a means to punch them.</t>
  </si>
  <si>
    <t>Jos se haistaa jotain houkuttelevaa, se syöksyy suin päin etsimään tuoksun lähdettä.</t>
  </si>
  <si>
    <t>It’s covered in a slime that keeps its skin moist, allowing it to stay on land for days without drying up.</t>
  </si>
  <si>
    <t>The heavy control mask it wears suppresses its intrinsic capabilities. This Pokémon has some hidden special power.</t>
  </si>
  <si>
    <t>Se käyttää kuononsa kärkeä ruoan kaivamiseen. Sen kuono on niin sitkeä, että edes jäätynyt maa ei ole ongelma.</t>
  </si>
  <si>
    <t>Due to the danger that this synthetic Pokémon may go on a rampage, it wears a control mask to restrain its power.</t>
  </si>
  <si>
    <t>SWINUB juurruttaa ruokaa hieromalla kuonoaan maata vasten. Sen lempiruoka on sieni, joka kasvaa kuolleen ruohon alla. Tämä POKéMON juurruttaa toisinaan kuumia lähteitä.</t>
  </si>
  <si>
    <t>A Pokémon weapon developed for a specific mission, it went berserk during an experiment, so it was cryogenically frozen.</t>
  </si>
  <si>
    <t>There’s danger of its going on a rampage, so its true power is sealed away beneath its control mask.</t>
  </si>
  <si>
    <t>https://pokeapi.co/api/v2/pokemon-species/170/</t>
  </si>
  <si>
    <t>Rumor has it that the theft of top-secret research notes led to a new instance of this Pokémon being created in the Galar region.</t>
  </si>
  <si>
    <t>Se etsii ravintoa hieromalla kuonoaan maata vasten. Sen lempiruoka on sieni, joka kasvaa kuivan ruohon alla. Toisinaan se juurineen kaivaa esiin kuumia lähteitä.</t>
  </si>
  <si>
    <t>It was modeled after a mighty Pokémon of myth. The mask placed upon it limits its power in order to keep it under control.</t>
  </si>
  <si>
    <t>Its trust in its partner is what awakens it. This Pokémon is capable of changing its type, a flexibility that is well displayed in battle.</t>
  </si>
  <si>
    <t>Although its name was Type: Null at first, the boy who evolved it into this form gave it the name by which it is now known.</t>
  </si>
  <si>
    <t>This is its form once it has awakened and evolved. Freed from its heavy mask, its speed is greatly increased.</t>
  </si>
  <si>
    <t>Through the bond it formed with its Trainer, its will was strengthened, and it was able to destroy its control mask.</t>
  </si>
  <si>
    <t>A solid bond of trust between this Pokémon and its Trainer awakened the strength hidden within Silvally. It can change its type at will.</t>
  </si>
  <si>
    <t>The final factor needed to release this Pokémon’s true power was a strong bond with a Trainer it trusts.</t>
  </si>
  <si>
    <t>Originally making its home in the ozone layer, it hurtles to the ground when the shell enclosing its body grows too heavy.</t>
  </si>
  <si>
    <t>Se rakastaa syödä kuolleen ruohon alla kasvavia sieniä. Se löytää myös kuumia lähteitä etsiessään ruokaa.</t>
  </si>
  <si>
    <t>Strong impacts can knock it out of its shell. This Pokémon was born from mutated nanoparticles.</t>
  </si>
  <si>
    <t>It lives in the ozone layer, where it becomes food for stronger Pokémon. When it tries to run away, it falls to the ground.</t>
  </si>
  <si>
    <t>Although its outer shell is uncommonly durable, the shock of falling to the ground smashes the shell to smithereens.</t>
  </si>
  <si>
    <t>It is born asleep, and it dies asleep. All its movements are apparently no more than the results of it tossing and turning in its dreams.</t>
  </si>
  <si>
    <t>The log it holds was given to it by its parents at birth. It has also been known to cling to the arm of a friendly Trainer.</t>
  </si>
  <si>
    <t>Sillä on erittäin herkkä nenä. Se pystyy paikantamaan sieniä, marjoja ja jopa jään alla olevia kuumia lähteitä.</t>
  </si>
  <si>
    <t>It stays asleep from the moment it’s born. When it falls into a deep sleep, it stops moving altogether.</t>
  </si>
  <si>
    <t>It remains asleep from birth to death as a result of the sedative properties of the leaves that form its diet.</t>
  </si>
  <si>
    <t>The shell on its back is chemically unstable and explodes violently if struck. The hole in its stomach is its weak point.</t>
  </si>
  <si>
    <t>It gushes fire and poisonous gases from its nostrils. Its dung is an explosive substance and can be put to various uses.</t>
  </si>
  <si>
    <t>It lives in volcanoes and eats sulfur and other minerals. Materials from the food it eats form the basis of its explosive shell.</t>
  </si>
  <si>
    <t>Its exploding shell poses a real danger but is sensitive to moisture. On rainy days, Turtonator takes silent refuge in caves.</t>
  </si>
  <si>
    <t>Explosive substances coat the shell on its back. Enemies that dare attack it will be blown away by an immense detonation.</t>
  </si>
  <si>
    <t>Eating sulfur in its volcanic habitat is what causes explosive compounds to develop in its shell. Its droppings are also dangerously explosive.</t>
  </si>
  <si>
    <t>The spiny fur on its back is normally at rest. When this Pokémon becomes agitated, its fur stands on end and stabs into its attackers.</t>
  </si>
  <si>
    <t>Se työntää kuononsa pään maahan etsien ruokaa. Joskus se jopa kaivaa kuuman lähteen.</t>
  </si>
  <si>
    <t>The long hairs on its back act as lightning rods. The bolts of lightning it attracts are stored as energy in its electric sac.</t>
  </si>
  <si>
    <t>When it’s surprised or agitated, the 14 fur spikes on its back will stand up involuntarily.</t>
  </si>
  <si>
    <t>Its capacity to produce electricity is somewhat limited, so it gets charged up by letting lightning strike it!</t>
  </si>
  <si>
    <t>With the long hairs on its back, this Pokémon takes in electricity from other electric Pokémon. It stores what it absorbs in an electric sac.</t>
  </si>
  <si>
    <t>When it’s in trouble, it curls up into a ball, makes its fur spikes stand on end, and then discharges electricity indiscriminately.</t>
  </si>
  <si>
    <t>Swinub juurruttaa ruokaa hieromalla kuonoaan maata vasten. Sen lempiruoka on sieni, joka kasvaa kuolleen ruohon alla. Tämä Pokémon juurruttaa toisinaan kuumia lähteitä.</t>
  </si>
  <si>
    <t>Its actual appearance is unknown. A scholar who saw what was under its rag was overwhelmed by terror and died from the shock.</t>
  </si>
  <si>
    <t>A lonely Pokémon, it conceals its terrifying appearance beneath an old rag so it can get closer to people and other Pokémon.</t>
  </si>
  <si>
    <t>Although it’s a quiet, lonely Pokémon, if you try to look at what’s under its rag, it will become agitated and resist violently.</t>
  </si>
  <si>
    <t>https://pokeapi.co/api/v2/pokemon-species/171/</t>
  </si>
  <si>
    <t>A gust of wind revealed what hides under this Pokémon’s rag to a passing Trainer, who went home and died painfully that very night.</t>
  </si>
  <si>
    <t>It wears a rag fashioned into a Pikachu costume in an effort to look less scary. Unfortunately, the costume only makes it creepier.</t>
  </si>
  <si>
    <t>Swinub on erinomainen nuuhkimaan ruohon tai lumen alle hautautuneet sienet. Muinaisista ajoista lähtien Hisuin kansa on usein luottanut tähän taitoon.</t>
  </si>
  <si>
    <t>There was a scientist who peeked under Mimikyu’s old rag in the name of research. The scientist died of a mysterious disease.</t>
  </si>
  <si>
    <t>Piloswine</t>
  </si>
  <si>
    <t>Sian Pokémon</t>
  </si>
  <si>
    <t>Koska sen pitkät karvat peittävät näkökentän, se vain rynnii jatkuvasti.</t>
  </si>
  <si>
    <t>When it unleashes its psychic power from the protuberance on its head, the grating sound of grinding teeth echoes through the area.</t>
  </si>
  <si>
    <t>It stuns its prey with psychokinesis and then grinds them to mush with its strong teeth. Even Shellder’s shell is no match for it.</t>
  </si>
  <si>
    <t>Jos se hyökkää vihollista kohti, sen selkäkarvat pystyvät. Se on erittäin herkkä äänelle.</t>
  </si>
  <si>
    <t>It burrows beneath the sand, radiating psychic power from the protuberance on its head. It waits for prey as it surveys the area.</t>
  </si>
  <si>
    <t>Its skin is thick enough to fend off Mareanie’s spikes. With its robust teeth, Bruxish crunches up the spikes and eats them.</t>
  </si>
  <si>
    <t>It has a compassionate personality, but if it is angered, it completely destroys its surroundings with its intense breath.</t>
  </si>
  <si>
    <t>Vaikka sen jalat ovat lyhyet, sen karkeat kaviot estävät sitä liukastumasta edes jäisellä alustalla.</t>
  </si>
  <si>
    <t>This Pokémon is friendly to people and loves children most of all. It comes from deep in the mountains to play with children it likes in town.</t>
  </si>
  <si>
    <t>If a child it has made friends with is bullied, Drampa will find the bully’s house and burn it to the ground.</t>
  </si>
  <si>
    <t>PILOSWINEa peittää paksu ja pitkä karvapeite, jonka ansiosta se kestää hyytävän kylmyyttä. Tämä POKéMON käyttää syöksyhampaitaan kaivaakseen esiin jään alle hautautunutta ruokaa.</t>
  </si>
  <si>
    <t>It appears in towns and plays with the children. Drampa will protect kids when they’re in danger, so their moms don’t have to worry.</t>
  </si>
  <si>
    <t>The mountains it calls home are nearly two miles in height. On rare occasions, it descends to play with the children living in the towns below.</t>
  </si>
  <si>
    <t>Drampa is a kind and friendly Pokémon—up until it’s angered. When that happens, it stirs up a gale and flattens everything around.</t>
  </si>
  <si>
    <t>Swinging its massive anchor, it can KO Wailord in a single blow. What appears to be green seaweed is actually its body.</t>
  </si>
  <si>
    <t>The soul of seaweed adrift in the waves became reborn as this Pokémon. It maintains itself with new infusions of seabed detritus and seaweed.</t>
  </si>
  <si>
    <t>Piloswine-karvaa peittää paksu ja pitkä karvapeite, jotta se kestää hyytävän kylmyyttä. Se käyttää syöksyhampaitaan kaivaakseen esiin jään alle hautautunutta ruokaa.</t>
  </si>
  <si>
    <t>It wraps its prey in green seaweed and sucks away their vitality. It only likes to go after big prey like Wailord.</t>
  </si>
  <si>
    <t>Its chain-like green seaweed can stretch outward for hundreds of yards. For some reason, it gets along well with Skrelp.</t>
  </si>
  <si>
    <t>After a piece of seaweed merged with debris from a sunken ship, it was reborn as this ghost Pokémon.</t>
  </si>
  <si>
    <t>After lowering its anchor, it waits for its prey. It catches large Wailord and drains their life-force.</t>
  </si>
  <si>
    <t>It expresses its feelings by smacking its scales. Metallic sounds echo through the tall mountains where Jangmo-o lives.</t>
  </si>
  <si>
    <t>They live in mountains where no trace of humans can be detected. Jangmo-o grow little by little as they battle one another.</t>
  </si>
  <si>
    <t>It smacks the scales on its head against rocks or against the ground to frighten its opponents. It can also contact its friends with these noises.</t>
  </si>
  <si>
    <t>It will never show an enemy its back in battle. Ancient warriors liked Jangmo-o for its valiant disposition and made it one of their own.</t>
  </si>
  <si>
    <t>Sen pörröinen turkki tekee siitä näkökyvyttömän. Sen sijaan se tarkkailee ympäristöään herkällä nenällään.</t>
  </si>
  <si>
    <t>They learn to fight by smashing their head scales together. The dueling strengthens both their skills and their spirits.</t>
  </si>
  <si>
    <t>Jangmo-o strikes its scales to communicate with others of its kind. Its scales are actually fur that’s become as hard as metal.</t>
  </si>
  <si>
    <t>It leaps at its prey with a courageous shout. Its scaly punches tear its opponents to shreds.</t>
  </si>
  <si>
    <t>Pörröisen turkin peittämänä se kestää kylmää. Sen jäähampaat paksuuntuvat lumen sateessa.</t>
  </si>
  <si>
    <t>It sheds and regrows its scales on a continuous basis. The scales become harder and sharper each time they’re regrown.</t>
  </si>
  <si>
    <t>It makes noise by clanging its scales together. When the rhythm has reached its peak, Hakamo-o attacks.</t>
  </si>
  <si>
    <t>The scales it sheds can be molded and processed to make pots and pans. They conduct heat well, so they’re a popular item.</t>
  </si>
  <si>
    <t>The scaleless, scarred parts of its body are signs of its strength. It shows them off to defeated opponents.</t>
  </si>
  <si>
    <t>Before attacking its enemies, it clashes its scales together and roars. Its sharp claws shred the opposition.</t>
  </si>
  <si>
    <t>When it spots enemies, it threatens them by jingling the scales on its tail. Weak opponents will crack and flee in panic.</t>
  </si>
  <si>
    <t>Its rigid scales function as offense and defense. In the past, its scales were processed and used to make weapons and other commodities.</t>
  </si>
  <si>
    <t>Erinomaisen hajuaistinsa ansiosta se löytää jopa jäätyneen maan alta löytyviä sieniä.</t>
  </si>
  <si>
    <t>When it howls after finishing off its prey, the metallic sounds of its celebrating comrades can be heard from all around.</t>
  </si>
  <si>
    <t>It battles valiantly with its fists, which are armored in steel scales. Kommo-o specializes in uppercuts.</t>
  </si>
  <si>
    <t>It clatters its tail scales to unnerve opponents. This Pokémon will battle only those who stand steadfast in the face of this display.</t>
  </si>
  <si>
    <t>Certain ruins have paintings of ancient warriors wearing armor made of Kommo-o scales.</t>
  </si>
  <si>
    <t>This guardian deity of Melemele is brimming with curiosity. It summons thunderclouds and stores their lightning inside its body.</t>
  </si>
  <si>
    <t>It confuses its enemies by flying too quickly for the eye to follow. It has a hair-trigger temper but forgets what made it angry an instant later.</t>
  </si>
  <si>
    <t>Although it’s called a guardian deity, if a person or Pokémon puts it in a bad mood, it will become a malevolent deity and attack.</t>
  </si>
  <si>
    <t>Piloswinea peittää paksu ja pitkä karvapeite, jonka ansiosta se kestää hyytävän kylmyyden. Tämä Pokémon käyttää syöksyhampaitaan kaivaakseen esiin jään alle hautautunutta ruokaa.</t>
  </si>
  <si>
    <t>The lightning-wielding guardian deity of Melemele, Tapu Koko is brimming with curiosity and appears before people from time to time.</t>
  </si>
  <si>
    <t>This guardian deity of Akala is guilelessly cruel. The fragrant aroma of flowers is the source of its energy.</t>
  </si>
  <si>
    <t>As it flutters about, it scatters its strangely glowing scales. Touching them is said to restore good health on the spot.</t>
  </si>
  <si>
    <t>It heals the wounds of people and Pokémon by sprinkling them with its sparkling scales. This guardian deity is worshiped on Akala.</t>
  </si>
  <si>
    <t>https://pokeapi.co/api/v2/pokemon-species/172/</t>
  </si>
  <si>
    <t>Although called a guardian deity, Tapu Lele is devoid of guilt about its cruel disposition and can be described as nature incarnate.</t>
  </si>
  <si>
    <t>It pulls large trees up by the roots and swings them around. It causes vegetation to grow, and then it absorbs energy from the growth.</t>
  </si>
  <si>
    <t>Tämän Pokémonin pitkä turkki peittää sen silmät, korvat ja jopa raajat, minkä ansiosta Piloswine kestää ankaran kylmyyden. Pokémonin valkoisia syöksyhampaita voidaan käyttää vihollisten voittamiseen.</t>
  </si>
  <si>
    <t>The guardian deity of Ula’ula is a lazy Pokémon. It commands plants to immobilize its foes and then deals them a savage blow with its horns.</t>
  </si>
  <si>
    <t>Corsola</t>
  </si>
  <si>
    <t>Koralli-Pokémon</t>
  </si>
  <si>
    <t>Se karvaa ja kasvaa jatkuvasti. Sen päänpäätä arvostetaan kauneutensa vuoksi.</t>
  </si>
  <si>
    <t>Although it’s called a guardian deity, it’s violent enough to crush anyone it sees as an enemy.</t>
  </si>
  <si>
    <t>It makes ringing sounds with its tail to let others know where it is, avoiding unneeded conflicts. This guardian deity of Ula’ula controls plants.</t>
  </si>
  <si>
    <t>Etelämeren valtiossa ihmiset asuvat yhteisöissä, jotka ovat rakentuneet näiden POKéMONien ryhmien varaan.</t>
  </si>
  <si>
    <t>The dense fog it creates brings the downfall and destruction of its confused enemies. Ocean currents are the source of its energy.</t>
  </si>
  <si>
    <t>The guardian deity of Poni, it can control water. People say it can create pure water that will wash away any uncleanness.</t>
  </si>
  <si>
    <t>Sen pään kärjet imevät ravinteita puhtaasta vedestä. Ne eivät selviä saastuneessa vedessä.</t>
  </si>
  <si>
    <t>CORSOLAn oksat kimaltelevat kauniisti seitsemässä värissä auringonvalossa. Jos jokin oksa katkeaa, tämä POKéMON kasvattaa sen takaisin vain yhdessä yössä.</t>
  </si>
  <si>
    <t>CORSOLA-ryppäitä kerääntyy lämpimiin meriin, missä ne toimivat ihanteellisina piilopaikkoina pienemmille POKéMONeille. Kun veden lämpötila laskee, nämä POKéMONit vaeltavat eteläisille merille.</t>
  </si>
  <si>
    <t>This guardian deity of Poni Island manipulates water. Because it lives deep within a thick fog, it came to be both feared and revered.</t>
  </si>
  <si>
    <t>KORALLIT elävät lämpimissä eteläisissä merissä. Jos meri saastuu, kauniit korallien varret värjäytyvät ja murenevat palasiksi.</t>
  </si>
  <si>
    <t>Although it’s called a guardian deity, terrible calamities sometimes befall those who recklessly approach Tapu Fini.</t>
  </si>
  <si>
    <t>Its body is gaseous and frail. It slowly grows as it collects dust from the atmosphere.</t>
  </si>
  <si>
    <t>In ages past, it was called the child of the stars. It’s said to be a Pokémon from another world, but no specific details are known.</t>
  </si>
  <si>
    <t>Even though its helpless, gaseous body can be blown away by the slightest breeze, it doesn’t seem to care.</t>
  </si>
  <si>
    <t>Whether or not it’s a Pokémon from this world is a mystery. When it’s in a jam, it warps away to a safe place to hide.</t>
  </si>
  <si>
    <t>Monet elävät etelän puhtaissa merissä. Ne eivät ilmeisesti voi elää saastuneissa vesissä.</t>
  </si>
  <si>
    <t>This Pokémon came from another universe. Its gaseous body is so light that even a gentle breeze can blow it away.</t>
  </si>
  <si>
    <t>Cosmog is very curious but not very cautious, often placing itself in danger. If things start to look dicey, it teleports away.</t>
  </si>
  <si>
    <t>Motionless as if dead, its body is faintly warm to the touch. In the distant past, it was called the cocoon of the stars.</t>
  </si>
  <si>
    <t>There’s something accumulating around the black core within its hard shell. People think this Pokémon may come from another world.</t>
  </si>
  <si>
    <t>The king who ruled Alola in times of antiquity called it the “cocoon of the stars” and built an altar to worship it.</t>
  </si>
  <si>
    <t>Se karvaa ja kasvaa jatkuvasti. Sen päänpäätä arvostetaan aarteena sen kauneuden vuoksi.</t>
  </si>
  <si>
    <t>As it absorbs light, Cosmoem continues to grow. Its golden shell is surprisingly solid.</t>
  </si>
  <si>
    <t>Etelämeren valtiossa ihmiset asuvat yhteisöissä, jotka ovat rakentuneet näiden Pokémonien ryhmien varaan.</t>
  </si>
  <si>
    <t>The absorption of starlight fuels this Pokémon’s growth. The shell that encases it is harder than any known material.</t>
  </si>
  <si>
    <t>It sucks in dust from the air at an astounding rate, frantically building up energy within its core as preparation for evolution.</t>
  </si>
  <si>
    <t>It is said to live in another world. The intense light it radiates from the surface of its body can make the darkest of nights light up like midday.</t>
  </si>
  <si>
    <t>This Pokémon is said to be a male evolution of Cosmog. At the activation of its third eye, it departs for another world.</t>
  </si>
  <si>
    <t>Sometimes the result of its opening an Ultra Wormhole is that energy and life-forms from other worlds are called here to this world.</t>
  </si>
  <si>
    <t>Ne suosivat saastumattomia eteläisiä meriä. Niiden korallioksat menettävät värinsä ja rappeutuvat likaisessa vedessä.</t>
  </si>
  <si>
    <t>In writings from the distant past, it’s called by the name “the beast that devours the sun.”</t>
  </si>
  <si>
    <t>When light radiates from its body, this Pokémon could almost appear to be the sun. It will dispel any darkness and light up the world.</t>
  </si>
  <si>
    <t>Solgaleo was once known as the Beast That Devours the Sun. Energy in the form of light radiates boundlessly from it.</t>
  </si>
  <si>
    <t>Corsolan oksat kimaltelevat kauniisti seitsemässä värissä auringonvalossa. Jos jokin oksa katkeaa, tämä Pokémon kasvattaa sen takaisin vain yhdessä yössä.</t>
  </si>
  <si>
    <t>It is said to be a female evolution of Cosmog. When its third eye activates, away it flies to another world.</t>
  </si>
  <si>
    <t>Said to live in another world, this Pokémon devours light, drawing the moonless dark veil of night over the brightness of day.</t>
  </si>
  <si>
    <t>Corsola-parvet kerääntyvät lämpimiin meriin, missä ne toimivat ihanteellisina piilopaikkoina pienemmille Pokémoneille. Kun veden lämpötila laskee, tämä Pokémon vaeltaa eteläisiin meriin.</t>
  </si>
  <si>
    <t>Records of it exist in writings from long, long ago, where it was known by the name “the beast that calls the moon.”</t>
  </si>
  <si>
    <t>Korallinoksia kasvaa sen päästä. Ne katkeavat melko helposti, mutta kasvavat takaisin noin kolmessa päivässä.</t>
  </si>
  <si>
    <t>It sometimes summons unknown powers and life-forms here to this world from holes that lead to other worlds.</t>
  </si>
  <si>
    <t>Known as the Beast That Calls the Moon, this Pokémon lives by taking in any and all light and converting it into its own energy.</t>
  </si>
  <si>
    <t>Mareanien jahdatessa tätä Pokémonia sen päässä olevien oksien vuoksi, se joskus napsahtaa omat oksansa irti harhautuksena paetessaan.</t>
  </si>
  <si>
    <t>It steals the light from its surroundings and then becomes the full moon, showering its own light across the night sky.</t>
  </si>
  <si>
    <t>One of several mysterious Ultra Beasts. People on the street report observing those infested by it suddenly becoming violent.</t>
  </si>
  <si>
    <t>Alolassa elävien Corsolan kukintojen vaaleanpunainen väri on syvä ja eloisa ravinteita täynnä olevien merien ansiosta.</t>
  </si>
  <si>
    <t>One of the Ultra Beasts. It’s unclear whether or not this Pokémon is sentient, but sometimes it can be observed behaving like a young girl.</t>
  </si>
  <si>
    <t>Alolassa, missä niiden luonnollisia vihollisia Mareanie-heiniä on runsaasti, monilla Corsolan heinillä on tynkäoksia päässään.</t>
  </si>
  <si>
    <t>A life-form from another world, it was dubbed a UB and is thought to produce a strong neurotoxin.</t>
  </si>
  <si>
    <t>It appeared in this world from an Ultra Wormhole. Nihilego appears to be a parasite that lives by feeding on people and Pokémon.</t>
  </si>
  <si>
    <t>Se kasvattaa takaisin kaikki sen päästä katkeavat oksat. Ihmiset säilyttävät erityisen kauniita Corsolan oksia amuletteina edistääkseen turvallista synnytystä.</t>
  </si>
  <si>
    <t>This Ultra Beast appeared from another world. It shows off its body, but whether that display is a boast or a threat remains unclear.</t>
  </si>
  <si>
    <t>Nämä Pokémonit elävät lämpimissä merissä. Esihistoriallisina aikoina monet niistä elivät myös Galarin alueen valtamerissä.</t>
  </si>
  <si>
    <t>A mysterious life-form called an Ultra Beast. Witnesses saw it pulverize a dump truck with a single punch.</t>
  </si>
  <si>
    <t>Remoraid</t>
  </si>
  <si>
    <t>Suihkukone-Pokémon</t>
  </si>
  <si>
    <t>Although it’s alien to this world and a danger here, it’s apparently a common organism in the world where it normally lives.</t>
  </si>
  <si>
    <t>Sen tarkkuus on erinomainen. Sen ampuma vesi voi iskeä jopa liikkuvaan saaliiseen yli 90 metrin etäisyydeltä.</t>
  </si>
  <si>
    <t>Buzzwole goes around showing off its abnormally swollen muscles. It is one kind of Ultra Beast.</t>
  </si>
  <si>
    <t>One of the dangerous Ultra Beasts, it has been spotted running across the land at terrific speeds.</t>
  </si>
  <si>
    <t>Käyttäen selkäevää imukuppina, se tarttuu MANTINE:n alapuolelle kerätäkseen ruokajäämiä.</t>
  </si>
  <si>
    <t>https://pokeapi.co/api/v2/pokemon-species/173/</t>
  </si>
  <si>
    <t>One of the Ultra Beasts. It refuses to touch anything, perhaps because it senses some uncleanness in this world.</t>
  </si>
  <si>
    <t>Paetakseen hyökkääjää se voi ampua vettä suustaan ​​ja käyttää sitten tätä voimaa uidakseen taaksepäin.</t>
  </si>
  <si>
    <t>A life-form that lives in another world, its body is thin and supple, but it also possesses great power.</t>
  </si>
  <si>
    <t>REMORAID imee vettä ja työntää sen sitten ulos suurella nopeudella ampumalla alas lentävää saalista vatsalihaksillaan. Kun evoluutio lähestyy, tämä POKéMON kulkee jokien alavirtaan.</t>
  </si>
  <si>
    <t>One of the mysterious life-forms known as Ultra Beasts. Astonishing electric shocks emanate from its entire body, according to witnesses.</t>
  </si>
  <si>
    <t>It appeared from the Ultra Wormhole. It raided a power plant, so people think it energizes itself with electricity.</t>
  </si>
  <si>
    <t>REMORAID käyttää vatsalihaksiaan työntääkseen nieltyä vettä voimakkaasti ulos ja ampua sitten lentävän saaliin alas. Kun evoluutio lähestyy, se kulkee jokia pitkin.</t>
  </si>
  <si>
    <t>They’ve been dubbed Ultra Beasts. Some of them stand unmoving, like trees, with their arms and legs stuck into the ground.</t>
  </si>
  <si>
    <t>Käyttäen selkäevää imukuppina, se tarttuu MANTINE-apinan alapuolelle kerätäkseen ruoantähteitä.</t>
  </si>
  <si>
    <t>It appeared from the Ultra Wormhole. Witnesses observed it flying across the sky at high speed.</t>
  </si>
  <si>
    <t>Sen tarkkuus on erinomainen. Sen ampuma vesi voi iskeä jopa liikkuvaan saaliiseen yli 90 metrin päästä.</t>
  </si>
  <si>
    <t>One kind of Ultra Beast. Witnesses have seen it burn down a forest by expelling gas from its two arms.</t>
  </si>
  <si>
    <t>Se suihkuttaa vettä voimakkaasti suustaan ​​ampuakseen alas lentävän saaliinsa.</t>
  </si>
  <si>
    <t>One of the dangerous UBs, high energy readings can be detected coming from both of its huge arms.</t>
  </si>
  <si>
    <t>Se takertuu MANTINEen syödäkseen ison Pokémonin palasia. Tämä on sopeutuminen vihollisten välttämiseksi.</t>
  </si>
  <si>
    <t>This Ultra Beast came from the Ultra Wormhole. It seems not to attack enemies on its own, but its sharp body is a dangerous weapon in itself.</t>
  </si>
  <si>
    <t>Se suihkuttaa vettä voimakkaasti. Vesisuihku ei koskaan osu saaliiseen, vaikka REMORAID olisi syvällä meressä.</t>
  </si>
  <si>
    <t>One of the Ultra Beast life-forms, it was observed cutting down a gigantic steel tower with one stroke of its blade.</t>
  </si>
  <si>
    <t>Sen tarkkuus on erinomainen. Sen ampuma vesi voi iskeä liikkuvaan saaliiseen yli 90 metrin päästä.</t>
  </si>
  <si>
    <t>This Ultra Beast’s body, which is as thin as paper, is like a sharpened sword.</t>
  </si>
  <si>
    <t>It has gobbled mountains and swallowed whole buildings, according to reports. It’s one of the Ultra Beasts.</t>
  </si>
  <si>
    <t>A dangerous Ultra Beast, it appears to be eating constantly, but for some reason its droppings have never been found.</t>
  </si>
  <si>
    <t>Se suihkuttaa vettä voimakkaasti. Vesisuihku ei koskaan osu saaliiseen ohi, vaikka Remoraid olisi syvällä meressä.</t>
  </si>
  <si>
    <t>An unknown life-form called a UB. It may be constantly hungry—it is certainly always devouring something.</t>
  </si>
  <si>
    <t>Reminiscent of the Ultra Beasts, this life-form, apparently asleep underground, is thought to have come from another world in ancient times.</t>
  </si>
  <si>
    <t>Light is apparently the source of its energy. It has an extraordinarily vicious disposition and is constantly firing off laser beams.</t>
  </si>
  <si>
    <t>Suustaan ​​ampuma vesi voi osua liikkuvaan saaliiseen yli 300 jalan päästä.</t>
  </si>
  <si>
    <t>It looks somehow pained as it rages around in search of light, which serves as its energy. It’s apparently from another world.</t>
  </si>
  <si>
    <t>Light is the source of its energy. If it isn’t devouring light, impurities build up in it and on it, and Necrozma darkens and stops moving.</t>
  </si>
  <si>
    <t>It survives by absorbing light. After a long time spent slumbering underground, impurities accumulated within it, causing its body to darken.</t>
  </si>
  <si>
    <t>Käyttäen selkäevää imukuppina, se tarttuu mantinen alapinnalle kerätäkseen ruokajäämiä.</t>
  </si>
  <si>
    <t>It needs light to survive, and it goes on a rampage seeking it out. Its laser beams will cut anything to pieces.</t>
  </si>
  <si>
    <t>Remoraid imee vettä ja työntää sen sitten ulos suurella nopeudella ampumalla alas lentävää saalista vatsalihaksillaan. Kun evoluutio lähestyy, tämä Pokémon matkustaa jokien alavirtaan.</t>
  </si>
  <si>
    <t>This artificial Pokémon, constructed more than 500 years ago, can understand human speech but cannot itself speak.</t>
  </si>
  <si>
    <t>Its mechanized body is merely a vessel. Its true self is its Soul-Heart, an artificial soul.</t>
  </si>
  <si>
    <t>Tämä Pokémon takertuu Mantineen ja jakaa sen vaurauden. Kun sen Mantinea hyökätään, Remoraid taistelee sen rinnalla!</t>
  </si>
  <si>
    <t>It synchronizes its consciousness with others to understand their feelings. This faculty makes it useful for taking care of people.</t>
  </si>
  <si>
    <t>Built roughly 500 years ago by a scientist, the part called the Soul-Heart is the actual life-form.</t>
  </si>
  <si>
    <t>Tunnetaan myös nimellä "merten tarkka-ampuja", sen vesipyssy voi osua saaliiseen erehtymättä yli 300 jalan päästä.</t>
  </si>
  <si>
    <t>Able to conceal itself in shadows, it never appears before humans, so its very existence was the stuff of myth.</t>
  </si>
  <si>
    <t>It lurks in the shadows of others, copying their movements and powers. This Pokémon is craven and cowering.</t>
  </si>
  <si>
    <t>Sylkee vettä suustaan ​​uskomattoman tarkasti. Se vangitsee Burmyn ampumalla ne alas oksilta, joista ne roikkuvat.</t>
  </si>
  <si>
    <t>It slips into the shadows of others and mimics their powers and movements. As it improves, it becomes stronger than those it’s imitating.</t>
  </si>
  <si>
    <t>https://pokeapi.co/api/v2/pokemon-species/174/</t>
  </si>
  <si>
    <t>It sinks into the shadows of people and Pokémon, where it can understand their feelings and copy their capabilities.</t>
  </si>
  <si>
    <t>Octillery</t>
  </si>
  <si>
    <t>By slipping into the shadow of a martial arts master and copying their movements, this Pokémon learned the ultimate techniques.</t>
  </si>
  <si>
    <t>Se vangitsee viholliset imukuppimaisilla lonkeroillaan ja murskaa ne sitten kivikovalla päällään.</t>
  </si>
  <si>
    <t>This Pokémon can conceal itself in any shadow, so it went undiscovered for a long time.</t>
  </si>
  <si>
    <t>Se livahtaa vaistomaisesti kivisiin koloihin. Jos se tulee uneliaaksi, se varastaa toisen OCTILLERYn pesän.</t>
  </si>
  <si>
    <t>This Ultra Beast is well enough liked to be chosen as a first partner in its own world.</t>
  </si>
  <si>
    <t>Sen vaisto on kaivautua koloihin. Se varastaa usein muiden pesäkolot nukkuakseen niissä.</t>
  </si>
  <si>
    <t>An Ultra Beast that lives in a different world, it cackles wildly as it sprays its opponents with poison from the needles on its head.</t>
  </si>
  <si>
    <t>OCTILLERY tarttuu viholliseensa lonkeroillaan. Tämä POKéMON yrittää lamauttaa sen ennen viimeistelyiskua. Jos vihollinen osoittautuu liian vahvaksi, OCTILLERY sylkee mustetta paetakseen.</t>
  </si>
  <si>
    <t>It stores hundreds of liters of poisonous liquid inside its body. It is one of the organisms known as UBs.</t>
  </si>
  <si>
    <t>One kind of Ultra Beast, it fires a glowing, venomous liquid from its needles. This liquid is also immensely adhesive.</t>
  </si>
  <si>
    <t>Se kietoo vihollisensa imukuppimaisten lonkeroidensa ympärille ennen kuin antaa viimeisen iskun. Jos vihollinen osoittautuu liian voimakkaaksi, se sylkee mustetta paetakseen.</t>
  </si>
  <si>
    <t>Se livahtaa vaistomaisesti kivisiin koloihin. Jos se tulee uneliaaksi, se varastaa toiselta OCTILLERYltä pesän.</t>
  </si>
  <si>
    <t>It appeared from an Ultra Wormhole. Each one appears to be made up of many life-forms stacked one on top of each other.</t>
  </si>
  <si>
    <t>Se nappaa viholliset imukuppimaisilla lonkeroillaan ja murskaa ne sitten kivikovalla päällään.</t>
  </si>
  <si>
    <t>When stone walls started moving and attacking, the brute’s true identity was this mysterious life-form, which brings to mind an Ultra Beast.</t>
  </si>
  <si>
    <t>Se elää lohkareiden raoissa ja merenpohjan koloissa. Sen imukupit tarttuvat saaliiseen tiukasti.</t>
  </si>
  <si>
    <t>It slithers toward people. Then, without warning, it triggers the explosion of its own head. It’s apparently one kind of Ultra Beast.</t>
  </si>
  <si>
    <t>Se peittää vihollisensa näkökentän sylkemällä samean mustepilven. Se tekee pesänsä lohkareiden sekaan.</t>
  </si>
  <si>
    <t>Se rakastaa lymyillä kivien koloissa. Joskus se suihkuttaa mustetta saaliinsa päälle työntämällä ulos vain suunsa.</t>
  </si>
  <si>
    <t>A UB that appeared from an Ultra Wormhole, it causes explosions, then takes advantage of opponents’ surprise to rob them of their vitality.</t>
  </si>
  <si>
    <t>Se nappaa viholliset lonkeroissaan olevilla imukupeilla ja murskaa ne sitten kivikovalla päällään.</t>
  </si>
  <si>
    <t>It electrifies its claws and tears its opponents apart with them. Even if they dodge its attack, they’ll be electrocuted by the flying sparks.</t>
  </si>
  <si>
    <t>It approaches its enemies at the speed of lightning, then tears them limb from limb with its sharp claws.</t>
  </si>
  <si>
    <t>It runs as fast as lightning strikes, shredding its opponents with its high-voltage claws.</t>
  </si>
  <si>
    <t>Electricity sparks from the pads on its limbs. Wherever Zeraora runs, lightning flashes and thunder echoes.</t>
  </si>
  <si>
    <t>Sillä on taipumus haluta olla koloissa. Se viihtyy mieluummin kivien jyrkänteissä tai ruukuissa ja suihkuttaa niistä mustetta ennen hyökkäystä.</t>
  </si>
  <si>
    <t>It melts particles of iron and other metals found in the subsoil, so it can absorb them into its body of molten steel.</t>
  </si>
  <si>
    <t>It dissolves and eats metal. Circulating liquid metal within its body is how it generates energy.</t>
  </si>
  <si>
    <t>They live as a group, but when the time comes, one strong Meltan will absorb all the others and evolve.</t>
  </si>
  <si>
    <t>Octillery tarttuu viholliseensa lonkeroillaan. Tämä Pokémon yrittää lamauttaa sen ennen viimeistelyiskua. Jos vihollinen osoittautuu liian vahvaksi, Octillery sylkee mustetta paetakseen.</t>
  </si>
  <si>
    <t>Revered long ago for its capacity to create iron from nothing, for some reason it has come back to life after 3,000 years.</t>
  </si>
  <si>
    <t>At the end of its life-span, Melmetal will rust and fall apart. The small shards left behind will eventually be reborn as Meltan.</t>
  </si>
  <si>
    <t>Sen paetessaan sylkemä muste on erityistä. Se sisältää ainetta, joka tylsyttää hajuaistia, joten tarkkanäkiset Pokémonit eksyvät.</t>
  </si>
  <si>
    <t>Centrifugal force is behind the punches of Melmetal’s heavy hex-nut arms. Melmetal is said to deliver the strongest punches of all Pokémon.</t>
  </si>
  <si>
    <t>Se yleensä nukkuu luolissa. Octilleryn sylkemää pikimustaa mustetta käytetään myös ruoanlaittoon.</t>
  </si>
  <si>
    <t>When it uses its special stick to strike up a beat, the sound waves produced carry revitalizing energy to the plants and flowers in the area.</t>
  </si>
  <si>
    <t>It attacks with rapid beats of its stick. As it strikes with amazing speed, it gets more and more pumped.</t>
  </si>
  <si>
    <t>The faster a Thwackey can beat out a rhythm with its two sticks, the more respect it wins from its peers.</t>
  </si>
  <si>
    <t>Vaikka Octillery edelleen ampuu vettä suustaan, sen ja Remoraidin välinen dramaattinen anatominen ero tarkoitti, että kukaan ei pitkään aikaan uskonut edellisen kehittyneen jälkimmäisestä.</t>
  </si>
  <si>
    <t>Delibird</t>
  </si>
  <si>
    <t>Toimitus-Pokémon</t>
  </si>
  <si>
    <t>When it’s drumming out rapid beats in battle, it gets so caught up in the rhythm that it won’t even notice that it’s already knocked out its opponent.</t>
  </si>
  <si>
    <t>Se kantaa ruokaa koko päivän. On tarinoita kadonneista ihmisistä, jotka pelastuivat sen ruoan ansiosta.</t>
  </si>
  <si>
    <t>Se pesii terävien kallioiden reunalla. Se viettää koko päivän kantaen ruokaa odottaville poikasilleen.</t>
  </si>
  <si>
    <t>By drumming, it taps into the power of its special tree stump. The roots of the stump follow its direction in battle.</t>
  </si>
  <si>
    <t>Se kantaa aina ruokansa mukanaan, minne ikinä se meneekin. Jos sitä hyökätään, se heittää ruokansa vastustajan päälle.</t>
  </si>
  <si>
    <t>The one with the best drumming techniques becomes the boss of the troop. It has a gentle disposition and values harmony among its group.</t>
  </si>
  <si>
    <t>DELIBIRD kantaa ruokansa pyrstössään. Olipa kerran kuuluisa tutkimusmatkailija, joka onnistui saavuttamaan Mount Everestin huipun yhden näistä POKéMONeista jaettua ruokansa.</t>
  </si>
  <si>
    <t>A warm-up of running around gets fire energy coursing through this Pokémon’s body. Once that happens, it’s ready to fight at full power.</t>
  </si>
  <si>
    <t>https://pokeapi.co/api/v2/pokemon-species/175/</t>
  </si>
  <si>
    <t>It has special pads on the backs of its feet, and one on its nose. Once it’s raring to fight, these pads radiate tremendous heat.</t>
  </si>
  <si>
    <t>Se kantaa ruokaa pyrstössään. Kuuluisa tutkimusmatkailija onnistui kiipeämään Mount Everestille Delibirdin ansiosta, joka jakoi sen ruokaa.</t>
  </si>
  <si>
    <t>Its thick and fluffy fur protects it from the cold and enables it to use hotter fire moves.</t>
  </si>
  <si>
    <t>It kicks berries right off the branches of trees and then juggles them with its feet, practicing its footwork.</t>
  </si>
  <si>
    <t>It juggles a pebble with its feet, turning it into a burning soccer ball. Its shots strike opponents hard and leave them scorched.</t>
  </si>
  <si>
    <t>It’s skilled at both offense and defense, and it gets pumped up when cheered on. But if it starts showboating, it could put itself in a tough spot.</t>
  </si>
  <si>
    <t>Se kantaa ruokaa käärittynä pyrstössään. Sillä on tapana jakaa ruokaa vuorilla eksyneiden ihmisten kanssa.</t>
  </si>
  <si>
    <t>When scared, this Pokémon cries. Its tears pack the chemical punch of 100 onions, and attackers won’t be able to resist weeping.</t>
  </si>
  <si>
    <t>When it gets wet, its skin changes color, and this Pokémon becomes invisible as if it were camouflaged.</t>
  </si>
  <si>
    <t>Se kantaa ruokaa koko päivän. On tarinoita kadonneista ihmisistä, jotka pelastuivat sen varastoidun ruoan ansiosta.</t>
  </si>
  <si>
    <t>A clever combatant, this Pokémon battles using water balloons created with moisture secreted from its palms.</t>
  </si>
  <si>
    <t>Highly intelligent but also very lazy, it keeps enemies out of its territory by laying traps everywhere.</t>
  </si>
  <si>
    <t>It has many hidden capabilities, such as fingertips that can shoot water and a membrane on its back that it can use to glide through the air.</t>
  </si>
  <si>
    <t>Its nictitating membranes let it pick out foes’ weak points so it can precisely blast them with water that shoots from its fingertips at Mach 3.</t>
  </si>
  <si>
    <t>Found throughout the Galar region, this Pokémon becomes uneasy if its cheeks are ever completely empty of berries.</t>
  </si>
  <si>
    <t>Se kantaa ruokaa koko päivän. Kun joku eksyy vuorille, se jakaa sen ruoan.</t>
  </si>
  <si>
    <t>It eats berries nonstop—a habit that has made it more resilient than it looks. It’ll show up on farms, searching for yet more berries.</t>
  </si>
  <si>
    <t>It stashes berries in its tail—so many berries that they fall out constantly. But this Pokémon is a bit slow-witted, so it doesn’t notice the loss.</t>
  </si>
  <si>
    <t>Common throughout the Galar region, this Pokémon has strong teeth and can chew through the toughest of berry shells.</t>
  </si>
  <si>
    <t>It will bravely challenge any opponent, no matter how powerful. This Pokémon benefits from every battle—even a defeat increases its strength a bit.</t>
  </si>
  <si>
    <t>Delibird kantaa ruokansa pyrstössään. Olipa kerran kuuluisa tutkimusmatkailija, joka onnistui saavuttamaan maailman korkeimman vuoren huipun yhden näistä Pokémoneista jakaman ruokansa ansiosta.</t>
  </si>
  <si>
    <t>Jumping nimbly about, this small-bodied Pokémon takes advantage of even the slightest opportunity to disorient larger opponents.</t>
  </si>
  <si>
    <t>Smart enough to use tools in battle, these Pokémon have been seen picking up rocks and flinging them or using ropes to wrap up enemies.</t>
  </si>
  <si>
    <t>Vaikka se luonnostaan ​​viihtyy kylmemmässä paikassa, Alolassa sijaitseva Delibird näyttää kestävän kuumuutta jossain määrin.</t>
  </si>
  <si>
    <t>The lessons of many harsh battles have taught it how to accurately judge an opponent’s strength.</t>
  </si>
  <si>
    <t>Sillä on antelias tapa jakaa ruokansa ihmisten ja Pokémonien kanssa, joten se etsii aina lisää ruokaa.</t>
  </si>
  <si>
    <t>Se jakaa ruokansa ihmisten kanssa, jotka ovat jääneet pulaan. Koska Delibird on kaikkiruokainen, se antaa näille ihmisille joskus Bug-Pokémoneja.</t>
  </si>
  <si>
    <t>This Pokémon reigns supreme in the skies of the Galar region. The black luster of its steel body could drive terror into the heart of any foe.</t>
  </si>
  <si>
    <t>Se kietoo ruokaa pyrstönsä ympärille kantaakseen sitä mukanaan. Suurihäntäinen Delibird on parven pomo!</t>
  </si>
  <si>
    <t>With their great intellect and flying skills, these Pokémon very successfully act as the Galar region’s airborne taxi service.</t>
  </si>
  <si>
    <t>A constant collector of information, this Pokémon is very smart. Very strong is what it isn’t.</t>
  </si>
  <si>
    <t>Mantine</t>
  </si>
  <si>
    <t>Often found in gardens, this Pokémon has hairs on its body that it uses to assess its surroundings.</t>
  </si>
  <si>
    <t>Leija-Pokémon</t>
  </si>
  <si>
    <t>Majesteettisesti uiessaan se ei välitä kiinnittyvistä REMORAID-eläimistä, jotka keräävät sen jätteitä.</t>
  </si>
  <si>
    <t>It barely moves, but it’s still alive. Hiding in its shell without food or water seems to have awakened its psychic powers.</t>
  </si>
  <si>
    <t>https://pokeapi.co/api/v2/pokemon-species/176/</t>
  </si>
  <si>
    <t>As it grows inside its shell, it uses its psychic abilities to monitor the outside world and prepare for evolution.</t>
  </si>
  <si>
    <t>Vapaasti uidessaan avomerellä se voi lentää vedestä aaltojen yli, jos se kiihtyy riittävästi.</t>
  </si>
  <si>
    <t>It’s famous for its high level of intelligence, and the large size of its brain is proof that it also possesses immense psychic power.</t>
  </si>
  <si>
    <t>Se ui vapaasti ja syö suuhunsa uintia. Koko sen ruumis on hyvin karkea.</t>
  </si>
  <si>
    <t>It emits psychic energy to observe and study what’s around it—and what’s around it can include things over six miles away.</t>
  </si>
  <si>
    <t>Aided by the soft pads on its feet, it silently raids the food stores of other Pokémon. It survives off its ill-gotten gains.</t>
  </si>
  <si>
    <t>Aurinkoisina päivinä MANTINE-parvien voi nähdä hyppivän tyylikkäästi meren aaltojen yli. Tätä POKéMONIA ei häiritse liftaava REMORAID.</t>
  </si>
  <si>
    <t>Cunning and cautious, this Pokémon survives by stealing food from others. It erases its tracks with swipes of its tail as it makes off with its plunder.</t>
  </si>
  <si>
    <t>It secretly marks potential targets with a scent. By following the scent, it stalks its targets and steals from them when they least expect it.</t>
  </si>
  <si>
    <t>With a lithe body and sharp claws, it goes around stealing food and eggs. Boltund is its natural enemy.</t>
  </si>
  <si>
    <t>Aurinkoisina päivinä MANTINE-parvien voi nähdä hyppivän tyylikkäästi aaltojen yli. Niitä ei häiritse liftaava REMORAID.</t>
  </si>
  <si>
    <t>It anchors itself in the ground with its single leg, then basks in the sun. After absorbing enough sunlight, its petals spread as it blooms brilliantly.</t>
  </si>
  <si>
    <t>It whirls around in the wind while singing a joyous song. This delightful display has charmed many into raising this Pokémon.</t>
  </si>
  <si>
    <t>The seeds attached to its cotton fluff are full of nutrients. It spreads them on the wind so that plants and other Pokémon can benefit from them.</t>
  </si>
  <si>
    <t>Majesteettisesti uiessaan se ei välitä kiinnittyvistä REMORAID-eläimistä kerätäkseen sen tähteitä.</t>
  </si>
  <si>
    <t>The cotton on the head of this Pokémon can be spun into a glossy, gorgeous yarn—a Galar regional specialty.</t>
  </si>
  <si>
    <t>Its curly fleece is such an effective cushion that this Pokémon could fall off a cliff and stand right back up at the bottom, unharmed.</t>
  </si>
  <si>
    <t>If its fleece grows too long, Wooloo won’t be able to move. Cloth made with the wool of this Pokémon is surprisingly strong.</t>
  </si>
  <si>
    <t>Kun aallot ovat tyyniä, voi kohdata parven mantiineja, jotka uivat aivan kuin ne olisivat lennossa.</t>
  </si>
  <si>
    <t>Weave a carpet from its springy wool, and you end up with something closer to a trampoline. You’ll start to bounce the moment you set foot on it.</t>
  </si>
  <si>
    <t>Its majestic horns are meant only to impress the opposite gender. They never see use in battle.</t>
  </si>
  <si>
    <t>Apparently the itch of its teething impels it to snap its jaws at anything in front of it.</t>
  </si>
  <si>
    <t>Se ui tyylikkäästi, välittämättä REMORAID-kalojen tarttumisesta leveisiin eviinsä. Sillä on säyseä luonne.</t>
  </si>
  <si>
    <t>It starts off battles by attacking with its rock-hard horn, but as soon as the opponent flinches, this Pokémon bites down and never lets go.</t>
  </si>
  <si>
    <t>With jaws that can shear through steel rods, this highly aggressive Pokémon chomps down on its unfortunate prey.</t>
  </si>
  <si>
    <t>This Pokémon rapidly extends its retractable neck to sink its sharp fangs into distant enemies and take them down.</t>
  </si>
  <si>
    <t>Uidessaan tyylikkäästi meressä se jättää huomiotta REMORAID-kalat, jotka takertuvat sen eviin etsiessään ruokajäämiä.</t>
  </si>
  <si>
    <t>This Pokémon is very popular as a herding dog in the Galar region. As it runs, it generates electricity from the base of its tail.</t>
  </si>
  <si>
    <t>This gluttonous Pokémon only assists people with their work because it wants treats. As it runs, it crackles with electricity.</t>
  </si>
  <si>
    <t>This Pokémon generates electricity and channels it into its legs to keep them going strong. Boltund can run nonstop for three full days.</t>
  </si>
  <si>
    <t>It sends electricity through its legs to boost their strength. Running at top speed, it easily breaks 50 mph.</t>
  </si>
  <si>
    <t>Uidessaan tyylikkäästi meressä se jättää huomiotta remoraidit, jotka takertuvat sen eviin etsiessään ruokajäämiä.</t>
  </si>
  <si>
    <t>Most of its body has the same composition as coal. Fittingly, this Pokémon was first discovered in coal mines about 400 years ago.</t>
  </si>
  <si>
    <t>It can race around like a unicycle, even on rough, rocky terrain. Burning coal sustains it.</t>
  </si>
  <si>
    <t>It forms coal inside its body. Coal dropped by this Pokémon once helped fuel the lives of people in the Galar region.</t>
  </si>
  <si>
    <t>Jos se ui tarpeeksi nopeasti, se voi lentää yli 90 metrin korkeuteen merenpinnasta.</t>
  </si>
  <si>
    <t>https://pokeapi.co/api/v2/pokemon-species/177/</t>
  </si>
  <si>
    <t>By rapidly rolling its legs, it can travel at over 18 mph. The temperature of the flames it breathes exceeds 1,800 degrees Fahrenheit.</t>
  </si>
  <si>
    <t>It’s usually peaceful, but the vandalism of mines enrages it. Offenders will be incinerated with flames that reach 2,700 degrees Fahrenheit.</t>
  </si>
  <si>
    <t>While it’s engaged in battle, its mountain of coal will burn bright red, sending off sparks that scorch the surrounding area.</t>
  </si>
  <si>
    <t>It spends its entire life inside an apple. It hides from its natural enemies, bird Pokémon, by pretending it’s just an apple and nothing more.</t>
  </si>
  <si>
    <t>As soon as it’s born, it burrows into an apple. Not only does the apple serve as its food source, but the flavor of the fruit determines its evolution.</t>
  </si>
  <si>
    <t>Aurinkoisina päivinä mantine-parvien voi nähdä hyppivän tyylikkäästi meren aaltojen yli. Tätä Pokémonia ei häiritse liftaava Remoraid.</t>
  </si>
  <si>
    <t>It ate a sour apple, and that induced its evolution. In its cheeks, it stores an acid capable of causing chemical burns.</t>
  </si>
  <si>
    <t>It flies on wings of apple skin and spits a powerful acid. It can also change its shape into that of an apple.</t>
  </si>
  <si>
    <t>Eating a sweet apple caused its evolution. A nectarous scent wafts from its body, luring in the bug Pokémon it preys on.</t>
  </si>
  <si>
    <t>Postikortit ja julisteet, joissa Mantine hyppää tyylikkäästi aaltojen ylle, ovat suosittuja Alolan matkamuistoja.</t>
  </si>
  <si>
    <t>Its body is covered in sweet nectar, and the skin on its back is especially yummy. Children used to have it as a snack.</t>
  </si>
  <si>
    <t>Monet ihmiset ovat alkaneet surffata, koska he ihailevat Mantinen upeaa uimista.</t>
  </si>
  <si>
    <t>As it digs, it swallows sand and stores it in its neck pouch. The pouch can hold more than 17 pounds of sand.</t>
  </si>
  <si>
    <t>It spews sand from its nostrils. While the enemy is blinded, it burrows into the ground to hide.</t>
  </si>
  <si>
    <t>Jos se ui tarpeeksi nopeasti, se voi hypätä aaltojen yläpuolelle ja liitää yli 90 metriä.</t>
  </si>
  <si>
    <t>Majesteettisesti uiessaan se ei välitä, kiinnittyvätkö Remoraidit siihen kerätäkseen sen tähteitä.</t>
  </si>
  <si>
    <t>When it contracts its body, over 220 pounds of sand sprays from its nose. If it ever runs out of sand, it becomes disheartened.</t>
  </si>
  <si>
    <t>Tämä rauhallinen ja lempeä Pokémon ui sulavasti meren halki. Nopeuden kasvattua se voi hypätä vedestä. Tämän käytöksen vuoksi se usein luullaan virheellisesti lintu-Pokémoniksi.</t>
  </si>
  <si>
    <t>Its unique style of coiling allows it to blast sand out of its sand sac more efficiently.</t>
  </si>
  <si>
    <t>Skarmory</t>
  </si>
  <si>
    <t>Panssarilintu-Pokémon</t>
  </si>
  <si>
    <t>Sen tukevat siivet näyttävät raskailta, mutta ne ovat itse asiassa onttoja ja kevyitä, minkä ansiosta se voi lentää vapaasti taivaalla.</t>
  </si>
  <si>
    <t>It’s so strong that it can knock out some opponents in a single hit, but it also may forget what it’s battling midfight.</t>
  </si>
  <si>
    <t>Pesittyään karhunvatukkapensaissa sen poikasten siivet kovettuvat piikkien naarmuista.</t>
  </si>
  <si>
    <t>This hungry Pokémon swallows Arrokuda whole. Occasionally, it makes a mistake and tries to swallow a Pokémon other than its preferred prey.</t>
  </si>
  <si>
    <t>Sen pudottamat höyhenet ovat erittäin teräviä. Kerrotaan, että ihmiset käyttivät höyheniä aikoinaan miekkoina.</t>
  </si>
  <si>
    <t>If it sees any movement around it, this Pokémon charges for it straightaway, leading with its sharply pointed jaw. It’s very proud of that jaw.</t>
  </si>
  <si>
    <t>SKARMORY on kokonaan kovan, suojaavan haarniskan peitossa. Tämä POKéMON lentää lähes 305 km/h nopeudella. Se viiltää vihollisia miekan kaltaisilla terävillä siivillään.</t>
  </si>
  <si>
    <t>After it’s eaten its fill, its movements become extremely sluggish. That’s when Cramorant swallows it up.</t>
  </si>
  <si>
    <t>SKARMORYn terässiivet repaleistuvat ja kolhiintuvat toistuvissa taisteluissa. Kerran vuodessa kolhiintuneet siivet kasvavat kokonaan takaisin, jolloin leikkaavat reunat palautuvat alkuperäiseen tilaansa.</t>
  </si>
  <si>
    <t>POKéMON, jolla on teräsvartalo ja -siivet. Ihmiset käyttivät ennen SKARMORYsta pudonneita höyheniä miekkojen ja veitsien valmistukseen.</t>
  </si>
  <si>
    <t>This Pokémon has a jaw that’s as sharp as a spear and as strong as steel. Apparently Barraskewda’s flesh is surprisingly tasty, too.</t>
  </si>
  <si>
    <t>It spins its tail fins to propel itself, surging forward at speeds of over 100 knots before ramming prey and spearing into them.</t>
  </si>
  <si>
    <t>Sen tukevat siivet näyttävät raskailta, mutta sen luut ovat onttoja ja kevyitä, minkä ansiosta se voi lentää vapaasti taivaalla.</t>
  </si>
  <si>
    <t>It stores poison in an internal poison sac and secretes that poison through its skin. If you touch this Pokémon, a tingling sensation follows.</t>
  </si>
  <si>
    <t>Vaikka se on kokonaan raudankovan haarniskan peitossa, se lentää yli 290 km/h nopeudella.</t>
  </si>
  <si>
    <t>It manipulates the chemical makeup of its poison to produce electricity. The voltage is weak, but it can cause a tingling paralysis.</t>
  </si>
  <si>
    <t>When this Pokémon sounds as if it’s strumming a guitar, it’s actually clawing at the protrusions on its chest to generate electricity.</t>
  </si>
  <si>
    <t>This short-tempered and aggressive Pokémon chugs stagnant water to absorb any toxins it might contain.</t>
  </si>
  <si>
    <t>It stores flammable gas in its body and uses it to generate heat. The yellow sections on its belly get particularly hot.</t>
  </si>
  <si>
    <t>It wraps prey up with its heated body, cooking them in its coils. Once they’re well-done, it will voraciously nibble them down to the last morsel.</t>
  </si>
  <si>
    <t>When it heats up, its body temperature reaches about 1,500 degrees Fahrenheit. It lashes its body like a whip and launches itself at enemies.</t>
  </si>
  <si>
    <t>Sen raskaan näköinen rautarunko on itse asiassa ohut ja kevyt, joten se voi lentää yli 290 km/h nopeudella.</t>
  </si>
  <si>
    <t>While its burning body is already dangerous on its own, this excessively hostile Pokémon also has large and very sharp fangs.</t>
  </si>
  <si>
    <t>It’s very curious, but its means of investigating things is to try to punch them with its tentacles. The search for food is what brings it onto land.</t>
  </si>
  <si>
    <t>Its tentacles tear off easily, but it isn’t alarmed when that happens—it knows they’ll grow back. It’s about as smart as a three-year-old.</t>
  </si>
  <si>
    <t>https://pokeapi.co/api/v2/pokemon-species/178/</t>
  </si>
  <si>
    <t>A body made up of nothing but muscle makes the grappling moves this Pokémon performs with its tentacles tremendously powerful.</t>
  </si>
  <si>
    <t>Skarmory on kokonaan kovan, suojaavan haarniskan peittämä. Tämä Pokémon lentää lähes 305 km/h nopeudella. Se viiltää vihollisia miekan kaltaisilla terävillä siivillään.</t>
  </si>
  <si>
    <t>Searching for an opponent to test its skills against, it emerges onto land. Once the battle is over, it returns to the sea.</t>
  </si>
  <si>
    <t>Skarmoryn terässiivet repaleistuvat ja kolhiintuvat toistuvissa taisteluissa. Kerran vuodessa kolhiintuneet siivet kasvavat kokonaan takaisin, jolloin leikkaavat reunat palautuvat alkuperäiseen tilaansa.</t>
  </si>
  <si>
    <t>This Pokémon is said to have been born when a lonely spirit possessed a cold, leftover cup of tea.</t>
  </si>
  <si>
    <t>Sen höyhenet, jotka putoavat sen kasvaessa, ovat ohuet ja terävät. Kauan sitten soturit käyttivät niitä miekkoina.</t>
  </si>
  <si>
    <t>Sen metallinen runko on tukeva, mutta se ruostuu melko helposti. Joten sateisina päivinä tämä Pokémon pysyy mieluummin pesässään.</t>
  </si>
  <si>
    <t>The teacup in which this Pokémon makes its home is a famous piece of antique tableware. Many forgeries are in circulation.</t>
  </si>
  <si>
    <t>Sen pudottamat siipisulkat voidaan käsitellä ja niistä voidaan tehdä veitsiä, joiden terävyyden parhaat kokit tunnustavat.</t>
  </si>
  <si>
    <t>This species lives in antique teapots. Most pots are forgeries, but on rare occasions, an authentic work is found.</t>
  </si>
  <si>
    <t>Sen vartalo on verhottu teräspanssariin. Se näyttää raskaalta, mutta se voi lentää jopa 300 kilometrin tuntinopeudella!</t>
  </si>
  <si>
    <t>Leaving leftover black tea unattended is asking for this Pokémon to come along and pour itself into it, turning the tea into a new Polteageist.</t>
  </si>
  <si>
    <t>Näiden Pokémonien terävät höyhenet ovat terävämmät kuin miekat. Skarmory ja Corviknight taistelevat raivokkaasti alueesta.</t>
  </si>
  <si>
    <t>Via the protrusion on its head, it senses other creatures’ emotions. If you don’t have a calm disposition, it will never warm up to you.</t>
  </si>
  <si>
    <t>Ihmiset valmistavat miekkoja Skarmoryn pudonneista höyhenistä, joten tämä Pokémon on suosittu elementti heraldisissa kuvioissa.</t>
  </si>
  <si>
    <t>Houndour</t>
  </si>
  <si>
    <t>Pimeä Pokémon</t>
  </si>
  <si>
    <t>Se käyttää erilaisia ​​huutoja kommunikoidakseen muiden lajitovereidensa kanssa ja jahdatakseen saalistaan.</t>
  </si>
  <si>
    <t>If this Pokémon senses a strong emotion, it will run away as fast as it can. It prefers areas without people.</t>
  </si>
  <si>
    <t>Ajaakseen saaliinsa nurkkaan ne tarkistavat toistensa sijainnin haukkumalla, jonka vain ne ymmärtävät.</t>
  </si>
  <si>
    <t>No matter who you are, if you bring strong emotions near this Pokémon, it will silence you violently.</t>
  </si>
  <si>
    <t>Aamunkoiton tienoilla sen pahaenteinen ulvonta kaikuu alueen läpi ilmoittaen, että tämä on sen aluetta.</t>
  </si>
  <si>
    <t>Using the braids on its head, it pummels foes to get them to quiet down. One blow from those braids would knock out a professional boxer.</t>
  </si>
  <si>
    <t>HOUNDOUR saalistaa koordinoituna laumana. Ne kommunikoivat keskenään käyttämällä erilaisia ​​huutoja saaliinsa nurkkaan ajamiseksi. Tämän POKéMONin merkittävä tiimityö on vertaansa vailla.</t>
  </si>
  <si>
    <t>It emits psychic power strong enough to cause headaches as a deterrent to the approach of others.</t>
  </si>
  <si>
    <t>If you’re too loud around it, you risk being torn apart by the claws on its tentacle. This Pokémon is also known as the Forest Witch.</t>
  </si>
  <si>
    <t>HOUNDOUR kommunikoivat keskenään käyttämällä erilaisia ​​huutoja ajellakseen saaliinsa nurkkaan. Tämän POKéMONin merkittävä tiimityö on yksinkertaisesti vertaansa vailla.</t>
  </si>
  <si>
    <t>Through its nose, it sucks in the emanations produced by people and Pokémon when they feel annoyed. It thrives off this negative energy.</t>
  </si>
  <si>
    <t>Se käyttää erilaisia ​​huutoja kommunikoidakseen muiden lajitovereidensa kanssa ja jahdatakseen saalista.</t>
  </si>
  <si>
    <t>It sneaks into people’s homes, stealing things and feasting on the negative energy of the frustrated occupants.</t>
  </si>
  <si>
    <t>Se ilmaisee tunteitaan erilaisilla huudoilla. Se toimii laumassa napatakseen saaliinsa ovelasti.</t>
  </si>
  <si>
    <t>When it gets down on all fours as if to beg for forgiveness, it’s trying to lure opponents in so that it can stab them with its spear-like hair.</t>
  </si>
  <si>
    <t>Se on tarpeeksi älykäs metsästämään laumoissa. Se käyttää erilaisia ​​huutoja kommunikoidakseen muiden kanssa.</t>
  </si>
  <si>
    <t>With sly cunning, it tries to lure people into the woods. Some believe it to have the power to make crops grow.</t>
  </si>
  <si>
    <t>With the hair wrapped around its body helping to enhance its muscles, this Pokémon can overwhelm even Machamp.</t>
  </si>
  <si>
    <t>Its hairs work like muscle fibers. When its hairs unfurl, they latch on to opponents, ensnaring them as tentacles would.</t>
  </si>
  <si>
    <t>Its voice is staggering in volume. Obstagoon has a tendency to take on a threatening posture and shout—this move is known as Obstruct.</t>
  </si>
  <si>
    <t>It evolved after experiencing numerous fights. While crossing its arms, it lets out a shout that would make any opponent flinch.</t>
  </si>
  <si>
    <t>What appears to be an iron helmet is actually hardened hair. This Pokémon lives for the thrill of battle.</t>
  </si>
  <si>
    <t>After many battles, it evolved dangerous claws that come together to form daggers when extended.</t>
  </si>
  <si>
    <t>Its shell is overflowing with its heightened otherworldly energy. The ectoplasm serves as protection for this Pokémon’s core spirit.</t>
  </si>
  <si>
    <t>Be cautious of the ectoplasmic body surrounding its soul. You’ll become stiff as stone if you touch it.</t>
  </si>
  <si>
    <t>Only Farfetch’d that have survived many battles can attain this evolution. When this Pokémon’s leek withers, it will retire from combat.</t>
  </si>
  <si>
    <t>After deflecting attacks with its hard leaf shield, it strikes back with its sharp leek stalk. The leek stalk is both weapon and food.</t>
  </si>
  <si>
    <t>Houndourit metsästävät koordinoituna laumana. Ne kommunikoivat keskenään käyttämällä erilaisia ​​huutoja ahdistaakseen saaliinsa. Tämän Pokémonin merkittävä tiimityöskentely on vertaansa vailla.</t>
  </si>
  <si>
    <t>It’s highly skilled at tap-dancing. It waves its cane of ice in time with its graceful movements.</t>
  </si>
  <si>
    <t>https://pokeapi.co/api/v2/pokemon-species/179/</t>
  </si>
  <si>
    <t>Its amusing movements make it very popular. It releases its psychic power from the pattern on its belly.</t>
  </si>
  <si>
    <t>Se tekee taitavaa yhteistyötä muiden kanssa. Kun siitä tulee kumppanisi, se on erittäin uskollinen sinulle kouluttajanaan ja tottelee käskyjäsi.</t>
  </si>
  <si>
    <t>A powerful curse was woven into an ancient painting. After absorbing the spirit of a Yamask, the painting began to move.</t>
  </si>
  <si>
    <t>Ne ulvovat toistuvasti ennen aamunkoittoa kiinnittääkseen huomion laumaansa.</t>
  </si>
  <si>
    <t>Houndoom</t>
  </si>
  <si>
    <t>Never touch its shadowlike body, or you’ll be shown the horrific memories behind the picture carved into it.</t>
  </si>
  <si>
    <t>Jos sen suusta ampuvat liekit polttavat sinua, kipu ei koskaan katoa.</t>
  </si>
  <si>
    <t>This Pokémon was born from sweet-smelling particles in the air. Its body is made of cream.</t>
  </si>
  <si>
    <t>Kuultuaan sen aavemaisen ulvonnan muut POKéMONit saavat kylmiä väreitä ja suuntaavat suoraan takaisin pesiinsä.</t>
  </si>
  <si>
    <t>They say that any patisserie visited by Milcery is guaranteed success and good fortune.</t>
  </si>
  <si>
    <t>Sen suusta purkautuva pistävänhajuinen liekki on peräisin sen kehossa palavista myrkkyistä.</t>
  </si>
  <si>
    <t>When it trusts a Trainer, it will treat them to berries it’s decorated with cream.</t>
  </si>
  <si>
    <t>HOUNDOOM-laumassa se, jonka sarvet ovat terävästi taaksepäin, toimii johtajana. Nämä POKéMONit valitsevat johtajansa taistelemalla keskenään.</t>
  </si>
  <si>
    <t>When Alcremie is content, the cream it secretes from its hands becomes sweeter and richer.</t>
  </si>
  <si>
    <t>Five of them are troopers, and one is the brass. The brass’s orders are absolute.</t>
  </si>
  <si>
    <t>HOUNDOOM-laumassa se, jonka sarvet ovat terävästi taaksepäin, toimii johtajana. Ne valitsevat johtajansa taistelemalla keskenään.</t>
  </si>
  <si>
    <t>The six of them work together as one Pokémon. Teamwork is also their battle strategy, and they constantly change their formation as they fight.</t>
  </si>
  <si>
    <t>It feeds on seaweed, using its teeth to scrape it off rocks. Electric current flows from the tips of its spines.</t>
  </si>
  <si>
    <t>Kauan sitten ihmiset kuvittelivat sen aavemaisen ulvonnan olevan viikatemiehen kutsu.</t>
  </si>
  <si>
    <t>It stores electricity in each spine. Even if one gets broken off, it still continues to emit electricity for at least three hours.</t>
  </si>
  <si>
    <t>It spits out thread imbued with a frigid sort of energy and uses it to tie its body to branches, disguising itself as an icicle while it sleeps.</t>
  </si>
  <si>
    <t>It eats snow that piles up on the ground. The more snow it eats, the bigger and more impressive the spikes on its back grow.</t>
  </si>
  <si>
    <t>Sen suuttuessa hengittämät liekit sisältävät myrkkyjä. Jos ne aiheuttavat palovamman, se sattuu ikuisesti.</t>
  </si>
  <si>
    <t>Icy scales fall from its wings like snow as it flies over fields and mountains. The temperature of its wings is less than −290 degrees Fahrenheit.</t>
  </si>
  <si>
    <t>It shows no mercy to any who desecrate fields and mountains. It will fly around on its icy wings, causing a blizzard to chase offenders away.</t>
  </si>
  <si>
    <t>Kuultuaan sen aavemaisen ulvonnan muut Pokémonit saavat kylmiä väreitä ja suuntaavat suoraan takaisin pesiinsä.</t>
  </si>
  <si>
    <t>It stands in grasslands, watching the sun’s descent from zenith to horizon. This Pokémon has a talent for delivering dynamic kicks.</t>
  </si>
  <si>
    <t>Once a year, on a specific date and at a specific time, they gather out of nowhere and form up in a circle.</t>
  </si>
  <si>
    <t>It drifted in on the flow of ocean waters from a frigid place. It keeps its head iced constantly to make sure it stays nice and cold.</t>
  </si>
  <si>
    <t>This Pokémon keeps its heat-sensitive head cool with ice. It fishes for its food, dangling its single hair into the sea to lure in prey.</t>
  </si>
  <si>
    <t>It uses the horns on its head to sense the emotions of others. Males will act as valets for those they serve, looking after their every need.</t>
  </si>
  <si>
    <t>Through its horns, it can pick up on the emotions of creatures around it. Positive emotions are the source of its strength.</t>
  </si>
  <si>
    <t>As it eats the seeds stored up in its pocket-like pouches, this Pokémon is not just satisfying its constant hunger. It’s also generating electricity.</t>
  </si>
  <si>
    <t>It carries electrically roasted seeds with it as if they’re precious treasures. No matter how much it eats, it always gets hungry again in short order.</t>
  </si>
  <si>
    <t>Houndoom-laumassa se Pokémon, jonka sarvet ovat terävästi taaksepäin, toimii johtajana. Nämä Pokémonit valitsevat johtajansa taistelemalla keskenään.</t>
  </si>
  <si>
    <t>It digs up the ground with its trunk. It’s also very strong, being able to carry loads of over five tons without any problem at all.</t>
  </si>
  <si>
    <t>If a job requires serious strength, this Pokémon will excel at it. Its copper body tarnishes in the rain, turning a vibrant green color.</t>
  </si>
  <si>
    <t>Ne sylkevät myrkkyyn sekoitettuja liekkejä vihollistensa loppuun saattamiseksi. Ne jakavat saaliinsa tasan laumansa jäsenten kesken.</t>
  </si>
  <si>
    <t>They came over from another region long ago and worked together with humans. Their green skin is resistant to water.</t>
  </si>
  <si>
    <t>Sen aavemaisen ulvonnan perusteella tunnistettavissa olevaa eläintä pidettiin kauan sitten synkkänä viikatemiehenä ja pelkäsivät sitä.</t>
  </si>
  <si>
    <t>Kingdra</t>
  </si>
  <si>
    <t>These Pokémon live in herds. Their trunks have incredible grip strength, strong enough to crush giant rocks into powder.</t>
  </si>
  <si>
    <t>Sanotaan, että se yleensä piiloutuu vedenalaisiin luoliin. Se voi luoda porealtaita haukottelemalla.</t>
  </si>
  <si>
    <t>In ancient times, it was unbeatable thanks to its powerful lower body, but it went extinct anyway after it depleted all its plant-based food sources.</t>
  </si>
  <si>
    <t>https://pokeapi.co/api/v2/pokemon-species/180/</t>
  </si>
  <si>
    <t>Se nukkuu syvällä merenpohjassa kerätäkseen energiaansa. Sen sanotaan aiheuttavan tornadoja herätessään.</t>
  </si>
  <si>
    <t>The powerful muscles in its tail generate its electricity. Compared to its lower body, its upper half is entirely too small.</t>
  </si>
  <si>
    <t>Se varastoi energiaa nukkumalla vedenalaisissa syvyyksissä, joissa mikään muu elämänmuoto ei voi selviytyä.</t>
  </si>
  <si>
    <t>The shaking of its freezing upper half is what generates its electricity. It has a hard time walking around.</t>
  </si>
  <si>
    <t>KINGDRA elää äärimmäisissä meren syvyyksissä, jotka ovat muuten asumattomia. On pitkään uskottu, että tämän POKéMONin haukottelu luo spiraalimaisia ​​merivirtoja.</t>
  </si>
  <si>
    <t>This Pokémon lived on prehistoric seashores and was able to preserve food with the ice on its body. It went extinct because it moved so slowly.</t>
  </si>
  <si>
    <t>KINGDRA nukkuu merenpohjassa, missä se muuten olisi eloton. Myrskyn saapuessa POKéMONien sanotaan heräävän ja vaeltelevan etsimässä saalista.</t>
  </si>
  <si>
    <t>Powerful legs and jaws made it the apex predator of its time. Its own overhunting of its prey was what drove it to extinction.</t>
  </si>
  <si>
    <t>Its mighty legs are capable of running at speeds exceeding 40 mph, but this Pokémon can’t breathe unless it’s underwater.</t>
  </si>
  <si>
    <t>Se nukkuu hiljaa syvällä merenpohjassa. Pintaan noustessaan se luo valtavan pyörteen, joka voi nielaista jopa laivat.</t>
  </si>
  <si>
    <t>Though it’s able to capture prey by freezing its surroundings, it has trouble eating the prey afterward because its mouth is on top of its head.</t>
  </si>
  <si>
    <t>The skin on its face is impervious to attack, but breathing difficulties made this Pokémon go extinct anyway.</t>
  </si>
  <si>
    <t>Its body resembles polished metal, and it’s both lightweight and strong. The only drawback is that it rusts easily.</t>
  </si>
  <si>
    <t>Se elää merenpohjan luolissa ja luo valtavia pyörteitä joka kerta liikkuessaan.</t>
  </si>
  <si>
    <t>The special metal that composes its body is very light, so this Pokémon has considerable agility. It lives in caves because it dislikes the rain.</t>
  </si>
  <si>
    <t>After being reborn as a ghost Pokémon, Dreepy wanders the areas it used to inhabit back when it was alive in prehistoric seas.</t>
  </si>
  <si>
    <t>If this weak Pokémon is by itself, a mere child could defeat it. But if Dreepy has friends to help it train, it can evolve and become much stronger.</t>
  </si>
  <si>
    <t>It’s capable of flying faster than 120 mph. It battles alongside Dreepy and dotes on them until they successfully evolve.</t>
  </si>
  <si>
    <t>Without a Dreepy to place on its head and care for, it gets so uneasy it’ll try to substitute any Pokémon it finds for the missing Dreepy.</t>
  </si>
  <si>
    <t>When it isn’t battling, it keeps Dreepy in the holes on its horns. Once a fight starts, it launches the Dreepy like supersonic missiles.</t>
  </si>
  <si>
    <t>Kingdra elää äärimmäisissä meren syvyyksissä, jotka ovat muuten asumattomia. On pitkään uskottu, että tämän Pokémonin haukottelu luo spiraalimaisia ​​merivirtoja.</t>
  </si>
  <si>
    <t>Apparently the Dreepy inside Dragapult’s horns eagerly look forward to being launched out at Mach speeds.</t>
  </si>
  <si>
    <t>Kingdra nukkuu merenpohjassa, missä se muuten olisi eloton. Myrskyn saapuessa Pokémonin sanotaan heräävän ja vaeltelevan etsimässä saalista.</t>
  </si>
  <si>
    <t>Known as a legendary hero, this Pokémon absorbs metal particles, transforming them into a weapon it uses to battle.</t>
  </si>
  <si>
    <t>Myrskyn saapuessa merelle tämä Pokémon näyttäytyy pinnalla. Kun Kingdra ja Dragonite kohtaavat, syttyy raivokas taistelu.</t>
  </si>
  <si>
    <t>This Pokémon has slumbered for many years. Some say it’s Zamazenta’s elder sister—others say the two Pokémon are rivals.</t>
  </si>
  <si>
    <t>Tämän Pokémonin pudottamat suomut kiiltävät niin loistavasti, että niitä on annettu lahjaksi kuninkaallisille.</t>
  </si>
  <si>
    <t>Phanpy</t>
  </si>
  <si>
    <t>Pitkänenä-Pokémon</t>
  </si>
  <si>
    <t>In times past, it worked together with a king of the people to save the Galar region. It absorbs metal that it then uses in battle.</t>
  </si>
  <si>
    <t>https://pokeapi.co/api/v2/pokemon-species/181/</t>
  </si>
  <si>
    <t>Se heiluttelee pitkää kuonoaan leikkiessään vapaasti, mutta koska se on niin vahva, se voi olla vaarallista.</t>
  </si>
  <si>
    <t>This Pokémon slept for aeons while in the form of a statue. It was asleep for so long, people forgot that it ever existed.</t>
  </si>
  <si>
    <t>The core on its chest absorbs energy emanating from the lands of the Galar region. This energy is what allows Eternatus to stay active.</t>
  </si>
  <si>
    <t>Kiintymyksen merkkinä se tömiskelee kuonollaan. Se on kuitenkin niin vahva, että se voi lennättää sinut lentoon.</t>
  </si>
  <si>
    <t>It was inside a meteorite that fell 20,000 years ago. There seems to be a connection between this Pokémon and the Dynamax phenomenon.</t>
  </si>
  <si>
    <t>Aavikon aamun tunteina se nousee maihin ja käyttää taitavasti kärsäänsä suihkussa.</t>
  </si>
  <si>
    <t>Kubfu trains hard to perfect its moves. The moves it masters will determine which form it takes when it evolves.</t>
  </si>
  <si>
    <t>If Kubfu pulls the long white hair on its head, its fighting spirit heightens and power wells up from the depths of its belly.</t>
  </si>
  <si>
    <t>Pesäänsä varten PHANPY kaivaa pystysuoran kuopan maahan joen reunaan. Se merkitsee pesänsä ympäristön rungollaan kertoakseen muille, että alue on vallattu.</t>
  </si>
  <si>
    <t>This form of Urshifu is a strong believer in the one-hit KO. Its strategy is to leap in close to foes and land a devastating blow with a hardened fist.</t>
  </si>
  <si>
    <t>PHANPY käyttää pitkää kuonoaan suihkutteluun. Kun muut kerääntyvät ympärille, he kastelevat toisensa perusteellisesti vedellä. Nämä POKéMONit voi nähdä kuivaamassa litimärkiä ruumiitaan veden reunalla.</t>
  </si>
  <si>
    <t>Inhabiting the mountains of a distant region, this Pokémon races across sheer cliffs, training its legs and refining its moves.</t>
  </si>
  <si>
    <t>Within dense forests, this Pokémon lives in a pack with others of its kind. It’s incredibly aggressive, and the other Pokémon of the forest fear it.</t>
  </si>
  <si>
    <t>PHANPYn suuret korvat toimivat leveinä viuhkoina. Kuuman sään noustessa se viilentää korviaan ahkerasti läpsyttäen niitä. Jopa poikaset ovat erittäin vahvoja.</t>
  </si>
  <si>
    <t>Once the vines on Zarude’s body tear off, they become nutrients in the soil. This helps the plants of the forest grow.</t>
  </si>
  <si>
    <t>This Pokémon is a cluster of electrical energy. It’s said that removing the rings on Regieleki’s body will unleash the Pokémon’s latent power.</t>
  </si>
  <si>
    <t>Hellyydenosoituksena se tömistelee kuonollaan. Se on kuitenkin niin vahva, että se voi lennättää sinut ilmaan.</t>
  </si>
  <si>
    <t>Its entire body is made up of a single organ that generates electrical energy. Regieleki is capable of creating all Galar’s electricity.</t>
  </si>
  <si>
    <t>An academic theory proposes that Regidrago’s arms were once the head of an ancient dragon Pokémon. The theory remains unproven.</t>
  </si>
  <si>
    <t>Its body is composed of crystallized dragon energy. Regidrago is said to have the powers of every dragon Pokémon.</t>
  </si>
  <si>
    <t>Se heiluttelee pitkää kuonoaan leikkisästi, mutta koska se on niin vahva, se voi olla vaarallista.</t>
  </si>
  <si>
    <t>Glastrier emits intense cold from its hooves. It’s also a belligerent Pokémon—anything it wants, it takes by force.</t>
  </si>
  <si>
    <t>Glastrier has tremendous physical strength, and the mask of ice covering its face is 100 times harder than diamond.</t>
  </si>
  <si>
    <t>Se on vahva kompaktista koostaan ​​huolimatta. Se voi helposti nostaa ja kantaa aikuisen ihmisen selässään.</t>
  </si>
  <si>
    <t>It probes its surroundings with all its senses save one—it doesn’t use its sense of sight. Spectrier’s kicks are said to separate soul from body.</t>
  </si>
  <si>
    <t>As it dashes through the night, Spectrier absorbs the life-force of sleeping creatures. It craves silence and solitude.</t>
  </si>
  <si>
    <t>Calyrex is a merciful Pokémon, capable of providing healing and blessings. It reigned over the Galar region in times of yore.</t>
  </si>
  <si>
    <t>Calyrex is known in legend as a king that ruled over Galar in ancient times. It has the power to cause hearts to mend and plants to spring forth.</t>
  </si>
  <si>
    <t>The black orbs shine with an uncanny light when the Pokémon is erecting invisible barriers. The fur shed from its beard retains heat well and is a highly useful material for winter clothing.</t>
  </si>
  <si>
    <t>A violent creature that fells towering trees with its crude axes and shields itself with hard stone. If one should chance upon this Pokémon in the wilds, one's only recourse is to flee.</t>
  </si>
  <si>
    <t>I believe it was Hisui's swampy terrain that gave Ursaluna its burly physique and newfound capacity to manipulate peat at will.</t>
  </si>
  <si>
    <t>Clads itself in the souls of comrades that perished before fulfilling their goals of journeying upstream. No other species throughout all Hisui's rivers is Basculegion's equal.</t>
  </si>
  <si>
    <t>Because of Sneasler's virulent poison and daunting physical prowess, no other species could hope to best it on the frozen highlands. Preferring solitude, this species does not form packs.</t>
  </si>
  <si>
    <t>Its lancelike spikes and savage temperament have earned it the nickname ”sea fiend.” It slurps up poison to nourish itself.</t>
  </si>
  <si>
    <t>When it flies to this land from across the sea, the bitter winter comes to an end. According to legend, this Pokémon's love gives rise to the budding of fresh life across Hisui.</t>
  </si>
  <si>
    <t>Its fluffy fur is similar in composition to plants. This Pokémon frequently washes its face to keep it from drying out.</t>
  </si>
  <si>
    <t>The sweet scent its body gives off mesmerizes those around it. The scent grows stronger when this Pokémon is in the sun.</t>
  </si>
  <si>
    <t>Floragato deftly wields the vine hidden beneath its long fur, slamming the hard flower bud against its opponents.</t>
  </si>
  <si>
    <t>The hardness of Floragato’s fur depends on the Pokémon’s mood. When Floragato is prepared to battle, its fur becomes pointed and needle sharp.</t>
  </si>
  <si>
    <t>This Pokémon uses the reflective fur lining its cape to camouflage the stem of its flower, creating the illusion that the flower is floating.</t>
  </si>
  <si>
    <t>With skillful misdirection, it rigs foes with pollen-packed flower bombs. Meowscarada sets off the bombs before its foes realize what’s going on.</t>
  </si>
  <si>
    <t>It lies on warm rocks and uses the heat absorbed by its square-shaped scales to create fire energy.</t>
  </si>
  <si>
    <t>Its flame sac is small, so energy is always leaking out. This energy is released from the dent atop Fuecoco’s head and flickers to and fro.</t>
  </si>
  <si>
    <t>https://pokeapi.co/api/v2/pokemon-species/182/</t>
  </si>
  <si>
    <t>The combination of Crocalor’s fire energy and overflowing vitality has caused an egg-shaped fireball to appear on the Pokémon’s head.</t>
  </si>
  <si>
    <t>The valve in Crocalor’s flame sac is closely connected to its vocal cords. This Pokémon utters a guttural cry as it spews flames every which way.</t>
  </si>
  <si>
    <t>Pesäänsä varten Phanpy kaivaa pystysuoran kuopan maahan joen reunaan. Se merkitsee pesänsä ympäristön rungollaan kertoakseen muille, että alue on vallattu.</t>
  </si>
  <si>
    <t>The fiery bird changes shape when Skeledirge sings. Rumor has it that the bird was born when the fireball on Skeledirge’s head gained a soul.</t>
  </si>
  <si>
    <t>Skeledirge’s gentle singing soothes the souls of all that hear it. It burns its enemies to a crisp with flames of over 5,400 degrees Fahrenheit.</t>
  </si>
  <si>
    <t>This Pokémon migrated to Paldea from distant lands long ago. The gel secreted by its feathers repels water and grime.</t>
  </si>
  <si>
    <t>Phanpy käyttää pitkää kuonoaan suihkutteluun. Kun muut kerääntyvät ympärille, he kastelevat toisensa perusteellisesti vedellä. Nämä Pokémonit voi nähdä kuivaamassa litimärkiä ruumiitaan veden reunalla.</t>
  </si>
  <si>
    <t>Its strong legs let it easily swim around in even fast-flowing rivers. It likes to keep things tidy and is prone to overthinking things.</t>
  </si>
  <si>
    <t>Donphan</t>
  </si>
  <si>
    <t>These Pokémon constantly run through shallow waters to train their legs, then compete with each other to see which of them kicks most gracefully.</t>
  </si>
  <si>
    <t>Panssari-Pokémon</t>
  </si>
  <si>
    <t>The hardworking Quaxwell observes people and Pokémon from various regions and incorporates their movements into its own dance routines.</t>
  </si>
  <si>
    <t>Sillä on terävät, kovat hampaat ja karu nahka. Sen VARUSTUS on niin vahva, että se voi romuttaa talon.</t>
  </si>
  <si>
    <t>A single kick from a Quaquaval can send a truck rolling. This Pokémon uses its powerful legs to perform striking dances from far-off lands.</t>
  </si>
  <si>
    <t>Dancing in ways that evoke far-away places, this Pokémon mesmerizes all that see it. Flourishes of its decorative water feathers slice into its foes.</t>
  </si>
  <si>
    <t>It searches for food all day. It possesses a keen sense of smell but doesn’t use it for anything other than foraging.</t>
  </si>
  <si>
    <t>Mitä pidemmät ja suuremmat sen syöksyhampaat ovat, sitä korkeammalle se sijoittuu laumassaan. Syöksyhampaiden kasvu kestää kauan.</t>
  </si>
  <si>
    <t>This Pokémon spurns all but the finest of foods. Its body gives off an herblike scent that bug Pokémon detest.</t>
  </si>
  <si>
    <t>Oinkologne is proud of its fine, glossy skin. It emits a concentrated scent from the tip of its tail.</t>
  </si>
  <si>
    <t>It entrances female Pokémon with the sweet, alluring scent that wafts from all over its body.</t>
  </si>
  <si>
    <t>Koska tämän POKéMONin iho on niin kestävä, tavallinen hyökkäys ei jätä siihen naarmuakaan.</t>
  </si>
  <si>
    <t>The ball of threads wrapped around its body is elastic enough to deflect the scythes of Scyther, this Pokémon’s natural enemy.</t>
  </si>
  <si>
    <t>The thread it secretes from its rear is as strong as wire. The secret behind the thread’s strength is the topic of ongoing research.</t>
  </si>
  <si>
    <t>DONPHANin lempihyökkäys on käpertyä palloksi ja sitten rynnätä vihollisen kimppuun vieriessä kovaa vauhtia. Kun tämä POKéMON alkaa pyöriä, se ei pysty pysähtymään kovin helposti.</t>
  </si>
  <si>
    <t>It clings to branches and ceilings using its threads and moves without a sound. It takes out its prey before the prey even notices it.</t>
  </si>
  <si>
    <t>Spidops covers its territory in tough, sticky threads to set up traps for intruders.</t>
  </si>
  <si>
    <t>It has its third set of legs folded up. When it’s in a tough spot, this Pokémon jumps over 30 feet using the strength of its legs.</t>
  </si>
  <si>
    <t>Jos DONPHAN tarttuisi kovalla ruumiillaan, jopa talo voisi tuhoutua. Massiivisen voimansa avulla POKéMON auttaa raivaamaan vuoristopolkuja tukkivia kivi- ja mutavyörymiä.</t>
  </si>
  <si>
    <t>It’s highly skilled at a fighting style in which it uses its jumping capabilities to dodge incoming attacks while also dealing damage to opponents.</t>
  </si>
  <si>
    <t>When it decides to fight all out, it stands on its previously folded legs to enter Showdown Mode. It neutralizes its enemies in short order.</t>
  </si>
  <si>
    <t>DONPHAN on niin vahva, että se voi helposti vetää kippiauton. Sen nahka on karkaistu kivikovaksi. Tavallinen hyökkäys ei jätä edes naarmua.</t>
  </si>
  <si>
    <t>It uses its normally folded third set of legs when in Showdown Mode. This places a huge burden on its body, so it can’t stay in this mode for long.</t>
  </si>
  <si>
    <t>It has underdeveloped electric sacs on its cheeks. These sacs can produce electricity only if Pawmi rubs them furiously with the pads on its forepaws.</t>
  </si>
  <si>
    <t>The pads of its paws are electricity-discharging organs. Pawmi fires electricity from its forepaws while standing unsteadily on its hind legs.</t>
  </si>
  <si>
    <t>When its group is attacked, Pawmo is the first to leap into battle, defeating enemies with a fighting technique that utilizes electric shocks.</t>
  </si>
  <si>
    <t>Pawmo uses a unique fighting technique in which it uses its forepaws to strike foes and zap them with electricity from its paw pads simultaneously.</t>
  </si>
  <si>
    <t>This Pokémon normally is slow to react, but once it enters battle, it will strike down its enemies with lightning-fast movements.</t>
  </si>
  <si>
    <t>Pawmot’s fluffy fur acts as a battery. It can store the same amount of electricity as an electric car.</t>
  </si>
  <si>
    <t>Exhibiting great teamwork, they use their incisors to cut pieces out of any material that might be useful for a nest, then make off with them.</t>
  </si>
  <si>
    <t>The pair sticks together no matter what. They split any food they find exactly in half and then eat it together.</t>
  </si>
  <si>
    <t>The two little ones just appeared one day. The group might be a family of related Pokémon, but nobody knows for sure.</t>
  </si>
  <si>
    <t>Se hyökkää käpertymällä ja sitten vierimällä vihollisen päälle. Se voi räjäyttää talon yhdellä iskulla.</t>
  </si>
  <si>
    <t>The larger pair protects the little ones during battles. When facing strong opponents, the whole group will join the fight.</t>
  </si>
  <si>
    <t>This Pokémon is smooth and moist to the touch. Yeast in Fidough’s breath induces fermentation in the Pokémon’s vicinity.</t>
  </si>
  <si>
    <t>The yeast in Fidough’s breath is useful for cooking, so this Pokémon has been protected by people since long ago.</t>
  </si>
  <si>
    <t>The pleasant aroma that emanates from this Pokémon’s body helps wheat grow, so Dachsbun has been treasured by farming villages.</t>
  </si>
  <si>
    <t>The surface of this Pokémon’s skin hardens when exposed to intense heat, and its body has an appetizing aroma.</t>
  </si>
  <si>
    <t>Sillä on terävät, kovat hampaat ja karhea nahka. Sen taktiikka on niin vahva, että se voi kaataa talon.</t>
  </si>
  <si>
    <t>It protects itself from enemies by emitting oil from the fruit on its head. This oil is bitter and astringent enough to make someone flinch.</t>
  </si>
  <si>
    <t>https://pokeapi.co/api/v2/pokemon-species/183/</t>
  </si>
  <si>
    <t>This Pokémon converts nutrients into oil, which it stores in the fruit on its head. It can easily go a whole week without eating or drinking.</t>
  </si>
  <si>
    <t>Dolliv shares its tasty, fresh-scented oil with others. This species has coexisted with humans since times long gone.</t>
  </si>
  <si>
    <t>It basks in the sun to its heart’s content until the fruits on its head ripen. After that, Dolliv departs from human settlements and goes on a journey.</t>
  </si>
  <si>
    <t>This calm Pokémon is very compassionate. It will share its delicious, nutrient-rich oil with weakened Pokémon.</t>
  </si>
  <si>
    <t>This Pokémon drives back enemies by launching its rich, aromatic oil at them with enough force to smash a boulder.</t>
  </si>
  <si>
    <t>Sillä on terävät, kovat hampaat ja karu nahka. Sen välineet ovat riittävän vahvat kaatamaan talon.</t>
  </si>
  <si>
    <t>These Pokémon prefer to live in cities. They form flocks based on the color of their feathers, and they fight over territory.</t>
  </si>
  <si>
    <t>Green-feathered flocks hold the most sway. When they’re out searching for food in the mornings and evenings, it gets very noisy.</t>
  </si>
  <si>
    <t>Donphanin lempihyökkäys on käpertyä palloksi ja sitten rynnätä vihollisen kimppuun vieriessä kovaa vauhtia. Kun se alkaa pyöriä, tämä Pokémon ei pysty pysähtymään kovin helposti.</t>
  </si>
  <si>
    <t>It was born in a layer of rock salt deep under the earth. This species was particularly treasured in the old days, as they would share precious salt.</t>
  </si>
  <si>
    <t>Jos Donphan tarttuisi kovalla ruumiillaan, jopa talo voisi tuhoutua. Massiivisen voimansa avulla Pokémon auttaa raivaamaan vuoristopolkuja tukkivia kivi- ja mutavyörymiä.</t>
  </si>
  <si>
    <t>Porygon2</t>
  </si>
  <si>
    <t>The ground scrapes its body as it travels, causing it to leave salt behind. Salt is constantly being created and replenished inside Nacli’s body.</t>
  </si>
  <si>
    <t>Tämä PORYGONin päivitetty versio on suunniteltu avaruustutkimukseen. Se ei kuitenkaan voi lentää.</t>
  </si>
  <si>
    <t>Jatkotutkimukset paransivat sen kykyjä. Joskus se saattaa suorittaa liikkeitä, joita ei ole ohjelmoitu.</t>
  </si>
  <si>
    <t>This Pokémon dry cures its prey by spraying salt over them. The curing process steals away the water in the prey’s body.</t>
  </si>
  <si>
    <t>Tämä ihmisen tekemä POKéMON on kehittynyt uusimman teknologian avulla. Sillä voi olla ohjelmoimattomia reaktioita.</t>
  </si>
  <si>
    <t>It compresses rock salt inside its body and shoots out hardened salt pellets with enough force to perforate an iron sheet.</t>
  </si>
  <si>
    <t>Ihmiset loivat PORYGON2:n tieteen voimalla. Keinotekoinen POKéMON on varustettu tekoälyllä, jonka avulla se pystyy oppimaan uusia eleitä ja tunteita itsenäisesti.</t>
  </si>
  <si>
    <t>Garganacl will rub its fingertips together and sprinkle injured Pokémon with salt. Even severe wounds will promptly heal afterward.</t>
  </si>
  <si>
    <t>Many Pokémon gather around Garganacl, hoping to lick at its mineral-rich salt.</t>
  </si>
  <si>
    <t>Ihmiset loivat sen tieteen voimalla. Sille on annettu tekoäly, jonka avulla se pystyy oppimaan uusia eleitä ja tunteita itsenäisesti.</t>
  </si>
  <si>
    <t>Burnt charcoal came to life and became a Pokémon. Possessing a fiery fighting spirit, Charcadet will battle even tough opponents.</t>
  </si>
  <si>
    <t>Lisätutkimukset paransivat sen kykyjä. Joskus se saattaa suorittaa liikkeitä, joita ei ole ohjelmoitu.</t>
  </si>
  <si>
    <t>Its firepower increases when it fights, reaching over 1,800 degrees Fahrenheit. It likes berries that are rich in fat.</t>
  </si>
  <si>
    <t>Tämä PORYGONin päivitetty versio on suunniteltu avaruustutkimukseen. Se ei kuitenkaan pysty edes lentämään.</t>
  </si>
  <si>
    <t>Armarouge evolved through the use of a set of armor that belonged to a distinguished warrior. This Pokémon is incredibly loyal.</t>
  </si>
  <si>
    <t>Planeettakehitysohjelmiston asentamisen myötä siitä tuli kyky toimia avaruudessa.</t>
  </si>
  <si>
    <t>This Pokémon clads itself in armor that has been fortified by psychic and fire energy, and it shoots blazing fireballs.</t>
  </si>
  <si>
    <t>Sitä päivitettiin mahdollistamaan muiden planeettojen tutkiminen, mutta se ei kuitenkaan täyttänyt odotuksia.</t>
  </si>
  <si>
    <t>The fiery blades on its arms burn fiercely with the lingering resentment of a sword wielder who fell before accomplishing their goal.</t>
  </si>
  <si>
    <t>An old set of armor steeped in grudges caused this Pokémon’s evolution. Ceruledge cuts its enemies to pieces without mercy.</t>
  </si>
  <si>
    <t>Tadbulb shakes its tail to generate electricity. If it senses danger, it will make its head blink on and off to alert its allies.</t>
  </si>
  <si>
    <t>It floats using the electricity stored in its body. When thunderclouds are around, Tadbulb will float higher off the ground.</t>
  </si>
  <si>
    <t>When this Pokémon expands and contracts its wobbly body, the belly-button dynamo in its stomach produces a huge amount of electricity.</t>
  </si>
  <si>
    <t>What appear to be eyeballs are actually organs for discharging the electricity generated by Bellibolt’s belly-button dynamo.</t>
  </si>
  <si>
    <t>When its wings catch the wind, the bones within produce electricity. This Pokémon dives into the ocean, catching prey by electrocuting them.</t>
  </si>
  <si>
    <t>These Pokémon make their nests on coastal cliffs. The nests have a strange, crackling texture, and they’re a popular delicacy.</t>
  </si>
  <si>
    <t>Kilowattrel inflates its throat sac to amplify its electricity. By riding the wind, this Pokémon can fly over 430 miles in a day.</t>
  </si>
  <si>
    <t>It uses its throat sac to store electricity generated by its wings. There’s hardly any oil in its feathers, so it is a poor swimmer.</t>
  </si>
  <si>
    <t>It always scowls in an attempt to make opponents take it seriously, but even crying children will burst into laughter when they see Maschiff’s face.</t>
  </si>
  <si>
    <t>Ihmiset loivat Porygon2:n tieteen voimalla. Keinotekoinen Pokémon on varustettu tekoälyllä, jonka avulla se pystyy oppimaan uusia eleitä ja tunteita itsenäisesti.</t>
  </si>
  <si>
    <t>Its well-developed jaw and fangs are strong enough to crunch through boulders, and its thick fat makes for an excellent defense.</t>
  </si>
  <si>
    <t>This Pokémon can store energy in its large dewlap. Mabosstiff unleashes this energy all at once to blow away enemies.</t>
  </si>
  <si>
    <t>Planeetankehitystä varten Porygon päivitettiin uusimmalla saatavilla olevalla teknologialla.</t>
  </si>
  <si>
    <t>Mabosstiff loves playing with children. Though usually gentle, it takes on an intimidating look when protecting its family.</t>
  </si>
  <si>
    <t>Though usually a mellow Pokémon, it will sink its sharp, poison-soaked front teeth into any that anger it, causing paralysis in the object of its ire.</t>
  </si>
  <si>
    <t>To keep enemies away from its territory, it paints markings around its nest using a poisonous liquid that has an acrid odor.</t>
  </si>
  <si>
    <t>The color of the poisonous saliva depends on what the Pokémon eats. Grafaiai covers its fingers in its saliva and draws patterns on trees in forests.</t>
  </si>
  <si>
    <t>Porygon päivitettiin uuteen versioon planeettojen kehittämistä varten. Mutta tuo unelma on edelleen toteutumatta.</t>
  </si>
  <si>
    <t>Each Grafaiai paints its own individual pattern, and it will paint that same pattern over and over again throughout its life.</t>
  </si>
  <si>
    <t>Siihen on asennettu tekoäly. Se oppii erilaisia ​​asioita aivan itse, mutta muistaa jopa asioita, joita sen ei tarvitse tietää.</t>
  </si>
  <si>
    <t>A soul unable to move on to the afterlife was blown around by the wind until it got tangled up with dried grass and became a Pokémon.</t>
  </si>
  <si>
    <t>Not even Bramblin knows where it is headed as it tumbles across the wilderness, blown by the wind. It loathes getting wet.</t>
  </si>
  <si>
    <t>Vaikka se ei kuole avaruuden tyhjiössä, se ei voi liikkua kovin hyvin painottomassa tilassa.</t>
  </si>
  <si>
    <t>It will open the branches of its head to envelop its prey. Once it absorbs all the life energy it needs, it expels the prey and discards it.</t>
  </si>
  <si>
    <t>https://pokeapi.co/api/v2/pokemon-species/184/</t>
  </si>
  <si>
    <t>Tämä on Porygon, jota on päivitetty erityistiedoilla. Porygon2 kehittää itseään oppimalla monista eri aiheista aivan itsenäisesti.</t>
  </si>
  <si>
    <t>Brambleghast wanders around arid regions. On rare occasions, mass outbreaks of these Pokémon will bury an entire town.</t>
  </si>
  <si>
    <t>Toedscool lives in muggy forests. The flaps that fall from its body are chewy and very delicious.</t>
  </si>
  <si>
    <t>Kun tekoäly otettiin käyttöön Porygon2:ssa, Pokémonit alkoivat käyttää outoa kieltä, jota vain muut Porygon2:n jäsenet ymmärsivät.</t>
  </si>
  <si>
    <t>Though it looks like Tentacool, Toedscool is a completely different species. Its legs may be thin, but it can run at a speed of 30 mph.</t>
  </si>
  <si>
    <t>These Pokémon gather into groups and form colonies deep within forests. They absolutely hate it when strangers approach.</t>
  </si>
  <si>
    <t>Outo esine sai tämän Pokémonin kehittymään. Vaikka se esittelee nyt monia uusia eleitä ja ilmeitä, sen biologia on edelleen tutkimaton.</t>
  </si>
  <si>
    <t>It coils its 10 tentacles around prey and sucks out their nutrients, causing the prey pain. The folds along the rim of its head are a popular delicacy.</t>
  </si>
  <si>
    <t>Stantler</t>
  </si>
  <si>
    <t>Isosarvi-Pokémon</t>
  </si>
  <si>
    <t>Klawf hangs upside-down from cliffs, waiting for prey. But Klawf can’t remain in this position for long because its blood rushes to its head.</t>
  </si>
  <si>
    <t>Kaarevat sarvet muuttavat hienovaraisesti ilman virtausta luoden oudon tilan, jossa todellisuus vääristyy.</t>
  </si>
  <si>
    <t>This Pokémon lives on sheer cliffs. It sidesteps opponents’ attacks, then lunges for their weak spots with its claws.</t>
  </si>
  <si>
    <t>Sen sarvia tuijottavat menettävät vähitellen aistiensa hallinnan eivätkä pysty seisomaan.</t>
  </si>
  <si>
    <t>The more sunlight this Pokémon bathes in, the more spicy chemicals are produced by its body, and thus the spicier its moves become.</t>
  </si>
  <si>
    <t>Traditional Paldean dishes can be extremely spicy because they include the shed front teeth of Capsakid among their ingredients.</t>
  </si>
  <si>
    <t>Pudonneista sarvista löytyvät pyöreät pallot voidaan jauhaa jauheeksi, joka auttaa unessa.</t>
  </si>
  <si>
    <t>The red head converts spicy chemicals into fire energy and blasts the surrounding area with a super spicy stream of flame.</t>
  </si>
  <si>
    <t>STANTLERin upeita sarvia myytiin korkeaan hintaan taideteoksina. Tämän seurauksena tätä POKéMONia metsästettiin sukupuuton partaalle niiden toimesta, jotka jahtasivat korvaamattomia sarvia.</t>
  </si>
  <si>
    <t>The green head has turned vicious due to the spicy chemicals stimulating its brain. Once it goes on a rampage, there is no stopping it.</t>
  </si>
  <si>
    <t>This Pokémon creates a mud ball by mixing sand and dirt with psychic energy. It treasures its mud ball more than its own life.</t>
  </si>
  <si>
    <t>It rolls its mud ball around while the energy it needs for evolution matures. Eventually the time comes for it to evolve.</t>
  </si>
  <si>
    <t>The body that supports the ball barely moves. Therefore, it is thought that the true body of this Pokémon is actually inside the ball.</t>
  </si>
  <si>
    <t>STANTLERin upeita sarvia myytiin aikoinaan korkeaan hintaan taideteoksina. Tämän seurauksena tätä POKéMONia metsästettiin sukupuuton partaalle.</t>
  </si>
  <si>
    <t>An infant sleeps inside the ball. Rabsca rolls the ball soothingly with its legs to ensure the infant sleeps comfortably.</t>
  </si>
  <si>
    <t>Flittle’s toes levitate about half an inch above the ground because of the psychic power emitted from the frills on the Pokémon’s belly.</t>
  </si>
  <si>
    <t>It spends its time running around wastelands. If anyone steals its beloved berries, it will chase them down and exact its revenge.</t>
  </si>
  <si>
    <t>It immobilizes opponents by bathing them in psychic power from its large eyes. Despite its appearance, it has a vicious temperament.</t>
  </si>
  <si>
    <t>Sen kaarevat sarvet muuttavat hienovaraisesti ilman virtausta luoden oudon tilan, jossa todellisuus vääristyy.</t>
  </si>
  <si>
    <t>It emits psychic power from the gaps between its multicolored frills and sprints at speeds greater than 120 mph.</t>
  </si>
  <si>
    <t>Sen sarvien tuijottaminen luo oudon tunteen, aivan kuin niiden keskustaan ​​vedettäisiin jotakin.</t>
  </si>
  <si>
    <t>It swings its handmade hammer around to protect itself, but the hammer is often stolen by Pokémon that eat metal.</t>
  </si>
  <si>
    <t>This Pokémon pounds iron scraps together to make a hammer. It will remake the hammer again and again until it’s satisfied with the result.</t>
  </si>
  <si>
    <t>This Pokémon will attack groups of Pawniard and Bisharp, gathering metal from them in order to create a large and sturdy hammer.</t>
  </si>
  <si>
    <t>These Pokémon make their homes in piles of scrap metal. They test the strength of each other’s hammers by smashing them together.</t>
  </si>
  <si>
    <t>This intelligent Pokémon has a very daring disposition. It knocks rocks into the sky with its hammer, aiming for flying Corviknight.</t>
  </si>
  <si>
    <t>The hammer tops 220 pounds, yet it gets swung around easily by Tinkaton as it steals whatever it pleases and carries its plunder back home.</t>
  </si>
  <si>
    <t>This Pokémon can pick up the scent of a Veluza just over 65 feet away and will hide itself in the sand.</t>
  </si>
  <si>
    <t>Though it looks like Diglett, Wiglett is an entirely different species. The resemblance seems to be a coincidental result of environmental adaptation.</t>
  </si>
  <si>
    <t>It has a vicious temperament, contrary to what its appearance may suggest. It wraps its long bodies around prey, then drags the prey into its den.</t>
  </si>
  <si>
    <t>A variety of fish Pokémon, Wugtrio was once considered to be a regional form of Dugtrio.</t>
  </si>
  <si>
    <t>It gathers things up in an apron made from shed feathers added to the Pokémon’s chest feathers, then drops those things from high places for fun.</t>
  </si>
  <si>
    <t>Bombirdier uses the apron on its chest to bundle up food, which it carries back to its nest. It enjoys dropping things that make loud noises.</t>
  </si>
  <si>
    <t>It likes playing with others of its kind using the water ring on its tail. It uses ultrasonic waves to sense the emotions of other living creatures.</t>
  </si>
  <si>
    <t>Its water ring is made from seawater mixed with a sticky fluid that Finizen secretes from its blowhole.</t>
  </si>
  <si>
    <t>This Pokémon changes its appearance if it hears its allies calling for help. Palafin will never show anybody its moment of transformation.</t>
  </si>
  <si>
    <t>https://pokeapi.co/api/v2/pokemon-species/185/</t>
  </si>
  <si>
    <t>Its physical capabilities are no different than a Finizen’s, but when its allies are in danger, it transforms and powers itself up.</t>
  </si>
  <si>
    <t>It is said that this Pokémon was born when an unknown poison Pokémon entered and inspirited an engine left at a scrap-processing factory.</t>
  </si>
  <si>
    <t>The steel section is Varoom’s actual body. This Pokémon clings to rocks and converts the minerals within into energy to fuel its activities.</t>
  </si>
  <si>
    <t>It creates a gas out of poison and minerals from rocks. It then detonates the gas in its cylinders—now numbering eight—to generate energy.</t>
  </si>
  <si>
    <t>Revavroom viciously threatens others with the sound of its exhaust. It sticks its tongue out from its cylindrical mouth and sprays toxic fluids.</t>
  </si>
  <si>
    <t>Apparently Cyclizar has been allowing people to ride on its back since ancient times. Depictions of this have been found in 10,000-year-old murals.</t>
  </si>
  <si>
    <t>Stantlerin upeita sarvia myytiin korkeaan hintaan taideteoksina. Tämän seurauksena tätä Pokémonia metsästettiin sukupuuton partaalle niiden toimesta, jotka jahtasivat korvaamattomia sarvia.</t>
  </si>
  <si>
    <t>It can sprint at over 70 mph while carrying a human. The rider’s body heat warms Cyclizar’s back and lifts the Pokémon’s spirit.</t>
  </si>
  <si>
    <t>When attacked, this Pokémon will wield the tendrils on its body like fists and pelt the opponent with a storm of punches.</t>
  </si>
  <si>
    <t>This Pokémon lives in arid deserts. It maintains its metal body by consuming iron from the soil.</t>
  </si>
  <si>
    <t>It absorbs nutrients from cave walls. The petals it wears are made of crystallized poison.</t>
  </si>
  <si>
    <t>Glimmet’s toxic mineral crystals look just like flower petals. This Pokémon scatters poisonous powder like pollen to protect itself.</t>
  </si>
  <si>
    <t>When this Pokémon detects danger, it will open up its crystalline petals and fire beams from its conical body.</t>
  </si>
  <si>
    <t>Sen oudonmuotoiset sarvet voivat lumota ne, jotka ne näkevät. Lääke, joka valmistetaan jauhamalla pudonneiden sarvien mustia palloja, on tehokas hoito unettomuuteen.</t>
  </si>
  <si>
    <t>Smeargle</t>
  </si>
  <si>
    <t>Maalari-Pokémon</t>
  </si>
  <si>
    <t>Glimmora’s petals are made of crystallized poison energy. It has recently become evident that these petals resemble Tera Jewels.</t>
  </si>
  <si>
    <t>Sen pyrstön päästä tihkuu erityistä nestettä. Se maalaa nesteen kaikkialle merkitäkseen reviiriään.</t>
  </si>
  <si>
    <t>It is said that a dog Pokémon that died in the wild without ever interacting with a human was reborn as this Pokémon.</t>
  </si>
  <si>
    <t>This friendly Pokémon doesn’t like being alone. Pay it even the slightest bit of attention, and it will follow you forever.</t>
  </si>
  <si>
    <t>Kun siitä tulee aikuinen, sillä on taipumus antaa tovereidensa jättää jalanjälkiä selkäänsä.</t>
  </si>
  <si>
    <t>Houndstone spends most of its time sleeping in graveyards. Among all the dog Pokémon, this one is most loyal to its master.</t>
  </si>
  <si>
    <t>A lovingly mourned Pokémon was reborn as Houndstone. It doesn’t like anyone touching the protuberance atop its head.</t>
  </si>
  <si>
    <t>Sen hännästä erittyvän salaperäisen nesteen väri on ennalta määrätty jokaiselle SMEARGLEL-jäljelle.</t>
  </si>
  <si>
    <t>This Pokémon apparently ties the base of its neck into a knot so that energy stored in its belly does not escape from its beak.</t>
  </si>
  <si>
    <t>SMEARGLE merkitsee reviirinsä rajat käyttämällä ruumiinnestettä, joka vuotaa sen hännänpäästä. Tämän POKéMONin jättämiä jälkiä on löydetty yli 5 000.</t>
  </si>
  <si>
    <t>Thanks to a behavior of theirs known as “synchronizing,” an entire flock of these Pokémon can attack simultaneously in perfect harmony.</t>
  </si>
  <si>
    <t>This species left the ocean and began living on land a very long time ago. It seems to be closely related to Wailmer.</t>
  </si>
  <si>
    <t>SMEARGLE merkitsee reviiriään nesteellä, joka vuotaa sen hännänpäästä. Tämän POKéMONin jättämiä jälkiä on löydetty noin 5 000.</t>
  </si>
  <si>
    <t>It lives in frigid regions in pods of five or so individuals. It loves the minerals found in snow and ice.</t>
  </si>
  <si>
    <t>This Pokémon wanders around snowy, icy areas. It protects its body with powerful muscles and a thick layer of fat under its skin.</t>
  </si>
  <si>
    <t>Ice energy builds up in the horn on its upper jaw, causing the horn to reach cryogenic temperatures that freeze its surroundings.</t>
  </si>
  <si>
    <t>When Veluza discards unnecessary flesh, its mind becomes honed and its psychic power increases. The spare flesh has a mild but delicious flavor.</t>
  </si>
  <si>
    <t>Veluza has excellent regenerative capabilities. It sheds spare flesh from its body to boost its agility, then charges at its prey.</t>
  </si>
  <si>
    <t>This Pokémon is a glutton, but it’s bad at getting food. It teams up with a Tatsugiri to catch prey.</t>
  </si>
  <si>
    <t>It treats Tatsugiri like its boss and follows it loyally. Though powerful, Dondozo is apparently not very smart.</t>
  </si>
  <si>
    <t>Se merkitsee reviiriään käyttämällä häntäänsä kuin sivellintä. Merkkejä on yli 5 000 erilaista.</t>
  </si>
  <si>
    <t>This is a small dragon Pokémon. It lives inside the mouth of Dondozo to protect itself from enemies on the outside.</t>
  </si>
  <si>
    <t>Tatsugiri is an extremely cunning Pokémon. It feigns weakness to lure in prey, then orders its partner to attack.</t>
  </si>
  <si>
    <t>When its anger rose beyond a critical point, this Pokémon gained power that is unfettered by the limits of its physical body.</t>
  </si>
  <si>
    <t>It imbues its fists with the power of the rage that it kept hidden in its heart. Opponents struck by these imbued fists will be shattered to their core.</t>
  </si>
  <si>
    <t>When attacked, this Pokémon will retaliate by sticking thick spines out from its body. It’s a risky move that puts everything on the line.</t>
  </si>
  <si>
    <t>It lives at the bottom of ponds and swamps. It will carry Wooper on its back and ferry them across water from one shore to the other.</t>
  </si>
  <si>
    <t>Now that the brain waves from the head and tail are synced up, the psychic power of this Pokémon is 10 times stronger than Girafarig’s.</t>
  </si>
  <si>
    <t>The hardened head from the tail protects the head of the main body as Farigiraf whips its long neck around to headbutt enemies.</t>
  </si>
  <si>
    <t>This Pokémon uses its hard tail to make its nest by boring holes into bedrock deep underground. The nest can reach lengths of over six miles.</t>
  </si>
  <si>
    <t>It drives enemies out of its nest by sucking in enough air to fill its long, narrow lungs, then releasing the air in an intense blast.</t>
  </si>
  <si>
    <t>https://pokeapi.co/api/v2/pokemon-species/186/</t>
  </si>
  <si>
    <t>Only a Bisharp that stands above all others in its vast army can evolve into Kingambit.</t>
  </si>
  <si>
    <t>Though it commands a massive army in battle, it’s not skilled at devising complex strategies. It just uses brute strength to keep pushing.</t>
  </si>
  <si>
    <t>Sightings of this Pokémon have occurred in recent years. The name Great Tusk was taken from a creature listed in a certain book.</t>
  </si>
  <si>
    <t>Smeargle merkitsee reviirinsä rajat käyttämällä ruumiinnestettä, joka vuotaa sen hännänpäästä. Tämän Pokémonin jättämiä jälkiä on löydetty yli 5 000.</t>
  </si>
  <si>
    <t>This creature resembles a mysterious Pokémon that, according to a paranormal magazine, has lived since ancient times.</t>
  </si>
  <si>
    <t>There has been only one reported sighting of this Pokémon. It resembles a mysterious creature depicted in an old expedition journal.</t>
  </si>
  <si>
    <t>It resembles a mysterious Pokémon described in a paranormal magazine as a Jigglypuff from one billion years ago.</t>
  </si>
  <si>
    <t>Kunkin Smearglen ainutlaatuiset luomukset maalataan sen pyrstöstä tihkuvalla nesteellä. Näin se merkitsee reviiriään.</t>
  </si>
  <si>
    <t>It is possible that the creature listed as Brute Bonnet in a certain book could actually be this Pokémon.</t>
  </si>
  <si>
    <t>Se piirtää symboleja kaikkialle merkiksi alueensa merkiksi. Kaupungeissa, joissa on paljon Smeargleja, seinät ovat täynnä graffiteja.</t>
  </si>
  <si>
    <t>It bears a slight resemblance to a Pokémon described in a dubious magazine as a cross between a dinosaur and a mushroom.</t>
  </si>
  <si>
    <t>This Pokémon has characteristics similar to those of Flutter Mane, a creature mentioned in a certain book.</t>
  </si>
  <si>
    <t>Smearglen hännän eritteiden värisävy muuttuu Pokémonin tunteiden muuttuessa.</t>
  </si>
  <si>
    <t>Se piirtää symboleja nesteellä, joka pursuaa sen hännän päästä. Symbolista riippuen Smearglen fanaatikot maksavat niistä maltaita.</t>
  </si>
  <si>
    <t>It has similar features to a ghostly pterosaur that was covered in a paranormal magazine, but the two have little else in common.</t>
  </si>
  <si>
    <t>Tyrogue</t>
  </si>
  <si>
    <t>Scuffle-pokémon</t>
  </si>
  <si>
    <t>This mysterious Pokémon has some similarities to a creature that an old book introduced as Slither Wing.</t>
  </si>
  <si>
    <t>Se on aina täynnä energiaa. Vahvistaakseen itseään se jatkaa taistelua, vaikka häviäisikin.</t>
  </si>
  <si>
    <t>This Pokémon somewhat resembles an ancient form of Volcarona that was introduced in a dubious magazine.</t>
  </si>
  <si>
    <t>Vaikka se on pieni, sitä ei voi sivuuttaa, koska se iskee mihin tahansa kätevään kohteeseen varoittamatta.</t>
  </si>
  <si>
    <t>No records exist of this Pokémon being caught. Data is lacking, but the Pokémon’s traits match up with a creature shown in an expedition journal.</t>
  </si>
  <si>
    <t>Se haastaa kenet tahansa parantaakseen taistelutaitojaan. Sillä on erittäin vahva kilpailuhenki.</t>
  </si>
  <si>
    <t>TYROGUE stressaantuu, jos se ei pääse harjoittelemaan joka päivä. Tätä POKéMONIA kasvattaessaan KOULUTTAJAN on otettava käyttöön ja ylläpidettävä erilaisia ​​harjoitusmenetelmiä.</t>
  </si>
  <si>
    <t>It slightly resembles a Magneton that lived for 10,000 years and was featured in an article in a paranormal magazine.</t>
  </si>
  <si>
    <t>This Pokémon closely resembles a scientific weapon that a paranormal magazine claimed was sent to this planet by aliens.</t>
  </si>
  <si>
    <t>TYROGUE stressaantuu, jos he eivät pääse harjoittelemaan joka päivä. Tätä POKéMONIA kasvatettaessa KOULUTTAJAN on laadittava säännöllinen harjoitusaikataulu.</t>
  </si>
  <si>
    <t>Sightings of this Pokémon have occurred in recent years. It resembles a mysterious object described in an old expedition journal.</t>
  </si>
  <si>
    <t>Its shape is similar to a robot featured in a paranormal magazine article. The robot was said to have been created by an ancient civilization.</t>
  </si>
  <si>
    <t>It resembles a mysterious object mentioned in an old book. There are only two reported sightings of this Pokémon.</t>
  </si>
  <si>
    <t>Se on kuuluisa taistelunhalustaan ​​ja hoitaa aina suurempien vihollisten aiheuttamia vammoja.</t>
  </si>
  <si>
    <t>It is very similar to a cyborg covered exclusively by a paranormal magazine. The cyborg was said to be the modified form of a certain athlete.</t>
  </si>
  <si>
    <t>This Pokémon shares many similarities with Iron Hands, an object mentioned in a certain expedition journal.</t>
  </si>
  <si>
    <t>It resembles a certain Pokémon introduced in a paranormal magazine, described as the offspring of a Hydreigon that fell in love with a robot.</t>
  </si>
  <si>
    <t>It’s possible that Iron Jugulis, an object described in an old book, may actually be this Pokémon.</t>
  </si>
  <si>
    <t>This Pokémon resembles an unknown object described in a paranormal magazine as a UFO sent to observe humanity.</t>
  </si>
  <si>
    <t>No records exist of this species being caught. Data is lacking, but the Pokémon’s traits match up with an object described in an old book.</t>
  </si>
  <si>
    <t>It has some similarities to a Pokémon introduced in a dubious magazine as a Tyranitar from one billion years into the future.</t>
  </si>
  <si>
    <t>Some of its notable features match those of an object named within a certain expedition journal as Iron Thorns.</t>
  </si>
  <si>
    <t>Frigibax absorbs heat through its dorsal fin and converts the heat into ice energy. The higher the temperature, the more energy Frigibax stores.</t>
  </si>
  <si>
    <t>This Pokémon lives in forests and craggy areas. Using the power of its dorsal fin, it cools the inside of its nest like a refrigerator.</t>
  </si>
  <si>
    <t>Arctibax freezes the air around it, protecting its face with an ice mask and turning its dorsal fin into a blade of ice.</t>
  </si>
  <si>
    <t>It attacks with the blade of its frozen dorsal fin by doing a front flip in the air. Arctibax’s strong back and legs allow it to pull off this technique.</t>
  </si>
  <si>
    <t>This Pokémon blasts cryogenic air out from its mouth. This air can instantly freeze even liquid-hot lava.</t>
  </si>
  <si>
    <t>Tyrogue stressaantuu, jos se ei pääse harjoittelemaan joka päivä. Tätä Pokémonia kasvattaessaan kouluttajan on otettava käyttöön ja ylläpidettävä erilaisia ​​harjoitusmenetelmiä.</t>
  </si>
  <si>
    <t>It launches itself into battle by flipping upside down and spewing frigid air from its mouth. It finishes opponents off with its dorsal blade.</t>
  </si>
  <si>
    <t>This Pokémon was born inside a treasure chest about 1,500 years ago. It sucks the life-force out of scoundrels who try to steal the treasure.</t>
  </si>
  <si>
    <t>It lives inside an old treasure chest. Sometimes it gets left in shop corners since no one realizes it’s actually a Pokémon.</t>
  </si>
  <si>
    <t>Hitmontop</t>
  </si>
  <si>
    <t>Käsilläseisonta-Pokémon</t>
  </si>
  <si>
    <t>Its body seems to be made up of 1,000 coins. This Pokémon gets along well with others and is quick to make friends with anybody.</t>
  </si>
  <si>
    <t>Jos sen pehmeät, elegantit ja tanssimaiset potkut lumoavat sinut, saatat saada kovaa potkua.</t>
  </si>
  <si>
    <t>https://pokeapi.co/api/v2/pokemon-species/187/</t>
  </si>
  <si>
    <t>It has a sturdy body made up of stacked coins. Gholdengo overwhelms its enemies by firing coin after coin at them in quick succession.</t>
  </si>
  <si>
    <t>Se antaa potkuja pyöriessään. Jos se pyörii suurella nopeudella, se voi porautua maahan.</t>
  </si>
  <si>
    <t>Tehtyään käsilläseisonnan vastustajan ajoituksen sekoittamiseksi, se esittelee hienoja potkuliikkeitään.</t>
  </si>
  <si>
    <t>The grudge of a person punished for writing the king’s evil deeds upon wooden tablets has clad itself in dead leaves to become a Pokémon.</t>
  </si>
  <si>
    <t>HITMONTOP pyörii päänsä päällä kovaa vauhtia antaen samalla potkuja. Tämä tekniikka on huomattava yhdistelmä sekä hyökkäystä että puolustusta samanaikaisesti. POKéMON liikkuu nopeammin pyörien kuin kävellen.</t>
  </si>
  <si>
    <t>It drains the life-force from vegetation, causing nearby forests to instantly wither and fields to turn barren.</t>
  </si>
  <si>
    <t>This Pokémon can control 100 tons of fallen snow. It plays around innocently by leaping in and out of avalanches it has caused.</t>
  </si>
  <si>
    <t>Sen tekniikka potkia samalla kun ne pyörivät, on huomattava yhdistelmä hyökkäystä ja puolustusta. HITMONTOPit liikkuvat nopeammin pyöriessään kuin kävellessään.</t>
  </si>
  <si>
    <t>The hatred of those who perished by the sword long ago has clad itself in snow and become a Pokémon.</t>
  </si>
  <si>
    <t>Se taistelee pyörien samalla kuin kärki. Keskipakoisvoima kymmenkertaistaa sen tuhovoiman.</t>
  </si>
  <si>
    <t>The fear poured into an ancient ritual vessel has clad itself in rocks and dirt to become a Pokémon.</t>
  </si>
  <si>
    <t>It slowly brings its exceedingly heavy head down upon the ground, splitting the earth open with huge fissures that run over 160 feet deep.</t>
  </si>
  <si>
    <t>It controls flames burning at over 5,400 degrees Fahrenheit. It casually swims through the sea of lava it creates by melting rock and sand.</t>
  </si>
  <si>
    <t>The envy accumulated within curved beads that sparked multiple conflicts has clad itself in fire and become a Pokémon.</t>
  </si>
  <si>
    <t>Jos sen pehmeät, tanssimaiset potkut lumoavat sinut, saatat saada siitä läheisemmän kokemuksen kuin haluaisit.</t>
  </si>
  <si>
    <t>It is possible that this is the creature listed as Roaring Moon in an expedition journal that still holds many mysteries.</t>
  </si>
  <si>
    <t>According to an article in a dubious magazine, this Pokémon has some connection to a phenomenon that occurs in a certain region.</t>
  </si>
  <si>
    <t>It has some similarities to a mad scientist’s invention covered in a paranormal magazine.</t>
  </si>
  <si>
    <t>It’s possible that this is the object listed as Iron Valiant in a certain expedition journal.</t>
  </si>
  <si>
    <t>This seems to be the Winged King mentioned in an old expedition journal. It was said to have split the land with its bare fists.</t>
  </si>
  <si>
    <t>This Pokémon resembles Cyclizar, but it is far burlier and more ferocious. Nothing is known about its ecology or other features.</t>
  </si>
  <si>
    <t>Much remains unknown about this creature. It resembles Cyclizar, but it is far more ruthless and powerful.</t>
  </si>
  <si>
    <t>Se taistelee pyöriessään kuin kärki. Keskipakoisvoima lisää sen tuhovoimaa kymmenellä.</t>
  </si>
  <si>
    <t>This seems to be the Iron Serpent mentioned in an old book. The Iron Serpent is said to have turned the land to ash with its lightning.</t>
  </si>
  <si>
    <t>This ferocious creature is shrouded in mystery. It's named after an aquatic monster mentioned in an old expedition journal.</t>
  </si>
  <si>
    <t>It resembles an illustration published in a paranormal magazine, said to be a depiction of a super-ancient Suicune.</t>
  </si>
  <si>
    <t>Many of its physical characteristics match those of a Virizion from the future that was covered in a paranormal magazine.</t>
  </si>
  <si>
    <t>According to the few eyewitness accounts that exist, it used its shining blades to julienne large trees and boulders.</t>
  </si>
  <si>
    <t>Dipplin is two creatures in one Pokémon. Its evolution was triggered by a special apple grown only in one place.</t>
  </si>
  <si>
    <t>Hitmontop pyörii päänsä päällä kovaa vauhtia antaen samalla potkuja. Tämä tekniikka on huomattava sekoitus sekä hyökkäystä että puolustusta samanaikaisesti. Pokémon liikkuu nopeammin pyörien kuin kävellen.</t>
  </si>
  <si>
    <t>https://pokeapi.co/api/v2/pokemon-species/188/</t>
  </si>
  <si>
    <t>The head sticking out belongs to the fore-wyrm, while the tail belongs to the core-wyrm. The two share one apple and help each other out.</t>
  </si>
  <si>
    <t>Supposedly, the regrets of a tea ceremony master who died before perfecting his craft lingered in some matcha and became a Pokémon.</t>
  </si>
  <si>
    <t>Poltchageist looks like a regional form of Sinistea, but it was recently discovered that the two Pokémon are entirely unrelated.</t>
  </si>
  <si>
    <t>It pretends to be tea, trying to fool people into drinking it so it can drain their life-force. Its ruse is generally unsuccessful.</t>
  </si>
  <si>
    <t>Tehtyään käsilläseisonnan vastustajan ajoituksen muuttamiseksi, se esittelee hienoja potkuliikkeitään.</t>
  </si>
  <si>
    <t>It prefers cool, dark places, such as the back of a shelf or the space beneath a home's floorboards. It wanders in search of prey after sunset.</t>
  </si>
  <si>
    <t>Smoochum</t>
  </si>
  <si>
    <t>Suukko Pokémon</t>
  </si>
  <si>
    <t>After all its muscles were stimulated by the toxic chain around its neck, Okidogi transformed and gained a powerful physique.</t>
  </si>
  <si>
    <t>Sen huulet ovat sen kehon herkimmät osat. Se tutkii asioita aina ensin huulillaan.</t>
  </si>
  <si>
    <t>Okidogi is a ruffian with a short temper. It can pulverize anything by swinging around the chain on its neck.</t>
  </si>
  <si>
    <t>The chain is made from toxins that enhance capabilities. It stimulated Munkidori's brain and caused the Pokémon's psychic powers to bloom.</t>
  </si>
  <si>
    <t>Se keinuttelee aina päätään hitaasti eteen- ja taaksepäin, ikään kuin yrittäisi suudella jotakuta.</t>
  </si>
  <si>
    <t>Munkidori keeps itself somewhere safe while it toys with its foes, using psychokinesis to induce intense dizziness.</t>
  </si>
  <si>
    <t>Fezandipiti owes its beautiful looks and lovely voice to the toxic stimulants emanating from the chain wrapped around its body.</t>
  </si>
  <si>
    <t>Fezandipiti beats its glossy wings to scatter pheromones that captivate people and Pokémon.</t>
  </si>
  <si>
    <t>Sen huulten herkkyys kehittyy nopeimmin. Se käyttää niitä yrittäessään tunnistaa tuntemattomia esineitä.</t>
  </si>
  <si>
    <t>This Pokémon's type changes based on which mask it's wearing. It confounds its enemies with nimble movements and kicks.</t>
  </si>
  <si>
    <t>This mischief-loving Pokémon is full of curiosity. It battles by drawing out the type-based energy contained within its masks.</t>
  </si>
  <si>
    <t>It gathers static electricity from its surroundings. The beams it launches when down on all fours are tremendously powerful.</t>
  </si>
  <si>
    <t>SMOOCHUM juoksee aktiivisesti ympäriinsä, mutta kaatuu myös melko usein. Aina kun tilaisuus koittaa, se etsii heijastustaan ​​varmistaakseen, etteivät sen kasvot ole likaantuneet.</t>
  </si>
  <si>
    <t>It digs holes on mountains, searching for food. It’s so durable that being caught in a cave-in won’t faze it.</t>
  </si>
  <si>
    <t>Seven syrpents live inside an apple made of syrup. The syrpent in the center is the commander.</t>
  </si>
  <si>
    <t>These capricious syrpents have banded together. On the rare occasion that their moods align, their true power is unleashed.</t>
  </si>
  <si>
    <t>There are scant few reports of this creature being sighted. One short video shows it rampaging and spouting pillars of flame.</t>
  </si>
  <si>
    <t>It resembles an eerie Pokémon once shown in a paranormal magazine. That Pokémon was said to be an Entei regenerated from a fossil.</t>
  </si>
  <si>
    <t>It's said to incinerate everything around it with lightning launched from its fur. Very little is known about this creature.</t>
  </si>
  <si>
    <t>Se juoksee aktiivisesti ympäriinsä, mutta kaatuu myös usein. Kaatuessaan se tarkistaa heijastustaan ​​järven pinnasta varmistaakseen, ettei sen pinta ole likaantunut.</t>
  </si>
  <si>
    <t>It bears resemblance to a Pokémon that became a hot topic for a short while after a paranormal magazine touted it as Raikou's ancestor.</t>
  </si>
  <si>
    <t>Se keinuttelee päätään hitaasti edestakaisin, ikään kuin yrittäisi suudella jotakuta.</t>
  </si>
  <si>
    <t>It resembles a Pokémon described in a dubious magazine as a Terrakion that had been modified by an evil organization.</t>
  </si>
  <si>
    <t>It was named after a mysterious object recorded in an old book. Its body seems to be metallic.</t>
  </si>
  <si>
    <t>Se testaa kaiken koskettamalla huulillaan, jotka muistavat, mistä se pitää ja mistä ei.</t>
  </si>
  <si>
    <t>It resembles a mysterious object introduced in a paranormal magazine as a cutting-edge weapon shaped like a Cobalion.</t>
  </si>
  <si>
    <t>There was supposedly an incident in which it launched shining blades to cut everything around it to pieces. Little else is known about it.</t>
  </si>
  <si>
    <t>Terapagos protects itself using its power to transform energy into hard crystals. This Pokémon is the source of the Terastal phenomenon.</t>
  </si>
  <si>
    <t>It’s thought that this Pokémon lived in ancient Paldea until it got caught in seismic shifts and went extinct.</t>
  </si>
  <si>
    <t>Sen huulet ovat sen kehon herkin osa. Se tutkii aina ensin huuliaan.</t>
  </si>
  <si>
    <t>It feeds others toxic mochi that draw out desires and capabilities. Those who eat the mochi fall under Pecharunt’s control, chained to its will.</t>
  </si>
  <si>
    <t>Its peach-shaped shell serves as storage for a potent poison. It makes poisonous mochi and serves them to people and Pokémon.</t>
  </si>
  <si>
    <t>https://pokeapi.co/api/v2/pokemon-species/189/</t>
  </si>
  <si>
    <t>Smoochum juoksee aktiivisesti ympäriinsä, mutta kaatuu myös melko usein. Aina kun tilaisuus koittaa, se etsii peilikuvaansa varmistaakseen, ettei sen kasvot ole likaantuneet.</t>
  </si>
  <si>
    <t>Kun se tutkii esineitä, se koskettaa niitä ensin huulillaan ennen kuin koskettaa niitä käsillään ja nuolee sitten ahkerasti kaiken lian huuliltaan.</t>
  </si>
  <si>
    <t>Smoochumin erittäin herkät aistimet pitävät huulet kosteina käyttämällä niille päivittäin puunmahlaa.</t>
  </si>
  <si>
    <t>Jos sen kasvot likaantuvat vähänkään, Smoochum kylpee välittömästi. Mutta jos sen ruumis likaantuu, Smoochum ei oikein näytä välittävän.</t>
  </si>
  <si>
    <t>Tämä on hyvin utelias Pokémon. Smoochum päättää, mistä se pitää ja mistä ei, koskettamalla esineitä huulillaan.</t>
  </si>
  <si>
    <t>Elekid</t>
  </si>
  <si>
    <t>Se pyörittää käsivarsiaan tuottaakseen sähköä, mutta väsyy helposti, joten se latautuu vain vähän.</t>
  </si>
  <si>
    <t>Tämä POKéMON pelaa iloisesti jopa rajuimmassa myrskyssä, jos ukkonen jylisee taivaalla.</t>
  </si>
  <si>
    <t>Se rakastaa rajua ukkosta. Sen sarvien välinen tila välkkyy sinertävän valkoisena, kun se latautuu energialla.</t>
  </si>
  <si>
    <t>ELEKID varastoi sähköä kehoonsa. Jos se koskettaa metallia ja vahingossa purkaa kaiken kertyneen sähkövarauksensa, tämä POKéMON alkaa heilutella käsiään ympyrää latautuakseen.</t>
  </si>
  <si>
    <t>Jos se koskettaa metallia ja purkaa kehoonsa varastoiman sähkön, ELEKID alkaa heilutella käsiään ympyrää latautuakseen.</t>
  </si>
  <si>
    <t>Se tuottaa sähköä pyörittämällä käsivarsiaan. Se ei kuitenkaan pysty varastoimaan tuottamaansa energiaa.</t>
  </si>
  <si>
    <t>Heikko sähkövirta kulkee sen sarvien välissä. Käden työntäminen sinne sähköiskuttaa varomatonta.</t>
  </si>
  <si>
    <t>Se pyörittää käsivarsiaan sähkön tuottamiseksi, mutta väsyy helposti, joten se latautuu vain vähän.</t>
  </si>
  <si>
    <t>Tämä Pokémon leikkii iloisesti jopa ankarimmassa myrskyssä, jos ukkonen jylisee taivaalla.</t>
  </si>
  <si>
    <t>https://pokeapi.co/api/v2/pokemon-species/190/</t>
  </si>
  <si>
    <t>Käsien pyörittäminen sähkön tuottamiseksi saa sen sarvien välisen alueen hohtamaan vaaleansinisenä.</t>
  </si>
  <si>
    <t>Elekid varastoi sähköä kehoonsa. Jos se koskettaa metallia ja vahingossa purkaa kaiken kertyneen sähkövarauksensa, tämä Pokémon alkaa heilutella käsiään ympyrää latautuakseen.</t>
  </si>
  <si>
    <t>Kun se on talossa, pistorasiat toimivat sen tuttipulloina. Se imee sähköä.</t>
  </si>
  <si>
    <t>Tämä Pokémon taistelee jatkuvasti Togedemarua vastaan, joka yrittää varastaa sen sähkön. Ottelu on melko tasainen.</t>
  </si>
  <si>
    <t>Kun Elekid kuulee ukkosen jyrinän, sen mieliala paranee. Äänen tallentamisesta ja sen soittamisesta voi olla hyötyä, kun Elekid on alakuloinen.</t>
  </si>
  <si>
    <t>Kun sen sarvet loistavat sinertävän valkoisina, se on merkki siitä, että se on täysin latautunut. Saat järkyttävän tärinän, jos kosket sitä!</t>
  </si>
  <si>
    <t>Myrskyn lähestyessä tämä Pokémon levottomaksi muuttuu. Kuultuaan ukkosen jylinän Elekidistä tulee täysi riehakas.</t>
  </si>
  <si>
    <t>Se ei ole vielä hyvä varastoimaan sähköä. Tämä Pokémon hiipii ihmisten koteihin etsien pistorasioita, joista syödä sähköä.</t>
  </si>
  <si>
    <t>Ne tuottavat sähköä pyörittämällä käsiään. Jos ukkosmyrskyn aikana kuulee erämaassa lasten eloisia ääniä, kuulee itse asiassa Elekidin ääniä.</t>
  </si>
  <si>
    <t>Magby</t>
  </si>
  <si>
    <t>Elävä hiili-Pokémon</t>
  </si>
  <si>
    <t>Joka kerta sisään- ja uloshengittäessään sen suusta ja sieraimista valuu kuumia hiiliä.</t>
  </si>
  <si>
    <t>Sitä tavataan tulivuoren kraattereissa. Sen ruumiinlämpötila on yli 1100 astetta, joten älä aliarvioi sitä.</t>
  </si>
  <si>
    <t>Se sylkee luonnostaan ​​1100-asteisen liekin. Sanotaan, että kun niitä ilmestyy paljon, se enteilee tulivuorenpurkausta.</t>
  </si>
  <si>
    <t>MAGBY:n terveydentila määritetään tarkkailemalla sen hengittämää tulta. Jos POKéMON syöksee suustaan ​​keltaisia ​​liekkejä, se on hyvässä kunnossa. Kun se on väsynyt, liekkeihin sekoittuu mustaa savua.</t>
  </si>
  <si>
    <t>https://pokeapi.co/api/v2/pokemon-species/191/</t>
  </si>
  <si>
    <t>Jos MAGBY syöksee suustaan ​​keltaisia ​​liekkejä, se on hyvässä kunnossa. Kun se on väsynyt, liekkeihin sekoittuu mustaa savua.</t>
  </si>
  <si>
    <t>Sitä tavataan tulivuoren kraattereissa. Sen ruumiinlämpö ylittää 450 celsiusastetta, joten älä aliarvioi sitä.</t>
  </si>
  <si>
    <t>Sen ruumiinlämpö on noin 500 celsiusastetta. Se on terve, jos se hengittää keltaisia ​​liekkejä.</t>
  </si>
  <si>
    <t>Sen magmamainen veri kiertää koko kehossa. Sen ruumiinlämpö voi nousta yli 500 celsiusasteen.</t>
  </si>
  <si>
    <t>Sitä tavataan tulivuoren kraattereissa. Sen ruumiinlämpö on yli 450 celsiusastetta, joten älä aliarvioi sitä.</t>
  </si>
  <si>
    <t>Se on pieni, mutta sen ruumiinlämpö on yli 500 celsiusastetta. Hiillos pääsee sen suusta ja nenästä hengittäessä.</t>
  </si>
  <si>
    <t>Se on pieni, mutta sen ruumiinlämpö on yli 500 celsiusastetta. Hiillos pääsee sen suusta ja sieraimesta hengittäessä.</t>
  </si>
  <si>
    <t>https://pokeapi.co/api/v2/pokemon-species/192/</t>
  </si>
  <si>
    <t>Sen magmamainen veri kiertää koko kehossa. Sen ruumiinlämpö voi nousta yli 500 celsiusasteeseen.</t>
  </si>
  <si>
    <t>Magbyn terveydentila määritetään tarkkailemalla sen hengittämää tulta. Jos Pokémon syöksee suustaan ​​keltaisia ​​liekkejä, se on hyvässä kunnossa. Kun se on väsynyt, liekkeihin sekoittuu mustaa savua.</t>
  </si>
  <si>
    <t>Monet näistä Pokémoneista näkyvät alueilla, joilla on vulkaanista toimintaa. Ruokinta voi saada ne niin innostumaan, että ne puhaltavat 1 100 Fahrenheit-asteen liekkejä.</t>
  </si>
  <si>
    <t>Kuuluisa savenvalaja asuu Magbyn kanssa. Ilmeisesti sen pehmeät liekit tuottavat hienoja teoksia.</t>
  </si>
  <si>
    <t>Kun sen nenästä tippuu liekkejä, se tarkoittaa, että sillä on flunssa. Anna sen levätä mukavasti magmassa.</t>
  </si>
  <si>
    <t>Sen ruumiinlämpö on aina noin 500 celsiusastetta. Jos Magby putoaa riittävän pieneen lampeen, koko lampi kuivuu.</t>
  </si>
  <si>
    <t>Tämä Pokémon on vielä pieni ja arka. Aina kun Magby innostuu tai yllättyy, sen suusta ja nenästä purkautuu liekkejä.</t>
  </si>
  <si>
    <t>Tämä Pokémon asuu tulivuorten lähellä. Päivän päätteeksi Magby nauttii magmasta leväten ja toipuen päivän väsymyksestä.</t>
  </si>
  <si>
    <t>Tämä Pokémon elää tulivuorialueilla. Jokaisella hengityksellä sen suusta ja nenästä sinkoutuu kipinöitä. Kun Magby on hyvässä kunnossa, sen liekit saavat keltaisen sävyn.</t>
  </si>
  <si>
    <t>Miltank</t>
  </si>
  <si>
    <t>Maitolehmä-Pokémon</t>
  </si>
  <si>
    <t>Sen maito on täynnä ravintoa, mikä tekee siitä parhaan juoman sairaille tai väsyneille.</t>
  </si>
  <si>
    <t>https://pokeapi.co/api/v2/pokemon-species/193/</t>
  </si>
  <si>
    <t>Jos se on juuri synnyttänyt, sen tuottama maito sisältää paljon enemmän ravintoaineita kuin tavallisesti.</t>
  </si>
  <si>
    <t>MILTANK-lehmän lypsämiseksi täytyy olla taito vetää sen utareita rytmikkäästi ylös ja alas.</t>
  </si>
  <si>
    <t>MILTANK tuottaa päivittäin yli viisi gallonaa maitoa. Sen makeasta maidosta nauttivat niin lapset kuin aikuisetkin. Ihmiset, jotka eivät voi juoda maitoa, tekevät siitä jogurttia ja syövät sitä.</t>
  </si>
  <si>
    <t>Se antaa yli viisi gallonaa maitoa päivittäin. Sen makeasta maidosta nauttivat niin lapset kuin aikuisetkin. Ihmiset, jotka eivät voi juoda maitoa, tekevät siitä jogurttia ja syövät sitä.</t>
  </si>
  <si>
    <t>Jos vauva on juuri synnyttänyt, sen tuottama maito sisältää paljon enemmän ravintoaineita kuin tavallisesti.</t>
  </si>
  <si>
    <t>Sanotaan, että MILTANKin maitoa juovista lapsista kasvaa reippaita ja terveitä aikuisia.</t>
  </si>
  <si>
    <t>Jos se on vauvojen lähellä, sen tuottama maito sisältää paljon enemmän ravintoaineita kuin tavallisesti.</t>
  </si>
  <si>
    <t>Sanotaan, että Miltankin maitoa juovista lapsista kasvaa reiluja ja terveitä aikuisia.</t>
  </si>
  <si>
    <t>https://pokeapi.co/api/v2/pokemon-species/194/</t>
  </si>
  <si>
    <t>Miltank antaa päivittäin yli viisi gallonaa maitoa. Sen makeasta maidosta nauttivat niin lapset kuin aikuisetkin. Ihmiset, jotka eivät voi juoda maitoa, tekevät siitä jogurttia ja syövät sitä.</t>
  </si>
  <si>
    <t>Sen maito on kaloripitoinen ja täynnä ravintoaineita. Siksi, jos juot sitä liikaa, sinulla voi olla Miltankin kaltainen vartalo.</t>
  </si>
  <si>
    <t>Useimmat ihmiset kasvattavat sitä maidon vuoksi, mutta se on melko sitkeä ja vahva, joten se soveltuu hyvin myös taisteluun.</t>
  </si>
  <si>
    <t>Se tuottaa yli viisi gallonaa maitoa päivässä. Mitä laadukkaampia laidunmaat ovat, sitä rikkaampaa ja maukkaampaa sen maito on.</t>
  </si>
  <si>
    <t>Sen maito on herkullista ja ravinteikasta. Jos kuitenkin juot sitä liikaa, se voi aiheuttaa vatsavaivoja, joten ole varovainen.</t>
  </si>
  <si>
    <t>Miltank tuottaa erittäin ravitsevaa maitoa, joten se on tukenut ihmisten ja muiden Pokémonien elämää muinaisista ajoista lähtien.</t>
  </si>
  <si>
    <t>Tätä Pokémonia täytyy lypsä joka päivä, tai muuten se sairastuu. Miltank-maidon maku vaihtelee vuodenaikojen mukaan.</t>
  </si>
  <si>
    <t>Blissey</t>
  </si>
  <si>
    <t>Jokainen, joka ottaa edes yhden palan BLISSEYn munakoisoa, on poikkeuksetta huolehtivainen ja miellyttävä kaikille.</t>
  </si>
  <si>
    <t>Sillä on hyvin myötätuntoinen ja intohimoinen luonne. Jos se näkee sairaan POKéMONin, se hoitaa tämän takaisin terveeksi.</t>
  </si>
  <si>
    <t>Yhden BLISSEYn tarjoamien herkullisten munien puraiseminen saa kaikki ympärillä olevat hymyilemään ilosta.</t>
  </si>
  <si>
    <t>BLISSEY aistii surun pörröisellä turkillaan. Jos se havaitsee niin, tämä POKéMON kiiruhtaa surullisen ihmisen luokse, olipa tämä kuinka kaukana tahansa, jakamaan onnellisuuden munan, joka tuo hymyn kenen tahansa kasvoille.</t>
  </si>
  <si>
    <t>Jos se aistii surua pörröisellä turkillaan, BLISSEY kiiruhtaa surevan ihmisen luokse, olipa tämä kuinka kaukana tahansa, jakamaan onnellisuuden munan, joka tuo hymyn kenen tahansa kasvoille.</t>
  </si>
  <si>
    <t>Sillä on hyvin myötätuntoinen luonne. Jos se näkee sairaan POKéMONin, se hoitaa tämän takaisin terveeksi.</t>
  </si>
  <si>
    <t>Jokainen, joka ottaa edes yhden palan BLISSEYn munaa, muuttuu poikkeuksetta huolehtivaiseksi ja miellyttäväksi kaikkia kohtaan.</t>
  </si>
  <si>
    <t>Tämä hyväsydäminen Pokémon hoitaa sairaita Pokémoneja terveiksi. Se aistii surun tunteita.</t>
  </si>
  <si>
    <t>Se on Pokémon, joka tuo onnellisuutta. Sen munan syömisen sanotaan tekevän samanlaisen kaikille.</t>
  </si>
  <si>
    <t>Sen munimat munat ovat täynnä onnellisuutta. Jopa yhden suupalan syöminen tuo hymyn kenelle tahansa.</t>
  </si>
  <si>
    <t>https://pokeapi.co/api/v2/pokemon-species/195/</t>
  </si>
  <si>
    <t>Jokainen, joka maistaa BLISSEYn munaa kerrankin, muuttuu poikkeuksetta kaikkien huomioivaksi ja miellyttäväksi.</t>
  </si>
  <si>
    <t>Sillä on hyvin myötätuntoinen luonne. Jos se näkee sairaan Pokémonin, se hoitaa kärsivän takaisin terveeksi.</t>
  </si>
  <si>
    <t>Blissey aistii surun pörröisellä turkillaan. Jos se havaitsee niin, tämä Pokémon kiiruhtaa surullisen henkilön luokse, olipa tämä kuinka kaukana tahansa, jakamaan onnenmunan, joka tuo hymyn kenen tahansa kasvoille.</t>
  </si>
  <si>
    <t>Raivokkaimmatkin Pokémonit rauhoittuvat syödessään Blisseyn munan, jonka sanotaan olevan täynnä onnellisuutta.</t>
  </si>
  <si>
    <t>Sen pörröinen turkki toimii anturina, jonka avulla se pystyy lukemaan ihmisten ja Pokémonien tunteita.</t>
  </si>
  <si>
    <t>Niiden munat ovat niin herkullinen, että jotkut sanovat niiden syömisen tuovan onnea. Näistä munista saa markkinoiden korkeimmat hinnat.</t>
  </si>
  <si>
    <t>Tämä Pokémon on täynnä rakkautta. Vain Chansey, jolla on vahva side kouluttajaansa, voi kehittyä, niin sanotaan.</t>
  </si>
  <si>
    <t>Aina kun Blissey löytää heikentyneen Pokémonin, se jakaa munansa ja tarjoaa hoitoaan, kunnes toinen Pokémon on täysin parantunut.</t>
  </si>
  <si>
    <t>Blissey munii salaperäisiä munia, jotka ovat täynnä onnellisuutta. Sanotaan, että jokainen, joka syö Blissey-munan, alkaa käyttäytyä ystävällisesti kaikkia muita kohtaan.</t>
  </si>
  <si>
    <t>https://pokeapi.co/api/v2/pokemon-species/196/</t>
  </si>
  <si>
    <t>Hyväsydäminen Pokémon, joka huolehtii kaikista sairaista ihmisistä ja Pokémoneista, kunnes heidän terveytensä paranee. Sen munimat munat ovat herkullisia ja tuovat onnea niitä syöville.</t>
  </si>
  <si>
    <t>Raikou</t>
  </si>
  <si>
    <t>Ukkos-Pokémon</t>
  </si>
  <si>
    <t>Sen kantamat sadepilvet antavat sen ampua ukkosen salamoja mielensä mukaan. Sanotaan, että se laskeutui salamoinnin mukana.</t>
  </si>
  <si>
    <t>POKéMON, joka kiitää halki maan ja haukkuu ukkosen jylinää muistuttavaa huutoa.</t>
  </si>
  <si>
    <t>Tämä karkealaatuinen POKéMON varastoi energiaa kehoonsa ja pyyhkäisee sitten maan halki lähettäen sähköä.</t>
  </si>
  <si>
    <t>RAIKOU ilmentää salaman nopeutta. Tämän POKéMONin karjunnat lähettävät iskuaaltoja ilmaan ja ravistelevat maata aivan kuin salamat olisivat iskeneet.</t>
  </si>
  <si>
    <t>RAIKOU ilmentää salaman nopeutta. Sen jylinät lähettävät iskuaaltoja, jotka värähtelevät ilmassa ja maassa aivan kuin salamat iskeisivät maahan.</t>
  </si>
  <si>
    <t>Tämä POKéMON kiitää maan halki ja päästää samalla huudon, joka kuulostaa ukkosen jylinältä.</t>
  </si>
  <si>
    <t>Sen sanotaan pudonneen salaman mukana. Se voi ampua salamoja selässään olevista sadepilvistä.</t>
  </si>
  <si>
    <t>Pokémon, joka kiitää maan halki haukkuen ukkosen jylinää muistuttavaa huutoa.</t>
  </si>
  <si>
    <t>Tämä karkea Pokémon varastoi energiaa kehoonsa ja pyyhkäisee sitten maan halki ampuen sähköä.</t>
  </si>
  <si>
    <t>Raikou ilmentää salaman nopeutta. Tämän Pokémonin karjunnat lähettävät iskuaaltoja ilmaan ja ravistelevat maata aivan kuin salamat olisivat iskeneet alas.</t>
  </si>
  <si>
    <t>Entei</t>
  </si>
  <si>
    <t>Tulivuoret purkautuvat sen haukkuessa. Kykenemättä hillitsemään äärimmäistä voimaansa se juoksee suin päin ympäri maata.</t>
  </si>
  <si>
    <t>Pokémon, joka kiitää halki maan. Sanotaan, että sellainen syntyy joka kerta, kun uusi tulivuori ilmestyy.</t>
  </si>
  <si>
    <t>Tämä voimakas POKéMON kiitää maapallon ympäri ja syöksee liekkejä, jotka ovat kuumempia kuin tulivuoren magma.</t>
  </si>
  <si>
    <t>ENTEI ilmentää magman intohimoa. Tämän POKéMONin uskotaan syntyneen tulivuoren purkauksessa. Se lähettää massiivisia tulipurkauksia, jotka kuluttavat täysin kaiken, mihin ne koskevat.</t>
  </si>
  <si>
    <t>ENTEI ilmentää magman intohimoa. Sen uskotaan syntyneen tulivuorenpurkauksessa. Se räjäyttää tulta, joka kuluttaa kaiken, mihin se koskee.</t>
  </si>
  <si>
    <t>https://pokeapi.co/api/v2/pokemon-species/197/</t>
  </si>
  <si>
    <t>Sanotaan, että kun se jylisee, tulivuori purkautuu jossain päin maapalloa.</t>
  </si>
  <si>
    <t>Tulivuoret purkautuvat sen haukkuessa. Kykenemättä hillitsemään silkkaa voimaansa se kiitää suin päin ympäri maata.</t>
  </si>
  <si>
    <t>Pokémon, joka kilpailee halki maan. Sanotaan, että yksi syntyy joka kerta, kun uusi tulivuori ilmestyy.</t>
  </si>
  <si>
    <t>Entei ilmentää magman intohimoa. Tämän Pokémonin uskotaan syntyneen tulivuoren purkauksessa. Se lähettää massiivisia tulipurkauksia, jotka kuluttavat täysin kaiken, mihin se koskee.</t>
  </si>
  <si>
    <t>Suicune</t>
  </si>
  <si>
    <t>Aurora-Pokémon</t>
  </si>
  <si>
    <t>Sen sanotaan olevan pohjoistuulten jälleensyntyminen, ja se voi puhdistaa likaisen, samean veden välittömästi.</t>
  </si>
  <si>
    <t>Tämä POKéMON kiitää halki maan. Sanotaan, että pohjoistuulet jotenkin puhaltavat aina kun ne ilmestyvät.</t>
  </si>
  <si>
    <t>Tämä jumalainen POKéMON puhaltaa ympäri maailmaa etsien aina puhdasta lähdettään.</t>
  </si>
  <si>
    <t>SUICUNE ilmentää puhtaan vesilähteen myötätuntoa. Se virtaa maan halki sulavasti. Tällä POKéMONilla on kyky puhdistaa likaista vettä.</t>
  </si>
  <si>
    <t>SUICUNE ilmentää puhtaan vesilähteen myötätuntoa. Se virtaa maan halki liukuvan eleganssin lailla. Sillä on voima puhdistaa likainen vesi.</t>
  </si>
  <si>
    <t>Tämä POKéMON kiitää halki maan. Sanotaan, että pohjoistuulet puhaltavat jotenkin aina kun se ilmestyy.</t>
  </si>
  <si>
    <t>Se kiitää ympäri maailmaa puhdistaakseen saastunutta vettä. Se kiitää pois pohjoistuulen mukana.</t>
  </si>
  <si>
    <t>https://pokeapi.co/api/v2/pokemon-species/198/</t>
  </si>
  <si>
    <t>Sen sanotaan olevan pohjoistuulten ruumiillistuma, ja se voi puhdistaa likaisen, samean veden välittömästi.</t>
  </si>
  <si>
    <t>Tämä Pokémon kilpailee halki maan. Sanotaan, että pohjoistuulet puhaltavat jotenkin aina kun se ilmestyy.</t>
  </si>
  <si>
    <t>Suicune ilmentää puhtaan vesilähteen myötätuntoa. Se virtaa maan halki sulavasti. Tällä Pokémonilla on kyky puhdistaa likaista vettä.</t>
  </si>
  <si>
    <t>Larvitar</t>
  </si>
  <si>
    <t>Kivi-iho-Pokémon</t>
  </si>
  <si>
    <t>Se syö maata. Syötyään suuren vuoren se nukahtaa, jotta se voi kasvaa.</t>
  </si>
  <si>
    <t>Se syntyy syvällä maan alla. Se ei voi nousta esiin ennen kuin se on syönyt kokonaan ympäröivän maaperän.</t>
  </si>
  <si>
    <t>Syvällä maan alla syntynyt POKéMON koteloituu syötyään tarpeeksi multaa vuoren rakentamiseksi.</t>
  </si>
  <si>
    <t>LARVITAR syntyy syvällä maan alla. Päästäkseen pintaan tämän POKéMONin täytyy syödä tiensä maanpinnan läpi. Ennen kuin se tekee niin, LARVITAR ei voi nähdä vanhempiensa kasvoja.</t>
  </si>
  <si>
    <t>LAUKKU syntyy syvällä maan alla. Sen täytyy syöpyä tiensä läpi maanpinnan yläpuolelta nähdäkseen vanhempiensa kasvot.</t>
  </si>
  <si>
    <t>Maaperää syövä Pokémon. Syötyään suuren vuoren se menee nukkumaan, jotta se voi kasvaa.</t>
  </si>
  <si>
    <t>https://pokeapi.co/api/v2/pokemon-species/199/</t>
  </si>
  <si>
    <t>Syvällä maan alla syntynyt se nousee pinnalle ja koteloituu syötyään ympäröivän maaperän.</t>
  </si>
  <si>
    <t>Larvitar syntyy syvällä maan alla. Päästäkseen pintaan tämän Pokémonin täytyy syödä tiensä maanpinnan läpi. Ennen kuin se tekee niin, Larvitar ei voi nähdä vanhempiaan.</t>
  </si>
  <si>
    <t>Maan alla syntynyt se syö tiensä maan läpi pintaan, missä sen vanhemmat ovat. Se ei siedä siellä kohtaamaansa kirkasta valoa.</t>
  </si>
  <si>
    <t>Se kasvaa maasta löytämillään ravinteilla ja syö suunnilleen vuoren verran maata ennen kuin siitä tulee kotelo.</t>
  </si>
  <si>
    <t>Pupitar</t>
  </si>
  <si>
    <t>Kovakuorinen Pokémon</t>
  </si>
  <si>
    <t>Sen kuori on kova kuin kipsilevy, ja se on myös erittäin vahva. Sen SEISONTA voi kaataa vuoren.</t>
  </si>
  <si>
    <t>Vaikka se on suljettu kuoreensa, se voi liikkua vapaasti. Kova ja nopea, sillä on huomattava tuhovoima.</t>
  </si>
  <si>
    <t>Se ei pysy paikallaan, edes koteloaikanaan. Sillä on jo kädet ja jalat kiinteän kuoren alla.</t>
  </si>
  <si>
    <t>PUPITAR luo ruumiinsa sisään kaasua, jonka se puristaa kokoon ja purkaa voimakkaasti liikuttaakseen itseään kuin suihkukone. Runko on erittäin kestävä – se ei vaurioidu, vaikka se osuisi kiinteään teräkseen.</t>
  </si>
  <si>
    <t>PUPITAR luo ruumiinsa sisään kaasua, jota se purkaa puristuksen alaisena liikuttaakseen itseään kuin suihkukonetta. Sen ruumis kestää törmäyksen kiinteään teräkseen.</t>
  </si>
  <si>
    <t>https://pokeapi.co/api/v2/pokemon-species/200/</t>
  </si>
  <si>
    <t>Sen runko on kova kuin peruskallio. Päästämällä paineistettua kaasua se voi laukaista itsensä kuin raketti.</t>
  </si>
  <si>
    <t>Sen kuori on kova kuin kipsilevy, ja se on myös erittäin vahva. Sen selkäsauna voi kaataa vuoren.</t>
  </si>
  <si>
    <t>Tämä kotelo lentää villisti ympäriinsä päästämällä voimakkaasti ruumiinsa sisällä paineistettua kaasua.</t>
  </si>
  <si>
    <t>Pupitar luo ruumiinsa sisään kaasua, jonka se puristaa kokoon ja purkaa voimakkaasti liikuttaakseen itseään kuin suihkukone. Ruumis on erittäin kestävä – se välttää vaurioita, vaikka se osuisi kiinteään teräkseen.</t>
  </si>
  <si>
    <t>Tämä hankala Pokémon odottaa innolla kehitystään, joten se lievittää stressiään sinkoilemalla villisti ympäriinsä paineistetun kaasun avulla.</t>
  </si>
  <si>
    <t>Tämä vaarallinen kotelo rimpuilee ympäriinsä. Sen kuori on kova kuin peruskallio, ja sen sisällä on sen vähitellen muodostuva uusi ruumis.</t>
  </si>
  <si>
    <t>Se ei pysy paikallaan, edes koteloaikanaan. Sillä on jo kädet ja jalat kiinteän kuorensa alla.</t>
  </si>
  <si>
    <t>Tyranitar</t>
  </si>
  <si>
    <t>Sen kehoon ei voi kohdistua minkäänlaisia ​​hyökkäyksiä, joten se on erittäin innokas haastamaan vihollisia.</t>
  </si>
  <si>
    <t>Äärimmäisen vahva, se voi muuttaa maisemaa. Sillä on röyhkeä luonne, joka tekee siitä välinpitämättömän muista.</t>
  </si>
  <si>
    <t>Jo yhdessä mahtavassa kädessään sillä on voima saada maa järisemään ja vuoret murenemaan.</t>
  </si>
  <si>
    <t>TYRANITAR on niin ylivoimaisen voimakas, että se voi kaataa kokonaisen vuoren pesänsä rakentamiseksi. Tämä POKéMON vaeltelee vuorilla etsien uusia vastustajia taisteltavaksi.</t>
  </si>
  <si>
    <t>TYRANITAARI on niin ylivoimaisen voimakas, että se voi kaataa kokonaisen vuoren pesänsä rakentamiseksi. Se vaeltelee vuorilla etsien uusia vastustajia taisteltavaksi.</t>
  </si>
  <si>
    <t>Jos se riehuu, se kaataa vuoria ja hautaa jokia. Kartat on piirrettävä uudelleen jälkikäteen.</t>
  </si>
  <si>
    <t>https://pokeapi.co/api/v2/pokemon-species/201/</t>
  </si>
  <si>
    <t>Sen kävelyn aiheuttamat maanjäristykset murentavat jopa suuria vuoria ja muuttavat ympäröivää maastoa.</t>
  </si>
  <si>
    <t>Tyranitar on niin ylivoimaisen voimakas, että se voi kaataa kokonaisen vuoren pesäänsä varten. Tämä Pokémon vaeltaa vuorilla etsien uusia vastustajia taisteltavaksi.</t>
  </si>
  <si>
    <t>Se vaeltaa vuorilla etsien vastustajia taisteltavaksi. Jos se löytää vastustajan, joka ei ole sen arvoinen, Tyranitar jättää sen huomiotta ja vaeltaa eteenpäin.</t>
  </si>
  <si>
    <t>Tämä Pokémon on liikkuva katastrofi, joka murentaa vuoria ja tuhoaa taloja jälkeensä.</t>
  </si>
  <si>
    <t>Lugia</t>
  </si>
  <si>
    <t>Sukellus-Pokémon</t>
  </si>
  <si>
    <t>Sanotaan, että se viettää hiljaa aikansa syvällä meren pohjassa, koska sen voimat ovat liian voimakkaat.</t>
  </si>
  <si>
    <t>https://pokeapi.co/api/v2/pokemon-species/202/</t>
  </si>
  <si>
    <t>Sen sanotaan olevan merten vartija. Huhutaan, että se on nähty myrskyyönä.</t>
  </si>
  <si>
    <t>Sillä on uskomaton kyky tyynnyttää raivoavia myrskyjä. Sanotaan, että LUGIA ilmestyy myrskyjen alkaessa.</t>
  </si>
  <si>
    <t>LUGIAN siivet ovat tuhoisa voima – kevyt siipien räpyttely voi räjäyttää tavallisia taloja. Tämän seurauksena tämä POKéMON päättää asua piilossa syvällä meren alla.</t>
  </si>
  <si>
    <t>LUGIA on niin voimakas, että jo sen siipien kevyt räpyttely voi räjäyttää taloja. Siksi se päättää elää piilossa syvällä meren alla.</t>
  </si>
  <si>
    <t>Se nukkuu syvänmeren juoksuhaudassa. Jos se räpyttelee siipiään, sen sanotaan aiheuttavan 40 päivän myrskyn.</t>
  </si>
  <si>
    <t>Lugian siivet ovat tuhoisa voima – kevyt siipien räpyttely voi räjäyttää tavallisia taloja. Tämän seurauksena tämä Pokémon päättää elää piilossa syvällä meren alla.</t>
  </si>
  <si>
    <t>https://pokeapi.co/api/v2/pokemon-species/203/</t>
  </si>
  <si>
    <t>Ho-Oh</t>
  </si>
  <si>
    <t>Sateenkaari-Pokémon</t>
  </si>
  <si>
    <t>Legendojen mukaan tämä POKéMON lentää jatkuvasti maailman taivailla upeilla seitsemänvärisillä siivillään.</t>
  </si>
  <si>
    <t>Legendan mukaan sen ruumis hehkuu seitsemässä värissä. Sen taakse muodostuu sateenkaari, kun se lentää.</t>
  </si>
  <si>
    <t>Se paljastaa itsensä puhdassydämiselle kouluttajalle loihtimalla kirkkaan sateenkaaren väriset siipensä.</t>
  </si>
  <si>
    <t>HO-OH:n höyhenet hohtavat seitsemässä värissä riippuen siitä, mistä kulmasta valo osuu niihin. Näiden höyhenten sanotaan tuovan onnea kantajilleen. Tämän POKéMONin sanotaan asuvan sateenkaaren juurella.</t>
  </si>
  <si>
    <t>Sen höyhenten – jotka hohtavat seitsemässä värissä riippuen siitä, mistä kulmasta valo osuu niihin – uskotaan tuovan iloa. Sen sanotaan elävän sateenkaaren juurella.</t>
  </si>
  <si>
    <t>Sen höyhenet ovat seitsemänvärisiä. Sanotaan, että jokaiselle, joka näkee sen, luvataan ikuinen onni.</t>
  </si>
  <si>
    <t>Legendojen mukaan tämä Pokémon lentää jatkuvasti maailman taivailla upeilla, seitsemänvärisillä siivillään.</t>
  </si>
  <si>
    <t>Se paljastaa itsensä puhdassydämiselle kouluttajalle loihtimalla kirkkaat, sateenkaarenväriset siipensä.</t>
  </si>
  <si>
    <t>https://pokeapi.co/api/v2/pokemon-species/204/</t>
  </si>
  <si>
    <t>Ho-Ohin höyhenet hohtavat seitsemässä värissä riippuen siitä, mistä kulmasta valo osuu niihin. Näiden höyhenten sanotaan tuovan onnea kantajilleen. Tämän Pokémonin sanotaan asuvan sateenkaaren juurella.</t>
  </si>
  <si>
    <t>Celebi</t>
  </si>
  <si>
    <t>Aikamatka-Pokémon</t>
  </si>
  <si>
    <t>Tämä POKéMON vaeltaa ajassa. Ruoho ja puut kukoistavat metsissä, joissa se on esiintynyt.</t>
  </si>
  <si>
    <t>Kun CELEBI katoaa syvälle metsään, sen sanotaan jättävän jälkeensä tulevaisuudesta tuomansa munan.</t>
  </si>
  <si>
    <t>Metsän vartijana kunnioitettu CELEBI ilmestyy kaikkialle, missä on kauniita metsiä.</t>
  </si>
  <si>
    <t>Tämä POKéMON tuli tulevaisuudesta ajan ylityksen kautta. Uskotaan, että niin kauan kuin CELEBI ilmestyy, meitä odottaa kirkas ja loistava tulevaisuus.</t>
  </si>
  <si>
    <t>Tämä POKéMON vaeltaa ajassa. Ruoho ja puut kukoistavat metsissä, joissa se on ilmestynyt.</t>
  </si>
  <si>
    <t>Sillä on kyky matkustaa ajassa, mutta sen sanotaan ilmestyvän vain rauhallisina aikoina.</t>
  </si>
  <si>
    <t>Tämä Pokémon vaeltaa ajassa. Ruoho ja puut kukoistavat metsissä, joissa se on esiintynyt.</t>
  </si>
  <si>
    <t>https://pokeapi.co/api/v2/pokemon-species/205/</t>
  </si>
  <si>
    <t>Tämä Pokémon tuli tulevaisuudesta ajan ylityksen kautta. Uskotaan, että niin kauan kuin Celebi ilmestyy, meitä odottaa kirkas ja loistava tulevaisuus.</t>
  </si>
  <si>
    <t>Tällä Pokémonilla on kyky liikkua ajassa. Sitä metsäjumaluutena kuvailevia tietoja löytyy monilta eri aikakausilta.</t>
  </si>
  <si>
    <t>Tämä Pokémon matkusti ajan halki tullakseen tulevaisuudesta. Se tukee ruohoa ja puita omilla voimillaan ja se voi myös parantaa haavoja.</t>
  </si>
  <si>
    <t>Treecko</t>
  </si>
  <si>
    <t>Puugekko-Pokémon</t>
  </si>
  <si>
    <t>TREECKOlla on pienet koukut jalkojensa pohjassa, joiden avulla se voi kiivetä pystysuoria seiniä pitkin. Tämä POKéMON hyökkää iskemällä vihollisia paksulla hännällään.</t>
  </si>
  <si>
    <t>TREECKO on viileä, rauhallinen ja rauhallinen – se ei koskaan panikoi missään tilanteessa. Jos suurempi vihollinen tuijottaisi tätä POKéMONIA, se tuijottaisi takaisin päästämättä senttiäkään maata.</t>
  </si>
  <si>
    <t>Se tekee pesänsä jättimäiseen puuhun metsässä. Se suojelee raivokkaasti kaikkea, mikä lähestyy sen reviiriä. Sen sanotaan olevan metsän puiden suojelija.</t>
  </si>
  <si>
    <t>Se kiipeää nopeasti jopa pystysuorien seinien yli. Se aistii kosteuden pyrstöllään ennustaakseen seuraavan päivän sään.</t>
  </si>
  <si>
    <t>Sen jalkapohjia peittävät lukemattomat pienet piikit, joiden avulla se voi kävellä seinillä ja katoilla.</t>
  </si>
  <si>
    <t>https://pokeapi.co/api/v2/pokemon-species/206/</t>
  </si>
  <si>
    <t>Sen jalkojen pohjassa olevat pienet koukut tarttuvat seiniin ja kattoihin. Näin se voi roikkua ylhäältä.</t>
  </si>
  <si>
    <t>Treeckolla on pienet koukut jalkojensa pohjassa, joiden avulla se voi kiivetä pystysuoria seiniä pitkin. Tämä Pokémon hyökkää iskemällä vihollisia paksulla hännällään.</t>
  </si>
  <si>
    <t>Treecko on viileä, rauhallinen ja rauhallinen – se ei koskaan panikoi missään tilanteessa. Jos suurempi vihollinen tuijottaisi tätä Pokémonia, se tuijottaisi takaisin päästämättä senttiäkään maata.</t>
  </si>
  <si>
    <t>Grovyle</t>
  </si>
  <si>
    <t>GROVYLEn ruumiista kasvavat lehdet ovat käteviä sen naamiointiin vihollisilta metsässä. Tämä POKéMON on mestari kiipeilemään puissa viidakoissa.</t>
  </si>
  <si>
    <t>Tämä POKéMON lentää taitavasti puissa oksalta oksalle. Metsässä yksikään POKéMON ei voi koskaan toivoa saavansa kiinni pakenevaa GROVYLEa, olipa se kuinka nopea tahansa.</t>
  </si>
  <si>
    <t>Lehdet kasvavat tämän POKéMONin ruumiista. Ne auttavat peittämään GROVYLEn vihollisten katseilta sen ollessa tiheässä, umpeenkasvaneessa metsässä.</t>
  </si>
  <si>
    <t>Sen vahvasti kehittyneet reisilihakset antavat sille hämmästyttävän ketteryyden ja hyppytehon.</t>
  </si>
  <si>
    <t>Se elää tiheissä viidakoissa. Lähestyessään saalistaan ​​se hyppii oksalta oksalle.</t>
  </si>
  <si>
    <t>Se hyppää puun oksalta toiselle melko nopeasti. Se osoittaa hämmästyttävää ketteryyttä.</t>
  </si>
  <si>
    <t>https://pokeapi.co/api/v2/pokemon-species/207/</t>
  </si>
  <si>
    <t>Grovylen ruumiista kasvavat lehdet ovat käteviä sen naamioimiseen vihollisilta metsässä. Tämä Pokémon on mestari kiipeilemään puissa viidakoissa.</t>
  </si>
  <si>
    <t>Tämä Pokémon lentää taitavasti puissa oksalta oksalle. Metsässä yksikään Pokémon ei voi koskaan toivoa saavansa kiinni pakenevaa Grovylea, olipa se kuinka nopea tahansa.</t>
  </si>
  <si>
    <t>Sceptile</t>
  </si>
  <si>
    <t>Metsä-Pokémon</t>
  </si>
  <si>
    <t>SCEPTILEn kehossa kasvavat lehdet ovat erittäin teräväreunaiset. Tämä POKéMON on erittäin ketterä – se hyppii puiden oksilla ja vihollisensa päälle ylhäältä tai takaa.</t>
  </si>
  <si>
    <t>SCEPTILEn selässä kasvaa siemeniä. Niiden sanotaan olevan täynnä ravinteita, jotka elvyttävät puita. Tämä POKéMON kasvattaa puita metsässä rakastavalla huolenpidolla.</t>
  </si>
  <si>
    <t>Viidakossa sen voima on vertaansa vailla. Tämä POKéMON kasvattaa puita ja kasveja huolellisesti. Se säätelee ruumiinlämpöään paistattelemalla auringonvalossa.</t>
  </si>
  <si>
    <t>Sen eturaajojen lehdet ovat terävät kuin miekat. Se hyppii ketterästi puiden oksilla iskeäkseen.</t>
  </si>
  <si>
    <t>Sen käsivarsissa kasvavat lehdet voivat kaataa paksuja puita. Sillä ei ole vertaistaan ​​viidakkotaisteluissa.</t>
  </si>
  <si>
    <t>Se hyppii ketterästi viidakossa ja käyttää käsivarsiensa teräviä lehtiä iskeäkseen saaliiseensa.</t>
  </si>
  <si>
    <t>https://pokeapi.co/api/v2/pokemon-species/208/</t>
  </si>
  <si>
    <t>Sceptilen ruumiissa kasvavat lehdet ovat hyvin teräväreunaisia. Tämä Pokémon on erittäin ketterä – se hyppii puiden oksilla ja vihollisensa päälle ylhäältä tai takaa.</t>
  </si>
  <si>
    <t>Sceptilen selässä kasvaa siemeniä. Niiden sanotaan olevan täynnä ravinteita, jotka elvyttävät puita. Tämä Pokémon kasvattaa puita metsässä rakastavalla huolenpidolla.</t>
  </si>
  <si>
    <t>Torchic</t>
  </si>
  <si>
    <t>Tipu-Pokémon</t>
  </si>
  <si>
    <t>TORCHIC pysyy KOULUTTAJANSA mukana ja seuraa perässä horjuvin askelin. Tämä POKéMON hengittää yli 800 celsiusasteen tulta, mukaan lukien tulipalloja, jotka polttavat vihollisen mustaksi.</t>
  </si>
  <si>
    <t>TORCHICilla on kehossaan paikka, jossa se pitää liekkinsä. Halaa sitä – se hehkuu lämmöstä. Tämä POKéMON on kauttaaltaan peittynyt pörröiseen untuvapeitteeseen.</t>
  </si>
  <si>
    <t>Jos sitä hyökätään, se iskee takaisin sylkemällä vatsaansa muodostamiaan tulipalloja. TORCHIC ei pidä pimeydestä, koska se ei näe ympäristöään.</t>
  </si>
  <si>
    <t>Sen vatsassa on liekkipussi, joka palaa jatkuvasti. Se tuntuu lämpimältä, jos sitä halaa.</t>
  </si>
  <si>
    <t>Sisällä palaa tuli, joten se tuntuu erittäin lämpimältä halata. Se laukaisee 800 celsiusasteen tulipalloja.</t>
  </si>
  <si>
    <t>Sen ruumiin sisällä on paikka, jossa se pitää pientä liekkiä. Halaa sitä! Se on yhtä lämmin kuin kuumavesipullo.</t>
  </si>
  <si>
    <t>https://pokeapi.co/api/v2/pokemon-species/209/</t>
  </si>
  <si>
    <t>Torchic pysyy kouluttajansa mukana ja seuraa tätä horjuvin askelin. Tämä Pokémon hengittää yli 800 celsiusasteen tulta, mukaan lukien tulipalloja, jotka polttavat vihollisen mustaksi.</t>
  </si>
  <si>
    <t>Torchicilla on kehossaan paikka, jossa se pitää liekkinsä. Halaa sitä – se hehkuu lämmöstä. Tämä Pokémon on kauttaaltaan peittynyt pörröiseen untuvapeitteeseen.</t>
  </si>
  <si>
    <t>Combusken</t>
  </si>
  <si>
    <t>Nuori lintu-Pokémon</t>
  </si>
  <si>
    <t>COMBUSKEN vahvistaa jalkojaan ja reisiään juoksemalla peltojen ja vuorten halki. Tämän POKéMONin jalat ovat sekä nopeita että voimakkaita, minkä ansiosta se pystyy antamaan kymmenen potkua sekunnissa.</t>
  </si>
  <si>
    <t>COMBUSKEN taistelee nokastaan ​​sylkemiään kuumia liekkejä ja poikkeuksellisen tuhoisia potkuja vastaan. Tämän POKéMONin huuto on erittäin kova ja häiritsevä.</t>
  </si>
  <si>
    <t>Se iskee 10 potkua sekunnissa. Sen vahva taisteluvaisto pakottaa sen jatkamaan hyökkäystään, kunnes vastustaja luovuttaa.</t>
  </si>
  <si>
    <t>Se tehostaa keskittymiskykyään päästämällä karkeita huutoja. Sen potkuilla on huomattava tuhovoima.</t>
  </si>
  <si>
    <t>Sen potkutaito antaa sille 10 potkua sekunnissa. Se päästää teräviä huutoja pelotellakseen vihollisia.</t>
  </si>
  <si>
    <t>Taistelun aikana sen ruumiin kuuma liekki voimistuu. Sen potkuilla on huomattava tuhovoima.</t>
  </si>
  <si>
    <t>Combusken vahvistaa jalkojaan ja reisiään juoksemalla peltojen ja vuorten halki. Tämän Pokémonin jalat ovat sekä nopeita että voimakkaita, minkä ansiosta se pystyy antamaan 10 potkua sekunnissa.</t>
  </si>
  <si>
    <t>Combusken taistelee nokastaan ​​sylkemiään kuumia liekkejä ja poikkeuksellisen tuhoisia potkuja vastaan. Tämän Pokémonin huuto on erittäin kova ja häiritsevä.</t>
  </si>
  <si>
    <t>Blaziken</t>
  </si>
  <si>
    <t>Liekehtivä Pokémon</t>
  </si>
  <si>
    <t>Taistelussa BLAZIKEN puhaltaa ranteistaan ​​voimakkaita liekkejä ja hyökkää vihollisten kimppuun rohkeasti. Mitä vahvempi vihollinen, sitä voimakkaammin tämän POKéMONin ranteet polttavat.</t>
  </si>
  <si>
    <t>BLAZIKENillä on uskomattoman vahvat jalat – se voi helposti raivata 30-kerroksisen rakennuksen yhdellä loikalla. Tämän POKéMONin raivokkaat iskut jättävät sen viholliset poltetuiksi ja mustuneiksi.</t>
  </si>
  <si>
    <t>Se oppii kamppailulajeja, joissa käytetään lyöntejä ja potkuja. Muutaman vuoden välein sen vanhat höyhenet palavat pois, ja tilalle kasvaa uusia, notkeita höyheniä.</t>
  </si>
  <si>
    <t>Kohdatessaan kovan vihollisen se päästää liekkejä ranteistaan. Sen voimakkaat jalat antavat sen hypätä rakennusten yli.</t>
  </si>
  <si>
    <t>Liekit purkautuvat sen ranteista ja peittävät sen rystyset. Sen lyönnit polttavat sen vihollisia.</t>
  </si>
  <si>
    <t>https://pokeapi.co/api/v2/pokemon-species/210/</t>
  </si>
  <si>
    <t>Se voi raivata 30-kerroksisen rakennuksen yhdellä loikalla. Sen tulisia iskuja polttaa viholliset.</t>
  </si>
  <si>
    <t>Taistelussa Blaziken puhaltaa voimakkaita liekkejä ranteistaan ​​ja hyökkää vihollisten kimppuun rohkeasti. Mitä vahvempi vihollinen, sitä voimakkaammin tämän Pokémonin ranteet polttavat.</t>
  </si>
  <si>
    <t>Blazikenilla on uskomattoman vahvat jalat – se voi helposti raivata 30-kerroksisen rakennuksen yhdellä loikalla. Tämän Pokémonin tulisieluiset iskut polttavat ja mustuvat vihollisiin.</t>
  </si>
  <si>
    <t>Mudkip</t>
  </si>
  <si>
    <t>Mutakala-Pokémon</t>
  </si>
  <si>
    <t>MUDKIPin päässä oleva evä toimii erittäin herkkänä tutkana. Käyttämällä evää veden ja ilman liikkeiden havaitsemiseen tämä POKéMON voi määrittää ympärillään tapahtuvaa ilman silmiään.</t>
  </si>
  <si>
    <t>Vedessä MUDKIP hengittää poskissaan olevien kidusten avulla. Jos se kohtaa tiukan taistelutilanteen, tämä POKéMON vapauttaa uskomattoman voimansa – se voi murskata itseään suurempia kiviä.</t>
  </si>
  <si>
    <t>Maalla se voi nostaa voimakkaasti suuria lohkareita istuutumalla neljälle jalalleen ja hyppimällä. Se nukkuu hautautumalla maahan veden reunalla.</t>
  </si>
  <si>
    <t>Sen suuri pyrstöevä kuljettaa sitä vedessä voimakkaalla kiihtyvyydellä. Se on vahva koostaan ​​huolimatta.</t>
  </si>
  <si>
    <t>Sen hälyttämiseksi sen päässä oleva evä aistii veden virtauksen. Sillä on voimaa nostaa lohkareita.</t>
  </si>
  <si>
    <t>Sen voima voi murskata lohkareita. Se lepää peittämällä itsensä mudalla joen pohjassa.</t>
  </si>
  <si>
    <t>https://pokeapi.co/api/v2/pokemon-species/211/</t>
  </si>
  <si>
    <t>Mudkipin päässä oleva evä toimii erittäin herkkänä tutkana. Käyttämällä evää veden ja ilman liikkeiden havaitsemiseen tämä Pokémon voi määrittää ympärillään tapahtuvan ilman silmiään.</t>
  </si>
  <si>
    <t>Vedessä Mudkip hengittää poskissaan olevien kidusten avulla. Jos se kohtaa tiukan taistelutilanteen, tämä Pokémon vapauttaa uskomattoman voimansa – se voi murskata itseään suurempia kiviä.</t>
  </si>
  <si>
    <t>Marshtomp</t>
  </si>
  <si>
    <t>MARSHTOMPin kehon pintaa peittää ohut, tahmea kalvo, jonka ansiosta se voi elää maalla. Tämä POKéMON leikkii mudassa rannoilla, kun merenpinta on matalalla.</t>
  </si>
  <si>
    <t>MARSHTOMP on paljon nopeampi liikkumaan mudassa kuin uimaan. Tämän POKéMONin takaosa on selvästi kehittynyt, minkä ansiosta se pystyy kävelemään pelkillä takajaloillaan.</t>
  </si>
  <si>
    <t>Sen karaistuneet takajalat mahdollistavat sen pystyssä seisomisen. Koska se heikkenee, jos sen iho kuivuu, se täydentää nesteitä leikkimällä mudassa.</t>
  </si>
  <si>
    <t>Se on parhaimmillaan mutaisella alustalla ja huonolla pohjalla. Se peittoaa nopeasti mudassa painivat viholliset.</t>
  </si>
  <si>
    <t>Sen tukevat jalat antavat sille tukevan jalansijan jopa mudassa. Se kaivautuu maahan nukkuakseen.</t>
  </si>
  <si>
    <t>Mutaisella ja huonosti jalansijaa tarjoavalla maalla eläminen on tehnyt sen jaloista tukevat.</t>
  </si>
  <si>
    <t>https://pokeapi.co/api/v2/pokemon-species/212/</t>
  </si>
  <si>
    <t>Marshtompin kehon pintaa peittää ohut, tahmea kalvo, jonka ansiosta se voi elää maalla. Tämä Pokémon leikkii mudassa rannoilla, kun merenpinta on matalalla.</t>
  </si>
  <si>
    <t>Marshtomp on paljon nopeampi liikkumaan mudassa kuin uinnissa. Tämän Pokémonin takaosa on selvästi kehittynyt, minkä ansiosta se pystyy kävelemään pelkillä takajaloillaan.</t>
  </si>
  <si>
    <t>Swampert</t>
  </si>
  <si>
    <t>SWAMPERT on erittäin vahva. Sillä on tarpeeksi voimaa vetää helposti yli tonnin painava lohkare. Tällä POKéMONilla on myös voimakas näkö, jonka ansiosta se näkee jopa sameassa vedessä.</t>
  </si>
  <si>
    <t>SWAMPERT ennustaa myrskyjä aistimalla aaltojen ja vuorovesituulien äänissä hienovaraisia ​​eroja evillään. Jos myrsky lähestyy, se kasaa lohkareita suojautuakseen.</t>
  </si>
  <si>
    <t>Jos se aistii myrskyn ja hyökyaallon lähestyvän, se suojelee rantapesäänsä kasaamalla kiviä. Se ui yhtä nopeasti kuin vesiskootteri.</t>
  </si>
  <si>
    <t>Sen käsivarret ovat kivikovat. Yhdellä iskulla ne voivat murskata vihollisen. Se tekee pesänsä kauniille rannoille.</t>
  </si>
  <si>
    <t>Se voi uida hinatessaan suurta laivaa. Se iskee vihollisia alas paksujen käsivarsiensa heilautuksella.</t>
  </si>
  <si>
    <t>Sen käsivarret ovat kovat kuin kivi. Yhdellä iskulla se voi rikkoa lohkareen palasiksi.</t>
  </si>
  <si>
    <t>Swampert on erittäin vahva. Sillä on tarpeeksi voimaa vetää helposti yli tonnin painava lohkare. Tällä Pokémonilla on myös voimakas näkö, jonka ansiosta se näkee jopa sameassa vedessä.</t>
  </si>
  <si>
    <t>Swampert ennustaa myrskyjä aistimalla aaltojen ja vuorovesituulien äänien hienovaraisia ​​eroja evillään. Jos myrsky lähestyy, se kasaa lohkareita suojautuakseen.</t>
  </si>
  <si>
    <t>Poochyena</t>
  </si>
  <si>
    <t>Purra Pokémonia</t>
  </si>
  <si>
    <t>Ensi silmäyksellä POOCHYENA puree kaikkea liikkuvaa. Tämä POKéMON jahtaa saalista, kunnes se uuptuu. Se saattaa kuitenkin kääntyä ympäri, jos saalis iskee takaisin.</t>
  </si>
  <si>
    <t>POOCHYENA on kaikkiruokainen – se syö mitä tahansa. Sen erottava piirre on sen kulmahampaiden koko suhteessa vartaloon. Tämä POKéMON yrittää pelotella vihollisiaan nostamalla häntäkarvansa pystyyn.</t>
  </si>
  <si>
    <t>Se uhkaa vihollisia raa'asti paljastavilla hampailla. Se jahtaa pakenevia kohteitaan sitkeästi. Se kuitenkin kääntää pyrstönsä ja juoksee pakoon, jos vihollinen iskee takaisin.</t>
  </si>
  <si>
    <t>Sillä on hyvin sitkeä luonne. Sen tarkka hajuaisti antaa sen jahdata valitsemaansa saalista menettämättä koskaan jälkeään.</t>
  </si>
  <si>
    <t>Luonteeltaan sinnikäs Pokémon jahtaa valitsemaansa saalista, kunnes se uupuu.</t>
  </si>
  <si>
    <t>https://pokeapi.co/api/v2/pokemon-species/213/</t>
  </si>
  <si>
    <t>Se jahtaa saalistaan, kunnes tämä uupuu. Se kuitenkin kääntää selkänsä, jos saalis iskee takaisin.</t>
  </si>
  <si>
    <t>Ensi silmäyksellä Poochyena puree kaikkea liikkuvaa. Tämä Pokémon jahtaa saalista, kunnes se uupuu. Se saattaa kuitenkin kääntyä ympäri, jos saalis iskee takaisin.</t>
  </si>
  <si>
    <t>Poochyena on kaikkiruokainen – se syö mitä tahansa. Sen erottava piirre on sen kulmahampaiden koko suhteessa vartaloon. Tämä Pokémon yrittää pelotella vihollisiaan nostamalla häntäkarvansa pystyyn.</t>
  </si>
  <si>
    <t>Mightyena</t>
  </si>
  <si>
    <t>MIGHTYENA antaa selviä merkkejä valmistautuessaan hyökkäämään. Se alkaa murina syvään ja litistää sitten ruumiinsa. Tämä POKéMON puree raa'asti teräväkärkisillä hampaillaan.</t>
  </si>
  <si>
    <t>MIGHTYENA matkustaa ja toimii laumana luonnossa. Muisto sen elämästä luonnossa pakottaa POKéMONin tottelemaan vain niitä KOULUTTAJIA, joilla se tunnistaa olevan ylivoimaisia ​​taitoja.</t>
  </si>
  <si>
    <t>Luonnossa MIGHTYENA-hirviöt elävät laumassa. Ne eivät koskaan uhmaa johtajansa käskyjä. Ne kukistavat viholliset täydellisesti koordinoidulla tiimityöllä.</t>
  </si>
  <si>
    <t>Se tottelee aina taitavan KOULUTTAJAN käskyjä. Sen käytös juontaa juurensa siitä, että se eli laumoissa muinaisilla ajoilla.</t>
  </si>
  <si>
    <t>Se jahtaa saalista laumassa. Se ei koskaan riko taitavan kouluttajan käskyjä.</t>
  </si>
  <si>
    <t>https://pokeapi.co/api/v2/pokemon-species/214/</t>
  </si>
  <si>
    <t>Se jahtaa saalista noin kymmenen yksilön laumassa. Ne kukistavat viholliset täydellisesti koordinoidulla tiimityöllä.</t>
  </si>
  <si>
    <t>Se tottelee aina taitavan kouluttajan käskyjä. Sen käytös juontaa juurensa siitä, että se eli laumoissa muinaisilla ajoilla.</t>
  </si>
  <si>
    <t>Mightyena antaa selviä merkkejä valmistautuessaan hyökkäämään. Se alkaa murina syvään ja litistää sitten ruumiinsa. Tämä Pokémon puree raa'asti teräväkärkisillä hampaillaan.</t>
  </si>
  <si>
    <t>Mightyena matkustaa ja toimii laumana luonnossa. Muisto luonnossa vietetystä elämästä pakottaa Pokémonin tottelemaan vain niitä kouluttajia, joilla se tunnistaa olevan ylivoimaisia ​​taitoja.</t>
  </si>
  <si>
    <t>Zigzagoon</t>
  </si>
  <si>
    <t>Pieni pesukarhu-Pokémon</t>
  </si>
  <si>
    <t>ZIGZAGOON vaeltelee levottomasti kaikkialla, koko ajan. Tämä POKéMON tekee niin, koska se on hyvin utelias. Se kiinnostuu kaikesta, mitä se sattuu näkemään.</t>
  </si>
  <si>
    <t>ZIGZAGOONin selän karvat ovat harjakset. Se hieroo kovaa selkäkarvaa puita vasten jättääkseen reviirimerkintöjä. Tämä POKéMON saattaa teeskennellä kuollutta huijatakseen vihollisia taistelussa.</t>
  </si>
  <si>
    <t>Se hieroo kuonoaan maata vasten ja vaeltelee aina edestakaisin etsien jotakin. Sen tunnistaa jättämistään siksak-jäljistä.</t>
  </si>
  <si>
    <t>Utelias POKéMON. Se osoittaa kiinnostusta kaikkeen, joten se aina siksak-pomppii.</t>
  </si>
  <si>
    <t>Se kävelee siksak-maisesti. Se on hyvä löytämään esineitä ruohikosta ja jopa maasta.</t>
  </si>
  <si>
    <t>Se kiinnostuu kaikesta, minkä vuoksi se etenee siksakissa. Se on hyvä löytämään esineitä.</t>
  </si>
  <si>
    <t>Pokémon, jolla on runsaasti uteliaisuutta. Se osoittaa kiinnostusta kaikkeen, joten se aina siksak-kuvioita.</t>
  </si>
  <si>
    <t>https://pokeapi.co/api/v2/pokemon-species/215/</t>
  </si>
  <si>
    <t>Zigzagoon vaeltelee levottomasti kaikkialla koko ajan. Tämä Pokémon tekee niin, koska se on hyvin utelias. Se kiinnostuu kaikesta, mitä se sattuu näkemään.</t>
  </si>
  <si>
    <t>Zigzagoonin selän karvat ovat harjasmaiset. Se hieroo kovaa selkäkarvaa puita vasten jättääkseen reviirimerkintöjä. Tämä Pokémon saattaa teeskennellä kuollutta huijatakseen vihollisia taistelussa.</t>
  </si>
  <si>
    <t>Se merkitsee reviiriään hieromalla harjaskarvaansa puihin. Tämä Zigzagoon-muunnos on ystävällisempi ja rauhallisempi kuin Galarille kotoisin oleva laji.</t>
  </si>
  <si>
    <t>Galarin ulkopuolisille alueille sopeutunut Zigzagoon sai tämän ulkonäön. Jos olet kadottanut jotain, tämä Pokémon voi todennäköisesti löytää sen.</t>
  </si>
  <si>
    <t>Linoone</t>
  </si>
  <si>
    <t>Kiirehtivä Pokémon</t>
  </si>
  <si>
    <t>LINOONE juoksee aina täydellä nopeudella ja ainoastaan ​​suorin linjoin. Jos se kohtaa esteen, se tekee suoran käännöksen väistääkseen sen. Loivasti mutkittelevat tiet ovat erittäin haastavia tälle POKéMONille.</t>
  </si>
  <si>
    <t>Metsästäessään LINOONE lähtee täyttä vauhtia syöksyllä suoraan saalista kohti. Vaikka tämä POKéMON pystyy kulkemaan yli 95 km/h nopeudella, sen on pysähdyttävä kirskuen ennen kuin se voi kääntyä.</t>
  </si>
  <si>
    <t>Se on erittäin nopea, jos sen tarvitsee vain juosta suoraan. Havaitessaan lammikossa asuvan saaliin veden alla, se hyppää nopeasti lähelle ja nappaa sen terävillä kynsillään.</t>
  </si>
  <si>
    <t>Suoraan juostessa se voi saavuttaa yli 95 kilometrin tuntinopeuden. Mutkaisilla teillä sillä on kuitenkin vaikeuksia.</t>
  </si>
  <si>
    <t>Se hyökkää saaliin kimppuun yli 95 km/h nopeudella. Koska se voi kuitenkin juosta vain suoraan, se usein epäonnistuu.</t>
  </si>
  <si>
    <t>Suoraan juostessa se voi helposti ylittää 95 kilometriä tunnissa. Mutkaisilla teillä sillä on vaikeuksia.</t>
  </si>
  <si>
    <t>Linoone juoksee aina täydellä nopeudella ja vain suorin linjoin. Jos se kohtaa esteen, se tekee suoran käännöksen väistääkseen sen. Tämä Pokémon on erittäin haastava loivasti mutkittelevilla teillä.</t>
  </si>
  <si>
    <t>Metsästäessään Linoone juoksee suoraan saalista kohti täydellä vauhdilla. Vaikka tämä Pokémon pystyy ylittämään 95 km/h nopeuden, sen on pysähdyttävä kirskuen ennen kuin se voi kääntyä.</t>
  </si>
  <si>
    <t>Sen turkki on vahva ja joustava. Irronneista linoonekarvoista tehdyt partasudit ovat erittäin arvostettuja.</t>
  </si>
  <si>
    <t>Se käyttää räjähtävää nopeuttaan ja teräviä kynsiään saaliinsa kaatamiseen. Mutkittelevia polkuja pitkin juokseminen ei ole sen vahvin puolensa.</t>
  </si>
  <si>
    <t>Wurmple</t>
  </si>
  <si>
    <t>Takapäässään olevien piikkien avulla WURMPLE kuorii puiden kuorta ja syö niistä pursuavaa mahlaa. Tämän POKéMONin jaloissa on imukupit, joiden avulla se tarttuu lasiin liukumatta.</t>
  </si>
  <si>
    <t>SWELLOW kohdistaa WURMPLEn saaliikseen. Tämä POKéMON yrittää vastustaa sitä osoittamalla hyökkäävää saalistajaa takaosassaan olevilla piikeillä. Se heikentää vihollista vuotamalla piikkien kautta myrkkyä.</t>
  </si>
  <si>
    <t>Se tarttuu puiden oksiin ja syö lehtiä. Suustaan ​​sylkemä lanka, josta tulee tahmaista sen koskettaessa ilmaa, hidastaa vihollistensa liikkeitä.</t>
  </si>
  <si>
    <t>Se elää korkean ruohon keskellä ja metsissä. Hyökkäyksen sattuessa se vastustaa suuntaamalla myrkylliset piikkinsä vihollista kohti.</t>
  </si>
  <si>
    <t>Se rakastaa lehtien syömistä. Jos sitä hyökkää tähti, se puolustaa itseään piikkisellä takamuksellaan.</t>
  </si>
  <si>
    <t>Se sylkee valkoista silkkiä, joka muuttuu tahmeaksi joutuessaan kosketuksiin ilman kanssa. Sitä käytetään vihollisten lamauttamaan.</t>
  </si>
  <si>
    <t>Lintu-Pokémonien usein kohteeksi joutuessaan se vastustaa epätoivoisesti vapauttamalla myrkkyä pyrstöpiikeistään.</t>
  </si>
  <si>
    <t>Se elää korkeassa ruohossa ja metsissä. Se torjuu hyökkäykset nostamalla takamuksessaan olevat piikit ilmaan.</t>
  </si>
  <si>
    <t>https://pokeapi.co/api/v2/pokemon-species/216/</t>
  </si>
  <si>
    <t>Se rakastaa lehtien syömistä. Jos tähtitiainen hyökkää sen kimppuun, se puolustaa itseään piikkisellä takamuksellaan.</t>
  </si>
  <si>
    <t>Takapäässään olevien piikkien avulla Wurmple kuorii puiden kuorta ja syö niistä pursuavaa mahlaa. Tämän Pokémonin jaloissa on imukupit, joiden avulla se voi tarttua lasiin liukumatta.</t>
  </si>
  <si>
    <t>Swellow kohdistaa Wurmplen saaliikseen. Tämä Pokémon yrittää vastustaa sitä osoittamalla takamuksessaan olevilla piikeillä hyökkäävää saalistajaa kohti. Se heikentää vihollista vuotamalla myrkkyä piikeistä.</t>
  </si>
  <si>
    <t>Tykkää mahlasta ja on runsas luonnossa. Miksi se kehittyy erilaisiin muotoihin, ei tiedetä. Ulkonäöstä ei voida sanoa, minkä muodon se ottaa kehittyessään.</t>
  </si>
  <si>
    <t>Silcoon</t>
  </si>
  <si>
    <t>SILCOON kiinnittää itsensä silkillä puun oksaan estääkseen itseään putoamasta. Siellä tämä POKéMON roikkuu hiljaa odottaessaan evoluutiota. Se kurkistaa esiin silkkikotelosta pienen reiän läpi.</t>
  </si>
  <si>
    <t>Ennen kehitystään Silcoonin ajateltiin kestävän nälkää eikä syövän mitään. Nykyään kuitenkin uskotaan, että tämä Pokémon sammuttaa janonsa juomalla sen silkkiin kerääntyvää sadevettä.</t>
  </si>
  <si>
    <t>Se valmistautuu evoluutioon käyttämällä energiaa, jonka se varastoi ollessaan WURMPLE. Se tarkkailee ympäristöään kahdella silmällään.</t>
  </si>
  <si>
    <t>Se säästää energiaansa liikkumalla mahdollisimman vähän. Se odottaa evoluutiota juoden samalla vain vähän sadevettä.</t>
  </si>
  <si>
    <t>Se ankkuroi itsensä kietomalla oksia kehonsa silkkiin. Se odottaa liikkumatta evoluutiota.</t>
  </si>
  <si>
    <t>Se juo silkkiinsä kerääntyvää kastetta ja odottaa kehitystä. Sen kova kotelo torjuu hyökkäykset.</t>
  </si>
  <si>
    <t>Se kietoo silkkiä puun oksien ympärille. Se juo sadevettä silkkinsä päälle odottaessaan evoluutiota.</t>
  </si>
  <si>
    <t>Käärittyään silkkiä puun oksien ympärille se odottaa levollisesti evoluutiota.</t>
  </si>
  <si>
    <t>Silkkisolmu kiinnittää itsensä puun oksaan silkin avulla estääkseen putoamisen. Siellä tämä Pokémon roikkuu hiljaa odottaessaan evoluutiota. Se kurkistaa esiin silkkikotelosta pienen reiän läpi.</t>
  </si>
  <si>
    <t>Ennen kehitystään Silcoonin ajateltiin kestävän nälkää eikä syövän mitään. Nykyään kuitenkin uskotaan, että tämä Pokémon sammuttaa janonsa juomalla silkkiinsä kerääntyvää sadevettä.</t>
  </si>
  <si>
    <t>Kääriytyy ohuisiin silkkinauhoihin samalla kun se varastoi energiaa evoluutiota varten. Se ei pysty ojentamaan raajojaan ja sen liikkeet ovat hitaita, mutta sen silmät pitävät tarkkaa huolta – Silcoon on aina varuillaan.</t>
  </si>
  <si>
    <t>Beautifly</t>
  </si>
  <si>
    <t>BEAUTIFLYn lempiruoka on kukkien makea siitepöly. Jos haluat nähdä tämän POKéMONin, jätä vain ruukkukukka avoimen ikkunan viereen. BEAUTIFLY tulee varmasti etsimään siitepölyä.</t>
  </si>
  <si>
    <t>BEAUTIFLYllä on pitkä, kierteisen neulan kaltainen suu, mikä on erittäin kätevä siitepölyn keräämiseen kukista. Tämä POKéMON ratsastaa kevättuulien mukana lentäessään ympäriinsä keräämässä siitepölyä.</t>
  </si>
  <si>
    <t>https://pokeapi.co/api/v2/pokemon-species/217/</t>
  </si>
  <si>
    <t>Sen värikkäästi kuvioidut siivet ovat sen huomattavin piirre. Se lentää kukkien peittämien peltojen läpi kerääen siitepölyä. Suututtuaan se hyökkää raivokkaasti.</t>
  </si>
  <si>
    <t>Ulkonäöstään huolimatta sillä on aggressiivinen luonne. Se hyökkää tökkimällä pitkällä, ohuella suullaan.</t>
  </si>
  <si>
    <t>Sillä on aggressiivinen luonne. Se iskee saalista pitkällä, kapealla suullaan imeäkseen sen nesteet pois.</t>
  </si>
  <si>
    <t>Kun kukkapellot kukkivat, se lentää ympäriinsä keräämässä siitepölyä. Ulkonäöstään huolimatta se on villi.</t>
  </si>
  <si>
    <t>Ulkonäöstään huolimatta se on aggressiivinen. Se tökii pitkällä, ohuella suullaan, jos sitä häiritään siitepölyä kerätessään.</t>
  </si>
  <si>
    <t>Sen huomiota herättävin piirre on eloisasti kuvioidut siivet. Se imee makeaa kukkamettä pitkällä suullaan.</t>
  </si>
  <si>
    <t>Beautiflyn lempiruoka on kukkien makea siitepöly. Jos haluat nähdä tämän Pokémonin, jätä vain ruukkukukka avoimen ikkunan viereen. Beautifly tulee varmasti etsimään siitepölyä.</t>
  </si>
  <si>
    <t>Beautiflylla on pitkä, kierteisen neulan kaltainen suu, mikä on erittäin kätevä siitepölyn keräämiseen kukista. Tämä Pokémon ratsastaa kevättuulien mukana lentäessään ympäriinsä keräämässä siitepölyä.</t>
  </si>
  <si>
    <t>Värikäs ja uskomattoman kaunis, mutta myös ahne Pokémon. Yrittäessään pitää lempiruokansa itsellään se ajaa Combeen pois, kun he yrittävät kerätä mettä.</t>
  </si>
  <si>
    <t>Cascoon</t>
  </si>
  <si>
    <t>CASCOON valmistaa suojaavan kotelonsa käärimällä kehonsa kokonaan hienoon silkkiin, joka kulkee sen suulla. Kun silkki kiertää sen kehon, se kovettuu. Tämä POKéMON valmistautuu kehitykseensä kotelon sisällä.</t>
  </si>
  <si>
    <t>Jos sitä hyökätään, CASCOON pysyy liikkumattomana, olipa se kuinka pahasti tahansa loukkaantunut. Se tekee niin, koska jos se liikkuisi, sen keho olisi heikko evoluution aikana. Tämä POKéMON ei myöskään unohda kestämäänsä kipua.</t>
  </si>
  <si>
    <t>Välttääkseen vihollistensa havaitsemisen se piiloutuu liikkumatta suurten lehtien alle ja oksien rakoihin. Se myös kiinnittää kuolleita lehtiä kehoonsa naamioituakseen.</t>
  </si>
  <si>
    <t>Sen pehmeästä silkistä valmistettu runko kovettuu ajan myötä. Kun halkeamia ilmestyy, evoluutio on lähellä.</t>
  </si>
  <si>
    <t>Se on kuuma kotelossaan. Kaikki sen kehon solut tuottavat energian, jota se tarvitsee kehitykseensä.</t>
  </si>
  <si>
    <t>Kovaan koteloonsa kääriytyneenä se kestää hyökkäykset. Se ei koskaan unohda vihollistensa ulkonäköä.</t>
  </si>
  <si>
    <t>Se ei koskaan unohda yhtäkään hyökkäystä, jonka se koki kotelossa ollessaan. Evoluution jälkeen se hakee kostoa.</t>
  </si>
  <si>
    <t>Se kestää hyökkäykset kärsivällisesti, sillä mitä enemmän tuskaa ennen evoluutiota, sitä vankemmaksi siitä tulee.</t>
  </si>
  <si>
    <t>https://pokeapi.co/api/v2/pokemon-species/218/</t>
  </si>
  <si>
    <t>Cascoon tekee suojaavan kotelonsa käärimällä kehonsa kokonaan hienoon silkkiin, joka kulkee sen suulla. Kun silkki kiertää sen kehon, se kovettuu. Tämä Pokémon valmistautuu kehitykseensä kotelon sisällä.</t>
  </si>
  <si>
    <t>Jos sitä hyökätään, Cascoon pysyy liikkumattomana, olipa se kuinka pahasti tahansa loukkaantunut. Se tekee niin, koska jos se liikkuisi, sen keho olisi heikko evoluution aikana. Tämä Pokémon ei myöskään unohda kestämäänsä kipua.</t>
  </si>
  <si>
    <t>Sen vartaloa peittävä silkki on ohutta mutta riittävän vahvaa. Cascoonin silkillä on parempi kiilto ja rakenne kuin Silcoonin silkillä, ja Cascoonin silkistä valmistettuja vaatteita pidetään huippuluokkaisina.</t>
  </si>
  <si>
    <t>Dustox</t>
  </si>
  <si>
    <t>DUSTOX tuntee vaistomaisesti vetoa valoon. Tämän PokéMONin parvet vetävät puoleensa kaupunkien kirkkaita valoja, joissa ne aiheuttavat tuhoa repimällä tienvarsipuiden lehtiä ravinnoksi.</t>
  </si>
  <si>
    <t>Kun DUSTOX räpyttelee siipiään, hienoa pölyä leijailee kaikkialle. Tämä pöly on itse asiassa voimakasta myrkkyä, joka voi sairastuttaa jopa ammattipainijan. Tämä POKéMON etsii ruokaa tutkan kaltaisten antenniensa avulla.</t>
  </si>
  <si>
    <t>Se on yöllinen POKéMON, joka lentää pelloilta ja vuorilta katulamppujen lähelle yöllä. Se irrottaa siivistään erittäin myrkyllistä jauhetta.</t>
  </si>
  <si>
    <t>Se levittää hirvittävän myrkyllistä pölyä aistiessaan vaaran. Ne kerääntyvät usein katulamppujen loisteessa yöllä.</t>
  </si>
  <si>
    <t>Yöllinen Pokémon. Katuvalojen houkuttelemina ne syövät sotkuisesti bulevardien reunustamien puiden lehtiä.</t>
  </si>
  <si>
    <t>Se räpyttelee siipiään rajusti levittääkseen myrkyllistä pölyä hyökkäyksen aikana. Se aktivoituu auringonlaskun jälkeen.</t>
  </si>
  <si>
    <t>Myrkyllistä jauhetta sirotellaan jokaisen läpän mukana. Yöllä sen tiedetään repivän lehtiä bulevardeja reunustavista puista.</t>
  </si>
  <si>
    <t>Se levittää hienoa pölyään kaikkialle hyökkäyksen kohteeksi joutuessaan. Se on yöllinen Pokémon.</t>
  </si>
  <si>
    <t>Dustoxia vetää vaistomaisesti valo puoleensa. Tämän Pokémonin parvet vetävät puoleensa kaupunkien kirkkaita valoja, joissa ne aiheuttavat tuhoa riisumalla tienvarsipuiden lehtiä ravinnoksi.</t>
  </si>
  <si>
    <t>Kun Dustox räpyttelee siipiään, hienoa pölyä leijailee kaikkialle. Tämä pöly on itse asiassa voimakasta myrkkyä, joka voi sairastuttaa jopa ammattipainijan. Tämä Pokémon etsii ruokaa tutkan kaltaisten antenniensa avulla.</t>
  </si>
  <si>
    <t>https://pokeapi.co/api/v2/pokemon-species/219/</t>
  </si>
  <si>
    <t>Pimeinä öinä sitä vetää puoleensa nuotiot. Sitä on vaikea ajaa pois asutuksista, koska se levittää erittäin myrkyllisiä suomuja.</t>
  </si>
  <si>
    <t>Lotad</t>
  </si>
  <si>
    <t>Vesirikkakasvien Pokémon</t>
  </si>
  <si>
    <t>LOTADit elävät lammissa ja järvissä, joissa ne kelluvat pinnalla. Ne heikkenevät, jos niiden leveät lehtensä kuolevat. Harvinaisissa tapauksissa nämä POKéMONit matkustavat maalla etsimässä puhdasta vettä.</t>
  </si>
  <si>
    <t>LOTADin sanotaan asuneen aiemmin maalla. Tämän POKéMONin uskotaan kuitenkin palanneen veteen, koska sen päässä oleva lehti kasvoi suureksi ja painavaksi. Nykyään se elää kellumalla veden pinnalla.</t>
  </si>
  <si>
    <t>Tämä POKéMON elää puhdasvetisissä lammikoissa. Sen tiedetään kuljettavan pieniä POKéMONEJA lampien yli kantamalla niitä päänsä leveässä lehdessä.</t>
  </si>
  <si>
    <t>Se etsii puhdasta vettä. Jos se ei juo vettä liian pitkään, sen päässä oleva lehti nuutuu.</t>
  </si>
  <si>
    <t>Se näyttää vesikasvilta ja toimii lautana uintitaitoisten Pokémonien luo.</t>
  </si>
  <si>
    <t>Sen lehti kasvoi liian suureksi elääkseen maalla. Niin se alkoi elää vedessä kelluen.</t>
  </si>
  <si>
    <t>Lotadit elävät lammissa ja järvissä, joissa ne kelluvat pinnalla. Ne heikkenevät, jos niiden leveät lehtensä kuolevat. Harvinaisissa tapauksissa tämä Pokémon matkustaa maalla etsimässä puhdasta vettä.</t>
  </si>
  <si>
    <t>Lotadin sanotaan asuneen aiemmin maalla. Tämän Pokémonin uskotaan kuitenkin palanneen veteen, koska sen päässä oleva lehti kasvoi suureksi ja painavaksi. Nykyään se elää kellumalla veden pinnalla.</t>
  </si>
  <si>
    <t>Lombre</t>
  </si>
  <si>
    <t>Iloinen Pokémon</t>
  </si>
  <si>
    <t>LOMBRE on yöeläin – se aktivoituu hämärän jälkeen. Se on myös ilkikurinen. Kun tämä POKéMON havaitsee kalastajia, se nykäisee heidän siimojaan pinnan alta ja nauttii heidän kauhistuksestaan.</t>
  </si>
  <si>
    <t>LOMBREN koko vartalo on peittynyt liukkaaseen, limaiseen kalvoon. Tuntuu kamalan epämiellyttävältä, kun tämän POKéMONin kädet koskettavat häntä. LOMBREA ​​sekoitetaan usein ihmislapseen.</t>
  </si>
  <si>
    <t>Illalla se nauttii pulpahtaessaan esiin joista ja säikäyttäessään ihmisiä. Se syö vesisammalta, joka kasvaa joenpohjan kivillä.</t>
  </si>
  <si>
    <t>Se elää veden äärellä, missä paistaa aurinko. Se nukkuu vesiheinän peitossa päivisin ja aktivoituu yöllä.</t>
  </si>
  <si>
    <t>https://pokeapi.co/api/v2/pokemon-species/220/</t>
  </si>
  <si>
    <t>Sillä on ilkikurinen luonne. Jos se havaitsee kalastajan, se vetää siimaa estääkseen sen.</t>
  </si>
  <si>
    <t>Se on yöeläin ja aktivoituu illan hämärtyessä. Se syö joenuomassa kasvavia vesisammalia.</t>
  </si>
  <si>
    <t>Lombre on yöeläin – se aktivoituu hämärän laskeuduttua. Se on myös ilkikurinen. Kun tämä Pokémon havaitsee kalastajia, se nykii heidän siimojaan pinnan alta ja nauttii heidän hämmennyksestään.</t>
  </si>
  <si>
    <t>Lombren koko vartalo on peittynyt liukkaaseen, limaiseen kalvoon. Tuntuu kamalan epämiellyttävältä, kun tämän Pokémonin kädet koskettavat häntä. Lombrea erehdytään usein luulemaan ihmislapseksi.</t>
  </si>
  <si>
    <t>Ludicolo</t>
  </si>
  <si>
    <t>Huoleton Pokémon</t>
  </si>
  <si>
    <t>LUDICOLO alkaa tanssia heti kuultuaan iloista, juhlavaa musiikkia. Tämän POKéMONin sanotaan ilmestyvän kuullessaan lasten laulua vaellusretkillä.</t>
  </si>
  <si>
    <t>Kuullessaan iloisen ja pirteän rytmin, LUDICOLOn kehon solut muuttuvat erittäin energisiksi ja aktiivisiksi. Jopa taistelussa tämä POKéMON osoittaa uskomattoman paljon voimaa.</t>
  </si>
  <si>
    <t>Kun se kuulee juhlavaa musiikkia, kaikki sen kehon solut aktivoituvat ja se alkaa liikkua rytmissä. Se ei vapise, vaikka se kohtaisi kovan vastustajan.</t>
  </si>
  <si>
    <t>Kirkkaan, juhlavan musiikin rytmi aktivoi LUDICOLOn soluja ja tekee siitä voimakkaamman.</t>
  </si>
  <si>
    <t>Jos se kuulee juhlavaa musiikkia, kaikki sen lihakset täyttyvät energiasta. Se ei voi vastustaa kiusausta tanssia.</t>
  </si>
  <si>
    <t>Jos se kuulee juhlavaa musiikkia, se alkaa liikkua rytmissä vahvistaakseen voimaansa.</t>
  </si>
  <si>
    <t>Kirkkaan, juhlavan musiikin rytmi aktivoi Ludicolon soluja ja tekee siitä voimakkaamman.</t>
  </si>
  <si>
    <t>Ludicolo alkaa tanssia heti kuultuaan iloista, juhlavaa musiikkia. Tämän Pokémonin sanotaan ilmestyvän, kun se kuulee lasten laulua vaellusretkillä.</t>
  </si>
  <si>
    <t>Kuullessaan iloisen ja pirteän rytmin Ludicolon kehon solut muuttuvat erittäin energisiksi ja aktiivisiksi. Jopa taistelussa tämä Pokémon osoittaa uskomattoman paljon voimaa.</t>
  </si>
  <si>
    <t>https://pokeapi.co/api/v2/pokemon-species/221/</t>
  </si>
  <si>
    <t>Seedot</t>
  </si>
  <si>
    <t>Tammenterho-Pokémon</t>
  </si>
  <si>
    <t>SEEDOT kiinnittyy puun oksaan päänsä päällä. Se imee kosteutta puusta roikkuessaan oksalla. Mitä enemmän vettä se juo, sitä kiiltävämmäksi tämän POKéMONin keho muuttuu.</t>
  </si>
  <si>
    <t>SEEDOT näyttää täsmälleen tammenterholta roikkuessaan puun oksalla. Se säikäyttää muita POKéMONEJA liikkumalla äkillisesti. Tämä POKéMON kiillottaa kehoaan kerran päivässä lehtien avulla.</t>
  </si>
  <si>
    <t>Se roikkuu oksilla ja imee ravinteita. Syötyään sen ruumis painaa niin paljon, että se putoaa maahan tömähdyksen saattelemana.</t>
  </si>
  <si>
    <t>Jos se pysyy paikallaan, sitä on mahdotonta erottaa oikeista pähkinöistä. Se nauttii yllättävistä ruokailuhetkistä.</t>
  </si>
  <si>
    <t>Kun se roikkuu puun oksalla, se näyttää aivan tammenterholta. Se nauttii muiden Pokémonien pelottelemisesta.</t>
  </si>
  <si>
    <t>Se kiinnittyy puun oksaan päänsä päällä. Voimakkaat tuulet voivat joskus kaataa sen.</t>
  </si>
  <si>
    <t>Seedot kiinnittyy puun oksaan päänsä päällä. Se imee kosteutta puusta roikkuessaan oksalla. Mitä enemmän vettä se juo, sitä kiiltävämmäksi tämän Pokémonin keho muuttuu.</t>
  </si>
  <si>
    <t>Seedot näyttää täsmälleen tammenterholta roikkuessaan puun oksalla. Se säikäyttää muita Pokémoneja liikkumalla äkillisesti. Tämä Pokémon kiillottaa kehoaan kerran päivässä lehtien avulla.</t>
  </si>
  <si>
    <t>Jos se pysyy paikallaan, se näyttää aivan oikealta pähkinältä. Se nauttii yllättävistä ruokailua etsivistä Pokémoneista.</t>
  </si>
  <si>
    <t>Nuzleaf</t>
  </si>
  <si>
    <t>Ovela Pokémon</t>
  </si>
  <si>
    <t>NUZLEAFit elävät tiheästi umpeenkasvaneissa metsissä. Ne uskaltautuvat toisinaan ulos metsästä säikäyttääkseen ihmisiä. Tämä POKéMON ei pidä siitä, että sen pitkää kuonoa puristetaan.</t>
  </si>
  <si>
    <t>Tämä POKéMON vetää irti päästään olevan lehden ja tekee siitä huilun. NUZLEAFin huilun ääni herättää pelkoa ja epävarmuutta metsään eksyneiden ihmisten sydämissä.</t>
  </si>
  <si>
    <t>Metsässä asuva POKéMON, joka on taitava kiipeämään puihin. Sen pitkä ja terävä nenä on sen heikko kohta. Se menettää voimansa, jos nenästä tarttuu kiinni.</t>
  </si>
  <si>
    <t>Ne elävät suurten puiden koloissa. NUZLEAFin ruohohuilun ääni täyttää kuulijat kauhulla.</t>
  </si>
  <si>
    <t>Sen ruohohuilun ääni tekee kuulijansa levottomaksi. Se asuu metsien siimeksessä.</t>
  </si>
  <si>
    <t>Se elää metsien syvissä uumenissa. Päässään oleva lehti tekee siitä huilun, jonka laulu tekee kuulijat levottomiksi.</t>
  </si>
  <si>
    <t>Nuzleaf elää tiheästi umpeenkasvaneissa metsissä. Ne uskaltautuvat toisinaan ulos metsästä säikäyttääkseen ihmisiä. Tämä Pokémon ei pidä siitä, että sen pitkää kuonoa puristetaan.</t>
  </si>
  <si>
    <t>https://pokeapi.co/api/v2/pokemon-species/222/</t>
  </si>
  <si>
    <t>Tämä Pokémon vetää irti päästään olevan lehden ja tekee siitä huilun. Nuzleafin huilun ääni herättää pelkoa ja epävarmuutta metsään eksyneiden ihmisten sydämissä.</t>
  </si>
  <si>
    <t>Ne elävät suurten puiden koloissa. Nuzleafin ruohohuilun ääni täyttää kuulijat kauhulla.</t>
  </si>
  <si>
    <t>Shiftry</t>
  </si>
  <si>
    <t>Paha Pokémon</t>
  </si>
  <si>
    <t>SHIFTRY on mystinen POKéMON, jonka sanotaan elävän yli tuhat vuotta vanhojen korkeiden puiden latvoissa. Se luo mahtavia myrskyjä kantamiensa viuhkojen avulla.</t>
  </si>
  <si>
    <t>SHIFTRYn suuret tuulettimet tuottavat mahtavia tuulenpuuskia, joiden nopeus on lähes 30 metriä sekunnissa. Nouseva tuuli puhaltaa kaiken pois. Tämä POKéMON haluaa elää hiljaa metsien syvimmässä rauhassa.</t>
  </si>
  <si>
    <t>Sen sanotaan saapuvan kylmien, talvisten tuulien mukana. Tätä metsien suojelijana pelättyä POKéMONia on muinoin pidetty syvässä metsässä, jonne ihmiset eivät uskaltaudu.</t>
  </si>
  <si>
    <t>POKéMON, jota pelättiin metsänvartijana. Se pystyy lukemaan vihollisen ajatukset ja ryhtymään ennaltaehkäiseviin toimiin.</t>
  </si>
  <si>
    <t>Läpyttelemällä lehtiviuhkaansa se voi nostattaa 30 metrin sekuntivauhtia olevia tuulenpuuskia, jotka voivat maan tasalle kaataa taloja.</t>
  </si>
  <si>
    <t>Se elää hiljaa syvässä metsässä. Sen sanotaan luovan viileitä talvituulia pitämillään viuhkoilla.</t>
  </si>
  <si>
    <t>Pokémon, jota pelättiin metsänvartijana. Se pystyy lukemaan vihollisen ajatukset ja ryhtymään ennaltaehkäiseviin toimiin.</t>
  </si>
  <si>
    <t>Läpyttelemällä lehtiviuhkaansa se voi nostattaa 30 metrin tuulenpuuskia sekunnissa, jotka voivat tasoittaa taloja.</t>
  </si>
  <si>
    <t>Shiftry on salaperäinen Pokémon, jonka sanotaan elävän yli tuhat vuotta vanhojen korkeiden puiden latvoissa. Se luo mahtavia myrskyjä pitelemillään viuhkoilla.</t>
  </si>
  <si>
    <t>Shiftryn suuret viuhkat tuottavat mahtavia tuulenpuuskia, joiden nopeus on lähes 30 metriä sekunnissa. Nouseva tuuli puhaltaa kaiken pois. Tämä Pokémon haluaa elää hiljaa metsien syvimmässä rauhassa.</t>
  </si>
  <si>
    <t>Taillow</t>
  </si>
  <si>
    <t>Pieni nielevä-Pokémon</t>
  </si>
  <si>
    <t>TAILLOW puolustaa rohkeasti vihollisia vastaan, olivatpa ne kuinka vahvoja tahansa. Tämä urhea POKéMON pysyy uhmakkaana jopa tappion jälkeen. Toisaalta se itkee äänekkäästi, jos sillä on nälkä.</t>
  </si>
  <si>
    <t>HÄNTÄ on nuori – se on juuri lähtenyt pesästään. Tämän seurauksena siitä tulee joskus yksinäinen ja se itkee öisin. Tämä POKéMON syö metsissä eläviä WURMPLE-hyönteisiä.</t>
  </si>
  <si>
    <t>Vaikka se on pieni, se on erittäin rohkea. Se ottaa yhteen suuremman SKARMORYn kanssa tasavertaisin joukoin. Sen tahto kuitenkin heikkenee, jos se tulee nälkäiseksi.</t>
  </si>
  <si>
    <t>Se ei pidä kylmistä vuodenajoista. Ne muuttavat muille maille etsimään lämpöä ja lentävät yli 290 kilometriä päivässä.</t>
  </si>
  <si>
    <t>Sillä on rohkea luonne, jonka ansiosta se uskaltaa ottaa yhteen kovien vihollisten kanssa. Se lentää etsien lämpimiä ilmastoja.</t>
  </si>
  <si>
    <t>Kun ilma kylmenee, ne muuttavat ja lentävät yli 290 kilometriä päivässä. Ne metsästävät maukasta saalista.</t>
  </si>
  <si>
    <t>Taillow puolustaa rohkeasti vihollisia vastaan, olivatpa ne kuinka vahvoja tahansa. Tämä urhea Pokémon pysyy uhmakkaana jopa tappion jälkeen. Toisaalta se itkee äänekkäästi, jos se tulee nälkäiseksi.</t>
  </si>
  <si>
    <t>Taillow on nuori – se on juuri lähtenyt pesästään. Tämän seurauksena siitä tulee joskus yksinäinen ja se itkee öisin. Tämä Pokémon syö metsissä eläviä wurmpleja.</t>
  </si>
  <si>
    <t>Swellow</t>
  </si>
  <si>
    <t>Niele Pokémon</t>
  </si>
  <si>
    <t>SWELLOW lentää korkealla päämme yläpuolella ja tekee siroja kaaria taivaalla. Tämä POKéMON syöksyy jyrkässä kulmassa heti nähtyään saaliinsa. SWELLOW'n kynnelliset jalat pitävät onnetonta saalista tiukasti otteessaan estäen sitä pakenemasta.</t>
  </si>
  <si>
    <t>SWELLOW on erittäin tunnollinen kiiltävien siipiensä hoidossa. Kun kaksi SWELLOW'ta on koottu yhteen, ne huolehtivat ahkerasti toistensa siipien puhdistamisesta.</t>
  </si>
  <si>
    <t>SWELLOW syöksyy saaliin kimppuun kaukaa. Se ei koskaan osu kohteisiinsa ohi. Se nousee taivaalle etsimään lämpimän ilmaston maita.</t>
  </si>
  <si>
    <t>Jos sen kaksi pyrstösulkaa ovat asennossa, se on osoitus hyvästä terveydestä. Se liitää tyylikkäästi taivaalla.</t>
  </si>
  <si>
    <t>Se kiertää taivasta etsien saalista. Havaittuaan sellaisen se sukeltaa jyrkästi saalista nappaamaan.</t>
  </si>
  <si>
    <t>https://pokeapi.co/api/v2/pokemon-species/223/</t>
  </si>
  <si>
    <t>Se sukeltaa jyrkässä kulmassa heti nähtyään saaliinsa. Se pyydystää saaliinsa terävillä kynsillään.</t>
  </si>
  <si>
    <t>Swellow lentää korkealla päämme yläpuolella tehden siroja kaaria taivaalla. Tämä Pokémon syöksyy jyrkässä kulmassa heti nähtyään saaliinsa. Swellow'n kynnelliset jalat pitävät onnetonta saalista tiukasti otteessaan estäen sitä pakenemasta.</t>
  </si>
  <si>
    <t>Swallow on erittäin tunnollinen kiiltävien siipiensä hoidossa. Kun kaksi Swallow'ta on kerätty yhteen, ne huolehtivat ahkerasti toistensa siipien puhdistamisesta.</t>
  </si>
  <si>
    <t>Wingull</t>
  </si>
  <si>
    <t>Lokki-Pokémon</t>
  </si>
  <si>
    <t>WINGULLilla on tapana kantaa saalista ja arvoesineitä nokassaan ja piilottaa niitä kaikenlaisiin paikkoihin. Tämä POKéMON ratsastaa tuulessa ja lentää kuin se luistelisi taivaalla.</t>
  </si>
  <si>
    <t>WINGULL ratsastaa merestä nousevien ilmavirtausten päällä ojentamalla pitkiä ja kapeita siipiään liitääkseen. Tämän POKéMONin pitkä nokka on hyödyllinen saaliin pyydystämiseen.</t>
  </si>
  <si>
    <t>Se tekee pesänsä jyrkänteelle meren reunalla. Sillä on vaikeuksia pitää siipensä räpytellen lennon aikana. Sen sijaan se nousee ilmaan ylävirtausten mukana.</t>
  </si>
  <si>
    <t>Se ratsastaa merituulien päällä kuin liitokone. Talvella se piilottaa ruokaa pesänsä ympärille.</t>
  </si>
  <si>
    <t>Se tekee pesänsä jyrkille merenrantakallioille. Nousuvirtausten ratsastamana se kohoaa suuriin korkeuksiin.</t>
  </si>
  <si>
    <t>Se pyydystää merituulia pitkillä siivillään ja liitää kuin liitokone. Se taittaa siipensä levätäkseen.</t>
  </si>
  <si>
    <t>Se liitää korkealla taivaalla nousevien ilmavirtojen varassa kuin liitokone. Se kantaa ruokaa nokassaan.</t>
  </si>
  <si>
    <t>Se liitää ylävirtauksissa räpyttelemättä siipiään. Se tekee pesän jyrkille kallioille meren reunalla.</t>
  </si>
  <si>
    <t>Se tekee pesänsä jyrkille kallioille. Merituulen ratsastaessa se liitää avarille taivaille.</t>
  </si>
  <si>
    <t>Wingullilla on tapana kantaa saalista ja arvoesineitä nokassaan ja piilottaa niitä kaikenlaisiin paikkoihin. Tämä Pokémon ratsastaa tuulessa ja lentää kuin se luistelisi taivaalla.</t>
  </si>
  <si>
    <t>https://pokeapi.co/api/v2/pokemon-species/224/</t>
  </si>
  <si>
    <t>Wingull ratsastaa merestä nousevien ilmavirtausten päällä ojentamalla pitkiä ja kapeita siipiään liitääkseen. Tämän Pokémonin pitkä nokka on hyödyllinen saaliin pyydystämiseen.</t>
  </si>
  <si>
    <t>Sen ontot luut lisäävät sen keveyttä. Se levittää siipensä tuuleen ja kohoaa taivaalle.</t>
  </si>
  <si>
    <t>Kalastajat pitävät silmällä Wingullia taivaalla, sillä missä tahansa he liikkuvatkin, valtameri kuhisee varmasti kala-Pokémoneja.</t>
  </si>
  <si>
    <t>Pitkillä, ohuilla siivillään se nappaa yläilmavirtauksia ja lentää liitokoneen tavoin korkealle taivaalle.</t>
  </si>
  <si>
    <t>Se rakentaa pesiä merenrantakallioille. Se kiertää valtameren yllä taivaita etsien lempiruokaansa – wishiwashia.</t>
  </si>
  <si>
    <t>Pelipper</t>
  </si>
  <si>
    <t>Vesilintu-Pokémon</t>
  </si>
  <si>
    <t>PELIPPER on lentävä kuljetusalus, joka kuljettaa pieniä POKéMONeja ja munia valtavan nokkansa sisällä. Tämä POKéMON rakentaa pesänsä jyrkille kallioille, jotka ovat meren rannalla.</t>
  </si>
  <si>
    <t>PELIPPER etsii ruokaa lennon aikana liitämällä aaltojen harjoja. Tämä POKéMON upottaa suuren nokkansa mereen kerätäkseen ruokaa ja nielee sitten kaiken yhdellä isolla kulauksella.</t>
  </si>
  <si>
    <t>Se liitää aaltojen harjoja lentäessään. Havaitessaan saaliin se käyttää suurta nokkaansa nostaakseen sen vedellä. Se suojaa muniaan nokassaan.</t>
  </si>
  <si>
    <t>Se on lentävä kuljetusalus, joka kuljettaa pieniä POKéMONEJA nokassaan. Se kelluu aalloilla lepuuttaakseen siipiään.</t>
  </si>
  <si>
    <t>Se upottaa suuren nokkansa mereen ja kauhoaa sitten mukanaan lukuisia saaliseläimiä veden mukana.</t>
  </si>
  <si>
    <t>Se toimii lähettipalveluna kantamalla pieniä Pokémoneja nokassaan. Se kelluu aalloilla levätäkseen.</t>
  </si>
  <si>
    <t>Se on taivaan sanansaattaja, joka kuljettaa pieniä Pokémoneja ja munia turvaan nokassaan.</t>
  </si>
  <si>
    <t>Se suojelee poikasiaan nokassaan. Se kelluu aalloilla ja lepää niillä tyyninä päivinä.</t>
  </si>
  <si>
    <t>Se kahlaa veden pintaa pitkin, upottaa suuren nokkansa mereen, ahmii mukaansa ruokaa ja vettä ja kantaa niitä.</t>
  </si>
  <si>
    <t>Pelipper on lentävä kuljetusalus, joka kuljettaa pieniä Pokémoneja ja munia valtavan nokkansa sisällä. Tämä Pokémon rakentaa pesänsä jyrkille kallioille, jotka ovat meren rannalla.</t>
  </si>
  <si>
    <t>https://pokeapi.co/api/v2/pokemon-species/225/</t>
  </si>
  <si>
    <t>Pelipper etsii ruokaa lennon aikana liitämällä aaltojen harjoja. Tämä Pokémon upottaa suuren nokkansa mereen kerätäkseen ruokaa ja nielee sitten kaiken yhdellä isolla kulauksella.</t>
  </si>
  <si>
    <t>Sen tilava nokka on niin suuri, että pieni lapsi mahtuu sisään.</t>
  </si>
  <si>
    <t>Ruuan kerääminen on nuorten koiraiden työtä. Ne varastoivat ruokaa tilaviin nokkiinsa ja kantavat sen takaisin muille pesässä odottaville.</t>
  </si>
  <si>
    <t>Se asettaa pieniä Pokémoneja tilavaan nokkaansa ja kantaa niitä mukanaan. Kukaan ei tiedä, minne se ne vie.</t>
  </si>
  <si>
    <t>Se kauhoaa wishiwashin valtavaan nokkaansa ja nielee ne kokonaisina. Se voi ahmia yli 30 kerralla!</t>
  </si>
  <si>
    <t>Ralts</t>
  </si>
  <si>
    <t>Tunne Pokémon</t>
  </si>
  <si>
    <t>RALTS aistii ihmisten tunteita päässään olevien sarvien avulla. Tämä POKéMON esiintyy harvoin ihmisten edessä. Mutta kun se ilmestyy, se lähestyy, jos se aistii henkilön olevan positiivisesti luonteeltaan.</t>
  </si>
  <si>
    <t>RALTSilla on kyky aistia ihmisten tunteita. Jos sen KOULUTTAJA on iloisella tuulella, tämä POKéMON kasvaa iloiseksi ja riemukkaaksi samalla tavalla.</t>
  </si>
  <si>
    <t>RALTSilla on kyky aistia ihmisten ja päässään olevien POKéMONIEN tunteita. Se suojaa, jos se aistii vihamielisyyttä.</t>
  </si>
  <si>
    <t>Se on erittäin herkkä ihmisten ja POKéMONien tunteille. Se piiloutuu, jos se aistii vihamielisyyttä.</t>
  </si>
  <si>
    <t>Se käyttää päässään olevia sarvia aistiakseen ihmisten tunteita. Sen sanotaan ilmestyvän iloisten ihmisten eteen.</t>
  </si>
  <si>
    <t>Jos sen sarvet vangitsevat ihmisten tai Pokémonien lämpimät tunteet, sen keho lämpenee hieman.</t>
  </si>
  <si>
    <t>Sen päässä olevat sarvet antavat sille voimakkaan voiman aistia ihmisten tunteita.</t>
  </si>
  <si>
    <t>Se on erittäin herkkä ihmisten ja Pokémonien tunteille. Se piiloutuu, jos se aistii vihamielisyyttä.</t>
  </si>
  <si>
    <t>Ralts aistii ihmisten tunteet päässään olevien sarvien avulla. Tämä Pokémon esiintyy harvoin ihmisten edessä. Mutta kun se ilmestyy, se lähestyy, jos se aistii henkilön olevan positiivinen.</t>
  </si>
  <si>
    <t>Raltsilla on kyky aistia ihmisten tunteita. Jos sen kouluttaja on iloisella tuulella, tämä Pokémon kasvaa iloiseksi ja riemukkaaksi samalla tavalla.</t>
  </si>
  <si>
    <t>Taipumus suosia pirteäluonteisia ihmisiä synkkien sijaan, mutta iän tai sukupuolen perusteella ei ole havaittu eroa. Tarvitsee lisätutkimusta.</t>
  </si>
  <si>
    <t>Kirlia</t>
  </si>
  <si>
    <t>Tunne-Pokémon</t>
  </si>
  <si>
    <t>Sanotaan, että KIRLIA, joka altistuu KOULUTTAJANSA positiivisille tunteille, kasvaa kauniiksi. Tämä POKéMON hallitsee psykokineettisiä voimia pitkälle kehittyneellä aivollaan.</t>
  </si>
  <si>
    <t>https://pokeapi.co/api/v2/pokemon-species/226/</t>
  </si>
  <si>
    <t>KIRLIA käyttää päässään olevia sarvia vahvistaakseen psykokineettisiä voimiaan. Kun POKéMON käyttää voimaansa, sen ympärillä oleva ilma vääristyy luoden kangastuksia olemattomista maisemista.</t>
  </si>
  <si>
    <t>KIRLIAlla on psyykkinen voima luoda repeämä ulottuvuuksiin ja nähdä tulevaisuuteen. Sen sanotaan tanssivan nautinnosta aurinkoisina aamuina.</t>
  </si>
  <si>
    <t>Sen KOULUTTAJAN iloinen henki antaa sille energiaa sen psykokineettiselle voimalle. Se pyörii ja tanssii ollessaan onnellinen.</t>
  </si>
  <si>
    <t>Se on erittäin herkkä kouluttajansa tunteille. Se tanssii, kun se on onnellinen.</t>
  </si>
  <si>
    <t>Jos sen kouluttaja tulee iloiseksi, se pursuaa energiaa ja tanssii iloisesti pyöriessään ympäriinsä.</t>
  </si>
  <si>
    <t>Sillä on psyykkinen voima, jonka avulla se voi vääristää ympäröivää tilaa ja nähdä tulevaisuuteen.</t>
  </si>
  <si>
    <t>Sen kouluttajan iloinen henki antaa sille energiaa sen psykokineettiselle voimalle. Se pyörii ja tanssii ollessaan onnellinen.</t>
  </si>
  <si>
    <t>Sanotaan, että Kirlia, joka altistuu kouluttajansa positiivisille tunteille, kasvaa kauniiksi. Tämä Pokémon hallitsee psykokineettisiä voimia erittäin kehittyneellä aivollaan.</t>
  </si>
  <si>
    <t>Kirlia käyttää päänsä sarvia vahvistaakseen psykokineettisiä voimiaan. Kun Pokémon käyttää voimaansa, sen ympärillä oleva ilma vääristyy luoden kangastuksia olemattomista maisemista.</t>
  </si>
  <si>
    <t>Se muistuttaa ulkonäöltään neitoa, mutta sillä on outoja voimia heijastaa näkyjä paratiisista. Epäilen, että sen päässä olevat karmiininpunaiset koristeet ovat avain sen kykyihin.</t>
  </si>
  <si>
    <t>Gardevoir</t>
  </si>
  <si>
    <t>Hyväksy Pokémonit</t>
  </si>
  <si>
    <t>GARDEVOIRilla on kyky lukea tulevaisuutta. Jos se aistii uhkaavan vaaran KOULUTTAJAANSA kohtaan, tämän POKéMONin sanotaan vapauttavan psykokineettisen energiansa täydellä teholla.</t>
  </si>
  <si>
    <t>GARDEVOIRilla on psykokineettinen kyky vääristää ulottuvuuksia ja luoda pieni musta aukko. Tämä POKéMON yrittää suojella KOULUTTAJAANSA jopa oman henkensä uhalla.</t>
  </si>
  <si>
    <t>Se ei ilmeisesti tunne painovoiman vetovoimaa, koska se tukee itseään psyykkisellä voimalla. Se antaa henkensä suojellakseen KOULUTTAJAANSA.</t>
  </si>
  <si>
    <t>Sillä on kyky ennustaa tulevaisuutta. Sen voima on huipussaan, kun se suojelee KOULUTTAJAANSA.</t>
  </si>
  <si>
    <t>https://pokeapi.co/api/v2/pokemon-species/227/</t>
  </si>
  <si>
    <t>Se yrittää suojella luotettavaa kouluttajaansa hengellään. Sillä on kyky nähdä tulevaisuuteen.</t>
  </si>
  <si>
    <t>Suojellakseen kouluttajaansa se käyttää kaikki psyykkiset voimansa luodakseen pienen mustan aukon.</t>
  </si>
  <si>
    <t>Se vapauttaa psykokineettistä energiaa täydellä teholla suojellessaan kouluttajaa, johon se on luonut läheisen siteen.</t>
  </si>
  <si>
    <t>Sillä on kyky ennustaa tulevaisuutta. Sen voima on huipussaan, kun se suojelee kouluttajaansa.</t>
  </si>
  <si>
    <t>Gardevoirilla on kyky lukea tulevaisuutta. Jos se aistii kouluttajaansa uhkaavan vaaran, tämän Pokémonin sanotaan vapauttavan psykokineettisen energiansa täydellä teholla.</t>
  </si>
  <si>
    <t>Gardevoirilla on psykokineettinen kyky vääristää ulottuvuuksia ja luoda pieni musta aukko. Tämä Pokémon yrittää suojella kouluttajaansa jopa oman henkensä uhalla.</t>
  </si>
  <si>
    <t>Se omistautuu puolustamaan mestaria, jota se on tullut palvomaan. Sen puhtaanvalkoinen puku, joka muistuttaa aatelisten naisten pukua, on sellaisen puku, joka on valmis vaarantamaan henkensä.</t>
  </si>
  <si>
    <t>Surskit</t>
  </si>
  <si>
    <t>Lammikkoluistelija-Pokémon</t>
  </si>
  <si>
    <t>Jalkojensa kärjistä SURSKIT erittää öljyä, jonka avulla se voi kävellä veden päällä aivan kuin se luistelisi. Tämä POKéMON syö lammikoissa ja järvissä eläviä mikroskooppisia organismeja.</t>
  </si>
  <si>
    <t>Jos SURSKIT aistii vaaran, se erittää päänsä päästä paksua, sokerista siirappia. Jotkut POKéMONIT rakastavat syödä tätä siirappia.</t>
  </si>
  <si>
    <t>Ne kerääntyvät lätäköille iltaisten rankkasateiden jälkeen ja liukuvat veden pinnalla kuin liukuen. Se erittää päästään makean tuoksuista hunajaa.</t>
  </si>
  <si>
    <t>Ne elävät yleensä lammikoissa, mutta iltasateen jälkeen ne saattavat ilmestyä kaupunkien lätäköille.</t>
  </si>
  <si>
    <t>Se näyttää siltä kuin luistelisi veden päällä. Se houkuttelee saalista päänsä päästä leviävällä makealla tuoksulla.</t>
  </si>
  <si>
    <t>Se erittää päänsä kärjestä paksua, makeantuoksuista siirappia. Se elää rikkaruohojen tukemissa lammissa.</t>
  </si>
  <si>
    <t>Jalkojensa kärjistä Surskit erittää öljyä, jonka avulla se voi kävellä veden päällä aivan kuin se luistelisi. Tämä Pokémon syö lammikoissa ja järvissä eläviä mikroskooppisia organismeja.</t>
  </si>
  <si>
    <t>https://pokeapi.co/api/v2/pokemon-species/228/</t>
  </si>
  <si>
    <t>Jos Surskit aistii vaaran, se erittää päänsä päästä paksua, sokerista siirappia. Jotkut Pokémonit rakastavat syödä tätä siirappia.</t>
  </si>
  <si>
    <t>Se liikkuu ikään kuin luistelisi veden pinnalla. Se usein tappelee Kastehämähäkin kanssa ruoasta.</t>
  </si>
  <si>
    <t>Kun tämä Pokémon aistii vaaran, sen pään päästä tihkuu makeaa nestettä. Sen maku inhottaa lintu-Pokémoneja.</t>
  </si>
  <si>
    <t>Hädässä se erittää päänsä päästä makeaa nestettä. Tästä nesteestä tehty siirappi maistuu leivän päällä.</t>
  </si>
  <si>
    <t>Se elää lammikoissa ja soilla, joissa on runsas kasvillisuus. Se usein taistelee kastikehämähäkkien kanssa, joiden elinympäristö ja ruokavalio ovat samankaltaisia.</t>
  </si>
  <si>
    <t>Masquerain</t>
  </si>
  <si>
    <t>Silmämuna-Pokémon</t>
  </si>
  <si>
    <t>MASQUERAIN pelottelee vihollisia antenniensa silmänmuotoisilla kuvioilla. Tämä POKéMON räpyttelee neljää siipeään lentääkseen vapaasti mihin tahansa suuntaan – jopa sivuttain ja taaksepäin – aivan kuin se olisi helikopteri.</t>
  </si>
  <si>
    <t>MASQUERAINin tuntosarvissa on silmän kaltaisia ​​kuvioita, jotka yleensä antavat sille vihaisen ilmeen. Jos "silmät" ovat roikkuneet ja näyttävät surullisilta, sen sanotaan olevan merkki lähestyvästä rankkasateesta.</t>
  </si>
  <si>
    <t>Se pelottelee vihollisia tuntosarviensa suurilla, silmän kaltaisilla kuvioilla. Koska se ei voi lentää, jos sen siivet kastuvat, se suojaa itseään sateelta suurten puiden ja räystäiden alle.</t>
  </si>
  <si>
    <t>Tuntosarvien kuviot muistuttavat silmiä. Sateella ne painavat, mikä tekee lentämisestä mahdotonta.</t>
  </si>
  <si>
    <t>Sen tuntosarvissa on silmäkuviot. Sen neljä siipeä mahdollistavat sen leijumisen ja lentämisen mihin tahansa suuntaan.</t>
  </si>
  <si>
    <t>Se räpyttelee neljää siipeään leijuakseen ja lentääkseen vapaasti mihin tahansa suuntaan – edestakaisin ja sivuille.</t>
  </si>
  <si>
    <t>Masquerain pelottelee vihollisia antenniensa silmänmuotoisilla kuvioilla. Tämä Pokémon räpyttelee neljää siipeään lentääkseen vapaasti mihin tahansa suuntaan – jopa sivuttain ja taaksepäin – aivan kuin se olisi helikopteri.</t>
  </si>
  <si>
    <t>Masquerainin tuntosarvissa on silmän kaltaisia ​​kuvioita, jotka yleensä antavat sille vihaisen ilmeen. Jos "silmät" ovat roikkuneet ja näyttävät surullisilta, sen sanotaan olevan merkki lähestyvästä rankkasateesta.</t>
  </si>
  <si>
    <t>Se pelottelee vihollisia tuntosarviensa silmän kaltaisilla kuvioilla. Sen neljä siipeä mahdollistavat lennon mihin tahansa suuntaan.</t>
  </si>
  <si>
    <t>Sen siivet ja tuntosarvet eivät kestä hyvin kosteutta. Sateen jälkeen se kääntyy aurinkoon kuivuakseen.</t>
  </si>
  <si>
    <t>Naamioitunut pelottelee vihollisia silmätäpliensä silmänkaltaisilla kuvioilla. Jos se ei auta, se pakenee taitavasti neljällä siivellään.</t>
  </si>
  <si>
    <t>Sen ohuet, siipimäiset tuntosarvet vaimentavat ääntä tehokkaasti. Se odottaa sateisia päiviä puiden koloissa.</t>
  </si>
  <si>
    <t>Shroomish</t>
  </si>
  <si>
    <t>KUKKIASET elävät kosteassa maaperässä metsien pimeissä syvyyksissä. Ne nähdään usein liikkumatta pudonneiden lehtien alla. Tämä POKéMON syö kompostia, joka koostuu pudonneista, lahonneista lehdistä.</t>
  </si>
  <si>
    <t>Jos SHROOMISH aistii vaaran, se ravistelee ruumistaan ​​ja levittää itiöitä päälaeltaan. Tämän POKéMONin itiöt ovat niin myrkyllisiä, että ne saavat puut ja rikkaruohot kuihtumaan.</t>
  </si>
  <si>
    <t>Se rakastaa syödä kosteaa, kompostoitua maata metsissä. Jos menet metsään pitkän sateen jälkeen, voit nähdä monia PERUNOITA herkuttelemassa kompostimullalla.</t>
  </si>
  <si>
    <t>Se viihtyy kosteissa paikoissa. Päivällä se pysyy paikallaan metsän varjossa. Se vapauttaa päästään myrkyllistä jauhetta.</t>
  </si>
  <si>
    <t>Se suihkuttaa myrkkyitiöitä päänsä päältä. Nämä itiöt aiheuttavat kipua kaikkialle iholle hengitettynä.</t>
  </si>
  <si>
    <t>https://pokeapi.co/api/v2/pokemon-species/229/</t>
  </si>
  <si>
    <t>Jos se aistii vaaran, se levittää itiöitä päänsä päältä suojellakseen itseään.</t>
  </si>
  <si>
    <t>Shroomish-pokémonit elävät kosteassa maaperässä metsien pimeissä syvyyksissä. Ne nähdään usein liikkumatta pudonneiden lehtien alla. Tämä Pokémon syö kompostia, joka koostuu pudonneista, lahonneista lehdistä.</t>
  </si>
  <si>
    <t>Jos Shroomish aistii vaaran, se ravistelee ruumistaan ​​ja levittää itiöitä päälaeltaan. Tämän Pokémonin itiöt ovat niin myrkyllisiä, että ne saavat puut ja rikkaruohot kuihtumaan.</t>
  </si>
  <si>
    <t>Breloom</t>
  </si>
  <si>
    <t>BRELOOM lähestyy vihollistaan ​​kevyellä ja reippaalla jalkatyöllä ja lyö tätä sitten venytetyillä käsillään. Tämän POKéMONin taistelutekniikka saattaa nyrkkeilijät häpeään.</t>
  </si>
  <si>
    <t>BRELOOMin pyrstöä kiertävät siemenet koostuvat kovettuneista myrkyllisistä itiöistä. Siementen syöminen on kamalaa. Jo pelkkä puraisu tämän POKéMONin siemenestä saa vatsasi kurnimaan.</t>
  </si>
  <si>
    <t>Se levittää itiöitä päälaen rei'istä. Se viihtyy lämpimissä ja kosteissa ilmastoissa. Se syö puita ja kasveja pelloilla ja metsissä.</t>
  </si>
  <si>
    <t>Sen pyrstön siemenet koostuvat myrkyllisistä itiöistä. Se tyrmää viholliset nopeilla, käytännössä näkymättömillä iskuilla.</t>
  </si>
  <si>
    <t>Sen lyhyet kädet venyvät lyödessään. Sen tekniikka on ammattinyrkkeilijöiden veroinen.</t>
  </si>
  <si>
    <t>Se levittää myrkyllisiä itiöitä ja heittää voimakkaita iskuja, kun taas vihollista haittaavat hengitetyt itiöt.</t>
  </si>
  <si>
    <t>Breloom lähestyy vihollistaan ​​kevyellä ja reippaalla jalkatyöllä ja lyö tätä sitten venytetyillä käsillään. Tämän Pokémonin taistelutekniikka saattaa nyrkkeilijät häpeään.</t>
  </si>
  <si>
    <t>Breloomin pyrstöä ympäröivät siemenet koostuvat kovettuneista myrkyllisistä itiöistä. Siementen syöminen on kamalaa. Jo pelkkä puraisu tämän Pokémonin siemenestä saa vatsasi kurnimaan.</t>
  </si>
  <si>
    <t>Slakoth</t>
  </si>
  <si>
    <t>Slacker-Pokémon</t>
  </si>
  <si>
    <t>SLAKOTH lekottelee ympäriinsä yli kaksikymmentä tuntia joka päivä. Koska se liikkuu niin vähän, se ei tarvitse paljon ruokaa. Tämän POKéMONin ainoa päivittäinen ateria koostuu vain kolmesta lehdestä.</t>
  </si>
  <si>
    <t>SLAKOTHin sydän lyö vain kerran minuutissa. Mitä tahansa tapahtuukin, se tyytyy makoilemaan liikkumatta. On harvinaista nähdä tätä POKéMONia liikkeessä.</t>
  </si>
  <si>
    <t>Se nukkuu käytännössä koko päivän ja yön. Se ei vaihda pesäänsä koko elämänsä aikana, mutta joskus se matkustaa pitkiäkin matkoja uimalla joissa.</t>
  </si>
  <si>
    <t>Se nukkuu 20 tuntia päivässä. Yksi sen kyvyistä on tehdä uneliaaksi ne, jotka sen näkevät.</t>
  </si>
  <si>
    <t>Se viettää lähes kaiken päivänsä levittäytyneenä. Jo pelkkä sen näkeminen tekee uneliaaksi.</t>
  </si>
  <si>
    <t>https://pokeapi.co/api/v2/pokemon-species/230/</t>
  </si>
  <si>
    <t>SLAKOTHin loikoilu saa jokaisen sitä katsovan haluamaan tehdä samoin.</t>
  </si>
  <si>
    <t>Jos se syö vain kolme lehteä päivässä, se on kylläinen. Muuten se nukkuu 20 tuntia päivässä.</t>
  </si>
  <si>
    <t>Slakothin loikoilu saa jokaisen sitä katsovan tuntemaan halua tehdä samoin.</t>
  </si>
  <si>
    <t>Slakoth lekottelee ympäriinsä yli 20 tuntia joka päivä. Koska se liikkuu niin vähän, se ei tarvitse paljon ruokaa. Tämän Pokémonin ainoa päivittäinen ateria koostuu vain kolmesta lehdestä.</t>
  </si>
  <si>
    <t>Slakothin sydän lyö vain kerran minuutissa. Mitä tahansa tapahtuukin, se tyytyy makoilemaan liikkumatta. On harvinaista nähdä tätä Pokémonia liikkeessä.</t>
  </si>
  <si>
    <t>Vigoroth</t>
  </si>
  <si>
    <t>Villi apina-Pokémon</t>
  </si>
  <si>
    <t>VIGOROTHilla on aina halu päästä riehaan. Se ei yksinkertaisesti kestä istua paikallaan minuuttiakaan. Tämän POKéMONin stressitaso nousee, jos se ei voi liikkua jatkuvasti.</t>
  </si>
  <si>
    <t>VIGOROTH ei yksinkertaisesti pysty pysymään paikallaan. Jopa yrittäessään nukkua, veri sen suonissa kiihtyy, mikä pakottaa tämän POKéMONin juoksemaan villisti viidakossa ennen kuin se ehtii rauhoittua.</t>
  </si>
  <si>
    <t>Se ei pysty pysymään paikallaan, koska sen veri kiehuu energiasta. Se juoksee peltojen ja vuorten halki koko päivän rauhoittaakseen itseään. Jos se ei pysty, se ei voi nukkua yöllä.</t>
  </si>
  <si>
    <t>Se on aina nälkäinen, koska se ei lakkaa riehumasta. Vaikka se syö, se ei pysy paikallaan.</t>
  </si>
  <si>
    <t>Sen sydän lyö kymmenkertaisella tahdilla, joten se ei pysty istumaan paikallaan hetkeäkään.</t>
  </si>
  <si>
    <t>Sen stressitaso nousee, jos se ei pysty pysymään liikkeessä jatkuvasti. Liika stressi saa sen voimaan sairaasti.</t>
  </si>
  <si>
    <t>Sen sydämenlyönti on nopeaa ja veri niin kiihkeää, ettei se pysty istumaan paikallaan sekuntiakaan.</t>
  </si>
  <si>
    <t>Vigorothilla on aina halu lähteä villiin riehumiseen ja hän on levoton. Se ei yksinkertaisesti kestä istua paikallaan edes minuuttia. Tämän Pokémonin stressitaso nousee, jos se ei voi liikkua jatkuvasti.</t>
  </si>
  <si>
    <t>Vigoroth ei yksinkertaisesti pysty pysymään paikallaan. Jopa yrittäessään nukkua, veri sen suonissa kiihtyy, mikä pakottaa tämän Pokémonin juoksemaan villisti viidakossa ennen kuin se ehtii rauhoittua.</t>
  </si>
  <si>
    <t>Slaking</t>
  </si>
  <si>
    <t>Laiska Pokémon</t>
  </si>
  <si>
    <t>SLAKING viettää koko päivän makuulla ja löhöillen. Se syö ulottuvillaan kasvavaa ruohoa. Jos se syö kaiken ulottuvilleen yltävän ruohon, tämä POKéMON siirtyy vastahakoisesti uuteen paikkaan.</t>
  </si>
  <si>
    <t>Missä tahansa SYLPYJÄT elävätkin, ruohoisille pelloille ilmestyy yli jaardin halkaisijaltaan olevia renkaita. Pokémon tekee niitä syödessään kaiken ulottuvilleen jäävän ruohon maatessaan maassa.</t>
  </si>
  <si>
    <t>SAMMUTTAVIEN laumojen kerääntyy puiden ympärille, kun hedelmät tulevat sesongin puolelle. He odottavat kärsivällisesti kypsyneiden hedelmien putoamista puista.</t>
  </si>
  <si>
    <t>Se on maailman laiskin POKéMON. Se voi kuitenkin käyttää kauhistuttavaa voimaa vapauttamalla patoutunutta energiaa kerralla.</t>
  </si>
  <si>
    <t>Maailman laisin Pokémon. Lekoillessaan se itse asiassa säästää energiaa kostoiskuja varten.</t>
  </si>
  <si>
    <t>Maailman laiskin Pokémon. Se siirtyy uuteen paikkaan, kun sen ulottuvilla ei ole enää ruokaa.</t>
  </si>
  <si>
    <t>https://pokeapi.co/api/v2/pokemon-species/231/</t>
  </si>
  <si>
    <t>Tämä Pokémon makaa kyljellään. Se pyörii ja liikkuu vain, kun syötävää ruohoa ei ole enää jäljellä.</t>
  </si>
  <si>
    <t>Se on maailman laiskin Pokémon. Se voi kuitenkin käyttää kauhistuttavaa voimaa vapauttamalla patoutunutta energiaansa kerralla.</t>
  </si>
  <si>
    <t>Slaking viettää koko päivän makuullaan ja löhöillen. Se syö ulottuvillaan kasvavaa ruohoa. Jos se syö kaiken ulottuvilleen yltävän ruohon, tämä Pokémon siirtyy vastahakoisesti uuteen paikkaan.</t>
  </si>
  <si>
    <t>Missä tahansa Slakingit elävätkin, ruohoisille pelloille ilmestyy yli metrin läpimittaisia ​​renkaita. Pokémonit tekevät niitä syödessään kaiken ulottuvillaan olevan ruohon maatessaan maassa.</t>
  </si>
  <si>
    <t>Nincada</t>
  </si>
  <si>
    <t>Harjoittelija-Pokémon</t>
  </si>
  <si>
    <t>NINCADA elää maan alla monta vuotta täydellisessä pimeydessä. Tämä POKéMON imee ravinteita puiden juurista. Se pysyy liikkumattomana odottaessaan evoluutiota.</t>
  </si>
  <si>
    <t>NINCADA elää maan alla. Se käyttää teräviä kynsiään kaivertaakseen puiden juuria ja imeäkseen kosteutta ja ravinteita. Tämä POKéMON ei kestä kirkasta auringonvaloa, joten se välttelee sitä.</t>
  </si>
  <si>
    <t>Se tekee pesänsä mahtavan puun juurille. Viiksimäisten tuntosarviensa avulla se luotaa ympäristöään maaperän pikimustassa pimeydessä.</t>
  </si>
  <si>
    <t>Koska se eli lähes kokonaan maan alla, se on lähes sokea. Se käyttää sen sijaan tuntosarviaan.</t>
  </si>
  <si>
    <t>Se kasvaa maan alla ja aistii ympäristönsä tuntosarvien avulla käytännössä sokeiden silmiensä sijaan.</t>
  </si>
  <si>
    <t>Se voi joskus elää maan alla yli 10 vuotta. Se imee ravinteita puiden juurista.</t>
  </si>
  <si>
    <t>Nincada elää maan alla monta vuotta täydellisessä pimeydessä. Tämä Pokémon imee ravinteita puiden juurista. Se pysyy liikkumattomana odottaessaan evoluutiota.</t>
  </si>
  <si>
    <t>Nincada elää maan alla. Se käyttää teräviä kynsiään kaivertaakseen puiden juuria ja imeäkseen kosteutta ja ravinteita. Tämä Pokémon ei kestä kirkasta auringonvaloa, joten se välttelee sitä.</t>
  </si>
  <si>
    <t>Ninjask</t>
  </si>
  <si>
    <t>Ninja-Pokémon</t>
  </si>
  <si>
    <t>NINJASK liikkuu niin nopeasti, ettei sitä voida nähdä, vaikka sen itku kuuluu selvästi. Tästä syystä tämän POKéMONin uskottiin pitkään olevan näkymätön.</t>
  </si>
  <si>
    <t>https://pokeapi.co/api/v2/pokemon-species/232/</t>
  </si>
  <si>
    <t>Jos NINJASKIA ei ole koulutettu kunnolla, se kieltäytyy tottelemasta KOULUTTAJAA ja itkee kovaa jatkuvasti. Tämän ominaisuuden vuoksi tämän POKéMONin sanotaan koettelevan KOULUTTAJAN kykyjä.</t>
  </si>
  <si>
    <t>Koska se syöksyy reippaasti ja kovalla nopeudella, sitä on hyvin vaikea nähdä. Sen tunnusomaisen huudon kuuleminen liian pitkään aiheuttaa päänsärkyä.</t>
  </si>
  <si>
    <t>Tämä POKéMON on niin nopea, että sen sanotaan pystyvän välttämään minkä tahansa hyökkäyksen. Se rakastaa puunmahlan syömistä.</t>
  </si>
  <si>
    <t>Koska se liikkuu niin nopeasti, siitä tulee joskus näkymätön. Se kerääntyy puunmahlan ympärille.</t>
  </si>
  <si>
    <t>Sen huuto aiheuttaa pitkäkestoisen päänsäryn, jos sitä kuulee liian kauan. Se liikkuu niin nopeasti, että on lähes näkymätön.</t>
  </si>
  <si>
    <t>Ninjask liikkuu niin nopeasti, ettei sitä voida nähdä, vaikka sen itku kuuluu selvästi. Tästä syystä tätä Pokémonia pidettiin pitkään näkymättömänä.</t>
  </si>
  <si>
    <t>Jos Ninjaskia ei ole koulutettu kunnolla, se kieltäytyy tottelemasta kouluttajaa ja itkee jatkuvasti kovaa. Tämän ominaisuuden vuoksi tämän Pokémonin sanotaan koettelevan kouluttajan kykyjä.</t>
  </si>
  <si>
    <t>Tämä Pokémon on niin nopea, että sen sanotaan pystyvän välttämään minkä tahansa hyökkäyksen. Se rakastaa puunmahlan syömistä.</t>
  </si>
  <si>
    <t>Shedinja</t>
  </si>
  <si>
    <t>Vuodatettu Pokémon</t>
  </si>
  <si>
    <t>SHEDINJAN kova ruumis ei liiku – ei edes nykäise. Itse asiassa sen ruumis näyttää vain ontolta kuorelta. Uskotaan, että tämä POKéMON varastaa hengen jokaiselta, joka kurkistaa sen onttoon ruumiiseen selästä.</t>
  </si>
  <si>
    <t>SHEDINJA on erikoinen POKéMON. Se näyttää ilmestyvän etsimättömänä POKé-PALLOSSA NINCADAN kehittymisen jälkeen. Tämä erikoinen POKéMON on täysin liikkumaton – se ei edes hengitä.</t>
  </si>
  <si>
    <t>Erikoinen POKéMON, joka leijuu ilmassa, vaikka sen siivet pysyvät täysin paikallaan. Sen ruumiin sisäpuoli on ontto ja täysin pimeä.</t>
  </si>
  <si>
    <t>Hyvin erikoinen POKéMON, joka ilmestyy jotenkin POKé-PALLOON, kun NINCADA kehittyy.</t>
  </si>
  <si>
    <t>https://pokeapi.co/api/v2/pokemon-species/233/</t>
  </si>
  <si>
    <t>Hylätty ötökänkuori, joka heräsi eloon. Sen selässä olevaan halkeamaan kurkistamisen sanotaan varastavan hengen.</t>
  </si>
  <si>
    <t>Outo Pokémon – se lentää liikuttamatta siipiään, sillä on ontto kuori ruumiinaan eikä se hengitä.</t>
  </si>
  <si>
    <t>Hyvin erikoinen Pokémon, joka ilmestyy jotenkin Poképalloon Nincadan kehittyessä.</t>
  </si>
  <si>
    <t>Shedinjan kova ruumis ei liiku – ei edes nykäise. Itse asiassa sen ruumis näyttää vain ontolta kuorelta. Uskotaan, että tämä Pokémon varastaa hengen jokaiselta, joka kurkistaa sen onttoon ruumiiseen selästä.</t>
  </si>
  <si>
    <t>Shedinja on erikoinen Pokémon. Se näyttää olevan etsimätön Poképallossa Nincadan kehittyttyä. Tämä erikoinen Pokémon on täysin liikkumaton – se ei edes hengitä.</t>
  </si>
  <si>
    <t>Outo Pokémon – se lentää liikuttamatta siipiään, sillä on ontto kuori vartalonaan eikä se hengitä.</t>
  </si>
  <si>
    <t>Whismur</t>
  </si>
  <si>
    <t>Kuiskaus-Pokémon</t>
  </si>
  <si>
    <t>Normaalisti WHISMURin ääni on hyvin hiljainen – sitä tuskin kuulee, vaikka tarkkailisi tarkasti. Jos tämä POKéMON kuitenkin aistii vaaran, se alkaa itkeä korviahuumaavalla äänenvoimakkuudella.</t>
  </si>
  <si>
    <t>WHISMUR on hyvin arka. Jos se alkaa itkeä kovaa, se säpsähtää omaan itkuunsa ja itkee entistä kovemmin. Kun se lopulta lakkaa itkemästä, POKéMON nukahtaa väsyneenä.</t>
  </si>
  <si>
    <t>Sen huuto vastaa voimakkuudeltaan suihkukoneen ääntä. Se hengittää sisään korvakäytäviensä kautta. Tämän järjestelmän ansiosta se voi itkeä jatkuvasti ilman, että sen tarvitsee vetää henkeä.</t>
  </si>
  <si>
    <t>Se yleensä mumisee, mutta alkaa itkeä kovaa, jos se aistii vaaran. Se pysähtyy, kun sen korvakupit sulkeutuvat.</t>
  </si>
  <si>
    <t>Yleensä sen huudot ovat kuin hiljaista kuiskausta. Jos se pelästyy, se kirkuu samalla äänenvoimakkuudella kuin suihkukone.</t>
  </si>
  <si>
    <t>Jos se aistii vaaran, se pelottaa vihollisen huutamalla suihkukoneen moottorin äänenvoimakkuudella.</t>
  </si>
  <si>
    <t>https://pokeapi.co/api/v2/pokemon-species/234/</t>
  </si>
  <si>
    <t>Normaalisti Whismurin ääni on hyvin hiljainen – sitä tuskin kuulee, vaikka tarkkailisi tarkasti. Jos tämä Pokémon kuitenkin aistii vaaran, se alkaa itkeä korviahuumaavalla äänenvoimakkuudella.</t>
  </si>
  <si>
    <t>Whismur on hyvin arka. Jos se alkaa itkeä kovaa, se säpsähtää omaan itkuunsa ja itkee entistä kovemmin. Kun se lopulta lakkaa itkemästä, Pokémon menee nukkumaan väsyneenä.</t>
  </si>
  <si>
    <t>Whismurin huuto on yli 100 desibeliä. Jos olet lähellä Whismuria sen päästessä huudon, päänsärky jatkuu koko päivän.</t>
  </si>
  <si>
    <t>Kun Whismur itkee, sen oma ääni säikäyttää sen, jolloin Pokémon itkee entistä kovempaa. Se itkee, kunnes on uupunut, ja sitten se nukahtaa.</t>
  </si>
  <si>
    <t>Loudred</t>
  </si>
  <si>
    <t>Isoääninen Pokémon</t>
  </si>
  <si>
    <t>LOUDREDin karjunta voi tuhota puurakenteisen talon täysin. Se käyttää ääntään vihollistensa rankaisemiseen. Tämän POKéMONin pyöreät korvat toimivat kaiuttimina.</t>
  </si>
  <si>
    <t>LOUDRED huutaa polkien jalkojaan. Huutamisen jälkeen tämä POKéMON ei kuule mitään hetkeen. Tätä pidetään heikkona kohtana.</t>
  </si>
  <si>
    <t>Se asettaa pyöreät kaiuttimet päähänsä hyökätäkseen vihollisten kimppuun valtavalla äänenvoimakkuudella toimivilla ultraääniaalloilla. Se rakentaa tehoa polkemalla maata.</t>
  </si>
  <si>
    <t>Kun se tömistää jalkojaan ja palkeitaan, se tuottaa ultraääniaaltoja, jotka voivat räjäyttää talon.</t>
  </si>
  <si>
    <t>Sen huutojen aiheuttamat paineaallot voivat kaataa kuorma-autoja. Se tömistelee jalkojaan saadakseen virtaa.</t>
  </si>
  <si>
    <t>Se huutaa kovaa ääntä hengittämällä ilmaa ja käyttää sitten hyvin kehittyneitä vatsalihaksiaan uloshengitykseen.</t>
  </si>
  <si>
    <t>Loudredin mölinä voi tuhota puurakenteisen talon täysin. Se käyttää ääntään rankaisemaan vihollisiaan. Tämän Pokémonin pyöreät korvat toimivat kaiuttimina.</t>
  </si>
  <si>
    <t>Kovaääninen huuto polkien samalla jalkojaan. Huutamisen jälkeen Pokémon ei kykene hetkeen kuulemaan mitään. Tätä pidetään heikkona kohtanaan.</t>
  </si>
  <si>
    <t>Loudredin korvat toimivat kaiuttimina, ja ne voivat tuottaa niin voimakkaita ääniaaltoja, että ne voisivat puhaltaa pois koko talon.</t>
  </si>
  <si>
    <t>Tämän Pokémonin kovan äänen voima ei ole pelkästään ääni – se on myös ilmanpaineaalto, joka puhaltaa vastustajat pois ja vahingoittaa heitä.</t>
  </si>
  <si>
    <t>https://pokeapi.co/api/v2/pokemon-species/235/</t>
  </si>
  <si>
    <t>Exploud</t>
  </si>
  <si>
    <t>Kovaääninen Pokémon</t>
  </si>
  <si>
    <t>RÄJÄHDYS laukaisee maanjäristyksiä möliessään. Jos tämä POKéMON hengittää voimakkaasti sisään kehonsa aukoista, se on merkki siitä, että se valmistautuu päästämään valtavan mölyn.</t>
  </si>
  <si>
    <t>EKSPLOD viestii tunteistaan ​​muille lähettämällä vihellyksen kaltaisia ​​ääniä kehossaan olevista putkista. Tämä POKéMON korottaa ääntään vain taistelussa.</t>
  </si>
  <si>
    <t>Sillä on ääntä tuottavia elimiä kaikkialla kehossaan. Se kommunikoi muiden kanssa säätämällä huutojensa sävyä ja voimakkuutta.</t>
  </si>
  <si>
    <t>Se päästää erilaisia ​​ääniä rei'istään kaikkialle kehoonsa. Sen kovaääniset huudot voidaan kuulla yli kuuden mailin päähän.</t>
  </si>
  <si>
    <t>Sen ulvonta kuuluu yli kuuden mailin päähän. Se päästää kaikenlaisia ​​ääniä ruumiinsa aukoista.</t>
  </si>
  <si>
    <t>Sen taistelun jylinä järisyttää maata kuin järistys – tai kuin maanjäristys olisi iskenyt.</t>
  </si>
  <si>
    <t>Räjähdys laukaisee maanjäristyksiä mölinällään luomillaan värähtelyillä. Jos tämä Pokémon hengittää rajusti sisään kehonsa suuaukoista, se on merkki siitä, että se valmistautuu päästämään valtavan mölyn.</t>
  </si>
  <si>
    <t>Exploud viestii tunteistaan ​​muille Pokémoneille päästämällä vihellyksen kaltaisia ​​ääniä kehossaan olevista putkista. Tämä Pokémon korottaa ääntään vain taistelussa.</t>
  </si>
  <si>
    <t>Ennen vanhaan ihmiset käyttivät näiden Pokémonien kovia ääniä kommunikointikeinona kaukaisten kaupunkien välillä.</t>
  </si>
  <si>
    <t>Tämä Pokémon osaa muutakin kuin vain huutaa. Kommunikoidakseen muiden lajitovereidensa kanssa se päästää kaikenlaisia ​​ääniä ruumiinsa rei'istä.</t>
  </si>
  <si>
    <t>Makuhita</t>
  </si>
  <si>
    <t>Sisältö-Pokémon</t>
  </si>
  <si>
    <t>MAKUHITA on sitkeä – se nousee ylös ja hyökkää vihollista vastaan ​​riippumatta siitä, kuinka monta kertaa se kaatuu. Joka kerta kun se nousee ylös, tämä POKéMON varastoi kehoonsa lisää energiaa kehittymistä varten.</t>
  </si>
  <si>
    <t>MAKUHITAlla on väsymätön sielu – se ei koskaan menetä toivoaan. Se syö paljon, nukkuu runsaasti ja harjoittelee erittäin ahkerasti. Elämällä tällä tavalla tämä POKéMON täyttää kehonsa energialla.</t>
  </si>
  <si>
    <t>Se rakastaa yli kaiken kehonsa karaistumista. Jos kuulet luolassa tärisevää jyrinää, se on MAKUHITAn rankan harjoittelun ääni.</t>
  </si>
  <si>
    <t>Se vahvistuu kestämällä ankaraa harjoittelua. Se on rohkea POKéMON, joka kestää minkä tahansa hyökkäyksen.</t>
  </si>
  <si>
    <t>Se karaisee ruumistaan ​​paiskautumalla paksuihin puihin. Pesänsä läheltä löytyy monia katkonneita puita.</t>
  </si>
  <si>
    <t>https://pokeapi.co/api/v2/pokemon-species/236/</t>
  </si>
  <si>
    <t>Se karkaistuu törmäämällä yhä uudelleen paksuihin puihin. Se saa vankan vartalon ja pelottoman hengen.</t>
  </si>
  <si>
    <t>Se vahvistuu kestämällä ankaraa koulutusta. Se on rohkea Pokémon, joka kestää minkä tahansa hyökkäyksen.</t>
  </si>
  <si>
    <t>Makuhita on sitkeä – se nousee ylös ja hyökkää vihollisen kimppuun kuinka monta kertaa tahansa, kaatuu se maahan. Joka kerta kun se nousee ylös, tämä Pokémon varastoi kehoonsa lisää energiaa kehittymistä varten.</t>
  </si>
  <si>
    <t>Makuhitalla on väsymätön sielu – se ei koskaan luovu toivosta. Se syö paljon, nukkuu runsaasti ja harjoittelee erittäin tinkimättömästi. Elämällä tällä tavalla tämä Pokémon täyttää kehonsa energialla.</t>
  </si>
  <si>
    <t>Se tuotiin alun perin toiselta alueelta, mutta nykyään Alolasta kotoisin olevat Makuhitat ovat kuuluisampia.</t>
  </si>
  <si>
    <t>Heidän päivärutiiniinsa kuuluu yhteinen harjoittelu aamulla, ruokailu ja päiväunet iltapäivällä ja sen jälkeen lisää harjoittelua.</t>
  </si>
  <si>
    <t>Se harjoittelee läimäytyksiään läimäyttämällä puunrunkoja toistuvasti. Sen tiedetään läimäyttäneen Exeggutoria ja sinkoutuneen pois.</t>
  </si>
  <si>
    <t>Huhutaan perinteisestä muhennosreseptistä, jota kouluttajat voivat käyttää vahvan Makuhitan kasvattamiseen.</t>
  </si>
  <si>
    <t>Hariyama</t>
  </si>
  <si>
    <t>Käsivarren työntö-Pokémon</t>
  </si>
  <si>
    <t>HARIYAMA harjoittelee suorilla käsivarsilla tehtäviä läimäytyksiään lukuisissa eri paikoissa. Yksi tämän POKéMONin voimakas, avokätinen suorilla käsivarsilla tehtävä isku voisi katkaista puhelinpylvään kahtia.</t>
  </si>
  <si>
    <t>HARIYAMAn paksu vartalo saattaa näyttää lihavalta, mutta se on itse asiassa massiivinen lihasmassa. Jos tämä POKéMON iskee alas ja jännittää kaikki lihaksensa, sen vartalosta tulee kivikova.</t>
  </si>
  <si>
    <t>Sillä on tapana haastaa muita epäröimättä voimakokeisiin. Sen tiedetään seisovan junaraiteilla ja pysäyttävän junia kyynärvarsiliikkeillä.</t>
  </si>
  <si>
    <t>Se polkee maata kerätäkseen voimaa. Se voi lähettää 10 tonnin kuorma-auton ilmaan suoralla kädeniskulla.</t>
  </si>
  <si>
    <t>Se rakastaa kilpailla voimakkaiden Pokémonien kanssa. Se voi lyödä kuorma-auton ilmaan käsivarsillaan.</t>
  </si>
  <si>
    <t>https://pokeapi.co/api/v2/pokemon-species/237/</t>
  </si>
  <si>
    <t>Se rakastaa haastaa muita voimakokeisiin. Sillä on kyky pysäyttää juna läimäyksellä.</t>
  </si>
  <si>
    <t>Hariyama harjoittelee suorilla käsivarsilla tehtäviä läimäytyksiään lukuisissa eri paikoissa. Yksi tämän Pokémonin voimakas, avokätinen suorilla käsivarsilla tehtävä isku voisi katkaista puhelinpylvään kahtia.</t>
  </si>
  <si>
    <t>Hariyaman paksu vartalo saattaa näyttää lihavalta, mutta se on itse asiassa jäykkä lihaskasa. Jos tämä Pokémon painaa päätään ja jännittää kaikki lihaksensa, sen vartalosta tulee kivikova.</t>
  </si>
  <si>
    <t>Se tunnetaan fantastisesta voimastaan, mutta vanhetessaan se keskittyy enemmän Makuhitan kouluttamiseen.</t>
  </si>
  <si>
    <t>He rakastavat vertailla omituista voimaansa – niin voimakasta, että se saisi kuorma-auton lentoon yhdellä läimäyksellä.</t>
  </si>
  <si>
    <t>Vaikka he nauttivat voimiensa vertailusta, he ovat myös ystävällisiä. He arvostavat etikettiä ja ylistävät vastustajia, joita vastaan ​​he taistelevat.</t>
  </si>
  <si>
    <t>Isot ja lihavat Hariyamat eivät välttämättä ole vahvoja. On myös pieniä, jotka liikkuvat ketterästi ja käyttävät liikkeitään taitavasti.</t>
  </si>
  <si>
    <t>Azurill</t>
  </si>
  <si>
    <t>Pilkullinen Pokémon</t>
  </si>
  <si>
    <t>AZURILL pyörittää häntäänsä kuin lassona ja heittää sen sitten kauas. Heiton vauhti lennättää myös sen ruumiin. Tämän ainutlaatuisen toiminnon avulla yksi näistä POKéMONeista onnistui heittäytymään ennätykselliset 10 metriä.</t>
  </si>
  <si>
    <t>AZURILLin häntä on suuri ja kimmoisa. Se on täynnä ravinteita, joita tämä POKéMON tarvitsee kasvaakseen. AZURILLin voi nähdä pomppivan ja leikkivän isolla, kumimaisella hännällään.</t>
  </si>
  <si>
    <t>Sen ravinteita täynnä oleva häntä on hyvin kimmoisa kuin kumipallo. Aurinkoisina päivinä ne kerääntyvät veden reunalle ja polskuvat hauskaa.</t>
  </si>
  <si>
    <t>Se taistelee heittelemällä pyrstöään, joka on sen vartaloa suurempi. Pyrstö toimii kelluntavälineenä vedessä.</t>
  </si>
  <si>
    <t>https://pokeapi.co/api/v2/pokemon-species/238/</t>
  </si>
  <si>
    <t>Veden äärellä elävä Pokémon. Se liikkuu nopeasti maalla pomppimalla isolla hännällään.</t>
  </si>
  <si>
    <t>Sen häntä on täynnä kasvulle välttämättömiä ravinteita. Se leikkii pomppimalla hännällään.</t>
  </si>
  <si>
    <t>Sen häntä pomppii kuin kumipallo. Se heittelee häntäänsä taistellakseen itseään suurempia vastustajia vastaan.</t>
  </si>
  <si>
    <t>Sen häntä on täynnä ravinteita, joita se tarvitsee kasvaakseen.</t>
  </si>
  <si>
    <t>Se heilauttaa suurta, ravinteita täynnä olevaa häntäänsä taistellakseen itseään suurempia vastustajia vastaan.</t>
  </si>
  <si>
    <t>Azurill pyörittää häntäänsä kuin se olisi lassonso ja heittää sen sitten kauas. Heiton vauhti lennättää myös sen ruumiin. Tällä ainutlaatuisella toiminnolla yksi näistä Pokémoneista onnistui heittäytymään ennätykselliset 10 metriä.</t>
  </si>
  <si>
    <t>Azurillin häntä on suuri ja kimmoisa. Se on täynnä ravinteita, joita tämä Pokémon tarvitsee kasvaakseen. Azurillin voi nähdä pomppivan ja leikkivän isolla, kumimaisella hännällään.</t>
  </si>
  <si>
    <t>Azurillin hännässä oleva pallo pomppii kuin kumipallo ja se on täynnä ravinteita, joita Pokémon tarvitsee kasvaakseen.</t>
  </si>
  <si>
    <t>Vaikka Azurillit ovat normaalisti säyseitä, vihainen yksilö pyörii ison pallon ympärillä hännällään ja yrittää murskata vastustajansa.</t>
  </si>
  <si>
    <t>Nosepass</t>
  </si>
  <si>
    <t>Kompassi-Pokémon</t>
  </si>
  <si>
    <t>NOSEPASSin magneettinen nenä osoittaa aina pohjoiseen. Jos kaksi tällaista POKéMONia kohtaa, ne eivät voi kääntää kasvojaan toisiaan kohti ollessaan lähellä toisiaan, koska niiden magneettiset nenät hylkivät toisiaan.</t>
  </si>
  <si>
    <t>NOSEPASSin aiemmin sanottiin olevan täysin liikkumaton ja sen magneettinen nenä osoittaa suoraan pohjoiseen. Lähemmät havainnot ovat kuitenkin paljastaneet, että POKéMON todellisuudessa liikkuu hieman yli 1 cm vuodessa.</t>
  </si>
  <si>
    <t>Sen ruumis säteilee voimakasta magnetismia. Se syö saalista, jota voima vetää puoleensa. Sen magnetismi on voimakkaampaa kylminä vuodenaikoina.</t>
  </si>
  <si>
    <t>Sen magneettinen nenä osoittaa jatkuvasti pohjoiseen. Matkustajat tarkistavat NOSEPASSin avulla suuntimansa.</t>
  </si>
  <si>
    <t>Sen nenä on kuin magneetti. Tämän seurauksena tämä Pokémon pitää kasvonsa aina pohjoiseen päin.</t>
  </si>
  <si>
    <t>https://pokeapi.co/api/v2/pokemon-species/239/</t>
  </si>
  <si>
    <t>Uhanalaisena se voi suojella itseään lisäämällä magnetismiaan ja vetämällä rautaesineitä puoleensa.</t>
  </si>
  <si>
    <t>Jos kaksi näistä kohtaa, ne eivät pääse liian lähelle toisiaan, koska niiden nenät hylkivät toisiaan.</t>
  </si>
  <si>
    <t>Sen magneettinen nenä osoittaa aina pohjoiseen ja vetää rautaesineitä puoleensa suojatakseen itseään paremmin.</t>
  </si>
  <si>
    <t>Sen magneettinen nenä osoittaa jatkuvasti pohjoiseen. Matkailijat tarkistavat Nosepassin avulla suuntimansa.</t>
  </si>
  <si>
    <t>Nosepassin magneettinen nenä osoittaa aina pohjoiseen. Jos kaksi näistä Pokémoneista kohtaa, ne eivät voi kääntää kasvojaan toisiaan kohti ollessaan lähellä toisiaan, koska niiden magneettiset nenät hylkivät toisiaan.</t>
  </si>
  <si>
    <t>Nosepassin sanottiin olevan täysin liikkumaton, ja sen magneettinen nenä osoittaa suoraan pohjoiseen. Lähemmät havainnot ovat kuitenkin paljastaneet, että Pokémon itse asiassa liikkuu hieman yli 1,25 senttimetriä vuodessa.</t>
  </si>
  <si>
    <t>Nosepassin nenässä oleva magneetti tarjoaa erehtymättömän kompassin, mikä tekee siitä erinomaisen kumppanin matkalle lähdössä oleville kouluttajille.</t>
  </si>
  <si>
    <t>Se käyttää voimakasta magnetismia vetääkseen saaliinsa itseään kohti. Sen tiedetään myös vetävän puoleensa metallia, jota se kerää ja käyttää suojellakseen itseään.</t>
  </si>
  <si>
    <t>Se liikkuu alle tuuman vuodessa, mutta tukossa ollessaan se pyörähtää ja porautuu maahan sekunnin murto-osassa.</t>
  </si>
  <si>
    <t>Se metsästää nykäisemättä lihaksiaan vetämällä saalistaan ​​puoleensa voimakkaalla magnetismilla. Mutta joskus se vetää luonnolliset viholliset lähelleen.</t>
  </si>
  <si>
    <t>Kun Hisuin asukkaat huomasivat, että sen punainen nenä osoittaa aina pohjoiseen, he alkoivat luottaa siihen suuresti matkustaessaan kaukaa. Nenä näyttää toimivan samalla tavalla kuin muinaiset kompassit.</t>
  </si>
  <si>
    <t>Skitty</t>
  </si>
  <si>
    <t>Kissanpentu-Pokémon</t>
  </si>
  <si>
    <t>SKITTYllä on tapana kiehtoutua liikuteltavista esineistä ja jahdata niitä. Tämä POKéMON tunnetaan siitä, että se jahtaa omaa häntäänsä ja saa huimausta.</t>
  </si>
  <si>
    <t>SKITTY tunnetaan leikkisästä omasta häntäänsä jahtaamisesta. Luonnossa tämä POKéMON elää metsien puiden koloissa. Se on erittäin suosittu lemmikki suloisen ulkonäkönsä ansiosta.</t>
  </si>
  <si>
    <t>SKITTYn ihastuttavan söpö käytös tekee siitä erittäin suositun. Taistelussa se pöyhii häntäänsä. Se uhkaa vihollisia terävällä murahduksella.</t>
  </si>
  <si>
    <t>Sen luottamuksen sanotaan olevan vaikea ansaita. Se on kuitenkin erittäin suosittu söpön ulkonäkönsä ja käytöksensä vuoksi.</t>
  </si>
  <si>
    <t>Se ei voi estää itseään jahtaamasta liikkuvia asioita, ja se juoksee ympyrää jahdaten omaa häntäänsä.</t>
  </si>
  <si>
    <t>Se on suloinen jahdatessaan omaa häntäänsä. Sen luottamuksen ansaitseminen on vaikeaa.</t>
  </si>
  <si>
    <t>https://pokeapi.co/api/v2/pokemon-species/240/</t>
  </si>
  <si>
    <t>Se näyttää söpön puolensa jahtaamalla omaa häntäänsä, kunnes sitä alkaa huimata.</t>
  </si>
  <si>
    <t>Skittyllä on tapana kiehtoutua liikuteltavista esineistä ja jahdata niitä. Tämän Pokémonin tiedetään jahtaavan omaa häntäänsä ja saavan huimausta.</t>
  </si>
  <si>
    <t>Skitty tunnetaan leikkisästä omasta häntäänsä jahtaamisesta. Luonnossa tämä Pokémon elää metsien puiden koloissa. Se on erittäin suosittu lemmikki suloisen ulkonäkönsä ansiosta.</t>
  </si>
  <si>
    <t>Delcatty</t>
  </si>
  <si>
    <t>Prim-Pokémon</t>
  </si>
  <si>
    <t>DELCATTY haluaa elää vapaata elämää, jossa se voi tehdä mitä haluaa omaan tahtiinsa. Koska tämä POKéMON syö ja nukkuu milloin haluaa, sen päivittäiset rutiinit ovat täysin satunnaisia.</t>
  </si>
  <si>
    <t>DELCATTY nukkuu missä haluaa ilman pysyvää pesää. Jos muut POKéMONit lähestyvät sitä sen nukkuessa, tämä POKéMON ei koskaan taistele – se vain siirtyy pois jonnekin muualle.</t>
  </si>
  <si>
    <t>Pysyvän pesän sijaan se etsii yleensä mukavia paikkoja ja nukkuu siellä. Se on yöeläin ja aktivoituu hämärän laskeuduttua.</t>
  </si>
  <si>
    <t>Trenditietoisten naisten lenkkareiden suosikkeja, joita käytetään kilpailuissa tyylinsä ja turkkinsa vuoksi.</t>
  </si>
  <si>
    <t>Se on erittäin suosittu naaraspuolisten kouluttajien keskuudessa sen upean turkin vuoksi. Se ei pidä pesää.</t>
  </si>
  <si>
    <t>Se ei pidä likaisista paikoista. Se etsii usein mukavaa paikkaa, jossa hoitaa itseään.</t>
  </si>
  <si>
    <t>Syy siihen, miksi sillä ei ole pesää, on se, että se yksinkertaisesti etsii puhtaan ja mukavan paikan ja nukkuu siellä.</t>
  </si>
  <si>
    <t>Delcatty haluaa elää vapaata elämää, jossa se voi tehdä mitä haluaa omaan tahtiinsa. Koska tämä Pokémon syö ja nukkuu milloin haluaa, sen päivittäiset rutiinit ovat täysin satunnaisia.</t>
  </si>
  <si>
    <t>Delcatty nukkuu missä haluaa ilman pysyvää pesää. Jos muut Pokémonit lähestyvät sitä sen nukkuessa, tämä Pokémon ei koskaan taistele – se vain siirtyy pois jonnekin muualle.</t>
  </si>
  <si>
    <t>Sableye</t>
  </si>
  <si>
    <t>SABLEYE-pokémonit elävät hiljaista elämää luolien syvyyksissä. Niitä kuitenkin pelätään, koska näiden POKéMONien uskotaan varastavan ihmisten henget, kun heidän silmänsä palavat pahaenteisesti pimeydessä.</t>
  </si>
  <si>
    <t>https://pokeapi.co/api/v2/pokemon-species/241/</t>
  </si>
  <si>
    <t>SABLEYE kaivaa maata teroitetuilla kynsillään löytääkseen syötäviä kiviä. Syötyjen kivien sisältämät aineet kiteytyvät ja nousevat POKéMONin kehon pinnalle.</t>
  </si>
  <si>
    <t>Se kaivaa haaroittuvia reikiä luoliin terävillä kynsillään etsiessään ruokaa – raakoja jalokiviä. SABLEYE väijyy pimeydessä ja sitä nähdään vain harvoin.</t>
  </si>
  <si>
    <t>Se syö jalokivikiteitä. Pimeydessä sen silmät kimaltelevat jalokivien loistoa.</t>
  </si>
  <si>
    <t>Se piileskelee luolien pimeydessä. Sen jalokiviruokavalio on muuttanut sen silmät jalokiviksi.</t>
  </si>
  <si>
    <t>Se asuu luolien pimeydessä. Se käyttää teräviä kynsiään kaivaakseen esiin jalokiviä ravinnokseen.</t>
  </si>
  <si>
    <t>Sableye-pokémonit elävät hiljaista elämää luolien syvyyksissä. Niitä kuitenkin pelätään, koska näiden Pokémonien uskotaan varastavan ihmisten henget, kun heidän silmänsä palavat pahaenteisesti pimeydessä.</t>
  </si>
  <si>
    <t>Sableye kaivaa maata teroitetuilla kynsillään löytääkseen syötäviä kiviä. Syötyjen kivien sisältämät aineet kiteytyvät ja nousevat Pokémonin kehon pinnalle.</t>
  </si>
  <si>
    <t>Se on jalokivien ystävä, joten se vaanii Carbinkia. Valitettavasti Gabite nappaa ne melkein aina ensin.</t>
  </si>
  <si>
    <t>Tätä Pokémonia pelätään. Kun sen jalokivisilmät alkavat hehkua pahaenteisesti, uskotaan, että Sableye varastaa ihmisten henget.</t>
  </si>
  <si>
    <t>Se kaivautuu maan läpi kovilla kynsillään ja murskaa jalokiviä paksuilla, terävillä hampaillaan. Hiili on sen lempiruokaa.</t>
  </si>
  <si>
    <t>Sen syömistä jalokivistä peräisin olevat materiaalit kelluvat sen kehon pinnalle ja voivat muodostaa äärettömän määrän kuvioita yksilöiden välille.</t>
  </si>
  <si>
    <t>Mawile</t>
  </si>
  <si>
    <t>Pettäjä-Pokémon</t>
  </si>
  <si>
    <t>MAWHILEn valtavat leuat ovat itse asiassa muuntuneita terässarvia. Sen säyseä ilme tuudittaa vihollisen hellittämään vartijansa. Kun vihollinen sitä vähiten odottaa, MAWHILE jyrää sitä ammottavilla leuoillaan.</t>
  </si>
  <si>
    <t>Älä anna tämän POKéMONin suloisen naaman hämätä sinua – se on erittäin vaarallinen. MAWILE huijaa vihollisen hellittämään vartiotaan ja sitten jyskyttää häntä massiivisilla leuoillaan. Teräksiset leuat ovat oikeasti muuntuneita sarvia.</t>
  </si>
  <si>
    <t>Sen jättimäiset leuat ovat itse asiassa terässarvia, jotka muuttuivat. Se huijaa viholliset tyytyväisyyteen ihastuttavilla eleillään ja sitten jyrää heitä valtavilla leuoillaan.</t>
  </si>
  <si>
    <t>Se käyttää säyseän näköistä naamaansa tuudittaakseen viholliset tyytyväisyyteen ja puree sitten valtavilla, armottomilla leuoillaan.</t>
  </si>
  <si>
    <t>Sen päähän on kiinnitetty valtava sarvien muodostama leukojen sarja. Se voi pureskella rautapalkkien läpi.</t>
  </si>
  <si>
    <t>Se jyrsöi ammottavalla suullaan. Sen valtavat leuat ovat itse asiassa muuttuneita terässarvia.</t>
  </si>
  <si>
    <t>Mawilen valtavat leuat ovat itse asiassa muuttuneita terässarvia. Sen säyseä ilme tuudittaa vihollisen hellittämään vartijansa. Kun vihollinen sitä vähiten odottaa, Mawile jyrää sitä ammottavilla leuoillaan.</t>
  </si>
  <si>
    <t>Älä anna tämän Pokémonin suloisen naaman hämätä sinua – se on erittäin vaarallinen. Mawile huijaa vihollisen hellittämään vartiotaan ja sitten jyskyttää häntä massiivisilla leuoillaan. Teräksiset leuat ovat oikeasti muuntuneita sarvia.</t>
  </si>
  <si>
    <t>Tämä ovela ja pelottava Pokémon on söpöytensä ansiosta pettänyt vastustajat – ja lopulta se nielee heidät kokonaisina valtavilla leuoillaan.</t>
  </si>
  <si>
    <t>Sillä on kaksi suuta. Sen pään takaosassa olevat suuret leuat eivät maista mitään, joten se syö sitä suuta ruokia, joista se ei pidä.</t>
  </si>
  <si>
    <t>https://pokeapi.co/api/v2/pokemon-species/242/</t>
  </si>
  <si>
    <t>Aron</t>
  </si>
  <si>
    <t>Rautahaarniska-Pokémon</t>
  </si>
  <si>
    <t>Tämän POKéMONin ruumis on terästä. ARON käyttää ruumiinsa valmistuksessa vuorista kaivamaansa rautamalmia. Toisinaan se aiheuttaa suuria ongelmia syömällä siltoja ja kiskoja.</t>
  </si>
  <si>
    <t>ARONin runko on terästä. Yhdellä täysillä latauksilla tämä POKéMON voi tuhota jopa raskaan kippiauton. Tuhoutuneesta kippiautosta tulee sitten kätevä ateria POKéMONille.</t>
  </si>
  <si>
    <t>Teräspanssariin puettu POKéMON. Uusi haarniska luodaan sen kehittyessä. Vanha, hylätty haarniska kierrätetään metallina rautatuotteiden valmistamiseksi.</t>
  </si>
  <si>
    <t>Se syö rautaa rakentaakseen teräsrunkonsa. Se on tuholainen, joka laskeutuu vuorilta syömään siltoja ja rautatiekiskoja.</t>
  </si>
  <si>
    <t>Se elää yleensä syvällä vuoristossa. Nälkä voi kuitenkin ajaa sen syömään rautatiekiskoja ja autoja.</t>
  </si>
  <si>
    <t>Kehittyessään se luopuu koko ruumiinsa peittäneestä teräskilvestä ja kehittää uuden.</t>
  </si>
  <si>
    <t>Teräsrunkonsa vahvistamiseksi se syö rautamalmia. Tämä ärsyttävä Pokémon tunnetaan rautatiekiskojen syömisestä.</t>
  </si>
  <si>
    <t>Tämän Pokémonin ruumis on terästä. Ruumiinsa Aron syö vuorista kaivamaansa rautamalmia. Toisinaan se aiheuttaa suuria ongelmia syömällä siltoja ja kiskoja.</t>
  </si>
  <si>
    <t>Aronilla on teräsrunko. Yhdellä täysillä rynnäköllä tämä Pokémon voi tuhota jopa raskaan kippiauton. Tuhotusta kippiautosta tulee sitten kätevä ateria Pokémonille.</t>
  </si>
  <si>
    <t>Se syö rautamalmia – ja joskus rautatiekiskoja – rakentaakseen teräspanssarin, joka suojaa sen kehoa.</t>
  </si>
  <si>
    <t>Kun Aron kehittyy, sen teräspanssari irtoaa. Muinaisina aikoina ihmiset keräsivät Aronin riisuman haarniskan ja käyttivät sitä hyväkseen jokapäiväisessä elämässään.</t>
  </si>
  <si>
    <t>Lairon</t>
  </si>
  <si>
    <t>LAIRON karaisee teräskehoaan juomalla erittäin ravitsevaa mineraalilähdevettä, kunnes se turvottaa. Tämä POKéMON tekee pesänsä lähelle herkullisen veden lähteitä.</t>
  </si>
  <si>
    <t>LAIRON syö kivissä ja vedessä olevaa rautaa. Se pesii vuorille, joille on haudattu rautamalmia. Tämän seurauksena POKéMONit ottavat usein yhteen rautamalmia louhivien ihmisten kanssa.</t>
  </si>
  <si>
    <t>Kun kaksi LAIRONIA kohtaavat luonnossa, ne taistelevat reviiristä törmäämällä toisiinsa teräsvartaloillaan. Törmäyksen ääni kantautuu kilometrien päähän.</t>
  </si>
  <si>
    <t>Se tavallisesti esittelee voimaansa kipinöiden koolla, jonka se luo törmäämällä teräsrunkollaan lohkareisiin.</t>
  </si>
  <si>
    <t>Se kaivaa rautamalmia saadakseen ruokaa. Se murskaa teräsrunkoista ruumistaan ​​muita vastaan ​​taistellakseen alueesta.</t>
  </si>
  <si>
    <t>https://pokeapi.co/api/v2/pokemon-species/243/</t>
  </si>
  <si>
    <t>Se rakastaa rautamalmia. Ne taistelevat laumoittain alueesta hakkaamalla toisiaan teräsruumiillaan.</t>
  </si>
  <si>
    <t>Laironit taistelevat alueesta, ja kun heidän teräsruumiinsa törmäävät toisiinsa, kipinät sinkoilevat.</t>
  </si>
  <si>
    <t>Lairon karaisee teräksistä kehoaan juomalla erittäin ravitsevaa mineraalilähdevettä, kunnes se turvottaa itseään. Tämä Pokémon tekee pesänsä lähelle herkullisen veden lähteitä.</t>
  </si>
  <si>
    <t>Lairon syö kivissä ja vedessä olevaa rautaa. Se tekee pesänsä vuorille, joille on haudattu rautamalmia. Tämän seurauksena Pokémonit usein törmäävät rautamalmia louhivien ihmisten kanssa.</t>
  </si>
  <si>
    <t>Laironit elävät lähdeveden ja rautamalmin pursuamissa vuorissa, joten nämä Pokémonit ovat usein joutuneet konfliktiin ihmisten kanssa menneisyydessä.</t>
  </si>
  <si>
    <t>Aluekiistojen aikana Laironit taistelevat törmäämällä toisiinsa. Heidän teräshaarniskansa tarkka tarkastelu paljastaa naarmuja ja kolhuja.</t>
  </si>
  <si>
    <t>Aggron</t>
  </si>
  <si>
    <t>AGGRON pitää kokonaista vuorta omana alueenaan. Se hakkaa armottomasti kaiken, mikä häiritsee sen ympäristöä. Tämä POKéMON partioi valppaasti aluettaan jatkuvasti.</t>
  </si>
  <si>
    <t>AGGRON on yllättävän suojelevainen ympäristöään kohtaan. Jos sen vuori joutuu maanvyörymän tai tulipalon runtelemaksi, tämä POKéMON kuljettaa pintamaata alueelle, istuttaa puita ja ennallistaa kauniisti oman alueensa.</t>
  </si>
  <si>
    <t>Sen rautasarvet pitenevät vähän kerrallaan. Niitä käytetään AGGRONin iän määrittämiseen. Sen haarniskareikiä käytetään ylpeydellä muistoina taisteluista.</t>
  </si>
  <si>
    <t>Se väittää suuren vuoren olevan ainoa alueensa. Se pieksee armottomasti niitä, jotka loukkaavat sen tilaa.</t>
  </si>
  <si>
    <t>Etsiessään rautaa ravinnokseen se kaivaa tunneleita murtautumalla kallioperän läpi terässarveillaan.</t>
  </si>
  <si>
    <t>Sen iän voi päätellä sen rautasarvien pituudesta. Se väittää kokonaisen vuoren olevan sen alue.</t>
  </si>
  <si>
    <t>https://pokeapi.co/api/v2/pokemon-species/244/</t>
  </si>
  <si>
    <t>Se väittää kokonaisen vuoren omakseen. Mitä enemmän sillä on haavoja, sitä enemmän se on taistellut, joten älä ota sitä kevyesti.</t>
  </si>
  <si>
    <t>Aggron pitää kokonaista vuorta omana alueenaan. Se hakkaa armottomasti kaiken, mikä häiritsee sen ympäristöä. Tämä Pokémon partioi valppaasti aluettaan jatkuvasti.</t>
  </si>
  <si>
    <t>Aggron suojelee ympäristöään. Jos sen vuori tuhoutuu maanvyörymässä tai tulipalossa, tämä Pokémon kuljettaa pintamaata alueelle, istuttaa puita ja ennallistaa kauniisti oman alueensa.</t>
  </si>
  <si>
    <t>Aggronilla on niin terävä sarvi, että se pystyy lävistämään paksuja rautalevyjä. Se kaataa vastustajansa törmäämällä heihin sarvi edellä.</t>
  </si>
  <si>
    <t>Kauan sitten eli kuningas, jonka kypärän tarkoituksena oli muistuttaa Aggronin päätä. Hän yritti kanavoida Pokémonin voimaa.</t>
  </si>
  <si>
    <t>Meditite</t>
  </si>
  <si>
    <t>Meditoi Pokémon</t>
  </si>
  <si>
    <t>MEDITITE suorittaa tiukkaa henkistä harjoittelua syvällä vuoristossa. Meditoidessaan tämä POKéMON kuitenkin menettää keskittymiskykynsä ja tarkkaavaisuutensa. Tämän seurauksena sen harjoittelu ei koskaan lopu.</t>
  </si>
  <si>
    <t>MEDITITE lisää sisäistä energiaansa meditaation avulla. Se selviää vain yhdellä marjalla päivässä. Minimaalinen syöminen on toinen osa tätä POKéMONia harjoitellessaan.</t>
  </si>
  <si>
    <t>Se meditoi jatkuvasti tuntikausia joka päivä. Tiukan ja omistautuneen joogaharjoittelun ansiosta se on karaissut henkistä voimaansa niin paljon, että se voi lentää.</t>
  </si>
  <si>
    <t>Se ei koskaan jätä väliin päivittäistä joogaharjoitusta. Se lisää sisäistä voimaansa meditaation avulla.</t>
  </si>
  <si>
    <t>Se syö vain yhden marjan päivässä. Nälkäisyys hillitsee ja terävöittää sen mieltä.</t>
  </si>
  <si>
    <t>Se ei koskaan unohda päivittäisiä joogaharjoituksiaan ja lisää henkistä voimaansa meditaation avulla.</t>
  </si>
  <si>
    <t>Se harjoittelee aina syvällä vuoristossa. Se leijuu, kun se lisää henkistä voimaansa meditaation avulla.</t>
  </si>
  <si>
    <t>Se meditoi lisätäkseen sisäistä energiaansa ja leijuakseen ilmassa. Se syö yhden marjan päivässä.</t>
  </si>
  <si>
    <t>https://pokeapi.co/api/v2/pokemon-species/245/</t>
  </si>
  <si>
    <t>Meditoitunut Pokémon suorittaa tiukkaa henkistä harjoittelua syvällä vuoristossa. Meditoidessaan tämä Pokémon kuitenkin menettää keskittymiskykynsä ja tarkkaavaisuutensa. Tämän seurauksena sen harjoittelu ei koskaan lopu.</t>
  </si>
  <si>
    <t>Meditoitunut Pokémon lisää sisäistä energiaansa meditaation avulla. Se selviää vain yhdellä marjalla päivässä. Minimaalinen syöminen on toinen osa tämän Pokémonin harjoittelua.</t>
  </si>
  <si>
    <t>Medicham</t>
  </si>
  <si>
    <t>Sanotaan, että meditaation avulla MEDICHAM voimistaa kehonsa energiatasoa ja terävöittää kuudetta aistiaan. Tämä POKéMON kätkee läsnäolonsa sulautumalla peltoihin ja vuoriin.</t>
  </si>
  <si>
    <t>Meditaation voimalla MEDICHAM kehitti kuudennen aistinsa. Se sai kyvyn käyttää psykokineettisiä voimia. Tämän POKéMONin tiedetään meditoivan kokonaisen kuukauden syömättä.</t>
  </si>
  <si>
    <t>Murskaavan ankaran joogaharjoittelun avulla se sai kyvyn ennustaa vihollisensa toimia. Se taistelee elegantilla, tanssimaisella liikkeellä.</t>
  </si>
  <si>
    <t>Se väistää hyökkäykset tyylikkäästi tanssimaisilla askeleilla ja lähettää sitten tuhoisan iskun samalla liikkeellä.</t>
  </si>
  <si>
    <t>Joogaharjoittelun avulla se on hionut kuudetta aistiaan. Sen liikkeet ovat elegantteja.</t>
  </si>
  <si>
    <t>Päivittäisen meditaation avulla se hioo hengellistä voimaansa. Se voi aistia, mitä muut ajattelevat.</t>
  </si>
  <si>
    <t>Se saa kyvyn nähdä vastustajiensa auran hiomalla mieltään nälänhädän avulla.</t>
  </si>
  <si>
    <t>Joogaharjoittelun avulla se sai psyykkisen kyvyn ennustaa vihollisensa seuraavan liikkeen.</t>
  </si>
  <si>
    <t>https://pokeapi.co/api/v2/pokemon-species/246/</t>
  </si>
  <si>
    <t>Sanotaan, että meditaation avulla Medicham voimistaa kehonsa energiatasoa ja terävöittää kuudetta aistiaan. Tämä Pokémon kätkee läsnäolonsa sulautumalla peltoihin ja vuoriin.</t>
  </si>
  <si>
    <t>Meditaation voimalla Medicham kehitti kuudennen aistinsa. Se sai kyvyn käyttää psykokineettisiä voimia. Tämän Pokémonin tiedetään meditoivan kokonaisen kuukauden syömättä.</t>
  </si>
  <si>
    <t>Electrike</t>
  </si>
  <si>
    <t>ELECTRIKE varastoi sähköä pitkiin vartalon karvoihinsa. Tämä POKéMON stimuloi jalkojensa lihaksia sähkövarauksilla. Nämä voimanpiikit antavat sen jaloille räjähtävän kiihtyvyyden.</t>
  </si>
  <si>
    <t>ELECTRIKE juoksee nopeammin kuin ihmissilmä pystyy seuraamaan. Juoksemisen aiheuttama kitka muuttuu sähköksi, joka sitten varastoituu tämän POKéMONin turkkiin.</t>
  </si>
  <si>
    <t>Se tuottaa sähköä ilmakehän kitkan avulla. Erityisen kuivina vuodenaikoina koko sen ruumis liekehtii rajuja kipinäsateita.</t>
  </si>
  <si>
    <t>Se varastoi staattista sähköä turkkiinsa purkamista varten. Se päästää kipinöitä myrskyn lähestyessä.</t>
  </si>
  <si>
    <t>Se käyttää turkkiinsa varastoitunutta sähköä stimuloidakseen lihaksiaan, mikä lisää reaktionopeuttaan.</t>
  </si>
  <si>
    <t>Se varastoi sähköä turkkiinsa. Se säteilee kipinöitä kaikkialta kehostaan ​​vuodenaikoina, jolloin ilma on kuivaa.</t>
  </si>
  <si>
    <t>https://pokeapi.co/api/v2/pokemon-species/247/</t>
  </si>
  <si>
    <t>Electrike varastoi sähköä pitkiin vartalon karvoihinsa. Tämä Pokémon stimuloi jalkojensa lihaksia sähkövarauksilla. Nämä voimanpiikit antavat sen jaloille räjähtävän kiihtyvyyden.</t>
  </si>
  <si>
    <t>Electrice juoksee nopeammin kuin ihmissilmä pystyy seuraamaan. Juoksemisen aiheuttama kitka muuttuu sähköksi, joka sitten varastoituu tämän Pokémonin turkkiin.</t>
  </si>
  <si>
    <t>Ilman ja sen karvan välinen kitka tuottaa staattista sähköä. Kun Electrike toimii, se pitää rätinää.</t>
  </si>
  <si>
    <t>Staattinen sähkö kerääntyy kaikkialle sen kehoon, kun sen pitkät turkinsäikeet hankautuvat yhteen. Tämä Pokémon ylpeilee uskomattomalla nopeudella.</t>
  </si>
  <si>
    <t>Manectric</t>
  </si>
  <si>
    <t>Purkaudu Pokémon</t>
  </si>
  <si>
    <t>MANECTRIC purkaa jatkuvasti sähköä harjastaan. Kipinät sytyttävät joskus metsäpaloja. Taisteluun astunut POKéMON luo ukkospilviä.</t>
  </si>
  <si>
    <t>MANEKTRIC purkaa voimakasta sähköä harjastaan. Harjaa käytetään sähkön keräämiseen ilmakehästä. Tämä POKéMON luo ukkospilviä päänsä yläpuolelle.</t>
  </si>
  <si>
    <t>Koska salamat osuvat niiden läheisyyteen, MANECTRICien ajateltiin syntyneen salamasta. Taistelussa ne luovat ukkospilviä.</t>
  </si>
  <si>
    <t>Se esiintyy harvoin ihmisten edessä. Sen sanotaan pesivän siellä, missä salama on iskenyt.</t>
  </si>
  <si>
    <t>Se purkaa sähköä harjastaan. Se luo ukkospilven yläpuolelle tihkuakseen salamoita.</t>
  </si>
  <si>
    <t>https://pokeapi.co/api/v2/pokemon-species/248/</t>
  </si>
  <si>
    <t>Sen pesä löytyy ukkosen iskemästä kohdasta. Se purkaa sähköä harjastaan.</t>
  </si>
  <si>
    <t>Manectric purkaa jatkuvasti sähköä harjastaan. Kipinät sytyttävät joskus metsäpaloja. Taisteluun astunut Pokémon luo ukkospilviä.</t>
  </si>
  <si>
    <t>Manektric purkaa harjastaan ​​voimakasta sähköä. Harjaa käytetään sähkön keräämiseen ilmakehästä. Tämä Pokémon luo ukkospilviä päänsä yläpuolelle.</t>
  </si>
  <si>
    <t>Manektriaa löytyy luonnottomien ukkospilvien alta. Ihmisten mukaan se voi liikkua samaa vauhtia kuin salama iskee.</t>
  </si>
  <si>
    <t>Se stimuloi omia lihaksiaan sähköllä, joten se voi liikkua nopeasti. Se myös lievittää kipuaan sähköllä, joten se voi toipua nopeasti.</t>
  </si>
  <si>
    <t>Plusle</t>
  </si>
  <si>
    <t>Hurraavat Pokémonit</t>
  </si>
  <si>
    <t>PLUSLE toimii aina joukkuetovereidensa kannustajana. Aina kun joukkuetoveri suoriutuu taistelussa hyvin, tämä POKéMON oikosulkee kehonsa ja tuottaa kipinöiden rätinää osoittaakseen ilonsa.</t>
  </si>
  <si>
    <t>Kun PLUSLE kannustaa kumppaniaan, se sinkoaa sähköisiä kipinöitä kaikkialle kehoonsa. Jos kumppani häviää, tämä POKéMON itkee äänekkäästi.</t>
  </si>
  <si>
    <t>Sillä on kyky kannustaa toista POKéMONia. Oikosulkemalla tassuistaan ​​vapauttamansa sähkön se luo pom-pomeja kannustusta varten.</t>
  </si>
  <si>
    <t>Se kannustaa kumppaneitaan samalla kun sinkoaa kipinöitä kehostaan. Se kiipeää puhelinpylväitä pitkin absorboidakseen sähköä.</t>
  </si>
  <si>
    <t>Se kannustaa ystäviä kipinöistä tehdyillä pom-pomeilla. Se imee virtaa puhelinpylväistä.</t>
  </si>
  <si>
    <t>Se imee sähköä puhelinpylväistä. Se oikosulkee ruumiinsa ja tuottaa rätinää.</t>
  </si>
  <si>
    <t>Plusle toimii aina joukkuetovereidensa kannustajana. Aina kun joukkuetoveri suoriutuu taistelussa hyvin, tämä Pokémon oikosulkee kehonsa ja tuottaa kipinöiden rätinää osoittaakseen iloaan.</t>
  </si>
  <si>
    <t>Kun Plusle kannustaa kumppaniaan, se sinkoaa sähköisiä kipinöitä kaikkialle kehoonsa. Jos kumppani häviää, tämä Pokémon itkee äänekkäästi.</t>
  </si>
  <si>
    <t>Minun</t>
  </si>
  <si>
    <t>MINUN on enemmän huolissaan kumppaneidensa kannustamisesta kuin omasta turvallisuudestaan. Se oikosulkee kehossaan olevan sähkön luodakseen loistavia kipinäsuihkuja kannustaakseen joukkuetovereitaan.</t>
  </si>
  <si>
    <t>MINUN rakastaa kannustaa taistelukumppaniaan. Se päästää kipinöitä kehostaan ​​samalla. Jos sen kumppani on pulassa, tämä POKéMON päästää yhä enemmän kipinöitä.</t>
  </si>
  <si>
    <t>POKéMON-akateemikkojen kokouksessa ilmoitettiin, että samanaikainen altistuminen PLUSLEn ja MINUNin sähkölle edistää verenkiertoa ja lisää elinvoimaa.</t>
  </si>
  <si>
    <t>Koska se ei pidä vedestä, se hakeutuu suojaan sateella talojen räystäiden alle. Se käyttää kipinöistä tehtyjä pom-pomeja hurraamiseen.</t>
  </si>
  <si>
    <t>Se kannustaa ystäviään. Jos sen ystävät häviävät, sen keho päästää yhä enemmän kipinöitä.</t>
  </si>
  <si>
    <t>https://pokeapi.co/api/v2/pokemon-species/249/</t>
  </si>
  <si>
    <t>MINUNin ja PLUSLEn sähkölle altistuminen edistää verenkiertoa ja rentouttaa lihaksia.</t>
  </si>
  <si>
    <t>Minunin ja Pluslen sähkölle altistuminen edistää verenkiertoa ja rentouttaa lihaksia.</t>
  </si>
  <si>
    <t>Minun on enemmän huolissaan joukkuetovereidensa kannustamisesta kuin omasta turvallisuudestaan. Se oikosulkee kehossaan olevan sähkön luodakseen loistavia kipinäsuihkuja kannustaakseen joukkuetovereitaan.</t>
  </si>
  <si>
    <t>Minun rakastaa kannustaa kumppaniaan taistelussa. Se päästää kipinöitä kehostaan ​​samalla. Jos sen kumppani on pulassa, tämä Pokémon päästää yhä enemmän kipinöitä.</t>
  </si>
  <si>
    <t>Volbeat</t>
  </si>
  <si>
    <t>Tulikärpäsen Pokémon</t>
  </si>
  <si>
    <t>Yön saapuessa VOLBEAT lähettää valoa pyrstöstään. Se kommunikoi muiden kanssa säätämällä valonsa voimakkuutta ja välähdyksiä. Tätä POKéMONIA houkuttelee ILLUMISEn makea tuoksu.</t>
  </si>
  <si>
    <t>VOLBEATin häntä hehkuu kuin hehkulamppu. Muiden VOLBEATien tavoin se käyttää häntäänsä piirtääkseen geometrisia muotoja yötaivaalle. Tämä POKéMON rakastaa ILLUMISEn levittämää makeaa tuoksua.</t>
  </si>
  <si>
    <t>Takavalot sytytettyinä VOLBEAT-linnut lentävät parvessa piirtäen geometrisia kuvioita yötaivaalle. Ne siirtävät pesäänsä, jos niiden lammen vesi likaantuu.</t>
  </si>
  <si>
    <t>Se elää puhtaiden lampien ympärillä. Yöllä sen takaosa valaisee itsensä. Se keskustelee muiden kanssa vilkuttamalla valoaan.</t>
  </si>
  <si>
    <t>Se kommunikoi muiden kanssa valaisemalla takapuolensa yöllä. Se rakastaa ILLUMISEn makeaa tuoksua.</t>
  </si>
  <si>
    <t>Se kommunikoi lähettämällä valoa pyrstöstään. Se rakastaa ILLUMISE-laitteen tuomaa makeaa tuoksua.</t>
  </si>
  <si>
    <t>Se kommunikoi muiden kanssa valaisemalla takapuolensa yöllä. Se rakastaa Illumisen makeaa tuoksua.</t>
  </si>
  <si>
    <t>https://pokeapi.co/api/v2/pokemon-species/250/</t>
  </si>
  <si>
    <t>Yön saapuessa Volbeat lähettää valoa pyrstöstään. Se kommunikoi muiden kanssa säätämällä valonsa voimakkuutta ja välähdyksiä. Tätä Pokémonia houkuttelee Illumisen makea tuoksu.</t>
  </si>
  <si>
    <t>Volbeatin häntä hehkuu kuin hehkulamppu. Muiden Volbeattien kanssa se käyttää häntäänsä piirtääkseen geometrisia muotoja yötaivaalle. Tämä Pokémon rakastaa Illumisen levittämää makeaa tuoksua.</t>
  </si>
  <si>
    <t>Illumise</t>
  </si>
  <si>
    <t>ILLUMISE houkuttelee parven VOLBEAT-olentoja makealla tuoksullaan. Kun VOLBEATit ovat kokoontuneet, tämä POKéMON johdattaa valaistun parven piirtämään geometrisia kuvioita yötaivaan kankaalle.</t>
  </si>
  <si>
    <t>ILLUMISE johtaa valaistujen VOLBEAT-rakettien lentoa piirtääkseen merkkejä yötaivaalle. Tämän POKéMONin sanotaan ansaitsevan suuremman arvostuksen kilpailijoiltaan luomalla monimutkaisempia kuvioita taivaalle.</t>
  </si>
  <si>
    <t>Yöllinen POKéMON, joka aktivoituu pimeän tultua. Se johtaa VOLBEAT-parvea piirtämään kuvioita yötaivaalle. Yli 200 erilaista kuviota on vahvistettu.</t>
  </si>
  <si>
    <t>Se ohjaa VOLBEATia piirtämään merkkejä yötaivaalle. On olemassa tiedemiehiä, jotka tutkivat sen luomia kuvioita.</t>
  </si>
  <si>
    <t>Makealla tuoksullaan se ohjaa VOLBEATia piirtämään merkkejä valolla yötaivaalle.</t>
  </si>
  <si>
    <t>Sen tuoksu houkuttelee parven VOLBEAT-säteilijöitä, joten ne piirtävät yli 200 kuviota yötaivaalle.</t>
  </si>
  <si>
    <t>Makealla tuoksullaan se opastaa Volbeatia piirtämään merkkejä valolla yötaivaalle.</t>
  </si>
  <si>
    <t>https://pokeapi.co/api/v2/pokemon-species/251/</t>
  </si>
  <si>
    <t>Sen tuoksu houkuttelee parven Volbeat-musiikkia, joten ne piirtävät yli 200 kuviota yötaivaalle.</t>
  </si>
  <si>
    <t>Illumise houkuttelee Volbeat-parven makealla tuoksullaan. Kun Volbeatit ovat kokoontuneet, tämä Pokémon johtaa valaistua parvea piirtämään geometrisia kuvioita yötaivaan kankaalle.</t>
  </si>
  <si>
    <t>Illumise johtaa valaistujen Volbeat-hahmojen lentoa piirtääkseen merkkejä yötaivaalle. Tämän Pokémonin sanotaan ansaitsevan enemmän kunnioitusta vertaisiltaan luomalla monimutkaisempia kuvioita taivaalle.</t>
  </si>
  <si>
    <t>Roselia</t>
  </si>
  <si>
    <t>Thorn-Pokémon</t>
  </si>
  <si>
    <t>ROSELIA ampuu teräviä piikkejä ammuksina kaikkia vihollisia kohti, jotka yrittävät varastaa sen käsivarsilla olevat kukat. Tämän POKéMONin tuoksu tuo tyyneyttä eläviin olentoihin.</t>
  </si>
  <si>
    <t>Erittäin harvinaisissa tapauksissa ROSELIAn sanotaan ilmestyvän epätavallisen värisinä kukina. Tämän POKéMONin päässä olevat piikit sisältävät pahaa myrkkyä.</t>
  </si>
  <si>
    <t>Ravintopitoista lähdevettä juova ROSELIA kukkii ihanilla kukilla. Sen kukkien tuoksu tekee sen vihollisista huolimattomia.</t>
  </si>
  <si>
    <t>Sen kukat tuoksuvat rentouttavasti. Mitä voimakkaampi aromi, sitä terveempi ROSELIA on.</t>
  </si>
  <si>
    <t>Puhtaassa juomavedessä kasvatettujen ROSELIoiden tiedetään kasvattavan kirkkaanvärisiä kukkia.</t>
  </si>
  <si>
    <t>Sen käsivarsien kauniissa kukissa on myrkyllisiä piikkejä. Älä edes ajattele niiden poimimista.</t>
  </si>
  <si>
    <t>Mitä terveellisempi ROSELIA on, sitä miellyttävämpi sen kukkien tuoksu on. Sen tuoksu rentouttaa syvästi.</t>
  </si>
  <si>
    <t>Ravintopitoista lähdevettä juovien ROSELIOIDEN sanotaan paljastavan harvinaisen värin kukintaessaan.</t>
  </si>
  <si>
    <t>Mitä terveellisempi roselia on, sitä miellyttävämpi sen kukkien tuoksu on. Sen tuoksu rentouttaa syvästi.</t>
  </si>
  <si>
    <t>Se käyttää kummassakin kädessä olevia eri myrkkyjä erikseen hyökätessään. Mitä voimakkaampi sen tuoksu, sitä terveellisempi se on.</t>
  </si>
  <si>
    <t>Ravintopitoista lähdevettä juovien roselioiden sanotaan paljastavan harvinaisen värin kukintaessaan.</t>
  </si>
  <si>
    <t>Roselia ampuu teräviä piikkejä ammuksina kaikkia vihollisia kohti, jotka yrittävät varastaa kukkia sen käsivarsista. Tämän Pokémonin tuoksu tuo tyyneyttä eläviin olentoihin.</t>
  </si>
  <si>
    <t>Erittäin harvinaisissa tapauksissa roselian sanotaan ilmestyvän epätavallisen värisinä kukina. Tämän Pokémonin päässä olevat piikit sisältävät pahaa myrkkyä.</t>
  </si>
  <si>
    <t>Sen kukat tuoksuvat rentouttavalta. Mitä voimakkaampi tuoksu, sitä terveempi roselia on.</t>
  </si>
  <si>
    <t>Vaikka se on kaunis, siinä on erittäin myrkyllisiä piikkejä. Kotimaassani on vanha perinne, jossa näitä piikkejä lähetetään vastustajalle haastamaan hänet kaksintaisteluun.</t>
  </si>
  <si>
    <t>Gulpin</t>
  </si>
  <si>
    <t>Vatsa-Pokémon</t>
  </si>
  <si>
    <t>Lähes koko GULPINin ruumis on sen vatsaa. Tämän seurauksena se voi niellä jotain oman kokoistaan. Tämän POKéMONin vatsassa on erityinen neste, joka sulattaa mitä tahansa.</t>
  </si>
  <si>
    <t>https://pokeapi.co/api/v2/pokemon-species/252/</t>
  </si>
  <si>
    <t>Suurin osa GULPINin kehosta koostuu sen vatsasta – sen sydän ja aivot ovat hyvin pienet verrattuna siihen. Tämän POKéMONin vatsa sisältää erityisiä entsyymejä, jotka liuottavat mitä tahansa.</t>
  </si>
  <si>
    <t>Tämän POKéMONin mahaneste voi sulattaa jopa romurautaa. Yhdellä kulauksella se voi niellä jotain yhtä suurta kuin se itse.</t>
  </si>
  <si>
    <t>Ei ole mitään, mitä sen vatsa ei pystyisi sulattamaan. Ruoansulatuksen aikana siitä purkautuu ulos vastenmielisiä, ylivoimaisia ​​kaasuja.</t>
  </si>
  <si>
    <t>Lähes koko sen ruumis on vatsaa. Sen sitkeät ruoansulatusnesteet liuottavat nopeasti kaiken nielemänsä.</t>
  </si>
  <si>
    <t>Sillä on pieni sydän ja aivot. Sen vatsa muodostaa suurimman osan kehosta, ja siellä on entsyymejä, jotka liuottavat mitä tahansa.</t>
  </si>
  <si>
    <t>Lähes koko Gulpinin keho on sen vatsaa. Tämän seurauksena se voi niellä jotain oman kokoistaan. Tämän Pokémonin vatsassa on erityinen neste, joka sulattaa mitä tahansa.</t>
  </si>
  <si>
    <t>Suurin osa Gulpinin kehosta koostuu sen vatsasta – sen sydän ja aivot ovat hyvin pienet verrattuna siihen. Tämän Pokémonin vatsa sisältää erityisiä entsyymejä, jotka liuottavat mitä tahansa.</t>
  </si>
  <si>
    <t>https://pokeapi.co/api/v2/pokemon-species/253/</t>
  </si>
  <si>
    <t>Swalot</t>
  </si>
  <si>
    <t>Myrkkypussi-Pokémon</t>
  </si>
  <si>
    <t>Kun SWALOT havaitsee saaliin, se suihkuttaa huokosistaan ​​kammottavan myrkyllistä nestettä ja suihkuttaa sitä kohteeseen. Kun saalis on heikentynyt, tämä POKéMON nielaisee sen kokonaisena luolamaisella suullaan.</t>
  </si>
  <si>
    <t>SWALOTilla ei ole hampaita, joten se nielee kaiken kokonaisena, tapahtuipa mitä tahansa. Sen luolamainen suu ammottaa leveästi. Autonrengas mahtuisi helposti tämän POKéMONin suuhun.</t>
  </si>
  <si>
    <t>Sen voimakas mahahappo pystyy sulattamaan lähes mitä tahansa. Ainoa asia koko maailmassa, jota SWALOT ei pysty sulattamaan, on oma vatsansa.</t>
  </si>
  <si>
    <t>Se voi niellä kokonaisen autonrenkaan yhdellä kulauksella. Se erittää hirvittävän myrkyllistä nestettä ruumiinsa huokosista.</t>
  </si>
  <si>
    <t>Se nielee kaiken kokonaisena. Se hikoilee myrkyllisiä nesteitä follikkeleistaan ​​vihollisten kastelemiseksi.</t>
  </si>
  <si>
    <t>Se nielee kaiken, mikä suuhunsa mahtuu. Sen erityiset entsyymit voivat liuottaa mitä tahansa.</t>
  </si>
  <si>
    <t>https://pokeapi.co/api/v2/pokemon-species/254/</t>
  </si>
  <si>
    <t>Kun Swalot havaitsee saaliin, se suihkuttaa huokosistaan ​​kammottavan myrkyllistä nestettä ja suihkuttaa sitä kohteeseen. Kun saalis on heikentynyt, tämä Pokémon nielee sen kokonaisena luolamaisella suullaan.</t>
  </si>
  <si>
    <t>Swalotilla ei ole hampaita, joten se nielee kaiken kokonaisena syötyään mitä tahansa. Sen luolamainen suu ammottaa leveästi. Autonrengas mahtuisi helposti tämän Pokémonin suuhun.</t>
  </si>
  <si>
    <t>Carvanha</t>
  </si>
  <si>
    <t>Villi-Pokémon</t>
  </si>
  <si>
    <t>CARVANHAn voimakkaasti kehittyneet leuat ja teräväkärkiset kulmahampaat tarjoavat tuhovoiman repiä veneiden runkoja irti. Tämä POKéMON on hyökännyt monien veneiden kimppuun ja upottanut ne.</t>
  </si>
  <si>
    <t>Jos jokin tunkeutuu CARVANHAn alueelle, se parveilee ja repii tunkeilijaa terävillä hampaillaan. Yksinään tämä POKéMON kuitenkin muuttuu yhtäkkiä araksi.</t>
  </si>
  <si>
    <t>CARVANHA hyökkää laivojen kimppuun parvina ja saa ne uppoamaan. Vaikka sen sanotaan olevan erittäin vihainen POKéMON, se pakenee arasti heti jäätyään yksin.</t>
  </si>
  <si>
    <t>Se elää valtavissa joissa, jotka virtaavat viidakoiden läpi. Se parveilee saalista, joka tunkeutuu sen alueelle.</t>
  </si>
  <si>
    <t>Ne parveilevat minkä tahansa vihollisen kimppuun, joka tunkeutuu niiden alueelle. Niiden terävät torahampaat voivat repiä veneiden runkoja irti.</t>
  </si>
  <si>
    <t>Ne muodostavat laumoja hyökätäkseen veneiden kimppuun ja repiäkseen niiden rungot auki upottaakseen ne. Ne elävät viidakon joissa.</t>
  </si>
  <si>
    <t>https://pokeapi.co/api/v2/pokemon-species/255/</t>
  </si>
  <si>
    <t>Carvanhan voimakkaasti kehittyneet leuat ja teräväkärkiset kulmahampaat tarjoavat tuhovoiman repiä veneiden runkoja irti. Tämä Pokémon on hyökännyt monien veneiden kimppuun ja upottanut ne.</t>
  </si>
  <si>
    <t>Jos jokin tunkeutuu Carvanhan alueelle, se parveilee ja repii tunkeilijaa terävillä hampaillaan. Yksinään tämä Pokémon kuitenkin muuttuu yhtäkkiä araksi.</t>
  </si>
  <si>
    <t>Jokaisella koululla on oma alueensa. Tunkeilijoita vastaan ​​hyökätään armottomasti hampaat paljaina.</t>
  </si>
  <si>
    <t>Jos ne haistavat pienimmänkin veren jäljen, ne ryntäävät hyökkäämään joukolla. Yksin ollessaan ne ovat melko pelkurimaisia.</t>
  </si>
  <si>
    <t>Ne ovat niin pelkureita, etteivät ne metsästä yksin. Kun viisi tai pari niitä kokoontuu yhteen, ne muuttuvat yhtäkkiä raivokkaiksi!</t>
  </si>
  <si>
    <t>Vahvojen leukojensa ja kulmahampaidensa ansiosta se voi helposti murskata puiset veneet sirpaleiksi. Se taistelee Basculinin kanssa ruoasta.</t>
  </si>
  <si>
    <t>Se ei hyökkää ollessaan yksin – ei edes silloin, kun se näkee saaliin. Sen sijaan se odottaa, että muut Carvanhat liittyvät siihen, ja sitten ne hyökkäävät ryhmänä.</t>
  </si>
  <si>
    <t>Näillä Pokémoneilla on terävät torahampaat ja voimakkaat leuat. Merimiehet välttävät Carvanhan luolia hinnalla millä hyvänsä.</t>
  </si>
  <si>
    <t>Sharpedo</t>
  </si>
  <si>
    <t>Brutaali Pokémon</t>
  </si>
  <si>
    <t>Lempinimellä "meren kiusaaja" tunnettu SHARPEDO on laajalti pelätty. Sen julmat torahampaat kasvavat takaisin välittömästi, jos ne napsahtavat irti. Jopa yksi näistä POKéMONeista voi repiä supertankkerin perusteellisesti kappaleiksi.</t>
  </si>
  <si>
    <t>SHARPEDO voi uida jopa 120 km/h nopeudella suihkuttamalla merivettä takapuolestaan. Tämän POKéMONin haittapuolena on sen kyvyttömyys uida pitkiä matkoja.</t>
  </si>
  <si>
    <t>Meren ilkeä ja ovela gangsteri. Sen nahka on erityisesti kuvioitu minimoimaan vastuksen vedessä. Sen huippunopeus on yli 120 kilometriä tunnissa.</t>
  </si>
  <si>
    <t>https://pokeapi.co/api/v2/pokemon-species/256/</t>
  </si>
  <si>
    <t>Merten roisto, jolla on rautaa rutistavat torahampaat. Se ui suihkuttamalla vettä takapuolestaan.</t>
  </si>
  <si>
    <t>Sen torahampaat repivät peltiä. Se ui 120 km/h nopeudella ja tunnetaan nimellä "Meren kiusaaja".</t>
  </si>
  <si>
    <t>Se voi uida 120 km/h nopeudella puhaltamalla merivettä kehonsa läpi. Se on meren rosvo.</t>
  </si>
  <si>
    <t>https://pokeapi.co/api/v2/pokemon-species/257/</t>
  </si>
  <si>
    <t>Lempinimellä "meren kiusaaja" tunnettu Sharpedo on laajalti pelätty. Sen julmat torahampaat kasvavat takaisin välittömästi, jos ne napsahtavat irti. Jopa yksi näistä Pokémoneista voi repiä supertankkerin perusteellisesti kappaleiksi.</t>
  </si>
  <si>
    <t>Sharpedo voi uida jopa 120 km/h nopeudella suihkuttamalla merivettä takapuolestaan. Tämän Pokémonin haittapuolena on sen kyvyttömyys uida pitkiä matkoja.</t>
  </si>
  <si>
    <t>Se jahtaa saalistaan ​​120 km/h nopeudella ja viimeistelee sen rautaa murskaavilla hampailla. Se tunnetaan meren kiusaajana.</t>
  </si>
  <si>
    <t>Sillä on surullinen historia. Menneisyydessä sen selkäevä oli arvostettu ruoka, joten tästä Pokémonista tuli liikakalastuksen uhri.</t>
  </si>
  <si>
    <t>Ihmiset uskovat, että yhden sen hylätyn hampaiden kantaminen estää onnettomuudet merellä, joten hampaista tehdään asusteita.</t>
  </si>
  <si>
    <t>Se juo merivettä ja suihkuttaa sitä takaosastaan ​​liikkuakseen. Se on hyvin herkkä veren hajulle.</t>
  </si>
  <si>
    <t>Heti kun Sharpedo haistaa saaliin, se suihkuttaa merivettä takapuoleltaan ja syöksyy kohti kohdetta hyökätäkseen 120 km/h nopeudella.</t>
  </si>
  <si>
    <t>https://pokeapi.co/api/v2/pokemon-species/258/</t>
  </si>
  <si>
    <t>Tämä Pokémon tunnetaan nimellä Meren Kiusaaja. Jokainen Sharpedon kodiksi kutsumille vesille saapuva alus hyökätään – poikkeuksetta.</t>
  </si>
  <si>
    <t>Wailmer</t>
  </si>
  <si>
    <t>Pallovalas-Pokémon</t>
  </si>
  <si>
    <t>WAILMERin sieraimet sijaitsevat silmien yläpuolella. Tämä leikkisä POKéMON rakastaa säikäyttää ihmisiä pursuamalla voimakkaasti sisäänsä varastoimaansa merivettä sieraimistaan.</t>
  </si>
  <si>
    <t>WAILMER voi varastoida vettä kehoonsa muuttuakseen palloksi, joka pomppii maassa. Täyttämällä itsensä vedellä tämä POKéMON voi nostaa pomppujensa korkeutta.</t>
  </si>
  <si>
    <t>Vaikka tämä POKéMON yleensä elää meressä, se voi selviytyä maalla, vaikkakaan ei kovin kauaa. Se menettää elinvoimaansa, jos sen ruumis kuivuu.</t>
  </si>
  <si>
    <t>Kun se imee sisäänsä suuren määrän merivettä, siitä tulee kuin iso, pomppiva pallo. Se syö päivittäin valtavasti ruokaa.</t>
  </si>
  <si>
    <t>Aurinkoisina päivinä se laskeutuu rannoille pomppimaan kuin pallo ja leikkimään. Se pursuaa vettä kuonostaan.</t>
  </si>
  <si>
    <t>Se pomppii leikkisästi kuin pallo. Mitä enemmän merivettä se nielee, sitä korkeammalle se pomppii.</t>
  </si>
  <si>
    <t>https://pokeapi.co/api/v2/pokemon-species/259/</t>
  </si>
  <si>
    <t>Se syö tonnin ruokaa joka päivä. Se leikkii ampumalla varastoitunutta merivettä ulos hengitysaukoistaan ​​suurella voimalla.</t>
  </si>
  <si>
    <t>Wailmarin sieraimet sijaitsevat silmien yläpuolella. Tämä leikkisä Pokémon rakastaa säikäyttää ihmisiä pursuamalla voimakkaasti sisäänsä varastoimaansa merivettä sieraimistaan.</t>
  </si>
  <si>
    <t>Wailmer voi varastoida vettä kehoonsa muuttaakseen itsensä palloksi, jolla se pomppii maassa. Täyttämällä itsensä vedellä tämä Pokémon voi nostaa pomppujensa korkeutta.</t>
  </si>
  <si>
    <t>Se rakastaa säikäyttää ihmisiä. Se täyttää itsensä merivedellä ja leikkii pomppimalla ympäriinsä kuin pallo.</t>
  </si>
  <si>
    <t>https://pokeapi.co/api/v2/pokemon-species/260/</t>
  </si>
  <si>
    <t>Se pröystäilee suihkuttamalla merivesisuihkuja sieraimistaan ​​silmiensä yläpuolelta. Se syö päivittäin tonneittain wishiwashia.</t>
  </si>
  <si>
    <t>Se ui suu auki ja nielee merivettä ruokansa mukana. Se suihkuttaa ylimääräistä vettä sieraimistaan.</t>
  </si>
  <si>
    <t>Koska ne muistelevat aikoinaan maalla elettyä elämäänsä, niiden parvet huuhtoutuvat hyvin harvoin rannalle.</t>
  </si>
  <si>
    <t>Wailord</t>
  </si>
  <si>
    <t>Kelluva valas-Pokémon</t>
  </si>
  <si>
    <t>WAILORD on tähän mennessä tunnistetuista POKéMONeista suurin. Tämä jättiläismäinen POKéMON ui laiskasti avomerellä ja syö valtavia määriä ruokaa kerralla valtavalla suullaan.</t>
  </si>
  <si>
    <t>Jahdatessaan saalista WAILORD paimentaa niitä hyppäämällä vedestä ja tekemällä valtavan loiskahduksen. On henkeäsalpaavaa nähdä tämän POKéMONin hyppäävän merestä muiden pokémonien kanssa.</t>
  </si>
  <si>
    <t>Se hengittää sierainten kautta, jotka se nostaa merenpinnan yläpuolelle. Hengittämällä täydellä tehollaan wailord voi sukeltaa lähes 3 000 metrin syvyyteen aaltojen alle.</t>
  </si>
  <si>
    <t>Se on yksi suurimmista kaikista POKéMONeista. Se paimentaa saalista laumassa ja nielee sitten suuren saaliin yhdellä kulauksella.</t>
  </si>
  <si>
    <t>Suurin kaikista Pokémoneista. Se voi sukeltaa lähes 3 000 metrin syvyyteen yhdellä hengityksellä.</t>
  </si>
  <si>
    <t>Se on suurin kaikista tunnistetuista Pokémoneista. Ne hyppivät laumana paimentaakseen saalistaan.</t>
  </si>
  <si>
    <t>Se voi joskus tyrmätä vastustajat sähköiskulla, jonka se saa rikkoutuessaan ja paiskautuessaan ison ruumiinsa veteen.</t>
  </si>
  <si>
    <t>https://pokeapi.co/api/v2/pokemon-species/261/</t>
  </si>
  <si>
    <t>Wailord on tähän mennessä tunnistetuista Pokémoneista suurin. Tämä jättiläis-Pokémon ui laiskasti avomerellä ja syö valtavia määriä ruokaa kerralla valtavalla suullaan.</t>
  </si>
  <si>
    <t>Jahdatessaan saalista Wailord paimentaa niitä hyppäämällä vedestä ja tekemällä valtavan loiskahduksen. On henkeäsalpaavaa nähdä tämän Pokémonin hyppäävän merestä muiden pokémonin kanssa.</t>
  </si>
  <si>
    <t>Wailordit jahtaavat saalistaan ​​parvissa. Suurilla suillaan ne voivat nielaista kokonaisia ​​wishiwashi-parvia.</t>
  </si>
  <si>
    <t>Sen valtava koko on syy sen suosioon. Vaunujen tarkkailu on suosittu nähtävyystoiminta eri puolilla maailmaa.</t>
  </si>
  <si>
    <t>Ne syövät niin paljon kala-Pokémoneja, että kun Wailordit runsastuvat liikaa, kalastajien on ajettava ne pois.</t>
  </si>
  <si>
    <t>Kun Sharpedo tai Dhelmise hyökkää pienen Wailmarin kimppuun, koko sen lauma suojelee sitä yhdessä.</t>
  </si>
  <si>
    <t>Numel</t>
  </si>
  <si>
    <t>Tunnoton Pokémon</t>
  </si>
  <si>
    <t>NUMEL on äärimmäisen tylsämielinen – se ei huomaa osumaa. Se ei kuitenkaan kestä nälkää sekuntiakaan. Tämän POKéMONin ruumis on kuin kiehuvan magman täyttämä pata.</t>
  </si>
  <si>
    <t>NUMEL varastoi kehoonsa lähes 2 200 Fahrenheit-asteen magmaa. Jos se kastuu, magma jäähtyy ja kovettuu. Tällöin POKéMONin kehosta tulee raskas ja sen liikkeet hidastuvat.</t>
  </si>
  <si>
    <t>NUMEL varastoi kiehuvaa magmaa selässään olevaan kyttyrään. Se on sitkeä POKéMON, joka pystyy kuljettamaan 100 kilon kuorman. Se on palvellut ihmisiä työssä jo kauan sitten.</t>
  </si>
  <si>
    <t>Lähes 2 200 Fahrenheit-asteen magma virtaa sen läpi. Kun se kylmenee, magma kovettuu ja hidastaa sitä.</t>
  </si>
  <si>
    <t>Sen kupera selkä varastoi erittäin kuumaa magmaa. Sateessa magma jäähtyy, mikä hidastaa sen liikettä.</t>
  </si>
  <si>
    <t>https://pokeapi.co/api/v2/pokemon-species/262/</t>
  </si>
  <si>
    <t>Sen selässä olevaan kyttyrään varastoitunut liekehtivä magma on sen valtavan voiman lähde.</t>
  </si>
  <si>
    <t>Sen ruumiin magma saavuttaa 2 200 Fahrenheit-asteen lämpötilan. Sen kyttyrä pienenee, kun se käyttää tulityyppisiä liikkeitä.</t>
  </si>
  <si>
    <t>Sen ruumiissa olevan magman lämpötila saavuttaa 2 200 Fahrenheit-astetta. Sen kyttyrä pienenee, kun se käyttää tulityyppisiä liikkeitä.</t>
  </si>
  <si>
    <t>Numel on äärimmäisen tylsämielinen – se ei huomaa osumaa. Se ei kuitenkaan kestä nälkää sekuntiakaan. Tämän Pokémonin ruumis on kuin kiehuvan magman täyttämä pata.</t>
  </si>
  <si>
    <t>Numel varastoi kehoonsa lähes 2 200 Fahrenheit-asteen magmaa. Jos se kastuu, magma jäähtyy ja kovettuu. Tällöin Pokémonin kehosta tulee raskas ja sen liikkeet hidastuvat.</t>
  </si>
  <si>
    <t>Camerupt</t>
  </si>
  <si>
    <t>Purkaus-Pokémon</t>
  </si>
  <si>
    <t>CAMERUPTin sisällä on tulivuori. Sen läpi virtaa 18 000 celsiusasteen magma. Ajoittain tämän POKéMONin selän kohoumat purkautuvat ja sylkevät ulos ylikuumentunutta magmaa.</t>
  </si>
  <si>
    <t>CAMERUPTin selän kyttyrät ovat muodostuneet sen luiden muuttuessa. Ne purkavat joskus sulaa magmaa. Tämä POKéMON ilmeisesti purkautuu usein raivostuneena.</t>
  </si>
  <si>
    <t>Tulivuoren kraatterissa asuva POKéMON. Sen selässä olevat tulivuoret purkautuvat rajusti 10 vuoden välein. Purkauksen syytä tutkitaan parhaillaan.</t>
  </si>
  <si>
    <t>Jos se suuttuu, sen selässä olevat kyttyrät purkautuvat sulan laavan suihkuna. Se elää tulivuorten kraattereissa.</t>
  </si>
  <si>
    <t>Sen selässä on tulivuoria. Jos magmaa kertyy sen kehoon, se tärisee ja purkautuu sitten rajusti.</t>
  </si>
  <si>
    <t>https://pokeapi.co/api/v2/pokemon-species/263/</t>
  </si>
  <si>
    <t>Se elää tulivuoren kraatterissa. On tunnettua, että sen selässä olevat kyttyrät purkautuvat 10 vuoden välein.</t>
  </si>
  <si>
    <t>Sen selässä olevat tulivuoret purkautuvat voimakkaasti kymmenen vuoden välein – tai aina kun se suuttuu todella voimakkaasti.</t>
  </si>
  <si>
    <t>Cameruptin kehon sisällä on tulivuori. Sen läpi virtaa 18 000 Fahrenheit-asteen magmaa. Ajoittain tämän Pokémonin selän kyttyrät purkautuvat ja sylkevät kuumaa magmaa.</t>
  </si>
  <si>
    <t>Cameruptin selän kyttyrät muodostuvat sen luiden muuttuessa. Ne purkavat joskus sulaa magmaa. Tämä Pokémon ilmeisesti purkautuu usein raivostuneena.</t>
  </si>
  <si>
    <t>Torkoal</t>
  </si>
  <si>
    <t>Hiili-Pokémon</t>
  </si>
  <si>
    <t>TORKOAL kaivautuu vuorilta etsien hiiltä. Jos se löytää sitä, se täyttää kuorensa ontot kohdat hiilellä ja polttaa ne. Jos sitä hyökätään, tämä POKéMON suihkuttaa paksua mustaa savua välttääkseen perääntymisen.</t>
  </si>
  <si>
    <t>TORKOAL tuottaa energiaa polttamalla hiiltä. Se heikkenee tulen hiipuessa. Taisteluun valmistautuessaan tämä POKéMON polttaa enemmän hiiltä.</t>
  </si>
  <si>
    <t>Se taistelee käyttämällä hiilen polttamisesta saamaansa energiaa. Savua sieraimistaan ​​päästäessään ääntä, joka muistuttaa veturin torvea.</t>
  </si>
  <si>
    <t>Se polttaa hiiltä kuorensa sisällä. Jos sitä hyökätään, se röyhtäilee paksua, mustaa savua ja pakenee.</t>
  </si>
  <si>
    <t>https://pokeapi.co/api/v2/pokemon-species/264/</t>
  </si>
  <si>
    <t>Se polttaa hiiltä kuorensa sisällä energian saamiseksi. Se puhaltaa mustaa nokea, jos se on vaarassa.</t>
  </si>
  <si>
    <t>Löydät hylättyjä hiilikaivoksia täynnä niitä. Ne kaivavat väsymättä etsien hiiltä.</t>
  </si>
  <si>
    <t>Torkoal kaivautuu vuorilta etsien hiiltä. Jos se löytää sitä, se täyttää kuorensa ontot kohdat hiilellä ja polttaa ne. Jos sitä hyökätään, tämä Pokémon suoltaa paksua mustaa savua välttääkseen perääntymisen.</t>
  </si>
  <si>
    <t>Torkoal tuottaa energiaa polttamalla hiiltä. Se heikkenee tulen hiipuessa. Taisteluun valmistautuessaan tämä Pokémon polttaa enemmän hiiltä.</t>
  </si>
  <si>
    <t>Torkoalin energianlähde on hiili. Suuria määriä hiiltä löytyy vuorilta, joilla he asuvat.</t>
  </si>
  <si>
    <t>Jos sen kuoren sisällä palava tuli sammuu, se kuolee. Niiden, jotka haluavat kasvattaa sellaisen kotonaan, on aina pidettävä jotain syttyvää käsillä.</t>
  </si>
  <si>
    <t>Voit päätellä sen voinnin sen kuoresta pursuavasta savusta. Valtava nopeus on merkki hyvästä terveydestä.</t>
  </si>
  <si>
    <t>Se polttaa hiiltä energian tuottamiseksi. Kun se on polttanut kaiken hiilensä, se ei pysty liikkumaan.</t>
  </si>
  <si>
    <t>https://pokeapi.co/api/v2/pokemon-species/265/</t>
  </si>
  <si>
    <t>Spoink</t>
  </si>
  <si>
    <t>Pomppu-Pokémon</t>
  </si>
  <si>
    <t>SPOINK pomppii hännällään. Sen pomppimisen aiheuttama sähköisku saa sen sydämen pumppaamaan. Tämän seurauksena tämä POKéMON ei pysty lopettamaan pomppimista – jos se pysähtyy, sen sydän pysähtyy.</t>
  </si>
  <si>
    <t>SPOINK pitää helmeä päänsä päällä. Helmi vahvistaa tämän POKéMONin psykokineettisiä voimia. Siksi se etsii jatkuvasti suurempaa helmeä.</t>
  </si>
  <si>
    <t>POKéMON, joka käyttää psyykkisiä voimia mielensä mukaan. Se ei lopeta pomppimista edes nukkuessaan. Se rakastaa maan alla kasvavien sienten syömistä.</t>
  </si>
  <si>
    <t>Se ilmeisesti kuolee, jos se lakkaa pomppimasta ympäriinsä. Se kantaa päässään CLAMPERLin helmeä.</t>
  </si>
  <si>
    <t>Se pomppii jatkuvasti käyttäen häntäänsä jousen tavoin. Pomppimisen aiheuttama isku pitää sen sydämen sykkimässä.</t>
  </si>
  <si>
    <t>Se pomppii hännällään pitääkseen sydämensä lyömässä. Päässään se kantaa CLAMPERLin helmeä.</t>
  </si>
  <si>
    <t>Se käyttää häntäänsä jousen tavoin ja pitää sydämensä sykkimässä pomppimalla jatkuvasti. Jos se pysähtyy, se kuolee.</t>
  </si>
  <si>
    <t>Se pomppii hännällään pitääkseen sydämensä lyömässä. Se kantaa päässään Clamperlin helmeä.</t>
  </si>
  <si>
    <t>https://pokeapi.co/api/v2/pokemon-species/266/</t>
  </si>
  <si>
    <t>Spoink pomppii hännällään. Pomppumisen aiheuttama sähköisku saa sen sydämen pumppaamaan. Tämän seurauksena tämä Pokémon ei pysty lopettamaan pomppimista – jos se pysähtyy, sen sydän pysähtyy.</t>
  </si>
  <si>
    <t>Spoink pitää helmeä päänsä päällä. Helmi vahvistaa tämän Pokémonin psykokineettisiä voimia. Siksi se etsii jatkuvasti suurempaa helmeä.</t>
  </si>
  <si>
    <t>Grumpig</t>
  </si>
  <si>
    <t>Manipuloi Pokémoneja</t>
  </si>
  <si>
    <t>GRUMPIG käyttää kehossaan olevia mustia helmiä vahvistaakseen psyykkisiä voima-aaltojaan ja saadakseen täyden hallinnan vihollisestaan. Kun tämä POKéMON käyttää erityisvoimaansa, sen kuorsaus käy raskaaksi.</t>
  </si>
  <si>
    <t>GRUMPIG käyttää kehossaan olevia mustia helmiä fantastisten voimiensa käyttämiseen. Niin tehdessään se tanssii omituisesti. Tämän POKéMONin mustat helmet ovat arvokkaita taideteoksia.</t>
  </si>
  <si>
    <t>Se varastoi voimaa otsassaan oleviin mustiin helmiin. Kun se käyttää psyykkistä voimaansa, se suorittaa oudon tanssiaskeleen. Sen tanssityylistä tuli valtavan suosittu ulkomailla.</t>
  </si>
  <si>
    <t>Se voi saada viholliset hallintaansa omituisilla tanssiaskeleilla. Sen otsassa olevat mustat helmet ovat arvokkaita jalokiviä.</t>
  </si>
  <si>
    <t>Se käyttää mustia helmiä vahvistaakseen psykovoimaansa. Se tanssii omituista tanssia saadakseen viholliset hallintaansa.</t>
  </si>
  <si>
    <t>Se voi esittää outoja tanssiaskelia vihollisten vaikuttamiseksi. Sen tanssityylistä tuli valtavan suosittu ulkomailla.</t>
  </si>
  <si>
    <t>Se käyttää mustia helmiä vahvistaakseen psyykkistä voimaansa. Se tanssii outoa tanssia hallitakseen vihollisten mieliä.</t>
  </si>
  <si>
    <t>Se käyttää mustia helmiä vahvistaakseen psyykkistä voimaansa. Se tanssii omituista tanssia saadakseen viholliset hallintaansa.</t>
  </si>
  <si>
    <t>Grumpig käyttää kehossaan olevia mustia helmiä vahvistaakseen psyykkisiä voima-aaltojaan ja saadakseen täyden hallinnan vihollisestaan. Kun tämä Pokémon käyttää erityisvoimaansa, sen kuorsaus käy raskaaksi.</t>
  </si>
  <si>
    <t>Grumpig käyttää kehossaan olevia mustia helmiä fantastisten voimiensa käyttämiseen. Niin tehdessään se tanssii omituisesti. Tämän Pokémonin mustat helmet ovat arvokkaita taideteoksia.</t>
  </si>
  <si>
    <t>Spinda</t>
  </si>
  <si>
    <t>Bongaa Panda Pokémon</t>
  </si>
  <si>
    <t>https://pokeapi.co/api/v2/pokemon-species/267/</t>
  </si>
  <si>
    <t>Kaikilla maailman SPINDA-pokémoneilla sanotaan olevan täysin ainutlaatuisia täpläkuvioita. Tämän POKéMONin horjuvat, horjuvat askeleet antavat sille tanssivan vaikutelman.</t>
  </si>
  <si>
    <t>Kahdenkaan SPINDAn nahassa ei sanota olevan identtisiä täpläkuvioita. Tämä POKéMON liikkuu omituisesti, ikään kuin se kompastelisi huimauksesta. Sen horjuvat liikkeet voivat saada vastustajan hämmentymään.</t>
  </si>
  <si>
    <t>Sille on tunnusomaista aina erilainen täpläkuvio. Sen epävakaa, horjuva kävely tekee vihollisen tähtäimestä virheellisen.</t>
  </si>
  <si>
    <t>Kahden SPINDAn ei sanota omaavan identtisiä kuvioita. Se hämmentää vihollisia kompasteluliikkeillään.</t>
  </si>
  <si>
    <t>Kahdella SPINDALLA ei ole samanlaista täpläkuviota. Sen horjuva askel tekee vihollisten tähtäyksestä virheellisen.</t>
  </si>
  <si>
    <t>Kahden SPINDAn todennäköisyys saada identtiset täpläkuviot on alle yksi neljästä miljardista.</t>
  </si>
  <si>
    <t>Kahdella Spindalla ei ole samanlaista täpläkuviota. Sen horjuva askel tekee vihollisten tähtäyksestä virheellistä.</t>
  </si>
  <si>
    <t>Kahden Spindan identtisten täpläkuvioiden todennäköisyys on alle yksi neljästä miljardista.</t>
  </si>
  <si>
    <t>Kaikilla maailman Spindoilla sanotaan olevan täysin ainutlaatuisia täpläkuvioita. Tämän Pokémonin horjuvat, horjuvat askeleet antavat sille tanssivan vaikutelman.</t>
  </si>
  <si>
    <t>Kahdenkaan Spindan nahassa ei sanota olevan identtisiä täpläkuvioita. Tämä Pokémon liikkuu omituisesti, ikään kuin se kompastelisi huimauksesta. Sen horjuvat liikkeet voivat saada vastustajan hämmentymään.</t>
  </si>
  <si>
    <t>https://pokeapi.co/api/v2/pokemon-species/268/</t>
  </si>
  <si>
    <t>Sen askeleet ovat horjuvat ja epävakaat, mutta Spinda luulee sen kävelevän suoraa linjaa.</t>
  </si>
  <si>
    <t>Jokaisessa Spindassa on hieman erilainen täplämuodostelma. On keräilijöitä, jotka nauttivat pienistä eroista täpläkuvioissa.</t>
  </si>
  <si>
    <t>Sen askeleet ovat horjuvat ja kompastelevat. Pitkä kävely tekee siitä pahoinvoivaa.</t>
  </si>
  <si>
    <t>Jokaisen Spindan liikkeen kuvio on erilainen. Kompasteluliikkeillään se väistää vastustajien hyökkäykset nerokkaasti!</t>
  </si>
  <si>
    <t>Trapinch</t>
  </si>
  <si>
    <t>Muurahaispesä-Pokémon</t>
  </si>
  <si>
    <t>TRAPINCHin pesä on kalteva, kulhomainen hiekkaan kaivettu kuoppa. Tämä POKéMON odottaa kärsivällisesti saaliin putoamista kuoppaan. Sen jättimäiset leuat ovat tarpeeksi voimaa murskata jopa lohkareet.</t>
  </si>
  <si>
    <t>TRAPINCH on kärsivällinen metsästäjä. Se kaivaa pakoonpääsemättömän kuopan aavikolle ja odottaa saaliinsa putoavan alas. Tämä POKéMON voi pärjätä kokonaisen viikon ilman vettä.</t>
  </si>
  <si>
    <t>Sen suuret leuat rutistavat lohkareiden läpi. Koska sen pää on niin suuri, sillä on vaikeuksia nousta takaisin pystyyn, jos se kaatuu selälleen.</t>
  </si>
  <si>
    <t>Se elää kuivilla aavikoilla. Se tekee viistokuopan hiekkaan, jossa se kärsivällisesti odottaa saalista.</t>
  </si>
  <si>
    <t>Se tekee kartiomaisen kuopan aavikon hiekkaan ja väijyy pohjalla saalista, joka putoaa alas.</t>
  </si>
  <si>
    <t>Sen pesä on viettävä, kulhomainen kuoppa aavikolla. Kun jokin on pudonnut sinne, sieltä ei ole pakoa.</t>
  </si>
  <si>
    <t>https://pokeapi.co/api/v2/pokemon-species/269/</t>
  </si>
  <si>
    <t>Se tekee väistämättömän kartiomaisen kuopan ja väijyy pohjalla saalista putoamassa alas.</t>
  </si>
  <si>
    <t>Trapinchin pesä on kalteva, kulhomainen hiekkaan kaivettu kuoppa. Tämä Pokémon odottaa kärsivällisesti saaliin putoamista kuoppaan. Sen jättimäiset leuat ovat tarpeeksi voimakkaita murskaamaan jopa lohkareita.</t>
  </si>
  <si>
    <t>Trapinch on kärsivällinen metsästäjä. Se kaivaa pakoonpääsemättömän kuopan aavikolle ja odottaa saaliinsa putoavan alas. Tämä Pokémon voi olla kokonaisen viikon ilman vettä.</t>
  </si>
  <si>
    <t>Se voi elää viikon syömättä mitään. Se odottaa kärsivällisesti pesänsä pohjalla saaliin ilmestymistä.</t>
  </si>
  <si>
    <t>Kaivaessaan hiekkaa sen jättimäiset leuat murskaavat kaikki kivet, jotka estävät sen tietä. Se rakentaa suppilonmuotoisen pesän.</t>
  </si>
  <si>
    <t>Sen leuat ovat tarpeeksi vahvat murskaamaan kiviä, mutta niin raskaat, ettei se nouse ylös, jos se kaatuu. Sandile tarttuu näihin hetkiin tilaisuutena.</t>
  </si>
  <si>
    <t>Se rakentaa pesiä, jotka toimivat myös ansoina väijyen saalistaan. Yön laskeutuessa se kaivaa itselleen paikan hiekan alle nukkuakseen.</t>
  </si>
  <si>
    <t>Vibrava</t>
  </si>
  <si>
    <t>Tärinä-Pokémon</t>
  </si>
  <si>
    <t>VIBRAVA tuottaa ultraääniaaltoja värähtelemällä voimakkaasti kahta siipeään saadakseen saaliinsa pyörtymään. Tämän POKéMONin ultraääniaallot ovat niin voimakkaita, että ne voivat aiheuttaa ihmisille päänsärkyä.</t>
  </si>
  <si>
    <t>VIBRAVAn siivet eivät ole vielä kasvaneet loppuun. Pitkien matkojen lentämisen sijaan ne ovat hyödyllisempiä ultraääniaaltojen tuottamiseen värähtelemällä.</t>
  </si>
  <si>
    <t>Se lähettää ultraääniaaltoja hankaamalla siipiään yhteen. Koska VIBRAVAn siivet ovat vielä kasvuvaiheessa, se voi lentää vain lyhyitä matkoja.</t>
  </si>
  <si>
    <t>Se tuottaa ultraääniaaltoja räpyttelemällä siipiään rajusti. Pyörrytettyään saaliinsa se sulattaa sen hapolla.</t>
  </si>
  <si>
    <t>Se heiluttaa siipiään rajusti ja tuottaa ultraääniaaltoja, jotka aiheuttavat ihmisille päänsärkyä.</t>
  </si>
  <si>
    <t>https://pokeapi.co/api/v2/pokemon-species/270/</t>
  </si>
  <si>
    <t>Se värisee siipiään voimakkaasti, mikä luo ultraääniaaltoja, jotka aiheuttavat vakavia päänsärkyjä.</t>
  </si>
  <si>
    <t>Sen kahden siiven hankauksesta syntyvät ultraääniaallot aiheuttavat voimakasta päänsärkyä.</t>
  </si>
  <si>
    <t>Saadakseen saaliinsa pyörtymään, Vibrava tuottaa ultraääniaaltoja värähtelemällä voimakkaasti kahta siipeään. Tämän Pokémonin ultraääniaallot ovat niin voimakkaita, että ne voivat aiheuttaa ihmisille päänsärkyä.</t>
  </si>
  <si>
    <t>Vibravan siivet eivät ole vielä kasvaneet loppuun. Pitkien matkojen lentämisen sijaan ne ovat hyödyllisempiä ultraääniaaltojen tuottamiseen värähtelemällä.</t>
  </si>
  <si>
    <t>Sen sijaan, että se käyttäisi alikehittyneitä siipiään lentoon, se hieroo niitä yhteen ja tuottaa ultraääniaaltoja hyökätäkseen vihollistensa kimppuun.</t>
  </si>
  <si>
    <t>Auttaakseen siipiään kasvamaan se liuottaa saalista ruoansulatusnesteisiinsä ja ahmii sitä päivittäin.</t>
  </si>
  <si>
    <t>Se värisyttää siipiään tuottaakseen ultraääniaaltoja, jotka saavat saaliinsa pyörtymään. Sitten se hautaa saaliin elävältä hiekkaan suojellakseen sitä.</t>
  </si>
  <si>
    <t>Se värisee siipiään lähettääkseen outoja ääniaaltoja. Sen kanssa olevat kouluttajat tarvitsevat korvatulpat.</t>
  </si>
  <si>
    <t>Flygon</t>
  </si>
  <si>
    <t>https://pokeapi.co/api/v2/pokemon-species/271/</t>
  </si>
  <si>
    <t>FLYGONia kutsutaan lempinimellä "aavikon alkuainehengeksi". Koska sen räpyttelevät siivet piiskaavat hiekkapilven, tämä POKéMON on aina lentäessään hiekkamyrskyn ympäröimänä.</t>
  </si>
  <si>
    <t>FLYGON aiheuttaa hiekkamyrskyn räpyttelemällä siipiään. Siivet luovat sarjan nuotteja, jotka kuulostavat laululta. Koska "laulu" on ainoa asia, jonka voi kuulla hiekkamyrskyssä, tämän POKéMONin sanotaan olevan aavikon henki.</t>
  </si>
  <si>
    <t>Sen siipien räpyttely kuulostaa laululta. Estääkseen vihollisten havaitsemisen se piiloutuu räpyttelemällä ilmaan aavikon hiekkapilven.</t>
  </si>
  <si>
    <t>Se piiloutuu potkimalla siivillään aavikon hiekkaa ilmaan. Punaiset suojat suojaavat sen silmiä hiekalta.</t>
  </si>
  <si>
    <t>Se nostattaa hiekkamyrskyjä voimakkailla siipiensä läpätyksillä. Se tunnetaan nimellä "Aavikon henki".</t>
  </si>
  <si>
    <t>Se on saanut lempinimen "Aavikon henki", koska sen siipien räpyttely kuulostaa naisen laululta.</t>
  </si>
  <si>
    <t>Tämä "Aavikon sieluna" tunnettu Pokémon piiloutuu siipiään räpyttelemällä aiheuttamiinsa hiekkamyrskyihin.</t>
  </si>
  <si>
    <t>https://pokeapi.co/api/v2/pokemon-species/272/</t>
  </si>
  <si>
    <t>Flygonin lempinimi on "aavikon elementtihenki". Koska sen räpyttelevät siivet nostavat hiekkapilven, tämä Pokémon on aina lentäessään hiekkamyrskyn ympäröimänä.</t>
  </si>
  <si>
    <t>Flygon nostattaa hiekkamyrskyn räpyttelemällä siipiään. Siivet luovat sarjan nuotteja, jotka kuulostavat laululta. Koska "laulu" on ainoa asia, joka hiekkamyrskyssä kuuluu, tätä Pokémonia kutsutaan aavikonhengeksi.</t>
  </si>
  <si>
    <t>Sen siipien räpyttely kuulostaa vähän kuin laululta. Äänen houkuttelemat joutuvat hiekkamyrskyn ympäröimiksi ja niistä tulee Flygonin saalis.</t>
  </si>
  <si>
    <t>Tämä Pokémon piileskelee luomiensa hiekkamyrskyjen sydämessä ja esiintyy harvoin paikoissa, joissa ihmiset voivat nähdä sen.</t>
  </si>
  <si>
    <t>Läpyttelemällä siipiään Flygonit aiheuttavat hiekkamyrskyjä, jotka kätkevät Krookodilen. Sitten tiimi jakaa saaliinsa.</t>
  </si>
  <si>
    <t>Ihmisten sydämet varastetaan edelleen sen lumoavilla lauluilla ja he huomaavat jäävänsä autiomaahan.</t>
  </si>
  <si>
    <t>Se on saanut lempinimen Aavikon henki, koska sen siipien räpyttely kuulostaa naisen laululta.</t>
  </si>
  <si>
    <t>Cacnea</t>
  </si>
  <si>
    <t>Kaktus-Pokémon</t>
  </si>
  <si>
    <t>CACNEA elää kuivilla alueilla, kuten aavikoilla. Se vapauttaa kukastaan ​​voimakasta tuoksua houkutellakseen saalista. Kun saalis tulee lähelle, tämä POKéMON ampuu teräviä piikkejä ruumiistaan ​​kaataakseen uhrin.</t>
  </si>
  <si>
    <t>Mitä kuivempi ja ankarampi ympäristö, sitä kauniimpi ja tuoksuvampi CACNEA-kukka kasvaa. Tämä POKéMON taistelee heiluttamalla villisti piikkisiä käsivarsiaan.</t>
  </si>
  <si>
    <t>CACNEA elää aavikoilla, joilla ei juurikaan sada. Se taistelee heiluttamalla paksuja, piikkisiä käsiään. Kerran vuodessa kukkii keltainen kukka.</t>
  </si>
  <si>
    <t>Se viihtyy ankarissa ympäristöissä, kuten aavikoilla. Se voi selvitä 30 päivää kehoonsa varastoidulla vedellä.</t>
  </si>
  <si>
    <t>https://pokeapi.co/api/v2/pokemon-species/273/</t>
  </si>
  <si>
    <t>Varastoimalla vettä kehoonsa tämä aavikon asukas voi selvitä 30 päivää ilman vettä.</t>
  </si>
  <si>
    <t>Se elää kuivilla paikoilla. Sen keltaiset kukat kukkivat kerran vuodessa.</t>
  </si>
  <si>
    <t>Cacnea elää kuivilla paikoilla, kuten aavikoilla. Se vapauttaa kukastaan ​​voimakasta tuoksua houkutellakseen saalista. Kun saalis tulee lähelle, tämä Pokémon ampuu teräviä piikkejä ruumiistaan ​​kaataakseen uhrin.</t>
  </si>
  <si>
    <t>Mitä kuivempi ja ankarampi ympäristö on, sitä kauniimpi ja tuoksuvampi kukka Cacnea kasvaa. Tämä Pokémon taistelee heiluttamalla villisti piikkisiä käsivarsiaan.</t>
  </si>
  <si>
    <t>Cacturne</t>
  </si>
  <si>
    <t>Variksenpelätin-Pokémon</t>
  </si>
  <si>
    <t>Päivällä CACTURNE pysyy paikallaan, jotta se ei menetä kosteutta ankaralle aavikon auringolle. Tämä POKéMON aktivoituu yöllä, kun lämpötila laskee.</t>
  </si>
  <si>
    <t>Jos matkaaja kulkee aavikon halki keskellä yötä, CACTURNE seuraa perässä sekalaisena joukkona. POKéMONit odottavat hetkeään ja odottavat matkaajan väsymistä ja liikkumattomuuden syntymistä.</t>
  </si>
  <si>
    <t>Vietettyään tuhansia vuosia ankarissa aavikoissa sen veri muuttui samoiksi aineiksi kuin hiekka. Se on yöeläin, joten se metsästää yöllä.</t>
  </si>
  <si>
    <t>Se elää aavikoilla. Se aktivoituu yöllä metsästäessään aavikon kuumuudesta uupunutta saalista.</t>
  </si>
  <si>
    <t>https://pokeapi.co/api/v2/pokemon-species/274/</t>
  </si>
  <si>
    <t>Se aktivoituu yöllä etsien saalista, joka on uupunut päivän aavikon kuumuudesta.</t>
  </si>
  <si>
    <t>Laumat niitä seuraavat matkalaisia ​​aavikon halki, kunnes matkalaiset eivät enää pysty liikkumaan.</t>
  </si>
  <si>
    <t>Päivällä Cacturne pysyy paikallaan, jotta se ei menetä kosteutta ankarassa aavikon auringossa. Tämä Pokémon aktivoituu yöllä, kun lämpötila laskee.</t>
  </si>
  <si>
    <t>Jos matkaaja kulkee aavikon läpi keskellä yötä, Cacturne seuraa häntä sekalaisena ryhmänä. Pokémonit odottavat, että matkaaja väsyy ja menettää liikkumiskykynsä.</t>
  </si>
  <si>
    <t>Swablu</t>
  </si>
  <si>
    <t>Puuvillalintu-Pokémon</t>
  </si>
  <si>
    <t>SWABLUlla on kevyet ja pörröiset siivet, jotka ovat kuin pumpulimaisia ​​pilviä. Tämä POKéMON ei pelkää ihmisiä. Se laskeutuu ihmisten päihin ja istuu siellä kuin pumpulimainen hattu.</t>
  </si>
  <si>
    <t>SWABLU rakastaa siivoamista. Jos se havaitsee jotain likaista, se pyyhkii ja kiillottaa sen pumpulimaisilla siivillään. Jos sen siivet likaantuvat, tämä POKéMON löytää puron ja suihkuttaa itseään.</t>
  </si>
  <si>
    <t>POKéMON, jolla on pumpulimaiset pilven kaltaiset siivet. Talven jälkeen, jolloin ruokaa on vähän saatavilla, SWABLU-parvet muuttavat keväällä lähemmäs kaupunkeja.</t>
  </si>
  <si>
    <t>Se hoitaa jatkuvasti pumpulimaisia ​​siipiään. Se käy suihkussa puhdistaakseen itsensä, jos se likaantuu.</t>
  </si>
  <si>
    <t>Sen siivet ovat kuin puuvillatupsut. Jos se istuu jonkun päässä, se näyttää puuvillahatulta.</t>
  </si>
  <si>
    <t>https://pokeapi.co/api/v2/pokemon-species/275/</t>
  </si>
  <si>
    <t>Se ei voi rentoutua, jos se tai sen ympäristö ei ole puhdas. Se pyyhkii likaa pois siivillään.</t>
  </si>
  <si>
    <t>Sen siivet tuovat mieleen pumpulimaiset pilvet. Se kylpee lähdevedessä ja rakastaa istua päillä.</t>
  </si>
  <si>
    <t>Jostain syystä se tykkää laskeutua pehmeästi ihmisten päähän ja käyttäytyä kuin se olisi hattu.</t>
  </si>
  <si>
    <t>Swablun siivet ovat kevyet ja pörröiset kuin pumpulipilvet. Tämä Pokémon ei pelkää ihmisiä. Se laskeutuu ihmisten päihin ja istuu siellä kuin pumpulipipo.</t>
  </si>
  <si>
    <t>Swablu rakastaa siivoamista. Jos se havaitsee jotain likaista, se pyyhkii ja kiillottaa sen pumpulimaisilla siivillään. Jos sen siivet likaantuvat, tämä Pokémon löytää puron ja suihkuttaa itsensä.</t>
  </si>
  <si>
    <t>Sen pumpulimaiset siivet ovat täynnä ilmaa, mikä tekee niistä kevyet ja pörröiset koskettaa. Swablu pitää tunnollisesti huolta sen siivistä.</t>
  </si>
  <si>
    <t>Koska Swablu näyttää kumpupilveltä, vihollisten voi olla vaikea löytää sitä. Ilmeisesti sen siivet ovat muuttuneet valkoisiksi useiden sukupolvien aikana.</t>
  </si>
  <si>
    <t>Altaria</t>
  </si>
  <si>
    <t>Hyräilevä Pokémon</t>
  </si>
  <si>
    <t>ALTARIA tanssii ja kiitää taivaalla hulmuavien, pumpulimaisten pilvien keskellä. Laulomalla melodioita kristallinkirkkaalla äänellään tämä POKéMON saa kuulijansa kokemaan unelmoivaa ihmetystä.</t>
  </si>
  <si>
    <t>ALTARIA laulaa upealla sopraanoäänellä. Sen siivet ovat kuin puuvillapilviä. Tämä POKéMON pyydystää nousutuulet kelluvilla siivillään ja lentää korkealle villiin siniseen maahan.</t>
  </si>
  <si>
    <t>Se hyräilee kauniilla sopraanoäänellä. Se lentää valkoisten pilvien keskellä sinisellä taivaalla. Se ampuu suustaan ​​kuumia tulipalloja.</t>
  </si>
  <si>
    <t>Jos kuulet kauniin melodian livertelevän syvällä vuorten keskellä kaukana ihmisistä, se on ALTARIAn hyrinää.</t>
  </si>
  <si>
    <t>https://pokeapi.co/api/v2/pokemon-species/276/</t>
  </si>
  <si>
    <t>Se näyttää lennossa pörröiseltä pilveltä. Se hyräilee sopraanoäänellään.</t>
  </si>
  <si>
    <t>Jos se kiintyy ihmiseen, se kietoo ystävän hellästi pehmeisiin siiviinsä ja sitten hyräilee.</t>
  </si>
  <si>
    <t>Se lentää sulavasti taivaan alla. Sen melodinen hyrinä saa sinut tuntemaan kuin olisit unessa.</t>
  </si>
  <si>
    <t>Aurinkoisina päivinä se lentää vapaasti taivaalla ja sulautuu pilviin. Se laulaa kauniilla sopraanolla.</t>
  </si>
  <si>
    <t>Altaria tanssii ja pyörii taivaalla hulmuavien, pumpulimaisten pilvien keskellä. Laulomalla melodioita kristallinkirkkaalla äänellään tämä Pokémon saa kuulijansa kokemaan unelmoivaa ihmetystä.</t>
  </si>
  <si>
    <t>Altaria laulaa upealla sopraanolla. Sen siivet ovat kuin puuvillapilviä. Tämä Pokémon pyydystää ylöspäin suuntautuvia ilmavirtoja kelluvilla siivillään ja lentää korkealle villiin siniseen maahan.</t>
  </si>
  <si>
    <t>Rauhallisesti ja rentoutuneesti lentäessään Altaria esittää hyräilevän laulun, joka lumoaisi minkä tahansa yleisön.</t>
  </si>
  <si>
    <t>Tällä Pokémonilla on kiltti luonne, mutta jos sitä provosoidaan, se uhkaa vastustajia kimeillä huudoilla ennen kuin hyökkää heidän kimppuunsa armotta.</t>
  </si>
  <si>
    <t>Zangoose</t>
  </si>
  <si>
    <t>Kissafretti-Pokémon</t>
  </si>
  <si>
    <t>Muistot arkkivihollisensa SEVIPERin taistelusta ovat syöpyneet ZANGOOSEn jokaiseen kehon soluun. Tämä POKéMON väistää hyökkäykset taitavasti ja uskomattomalla ketteryydellä.</t>
  </si>
  <si>
    <t>ZANGOOSE pysyy yleensä kontallaan, mutta suuttuessaan se nousee takajaloilleen ja ojentaa kyntensä. Tämä POKéMON ja SEVIPER kilpailevat keskenään sukupolvien ajan.</t>
  </si>
  <si>
    <t>https://pokeapi.co/api/v2/pokemon-species/277/</t>
  </si>
  <si>
    <t>Taistellessaan se seisoo takajaloillaan ja hyökkää teräväkynsisillä etujaloillaan. Sen turkki nousee pystyyn, jos se kohtaa SEVIPERIN.</t>
  </si>
  <si>
    <t>Jos se kohtaa SEVIPERIN, sen turkki nousee pystyyn ja se asettuu taisteluasentoon. Sen terävät kynnet ovat sen paras ase.</t>
  </si>
  <si>
    <t>Se on käynyt vihanpitoa SEVIPERin kanssa useiden sukupolvien ajan. Sen terävät kynnet ovat sen suurimmat aseet.</t>
  </si>
  <si>
    <t>Sen turkki nousisi pystyyn, jos se haistaisi lähellä olevan SEVIPERIN. Sen terävät kynnet repivät vihollisensa.</t>
  </si>
  <si>
    <t>Se on käynyt vihanpitoa Seviperin kanssa useiden sukupolvien ajan. Sen terävät kynnet ovat sen suurimmat aseet.</t>
  </si>
  <si>
    <t>Se on Seviperin arkkivihollinen. Uhkatakseen kohtaamiaan se levittää etutassujensa kynnet.</t>
  </si>
  <si>
    <t>Sen turkki nousisi pystyyn, jos se haistaisi lähellä olevan kyykäärmeen. Sen terävät kynnet repivät vihollisensa.</t>
  </si>
  <si>
    <t>Muistot taistelusta arkkivihollista Seviperiä vastaan ​​ovat syöpyneet Zangoosen kehon jokaiseen soluun. Tämä Pokémon väistää hyökkäyksiä taitavasti ja uskomattomalla ketteryydellä.</t>
  </si>
  <si>
    <t>Zangoose pysyy yleensä kontallaan, mutta suuttuessaan se nousee takajaloilleen ja ojentaa kyntensä. Tämä Pokémon jakaa katkeran kilpailun Seviperin kanssa sukupolvien ajan.</t>
  </si>
  <si>
    <t>Seviper</t>
  </si>
  <si>
    <t>Fang-käärme-Pokémon</t>
  </si>
  <si>
    <t>SEVIPER ja ZANGOOSE jakavat sukupolvien mittaisen vihanpidon. Sen ruumiissa olevat arvet ovat todisteita raaoista taisteluista. Tämä POKéMON hyökkää miekkateräisellä häntällään.</t>
  </si>
  <si>
    <t>https://pokeapi.co/api/v2/pokemon-species/278/</t>
  </si>
  <si>
    <t>SEVIPERin miekkamainen häntä palvelee kahta tarkoitusta – se viiltää vihollisia ja upottaa heidät erittävää myrkkyä. Tämä POKéMON ei aio luopua pitkäaikaisesta verikostostaan ​​ZANGOOSEa vastaan.</t>
  </si>
  <si>
    <t>SEVIPER ja ZANGOOSE ovat ikuisia kilpailijoita. Se vastustaa ZANGOOSEN häikäisevää ketteryyttä miekkamaisella hännällään, josta myös tihkuu kamalaa myrkkyä.</t>
  </si>
  <si>
    <t>Se teroittaa miekan kaltaista häntäänsä kovilla kivillä. Se piiloutuu korkeaan ruohikkoon ja iskee varomattomaan saaliiseen myrkyllisillä hampailla.</t>
  </si>
  <si>
    <t>Se on käynyt vihanpitoa ZANGOOSE:n kanssa monien sukupolvien ajan. Se teroittaa terävää häntäänsä kallioilla taistelua varten.</t>
  </si>
  <si>
    <t>Taistelussa se käyttää terävää häntäänsä torjuakseen kaikki ZANGOOSE-hyökkäykset. Se erittää tappavaa myrkkyä pyrstössään.</t>
  </si>
  <si>
    <t>Se on käynyt vihanpitoa Zangoosen kanssa monien sukupolvien ajan. Se teroittaa terävää häntäänsä kallioilla taistelua varten.</t>
  </si>
  <si>
    <t>Jatkuva kiillotus tekee sen pyrstön terän erittäin teräväksi. Se on Zangoosen arkkivihollinen.</t>
  </si>
  <si>
    <t>https://pokeapi.co/api/v2/pokemon-species/279/</t>
  </si>
  <si>
    <t>Taistelussa se käyttää terävää häntäänsä torjuakseen kaikki Zangoose-hyönteiset. Se erittää tappavaa myrkkyä pyrstössään.</t>
  </si>
  <si>
    <t>Seviper jakaa sukupolvien mittaisen vihanpidon Zangoosen kanssa. Sen ruumiissa olevat arvet ovat todisteita raaoista taisteluista. Tämä Pokémon hyökkää miekkateräisellä häntällään.</t>
  </si>
  <si>
    <t>Seviperin miekkamainen häntä palvelee kahta tarkoitusta – se viiltää vihollisia ja upottaa heidät erittyvällä myrkyllä. Tämä Pokémon ei aio luopua pitkäaikaisesta verikostostaan ​​Zangoosea vastaan.</t>
  </si>
  <si>
    <t>Lunatone</t>
  </si>
  <si>
    <t>Meteoriitti-Pokémon</t>
  </si>
  <si>
    <t>LUNATONE löydettiin paikasta, johon meteoriitti putosi. Tämän seurauksena jotkut teorioivat, että tämä POKéMON tuli avaruudesta. Kukaan ei kuitenkaan ole pystynyt todistamaan tätä teoriaa tähän mennessä.</t>
  </si>
  <si>
    <t>LUNATONE aktivoituu täysikuun aikaan. Kävelyn sijaan se liikkuu leijuen ilmassa. POKéMONin pelottavat punaiset silmät saavat kaikki sen näkevät kauhun vallassa.</t>
  </si>
  <si>
    <t>Se aktivoituu täysikuun yönä. Tämä POKéMON löydettiin ensimmäisen kerran 40 vuotta sitten meteorin iskun paikalta.</t>
  </si>
  <si>
    <t>Sen terveys vaihtelee kuun kierron mukaan. Se on täynnä voimaa, kun se altistuu täysikuun valolle.</t>
  </si>
  <si>
    <t>Koska se aktivoituu täysikuun öinä, sen sanotaan liittyvän jollain tavalla kuun vaiheisiin.</t>
  </si>
  <si>
    <t>Se löydettiin meteorin iskun paikalta 40 vuotta sitten. Sen tuijotus voi tuudittaa viholliset uneen.</t>
  </si>
  <si>
    <t>Kuun vaiheella on ilmeisesti jonkin verran vaikutusta sen tehoon. Se on aktiivinen täysikuun yönä.</t>
  </si>
  <si>
    <t>https://pokeapi.co/api/v2/pokemon-species/280/</t>
  </si>
  <si>
    <t>Lunatone löydettiin paikasta, johon meteoroidi putosi. Tämän seurauksena jotkut ihmiset teorioivat, että tämä Pokémon tuli avaruudesta. Kukaan ei kuitenkaan ole pystynyt todistamaan tätä teoriaa tähän mennessä.</t>
  </si>
  <si>
    <t>Lunatone aktivoituu täysikuun aikaan. Kävelyn sijaan se liikkuu leijuen ilmassa. Pokémonin pelottavat punaiset silmät saavat kaikki sen näkevät kauhun vallassa.</t>
  </si>
  <si>
    <t>Solrock</t>
  </si>
  <si>
    <t>SOLROCK on uusi POKéMON-laji, jonka sanotaan pudonneen avaruudesta. Se leijuu ilmassa ja liikkuu äänettömästi. Taistelussa tämä POKéMON vapauttaa erittäin kirkasta valoa.</t>
  </si>
  <si>
    <t>Auringonvalo on SOLROCKin voiman lähde. Sen sanotaan pystyvän lukemaan muiden tunteita. Tämä POKéMON erittää voimakasta lämpöä pyörittäessään kehoaan.</t>
  </si>
  <si>
    <t>Tämän POKéMONin voimanlähde on aurinkoenergia. Aurinkoisina päivinä AURINGONKIVI-ryhmät asettuvat riviin aurinkoa kohti ja absorboivat sen valoa.</t>
  </si>
  <si>
    <t>Se imee itseensä auringon energiaa päivän aikana. Aina ilmeettömänä se aistii, mitä sen vihollinen ajattelee.</t>
  </si>
  <si>
    <t>Uusi Pokémon-laji, jonka huhutaan olevan auringosta. Se säteilee valoa pyöriessään.</t>
  </si>
  <si>
    <t>Kun se pyörii, se säteilee auringon kaltaista valoa, sokaisten siten vihollisensa.</t>
  </si>
  <si>
    <t>https://pokeapi.co/api/v2/pokemon-species/281/</t>
  </si>
  <si>
    <t>Aurinkoenergia on sen voiman lähde, joten se on voimakasta päiväsaikaan. Kun se pyörii, sen runko loistaa.</t>
  </si>
  <si>
    <t>Solrock on uusi Pokémon-laji, jonka sanotaan pudonneen avaruudesta. Se leijuu ilmassa ja liikkuu äänettömästi. Taistelussa tämä Pokémon vapauttaa erittäin kirkasta valoa.</t>
  </si>
  <si>
    <t>Auringonvalo on Solrockin voiman lähde. Sen sanotaan omaavan kyvyn lukea muiden tunteita. Tämä Pokémon erittää voimakasta lämpöä pyörittäessään kehoaan.</t>
  </si>
  <si>
    <t>Barboach</t>
  </si>
  <si>
    <t>Viikset Pokémon</t>
  </si>
  <si>
    <t>BARBOACHin herkät viikset toimivat erinomaisena tutkajärjestelmänä. Tämä POKéMON piiloutuu mutaan jättäen näkyviin vain kaksi viiksikarvaansa odottaessaan saalista.</t>
  </si>
  <si>
    <t>BARBOACHin keho on peittynyt limaan. Jos vihollinen nappaa sen, tämä POKéMON yksinkertaisesti lipsahtaa vihollisen otteesta. Tämä POKéMON heikkenee, jos limainen kerros kuivuu.</t>
  </si>
  <si>
    <t>Sen ruumis on peittynyt limaiseen kalvoon. Kalvo toimii esteenä estäen mutaisessa vedessä olevien bakteerien pääsyn BARBOACHin kehoon.</t>
  </si>
  <si>
    <t>https://pokeapi.co/api/v2/pokemon-species/282/</t>
  </si>
  <si>
    <t>Se luotaa mutaisia ​​joenuomia kahdella pitkällä viiksikarvallaan. Limakalvo suojaa sen kehoa.</t>
  </si>
  <si>
    <t>Se peittää koko ruumiinsa limalla, joten se voi kiemurrella ja livahtaa pois, jos siihen tarttuu.</t>
  </si>
  <si>
    <t>Sen viikset toimivat erinomaisena tutkana. Niitä käytetään saaliin paikantamiseen jopa sameimmassa vedessä.</t>
  </si>
  <si>
    <t>Sen limaista ruumista on vaikea saada kiinni. Yhdellä alueella sen sanotaan syntyneen kovettuneesta mudasta.</t>
  </si>
  <si>
    <t>BARBOACH käyttää viiksikarvojaan maistaakseen asioita aivan kuten ihminen käyttää kieltään maistaakseen asioita.</t>
  </si>
  <si>
    <t>https://pokeapi.co/api/v2/pokemon-species/283/</t>
  </si>
  <si>
    <t>Barboachin herkät viikset toimivat erinomaisena tutkajärjestelmänä. Tämä Pokémon piiloutuu mutaan jättäen vain kaksi viiksikarvaansa näkyviin odottaessaan saalista.</t>
  </si>
  <si>
    <t>Barboachin keho on peittynyt limaan. Jos vihollinen tarttuu siihen, tämä Pokémon lipsahtaa vihollisen otteesta. Tämä Pokémon heikkenee, jos limainen kerros kuivuu.</t>
  </si>
  <si>
    <t>Sen kaksi viikset tarjoavat herkän tutkan. Se pystyy havaitsemaan saaliinsa sijainnin jopa mutaisissa vesissä.</t>
  </si>
  <si>
    <t>Sen liukasta vartaloa on vaikea saada kiinni, niin paljon, että on festivaaleja, joilla ihmiset kilpailevat siitä, kuinka monta he saavat paljain käsin kiinni.</t>
  </si>
  <si>
    <t>Sen koko ruumis on tahmainen. Kun lintu-Pokémon nokkii sitä, se liukastuu ja liukuu tiensä vapauteen.</t>
  </si>
  <si>
    <t>Sen viikset ovat täynnä hermoja. Ne voivat aistia hajuja ja makuja aivan kuten ihmisen nenä tai kieli.</t>
  </si>
  <si>
    <t>Se asuu suoilla, joissa on sameaa vettä. Huono näkyvyys piilottaa tämän Pokémonin saalistajilta, ja sen kehon lima tekee siitä vaikeasti tarttuvan.</t>
  </si>
  <si>
    <t>Whiscash</t>
  </si>
  <si>
    <t>WHISCASH on äärimmäisen reviiritietoinen. Jopa yksi näistä POKéMONeista voi vallata suuren lammen yksinomaiseksi alueekseen. Jos vihollinen lähestyy sitä, se riehuu ympäriinsä ja laukaisee massiivisen maanjäristyksen.</t>
  </si>
  <si>
    <t>Jos WHISCASH riehuu villisti, se laukaisee maanjäristystä muistuttavan järistyksen, jonka säde on yli viiden kilometrin luokkaa. Tällä POKéMONilla on kyky ennustaa oikeita maanjäristyksiä.</t>
  </si>
  <si>
    <t>https://pokeapi.co/api/v2/pokemon-species/284/</t>
  </si>
  <si>
    <t>Se voi salaperäisesti ennustaa maanjäristyksiä. Päivällä se nukkuu mudassa lammen pohjalla. Herätessään se syö jatkuvasti läpi yön.</t>
  </si>
  <si>
    <t>Se tekee pesänsä soiden pohjalle. Se syö mitä tahansa - jos se on elossa, WHISCASH syö sen.</t>
  </si>
  <si>
    <t>Se on hyvin reviiritietoinen. Se torjuu viholliset laukaisemalla järistyksiä, jotka ulottuvat viiden kilometrin säteelle.</t>
  </si>
  <si>
    <t>Koska se aiheutti järistyksiä rimpuilemalla ympäriinsä, se kehitti kyvyn ennustaa todellisia maanjäristyksiä.</t>
  </si>
  <si>
    <t>Se on äärimmäisen suojelevainen reviiriään kohtaan. Jos vihollinen lähestyy, se hyökkää käyttämällä raivokkaita vapinaiskuja.</t>
  </si>
  <si>
    <t>Se vaatii itselleen suuren suon. Jos vihollinen tulee lähelle, se aiheuttaa järistyksiä rimpuilemalla ympäriinsä.</t>
  </si>
  <si>
    <t>Se tekee pesänsä soiden pohjalle. Se syö mitä tahansa – jos se on elossa, Whiscash syö sen.</t>
  </si>
  <si>
    <t>Whiscash on äärimmäisen reviiritietoinen. Jopa yksi näistä Pokémoneista voi vallata suuren lammen yksinomaiseksi reviirikseen. Jos vihollinen lähestyy sitä, se riehuu ympäriinsä ja laukaisee valtavan maanjäristyksen.</t>
  </si>
  <si>
    <t>Jos Whiscash riehuu villisti, se laukaisee maanjäristystä muistuttavan järistyksen, jonka säde on yli viiden kilometrin luokkaa. Tällä Pokémonilla on kyky ennustaa oikeita maanjäristyksiä.</t>
  </si>
  <si>
    <t>https://pokeapi.co/api/v2/pokemon-species/285/</t>
  </si>
  <si>
    <t>Ahmatti, joka ahmii kaiken liikkuvan, lymyilee hiljaa soiden pohjalla väijyen saalista.</t>
  </si>
  <si>
    <t>Whiscashin hyppäämisen vedestä uskotaan enteilevän maanjäristystä.</t>
  </si>
  <si>
    <t>Whiscash ravistelee maata voimakkaasti pelotellakseen vastustajiaan. Se nielee saaliinsa kokonaisena – sekä mutaa suon pohjalta.</t>
  </si>
  <si>
    <t>Sen näkö ei ole kovin hyvä. Se aistii veden värähtelyjä viiksikarvoillaan määrittääkseen saaliinsa sijainnin.</t>
  </si>
  <si>
    <t>Iskee pyrstöevällään suonpohjaa ravistellakseen maata ja säikäyttääkseen saaliinsa. Sitten se nielee pakenevan saaliin kokonaisena. Ihmiset luulivat tätä käyttäytymistä maanjäristysten syyksi.</t>
  </si>
  <si>
    <t>Corphish</t>
  </si>
  <si>
    <t>Ruffian-Pokémon</t>
  </si>
  <si>
    <t>CORPHISHit olivat alun perin ulkomaisia ​​POKéMONEJA, jotka tuotiin lemmikeiksi. Lopulta ne ilmestyivät luontoon. Nämä POKéMONit ovat erittäin kestäviä ja niiden populaatio on kasvanut huomattavasti.</t>
  </si>
  <si>
    <t>CORPHISH pyydystää saaliinsa terävillä kynsillään. Sillä ei ole mieltymyksiä ruoan suhteen – se syö mitä tahansa. Tällä POKéMONilla ei ole vaikeuksia elää likaisessa vedessä.</t>
  </si>
  <si>
    <t>Kun se kerran nappaa saaliinsa suurilla pihdeillään, se ei koskaan päästä irti, tapahtuipa mitä tahansa. Se on sitkeä POKéMON, joka voi menestyä missä tahansa ympäristössä.</t>
  </si>
  <si>
    <t>Se tuli ulkomailta. Se on erittäin kestävä olento, joka lisääntyy nopeasti jopa saastuneissa puroissa.</t>
  </si>
  <si>
    <t>https://pokeapi.co/api/v2/pokemon-species/286/</t>
  </si>
  <si>
    <t>Sen sitkeä elinvoimaisuus antaa sille mahdollisuuden sopeutua mihin tahansa ympäristöön. Sen pihdit eivät koskaan päästä saalista irti.</t>
  </si>
  <si>
    <t>Se oli alun perin kaukaa luontoon karannut Pokémon. Se pystyy sopeutumaan likaisimpaankin jokeen.</t>
  </si>
  <si>
    <t>Olipa joen vesi kuinka likaista tahansa, se sopeutuu ja kukoistaa. Sillä on vahva selviytymistahto.</t>
  </si>
  <si>
    <t>https://pokeapi.co/api/v2/pokemon-species/287/</t>
  </si>
  <si>
    <t>Corphish-pokémonit olivat alun perin ulkomaalaisia ​​Pokémoneja, jotka tuotiin lemmikeiksi. Lopulta ne ilmestyivät luontoon. Tämä Pokémon on erittäin kestävä ja sen populaatio on kasvanut huomattavasti.</t>
  </si>
  <si>
    <t>Corphish pyydystää saaliinsa terävillä kynsillään. Sillä ei ole mieltymyksiä ruoan suhteen – se syö mitä tahansa. Tällä Pokémonilla ei ole vaikeuksia elää likaisessa vedessä.</t>
  </si>
  <si>
    <t>Yksilöt, jotka kouluttajat ovat vapauttaneet kasvatuksensa menettäneiden ihmisten vuoksi, ovat yleistyneet, ja heitä löytyy nyt Alolasta.</t>
  </si>
  <si>
    <t>Se sopeutuu erittäin hyvin ympäristöönsä. Feebas ja Corphish ovat lähes ainoat Pokémonit, jotka elävät seisovissa ojissa.</t>
  </si>
  <si>
    <t>Crawdaunt</t>
  </si>
  <si>
    <t>Rogue-Pokémon</t>
  </si>
  <si>
    <t>CRAWDAUNTilla on äärimmäisen väkivaltainen luonne, joka pakottaa sen haastamaan muita eläviä olentoja taisteluun. Muut elämänmuodot kieltäytyvät elämästä tämän POKéMONin asuttamissa lammissa, mikä tekee niistä autioita paikkoja.</t>
  </si>
  <si>
    <t>CRAWDAUNT luopuu kuorestaan ​​säännöllisesti. Heti sulkasadon jälkeen sen kuori on pehmeä ja murea. Kunnes kuori kovettuu, tämä POKéMON piiloutuu puronuomassaan välttääkseen vihollistensa hyökkäyksiä.</t>
  </si>
  <si>
    <t>Brutaali POKéMON, joka rakastaa taistelua. Satoja taisteluita voittanut kokenut CRAWDAUNT kantaa jättimäisiä pihdejä, joissa on lukemattomia arpia.</t>
  </si>
  <si>
    <t>Karu asiakas, joka villisti heiluttelee jättimäisiä kynsiään. Sen sanotaan olevan erittäin vaikea kasvattaa.</t>
  </si>
  <si>
    <t>Se on roisto, joka käyttää pihdeitään poimiakseen ja heittääkseen pois muita Pokémoneja lammestaan.</t>
  </si>
  <si>
    <t>https://pokeapi.co/api/v2/pokemon-species/288/</t>
  </si>
  <si>
    <t>Raaka Pokémon, joka rakastaa taistelua. Se törmää mihin tahansa viholliseen, joka lähestyy sen pesää.</t>
  </si>
  <si>
    <t>Taistelua rakastava Pokémon nipistää pihdeillään kaikkia alueelleen astuvia Pokémoneja ja heittää ne pois.</t>
  </si>
  <si>
    <t>Crawdauntilla on äärimmäisen väkivaltainen luonne, joka pakottaa sen haastamaan muita eläviä olentoja taisteluun. Muut elämänmuodot kieltäytyvät elämästä tämän Pokémonin asuttamissa lammissa, mikä tekee niistä autioita paikkoja.</t>
  </si>
  <si>
    <t>Crawdaunt luopuu kuorestaan ​​säännöllisesti. Heti sulkasadon jälkeen sen kuori on pehmeä ja murea. Kunnes kuori kovettuu, tämä Pokémon piiloutuu purouoman koloonsa välttääkseen vihollistensa hyökkäyksiä.</t>
  </si>
  <si>
    <t>Sen luonne on karu ja se rakastaa tappelua, mutta heti kun sen pihdit katkeavat, se muuttuu pelkurimaiseksi. Se pysyy arkana, kunnes ne kasvavat takaisin.</t>
  </si>
  <si>
    <t>Sen pihdit putoavat usein irti. Toisin kuin Crabrawlerilla tai Clauncherilla, sen kynsien liha on äärimmäisen iljettävää ja haisevaa.</t>
  </si>
  <si>
    <t>https://pokeapi.co/api/v2/pokemon-species/289/</t>
  </si>
  <si>
    <t>Baltoy</t>
  </si>
  <si>
    <t>Savinukke-Pokémon</t>
  </si>
  <si>
    <t>BALTOY liikkuu pyörien ympäri yhdellä jalallaan. Muinaisista raunioista on löydetty alkeellisia seinämaalauksia, jotka kuvaavat tätä POKéMONia ihmisten keskuudessa.</t>
  </si>
  <si>
    <t>Heti kun BALTOY havaitsee muita lajitovereita, se kerääntyy niiden joukkoon ja alkaa sitten itkeä äänekkäästi yhteen ääneen. Tämä POKéMON nukkuu tasapainotellen taitavasti yhdellä jalallaan.</t>
  </si>
  <si>
    <t>BALTOY liikkuu pyörimällä yhdellä jalallaan. Se on kuvattu muinaisen vilkkaan kaupungin muureja koristavissa seinämaalauksissa.</t>
  </si>
  <si>
    <t>Se löydettiin muinaisista raunioista. Liikkuessaan se pyörii jatkuvasti. Se seisoo yhdellä jalalla jopa nukkuessaan.</t>
  </si>
  <si>
    <t>Se liikkuu pyörimällä jalallaan. Se on harvinainen Pokémon, joka löydettiin muinaisista raunioista.</t>
  </si>
  <si>
    <t>Se liikkuu pyöriessään ympäriinsä yhdellä jalallaan. Joidenkin BALTOY-hirviöiden on nähty pyörivän päänsä päällä.</t>
  </si>
  <si>
    <t>https://pokeapi.co/api/v2/pokemon-species/290/</t>
  </si>
  <si>
    <t>Muinaisista raunioista löydettynä se liikkuu pyörimällä ympäriinsä ja muodostaa ryhmän löytäessään muita.</t>
  </si>
  <si>
    <t>Se liikkuu pyöriessään ympäriinsä yhdellä jalallaan. Joidenkin baltoyjen on nähty pyörivän päänsä päällä.</t>
  </si>
  <si>
    <t>Baltoy liikkuu pyörien ympäri yhdellä jalallaan. Muinaisista raunioista on löydetty alkeellisia seinämaalauksia, jotka kuvaavat tätä Pokémonia ihmisten keskuudessa.</t>
  </si>
  <si>
    <t>Heti kun Baltoy havaitsee muita lajitovereita, se kerääntyy niiden joukkoon ja alkaa sitten itkeä äänekkäästi yhteen ääneen. Tämä Pokémon nukkuu tasapainotellen taitavasti yhdellä jalallaan.</t>
  </si>
  <si>
    <t>Baltoyn kaltaisia ​​Pokémon-kuvia on löydetty luolien seiniltä, ​​joissa alkukantaiset ihmiset elivät.</t>
  </si>
  <si>
    <t>Löytäessään muita lajitoveriaan ne huutavat kovaa ja kerääntyvät yhteen. Niitä voi löytää suuria määriä vanhoilta hautausmailta.</t>
  </si>
  <si>
    <t>Claydol</t>
  </si>
  <si>
    <t>CLAYDOLien sanotaan olevan alkuihmisten tekemiä mudanukkeja, jotka heräävät eloon alttiiksi salaperäiselle säteelle. Tämä POKéMON liikkuu levitoimalla.</t>
  </si>
  <si>
    <t>CLAYDOL on arvoitus, joka ilmestyi muinaisen sivilisaation 20 000 vuotta vanhasta savipatsaasta. Tämä POKéMON ampuu säteitä molemmista käsistään.</t>
  </si>
  <si>
    <t>CLAYDOL nukkuu leijuen ilmassa. Sen kädet ovat erillään vartalosta. Ne pysyvät leijunnassa POKéMONien psyykkisten voimien manipuloinnin ansiosta.</t>
  </si>
  <si>
    <t>https://pokeapi.co/api/v2/pokemon-species/291/</t>
  </si>
  <si>
    <t>Se näyttää syntyneen muinaisten ihmisten tekemistä savinukeista. Se käyttää telekinesiaa kelluakseen ja liikkuakseen.</t>
  </si>
  <si>
    <t>Muinainen savihahmo, joka heräsi eloon Pokémonina altistuttuaan salaperäiselle valonsäteelle.</t>
  </si>
  <si>
    <t>Sanotaan, että se on peräisin muinaisen sivilisaation tekemistä savinukeista.</t>
  </si>
  <si>
    <t>Tämä salaperäinen Pokémon aloitti elämänsä yli 20 000 vuotta sitten tehtynä muinaisena savihahmona.</t>
  </si>
  <si>
    <t>https://pokeapi.co/api/v2/pokemon-species/292/</t>
  </si>
  <si>
    <t>Claydol-pokémonien sanotaan olevan alkuihmisten tekemiä mudanukkeja, jotka heräävät eloon altistumalla salaperäiselle säteelle. Tämä Pokémon liikkuu levitoidessaan.</t>
  </si>
  <si>
    <t>Claydol on arvoitus, joka ilmestyi muinaisen sivilisaation 20 000 vuotta vanhasta savipatsaasta. Tämä Pokémon ampuu säteitä molemmista käsistään.</t>
  </si>
  <si>
    <t>Jos se kastuu, sen ruumis sulaa. Kun alkaa sataa, se kietoo koko ruumiinsa psyykkisiin voimiinsa suojellakseen itseään.</t>
  </si>
  <si>
    <t>Muinaiset ihmiset, jotka sen tekivät, ilmeisesti mallinsivat sen jostakin taivaasta laskeutuneesta. Se ampuu säteitä molemmista käsivarsista.</t>
  </si>
  <si>
    <t>Lileep</t>
  </si>
  <si>
    <t>Merililja-Pokémon</t>
  </si>
  <si>
    <t>LILEEP kuoli sukupuuttoon noin sata miljoonaa vuotta sitten. Tämä muinainen POKéMON kiinnittyy merenpohjassa olevaan kiveen ja pyydystää lähestyvän saaliinsa kukka terälehtien muotoisten lonkeroiden avulla.</t>
  </si>
  <si>
    <t>LILEEP on muinainen POKéMON, joka on syntynyt fossiilista. Se on pysyvästi ankkuroitunut kallioon. Liikkumattomalta istuimeltaan tämä POKéMON tarkkailee saalista kahdella silmällään.</t>
  </si>
  <si>
    <t>Se naamioituu merileväksi heiluttamalla lonkeroitaan. Liian lähelle tuleva tietämätön saalis niellään kokonaisena. Se kuoli sukupuuttoon 100 miljoonaa vuotta sitten.</t>
  </si>
  <si>
    <t>Se kuoli sukupuuttoon noin 100 miljoonaa vuotta sitten. Se elpyi fossiilista edistyneiden tekniikoiden avulla.</t>
  </si>
  <si>
    <t>Se eli merenpohjassa 100 miljoonaa vuotta sitten ja herätettiin henkiin tieteellisesti.</t>
  </si>
  <si>
    <t>https://pokeapi.co/api/v2/pokemon-species/293/</t>
  </si>
  <si>
    <t>Se naamioi lonkeronsa kukiksi houkutellakseen ja pyydystääkseen saalista. Se kuoli sukupuuttoon muinaisina aikoina.</t>
  </si>
  <si>
    <t>Lileep kuoli sukupuuttoon noin sata miljoonaa vuotta sitten. Tämä muinainen Pokémon kiinnittyy merenpohjassa olevaan kiveen ja pyydystää lähestyvän saaliinsa kukka terälehtien muotoisten lonkeroiden avulla.</t>
  </si>
  <si>
    <t>Lileep on muinainen Pokémon, joka on uusiutunut fossiilista. Se on pysyvästi ankkuroitunut kallioon. Liikkumattomalta istuimeltaan tämä Pokémon tarkkailee saalista kahdella silmällään.</t>
  </si>
  <si>
    <t>Muinaisina aikoina se eli lämpimissä merissä. Se naamioitui merileväksi väijyttääkseen saalistaan ​​ja ahmi ne kokonaisina, kun ne tulivat lähelle.</t>
  </si>
  <si>
    <t>Se tarttuu kiviin voimakkailla imukupeillään, eikä sitä voi huuhtoa pois, olipa aalto kuinka karu tahansa.</t>
  </si>
  <si>
    <t>Tämä Pokémon on palautettu fossiilista. Lileep eli aikoinaan lämpimissä merissä noin 100 000 000 vuotta sitten.</t>
  </si>
  <si>
    <t>Lileep tarrautuu merenpohjan kiviin. Kun saalis tulee lähelle, tämä Pokémon kietoo sen terälehtimäisiin lonkeroihinsa.</t>
  </si>
  <si>
    <t>Cradily</t>
  </si>
  <si>
    <t>Meriposki-Pokémon</t>
  </si>
  <si>
    <t>CRADILY vaeltelee merenpohjassa etsien ruokaa. Tämä POKéMON ojentaa vapaasti puunrunkoa muistuttavaa kaulaansa ja pyydystää varomattoman saaliin kahdeksalla lonkerollaan.</t>
  </si>
  <si>
    <t>CRADILYn keho toimii ankkurina estäen sitä huuhtoutumasta mennessään kovassa merenkäynnissä. Tämä POKéMON erittää vahvaa ruoansulatusnestettä lonkeroistaan.</t>
  </si>
  <si>
    <t>Se raahaa raskasta ruumistaan ​​merenpohjaa pitkin. Se tekee pesänsä lämpimien merien matalikkoihin. CRADILYä voi nähdä rannoilla laskuveden aikaan.</t>
  </si>
  <si>
    <t>Se kietoo saaliinsa ansaan kahdeksalla lonkerollaan. Sitten se sulattaa saaliin vahvalla hapolla ennen syömistä.</t>
  </si>
  <si>
    <t>Se elää lämpimien merien matalikoissa. Kun vuorovesi laskee, se kaivaa saalista rannoilta.</t>
  </si>
  <si>
    <t>https://pokeapi.co/api/v2/pokemon-species/294/</t>
  </si>
  <si>
    <t>Se elää lämpimissä merissä. Sen raskas ruumis painaa sitä, joten se ei huuhtoudu pois kovassa säässä.</t>
  </si>
  <si>
    <t>Cradily vaeltelee merenpohjassa etsien ruokaa. Tämä Pokémon ojentaa vapaasti puunrunkoa muistuttavaa kaulaansa ja pyydystää varomattoman saaliin kahdeksalla lonkerollaan.</t>
  </si>
  <si>
    <t>Cradilyn ruumis toimii ankkurina estäen sitä huuhtoutumasta mennessään kovassa merenkäynnissä. Tämä Pokémon erittää vahvaa ruoansulatusnestettä lonkeroistaan.</t>
  </si>
  <si>
    <t>Normaalisti se eli matalilla meren matalikoilla. Kun vuorovesi laski, tämä Pokémon nousi maihin etsimään saalista.</t>
  </si>
  <si>
    <t>Tämä lihansyöjä-Pokémon eli alkukantaisissa merissä. Se pyydystää saalista kahdeksalla lonkerollaan ja liuottaa ne ruoansulatusnesteeseen syödessään.</t>
  </si>
  <si>
    <t>Sillä on lyhyet jalat eikä se pysty kävelemään kovin nopeasti, mutta sen kaula ja lonkerot voivat ulottua yli kolminkertaisiksi tavallisiin pituuksiinsa napatakseen kaukaisen saaliin.</t>
  </si>
  <si>
    <t>Kun Cradily nappaa saaliin lonkeroihinsa, se sulattaa sen kokonaisena ja imee sen ravintoaineet.</t>
  </si>
  <si>
    <t>Anorith</t>
  </si>
  <si>
    <t>Vanha katkarapu-Pokémon</t>
  </si>
  <si>
    <t>ANORITH luotiin uudelleen esihistoriallisesta fossiilista. Tämä alkukantainen POKéMON eli aikoinaan lämpimissä merissä. Se puristaa saalistaan ​​tiukasti kahden suuren kyntensä välissä.</t>
  </si>
  <si>
    <t>ANORITHin sanotaan olevan eräänlainen POKéMONien edeltäjä, jolla on kahdeksan siipeä kehonsa sivuilla. Tämä POKéMON ui alkukantaisessa meressä aaltoilemalla näitä kahdeksaa siipeä.</t>
  </si>
  <si>
    <t>Se herätettiin fossiilista tieteen voimalla. Se ui aaltoilemalla kahdeksaa siipeään pitkin. Ne olivat jalat, jotka sopeutuivat elämään meressä.</t>
  </si>
  <si>
    <t>Se on eräänlainen POKéMONien kantamuoto. Se käyttää ojentuvia kynsiään pyydystääkseen merenpohjan kivien seassa piileskelevää saalista.</t>
  </si>
  <si>
    <t>https://pokeapi.co/api/v2/pokemon-species/295/</t>
  </si>
  <si>
    <t>Fossiilista herätetty Pokémonin esi-isä. Se eli meressä ja metsästi kynsillään.</t>
  </si>
  <si>
    <t>Meressä elänyt esi-isä-Pokémon. Ajan myötä sen kahdeksan jalkaa muuttuivat siiviksi.</t>
  </si>
  <si>
    <t>Se on eräänlainen Pokémonin kantamuoto. Se käyttää ojentuvia kynsiään pyydystääkseen merenpohjan kivien seassa piileskelevää saalista.</t>
  </si>
  <si>
    <t>Anorith syntyi esihistoriallisesta fossiilista. Tämä alkukantainen Pokémon eli aikoinaan lämpimissä merissä. Se puristaa saalistaan ​​tiukasti kahden suuren kyntensä välissä.</t>
  </si>
  <si>
    <t>Anorithin sanotaan olevan eräänlainen Pokémonin edeltäjä, jolla on kahdeksan siipeä kehonsa sivuilla. Tämä Pokémon ui alkukantaisessa meressä aaltoilemalla näitä kahdeksaa siipeä.</t>
  </si>
  <si>
    <t>Kun ennallistetut anorithit päästetään mereen, ne eivät viihdy, koska veden koostumus on muuttunut niiden aikakaudesta.</t>
  </si>
  <si>
    <t>Tämä on eräänlainen alkukantainen ötökkä-Pokémon. Kahdeksan siiven ansiosta se kykeni ilmeisesti uimaan paljon nopeammin kuin voisi odottaa.</t>
  </si>
  <si>
    <t>Tämä Pokémon on palautettu fossiilista. Anorith eli meressä noin 100 000 000 vuotta sitten metsästäen kynsillään.</t>
  </si>
  <si>
    <t>Anorith voi uida nopeasti vetämällä kahdeksaa siipeään vedessä kuin airoja veneessä. Tämä Pokémon on nykyaikaisten ötökkä-Pokémonien esi-isä.</t>
  </si>
  <si>
    <t>Armaldo</t>
  </si>
  <si>
    <t>Lautanen Pokémon</t>
  </si>
  <si>
    <t>ARMALDOn kestävä haarniska saa kaikki hyökkäykset kimpoamaan takaisin. Tämän POKéMONin kahta valtavaa kynttä voi vapaasti ojentaa tai supistaa. Niillä on voima lävistää teräslaatta.</t>
  </si>
  <si>
    <t>ARMALDO on POKéMON-laji, joka kuoli sukupuuttoon esihistoriallisella ajalla. Tämän POKéMONin sanotaan kävelleen takajaloillaan, mikä olisi ollut kätevämpää maalla elämiseen.</t>
  </si>
  <si>
    <t>ARMALDO elää yleensä maalla. Saalista metsästäessään se kuitenkin sukeltaa merenpinnan alle. Se ui ympäriinsä käyttäen kahta suurta siipeään.</t>
  </si>
  <si>
    <t>Kovan kuoren suojaama ruumis on erittäin tukeva. Se vartaa saaliin kynsillään ravinnokseen.</t>
  </si>
  <si>
    <t>https://pokeapi.co/api/v2/pokemon-species/296/</t>
  </si>
  <si>
    <t>Se nousi maihin kehittymisen jälkeen. Koko sen ruumis on verhottu tukevaan panssariin.</t>
  </si>
  <si>
    <t>Sen valtavat, sisäänvedettävät kynnet voivat leikata lähes mitä tahansa. Koko sen ruumis on verhottu tukevilla levyillä.</t>
  </si>
  <si>
    <t>Armaldon kova haarniska saa kaikki hyökkäykset kimpoamaan takaisin. Tämän Pokémonin kahta valtavaa kynttä voi vapaasti ojentaa tai supistaa. Niillä on voima lävistää teräslaatta.</t>
  </si>
  <si>
    <t>Armaldo on Pokémon-laji, joka kuoli sukupuuttoon esihistoriallisina aikoina. Tämän Pokémonin sanotaan kävelleen takajaloillaan, mikä olisi ollut kätevämpää maalla elämiseen.</t>
  </si>
  <si>
    <t>Se eli maalla ja meni mereen metsästämään saalista. Sen terävät kynnet olivat sen paras ase.</t>
  </si>
  <si>
    <t>Armaldo sopeutui elämästä vedessä maalla elämään. On määritetty, että se on jonkin ötökkä-Pokémonin esi-isä.</t>
  </si>
  <si>
    <t>Evoluution jälkeen tämä Pokémon ilmestyi maalle. Sen alavartalo on vahvistunut ja sen pyrstön iskut ovat tuhoisia.</t>
  </si>
  <si>
    <t>Vaikka se elää maalla, se on myös hyvä uimari. Se sukeltaa mereen etsimään saalista ja käyttää teräviä kynsiään saaliinsa kaatamiseen.</t>
  </si>
  <si>
    <t>Feebas</t>
  </si>
  <si>
    <t>FEEBASin evät ovat repaleiset ja kuluneet sen elämästä lähtien. Huonon ulkonäkönsä vuoksi tätä POKéMONia ei juurikaan huomioida. Se pystyy elämään sekä meressä että joissa.</t>
  </si>
  <si>
    <t>Vaikka FEEBASin ruumis on riekaleina, sillä on sitkeä ja sitkeä elämänvoima, jonka ansiosta se voi elää missä tahansa. Tämä POKéMON on kuitenkin myös hidas ja tyhmä, minkä ansiosta se on helppo saada kiinni.</t>
  </si>
  <si>
    <t>FEEBAT elävät lammikoissa, jotka ovat täynnä rikkaruohoja. Sen toivottoman rähjäisen ulkonäön vuoksi näyttää siltä, ​​että harvat KOULUTTAJAT kasvattavat sitä.</t>
  </si>
  <si>
    <t>Tutkijat jättävät sen huomiotta sen nuhruisen ulkonäön vuoksi, ja sitä pilkataan. Se elää rikkaruohojen täyttämissä lammikoissa.</t>
  </si>
  <si>
    <t>Se on kuuluisa nuhruisesta ulkonäöstään. Vaikka ne ovat runsaslukuisia, ne pyrkivät kerääntymään tietyille paikoille.</t>
  </si>
  <si>
    <t>https://pokeapi.co/api/v2/pokemon-species/297/</t>
  </si>
  <si>
    <t>Se syö mitä tahansa, joten se voi elää jopa saastuneissa puroissa ja järvissä. Kukaan ei kiinnitä siihen huomiota.</t>
  </si>
  <si>
    <t>Se on nuhjuinen ja ruma Pokémon. Se on kuitenkin erittäin kestävä ja selviää vähällä vedellä.</t>
  </si>
  <si>
    <t>Se on kaikista nuhruisin Pokémon. Se muodostuu parvissa ja elää jokien pohjassa.</t>
  </si>
  <si>
    <t>Feebasin evät ovat repaleiset ja rispaantuneet sen elämästä lähtien. Huonon ulkonäkönsä vuoksi tätä Pokémonia ei juurikaan pidetä tärkeänä. Se pystyy elämään sekä meressä että joissa.</t>
  </si>
  <si>
    <t>Vaikka Feebasin ruumis on riekaleina, sillä on sitkeä ja sitkeä elämänvoima, jonka ansiosta se voi elää missä tahansa. Tämä Pokémon on kuitenkin myös hidas ja tyhmä, minkä ansiosta se on helppo saada kiinni.</t>
  </si>
  <si>
    <t>Kestävä Pokémon, joka pärjää täydellisesti jopa likaisessa vedessä. Rähjäisen ja nuhruisen ulkonäkönsä vuoksi se ei kuitenkaan ole suosittu.</t>
  </si>
  <si>
    <t>Vaikka tämä Pokémon ei olekaan houkutteleva ja epäsuosittu, sen ihmeellinen elinvoima on tehnyt siitä tutkimuskohteen.</t>
  </si>
  <si>
    <t>Ne näyttävät repaleisilta, joten kukaan ei saa niitä kiinni. Ne näyttävät siltä, ​​että ne maistuisivat pahalta, joten petoeläimet eivät syö niitä. Ja niiden määrä kasvaa jatkuvasti.</t>
  </si>
  <si>
    <t>Sen kurjan ulkonäön vuoksi useimmat ihmiset eivät kiinnitä siihen huomiota, mutta jotkut keräävät Feebasta – ja vain Feebasta!</t>
  </si>
  <si>
    <t>Milotic</t>
  </si>
  <si>
    <t>Herkkä Pokémon</t>
  </si>
  <si>
    <t>MILOTICin sanotaan olevan kaunein kaikista POKéMONeista. Sillä on kyky tyynnyttää vihan ja vihamielisyyden kaltaisia ​​tunteita ja tukahduttaa katkeran riidan.</t>
  </si>
  <si>
    <t>MILOTICIT elävät suurten järvien pohjassa. Kun tämän POKéMONin keho hehkuu kirkkaan vaaleanpunaisena, se vapauttaa sykkivän energia-aallon, joka tuo rauhoittavan rauhan levottomille sieluille.</t>
  </si>
  <si>
    <t>Sen sanotaan elävän suurten järvien pohjassa. Sitä pidetään kauneimpana kaikista POKéMONeista, ja sitä on kuvattu maalauksissa ja patsaissa.</t>
  </si>
  <si>
    <t>MILOTIC on henkeäsalpaavan kaunis. Niiden, jotka sen näkevät, sanotaan unohtavan taistelutahtonsa.</t>
  </si>
  <si>
    <t>Kun ihmiset kiistelevät, sen sanotaan nousevan järvien syvyyksistä rauhoittamaan väkivaltaisia ​​sydämiä.</t>
  </si>
  <si>
    <t>Se on maailman kaunein Pokémon. MILOTIC esiintyy monissa taideteoksissa.</t>
  </si>
  <si>
    <t>Sen ihania suomuja kuvataan sateenkaaren värisiksi. Ne vaihtavat väriä katselukulman mukaan.</t>
  </si>
  <si>
    <t>Sanotaan, että vilaus MILOTICISTA ja sen kauneudesta rauhoittaa kaikki vihamieliset tunteesi.</t>
  </si>
  <si>
    <t>https://pokeapi.co/api/v2/pokemon-species/298/</t>
  </si>
  <si>
    <t>Milotić on henkeäsalpaavan kaunis. Niiden, jotka sen näkevät, sanotaan unohtavan taistelutahtonsa.</t>
  </si>
  <si>
    <t>Se on maailman kaunein Pokémon. Miloticista on tehty monia taideteoksia.</t>
  </si>
  <si>
    <t>Miloticin sanotaan olevan kaunein kaikista Pokémoneista. Sillä on kyky tyynnyttää vihan ja vihamielisyyden kaltaisia ​​tunteita ja tukahduttaa katkeran riidan.</t>
  </si>
  <si>
    <t>Miloottiset elävät suurten järvien pohjassa. Kun tämän Pokémonin keho hehkuu kirkkaan vaaleanpunaisena, se vapauttaa sykkivän energia-aallon, joka tuo rauhoittavan tyyneyden levottomille sydämille.</t>
  </si>
  <si>
    <t>Milotic on inspiroinut monia taiteilijoita. Sitä on jopa kutsuttu kaikkien aikojen kauneimmaksi Pokémoniksi.</t>
  </si>
  <si>
    <t>Se elää kirkkaiden järvien pohjalla. Sodan aikana se näyttäytyy, mikä rauhoittaa ihmisten mieliä ja sydämiä.</t>
  </si>
  <si>
    <t>Vaikka Miloticin sanotaan olevan kaunein Pokémon, Feebasista pitävät ja sitä kasvattaneet kouluttajat ovat ilmeisesti pettyneitä Miloticiin.</t>
  </si>
  <si>
    <t>Sen asuinpaikka on suurten järvien pohjassa. Niiden, jotka näkevät sen ihanuuden, sanotaan puhdistuvan sydämensä.</t>
  </si>
  <si>
    <t>Sanotaan, että vilaus miloottisesta ja sen kauneudesta rauhoittaa kaikki vihamieliset tunteet, joita tunnet.</t>
  </si>
  <si>
    <t>Castform</t>
  </si>
  <si>
    <t>Sää-Pokémon</t>
  </si>
  <si>
    <t>CASTFORMin ulkonäkö muuttuu sään mukaan. Tämä POKéMON sai kyvyn käyttää luonnon valtavaa voimaa suojellakseen pientä kehoaan.</t>
  </si>
  <si>
    <t>CASTFORM lainaa luonnon voimaa muuttuakseen auringon, sadepilvien ja lumipilvien hahmoiksi. Tämän POKéMONin tunteet muuttuvat sään mukaan.</t>
  </si>
  <si>
    <t>Se muuttaa muotoaan säästä riippuen. Ilmastonmuutokset, kuten lämpötila ja kosteus, näyttävät vaikuttavan sen solurakenteeseen.</t>
  </si>
  <si>
    <t>Sillä on kyky muuttaa muotoaan auringoksi, sateeksi tai lumipilveksi säästä riippuen.</t>
  </si>
  <si>
    <t>Sen ulkonäkö muuttuu sään mukaan. Äskettäin sen molekyylien havaittiin olevan aivan veden kaltaisia.</t>
  </si>
  <si>
    <t>Tämä Pokémon voi muuttaa solujaan ja ottaa erilaisia ​​muotoja lämpötilan ja kosteuden mukaan.</t>
  </si>
  <si>
    <t>Lämpötila ja sää vaikuttavat sen solurakenteeseen, joten tämä Pokémon muuttaa muotoaan sään mukaan.</t>
  </si>
  <si>
    <t>Castformin ulkonäkö muuttuu sään mukaan. Tämä Pokémon sai kyvyn käyttää luonnon valtavaa voimaa suojellakseen pientä kehoaan.</t>
  </si>
  <si>
    <t>Castform lainaa luonnon voimaa muuttuakseen auringon, sateen ja lumipilvien hahmoiksi. Tämän Pokémonin tunteet muuttuvat sään mukaan.</t>
  </si>
  <si>
    <t>Se muuttaa muotoaan sään mukaan. Lämpötilan tai kosteuden muutokset näyttävät vaikuttavan sen solurakenteeseen.</t>
  </si>
  <si>
    <t>Sen muoto muuttuu itsestään solujen herkkien lämpötila- ja kosteusreaktioiden vuoksi.</t>
  </si>
  <si>
    <t>Vaikka sen muoto muuttuu sään mukaan, se on ilmeisesti kemiallisen reaktion tulos eikä sen omasta vapaasta tahdosta.</t>
  </si>
  <si>
    <t>Sen muoto muuttuu sään mukaan. Mitä karummiksi olosuhteet muuttuvat, sitä karummaksi Castformin luonne muuttuu!</t>
  </si>
  <si>
    <t>https://pokeapi.co/api/v2/pokemon-species/299/</t>
  </si>
  <si>
    <t>Kecleon</t>
  </si>
  <si>
    <t>Värinvaihto-Pokémon</t>
  </si>
  <si>
    <t>KECLEON pystyy muuttamaan ruumiinsa väriä mielensä mukaan sulautuakseen ympäristöönsä. Yksi poikkeus on kuitenkin se, että tämä POKéMON ei voi muuttaa vatsansa siksak-kuviota.</t>
  </si>
  <si>
    <t>KECLEON muuttaa ruumiinväritystään sulautuakseen ympäristöönsä, jolloin se voi hiipiä saaliinsa kimppuun huomaamatta. Sitten se iskee pitkällä, venyvällä kielellään ja nappaa tietämättömän kohteen välittömästi ansaan.</t>
  </si>
  <si>
    <t>POKéMON, jolla on kyky muuttaa ruumiinväriään ympäristöönsä sopivaksi. KECLEON palaa alkuperäiseen väriinsä, jos se säpsähtää.</t>
  </si>
  <si>
    <t>Se vaihtaa ruumiinväriä sulautuakseen ympäristöönsä. Se vaihtaa väriä myös, jos se on onnellinen tai surullinen.</t>
  </si>
  <si>
    <t>Se voi vapaasti vaihtaa ruumiinsa väriä. Vatsan siksak-kuvio ei kuitenkaan muutu.</t>
  </si>
  <si>
    <t>Se muuttaa sävyään ympäristönsä mukaan, jotta se voi hiipiä saaliinsa kimppuun. Vain sen vatsan kuviot pysyvät muuttumattomina.</t>
  </si>
  <si>
    <t>Kecleon pystyy muuttamaan ruumiinsa väriä mielensä mukaan sulautuakseen ympäristöönsä. Yksi poikkeus on kuitenkin se, ettei tämä Pokémon pysty muuttamaan vatsansa siksak-kuviota.</t>
  </si>
  <si>
    <t>Kecleon muuttaa ruumiinväritystään sulautuakseen ympäristöönsä, jolloin se voi hiipiä saaliinsa kimppuun huomaamatta. Sitten se iskee pitkällä, venyvällä kielellään ja nappaa tietämättömän kohteen välittömästi ansaan.</t>
  </si>
  <si>
    <t>Se muuttaa sävyään sulautuakseen ympäristöönsä. Jos kukaan ei kiinnitä siihen huomiota liian pitkään aikaan, se mököttää eikä koskaan paljasta itseään.</t>
  </si>
  <si>
    <t>Sen väri muuttuu piilottamiseksi ja myös mielialan tai terveydentilan muuttuessa. Mitä tummempi väri, sitä terveempi se on.</t>
  </si>
  <si>
    <t>Shuppet</t>
  </si>
  <si>
    <t>Nukke-Pokémon</t>
  </si>
  <si>
    <t>SHUPPETia vetävät puoleensa mustasukkaisuus ja kostonhimo. Jos joku kehittää voimakkaita kostonhimoisia tunteita, tämä POKéMON ilmestyy parvena ja asettuu riviin henkilön kodin räystäiden alle.</t>
  </si>
  <si>
    <t>SHUPPET kasvaa ruokkimalla ihmisten sydämissä olevia synkkiä tunteita, kuten kostonhimoa ja kateutta. Se vaeltaa kaupungeissa etsien ihmisiä tahraavia kaunoja.</t>
  </si>
  <si>
    <t>Tämä POKéMON vaeltelee syvällä yössä etsien negatiivisia tunteita, kuten kaunoja ja kateutta. Se vetäytyy pesäänsä auringon noustessa.</t>
  </si>
  <si>
    <t>Se rakastaa ruokkia tunteita, kuten kateutta ja pahuutta. Sen pystyssä oleva sarvi vangitsee ihmisten tunteet.</t>
  </si>
  <si>
    <t>Se rakastaa kostonhimoisia tunteita ja roikkuu riveissä räystäiden alla taloissa, joissa kostonhimoiset ihmiset asuvat.</t>
  </si>
  <si>
    <t>Se käyttää sarveaan kateuden ja pahansuovan ruokkimiseen, tai niin ainakin sanotaan. Se on hyvin aktiivinen yöllä.</t>
  </si>
  <si>
    <t>https://pokeapi.co/api/v2/pokemon-species/300/</t>
  </si>
  <si>
    <t>Se ruokkii surun ja vihan synkkiä tunteita, jotka saavat sen kasvamaan tasaisesti vahvemmaksi.</t>
  </si>
  <si>
    <t>Se käyttää sarveaan kateuden ja pahansuovan ravinnoksi – tai niin ainakin sanotaan. Se on hyvin aktiivinen yöllä.</t>
  </si>
  <si>
    <t>Shuppetia vetävät puoleensa mustasukkaisuus ja kostonhimo. Jos joku kehittää voimakkaita kostonhimoisia tunteita, tämä Pokémon ilmestyy parvena ja asettuu riviin henkilön kodin räystäiden alle.</t>
  </si>
  <si>
    <t>Shuppet kasvaa ruokkimalla ihmisten sydämissä olevia synkkiä tunteita, kuten kostonhimoa ja kateutta. Se vaeltaa kaupungeissa etsien ihmisiä tahraavia kaunoja.</t>
  </si>
  <si>
    <t>Se syö itseensä tunteita, kuten pahuutta, mustasukkaisuutta ja kaunan, joten jotkut ihmiset ovat kiitollisia sen läsnäolosta.</t>
  </si>
  <si>
    <t>On olemassa sananlasku, joka kuuluu: ”Vältä taloa, jossa Shuppet kokoontuu hämärän laskeutuessa.”</t>
  </si>
  <si>
    <t>Banette</t>
  </si>
  <si>
    <t>Marionetti-Pokémon</t>
  </si>
  <si>
    <t>BANETTE tuottaa energiaa voimakkaiden kirousten langettamiseen työntämällä neuloja omaan kehoonsa. Tämä POKéMON oli alun perin säälittävä pehmonukke, joka heitettiin pois.</t>
  </si>
  <si>
    <t>Kirottu energia läpäisi hylätyn ja unohdetun pehmonuken täytteen antaen sille uuden elämän BANETTENA. POKéMONin energia karkaisi, jos se koskaan avaisi suunsa.</t>
  </si>
  <si>
    <t>Hylätystä pehmonukesta tuli tämä POKéMON. Niiden sanotaan asuvan kaatopaikoilla ja vaeltelevan ympäriinsä etsien lapsia, jotka heittivät ne pois.</t>
  </si>
  <si>
    <t>Voimakkaat vihan tunteet muuttivat nuken POKéMONiksi. Jos se avaa suunsa, sen kirottu energia pakenee.</t>
  </si>
  <si>
    <t>Nukke, josta tuli Pokémon romuttamisesta saamansa kaunan vuoksi. Se etsii lasta, joka hylkäsi sen.</t>
  </si>
  <si>
    <t>Tämä Pokémon kehittyi hylätystä nukesta, joka kantoi kaunan. Sitä nähdään pimeillä kujilla.</t>
  </si>
  <si>
    <t>Nukke, josta tuli Pokémon, koska se kaunasi poisheittämistään. Se etsii lasta, joka hylkäsi sen.</t>
  </si>
  <si>
    <t>Voimakkaat vihan tunteet muuttivat nuken Pokémoniksi. Jos se avaa suunsa, sen kirottu energia pakenee.</t>
  </si>
  <si>
    <t>https://pokeapi.co/api/v2/pokemon-species/301/</t>
  </si>
  <si>
    <t>Banette tuottaa energiaa voimakkaiden kirousten langettamiseen työntämällä neuloja omaan kehoonsa. Tämä Pokémon oli alun perin säälittävä pehmonukke, joka heitettiin pois.</t>
  </si>
  <si>
    <t>Kirottu energia läpäisi hylätyn ja unohdetun pehmonuken täytteen antaen sille uuden elämän Banettena. Pokémonin energia karkaisi, jos se koskaan avaisi suunsa.</t>
  </si>
  <si>
    <t>Se on pehmolelu, joka heitettiin pois ja josta tuli riivattu, aina etsien sitä, joka heitti sen pois, jotta se voi kostaa.</t>
  </si>
  <si>
    <t>Kauna hylkäämisestä sai sen syntymään. Jotkut sanovat, että sen hyvä kohtelu tyydyttää sen ja siitä tulee jälleen pehmolelu.</t>
  </si>
  <si>
    <t>Duskull</t>
  </si>
  <si>
    <t>Requiem-pokémon</t>
  </si>
  <si>
    <t>DUSKULL voi läpäistä minkä tahansa seinän, sen paksuudesta riippumatta. Kun tämä POKéMON valitsee kohteen, se jahtaa sitä sinnikkäästi aamunkoittoon asti.</t>
  </si>
  <si>
    <t>DUSKULL vaeltelee eksyksissä keskiyön pimeydessä. Usein kerrotaan, että huonosti käyttäytyville lapsille annetaan varoitus, jonka mukaan tämä POKéMON ajaa pois pahat lapset, jotka ansaitsevat äitiensä nuhteet.</t>
  </si>
  <si>
    <t>Sen ainoan helakanpunaisen silmän häivähdys jähmettää jopa rotevat aikuiset täydelliseen pelkoon. Se on yöllinen POKéMON, joka vaeltelee pimeyden viitan alla.</t>
  </si>
  <si>
    <t>Se tekee itsensä näkymättömäksi ja hiipii äänettömästi saaliinsa luo. Sillä on kyky livahtaa paksujen seinien läpi.</t>
  </si>
  <si>
    <t>Se jahtaa saalistaan ​​sinnikkäästi minne ikinä se meneekin. Takaa-ajo kuitenkin loppuu auringonnousun aikaan.</t>
  </si>
  <si>
    <t>Se rakastaa lasten itkua. Se säikäyttää pahat lapset menemällä seinien läpi ja saamalla heidät itkemään.</t>
  </si>
  <si>
    <t>Jos se löytää pahoja lapsia, jotka eivät tottele vanhempiaan, se ajaa heidät pois – tai niin ainakin sanotaan.</t>
  </si>
  <si>
    <t>Duskull voi läpäistä minkä tahansa seinän, olipa se kuinka paksu tahansa. Kun tämä Pokémon valitsee kohteen, se jahtaa aiottua uhria sinnikkäästi aamunkoittoon asti.</t>
  </si>
  <si>
    <t>Duskull vaeltelee eksyksissä keskiyön pimeydessä. Usein kerrotaan, että huonosti käyttäytyville lapsille annetaan varoitus, jonka mukaan tämä Pokémon ajaa pois pahat lapset, jotka ansaitsevat äitiensä nuhteet.</t>
  </si>
  <si>
    <t>Olen kuullut, että Hisuin lapset alkavat käyttäytyä, kun heille on kerrottu tarina siitä, kuinka tämä Pokémon vaeltelee ympäriinsä ennen noitien hetkeä häätääkseen ilkikurisesti käyttäytyviä lapsia.</t>
  </si>
  <si>
    <t>Dusclops</t>
  </si>
  <si>
    <t>Kutsu-Pokémon</t>
  </si>
  <si>
    <t>DUSCLOPSin ruumis on täysin ontto – sen sisällä ei ole yhtään mitään. Sanotaan, että sen ruumis on kuin musta aukko. Tämä POKéMON imee mitä tahansa ruumiiseensa, mutta mikään ei koskaan tule takaisin ulos.</t>
  </si>
  <si>
    <t>DUSCLOPS imee itseensä minkä tahansa esineen, olipa se kuinka suuri tahansa. Tämä POKéMON hypnotisoi vihollisensa heiluttamalla käsiään makaaberilla tavalla ja osoittamalla ainoalla silmällään. Hypnotisoitu vihollinen pakotetaan tottelemaan DUSCLOPSin käskyjä.</t>
  </si>
  <si>
    <t>Sen rungon uskotaan olevan ontto ja sen sisällä palaa vain aavemainen tulipallo. Kukaan ei kuitenkaan ole pystynyt vahvistamaan tätä teoriaa todeksi.</t>
  </si>
  <si>
    <t>Sen ruumis on kokonaan ontto. Kun se avaa suunsa, se imee kaiken sisäänsä kuin mustan aukon.</t>
  </si>
  <si>
    <t>https://pokeapi.co/api/v2/pokemon-species/302/</t>
  </si>
  <si>
    <t>Sen ruumis on ontto. Sanotaan, että ne, jotka katsovat sen ruumiiseen, imeytyvät tyhjyyteen.</t>
  </si>
  <si>
    <t>Se etsii ajelehtivia virvatulia ja imaisee ne tyhjään ruumiiseensa. Se, mitä sisällä tapahtuu, on mysteeri.</t>
  </si>
  <si>
    <t>Jokaiselta, joka uskaltaa kurkistaa sen ruumiiseen nähdäkseen sen aavemaisen tulipallon, varastetaan henki.</t>
  </si>
  <si>
    <t>Dusclopsin ruumis on täysin ontto – sen sisällä ei ole yhtään mitään. Sanotaan, että sen ruumis on kuin musta aukko. Tämä Pokémon imee mitä tahansa kehoonsa, mutta mikään ei koskaan tule takaisin ulos.</t>
  </si>
  <si>
    <t>Dusclops imee itseensä mitä tahansa, olipa esine kuinka suuri tahansa. Tämä Pokémon hypnotisoi vihollisensa heiluttamalla käsiään makaaberilla tavalla ja kohdistamalla ainoan silmänsä lentoon. Hypnotisoitu vihollinen pakotetaan tottelemaan Dusclopsin käskyjä.</t>
  </si>
  <si>
    <t>Huhujen mukaan sen siteisiin käärityn ruumiin sisään kurkistaminen johtaa siihen, että joku vedetään sisään siteiden välisistä raoista, eikä hän koskaan palaa. Olen ollut liian peloissani varmistaakseni tätä.</t>
  </si>
  <si>
    <t>Tropius</t>
  </si>
  <si>
    <t>Hedelmä-Pokémon</t>
  </si>
  <si>
    <t>Tropiuksen kaulassa olevat hedelmätertut ovat lasten suosikkeja. Tämä POKéMON rakastaa hedelmiä ja syö niitä jatkuvasti. Ilmeisesti sen rakkaus hedelmiin johti sen omiin hedelmänkasvuihin.</t>
  </si>
  <si>
    <t>Eteläisen trooppisen alueen lapset syövät välipalaksi Tropiuksen kaulan ympärillä nipuissa kasvavia hedelmiä. Tämä PokéMON lentää räpyttelemällä selällään olevia lehtiä kuin ne olisivat siivet.</t>
  </si>
  <si>
    <t>Se lentää räpyttelemällä leveitä lehtiään. Sen kaulan ympärillä kasvava hedelmäterttu on herkullisen makea. Keväällä se levittää siitepölyä kaulastaan.</t>
  </si>
  <si>
    <t>Se elää trooppisissa viidakoissa. Sen kaulassa oleva hedelmäterttu on herkullinen. Hedelmä kasvaa kaksi kertaa vuodessa.</t>
  </si>
  <si>
    <t>Koska se söi jatkuvasti vain lempihedelmäänsä, hedelmä alkoi kasvaa sen kaulan ympärille.</t>
  </si>
  <si>
    <t>Sen kaulasta kasvoi herkullisia hedelmiä, koska se söi aina samanlaisia ​​hedelmiä.</t>
  </si>
  <si>
    <t>Sen kaulassa oleva hedelmäterttu kypsyy kahdesti vuodessa ja on herkullinen. Se on erittäin suosittu trooppinen välipala.</t>
  </si>
  <si>
    <t>https://pokeapi.co/api/v2/pokemon-species/303/</t>
  </si>
  <si>
    <t>Se lentää räpyttelemällä leveitä lehtiään ja antaa kaulassaan olevat makeat, herkulliset hedelmät lapsilleen.</t>
  </si>
  <si>
    <t>Tropiuksen kaulassa olevat hedelmätertut ovat lasten suosikkeja. Tämä Pokémon rakastaa hedelmiä ja syö niitä jatkuvasti. Ilmeisesti sen rakkaus hedelmiin johti sen omiin hedelmänkasvuihin.</t>
  </si>
  <si>
    <t>Eteläisen trooppisen alueen lapset syövät välipalaksi Tropiuksen kaulan ympärillä nipuissa kasvavaa hedelmää. Tämä Pokémon lentää räpyttelemällä selällään olevia lehtiä kuin ne olisivat siipiä.</t>
  </si>
  <si>
    <t>Alolassa Tropius-hedelmien kaulan ympärillä kasvavat hedelmätertut ovat erityisen makeita verrattuna muiden alueiden hedelmiin.</t>
  </si>
  <si>
    <t>Sen kaulan ympärillä kasvaa herkullisia hedelmiä. Lämpimillä alueilla monet tilat kasvattavat trooppisia pyrstöjä.</t>
  </si>
  <si>
    <t>Chimecho</t>
  </si>
  <si>
    <t>Tuulikello-Pokémon</t>
  </si>
  <si>
    <t>CHIMECHO saa huutonsa kaikumaan onton ruumiinsa sisällä. Kun tämä POKéMON raivostuu, sen huudot aiheuttavat ultraääniaaltoja, joilla on kyky lennättää viholliset lentoon.</t>
  </si>
  <si>
    <t>Kovassa tuulessa CHIMECHO itkee roikkuessaan puun oksalla tai rakennuksen räystäällä imukupin avulla päässään. Tämä POKéMON poimii marjoja pitkällä hännällään ja syö ne.</t>
  </si>
  <si>
    <t>Ne lentävät erittäin aktiivisesti kuuman kauden saapuessa. Ne kommunikoivat keskenään seitsemällä erilaisella ja erottuvalla huudolla.</t>
  </si>
  <si>
    <t>Se matkustaa tuulen varassa. Se käyttää taitavasti pitkää häntäänsä poimiakseen pähkinöitä ja marjoja, joita se rakastaa syödä.</t>
  </si>
  <si>
    <t>Lyödäkseen viholliset lentoon se saa ilman väreilemään huudoillaan. Se keskustelee seitsemällä huudolla.</t>
  </si>
  <si>
    <t>Se lähettää ultraäänihuutoja ja kulkee tuulen mukana pitkiä matkoja.</t>
  </si>
  <si>
    <t>Sen huudot kaikuvat sen onton ruumiin sisällä ja nousevat esiin kauniina sävelinä vihollisten säikäyttämiseen ja torjumiseen.</t>
  </si>
  <si>
    <t>Se käyttää päässään olevaa imukuppia roikkuakseen puussa tai räystäällä. Se voi tuottaa seitsemän eri ääntä.</t>
  </si>
  <si>
    <t>Chimecho saa huutonsa kaikumaan onton ruumiinsa sisällä. Kun tämä Pokémon raivostuu, sen huudot aiheuttavat ultraääniaaltoja, joilla on kyky lennättää viholliset lentoon.</t>
  </si>
  <si>
    <t>Kovassa tuulessa Chimecho itkee roikkuessaan puun oksalla tai rakennuksen räystäällä imukupin avulla päässään. Tämä Pokémon poimii marjoja pitkällä hännällään ja syö ne.</t>
  </si>
  <si>
    <t>https://pokeapi.co/api/v2/pokemon-species/304/</t>
  </si>
  <si>
    <t>Voi lähettää riittävän voimakkaita ilmaaaltoja tyrmätäkseen itseään pidemmän saaliin. Oletukseni on, että se vahvistaa tuulen heikkoa ääntä kehossaan.</t>
  </si>
  <si>
    <t>Absol</t>
  </si>
  <si>
    <t>Katastrofi-Pokémon</t>
  </si>
  <si>
    <t>Joka kerta, kun ABSOL ilmestyy ihmisten eteen, sitä seuraa katastrofi, kuten maanjäristys tai hyökyaalto. Tämän seurauksena se tunnettiin katastrofi-POKéMONina.</t>
  </si>
  <si>
    <t>ABSOLilla on kyky ennustaa luonnonkatastrofien tuloa. Se elää ankarassa ja karussa vuoristoympäristössä. Tämä POKéMON laskeutuu vuorilta hyvin harvoin.</t>
  </si>
  <si>
    <t>Se aistii tarkasti jopa hienovaraisimmat muutokset taivaalla ja maassa ennustaakseen luonnonkatastrofeja. Se on pitkäikäinen POKéMON, jonka elinikä on 100 vuotta.</t>
  </si>
  <si>
    <t>Se ilmestyy, kun se aistii uhkaavan luonnonkatastrofin. Tämän seurauksena sitä on virheellisesti pidetty tuhon tuojana.</t>
  </si>
  <si>
    <t>Se aistii tulevat katastrofit ja ilmestyy ihmisten eteen vain varoittaakseen heitä uhkaavasta vaarasta.</t>
  </si>
  <si>
    <t>Huhujen mukaan se aisti katastrofeja torvellaan, joten siitä tuli maalitaulu. Se pakeni syvälle vuorille.</t>
  </si>
  <si>
    <t>Sillä on kyky ennustaa luonnonkatastrofeja. Sen elinikä on yli sata vuotta.</t>
  </si>
  <si>
    <t>Se ilmestyy syvältä vuorista varoittamaan ihmisiä tulevista katastrofeista, jotka se on aistinut torvellaan.</t>
  </si>
  <si>
    <t>Joka kerta, kun Absol ilmestyy ihmisten eteen, sitä seuraa katastrofi, kuten maanjäristys tai hyökyaalto. Tämän seurauksena siitä tuli katastrofi-Pokémon.</t>
  </si>
  <si>
    <t>Absolilla on kyky ennustaa luonnonkatastrofien tuloa. Se elää ankarassa ja karussa vuoristoympäristössä. Tämä Pokémon laskeutuu vuorilta hyvin harvoin.</t>
  </si>
  <si>
    <t>Kauan sitten levitettiin siitä taikauskoa, jonka mukaan se toi tuhoa. Tämä ruokki vihaa sitä kohtaan, ja se ajettiin syvälle vuorille.</t>
  </si>
  <si>
    <t>Vaikka sen sanotaan tuovan katastrofia, todellisuudessa tällä Pokémonilla on rauhallinen luonne ja se varoittaa ihmisiä uhkaavista kriiseistä.</t>
  </si>
  <si>
    <t>https://pokeapi.co/api/v2/pokemon-species/305/</t>
  </si>
  <si>
    <t>Absolin ainoa epäonnentekijä on sen ulkonäkö. Se suojelee peltoja ja varoittaa ihmisiä onnettomuudesta, joten siitä pitäisi olla kiitollinen.</t>
  </si>
  <si>
    <t>Vanhukset kutsuvat sitä katastrofi-Pokémoniksi ja inhoavat sitä, mutta kiinnostus sen kykyyn ennustaa katastrofeja on kasvussa.</t>
  </si>
  <si>
    <t>Tuulen lailla nopea Absol kiitää peltojen ja vuorten halki. Sen kaareva, jousenmuotoinen sarvi on erittäin herkkä luonnonkatastrofien varoitusmerkeille.</t>
  </si>
  <si>
    <t>Koska tämä Pokémon pystyy havaitsemaan vaaran, ihmiset luulivat Absolia tuhon tuojaksi.</t>
  </si>
  <si>
    <t>Wynaut</t>
  </si>
  <si>
    <t>Kirkas Pokémon</t>
  </si>
  <si>
    <t>WYNAUTin voi aina nähdä leveä, onnellinen hymy kasvoillaan. Katso sen häntää nähdäksesi, onko se vihainen. Vihaisena tämä POKéMON läimäyttää maata hännällään.</t>
  </si>
  <si>
    <t>WYNAUTit kokoontuvat kuutamoöinä pelaamaan puristautumalla toisiaan vasten. Puristuksen seurauksena nämä POKéMONit saavat kestävyyttä ja ne koulutetaan tekemään voimakkaita vastahyökkäyksiä.</t>
  </si>
  <si>
    <t>WYNAUT rakastaa syödä makeita hedelmiä. Se poimii taitavasti hedelmiä korvamaisilla käsillään. Tuoksu houkuttelee niitä hedelmätarhoihin.</t>
  </si>
  <si>
    <t>Se liikkuu yleensä laumassa muiden kanssa. Ne ryhmittyvät tiiviiksi ryhmiksi nukkumaan luolassa.</t>
  </si>
  <si>
    <t>Se vahvistuu työntymällä joukolla muita vasten. Se rakastaa makeiden hedelmien syömistä.</t>
  </si>
  <si>
    <t>Se liikkuu yleensä laumassa. Yksilöt painautuvat toisiaan vasten kovettuakseen mielialaansa.</t>
  </si>
  <si>
    <t>Wynautilla voi aina nähdä leveän, iloisen hymyn kasvoillaan. Katso sen häntää nähdäksesi, onko se vihainen. Vihaisena tämä Pokémon läimäyttää maata hännällään.</t>
  </si>
  <si>
    <t>https://pokeapi.co/api/v2/pokemon-species/306/</t>
  </si>
  <si>
    <t>Wynautit kokoontuvat kuutamoöinä leikkimään puristautumalla toisiaan vasten. Puristuksen seurauksena tämä Pokémon saa kestävyyttä ja koulutetaan tekemään voimakkaita vastahyökkäyksiä.</t>
  </si>
  <si>
    <t>Snorunt</t>
  </si>
  <si>
    <t>Lumihattu-Pokémon</t>
  </si>
  <si>
    <t>SNORUNTIT elävät runsaslumisilla alueilla. Lunta vailla olevina vuodenaikoina, kuten keväällä ja kesällä, nämä POKéMONit livahtavat hiljaa elämään tippukivien ja tippukivien sekaan syvälle luoliin.</t>
  </si>
  <si>
    <t>SNORUNT selviää syömällä vain lunta ja jäätä. Vanhan kansanperinteen mukaan tämän POKéMONin vierailema talo kukoistaa varmasti useiden sukupolvien ajan.</t>
  </si>
  <si>
    <t>Ne liikkuvat yleensä noin viiden yksilön ryhmissä. Lumisilla alueilla sanotaan, että kun niitä nähdään myöhään yöllä, lumisade saapuu aamuun mennessä.</t>
  </si>
  <si>
    <t>Sanotaan, että koti, jossa SNORUNT vierailee, menestyy. Se kestää jopa -73 celsiusastetta.</t>
  </si>
  <si>
    <t>Lumimaassa tiettyjen kansanperinteiden mukaan talo menestyy, jos siellä asuu SNORUNT.</t>
  </si>
  <si>
    <t>Sanotaan, että useita SNORUNT-eläimiä kokoontuu jättimäisten lehtien alle ja elää yhdessä harmoniassa.</t>
  </si>
  <si>
    <t>Sanotaan, että jos niitä nähdään keskiyöllä, ne aiheuttavat rankkaa lumisadetta. Ne syövät lunta ja jäätä selviytyäkseen.</t>
  </si>
  <si>
    <t>Sanotaan, että useita Snorunt-suvun asukkaita kokoontuu jättimäisten lehtien alle ja elää yhdessä harmoniassa.</t>
  </si>
  <si>
    <t>Lumimaassa tiettyjen kansanperinteiden mukaan talo menestyy, jos siellä asuu Snorunt.</t>
  </si>
  <si>
    <t>Snoruntit elävät alueilla, joilla sataa paljon lunta. Luntamattomina vuodenaikoina, kuten keväällä ja kesällä, tämä Pokémon livahtaa hiljaa elämään tippukivien ja tippukivien sekaan syvälle luoliin.</t>
  </si>
  <si>
    <t>Snorunt selviää syömällä vain lunta ja jäätä. Vanhan kansanperinteen mukaan tämän Pokémonin vierailema talo kukoistaa varmasti useiden sukupolvien ajan.</t>
  </si>
  <si>
    <t>Niiden määrä näyttää kasvaneen nopeasti Alolassa. Perinteen mukaan talot, joissa Snoruntit asuvat, tulevat olemaan vauraita sukupolvien ajan.</t>
  </si>
  <si>
    <t>https://pokeapi.co/api/v2/pokemon-species/307/</t>
  </si>
  <si>
    <t>Se selviää vain kylmillä alueilla. Se pomppii iloisesti ympäriinsä jopa -73 celsiusasteen pakkasessa.</t>
  </si>
  <si>
    <t>Se syö pääasiassa jäätä ja lunta. Se pystyy selviytymään vain rajoitetussa määrässä paikkoja lämpimällä Alolan alueella.</t>
  </si>
  <si>
    <t>Kylmiltä alueilta kotoisin olevat rikkaat ihmiset jakavat lapsuusmuistoja Snoruntin kanssa leikkimisestä.</t>
  </si>
  <si>
    <t>Se voi selviytyä vain kylmillä alueilla. Se pomppii iloisesti ympäriinsä jopa −73 celsiusasteen kylmyydessä.</t>
  </si>
  <si>
    <t>Saapuu ensilumen mukana. Snoruntin vierailemien kotien uskotaan menestyvän useiden sukupolvien ajan. Perinteen mukaan joku saattaa tarjota puhtaasta vedestä tehdyn jääpalan etuovelle.</t>
  </si>
  <si>
    <t>Glalie</t>
  </si>
  <si>
    <t>Kasvo-Pokémon</t>
  </si>
  <si>
    <t>GLALIEN ruumis on tehty kivestä, jonka se kovettaa jääpanssarilla. Tällä POKéMONilla on kyky jäädyttää ilmakehän kosteutta mihin tahansa haluamaansa muotoon.</t>
  </si>
  <si>
    <t>GLALIELLA on kyky hallita jäätä vapaasti. Se voi esimerkiksi jäädyttää vihollisensa välittömästi. Kun se on lamaannuttanut vihollisensa jäähän, tämä POKéMON nauttii sen syömisestä kaikessa rauhassa.</t>
  </si>
  <si>
    <t>GLALIE-jäätiköllä on kyky jäädyttää ilmakehän kosteus välittömästi. Sen ympärille muodostuu häikäisevä timantin kaltaisten jääkiteiden pilvi.</t>
  </si>
  <si>
    <t>Siinä on jääkerros, joka ei sula edes tulessa. Se voi jäädyttää ilmakehän kosteuden välittömästi.</t>
  </si>
  <si>
    <t>Suojautuakseen se verhoaa ruumiinsa jääpanssariin, joka on tehty jäädyttämällä ilman kosteutta.</t>
  </si>
  <si>
    <t>Se estää saalista pakenemasta jäädyttämällä ilman kosteuden välittömästi.</t>
  </si>
  <si>
    <t>Se voi jäädyttää ilmakehän kosteuden välittömästi. Se käyttää tätä voimaa vihollistensa jäädyttämiseen.</t>
  </si>
  <si>
    <t>https://pokeapi.co/api/v2/pokemon-species/308/</t>
  </si>
  <si>
    <t>Suojautuakseen se verhosi ruumiinsa jääpanssariin, joka oli tehty jäädyttämällä ilman kosteutta.</t>
  </si>
  <si>
    <t>Glalien ruumis on tehty kivestä, jonka se kovettaa jääpanssarilla. Tällä Pokémonilla on kyky jäädyttää ilmakehän kosteutta haluamaansa muotoon.</t>
  </si>
  <si>
    <t>Glaliella on kyky hallita jäätä vapaasti. Se voi esimerkiksi jäädyttää saaliinsa välittömästi kiinteäksi. Jään sisään lamautettuaan saaliinsa tämä Pokémon nauttii sen syömisestä rauhassa.</t>
  </si>
  <si>
    <t>Legendan mukaan jäisellä vuorella oleva lohkare imeytyi jumiin jääneen vuorikiipeilijän hädän ja katumuksen, mikä synnytti Glalien.</t>
  </si>
  <si>
    <t>Sen saalis jäätyy välittömästi jäykäksi kylmän ilman vuoksi, jota se puhaltaa ulos valtavasta suustaan. Jäätyneessä tilassa se hotkaisee ne.</t>
  </si>
  <si>
    <t>Se jäädyttää saaliinsa ja pureskelee ne kokonaisina. Se kuitenkin syö mieluummin jo jäätyneitä Pokémoneja, kuten Vanilliittia.</t>
  </si>
  <si>
    <t>Sen varsinainen runko on kivi, joka ei ole erityisen kova. Glalie imee kosteutta ilmasta ja verhoutuu jääpanssariin.</t>
  </si>
  <si>
    <t>Se peittää ruumiinsa terästä kovemman jääpanssarin. Jäädyttää saaliinsa hengityksellään ja ahmii sen sitten kuin jäätyneitä jälkiruokia.</t>
  </si>
  <si>
    <t>Spheal</t>
  </si>
  <si>
    <t>Taputa Pokémon</t>
  </si>
  <si>
    <t>SPHEAL liikkuu paljon nopeammin vierimällä kuin kävelemällä. Kun tämän POKéMONin ryhmät syövät, ne kaikki taputtavat yhteen ääneen osoittaakseen nautintonsa. Tästä syystä niiden ruokailuhetket ovat meluisia.</t>
  </si>
  <si>
    <t>SPHEAL liikkuu aina pyörien pallomaisen vartalonsa päällä. Kun jäälauttojen sesonki koittaa, tämän POKéMONin voi nähdä pyörivän jäällä ja ylittävän meren.</t>
  </si>
  <si>
    <t>Se on kauttaaltaan pehmeän turkin peitossa. Tämän seurauksena se ei koskaan tunne kylmää, vaikka se kieriskelisi jäälautoilla tai sukeltaisi meressä.</t>
  </si>
  <si>
    <t>Sen vartalo on peittynyt pörröiseen turkkiin. Turkki estää sitä palelemasta, kun se pyörii jäällä.</t>
  </si>
  <si>
    <t>Se vierii jäälauttojen yli päästäkseen rantaan, koska sen ruumiinrakenne on huonosti muotoiltu uimista varten.</t>
  </si>
  <si>
    <t>https://pokeapi.co/api/v2/pokemon-species/309/</t>
  </si>
  <si>
    <t>Se ylittää valtameret pyörimällä ajelehtivalla jäällä. Pörröinen turkki pitää sen lämpimänä, kun lämpötila on pakkasen puolella.</t>
  </si>
  <si>
    <t>Ne eivät osaa vielä uida hyvin, ja ne liikkuvat paljon nopeammin pyörimällä. Kun ne ovat onnellisia, ne taputtavat eviä.</t>
  </si>
  <si>
    <t>Spheal liikkuu paljon nopeammin vierimällä kuin kävelemällä. Kun tämän Pokémonin ryhmät syövät, ne kaikki taputtavat kerralla osoittaakseen nautintonsa. Tästä syystä niiden ruokailuhetket ovat meluisia.</t>
  </si>
  <si>
    <t>Spheal liikkuu aina pyörien pallomaisen vartalonsa päällä. Kun jäälauttojen sesonki koittaa, tämän Pokémonin voi nähdä pyörivän jäällä ja ylittävän meren.</t>
  </si>
  <si>
    <t>Tämän Pokémonin vartalo on täynnä rasvaa ja vaikuttavan pyöreä. Spheal on nopeampi pyörimään kuin kävelemään.</t>
  </si>
  <si>
    <t>Ajelehtiessaan aaltojen keskellä Spheal luotaa merta. Heti saaliin havaittuaan se ilmoittaa siitä laumansa Walreinille.</t>
  </si>
  <si>
    <t>Ajojään lähestyessä rantaa Spheal viihtyy mieluummin jäällä – missä on vähemmän saalistajia – kuin maalla. Sen turkki säilyttää lämmön erinomaisesti ja kestää kovaa kylmyyttä.</t>
  </si>
  <si>
    <t>Sealeo</t>
  </si>
  <si>
    <t>Pallonpyöritys-Pokémon</t>
  </si>
  <si>
    <t>SEALEOlla on tapana jonglöörata nenänsä päällä kaikkea, minkä se näkee ensimmäistä kertaa. Tämä POKéMON viihdyttää itseään toisinaan tasapainottelemalla ja pyörittämällä SPHEALia nenänsä päällä.</t>
  </si>
  <si>
    <t>SEALEO tasapainottelee ja pyörittelee usein esineitä nenänsä päällä. POKéMON pyörittäessään jotakin tarkistaa esineen tuoksun ja rakenteen määrittääkseen, pitääkö se esineestä vai ei.</t>
  </si>
  <si>
    <t>SEALEO elää laumoissa jäälautoilla. Voimakkailla eväillään se murskaa jäätä. Se sukeltaa mereen saalistamaan viisi kertaa päivässä.</t>
  </si>
  <si>
    <t>Se koskettaa uusia asioita nenällään testatakseen niiden hajua ja tuntua. Se leikkii pyörittämällä SPHEAL-palloa nenällään.</t>
  </si>
  <si>
    <t>Se pyörittelee tapanaan esineitä nenällään. Näin se oppii tuntemaan niiden tekstuurit ja hajut.</t>
  </si>
  <si>
    <t>Sillä on erittäin herkkä nenä. Se koskettaa uusia asioita nenällään tutkiakseen niitä.</t>
  </si>
  <si>
    <t>Olipa kyseessä sitten Spheal tai Poké Ball, se pyörittää mitä tahansa pyöreää esinettä nenänsä ympäri vaivattomasti.</t>
  </si>
  <si>
    <t>https://pokeapi.co/api/v2/pokemon-species/310/</t>
  </si>
  <si>
    <t>Sealeolla on tapana jonglöörata nenänpäällään kaikkea, minkä se näkee ensimmäistä kertaa. Tämä Pokémon viihdyttää itseään toisinaan tasapainottelemalla ja pyörittämällä Sphealia nenällään.</t>
  </si>
  <si>
    <t>Sealeo tasapainottelee ja pyörittelee usein esineitä nenänsä päällä. Kun Pokémon pyörittelee jotakin, se tarkistaa esineen tuoksun ja rakenteen määrittääkseen, pitääkö se esineestä vai ei.</t>
  </si>
  <si>
    <t>Meriahvenet elävät ajojään päällä. Ne uivat metsästäessään ja etsivät saalistaan ​​hajun perusteella.</t>
  </si>
  <si>
    <t>Tällä Pokémonilla on tapana pyörittää asioita nenänsä ympärillä, olivatpa ne sitten Poképalloja tai Sphealeja.</t>
  </si>
  <si>
    <t>Sen valkoiset viikset ovat hyvin herkät. Sealeo tasapainottelee sfealia kuononsa kärjessä ja tarkistaa sen tuoksun ja tuntoaistin varmistaakseen, että sfeali on terve.</t>
  </si>
  <si>
    <t>Walrein</t>
  </si>
  <si>
    <t>Jäänmurto-Pokémon</t>
  </si>
  <si>
    <t>WALREINin kaksi massiivisesti kehittynyttä syöksyhampatta voivat rikkoa kymmenen tonnia painavia jäälohkareita yhdellä iskulla. Tämän POKéMONin paksu rasvakerros eristää sen pakkaslämpötiloilta.</t>
  </si>
  <si>
    <t>WALREIN ui hyytävässä merivedessä murskaten jäävuoria mahtipontisilla, vaikuttavilla syöksyhampaillaan. Sen paksu rasvakerros saa vihollisten hyökkäykset kimpoamaan harmittomasti.</t>
  </si>
  <si>
    <t>Suojellakseen laumaansa johtaja taistelee kaikkea vastaan, mikä tunkeutuu sen alueelle, jopa henkensä kustannuksella. Sen syöksyhampaat voivat katketa ​​taistelussa.</t>
  </si>
  <si>
    <t>Se ui jäisissä merissä murskaaen jäälauttoja suurilla syöksyhampaillaan. Sitä suojaa paksu rasva.</t>
  </si>
  <si>
    <t>Se murskaa jäätä suurilla syöksyhampaillaan. Sen paksu rasva torjuu paitsi kylmyyden myös vihollisten hyökkäykset.</t>
  </si>
  <si>
    <t>Se murskaa ajojäätä vahvoilla syöksyhampaillaan. Sen paksu rasvakerros torjuu vihollisen hyökkäykset.</t>
  </si>
  <si>
    <t>https://pokeapi.co/api/v2/pokemon-species/311/</t>
  </si>
  <si>
    <t>Sen paksu rasva ei ainoastaan ​​pidä sitä lämpimänä, vaan se myös suojaa sitä hyökkäyksiltä. Se murskaa jäätä arvokkailla syöksyhampaillaan.</t>
  </si>
  <si>
    <t>Walreinin kaksi massiivisesti kehittynyttä syöksyhampatta voivat rikkoa 10 tonnin painoisia jäälohkareita yhdellä iskulla. Tämän Pokémonin paksu rasvakerros suojaa sitä pakkaselta.</t>
  </si>
  <si>
    <t>Walrein ui hyytävässä merivedessä murskaten jäävuoria mahtipontisilla, vaikuttavilla syöksyhampaillaan. Sen paksu rasvakerros saa vihollisten hyökkäykset kimpoamaan harmittomasti.</t>
  </si>
  <si>
    <t>Walreinit muodostavat 20–30 yksilön laumoja. Uhan ilmaantuessa lauman johtaja suojelee ryhmää sen hengellä.</t>
  </si>
  <si>
    <t>Walreinin syöksyhampaat kasvavat koko sen elämän ajan. Taistelussa murtuneet syöksyhampaat kasvavat takaisin tavanomaiseen vaikuttavaan kokoonsa vuodessa.</t>
  </si>
  <si>
    <t>Sen paksut syöksyhampaat ovat riittävän vahvat murskaamaan ajojään. Niiden tiedetään katkeavan, mutta kasvavat takaisin ensi vuoteen mennessä. Hisuin alue on tunnettu näistä katkenneista syöksyhampaista.</t>
  </si>
  <si>
    <t>Clamperl</t>
  </si>
  <si>
    <t>https://pokeapi.co/api/v2/pokemon-species/312/</t>
  </si>
  <si>
    <t>CLAMPERLin tukeva kuori ei ole hyvä vain suojaan – sitä käytetään myös saaliin puristamiseen ja pyydystämiseen. Täysikasvuisen CLAMPERLin kuoressa on kaikkialla naarmuja ja kolhuja.</t>
  </si>
  <si>
    <t>CLAMPERL kasvaa kivikovan kuorensa suojaamana. Kun sen ruumis kasvaa liian suureksi mahtuakseen kuoren sisään, se on varma todiste siitä, että tämä POKéMON on lähellä evoluutiota.</t>
  </si>
  <si>
    <t>Helmi paiskaa kuorensa kiinni saaliinsa päälle estääkseen sitä pakenemasta. Sen evoluution aikana luoman helmen sanotaan olevan täynnä salaperäistä energiaa.</t>
  </si>
  <si>
    <t>Sitä suojaa tukeva kuori. Kerran elämässä siitä tulee upea helmi.</t>
  </si>
  <si>
    <t>Se tekee elinaikanaan yhden helmen. Helmen sanotaan vahvistavan psyykkistä voimaa.</t>
  </si>
  <si>
    <t>Kehittyessään se muodostaa salaperäisen helmen, joka vahvistaa psyykkisiä voimia, kun sitä pidetään kädessä.</t>
  </si>
  <si>
    <t>https://pokeapi.co/api/v2/pokemon-species/313/</t>
  </si>
  <si>
    <t>Clamperlin tukeva kuori ei ole hyvä vain suojaan, vaan sitä käytetään myös saaliin puristamiseen ja pyydystämiseen. Täysikasvuisen Clamperlin kuoressa on kaikkialla naarmuja ja viiltoja.</t>
  </si>
  <si>
    <t>Clamperl kasvaa kivikovan kuorensa suojaamana. Kun sen ruumis kasvaa liian suureksi mahtuakseen kuoren sisään, se on varma todiste siitä, että tämä Pokémon on lähellä evoluutiota.</t>
  </si>
  <si>
    <t>Ulkonäöstään huolimatta se on lihansyöjä. Se puristaa saalistaan ​​kuorensa molemmilla puolilla eikä päästä irti ennen kuin se lakkaa liikkumasta.</t>
  </si>
  <si>
    <t>Clamperlin helmet ovat erittäin arvokkaita. Ne voivat olla yli 10 kertaa kalliimpia kuin Shellderin helmet.</t>
  </si>
  <si>
    <t>Huntail</t>
  </si>
  <si>
    <t>Syvänmeren Pokémon</t>
  </si>
  <si>
    <t>HUNTAILIN läsnäolo pysyi ihmisiltä pitkään huomaamattomana, koska se elää äärimmäisen syvällä meressä. Tämän POKéMONin silmät näkevät selvästi jopa meren sameassa pimeydessä.</t>
  </si>
  <si>
    <t>HUNTAILIN häntä on kalan muotoinen. Se käyttää häntäänsä saaliin houkuttelemiseen ja nielee sitten saaliin kokonaisena suurella, ammottavalla suullaan. Tämä POKéMON ui heiluttamalla hoikkaa vartaloaan kuin käärme.</t>
  </si>
  <si>
    <t>Kestääkseen syvän merenpinnan murskaavan paineen sen selkäranka on erittäin paksu ja tukeva. Sen pyrstö, joka on muodoltaan kuin pieni kala, on varustettu loistavilla silmillä.</t>
  </si>
  <si>
    <t>Se elää syvällä meressä, jonne ei koskaan siivilöidy valo. Se valaisee pienen kalan kaltaisen pyrstönsä houkutellakseen saalista.</t>
  </si>
  <si>
    <t>https://pokeapi.co/api/v2/pokemon-species/314/</t>
  </si>
  <si>
    <t>Se elää syvällä meressä. Pienen kalan muotoisella pyrstöllään se houkuttelee tietämätöntä saalista.</t>
  </si>
  <si>
    <t>Se elää syvällä pikipimeässä meressä. Se houkuttelee saalista liikuttamalla häntäänsä pientä eläintä matkien.</t>
  </si>
  <si>
    <t>Huntailin läsnäolo pysyi pitkään ihmisten huomaamattomana, koska se elää äärimmäisen syvällä meressä. Tämän Pokémonin silmät näkevät selvästi jopa meren sameassa pimeydessä.</t>
  </si>
  <si>
    <t>Metsäkäärmeen häntä on kalan muotoinen. Se käyttää häntäänsä saaliin houkuttelemiseen ja nielee sitten saaliin kokonaisena suurella, ammottavalla suullaan. Tämä Pokémon ui heiluttamalla hoikkaa vartaloaan kuin käärme.</t>
  </si>
  <si>
    <t>Se ei ole vahvin uimari. Se heiluttaa häntäänsä houkutellakseen saaliinsa puoleensa ja nielee sen sitten heti, kun se pääsee lähelle.</t>
  </si>
  <si>
    <t>Syvät meret ovat niiden elinympäristöä. Perimätiedon mukaan, kun metsänhäntä ajautuu rannalle, tapahtuu jotain ikävää.</t>
  </si>
  <si>
    <t>Gorebyss</t>
  </si>
  <si>
    <t>Etelämeren Pokémon</t>
  </si>
  <si>
    <t>GOREBYSS elää eteläisillä merillä äärimmäisen syvyyksissä. Sen ruumis on rakennettu kestämään valtavan vedenpaineen uskomattomissa syvyyksissä. Tämän ansiosta tämän POKéMONin ruumis on turvassa tavallisilta hyökkäyksiltä.</t>
  </si>
  <si>
    <t>Vaikka GOREBYSS on uidessaan eleganssin ja kauneuden ruumiillistuma, se on myös julma. Havaitessaan saaliin tämä POKéMON työntää ohuen suunsa saaliin kehoon ja imee siitä pois sen ruumiinnesteet.</t>
  </si>
  <si>
    <t>GOREBYSS imee saaliinsa ruumiinnesteet ohuen, putkimaisen suunsa kautta. Sen vaaleanpunainen ruumiinväri muuttuu kirkkaaksi, kun se lopettaa syömisen.</t>
  </si>
  <si>
    <t>https://pokeapi.co/api/v2/pokemon-species/315/</t>
  </si>
  <si>
    <t>Sen uintimuoto on erittäin elegantti. Ohuella suullaan se syö kivien välissä kasvavaa merilevää.</t>
  </si>
  <si>
    <t>Se elää meren pohjassa. Keväällä sen vaaleanpunainen ruumis muuttuu jostain syystä kirkkaammaksi.</t>
  </si>
  <si>
    <t>Sen vaaleanpunainen vartalo muuttuu kirkkaammaksi veden lämpötilan noustessa keväällä.</t>
  </si>
  <si>
    <t>Gorebyss elää eteläisillä merillä äärimmäisen syvyyksissä. Sen ruumis on rakennettu kestämään valtavan vedenpaineen uskomattomissa syvyyksissä. Tämän ansiosta tämän Pokémonin ruumis on turvassa tavallisilta hyökkäyksiltä.</t>
  </si>
  <si>
    <t>Vaikka Gorebyss on uinnissa eleganssin ja kauneuden ruumiillistuma, se on myös julma. Havaitessaan saaliin tämä Pokémon työntää ohuen suunsa saaliin kehoon ja imee saaliista sen nesteet.</t>
  </si>
  <si>
    <t>Sen ruumiin väri muuttuu veden lämpötilan mukaan. Gorebyssin väritys Alolassa on lähes sokaisevan kirkas.</t>
  </si>
  <si>
    <t>Se imee saaliistaan ​​ruumiinnesteitä. Jäljelle jäänyt liha vajoaa merenpohjaan, missä siitä tulee ruokaa muille Pokémoneille.</t>
  </si>
  <si>
    <t>Relicanth</t>
  </si>
  <si>
    <t>Pitkäikäisyys-Pokémon</t>
  </si>
  <si>
    <t>https://pokeapi.co/api/v2/pokemon-species/316/</t>
  </si>
  <si>
    <t>RELICANTH on POKéMON-laji, joka on elänyt sata miljoonaa vuotta muuttamatta muotoaan. Tämä muinainen POKéMON syö mikroskooppisia organismeja hampaattomalla suullaan.</t>
  </si>
  <si>
    <t>RELICANTH on harvinainen laji, joka löydettiin syvänmeren tutkimusmatkoilla. Tämän POKéMONin ruumis kestää valtameren syvyyksien valtavan vedenpaineen. Sen ruumis on peittynyt koviin suomuihin, jotka ovat kuin rosoisia kiviä.</t>
  </si>
  <si>
    <t>POKéMON, jonka aikoinaan uskottiin kuolleen sukupuuttoon. Laji ei ole muuttanut muotoaan 100 miljoonaan vuoteen. Se kävelee merenpohjassa rintaeviensä avulla.</t>
  </si>
  <si>
    <t>Se on pysynyt muuttumattomana 100 miljoonaa vuotta. Se löydettiin syvänmeren tutkimusmatkan aikana.</t>
  </si>
  <si>
    <t>Harvinainen Pokémon, joka löydettiin syvänmeren tutkimusmatkalla. Se ei ole muuttunut yli 100 miljoonaan vuoteen.</t>
  </si>
  <si>
    <t>Se löydettiin sattumalta syvänmeren tutkimusretkien aikana, eikä se ole muuttunut muinaisista ajoista lähtien.</t>
  </si>
  <si>
    <t>https://pokeapi.co/api/v2/pokemon-species/317/</t>
  </si>
  <si>
    <t>Relicanth on Pokémon-laji, joka on elänyt sata miljoonaa vuotta muuttamatta muotoaan. Tämä muinainen Pokémon syö mikroskooppisia organismeja hampaattomalla suullaan.</t>
  </si>
  <si>
    <t>Relicanth on harvinainen laji, joka löydettiin syvänmeren tutkimusmatkoilla. Tämän Pokémonin ruumis kestää valtameren syvyyksien valtavan vedenpaineen. Sen ruumis on peittynyt koviin suomuihin, jotka ovat kuin rosoisia kiviä.</t>
  </si>
  <si>
    <t>Sen muoto on pysynyt samana sata miljoonaa vuotta. Sen ruumis on täynnä rasvaa, joten se kestää syvänmeren vedenpaineen.</t>
  </si>
  <si>
    <t>Se löydettiin sattumalta syvänmeren tutkimusretkellä. Sen hampaat ovat surkastuneet, joten se selviytyy nyt imemiensä mikroskooppisten organismien avulla.</t>
  </si>
  <si>
    <t>Relicanthille, jonka uskotaan kuolleen sukupuuttoon, annettiin nimi, joka on muunnelma sen löytäneen henkilön nimestä.</t>
  </si>
  <si>
    <t>Syy siihen, miksi se ei ole muuttunut lainkaan sadassa miljoonassa vuodessa, on se, että se on ilmeisesti jo täydellinen elämänmuoto.</t>
  </si>
  <si>
    <t>Kivenkovat suomut ja öljyllä täytetyt uimarakot auttavat tätä Pokémonia selviytymään syvänmeren voimakkaasta vedenpaineesta.</t>
  </si>
  <si>
    <t>Tämä Pokémon löydettiin syvänmeren tutkimusmatkan aikana. Sen ulkonäkö ei ole muuttunut 100 000 000 vuoteen, joten sitä kutsutaan eläväksi fossiiliksi.</t>
  </si>
  <si>
    <t>Luvdisc</t>
  </si>
  <si>
    <t>Rendezvous-Pokémon</t>
  </si>
  <si>
    <t>LUVDISC-pokémonit elävät matalissa merissä tropiikissa. Tämä sydämenmuotoinen POKéMON ansaitsi nimensä uimalla meren aalloissa havaitsemiensa rakastavaisten parien mukaan.</t>
  </si>
  <si>
    <t>LUVDISCin sydämenmuotoinen vartalo symboloi rakkautta ja romantiikkaa. Sanotaan, että pariskunnalle, joka tapaa tämän POKéMONin, luvataan rakastava suhde, joka ei koskaan pääty.</t>
  </si>
  <si>
    <t>LUVDISC-lehdet tekevät pesänsä CORSOLAN oksista. On olemassa vanha tapa antaa LUVDISC lahjaksi rakkaudenosoituksena.</t>
  </si>
  <si>
    <t>Kutuaikana lukemattomat LUVDISC-kärpäset kerääntyvät koralliriutoille ja värjäävät vedet vaaleanpunaisiksi.</t>
  </si>
  <si>
    <t>Se elää lämpimissä merissä. Sanotaan, että tämän Pokémonin löytävää paria siunataan ikuisella rakkaudella.</t>
  </si>
  <si>
    <t>Sen sydämenmuotoinen runko tekee siitä suositun. Joissakin paikoissa LUVDISCin antaisi rakkaalleen.</t>
  </si>
  <si>
    <t>https://pokeapi.co/api/v2/pokemon-species/318/</t>
  </si>
  <si>
    <t>Kutuaikana lukemattomat Luvdisc-kärpäset kerääntyvät koralliriutoille ja värjäävät vedet vaaleanpunaisiksi.</t>
  </si>
  <si>
    <t>Luvdiscit elävät matalissa merissä tropiikissa. Tämä sydämenmuotoinen Pokémon ansaitsi nimensä uimalla meren aalloissa havaitsemiensa rakastavaisten parien perässä.</t>
  </si>
  <si>
    <t>Luvdiscin sydämenmuotoinen vartalo on rakkauden ja romantiikan symboli. Sanotaan, että pariskunnalle, joka tapaa tämän Pokémonin, luvataan rakastava suhde, joka ei koskaan pääty.</t>
  </si>
  <si>
    <t>Jos Luvdisc jätetään yksin, se masentuu ja altis hyökkäyksille. Silloin Pelipper nappaa sen.</t>
  </si>
  <si>
    <t>Rakastavaisilla pariskunnilla on heikko kohta tätä Pokémonia kohtaan, joten häämatkahotellit usein vapauttavat tämän Pokémonin uima-altaisiinsa.</t>
  </si>
  <si>
    <t>Oli aikakausi, jolloin sitä liikakalastettiin huhun vuoksi, että yhden sen sydämenmuotoisista suomuista avulla voisi löytää rakkaan.</t>
  </si>
  <si>
    <t>Luvdisc tekee kotinsa lämpimien merien koralliriutoilla. Se tykkää erityisesti nukkua Corsolan oksien välissä.</t>
  </si>
  <si>
    <t>Bagon</t>
  </si>
  <si>
    <t>Kivipää-Pokémon</t>
  </si>
  <si>
    <t>BAGONilla on unelma jonain päivänä kohota taivaalle. Tuhoisassa lentoyrityksessään tämä POKéMON syöksyy kallioilta. Sukellusten seurauksena sen päästä on tullut kova kuin karkaistusta teräksestä.</t>
  </si>
  <si>
    <t>BAGONilla on loputon unelma jonain päivänä kohoamisesta korkealle pilvien sekaan. Ikään kuin yrittäen karkottaa lentokyvyttömyytensä aiheuttamaa turhautumista tämä POKéMON iskee kovan päänsä valtaviin kiviin ja murskaa ne pikkukiviksi.</t>
  </si>
  <si>
    <t>Vaikka se on pieni, tämä POKéMON on erittäin voimakas, koska sen ruumis on kuin lihaskimppu. Se ampuu pääniskuja raudankaltaisella kallollaan.</t>
  </si>
  <si>
    <t>Sen teräskova pää voi murskata lohkareita. Se toivoo hartaasti siipien kasvamista, jotta se voisi lentää.</t>
  </si>
  <si>
    <t>Haaveillen jonain päivänä lentämisestä se harjoittelee hyppäämällä kallioilta joka päivä.</t>
  </si>
  <si>
    <t>Sen hyvin kehittyneet niskalihakset ja raudankaltainen pää voivat murskata lohkareita palasiksi.</t>
  </si>
  <si>
    <t>Sen hyvin kehittyneet niskalihakset ja raudan kaltainen pää voivat murskata lohkareita palasiksi.</t>
  </si>
  <si>
    <t>Bagonilla on unelma jonain päivänä kohota taivaalle. Tuhoisassa lentoyrityksessään tämä Pokémon heittäytyy kallioilta alas. Sukellusten seurauksena sen pää on kova kuin karkaistu teräs.</t>
  </si>
  <si>
    <t>Bagonilla on loputon unelma jonain päivänä kohoamisesta korkealle pilvien sekaan. Ikään kuin yrittäen karkottaa lentokyvyttömyytensä aiheuttamaa turhautumista tämä Pokémon iskee kovan päänsä valtaviin kiviin ja murskaa ne pikkukiviksi.</t>
  </si>
  <si>
    <t>Sen usko siihen, että se pystyy lentämään jonain päivänä, johtuu ilmeisesti sen geeneissä kantamasta tiedosta.</t>
  </si>
  <si>
    <t>Teräksenkovalla kivipäällään se puskee umpimähkään. Tämä johtuu stressistä, jota se tuntee kyvyttömyydestä lentää.</t>
  </si>
  <si>
    <t>Aina kun se näkee lintu-Pokémonin lentävän taivaalla, se tulee kateelliseksi ja murskaa ympäristönsä palasiksi pääniskuilla.</t>
  </si>
  <si>
    <t>Jotkut teoriat viittaavat siihen, että sen käyttäytyminen, jossa se hakkaa päätään voimakkaasti esineisiin, stimuloi soluja, jotka vaikuttavat sen evoluutioon.</t>
  </si>
  <si>
    <t>Bagon hyppää kallioilta joka päivä yrittäen vahvistua, jotta se jonain päivänä pystyisi lentämään.</t>
  </si>
  <si>
    <t>Bagon on yksinäinen Pokémon, joka ei muodosta ryhmiä muiden kaltaistensa kanssa. Sen pää on myös niin kova, että se voi halkaista lohkareen yhdellä iskulla.</t>
  </si>
  <si>
    <t>Shelgon</t>
  </si>
  <si>
    <t>Kestävyys-Pokémon</t>
  </si>
  <si>
    <t>SHELGONin panssarin kaltaisen kuoren sisällä solut ovat keskellä muutosta luodakseen täysin uuden kehon. Tämän POKéMONin kuori on erittäin painava, mikä tekee sen liikkeistä hitaita.</t>
  </si>
  <si>
    <t>SHELGONIN kehoa peittävät luita muistuttavat ulokkeet. Kuori on erittäin kova ja kimpoaa vihollisen hyökkäyksistä. Kehitystä odottaessaan tämä POKéMON piiloutuu luolaan.</t>
  </si>
  <si>
    <t>Se tuskin syö odottaessaan evoluutiota. Se tulee sitkeämmäksi kestämällä nälkää. Sen kuori irtoaa heti, kun se alkaa kehittyä.</t>
  </si>
  <si>
    <t>Sen panssaroitu vartalo kimpoaa kaikki hyökkäykset takaisin. Panssari on kuitenkin liian kestävä, mikä tekee siitä raskaan ja hieman hitaan.</t>
  </si>
  <si>
    <t>Karkean kuorensa sisällä sen solut ovat alkaneet muuttua. Kuori irtoaa heti, kun se kehittyy.</t>
  </si>
  <si>
    <t>https://pokeapi.co/api/v2/pokemon-species/319/</t>
  </si>
  <si>
    <t>Se ympäröi ruumiinsa rautakovalla kuorella kerätäkseen tarpeeksi voimaa kehittyäkseen.</t>
  </si>
  <si>
    <t>Shelgonin panssarin kaltaisen kuoren sisällä solut ovat keskellä muutosta luodakseen täysin uuden kehon. Tämän Pokémonin kuori on erittäin painava, mikä tekee sen liikkeistä hitaita.</t>
  </si>
  <si>
    <t>Shelgonin kehoa peittävät luuta muistuttavat ulokkeet. Kuori on erittäin kova ja kimpoaa vihollisen hyökkäyksistä. Kehitystä odottaessaan tämä Pokémon piiloutuu luolaan.</t>
  </si>
  <si>
    <t>Sen kuoren solut muuttuvat räjähdysmäisellä nopeudella ja valmistavat sitä evoluutioon.</t>
  </si>
  <si>
    <t>Ne lymyilevät syvällä luolissa – liikkumattomina, eivät syö eivätkä juo. Miksi ne eivät kuole, ei tiedetä.</t>
  </si>
  <si>
    <t>Sen kehon solut muuttuvat hämmentävää vauhtia. Sen kova kuori on tehty samasta aineesta kuin luu.</t>
  </si>
  <si>
    <t>Shelgon asuu syvällä luolissa. Se pysyy suljettuna kovaan kuoreensa ja unelmoi päivästä, jolloin se pystyy lentämään.</t>
  </si>
  <si>
    <t>Tämä Pokémon on peittänyt kehonsa kovalla kuorella, jonka koostumus on sama kuin luun. Shelgon varastoi energiaa evoluutiota varten.</t>
  </si>
  <si>
    <t>Shelgon ei välitä nälästään lainkaan eikä syö mitään. Ilmeisesti Shelgon kehittyy, kun kaikki sen energiavarastot ovat käytetty loppuun.</t>
  </si>
  <si>
    <t>Salamence</t>
  </si>
  <si>
    <t>SALAMENCE syntyi pitkäaikaisen ja vahvan unelman tuloksena siipien kasvattamisesta. Kerrotaan, että tämä voimakas halu laukaisi äkillisen mutaation tämän POKéMONin soluissa, minkä seurauksena se kasvatti upeat siipensä.</t>
  </si>
  <si>
    <t>Kehittymällä SALAMENCEksi tämä POKéMON toteuttaa vihdoin pitkäaikaisen unelmansa siipien kasvattamisesta. Ilmaistakseen iloaan se lentää ja pyörii taivaalla syöstäen liekkejä suustaan.</t>
  </si>
  <si>
    <t>Monien pitkien vuosien jälkeen sen solurakenne koki äkillisen mutaation ja kasvatti siivet. Vihastuttuaan se menettää kaiken harkintakykynsä ja raivoaa hallitsemattomasti.</t>
  </si>
  <si>
    <t>Raivostuneena siitä tulee hallitsematon. Se tuhoaa kaiken repivillä kynsillään ja tulella.</t>
  </si>
  <si>
    <t>Pitkäaikaisen unelmansa lentämisestä seurauksena sen solurakenne muuttui ja siivet kasvoivat.</t>
  </si>
  <si>
    <t>Raivostuneena sitä ei voi hillitä. Se lentää ympäriinsä sytyttäen liekkejä ja polttaen peltoja ja vuoria.</t>
  </si>
  <si>
    <t>Salamence syntyi pitkäaikaisen ja vahvan unelman seurauksena siipien kasvattamisesta. Kerrotaan, että tämä voimakas halu laukaisi äkillisen mutaation Pokémonin soluissa, minkä seurauksena se kasvatti upeat siivet.</t>
  </si>
  <si>
    <t>Kehittymällä Salamenceksi tämä Pokémon toteuttaa vihdoin pitkäaikaisen unelmansa siipien kasvattamisesta. Ilmaistakseen iloaan se lentää ja pyörii taivaalla pursottaen liekkejä suustaan.</t>
  </si>
  <si>
    <t>Vihastuttuaan se menettää kaiken itsetunnon ja tuhoaa kaiken ympärillään. Tuhoaminen jatkuu, kunnes Salamence on väsynyt.</t>
  </si>
  <si>
    <t>Se lentää siivillään, jotka ovat viimein kasvaneet isoiksi. Onnessaan se purkaa kuumia liekkejä, polttaen poroksi pellot, joiden yli se kulkee.</t>
  </si>
  <si>
    <t>Iloisena siitä, että se vihdoin pystyy lentämään, se lentää joka paikkaan eikä yleensä laskeudu ennen kuin on täysin uupunut ja tarvitsee unta.</t>
  </si>
  <si>
    <t>Sen hartaiden toiveiden ansiosta sen kehon solut lopulta mutatoituivat, ja viimein se sai sydämensä toiveen – siivet.</t>
  </si>
  <si>
    <t>Salamence on epätavallinen Pokémon siinä mielessä, että se pystyi kehittämään siivellisen ruumiin vain toivomalla jatkuvasti pystyvänsä lentämään.</t>
  </si>
  <si>
    <t>Vaikka lentämisen ilosta nauttiminen yleensä pitää tämän Pokémonin hyvällä tuulella, Salamence muuttuu hillittömäksi uhaksi, jos jokin suututtaa sitä.</t>
  </si>
  <si>
    <t>Beldum</t>
  </si>
  <si>
    <t>Rautapallo-Pokémon</t>
  </si>
  <si>
    <t>Veren sijaan voimakas magneettinen voima kulkee BELDUMin kehon läpi. Tämä POKéMON kommunikoi muiden kanssa lähettämällä kontrolloituja magneettipulsseja.</t>
  </si>
  <si>
    <t>https://pokeapi.co/api/v2/pokemon-species/320/</t>
  </si>
  <si>
    <t>BELDUM pitää itsensä kellumassa tuottamalla magneettisen voiman, joka hylkii maan luonnollista magnetismia. Nukkuessaan tämä POKéMON ankkuroi itsensä kallioon takaosassaan olevien koukkujen avulla.</t>
  </si>
  <si>
    <t>Kun BELDUMit kokoontuvat parveksi, ne liikkuvat täydellisessä yhteensattumassa aivan kuin ne olisivat vain yksi POKéMON. Ne kommunikoivat keskenään aivoaaltojen avulla.</t>
  </si>
  <si>
    <t>Se käyttää magneettisia aaltoja kommunikoidakseen lajitovereidensa kanssa. Kaikki sen kehon solut ovat magneettisia.</t>
  </si>
  <si>
    <t>Se keskustelee muiden kanssa magneettipulssien avulla. Parvessa ne liikkuvat täydellisessä sopusoinnussa.</t>
  </si>
  <si>
    <t>Sen kehon synnyttämä magneettinen voima hylkii maan luonnollista magnetismia, jolloin se kelluu.</t>
  </si>
  <si>
    <t>Sen solut ovat kaikki magneettisia, ja se kommunikoi muiden kanssa magneettipulssien avulla.</t>
  </si>
  <si>
    <t>Veren sijaan voimakas magneettinen voima kulkee Beldumin kehon läpi. Tämä Pokémon kommunikoi muiden kanssa lähettämällä kontrolloituja magneettipulsseja.</t>
  </si>
  <si>
    <t>Beldum pitää itsensä kellumassa tuottamalla magneettisen voiman, joka hylkii maan luonnollista magnetismia. Nukkuessaan tämä Pokémon ankkuroi itsensä kallioon takamuksessaan olevien koukkujen avulla.</t>
  </si>
  <si>
    <t>Sen solut ovat kaikki magneetteja. Se käyttää magnetismia kommunikoidakseen muiden kaltaistensa kanssa.</t>
  </si>
  <si>
    <t>Magneettisen vetovoiman avulla se vetää vastustajansa lähelle. Kun he ovat kantaman sisällä, se viiltää heitä takakynsillään.</t>
  </si>
  <si>
    <t>Veren sijaan sen kehossa virtaa magnetismia. Kun sillä on huono olo, kokeile antaa sille magneetti.</t>
  </si>
  <si>
    <t>Jos suututat sen, se tekee muutakin kuin riehuu. Se myös purkaa voimakasta magnetismia, joka saa lähellä olevat koneet rikkoutumaan.</t>
  </si>
  <si>
    <t>Beldum lähettää takaosastaan ​​magneettista voimaa, joka vetää vastustajat nopeasti puoleensa. He vartaastuvat Beldumin teräviin kynsiin.</t>
  </si>
  <si>
    <t>Tämän Pokémonin kehon solut koostuvat magneettisesta materiaalista. Veren sijaan Beldumin kehon läpi virtaa magneettisia voimia.</t>
  </si>
  <si>
    <t>Metang</t>
  </si>
  <si>
    <t>Rautakynsi-Pokémon</t>
  </si>
  <si>
    <t>Kun kaksi BELDUMIA sulautuu yhteen, muodostuu METANG. BELDUMin aivot yhdistyvät magneettisen hermoston kautta. Yhdistämällä aivonsa magneettisesti tämä POKéMON tuottaa voimakasta psykokineettistä voimaa.</t>
  </si>
  <si>
    <t>Kun kaksi BELDUMIA sulautuu yhteen, muodostuu METANG. BELDUMien aivot yhdistyvät magneettisen hermoston avulla. Tämä POKéMON kääntää kätensä taaksepäin liikkuakseen suurella nopeudella.</t>
  </si>
  <si>
    <t>Sen käsivarsia väännevät kynnet ovat niin tuhovoimaisia, että ne voivat repiä paksuja rautalevyjä kuin ne olisivat silkkiä. Se lentää yli 95 kilometriä tunnissa.</t>
  </si>
  <si>
    <t>Se leijuu ilmassa magnetismin avulla. Sen runko on niin kestävä, että edes suihkukoneen törmäys ei jätä siihen naarmua.</t>
  </si>
  <si>
    <t>Se muodostuu kahdesta yhteen liitetystä BELDUM-kappaleesta. Sen teräsrunko ei naarmuunnu, jos se törmää suihkuun.</t>
  </si>
  <si>
    <t>Kun kaksi BELDUMIA sulautuu yhteen, magneettinen hermosto yhdistää niiden aivot.</t>
  </si>
  <si>
    <t>Se muodostuu kahdesta yhteen liitetystä Beldumista. Sen teräsrunko ei naarmuunnu, jos se törmää suihkukoneeseen.</t>
  </si>
  <si>
    <t>Se muodostuu kahden Beldumin yhdistymisestä. Sen kaksi aivoa ovat yhteydessä toisiinsa, mikä vahvistaa sen psyykkistä voimaa.</t>
  </si>
  <si>
    <t>https://pokeapi.co/api/v2/pokemon-species/321/</t>
  </si>
  <si>
    <t>Kun kaksi Beldumia yhdistyy, muodostuu Metang. Beldumien aivot yhdistyvät magneettisen hermoston kautta. Yhdistämällä aivonsa magneettisesti tämä Pokémon tuottaa voimakasta psykokineettistä voimaa.</t>
  </si>
  <si>
    <t>Kun kaksi Beldumia yhdistyy, muodostuu Metang. Beldumien aivot yhdistyvät magneettisen hermoston avulla. Tämä Pokémon kääntää kätensä taaksepäin matkustaakseen suurella nopeudella.</t>
  </si>
  <si>
    <t>Kun kaksi Beldumia yhdistyy, heidän psyykkinen voimansa kaksinkertaistuu. Heidän älykkyytensä pysyy kuitenkin muuttumattomana.</t>
  </si>
  <si>
    <t>Se rakastaa magneettisia mineraaleja, joten se jahtaa Nosepassia yli 95 km/h nopeudella.</t>
  </si>
  <si>
    <t>Kahdella aivollaan se ampuu voimakasta psyykkistä energiaa pysäyttääkseen saaliinsa.</t>
  </si>
  <si>
    <t>Se lentää taivaalla suurilla nopeuksilla. Löydettyään saaliinsa Metang ottaa siitä lujan otteen terävillä kynsillään eikä päästä irti.</t>
  </si>
  <si>
    <t>Kaksi Beldumia on juuttunut yhteen omien magneettivoimiensa ansiosta. Kahden aivon ansiosta Metangilla on kaksinkertaistuneet psyykkiset voimat.</t>
  </si>
  <si>
    <t>Tämä Pokémon pysyy korkealla magneettisten voimien avulla ja lentää suurilla nopeuksilla puikkelehtien karussa vuoristomaastossa saalista jahdaten.</t>
  </si>
  <si>
    <t>Metagross</t>
  </si>
  <si>
    <t>Rautajalka-Pokémon</t>
  </si>
  <si>
    <t>METAGROSSilla on yhteensä neljä aivoa. Yhdessä nämä neljä aivoa pystyvät suoriutumaan vaikeista laskutoimituksista nopeammin kuin supertietokone. Tämä POKéMON voi leijua ilmassa työntämällä neljä jalkaansa sisään.</t>
  </si>
  <si>
    <t>METAGROSS on kahden METANGin fuusion tulos. Metsästäessään tämä POKéMON kiinnittää saaliinsa maahan massiivisen ruumiinsa alle. Sitten se syö avuttoman uhrin vatsansa suuren suun avulla.</t>
  </si>
  <si>
    <t>METAGROSSilla on neljä aivoa, jotka on yhdistetty monimutkaisella neuroverkolla. Integraation ansiosta tämä POKéMON on älykkäämpi kuin supertietokone.</t>
  </si>
  <si>
    <t>Se muodostuu kahden METANGin fuusioitumisesta. Sen neljän aivon sanotaan olevan supertietokonetta tehokkaammat.</t>
  </si>
  <si>
    <t>METANG yhdistyi muodostaen sen. Neljän aivonsa ansiosta sillä on supertietokoneen älykkyys.</t>
  </si>
  <si>
    <t>Se taittaa neljä jalkaansa lentäessään. Sen neljän aivon sanotaan olevan supertietokonetta tehokkaammat.</t>
  </si>
  <si>
    <t>Metangit yhdistyivät muodostaen sen. Neljän aivonsa ansiosta sillä on supertietokoneen älykkyys.</t>
  </si>
  <si>
    <t>Neljän toisiinsa kytketyn aivonsa ansiosta se on älykkäämpi kuin supertietokone ja käyttää laskelmia vihollisten analysointiin.</t>
  </si>
  <si>
    <t>Metagrossilla on yhteensä neljä aivoa. Yhdessä ne pystyvät suoriutumaan vaikeista laskutoimituksista nopeammin kuin supertietokone. Tämä Pokémon voi leijua ilmassa työntämällä neljä jalkaansa sisään.</t>
  </si>
  <si>
    <t>Metagross on kahden Metangin fuusion tulos. Metsästäessään tämä Pokémon kiinnittää saaliinsa maahan massiivisen ruumiinsa alle. Sitten se syö avuttoman uhrin vatsansa suuren suun avulla.</t>
  </si>
  <si>
    <t>Se kiinnittää saaliinsa tiukasti neljällä kynnellään ja kookkailla vartaloillaan. Sitten sen vatsassa olevat hampaat pureskelevat saaliin palasiksi.</t>
  </si>
  <si>
    <t>https://pokeapi.co/api/v2/pokemon-species/322/</t>
  </si>
  <si>
    <t>Kahden Metangin muodostama Pokémon pystyy suorittamaan minkä tahansa laskutoimituksen salamannopeasti hyödyntämällä neljän aivonsa rinnakkaisprosessointia.</t>
  </si>
  <si>
    <t>Sillä on paitsi psyykkisten voimien myös fantastinen voima. Se nappaa saaliinsa neljällä jalallaan ja pitää ne paikoillaan kynsillään.</t>
  </si>
  <si>
    <t>Se analysoi vastustajiaan tarkemmin kuin supertietokone, minkä ansiosta se voi rauhallisesti ajaa heidät nurkkaan.</t>
  </si>
  <si>
    <t>Koska näiden Pokémonien magneettiset voimat voimistuvat pakkasessa, lumisilla vuorilla elävät Metagrossit ovat täynnä energiaa.</t>
  </si>
  <si>
    <t>Metagross on kahden Metangin fuusion tulos. Tämä Pokémon voittaa vastustajansa supertietokoneen tason aivojensa avulla.</t>
  </si>
  <si>
    <t>Regirock</t>
  </si>
  <si>
    <t>Rock Peak -pokémon</t>
  </si>
  <si>
    <t>REGIROCK suljettiin ihmisten toimesta kauan sitten. Jos tämän POKéMONin ruumis vaurioituu taistelussa, sen sanotaan etsivän itse sopivia kiviä korjatakseen itsensä.</t>
  </si>
  <si>
    <t>REGIROCKin runko koostuu kokonaan kivistä. Äskettäin tehdyssä tutkimuksessa tehtiin hätkähdyttävä havainto, että kivet olivat kaikki eri paikoista.</t>
  </si>
  <si>
    <t>POKéMON, joka on tehty kokonaan kivistä ja lohkareista. Jos sen ruumiista lohkeaa osia taistelussa, REGIROCK korjaa itsensä lisäämällä uusia kiviä.</t>
  </si>
  <si>
    <t>Se koostuu kokonaan kivistä, joissa ei ole merkkejä aivoista tai sydämestä. Se on mysteeri jopa nykyajan tiedemiehille.</t>
  </si>
  <si>
    <t>Sen koko ruumis on tehty kivestä. Jos jokin osa lohkeaa taistelussa, se korjaa itsensä kiinnittämällä siihen kiviä.</t>
  </si>
  <si>
    <t>Samoja kiviä, jotka muodostavat sen rungon, on löydetty maankerroksista ympäri maailmaa.</t>
  </si>
  <si>
    <t>https://pokeapi.co/api/v2/pokemon-species/323/</t>
  </si>
  <si>
    <t>Regirock suljettiin ihmisten toimesta kauan sitten. Jos tämän Pokémonin ruumis vaurioituu taistelussa, sen sanotaan etsivän itse sopivia kiviä korjatakseen itsensä.</t>
  </si>
  <si>
    <t>Regirockin runko koostuu kokonaan kivistä. Äskettäin tehdyssä tutkimuksessa tehtiin hätkähdyttävä havainto, että kivet olivat kaikki eri paikoista.</t>
  </si>
  <si>
    <t>Regirockin ruumis on tehty joka kerta kivestä. Kun sen ruumiinosia kuluu, tämä Pokémon liimaa itseensä kiviä korjatakseen menetettyä.</t>
  </si>
  <si>
    <t>Tämän Pokémonin kiviruumiin sisäosia tutkittiin huipputeknologialla, mutta mitään ei löytynyt – ei edes aivoja tai sydäntä.</t>
  </si>
  <si>
    <t>Regice</t>
  </si>
  <si>
    <t>Jäävuori-Pokémon</t>
  </si>
  <si>
    <t>REGICEn ruumis tehtiin jääkauden aikana. Syväjäätynyttä ruumista ei voida sulattaa edes tulella. Tämä POKéMON hallitsee -160 celsiusasteen kylmää ilmaa.</t>
  </si>
  <si>
    <t>REGICE verhoutuu kylmään, -160 celsiusasteen ilmaan. Lähelle menemällä kaikki jäätyy. Sen jäinen ruumis on niin kylmä, ettei se sula, vaikka se upotettaisiin magmaan.</t>
  </si>
  <si>
    <t>Sen koko runko on tehty Etelämantereen jäästä. Laajojen tutkimusten jälkeen tutkijat uskovat, että jää muodostui jääkauden aikana.</t>
  </si>
  <si>
    <t>Tutkimukset paljastivat, että sen runko on tehty samanlaisesta jäästä kuin etelänavalla.</t>
  </si>
  <si>
    <t>https://pokeapi.co/api/v2/pokemon-species/324/</t>
  </si>
  <si>
    <t>Sen runko on tehty jääkaudelta peräisin olevasta jäästä. Se hallitsee kylmää ilmaa, jonka lämpötila on -328 Fahrenheit-astetta.</t>
  </si>
  <si>
    <t>Sen sanotaan nukkuneen jäätikössä tuhansia vuosia. Sen ruumista ei voida sulattaa edes magman avulla.</t>
  </si>
  <si>
    <t>Regicen ruumis tehtiin jääkauden aikana. Syväjäätynyttä ruumista ei voida sulattaa edes tulella. Tämä Pokémon hallitsee -328 Fahrenheit-asteen kylmää ilmaa.</t>
  </si>
  <si>
    <t>Regice verhoutuu hyytävään -160 celsiusasteen ilmaan. Lähelle meneminen voi jäädyttää kaiken. Sen jäinen ruumis on niin kylmä, ettei se sula, vaikka se uppoaisi magmaan.</t>
  </si>
  <si>
    <t>Kylmän ilman ansiosta, jonka lämpötila voi laskea jopa −328 celsiusasteeseen, Regice jäädyttää välittömästi kaikki sitä lähestyvät olennot.</t>
  </si>
  <si>
    <t>Tämän Pokémonin ruumis on tehty kiinteästä jäästä. Kerrotaan, että Regice syntyi paksun jään alla jääkaudella.</t>
  </si>
  <si>
    <t>Registeel</t>
  </si>
  <si>
    <t>Rauta-Pokémon</t>
  </si>
  <si>
    <t>REGISTEELIN runko on kovempi kuin minkään metallin. Sen runko on ilmeisesti ontto. Kenelläkään ei ole aavistustakaan, mitä tämä POKéMON syö.</t>
  </si>
  <si>
    <t>https://pokeapi.co/api/v2/pokemon-species/325/</t>
  </si>
  <si>
    <t>Muinaisina aikoina ihmiset vangitsivat REGISTEELIÄ. Sen runkoon kuuluvan metallin uskotaan olevan outoa ainetta, joka ei ole tästä maasta.</t>
  </si>
  <si>
    <t>Sen runko on kovempi kuin mikään muu metalli. Runkometalli koostuu salaperäisestä aineesta. Se ei ole ainoastaan ​​kova, vaan se myös kutistuu ja venyy joustavasti.</t>
  </si>
  <si>
    <t>Se on lujempaa kuin mikään metalli. Se kovettunut maanalaisen paineen vaikutuksesta kymmenien tuhansien vuosien aikana.</t>
  </si>
  <si>
    <t>Kymmenien tuhansien vuosien ajan maanalaisen paineen karkaisemana sen ruumis ei naarmuunnu.</t>
  </si>
  <si>
    <t>Sen rungon sanotaan olevan kovempi kuin mikään metalli. Tutkimus on paljastanut, että sen runko on ontto.</t>
  </si>
  <si>
    <t>https://pokeapi.co/api/v2/pokemon-species/326/</t>
  </si>
  <si>
    <t>Registeelillä on vartalo, joka on kovempi kuin mikään metalli. Sen vartalo on ilmeisesti ontto. Kenelläkään ei ole aavistustakaan, mitä tämä Pokémon syö.</t>
  </si>
  <si>
    <t>Registeeliä vangittiin muinaisina aikoina. Sen rungon metallin uskotaan olevan outoa ainetta, joka ei ole tästä maasta.</t>
  </si>
  <si>
    <t>Registeelin runko on tehty oudosta materiaalista, joka on tarpeeksi joustava venymään ja kutistumaan, mutta myös kestävämpi kuin mikään metalli.</t>
  </si>
  <si>
    <t>Huhutaan, että tämä Pokémon syntyi syvällä maan alla planeetan vaipassa ja että se nousi pinnalle 10 000 vuotta sitten.</t>
  </si>
  <si>
    <t>Latias</t>
  </si>
  <si>
    <t>Eon-Pokémon</t>
  </si>
  <si>
    <t>LATIAS on erittäin herkkä ihmisten tunteille. Jos se aistii vihamielisyyttä, tämä POKéMON pöyhii höyheniä ympäri kehoaan ja huutaa kimeästi pelotellakseen vihollista.</t>
  </si>
  <si>
    <t>LATIAS on erittäin älykäs ja kykenevä ymmärtämään ihmispuhetta. Se on peitetty lasinkaltaisella untuvalla. POKéMON kietoo kehonsa untuvaan ja taittaa valoa muuttaakseen ulkonäköään.</t>
  </si>
  <si>
    <t>Ne muodostavat pienen lauman, jossa on vain muutama jäsen. Ne ovat harvoin tekemisissä ihmisten tai muiden POKéMONien kanssa. Ne katoavat, jos ne aistivat vihollisia.</t>
  </si>
  <si>
    <t>Se voi kommunikoida telepaattisesti ihmisten kanssa. Se muuttaa ulkonäköään käyttämällä valoa taittavaa untuvaa.</t>
  </si>
  <si>
    <t>https://pokeapi.co/api/v2/pokemon-species/327/</t>
  </si>
  <si>
    <t>Sen vartalo on peitetty untuvalla, joka voi taittaa valoa siten, että siitä tulee näkymätön.</t>
  </si>
  <si>
    <t>Se kommunikoi telepaattisesti. Sen ruumis on peitetty untuvalla, joka taittaa valoa tehden siitä näkymättömän.</t>
  </si>
  <si>
    <t>Latias on erittäin herkkä ihmisten tunteille. Jos se aistii vihamielisyyttä, tämä Pokémon pöyhii höyheniä ympäri kehoaan ja huutaa kimeästi pelotellakseen vihollista.</t>
  </si>
  <si>
    <t>Latias on erittäin älykäs ja kykenevä ymmärtämään ihmispuhetta. Se on peitetty lasinkaltaisella untuvalla. Pokémon kietoo kehonsa untuvaan ja taittaa valoa muuttaakseen ulkonäköään.</t>
  </si>
  <si>
    <t>Latios</t>
  </si>
  <si>
    <t>LATIOS pystyy saamaan vihollisensa näkemään kuvan siitä, mitä se on nähnyt tai kuvittelee päässään. Tämä POKéMON on älykäs ja ymmärtää ihmisen puhetta.</t>
  </si>
  <si>
    <t>https://pokeapi.co/api/v2/pokemon-species/328/</t>
  </si>
  <si>
    <t>LATIOS avaa sydämensä vain myötätuntoiselle KOULUTTAJALLE. Tämä POKéMON voi lentää nopeammin kuin suihkukone taittamalla etujalkansa ilmanvastuksen minimoimiseksi.</t>
  </si>
  <si>
    <t>Se pystyy havaitsemaan muiden sijainnin ja aistimaan heidän tunteitaan jopa piilossa ollessaan, koska sillä on telepatiaa. Sen älykkyys mahdollistaa ihmiskielten ymmärtämisen.</t>
  </si>
  <si>
    <t>Sillä on säyseä luonne, eikä se pidä taisteluista. Etujalat sisään työntämällä se voi lentää nopeammin kuin suihkukone.</t>
  </si>
  <si>
    <t>Erittäin älykäs Pokémon. Taittamalla siipensä taakse lennon aikana se voi ohittaa suihkukoneet.</t>
  </si>
  <si>
    <t>Se ymmärtää ihmispuhetta ja on erittäin älykäs. Se on herkkä Pokémon, joka ei pidä taistelusta.</t>
  </si>
  <si>
    <t>https://pokeapi.co/api/v2/pokemon-species/329/</t>
  </si>
  <si>
    <t>Latiosilla on kyky saada muut näkemään kuvan siitä, mitä se on nähnyt tai kuvittelee päässään. Tämä Pokémon on älykäs ja ymmärtää ihmisen puhetta.</t>
  </si>
  <si>
    <t>Latios avaa sydämensä vain myötätuntoiselle kouluttajalle. Tämä Pokémon voi lentää nopeammin kuin suihkukone taittamalla etujalkansa minimoidakseen ilmanvastuksen.</t>
  </si>
  <si>
    <t>Kyogre</t>
  </si>
  <si>
    <t>Merialtaan Pokémon</t>
  </si>
  <si>
    <t>KYOGRElla on kyky luoda valtavia sadepilviä, jotka peittävät koko taivaan ja aiheuttavat rankkasateita. Tämä POKéMON pelasti kuivuudesta kärsineitä ihmisiä.</t>
  </si>
  <si>
    <t>Mytologiassa KYOGRE on nimetty POKéMONiksi, joka laajensi merta peittämällä maan rankkasateilla ja kohoavilla hyökyaalloilla. Se nukahti katastrofaalisen taistelun jälkeen GROUDONia vastaan.</t>
  </si>
  <si>
    <t>KYOGRE esiintyy mytologiassa meren luojana. Pitkien GROUDONin kanssa käytyjen riitojen jälkeen se päätyi nukkumaan meren pohjaan.</t>
  </si>
  <si>
    <t>Tämän POKéMONin sanotaan laajentaneen merta tuomalla rankkasateita. Sillä on kyky hallita vettä.</t>
  </si>
  <si>
    <t>Sen sanotaan levittäneen meriä aiheuttamalla rankkasateita. Se oli nukkunut merihaudassa.</t>
  </si>
  <si>
    <t>Myyttinen Pokémon, jonka sanotaan paisuttaneen meret sateella ja hyökyaalloilla. Se taisteli GROUDONia vastaan.</t>
  </si>
  <si>
    <t>Myyttinen Pokémon, jonka sanotaan paisuttaneen meret sateella ja hyökyaalloilla. Se taisteli Groudonia vastaan.</t>
  </si>
  <si>
    <t>Alkuperäisen palautumisen ja luonnon täydellä voimalla se ottaa takaisin todellisen muotonsa. Se voi kutsua esiin myrskyjä, jotka nostavat merenpintaa.</t>
  </si>
  <si>
    <t>https://pokeapi.co/api/v2/pokemon-species/330/</t>
  </si>
  <si>
    <t>Kyogren sanotaan olevan meren itsensä personifikaatio. Legendat kertovat sen monista yhteenotoista Groudonia vastaan, kun jokainen pyrki saamaan luonnon voiman.</t>
  </si>
  <si>
    <t>Groudon</t>
  </si>
  <si>
    <t>Manner-Pokémon</t>
  </si>
  <si>
    <t>GROUDONIA on pitkään kuvattu mytologiassa POKéMONina, joka kasvatti maita ja laajensi mantereita. Tämä POKéMON nukahti mullistavan KYOGRE-taistelun jälkeen.</t>
  </si>
  <si>
    <t>GROUDONilla on kyky hajottaa sadepilviä ja saada vesi haihtumaan valon ja lämmön avulla. Se tuli pelastajaksi ihmisille, jotka olivat kärsineet kauheista tulvista.</t>
  </si>
  <si>
    <t>GROUDON on esiintynyt mytologiassa maan luojana. Se nukkuu maan alla olevassa magmassa ja sen sanotaan saavan herätessään tulivuoret purkautumaan.</t>
  </si>
  <si>
    <t>Tämän legendaarisen POKéMONin sanotaan edustavan maata. Se nukahti kaksintaistelun jälkeen KYOGREa vastaan.</t>
  </si>
  <si>
    <t>Se oli nukkunut maanalaisessa magmassa siitä lähtien, kun se taisteli raivokkaasti KYOGREa vastaan ​​kauan sitten.</t>
  </si>
  <si>
    <t>Sanotaan laajentaneen maita haihduttamalla vettä raivoavan kuumuuden mukana. Se taisteli titaanisesti KYOGREa vastaan.</t>
  </si>
  <si>
    <t>Se oli nukkunut maanalaisessa magmassa siitä lähtien, kun se taisteli raivokkaasti Kyogrea vastaan ​​kauan sitten.</t>
  </si>
  <si>
    <t>https://pokeapi.co/api/v2/pokemon-species/331/</t>
  </si>
  <si>
    <t>Sanotaan laajentaneen maita haihduttamalla vettä raivoavan kuumuuden mukana. Se taisteli titaanisesti Kyogrea vastaan.</t>
  </si>
  <si>
    <t>Tämän legendaarisen Pokémonin sanotaan edustavan maata. Se nukahti kaksintaistelun jälkeen Kyogren kanssa.</t>
  </si>
  <si>
    <t>Groudonin sanotaan olevan itse maan henkilöitymä. Legendat kertovat sen monista yhteenotoista Kyogrea vastaan, kun jokainen pyrki saamaan luonnon voiman.</t>
  </si>
  <si>
    <t>Alkuperäisen palautumisen kautta ja luonnon täydellä voimalla se ottaa takaisin todellisen muotonsa. Se voi aiheuttaa magman purkautumisen ja laajentaa maailman mannermaata.</t>
  </si>
  <si>
    <t>Rayquaza</t>
  </si>
  <si>
    <t>RAYQUAZA eli satoja miljoonia vuosia maan otsonikerroksessa eikä koskaan laskeutunut maan pinnalle. Tämä POKéMON näyttää syövän vettä ja ilmakehän hiukkasia.</t>
  </si>
  <si>
    <t>RAYQUAZAn sanotaan eläneen satoja miljoonia vuosia maan otsonikerroksessa pilvien yläpuolella. Sen olemassaolo oli aiemmin täysin tuntematon, koska se eli niin korkealla taivaalla.</t>
  </si>
  <si>
    <t>POKéMON, joka lentää loputtomasti otsonikerroksessa. Sanotaan, että se laskeutuisi maahan, jos KYOGRE ja GROUDON taistelisivat.</t>
  </si>
  <si>
    <t>Se on elänyt satoja miljoonia vuosia otsonikerroksessa. Sen lentävä olomuoto näyttää meteorilta.</t>
  </si>
  <si>
    <t>Se elää otsonikerroksessa pilvien yläpuolella, eikä sitä voida nähdä maan pinnalta.</t>
  </si>
  <si>
    <t>https://pokeapi.co/api/v2/pokemon-species/332/</t>
  </si>
  <si>
    <t>Se lentää otsonikerroksessa, korkealla taivaalla. Vielä vähän aikaa sitten kukaan ei ollut nähnyt sitä.</t>
  </si>
  <si>
    <t>Rayquazan sanotaan eläneen satoja miljoonia vuosia. Legendat kertovat, kuinka se lopetti Kyogren ja Groudonin välisen yhteenoton.</t>
  </si>
  <si>
    <t>Se lentää ikuisesti otsonikerroksen läpi kuluttaen meteoroideja ravinnokseen. Sen kehon monet meteoroidit tarjoavat sille megakehitykseen tarvittavan energian.</t>
  </si>
  <si>
    <t>Jirachi</t>
  </si>
  <si>
    <t>Toive-Pokémon</t>
  </si>
  <si>
    <t>Legendan mukaan JIRACHI toteuttaa herätessään kaikki sen päähän kiinnitettyihin lapuihin kirjoitetut toiveet. Jos tämä POKéMON aistii vaaran, se taistelee heräämättä.</t>
  </si>
  <si>
    <t>JIRACHI herää tuhannen vuoden unestaan, jos laulat sille puhtaalla äänellä. Sen sanotaan toteuttavan kaikki ihmisten toiveet.</t>
  </si>
  <si>
    <t>https://pokeapi.co/api/v2/pokemon-species/333/</t>
  </si>
  <si>
    <t>JIRACHIn sanotaan toteuttavan toiveet. Sen nukkuessa kova kiteinen kuori ympäröi sen kehon suojellakseen sitä vihollisilta.</t>
  </si>
  <si>
    <t>Sen sanotaan toteuttavan kaikki toiveet. Se on hereillä vain seitsemän päivää tuhannesta vuodesta.</t>
  </si>
  <si>
    <t>Sen sanotaan voivan toteuttaa minkä tahansa toiveen vain viikon ajan tuhannen vuoden välein.</t>
  </si>
  <si>
    <t>Sukupolvien ajan on uskottu, että mikä tahansa sen päässä olevaan lapulle kirjoitettu toive toteutuu, kun se herää.</t>
  </si>
  <si>
    <t>Legendan mukaan Jirachi toteuttaa herätessään kaikki sen päähän kiinnitettyihin lapuihin kirjoitetut toiveet. Jos tämä Pokémon aistii vaaran, se taistelee heräämättä.</t>
  </si>
  <si>
    <t>Jirachi herää tuhannen vuoden unestaan, jos laulat sille puhtaalla äänellä. Sen sanotaan toteuttavan kaikki ihmisten toiveet.</t>
  </si>
  <si>
    <t>Kerran tuhannessa vuodessa puhdas laulu herättää tämän Pokémonin lähes ikuisesta unestaan. Se herää vain seitsemäksi päiväksi.</t>
  </si>
  <si>
    <t>Uskotaan, että kun tämä Pokémon herää 1 000 vuoden unestaan, se toteuttaa kaikki sen päähän kiinnitettyihin lapuihin kirjoitetut toiveet.</t>
  </si>
  <si>
    <t>Deoxys</t>
  </si>
  <si>
    <t>DNA-Pokémon</t>
  </si>
  <si>
    <t>Avaruusviruksen DNA:han tapahtui äkillinen mutaatio lasersäteelle altistumisen jälkeen, ja tuloksena syntyi DEOXYS. Tämän POKéMONin rinnassa oleva kiteinen elin näyttää olevan sen aivot.</t>
  </si>
  <si>
    <t>https://pokeapi.co/api/v2/pokemon-species/334/</t>
  </si>
  <si>
    <t>DEOXYS syntyi avaruudesta tulleesta viruksesta. Se on erittäin älykäs ja omaa psykokineettisiä voimia. Tämä POKéMON ampuu lasereita rinnassaan olevasta kristallielimestä.</t>
  </si>
  <si>
    <t>POKéMON, joka mutatoitui lasersäteelle altistetusta maan ulkopuolisesta viruksesta. Sen ruumis on suunniteltu ylivoimaista ketteryyttä ja nopeutta varten.</t>
  </si>
  <si>
    <t>Tämä DEOXYS on muuttunut aggressiiviseen olemukseensa. Se voi huijata vihollisia muuttamalla ulkonäköään.</t>
  </si>
  <si>
    <t>Kun se muuttaa muotoaan, ilmestyy revontulet. Se vaimentaa hyökkäyksiä muuttamalla solurakennettaan.</t>
  </si>
  <si>
    <t>Meteorin mukana maan päälle pudonnut avaruusolentovirus kävi läpi DNA-mutaation ja siitä tuli tämä Pokémon.</t>
  </si>
  <si>
    <t>Avaruusviruksen DNA mutatoitui ja siitä tuli Pokémon. Se ilmestyy sinne, missä revontulia näkyy.</t>
  </si>
  <si>
    <t>Avaruusviruksen DNA:han tapahtui äkillinen mutaatio lasersäteen vaikutuksesta, ja seurauksena syntyi Deoxys. Tämän Pokémonin rinnassa oleva kiteinen elin näyttää olevan sen aivot.</t>
  </si>
  <si>
    <t>Deoxys syntyi avaruudesta tulleesta viruksesta. Se on erittäin älykäs ja hänellä on psykokineettisiä voimia. Tämä Pokémon ampuu lasereita rinnassaan olevasta kristallielimestä.</t>
  </si>
  <si>
    <t>Turtwig</t>
  </si>
  <si>
    <t>Pieni lehti-Pokémon</t>
  </si>
  <si>
    <t>Sen selässä oleva maasta tehty kuori kovettuu, kun se juo vettä. Se elää järvien varrella.</t>
  </si>
  <si>
    <t>Se suorittaa fotosynteesiä kehollaan ja tuottaa happea. Sen päässä oleva lehti nuutuu, jos se on janoinen.</t>
  </si>
  <si>
    <t>Sen selkäpuolella oleva kuori on tehty maasta. Hyvin terveellä TURTWIG-kärpäsellä kuoren pitäisi tuntua kostealta.</t>
  </si>
  <si>
    <t>Fotosynteesi tapahtuu sen kehossa auringon alla. Sen selässä oleva kuori on itse asiassa kovettunutta maata.</t>
  </si>
  <si>
    <t>Sen selkäpuolella oleva kuori on tehty maasta. Hyvin terveellä Turtwig-turtwigilla kuoren pitäisi tuntua kostealta.</t>
  </si>
  <si>
    <t>https://pokeapi.co/api/v2/pokemon-species/335/</t>
  </si>
  <si>
    <t>Tästä Pokémonista tulee energisempi mitä enemmän auringonvaloa on. Kuoren muotoinen osa on kuin lietettä ja hieman kostea ja lämmin koskettaa.</t>
  </si>
  <si>
    <t>Grotle</t>
  </si>
  <si>
    <t>Lehto-Pokémon</t>
  </si>
  <si>
    <t>Se elää metsien vesistöjen varrella. Päivällä se poistuu metsästä paistattelemaan puukuoressaan.</t>
  </si>
  <si>
    <t>Kuori on kovettunutta maata. Jotkut Pokémonit tulevat nokkimaan sen selässä olevissa puissa kasvavia marjoja.</t>
  </si>
  <si>
    <t>Se tietää, mistä puhdas vesi pulppuaa. Se kantaa muita Pokémoneja sinne selässään.</t>
  </si>
  <si>
    <t>Metsässä elävällä MÖRSÖLLÄ sanotaan olevan oma salainen lähdevetensä.</t>
  </si>
  <si>
    <t>Esiintyy siellä, missä on puhdasta lähdevettä. Kuorellaan pensaissa kasvavat hedelmät ovat makeita, ravitsevia ja todella herkullisia.</t>
  </si>
  <si>
    <t>Torterra</t>
  </si>
  <si>
    <t>Pienet Pokémonit kerääntyvät toisinaan sen liikkumattomalle selälle aloittaakseen pesänsä rakentamisen.</t>
  </si>
  <si>
    <t>https://pokeapi.co/api/v2/pokemon-species/336/</t>
  </si>
  <si>
    <t>Tämän veden etsimiseen vaeltavan Pokémonin ryhmiä on erehdyksessä luultu "liikkuviksi metsiksi".</t>
  </si>
  <si>
    <t>Jotkut Pokémonit syntyvät TORTERRAN selässä ja viettävät siellä koko elämänsä.</t>
  </si>
  <si>
    <t>Muinaiset ihmiset kuvittelivat, että maan alla asui jättimäinen TORTERRA.</t>
  </si>
  <si>
    <t>Jotkut Pokémonit syntyvät torterran selässä ja viettävät siellä koko elämänsä.</t>
  </si>
  <si>
    <t>Muinaiset ihmiset kuvittelivat, että maan alla asui jättimäinen Torterra.</t>
  </si>
  <si>
    <t>Tämä merkittävä, suurirunkoinen Pokémon toimisi kauniisti lainamaisemana puutarhaan, ja sen voima on vertaansa vailla. Torterra vaeltaa erämaassa etsien puhdasta vettä.</t>
  </si>
  <si>
    <t>Chimchar</t>
  </si>
  <si>
    <t>Simpanssi-Pokémon</t>
  </si>
  <si>
    <t>Se kiipeää ketterästi jyrkkiä kallioita pitkin asuakseen jyrkillä vuorilla. Sen tuli sammuu, kun se nukkuu.</t>
  </si>
  <si>
    <t>Sen tulinen perä saa polttoaineensa sen vatsassa tuotetusta kaasusta. Edes sade ei voi sammuttaa tulta.</t>
  </si>
  <si>
    <t>Se on erittäin ketterä. Ennen nukkumaanmenoa se sammuttaa pyrstönsä liekin estääkseen tulipaloja.</t>
  </si>
  <si>
    <t>Sen vatsassa syntyvä kaasu palaa sen takaosasta. Tuli palaa heikosti, kun se on kipeä.</t>
  </si>
  <si>
    <t>https://pokeapi.co/api/v2/pokemon-species/337/</t>
  </si>
  <si>
    <t>Täynnä tarmoa ja aina hyvällä tuulella. Se tunnettiin aikoinaan nimellä ”Lyhtyhäntä” ja sitä pelättiin jonkinlaisena aaveena.</t>
  </si>
  <si>
    <t>Monferno</t>
  </si>
  <si>
    <t>Leikkisä Pokémon</t>
  </si>
  <si>
    <t>Hyökkääjien pelottelemiseksi se venyttää tulta pyrstössään näyttääkseen suuremmalta.</t>
  </si>
  <si>
    <t>Se käyttää kattoja ja seiniä ilmahyökkäysten tekemiseen. Sen tulinen pyrstö on vain yksi ase.</t>
  </si>
  <si>
    <t>Se hallitsee taitavasti pyrstönsä tulen voimakkuutta pitääkseen vihollisensa ihanteellisella etäisyydellä.</t>
  </si>
  <si>
    <t>Suurempi tuli sen pyrstössä ja kirkkaampi sininen kuvio sen kasvoissa tarkoittavat korkeampaa sijoitusta laumassa.</t>
  </si>
  <si>
    <t>Mitä tummempi sininen sen kasvoissa on, sitä voimakkaammaksi se kasvaa. Se hyppii joka suuntaan ja iskee voimakkaita iskuja vastustajiinsa liekillä pyrstössään.</t>
  </si>
  <si>
    <t>Infernape</t>
  </si>
  <si>
    <t>Se käyttää erityistä kamppailulajia, johon osallistuvat kaikki sen raajat. Sen tuli ei koskaan sammu.</t>
  </si>
  <si>
    <t>Sen tulikruunu kertoo sen tulisuudesta. Kukaan ei voita sitä nopeudessa.</t>
  </si>
  <si>
    <t>Se käyttää ainutlaatuisia taisteluliikkeitä, joissa sen kädet ja jalat ovat tulessa. Se kohtaa minkä tahansa vastustajan.</t>
  </si>
  <si>
    <t>https://pokeapi.co/api/v2/pokemon-species/338/</t>
  </si>
  <si>
    <t>Se heittelee vihollisiaan ketterästi. Se käyttää kaikkia raajojaan taistellakseen omalla ainutlaatuisella tyylillään.</t>
  </si>
  <si>
    <t>Pitkä ja sitkeä Pokémon, jolla on häikäisevä ulkonäkö. Se kietoutuu liekkeihin ja taistelee kuin tanssisi – todellakin näkemisen arvoinen.</t>
  </si>
  <si>
    <t>Piplup</t>
  </si>
  <si>
    <t>Pingviini-Pokémon</t>
  </si>
  <si>
    <t>Koska se on hyvin ylpeä, se vihaa ottaa vastaan ​​ruokaa ihmisiltä. Sen paksu untuva suojaa sitä kylmältä.</t>
  </si>
  <si>
    <t>Se elää pohjoisten maiden rannoilla. Taitavana uimarina se sukeltaa yli 10 minuutiksi metsästämään.</t>
  </si>
  <si>
    <t>Huono kävelijä, se kaatuu usein. Sen vahva ylpeys saa sen kuitenkin pyörittämään rintaansa huoletta.</t>
  </si>
  <si>
    <t>Se ei pidä siitä, että siitä pidetään huolta. Sen kanssa on vaikea luoda sidettä, koska se ei kuuntele kouluttajaansa.</t>
  </si>
  <si>
    <t>https://pokeapi.co/api/v2/pokemon-species/339/</t>
  </si>
  <si>
    <t>Se viihtyy kylmässä ilmastossa ja esiintyy rannikoilla. Se on suloinen pikkujuttu – yhtä söpö kuin mikä tahansa lapsi – mutta se on myös ylpeä, eikä halua ottaa vastaan ​​lahjoja ihmisiltä.</t>
  </si>
  <si>
    <t>Prinplup</t>
  </si>
  <si>
    <t>Se asuu yksin, erillään muista. Ilmeisesti jokainen heistä uskoo olevansa tärkein.</t>
  </si>
  <si>
    <t>Sen siivet iskevät rajuja iskuja, jotka katkaisevat paksuimmatkin puut. Se etsii saalista jäisestä merestä.</t>
  </si>
  <si>
    <t>Koska jokainen PRINPLUP pitää itseään tärkeimpänä, he eivät voi koskaan muodostaa ryhmää.</t>
  </si>
  <si>
    <t>Se elää yksinäistä elämää. Sen siivet antavat rajuja iskuja, jotka voivat katkaista jopa paksuimmat puut.</t>
  </si>
  <si>
    <t>Koska jokainen Prinplup pitää itseään tärkeimpänä, he eivät voi koskaan muodostaa ryhmää.</t>
  </si>
  <si>
    <t>Se ui sulavasti hyisen meren läpi ja laulaa äänellä, joka on kuin pauhaava vuorovesi. Sillä on voimakkaat, tukevat siivet ja arvokkuus, jotka vastaavat sitä.</t>
  </si>
  <si>
    <t>Empoleon</t>
  </si>
  <si>
    <t>Keisari-Pokémon</t>
  </si>
  <si>
    <t>Sen nokasta lähtevät kolme sarvea todistavat sen voimasta. Johtajalla on suurimmat sarvet.</t>
  </si>
  <si>
    <t>Se ui yhtä nopeasti kuin suihkuvene. Sen siipien reunat ovat terävät ja voivat viiltää ajelehtivaa jäätä.</t>
  </si>
  <si>
    <t>Jos joku loukkaisi sen ylpeyttä, se viiltäisi sitä siivillä, jotka voivat halkaista jäälautan läpi.</t>
  </si>
  <si>
    <t>Se välttää tarpeettomia kiistoja, mutta se tuhoaa kaiken, mikä uhkaa sen ylpeyttä.</t>
  </si>
  <si>
    <t>https://pokeapi.co/api/v2/pokemon-species/340/</t>
  </si>
  <si>
    <t>Hisui on kunnioittanut sitä muinaisista ajoista lähtien ja kutsunut sitä Aaltojen Mestariksi. Sen siivet vetävät vertoja jopa mestarillisesti valmistettuihin teriin.</t>
  </si>
  <si>
    <t>Starly</t>
  </si>
  <si>
    <t>Kottarainen Pokémon</t>
  </si>
  <si>
    <t>Ne kerääntyvät parveksiin. Vaikka ne ovat pieniä, ne räpyttelevät siipiään voimakkaasti.</t>
  </si>
  <si>
    <t>Yleensä suuressa parvessa se on yksin ollessaan tuskin havaittavissa. Sen huuto on hyvin kovaäänistä.</t>
  </si>
  <si>
    <t>Koska ne ovat yksilöinä heikkoja, ne muodostavat ryhmiä. Ne kuitenkin riitelevät, jos ryhmä kasvaa liian suureksi.</t>
  </si>
  <si>
    <t>Ne parveilevat vuorilla ja pelloilla jahdaten ötökkä-Pokémoneja. Niiden laulu on äänekästä ja ärsyttävää.</t>
  </si>
  <si>
    <t>Ne elävät pelloilla ja vuorilla kokoontuen suuriksi parviksi. Niiden huuto on melko vastenmielistä. Vaikka ne ovat pieniä, niiden siivet ovat vahvat – niiden isku aiheuttaa kipua, joka kestää viikon.</t>
  </si>
  <si>
    <t>Staravia</t>
  </si>
  <si>
    <t>Se lentää metsien ja peltojen ympäri etsien ötökkä-Pokémoneja. Se pysyttelee valtavan parven sisällä.</t>
  </si>
  <si>
    <t>Se elää metsissä ja pelloilla. Aluekiistoja syntyy, kun parvet törmäävät toisiinsa.</t>
  </si>
  <si>
    <t>Tunnustaen oman heikkoutensa, ne elävät aina ryhmässä. Yksin ollessaan STARAVIA itkee äänekkäästi.</t>
  </si>
  <si>
    <t>Ne ylläpitävät valtavia parvia, vaikka eri parvien välillä puhkeaakin raivokkaita kahakoita.</t>
  </si>
  <si>
    <t>Tunnustaen oman heikkoutensa, ne elävät aina ryhmässä. Yksin ollessaan Staravia itkee äänekkäästi.</t>
  </si>
  <si>
    <t>https://pokeapi.co/api/v2/pokemon-species/341/</t>
  </si>
  <si>
    <t>Ne muodostavat huomattavan suuria parvia ja tappelevat jatkuvasti keskenään. Epäilen, että ne, joilla on upeat höyhenet päässään, ovat vahvoja.</t>
  </si>
  <si>
    <t>Staraptor</t>
  </si>
  <si>
    <t>Peto-Pokémon</t>
  </si>
  <si>
    <t>Sillä on raa'a luonne. Se haastaa rohkeasti paljon suurempia vihollisia.</t>
  </si>
  <si>
    <t>Sen siipien ja jalkojen lihakset ovat vahvat. Se voi helposti lentää pitäen kiinni pienestä Pokémonista.</t>
  </si>
  <si>
    <t>Se ei koskaan lakkaa hyökkäämästä, vaikka se loukkaantuisi. Se näprää kampansa muotoa.</t>
  </si>
  <si>
    <t>Kun STARAVIA kehittyy STARAPTOReiksi, ne jättävät parven elämään yksin. Niillä on vahvat siivet.</t>
  </si>
  <si>
    <t>https://pokeapi.co/api/v2/pokemon-species/342/</t>
  </si>
  <si>
    <t>Kun Staravioista kehittyy Staraptor, ne jättävät parven elämään yksin. Niillä on vahvat siivet.</t>
  </si>
  <si>
    <t>Se on lähtenyt parvesta saatuaan tarpeeksi voimaa selviytyäkseen omin avuin. Staraptorin hämmästyttävä lentovoima mahdollistaa sen kuljettaa pois suuria ja rotevia kohteita.</t>
  </si>
  <si>
    <t>Bidoof</t>
  </si>
  <si>
    <t>Pullea hiiri-Pokémon</t>
  </si>
  <si>
    <t>Teräksisten hermojen ansiosta mikään ei voi sitä häiritä. Se on ketterämpi ja aktiivisempi kuin miltä näyttää.</t>
  </si>
  <si>
    <t>Se jyrsii jatkuvasti tukkeja ja kiviä veistääkseen etuhampaitaan. Se pesii veden äärellä.</t>
  </si>
  <si>
    <t>Vertailu paljasti, että BIDOOFin etuhampaat kasvavat samaan tahtiin kuin RATTATAn.</t>
  </si>
  <si>
    <t>Se elää ryhmissä veden äärellä. Se pureskelee pesänsä ympärillä olevia lohkareita ja puita etuhampaillaan.</t>
  </si>
  <si>
    <t>Vertailu paljasti, että Bidoofin etuhampaat kasvavat samaan tahtiin kuin Rattatan.</t>
  </si>
  <si>
    <t>https://pokeapi.co/api/v2/pokemon-species/343/</t>
  </si>
  <si>
    <t>Bidoofilla on yksinkertainen ilme, eikä hän juurikaan hermostu mistään. On ollut tapauksia, joissa Bidoof on vaeltanut kyliin ja jyrsinyt taloja välittämättä niiden kalua.</t>
  </si>
  <si>
    <t>Bibarel</t>
  </si>
  <si>
    <t>Majava-Pokémon</t>
  </si>
  <si>
    <t>Se tekee pesänsä patoamalla puroja kaarnalla ja mudalla. Se tunnetaan ahkerana työntekijänä.</t>
  </si>
  <si>
    <t>Vaikka sen liikkeet vedestä poissa ollessa ovat hitaita, se voi uida yhtä nopeasti kuin mikä tahansa FEEBAS.</t>
  </si>
  <si>
    <t>BIBARELin patoama joki ei koskaan tulvi yli rantojensa, mistä lähistöllä asuvat ihmiset ovat iloisia.</t>
  </si>
  <si>
    <t>Se tekee ahkerasti pesänsä terävillä etuhampaillaan silpomistaan ​​oksista ja juurista.</t>
  </si>
  <si>
    <t>Bibarelin patoama joki ei koskaan tulvi yli rantojensa, mistä lähistöllä asuvat ihmiset ovat iloisia.</t>
  </si>
  <si>
    <t>https://pokeapi.co/api/v2/pokemon-species/344/</t>
  </si>
  <si>
    <t>Bibarelin turkki hylkii vettä ja on myös loistava materiaali lämmönpidätyskyvyn kannalta. Nämä Pokémonit luovat jokiin patoja elääkseen.</t>
  </si>
  <si>
    <t>Kricketot</t>
  </si>
  <si>
    <t>Kriketti-Pokémon</t>
  </si>
  <si>
    <t>Se pudistelee päätään taaksepäin, jolloin sen tuntosarvet osuvat toisiinsa ja kuulostavat ksylofonilta.</t>
  </si>
  <si>
    <t>Se juttelee muiden kanssa törmäävien tuntosarviensa äänien avulla. Nämä äänet ovat syksyn tunnusmerkkejä.</t>
  </si>
  <si>
    <t>Sen jalat ovat lyhyet. Aina kun se kompastuu, sen jäykät tuntosarvet napsahtavat ksylofonin kaltaisella äänellä.</t>
  </si>
  <si>
    <t>Kun sen tuntosarvet osuvat toisiinsa, se kuulostaa ksylofonin musiikilta.</t>
  </si>
  <si>
    <t>Kun puut saavat uusia sävyjä, näitä Pokémoneja ilmestyy lisää. Niiden tuntosarvien yhteen iskemisestä syntyvä ääni muistuttaa marimban, vieraiden maiden soittimen, ääntä.</t>
  </si>
  <si>
    <t>https://pokeapi.co/api/v2/pokemon-species/345/</t>
  </si>
  <si>
    <t>Kricketune</t>
  </si>
  <si>
    <t>Se ristii veitsenmäiset käsivartensa rintansa edessä itkeessään. Se voi säveltää melodioita mielin määrin.</t>
  </si>
  <si>
    <t>Se viestii tunteistaan ​​melodioillaan. Tutkijat tutkivat näitä melodiakuvioita.</t>
  </si>
  <si>
    <t>Eräässä kylässä järjestetään kilpailu, joka perustuu tämän Pokémonin hämmästyttävän vaihteleviin huutoihin.</t>
  </si>
  <si>
    <t>Antamalla huutonsa kaikua vatsansa onteloissa se tuottaa lumoavan äänen.</t>
  </si>
  <si>
    <t>Se käyttää miekkamaisia ​​käsiään tuottaakseen ääntä, jonka melodia vaihtelee yksilöstä toiseen. Suosikkisävelmiensä etsiminen on vaivan arvoista.</t>
  </si>
  <si>
    <t>Shinx</t>
  </si>
  <si>
    <t>Flash-Pokémon</t>
  </si>
  <si>
    <t>Kaikki sen turkki kiiltää, jos se aistii vaaran. Se pakenee, kun vihollinen sokeutuu hetkeksi.</t>
  </si>
  <si>
    <t>Sen etujaloilla on lihaspohjainen sähköntuotantojärjestelmä. Sen ruumis kiiltää, jos se on uhanalainen.</t>
  </si>
  <si>
    <t>Sen lihasten ojentuminen ja supistuminen tuottaa sähköä. Se hehkuu vaikeuksissa.</t>
  </si>
  <si>
    <t>Sen lihasten ojentuminen ja supistuminen tuottaa sähköä. Sen turkki hehkuu, kun se on vaikeuksissa.</t>
  </si>
  <si>
    <t>https://pokeapi.co/api/v2/pokemon-species/346/</t>
  </si>
  <si>
    <t>Tämä Pokémon tuottaa sähköä supistamalla lihaksiaan. Innostunut vapina on merkki siitä, että Shinx tuottaa valtavan määrän sähköä.</t>
  </si>
  <si>
    <t>Sähkö saa tämän Pokémonin turkin hehkumaan. Shinx lähettää signaaleja muille lajitovereilleen ravistelemalla hännänpäätään, jonka hohtaessa kirkkaasti se palaa.</t>
  </si>
  <si>
    <t>Ravistaa kehoaan tuottaakseen sähköä. Sen koko peittää aggressiivisuuden – tämän Pokémonin kesyttämiseen tarvitaan kärsivällisyyttä.</t>
  </si>
  <si>
    <t>Luxio</t>
  </si>
  <si>
    <t>Kipinä-Pokémon</t>
  </si>
  <si>
    <t>Sen kynnet vapauttavat niin paljon sähköä, että se voi aiheuttaa pyörtymisen. Ne elävät pienissä ryhmissä.</t>
  </si>
  <si>
    <t>Se lepää etujalkojaan muiden päällä kommunikoidakseen kynsiensä rytmisten sähköpulssien avulla.</t>
  </si>
  <si>
    <t>Sen terävien kynsien kärkien läpi kulkee voimakasta sähköä. Kevyt raaputus aiheuttaa vihollisille pyörtymisen.</t>
  </si>
  <si>
    <t>Kokoamalla hännänsä yhteen ne tuottavat yhdessä tehokasta sähköä kynsiensä avulla.</t>
  </si>
  <si>
    <t>https://pokeapi.co/api/v2/pokemon-species/347/</t>
  </si>
  <si>
    <t>Yhdistämällä pyrstönsä toisen Luxion pyrstöön, tämä Pokémon voi vastaanottaa toisen Luxion sähköä ja käynnistää omat sähköiskunsa.</t>
  </si>
  <si>
    <t>Kohdatessaan vastustajan tämä Pokémon valmistautuu taisteluun ojentamalla kyntensä, jotka voivat tuottaa miljoona volttia sähköä.</t>
  </si>
  <si>
    <t>Käyttää ylpeänä sähköistettyjä kynsiään aseina. Se vaikuttaa olevan armollinen Pokémon, joka jakaa metsästyksen saaliin tasaisesti muiden kaltaistensa kanssa.</t>
  </si>
  <si>
    <t>Luxray</t>
  </si>
  <si>
    <t>Kimaltelevien silmien Pokémon</t>
  </si>
  <si>
    <t>Sillä on silmät, jotka näkevät kaiken läpi. Se havaitsee ja nappaa esineiden taakse piiloutuneen saaliin.</t>
  </si>
  <si>
    <t>Kun sen silmät hohtavat kultaisina, se voi havaita piileskelevän saaliin – jopa sellaisen, joka hakee suojaa muurin takaa.</t>
  </si>
  <si>
    <t>Se näkee selvästi seinien läpi jäljittääkseen saaliinsa ja etsiäkseen kadonneita poikasiaan.</t>
  </si>
  <si>
    <t>LUXRAYn kyky nähdä esineiden läpi on hyödyllinen, kun se etsii vaaroja.</t>
  </si>
  <si>
    <t>Luxrayn kyvystä nähdä esineiden läpi on hyötyä, kun se etsii vaaraa.</t>
  </si>
  <si>
    <t>Kun sen silmät hohtavat kultaisina, se voi havaita piileskelevän saaliin – jopa sellaiset, jotka hakeutuvat suojaan muurin takaa.</t>
  </si>
  <si>
    <t>Luxray näkee kiinteiden esineiden läpi. Se havaitsee välittömästi saaliin, joka yrittää piiloutua seinien taakse, vaikka seinät olisivat paksut.</t>
  </si>
  <si>
    <t>Kiinteiden esineiden läpi näkeminen kuluttaa paljon Luxrayn sähköä, joten Pokémon nukkuu pitkiä aikoja varastoidakseen energiaa.</t>
  </si>
  <si>
    <t>Ne muodostavat laumoja, joissa jokaisessa on yksi uros johtajana. Legendan mukaan Luxrayn kahden silmän hohde kullanhohtoisena Pokémon näkee minkä tahansa läpi.</t>
  </si>
  <si>
    <t>Budew</t>
  </si>
  <si>
    <t>Bud-Pokémon</t>
  </si>
  <si>
    <t>Talven yli se sulkee nupunsa ja kestää kylmän. Keväällä nuput avautuvat ja vapauttavat siitepölyä.</t>
  </si>
  <si>
    <t>Se elää kirkkaiden lampien rannoilla. Se levittää siitepölyä, joka aiheuttaa voimakasta aivastelua ja vuotavaa nenää.</t>
  </si>
  <si>
    <t>Herkkä lämpötilan muutoksille, nupun sanotaan kukkivan, kun se tuntee auringon lämpimän kosketuksen.</t>
  </si>
  <si>
    <t>Kun se tuntee auringon lämpimän kosketuksen, se avaa nupunsa ja vapauttaa siitepölyä. Se elää kirkkaiden lammikoiden rannoilla.</t>
  </si>
  <si>
    <t>https://pokeapi.co/api/v2/pokemon-species/348/</t>
  </si>
  <si>
    <t>Lämpötilan muutoksille herkkä nuppu kukkii lämpimässä vapauttaen myrkyllistä siitepölyä.</t>
  </si>
  <si>
    <t>Sen vapauttama siitepöly sisältää myrkkyä. Jos tätä Pokémonia kasvatetaan puhtaalla vedellä, myrkyn myrkyllisyys lisääntyy.</t>
  </si>
  <si>
    <t>Tämä Pokémon on erittäin herkkä lämpötilan muutoksille. Kun sen nuppu alkaa avautua, se tarkoittaa, että kevät on aivan nurkan takana.</t>
  </si>
  <si>
    <t>Kun auringonvalo voimistuu, tämän Pokémonin pään nuput avautuvat. Tämä on merkki ihmisille siitä, että ankara talvi on ohi ja silmujen muodostumiskausi on alkanut.</t>
  </si>
  <si>
    <t>https://pokeapi.co/api/v2/pokemon-species/349/</t>
  </si>
  <si>
    <t>Roserade</t>
  </si>
  <si>
    <t>Pokémon-kimppu</t>
  </si>
  <si>
    <t>Se houkuttelee saalista makealla tuoksullaan ja sitten lyö sen alas piikkisillä ruoskilla, jotka on piilotettu sen syliin.</t>
  </si>
  <si>
    <t>Tanssijan liikkein se iskee ruoskilla, jotka ovat tiheästi vuorattuja myrkkypiikkeillä.</t>
  </si>
  <si>
    <t>Sen jokainen käsi sisältää erilaisia ​​myrkkyjä, mutta molemmat kädet voivat iskeä lähes tappavalla voimalla.</t>
  </si>
  <si>
    <t>Sen makea tuoksu houkuttelee saalista. Sitten se sylkee myrkkyä. Mitä myrkyllisempää se on, sitä makeampi sen tuoksu.</t>
  </si>
  <si>
    <t>Se houkuttelee saalista makealla tuoksullaan ja käyttää käsivarsissaan olevia myrkkyruoskia saaliin myrkyttämiseen, sitomiseen ja loppuunsyömiseen.</t>
  </si>
  <si>
    <t>Lumottuaan vastustajat makealla tuoksullaan se pieksee heitä piikikkäillä ruoskillaan.</t>
  </si>
  <si>
    <t>https://pokeapi.co/api/v2/pokemon-species/350/</t>
  </si>
  <si>
    <t>Sen oikeassa kädessä oleva myrkky on nopeasti vaikuttavaa. Sen vasemmassa kädessä oleva myrkky on hitaasti vaikuttavaa. Molemmat ovat hengenvaarallisia.</t>
  </si>
  <si>
    <t>Kummankin käden kimpussa on piilotettu piikikkäät ruoskat, jotka on ladattu myrkyllisellä aineella. Roserade liikkuu sulavasti nurkkaan ahdistaessaan saaliinsa ja pieksee sitä armottomasti ruoskillaan.</t>
  </si>
  <si>
    <t>Cranidos</t>
  </si>
  <si>
    <t>Pään ja takapuolen Pokémon</t>
  </si>
  <si>
    <t>Se eli viidakoissa noin 100 miljoonaa vuotta sitten. Sen kallo on kova kuin rauta.</t>
  </si>
  <si>
    <t>Se herätettiin henkiin rautapallon kaltaisesta fossiilista. Se kaataa saaliinsa pääniskuilla.</t>
  </si>
  <si>
    <t>Se oli elinikäinen viidakon asukas 100 miljoonaa vuotta sitten, ja se napsautti tiellä olevia puita pääniskuilla.</t>
  </si>
  <si>
    <t>CRANIDOS kovettavat jo ennestään kivikovia päitään puskemalla toisiaan päällään.</t>
  </si>
  <si>
    <t>Se eli viidakoissa noin sata miljoonaa vuotta sitten. Se käytti taitavia pääniskujaan Aerodactylin torjumiseen.</t>
  </si>
  <si>
    <t>Kivikerroksista, joista Cranidos-fossiileja löytyy, löytyy usein myös kahtia katkenneiden puiden kivettyneitä runkoja.</t>
  </si>
  <si>
    <t>Alkukantainen Pokémon, jolla on kova ja tukeva kallo, eikä sisällä lainkaan älykkyyttä.</t>
  </si>
  <si>
    <t>Sen kova kallo on sen erottava piirre. Se katkaisi puita puskemalla niitä päällään ja söi sitten niiden kypsiä marjoja.</t>
  </si>
  <si>
    <t>Uskomattoman harvinainen näky. He kaksintaistelevat toisiaan vastaan ​​paiskaamalla päätään yhteen, ja syntyvä ääni kaikuu alueella kuin kellon kumina.</t>
  </si>
  <si>
    <t>Rampardos</t>
  </si>
  <si>
    <t>Sen voimakkaalla pääniskulla on tarpeeksi voimaa rikkoa jopa kestävimmät esineet osuessaan.</t>
  </si>
  <si>
    <t>Sen kallo on kova kuin rauta. Se on peto, joka kaataa viidakkopuita saalista pyydystääkseen.</t>
  </si>
  <si>
    <t>Jos kaksi ihmistä murskaisi päänsä yhteen, heidän jalkaa paksut kallonsa estäisivät heitä pyörtymästä.</t>
  </si>
  <si>
    <t>https://pokeapi.co/api/v2/pokemon-species/351/</t>
  </si>
  <si>
    <t>Sen kallo kestää minkä tahansa suuruisia iskuja. Tämän seurauksena sen aivot eivät koskaan pääse kasvamaan.</t>
  </si>
  <si>
    <t>Toistuvien pääniskujen seurauksena kallo on paksuuntunut ja kova. Sen aivot ovat kuitenkin kutistuneet kooltaan Cranidosin aivoihin verrattuna.</t>
  </si>
  <si>
    <t>https://pokeapi.co/api/v2/pokemon-species/352/</t>
  </si>
  <si>
    <t>On olemassa tietoja elvytetystä fossiilista, joka kehittyi Rampardosiksi. Se pääsi karkaamaan ja tuhosi sitten pilvenpiirtäjän pääniskulla.</t>
  </si>
  <si>
    <t>Muinaisina aikoina ihmiset kaivoivat esiin tämän Pokémonin fossiileja ja käyttivät sen kalloa, joka on terästä kovempaa, kypärien tekemiseen.</t>
  </si>
  <si>
    <t>Tämä muinainen Pokémon käytti pääniskuja taitavasti. Sen aivot olivat todella pienet, joten jotkut teoriat viittaavat siihen, että sen tyhmyys johti sen sukupuuttoon.</t>
  </si>
  <si>
    <t>Sen biologiasta tiedetään hyvin vähän. Se voi kaataa massiivisia puita murskaamalla kauniin, helmiäismäisen latvuksensa niitä vasten.</t>
  </si>
  <si>
    <t>Shieldon</t>
  </si>
  <si>
    <t>Kilpi-Pokémon</t>
  </si>
  <si>
    <t>Pokémon, joka eli viidakoissa noin 100 miljoonaa vuotta sitten. Sen kasvojen nahka on erittäin kova.</t>
  </si>
  <si>
    <t>Se kiillottaa tavallisesti kasvojaan hankaamalla niitä puunrunkoja vasten. Se on heikko takaa tuleville hyökkäyksille.</t>
  </si>
  <si>
    <t>Se on erinomaisesti panssaroitu. Tämän seurauksena se voi syödä ruohoa ja marjoja taistelematta.</t>
  </si>
  <si>
    <t>Se syntyi fossiilista, joka kaivettiin esiin savikerroksesta, joka oli vanhempi kuin kukaan tietää. Sillä on tukeva pinta.</t>
  </si>
  <si>
    <t>Tästä Pokémonista on löydetty monia fossiileja, mutta lähes missään ei ole merkkejä kasvoissa ilmenneistä vaurioista.</t>
  </si>
  <si>
    <t>Tämä Pokémon eli alkukantaisissa viidakoissa. Harva vihollinen olisi ollut valmis taistelemaan sen raskaasti panssaroitua kasvoa vastaan, niin ainakin ajatellaan.</t>
  </si>
  <si>
    <t>Lempeäluonteinen, kasvissyöjä-Pokémon, se käytti kasvojaan kaivaakseen puun juuria syötäväksi. Sen kasvojen iho oli melkoisen kova.</t>
  </si>
  <si>
    <t>Vaikka sen fossiileja löytyy alkukantaisen kallion kerroksista, mitään muuta kuin sen kasvot on koskaan löydetty.</t>
  </si>
  <si>
    <t>Tästä Pokémonista on vielä paljon tuntematonta, sillä harvat ovat koskaan nähneet sitä. Tiedämme kuitenkin, että se on rauhallinen eikä pidä konflikteista, ja se nauttii kasvojensa kiillottamisesta puita ja kiviä vasten.</t>
  </si>
  <si>
    <t>Bastiodon</t>
  </si>
  <si>
    <t>https://pokeapi.co/api/v2/pokemon-species/353/</t>
  </si>
  <si>
    <t>Kaikki etuhyökkäykset torjutaan. Se on säyseä Pokémon, joka syö ruohoa ja marjoja.</t>
  </si>
  <si>
    <t>Hyökkäyksen sattuessa ne muodostavat kilpimaisilla kasvoillaan muurin suojellakseen poikasiaan.</t>
  </si>
  <si>
    <t>Kun ne asettuivat riviin vierekkäin, mikään vihollinen ei voinut murtautua läpi. He suojasivat poikasiaan tällä tavoin.</t>
  </si>
  <si>
    <t>Hyökätessä ne muodostavat muurin. Niiden kivikovat kasvot suojaavat niitä hyökkäyksiltä.</t>
  </si>
  <si>
    <t>Vaikka se pystyy suojautumaan kaikenlaisilta edestä tulevilta hyökkäyksiltä, ​​se jää ilman keinoja, jos sitä vastaan ​​hyökätään takaa.</t>
  </si>
  <si>
    <t>Se eli samoissa ympäristöissä kuin Rampardos. Niiden fossiileja on löydetty yhdessä – ilmeisesti ajalta, jolloin ne olivat taistelleet loppuun asti.</t>
  </si>
  <si>
    <t>Sen kasvojen luut ovat valtavat ja kovat, joten niitä luultiin sen selkärangaksi, kunnes tämä Pokémon saatiin onnistuneesti ennalleen.</t>
  </si>
  <si>
    <t>Tämä Pokémon on noin 100 miljoonan vuoden takaa. Sen pelottavan kovat kasvot ovat kovempia kuin teräs.</t>
  </si>
  <si>
    <t>Sen pinta on tukeva – yhtä vahva kuin timantti – ja tämä kovuus tarjoaa erittäin vakaan suojan. Paljon tästä lajista on vielä tuntematonta, kuten sen luonnollinen elinympäristö.</t>
  </si>
  <si>
    <t>Burmy</t>
  </si>
  <si>
    <t>Suojautuakseen kylmiltä, ​​talvisilta tuulilta se peittää itsensä oksista ja lehdistä tehdyllä viitalla.</t>
  </si>
  <si>
    <t>Jos sen viitta rikkoutuu taistelussa, se tekee viitan nopeasti uudelleen lähellä olevista materiaaleista.</t>
  </si>
  <si>
    <t>https://pokeapi.co/api/v2/pokemon-species/354/</t>
  </si>
  <si>
    <t>Vaikka se syntyisi paikassa, jossa ei ole suojamateriaaleja, se päätyy aina jotenkin viitan kanssa.</t>
  </si>
  <si>
    <t>Se peittää itsensä viitalla suojautuakseen kylmältä. Kun on kuuma, sen viitta on ohuempi.</t>
  </si>
  <si>
    <t>https://pokeapi.co/api/v2/pokemon-species/355/</t>
  </si>
  <si>
    <t>Jos sen viitta vaurioituu vähänkään, Burmy korjaa sen välittömästi millä tahansa läheltä löytyvällä esineellä. Viitan sisällä oleva Pokémon on laiha ja altis kylmälle.</t>
  </si>
  <si>
    <t>Wormadam</t>
  </si>
  <si>
    <t>Kun BURMY kehittyi, sen viitasta tuli osa tämän Pokémonin kehoa. Viittaa ei koskaan pudoteta pois.</t>
  </si>
  <si>
    <t>Sen ulkonäkö muuttuu sen mukaan, missä se on kehittynyt. Käytettävissä olevista materiaaleista tulee osa sen kehoa.</t>
  </si>
  <si>
    <t>Kehittyessään sen keho ottaa vastaan ​​ympäröiviä materiaaleja. Tämän seurauksena kehosta on monia muunnelmia.</t>
  </si>
  <si>
    <t>Sanotaan, että kylmänä päivänä kehittyvällä WORMADAMILLA on paksumpi viitta.</t>
  </si>
  <si>
    <t>Kun Burmy kehittyi, sen viitasta tuli osa tämän Pokémonin kehoa. Viittaa ei koskaan pudoteta pois.</t>
  </si>
  <si>
    <t>Mothim</t>
  </si>
  <si>
    <t>Koi-Pokémon</t>
  </si>
  <si>
    <t>Se rakastaa kukkien hunajaa ja varastaa COMBEE:n keräämää hunajaa.</t>
  </si>
  <si>
    <t>Se ei pidä pesää. Se lentää peltojen ja vuorten yllä etsien jatkuvasti kukkahunajaa.</t>
  </si>
  <si>
    <t>Vaikka se rakastaa kukkahunajaa, se ei kerää sitä itse. Sen sijaan se juonittelee varastavansa sitä COMBEE:lta.</t>
  </si>
  <si>
    <t>Se lepattaa öisin ja varastaa hunajaa COMBEE-pesästä.</t>
  </si>
  <si>
    <t>Vaikka se rakastaa kukkahunajaa, se ei kerää sitä itse. Sen sijaan se suunnittelee varastavansa sitä Combeelta.</t>
  </si>
  <si>
    <t>https://pokeapi.co/api/v2/pokemon-species/356/</t>
  </si>
  <si>
    <t>Se rakastaa kukkien hunajaa ja varastaa Combeen keräämää hunajaa.</t>
  </si>
  <si>
    <t>Se lepattaa öisin ja varastaa hunajaa Combeen pesästä.</t>
  </si>
  <si>
    <t>Levittelee teräksenvärisiä suomuja räpytellessään siipiään. Vaikka sen havaitaan syövän pääasiassa kukkien mettä, perhonen ei ole usein nähtävissä kukkapuutarhojen ympäristössä.</t>
  </si>
  <si>
    <t>Combee</t>
  </si>
  <si>
    <t>Pieni mehiläinen Pokémon</t>
  </si>
  <si>
    <t>Kolmen muun Pokémonin muodostama Pokémon. Se kuljettaa ahkerasti makeaa kukkahunajaa VESPIQUENille.</t>
  </si>
  <si>
    <t>Se kerää ja toimittaa hunajaa yhdyskunnalleen. Yöllä ne ryhmittyvät muodostaen mehiläispesän ja nukkuvat.</t>
  </si>
  <si>
    <t>Kolmikko on ollut yhdessä syntymästä asti. Se kerää jatkuvasti hunajaa kukista miellyttääkseen VESPIQUENia.</t>
  </si>
  <si>
    <t>Yöllä COMBEEt nukkuvat noin tuhannen yksilön ryhmässä, ahtautuneina tiiviisti yhteen möykyksi.</t>
  </si>
  <si>
    <t>Kolmikko on ollut yhdessä syntymästä asti. Se kerää jatkuvasti hunajaa kukista miellyttääkseen Vespiquenia.</t>
  </si>
  <si>
    <t>Tämä Pokémon on kolmen Pokémonin sarja. Nukkuessaan ne kerääntyvät yhteen ja muodostavat jättimäisen 100 Combeen pesän.</t>
  </si>
  <si>
    <t>Kolmikon jäsenet viettävät kaiken aikansa yhdessä. Jokaisella on hieman erilainen maku mesialaisessa mielessä.</t>
  </si>
  <si>
    <t>Se kerää lakkaamatta mettä auringonnoususta auringonlaskuun, kaikki Vespiquenin ja parven vuoksi.</t>
  </si>
  <si>
    <t>Ne vannovat uskollisuutta kuningatar-Pokémonille ja työskentelevät ahkerasti kerätäkseen mettä. Jokainen parvi tuottaa eri makuista hunajaa.</t>
  </si>
  <si>
    <t>Vespiquen</t>
  </si>
  <si>
    <t>Mehiläispesä-Pokémon</t>
  </si>
  <si>
    <t>Sen vatsa on kuin hunajakenno toukille. Se kasvattaa toukkansa COMBEE:n keräämällä hunajalla.</t>
  </si>
  <si>
    <t>https://pokeapi.co/api/v2/pokemon-species/357/</t>
  </si>
  <si>
    <t>Uhanalaisena sen kuusisoluisen hunajakennomaisen rakenteen toukat iskevät takaisin. Yhdyskunnassa niitä on vain yksi.</t>
  </si>
  <si>
    <t>Se vapauttaa erilaisia ​​feromoneja saadakseen ruumiissaan olevat toukat tekemään sen velvollisuuksia taistellessaan vihollisia vastaan.</t>
  </si>
  <si>
    <t>Se kasvattaa toukkia ruumiinsa reikiin. Se erittää feromoneja COMBEE:n torjumiseksi.</t>
  </si>
  <si>
    <t>Se asuttaa yhdyskuntaansa kehonsa soluissa ja vapauttaa erilaisia ​​feromoneja saadakseen toukat tekemään sen tahdon.</t>
  </si>
  <si>
    <t>Sen vatsa on kuin hunajakenno toukille. Se kasvattaa toukkansa Combeen keräämällä hunajalla.</t>
  </si>
  <si>
    <t>https://pokeapi.co/api/v2/pokemon-species/358/</t>
  </si>
  <si>
    <t>Se komentaa taitavasti toukkiaan taisteluissa vihollisiaan vastaan. Toukat ovat valmiita vaarantamaan henkensä puolustaakseen Vespiquenia.</t>
  </si>
  <si>
    <t>Enemmän feromoneja erittävillä Vespiquen-kärpäsillä on suurempia Combee-hoitajia.</t>
  </si>
  <si>
    <t>Käskee alamaisiaan rakentamaan pesänsä. Se häätää kaikki tunkeilijat, jotka uskaltavat hiipiä pesäänsä, ja käyttää heitä itse ravinnoksi.</t>
  </si>
  <si>
    <t>Pachirisu</t>
  </si>
  <si>
    <t>EleOrava-Pokémon</t>
  </si>
  <si>
    <t>Se tekee staattisesta sähköstä rätiseviä karvapalloja. Se varastoi niitä marjojen kanssa puunkoloihin.</t>
  </si>
  <si>
    <t>Se tuottaa sähköä poskissaan olevilla pusseilla ja ampuu varauksia pyrstöstään. Se elää puiden latvoissa.</t>
  </si>
  <si>
    <t>Pari voi nähdä hierovan poskipussejaan yhteen pyrkiessään jakamaan varastoitua sähköä.</t>
  </si>
  <si>
    <t>Se on yksi Pokémon-lajeista, joilla on sähköiset poskipussit. Se ampuu panoksia hännästään.</t>
  </si>
  <si>
    <t>https://pokeapi.co/api/v2/pokemon-species/359/</t>
  </si>
  <si>
    <t>Pikachu-linjan sukua oleva laji. Vaikka Pachirisu on rauhallinen Pokémon, se on silti vaarallinen, jos sen sähköistettyyn häntään tai poskiin kosketaan.</t>
  </si>
  <si>
    <t>Buizel</t>
  </si>
  <si>
    <t>Merilääkä-Pokémon</t>
  </si>
  <si>
    <t>Sillä on kelluntapussi, joka on kuin puhallettava panta. Se kelluu vedessä pää ulkona.</t>
  </si>
  <si>
    <t>Se ui pyörittämällä kahta pyrstöään kuin ruuvi. Sukellessaan sen kelluntapussi painuu kasaan.</t>
  </si>
  <si>
    <t>Se pyörittää kahta pyrstöään kuin ruuvia liikkuakseen vedessä. Pyrstöt myös viiltävät kiinni takertuneita merileviä.</t>
  </si>
  <si>
    <t>Se täyttää kelluntapussinsa pitäen kasvonsa vedenpinnan yläpuolella tarkkaillakseen saaliin liikkeitä.</t>
  </si>
  <si>
    <t>Se täyttää kaulassaan olevan kelluntapussin ilmalla ja työntää päänsä vedestä nähdäkseen, mitä tapahtuu.</t>
  </si>
  <si>
    <t>Se liikkuu vapaasti vedessä pyörittämällä haarukkaista pyrstöään työntövoiman saamiseksi. Sen samankaltaisuus höyrylaivan potkuriin on sattumaa.</t>
  </si>
  <si>
    <t>Floatzel</t>
  </si>
  <si>
    <t>Se kelluu hyvin kehittyneen kelluntapussinsa avulla. Se auttaa hukkuvien ihmisten pelastamisessa.</t>
  </si>
  <si>
    <t>Sen kelluntapussi kehittyi vesisaaliin jahtaamisen seurauksena. Se voi toimia myös kumilautana.</t>
  </si>
  <si>
    <t>Se on yleinen näky kalasatamien ympäristössä. Sen tiedetään pelastavan ihmisiä ja vievän saalista.</t>
  </si>
  <si>
    <t>Täytettynä kelluntapussi voi kantaa ihmisiä selässään. Se tyhjentää pussin ennen sukeltamista.</t>
  </si>
  <si>
    <t>https://pokeapi.co/api/v2/pokemon-species/360/</t>
  </si>
  <si>
    <t>Sillä on pitkä, melko upea kelluntapussi, joka estää kelluntakalan hukkumisen jopa myrskyisillä merillä. Tätä lajia voi nähdä vilaukselta kalastuskylien ympäristössä aika ajoin.</t>
  </si>
  <si>
    <t>Cherubi</t>
  </si>
  <si>
    <t>Kirsikka-Pokémon</t>
  </si>
  <si>
    <t>Pieni pallo sisältää evoluutiolle tarvittavat ravinteet. Se on ilmeisesti erittäin makea ja maukas.</t>
  </si>
  <si>
    <t>Auringonvalo värjää sen punaiseksi. Kun pieni pallo on ehtynyt ravinteista, se kutistuu evoluution enteeksi.</t>
  </si>
  <si>
    <t>Pieni pallo ei ole vain täynnä ravinteita, se on myös maukas. Yritäpä nokkia se irti!</t>
  </si>
  <si>
    <t>Se kehittyy imemällä energiaa pienestä pallosta, johon se on varastoinut ravinteita.</t>
  </si>
  <si>
    <t>Pieni pallo ei ole vain täynnä ravinteita, se on myös maukas. Starly, yritä nokkia se irti.</t>
  </si>
  <si>
    <t>https://pokeapi.co/api/v2/pokemon-species/361/</t>
  </si>
  <si>
    <t>Se juoksee ketterästi välttääkseen lintu-Pokémonien nokkimisen, jotka haluaisivat paeta sen pienen, ravinnepitoisen säilytyspallon kanssa.</t>
  </si>
  <si>
    <t>Mitä tummempi punainen kerubi on, sitä enemmän ravinteita sillä on varastossa. Ja sitä makeampi ja maukkaampi sen pieni pallo on!</t>
  </si>
  <si>
    <t>Kun rungon vieressä kasvava hedelmä on suuri ja pullea, kerubi käyttää sen sisältämiä ravinteita kehittyäkseen. Hedelmä irtoaa sitten ja siitä tulee ravintoa muille olennoille.</t>
  </si>
  <si>
    <t>Cherrim</t>
  </si>
  <si>
    <t>Kukkiva Pokémon</t>
  </si>
  <si>
    <t>Se kukkii voimakkaan auringonvalon aikana. Se yrittää hyvittää kaiken, mitä se kesti nuppuna.</t>
  </si>
  <si>
    <t>Se on säyseä kuin nuppu, mutta muuttuu iloiseksi kukintaessaan. Se taittuu takaisin nupuksi, jos auringonvalo hiipuu.</t>
  </si>
  <si>
    <t>Jos se aistii voimakasta auringonvaloa, se avaa taitetut terälehtensä imeäkseen auringonsäteet koko kehollaan.</t>
  </si>
  <si>
    <t>Kirkkaan auringonvalon aikana sen nuput kukkivat, terälehdet avautuvat kokonaan ja siitä tulee erittäin aktiivinen.</t>
  </si>
  <si>
    <t>Nupuna se tuskin liikkuu. Se istuu paikallaan ja odottaa tyynesti auringonvalon ilmestymistä.</t>
  </si>
  <si>
    <t>Sen taitetut terälehdet ovat melko kestäviä. Lintu-Pokémonit voivat nokkia niitä niin paljon kuin haluavat, eikä Cherrim välitä siitä ollenkaan.</t>
  </si>
  <si>
    <t>Liikkumaton, satunnaista värinää lukuun ottamatta. Sen ympärille voi löytää runsaan joukon Pokémoneja, joita Cherrimin taitelluista terälehdistä huokuva tuoksu vetää puoleensa.</t>
  </si>
  <si>
    <t>Shellos</t>
  </si>
  <si>
    <t>Merietana-Pokémon</t>
  </si>
  <si>
    <t>Sen värit ja muodot vaihtelevat alueittain. Sinnoh-alueella on vahvistettu kaksi tyyppiä.</t>
  </si>
  <si>
    <t>Se elää vesistöjen varrella. Sen ruumiinmuoto on muuttunut elinympäristöönsä sopivaksi.</t>
  </si>
  <si>
    <t>Varo painamasta voimakkaasti sen pehmeää vartaloa, sillä siitä pursuaa salaperäistä violettia nestettä.</t>
  </si>
  <si>
    <t>Sen muoto ja väri vaihtelevat elinympäristöstä riippuen.</t>
  </si>
  <si>
    <t>https://pokeapi.co/api/v2/pokemon-species/362/</t>
  </si>
  <si>
    <t>Se elää enimmäkseen meren rannalla. Sen väri ja muoto vaihtelevat elinympäristön ja ravinnon laadun mukaan.</t>
  </si>
  <si>
    <t>Violetti lima tarttuu jokaisen sitä koskevan käsiin. Ole varovainen, sillä ainetta on vaikea pestä pois.</t>
  </si>
  <si>
    <t>Vaikka ne normaalisti elävät meressä, ne voivat toimia myös maalla, kunnes niiden iho kuivuu.</t>
  </si>
  <si>
    <t>Kun se aistii vaaran, siitä tihkuu violettia nestettä. Nesteen ajatellaan olevan jonkinlaista rasvaista hikeä.</t>
  </si>
  <si>
    <t>Tämän Pokémonin elinympäristö muokkaa sen fysiikkaa. Joidenkin teorioiden mukaan elämä lämpimissä merivesissä aiheuttaa tämän variaation kehittymisen.</t>
  </si>
  <si>
    <t>Voimakkaan voiman kohdistaminen tähän Pokémoniin saa sen erittämään outoa violettia nestettä. Vaikka neste on vaaratonta, se on kamalan tahmeaa.</t>
  </si>
  <si>
    <t>Lämpimien vesien rannoilla niitä tavataan runsaasti. Shellot ovat yllättävän ystävällisiä ja ryömivät ketä tahansa näkemäänsä ihmistä kohti. Varo, ettet peitä itseäsi limaan!</t>
  </si>
  <si>
    <t>Gastrodon</t>
  </si>
  <si>
    <t>Sillä on taipuisa, lueton ruumis. Jos jokin osa ruumiista repeytyy irti, se kasvaa heti takaisin.</t>
  </si>
  <si>
    <t>Sillä oli ilmeisesti valtava kuori suojana muinaisina aikoina. Se elää matalissa vuorovesialtaissa.</t>
  </si>
  <si>
    <t>Kauan sitten sen koko selkä oli suojattu tukevalla kuorella. Sen soluissa on jäljellä jälkiä siitä.</t>
  </si>
  <si>
    <t>Kun sen luonnollinen vihollinen hyökkää, se tihkuu violettia nestettä ja pakenee.</t>
  </si>
  <si>
    <t>Sillä on vahvat uudistumiskyvyt. Vaikka kala-Pokémonit puraisivat siitä osia irti, se palautuu normaaliksi muutamassa tunnissa.</t>
  </si>
  <si>
    <t>https://pokeapi.co/api/v2/pokemon-species/363/</t>
  </si>
  <si>
    <t>Paljaalla silmällä näkymätön plankton on sen tärkein ravinnonlähde. Se ilmestyy maalle ajoittain, mutta syytä tähän ei tiedetä.</t>
  </si>
  <si>
    <t>Kauan sitten sillä oli kuori selässään. Nyt sen selässä on kova mutta ohut jäännelevy.</t>
  </si>
  <si>
    <t>Niiden muoto ja väri muuttuvat ympäristön ja ruokavalion mukaan. Niitä on paljon rannoilla, joilla aallot ovat tyyniä.</t>
  </si>
  <si>
    <t>Sen ravinnonetsintä johtaa sen joskus maihin, missä se jättää jälkeensä tahmean limavanan kulkiessaan läpi.</t>
  </si>
  <si>
    <t>Sen pehmeys auttaa hajauttamaan iskujen voimaa, joten vaikka sen ruumis on epätavallisen pehmeä, se on myös yllättävän joustava.</t>
  </si>
  <si>
    <t>Syö rantahiekkaa ravinnokseen. Jos yksi gastrodon kohtaa toisen erivärisen, seurauksena on väistämättä kova taistelu.</t>
  </si>
  <si>
    <t>Ambipom</t>
  </si>
  <si>
    <t>Syödessään se kuorii taitavasti pähkinöitä kahdella hännällään. Se käyttää nykyään harvoin käsiään.</t>
  </si>
  <si>
    <t>Ne työskentelevät suurissa yhdyskunnissa ja tekevät renkaita sitomalla häntänsä yhteen, ilmeisesti ystävyyden merkiksi.</t>
  </si>
  <si>
    <t>Kahteen osaan jakautuneiden pyrstöjen käsittely ja toiminta on niin taitavaa, että AMBIPOM käyttää harvoin käsiään.</t>
  </si>
  <si>
    <t>Ne elävät suurissa puissa. Niiden sanotaan kommunikoivan yhdistämällä häntänsä muiden häntiin.</t>
  </si>
  <si>
    <t>Sen kahden pyrstön peräkkäisiä iskuja on erittäin vaikea väistää.</t>
  </si>
  <si>
    <t>Kahteen osaan jakautuneiden häntien käsittely ja toiminta on niin taitavaa, että Ambipom harvoin käyttää käsiään.</t>
  </si>
  <si>
    <t>https://pokeapi.co/api/v2/pokemon-species/364/</t>
  </si>
  <si>
    <t>Etsiessään mukavia puita ne joutuvat reviirikiistoihin passimialaisten ryhmien kanssa. Ne voittavat noin puolet tapauksista.</t>
  </si>
  <si>
    <t>Se käyttää häntäänsä kaikkeen. Jos se kietoutuu molemmilla hännillään ympärillesi ja puristaa sinua, se on todiste siitä, että se todella pitää sinusta.</t>
  </si>
  <si>
    <t>Sukulaisuuden vahvistamiseksi tämän lajin edustajat muodostavat renkaan sitomalla yhteen juuri kaksinkertaistuneet hännänsä. Harvinaisissa tapauksissa ihmiset on hyväksytty tällaisiin renkaisiin.</t>
  </si>
  <si>
    <t>Drifloon</t>
  </si>
  <si>
    <t>Ihmisten ja Pokémonien henkien muodostama Pokémon. Se rakastaa kosteita ja lämpimiä vuodenaikoja.</t>
  </si>
  <si>
    <t>Se vetää lapsia kädestä varastaakseen heidät pois. Mutta sen sijaan se joutuukin vedetyksi.</t>
  </si>
  <si>
    <t>Koska se kelluu päämäärättömästi, vanha kansantarina kutsuu sitä "vaeltelevien henkien tienviitaksi".</t>
  </si>
  <si>
    <t>Kuiskataan, että lapsi, joka erehtyy luulemaan DRIFLOONIA ilmapalloksi ja pitää siitä kiinni, voi päätyä eksymään.</t>
  </si>
  <si>
    <t>Näitä Pokémoneja kutsutaan "Vaeltajien henkien tienviitoiksi". Niitä pitelevät lapset joskus katoavat.</t>
  </si>
  <si>
    <t>Tarinoiden mukaan se tarttuu pienten lasten käsiin ja raahaa heidät pois tuonpuoleiseen. Se ei pidä painavista lapsista.</t>
  </si>
  <si>
    <t>Jos jostain syystä sen ruumis halkeaa, sen sielu purkautuu ulos kirkuvan äänen saattelemana.</t>
  </si>
  <si>
    <t>Sen pyöreä ruumis on täynnä sieluja ja laajenee joka kerta, kun se johdattaa jonkun pois.</t>
  </si>
  <si>
    <t>Vaeltavat sielut kokoontuivat muodostamaan tämän Pokémonin. Yrittäessään ystävystyä lasten kanssa, Drifloon tarttuu heidän kädestään.</t>
  </si>
  <si>
    <t>https://pokeapi.co/api/v2/pokemon-species/365/</t>
  </si>
  <si>
    <t>Se lähestyy lapsia ehkä etsiessään seuraa. Usein se kuitenkin karkaa nopeasti, jos lapset leikkivät sen kanssa liian rajusti.</t>
  </si>
  <si>
    <t>Monien sielujen kokoontuminen synnytti tämän Pokémonin. Kosteina vuodenaikoina niitä näyttää ilmestyvän runsaasti.</t>
  </si>
  <si>
    <t>Sanotaan houkuttelevan pieniä lapsia pois ja vievän heidät tuonpuoleiseen. Jotkut kuiskaavat, että driflonit koostuvat jälleensyntyneistä ihmissieluista, mutta näitä huhuja ei ole vielä vahvistettu.</t>
  </si>
  <si>
    <t>Drifblim</t>
  </si>
  <si>
    <t>Ilmalaiva-Pokémon</t>
  </si>
  <si>
    <t>Se on päivällä unelias, mutta lentää illalla pois suurina parvina. Kukaan ei tiedä, minne ne menevät.</t>
  </si>
  <si>
    <t>Se kuljettaa ihmisiä ja Pokémoneja lentäessään. Mutta koska se vain ajelehtii, se voi päätyä minne tahansa.</t>
  </si>
  <si>
    <t>Hämärän laskeutuessa tuulet kuljettavat parvia niitä ilmaan. Kun ne havaitaan, ne katoavat yhtäkkiä.</t>
  </si>
  <si>
    <t>Se voi tuottaa ja vapauttaa kaasua kehossaan. Näin se voi hallita ajelehtimisensa korkeutta.</t>
  </si>
  <si>
    <t>Ne kuljettavat ihmisiä ja Pokémoneja, mutta tuuli voi ottaa ne mukaansa, joten niille ei voi olla kiinteää määränpäätä.</t>
  </si>
  <si>
    <t>Kerran sattui tapaus, jossa mies lähti matkalle Drifblimin selässä, mutta katosi.</t>
  </si>
  <si>
    <t>Vaikka niitä tarkkailtaisiin tarkasti, hämärässä lentävät suuret Drifblim-parvet katoavat selittämättömästi näkyvistä.</t>
  </si>
  <si>
    <t>https://pokeapi.co/api/v2/pokemon-species/366/</t>
  </si>
  <si>
    <t>Huhutaan, että jos saat hämärän laskeutuessa tuulessa ajelehtivan drifblimin, sinut viedään tuonpuoleiseen.</t>
  </si>
  <si>
    <t>Sen ruumiissa olevan kaasun raaka-aineena ovat sielut. Kun sen ruumis alkaa tyhjentyä, sen uskotaan kuljettavan mukanaan ihmisiä ja Pokémoneja.</t>
  </si>
  <si>
    <t>Jotkut sanovat, että tämä Pokémon on kokoelma katumuksen painamia sieluja, jotka ajelehtivat hiljaa hämärän halki.</t>
  </si>
  <si>
    <t>Se nappaa ihmisiä ja Pokémoneja ja vie heidät jonnekin. Minne he menevät? Kukaan ei tiedä.</t>
  </si>
  <si>
    <t>Se ajelehtii hämärän laskeutuessa, täysin hiljaa. Sen ohimenevä, melankolinen olemus koskettaa joitakin syvästi – silloin tällöin törmää Drifblimille omistettuun lauluun tai runoon.</t>
  </si>
  <si>
    <t>Buneary</t>
  </si>
  <si>
    <t>Kani-Pokémon</t>
  </si>
  <si>
    <t>Se iskee vihollisia pyörittämällä pyöreitä korviaan terävästi. Se pistää niin paljon, että aikuinen pääsee itkemään tuskasta.</t>
  </si>
  <si>
    <t>Aistiessaan vaaran se höristelee korviaan. Kylminä öinä se nukkuu pää turkkinsa alla.</t>
  </si>
  <si>
    <t>Sen korvat ovat aina kääntyneet ylös. Ne voidaan ojentaa voimakkaasti murskaamaan jopa suuri lohkare.</t>
  </si>
  <si>
    <t>Voit päätellä sen tunteen korvien pyörittelytavasta. Kun se on peloissaan, molemmat korvat ovat pyöristyneet.</t>
  </si>
  <si>
    <t>Ojentamalla käärityt korvansa ja iskeytymällä maahan se voi hypätä niin korkealle, että yllättää itsensä.</t>
  </si>
  <si>
    <t>https://pokeapi.co/api/v2/pokemon-species/367/</t>
  </si>
  <si>
    <t>Sen kädet ja jalat ovat heikot, mutta kun se käärii korvansa tiukasti ylös ja sitten päästää ne valloilleen täydellä voimallaan, se voi murskata lohkareita tomuksi.</t>
  </si>
  <si>
    <t>Syy siihen, miksi se pitää toisen korvansa pystyssä, on se, että se voi käynnistää nopean vastahyökkäyksen, jos vihollinen hyökkää sitä vastaan.</t>
  </si>
  <si>
    <t>Jos Bunearyn molemmat korvat ovat pyöristyneet, sen kehossa tai mielessä on jotain vikaa. Se on varma merkki siitä, että Pokémon tarvitsee hoitoa.</t>
  </si>
  <si>
    <t>Buneary voi hyökätä pyörittämällä korviaan ja iskemällä sitten niiden auki pyörittämisestä syntyvällä voimalla. Tämä hyökkäys voimistuu harjoittelun myötä.</t>
  </si>
  <si>
    <t>Hypoteesini siitä, miksi Buneary pyöristää korviaan, on, että sen kuulo on aivan liian tarkka. Oletan, että Pokémon suojelee kuuloaan rajoittamalla korviinsa pääsevää ääntä.</t>
  </si>
  <si>
    <t>Lopunny</t>
  </si>
  <si>
    <t>Äärimmäisen varovainen Pokémon. Se peittää vartalonsa pörröisellä korvakarvallaan aistiessaan vaaran.</t>
  </si>
  <si>
    <t>Se on hyvin tietoinen ulkonäöstään ja pitää aina korvistaan ​​huolta. Se juoksee reippaasti hyppien.</t>
  </si>
  <si>
    <t>Korvat näyttävät herkiltä. Jos niitä koskettaa karkeasti, se potkaisee siroilla jaloillaan.</t>
  </si>
  <si>
    <t>Se karvaa kahdesti vuodessa. Talvella sen turkki on pehmeä ja pörröinen.</t>
  </si>
  <si>
    <t>Se on erittäin varovainen ja hyppää nopeasti karkuun havaitessaan vaaran.</t>
  </si>
  <si>
    <t>Lopunny kasvattaa turkkinsa uudelleen kaksi kertaa vuodessa. Sen turkista tehdyt kaulahuivit ja hatut ovat todella lämpimiä.</t>
  </si>
  <si>
    <t>Se on huomattavan varovainen eikä pidä taistelusta, mutta samaan aikaan se pystyy antamaan voimakkaita potkuja notkeilla jaloillaan.</t>
  </si>
  <si>
    <t>Lopunny tarkkailee jatkuvasti ympäristöään. Jos vaara lähestyy, tämä Pokémon vastaa supertuhoisilla potkuilla.</t>
  </si>
  <si>
    <t>https://pokeapi.co/api/v2/pokemon-species/368/</t>
  </si>
  <si>
    <t>Kun kuumat kaudet ovat ohi, Lopunnyn turkki korvautuu turkilla, joka pitää sisällään paljon eristävää ilmaa kylmempää säätä varten.</t>
  </si>
  <si>
    <t>Sen turkki on lämmin mutta silti huomattavan kevyt. Tämä Pokémon potkaisee kuin karatemestari, ajaen vastustajansa vaivattomasti taaksepäin.</t>
  </si>
  <si>
    <t>Mismagius</t>
  </si>
  <si>
    <t>Maaginen Pokémon</t>
  </si>
  <si>
    <t>Sen huudot kuulostavat loitsuilta. Kuulijoita piinaavat päänsäryt ja hallusinaatiot.</t>
  </si>
  <si>
    <t>Se lausuu loitsuja. Vaikka ne yleensä piinaavat kohteitaan, jotkin loitsut tuovat onnellisuutta.</t>
  </si>
  <si>
    <t>Sen huuto kuulostaa loitsulta. Sanotaan, että huudossa saattaa harvoin olla onnea antavaa voimaa.</t>
  </si>
  <si>
    <t>Sen huudot kuulostavat loitsuilta vihollisen piinaamiseksi. Se ilmestyy mistä vähiten odottaa.</t>
  </si>
  <si>
    <t>Se ilmestyy kuin tyhjästä – mutisten loitsuja, langettaen kirouksia ja antaen ihmisille kauhistuttavia näkyjä.</t>
  </si>
  <si>
    <t>Mismagius-pokémonien tiedetään loihtivan ihmisiä rakastuakseen, joten jotkut ihmiset etsivät tätä Pokémonia aivan kuin heidän henkensä riippuisi siitä.</t>
  </si>
  <si>
    <t>Pelätty vihansa ja levittämiensä kirousten vuoksi, tämä Pokémon voi myös hetken mielijohteesta loihtia loitsuja, jotka auttavat ihmisiä.</t>
  </si>
  <si>
    <t>Sen mumiset kiroukset voivat aiheuttaa kamalia päänsärkyjä tai kauhistuttavia näkyjä, jotka piinaavat muita.</t>
  </si>
  <si>
    <t>Mismagiuksen loitsut voivat torjua epäonnea, joten on olemassa tapa kutsua se kotiinsa. Jos kuitenkin teet Pokémonin epäsuosion, katastrofi on väistämätön.</t>
  </si>
  <si>
    <t>Honchkrow</t>
  </si>
  <si>
    <t>Iso pomo-Pokémon</t>
  </si>
  <si>
    <t>https://pokeapi.co/api/v2/pokemon-species/369/</t>
  </si>
  <si>
    <t>Se aktivoituu yöllä, ja sen tiedetään parveilevan lukuisten MURKROW-perhosten kanssa.</t>
  </si>
  <si>
    <t>Se laittaa MURKROW-kätyrinsä tuomaan sille ruokaa. Se laiskottelee aikansa pesässään hoitaen itseään.</t>
  </si>
  <si>
    <t>Jos päästää syvän huudon, monta MURKROWia kerääntyy nopeasti yhteen. Tätä kutsutaan nimellä "Yön kutsuja".</t>
  </si>
  <si>
    <t>Se on luonteeltaan armoton. Sanotaan, ettei se koskaan anna anteeksi MURKROW-seuraajiensa virheitä.</t>
  </si>
  <si>
    <t>Jos päästää syvän huudon, monta Murkrow'ta kerääntyy nopeasti yhteen. Tätä kutsutaan nimellä "Yön Kutsuja".</t>
  </si>
  <si>
    <t>Se aktivoituu yöllä, ja sen tiedetään parveilevan lukuisten Murkrow-eläinten kanssa.</t>
  </si>
  <si>
    <t>Yksi ainoa huuto tältä yölliseltä Pokémonilta, ja yli sata sen Murkrow-kätyriä kokoontuu.</t>
  </si>
  <si>
    <t>Jos sen Murkrow-kätyrit eivät saa sille ruokaa, tai jos se tuntee heidän pettäneen sen, se metsästää heidät missä tahansa he ovatkin ja rankaisee heitä.</t>
  </si>
  <si>
    <t>Se ei ehdottomasti anna anteeksi roistojensa epäonnistumisia tai petoksia. Sillä ei ole tässä vaihtoehtoa, jos se haluaa säilyttää lauman järjestyksen.</t>
  </si>
  <si>
    <t>Sen kätyrit hoitavat suurimman osan taistelusta sen puolestaan. Se likaa kätensä vain antaessaan viimeisen iskun vihollisen tappamiseksi.</t>
  </si>
  <si>
    <t>Yksi huuto tältä Pokémonilta, ja Murkrow'n murha lentää ohi. Sellaisina hetkinä voisi luulla yön verhon laskeutuneen ja upottaneen maailman pikimustaan ​​pimeyteen.</t>
  </si>
  <si>
    <t>Glameow</t>
  </si>
  <si>
    <t>Kissa-Pokémon</t>
  </si>
  <si>
    <t>Se raapii, jos se on tyytymätön, ja kehrää, kun se on hellyydenkipeä. Sen oikukkuus on erittäin suosittua joidenkin keskuudessa.</t>
  </si>
  <si>
    <t>Terävällä tuijotuksellaan se saa viholliset lievästi hypnoottiseen tilaan. Se on hyvin oikukas Pokémon.</t>
  </si>
  <si>
    <t>Se peittää ilkeän taipumuksensa työntää kyntensä kouluttajansa nenään, jos sitä ei ruokita.</t>
  </si>
  <si>
    <t>Kun se on onnellinen, GLAMEOW liikahtaa kauniisti häntäänsä kuin tanssivaa nauhaa.</t>
  </si>
  <si>
    <t>https://pokeapi.co/api/v2/pokemon-species/370/</t>
  </si>
  <si>
    <t>Kun se on onnellinen, Glameow liikauttaa häntäänsä kauniisti, kuin tanssivaa nauhaa.</t>
  </si>
  <si>
    <t>Lumoaa ihmiset kierteisellä hännällään ja lävistävällä katseellaan. Sen piilokynnet ovat myös melko terävät, mikä tekee tästä Pokémonista erittäin hankalan vastustajan, jos sitä vastustetaan.</t>
  </si>
  <si>
    <t>Purugly</t>
  </si>
  <si>
    <t>Tiikerikissa-Pokémon</t>
  </si>
  <si>
    <t>Se on röyhkeä peto, joka tunkeutuu toisen Pokémonin pesään ja väittää sen omakseen.</t>
  </si>
  <si>
    <t>Jotta se näyttäisi pelottavan lihaksikkaalta, se puristaa tiukasti vyötäröään kaksoispyrstöillään.</t>
  </si>
  <si>
    <t>Se sitoo ruumiinsa hännällään näyttääkseen suuremmalta. Jos se lukitsee silmänsä, se tuijottaa lakkaamatta.</t>
  </si>
  <si>
    <t>Se väittäisi toisen Pokémonin pesän omakseen, jos se löytäisi riittävän mukavan pesän.</t>
  </si>
  <si>
    <t>https://pokeapi.co/api/v2/pokemon-species/371/</t>
  </si>
  <si>
    <t>Vaikka Purugly on röyhkeä ja vaikeasti kesytettävä, se nauttii suurta suosiota turkkinsa ansiosta, jonka kauneus ylittää jopa samettisen kauneuden.</t>
  </si>
  <si>
    <t>Chingling</t>
  </si>
  <si>
    <t>Kello-Pokémon</t>
  </si>
  <si>
    <t>Se päästää huutoja liikuttamalla kurkkunsa takaosassa olevaa palloa. Se liikkuu lepattaen ja hyppien.</t>
  </si>
  <si>
    <t>Joka kerta hypätessään se päästää soivan äänen. Se kuurouttaa viholliset päästämällä korkeataajuisia huutoja.</t>
  </si>
  <si>
    <t>Sen suussa on pallo. Kun se hyppää, pallo pomppii ympäriinsä ja pitää soivan äänen.</t>
  </si>
  <si>
    <t>Se päästää korkeataajuisia huutoja, joita ihmiset eivät kuule. Kun se kerran alkaa, se voi itkeä todella pitkään.</t>
  </si>
  <si>
    <t>Tämä Pokémon aiheutti minulle sietämätöntä päänsärkyä, kun se näytti huutavan äänettömästi. Ehkä on olemassa ääniä, joita ihmiskorva ei yksinkertaisesti pysty kuulemaan.</t>
  </si>
  <si>
    <t>Stunky</t>
  </si>
  <si>
    <t>Skunkki-Pokémon</t>
  </si>
  <si>
    <t>Se suojaa itseään suihkuttamalla myrkyllistä nestettä takapuoleltaan. Haju viipyy 24 tuntia.</t>
  </si>
  <si>
    <t>Se suihkuttaa takapuolestaan ​​nenää pyörittävää, haisevaa nestettä hyökkääjien torjumiseksi.</t>
  </si>
  <si>
    <t>Se suihkuttaa takapuolestaan ​​ilkeää nestettä. Sen löyhkä leviää kilometrin säteelle ajaen Pokémonit pois.</t>
  </si>
  <si>
    <t>Sen takaosasta tuleva likainen neste on niin vastenmielistä, että se voi aiheuttaa pahoinvointia jopa puolentoista kilometrin päässä.</t>
  </si>
  <si>
    <t>https://pokeapi.co/api/v2/pokemon-species/372/</t>
  </si>
  <si>
    <t>Se suihkuttaa takaapäin pahanhajuista nestettä vastustajiin. Se tähtää heidän kasvoihinsa ja voi osua heihin yli 5 metrin etäisyydeltä.</t>
  </si>
  <si>
    <t>Jos se nostaa häntäänsä ja osoittaa takaosansa sinua kohti, ole varovainen. Se on suihkuttamassa sinuun nestettä, joka on niin haiseva, että pyörryt.</t>
  </si>
  <si>
    <t>Sen peräpäästä pursuavaan myrkkyyn liittyy niin voimakas, että yksikin haihtelu voi aiheuttaa muistinmenetyksen.</t>
  </si>
  <si>
    <t>Skuntank</t>
  </si>
  <si>
    <t>Se suihkuttaa pahanhajuista nestettä pyrstönsä päästä hyökätäkseen. Sen kantama on yli 50 metriä.</t>
  </si>
  <si>
    <t>Se suihkuttaa pyrstöstään pahanhajuista nestettä. Neste haisee pahemmalle mitä kauemmin sen annetaan mädätä.</t>
  </si>
  <si>
    <t>Se hyökkää suihkuttamalla kamalan haisevaa nestettä pyrstönsä päästä. Ylhäältä tulevat hyökkäykset hämmentävät sitä.</t>
  </si>
  <si>
    <t>Se hyökkää suihkuttamalla vastenmielistä nestettä pyrstöstään, mutta löyhkä laimenee muutaman suihkauksen jälkeen.</t>
  </si>
  <si>
    <t>Vatsassaan se varastoi haisevaa nestettä, jota se ampuu hännästään taistelun aikana. Koska tämän Pokémonin ruokavalio vaihtelee, myös sen nesteen haju vaihtelee.</t>
  </si>
  <si>
    <t>https://pokeapi.co/api/v2/pokemon-species/373/</t>
  </si>
  <si>
    <t>Se kaivaa kuoppia maahan pesäkseen. Sen pyrstönsä päästä lentävän nesteen löyhkä on erittäin voimakas.</t>
  </si>
  <si>
    <t>Suihkuttaa myrkyllistä nestettä saaliinsa kaatamiseksi. Joskus se ei kestä oman nesteensä hajua ja jättää voitetun saaliin syömättä.</t>
  </si>
  <si>
    <t>Bronzor</t>
  </si>
  <si>
    <t>Pronssi-Pokémon</t>
  </si>
  <si>
    <t>Sen muotoisia työvälineitä löydettiin muinaisista haudoista. Ei tiedetä, ovatko ne sukua toisilleen.</t>
  </si>
  <si>
    <t>Röntgenkuvat otettiin sen ruumiinrakenteen tarkistamiseksi, mutta mitään ei kuitenkaan näkynyt.</t>
  </si>
  <si>
    <t>Jotkut tutkijat uskovat tämän Pokémonin heijastuvan peilin lailla kaukaiseen menneisyyteen.</t>
  </si>
  <si>
    <t>Muinaiset ihmiset uskoivat, että BRONZORin selässä oleva kuvio sisälsi salaperäisen voiman.</t>
  </si>
  <si>
    <t>Niitä löytyy muinaisista haudoista. Niiden selissä olevien kuvioiden sanotaan olevan täynnä salaperäistä voimaa.</t>
  </si>
  <si>
    <t>Muinaiset ihmiset uskoivat, että Bronzorin selässä oleva kuvio sisälsi salaperäisen voiman.</t>
  </si>
  <si>
    <t>Se esiintyy muinaisissa raunioissa. Sen kehon kuvio ei ole peräisin mistään Galarin alueen kulttuurista, joten se on edelleen hämärän peitossa.</t>
  </si>
  <si>
    <t>Yleisen perimysjärjen mukaan Bronzorin kiillottaminen saa sen pinnan heijastamaan totuutta. Oli miten oli, Bronzor vihaa kiillotusta.</t>
  </si>
  <si>
    <t>https://pokeapi.co/api/v2/pokemon-species/374/</t>
  </si>
  <si>
    <t>Kelluu salaperäisen energian avulla. Sen selkään kaiverrettua kuviota pidetään pyhänä, ja sitä voi joskus löytää muinaisten hautausmaiden ja muiden vastaavien ajan kuluttamien paikkojen kuvastoista.</t>
  </si>
  <si>
    <t>Bronzong</t>
  </si>
  <si>
    <t>Pronssinen kello-Pokémon</t>
  </si>
  <si>
    <t>Yksi niistä aiheutti uutisensaation, kun se kaivettiin esiin rakennustyömaalta 2 000 vuoden unen jälkeen.</t>
  </si>
  <si>
    <t>Se voi kutsua esiin sadepilviä. Ihmiset kunnioittivat sitä kauan sitten runsaan sadon tuojana.</t>
  </si>
  <si>
    <t>Se toi sateita avaamalla portaaleja toiseen maailmaan. Sitä kunnioitettiin runsaan sadon tuojana.</t>
  </si>
  <si>
    <t>Muinaiset ihmiset uskoivat, että sadon kasvattaminen pyydettiin anomaan BRONZONGILTA sadetta.</t>
  </si>
  <si>
    <t>Menneinä aikoina tätä Pokémonia palvottiin sateen tuojana. Se löydettiin haudattuna maahan.</t>
  </si>
  <si>
    <t>Muinaiset ihmiset uskoivat, että sadon kasvattaminen anomalla Bronzongilta sadetta oli tapa.</t>
  </si>
  <si>
    <t>Jotkut uskovat sen olevan jumaluus, joka kutsuu esiin sadepilviä. Vihastuttuaan se päästää varoitushuudon, joka soi kuin kellojen kumina.</t>
  </si>
  <si>
    <t>Monet tiedemiehet epäilevät, että tämä Pokémon on peräisin Galarin alueen ulkopuolelta, sen kehon kuvioiden perusteella.</t>
  </si>
  <si>
    <t>Jotkut uskovat, että sen kellomainen huuto avaa reikiä toiseen maailmaan. Sitä on palvottu jumaluutena muinaisista ajoista lähtien.</t>
  </si>
  <si>
    <t>Bonsly</t>
  </si>
  <si>
    <t>Bonsai-Pokémon</t>
  </si>
  <si>
    <t>Se näyttää siltä kuin se itkisi jatkuvasti. Se itse asiassa tasapainottaa kehonsa nestetasapainoa poistamalla ylimääräistä nestettä.</t>
  </si>
  <si>
    <t>Se viihtyy kuivissa ympäristöissä. Se vuotaa vettä silmistään tasapainottaakseen kehonsa nestetasapainoa.</t>
  </si>
  <si>
    <t>Se viihtyy kuivassa ympäristössä. Se vuotaa kyynelten kaltaista vettä säädellessään kosteustasoaan.</t>
  </si>
  <si>
    <t>Säädelläkseen kehonsa nesteiden määrää se vuotaa vettä silmistään. Tämä saa sen näyttämään itkevältä.</t>
  </si>
  <si>
    <t>https://pokeapi.co/api/v2/pokemon-species/375/</t>
  </si>
  <si>
    <t>Se ei viihdy hyvin vedessä, joten se elää kuivilla paikoilla. Koska sen ympäristössä on usein vähän vehreyttä, se erottuu selvästi joukosta.</t>
  </si>
  <si>
    <t>Silmistään se voi poistaa ylimääräistä kosteutta kehostaan. Tämä neste on koostumukseltaan samanlaista kuin ihmisen hiki.</t>
  </si>
  <si>
    <t>Se vuotaa kosteutta silmistään, jolloin se näyttää itkevältä – ilmeisesti tehokas tapa saada viholliset laskemaan vartiotaan.</t>
  </si>
  <si>
    <t>Jos sen ruumis kastuu liikaa, se kuolee. Niinpä sen silmät poistavat kosteutta hikoilua muistuttavassa prosessissa.</t>
  </si>
  <si>
    <t>Se työntää silmistään sekä hikeä että kyyneleitä. Hiki on hieman suolaista, kun taas kyyneleet ovat hieman kitkeriä.</t>
  </si>
  <si>
    <t>Tämä Pokémon elää kuivilla, kivisillä alueilla. Kun sen vihreät pallot kuivuvat, niiden himmeä kiilto lisääntyy.</t>
  </si>
  <si>
    <t>Sen kyyneleet herättävät myötätuntoa niissä, jotka ne näkevät, mutta älkää antako itsenne hämätä itseänne! Tämä kehon nesteen poistuminen on vain fysiologinen mekanismi, jolla se pitää itsensä terveenä.</t>
  </si>
  <si>
    <t>Mime Jr.</t>
  </si>
  <si>
    <t>Miimi-Pokémon</t>
  </si>
  <si>
    <t>Se matkii vihollisia tavallisesti. Kun matkimista on tehty, vihollinen ei voi irrottaa katsettaan tästä Pokémonista.</t>
  </si>
  <si>
    <t>Se pitää paikoista, joissa ihmiset kokoontuvat. Se matkii vihollisia hämmentääkseen heitä ja pakenee sitten.</t>
  </si>
  <si>
    <t>https://pokeapi.co/api/v2/pokemon-species/376/</t>
  </si>
  <si>
    <t>Se matkii näkemiensä ihmisten ilmeitä ja liikkeitä ymmärtääkseen muiden tunteita.</t>
  </si>
  <si>
    <t>Yrittäessään hämmentää vihollistaan ​​se matkii tämän liikkeitä. Sitten se ei tuhlaa aikaa itsensä harventamiseen!</t>
  </si>
  <si>
    <t>Se tekee parhaansa matkiakseen vastustajiensa liikkeitä ja ilmeitä, mutta se ei vieläkään ole siinä kovin hyvä.</t>
  </si>
  <si>
    <t>Kun tämä lahjakas matkija yllättää vastustajan, Mime Jr. on niin iloinen, että se lopulta unohtaa matkineensa jotakin.</t>
  </si>
  <si>
    <t>Se matkii kaikkia näkemiään, mutta harjoittelee erityisesti herra Rimen sulavien tanssiaskeleiden kopioimista.</t>
  </si>
  <si>
    <t>Se etsii herra Rimeä, joka on hyvä tanssija ja kopioi herra Rimen askeleita huolellisesti kuin oppipoika.</t>
  </si>
  <si>
    <t>Tunnetaan vilkkailla toreilla silloin tällöin esiintyvänä. Se matkii ihmisiä lapsen lailla ja seuraa sitten heidän reaktioitaan silmät säihkyen.</t>
  </si>
  <si>
    <t>Happiny</t>
  </si>
  <si>
    <t>Leikkimökki-Pokémon</t>
  </si>
  <si>
    <t>Se rakastaa pyöreitä valkoisia asioita. Se kantaa munanmuotoista kiveä jäljitellen CHANSEY:tä.</t>
  </si>
  <si>
    <t>Se kantaa pyöreää, munanmuotoista kiveä vatsapussissaan ja antaa kiven ystävilleen.</t>
  </si>
  <si>
    <t>Se kantaa mielellään pientä kiveä mukanaan. Se saattaa vaellella muiden jalkojen ympärillä ja saada heidät kompastumaan.</t>
  </si>
  <si>
    <t>Se kantaa varovasti pyöreää, valkoista kiveä, jota se luulee munaksi. Sitä häiritsee sen kihara karva.</t>
  </si>
  <si>
    <t>https://pokeapi.co/api/v2/pokemon-species/377/</t>
  </si>
  <si>
    <t>Se kantaa vatsapussissaan pyöreää valkoista kiveä. Jos se tulee hyvin toimeen jonkun kanssa, se joskus antaa kiven tälle henkilölle.</t>
  </si>
  <si>
    <t>Se on vielä liian pieni munimaan. Korvikkeena se etsii pyöreitä valkoisia kiviä.</t>
  </si>
  <si>
    <t>Yleensä se on hyvin käyttäytyvä Pokémon, mutta jos otat siltä pyöreän kiven pois, se itkee ja kiukuttelee ja heittää ison kiukkukohtauksen.</t>
  </si>
  <si>
    <t>Kun se näkee jotakin pyöreää ja valkoista, Happiny laittaa sen vatsallaan olevaan pussiin. Joskus se ylikuormittuu eikä pysty liikkumaan.</t>
  </si>
  <si>
    <t>Chanseyta matkien Happiny asettaa munanmuotoisen kiven vatsapussiinsa. Happiny aarrelee tätä kiveä.</t>
  </si>
  <si>
    <t>Happiny on halukas lainaamaan kallisarvoista pyöreää kiveään ystävilleen, mutta jos kiveä ei palauteta, Happiny itkee ja saa raivokohtauksen.</t>
  </si>
  <si>
    <t>Chanseyn tavoin se pitää pyöreää kiveä vatsapussissaan ja vaalii sitä rakkaasti. Se tulee hyvin toimeen lasten kanssa ja leikkii joskus heidän kanssaan huvikseen.</t>
  </si>
  <si>
    <t>Chatot</t>
  </si>
  <si>
    <t>Nuotti-Pokémon</t>
  </si>
  <si>
    <t>Se voi oppia ja puhua ihmissanoin. Jos ne kokoontuvat yhteen, ne kaikki oppivat saman sanonnan.</t>
  </si>
  <si>
    <t>Se pitää rytmin yllä heiluttamalla pyrstösulkiaan kuin metronomi. Se matkii ihmisen puhetta.</t>
  </si>
  <si>
    <t>Sen kieli on aivan kuin ihmisen. Tämän seurauksena se pystyy taitavasti matkimaan ihmisen puhetta.</t>
  </si>
  <si>
    <t>Se matkii muiden Pokémonien huutoja huijatakseen ne luulemaan olevansa yksi niistä. Tällä tavoin ne eivät hyökkää sen kimppuun.</t>
  </si>
  <si>
    <t>https://pokeapi.co/api/v2/pokemon-species/378/</t>
  </si>
  <si>
    <t>Monipuolinen esiintyjä, joka on taitava matkimaan ihmispuhetta. Vanhempien ja kokeneempien chatot-hahmojen sanotaan jopa ymmärtävän matkimiensa sanojen merkityksen.</t>
  </si>
  <si>
    <t>Spiritomb</t>
  </si>
  <si>
    <t>Kielletty Pokémon</t>
  </si>
  <si>
    <t>Pokémon, jonka 108 henkeä muovasi. Se on sidottu halkeamaan oudossa avainkivessä.</t>
  </si>
  <si>
    <t>Se sidottiin halkeamaan omituisessa lakikivessä rangaistuksena väärinteoista 500 vuotta sitten.</t>
  </si>
  <si>
    <t>Sen jatkuvat ilkikurisuus ja väärinkäytökset johtivat siihen, että se sidottiin salaperäisen loitsun avulla parittomaan avainkiveen.</t>
  </si>
  <si>
    <t>Se muodostettiin yhdistämällä 108 henkeä. Se on sidottu Parittiseen Avainkiveen estääkseen sitä tekemästä mitään pahaa.</t>
  </si>
  <si>
    <t>Tasan 108 henkeä kokoontui muodostaakseen tämän Pokémonin. Ilmeisesti joukossa on myös joitakin pahansuovia henkiä.</t>
  </si>
  <si>
    <t>Kaikki Spiritombin ilkikurisuus ja väärinkäytökset pakottivat matkaajan käyttämään salaperäistä loitsua sitoakseen Spiritombin outoon avainkiveen.</t>
  </si>
  <si>
    <t>Se langettaa kirouksia ajattelemalla pahoja ajatuksia. Kirjoitukset kertovat, että tämä Pokémon syntyi 508 pahansuovan hengen joukosta.</t>
  </si>
  <si>
    <t>Gible</t>
  </si>
  <si>
    <t>Maishai-Pokémon</t>
  </si>
  <si>
    <t>https://pokeapi.co/api/v2/pokemon-species/379/</t>
  </si>
  <si>
    <t>Se pesii pienissä, vaakasuorissa koloissa luolien seinissä. Se syöksyy pyydystämään liian lähelle eksyneitä saaliita.</t>
  </si>
  <si>
    <t>Se eli aikoinaan tropiikissa. Kylmyyden välttämiseksi se elää luolissa, joita lämmittää geoterminen lämpö.</t>
  </si>
  <si>
    <t>Se hyökkää valtavalla suullaan. Vaikka sen hyökkäykset ovat voimakkaita, se myös satuttaa itseään kömpelyytensä vuoksi.</t>
  </si>
  <si>
    <t>Se pesii vaakasuorissa koloissa, joita maalämpö lämmittää. Liian lähelle tulevat viholliset voivat odottaa joutuvansa hyökkääviksi ja puremiksi.</t>
  </si>
  <si>
    <t>Se elää luolissa, joita lämmittää geoterminen lämpö. Silti, kun sää kylmenee, se kyyhöttää tiiviisti muiden lajitovereidensa kanssa.</t>
  </si>
  <si>
    <t>Se hiippailee luolissa, ja kun saalis tai vihollinen kulkee ohi, se hyppää esiin ja jyrää niitä. Sen hyökkäyksen voima lohkaisee joskus sen hampaita.</t>
  </si>
  <si>
    <t>Se reagoi kaikkeen liikkuvaan – lentää suoraan sitä kohti ja puree sitä. Joskus se vahingoittaa itseään, mutta ei välitä siitä liikaa.</t>
  </si>
  <si>
    <t>Sen alkuperäinen koti on paljon Alolaa kuumempi alue. Jos aiot asua sellaisen kanssa, lämmityslaskusi nousee pilviin.</t>
  </si>
  <si>
    <t>Gible viihtyy luolien kyljissä olevissa kapeissa koloissa, joita lämmittää geoterminen energia. Tällä tavoin Gible voi pysyä lämpimänä jopa lumimyrskyn aikana.</t>
  </si>
  <si>
    <t>Gible hyökkää kaiken liikkuvan kimppuun ja raahaa kaiken, minkä se saa kiinni, pesäänsä. Suuresta suustaan ​​huolimatta Giblen vatsa on pieni.</t>
  </si>
  <si>
    <t>Se pesii luolissa, joihin auringonvalo ei ole päässyt. Sen terävät hampaat saattavat irrota kulumisen tai iskun seurauksena, mutta ne kasvavat takaisin muutamassa päivässä.</t>
  </si>
  <si>
    <t>Gabite</t>
  </si>
  <si>
    <t>Luola-Pokémon</t>
  </si>
  <si>
    <t>On pitkään uskottu, että sen suomuista valmistettu lääke parantaa jopa parantumattomia sairauksia.</t>
  </si>
  <si>
    <t>Se kaivaa ja hamstraa tavallisesti jalokiviä pesäänsä. Varkaat kohdistavat jatkuvasti sen saalista.</t>
  </si>
  <si>
    <t>https://pokeapi.co/api/v2/pokemon-species/380/</t>
  </si>
  <si>
    <t>Se rakastaa kimaltelevia asioita. Se etsii aarteita luolista ja hamstraa saaliin pesäänsä.</t>
  </si>
  <si>
    <t>Kaivaessaan laajentaakseen pesäänsä se kaivaa tavallisesti esiin jalokiviä, joita se sitten hamstraa pesäänsä.</t>
  </si>
  <si>
    <t>Harvinaisissa tapauksissa se luo nahkansa ja luo suomunsa. Sen suomuja ainesosana sisältävä lääke virkistää väsynyttä kehoa.</t>
  </si>
  <si>
    <t>Kiiltävät esineet ovat sen intohimo. Se löytyy luolastaan, tuskin liikkuen, katse kiinnitettynä keräämiinsä jalokiviin tai pyydystämiinsä hiilihydraatteihin.</t>
  </si>
  <si>
    <t>https://pokeapi.co/api/v2/pokemon-species/381/</t>
  </si>
  <si>
    <t>Se rakastaa kiiltäviä asioita. Kun se löytää Sableyeen yrittämästä ottaa kiinni hiilikarhua, Gabite suuttuu raivokkaasti ja hyökkää Sableyeen kimppuun.</t>
  </si>
  <si>
    <t>Se luo nahkansa ja kasvaa vähitellen suuremmaksi. Sen suomut voidaan jauhaa jauheeksi ja käyttää raaka-aineena perinteisessä lääketieteessä.</t>
  </si>
  <si>
    <t>Tämä Pokémon lähettää ultraääniaaltoja päänsä molemmin puolin olevasta ulokkeesta tutkiakseen pikimustia luolia.</t>
  </si>
  <si>
    <t>Näiden Pokémonien pesimäluoliin on haudattu jalokiviä, mutta kynnet ja torahampaat repivät sinut kappaleiksi heti, kun astut johonkin näistä luolista.</t>
  </si>
  <si>
    <t>Vaikka gabiitit ovat yleensä luonteeltaan väkivaltaisia, kun annoin yhdelle lasihelmen, jota se oli ahneesti silmäillyt, siitä tuli yhtäkkiä melko säyseä.</t>
  </si>
  <si>
    <t>Garchomp</t>
  </si>
  <si>
    <t>Mach-Pokémon</t>
  </si>
  <si>
    <t>Kun se taittaa vartalonsa kokoon ja ojentaa siipensä, se näyttää suihkukoneelta. Se lentää äänennopeudella.</t>
  </si>
  <si>
    <t>Se lentää suihkuhävittäjän nopeudella. Se ei koskaan päästä saalistaan ​​karkuun.</t>
  </si>
  <si>
    <t>Sanotaan, että kun ihminen juossee suurella nopeudella, sen siivet luovat tuulensiipiä, jotka voivat kaataa lähellä olevia puita.</t>
  </si>
  <si>
    <t>Sen runko on peittynyt hienoihin suomuihin, jotka vähentävät vastusta, jolloin se voi lentää suurilla nopeuksilla.</t>
  </si>
  <si>
    <t>https://pokeapi.co/api/v2/pokemon-species/382/</t>
  </si>
  <si>
    <t>Se voi lentää suihkukoneiden vauhtia kilpailevalla nopeudella. Se syöksyy lintu-Pokémon-parviin ja nielaisee koko parven alas.</t>
  </si>
  <si>
    <t>Sen pään kohoumat toimivat antureina. Se voi havaita jopa kaukaisen saaliin.</t>
  </si>
  <si>
    <t>Se lentää äänen nopeudella etsiessään saalista ja käy ilmataisteluita Salamencen kanssa, kun nämä kaksi kilpailevat ruoasta.</t>
  </si>
  <si>
    <t>Sen hienot suomut eivät ainoastaan ​​vähennä ilmanvastusta – niiden terävät reunat voivat myös vahingoittaa sitä hyökkäävää vastustajaa.</t>
  </si>
  <si>
    <t>Garchomp asuu tulivuorilla. Se lentää taivaalla suihkukoneen vauhtia metsästäen niin paljon saalista kuin pystyy.</t>
  </si>
  <si>
    <t>Garchomp on nopea sekä maan alla että maan päällä. Se voi kaataa saaliinsa ja palata pesälleen ennen kuin sen ruumis on ehtinyt jäähtyä ulkoilman jäljiltä.</t>
  </si>
  <si>
    <t>Liitee taivaiden halki sokaisevaa vauhtia – upea näky! Sillä on villiintynyt luonne. Äärimmäistä varovaisuutta vaaditaan, jos kohtaa garchompin erämaassa.</t>
  </si>
  <si>
    <t>Munchlax</t>
  </si>
  <si>
    <t>Iso syöjä-Pokémon</t>
  </si>
  <si>
    <t>Se ahmii painonsa verran ruokaa kerran päivässä nielemällä sen kokonaisena lähes pureskelematta.</t>
  </si>
  <si>
    <t>Se piilottaa ruoan pitkien karvojensa alle. Se kuitenkin unohtaa piilottaneensa ruoan.</t>
  </si>
  <si>
    <t>Epätoivoisessa halussaan ahmia ruokaa se unohtaa turkkinsa alle piilottaman ruoan.</t>
  </si>
  <si>
    <t>Se kätkee ruokaa pitkän turkkinsa alle. Se kuljettaa tätä ruokavarastoa ja nielee sen pureskelematta.</t>
  </si>
  <si>
    <t>https://pokeapi.co/api/v2/pokemon-species/383/</t>
  </si>
  <si>
    <t>Sen täytyy kuluttaa oman painonsa verran ruokaa joka päivä. Maun suhteen se on yhdentekevää.</t>
  </si>
  <si>
    <t>Kun se löytää jotain syötävältä näyttävää, se nielee sen kokonaisena. Siksi se lihoaa päivä päivältä.</t>
  </si>
  <si>
    <t>Se piilottaa ruokaa pitkän turkkinsa alle, mutta joskus unohtaa sen ja aiheuttaa ikävän häiriön.</t>
  </si>
  <si>
    <t>Munchlax nielee kaiken, mikä näyttää syötävältä. Sen vatsa on tarpeeksi vahva käsittelemään sen, vaikka ruoka olisi pilaantunut.</t>
  </si>
  <si>
    <t>Sen ainoa huolenaihe on itsensä täyttäminen valtavilla ruokamäärillä. Onko ruoka pilaantunutta vai tuoretta, herkullista vai mautonta – sitä ei kiinnosta.</t>
  </si>
  <si>
    <t>Se varastoi ruokaa turkkinsa alle. Se saattaa jakaa vain yhden puraisun, mutta vain jos se todella luottaa sinuun.</t>
  </si>
  <si>
    <t>Sen vankka vatsa antaa sille mahdollisuuden ahmia huolettomasti jopa mädäntynyttä ainesta. Se vierailee usein kylissä etsimässä kompostiin tarkoitettuja ruokajätteitä.</t>
  </si>
  <si>
    <t>Riolu</t>
  </si>
  <si>
    <t>Emanaatio-Pokémon</t>
  </si>
  <si>
    <t>Sen kehosta säteilevä aura voimistuu hälyttääkseen muita, jos se on peloissaan tai surullinen.</t>
  </si>
  <si>
    <t>Sen ruumis on notkea mutta voimakas. Se voi ylittää kolmen vuoren huipun ja kaksi kanjonia yhdessä yössä.</t>
  </si>
  <si>
    <t>Sillä on erikoinen kyky nähdä tunteita, kuten iloa ja raivoa, aaltojen muodossa.</t>
  </si>
  <si>
    <t>Ne kommunikoivat keskenään aurojensa avulla. Ne pystyvät juoksemaan läpi yön.</t>
  </si>
  <si>
    <t>Se käyttää auran muotoja, jotka muuttuvat tunteiden mukaan, kommunikoidakseen muiden kanssa.</t>
  </si>
  <si>
    <t>https://pokeapi.co/api/v2/pokemon-species/384/</t>
  </si>
  <si>
    <t>Se pystyy erottamaan ihmisten, Pokémonien ja muiden luonnollisten asioiden fyysiset ja emotionaaliset tilat heidän aura-aaltojensa muodosta.</t>
  </si>
  <si>
    <t>Se on tarpeeksi sitkeä juoksemaan läpi yön, ja se on myös ahkera työntekijä, mutta se on silti vasta nuori.</t>
  </si>
  <si>
    <t>Se tietää, miltä ihmisistä ja Pokémoneista tuntuu, katsomalla heidän aurojaan. Se ei lähesty vaarallisia vastustajia.</t>
  </si>
  <si>
    <t>Se käyttää auroiksi kutsuttuja aaltoja kommunikoidakseen muiden kaltaistensa kanssa. Se ei pidä ääntä tänä aikana, joten sen viholliset eivät voi havaita sitä.</t>
  </si>
  <si>
    <t>Se on äärimmäisen energinen ja sillä on tarpeeksi kestävyyttä juosta läpi yön. Sen vieminen kävelylle voi olla haastava kokemus.</t>
  </si>
  <si>
    <t>Se voi käyttää auroiksi kutsuttuja aaltoja arvioidakseen muiden tunteita. Samat aallot voivat myös kertoa tälle Pokémonille ympäristön tilasta.</t>
  </si>
  <si>
    <t>Vaikka se on ulkonäöltään lapsellinen, sillä on salaperäinen kyky lukea ihmisten ajatuksia. Puhdassydämiset saavat Riolulta hyväksyntää, kun taas huonoluontoiset saavat osakseen vain sen inhoa.</t>
  </si>
  <si>
    <t>Lucario</t>
  </si>
  <si>
    <t>Aura-Pokémon</t>
  </si>
  <si>
    <t>Sillä on kyky aistia kaiken aurat. Se ymmärtää ihmisen puhetta.</t>
  </si>
  <si>
    <t>Tallentamalla toisten ihmisten auran se voi lukea heidän ajatuksiaan ja liikkeitään.</t>
  </si>
  <si>
    <t>Hyvin koulutettu voi aistia auroja tunnistaakseen ja aistiakseen yli 800 metrin päässä olevien olentojen tunteita.</t>
  </si>
  <si>
    <t>Sanotaan, ettei mikään vihollinen voi pysyä näkymätöntä LUCARIOlle, koska se pystyy havaitsemaan auroja. Edes vihollisia, joita se ei muuten voisi nähdä.</t>
  </si>
  <si>
    <t>Lukemalla kaikkien asioiden auroja se voi kertoa, miltä muut tuntevat, yli 800 metrin päästä.</t>
  </si>
  <si>
    <t>https://pokeapi.co/api/v2/pokemon-species/385/</t>
  </si>
  <si>
    <t>Se ei ainoastaan ​​havaitse auroja, vaan se on myös saavuttanut kyvyn hallita niitä. Se käyttää niitä taistelussa.</t>
  </si>
  <si>
    <t>Ne pystyvät havaitsemaan elävän olennon lajin – ja sen tunteet – yli 800 metrin päästä. Ne hallitsevat auroja ja metsästävät saalistaan ​​laumoissa.</t>
  </si>
  <si>
    <t>Se keskittää henkisen energiansa ja ampuu salaperäisiä aaltoja, joita kutsutaan auroiksi ja jotka voivat murskata suuria lohkareita tomuksi.</t>
  </si>
  <si>
    <t>Lucario lukee vastustajansa tunteita aura-aaltojensa avulla. Se saa selville asioita, joita se ei mieluiten tietäisi, joten se stressaantuu helposti.</t>
  </si>
  <si>
    <t>Se hallitsee auroina tunnettuja aaltoja, jotka ovat riittävän voimakkaita murskaamaan valtavia kiviä. Se käyttää näitä aaltoja saaliinsa kaatamiseen.</t>
  </si>
  <si>
    <t>Se voi kertoa, mitä ihmiset ajattelevat. Vain oikeudenmukaisuutta sydämessään kantavat kouluttajat voivat ansaita tämän Pokémonin luottamuksen.</t>
  </si>
  <si>
    <t>Hyvin urhean näköinen olento. Se säteilee energia-aaltoja ja hallitsee niitä tarkasti, käyttäen niitä jopa kaukaisten olentojen aistimiseen. Olen antanut tälle voimalle nimen "aura".</t>
  </si>
  <si>
    <t>Hippopotas</t>
  </si>
  <si>
    <t>Virtahepokémon</t>
  </si>
  <si>
    <t>Se elää kuivilla paikoilla. Hien sijaan se erittää kehostaan ​​rakeista hiekkaa.</t>
  </si>
  <si>
    <t>Se verhoutuu hiekkaan suojautuakseen bakteereilta. Se ei pidä kastumisesta.</t>
  </si>
  <si>
    <t>Se sulkee sieraimensa tiukasti ja kulkee sitten hiekan läpi kuin kävelisi. Ne muodostavat noin kymmenen yksilön yhdyskuntia.</t>
  </si>
  <si>
    <t>Se verhoutuu hiekkaan torjuakseen bakteereja. Se kulkee helposti aavikon hiekan läpi.</t>
  </si>
  <si>
    <t>Se sulkee sieraimensa tiukasti ja kulkee sitten hiekan läpi ikään kuin kävelisi. Ne muodostavat noin 10 yksilön yhdyskuntia.</t>
  </si>
  <si>
    <t>https://pokeapi.co/api/v2/pokemon-species/386/</t>
  </si>
  <si>
    <t>Se liikkuu hiekan halki suu auki ja nielee hiekkaa saaliinsa mukana. Se pääsee eroon hiekasta syöksymällä sitä kuonostaan.</t>
  </si>
  <si>
    <t>Tämä Pokémon on aktiivinen päivällä ja kulkee kylmien aavikkoöiden läpi kaivautuneena tiukasti hiekkaan.</t>
  </si>
  <si>
    <t>Vaikka virtahepo on suuri ja laiska, sitä on vaikea havaita, koska sillä on taipumus kaivautua maahan ja lymyillä sen alla. Kiihtyneenä tai levottomana se työntää hiekkaa sieraimistaan.</t>
  </si>
  <si>
    <t>Hippowdon</t>
  </si>
  <si>
    <t>Raskaansarjan Pokémon</t>
  </si>
  <si>
    <t>Se räjäyttää sisäisesti varastoitua hiekkaa rungonsa aukoista luodakseen kohoavan pyörremyrskyn hyökkäystä varten.</t>
  </si>
  <si>
    <t>Sen valtava suu on lähes kaksi metriä leveä. Sillä on tarpeeksi voimaa murskata auton täysin.</t>
  </si>
  <si>
    <t>Se on yllättävän nopea suuttumaan. Se pitää suunsa auki voimansa osoituksena.</t>
  </si>
  <si>
    <t>Se heiluttelee ammottavaa suutaan pelottavan voiman näytöksessä. Se nostaa ilmaan valtavia määriä hiekkaa hyökätessään.</t>
  </si>
  <si>
    <t>https://pokeapi.co/api/v2/pokemon-species/387/</t>
  </si>
  <si>
    <t>Kivet voivat juuttua niiden kehon aukkoihin. Dwebble auttaa irrottamaan tällaisia ​​kiviä, joten Hippowdon pitää huolta näistä Pokémoneista.</t>
  </si>
  <si>
    <t>Raivonsa herättämänä se syöksyy ulos nielemänsä hiekkamäärät ja nostattaa hiekkamyrskyn.</t>
  </si>
  <si>
    <t>Ärsyyntynyt ja helposti väkivaltaan reagoiva. Se nostattaa hiekkapyörremyrskyjä murskatakseen vihollistensa hengen ja lähtee sitten hyökkäykseen.</t>
  </si>
  <si>
    <t>Skorupi</t>
  </si>
  <si>
    <t>Skorpioni-Pokémon</t>
  </si>
  <si>
    <t>Se tarttuu saaliiseen pyrstökynsillään ja ruiskuttaa myrkkyä. Se roikkuu sinnikkäästi kiinni, kunnes myrkky imeytyy.</t>
  </si>
  <si>
    <t>Se elää kuivilla seuduilla. Se hautautuu hiekkaan ja väijyy tietämätöntä saalista.</t>
  </si>
  <si>
    <t>Heti kun pyrstökynnet sulkeutuvat, sen neulanpäät erittävät myrkkyä. Se voi selvitä vuoden ilman ruokaa.</t>
  </si>
  <si>
    <t>Se kaivautuu hiekan alle väijymään saalista. Sen pyrstökynnet voivat pistää saaliiseensa raakaa myrkkyä.</t>
  </si>
  <si>
    <t>Se elää kuivilla alueilla ja voi olla ilman ruokaa vuoden ajan odottaessaan saalista.</t>
  </si>
  <si>
    <t>https://pokeapi.co/api/v2/pokemon-species/388/</t>
  </si>
  <si>
    <t>Kaivauduttuaan hiekkaan se odottaa kärsivällisesti saaliin tuloa lähelle. Tällä Pokémonilla ja Sizzlipedellä on yhteinen sukupuu.</t>
  </si>
  <si>
    <t>Se hyökkää käyttäen häntäänsä. Kun saalis on lukkiutunut sen otteeseen, se ei pysty liikkumaan, koska tämän Pokémonin myrkky pääsee sisään.</t>
  </si>
  <si>
    <t>Sen kynnet ovat paitsi partaveitsen terävät myös myrkylliset, mikä tekee Skorupista erittäin vaarallisen Pokémonin. Kylmät lämpötilat näyttävät kuitenkin heikentävän sitä.</t>
  </si>
  <si>
    <t>Drapion</t>
  </si>
  <si>
    <t>Ogre Scorpion -pokémon</t>
  </si>
  <si>
    <t>Sen kynsissä käsivarsissa on voima tehdä romua autosta. Sen kynsien kärjistä vapautuu myrkkyä.</t>
  </si>
  <si>
    <t>Sen runko on suojattu tukevalla kuorella. Sen pää kääntyy 180 astetta, mikä poistaa sokeat kulmat.</t>
  </si>
  <si>
    <t>Vankkarakenteisena se on ylpeä voimastaan ​​ja kukistaa vihollisia käyttämättä myrkkyjä.</t>
  </si>
  <si>
    <t>Se hyökkää aavikkoa ylittävien ihmisten ja Pokémonien kimppuun. Tämä on vain pahentanut sen huonoa mainetta.</t>
  </si>
  <si>
    <t>Se ylpeilee voimastaan. Vaikka se voi repiä vihollisia kappaleiksi, se viimeistelee heidät voimakkaalla myrkyllä.</t>
  </si>
  <si>
    <t>https://pokeapi.co/api/v2/pokemon-species/389/</t>
  </si>
  <si>
    <t>Sen myrkky on voimakasta, mutta sitä käytetään harvoin. Tämä Pokémon käyttää mieluummin fyysistä voimaa ja riehuu autoa murskaavalla voimallaan.</t>
  </si>
  <si>
    <t>Se on niin ilkeä, että sitä kutsutaan Hiekkademoniksi. Silti Hippowdonin kohdatessa Drapion pysyy matalalla profiililla eikä koskaan aloita tappelua.</t>
  </si>
  <si>
    <t>Sillä on raaka ja raivoisa luonne. Valtava voima ja tukeva kuori, josta miekat kimpoavat, riehuu ympäriinsä ja aiheuttaa tuhoa.</t>
  </si>
  <si>
    <t>Croagunk</t>
  </si>
  <si>
    <t>Myrkyllisen suun Pokémon</t>
  </si>
  <si>
    <t>Sen poskissa on myrkkypusseja. Se yrittää yllättää viholliset ja iskeä heitä myrkyllisillä sormilla.</t>
  </si>
  <si>
    <t>Se täyttää myrkkypussinsa ja päästää aavemaisen, pelotellakseen oloaan uhkaavan ulisevan äänen.</t>
  </si>
  <si>
    <t>Se taistelee harvoin reilusti, mutta se on ehdottomasti selviytymisen varmistamiseksi. Se on suosittu maskotti.</t>
  </si>
  <si>
    <t>Sen sormesta puristettu neste, vaikkakin myrkyllinen, on merkittävä ainesosa alaselkäkipujen hoidossa.</t>
  </si>
  <si>
    <t>https://pokeapi.co/api/v2/pokemon-species/390/</t>
  </si>
  <si>
    <t>Se täyttää myrkkypussinsa, täyttää alueen oudolla äänellä ja iskee säpsähteleviä vastustajia myrkkypistolla.</t>
  </si>
  <si>
    <t>Se päästää pelottavia ääniä myrkkyä sisältävistä poskipussistaan. Kun vastustajat säpsähtävät, Croagunk iskee heihin myrkkypistolla.</t>
  </si>
  <si>
    <t>Laimennettuna sen myrkystä tulee lääkettä. Tämä Pokémon tuli suosituksi, kun lääkeyhtiö valitsi sen maskotiksi.</t>
  </si>
  <si>
    <t>Myrkynkäyttäjä, jolla on ilkeämielinen persoonallisuus. Näistä ominaisuuksista huolimatta tämä laji on saavuttanut suosiota omituisen huutonsa ja koomisten piirteidensä ansiosta.</t>
  </si>
  <si>
    <t>Toxicroak</t>
  </si>
  <si>
    <t>Sen rystysten kynnet erittävät niin myrkyllistä myrkkyä, että jo naarmu voi olla kohtalokas.</t>
  </si>
  <si>
    <t>Myrkkypusseissaan tuotettu toksiini pumpataan rystysten kynsiin putkien kautta sen käsivarsia pitkin.</t>
  </si>
  <si>
    <t>Sen kurkussa on myrkkypussi. Kun se kähisee, varastoitu myrkky kirnutaan vahvemmaksi.</t>
  </si>
  <si>
    <t>Se horjahtelee ja väistelee vihollistensa hyökkäyksiä, painaa joustavaa ruumistaan ​​lähelle ja syöksyy sitten esiin myrkyllisillä kynsillään.</t>
  </si>
  <si>
    <t>https://pokeapi.co/api/v2/pokemon-species/391/</t>
  </si>
  <si>
    <t>Toxicroakin ennen taistelua päästämä kähinä on tarkoitettu myrkkypussiinsa varastoiman myrkyn vatkaamiseen.</t>
  </si>
  <si>
    <t>Se pomppii vastustajia kohti ja lävistää heidät myrkyllisillä kynsillään. Ei tarvita enempää kuin naarmu tyrmätäkseen vastustajansa.</t>
  </si>
  <si>
    <t>Se päästää voitonäänestyksen, kun sen saalis kaatuu tappion iskiessä. Tämä Pokémon ja Seismitoad ovat sukua toisilleen.</t>
  </si>
  <si>
    <t>Sen karmiininpunaiset kynnet sisältävät myrkyllistä myrkkyä. Tästä myrkystä voidaan tehdä tonic-lääke laimentamalla sitä, sekoittamalla sitä useisiin villiheinälajeihin ja keittämällä sitä kahden päivän ajan.</t>
  </si>
  <si>
    <t>Carnivine</t>
  </si>
  <si>
    <t>Ötökänsieppari-Pokémon</t>
  </si>
  <si>
    <t>Se houkuttelee saalista makeanhajuisella syljellään ja sitten pureskelee sitä. Saaliin syömiseen kuluu kokonainen päivä.</t>
  </si>
  <si>
    <t>https://pokeapi.co/api/v2/pokemon-species/392/</t>
  </si>
  <si>
    <t>Se roikkuu oksista lonkeroiden avulla ja näyttää kasvilta. Se odottaa saalista suu ammollaan.</t>
  </si>
  <si>
    <t>Se kiinnittyy puihin soilla. Se houkuttelee saalista makeanhajuisella kuolallaan ja nielee sen alas.</t>
  </si>
  <si>
    <t>Se kävelee lonkeroillaan etsien puun oksaa, josta se voi roikkua alas ja väijyttää saalista.</t>
  </si>
  <si>
    <t>Se väijyy saalista lonkeroillaan kiinnittäen itsensä puihin ja houkuttelee sitä lähelleen makeantuoksuisella kuolallaan.</t>
  </si>
  <si>
    <t>Se houkuttelee saalista makeanhajuisella syljellään ja sitten jyrää sen. Saaliin syömiseen kuluu kokonainen päivä.</t>
  </si>
  <si>
    <t>Se kiinnittyy puihin soilla. Se houkuttelee saalista makeantuoksuisella kuolallaan ja nielee sen alas.</t>
  </si>
  <si>
    <t>Vaikka tämä on kasvi-Pokémon, sillä on ahne ja kuriton luonne. Carnivine hyökkää saaliinsa kimppuun ammollaan oleva luolamainen kita.</t>
  </si>
  <si>
    <t>Finneon</t>
  </si>
  <si>
    <t>Siipikala-Pokémon</t>
  </si>
  <si>
    <t>Pitkän auringonvalolle altistumisen jälkeen sen pyrstöevien kuviot loistavat kirkkaasti pimeän laskeutuessa.</t>
  </si>
  <si>
    <t>Tapa, jolla sen kaksi pyrstöevää lepattavat uidessa, on ansainnut sille lempinimen "Meren KAUNIS".</t>
  </si>
  <si>
    <t>https://pokeapi.co/api/v2/pokemon-species/393/</t>
  </si>
  <si>
    <t>Sen kylkeä pitkin kulkeva viiva voi varastoida auringonvaloa. Se loistaa kirkkaasti yöllä.</t>
  </si>
  <si>
    <t>Uimalla ja kahdella pyrstöevällään se näyttää KAUNISELTA. Yöllä sen pyrstöevien kuviot hohtavat pehmeästi.</t>
  </si>
  <si>
    <t>Se imee auringonvaloa ihonsa vaaleanpunaisilla alueilla, jotka sitten hohtavat. Tämä näyttää olevan eräänlainen naamiointi.</t>
  </si>
  <si>
    <t>Sen kaksinkertaiset pyrstöevät vauhdittavat sen energisiä hyppyjä. Kun se rikkoo merenpinnan, Wingull syöksyy alas napatakseen sen lennossa.</t>
  </si>
  <si>
    <t>Illan laskeutuessa niiden vaaleanpunaiset kuviot alkavat loistaa. Ne ovat sukeltajien suosiossa, joten on olemassa lomakohteita, jotka ruokkivat niitä pitääkseen ne lähellä.</t>
  </si>
  <si>
    <t>https://pokeapi.co/api/v2/pokemon-species/394/</t>
  </si>
  <si>
    <t>Se houkuttelee saalista kiiltävillä pyrstöevillä. Se pysyy lähellä pintaa päivällä ja siirtyy syvyyksiin yön laskeutuessa.</t>
  </si>
  <si>
    <t>Mikä upea näky tämä Pokémon onkaan uiessaan pitkien, vaaleanpunaisten pyrstöeviensä lepattaessa perässä. Finneonin kaunis ulkonäkö on johtanut sen lempinimeen: "hieno kala".</t>
  </si>
  <si>
    <t>Lumineon</t>
  </si>
  <si>
    <t>Neon-Pokémon</t>
  </si>
  <si>
    <t>Se elää syvänmeren pohjassa. Se houkuttelee saalista väläyttämällä kuvioita neljässä pyrstöevässään.</t>
  </si>
  <si>
    <t>Välttääkseen petoeläinten havaitsemisen se ryömii merenpohjaa pitkin käyttäen kahta rinnassaan olevaa evää.</t>
  </si>
  <si>
    <t>Se ryömii merenpohjaa pitkin käyttäen pitkiä etueviään jalkojen tavoin. Se kilpailee ravinnosta LANTURNin kanssa.</t>
  </si>
  <si>
    <t>Syvänmeren pimeydessä uivat LUMINEONIT näyttävät yötaivaalla loistavilta tähdiltä.</t>
  </si>
  <si>
    <t>Se ryömii merenpohjaa pitkin käyttäen pitkiä etueviään jalkojen tavoin. Se kilpailee ravinnosta Lanturnin kanssa.</t>
  </si>
  <si>
    <t>https://pokeapi.co/api/v2/pokemon-species/395/</t>
  </si>
  <si>
    <t>Kirkkaalla valollaan se houkuttelee saaliinsa lähelle. Valo kuitenkin houkuttelee myös raivokkaita kala-Pokémoneja – sen luonnollisia saalistajia.</t>
  </si>
  <si>
    <t>Tämä syvänmeren Pokémon elää meren pohjassa. Sen evät kuljettavat sitä merenpohjan yli etsimään lempiruokaansa, Starmieta.</t>
  </si>
  <si>
    <t>Syvällä merenpohjassa saalista on niukasti. Lumineonit ajautuvat rajuihin kiistoihin Lanturnin kanssa ruoasta.</t>
  </si>
  <si>
    <t>Ne kulkevat syvissä vesissä kuin ryömisivät merenpohjaa pitkin. Sen evien fantastiset valot loistavat kuin tähdet yötaivaalla.</t>
  </si>
  <si>
    <t>Käyttää kiiltäviä eviään saaliinsa metsästämiseen. Näkymä Lumineonien parvesta merenpinnan lähellä yöllä on henkeäsalpaava – aivan kuin siinä olisi loistavia tähtiä.</t>
  </si>
  <si>
    <t>Mantyke</t>
  </si>
  <si>
    <t>Ystävällinen Pokémon, joka tallentaa meriveden hienovaraiset virtaukset kahdella antennillaan.</t>
  </si>
  <si>
    <t>Tutkijat havaitsivat, että sen selän tunnusomaiset kuviot vaihtelevat alueittain.</t>
  </si>
  <si>
    <t>Ihmiset järjestävät retkiä nähdäkseen tämän Pokémonin leikkivän ja livahtavan aaltojen huipuilla REMORAIDin kanssa.</t>
  </si>
  <si>
    <t>Kun se ui lähellä merenpintaa, laivoilla olevat ihmiset pystyvät havaitsemaan sen selässä olevan kuvion.</t>
  </si>
  <si>
    <t>Ihmiset järjestävät retkiä nähdäkseen tämän Pokémonin leikkivän ja livahtavan aaltojen huipuilla Remoraidin kanssa.</t>
  </si>
  <si>
    <t>https://pokeapi.co/api/v2/pokemon-species/396/</t>
  </si>
  <si>
    <t>Sen selän kuvio vaihtelee alueittain. Se ui usein remoraidien parvessa.</t>
  </si>
  <si>
    <t>Se on erittäin ystävällinen ja helposti kesytettävä. Mantyken kanssa uivat retket ovat erittäin suosittuja ranta-aktiviteetteja.</t>
  </si>
  <si>
    <t>Mantyket ovat ystävällisiä ihmisiä kohtaan ja lähestyvät veneitä läheltä. Niiden selkäkuviot vaihtelevat elinympäristöstä riippuen.</t>
  </si>
  <si>
    <t>Galarissa asuvat mantykit vaikuttavat olevan hieman hitaita. Syynä saattaa olla alueen kylmemmät merivedet.</t>
  </si>
  <si>
    <t>Se ui remoraidien parven mukana, ja ne kaikki taistelevat yhdessä torjuakseen hyökkääjät.</t>
  </si>
  <si>
    <t>Vaikka tämä Pokémon on muodoltaan pallomainen, se on taitava uimari. Olen havainnut, että jos Mantyke viettää paljon aikaa Remoraidien parvissa, se lopulta saavuttaa evoluution.</t>
  </si>
  <si>
    <t>Snover</t>
  </si>
  <si>
    <t>Pakkaspuu-Pokémon</t>
  </si>
  <si>
    <t>Se elää lumisilla vuorilla. Koska se on ollut vähän tekemisissä ihmisten kanssa, se on erittäin utelias.</t>
  </si>
  <si>
    <t>https://pokeapi.co/api/v2/pokemon-species/397/</t>
  </si>
  <si>
    <t>Keväällä se kasvattaa vatsansa ympärille marjoja, joiden koostumus on kuin pakasteherkuilla.</t>
  </si>
  <si>
    <t>Näennäisesti uteliaina ihmisiä kohtaan he kerääntyvät lumisilla vuorilla löytämiensä jalanjälkien ympärille.</t>
  </si>
  <si>
    <t>Kylminä vuodenaikoina se vaeltaa vuoren alemmille osille. Keväällä se palaa lumipeitteiselle huipulle.</t>
  </si>
  <si>
    <t>Se elää lumisilla vuorilla. Se upottaa jalkansa lumeen imeäkseen vettä ja pitääkseen oman lämpötilansa alhaisena.</t>
  </si>
  <si>
    <t>Sen vatsan ympärillä kasvavat marjat ovat kuin jäätelöitä. Galarian Darumaka rakastaa näitä marjoja.</t>
  </si>
  <si>
    <t>https://pokeapi.co/api/v2/pokemon-species/398/</t>
  </si>
  <si>
    <t>Tämän Pokémonin kohtaa todennäköisesti lumessa ollessaan. Tarinoiden mukaan Snover ilmestyy ihmisasutuskeskuksiin, mutta ei tee niille mitään pahaa – pikemminkin ne luovat kiintymyksen lasten kanssa.</t>
  </si>
  <si>
    <t>Abomasnow</t>
  </si>
  <si>
    <t>Se nostattaa lumimyrskyjä vuorilla, jotka ovat aina lumen peitossa. Se on iljettävä lumiukko.</t>
  </si>
  <si>
    <t>Se peittää laajoja alueita lumeen nostattamalla lumimyrskyjä. Se tunnetaan myös nimellä "jäähirviö".</t>
  </si>
  <si>
    <t>Ne ilmestyvät, kun lumikukat kukkivat. Kun terälehdet putoavat, ne vetäytyvät jälleen tuntemattomiin paikkoihin.</t>
  </si>
  <si>
    <t>Se elää hiljaista elämää vuorilla, jotka ovat aina lumen peitossa. Se piiloutuu nostattamalla lumimyrskyjä.</t>
  </si>
  <si>
    <t>Jos se näkee darumaka-laumoja Snoverin perään, se ajaa ne pois heilutellen kookkaita käsiään kuin vasaroita.</t>
  </si>
  <si>
    <t>Tämä Pokémon tunnetaan lumimyrskyjen aiheuttajista. Sen massiivisen ruumiin ravistelu riittää aiheuttamaan lumimyrskyjä.</t>
  </si>
  <si>
    <t>Voimakas Pokémon, joka pystyy halkaisemaan valtavia lohkareita helposti. Inhoaa seurustelua muiden kanssa ja asuu mieluummin hiljaa syvällä vuorissa leikkien lumen kanssa.</t>
  </si>
  <si>
    <t>Weavile</t>
  </si>
  <si>
    <t>https://pokeapi.co/api/v2/pokemon-species/399/</t>
  </si>
  <si>
    <t>Ne elävät kylmillä alueilla muodostaen neljän tai viiden yksilön ryhmiä, jotka metsästävät saalista vaikuttavalla koordinaatiolla.</t>
  </si>
  <si>
    <t>Se lähettää signaaleja muille kaivertamalla outoja kuvioita huurteiseen puihin ja jäähän.</t>
  </si>
  <si>
    <t>Evoluutio teki siitä vieläkin kieroutuneemman. Se kommunikoi raapimalla merkkejä lohkareisiin.</t>
  </si>
  <si>
    <t>Se elää lumisilla alueilla. Se kaivertaa kuvioita puihin kynsillään viestiksi muille.</t>
  </si>
  <si>
    <t>Ne kommunikoivat raapimalla merkkejä lohkareisiin ja työskentelevät yhdessä saartaakseen viholliset.</t>
  </si>
  <si>
    <t>Ne liikkuvat neljän tai viiden hengen ryhmissä jättäen toisilleen merkkejä puihin ja kiviin. Ne kaatavat saaliinsa koordinoiduilla hyökkäyksillä.</t>
  </si>
  <si>
    <t>Ne asuvat kylmissä paikoissa. Tämän Pokémonin tärkein ravinnonlähde Alolassa ovat Vulpix ja Sandshrew, jotka he jakavat huolellisesti ryhmänsä kesken.</t>
  </si>
  <si>
    <t>https://pokeapi.co/api/v2/pokemon-species/400/</t>
  </si>
  <si>
    <t>Yksi kärpäs kaataa hiekkakimpun ja kääntää sen ympäri, ja sitten toinen kärpäs antaa viimeisen iskun terävillä kynsillään.</t>
  </si>
  <si>
    <t>Lisääntyneen älykkyyden ansiosta ruoan kaapiminen on menneisyyttä. Kynsien raapu voi aiheuttaa paleltuman!</t>
  </si>
  <si>
    <t>Ne hyökkäävät saaliinsa kimppuun laumoissa. Jopa Mamoswinen kokoinen saalis joutuu helposti Weavile-ryhmän yhteistyön uhriksi.</t>
  </si>
  <si>
    <t>Kynsillään se jättää jälkeensä merkkejä ystävilleen löydettäväksi. Erilaisten merkkien määrän sanotaan olevan yli 500.</t>
  </si>
  <si>
    <t>Tämä laji ajaa saalista laumana nurkkiin johtajan ohjauksessa. Kärsäkkä osoittaa lisääntynyttä oveluutta, mikä on saanut minut spekuloimaan, että sen evoluutio on johtanut aivojen kehitykseen.</t>
  </si>
  <si>
    <t>Magnezone</t>
  </si>
  <si>
    <t>Magneettialueen Pokémon</t>
  </si>
  <si>
    <t>Se kehittyi altistumisesta erityiselle magneettikentälle. Kolme yksikköä tuottaa magnetismia.</t>
  </si>
  <si>
    <t>Ryhmä yritti käyttää tieteellisiä keinoja MAGNEZONEn kehittämiseksi, mutta heidän yrityksensä päättyivät epäonnistumiseen.</t>
  </si>
  <si>
    <t>Altistuminen erityiselle magneettikentälle muutti MAGNETONIN molekyylirakennetta ja siitä tuli MAGNEZONE.</t>
  </si>
  <si>
    <t>Ryhmä yritti käyttää tieteellisiä keinoja Magnezonen kehittämiseksi, mutta heidän yrityksensä päättyivät epäonnistumiseen.</t>
  </si>
  <si>
    <t>Joskus Magnezonen lähettämä magnetismi on liian voimakasta, jolloin ne vetävät toisiaan puoleensa eivätkä voi liikkua.</t>
  </si>
  <si>
    <t>https://pokeapi.co/api/v2/pokemon-species/401/</t>
  </si>
  <si>
    <t>Kolme yksikköä tuottaa magnetismia. Magnezonen lentäessä yötaivaalla on ollut monia virheellisiä raportteja UFO-havainnoista.</t>
  </si>
  <si>
    <t>Taivaan halki kiitäessään tämä Pokémon näyttää vastaanottavan tuntemattomasta alkuperästä olevia signaaleja samalla lähettäen tuntemattomaan tarkoitukseen olevia signaaleja.</t>
  </si>
  <si>
    <t>Se käyttää tutkaa alueensa valvontaan. Tunkeilijat tuhotaan nopeasti hypersäteellä.</t>
  </si>
  <si>
    <t>On edelleen ihmisiä, jotka uskovat, että tämä Pokémon tuli avaruudesta. Se säteilee voimakasta magneettikenttää.</t>
  </si>
  <si>
    <t>Jotkut sanovat, että Magnezone vastaanottaa signaaleja avaruudesta päässään olevan antennin kautta ja että sitä ohjaa jokin salaperäinen olento.</t>
  </si>
  <si>
    <t>Uskotaan, että erityinen magneettikenttä muutti tämän Pokémonin kehon molekyylirakennetta, ja se aiheutti Pokémonin evoluution.</t>
  </si>
  <si>
    <t>Teoriani mukaan erityinen magneettikenttä vaikutti tähän Pokémoniin, muuttaen sen molekyylirakennetta ja aiheuttaen sen kehityksen. Se lähettää antennistaan ​​outoja radioaaltoja avaruuteen.</t>
  </si>
  <si>
    <t>Lickilicky</t>
  </si>
  <si>
    <t>Se kietoo tavaroita pidennettävällä kielellään. Liian lähelle meneminen jättää sinut kuolasta läpimäräksi.</t>
  </si>
  <si>
    <t>Pitkä kieli on aina kuolasta märkä. Sylki sisältää liuotinta, joka aiheuttaa puutumista.</t>
  </si>
  <si>
    <t>https://pokeapi.co/api/v2/pokemon-species/402/</t>
  </si>
  <si>
    <t>Sen sylki voi hajottaa mitä tahansa. Se kietoo pitkän kielensä esineiden ympärille peittääkseen ne tahmealla syljellään.</t>
  </si>
  <si>
    <t>Sen kurkussa on tilaa syljen varastointiin. Se voi myös kääriä kielensä ja säilyttää sitä samassa paikassa.</t>
  </si>
  <si>
    <t>Niiden sylki sisältää paljon ainesosia, jotka voivat liuottaa mitä tahansa. Nuolemisen aiheuttama tunnottomuus ei häviä.</t>
  </si>
  <si>
    <t>Kilpailu on käynnissä siitä, kuka pystyy työntämään kielensä pisimmälle. Nykyinen ennätys on... yli 25 metriä.</t>
  </si>
  <si>
    <t>Se käyttää kieltään paljon taitavammin kuin käsiään tai jalkojaan. Se voi taitavasti poimia yhden pienen pavun kielellään.</t>
  </si>
  <si>
    <t>https://pokeapi.co/api/v2/pokemon-species/403/</t>
  </si>
  <si>
    <t>Lickilickyn outo kieli voi venyä moninkertaisesti sen vartalon pituiseksi. Kukaan ei ole keksinyt, miten Lickilickyn kieli voi venyä näin pitkälle.</t>
  </si>
  <si>
    <t>Lickilicky osaa tehdä melkein mitä tahansa kielellään, joka on yhtä taitava kuin ihmiskäsi. Sitä vastoin Lickilickyn sormien käyttö on kömpelöä.</t>
  </si>
  <si>
    <t>Sen kieli voi ojentua ja supistua vapaasti, ja se pystyy kasvamaan yli 10 kertaa Lickilickyn pituiseksi. Varo sylkeä, sillä se sisältää syövyttäviä aineita.</t>
  </si>
  <si>
    <t>Rhyperior</t>
  </si>
  <si>
    <t>Se laittaa kiviä kämmeniensä reikiin ja ampuu niitä lihaksillaan. GEODUDE-hahmoja ammutaan harvoin.</t>
  </si>
  <si>
    <t>Se voi laukaista kädessään pidetyn kiven kuin ohjuksen kiristämällä ja laajentamalla lihaksiaan välittömästi.</t>
  </si>
  <si>
    <t>Kämmeniensä rei'istä se ampuu GEODUDE-rakettia. Sen kuori kestää tulivuorenpurkauksia.</t>
  </si>
  <si>
    <t>Kämmeniensä rei'istä se ampuu Geodudea. Sen kuori kestää tulivuorenpurkauksia.</t>
  </si>
  <si>
    <t>Se laittaa kiviä kämmeniensä reikiin ja ampuu niitä lihaksillaan. Geodudeja ammutaan harvoin.</t>
  </si>
  <si>
    <t>https://pokeapi.co/api/v2/pokemon-species/404/</t>
  </si>
  <si>
    <t>Se voi ladata jopa kolme ammusta käsivartta kohden käsiensä reikiin. Näistä rei'istä voi ampua joko kiviä tai Roggenrolaa.</t>
  </si>
  <si>
    <t>Se luottaa kuoreensa torjuakseen tulevat hyökkäykset ja horjuttaakseen vihollisensa tasapainosta. Heti kun niin tapahtuu, se iskee porallaan vihollista kohti.</t>
  </si>
  <si>
    <t>Tämä Pokémon kehittyi erikoisen esineen avulla. Sen kivenkaltainen nahka koostuu salaperäisestä aineesta ja kestää mestarimiekan iskun lähes naarmuttamatta.</t>
  </si>
  <si>
    <t>Tangrowth</t>
  </si>
  <si>
    <t>Se houkuttelee saalista ojentamalla köynnöksistä tehtyjä käsivarsiaan. Käsivarsien menettäminen saalistajille ei sitä vaivaa.</t>
  </si>
  <si>
    <t>Sen käsivarret on tehty kasveista, jotka sitovat itsensä esineisiin. Ne kasvavat heti takaisin, jos ne leikataan.</t>
  </si>
  <si>
    <t>Liikkuessaan se näyttää suurelta pensaalta. Lähellä vaeltelevat tietämättömät saaliseläimet joutuvat sen köynnösten ansaan.</t>
  </si>
  <si>
    <t>Sen köynnökset kasvavat niin rehevästi, että lämpimänä vuodenaikana sen silmiä ei voi edes nähdä.</t>
  </si>
  <si>
    <t>Vaikka toinen sen käsistä syötäisiin, se on kunnossa. Pokémon uudistuu nopeasti ja palaa heti normaaliksi.</t>
  </si>
  <si>
    <t>https://pokeapi.co/api/v2/pokemon-species/405/</t>
  </si>
  <si>
    <t>Tangrowthilla on kaksi haaraa, joita se voi ojentaa mielensä mukaan. Viimeaikaiset tutkimukset ovat osoittaneet, että nämä haarat ovat itse asiassa köynnösten kimppuja.</t>
  </si>
  <si>
    <t>Lämpimässä ilmastossa elävän Tangrowth-köynnöksen kasvu kiihtyy. Jos köynnökset kasvavat pitkiksi, Tangrowth lyhentää niitä repimällä niistä osia irti.</t>
  </si>
  <si>
    <t>Pitkien köynnösten peittämä se muistuttaa ulkonäöltään pensasta. Se heiluttelee köynnöskimppuja kuin käsivarsia ja kietoo ne saaliinsa ympärille houkutellakseen ne ansaan.</t>
  </si>
  <si>
    <t>Electivire</t>
  </si>
  <si>
    <t>Se työntää kahden häntänsä kärjet vihollista vasten ja päästää sitten irti yli 20 000 voltin energian.</t>
  </si>
  <si>
    <t>Välittämättä vihollisen hyökkäyksistä se lähestyy, työntää pyrstönsä vihollisen päälle ja menettää sitten korkean jännitteensä.</t>
  </si>
  <si>
    <t>Sähkövarauksen voimistuessa siniset kipinät alkavat rätisemään sen sarvien välistä.</t>
  </si>
  <si>
    <t>Heti kun se painaa häntänsä kärjet vastustajaa vasten, se lähettää yli 20 000 volttia sähköä viholliseen.</t>
  </si>
  <si>
    <t>https://pokeapi.co/api/v2/pokemon-species/406/</t>
  </si>
  <si>
    <t>Se työntää häntänsä kärkiä vihollisiaan vasten ja päästää sitten irti korkeajännitteisen sähkövirran. Sen viholliset poltetaan hetkessä rapeaksi.</t>
  </si>
  <si>
    <t>Kun se kiihtyy, se jyskyttää rintaansa. Jokaisen tömähdyksen myötä jyrisee ukkonen ja sähkökipinöitä sataa ympärilleen.</t>
  </si>
  <si>
    <t>Se tarttuu sähköä syöksevään hännäänsä ja lyö sitten vastustajat alas sähköistetyn nyrkkinsä voimalla.</t>
  </si>
  <si>
    <t>Yksi sähkölaitos voi tuottaa riittävästi sähköä kaikille suurkaupungin rakennuksille vuodeksi.</t>
  </si>
  <si>
    <t>Tämän Pokémonin tuottaman sähköenergian määrä on verrannollinen sen pulssin nopeuteen. Jännite hyppää Electiviren taistellessa.</t>
  </si>
  <si>
    <t>Sähköenergian tuoton suhteen Electivire on yksi parhaista sähkö-Pokémoneista. Se purkaa korkeajännitteisiä virtoja pyrstöistään.</t>
  </si>
  <si>
    <t>Sen evoluution aiheutti epätavallinen esine, ja sen sähköntuotto kasvaa sykkeen tahdissa. Pyrstöistään se voi laukaista 20 000 voltin sähkövirran.</t>
  </si>
  <si>
    <t>Magmortar</t>
  </si>
  <si>
    <t>Räjäytä Pokémoneja</t>
  </si>
  <si>
    <t>Se ampuu yli 3 600 Fahrenheit-asteen tulipalloja haarojensa päistä. Se elää tulivuoren kraattereissa.</t>
  </si>
  <si>
    <t>https://pokeapi.co/api/v2/pokemon-species/407/</t>
  </si>
  <si>
    <t>Kun laukaistaan ​​3 600 Fahrenheit-asteen tulipalloja, sen runko saa valkean sävyn voimakkaasta kuumuudesta.</t>
  </si>
  <si>
    <t>Se ampuu käsivarsistaan ​​yli 1 600 celsiusasteen tulipalloja. Sen hengitys myös polttaa ja sihisee.</t>
  </si>
  <si>
    <t>Kun se ampuu käsistään 3 600 Fahrenheit-asteen tulipalloja, sen keho saa valkean sävyn voimakkaasta kuumuudesta.</t>
  </si>
  <si>
    <t>Se ampuu yli 1 600 celsiusasteen tulipalloja haarojensa päistä. Se elää tulivuoren kraattereissa.</t>
  </si>
  <si>
    <t>Ne asuvat tulivuoren kraattereissa. Tiedossa olevan mukaan yhdessä tulivuoressa asuu yksi uros- ja naarasmagmortar-pari.</t>
  </si>
  <si>
    <t>Käsivarrestaan ​​se ampuu yli 1 500 celsiusastetta kuumempia tulipalloja. Sen käsivarsi alkaa sulaa, kun se ampuu kokonaisen tulituksen.</t>
  </si>
  <si>
    <t>On edelleen melko monta tehtaita, jotka ovat riippuvaisia ​​Magmortarin tarjoamista liekeistä metallien prosessoinnissa.</t>
  </si>
  <si>
    <t>Magmortar tappaa vihollisensa ampumalla tulipalloja, jotka polttavat ne mustuneiksi ja rapeiksi. Se välttää tätä menetelmää saalista metsästäessään.</t>
  </si>
  <si>
    <t>https://pokeapi.co/api/v2/pokemon-species/408/</t>
  </si>
  <si>
    <t>Kun Magmortar hengittää syvään sisään, sen vatsassa palava tuli voimistuu ja lämpötila nousee yli 3 600 Fahrenheit-asteeseen.</t>
  </si>
  <si>
    <t>Tulivuoren kraatterissa eläminen on saanut tämän Pokémonin kehon muistuttamaan ympäristöään – sillä on magmakammiota muistuttava elin.</t>
  </si>
  <si>
    <t>Oudon esineen käyttö sai tämän Pokémonin kehittymään. Sen putkimaisten käsivarsien päistä laukaistut tulipallot ovat niin kuumia, että ne voisivat sulattaa rautapadan hetkessä.</t>
  </si>
  <si>
    <t>Togekiss</t>
  </si>
  <si>
    <t>Juhlavuoden Pokémon</t>
  </si>
  <si>
    <t>Se ei koskaan ilmesty sinne, missä on riitaa. Sen havainnot ovat harvinaistuneet viime aikoina.</t>
  </si>
  <si>
    <t>Se jakaa monia siunauksia ihmisille, jotka kunnioittavat toistensa oikeuksia ja välttävät tarpeetonta riitaa.</t>
  </si>
  <si>
    <t>Kuten kaikki tietävät, se vierailee rauhallisilla alueilla tuoden niille ystävällisyyden lahjoja ja suloisia siunauksia.</t>
  </si>
  <si>
    <t>https://pokeapi.co/api/v2/pokemon-species/409/</t>
  </si>
  <si>
    <t>Näitä Pokémoneja ei koskaan nähdä lähelläkään konflikteja tai levottomuuksia. Viime aikoina niitä on nähty tuskin ollenkaan.</t>
  </si>
  <si>
    <t>Siunauksen tuojana tunnettua kalpea on kuvattu onnenkaluissa muinaisista ajoista lähtien.</t>
  </si>
  <si>
    <t>Harva on koskaan nähnyt tätä Pokémonia. Tutkittuani jäljellä olevaa kirjallisuutta olen varma, että Togekiss paljastaa itsensä, kun rauha vallitsee maassa.</t>
  </si>
  <si>
    <t>Yanmega</t>
  </si>
  <si>
    <t>Ogre Darner -Pokémon</t>
  </si>
  <si>
    <t>Siipiään heiluttamalla se luo paineaaltoja, jotka aiheuttavat vihollisille vakavia sisäisiä vammoja.</t>
  </si>
  <si>
    <t>Sen leukojen voima on uskomaton. Se on taitava puremaan vihollisia kappaleiksi lentäessään ohi suurella nopeudella.</t>
  </si>
  <si>
    <t>Tämä kuusijalkainen Pokémon pystyy helposti kuljettamaan aikuisen lennossa. Sen pyrstössä olevat siivet auttavat sitä pysymään tasapainossa.</t>
  </si>
  <si>
    <t>Sen siipieniskut ovat niin voimakkaita, että se vahingossa irrottaa täysikasvuisia puita lähtiessään lentoon.</t>
  </si>
  <si>
    <t>Se mieluummin taistelee puremalla vihollisten päät kappaleiksi välittömästi samalla kun se lentää ohi suurella nopeudella.</t>
  </si>
  <si>
    <t>Äärimmäisen väkivaltainen. Metsästäessään se ei tuhlaa lainkaan energiaansa, vaan tähtää vain saaliin haavoittuvimpiin paikkoihin. Jokaisen, joka onnistuu kesyttämään tämän Pokémonin, täytyy olla uskomattoman rohkea.</t>
  </si>
  <si>
    <t>Leafeon</t>
  </si>
  <si>
    <t>https://pokeapi.co/api/v2/pokemon-species/410/</t>
  </si>
  <si>
    <t>Vehreä Pokémon</t>
  </si>
  <si>
    <t>Aivan kuten kasvi, se käyttää fotosynteesiä. Tämän seurauksena se on aina kirkkaan ilman ympäröimä.</t>
  </si>
  <si>
    <t>Se ei pohjimmiltaan taistele. Kasvien solujen kaltaisilla soluilla se voi suorittaa fotosynteesiä.</t>
  </si>
  <si>
    <t>Kun näet LEAFEONin nukkuvan auringonpaisteessa, tiedät, että se käyttää fotosynteesiä puhtaan ilman tuottamiseen.</t>
  </si>
  <si>
    <t>Kasvien solujen kaltaisilla soluilla se suorittaa fotosynteesiä kehossaan ja luo puhdasta ilmaa.</t>
  </si>
  <si>
    <t>Kun näet Leafeonin nukkuvan auringonpaisteessa, tiedät, että se käyttää fotosynteesiä puhtaan ilman tuottamiseen.</t>
  </si>
  <si>
    <t>Sen solukoostumus on lähempänä kasvin kuin eläimen solukoostumusta. Se käyttää fotosynteesiä energiansaantiin syömättä ruokaa.</t>
  </si>
  <si>
    <t>Mitä nuorempia ne ovat, sitä enemmän ne tuoksuvat tuoreelta ruoholta. Iän myötä niiden tuoksu saa pudonneiden lehtien tuoksun.</t>
  </si>
  <si>
    <t>Vaikka se ei pidä riidoista, se teroittaa pyrstössään olevan lehden miekaksi ja taistelee, jos sen on suojeltava ystäviään.</t>
  </si>
  <si>
    <t>Se saa ravintonsa fotosynteesistä. Se elää hiljaista elämää syvällä metsissä, missä puhtaat joet virtaavat.</t>
  </si>
  <si>
    <t>Galarialaiset pitävät tämän Pokémonin lehdistä leijuvasta ominaisesta aromista. Tästä tuoksusta valmistetaan suosittu hajuvesi.</t>
  </si>
  <si>
    <t>https://pokeapi.co/api/v2/pokemon-species/411/</t>
  </si>
  <si>
    <t>Tämän Pokémonin häntä on terävä ja siinä on upea leikkaava reuna, jolla se voi viiltää suoraan suurten puiden läpi.</t>
  </si>
  <si>
    <t>Sen turkista on löydetty kasvien soluja muistuttavia soluja. Sen kova häntä voi kaataa suuren puun yhdellä iskulla, ja hännän terävyys ylittää jopa mestarin valmistaman miekan terävyyden.</t>
  </si>
  <si>
    <t>Glaceon</t>
  </si>
  <si>
    <t>Tuoreen lumen Pokémon</t>
  </si>
  <si>
    <t>Suojautumiskeinona se voi jäädyttää turkkinsa kokonaan, jolloin sen karvat pystyvät kuin neulat.</t>
  </si>
  <si>
    <t>Säätelemällä ruumiinlämpöään se voi jäädyttää ympäröivän ilmakehän ja luoda timanttipölypilven.</t>
  </si>
  <si>
    <t>Se aiheuttaa pienten jääkiteiden muodostumista alentamalla ympäröivän ilmakehän lämpötilaa.</t>
  </si>
  <si>
    <t>Se alentaa ruumiinlämpöään jäädyttääkseen turkkinsa. Karvat muuttuvat sitten neulojen kaltaisiksi, joita se voi ampua.</t>
  </si>
  <si>
    <t>Se voi hallita ruumiinlämpöään mielensä mukaan. Tämän ansiosta se voi jäädyttää ilmakehän kosteuden, jolloin syntyy timanttipölyä.</t>
  </si>
  <si>
    <t>Se jäädyttää turkkinsa piikikkäiksi ja teräviksi jääpuikoiksi ja tarttuu saaliiseensa.</t>
  </si>
  <si>
    <t>Se suojelee itseään jäädyttämällä turkkinsa teräviksi neuloiksi. Se voi laskea ruumiinlämpönsä alle –24 celsiusasteen.</t>
  </si>
  <si>
    <t>https://pokeapi.co/api/v2/pokemon-species/412/</t>
  </si>
  <si>
    <t>Se voi jäädyttää välittömästi kaiken ympärillään olevan kosteuden ja luoda jäärakeita, joilla se voi ampua saalistaan.</t>
  </si>
  <si>
    <t>Jokainen, joka lumoutuu Glaceonin luoman lumisateen kauneudesta, jäätyy ennen kuin huomaakaan.</t>
  </si>
  <si>
    <t>Glaceonista huokuva kylmyys aiheuttaa puuterimaisen lumen muodostumista, mikä tekee siitä melko suositun Pokémonin hiihtokeskuksissa.</t>
  </si>
  <si>
    <t>Glaceon pystyy laskemaan ruumiinlämpöään hyvin nopeasti. Se jäädyttää ilmakehän ja luo timanttipölyä, joka kimaltelee kuin jalokivet sen lepatellessa ja tanssiessa ympäriinsä.</t>
  </si>
  <si>
    <t>Gliscor</t>
  </si>
  <si>
    <t>Fang-skorpioni-Pokémon</t>
  </si>
  <si>
    <t>Se tarkkailee saalista roikkuessaan ylösalaisin oksilla. Tilaisuuden tullen se syöksyy kimppuun!</t>
  </si>
  <si>
    <t>Jos se onnistuu saamaan kunnolla kiinni edes heikon tuulenvireen, se voi kiertää maapallon räpyttelemättä kertaakaan.</t>
  </si>
  <si>
    <t>Sen lento on äänetön. Se käyttää pitkää häntäänsä saaliinsa kantamiseen... Sitten sen pitkänomaiset torahampaat hoitavat loput.</t>
  </si>
  <si>
    <t>Se tanssii äänettömästi taivaalla. Lähestyessään saalista se voi osua kriittiseen osumaan hetkessä.</t>
  </si>
  <si>
    <t>https://pokeapi.co/api/v2/pokemon-species/413/</t>
  </si>
  <si>
    <t>Se liitää äänettömästi pikimustilla siivillä ja upottaa terävät kulmahampaat saaliinsa kurkkuun. Se näyttää tyytyväiseltä, kun se on imenyt saaliinsa veren kokonaan pois.</t>
  </si>
  <si>
    <t>Mamoswine</t>
  </si>
  <si>
    <t>Kaksoishammas-Pokémon</t>
  </si>
  <si>
    <t>Sen vaikuttavat syöksyhampaat ovat jäätä. Populaatio harveni jääkauden jälkeisen lämpenemisen myötä.</t>
  </si>
  <si>
    <t>Maasta kaivettiin esiin jäätynyt yksi, joka on 10 000 vuotta vanha. Se heräsi suureen hämmästykseen.</t>
  </si>
  <si>
    <t>Jäästä kaivettiin 10 000 vuotta vanha jäänkappale. Tämä Pokémon on ollut olemassa jo pitkään, pitkään, pitkään.</t>
  </si>
  <si>
    <t>Se kukoisti maailmanlaajuisesti jääkauden aikana, mutta sen populaatio väheni, kun jäämassat alkoivat hupenemaan.</t>
  </si>
  <si>
    <t>Kun lämpötila nousi jääkauden lopussa, suurin osa Mamoswinesta katosi.</t>
  </si>
  <si>
    <t>Jäästä kaivettiin jäätynyt Mamoswine, joka on 10 000 vuotta vanha. Tämä Pokémon on ollut olemassa jo pitkään, pitkään, pitkään.</t>
  </si>
  <si>
    <t>Tätä Pokémonia voi nähdä seinämaalauksissa jopa 10 000 vuoden takaa. Jonkin aikaa sen uskottiin kuolleen sukupuuttoon.</t>
  </si>
  <si>
    <t>https://pokeapi.co/api/v2/pokemon-species/414/</t>
  </si>
  <si>
    <t>Se näyttää vahvalta, ja juuri sitä se onkin. Sään kylmetessä sen jäähampaat pitenevät, paksuuntuvat ja muuttuvat vaikuttavammiksi.</t>
  </si>
  <si>
    <t>Tämä laji saavutti huippunsa jääkautena tunnettuna aikana. Epäilen, että Hisuin hyytävä ilmasto on sopusoinnussa Mamoswinen perusrakenteen kanssa, herättäen siten piilevän potentiaalin.</t>
  </si>
  <si>
    <t>Porygon-Z</t>
  </si>
  <si>
    <t>Lisäohjelmistoja asennettiin, jotta siitä tulisi parempi Pokémon. Se alkoi kuitenkin käyttäytyä oudosti.</t>
  </si>
  <si>
    <t>Sen ohjelmointia oli muokattu mahdollistamaan työskentely vieraissa ulottuvuuksissa. Se ei toiminut suunnitellusti.</t>
  </si>
  <si>
    <t>Sen ohjelmointia on muokattu, jotta se voisi matkustaa vieraiden ulottuvuuksien läpi. Näyttää siltä, ​​että siinä on saattanut olla virhe...</t>
  </si>
  <si>
    <t>Kehittyneemmän Pokémonin luomiseksi asennettiin lisäohjelma, mutta ilmeisesti siinä oli vika, joka saa sen liikkumaan oudosti.</t>
  </si>
  <si>
    <t>Sen ohjelmaa muokattiin helpottamaan ulottuvuuksien ulkopuolisia toimintoja, mutta se johti huomattavan outoon käyttäytymiseen.</t>
  </si>
  <si>
    <t>Sen käyttäytyminen on huomattavan epävakaata, mikä ilmeisesti johtuu ohjelmoinnin päivittäneen insinöörin epäpätevyydestä.</t>
  </si>
  <si>
    <t>Sen ohjelmointiin lisättiin viallinen päivitys. Sen toiminta on huomattavan outoa, joten koe on saattanut epäonnistua.</t>
  </si>
  <si>
    <t>Porygon-Z:lla oli asennettuna ohjelma, jonka avulla se pystyi liikkumaan ulottuvuuksien välillä, mutta ohjelma aiheutti myös epävakautta Porygon-Z:n toiminnassa.</t>
  </si>
  <si>
    <t>Jotkut sanovat, että tämän Pokémonin kehitykseen vaikutti jokin lisäohjelma, mutta edes akateemikot eivät ole yhtä mieltä siitä, onko Porygon-Z todella evoluutio.</t>
  </si>
  <si>
    <t>Eräs omituinen esine sai aikaan tämän kehityksen. Pokémonin hyökkäyskyky on lisääntynyt huomattavasti, mutta sen omituinen käyttäytyminen on voimistunut yhtä lailla. Tämä huolestuttaa minua.</t>
  </si>
  <si>
    <t>Gallade</t>
  </si>
  <si>
    <t>Terä-Pokémon</t>
  </si>
  <si>
    <t>Kohteliaisuuden ja miekkataidon mestarina se taistelee käyttäen ojennettuja miekkoja kyynärpäillään.</t>
  </si>
  <si>
    <t>Yrittäessään suojella jotakuta se ojentaa kyynärpäänsä kuin miekat ja taistelee raa'asti.</t>
  </si>
  <si>
    <t>https://pokeapi.co/api/v2/pokemon-species/415/</t>
  </si>
  <si>
    <t>Koska se aistii vihollisen ajatukset, sen hyökkäykset purkautuvat ensin, nopeasti ja raivokkaasti.</t>
  </si>
  <si>
    <t>Kunniallisen soturin imagolleen uskollisena se käyttää kyynärpäissään olevia teriä vain puolustaakseen jotakuta tai jotakuta.</t>
  </si>
  <si>
    <t>Terävästi muiden avuntoiveisiin herkkänä tämä Pokémon etsii apua tarvitsevia ja auttaa heitä taistelussa.</t>
  </si>
  <si>
    <t>Sen kyynärpäistä ulkonevat terät ovat terävämmät kuin parhaimmatkaan miekat. Sen miekkailutaito, vaikkakin itseoppinut, on hämmästyttävän vaikuttava.</t>
  </si>
  <si>
    <t>Probopass</t>
  </si>
  <si>
    <t>Se huokuu voimakasta magnetismia kaikkialta. Se ohjaa kolmea pientä yksikköä, joita kutsutaan Mini-Neniksi.</t>
  </si>
  <si>
    <t>Se ohjaa vapaasti kolmea pientä yksikköä, joita kutsutaan Mini-Neniksi, magneettivoiman avulla.</t>
  </si>
  <si>
    <t>Se ohjaa magneettivoiman avulla kolmea Mini-Neniksi kutsuttua yksikköä. Niiden avulla se voi hyökätä vihollista kolmesta suunnasta.</t>
  </si>
  <si>
    <t>https://pokeapi.co/api/v2/pokemon-species/416/</t>
  </si>
  <si>
    <t>Se ohjaa vapaasti kolmea Mini-Neniksi kutsuttua yksikköä magneettivoiman avulla.</t>
  </si>
  <si>
    <t>Se säteilee niin voimakasta magneettikenttää, että lähellä olevat sähkölaitteet tulevat käyttökelvottomiksi.</t>
  </si>
  <si>
    <t>Päärunko ohjaa kolmea liikkuvaa yksikköä, joita kutsutaan Mini-Nosesiksi ja joita se ohjaa saaliin pyydystämiseksi.</t>
  </si>
  <si>
    <t>Vaikka se pystyy ohjaamaan Mini-Neniksi kutsuttuja yksiköitään, ne joskus eksyvät eivätkä palaa.</t>
  </si>
  <si>
    <t>Se käyttää kolmea pientä yksikköä saaliin pyydystämiseen ja vihollisten torjumiseen. Pääosa enimmäkseen vain antaa käskyjä.</t>
  </si>
  <si>
    <t>Se pystyy säteilemään voimakasta magnetismia, jonka avulla se hallitsee rautahiekkaa, joka muodostaa sen rehevät viikset. Tämän rautahiekan avulla Probopass muodostaa kovia kiviä, joilla se lyö saalistaan.</t>
  </si>
  <si>
    <t>Dusknoir</t>
  </si>
  <si>
    <t>Gripper-Pokémon</t>
  </si>
  <si>
    <t>Sen päässä oleva antenni kaappaa henkimaailmasta tulevia radioaaltoja, jotka käskevät sitä viemään ihmisiä sinne.</t>
  </si>
  <si>
    <t>Sen sanotaan ottavan kadonneet henget taipuisaan ruumiiseensa ja ohjaavan ne kotiin.</t>
  </si>
  <si>
    <t>Tämän pelätyn Pokémonin sanotaan matkustavan tuntemattomiin maailmoihin. Jotkut jopa uskovat, että se vie kadonneet henget mukanaan.</t>
  </si>
  <si>
    <t>https://pokeapi.co/api/v2/pokemon-species/417/</t>
  </si>
  <si>
    <t>Henkimaailman lähetysten käskystä se varastaa ihmisiä ja Pokémoneja pois. Kukaan ei tiedä, onko sillä omaa tahtoa.</t>
  </si>
  <si>
    <t>Suu vatsallaan Dusknoir nielee kohteensa kokonaisena. Vain sielu syödään – Dusknoir oksentaa ruumiin ennen lähtöään.</t>
  </si>
  <si>
    <t>Tulee niiden luokse, joiden elämä on päättynyt, ja saattaa heidän sielunsa tuonpuoleiseen. Tunnetaan siitä, että se ottaa erehdyksessä niiden sielut, joilla on vielä elämää jäljellä, vaikkakin harvoin.</t>
  </si>
  <si>
    <t>Froslass</t>
  </si>
  <si>
    <t>Lumimaan Pokémon</t>
  </si>
  <si>
    <t>Se jäädyttää viholliset jäisellä hengityksellään lähes -15 celsiusasteeseen. Sen ruumis näyttää olevan ontto.</t>
  </si>
  <si>
    <t>Se jäädyttää saaliinsa puhaltamalla -58 celsiusasteen henkäyksen. Sen sanotaan sitten salaa esittelevän saalistaan.</t>
  </si>
  <si>
    <t>Lumisten alueiden legendoissa kerrotaan, että jäiselle vuorelle eksynyt nainen syntyi uudesti FROSLASSina.</t>
  </si>
  <si>
    <t>Lumisten alueiden legendojen mukaan jäiselle vuorelle eksynyt nainen syntyi uudelleen nimellä FROSLASS</t>
  </si>
  <si>
    <t>https://pokeapi.co/api/v2/pokemon-species/418/</t>
  </si>
  <si>
    <t>Se jäädyttää viholliset jäisellä hengityksellään lähes -60 celsiusasteeseen. Sen ruumis näyttää olevan ontto.</t>
  </si>
  <si>
    <t>Lumisten alueiden legendoissa kerrotaan, että jäiselle vuorelle eksynyt nainen syntyi uudesti Froslassina.</t>
  </si>
  <si>
    <t>Löydettyään ihmisiä tai Pokémoneja, joista se pitää, se jäädyttää ne ja vie ne kylmään luolaansa, jossa niistä tulee koristeita.</t>
  </si>
  <si>
    <t>Lumiselle vuorelle eksyneen naisen sielu otti omakseen jääpuikon, ja siitä tuli tämä Pokémon. Se nauttii eniten miesten sieluista.</t>
  </si>
  <si>
    <t>Se jäädyttää lumisille vuorille kiipeämään tulleet vaeltajat ja kantaa heidät takaisin kotiinsa. Se jahtaa vain miehiä, joita se pitää komeina.</t>
  </si>
  <si>
    <t>Sanotaan, että hirvittävien lumimyrskyjen öinä se taantuu ihmisasutuskeskuksiin. Jos kuulet sen koputtavan oveesi, älä avaa sitä!</t>
  </si>
  <si>
    <t>Nainen kohtasi loppunsa lumisilla vuorilla, ja katumus viipyi hänen mielessään. Niistä syntyi tämä Pokémon. Sen lempiruoka on jäätyneet sielut.</t>
  </si>
  <si>
    <t>Se sylkee ulos lähes −15 celsiusasteen kylmää ilmaa jäädyttääkseen saaliinsa. Se tuo jäätyneen saaliin takaisin pesälleen ja asettaa ne siististi riviin.</t>
  </si>
  <si>
    <t>Pokémon, jonka asuttaa lumisilla vuorilla kaunaa kantaen kuolleen naisen sielu. Legendat Froslassista, joka langettaa kuolemankirouksia huonosti käyttäytyville miehille, saavat minut kylmille väreille.</t>
  </si>
  <si>
    <t>Rotom</t>
  </si>
  <si>
    <t>Plasma-Pokémon</t>
  </si>
  <si>
    <t>Sen runko koostuu plasmasta. Sen tiedetään tunkeutuvan elektronisiin laitteisiin ja aiheuttavan tuhoa.</t>
  </si>
  <si>
    <t>https://pokeapi.co/api/v2/pokemon-species/419/</t>
  </si>
  <si>
    <t>Sen sähkön kaltainen ruumis voi tunkeutua tietynlaisiin koneisiin ja ottaa ne hallintaansa tehdäkseen pahaa.</t>
  </si>
  <si>
    <t>Tutkimus jatkuu tästä Pokémonista, joka voisi olla ainutlaatuisen moottorin voimanlähde.</t>
  </si>
  <si>
    <t>Yhden pojan keksintö johti monien erilaisten koneiden kehittämiseen, jotka hyödyntävät Rotomin ainutlaatuisia ominaisuuksia.</t>
  </si>
  <si>
    <t>Plasmasta tehdyn ruumiinsa ansiosta se voi asua kaikenlaisissa koneissa. Se rakastaa yllättää muita.</t>
  </si>
  <si>
    <t>https://pokeapi.co/api/v2/pokemon-species/420/</t>
  </si>
  <si>
    <t>Tämä omituinen Pokémon näyttää sähkökäyttöiseltä virvatuli-Pokémonilta. Ole varovainen, sillä Rotom on sekä älykäs että ilkikurinen.</t>
  </si>
  <si>
    <t>Uxie</t>
  </si>
  <si>
    <t>Tieto-Pokémon</t>
  </si>
  <si>
    <t>Tunnetaan nimellä "Tiedon Olento". Sanotaan, että se voi pyyhkiä pois niiden muistin, jotka näkevät sen silmät.</t>
  </si>
  <si>
    <t>Sanotaan, että sen ilmaantuminen antoi ihmisille älykkyyden parantaa elämänlaatuaan.</t>
  </si>
  <si>
    <t>Kun UXIE lensi, ihmiset saivat kyvyn ratkaista ongelmia. Se oli tiedon synty.</t>
  </si>
  <si>
    <t>Joidenkin lähteiden mukaan tämä Pokémon antoi ihmisille tarvittavan älykkyyden erilaisten ongelmien ratkaisemiseksi.</t>
  </si>
  <si>
    <t>Kun Uxie lensi, ihmiset saivat kyvyn ratkaista ongelmia. Se oli tiedon synty.</t>
  </si>
  <si>
    <t>Pokémon, jota pelätään, mutta myös kunnioitetaan pahantekijöiden muistojen varastamisesta. Olen löytänyt tietoja, jotka viittaavat siihen, että Uxie hallitsee tietoa.</t>
  </si>
  <si>
    <t>Mesprit</t>
  </si>
  <si>
    <t>Tunnetaan nimellä ”Tunteiden olento”. Se opetti ihmisille surun, tuskan ja ilon jalouden.</t>
  </si>
  <si>
    <t>Se nukkuu järven pohjassa. Sen hengen sanotaan jättävän ruumiinsa lentääkseen järven pinnalla.</t>
  </si>
  <si>
    <t>https://pokeapi.co/api/v2/pokemon-species/421/</t>
  </si>
  <si>
    <t>Kun MESPRIT lensi, ihmiset oppivat elämän ilon ja surun. Se oli tunteiden synty.</t>
  </si>
  <si>
    <t>Tämän Pokémonin sanotaan antaneen ihmissydämelle tunteita, kuten surua ja iloa.</t>
  </si>
  <si>
    <t>Kun Mesprit lensi, ihmiset oppivat elämän ilon ja surun. Se oli tunteiden synty.</t>
  </si>
  <si>
    <t>Tunnetaan Tunteiden Olentona. Legendan mukaan tätä Pokémonia pelättiin, sillä jokaisen epäkunnioitusta osoittavan tunteet sekoitettiin.</t>
  </si>
  <si>
    <t>Azelf</t>
  </si>
  <si>
    <t>Tahdonvoima-Pokémon</t>
  </si>
  <si>
    <t>Tunnetaan nimellä "Tahdonvoiman olento". Se nukkuu järven pohjassa pitääkseen maailman tasapainossa.</t>
  </si>
  <si>
    <t>https://pokeapi.co/api/v2/pokemon-species/422/</t>
  </si>
  <si>
    <t>Uskotaan, että UXIE, MESPRIT ja AZELF ovat kaikki peräisin samasta munasta.</t>
  </si>
  <si>
    <t>Kun AZELF lensi, ihmiset saivat päättäväisyyttä tehdä asioita. Se oli tahdonvoiman synty.</t>
  </si>
  <si>
    <t>Tämän Pokémonin sanotaan antaneen ihmisille päättäväisyyden kohdata kaikki elämän vaikeudet.</t>
  </si>
  <si>
    <t>Kun Azelf lensi, ihmiset saivat päättäväisyyttä tehdä asioita. Se oli tahdonvoiman syntymä.</t>
  </si>
  <si>
    <t>Uskotaan, että Uxie, Mesprit ja Azelf polveutuivat kaikki samasta munasta.</t>
  </si>
  <si>
    <t>Pelätty tahdonvoiman olento. Legendat kertovat tästä Pokémonista, joka manipuloi vastustajiensa tahtoa ja muuttaa heidät omiksi nukeikseen.</t>
  </si>
  <si>
    <t>Dialga</t>
  </si>
  <si>
    <t>https://pokeapi.co/api/v2/pokemon-species/423/</t>
  </si>
  <si>
    <t>Ajallinen Pokémon</t>
  </si>
  <si>
    <t>Sillä on voima hallita aikaa. Se esiintyy Sinnoh-alueen myyteissä muinaisena jumaluutena.</t>
  </si>
  <si>
    <t>Legendaarinen Pokémon. Sanotaan, että aika alkoi kulua DIALGAn syntyessä.</t>
  </si>
  <si>
    <t>Legendaarinen Sinnohin Pokémon. Sanotaan, että aika virtaa DIALGAn sydämen lyödessä.</t>
  </si>
  <si>
    <t>Tämä Pokémon hallitsee täysin ajan kulkua. Se käyttää voimiaan matkustaakseen mielensä mukaan menneisyyden ja tulevaisuuden halki.</t>
  </si>
  <si>
    <t>Legendaarinen Sinnohin Pokémon. Sanotaan, että aika virtaa Dialgan sydämen lyödessä.</t>
  </si>
  <si>
    <t>Legendaarinen Pokémon. Kerrotaan, että aika alkoi kulua Dialgan syntymästä.</t>
  </si>
  <si>
    <t>Tätä Pokémonia kunnioitetaan jumaluutena Hisuian legendoissa. Dialgan syntymä sai valtavan aikavirran virtaamaan maailmassamme.</t>
  </si>
  <si>
    <t>Palkia</t>
  </si>
  <si>
    <t>Avaruudellinen Pokémon</t>
  </si>
  <si>
    <t>Sillä on kyky vääristää avaruutta. Sitä kuvataan jumaluudeksi Sinnoh-alueen mytologiassa.</t>
  </si>
  <si>
    <t>Sen sanotaan elävän meidän ulottuvuutemme kanssa rinnakkaisessa avaruudellisessa raossa. Se esiintyy mytologiassa.</t>
  </si>
  <si>
    <t>Legendaarinen Sinnohin Pokémon. Sanotaan, että avaruudesta tulee vakaampi PALKIAn jokaisella hengenvedolla.</t>
  </si>
  <si>
    <t>https://pokeapi.co/api/v2/pokemon-species/424/</t>
  </si>
  <si>
    <t>Sen täydellinen hallinta avaruuden rajojen yli mahdollistaa sen kuljettamisen kaukaisiin paikkoihin tai jopa muihin ulottuvuuksiin.</t>
  </si>
  <si>
    <t>Legendaarinen Sinnohin Pokémon. Sanotaan, että avaruudesta tulee vakaampi Palkian jokaisella hengenvedolla.</t>
  </si>
  <si>
    <t>https://pokeapi.co/api/v2/pokemon-species/425/</t>
  </si>
  <si>
    <t>Tätä Pokémonia pelätään jumaluutena Hisuian legendoissa. Palkian syntymä aiheutti maailmamme muurien katoamisen ja loi äärettömyyteen ulottuvan taivaan.</t>
  </si>
  <si>
    <t>Heatran</t>
  </si>
  <si>
    <t>Laavakupoli-Pokémon</t>
  </si>
  <si>
    <t>Se asuu tulivuorenpurkausten luolissa. Se kaivautuu ristinmuotoisilla jaloillaan katoissa ja seinillä ryömimään.</t>
  </si>
  <si>
    <t>Sen runko on valmistettu kestävästä teräksestä. Se on kuitenkin paikoin sulanut oman lämmön vaikutuksesta.</t>
  </si>
  <si>
    <t>Kiehuva veri, kuten magma, kiertää sen kehossa. Se tekee asuinpaikkansa tulivuorenluolissa.</t>
  </si>
  <si>
    <t>https://pokeapi.co/api/v2/pokemon-species/426/</t>
  </si>
  <si>
    <t>Tarinoiden mukaan tämä Pokémon syntyi kiehuvasta magmasta Mount Coronetin sisällä. Sen sulasta teräksestä valmistettu ruumis kätkee sisäänsä monia mysteerejä.</t>
  </si>
  <si>
    <t>Regigigas</t>
  </si>
  <si>
    <t>Kolossaalinen Pokémon</t>
  </si>
  <si>
    <t>On olemassa pysyvä legenda, jonka mukaan tämä Pokémon hinasi mantereita köysillä.</t>
  </si>
  <si>
    <t>Sen sanotaan tehneen itsensä näköisiä Pokémoneja erityisestä jäävuoresta, kivistä ja magmasta.</t>
  </si>
  <si>
    <t>Sen uskotaan muovanneen REGIROCKin, REGICEn ja REGISTEELIN savesta, jäästä ja magmasta.</t>
  </si>
  <si>
    <t>Ympäri maailmaa liikkuu legendoja, jotka kertovat Regigigasista, joka loi muita Pokémoneja omaksi kuvakseen.</t>
  </si>
  <si>
    <t>Sanotaan, että Regigigas loi muita Pokémoneja monista eri materiaaleista ennen kuin se siirsi mantereet nykyiseen sijaintiinsa.</t>
  </si>
  <si>
    <t>Legendan mukaan Regigigas veti maamassoja yhteen ja sitoi ne köydellä luodakseen Hisui-mantereen. Vaikka minulla on epäilykseni, tarinassa saattaa hyvinkin olla ripaus totuutta.</t>
  </si>
  <si>
    <t>Giratina</t>
  </si>
  <si>
    <t>Renegade-Pokémon</t>
  </si>
  <si>
    <t>Pokémon, jonka sanotaan elävän meidän puolemme toisella puolella olevassa maailmassa. Se ilmestyy muinaisella hautausmaalla.</t>
  </si>
  <si>
    <t>https://pokeapi.co/api/v2/pokemon-species/427/</t>
  </si>
  <si>
    <t>Se karkotettiin väkivaltaisuutensa vuoksi. Se katseli hiljaa vanhaa maailmaa Vääristymän maailmasta.</t>
  </si>
  <si>
    <t>Tämän Pokémonin sanotaan elävän meidän puolemme kääntöpuolella olevassa maailmassa, jossa yleistieto on vääristynyttä ja outoa.</t>
  </si>
  <si>
    <t>Yhdessä hisuilaisessa säkeessä kerrotaan voimakkaasta valosta, joka luo syvän varjon. Kuvittelen, että tämä syvä varjo on Giratina.</t>
  </si>
  <si>
    <t>Cresselia</t>
  </si>
  <si>
    <t>Kuu-Pokémon</t>
  </si>
  <si>
    <t>Sen siivistä vapautuu kiiltäviä hiukkasia kuin huntu. Sen sanotaan edustavan kuunsirppiä.</t>
  </si>
  <si>
    <t>https://pokeapi.co/api/v2/pokemon-species/428/</t>
  </si>
  <si>
    <t>Neljänneskuun ympärysöinä sen pyrstöstä lähtevät revontulet ulottuvat ja aaltoilevat kauniisti.</t>
  </si>
  <si>
    <t>Ne, jotka nukkuvat CRESSELIAn höyhenen kanssa, näkevät varmasti iloisia unia. Sen sanotaan edustavan kuunsirppiä.</t>
  </si>
  <si>
    <t>Ne, jotka nukkuvat Cresselian höyhen sylissä, näkevät varmasti iloisia unia. Sen sanotaan edustavan kuunsirppiä.</t>
  </si>
  <si>
    <t>Cresselia muistuttaa kuunsirppiä. Se jättää jälkeensä kirkkaan valoviivan lentäessään yötaivaan halki. Uskallan väittää, että se muistuttaa Linnunradan luonutta taivaallista neitoa.</t>
  </si>
  <si>
    <t>https://pokeapi.co/api/v2/pokemon-species/429/</t>
  </si>
  <si>
    <t>Phione</t>
  </si>
  <si>
    <t>Merivaeltaja-Pokémon</t>
  </si>
  <si>
    <t>Lämpimissä merissä elävä Pokémon. Se täyttää päänsä päällä olevan kelluntapussin ajelehtiakseen ja etsiäkseen ruokaa.</t>
  </si>
  <si>
    <t>Se ajelehtii lämpimissä merissä. Se palaa aina syntymäpaikalleen, olipa se ajelehtinut kuinka kauas tahansa.</t>
  </si>
  <si>
    <t>Kun vesi lämpenee, ne täyttävät kelluntapussin päähänsä ja ajelehtivat hitaasti merellä laumoissa.</t>
  </si>
  <si>
    <t>Sen voi nähdä kelluvan avomerellä lämpiminä vuodenaikoina. Sen turkoosi ruumis sulautuu meriveteen – loogisesti ajatellen kyseessä on puolustusmekanismi luonnollisia saalistajia vastaan.</t>
  </si>
  <si>
    <t>Manaphy</t>
  </si>
  <si>
    <t>Merenkulku-Pokémon</t>
  </si>
  <si>
    <t>Kylmällä merenpohjalla syntynyt se ui pitkiäkin matkoja palatakseen syntymäpaikkaansa.</t>
  </si>
  <si>
    <t>Vesi muodostaa 80 % sen kehosta. Ympäristö vaikuttaa tähän Pokémoniin helposti.</t>
  </si>
  <si>
    <t>Se syntyy ihmeellisellä voimalla, jonka avulla se voi luoda yhteyden minkä tahansa tyyppiseen Pokémoniin.</t>
  </si>
  <si>
    <t>Se aloittaa elämänsä ihmeellisellä voimalla, jonka avulla se voi muodostaa yhteyden minkä tahansa tyyppiseen Pokémoniin.</t>
  </si>
  <si>
    <t>Huhujen mukaan Manaphy vaeltaa valtamerien yli ja vierailee Hisuin rannikkovesillä vain harvoin. Vaikka Manaphy muistuttaa Phionea, se on myös melko erilainen. Näiden kahden välinen suhde on epäselvä.</t>
  </si>
  <si>
    <t>Darkrai</t>
  </si>
  <si>
    <t>Pikimusta Pokémon</t>
  </si>
  <si>
    <t>https://pokeapi.co/api/v2/pokemon-species/430/</t>
  </si>
  <si>
    <t>Se voi tuudittaa ihmiset uneen ja saada heidät näkemään unia. Se on aktiivinen uudenkuun öinä.</t>
  </si>
  <si>
    <t>Tarinan mukaan tämä Pokémon saa ihmiset näkemään kauhistuttavia painajaisia ​​kuuttomina öinä.</t>
  </si>
  <si>
    <t>Suojellakseen itseään se vaivaa ympärillään olevia painajaisilla. Se ei kuitenkaan tarkoita mitään pahaa.</t>
  </si>
  <si>
    <t>Se ajaa ihmisiä ja Pokémoneja pois reviiriltään aiheuttamalla heille syvän, painajaismaisen unen.</t>
  </si>
  <si>
    <t>Kuuttomana yönä sattui outo tapaus, jossa jokainen kylän asukas näki painajaisia. Kyläläiset todistivat Darkrain ilmestyneen heille näissä painajaisissa.</t>
  </si>
  <si>
    <t>Shaymin</t>
  </si>
  <si>
    <t>Kiitollisuus-Pokémon</t>
  </si>
  <si>
    <t>Se elää kukkalaikuissa ja välttää havaitsemisen käpertymällä näyttämään kukkivalta kasvilta.</t>
  </si>
  <si>
    <t>Se voi liuottaa ilmassa olevia myrkkyjä ja muuttaa pilalle menneen maan välittömästi reheväksi kukkapelloksi.</t>
  </si>
  <si>
    <t>Kukat kaikkialla sen kehossa puhkeavat kukkaan, jos sitä halataan hellästi ja se tuntee kiitollisuutta.</t>
  </si>
  <si>
    <t>Gracidean kukinta antaa sille lentovoiman. Kiitollisuuden tunteet ovat sen viesti.</t>
  </si>
  <si>
    <t>https://pokeapi.co/api/v2/pokemon-species/431/</t>
  </si>
  <si>
    <t>Kun vuodenaikojen vaihtuminen tuo julman talven loppuun ja iloiset ihmiset kiittävät taivasta, Shaymin ilmestyy ja peittää kuihtuneen maan kukilla.</t>
  </si>
  <si>
    <t>Arceus</t>
  </si>
  <si>
    <t>Alfa-Pokémon</t>
  </si>
  <si>
    <t>Mytologiassa sitä kuvataan Pokémonina, joka muovasi maailmankaikkeuden tuhannella kädellään.</t>
  </si>
  <si>
    <t>Mytologiassa kerrotaan, että tämä Pokémon syntyi ennen kuin maailmankaikkeutta edes oli olemassa.</t>
  </si>
  <si>
    <t>Sen sanotaan nousseen munasta paikassa, jossa ei ollut mitään, ja muovanneen sitten maailman.</t>
  </si>
  <si>
    <t>Sinnohin legendojen mukaan tämä Pokémon nousi munasta ja muovasi kaiken, mitä tässä maailmassa on.</t>
  </si>
  <si>
    <t>Sen sanotaan nousseen munasta paikassa, jossa ei ollut mitään, ja muovannut maailmaa.</t>
  </si>
  <si>
    <t>Se on taivaallinen lähde, josta virtaa Hisuin ylle loistava valo. Sen hohde opastaa ja suojelee kaikkia Pokémoneja. Hisuin mytologiassa Arceus on kaiken luoja.</t>
  </si>
  <si>
    <t>Victini</t>
  </si>
  <si>
    <t>Voiton Pokémon</t>
  </si>
  <si>
    <t>https://pokeapi.co/api/v2/pokemon-species/432/</t>
  </si>
  <si>
    <t>Tämä Pokémon tuo voiton. Sanotaan, että Victinin kanssa kouluttajat voittavat aina, kohtaamisen tyypistä riippumatta.</t>
  </si>
  <si>
    <t>Se luo kehoonsa rajattoman energiavarannon, jota se jakaa sitä koskettavien kanssa.</t>
  </si>
  <si>
    <t>Kun se jakaa luomaansa ääretöntä energiaa, koko olennon keho on täynnä voimaa.</t>
  </si>
  <si>
    <t>Snivy</t>
  </si>
  <si>
    <t>Ruohokäärme-Pokémon</t>
  </si>
  <si>
    <t>Se on hyvin älykäs ja rauhallinen. Altistuminen runsaalle auringonvalolle tekee sen liikkeistä nopeampia.</t>
  </si>
  <si>
    <t>Ne fotosyntetisoivat kylpemällä häntäänsä auringonvalossa. Kun ne voivat huonosti, niiden häntä painuu alas.</t>
  </si>
  <si>
    <t>Auringonvalo tekee sen liikkeistä nopeampia. Se käyttää köynnöksiä taitavammin kuin käsiään.</t>
  </si>
  <si>
    <t>https://pokeapi.co/api/v2/pokemon-species/433/</t>
  </si>
  <si>
    <t>Servine</t>
  </si>
  <si>
    <t>Se liikkuu maassa kuin liukuen. Sen nopeat liikkeet hämmentävät vihollisiaan ja hyökkää sitten köynnösruoskalla.</t>
  </si>
  <si>
    <t>Ne välttävät hyökkäyksiä uppoutumalla tiheän kasvillisuuden varjoihin. Ne kostavat mestarillisilla ruoskintatekniikoilla.</t>
  </si>
  <si>
    <t>Kun se likaantuu, sen lehtiä ei voida käyttää fotosynteesiin, joten se pitää itsensä aina puhtaana.</t>
  </si>
  <si>
    <t>Serperior</t>
  </si>
  <si>
    <t>Se voi pysäyttää vastustajiensa liikkeet pelkällä häikäisyllä. Se ottaa vastaan ​​auringon energiaa ja vahvistaa sitä sisäisesti.</t>
  </si>
  <si>
    <t>He nostavat päätään pelotellakseen vastustajia, mutta antavat kaikkensa vain taistellessaan voimakasta vastustajaa vastaan.</t>
  </si>
  <si>
    <t>Se antaa kaikkensa vain vahvoja vastustajia vastaan, joita Serperiorin jalojen silmien tuijotus ei hätkähdä.</t>
  </si>
  <si>
    <t>https://pokeapi.co/api/v2/pokemon-species/434/</t>
  </si>
  <si>
    <t>Tepig</t>
  </si>
  <si>
    <t>Tulisika-Pokémon</t>
  </si>
  <si>
    <t>Se pystyy taitavasti väistelemään vihollistensa hyökkäyksiä ampumalla nenästään tulipalloja. Se paahtaa marjoja ennen kuin syö ne.</t>
  </si>
  <si>
    <t>Se puhaltaa tulta nenänsä kautta. Kun se vilustuu, tulesta tulee pikimustaa savua.</t>
  </si>
  <si>
    <t>Se rakastaa paahdettujen marjojen syömistä, mutta joskus se innostuu liikaa ja polttaa ne rapeiksi.</t>
  </si>
  <si>
    <t>https://pokeapi.co/api/v2/pokemon-species/435/</t>
  </si>
  <si>
    <t>Pignite</t>
  </si>
  <si>
    <t>Kun sen sisäinen tuli leimahtaa, sen liikkeet terävöityvät ja nopeutuvat. Hädässä se päästää savua.</t>
  </si>
  <si>
    <t>Kaikesta, mitä se syö, tulee polttoainetta sen vatsassa olevalle liekille. Kun se suuttuu, liekin voimakkuus kasvaa.</t>
  </si>
  <si>
    <t>Mitä enemmän se syö, sitä enemmän polttoainetta sillä on vatsassaan olevan tulen vahvistamiseen. Tämä täyttää sen entistä suuremmalla voimalla.</t>
  </si>
  <si>
    <t>Emboar</t>
  </si>
  <si>
    <t>Mega-tulipossu-Pokémon</t>
  </si>
  <si>
    <t>Se voi iskeä tulisen iskun sytyttämällä nyrkkinsä tuleen tulisella leuallaan. Se välittää syvästi ystävistään.</t>
  </si>
  <si>
    <t>Se on oppinut nopeat ja tehokkaat taisteluliikkeet. Sille kasvaa tuliparta.</t>
  </si>
  <si>
    <t>Leimuava tuliparta on todiste siitä, että se on tulessa. Se on taitava käyttämään monia eri liikkeitä.</t>
  </si>
  <si>
    <t>https://pokeapi.co/api/v2/pokemon-species/436/</t>
  </si>
  <si>
    <t>Oshawott</t>
  </si>
  <si>
    <t>Merisaukko-Pokémon</t>
  </si>
  <si>
    <t>Se taistelee käyttäen vatsallaan olevaa simpukkaa. Vastauksena hyökkäykseen se kostaa välittömästi viiltäen.</t>
  </si>
  <si>
    <t>Sen vatsassa oleva simpukka on tehty samoista osista kuin kynnet. Se irrottaa simpukan käyttääkseen sitä teränä.</t>
  </si>
  <si>
    <t>Sen vatsassa olevaa kampasimpukkaa ei käytetä vain taisteluun – sitä voidaan käyttää myös kovien marjojen rikkomiseen.</t>
  </si>
  <si>
    <t>https://pokeapi.co/api/v2/pokemon-species/437/</t>
  </si>
  <si>
    <t>Tämä Unova-alueen Pokémon käyttää vatsassaan olevaa kuorta aseena vihollistensa kaatamiseen. Siksi olen antanut tälle kuorelle nimen "scalchop".</t>
  </si>
  <si>
    <t>Dewott</t>
  </si>
  <si>
    <t>Kuri-Pokémon</t>
  </si>
  <si>
    <t>Tiukan koulutuksen avulla se oppii virtaavan kaksoiskalskop-tekniikkansa.</t>
  </si>
  <si>
    <t>Kalkkunaleikkuutekniikat vaihtelevat Dewottin mukaan. Yritys ei koskaan laiminlyö kakkunsa huoltoa.</t>
  </si>
  <si>
    <t>Tiukan harjoittelun seurauksena jokainen Dewott oppii erilaisia ​​​​tapoja käyttää kampasimpukoita.</t>
  </si>
  <si>
    <t>Sen hienostunut kaksoisleikkauksen tekniikka on todennäköisesti päivittäisen harjoittelun tulos, ja se voi saada jopa terän mestarit pakenemaan tappion uhatessa.</t>
  </si>
  <si>
    <t>Samurott</t>
  </si>
  <si>
    <t>Mahtava Pokémon</t>
  </si>
  <si>
    <t>Yksikin sen haarniskaan kuuluvan miekan heilautus voi kaataa vastustajan. Yksinkertainen katse yhdeltä heistä hiljentää kaikki.</t>
  </si>
  <si>
    <t>Osa sen etummaisten jalkojen panssaroista muuttuu jättimäiseksi miekaksi. Pelkkä sen huuto riittää pelottelemaan useimpia vihollisia.</t>
  </si>
  <si>
    <t>Sinä aikana, kun vihollinen räpäyttää silmänsä, se voi vetää puoleensa ja sulloa etujalkoihinsa kiinnitetyt merimitarit.</t>
  </si>
  <si>
    <t>https://pokeapi.co/api/v2/pokemon-species/438/</t>
  </si>
  <si>
    <t>Kovasydäminen ja terän taitava käyttäytyminen, tämä harvinainen Samurottin muoto on Pokémonien evoluution tulos Hisuin alueella. Sen myrskyisät iskut iskeytyvät vihollisiin kuin lakkaamattomat jyskyttävät aallot.</t>
  </si>
  <si>
    <t>Patrat</t>
  </si>
  <si>
    <t>Poskipusseissa säilytettävän ruoan avulla ne voivat pitää vahtia päiväkausia. Ne käyttävät häntäänsä kommunikoidakseen muiden kanssa.</t>
  </si>
  <si>
    <t>Ne ovat erittäin varovaisia ​​ja vuorottelevat pitääkseen pesäänsä jatkuvasti silmällä. Ilman tähystäjää ne tuntevat olonsa epävarmaksi.</t>
  </si>
  <si>
    <t>Erittäin varovainen, yksi niistä on aina valppaana, mutta se ei huomaa takaa tulevaa vihollista.</t>
  </si>
  <si>
    <t>Watchog</t>
  </si>
  <si>
    <t>Lookout-pokémon</t>
  </si>
  <si>
    <t>Nähdessään vihollisen ne nostavat pyrstönsä pystyyn ja sylkevät poskipussissaan säilytettyjen marjojen siemenet.</t>
  </si>
  <si>
    <t>Ne saavat ruumiinsa kuviot kiiltäviksi uhkatakseen saalistajia. Tarkka näkö auttaa niitä näkemään pimeässä.</t>
  </si>
  <si>
    <t>Luminesoivan aineen avulla se saa silmänsä ja vartalonsa hehkumaan ja tainnuttaa hyökkäävät vastustajat.</t>
  </si>
  <si>
    <t>https://pokeapi.co/api/v2/pokemon-species/439/</t>
  </si>
  <si>
    <t>Lillipup</t>
  </si>
  <si>
    <t>Se kohtaa vahvoja vastustajia suurella rohkeudella. Mutta taistelussa epäedullisessa asemassa tämä älykäs Pokémon pakenee.</t>
  </si>
  <si>
    <t>Sen kasvojen ympärillä olevat pitkät hiukset tarjoavat hämmästyttävän tutkan, jonka avulla se aistii ympäristönsä hienovaraisia ​​muutoksia.</t>
  </si>
  <si>
    <t>Vaikka se on erittäin rohkea Pokémon, se on myös tarpeeksi älykäs testatakseen vihollisensa voimat ja välttääkseen taistelun.</t>
  </si>
  <si>
    <t>Koska se ei hauku, se on erittäin suosittu kerrostaloissa asuvien kouluttajien keskuudessa.</t>
  </si>
  <si>
    <t>Sen kasvoja ympäröivä pitkä turkki toimii tutkana, jonka avulla se voi tutkia vastustajiensa kuntoa.</t>
  </si>
  <si>
    <t>Tällä Pokémonilla on erinomainen harkintakyky. Jos se päättää, ettei pysty voittamaan vastustajaa, se kääntää välittömästi pyrstönsä ja lähtee hyökkäykseen.</t>
  </si>
  <si>
    <t>Tämä Pokémon on suosittu aloittelijoiden keskuudessa, koska se on älykäs, tottelee kouluttajansa käskyjä ja on helppo kasvattaa.</t>
  </si>
  <si>
    <t>Tämä Pokémon on rohkea mutta myös varovainen. Se käyttää kasvojaan peittävää pehmeää turkkia kerätäkseen tietoa ympäristöstään.</t>
  </si>
  <si>
    <t>Tämä Pokémon on paljon kirkkaampi kuin keskivertolapsi, eikä Lillipup unohda saamaansa rakkautta tai kärsimäänsä kaltoinkohtelua.</t>
  </si>
  <si>
    <t>Herdier</t>
  </si>
  <si>
    <t>Uskollinen koira-Pokémon</t>
  </si>
  <si>
    <t>Sillä on musta, viittamainen turkki, joka on erittäin kova ja vähentää sen saamaa vahinkoa.</t>
  </si>
  <si>
    <t>Se noudattaa uskollisesti kouluttajansa käskyjä. Se on auttanut kouluttajia kasvattamaan Pokémoneja jo iät ja ajat.</t>
  </si>
  <si>
    <t>Tämä erittäin uskollinen Pokémon auttaa kouluttajia ja pitää huolta myös muista Pokémoneista.</t>
  </si>
  <si>
    <t>https://pokeapi.co/api/v2/pokemon-species/440/</t>
  </si>
  <si>
    <t>Sen tiheä musta turkki kasvaa jatkuvasti. Sen kovan turkin hoitaminen on kallista, joten tämän Pokémonin kouluttaminen on hankalaa.</t>
  </si>
  <si>
    <t>Tämä Pokémon tottelee isäntänsä käskyjä uskollisesti. Se kuitenkin kieltäytyy kuuntelemasta mitään, mitä sanoo henkilö, jota se ei kunnioita.</t>
  </si>
  <si>
    <t>Mitä pidemmäksi sen musta turkki kasvaa, sitä kovempaa ja läpäisemättömämpää siitä tulee. Kynnet ja torahampaat eivät pääse helposti lävistämään sitä.</t>
  </si>
  <si>
    <t>Se on elänyt ihmisten keskuudessa niin kauan, että sen kuvia voi löytää luolien seiniltä kauan, kauan sitten.</t>
  </si>
  <si>
    <t>Herdier on erittäin älykäs ja ystävällinen Pokémon. Niin älykäs, että on olemassa teoria, jonka mukaan Herdier oli ensimmäinen Pokémon, joka teki parisuhteita ihmisten kanssa.</t>
  </si>
  <si>
    <t>Tämän Pokémonin vartaloa peittävä musta turkki on tiheä ja joustava. Jopa terävät torahampaat kimpoavat siitä irti.</t>
  </si>
  <si>
    <t>Stoutland</t>
  </si>
  <si>
    <t>Suurisydäminen Pokémon</t>
  </si>
  <si>
    <t>Se pelastaa vuorilla lumimyrskyjen vuoksi jumiin jääneitä ihmisiä. Sen pörröinen turkki suojaa sitä kylmältä.</t>
  </si>
  <si>
    <t>Tämä äärimmäisen viisas Pokémon on erinomaista merelle tai vuorille jääneiden ihmisten pelastamisessa.</t>
  </si>
  <si>
    <t>Sen pitkään turkkiin kääriytyminen on niin mukavaa, että ihminen pärjää hyvin jopa yön yli talvisella vuorella.</t>
  </si>
  <si>
    <t>https://pokeapi.co/api/v2/pokemon-species/441/</t>
  </si>
  <si>
    <t>Älykäs, hyväluonteinen ja urhea, se on luotettava kumppani pelastusryhmissä.</t>
  </si>
  <si>
    <t>Tämän viisaan Pokémonin kanssa ei ole huolta siitä, että se hyökkäisi ihmisten kimppuun. Jotkut vanhemmat jopa uskovat sen lastenhoitajaksi.</t>
  </si>
  <si>
    <t>Se ei välitä kylmästä pitkän ja lämpimän turkkinsa ansiosta. Alolassa asuva Stoutland näyttää hieman epämukavalta.</t>
  </si>
  <si>
    <t>Sen turkki on pitkä ja paksu. Kauan sitten kylmillä alueilla jokaisessa taloudessa pidettiin stoutlandinkoiraa.</t>
  </si>
  <si>
    <t>Nämä Pokémonit tuntuvat nauttivan ihmisten kanssa elämisestä. Jopa luonnossa pyydystetty Stoutland lämpenee ihmisille noin kolmessa päivässä.</t>
  </si>
  <si>
    <t>Stoutland on valtavan ylpeä vaikuttavista viiksistään. Sanotaan, että viiksien pituus määrää lajin sosiaalisen aseman.</t>
  </si>
  <si>
    <t>Purrloin</t>
  </si>
  <si>
    <t>He varastavat ihmisiltä huvikseen, mutta uhrit antavat heille anteeksi. Heidän petollisen söpö temppunsa on täydellinen.</t>
  </si>
  <si>
    <t>Sen suloinen ele on juoni. Kun uhrit menettävät vartijansa, he huomaavat tavaroidensa varastettuina. Se hyökkää terävillä kynsillä.</t>
  </si>
  <si>
    <t>Heidän söpö eleensä on juoni. He huijaavat ihmisiä ja varastavat heidän arvoesineitään vain nähdäkseen heidän ilmeensä.</t>
  </si>
  <si>
    <t>Se varastaa tavaroita ihmisiltä vain huvittaakseen itseään heidän turhautumisellaan. Tämän Pokémonin ja Nickitin välillä on kilpailuhenki.</t>
  </si>
  <si>
    <t>Vastustajat, jotka innostuvat sen suloisesta käytöksestä, saavat osakseen pistäviä raapaisuja sen kynsistä ja pistävää ylpeyttä sen naurusta.</t>
  </si>
  <si>
    <t>Liepard</t>
  </si>
  <si>
    <t>Julma Pokémon</t>
  </si>
  <si>
    <t>Nämä Pokémonit katoavat ja ilmestyvät yllättäen. Monet kouluttajat ihastuvat niiden kauniiseen muotoon ja turkkiin.</t>
  </si>
  <si>
    <t>https://pokeapi.co/api/v2/pokemon-species/442/</t>
  </si>
  <si>
    <t>Se hiipii salaa kohteensa luo ja iskee takaapäin ennen kuin uhrilla on aikaa reagoida.</t>
  </si>
  <si>
    <t>Niiden kaunis muoto johtuu niiden kehittämistä lihaksista. Ne juoksevat äänettömästi yössä.</t>
  </si>
  <si>
    <t>Älä anna sen upean turkin ja elegantin hahmon hämätä. Tämä on oikukas ja ilkeä Pokémon.</t>
  </si>
  <si>
    <t>Tämä viekas Pokémon hiipii saaliinsa taakse päästämättä yhtään ääntä. Se kilpailee Thievulin kanssa reviiristä.</t>
  </si>
  <si>
    <t>Pansage</t>
  </si>
  <si>
    <t>Ruohosapinan Pokémon</t>
  </si>
  <si>
    <t>Tämä Pokémon asuu syvällä metsässä. Lehden syöminen sen päästä pyyhkäisee väsymyksen pois kuin taikaiskusta.</t>
  </si>
  <si>
    <t>Se jakaa päänsä päällä olevan lehden väsyneen näköisten Pokémonien kanssa. Näiden lehtien tiedetään lievittävän stressiä.</t>
  </si>
  <si>
    <t>Se on hyvä löytämään marjoja ja kerää niitä kaikkialta. Se on niin ystävällinen, että jakaa niitä ystävien kanssa.</t>
  </si>
  <si>
    <t>https://pokeapi.co/api/v2/pokemon-species/443/</t>
  </si>
  <si>
    <t>Simisage</t>
  </si>
  <si>
    <t>Orjantappura-apinan Pokémon</t>
  </si>
  <si>
    <t>Se on luonteeltaan ärhäkkä ja taistelee heiluttamalla piikkistä häntäänsä villisti ympäriinsä. Sen päässä kasvava lehti on hyvin karvas.</t>
  </si>
  <si>
    <t>Se hyökkää vihollisten kimppuun piikkien peittämän häntänsä iskuilla. Tämä Pokémon on luonteeltaan villi.</t>
  </si>
  <si>
    <t>Se iskee vihollisiaan piikkien peittämällä pyrstöllä. Sen päässä oleva lehti on karvas.</t>
  </si>
  <si>
    <t>Pansear</t>
  </si>
  <si>
    <t>Korkean lämpötilan Pokémon</t>
  </si>
  <si>
    <t>Kun se on suuttunut, sen pään tupsun lämpötila nousee 600° F:een. Se käyttää tupsuaan marjojen paahtamiseen.</t>
  </si>
  <si>
    <t>Tämä Pokémon elää tulivuorten luolissa. Sen päässä olevan tupsun tuli voi lämpötilan nousta 184°C:een.</t>
  </si>
  <si>
    <t>Se on hyvin älykäs ja paahtaa marjat ennen syömistä. Se auttaa mielellään ihmisiä.</t>
  </si>
  <si>
    <t>Tämä Pokémon elää tulivuorten luolissa. Sen päässä olevan tupsun tuli voi saavuttaa 600 celsiusasteen lämpötilan.</t>
  </si>
  <si>
    <t>Simisear</t>
  </si>
  <si>
    <t>Ember-Pokémon</t>
  </si>
  <si>
    <t>Se rakastaa makeisia, koska niistä tulee energiaa sen kehossa palavalle tulelle.</t>
  </si>
  <si>
    <t>Sen ruumiissa palaa liekki. Se sirottelee päästään ja hännästään hiiliä polttaakseen vastustajiaan.</t>
  </si>
  <si>
    <t>Kun se innostuu, sen päästä ja hännästä nousee hiillosta ja se kuumenee. Jostain syystä se rakastaa makeisia.</t>
  </si>
  <si>
    <t>https://pokeapi.co/api/v2/pokemon-species/444/</t>
  </si>
  <si>
    <t>Panpour</t>
  </si>
  <si>
    <t>Suihkuta Pokémoneja</t>
  </si>
  <si>
    <t>Sen pään päällä olevan tupsun sisällä oleva vesi on täynnä ravinteita. Kasvit, jotka saavat sen vettä, kasvavat suuriksi.</t>
  </si>
  <si>
    <t>Se ei viihdy kuivissa ympäristöissä. Se pitää itsensä kosteana ampumalla pään tupsussa varastoitunutta vettä pyrstöstään.</t>
  </si>
  <si>
    <t>Sen pään tupsun sisällä oleva vesi on täynnä ravinteita. Se kastelee kasveja sillä häntäänsä käyttäen.</t>
  </si>
  <si>
    <t>Simipour</t>
  </si>
  <si>
    <t>Geysir-Pokémon</t>
  </si>
  <si>
    <t>Sen päässä oleva tupsu pitää vettä. Kun pinta on vähissä, se täydentää tupsua imemällä vettä pyrstöllään.</t>
  </si>
  <si>
    <t>Sen pyrstöstä purkautuva korkeapaineinen vesi on niin voimakasta, että se voi tuhota betoniseinän.</t>
  </si>
  <si>
    <t>Se viihtyy paikoissa, joissa on puhdasta vettä. Kun sen tupsu on vähissä, se täydentää sitä imemällä vettä pyrstöllään.</t>
  </si>
  <si>
    <t>https://pokeapi.co/api/v2/pokemon-species/445/</t>
  </si>
  <si>
    <t>Munna</t>
  </si>
  <si>
    <t>Unelmien syöjä-Pokémon</t>
  </si>
  <si>
    <t>Munnat leijuvat aina ilmassa. Ihmiset, joiden unet ne syövät, unohtavat, mistä unissa oli kyse.</t>
  </si>
  <si>
    <t>Se syö ihmisten ja Pokémonien unia. Kun se syö miellyttävän unen, se työntää ulos vaaleanpunaista usvaa.</t>
  </si>
  <si>
    <t>Tämä Pokémon ilmestyy painajaisia ​​näkevien ihmisten ja Pokémonien eteen ja syö nuo unet.</t>
  </si>
  <si>
    <t>Myöhään yöllä se ilmestyy ihmisten tyynyjen viereen. Unien syödessään sen kehon kuviot hehkuvat himmeästi.</t>
  </si>
  <si>
    <t>Se syö unia ja vapauttaa usvaa. Sumu on vaaleanpunaista, kun se syö hyvää unta, ja mustaa, kun se syö painajaista.</t>
  </si>
  <si>
    <t>Musharna</t>
  </si>
  <si>
    <t>Unia pokémon</t>
  </si>
  <si>
    <t>Heidän otsastaan ​​purkautuva usva on täynnä ihmisten ja Pokémonien unia.</t>
  </si>
  <si>
    <t>Otsastaan ​​tulevalla sumulla se voi luoda muotoja syömistään unista.</t>
  </si>
  <si>
    <t>Sen otsasta tuleva unisumu muuttuu moniin eri väreihin syödyn unen mukaan.</t>
  </si>
  <si>
    <t>Kun sen ruumiista lähtee synkkiä usvia, älä mene liian lähelle. Jos teet niin, painajaisistasi tulee totta.</t>
  </si>
  <si>
    <t>Se torkkuu ja näkee unia koko ajan. On parasta antaa sen olla rauhassa, jos se on juuri herännyt, sillä se on kauhea ärtyisä, kun se herätetään juuri unesta.</t>
  </si>
  <si>
    <t>Pidove</t>
  </si>
  <si>
    <t>Pieni kyyhkys-Pokémon</t>
  </si>
  <si>
    <t>Jokainen noudattaa kouluttajansa käskyjä parhaansa mukaan, mutta joskus ne eivät ymmärrä monimutkaisia ​​komentoja.</t>
  </si>
  <si>
    <t>Nämä Pokémonit asuvat kaupungeissa. Ne ovat tottuneet ihmisiin. Parvet kokoontuvat usein puistoihin ja aukioille.</t>
  </si>
  <si>
    <t>https://pokeapi.co/api/v2/pokemon-species/446/</t>
  </si>
  <si>
    <t>Tämä hyvin hajamielinen Pokémon odottaa uutta käskyä kouluttajaltaan, vaikka sillä jo on sellainen.</t>
  </si>
  <si>
    <t>Minne ihmiset menevät, nämä Pokémonit seuraavat. Jos levität niille ruokaa, ole varovainen – niitä voi kerääntyä useita satoja kerralla.</t>
  </si>
  <si>
    <t>Se on hajamielinen eikä kovin älykäs, mutta monet kouluttajat rakastavat sitä joka tapauksessa sen ystävällisyyden ja vilpittömyyden vuoksi.</t>
  </si>
  <si>
    <t>Tranquill</t>
  </si>
  <si>
    <t>Villikyyhkyn Pokémon</t>
  </si>
  <si>
    <t>Se voi palata kouluttajansa sijaintiin riippumatta niiden välisestä etäisyydestä.</t>
  </si>
  <si>
    <t>Monet ihmiset uskovat, että syvällä metsässä, jossa Tranquillit asuvat, on rauhallinen paikka, jossa ei ole sotaa.</t>
  </si>
  <si>
    <t>Minne tahansa maailmassa se meneekin, se tietää missä sen pesä on, joten se ei koskaan erota kouluttajastaan.</t>
  </si>
  <si>
    <t>Se voi lentää kohtalaisen nopeasti. Matkan pituudesta riippumatta se löytää aina tiensä takaisin isäntänsä luo ja pesäänsä.</t>
  </si>
  <si>
    <t>Näillä kirkkailla Pokémoneilla on tarkka muisti. Ilmeisesti lähetit valitsevat heidät usein kumppaneikseen.</t>
  </si>
  <si>
    <t>Unfezant</t>
  </si>
  <si>
    <t>Ylpeä Pokémon</t>
  </si>
  <si>
    <t>Koiraat heiluttavat pään höyhenpeitettään uhkatakseen vastustajia. Naaraiden lentokyky ylittää koiraiden kyvyt.</t>
  </si>
  <si>
    <t>Uroksilla on höyhenpeite päässään. Ne eivät koskaan anna itsensä tuntea läheisyyttä kenellekään muulle kuin kouluttajalleen.</t>
  </si>
  <si>
    <t>https://pokeapi.co/api/v2/pokemon-species/447/</t>
  </si>
  <si>
    <t>Urokset heiluttavat höyhenpeitettään päänsä päällä uhkatakseen muita, mutta naaraat ovat parempia lentäjiä.</t>
  </si>
  <si>
    <t>Unfezant ovat poikkeuksellisen hyviä lentäjiä. Naaraat tunnetaan kestävyydestään, kun taas urokset päihittävät ne nopeudessa.</t>
  </si>
  <si>
    <t>Tämä Pokémon on älykäs ja äärimmäisen ylpeä. Ihmiset istuvat ylös ja huomaavat sen, jos sinusta tulee sellaisen kouluttaja.</t>
  </si>
  <si>
    <t>Blitzle</t>
  </si>
  <si>
    <t>Sähköistetty Pokémon</t>
  </si>
  <si>
    <t>Sen harja kiiltää, kun se purkaa sähköä. Ne käyttävät välkkyviä harjaansa kommunikoidakseen keskenään.</t>
  </si>
  <si>
    <t>Kun ukkospilvet peittävät taivaan, se ilmestyy. Se voi osua salamoihin harjallaan ja varastoida sähköä.</t>
  </si>
  <si>
    <t>Sen harja kiiltää, kun se purkaa sähköä. Ne käyttävät näiden välähdysten taajuutta ja rytmiä kommunikoidakseen.</t>
  </si>
  <si>
    <t>Zebstrika</t>
  </si>
  <si>
    <t>Niillä on salaman kaltaisia ​​liikkeitä. Kun Zebstrika juoksee täydellä vauhdilla, ukkosen jyrinä kaikuu.</t>
  </si>
  <si>
    <t>Tämä ärtyisä Pokémon on vaarallinen, koska vihaisena se ampuu salamoita harjastaan ​​kaikkiin suuntiin.</t>
  </si>
  <si>
    <t>Kun tämä ärhäkkä Pokémon villiintyy, se ampuu salamoita harjastaan ​​kaikkiin suuntiin.</t>
  </si>
  <si>
    <t>Roggenrola</t>
  </si>
  <si>
    <t>Mantle-Pokémon</t>
  </si>
  <si>
    <t>Sen korva on kuusikulmainen. Maan alla puristettuna sen ruumis on teräskova.</t>
  </si>
  <si>
    <t>Ne löydettiin sata vuotta sitten maanjäristyksen aiheuttamasta halkeamasta. Jokaisen sisällä on energiaydin.</t>
  </si>
  <si>
    <t>Kuusikulmainen reikä on sen korva. Sillä on taipumus kävellä äänen tulevaan suuntaan.</t>
  </si>
  <si>
    <t>https://pokeapi.co/api/v2/pokemon-species/448/</t>
  </si>
  <si>
    <t>Syvällä maan alla syntynyt se vertaa itseään samankaltaisiin lajeihin, kuten Geodudeen ja Carbinkiin, asettuakseen aloilleen sen suhteen, millä on kovin ruumis.</t>
  </si>
  <si>
    <t>Kuusikulmainen ontelo on sen korva. Se kävelee kuulemiensa äänien suuntaan, mutta jos äänet loppuvat, se panikoi ja kaatuu.</t>
  </si>
  <si>
    <t>Kuusikulmainen reikä on sen korva. Syvällä korvassa on energiaydin, joten jos työnnät kätesi sinne, Roggenrola suuttuu kovasti!</t>
  </si>
  <si>
    <t>Se löydettiin paljaan kalliokerroksen halkeamasta. Sen runko on peräisin useiden satojen vuosien takaa peräisin olevasta maasta.</t>
  </si>
  <si>
    <t>Se on yhtä kovaa kuin teräs, mutta pitkäaikainen liotus vedessä pehmentää sitä ilmeisesti hieman.</t>
  </si>
  <si>
    <t>Kun se havaitsee äänen, se alkaa liikkua. Sen sisällä oleva energiaydin tekee tästä Pokémonista hieman lämpimän koskettaa.</t>
  </si>
  <si>
    <t>Boldore</t>
  </si>
  <si>
    <t>Malmi-Pokémon</t>
  </si>
  <si>
    <t>Kun se pursuaa voimaa, sen kehon oranssi kristalli hehkuu. Se etsii maanalaista vettä luolista.</t>
  </si>
  <si>
    <t>Koska sen energia oli liian suuri pidäteltäväksi, energia vuoti ja muodosti oransseja kiteitä.</t>
  </si>
  <si>
    <t>Kun se on terve, sen ydin työntyy ulos. Aina samaan suuntaan katsoen se liikkuu nopeasti edestä taakse ja vasemmalta oikealle.</t>
  </si>
  <si>
    <t>Sen oranssi kide on energiamassa. Yksi kristallinpalanen riittäisi polttoaineeksi sadalle kippiautolle.</t>
  </si>
  <si>
    <t>Se tutkii luolia etsien maanalaista vettä. Se ei viihdy veden lähellä, joten tämä Pokémon on erittäin varovainen sen nielemisessä.</t>
  </si>
  <si>
    <t>Sen kehosta pursuava energia on muuttunut oransseiksi kiteiksi, jotka ovat tarpeeksi kovia rikkomaan timantteja.</t>
  </si>
  <si>
    <t>Sen oranssit kiteet ovat voimakkaita energiamöykkyjä. Ne ovat arvokkaita, joten Boldorea joskus kohdistetaan niiden vuoksi.</t>
  </si>
  <si>
    <t>Jos näet sen oranssien kiteiden alkavan hehkua, ole varovainen. Se on ampumaisillaan energiapurskeita.</t>
  </si>
  <si>
    <t>Se on riippuvainen äänestä seuratakseen lähiympäristöään. Vihaisena se hyökkää muuttamatta koskaan suuntaa, johon se katsoo.</t>
  </si>
  <si>
    <t>Gigalith</t>
  </si>
  <si>
    <t>Pakattu Pokémon</t>
  </si>
  <si>
    <t>Sisäisen ytimensä energian puristaminen antaa sille mahdollisuuden ampua hyökkäys, joka kykenee räjäyttämään vuoren pois.</t>
  </si>
  <si>
    <t>Sen oranssien kiteiden imemä aurinkoenergia voimistuu sisäisesti ja purkautuu sen suusta.</t>
  </si>
  <si>
    <t>https://pokeapi.co/api/v2/pokemon-species/449/</t>
  </si>
  <si>
    <t>Sen absorboimat auringonsäteet käsitellään sen energiaytimessä ja laukaistaan ​​valopallona.</t>
  </si>
  <si>
    <t>Sen auringonsäteistä lähtevät energiapurkaukset ovat pelottavan voimakkaita. Se ei kuitenkaan pysty ampumaan niitä yöllä tai sateisina päivinä.</t>
  </si>
  <si>
    <t>Tunnettu raskaasta hevosvoimastaan, tämä Pokémon on suosittu työpari rakennustyöntekijöille.</t>
  </si>
  <si>
    <t>Kun se purkaa energiaa täydellä voimallaan, voima luo lukemattomia halkeamia sen kehoon.</t>
  </si>
  <si>
    <t>Se imee itseensä auringonvalon säteitä ja lähettää energiaa. Se piilee yleensä syvällä pinnan alla.</t>
  </si>
  <si>
    <t>Tätä sitkeää Pokémonia voi usein löytää rakennustyömailta ja kaivoksista työskentelemässä ihmisten ja Copperajahin rinnalla.</t>
  </si>
  <si>
    <t>Vaikka sen energiapurkaukset voivat räjäyttää pois kippiauton, niillä on rajoituksensa – ne voidaan laukaista vain auringon paisteessa.</t>
  </si>
  <si>
    <t>Woobat</t>
  </si>
  <si>
    <t>Sen elinympäristö on pimeitä metsiä ja luolia. Se lähettää kuonostaan ​​ultraääniaaltoja oppiakseen ympäristöstään.</t>
  </si>
  <si>
    <t>Sierainten kautta tuleva imu mahdollistaa sen tarttumisen luolan seiniin nukkuessaan. Se jättää jälkeensä sydämenmuotoisen jäljen.</t>
  </si>
  <si>
    <t>Woobatin kiinnittämisen jälkeen kehoon jäävän sydämenmuotoisen merkin sanotaan tuovan onnea.</t>
  </si>
  <si>
    <t>https://pokeapi.co/api/v2/pokemon-species/450/</t>
  </si>
  <si>
    <t>Jos luolan sisällä katsot ylös ja näet seinillä paljon sydämenmuotoisia merkkejä, se on todiste siitä, että woobatit asuvat siellä.</t>
  </si>
  <si>
    <t>Se lähettää ultraääniaaltoja leijaillessaan ympäriinsä etsien saalistaan ​​– ötökkä-Pokémonia.</t>
  </si>
  <si>
    <t>Swoobat</t>
  </si>
  <si>
    <t>Pokémonien kosiskelu</t>
  </si>
  <si>
    <t>Se lähettää nenästään eri taajuuksilla olevia ääniaaltoja, joista osa on niin voimakkaita, että ne voivat tuhota kiviä.</t>
  </si>
  <si>
    <t>Jokainen, joka joutuu kosketuksiin seurustelevan miehen lähettämien ultraääniaaltojen kanssa, kokee positiivisen mielialan muutoksen.</t>
  </si>
  <si>
    <t>Se ravistelee häntäänsä voimakkaasti, kun se lähettää ultraääniaaltoja, jotka ovat riittävän voimakkaita muuttamaan betonin raunioiksi.</t>
  </si>
  <si>
    <t>Voimakkaiden ääniaaltojen lähettäminen väsyttää sen. Sen jälkeen se ei pysty lentämään vähään aikaan.</t>
  </si>
  <si>
    <t>Tämän Pokémonin nenän suotuisa muoto ilmeisesti sai jotkut alueet pitämään Swoobatia onnen symbolina.</t>
  </si>
  <si>
    <t>Drilbur</t>
  </si>
  <si>
    <t>Se voi kaivaa maan läpi 48 km/h nopeudella. Se voisi antaa maanpäälliselle autolle hyvän kilpailun.</t>
  </si>
  <si>
    <t>Se kulkee nopeasti maaperän läpi laittamalla molemmat kynnet yhteen ja pyörimällä suurella nopeudella.</t>
  </si>
  <si>
    <t>Pyörittämällä ruumistaan ​​se voi kaivaa suoraan maan läpi 48 km/h nopeudella.</t>
  </si>
  <si>
    <t>https://pokeapi.co/api/v2/pokemon-species/451/</t>
  </si>
  <si>
    <t>Se tuo kyntensä yhteen ja pyörähtelee ympäriinsä kovalla nopeudella ennen kuin ryntää saalistaan ​​kohti.</t>
  </si>
  <si>
    <t>Se on kaivaja, joka kaivaa kynsillään maata. Se vahingoittaa vihanneskasveja, joten monet maanviljelijät eivät pidä siitä paljoakaan.</t>
  </si>
  <si>
    <t>Excadrill</t>
  </si>
  <si>
    <t>Maanalainen Pokémon</t>
  </si>
  <si>
    <t>Se voi auttaa tunnelien rakentamisessa. Sen pora on kehittynyt teräkseksi, joka on riittävän vahvaa poratakseen rautalevyjen läpi.</t>
  </si>
  <si>
    <t>Yli 90 metrin syvyydessä ne rakentavat sokkelomaisia ​​pesiä. Niiden toiminta voi olla tuhoisaa metrotunneleille.</t>
  </si>
  <si>
    <t>Teräksisten kynsiensä ja päänsä ansiosta se voi porata teräslevyn läpi sen paksuudesta riippumatta.</t>
  </si>
  <si>
    <t>Ei ole harvinaista, että luonnostaan ​​muodostuneilta näyttävät tunnelit ovat itse asiassa Excadrillin jatkuvan kaivamisen tulosta.</t>
  </si>
  <si>
    <t>Porakuninkaana tunnettu Pokémon voi kaivaa tunneleita maastossa yli 145 km/h nopeudella.</t>
  </si>
  <si>
    <t>Audino</t>
  </si>
  <si>
    <t>Pokémonin kuuleminen</t>
  </si>
  <si>
    <t>Se koskettaa muita korvissaan olevilla tuntosarvilla ja käyttää heidän sydämenlyöntejään kertoakseen, miltä heistä tuntuu.</t>
  </si>
  <si>
    <t>Sen kuuloaisti on hämmästyttävä. Sillä on tutkan kaltainen kyky ymmärtää ympäristöään pienten äänien avulla.</t>
  </si>
  <si>
    <t>Korvissaan olevien tuntosarvien avulla se voi kertoa, miltä joku tuntuu tai milloin muna saattaa kuoriutua.</t>
  </si>
  <si>
    <t>https://pokeapi.co/api/v2/pokemon-species/452/</t>
  </si>
  <si>
    <t>Audinon kuulo on erinomainen. Edes yli mailin päässä vierivä pikkukivi ei pääse Audinon korvilta pakoon.</t>
  </si>
  <si>
    <t>Tällä Pokémonilla on hyvä sydän. Tuntumalla tuntoreillään Audino voi arvioida muiden olentojen tunteita ja fyysistä kuntoa.</t>
  </si>
  <si>
    <t>Timburr</t>
  </si>
  <si>
    <t>Lihaksikas Pokémon</t>
  </si>
  <si>
    <t>Se taistelee heiluttamalla puupalaa. Se on lähellä kehittymistä, kun se pystyy käsittelemään puutavaraa vaikeuksitta.</t>
  </si>
  <si>
    <t>Nämä Pokémonit ilmestyvät rakennustyömaille ja auttavat rakentamisessa. Ne kantavat aina suorakaiteen muotoisia tukkeja.</t>
  </si>
  <si>
    <t>Ne kantavat aina mukanaan suorakaiteen muotoisia tukkeja ja auttavat rakentamisessa. Kasvaessaan ne kantavat isompia tukkeja.</t>
  </si>
  <si>
    <t>Se rakastaa auttamista rakennusprojekteissa. Se rakastaa sitä niin paljon, että jos sade pysäyttää työn, se heilauttaa tukkiaan ja heittää kiukkukohtauksen.</t>
  </si>
  <si>
    <t>Timburrit, jotka ovat alkaneet kuljettaa noin kolme kertaa itseään suurempia tukkeja, ovat lähes valmiita kehittymään.</t>
  </si>
  <si>
    <t>Gurdurr</t>
  </si>
  <si>
    <t>Tämä Pokémon on niin lihaksikas ja vahvarakenteinen, ettei edes painijaryhmä saa sitä liikahtamaan tuumaakaan.</t>
  </si>
  <si>
    <t>https://pokeapi.co/api/v2/pokemon-species/453/</t>
  </si>
  <si>
    <t>Ne vahvistavat kehojaan kantamalla teräspalkkeja. Ne esittelevät suuria lihaksiaan ystävilleen.</t>
  </si>
  <si>
    <t>Vahvistettujen vartaloiden ansiosta he käyttävät taitavasti teräspalkkeja rakennusten purkamiseen.</t>
  </si>
  <si>
    <t>Se esittelee lihaksiaan Machokelle ja muille Gurdurreille. Jos se ei täytä muiden Pokémonien tasoa, se pysyy jonkin aikaa alhaalla.</t>
  </si>
  <si>
    <t>Gurdurr on loistavia purkamisessa – rakentaminen ei ole sen vahvuus. Joka tapauksessa tämän Pokémonin metallipalkin käsittelytavassa on taitoa.</t>
  </si>
  <si>
    <t>Conkeldurr</t>
  </si>
  <si>
    <t>Conkeldurrin uskotaan opettaneen ihmisille betonin valmistuksen yli 2 000 vuotta sitten.</t>
  </si>
  <si>
    <t>He käyttävät betonipylväitä kävelykeppeinä. He osaavat liikkeitä, joiden avulla he voivat heiluttaa pylväitä vapaasti taistelussa.</t>
  </si>
  <si>
    <t>Voiman varaan luottamisen sijaan he hallitsevat liikkeitä, jotka hyödyntävät pyörivän betonin keskipakoisvoimaa.</t>
  </si>
  <si>
    <t>Conkeldurrin sekoittama betoni on paljon kestävämpää kuin tavallinen betoni, vaikka materiaalien koostumus olisi sama.</t>
  </si>
  <si>
    <t>Kaikin voimin tämä Pokémon heittää betonipilarinsa syrjään ja hyppää vastustajien kimppuun moukaroimaan heitä nyrkeillään.</t>
  </si>
  <si>
    <t>Tympole</t>
  </si>
  <si>
    <t>Ne varoittavat muita vaarasta tärisyttämällä poskiaan luodakseen korkean äänen.</t>
  </si>
  <si>
    <t>Värähtelemällä poskiaan se lähettää ihmisille huomaamattomia ääniaaltoja. Se käyttää näiden äänien rytmiä puhuakseen.</t>
  </si>
  <si>
    <t>Värähtelemällä poskiaan se lähettää ihmisille huomaamattomia ääniaaltoja ja varoittaa muita vaarasta.</t>
  </si>
  <si>
    <t>https://pokeapi.co/api/v2/pokemon-species/454/</t>
  </si>
  <si>
    <t>Veden pinnalla kulkevat sulavat väreilyt ovat varma merkki siitä, että Tympolet laulavat alhaalla korkeilla äänillä.</t>
  </si>
  <si>
    <t>Se käyttää ääniaaltoja kommunikoidakseen muiden lajitovereidensa kanssa. Ihmiset ja muut Pokémon-lajit eivät kuule sen varoitushuutoja.</t>
  </si>
  <si>
    <t>Palpitoad</t>
  </si>
  <si>
    <t>Kun ne tärisyttävät päänsä kohoumia, ne voivat aiheuttaa aaltoja vedessä tai maanjäristyksen kaltaisia ​​värähtelyjä maalla.</t>
  </si>
  <si>
    <t>Se elää vedessä ja maalla. Se käyttää pitkää, tahmeaa kieltään saaliin pyydystämiseen.</t>
  </si>
  <si>
    <t>Se elää vedessä ja maalla. Se käyttää pitkää, tahmeaa kieltään lamauttaakseen vastustajansa.</t>
  </si>
  <si>
    <t>Se heikentää saalistaan ​​ääniaalloilla, jotka ovat niin voimakkaita, että ne aiheuttavat päänsärkyä, ja sitten se kietoutuu tahmeaan kieleensä.</t>
  </si>
  <si>
    <t>Toisinaan niiden huuto on korvaan miellyttävää. Suuremmilla kyhmyillä kehossaan olevat Palpitoadit voivat laulaa laajemmalla äänialalla.</t>
  </si>
  <si>
    <t>Seismitoad</t>
  </si>
  <si>
    <t>Ne ampuvat lamauttavaa nestettä pään iskuista. Ne käyttävät tärinää satuttaakseen vastustajiaan.</t>
  </si>
  <si>
    <t>Se lisää iskujensa voimaa värisemällä nyrkkiensä töyssyjä. Se voi muuttaa lohkareen raunioiksi yhdellä iskulla.</t>
  </si>
  <si>
    <t>Antamalla voimaa töyssyihinsä se luo värähtelyjä ja lisää iskujensa voimaa.</t>
  </si>
  <si>
    <t>https://pokeapi.co/api/v2/pokemon-species/455/</t>
  </si>
  <si>
    <t>Kehon kuoppien värähtely aiheuttaa maanjäristyksen kaltaisia ​​vapinoita. Seismitoad ja Croagunk ovat samankaltaisia ​​lajeja.</t>
  </si>
  <si>
    <t>Tämä Pokémon on suosittu vanhusten keskuudessa, jotka sanovat sen kyhmyjen värähtelyjen olevan loistavia hieronnoissa.</t>
  </si>
  <si>
    <t>Throh</t>
  </si>
  <si>
    <t>Judo-pokémon</t>
  </si>
  <si>
    <t>Kun se kiristää vyötään, siitä tulee vahvempi. Villi Throh käyttää köynnöksiä omien vyöidensä kutomiseen.</t>
  </si>
  <si>
    <t>Kohdatessaan itseään suurempia vihollisia, ne yrittävät heittää ne. Ne matkustavat aina viiden hengen laumoissa.</t>
  </si>
  <si>
    <t>Kun se kohtaa itseään suuremman vihollisen, se haluaa heittää sen. Se vaihtaa vyötä vahvistuessaan.</t>
  </si>
  <si>
    <t>Se suorittaa heittoliikkeitä ensiluokkaisella taidolla. Monien taisteluiden aikana Throhin vyö tummuu sen imeytyessä kantajansa hikeen.</t>
  </si>
  <si>
    <t>He harjoittelevat viiden hengen ryhmissä. Jokainen jäsen, joka ei pysy perässä, heittää vyönsä pois ja poistuu ryhmästä.</t>
  </si>
  <si>
    <t>Sawk</t>
  </si>
  <si>
    <t>Karate-pokémon</t>
  </si>
  <si>
    <t>https://pokeapi.co/api/v2/pokemon-species/456/</t>
  </si>
  <si>
    <t>Sawkin lyöntien ääni lohkareissa ja puissa kuuluu aina vuorilta, joilla he harjoittelevat.</t>
  </si>
  <si>
    <t>Vyön sitominen saa heidät energisoitumaan ja tekee lyönneistään tuhoisampia. Harjoittelun häiritseminen suututtaa heitä.</t>
  </si>
  <si>
    <t>Haluten vahvimman karate-osuuden, he eristäytyvät vuorille ja harjoittelevat nukkumatta.</t>
  </si>
  <si>
    <t>Jos näet vuorilla sahaharjoittelijan harjoittelemassa voimanjanossaan, on parasta ohittaa se hiljaa.</t>
  </si>
  <si>
    <t>Viimeiseen asti itsensä harjoitelleen Sawkin karateniskut voivat halkaista jopa meren.</t>
  </si>
  <si>
    <t>Sewaddle</t>
  </si>
  <si>
    <t>Ompelevia Pokémoneja</t>
  </si>
  <si>
    <t>Leavanny pukee sen vaatteisiin, jotka he tekivät sille kuoriutumisen yhteydessä. Se piilottaa päänsä huppuunsa nukkuessaan.</t>
  </si>
  <si>
    <t>Tämä Pokémon tekee itselleen vaatteita. Se pureskelee lehtiä ja ompelee ne suustaan ​​pursuavalla tahmealla langalla.</t>
  </si>
  <si>
    <t>Koska tämä Pokémon tekee omat vaatteensa lehdistä, se on suosittu maskotti muotisuunnittelijoille.</t>
  </si>
  <si>
    <t>https://pokeapi.co/api/v2/pokemon-species/457/</t>
  </si>
  <si>
    <t>Swadloon</t>
  </si>
  <si>
    <t>Lehtiin kääritty Pokémon</t>
  </si>
  <si>
    <t>Metsissä, joissa swadloon-linnut elävät, on upeat lehdet, koska niiden pudonneista lehdistä tuottamat ravinteet ravitsevat kasvillisuutta.</t>
  </si>
  <si>
    <t>Se suojaa itseään kylmältä kääriytymällä lehtiin. Se pysyy liikkeellä ja syö lehtiä metsissä.</t>
  </si>
  <si>
    <t>Se viihtyy pimeissä ja kosteissa paikoissa ja viettää koko päivän syöden ympärillään olevia pudonneita lehtiä.</t>
  </si>
  <si>
    <t>Leavanny</t>
  </si>
  <si>
    <t>Hoivaavat Pokémonit</t>
  </si>
  <si>
    <t>Löydettyään pienen Pokémonin se kutoo sille vaatteita lehdistä käyttäen käsivarsissaan olevia leikkureita ja tahmeaa silkkiä.</t>
  </si>
  <si>
    <t>Se pitää munansa lämpiminä käymislehtien lämmön avulla. Se käyttää lehtiä myös lämpimien kääreiden tekemiseen Sewaddlelle.</t>
  </si>
  <si>
    <t>Löydettyään pienen Pokémonin se kutoo sille vaatteita lehdistä käyttämällä suustaan ​​erittyvää tahmeaa silkkiä.</t>
  </si>
  <si>
    <t>Venipede</t>
  </si>
  <si>
    <t>Tuhatjalkainen Pokémon</t>
  </si>
  <si>
    <t>Sen purema ruiskuttaa voimakasta myrkkyä, joka riittää halvaannuttamaan sitä saalistavat suuret lintu-Pokémonit.</t>
  </si>
  <si>
    <t>Se havaitsee ympäristönsä tapahtumat käyttämällä pään ja hännän tuntosarvia. Se on raa'an aggressiivinen.</t>
  </si>
  <si>
    <t>https://pokeapi.co/api/v2/pokemon-species/458/</t>
  </si>
  <si>
    <t>Pään ja hännän tuntosarvien avulla se havaitsee ilmassa olevia värähtelyjä määrittääkseen saaliinsa sijainnin ja tilan.</t>
  </si>
  <si>
    <t>Venipede ja Sizzlipede ovat samankaltaisia ​​lajeja, mutta kun ne kohtaavat, syntyy valtava taistelu.</t>
  </si>
  <si>
    <t>Sen torahampaat ovat erittäin myrkylliset. Jos tämä Pokémon löytää saaliin, jonka se luulee voivansa syödä, se hyppää sen kimppuun ajattelematta, miten asiat voisivat päättyä.</t>
  </si>
  <si>
    <t>Whirlipede</t>
  </si>
  <si>
    <t>Curlidepede-Pokémon</t>
  </si>
  <si>
    <t>Kovan kuoren suojaamana se pyörittää ruumistaan ​​kuin pyörää ja törmää raivokkaasti vihollistensa päälle.</t>
  </si>
  <si>
    <t>Se on yleensä liikkumaton, mutta hyökkäyksen sattuessa se pyörii suurella nopeudella ja törmää sitten vastustajaansa.</t>
  </si>
  <si>
    <t>Se varastoi energiaa evoluutiota varten ja pysyy paikallaan. Mutta kun saalistajat lähestyvät, se liikkuu ja iskee niitä myrkkypiikeillä.</t>
  </si>
  <si>
    <t>Tämä Pokémon pyörii nopeasti ja syöksyy vastustajiensa kimppuun. Sen huippunopeus on hieman yli 95 km/h.</t>
  </si>
  <si>
    <t>Whirlipede suojaa itseään tukevalla kuorella ja myrkyllisillä piikkeillä samalla kun se varastoi evoluutioon tarvitsemaansa energiaa.</t>
  </si>
  <si>
    <t>Scolipede</t>
  </si>
  <si>
    <t>Megapedinen Pokémon</t>
  </si>
  <si>
    <t>Nopeilla liikkeillä se jahtaa vihollisiaan ja hyökkää armottomasti sarvillaan, kunnes se voittaa.</t>
  </si>
  <si>
    <t>Erittäin aggressiivinen, se käyttää kaulansa lähellä olevia kynsiä kaivautuakseen vastustajiinsa ja myrkyttääkseen heidät.</t>
  </si>
  <si>
    <t>Se puristaa saalistaan ​​kaulansa kynsillä, kunnes se lakkaa liikkumasta. Sitten se tappaa sen tappavalla myrkyllä.</t>
  </si>
  <si>
    <t>Scolipede tarttuu saaliiseensa kaulassaan olevilla kynsillä ennen kuin paiskaa ne maahan ja pistää niitä kynsiensä myrkyllisillä piikkeillä.</t>
  </si>
  <si>
    <t>https://pokeapi.co/api/v2/pokemon-species/459/</t>
  </si>
  <si>
    <t>Scolipedet käyvät rajuja aluetaisteluita Centiskorchin kanssa. Yhden taistelun päätteeksi voittaja antaa häviäjälle aterian.</t>
  </si>
  <si>
    <t>Cottonee</t>
  </si>
  <si>
    <t>Cotton Puff -Pokémon</t>
  </si>
  <si>
    <t>Hyökkäyksen sattuessa se pakenee ampumalla ulos vanua. Vanu toimii houkuttimena hyökkääjän häiritsemiseksi.</t>
  </si>
  <si>
    <t>Ne menevät minne tuuli ne vie. Sateisina päivinä niiden ruumiit ovat painavampia, joten ne hakeutuvat suojaan suurten puiden alle.</t>
  </si>
  <si>
    <t>Ehkäpä siksi, että he tuntevat olonsa mukavammaksi ryhmässä, he pysyttelevät löytämiensä ihmisten seurassa. Lopulta he näyttävätkin pilveltä.</t>
  </si>
  <si>
    <t>Kun se löytää muita samanlaisia, ne pysyvät yhdessä. Kun niitä on kertynyt tarpeeksi, massa muistuttaa kumpupilveä.</t>
  </si>
  <si>
    <t>Cottoneen puuvillalla täytetyt tyynyt ja sängyt ovat pehmeitä ja muhkeita, kevyitä ja ilmavia – kaiken kaikkiaan huippulaatua.</t>
  </si>
  <si>
    <t>Suojautuakseen se ampuu puuvillaa ulos kehostaan. Kun se kastuu sateessa, sen puuvilla kostuu ja painaa, eikä se pysty liikkumaan yhtä hyvin.</t>
  </si>
  <si>
    <t>Hyökkäyksen sattuessa se työntää ulos vanua kehostaan ​​luodakseen harhautuksen. Menetetty vanu kasvaa nopeasti takaisin.</t>
  </si>
  <si>
    <t>Se ampuu puuvillaa kehostaan ​​suojautuakseen. Jos se joutuu hurrikaanin voimakkuuden omaavien tuulien iskiessä, se voi lentää toiselle puolelle maapalloa.</t>
  </si>
  <si>
    <t>Cottooneen ja Eldegossin puuvillan yhdistäminen tuottaa hienoa kangasta, jota monet luksusmerkit arvostavat.</t>
  </si>
  <si>
    <t>Whimsicott</t>
  </si>
  <si>
    <t>Tuulenpeitteinen Pokémon</t>
  </si>
  <si>
    <t>Kuten tuuli, se voi pujahtaa mistä tahansa raosta, olipa se kuinka pieni tahansa. Se jättää jälkeensä valkoisia nukkapalloja.</t>
  </si>
  <si>
    <t>Ne ilmestyvät pyörremyrskyjen selässä. Nämä Pokémonit hiipivät raoista taloihin ja aiheuttavat kaikenlaista pahaa.</t>
  </si>
  <si>
    <t>Ne ilmestyvät pyörremyrskyjen mukana. Ne tekevät kepposia, kuten siirtelevät huonekaluja ja jättävät vanupalloja koteihin.</t>
  </si>
  <si>
    <t>https://pokeapi.co/api/v2/pokemon-species/460/</t>
  </si>
  <si>
    <t>Se lipuu tuulen mukana ja livahtaa ihmisten koteihin. Muutettuaan huoneen pumpulimaiseksi sotkuksi se kikattaa itsekseen ja lähtee pois.</t>
  </si>
  <si>
    <t>Tämä Pokémon ilmestyy ratsastaen tuulen päällä. Mutta jos tuuli yltyy, se puhaltaa puuvillan pois tämän Pokémonin päästä.</t>
  </si>
  <si>
    <t>Tämä riesa hiipii ihmisten koteihin, piilottaa sinne tärkeitä tavaroita ja levittää puuvillaa kaikkialle.</t>
  </si>
  <si>
    <t>Whimsicott ei asu kiinteässä paikassa. Se liitelee ympäriinsä pyörteilevissä tuulissa ja ilmestyy kaikkialle tekemään kepposiaan.</t>
  </si>
  <si>
    <t>Se sipaisee puuvillaa kaikkialle pilallaan. Jos se kastuu, siitä tulee liian raskas liikuteltavaksi, eikä sillä ole muuta vaihtoehtoa kuin vastata ilkikurisuuteensa.</t>
  </si>
  <si>
    <t>Niin kauan kuin tämä Pokémon kylpee auringonvalossa, sen puuvilla kasvaa. Jos puuvillanöyhtää kertyy liikaa, Whimsicott repii sen irti ja hajottaa sen.</t>
  </si>
  <si>
    <t>Petilil</t>
  </si>
  <si>
    <t>Polttimo-Pokémon</t>
  </si>
  <si>
    <t>Sen päässä olevat lehdet ovat hyvin karvaita. Yhden tällaisen lehden syömisen tiedetään virkistävän väsynyttä kehoa.</t>
  </si>
  <si>
    <t>Koska ne suosivat kosteaa ja ravinnepitoista maaperää, alueet, joilla Petilil-heimon lajit elävät, tunnetaan hyvinä kasvien kasvattamiseen.</t>
  </si>
  <si>
    <t>Sen päässä olevat lehdet kasvavat takaisin, vaikka ne putoaisivatkin pois. Nämä karvaat lehdet virkistävät niitä, jotka niitä syövät.</t>
  </si>
  <si>
    <t>Vaikka sen päässä olevat lehdet ovat niin kitkeriä, että ne aiheuttavat huimausta, ne lievittävät väsymystä – varsinkin keitettyinä.</t>
  </si>
  <si>
    <t>Leikkaamalla säännöllisesti sen pään lehtiä, tästä Pokémonista voidaan kasvattaa hieno pyöreä muoto.</t>
  </si>
  <si>
    <t>Jotkut sanovat, että jos kuivaat lehdet sen päästä, keität ne ja juot haudukkeen, elinvoimasi palaa, joten Petilil on suosittu vanhusten keskuudessa.</t>
  </si>
  <si>
    <t>Ne pitävät puhtaasta vedestä ja maaperästä. Kun niiden elinympäristö huononee, koko lauma nousee ylös ja muuttaa uudelle alueelle.</t>
  </si>
  <si>
    <t>Petililiä esiintyy puhtaan veden lähteiden lähellä. Tämän Pokémonin päästä keitettyjen lehtien ansiosta syntyy nestettä, jota joskus käytetään hyönteiskarkotteena.</t>
  </si>
  <si>
    <t>Mitä tummempi Petililin lehtien väri on, sitä terveempi Pokémon on. Petilil tekee joskus kotinsa hyvin hoidetulla pellolla tai kukkapenkissä.</t>
  </si>
  <si>
    <t>Sen päässä olevia lehtiä arvostetaan suuresti lääkinnällisiin tarkoituksiin. Kuivaa lehdet auringossa, keitä ne ja juo sitten katkeraa keittoa saadaksesi huomattavan tehokkaan lievityksen väsymykseen.</t>
  </si>
  <si>
    <t>Lilligant</t>
  </si>
  <si>
    <t>Jopa kokeneet kouluttajat kohtaavat haasteen saadakseen sen kauniin kukan kukkimaan. Tämä Pokémon on suosittu julkkisten keskuudessa.</t>
  </si>
  <si>
    <t>Pään päällä olevan köynnöksen tuoksulla on rentouttava vaikutus. Se kuihtuu, jos kouluttaja ei pidä siitä hyvää huolta.</t>
  </si>
  <si>
    <t>https://pokeapi.co/api/v2/pokemon-species/461/</t>
  </si>
  <si>
    <t>Pään päällä olevan seppeleen tuoksulla on rentouttava vaikutus, mutta sen hoitaminen on erittäin vaikeaa.</t>
  </si>
  <si>
    <t>Riippumatta siitä, kuinka paljon aikaa ja rahaa sen kasvattamiseen käytetään, sen kukat ovat kauneimmillaan, kun ne kukkivat luonnossa.</t>
  </si>
  <si>
    <t>Heti kun se löytää uroksen kumppanikseen, sen päässä oleva kaunis kukka tummuu, kuihtuu ja kuihtuu pois.</t>
  </si>
  <si>
    <t>Sen kukan tuoksu vaihtelee hieman riippuen kasvupaikasta. Tuoksun nuuhkiminen rauhoittaa sydäntä ja mieltä.</t>
  </si>
  <si>
    <t>Muut Pokémonit pitävät siitä paljon sen kauneuden vuoksi. Sen päässä oleva kukka tarvitsee jatkuvaa hoitoa, tai se kuihtuu ja mätänee pian.</t>
  </si>
  <si>
    <t>Uskotaan, että jopa ensiluokkaisilla puutarhureilla on vaikeuksia saada Lilligantin päässä oleva kukka kukkimaan.</t>
  </si>
  <si>
    <t>Lilligant-kukista valmistetuilla eteerisillä öljyillä on ylellinen tuoksu, mutta ne ovat myös uskomattoman kalliita.</t>
  </si>
  <si>
    <t>Epäilen, että sen hyvin kehittyneet jalat ovat seurausta elämästä paksun lumen peittämillä vuorilla. Sen kukkakruunusta leijuva tuoksu rohkaisee lähellä olevia.</t>
  </si>
  <si>
    <t>Basculin</t>
  </si>
  <si>
    <t>Vihamielinen Pokémon</t>
  </si>
  <si>
    <t>Punainen ja sininen baskuliini tulevat niin huonosti toimeen keskenään, että ne alkavat tapella välittömästi. Nämä Pokémonit ovat hyvin vihamielisiä.</t>
  </si>
  <si>
    <t>Punainen ja sininen baskuliini eivät yleensä tule toimeen keskenään, mutta joskus toisen koulukunnan jäsenet seurustelevat toisen koulukunnan jäsenten kanssa.</t>
  </si>
  <si>
    <t>Puna- ja siniraitaiset baskuliinit ovat erittäin väkivaltaisia ​​ja tappelevat aina. Ne ovat myös huomattavan maukkaita.</t>
  </si>
  <si>
    <t>Villit, väkivaltaiset Pokémonit, punainen ja sininen Basculin taistelevat jatkuvasti toisiaan vastaan ​​reviiristä.</t>
  </si>
  <si>
    <t>Kun baskuliiniparvi ilmestyy järveen, kaikki muu katoaa paitsi Corphish ja Crawdaunt. Niin väkivaltaisia ​​baskuliinit ovat.</t>
  </si>
  <si>
    <t>Kalastajat rakastavat tätä Pokémonia, joka taistelee koukussa. Ja aina on lisää saalista – monet päästävät niitä laittomasti järviin.</t>
  </si>
  <si>
    <t>Ennen vanhaan sitä tarjottiin usein ruokapöydässä. Punaraidallisen baskulinin liha on rasvaista, ja se on suositumpaa nuorten keskuudessa.</t>
  </si>
  <si>
    <t>Vaikka se eroaa muista baskuliinirotuisista monessa suhteessa, mukaan lukien käytökseltään – tämä on lempeä – olen luokittelenut sen alueelliseksi muodoksi ottaen huomioon laajan kirjon yhteisiä ominaisuuksia.</t>
  </si>
  <si>
    <t>Sandile</t>
  </si>
  <si>
    <t>Aavikkokrokotiili-Pokémon</t>
  </si>
  <si>
    <t>Ne elävät aavikon hiekkaan hautautuneina. Auringon lämmittämä hiekka estää niiden ruumiinlämpöä laskemasta.</t>
  </si>
  <si>
    <t>Se liikkuu hiekan pinnan alapuolella lukuun ottamatta nenäänsä ja silmiään. Tumma kalvo suojaa sen silmiä auringolta.</t>
  </si>
  <si>
    <t>Ne elävät piilossa kuumien aavikon hiekkojen alla estääkseen ruumiinlämpönsä laskemisen.</t>
  </si>
  <si>
    <t>https://pokeapi.co/api/v2/pokemon-species/462/</t>
  </si>
  <si>
    <t>Se upottautuu hiekkaan ja liikkuu kuin uisi. Tämä viisas käytös estää vihollisiaan löytämästä sitä ja ylläpitää sen lämpötilaa.</t>
  </si>
  <si>
    <t>Se piiloutuu hiekkaan ja jyskyttää kaikkien sen yli varomatta kävelevien saaliiden jalkoja. Sen lempiruoka on Trapinch.</t>
  </si>
  <si>
    <t>Alola, jossa on lämmintä ympäri vuoden, on mukava ympäristö tälle Pokémonille. Joskus näet sen jopa aavikoiden ulkopuolella.</t>
  </si>
  <si>
    <t>Sandile ei ole vieläkään hyvä metsästämään, joten se syö enimmäkseen aavikolla romahtaneita asioita. Sitä kutsutaan "aavikon puhdistajaksi".</t>
  </si>
  <si>
    <t>Aavikko kylmenee yöllä, joten auringon laskiessa tämä Pokémon kaivautuu syvälle hiekkaan ja nukkuu auringonnousuun asti.</t>
  </si>
  <si>
    <t>Sandile on pieni, mutta sen jalat ja alavartalo ovat voimakkaat. Työntäen hiekkaa sivuun liikkuessaan Sandile liikkuu aavikon halki kuin uisi.</t>
  </si>
  <si>
    <t>Krokorok</t>
  </si>
  <si>
    <t>Ne elävät muutaman yksilön ryhmissä. Suojakalvot suojaavat niiden silmiä hiekkamyrskyiltä.</t>
  </si>
  <si>
    <t>Sen silmiä peittävä erityinen kalvo aistii esineiden lämmön, joten se voi nähdä ympäristönsä jopa pimeässä.</t>
  </si>
  <si>
    <t>Ohuiden kalvojen suojaamina niiden silmät näkevät jopa yösydämessä. Ne elävät muutaman yksilön ryhmissä.</t>
  </si>
  <si>
    <t>Ne liikkuvat muutaman yksilön ryhmissä. Naaras on usein ryhmän johtaja, ja koiraat keräävät ruokaa.</t>
  </si>
  <si>
    <t>Silmiä peittävän erityisen kalvon ansiosta se näkee ympäristönsä selvästi, jopa keskellä yötä.</t>
  </si>
  <si>
    <t>Krokorok vihaa sitä todella, kun sen ruumis kylmenee. Öisin, kun lämpötila laskee, se kaivautuu syvälle aavikon hiekkaan.</t>
  </si>
  <si>
    <t>Se hautaa osan saaliistaan ​​hiekkaan käyttääkseen sitä hätäateriana, kun sen metsästys ei onnistu.</t>
  </si>
  <si>
    <t>Krokorokilla on erikoistuneet silmät, joiden avulla se näkee pimeässä. Tämän kyvyn ansiosta Krokorok voi metsästää keskellä yötä eksymättä.</t>
  </si>
  <si>
    <t>Vaikka tällä Pokémonilla on erikoistuneet silmät, joiden avulla se näkee pimeässä, Krokorok ei liiku paljon yöllä – aavikko kylmenee auringonlaskun jälkeen.</t>
  </si>
  <si>
    <t>Krookodile</t>
  </si>
  <si>
    <t>Uhkailu-Pokémon</t>
  </si>
  <si>
    <t>Ne eivät koskaan päästä saalista karkuun. Niiden leuat ovat niin voimakkaat, että ne voivat murskata auton korin.</t>
  </si>
  <si>
    <t>Se voi laajentaa silmiensä tarkennusaluetta, jolloin se voi nähdä kaukana olevia esineitä aivan kuin se käyttäisi kiikareita.</t>
  </si>
  <si>
    <t>Hyvin väkivaltaisia ​​Pokémoneja, jotka yrittävät tukahduttaa kaiken, mikä liikkuu heidän silmiensä edessä.</t>
  </si>
  <si>
    <t>https://pokeapi.co/api/v2/pokemon-species/463/</t>
  </si>
  <si>
    <t>Sen ainutlaatuinen näkökyky pystyy havaitsemaan pienen saaliin yli 50 kilometrin päästä, jopa hiekkamyrskyn keskellä.</t>
  </si>
  <si>
    <t>Puristettuaan saaliinsa voimakkailla leuoillaan se kiertää ruumistaan ​​ja repii sen kahtia.</t>
  </si>
  <si>
    <t>Kun se havaitsee saaliin, jopa yli 50 kilometrin etäisyydeltä, se ui aavikon läpi kuin vesi, hyppää sitten ulos ja jyrää sen.</t>
  </si>
  <si>
    <t>Se piiloutuu Flygonin nostattamiin hiekkamyrskyihin ja odottaa kärsivällisesti saaliin ilmestymistä.</t>
  </si>
  <si>
    <t>Tämä Pokémon tunnetaan nimellä Hiekan Kiusaaja. Krookodilen mahtavat leuat voivat purra raskaiden rautalevyjen läpi lähes ilman ponnisteluja.</t>
  </si>
  <si>
    <t>Vaikka Krookodile on hirvittävän aggressiivinen, sillä on myös kärsivällisyyttä pysyä piilossa hiekan alla päiväkausia väijymässä saalista.</t>
  </si>
  <si>
    <t>Darumaka</t>
  </si>
  <si>
    <t>Zen-viehätys-Pokémon</t>
  </si>
  <si>
    <t>Kun sen sisäinen tuli palaa, se ei voi rauhoittua ja se juoksee ympäriinsä. Kun tuli hiipuu, se nukahtaa.</t>
  </si>
  <si>
    <t>Darumakan ulosteet ovat kuumia, joten ihmiset laittoivat niitä vaatteisiinsa pysyäkseen lämpiminä.</t>
  </si>
  <si>
    <t>Nukkuessaan se vetää raajansa ruumistaan ​​vasten ja sen sisäinen tulipalo laskee 500°C:een.</t>
  </si>
  <si>
    <t>Nukkuessaan se vetää raajansa ruumiiseensa ja sen sisäinen tuli laskee 1 100 celsiusasteeseen.</t>
  </si>
  <si>
    <t>Se saa voimansa kehossaan palavasta tulesta. Jos tuli hiipuu, tämä Pokémon nukahtaa välittömästi.</t>
  </si>
  <si>
    <t>Tämä suosittu onnen symboli ei koskaan kaadu nukkuessaan, kuinka sitä sitten työnnetään tai vedetäänkään.</t>
  </si>
  <si>
    <t>Darmanitan</t>
  </si>
  <si>
    <t>https://pokeapi.co/api/v2/pokemon-species/464/</t>
  </si>
  <si>
    <t>Sen sisäinen tuli palaa 2 500 °F:n lämpötilassa, mikä tuottaa riittävästi tehoa tuhota kippiauton yhdellä iskulla.</t>
  </si>
  <si>
    <t>Taistelussa heikentyneenä se muuttuu kivipatsaaksi. Sitten se terävöittää mieltään ja jatkaa taistelua henkisesti.</t>
  </si>
  <si>
    <t>Kun ihminen loukkaantuu raivokkaassa taistelussa, se kovettuu kiven kaltaiseksi muodoksi. Sitten se meditoi ja terävöittää mieltään.</t>
  </si>
  <si>
    <t>Sen sisäinen tuli palaa 2 500 Fahrenheit-asteessa, mikä tuottaa riittävästi tehoa tuhota kippiauton yhdellä iskulla.</t>
  </si>
  <si>
    <t>Tämän kuumaverisen Pokémonin paksut käsivarret pystyvät iskemään niin, että ne voisivat tuhota jopa kippiauton.</t>
  </si>
  <si>
    <t>Tämän Pokémonin voimataso nousee sen tulen lämpötilan noustessa, joka voi nousta 2 500 celsiusasteeseen.</t>
  </si>
  <si>
    <t>Maractus</t>
  </si>
  <si>
    <t>Se käyttää nopeatempoista laulua ja tanssia ajaakseen pois lintu-Pokémonit, jotka saalistavat sen kukkasiemeniä.</t>
  </si>
  <si>
    <t>Kuivat alueet ovat niiden elinympäristöä. Ne liikkuvat rytmisesti ja tuottavat ääntä, joka muistuttaa marakasseja.</t>
  </si>
  <si>
    <t>Kun se liikkuu rytmisesti, se päästää marakassien kaltaisen äänen, joka saa yllättyneen Pokémonin pakenemaan.</t>
  </si>
  <si>
    <t>Äänillä, jotka voitaisiin erehtyä luulemaan marakassien helistimeksi, se luo iloisen rytmin, säikäyttäen lintu-Pokémoneja ja saamalla ne lentämään kiireesti pois.</t>
  </si>
  <si>
    <t>https://pokeapi.co/api/v2/pokemon-species/465/</t>
  </si>
  <si>
    <t>Kerran vuodessa tämä Pokémon levittää siemeniään. Ne ovat täynnä ravinteita, mikä tekee niistä arvokkaan ravinnonlähteen aavikolla.</t>
  </si>
  <si>
    <t>Dwebble</t>
  </si>
  <si>
    <t>Rock Innin Pokémon</t>
  </si>
  <si>
    <t>Tämä Pokémon voi helposti sulattaa reikiä kovissa kivissä suustaan ​​erittyvällä nesteellä.</t>
  </si>
  <si>
    <t>Se tekee reiän sopivaan kiveen. Jos kivi rikkoutuu, Pokémon pysyy levottomana, kunnes löytää korvaavan.</t>
  </si>
  <si>
    <t>Löydettyään sopivan kokoisen kiven se erittää suustaan ​​nestettä avatakseen reiän, johon se voi ryömiä.</t>
  </si>
  <si>
    <t>Kun se löytää kiven, se tekee siihen reiän ja käyttää sitä kotinaan. Tämä Pokémon on Roggenrolan ja Rolycolyn luonnollinen vihollinen.</t>
  </si>
  <si>
    <t>Se yrittää ensin löytää kiven, jossa asua, mutta jos sopivia kiviä ei löydy, Dwebble voi muuttaa Hippowdonin satamiin.</t>
  </si>
  <si>
    <t>Crustle</t>
  </si>
  <si>
    <t>Kivikoti-Pokémon</t>
  </si>
  <si>
    <t>Alueesta kilpaillen Crustle taistelee raa'asti. Se, jonka lohkare rikkoutuu, häviää taistelun.</t>
  </si>
  <si>
    <t>Sillä on valtavan vahvat jalat, joiden ansiosta se voi kantaa raskaita laattoja monien päivien ajan, jopa kuivaa maata ylittäessään.</t>
  </si>
  <si>
    <t>Kun sen lohkare hajoaa aluetaisteluissa, se tuntee olonsa epävarmaksi ja alkaa heiketä.</t>
  </si>
  <si>
    <t>Tämä erittäin reviiritietoinen Pokémon viihtyy kuivassa ilmastossa. Se ei tule ulos lohkareestaan ​​sateisina päivinä.</t>
  </si>
  <si>
    <t>Sen paksut kynnet ovat sen mahtavimmat aseet. Ne ovat niin voimakkaita, että ne voivat murskata Rhyperiorin kilpen.</t>
  </si>
  <si>
    <t>Scraggy</t>
  </si>
  <si>
    <t>Pokémonin irtoaminen</t>
  </si>
  <si>
    <t>Sen iho on kumimaisesti kimmoisa, joten se voi vähentää vaurioita vetämällä nahkaansa puolustuskeinoin kaulaansa kohti.</t>
  </si>
  <si>
    <t>Se iskee välittömästi päähän ketä tahansa, joka kohtaa sen katsekontaktin. Sen kallo on valtavan paksu.</t>
  </si>
  <si>
    <t>Ylpeänä tukevasta kallostaan ​​se iskee yhtäkkiä päällään kaikkea, mutta painonsa tekee siitä myös epävakaan.</t>
  </si>
  <si>
    <t>https://pokeapi.co/api/v2/pokemon-species/466/</t>
  </si>
  <si>
    <t>He liikkuvat pienissä ryhmissä ja kävelevät laiskasti ympäriinsä. Jokainen, joka katsoo heitä silmiin, saa päähän iskun.</t>
  </si>
  <si>
    <t>Se venyttelee roikkuvaa ihoaan kaulaansa asti suojatakseen itseään. Mitä roikkuvampi sen iho, sitä enemmän kunnioitusta se saa.</t>
  </si>
  <si>
    <t>Jos se kohtaa katseesi, ole varovainen! Mikään eikä kukaan ole turvassa tämän hankalan Pokémonin holtittomilta pääniskuilta.</t>
  </si>
  <si>
    <t>Se suojaa itseään kestävällä ihollaan. Tämän Pokémonin uskotaan kehittyvän, kun sen iho on venynyt kokonaan.</t>
  </si>
  <si>
    <t>Scrafty</t>
  </si>
  <si>
    <t>Hoodlum-pokémon</t>
  </si>
  <si>
    <t>Ne pieksevät laumoittain kaikkea, mikä osuu niiden alueelle. Jokainen voi sylkeä suustaan ​​hapanta nestettä.</t>
  </si>
  <si>
    <t>Se voi murskata betonilohkoja potkuhyökkäyksillään. Se, jolla on suurin harja, on ryhmänjohtaja.</t>
  </si>
  <si>
    <t>Se vetää irronnutta nahkaansa ylös suojatakseen itseään potkiessaan. Mitä suurempi harja, sitä arvostetumpi se on.</t>
  </si>
  <si>
    <t>Tämä Pokémon saattaa olla töykeä, mutta se pitää erittäin hyvää huolta perheestään, ystävistään ja reviiristään.</t>
  </si>
  <si>
    <t>Se pilkkaa vastustajiaan sylkemällä. Sillä on tietty reviiri, josta se ei poistu koko elämänsä aikana.</t>
  </si>
  <si>
    <t>Vaikka tämän Pokémonin potkut saattavat tuntua puolivilttimiltä, ​​niissä on tarpeeksi voimaa murskata Conkeldurrin betonipilarit.</t>
  </si>
  <si>
    <t>Vaikka tämä Pokémon tunnetaan enimmäkseen aggressiivisen roiston luonteestaan, se pitää erittäin hyvää huolta perheestään, ystävistään ja reviiristään.</t>
  </si>
  <si>
    <t>Sigilyph</t>
  </si>
  <si>
    <t>Lintumainen Pokémon</t>
  </si>
  <si>
    <t>He eivät koskaan vaihda lentoreittiään, koska heidän muistonsa muinaisen kaupungin vartioinnista pysyvät vakaina.</t>
  </si>
  <si>
    <t>Muinaisen kaupungin vartijoina he käyttävät psyykkistä voimaansa hyökätäkseen alueelleen tunkeutuvien vihollisten kimppuun.</t>
  </si>
  <si>
    <t>Muinaisen kaupungin vartijoina he lentävät aina samaa reittiä pitäen silmällä hyökkääjiä.</t>
  </si>
  <si>
    <t>Psyykkisten voimien ansiosta nämä Pokémonit osaavat lentää. Jotkut sanovat heidän olleen muinaisen kaupungin suojelijoita. Toiset sanovat heidän olleen suojelijoiden lähettiläitä.</t>
  </si>
  <si>
    <t>Sigilyphin lennon autiomaassa tehtiin löytö. Hiekan alta löytyi mahdollisesti muinaisen kaupungin rauniot.</t>
  </si>
  <si>
    <t>Yamask</t>
  </si>
  <si>
    <t>Henki-Pokémon</t>
  </si>
  <si>
    <t>Jokaisella niistä on naamio, joka oli niiden kasvot silloin, kun ne olivat ihmisiä. Joskus ne katsovat sitä ja itkevät.</t>
  </si>
  <si>
    <t>Nämä Pokémonit syntyivät menneinä aikoina haudoissa olleiden ihmisten hengistä. Jokainen säilyttää muistoja entisestä elämästään.</t>
  </si>
  <si>
    <t>https://pokeapi.co/api/v2/pokemon-species/467/</t>
  </si>
  <si>
    <t>Nämä Pokémonit syntyivät hautoihin haudattujen ihmisten hengistä. Jokainen säilyttää muistoja entisestä elämästään.</t>
  </si>
  <si>
    <t>Se vaeltaa öisin raunioiden läpi kantaen naamiota, jonka sanotaan olleen sen kasvot, kun se oli vielä ihminen.</t>
  </si>
  <si>
    <t>Muinaisen ajan ihmisen hengestä tuli tämä Pokémon. Se vaeltelee raunioiden läpi etsien jotakuta, joka tuntee sen kasvot.</t>
  </si>
  <si>
    <t>Cofagrigus</t>
  </si>
  <si>
    <t>Arkku-Pokémon</t>
  </si>
  <si>
    <t>On sanottu, että ne nielevät lähelle tulevat ja muuttavat heidät muumioiksi. Ne syövät mielellään kultahippuja.</t>
  </si>
  <si>
    <t>He teeskentelevät olevansa koristeellisia arkkuja opettaakseen haudanryöstäjille läksyjä. Heidän ruumiinsa on peitetty puhtaalla kullalla.</t>
  </si>
  <si>
    <t>Haudanryöstäjät, jotka erehtyvät luulemaan niitä oikeiksi arkuiksi ja menevät liian lähelle, jäävät loukkuun niiden ruumiisiin.</t>
  </si>
  <si>
    <t>Tämän Pokémonin vartalo on kimaltelevan kultainen. Ihmisten mukaan se ei enää muista olleensa kerran ihminen.</t>
  </si>
  <si>
    <t>Muinaisissa haudoissa on monia Cofagriguksen kuvia. Ne symboloivat menneiden aikojen kuninkaiden vaurautta.</t>
  </si>
  <si>
    <t>Tirtouga</t>
  </si>
  <si>
    <t>Protokilpikonna-Pokémon</t>
  </si>
  <si>
    <t>Fossiilista ennallistettu Pokémon voi sukeltaa yli 800 metrin syvyyteen.</t>
  </si>
  <si>
    <t>Noin 100 miljoonaa vuotta sitten nämä Pokémonit uivat valtamerissä. Niiden uskotaan myös menneen maihin hyökkäämään saaliinsa kimppuun.</t>
  </si>
  <si>
    <t>Tämä Pokémon palautettiin fossiilista. Se ui taitavasti ja sukelsi yli 800 metrin syvyyteen.</t>
  </si>
  <si>
    <t>Sen luuston rakenteen tutkimusten perusteella se voi ilmeisesti sukeltaa yli 800 metrin syvyyteen meressä.</t>
  </si>
  <si>
    <t>Sen sanotaan olevan useimpien kilpikonna-Pokémonien esi-isä, ja se eli lämpimissä merissä noin sata miljoonaa vuotta sitten.</t>
  </si>
  <si>
    <t>Se on ennallistettu muinaisesta fossiilista. Tirtouga eli meressä, mutta tuli maihin etsimään saalista.</t>
  </si>
  <si>
    <t>https://pokeapi.co/api/v2/pokemon-species/468/</t>
  </si>
  <si>
    <t>Sen metsästysalueet kattoivat laajan alueen maalta yli 800 metrin syvyyteen meressä.</t>
  </si>
  <si>
    <t>Tämä Pokémon asutti muinaisia ​​meriä. Vaikka se osaa vain ryömiä, se nousee edelleen maihin etsimään saalista.</t>
  </si>
  <si>
    <t>Tirtougaa pidetään monien kilpikonna-Pokémonien esi-isänä. Se herätettiin henkiin fossiilista.</t>
  </si>
  <si>
    <t>Carracosta</t>
  </si>
  <si>
    <t>Ne voivat elää sekä meressä että maalla. Yhden niistä läimäys riittää avaamaan reiän tankkerin pohjaan.</t>
  </si>
  <si>
    <t>Uskomattoman vahvat leukansa ansiosta ne voivat pureskella teräspalkkeja ja kiviä saaliinsa ohella.</t>
  </si>
  <si>
    <t>Se kykeni tyrmäämään vihollisen yhdellä kehittyneistä eturaajoistaan ​​ja pureskelemaan sen, kuorineen ja luineen kaikkineen.</t>
  </si>
  <si>
    <t>Se rakensi tukevan kuorensa murskaamalla ja nielemällä saaliinsa kovia kuoria tai luita.</t>
  </si>
  <si>
    <t>Tämä Pokémon on aktiivinen sekä maalla että merellä, ja se raahaa maalla olevan saaliinsa veteen tappaakseen sen.</t>
  </si>
  <si>
    <t>Sen leuat ovat pelottavan voimakkaat. Se voisi syödä Omastarin ja Omanyten kokonaisina välittämättä niiden kuorista lainkaan.</t>
  </si>
  <si>
    <t>Carracosta syö saaliinsa viimeisetkin palat, jopa kuoret ja luut, vahvistaakseen tukevaa kuortaan entisestään.</t>
  </si>
  <si>
    <t>Carracosta ahmii saaliinsa kokonaan – luut, kuoret ja kaiken. Tämän ansiosta Carracostan oma kuori kasvaa paksuksi ja tukevaksi.</t>
  </si>
  <si>
    <t>Tämä Pokémon nousee vedestä etsimään saalista, vaikka se liikkuu hitaammin maalla.</t>
  </si>
  <si>
    <t>Archen</t>
  </si>
  <si>
    <t>Ensimmäinen lintu-Pokémon</t>
  </si>
  <si>
    <t>Niiden sanotaan olevan lintu-Pokémonien esi-isiä, eivätkä ne kyenneet lentämään ja liikkuivat hyppimällä oksalta toiselle.</t>
  </si>
  <si>
    <t>Fossiilista herätetyn Pokémonin uskotaan olevan kaikkien lintu-Pokémonien esi-isä.</t>
  </si>
  <si>
    <t>Se herätettiin henkiin muinaisesta fossiilista. Koska se ei pystynyt lentämään, se eli puiden latvoissa ja hyppi oksalta toiselle.</t>
  </si>
  <si>
    <t>Se on kaikkien lintu-Pokémonien esi-isä. Archen itse ei osannut lentää, vaan se liikkui hyppimällä puun latvasta toiseen.</t>
  </si>
  <si>
    <t>Kaikesta päätellen lentokyvyttömänä se kykeni liitämään alas korkeiden puiden latvoista napatakseen saaliinsa.</t>
  </si>
  <si>
    <t>https://pokeapi.co/api/v2/pokemon-species/469/</t>
  </si>
  <si>
    <t>Aiemmin kaikkien lintu-Pokémonien esi-isäksi luultu Pokémon ei ehkä pidä paikkaansa.</t>
  </si>
  <si>
    <t>Fossiilista ennallistettu tämä muinainen lintu-Pokémon on siivet, mutta ei osaa vielä lentää.</t>
  </si>
  <si>
    <t>Tämä Pokémon onnistuttiin palauttamaan fossiilista. Kuten tutkimukset ovat osoittaneet, Archen ei pysty lentämään. Mutta se on erittäin hyvä hyppäämään.</t>
  </si>
  <si>
    <t>Archenin sanotaan olevan lintu-Pokémonien esi-isä. Se eli puiden latvoissa syöden marjoja ja ötökkä-Pokémoneja.</t>
  </si>
  <si>
    <t>Archeops</t>
  </si>
  <si>
    <t>Ne ovat älykkäitä ja tekevät yhteistyötä saaliin nappaamiseksi. Maasta ne lähtevät lentoon vauhdilla.</t>
  </si>
  <si>
    <t>Se juoksee paremmin kuin lentää. Se pyydystää saalistaan ​​liikkumalla auton nopeuden veroisella nopeudella.</t>
  </si>
  <si>
    <t>Se juoksee paremmin kuin lentää. Se nousee ilmaan juosten 40 km/h nopeudella.</t>
  </si>
  <si>
    <t>Vaikka ne ilmeisesti pystyivät lentämään, ne juoksivat yleensä maata pitkin, keskimäärin noin 40 km/h nopeudella.</t>
  </si>
  <si>
    <t>Ne metsästivät parvissa. Kun yksi arkeops oli ajanut saaliinsa nurkkaan, toinen hyökkäsi sen kimppuun.</t>
  </si>
  <si>
    <t>Tämän muinaisen Pokémonin höyhenpeite on herkkä, joten jos kukaan muu kuin kokenut ammattilainen yrittää ennallistaa sitä, hän epäonnistuu.</t>
  </si>
  <si>
    <t>Lintu-Pokémonin esi-isäksi sanotun lihakset, joita se käyttää siipiensä räpyttelyyn, ovat vielä heikot, joten se tarvitsee pitkän kiitoradan päästäkseen lentoon.</t>
  </si>
  <si>
    <t>Se tarvitsee hyvän lähdön lähteäkseen lentoon. Jos Archeops haluaa lentää, sen on ensin juostava lähes 40 km/h nopeudella ja rakennettava vauhtia noin 4 kilometrin matkan aikana.</t>
  </si>
  <si>
    <t>Vaikka Archeops kykeni lentämään, se oli ilmeisesti parempi metsästämään maassa.</t>
  </si>
  <si>
    <t>Trubbish</t>
  </si>
  <si>
    <t>Roskapussi-Pokémon</t>
  </si>
  <si>
    <t>Niiden röyhtäilemän kaasun hengittäminen saa sinut nukkumaan viikon. Ne suosivat epähygieenisiä paikkoja.</t>
  </si>
  <si>
    <t>Roskapussien ja teollisuusjätteen yhdistelmä aiheutti kemiallisen reaktion, joka loi tämän Pokémonin.</t>
  </si>
  <si>
    <t>Koska ne haluavat lisää roskaa, ne seuraavat roskaajia. Ne röyhtäilevät aina myrkyllistä kaasua.</t>
  </si>
  <si>
    <t>https://pokeapi.co/api/v2/pokemon-species/470/</t>
  </si>
  <si>
    <t>He pitävät eniten epähygieenisistä paikoista. Heidät voi havaita Alolassa, usein Grimerin jahdatessa heitä.</t>
  </si>
  <si>
    <t>Se ahmii roskia vatsaansa täyteen. Sitten se röyhtäilee myrkyllistä kaasua. Epäonninen kaasun tuulahdus vie ihmisen sairaalaan.</t>
  </si>
  <si>
    <t>Siitä vuotaa myrkyllistä kaasua sen hengittäessä. Se, joka haistaa tuon löyhkän, kuolaa.</t>
  </si>
  <si>
    <t>Jos nuori Pokémon tai lapsi hengittää sisään Trubbishin röyhtäilemää myrkyllistä kaasua, se voi olla hengenvaarallinen tilanne.</t>
  </si>
  <si>
    <t>Sen lempipaikat ovat epähygieenisiä. Jos jätät roskat lojumaan ympäriinsä, saatat jopa löytää yhden näistä Pokémoneista asumasta huoneessasi.</t>
  </si>
  <si>
    <t>Tämä Pokémon syntyi roskakassista täytetystä pussista. Galarian Weezing nauttii Trubbishin röyhtäilevistä höyryistä.</t>
  </si>
  <si>
    <t>Garbodor</t>
  </si>
  <si>
    <t>Roskakasa-Pokémon</t>
  </si>
  <si>
    <t>Se puristaa vastustajia vasemmalla kädellään ja viimeistelee heidät suustaan ​​​​purkautuvalla pahanhajuisella myrkkykaasulla.</t>
  </si>
  <si>
    <t>Ne imevät itseensä roskia ja tekevät niistä osan kehoaan. Ne ampuvat myrkyllistä nestettä oikean kätensä sormenpäistä.</t>
  </si>
  <si>
    <t>Roskien syöminen tuottaa heidän kehoonsa uudenlaisia ​​myrkyllisiä kaasuja ja nesteitä.</t>
  </si>
  <si>
    <t>Varo myrkyllistä nestettä, jota se ampuu oikeasta käsivarrestaan. Jos edes pieni osa siitä joutuu päällesi, koet tuntemattoman toksiinin vaikutukset.</t>
  </si>
  <si>
    <t>Jonkin aikaa niiden määrä kasvoi räjähdysmäisesti Alolassa. Grimerin saapumisen jälkeen niiden populaatio on vähentynyt dramaattisesti.</t>
  </si>
  <si>
    <t>Se lukitsee vastustajat paikoilleen vasemmalla kädellään ja lamauttaa heidät kastelemalla heidän kehonsa kokonaan myrkyllisellä nesteellä.</t>
  </si>
  <si>
    <t>Jotkut sanovat, että syy siihen, miksi Garbodorit Alolassa ovat hieman vahvempia kuin heidän vastustajansa muualla, on Mukin, heidän luonnollisen vihollisensa, läsnäolo.</t>
  </si>
  <si>
    <t>Tämä Pokémon syö roskaa, joka muuttuu myrkylliseksi sen kehossa. Myrkyn pääkomponentti riippuu syödyn roskan tyypistä.</t>
  </si>
  <si>
    <t>Sen oikeasta käsivarresta purkautuva myrkyllinen neste on niin myrkyllistä, että se voi tappaa heikentyneen olennon välittömästi.</t>
  </si>
  <si>
    <t>Zorua</t>
  </si>
  <si>
    <t>Ovela Kettu-Pokémon</t>
  </si>
  <si>
    <t>Se muuttaa muotonsa toisten ihmisten muotoon yllättääkseen heidät. Ilmeisesti se usein muuttuu hiljaiseksi lapseksi.</t>
  </si>
  <si>
    <t>Suojellakseen itseään vaaralta he piilottavat todellisen identiteettinsä muuttumalla ihmisiksi ja Pokémoneiksi.</t>
  </si>
  <si>
    <t>https://pokeapi.co/api/v2/pokemon-species/471/</t>
  </si>
  <si>
    <t>Se muuttuu näyttämään aivan viholliseltaan, huijaa sitä ja käyttää sitten tilaisuutta hyväkseen paetakseen.</t>
  </si>
  <si>
    <t>Tällä Pokémonilla on pelkurimainen luonne, joten ystäviensä poissa ollessa se pysyy aina muuttuneena joksikin muuksi.</t>
  </si>
  <si>
    <t>Jos normaalisti puhelias lapsi yhtäkkiä lakkaa puhumasta, Zorua on saattanut korvata hänet.</t>
  </si>
  <si>
    <t>Zorua on arka Pokémon. Tämä luonne näyttää johtaneen Zoruan kykyyn ottaa muiden olentojen muotoja.</t>
  </si>
  <si>
    <t>Zorua muuttuu joskus ihmiseksi ja menee kaupunkeihin etsimään ruokaa. Kun Zorua tekee näin, se yleensä ottaa lapsen muodon.</t>
  </si>
  <si>
    <t>Kerran edesmennyt sielu, joka on palannut elämään Hisuissa. Ansaitsee voimansa kaunasta, joka nousee energiana sen päähän ja ottaa vihollisten hahmot. Tällä tavoin Zorua purkaa viipyilevää pahuuttaan.</t>
  </si>
  <si>
    <t>Zoroark</t>
  </si>
  <si>
    <t>Illuusio-kettu-Pokémon</t>
  </si>
  <si>
    <t>Näiden Pokémonien väliset siteet ovat erittäin vahvat. Se suojelee laumansa turvallisuutta huijaamalla vastustajiaan.</t>
  </si>
  <si>
    <t>Jokaisella on kyky huijata suuri joukko ihmisiä samanaikaisesti. He suojelevat pesäänsä illuusiomaisemilla.</t>
  </si>
  <si>
    <t>Tarinoiden mukaan Zoroarkin kiinniottamista yrittäneet jäivät illuusion vangiksi ja heitä rangaistiin.</t>
  </si>
  <si>
    <t>Se ei ainoastaan ​​muuta itseään – sillä on myös voima saada sadat ihmiset näkemään illuusiot.</t>
  </si>
  <si>
    <t>Jos se luulee ihmisten löytävän sen pesän, Zoroark näyttää niille näkyjä, jotka saavat ne vaeltelemaan metsässä.</t>
  </si>
  <si>
    <t>Tämä Pokémon välittää syvästi muista kaltaisistaan ​​ja se loihtii kauhistuttavia illuusioita pitääkseen pesänsä ja pakkaustaan ​​turvassa.</t>
  </si>
  <si>
    <t>Yksinäisyyden taakkaa keventääkseen yksinäiset kouluttajat käskevät Zoroarkia näyttämään heille illuusioita.</t>
  </si>
  <si>
    <t>Sekalaisen valkoisen turkkinsa ansiosta se näyttää kuoleman ruumiillistumalta. Omasta turvallisuudestaan ​​välittämättä Zoroark hyökkää arkkivihollistensa kimppuun niin voimakkaalla katkeralla energialla, että se viiltää Zoroarkin omaa ruumista.</t>
  </si>
  <si>
    <t>Minccino</t>
  </si>
  <si>
    <t>Chinchilla-Pokémon</t>
  </si>
  <si>
    <t>Ne tervehtivät toisiaan hieromalla toisiaan hännillään, jotka pidetään aina hyvin hoidettuina ja puhtaina.</t>
  </si>
  <si>
    <t>Nämä Pokémonit viihtyvät siistissä elinympäristössä. Ne lakaisevat ja pölyttävät aina käyttäen häntäänsä luutana.</t>
  </si>
  <si>
    <t>Minccinot tervehtivät toisiaan harjaamalla toisiaan huolellisesti hännällään.</t>
  </si>
  <si>
    <t>Puhtausfriikki, joka ei salli pienintäkään sotkua, käyttää häntäänsä kuin moppia puhdistaakseen perusteellisesti kaiken lian.</t>
  </si>
  <si>
    <t>Kun Minccinon häntä on likaantunut itsepuhdistuksen tai pesän siivouksen seurauksena, se pesee häntäänsä kokonaisen päivän puhtaassa lähdevedessä.</t>
  </si>
  <si>
    <t>Se, miten se harjaa lian pois hännällään, voi olla hyödyllinen siivouksessa. Mutta sen keskittyminen tahrattomuuteen voi tehdä siivoamisesta hankalampaa.</t>
  </si>
  <si>
    <t>Ne silittävät toisiaan hännällään tervehdyksenä. Näistä kahdesta se, jonka häntä on pörröisempi, on hieman kerskailevampi.</t>
  </si>
  <si>
    <t>Cinccino</t>
  </si>
  <si>
    <t>Huivi-Pokémon</t>
  </si>
  <si>
    <t>Niiden valkoinen turkki on päällystetty erityisellä öljyllä, jonka avulla ne voivat torjua hyökkäykset helposti.</t>
  </si>
  <si>
    <t>Niiden valkoinen turkki tuntuu ihanalta koskettaa. Niiden turkki hylkii pölyä ja estää staattisen sähkön kertymisen.</t>
  </si>
  <si>
    <t>Cinccinon vartalo on päällystetty erityisellä öljyllä, joka auttaa sitä torjumaan hyökkäyksiä, kuten lyöntejä.</t>
  </si>
  <si>
    <t>https://pokeapi.co/api/v2/pokemon-species/472/</t>
  </si>
  <si>
    <t>Sen turkin valkoiset osat ovat peittyneet sen kehosta erittyvään öljyyn, joten tämä Pokémon voi liukua suoraan pois vihollistensa hyökkäyksiltä.</t>
  </si>
  <si>
    <t>Sen sisältä tihkuva öljy on todella pehmeää. Tämä öljy on tehokas hoitokeino ihmisille, joita vaivaa huono iho.</t>
  </si>
  <si>
    <t>Sen ruumis erittää öljyä, jota tämä Pokémon levittää pesänsä päälle suojaamaan sitä pölyltä. Cinccino ei siedä edes hitustakaan tätä öljyä.</t>
  </si>
  <si>
    <t>Erityinen öljy, joka imeytyy niiden turkkiin, auttaa niitä välttämään hyökkäyksiä. Öljystä saa markkinoilla korkean hinnan.</t>
  </si>
  <si>
    <t>Gothita</t>
  </si>
  <si>
    <t>Fiksaatio-Pokémon</t>
  </si>
  <si>
    <t>Heidän nauhamaiset tuntosarvensa lisäävät heidän psyykkistä voimaansa. He tuijottavat aina jotakin.</t>
  </si>
  <si>
    <t>He tarkkailevat tarkasti sekä kouluttajia että Pokémoneja. Ilmeisesti he katsovat jotakin, minkä vain Gothita voi nähdä.</t>
  </si>
  <si>
    <t>Se tuijottaa kaikkea intensiivisesti. Se voi olla niin pakkomielteisen tarkkaileva, ettei se huomaa hyökkäyksiä.</t>
  </si>
  <si>
    <t>Vaikka he ovat vasta vauvoja, heidän nauhamaisissa tuntosarvissaan on varastoituneena psyykkistä voimaa, ja joskus he käyttävät tätä voimaa taisteluun.</t>
  </si>
  <si>
    <t>Vaikka ketään ei näyttäisi olevan lähellä, Gothita voi silti kuulla vaimean huudon. Monet uskovat sen puhuvan jollekin, minkä vain se voi nähdä.</t>
  </si>
  <si>
    <t>Gothorita</t>
  </si>
  <si>
    <t>He käyttävät hypnoosia ihmisten ja Pokémonien hallitsemiseen. Tarinoita Gothoritoista, jotka johtavat ihmisiä harhaan, kerrotaan joka nurkalla.</t>
  </si>
  <si>
    <t>Tähtienvalo on heidän voimansa lähde. Yöllä he merkitsevät tähtien sijainteja käyttämällä psyykkistä voimaa kivien kelluttamiseen.</t>
  </si>
  <si>
    <t>Monien vanhojen tarinoiden mukaan se luo itselleen ystäviä hallitsemalla nukkuvia lapsia tähtikirkkaina öinä.</t>
  </si>
  <si>
    <t>https://pokeapi.co/api/v2/pokemon-species/473/</t>
  </si>
  <si>
    <t>Sanotaan, että kun tähdet loistavat yötaivaalla, tämä Pokémon ajaa nukkuvat lapset pois. Jotkut kutsuvat sitä Rangaistuksen Noidaksi.</t>
  </si>
  <si>
    <t>Öinä, jolloin tähdet loistavat, tämän Pokémonin psyykkinen voima on vahvimmillaan. Ei tiedetä, mikä yhteys Gothoritalla on suurempaan universumiin.</t>
  </si>
  <si>
    <t>Gothitelle</t>
  </si>
  <si>
    <t>Astraalkeho-pokémon</t>
  </si>
  <si>
    <t>Tuhansien valovuosien päässä olevat tähtitaivaat näkyvät avaruudessa, jota niiden voimakas psyykkinen voima vääristää.</t>
  </si>
  <si>
    <t>He voivat ennustaa tulevaisuutta tähtien sijainnin ja liikkeen perusteella. He voivat nähdä kouluttajien eliniän.</t>
  </si>
  <si>
    <t>Se näkee tulevaisuuden tähtien liikkeestä. Kun se saa tietää kouluttajansa eliniän, se itkee surusta.</t>
  </si>
  <si>
    <t>Sillä on valtava psyykkinen voima, mutta se ei pidä konflikteista. Se pystyy myös ennustamaan tulevaisuutta tähtien liikkeiden perusteella.</t>
  </si>
  <si>
    <t>Rikollinen, jolle gothitelle näytti kohtalonsa, katosi samana päivänä eikä häntä enää koskaan nähty.</t>
  </si>
  <si>
    <t>Solosis</t>
  </si>
  <si>
    <t>Solu-Pokémon</t>
  </si>
  <si>
    <t>He ajavat hyökkääjät pois päästämällä psyykkisiä voimia. He voivat käyttää telepatiaa puhuakseen muiden kanssa.</t>
  </si>
  <si>
    <t>Koska niiden ruumiit ovat erityisen nesteen peitossa, ne voivat selviytyä missä tahansa ympäristössä.</t>
  </si>
  <si>
    <t>Koska niiden ruumiit ovat peittyneet erityiseen nesteeseen, ne pärjäävät missä tahansa ympäristössä, olipa se kuinka ankara tahansa.</t>
  </si>
  <si>
    <t>Se kommunikoi muiden kanssa telepaattisesti. Sen ruumis on nesteen peitossa, mutta jos se saa kovan iskun, neste vuotaa ulos.</t>
  </si>
  <si>
    <t>Monet sanovat, että tämän Pokémonin kehoa peittävä erityinen neste mahdollistaisi sen selviytymisen avaruuden tyhjiössä.</t>
  </si>
  <si>
    <t>Duosion</t>
  </si>
  <si>
    <t>Mitoosi-Pokémon</t>
  </si>
  <si>
    <t>Koska niillä on kaksi eriytynyttä aivoa, ne yrittävät ajoittain yhtäkkiä tehdä kaksi eri asiaa kerralla.</t>
  </si>
  <si>
    <t>Kun heidän aivonsa, jotka ovat nyt jakautuneet kahtia, ajattelevat samoja ajatuksia, nämä Pokémonit osoittavat maksimaalista voimaansa.</t>
  </si>
  <si>
    <t>Kun heidän kaksi jakautunutta aivoaan ajattelevat samoja ajatuksia, heidän psyykkinen voimansa maksimoituu.</t>
  </si>
  <si>
    <t>https://pokeapi.co/api/v2/pokemon-species/474/</t>
  </si>
  <si>
    <t>Sen psyykkisen voiman oletetaan voivan kattaa yli 800 metrin kantaman – mutta vain jos sen kaksi aivoa pystyvät toimimaan yhdessä.</t>
  </si>
  <si>
    <t>Sen aivot ovat jakautuneet kahtia, ja nämä kaksi puoliskoa ajattelevat harvoin samalla tavalla. Sen teot ovat täysin arvaamattomia.</t>
  </si>
  <si>
    <t>Reuniclus</t>
  </si>
  <si>
    <t>Pokémonien lisääntyminen</t>
  </si>
  <si>
    <t>Kun Reuniclus kättelee, heidän aivojensa välille muodostuu verkosto, joka lisää heidän psyykkistä voimaansa.</t>
  </si>
  <si>
    <t>Nämä huomattavan älykkäät Pokémonit taistelevat käyttämällä käsivarsia, jotka pystyvät murskaamaan kiven.</t>
  </si>
  <si>
    <t>He käyttävät psyykkistä voimaa hallitakseen käsivarsiaan, jotka on tehty erityisestä nesteestä. He voivat murskata lohkareita psyykkisesti.</t>
  </si>
  <si>
    <t>Vaikka se voisi käyttää psyykkisiä kykyjään taistelussa, tämä Pokémon mieluummin heiluttaa voimakkaita käsiään voittaakseen vastustajat alistumaan.</t>
  </si>
  <si>
    <t>Sanotaan, että Reuniclus-nestettä juomalla saa viisautta. Ongelmana on, että neste on erittäin myrkyllistä kaikelle muulle paitsi itse Reuniclus-nesteelle.</t>
  </si>
  <si>
    <t>Ducklett</t>
  </si>
  <si>
    <t>Nämä lintu-Pokémonit ovat erinomaisia ​​sukeltajia. Ne uivat vedessä syöden lempiruokaansa – turvetta.</t>
  </si>
  <si>
    <t>Hyökkäyksen sattuessa se roiskii vettä höyhenillään ja pakenee suihkeen suihkeen suojissa.</t>
  </si>
  <si>
    <t>Ne ovat parempia uimaan kuin lentämään, ja ne syövät mielellään lempiruokaansa, turvetta, sukeltaessaan veden alle.</t>
  </si>
  <si>
    <t>Swanna</t>
  </si>
  <si>
    <t>Valkoinen lintu-Pokémon</t>
  </si>
  <si>
    <t>Swannat alkavat tanssia hämärän laskeutuessa. Keskellä tanssiva on parven johtaja.</t>
  </si>
  <si>
    <t>Se antaa nokallaan teräviä ja voimakkaita nokkaiskuja. Se heilauttaa pitkää kaulaansa antaakseen voimakkaita toistuvia iskuja.</t>
  </si>
  <si>
    <t>Tyylikkäästä ulkonäöstään huolimatta ne voivat räpytellä siipiään voimakkaasti ja lentää tuhansia kilometrejä.</t>
  </si>
  <si>
    <t>Vanillite</t>
  </si>
  <si>
    <t>Niiden hengityksen lämpötila on -58° F. Ne luovat lumikiteitä ja saavat lumen satamaan ympärillään oleville alueille.</t>
  </si>
  <si>
    <t>Tämä Pokémon muodostui jääpuikoista, jotka kylpivät aamuauringon energiassa. Se nukkuu lumen peitossa.</t>
  </si>
  <si>
    <t>Teoriassa tämä Pokémon muodostui jääpuikoista, jotka kylpivät aamuauringon energiassa. Niiden hengityksen lämpötila on -58° F.</t>
  </si>
  <si>
    <t>Niiden hengityksen lämpötila on -58 Fahrenheit-astetta. Ne luovat lumikiteitä ja saavat lumen satamaan ympärillään oleville alueille.</t>
  </si>
  <si>
    <t>https://pokeapi.co/api/v2/pokemon-species/475/</t>
  </si>
  <si>
    <t>Jääpuikosta syntynyt Pokémon käyttää pakkashengitystään jääkiteiden tekemiseen, jotka aiheuttavat lumen satamista.</t>
  </si>
  <si>
    <t>Se tuntuu miellyttävän viileältä halattaessa. Lämpimien alueiden kotitaloudet arvostavat tätä Pokémonia.</t>
  </si>
  <si>
    <t>Se hengittää ulos kylmää ilmaa, jonka lämpötila on –27 celsiusastetta. Lämpimässä paikassa se kutistuu vähitellen.</t>
  </si>
  <si>
    <t>Kun aamuaurinko osui jääpuikkoon, se ei halunnut sulaa, ja näin vanilliitti syntyi. Yöllä se hautautuu lumeen nukkuakseen.</t>
  </si>
  <si>
    <t>Koska se ei selviä kuumilla alueilla, se tekee olonsa mukavaksi hengittämällä ulos niin kylmää ilmaa, että se aiheuttaa lunta. Se kaivautuu lumeen nukkuakseen.</t>
  </si>
  <si>
    <t>Tämän Pokémonin oletetaan syntyneen jääpuikosta. Se syöksee ulos -27 celsiusasteen jääkylmää ilmaa tehdäkseen olonsa mukavammaksi.</t>
  </si>
  <si>
    <t>Vanillish</t>
  </si>
  <si>
    <t>Jäinen lumi-Pokémon</t>
  </si>
  <si>
    <t>Lumiset vuoret ovat tämän Pokémonin elinympäristö. Muinaisen jääkauden aikana ne muuttivat eteläisille alueille.</t>
  </si>
  <si>
    <t>Se piiloutuu vihollisen katseilta luomalla monia pieniä jäähiukkasia ja piiloutumalla niiden joukkoon.</t>
  </si>
  <si>
    <t>Ne viilentävät ympäröivää ilmaa ja luovat jäähiukkasia, joita ne käyttävät vihollistensa jäädyttämiseen.</t>
  </si>
  <si>
    <t>Kuumat päivät sulattavat sen ruumiin. Se voidaan palauttaa pakastamalla se uudelleen, mutta prosessi jättää sen ruumiin hieman vääristyneeksi.</t>
  </si>
  <si>
    <t>Tämä Pokémon on ollut olemassa jääkaudesta lähtien. Se hallitsee jäähiukkasia, jäädyttää vastustajansa ja murskaa heidät pääniskulla.</t>
  </si>
  <si>
    <t>Se suihkuttaa vihollisiaan jääjyväsillä jäädyttääkseen heidät. Useimmat Alolan vaniljaiset ovat keskimääräistä pienempiä.</t>
  </si>
  <si>
    <t>Tämä reipas Pokémon selvisi jääkaudesta. Se on uskomattoman suosittu erittäin kuumilla alueilla.</t>
  </si>
  <si>
    <t>Juomalla puhdasta vettä se kasvattaa jäistä vartaloaan. Tätä Pokémonia voi olla vaikea löytää lämpiminä ja aurinkoisina päivinä.</t>
  </si>
  <si>
    <t>Se puhaltaa vihollisia kylmällä ilmalla, jonka lämpötila nousee −75 celsiusasteeseen, ja jäädyttää heidät jähmettyneiksi. Mutta se säästää heidän henkensä sen jälkeen – se on kiltti Pokémon.</t>
  </si>
  <si>
    <t>Vanilluxe</t>
  </si>
  <si>
    <t>Lumimyrsky-Pokémon</t>
  </si>
  <si>
    <t>Nielemällä suuria määriä vettä ne muodostavat lumipilviä kehoonsa ja hyökkäävät vihollistensa kimppuun rajuilla lumimyrskyillä.</t>
  </si>
  <si>
    <t>Jos molemmat päät suuttuvat samanaikaisesti, tämä Pokémon lähettää lumimyrskyn, joka hautaa kaiken lumeen.</t>
  </si>
  <si>
    <t>Nielemällä suuria määriä vettä ne muodostavat lumipilviä kehoonsa ja vihaisina aiheuttavat rajuja lumimyrskyjä.</t>
  </si>
  <si>
    <t>https://pokeapi.co/api/v2/pokemon-species/476/</t>
  </si>
  <si>
    <t>Kummallakin sen kahdella päällä on aivot, ja kun ne ovat yhteisymmärryksessä, se hyökkää vihollistensa kimppuun puhaltamalla ulos rajua lumimyrskyä.</t>
  </si>
  <si>
    <t>Vaikka se menettäisi toisen päänsä, se voi elää suhteellisen ongelmattomasti. Se tekee lumipilviä ruumiinsa sisään.</t>
  </si>
  <si>
    <t>Se puhaltaa lumimyrskyjä kahdesta suustaan. Se voi luoda lunta minne tahansa, joten se saa paljon rakkautta hiihtäjiltä ja lumilautailijoilta.</t>
  </si>
  <si>
    <t>Vanilluxe syntyy, kun kaksi päivänvalossa puoliksi sulanutta vaniljaa tarttuvat toisiinsa ja jäätyvät yhteen yön kylmässä paluussa.</t>
  </si>
  <si>
    <t>Kun sen viha saavuttaa rajansa, tämä Pokémon päästää valloilleen rajua lumimyrskyä, joka jäädyttää kaikki sen ympärillä olevat olennot, olivatpa ne ystäviä tai vihollisia.</t>
  </si>
  <si>
    <t>Ihmiset uskovat, että tämä Pokémon muodostui, kun kaksi Vanillishia tarttui yhteen. Sen ruumiinlämpö on noin -5 celsiusastetta.</t>
  </si>
  <si>
    <t>Deerling</t>
  </si>
  <si>
    <t>Kauden Pokémon</t>
  </si>
  <si>
    <t>Niiden turkin väri ja tuoksu muuttuvat vuoristoruohon värin mukaan. Kun ne tuntevat vihamielisyyttä, ne piiloutuvat ruohikkoon.</t>
  </si>
  <si>
    <t>Vuodenaikojen vaihtuminen muuttaa tämän Pokémonin turkin väriä ja tuoksua. Ihmiset käyttävät sitä vuodenaikojen merkitsemiseen.</t>
  </si>
  <si>
    <t>https://pokeapi.co/api/v2/pokemon-species/477/</t>
  </si>
  <si>
    <t>Niiden väritys muuttuu vuodenaikojen mukaan, ja lämpötila ja kosteus voivat vaikuttaa siihen hieman.</t>
  </si>
  <si>
    <t>Sawsbuck</t>
  </si>
  <si>
    <t>Ne muuttavat vuodenaikojen mukaan. Ihmiset voivat päätellä vuodenajan katsomalla Sawsbuckin sarvia.</t>
  </si>
  <si>
    <t>Sen sarvissa kasvavat kasvit vaihtuvat vuodenajan mukaan. Lauman johtajilla on upeat sarvet.</t>
  </si>
  <si>
    <t>Ne muuttavat vuodenaikojen mukaan, joten jotkut kutsuvat Sawsbuckeja kevään airut.</t>
  </si>
  <si>
    <t>Emolga</t>
  </si>
  <si>
    <t>Taivasorava-Pokémon</t>
  </si>
  <si>
    <t>Sen poskien sähköpusseissa tuotettu energia varastoituu sen kalvon sisään ja vapautuu sen liukuessa.</t>
  </si>
  <si>
    <t>Ne elävät puiden latvoissa ja liitelevät viitan kaltaisen kalvon sisäpuolella purkaen samalla sähköä.</t>
  </si>
  <si>
    <t>Se liukuu ojennettua kalvoaan pitkin ja antaa sähköiskuja vihollisille poskissaan olevien pussien varastoimalla sähköllä.</t>
  </si>
  <si>
    <t>Se liitää viittamaisen kalvonsa avulla. Siitä säteilee sähköenergiaa, joka sähköistää niin sen ystäviä kuin vihollisiakin.</t>
  </si>
  <si>
    <t>Se grillaa marjoja ja ärsyttää Pokémoneja sähköiskuilla ja tekee niistä aterian. Se pesii yleensä Pikipekin puihin kaivamissa rei'issä.</t>
  </si>
  <si>
    <t>Ne varastoivat sähköä lentääkseen ilmassa. Kun ukkonen jyrisee yöllä, niitä on joskus melkein tarpeeksi peittämään taivaan.</t>
  </si>
  <si>
    <t>https://pokeapi.co/api/v2/pokemon-species/478/</t>
  </si>
  <si>
    <t>Lentäessään se levittää sähköä ympärilleen, joten lintu-Pokémonit pysyvät etäällä. Siksi Emolga voi pitää kaiken ruokansa itsellään.</t>
  </si>
  <si>
    <t>Emolga rätisee sähköä leijaillessaan ilmassa. Tämä Pokémon on söpö, mutta se voi aiheuttaa paljon ongelmia.</t>
  </si>
  <si>
    <t>Tämä Pokémon rakastaa makeita marjoja. Joskus se tunkee poskensa täyteen ruokaa niin paljon, ettei pysty lentämään kunnolla.</t>
  </si>
  <si>
    <t>Karrablast</t>
  </si>
  <si>
    <t>Puristava Pokémon</t>
  </si>
  <si>
    <t>Nämä salaperäiset Pokémonit kehittyvät, kun ne saavat sähköistä stimulaatiota ollessaan samassa paikassa Shelmetin kanssa.</t>
  </si>
  <si>
    <t>Tuntiessaan uhatuksi ne sylkevät hapanta nestettä ajaakseen hyökkääjät pois. Tämä Pokémon kohdistaa kohteekseen Shelmetin.</t>
  </si>
  <si>
    <t>Jostain syystä ne kehittyvät, kun ne saavat sähköenergiaa hyökätessään Shelmetin kimppuun.</t>
  </si>
  <si>
    <t>Sen outo fysiologia reagoi sähköenergiaan mielenkiintoisilla tavoilla. Shelmetin läsnäolo saa tämän Pokémonin kehittymään.</t>
  </si>
  <si>
    <t>Se sylkee suustaan ​​nestettä, joka sulaa Shelmetin kuoren läpi. Karrablast ei syö kuorta – se syö vain sisällön.</t>
  </si>
  <si>
    <t>Escavalier</t>
  </si>
  <si>
    <t>Ratsuväen Pokémon</t>
  </si>
  <si>
    <t>Ne lentävät ympäriinsä kovaa vauhtia iskien terävillä keihäillään. Jopa vaikeuksissa ne kohtaavat vastustajat rohkeasti.</t>
  </si>
  <si>
    <t>Nämä Pokémonit kehittyvät käyttämällä Shelmetin kuoripeitettä. Teräspanssari suojaa koko niiden kehoa.</t>
  </si>
  <si>
    <t>Yllään Shelmetiltä varastamansa kuoripeitteen he puolustautuvat ja hyökkäävät kahdella keihällä.</t>
  </si>
  <si>
    <t>He käyttävät Shelmetiltä varastamiaan kranaatteja aseistautumiseen ja suojaamiseen. He ovat erittäin suosittuja Pokémoneja Galarin alueella.</t>
  </si>
  <si>
    <t>Se hyökkää vihollistensa kimppuun keihäät ampumavalmiina. Kuva yhdestä sen kaksintaisteluista on tallennettu kuuluisaan maalaukseen, jossa Escavalier ottaa yhteen Sirfetch’din kanssa.</t>
  </si>
  <si>
    <t>Foongus</t>
  </si>
  <si>
    <t>Se houkuttelee ihmisiä luokseen Poképallokuviollaan ja vapauttaa sitten myrkyllisiä itiöitä. Miksi se muistuttaa Poképalloa, ei tiedetä.</t>
  </si>
  <si>
    <t>Jostain syystä tämä Pokémon muistuttaa Poképalloa. Ne vapauttavat myrkyllisiä itiöitä karkottaakseen ne, jotka yrittävät saada ne kiinni.</t>
  </si>
  <si>
    <t>Se houkuttelee Pokémoneja kuviollaan, joka näyttää aivan Poképallolta, ja vapauttaa sitten myrkkyitiöitä.</t>
  </si>
  <si>
    <t>https://pokeapi.co/api/v2/pokemon-species/479/</t>
  </si>
  <si>
    <t>Kukaan ei tiedä, mitä Foonguksen Poképallon kaltainen kuvio tarkoittaa tai miksi Foonguksella on se.</t>
  </si>
  <si>
    <t>Tämän Pokémonin käsistä vapautuvat itiöt ovat erittäin myrkyllisiä, mutta perusteellisesti kuivattuina itiöitä voidaan käyttää vatsalääkkeenä.</t>
  </si>
  <si>
    <t>Amoonguss</t>
  </si>
  <si>
    <t>Se houkuttelee saalista lähelle tanssimalla ja heiluttamalla Poké-palloja muistuttavia käsivarsikorkkejaan huojuvalla liikkeellä.</t>
  </si>
  <si>
    <t>Ne esittelevät Poké Ball -lippiksiään houkutellakseen saalista, mutta hyvin harvat Pokémonit antavat tämän hämätä.</t>
  </si>
  <si>
    <t>Se liikuttaa molempien käsivarsien lakkeja ja tanssii houkutellakseen saalista. Se pitää kosteista paikoista.</t>
  </si>
  <si>
    <t>https://pokeapi.co/api/v2/pokemon-species/480/</t>
  </si>
  <si>
    <t>Tämä Pokémon suihkuttaa myrkyllisiä itiöitä vihollistensa päälle. Jos itiöitä ei huuhdella pois nopeasti, ne kasvavat sieniksi minne ikinä ne laskeutuvatkin.</t>
  </si>
  <si>
    <t>Amoonguss ei yleensä liiku paljon. Se seisoo usein paikallaan maahan pudotettujen Poképallojen lähellä.</t>
  </si>
  <si>
    <t>Frillish</t>
  </si>
  <si>
    <t>Kelluva Pokémon</t>
  </si>
  <si>
    <t>Ohuet, hunnun kaltaiset käsivartensa kiedottuina vastustajansa ruumiin ympärille se vajoaa merenpohjaan.</t>
  </si>
  <si>
    <t>Ne lamauttavat saaliinsa myrkyllä ​​ja raahaavat sen sitten alas luoliinsa, kahdeksan kilometriä maanpinnan alapuolelle.</t>
  </si>
  <si>
    <t>Jos sen hunnun kaltaiset käsivarret tainnuttavat ja kietovat vihollisen ympärilleen, vihollinen raahataan kilometrien syvyyksiin pinnan alle eikä koskaan palaa.</t>
  </si>
  <si>
    <t>https://pokeapi.co/api/v2/pokemon-species/481/</t>
  </si>
  <si>
    <t>Se kietoo hunnumaiset käsivartensa ja jalkansa ohi uivan saaliinsa ympärille ja vetää ne alas meren syvyyksiin.</t>
  </si>
  <si>
    <t>Käyttämällä näkymättömiä myrkkypiikkejä hunnun kaltaisissa käsivarsissaan ja jaloissaan se halvaantaa vihollisensa ja saa heidät hukkumaan.</t>
  </si>
  <si>
    <t>Se kietoo saaliinsa hunnunkaltaisiin käsivarsiinsa ja vetää sen syvyyksiin, kahdeksan kilometriä merenpinnan alapuolelle.</t>
  </si>
  <si>
    <t>Legendan mukaan uponneen muinaisen kaupungin asukkaat muuttuivat näiksi Pokémoneiksi.</t>
  </si>
  <si>
    <t>Jellicent</t>
  </si>
  <si>
    <t>Jellicentin elinympäristöön vaeltelevien laivojen ja miehistön kohtalo: kaikki uponneet, kaikki kadonneet, kaikki katosivat.</t>
  </si>
  <si>
    <t>Ne liikkuvat poistamalla kehostaan ​​imeytynyttä merivettä. Niiden lempiruoka on elämänenergia.</t>
  </si>
  <si>
    <t>Sen runko on enimmäkseen merivettä. Kerrotaan, että merenpohjaan on uponnut laivojen linna.</t>
  </si>
  <si>
    <t>Jellicent hengailee aina hienojen risteilyalusten ja tankkereiden lähellä toivoen raahaavansa saaliinsa pois.</t>
  </si>
  <si>
    <t>Kalastajat pelkäävät Jellicentiä. Huhujen mukaan se raahaa heidät mereen ja varastaa heidän henkensä.</t>
  </si>
  <si>
    <t>Suurin osa tämän Pokémonin ruumiinrakenteesta on identtinen meriveden kanssa. Se tekee uponneista laivoista pesänsä.</t>
  </si>
  <si>
    <t>Aina kun täysikuu on yötaivaalla, Jellicent-parvet kokoontuvat merenpinnan lähelle odottamaan saaliinsa ilmestymistä.</t>
  </si>
  <si>
    <t>Alomomola</t>
  </si>
  <si>
    <t>Välittävä Pokémon</t>
  </si>
  <si>
    <t>Alomomolaa ympäröivällä erityisellä kalvolla on kyky parantaa haavoja.</t>
  </si>
  <si>
    <t>Ne kelluvat avomerellä. Löytäessään haavoittuneen Pokémonin ne syleilevät sitä ja tuovat sen rannalle.</t>
  </si>
  <si>
    <t>Se pitää loukkaantuneita ja heikkoja Pokémoneja hellästi evissään. Sen erityinen kalvo parantaa niiden haavat.</t>
  </si>
  <si>
    <t>https://pokeapi.co/api/v2/pokemon-species/482/</t>
  </si>
  <si>
    <t>Se käyttää erityistä limaansa sulkeakseen loukkaantuneiden Pokémonien haavat. Tämän käyttäytymisen syy on edelleen tuntematon.</t>
  </si>
  <si>
    <t>Ne kelluvat avomerellä. Monet vesi-Pokémonit kerääntyvät Alomomolan ympäristöön.</t>
  </si>
  <si>
    <t>Kalastajat ottavat niitä mukaan pitkille matkoille, sillä jos sinulla on Alomomola mukanasi, lääkäriä tai lääkkeitä ei tarvita.</t>
  </si>
  <si>
    <t>Syy siihen, miksi se auttaa heikentyneessä tilassa olevia Pokémoneja, on se, että kaikki niitä seuraavat Pokémonit voivat hyökätä myös Alomomolaa vastaan.</t>
  </si>
  <si>
    <t>Joltik</t>
  </si>
  <si>
    <t>Pokémonin kiinnittäminen</t>
  </si>
  <si>
    <t>Kaupungeissa asuvat joltikit ovat oppineet tekniikan sähkön imemiseksi talojen pistorasioista.</t>
  </si>
  <si>
    <t>Ne kiinnittyvät suurikokoisiin Pokémoneihin ja imevät staattista sähköä, jota ne varastoivat sähköpussiin.</t>
  </si>
  <si>
    <t>Koska se ei pysty tuottamaan omaa sähköä, se tarttuu suurikokoisiin Pokémoneihin ja imee staattista sähköä.</t>
  </si>
  <si>
    <t>Joltikin voi löytää roikkumasta muissa Pokémoneissa. Se imee staattista sähköä, koska se ei pysty itse tuottamaan latausta.</t>
  </si>
  <si>
    <t>Joltik tarttuu muihin Pokémoneihin ja imee staattista sähköä. Ne tarttuvat usein Yamperin takaosaan.</t>
  </si>
  <si>
    <t>Galvantula</t>
  </si>
  <si>
    <t>EleSpider-Pokémon</t>
  </si>
  <si>
    <t>Hyökkäyksen aikana ne luovat sähköisen esteen sylkemällä ulos monia sähköisesti varautuneita lankoja.</t>
  </si>
  <si>
    <t>https://pokeapi.co/api/v2/pokemon-species/483/</t>
  </si>
  <si>
    <t>Ne käyttävät sähköisesti varattua verkkoa saaliinsa pyydystämiseen. Vaikka se on sähköiskun lamauttama, ne syövät sitä verkkaisesti.</t>
  </si>
  <si>
    <t>Se luo sähköistetystä silkistä esteitä, jotka tainnuttavat vihollisia. Tämä toimii sekä aseena että puolustuksena.</t>
  </si>
  <si>
    <t>Se ampuu vatsastaan ​​sähköistettyä turkkia hyökkäyskeinonaan. Turkin osumat voivat johtaa kolmen kokonaisen päivän ja yön halvaantumiseen.</t>
  </si>
  <si>
    <t>Se asettaa sähköistetyistä langoista koostuvia ansoja lintu-Pokémonien pesien lähelle ja pyrkii pyydystämään poikasia, jotka eivät vielä osaa lentää.</t>
  </si>
  <si>
    <t>Ferroseed</t>
  </si>
  <si>
    <t>Orjantappuransiemen-Pokémon</t>
  </si>
  <si>
    <t>Uhkaatun hyökkäyksen sattuessa se hyökkää ampumalla piikkien sarjan, mikä antaa sille mahdollisuuden paeta vierimällä pois.</t>
  </si>
  <si>
    <t>Ne työntävät piikkinsä luolan seiniin ja imevät itseensä kalliosta löytämiään mineraaleja.</t>
  </si>
  <si>
    <t>Se imee itseensä kalliosta löytämäänsä rautaa roikkuessaan katossa. Se ampuu piikkejä vaarassa.</t>
  </si>
  <si>
    <t>Se puolustaa itseään ampumalla piikkejä, mutta sen tähtäys ei ole aluksi kovin hyvä. Vasta paljon harjoittelun jälkeen se paranee.</t>
  </si>
  <si>
    <t>Sammalluolat ovat niiden suosimia asuinpaikkoja. Sammalissa olevat entsyymit auttavat Ferroseedin piikkien kasvamaan suuriksi ja vahvoiksi.</t>
  </si>
  <si>
    <t>Ferrothorn</t>
  </si>
  <si>
    <t>Piikkipod-Pokémon</t>
  </si>
  <si>
    <t>Se taistelee heilumalla kolmen piikkisen tuntosarunsa ympäri. Näiden teräspiikkien osuma voi muuttaa lohkareen raunioiksi.</t>
  </si>
  <si>
    <t>Ne kiinnittyvät luolien kattoihin ja ampuvat teräspiikkejä niiden ali kulkeviin kohteisiin.</t>
  </si>
  <si>
    <t>Heilahtelemalla kolmen piikkisen tuntosarunsa ympäri ja ampumalla piikkejä se voi tuhota vastustajan.</t>
  </si>
  <si>
    <t>https://pokeapi.co/api/v2/pokemon-species/484/</t>
  </si>
  <si>
    <t>Tämä Pokémon raapii piikkinsä kiviä pitkin ja käyttää sitten tuntosarviensa kärkiä imeäkseen kivestä löytämiään ravinteita.</t>
  </si>
  <si>
    <t>Sen piikit ovat kovempia kuin teräs. Tämä Pokémon ryömii kallioseinämien yli iskemällä tunnustelemiensa piikit kiveen.</t>
  </si>
  <si>
    <t>Klink</t>
  </si>
  <si>
    <t>Varuste-Pokémon</t>
  </si>
  <si>
    <t>Kaksi toisiinsa kytkeytyvää miniratasta on ennalta määrätty. Kumpikin kimpoaa muista minirattaista kytkeytymättä toisiinsa.</t>
  </si>
  <si>
    <t>Kahden ruumiin lukittuminen toisiinsa ja pyöriminen ympäri tuottaa niiden tarvitseman energian elääkseen.</t>
  </si>
  <si>
    <t>Kaksi kappaletta muodostavat kiinteän parin. Ne pyörivät toistensa ympäri tuottaakseen energiaa.</t>
  </si>
  <si>
    <t>Tämän Pokémonin kaksi minihammasta ovat lähempänä toisiaan kuin kaksoset. Ne sopivat hyvin yhteen vain yhdessä.</t>
  </si>
  <si>
    <t>Klinkin epäillään olleen inspiraationa muinaisten ihmisten keksinnölle ensimmäiset vaihteet.</t>
  </si>
  <si>
    <t>Klang</t>
  </si>
  <si>
    <t>Muuttamalla pyörimissuuntaansa se viestii tunteistaan ​​muille. Vihaisena se pyörii nopeammin.</t>
  </si>
  <si>
    <t>Pyöriviä minirattaita pyöritetään suurella nopeudella ja ammutaan toistuvasti pois. On vaarallista, jos rattaat eivät palaa takaisin.</t>
  </si>
  <si>
    <t>https://pokeapi.co/api/v2/pokemon-species/485/</t>
  </si>
  <si>
    <t>Sen rungon muodostavat minivaruste ja iso varuste. Jos vihollista kohti laukaisema minivaruste ei palaa, se kuolee.</t>
  </si>
  <si>
    <t>Kun Klang antaa kaikkensa, minigear yhdistyy täydellisesti ison gearin ulompaan osaan, ja tämän Pokémonin pyörimisnopeus kasvaa jyrkästi.</t>
  </si>
  <si>
    <t>Monet Galarin alueen yritykset valitsevat Klangin logokseen. Tätä Pokémonia pidetään teollisen teknologian symbolina.</t>
  </si>
  <si>
    <t>Klinklang</t>
  </si>
  <si>
    <t>Sen punainen ydin toimii energiasäiliönä. Se ampuu ladattua energiaa piikkiensä kautta alueelle.</t>
  </si>
  <si>
    <t>Punaisella ytimellä varustettua hammasratasta pyöritetään suurella nopeudella nopeaa energian latausta varten.</t>
  </si>
  <si>
    <t>Miniratas pyörii suurella nopeudella. Sitten punaisen ytimen energia lataa minirattaan, jotta se on valmis ampumaan.</t>
  </si>
  <si>
    <t>Piikeistään se laukaisee voimakkaita sähköpurkauksia. Sen punainen ydin sisältää valtavan määrän energiaa.</t>
  </si>
  <si>
    <t>https://pokeapi.co/api/v2/pokemon-species/486/</t>
  </si>
  <si>
    <t>Tämän Pokémonin kolme hammasratasta pyörivät kovaa vauhtia. Sen uusi piikkinen hammasratas ei ole elävä olento.</t>
  </si>
  <si>
    <t>Tynamo</t>
  </si>
  <si>
    <t>EleFish-Pokémon</t>
  </si>
  <si>
    <t>Vaikka yhdellä yksinään ei ole paljon voimaa, useiden Tynamojen ketju voi olla yhtä voimakas kuin salama.</t>
  </si>
  <si>
    <t>Nämä Pokémonit liikkuvat parvissa. Niillä on sähköä tuottava elin, joten ne purkavat sähköä vaarassa.</t>
  </si>
  <si>
    <t>Yksinään voi lähettää vain pienen sähkövirran, joten joukko heitä kokoontuu laukaisemaan voimakkaan sähköiskun.</t>
  </si>
  <si>
    <t>Eelektrik</t>
  </si>
  <si>
    <t>Ne kiemurtelevat vihollisten ympärille ja antavat heille sähköiskuja sähköä tuottavilla elimillä, jotka näyttävät yksinkertaisesti pyöreiltä kuvioilta.</t>
  </si>
  <si>
    <t>Näillä Pokémoneilla on suuri ruokahalu. Kun ne havaitsevat saaliinsa, ne hyökkäävät sen kimppuun ja lamauttavat sen sähköllä.</t>
  </si>
  <si>
    <t>Se kietoutuu saaliinsa ympärille ja lamauttaa sen kylkiensä pyöreiden täplien sähköiskulla. Sitten se jyrää.</t>
  </si>
  <si>
    <t>https://pokeapi.co/api/v2/pokemon-species/487/</t>
  </si>
  <si>
    <t>Eelektross</t>
  </si>
  <si>
    <t>Ne ryömivät merestä käsivarsiensa avulla. Ne hyökkäävät saaliin kimppuun rannalla ja raahaavat sen välittömästi mereen.</t>
  </si>
  <si>
    <t>Imusuillaan ne imevät saalista. Sitten ne käyttävät kulmahampaitaan sähköiskun antamiseen saaliille.</t>
  </si>
  <si>
    <t>Se tarttuu saaliiseen imukivellään, uppoaa kulmahampaisiinsa ja antaa saaliille voimakkaan sähköiskun.</t>
  </si>
  <si>
    <t>https://pokeapi.co/api/v2/pokemon-species/488/</t>
  </si>
  <si>
    <t>Elgyem</t>
  </si>
  <si>
    <t>Aivo-Pokémon</t>
  </si>
  <si>
    <t>Se käyttää vahvaa psyykkistä voimaansa puristaakseen vastustajansa aivoja aiheuttaen sietämätöntä päänsärkyä.</t>
  </si>
  <si>
    <t>Tätä Pokémonia ei ollut koskaan nähty, ennen kuin se ilmestyi kaukaa aavikolta 50 vuotta sitten.</t>
  </si>
  <si>
    <t>Huhut sen alkuperästä liittyvät ufon maahansyöksypaikkaan aavikolla 50 vuotta sitten.</t>
  </si>
  <si>
    <t>https://pokeapi.co/api/v2/pokemon-species/489/</t>
  </si>
  <si>
    <t>Se hallitsee valtavaa psyykkistä voimaa. Useimmat raportit avaruusolentojen havainnoista ovat itse asiassa vain ihmisten erehdyksessä luulleet Elgyemin avaruusolennoksi.</t>
  </si>
  <si>
    <t>Tämä Pokémon on mysteerin verhoama. Sen sanotaan ilmestyneen noin 50 vuotta sitten taivaalta pudonneesta UFOsta.</t>
  </si>
  <si>
    <t>Jos tämä Pokémon seisoo television lähellä, ruudulle ilmestyy outoja maisemia. Maiseman sanotaan olevan sen kodista.</t>
  </si>
  <si>
    <t>Tämä Pokémon löydettiin noin 50 vuotta sitten. Sen pitkälle kehittynyt aivot mahdollistavat sen psyykkisten voimiensa käyttämisen.</t>
  </si>
  <si>
    <t>Beheeyem</t>
  </si>
  <si>
    <t>Se voi manipuloida vastustajan muistia. Ilmeisesti se kommunikoi väläyttämällä kolmea eriväristä sormeaan.</t>
  </si>
  <si>
    <t>Se käyttää psyykkistä voimaa hallitakseen vastustajan aivoja ja peukaloidakseen sen muistoja.</t>
  </si>
  <si>
    <t>Ilmeisesti se kommunikoi vilkuttamalla kolmea sormeaan, mutta näitä eleitä ei ole vielä dekoodattu.</t>
  </si>
  <si>
    <t>Psyykkisten voimiensa avulla se kirjoittaa vastustajiensa muistot uudelleen. Sinunkin muistosi ovat ehkä jo kirjoitettu uudelleen.</t>
  </si>
  <si>
    <t>https://pokeapi.co/api/v2/pokemon-species/490/</t>
  </si>
  <si>
    <t>Sillä on vahvat psyykkiset voimat. Kolmea eri väriä välkkyvien sormiensa avulla se hallitsee vastustajiaan ja kirjoittaa heidän muistojaan uudelleen.</t>
  </si>
  <si>
    <t>Aina kun Beheeyem vierailee maatilalla, Dubwool katoaa mystisesti.</t>
  </si>
  <si>
    <t>Tämä Pokémon, jota joskus löytyy ajelehtimasta vehnäpeltojen yllä, voi hallita vastustajiensa muistoja.</t>
  </si>
  <si>
    <t>Litwick</t>
  </si>
  <si>
    <t>Kynttilä-Pokémon</t>
  </si>
  <si>
    <t>Litwick loistaa valoa, joka imee ihmisten ja Pokémonien elämänenergiaa, josta tulee sen polttama polttoaine.</t>
  </si>
  <si>
    <t>Loistaessaan valoa ja teeskennellessään olevansa opas, se imee itseensä elämänvoiman kaikilta, jotka sitä seuraavat.</t>
  </si>
  <si>
    <t>Sen liekki on yleensä sammunut, mutta se alkaa loistaa, kun se imee elämänvoimaa ihmisistä tai Pokémoneista.</t>
  </si>
  <si>
    <t>Sen päässä oleva liekki pitää sen kehon hieman lämpimänä. Tämä Pokémon ottaa kadonneita lapsia kädestä ohjatakseen heidät henkimaailmaan.</t>
  </si>
  <si>
    <t>Mitä nuorempaa elämää tämä Pokémon imee, sitä kirkkaampi ja aavemainen liekki sen päässä palaa.</t>
  </si>
  <si>
    <t>Lampent</t>
  </si>
  <si>
    <t>Lamppu-Pokémon</t>
  </si>
  <si>
    <t>Tätä pahaenteistä Pokémonia pelätään. Se vaeltaa kaupunkien halki etsien kaatuneiden henkiä.</t>
  </si>
  <si>
    <t>https://pokeapi.co/api/v2/pokemon-species/491/</t>
  </si>
  <si>
    <t>Se saapuu lähellä kuoleman hetkeä ja varastaa hengen ruumiilta.</t>
  </si>
  <si>
    <t>Sen imemät henget ruokkivat sen tuhoisaa tulta. Se leijuu sairaaloiden ympärillä odottaen ihmisten kuolemaa.</t>
  </si>
  <si>
    <t>Tämä Pokémon ilmestyy juuri ennen jonkun kuolemaa, joten sitä pelätään kuoleman lähettiläänä.</t>
  </si>
  <si>
    <t>Se väijyy kaupungeissa teeskennellen olevansa lamppu. Löydettyään jonkun, jonka kuolema on lähellä, se seuraa hiljaa hänen perässään.</t>
  </si>
  <si>
    <t>Chandelure</t>
  </si>
  <si>
    <t>Pokémonien houkutteleminen</t>
  </si>
  <si>
    <t>Se imee itseensä hengen, jonka se sitten polttaa. Heiluttamalla liekkejä käsivarsillaan se saa vihollisensa hypnoottiseen transsiin.</t>
  </si>
  <si>
    <t>Kattokruunun liekissä kulutettu henki polttaa sen ja ruumis jää jälkeensä.</t>
  </si>
  <si>
    <t>Sen pahaenteisessä liekissä palaneet henget eksyvät ja vaeltavat tässä maailmassa ikuisesti.</t>
  </si>
  <si>
    <t>https://pokeapi.co/api/v2/pokemon-species/492/</t>
  </si>
  <si>
    <t>Tämä Pokémon kummittelee rapistuneissa kartanoissa. Se heiluttelee käsiään hypnotisoidakseen vastustajat liekkiensä pahaenteisellä tanssilla.</t>
  </si>
  <si>
    <t>Kattokruunuilla valojen sijaan valaistuissa kodeissa hautajaiset olivat jatkuva tapahtuma – tai niin ainakin sanotaan.</t>
  </si>
  <si>
    <t>Axew</t>
  </si>
  <si>
    <t>Syöksyhamo-Pokémon</t>
  </si>
  <si>
    <t>Ne murskaavat syömänsä marjat syömillään syöksyhampailla. Toistuva uudelleenkasvu tekee niiden syöksyhampaista vahvat ja terävät.</t>
  </si>
  <si>
    <t>Ne merkitsevät reviirinsä jättämällä puihin viiltoja syöksyhampaillaan. Jos syöksyhammas katkeaa, uusi kasvaa nopeasti tilalle.</t>
  </si>
  <si>
    <t>Sen suuret syöksyhampaat katkeavat helposti, mutta joka kerta kun ne kasvavat takaisin, ne kasvavat kovempina ja tukevampina.</t>
  </si>
  <si>
    <t>Nämä Pokémonit pesivät maassa ja murskaavat kovia marjoja syöksyhampaillaan. Marjojen murskaaminen on myös tapa, jolla ne testaavat toistensa voimia.</t>
  </si>
  <si>
    <t>Ne leikkivät keskenään lyömällä suuria syöksyhampaitaan yhteen. Niiden syöksyhampaat katkeavat joskus, mutta ne kasvavat takaisin niin nopeasti, ettei siitä ole huolta.</t>
  </si>
  <si>
    <t>Fraxure</t>
  </si>
  <si>
    <t>Kirvesleuka-Pokémon</t>
  </si>
  <si>
    <t>Koska katkennut syöksyhammas ei kasva takaisin, ne teroittavat syöksyhampaitaan ahkerasti joen kivillä taistelun jälkeen.</t>
  </si>
  <si>
    <t>Niiden syöksyhampaat voivat rikkoa kiviä. Fraxurejen väliset aluetaistelut voivat olla erittäin väkivaltaisia.</t>
  </si>
  <si>
    <t>Katkennut syöksyhammas ei kasva takaisin, joten se teroittaa syöksyhampaitaan ahkerasti jokikivillä taistelun päätyttyä.</t>
  </si>
  <si>
    <t>https://pokeapi.co/api/v2/pokemon-species/493/</t>
  </si>
  <si>
    <t>Taistelun jälkeen tämä Pokémon teroittaa huolellisesti syöksyhampaitaan jokikivillä. Sen täytyy huolehtia syöksyhampaistaan ​​– jos yksi niistä katkeaa, se ei koskaan kasva takaisin.</t>
  </si>
  <si>
    <t>Sen iho on yhtä kova kuin haarniska. Fraxuren lempistrategia on taklata vastustajiaan ja samalla pistää heitä syöksyhampaillaan.</t>
  </si>
  <si>
    <t>Haxorus</t>
  </si>
  <si>
    <t>Ne ovat ystävällisiä, mutta voivat olla armottomia puolustaessaan aluettaan. Ne haastavat viholliset terästä leikkaavilla syöksyhampailla.</t>
  </si>
  <si>
    <t>Niiden tukevat syöksyhampaat pysyvät terävinä, vaikka niitä käytettäisiin teräspalkkien leikkaamiseen. Nämä Pokémonit ovat suojattuja kovalla haarniskalla.</t>
  </si>
  <si>
    <t>Sen syöksyhampaat ovat uskomattoman tuhoisia. Ne voivat helposti viiltää paksun ja tukevan teräspylvään läpi joka kerta.</t>
  </si>
  <si>
    <t>https://pokeapi.co/api/v2/pokemon-species/494/</t>
  </si>
  <si>
    <t>Sen sitkeät syöksyhampaat ovat sen ylpeydenaihe. Se nuolee likaa ottaakseen itseensä mineraaleja, joita se tarvitsee pitääkseen syöksyhampaat huippukunnossa.</t>
  </si>
  <si>
    <t>Vaikka se on yleensä hyväsydäminen, se voi olla kauhistuttava suuttuessaan. Haxorus käsittelee vihollisiaan syöksyhampailla, jotka voivat viiltää teräspalkkeja.</t>
  </si>
  <si>
    <t>Cubchoo</t>
  </si>
  <si>
    <t>Rentoudu Pokémonilla</t>
  </si>
  <si>
    <t>https://pokeapi.co/api/v2/pokemon-species/495/</t>
  </si>
  <si>
    <t>Kun se voi huonosti, sen lima muuttuu vetiseksi ja sen jäämäisten liikkeiden voima heikkenee.</t>
  </si>
  <si>
    <t>Sen nenä vuotaa jatkuvasti. Se nuuhtelee räkää takaisin, koska lima tarjoaa raaka-aineen sen liikkeille.</t>
  </si>
  <si>
    <t>Heidän räkänsä on terveyden barometri. Terveenä heidän räkänsä on tahmeaa ja heidän jäänliikkeidensä voima kasvaa.</t>
  </si>
  <si>
    <t>https://pokeapi.co/api/v2/pokemon-species/496/</t>
  </si>
  <si>
    <t>Kun tämä Pokémon on hyvässä kunnossa, sen räkä paksuuntuu ja tahmeutuu. Se sivelee räkäänsä kenen tahansa päälle, josta se ei pidä.</t>
  </si>
  <si>
    <t>Se niiskaa ennen liikkeen suorittamista ja käyttää jäätävää räkäänsä antaakseen jäisen elementin mille tahansa liikkeelle, joka sitä tarvitsee.</t>
  </si>
  <si>
    <t>Beartic</t>
  </si>
  <si>
    <t>Jäätyvä Pokémon</t>
  </si>
  <si>
    <t>Se voi jäädyttää hengityksensä milloin tahansa. Se on erittäin taitava vedessä, ui pohjoisilla merillä ja pyydystää saalista.</t>
  </si>
  <si>
    <t>Se jäädyttää hengityksensä luodakseen jäästä kulmahampaita ja kynsiä taistelua varten. Kylmät pohjoiset alueet ovat sen elinympäristö.</t>
  </si>
  <si>
    <t>Ne rakastavat pohjoisen kylmiä meriä. Ne luovat polkuja valtamerten yli jäädyttämällä oman hengityksensä.</t>
  </si>
  <si>
    <t>https://pokeapi.co/api/v2/pokemon-species/497/</t>
  </si>
  <si>
    <t>Se ui kylmissä merissä etsien saalista. Jäätyneestä hengityksestään se muodostaa jäisiä hampaita, jotka ovat kovempia kuin teräs.</t>
  </si>
  <si>
    <t>https://pokeapi.co/api/v2/pokemon-species/498/</t>
  </si>
  <si>
    <t>Se ui energisesti kylmissä merissä. Väsyessään se jäädyttää meriveden hengityksellään, jotta se voi levätä jäällä.</t>
  </si>
  <si>
    <t>Cryogonal</t>
  </si>
  <si>
    <t>Kiteytyvät Pokémonit</t>
  </si>
  <si>
    <t>Kun sen ruumiinlämpö nousee, se muuttuu höyryksi ja katoaa. Kun sen lämpötila laskee, se palaa jääksi.</t>
  </si>
  <si>
    <t>Ne syntyvät lumipilvissä. Ne käyttävät jääkiteistä tehtyjä ketjuja saaliin pyydystämiseen.</t>
  </si>
  <si>
    <t>Ne koostuvat jääkiteistä. Ne pyydystävät saaliinsa jääketjuilla, jotka jäätyvät -75 °C:seen.</t>
  </si>
  <si>
    <t>https://pokeapi.co/api/v2/pokemon-species/499/</t>
  </si>
  <si>
    <t>Ne koostuvat jääkiteistä. Ne pyydystävät saaliinsa jääketjuilla, jotka jäätyvät -75 celsiusasteeseen.</t>
  </si>
  <si>
    <t>Jäisillä ketjuillaan Cryogonal jäädyttää kohtaamansa ihmiset. Sitten se vie uhrinsa jonnekin tuntemattomaan.</t>
  </si>
  <si>
    <t>Kun sää kuumenee, nämä Pokémonit muuttuvat vesihöyryksi. Kryogonaaleja ei juurikaan nähdä kesällä.</t>
  </si>
  <si>
    <t>Shelmet</t>
  </si>
  <si>
    <t>Etana-Pokémon</t>
  </si>
  <si>
    <t>Hyökätessä se puolustautuu sulkemalla kuorensa kannen. Se voi sylkeä tahmeaa, myrkyllistä nestettä.</t>
  </si>
  <si>
    <t>https://pokeapi.co/api/v2/pokemon-species/500/</t>
  </si>
  <si>
    <t>Se kehittyy, kun se kylpee sähkönkaltaisessa energiassa yhdessä Karrablastin kanssa. Syy on edelleen tuntematon.</t>
  </si>
  <si>
    <t>Kun se ja Karrablast ovat yhdessä ja molemmat saavat sähköistä stimulaatiota, ne molemmat kehittyvät.</t>
  </si>
  <si>
    <t>https://pokeapi.co/api/v2/pokemon-species/501/</t>
  </si>
  <si>
    <t>Hyökätessä se sulkee kuorensa kannen tiiviisti. Tämä reaktio ei kuitenkaan suojaa sitä Karrablasteilta, koska ne voivat silti päästä kuoreen.</t>
  </si>
  <si>
    <t>Sillä on outo fysiologia, joka reagoi sähköön. Yhdessä Karrablastin kanssa Shelmet kehittyy jostain syystä.</t>
  </si>
  <si>
    <t>Accelgor</t>
  </si>
  <si>
    <t>Shell-lahja Pokémonille</t>
  </si>
  <si>
    <t>Kun sen ruumis kuivuu, se heikkenee. Niinpä nestehukan estämiseksi se käärii itsensä useisiin ohuisiin kalvokerroksiin.</t>
  </si>
  <si>
    <t>Poistattuaan raskaan kuorensa siitä tulee erittäin kevyt ja se voi taistella ninjan kaltaisilla liikkeillä.</t>
  </si>
  <si>
    <t>Kun sen ruumis kuivuu, se heikkenee. Niinpä se kietoo itsensä suojakalvon ympärille sylkeessään myrkkyä.</t>
  </si>
  <si>
    <t>https://pokeapi.co/api/v2/pokemon-species/502/</t>
  </si>
  <si>
    <t>Se liikkuu sokaisevalla nopeudella ja heittää myrkkyä vihollisten päälle. Accelgorin käyttäminen päähenkilönä on varma tapa tehdä elokuvasta tai sarjakuvasta suosittu.</t>
  </si>
  <si>
    <t>Kuoriensa hylkääminen teki siitä ketterän. Estääkseen nestehukan se kietoo ruumiinsa kalvonauhoihin.</t>
  </si>
  <si>
    <t>Stunfisk</t>
  </si>
  <si>
    <t>Ansa-Pokémon</t>
  </si>
  <si>
    <t>Sen iho on erittäin kova, joten se ei vahingoitu, vaikka sumopainijat astuisivat sen päälle. Se hymyilee lähettäessään sähköä.</t>
  </si>
  <si>
    <t>Se piiloutuu merenrannan mutaan. Sitten se odottaa. Kun saalis koskettaa sitä, se lähettää sähköiskun.</t>
  </si>
  <si>
    <t>Kun vastustajaa ei saada lamaannutettua, se vääntyy odottamattomalla nopeudella ja syöksyy pois.</t>
  </si>
  <si>
    <t>https://pokeapi.co/api/v2/pokemon-species/503/</t>
  </si>
  <si>
    <t>Mutatasangoilla elävien bakteerien ansiosta tämä Pokémon kehitti elimet, joita se käyttää sähkön tuottamiseen.</t>
  </si>
  <si>
    <t>Jostain syystä tämä Pokémon hymyilee hieman, kun se lähettää voimakkaan sähkövirran kehonsa keltaisista merkinnöistä.</t>
  </si>
  <si>
    <t>Mienfoo</t>
  </si>
  <si>
    <t>Taistelulajien Pokémon</t>
  </si>
  <si>
    <t>Taisteluissa ne hallitsevat jatkuvilla ja virtaavilla hyökkäyksillä. Terävillä kynsillään ne viiltävät vihollisia.</t>
  </si>
  <si>
    <t>He ovat hallinneet elegantteja komboja. Keskittyessään heidän taisteluliikkeensä nopeutuvat ja tarkentuvat.</t>
  </si>
  <si>
    <t>Se on ylpeä nopeudestaan, jolla se pystyy käyttämään liikkeitään. Minkä se menettää voimassa, sen se korvaa määrällä.</t>
  </si>
  <si>
    <t>https://pokeapi.co/api/v2/pokemon-species/504/</t>
  </si>
  <si>
    <t>Ne voi usein nähdä laumoissa aamulla, hitaasti liikuttamassa kehoaan useiden asentojen läpi.</t>
  </si>
  <si>
    <t>He eristäytyvät vuorilla ja omistautuvat harjoittelulle. Heidän potkujensa ja lyöntiensä muoto vaihtelee laumasta toiseen.</t>
  </si>
  <si>
    <t>Yhdessä minuutissa hyvin koulutettu mienfoo voi hakata käsillään yli 100 kertaa.</t>
  </si>
  <si>
    <t>Vaikka Mienfoo on pieni, sen luonne on raju. Jokainen olento, joka lähestyy Mienfoota huolettomasti, saa osakseen sarjan tyylikkäitä hyökkäyksiä.</t>
  </si>
  <si>
    <t>Mienshao</t>
  </si>
  <si>
    <t>Se käyttää käsivarsiensa turkkia kuin ruoskaa. Sen käsivarsihyökkäykset tulevat niin nopeasti, ettei niitä edes näe.</t>
  </si>
  <si>
    <t>https://pokeapi.co/api/v2/pokemon-species/505/</t>
  </si>
  <si>
    <t>He käyttävät käsivarsiensa pitkää turkkia ruoskana lyödäkseen vastustajiaan.</t>
  </si>
  <si>
    <t>Käyttäen käsiensä pitkää turkkia kuin ruoskaa, se käynnistää yhdistelmähyökkäyksiä, joita kerran alennettuaan kukaan ei voi pysäyttää.</t>
  </si>
  <si>
    <t>Se hukuttaa vastustajansa jatkuvilla hyökkäyksillä ja kerää sitten hitaasti voimaa ennen viimeistelyiskun antamista.</t>
  </si>
  <si>
    <t>Kun Mienshao päästää omituisen valituksen, olet vaarassa. Potkujen ja iskujen sarja, jota on liian vaikea nähdä, on päästettämässä valloilleen!</t>
  </si>
  <si>
    <t>Kun Mienshao kohtaa todella haastavan vastustajan, se keventää itseään puremalla karvat pois käsivarsistaan.</t>
  </si>
  <si>
    <t>Tämän Pokémonin häikäisevän nopeasti lähettämät potkut voivat murskata massiivisia lohkareita pieniksi palasiksi.</t>
  </si>
  <si>
    <t>Druddigon</t>
  </si>
  <si>
    <t>Se lämmittää ruumistaan ​​imemällä auringonvaloa siivillään. Kun sen ruumiinlämpö laskee, se ei voi enää liikkua.</t>
  </si>
  <si>
    <t>Se juoksee ahtaissa luolissa ja pyydystää saalista terävillä kynsillään. Sen kasvojen iho on kovempaa kuin kiven.</t>
  </si>
  <si>
    <t>https://pokeapi.co/api/v2/pokemon-species/506/</t>
  </si>
  <si>
    <t>Se kulkee Excadrillin ja Onixin muodostamien kapeiden tunnelien läpi. Se käyttää teräviä kynsiään saaliin pyydystämiseen.</t>
  </si>
  <si>
    <t>Sen kasvojen punainen iho on kovempaa kuin kallio. Kapeissa luolissa se asettuu vihollisiaan vastaan ​​ja hyökkää kasvot edellä suoraan heitä kohti.</t>
  </si>
  <si>
    <t>Se tunkeutuu tunneleihin, jotka Pokémonit, kuten Diglett ja Dugtrio, ovat kaivaneet, ja odottaa hiljaa saaliin kulkevan läpi.</t>
  </si>
  <si>
    <t>Druddigon asuu luolissa, mutta se ei koskaan jätä auringonottoa väliin – se ei pysty liikkumaan, jos sen ruumis kylmenee liikaa.</t>
  </si>
  <si>
    <t>Druddigonit ovat ilkeitä ja ovelia. Ne asettuvat asumaan muiden Pokémonien kaivamiin pesiin ja pitävät varastettuja pesiä ominaan.</t>
  </si>
  <si>
    <t>Golett</t>
  </si>
  <si>
    <t>Automaatti-Pokémon</t>
  </si>
  <si>
    <t>Sen sisällä palava energia mahdollistaa sen liikkumisen, mutta kukaan ei ole vielä pystynyt tunnistamaan tätä energiaa.</t>
  </si>
  <si>
    <t>https://pokeapi.co/api/v2/pokemon-species/507/</t>
  </si>
  <si>
    <t>Näiden Pokémonien uskotaan olevan muinaisen ja salaperäisen sivilisaation tieteen luomia.</t>
  </si>
  <si>
    <t>Muinainen tiede muovasi tämän Pokémonin savesta. Se on ollut aktiivinen tuhansia vuosia.</t>
  </si>
  <si>
    <t>Sen liikkeet saavat voimansa salaperäisestä energiasta. Se on liikkunut jatkuvasti muinaisista ajoista lähtien, joten sen voima saattaa pian loppua.</t>
  </si>
  <si>
    <t>Vaikka muinaiset ihmiset ilmeisesti rakensivat sen työskentelemällä saven kanssa, sen energian lähde on epäselvä.</t>
  </si>
  <si>
    <t>Ne veistettiin savesta muinaisina aikoina. Kukaan ei tiedä miksi, mutta jotkut niistä pyrkivät jatkuvasti rivittämään lohkareita.</t>
  </si>
  <si>
    <t>https://pokeapi.co/api/v2/pokemon-species/508/</t>
  </si>
  <si>
    <t>Tämä Pokémon luotiin savesta. Se sai käskyjä isännältään tuhansia vuosia sitten, ja se noudattaa näitä käskyjä edelleen.</t>
  </si>
  <si>
    <t>Golurk</t>
  </si>
  <si>
    <t>Se lentää taivaalla Machin nopeudella. Rintakehän sinetin poistaminen saa sen sisäisen energian hallitsemattomaksi.</t>
  </si>
  <si>
    <t>Kerrotaan, että muinaiset ihmiset, jotka loivat Golurkit, määräsivät ne suojelemaan ihmisiä ja Pokémoneja.</t>
  </si>
  <si>
    <t>Golurk-hahmot luotiin suojelemaan ihmisiä ja Pokémoneja. Ne toimivat salaperäisellä energialla.</t>
  </si>
  <si>
    <t>Jotkut sanovat, että muinaiset ihmiset keksivät golurkin työmieheksi. Se noudattaa isäntänsä käskyjä uskollisesti.</t>
  </si>
  <si>
    <t>Kun sen rinnassa oleva sinetti poistetaan, se raivoaa umpimähkään ja muuttaa koko ympäröivän kaupungin rauniovuoreksi.</t>
  </si>
  <si>
    <t>https://pokeapi.co/api/v2/pokemon-species/509/</t>
  </si>
  <si>
    <t>Muinaisten linnojen seiniin rakennetut tykistötasot toimivat orrina, joilta Golurk pystyi ampumaan energiasäteitä.</t>
  </si>
  <si>
    <t>On olemassa teoria, jonka mukaan Golurkin sisällä on ikiliikkuja, jotka tuottavat rajattomasti energiaa, mutta tätä uskomusta ei ole todistettu.</t>
  </si>
  <si>
    <t>Pawniard</t>
  </si>
  <si>
    <t>Teräväteräinen Pokémon</t>
  </si>
  <si>
    <t>Terät muodostavat koko tämän Pokémonin kehon. Jos taistelu tylsyttää terät, se teroittaa ne joen varrella olevilla kivillä.</t>
  </si>
  <si>
    <t>Ne taistelevat Bisharpin käskystä. Ne takertuvat saaliiseensa ja aiheuttavat vahinkoa upottamalla siihen teränsä.</t>
  </si>
  <si>
    <t>Ryhmät eivät välitä vammoistaan ​​ja hyökkäävät upottamalla ruumiitaan peittävät terät saaliiseensa.</t>
  </si>
  <si>
    <t>Silpottuaan saaliinsa se teroittaa teränsä joen varrella olevalla kivellä. Jokaisella panttilainaajalla on oma suosikkiteroituskivi.</t>
  </si>
  <si>
    <t>Se noudattaa Bisharpin käskyjä tarkasti hyökätessään vihollisten kimppuun. Viilrettyään vastustajan Pawniard kilahtaa molemmilla terällään yhteen.</t>
  </si>
  <si>
    <t>Se käyttää jokikiviä ylläpitääkseen vartaloaan peittävien terien teräviä teriä. Näiden teroitettujen terien avulla se voi kaataa vastustajia.</t>
  </si>
  <si>
    <t>Näiden Pokémonien paketti muodostuu palvelemaan Bisharp-pomoa. Jokainen panssaripiiri harjoittelee ahkerasti ja haaveilee jonain päivänä johtoaseman ottamisesta.</t>
  </si>
  <si>
    <t>Bisharp</t>
  </si>
  <si>
    <t>Miekkaterä-Pokémon</t>
  </si>
  <si>
    <t>Se johtaa panttilainaajien ryhmää. Se taistelee pomon tittelistä, mutta jos se häviää, se ajetaan pois ryhmästä.</t>
  </si>
  <si>
    <t>Bisharp jahtaa saalista suuren panttilaumajoukon seurassa. Sitten Bisharp viimeistelee saaliin.</t>
  </si>
  <si>
    <t>Tämä armoton Pokémon käskee Pawniard-ryhmän ajamaan saaliinsa liikkumattomaksi. Sitten se siirtyy lähemmäksi ja viimeistelee saaliin.</t>
  </si>
  <si>
    <t>https://pokeapi.co/api/v2/pokemon-species/510/</t>
  </si>
  <si>
    <t>Olipa Bisharp kuinka vahva tahansa, sanotaan, että jos sen päässä oleva terä lohkeaa, se vetäytyy pomon asemastaan.</t>
  </si>
  <si>
    <t>Se johtaa panttilainaajien ryhmää. Bisharp ei edes muuta ilmettään antaessaan vastustajalle viimeisen iskun.</t>
  </si>
  <si>
    <t>Sitä seuraa suuri Pawniard-joukko. Bisharp pitää tarkasti silmällä sen kätyreitä varmistaakseen, ettei kukaan heistä edes ajattele pettävänsä sitä.</t>
  </si>
  <si>
    <t>Bisharpin ja Fraxuren välille puhkeaa väkivaltaisia ​​konflikteja teroituskivien löytymispaikoista.</t>
  </si>
  <si>
    <t>Bouffalant</t>
  </si>
  <si>
    <t>Bash Buffalo -Pokémon</t>
  </si>
  <si>
    <t>Niiden pörröinen turkki imee itseensä vahinkoa, vaikka ne iskeisivät vihollisiin raivokkaalla pääniskulla.</t>
  </si>
  <si>
    <t>Ne rynnistävät villisti ja iskevät päällään kaikkea. Niiden pääniskuilla on tarpeeksi tuhovoimaa suistaa juna raiteilta.</t>
  </si>
  <si>
    <t>Niiden tiedetään rynnäköivän niin villisti, että jos juna tulisi heidän alueelleen, ne lennättäisivät sen lentoon.</t>
  </si>
  <si>
    <t>https://pokeapi.co/api/v2/pokemon-species/511/</t>
  </si>
  <si>
    <t>Nämä Pokémonit voivat murskata auton pelkällä pääniskulla. Bouffalanteilla, joilla on enemmän hiuksia päässä, on korkeammat asemat laumassa.</t>
  </si>
  <si>
    <t>Nämä Pokémonit elävät noin 20 yksilön laumoissa. Lauman pettävät bouffalantit menettävät jostain syystä hiuksensa.</t>
  </si>
  <si>
    <t>Rufflet</t>
  </si>
  <si>
    <t>Kotkanpokémon</t>
  </si>
  <si>
    <t>Ne murskaavat marjoja kynsillään. Ne kestävät rohkeasti vastustajan voimasta riippumatta.</t>
  </si>
  <si>
    <t>He haastavat mitä tahansa, jopa vahvoja vastustajia, pelottomasti. Heidän tiheät taistelunsa auttavat heitä vahvistumaan.</t>
  </si>
  <si>
    <t>Se kestää massiivisia vastustajia, ei rohkeudesta, vaan holtittomuudesta. Mutta juuri niin se vahvistuu.</t>
  </si>
  <si>
    <t>https://pokeapi.co/api/v2/pokemon-species/512/</t>
  </si>
  <si>
    <t>He aloittavat tappelut umpimähkään. Heistä tulee vahvempia ja voimakkaampia joka kerta, kun he pyörtyvät tai loukkaantuvat.</t>
  </si>
  <si>
    <t>Terävillä kynsillään tämä Pokémon lävistää saaliinsa ja nokkii sitä. Vaikka se syö myös marjoja, se on sydämeltään lihansyöjä.</t>
  </si>
  <si>
    <t>Voimakkaiden jalkojensa ja tukevien kynsiensä ansiosta se voi rikkoa jopa Shellderin kovat kuoret ja nyppää niiden sisukset irti.</t>
  </si>
  <si>
    <t>https://pokeapi.co/api/v2/pokemon-species/513/</t>
  </si>
  <si>
    <t>Luonnostaan ​​soturina tunnettu hirviö haastaa vanhempansa taisteluun pian kuoriutumisensa jälkeen saadakseen heidän hyväksyntänsä.</t>
  </si>
  <si>
    <t>Jos se havaittaa vahvan Pokémonin, Rufflet ei voi vastustaa kiusausta haastaa sitä taisteluun. Mutta jos Rufflet häviää, se alkaa itkeä.</t>
  </si>
  <si>
    <t>Taistelunhaluinen Pokémon on valmis tappelemaan ketä tahansa vastaan. Sen kynnet voivat murskata kovia marjoja.</t>
  </si>
  <si>
    <t>Sen tipumainen ulkonäkö peittää sen tulisuuden. Se haastaa vanhempansa joka tilaisuudessa, epätoivoisesti todistaakseen voimansa.</t>
  </si>
  <si>
    <t>Braviary</t>
  </si>
  <si>
    <t>Urhea Pokémon</t>
  </si>
  <si>
    <t>He taistelevat ystäviensä puolesta ajattelematta lainkaan omaa vaaraansa. Autoa voi kuljettaa lentäessään.</t>
  </si>
  <si>
    <t>Mitä enemmän arpia heillä on, sitä enemmän kunnioitusta nämä urheat taivaan sotilaat saavat tovereiltaan.</t>
  </si>
  <si>
    <t>Ystäviensä vuoksi tämä urhea taivaan soturi ei lopeta taistelua, vaikka loukkaantuisikin.</t>
  </si>
  <si>
    <t>https://pokeapi.co/api/v2/pokemon-species/514/</t>
  </si>
  <si>
    <t>Rohkean luonteensa ansiosta se ei pelkää mitään – ei edes kuolemaa. Muinaiset alolaiset kunnioittivat sitä ja kutsuivat sitä "taivaan sankariksi".</t>
  </si>
  <si>
    <t>Uskotaan, että ihmiset häiritsivät niiden elinympäristöjä menneisyydessä, joten Braviary yhdisti voimansa taistellakseen vastaan.</t>
  </si>
  <si>
    <t>Mitä enemmän arpia sillä on edessään, sitä sankarillisempana sitä pidetään. Lauma pilkkaa niitä, joilla on paljon arpia selässään.</t>
  </si>
  <si>
    <t>"Taivaan sankarina" tunnettu Pokémon on niin ylpeä ja rohkea, ettei se koskaan peräänny, edes loukkaantuneena.</t>
  </si>
  <si>
    <t>Rohkeudestaan ​​ja ylpeydestään tunnettua majesteettista Pokémonia käytetään usein motiivina erilaisissa symboleissa.</t>
  </si>
  <si>
    <t>Koska tämä Pokémon on tulipäinen ja aggressiivinen, Corviknight on ottanut kulkuvälineen roolin Galarissa.</t>
  </si>
  <si>
    <t>Verenhyytävä taisteluhuuto huutaen tämä valtava ja hurja lintu-Pokémon lähtee metsästämään. Se räjäyttää järviä paineaalloilla ja nappaa sitten mukaansa kaikki veden pinnalle kelluvat saaliit.</t>
  </si>
  <si>
    <t>Vullaby</t>
  </si>
  <si>
    <t>Vaippainen Pokémon</t>
  </si>
  <si>
    <t>Sen siivet ovat liian pienet lentääkseen. Kun sen kehityksen aika lähestyy, se hylkää luut, joita se käytti.</t>
  </si>
  <si>
    <t>Ne yleensä suojaavat takamuksiaan löytämillään sopivilla luilla. Ne jahtaavat heikkoja Pokémoneja.</t>
  </si>
  <si>
    <t>Niiden siivet ovat liian pienet lentääkseen. Ne suojaavat takaosiaan Mandibuzzin keräämillä luilla.</t>
  </si>
  <si>
    <t>https://pokeapi.co/api/v2/pokemon-species/515/</t>
  </si>
  <si>
    <t>Se suojaa pulleaa takamustaan ​​syömänsä saaliin luilla. Kasvaessaan se korvaa luut.</t>
  </si>
  <si>
    <t>Se ei osaa vielä lentää ja sen täytyy odottaa, kunnes sen siivet ovat kehittyneet enemmän. Koska se on vielä leikkisä iässä, se hyppii ympäriinsä reippaasti.</t>
  </si>
  <si>
    <t>Mandibuzz antaa sille sen kantamat luut. Vullabyn siivet ovat lyhyet, joten se ei osaa vielä lentää, mutta se hyppii ympäriinsä unelmoiden avoimista taivaista.</t>
  </si>
  <si>
    <t>Sen terve ruokahalu johtaa näkyviin kasvupyrähdyksiin. Sen on usein uusittava kuluneita luita koon kasvaessa.</t>
  </si>
  <si>
    <t>Se käyttää luuta suojanaan takapuolellaan. Se usein riitelee muiden lajitovereidensa kanssa erityisen mukavista luista.</t>
  </si>
  <si>
    <t>Vullabyt kasvavat nopeasti. Luut, jotka ovat käyneet liian pieniksi vanhemmille Vullabyille, siirtyvät usein nuoremmille pesässä.</t>
  </si>
  <si>
    <t>Mandibuzz</t>
  </si>
  <si>
    <t>Luukorppikotka-Pokémon</t>
  </si>
  <si>
    <t>Se tekee pesän löytämistään luista. Se nappaa heikentyneen saaliin kynsiinsä ja raahaa sen luista tehtyyn pesäänsä.</t>
  </si>
  <si>
    <t>Taivaalta katsellen ne syöksyvät iskemään maassa oleviin heikentyneisiin Pokémoneihin. Ne koristelevat itsensä luilla.</t>
  </si>
  <si>
    <t>https://pokeapi.co/api/v2/pokemon-species/516/</t>
  </si>
  <si>
    <t>Ne lentävät ympyrää taivaalla. Nähtyään saaliin ne hyökkäävät ja kantavat sen vaivattomasti takaisin pesäänsä.</t>
  </si>
  <si>
    <t>Ne koristelevat itsensä kauniisti luilla. Tämän oletetaan olevan yritys houkutella uroksia, mutta yhtäkään Mandibuzz-urosta ei ole koskaan löydetty.</t>
  </si>
  <si>
    <t>Se kiertää taivaalla pitäen silmällä heikentyneitä Pokémoneja. Sen paras ruoka on Cubone.</t>
  </si>
  <si>
    <t>Se järjestelee taitavasti saaliinsa luut rakentaakseen pesänsä. Suurin osa luista on kuboneja.</t>
  </si>
  <si>
    <t>https://pokeapi.co/api/v2/pokemon-species/517/</t>
  </si>
  <si>
    <t>Se etsii aina ruokaa Vullabylle. Löytäessään heikon Pokémonin Mandibuzz syöksyy sen suoraan pesälleen.</t>
  </si>
  <si>
    <t>Vaikka se on hieman veijarimainen, tämä Pokémon ottaa eksyneet Vullabyt siipiensä suojaan ja huolehtii niistä, kunnes ne ovat valmiita lähtemään pesästä.</t>
  </si>
  <si>
    <t>He koristavat itsensä luilla. Heidän keskuudessaan näyttää olevan muotitrendejä, kun erilaiset luut tulevat ja menevät suosioon.</t>
  </si>
  <si>
    <t>Heatmor</t>
  </si>
  <si>
    <t>Muurahaiskarhu-Pokémon</t>
  </si>
  <si>
    <t>Se hengittää pyrstössään olevan reiän läpi samalla kun se palaa sisäisellä tulella. Durant on sen saalis.</t>
  </si>
  <si>
    <t>Erittäin kuumilla, liekkien peittämillä kielillään ne polttavat Durantin teräsruumiit ja kuluttavat heidän sisuskalunsa.</t>
  </si>
  <si>
    <t>Se vetää ilmaa sisäänsä pyrstönsä kautta, muuttaa sen tuleksi ja käyttää sitä kielenään. Se sulattaa Durantin ja syö heidät.</t>
  </si>
  <si>
    <t>Sen pyrstössä on reikä, jonka avulla se vetää sisään tulen palamiseen tarvittavaa ilmaa. Jos reikä tukkeutuu, tämä Pokémon sairastuu.</t>
  </si>
  <si>
    <t>Liekki toimii sen kielenä, sulattaen Durantin kovan kuoren läpi, jotta Heatmor voi ahmia heidän sisuskalunsa.</t>
  </si>
  <si>
    <t>Durant</t>
  </si>
  <si>
    <t>Rautamuurahainen Pokémon</t>
  </si>
  <si>
    <t>Ne hyökkäävät ryhmissä suojaten itseään teräspanssaroilla Heatmorilta.</t>
  </si>
  <si>
    <t>Durant kaivaa pesiä vuorille. He rakentavat monimutkaiset, toisiinsa yhteydessä olevat tunnelit sokkeloiksi.</t>
  </si>
  <si>
    <t>Yksilöillä on erilainen rooli luonnollisen saalistajansa, Heatmorin, ajamisessa pois yhdyskunnastaan.</t>
  </si>
  <si>
    <t>https://pokeapi.co/api/v2/pokemon-species/518/</t>
  </si>
  <si>
    <t>Ne munivat syvälle pesiinsä. Kun Heatmor hyökkää niiden kimppuun, ne kostavat käyttämällä valtavia leukojaan.</t>
  </si>
  <si>
    <t>Suurten leukojensa avulla nämä Pokémonit voivat murskata tiensä kiven läpi. Ne työskentelevät yhdessä suojellakseen muniaan Sandacondalta.</t>
  </si>
  <si>
    <t>Deino</t>
  </si>
  <si>
    <t>Vihainen Pokémon</t>
  </si>
  <si>
    <t>Se puree kaikkea, eikä se ole nirso syöjä. Sen varomaton lähestyminen on vaarallista.</t>
  </si>
  <si>
    <t>Ne eivät näe, joten ne tarttuvat ja purevat oppiakseen tuntemaan ympäristönsä. Niiden ruumiit ovat täynnä haavoja.</t>
  </si>
  <si>
    <t>Näkökyvyn puuttuessa sillä ei ole tietoa ympäristöstään, joten se törmää esineisiin ja syö kaikkea liikkuvaa.</t>
  </si>
  <si>
    <t>https://pokeapi.co/api/v2/pokemon-species/519/</t>
  </si>
  <si>
    <t>Kun se kohtaa jonkin, sen ensimmäinen halu on yleensä purra sitä. Jos se pitää mausta, se painaa siihen liittyvän tuoksun mieleensä.</t>
  </si>
  <si>
    <t>Koska se ei näe, tämä Pokémon puree jatkuvasti kaikkea mihin se koskee ja yrittää pysyä ajan tasalla ympäristöstään.</t>
  </si>
  <si>
    <t>Zweilous</t>
  </si>
  <si>
    <t>Syötyään kaiken reviirinsä ruoan se siirtyy toiselle alueelle. Sen kaksi päätä eivät tule toimeen keskenään.</t>
  </si>
  <si>
    <t>Koska niiden kaksi päätä eivät tule toimeen keskenään ja kilpailevat keskenään ruoasta, ne syövät aina liikaa.</t>
  </si>
  <si>
    <t>Kaksi päätä eivät tule toimeen keskenään. Se, joka syö enemmän, saa olla johtaja.</t>
  </si>
  <si>
    <t>Saalismetsästyksessä Zweilous vaeltelee reviiriään pitkin, ja sen kaksi päätä kiistelevät usein siitä, kumpaan suuntaan mennä.</t>
  </si>
  <si>
    <t>Heidän kaksi päätään taistelevat keskenään yhdestä ainoasta ruokapalasta. Zweilou't ovat täynnä arpia, vaikka eivät taistelekaan muiden kanssa.</t>
  </si>
  <si>
    <t>Hydreigon</t>
  </si>
  <si>
    <t>https://pokeapi.co/api/v2/pokemon-species/520/</t>
  </si>
  <si>
    <t>Tämä raaka Pokémon matkustaa taivaalla kuudella siivellään. Kaikki liikkuva vaikuttaa sille viholliselta, mikä laukaisee sen hyökkäyksen.</t>
  </si>
  <si>
    <t>Heidän käsivarsissaan olevilla päillä ei ole aivoja. He käyttävät kaikkia kolmea päätä kaiken kuluttamiseen ja tuhoamiseen.</t>
  </si>
  <si>
    <t>Se reagoi liikkeeseen hyökkäämällä. Tämä pelottava, kolmipäinen Pokémon ahmii kaiken tieltään!</t>
  </si>
  <si>
    <t>Hydreigonin tuhoamista kylistä on olemassa lukuisia tarinoita. Se puree kaikkea mikä liikkuu.</t>
  </si>
  <si>
    <t>Kolme päätä vuorotellen iskevät hampaitaan vastustajaan. Heidän hyökkäyksensä eivät hidastu ennen kuin kohde kaatuu.</t>
  </si>
  <si>
    <t>Larvesta</t>
  </si>
  <si>
    <t>Soihtu-Pokémon</t>
  </si>
  <si>
    <t>Tämän Pokémonin uskottiin syntyneen auringosta. Kehittyessään koko sen ruumis on liekkien peitossa.</t>
  </si>
  <si>
    <t>Tulivuorten juurelle ne rakentavat kotinsa. Ne ampuvat tulta viidestä sarvestaan ​​torjuakseen hyökkäävät viholliset.</t>
  </si>
  <si>
    <t>Sen sanotaan syntyneen auringosta, se syöksee tulta sarvistaan ​​ja kääriytyy tuliseen koteloon kehittyessään.</t>
  </si>
  <si>
    <t>Taistellessaan vastustajia vastaan ​​se suihkuttaa tulta viidestä sarvestaan. Liekkien maksimilämpötila voi nousta lähes 5 500 celsiusasteeseen.</t>
  </si>
  <si>
    <t>Se suojaa itseään liekillä. Kauan sitten ihmiset uskoivat, että Larvestalla oli pesä auringossa.</t>
  </si>
  <si>
    <t>Muinaisten aikojen ihmiset uskoivat, että Larvesta putosi auringosta.</t>
  </si>
  <si>
    <t>Larvestan ruumis on kauttaaltaan lämmin. Se syöksyy sarviensa kärjistä tulta pelotellakseen saalistajia ja säikyttääkseen saalista.</t>
  </si>
  <si>
    <t>Volcarona</t>
  </si>
  <si>
    <t>https://pokeapi.co/api/v2/pokemon-species/521/</t>
  </si>
  <si>
    <t>Kun tulivuoren tuhka tummensi ilmakehän, sanotaan, että Volcaronan tuli tarjosi korvaajan auringolle.</t>
  </si>
  <si>
    <t>Tulimeri peittää heidän taisteluidensa ympäristön, sillä he käyttävät kuutta siipeään sirotellakseen hiilisuomujaan.</t>
  </si>
  <si>
    <t>Sen uskotaan olevan auringon ruumiillistuma, ja se ilmestyi purevan kylmänä talvena ja pelasti Pokémonit jäätymiseltä.</t>
  </si>
  <si>
    <t>Lentäessään se levittää liekehtiviä suomujaan. Muinaiset ihmiset pelkäsivät sitä ja kutsuivat sitä "auringon raivoksi".</t>
  </si>
  <si>
    <t>Legendan mukaan se kuoriutui liekehtivästä kotelosta pelastaakseen kylmästä kärsiviä ihmisiä ja Pokémoneja.</t>
  </si>
  <si>
    <t>Tulivuori levittää palavia hilseitä. Jotkut sanovat sen tekevän tämän sytyttääkseen tulipaloja. Toiset sanovat sen yrittävän pelastaa kylmyydestä kärsiviä.</t>
  </si>
  <si>
    <t>Tämä Pokémon nousee raivoavien liekkien muodostamasta kotelosta. Muinaiset seinämaalaukset kuvaavat Volcaronaa tulen jumaluutena.</t>
  </si>
  <si>
    <t>Cobalion</t>
  </si>
  <si>
    <t>Rautainen tahto -pokémon</t>
  </si>
  <si>
    <t>Tämä legendaarinen Pokémon taisteli ihmisiä vastaan ​​suojellakseen Pokémoneja. Sen persoonallisuus on rauhallinen ja maltillinen.</t>
  </si>
  <si>
    <t>Sen vartalo ja sydän ovat terästä. Sen loisto riittää saamaan jopa kurittoman Pokémonin tottelemaan sitä.</t>
  </si>
  <si>
    <t>https://pokeapi.co/api/v2/pokemon-species/522/</t>
  </si>
  <si>
    <t>Sillä on teräsrunko ja -sydän. Se työskenteli liittolaistensa kanssa rangaistakseen ihmisiä, kun he satuttivat Pokémoneja.</t>
  </si>
  <si>
    <t>Tämä Pokémon esiintyy legendassa Terrakionin ja Virizionin rinnalla taistelemassa ihmisiä vastaan ​​puolustaakseen Unova-alueen Pokémoneja.</t>
  </si>
  <si>
    <t>Syntymästään lähtien tämä Pokémon säteilee johtajan olemusta. Sen läsnäolo rauhoittaa jopa ilkeät viholliset.</t>
  </si>
  <si>
    <t>Terrakion</t>
  </si>
  <si>
    <t>Tämä Pokémon tuli puolustamaan Pokémoneja, jotka olivat menettäneet kotinsa ihmisten välisessä sodassa.</t>
  </si>
  <si>
    <t>Sen latauksen voima on riittävä murtamaan jättimäisen linnan muurin läpi yhdellä iskulla. Tästä Pokémonista kerrotaan legendoissa.</t>
  </si>
  <si>
    <t>Legendan mukaan tämä Pokémon käytti ilmiömäistä voimaansa tuhotakseen linnan suojellakseen Pokémoneja.</t>
  </si>
  <si>
    <t>https://pokeapi.co/api/v2/pokemon-species/523/</t>
  </si>
  <si>
    <t>Sillä on ilmiömäinen voima. Se murskaa armottomasti kenet tahansa tai minkä tahansa, joka kiusaa pieniä Pokémoneja.</t>
  </si>
  <si>
    <t>Unovanin legendan mukaan Terrakion taisteli ihmisiä vastaan ​​suojellakseen muita Pokémoneja.</t>
  </si>
  <si>
    <t>Virizion</t>
  </si>
  <si>
    <t>Ruohosmaan Pokémon</t>
  </si>
  <si>
    <t>Tämä Pokémon taisteli ihmisiä vastaan ​​suojellakseen ystäviään. Siitä kertovat legendat kulkevat edelleen sukupolvelta toiselle.</t>
  </si>
  <si>
    <t>Sen päässä kasvaa terävät sarvet. Pyörretuulen kaltaisilla liikkeillä se hämmentää ja viiltää vastustajia nopeasti.</t>
  </si>
  <si>
    <t>Legendojen mukaan tämä Pokémon hämmensi vastustajia nopeilla liikkeillään.</t>
  </si>
  <si>
    <t>Legendan mukaan tämä Pokémon työskentelee yhdessä Cobalionin ja Terrakionin kanssa suojellakseen Unova-alueen Pokémoneja.</t>
  </si>
  <si>
    <t>Se syöksyy vastustajien ympäri nopeilla liikkeillä ja viiltää heidät sarvillaan.</t>
  </si>
  <si>
    <t>Tornadus</t>
  </si>
  <si>
    <t>Sykloni-Pokémon</t>
  </si>
  <si>
    <t>Sen ruumiin alaosa on energiapilven ympäröimä. Se kiitää taivaan halki 320 km/h nopeudella.</t>
  </si>
  <si>
    <t>Tornadus purkaa pyrstöstään valtavasti energiaa aiheuttaen ankaria myrskyjä. Sen voima on niin suuri, että se voi räjäyttää taloja pois.</t>
  </si>
  <si>
    <t>Se lentää joka suuntaan ja luo niin voimakkaita tuulia, että ne puhaltavat kaiken pois.</t>
  </si>
  <si>
    <t>https://pokeapi.co/api/v2/pokemon-species/524/</t>
  </si>
  <si>
    <t>Tämän myrskyjä lietsovan Pokémonin sanotaan aiheuttavan vuodenaikojen vaihtumisen piiskaamalla ilmaa. Epäilen sen ihmismäisen muodon olevan valehahmo.</t>
  </si>
  <si>
    <t>Thundurus</t>
  </si>
  <si>
    <t>Bolt Strike -Pokémon</t>
  </si>
  <si>
    <t>Lukemattomat hiiltyneet jäänteet turmelevat maisemaa paikoissa, joiden läpi Thundurus on kulkenut.</t>
  </si>
  <si>
    <t>Sen pyrstön piikit lähettävät valtavia salamoita. Se lentää Unova-alueen ympäri ampuen salamoita.</t>
  </si>
  <si>
    <t>Se lentää ympäriinsä ja ampuu salamoita kaikkialle aiheuttaen metsäpaloja. Siksi sitä ei pidetä hyvänä.</t>
  </si>
  <si>
    <t>Sanotaan, että tämä sähkönkantaja on käynyt sotaa arkkivihollisensa Tornaduksen kanssa muinaisista ajoista lähtien. Sen sinkoamat salamat lävistävät maan ja rikastuttavat maaperää.</t>
  </si>
  <si>
    <t>Reshiram</t>
  </si>
  <si>
    <t>Valtava valkoinen Pokémon</t>
  </si>
  <si>
    <t>Tämä Pokémon esiintyy legendoissa. Se lähettää liekkejä ilmaan pyrstöstään ja polttaa kaiken ympärillään.</t>
  </si>
  <si>
    <t>Kun Reshiramin pyrstö leimahtaa, lämpöenergia liikuttaa ilmakehää ja muuttaa maailman säätä.</t>
  </si>
  <si>
    <t>Tämä legendaarinen Pokémon voi polttaa maailman tulella. Se auttaa niitä, jotka haluavat rakentaa totuuden maailman.</t>
  </si>
  <si>
    <t>Liekit sylkevät sen pyrstöstä sen lentäessä taivaalla kuin suihkukone. Sanotaan, että tämä Pokémon polttaa maailman.</t>
  </si>
  <si>
    <t>Myytin mukaan, jos ihmiset jättävät totuuden huomiotta ja antavat ahneuden vallata itsensä, Reshiram saapuu polttamaan heidän valtakuntansa maan tasalle.</t>
  </si>
  <si>
    <t>Zekrom</t>
  </si>
  <si>
    <t>Syvän musta Pokémon</t>
  </si>
  <si>
    <t>Se kätkeytyy salamapilviin ja lentää Unovan alueella. Se luo sähköä pyrstössään.</t>
  </si>
  <si>
    <t>Tämä Pokémon esiintyy legendoissa. Sen pyrstössä on jättimäinen generaattori, joka tuottaa sähköä.</t>
  </si>
  <si>
    <t>https://pokeapi.co/api/v2/pokemon-species/525/</t>
  </si>
  <si>
    <t>Tämä legendaarinen Pokémon voi polttaa maailman salamoilla. Se auttaa niitä, jotka haluavat rakentaa ihanteellisen maailman.</t>
  </si>
  <si>
    <t>Kun Zekromin pyrstön sisäosa pyörii moottorin tavoin, se voi tuottaa useita salamoita räjäyttääkseen ympäristönsä.</t>
  </si>
  <si>
    <t>Mytologia kertoo meille, että jos ihmiset menettävät sydämensä vanhurskauden, Zekromin salama tuhoaa heidän valtakuntansa.</t>
  </si>
  <si>
    <t>Landorus</t>
  </si>
  <si>
    <t>Yltäkylläisyyden Pokémon</t>
  </si>
  <si>
    <t>Landoruksen vierailemat maat tarjoavat niin runsaan sadon, että sitä on kutsuttu "peltojen vartijaksi".</t>
  </si>
  <si>
    <t>Sen pyrstöstä purkautuva energia lisää maaperän ravinteita, jolloin sadot kasvavat suuriksi.</t>
  </si>
  <si>
    <t>Salaman ja tuulen voimista se luo energiaa, joka antaa ravinteita maaperälle ja tekee maasta runsaan.</t>
  </si>
  <si>
    <t>Kun tuulen ja salaman inkarnaatiot ottavat yhteen, Landorus saapuu tukahduttamaan konfliktin. Myrskyjen ja ukkosen laantuessa maata siunataan varmasti runsaalla sadolla.</t>
  </si>
  <si>
    <t>https://pokeapi.co/api/v2/pokemon-species/526/</t>
  </si>
  <si>
    <t>Kyurem</t>
  </si>
  <si>
    <t>Raja-Pokémon</t>
  </si>
  <si>
    <t>Se tuottaa sisällään voimakkaan, jäätävän energian, mutta sen ruumis jähmettyi, kun energia vuoti ulos.</t>
  </si>
  <si>
    <t>Se voi tuottaa erittäin kylmää ilmaa. Sen ruumis on jäässä.</t>
  </si>
  <si>
    <t>Tämä legendaarinen jää-Pokémon odottaa sankaria täyttämään sen puuttuvat osat totuudella tai ihanteilla.</t>
  </si>
  <si>
    <t>Sen sisällä asuu voima, joka on jopa suurempi kuin Reshiramin tai Zekromin, mutta äärimmäinen kylmyys pitää tuon voiman sidottuna.</t>
  </si>
  <si>
    <t>Näyttää siltä, ​​että tämä Pokémon käyttää jään yli olevia voimiaan jäädyttääkseen oman kehonsa solurakenteensa vakauttamiseksi.</t>
  </si>
  <si>
    <t>Keldeo</t>
  </si>
  <si>
    <t>Colt-Pokémon</t>
  </si>
  <si>
    <t>Se voi liitää veden päällä puhaltamalla vettä kavioistaan. Se on erinomainen jalkaliikkeiden käyttämisessä taisteluissa.</t>
  </si>
  <si>
    <t>Se kulkee halki maailman, virtaa valtamerien ja jokien pintojen yli. Se ilmestyy luonnonkauniille ranta-alueille.</t>
  </si>
  <si>
    <t>Kun se on päättäväinen, sen ruumis täyttyy voimasta ja siitä tulee nopeampi. Sen hypyt ovat silloin liian nopeita seurata.</t>
  </si>
  <si>
    <t>Cobalion, Terrakion ja Virizion opettivat tälle Pokémonille taistelemaan. Se ryntää halki maailman etsien lisää tilaisuuksia koulutuksensa jatkamiseen.</t>
  </si>
  <si>
    <t>He sanovat, että Keldeon täytyy selvitä ankarista taisteluista ja kehittää otsansa sarvi täysin ennen kuin tämän Pokémonin todellinen voima herää.</t>
  </si>
  <si>
    <t>Meloetta</t>
  </si>
  <si>
    <t>Melodia-Pokémon</t>
  </si>
  <si>
    <t>Sen melodiat lauletaan erityisellä ääntelymenetelmällä, joka voi hallita kuulijoiden tunteita.</t>
  </si>
  <si>
    <t>https://pokeapi.co/api/v2/pokemon-species/527/</t>
  </si>
  <si>
    <t>Monet kuuluisat laulut ovat saaneet inspiraationsa Meloettan soittamista melodioista.</t>
  </si>
  <si>
    <t>Meloettan laulamilla melodioilla on kyky tehdä niitä kuulevat Pokémonit onnellisiksi tai surullisiksi.</t>
  </si>
  <si>
    <t>Genesect</t>
  </si>
  <si>
    <t>Paleotsooinen Pokémon</t>
  </si>
  <si>
    <t>Yli 300 miljoonaa vuotta sitten sitä pelättiin vahvimpana metsästäjänä. Plasmaryhmä on muokannut sitä.</t>
  </si>
  <si>
    <t>Team Plasma muutti tätä muinaista ötökkä-Pokémonia. He päivittivät sen selässä olevaa tykkiä.</t>
  </si>
  <si>
    <t>Tämä Pokémon oli olemassa 300 miljoonaa vuotta sitten. Plasmatiimi muutti sitä ja kiinnitti tykin sen selkään.</t>
  </si>
  <si>
    <t>Chespin</t>
  </si>
  <si>
    <t>Piikkipähkinä-Pokémon</t>
  </si>
  <si>
    <t>Sen päässä olevat piikit ovat yleensä pehmeät. Kun se taivuttelee niitä, kärjistä tulee niin kovia ja teräviä, että ne voivat lävistää kiven.</t>
  </si>
  <si>
    <t>Sen pään ja selkärangan peittää niin paksu puukuori, ettei edes kuorma-auton suora osuma säikäyttäisi sitä.</t>
  </si>
  <si>
    <t>Quilladin</t>
  </si>
  <si>
    <t>Piikkihaarniska-Pokémon</t>
  </si>
  <si>
    <t>Se torjuu petoeläinten hyökkäykset tukevan kuorensa avulla. Se tekee vastahyökkäyksiä terävillä piikeillään.</t>
  </si>
  <si>
    <t>https://pokeapi.co/api/v2/pokemon-species/528/</t>
  </si>
  <si>
    <t>Ne vahvistavat alavartaloaan törmäämällä toisiinsa. Ne ovat hyvin ystävällisiä eivätkä aloita tappeluita.</t>
  </si>
  <si>
    <t>Chesnaught</t>
  </si>
  <si>
    <t>Sen taklaus on riittävän voimakas kääntämään 50 tonnin painoisen panssarivaunun. Se suojaa liittolaisiaan vaaralta omalla ruumiillaan.</t>
  </si>
  <si>
    <t>Kun se ottaa puolustusasennon nyrkit kasvojensa edessä, se voisi kestää pommiräjähdyksen.</t>
  </si>
  <si>
    <t>Fennekin</t>
  </si>
  <si>
    <t>Oksan syöminen täyttää sen energialla, ja sen tilavat korvat päästävät ilmaa, joka on kuumempaa kuin 190 celsiusastetta.</t>
  </si>
  <si>
    <t>Kävellessään se mutustaa oksaa välipalan sijasta. Se pelottelee vastustajia puhaltamalla kuumaa ilmaa korvistaan.</t>
  </si>
  <si>
    <t>Braixen</t>
  </si>
  <si>
    <t>Sen pyrstössä on oksa juuttunut. Pyrstökarvojen kitkan vaikutuksesta se sytyttää oksan tuleen ja lähtee taisteluun.</t>
  </si>
  <si>
    <t>Kun oksa nyppäätään irti sen pyrstöstä, kitka sytyttää oksan tuleen. Liekkiä käytetään signaalien lähettämiseen liittolaisilleen.</t>
  </si>
  <si>
    <t>Delphox</t>
  </si>
  <si>
    <t>Se tuijottaa oksansa kärjessä olevaa liekkiä saavuttaakseen keskittyneen tilan, jonka avulla se voi nähdä tulevaisuuteen.</t>
  </si>
  <si>
    <t>Käyttäen psyykkistä voimaa se luo 5 400 Fahrenheit-asteen tulisen pyörteen ja polttaa tähän liekkipyörteeseen ajautuneet viholliset.</t>
  </si>
  <si>
    <t>Froakie</t>
  </si>
  <si>
    <t>Kuplasammakko-Pokémon</t>
  </si>
  <si>
    <t>Se erittää joustavia kuplia rinnastaan ​​ja selästään. Kuplat vähentävät vahinkoa, jota se muuten saisi hyökkäyksen sattuessa.</t>
  </si>
  <si>
    <t>Se suojaa ihoaan peittämällä kehonsa herkillä kuplilla. Onnellisella letkeällä ilmallaan se pitää silmällä ympäristöään.</t>
  </si>
  <si>
    <t>https://pokeapi.co/api/v2/pokemon-species/529/</t>
  </si>
  <si>
    <t>Frogadier</t>
  </si>
  <si>
    <t>Se voi heittää kuplien peittämiä kiviä tarkasti ja osua tyhjiin tölkkeihin jopa noin 30 metrin päähän.</t>
  </si>
  <si>
    <t>Sen nopeus on vertaansa vailla. Se voi kiivetä yli 600 metrin korkuiseen torniin minuutissa.</t>
  </si>
  <si>
    <t>Greninja</t>
  </si>
  <si>
    <t>Se luo heittotähtiä puristetusta vedestä. Kun se pyörittää ja heittää niitä suurella nopeudella, nämä tähdet voivat halkaista metallin kahtia.</t>
  </si>
  <si>
    <t>Se ilmestyy ja katoaa ninjan armollisuudella. Se leikittelee vihollistensa kanssa nopeilla liikkeillä ja viiltää heitä terävimmällä vesimäärällä heittävillä tähdillä.</t>
  </si>
  <si>
    <t>Bunnelby</t>
  </si>
  <si>
    <t>Pokémonien kaivaminen</t>
  </si>
  <si>
    <t>Ne kaivavat kolojaan suurilla korvillaan. Ne kaivavat niitä koko yön.</t>
  </si>
  <si>
    <t>Sen korvat ovat kuin lapiolla. Kuoppien kaivaminen vahvistaa sen korvia niin paljon, että ne voivat katkaista paksut juuret vaivattomasti.</t>
  </si>
  <si>
    <t>https://pokeapi.co/api/v2/pokemon-species/530/</t>
  </si>
  <si>
    <t>Se on erinomainen kuoppien kaivaja. Korviaan käyttäen se voi kaivaa 10 metriä syvän pesän yhdessä yössä.</t>
  </si>
  <si>
    <t>Se on hyvin herkkä vaaralle. Corviknightin räpyttelyn ääni saa Bunnelbyn kaivamaan kuopan piiloutuakseen maan alle hetkessä.</t>
  </si>
  <si>
    <t>Diggersby</t>
  </si>
  <si>
    <t>Voimakkaiden korviensa ansiosta ne voivat nostaa vaivattomasti tonnin tai jopa suurempia lohkareita. Ne voivat olla suureksi avuksi rakennustyömailla.</t>
  </si>
  <si>
    <t>Yhtä tehokas kuin kaivinkone, sen korvat voivat jauhaa tiheän kallioperän rouheeksi. Kaivamisen jälkeen se lekottelee laiskasti.</t>
  </si>
  <si>
    <t>Kaivinkoneen tehon ansiosta se voi kaivaa tiheän kallioperän läpi. Se on valtava apu tunnelinrakennuksessa.</t>
  </si>
  <si>
    <t>Sen vatsan turkki pitää lämmön poikkeuksellisen hyvin. Ihmiset tekivät ennen raskaita talvivaatteita tämän Pokémonin karvasta.</t>
  </si>
  <si>
    <t>Fletchling</t>
  </si>
  <si>
    <t>Pieni Robin-Pokémon</t>
  </si>
  <si>
    <t>Nämä ystävälliset Pokémonit lähettävät signaaleja toisilleen kauniilla viserryksillä ja pyrstön ja höyhenen liikkeillä.</t>
  </si>
  <si>
    <t>Kauniista ja sointuvasta äänestään huolimatta se on armoton alueelleen tunkeileville tunkeilijoille.</t>
  </si>
  <si>
    <t>https://pokeapi.co/api/v2/pokemon-species/531/</t>
  </si>
  <si>
    <t>Tämä ystävällinen Pokémon on helppo kouluttaa. Mutta taisteluun astuessa se näyttää raivoisan puolensa.</t>
  </si>
  <si>
    <t>Kun se on innoissaan, sen lämpötila voi kaksinkertaistua, mikä lisää hormonien tuotantoa kehossa.</t>
  </si>
  <si>
    <t>Vaikka se onkin ystävällinen Pokémon, jos kosket siihen odottamatta, se kuumentaa kehonsa hetkessä ja poltat itsesi.</t>
  </si>
  <si>
    <t>Sen ruumis on aina lämmin. Kylmillä alueilla asuvat kouluttajat ilmeisesti nukkuvat sen kanssa sängyssään.</t>
  </si>
  <si>
    <t>Sen melodiset huudot ovat itse asiassa varoitusmerkkejä. Fletchling nokkii armottomasti kaikkea, mikä astuu sen alueelle.</t>
  </si>
  <si>
    <t>Kun tämä Pokémon innostuu, sen ruumiinlämpö nousee jyrkästi. Jos kosket Fletchlingiin paljain käsin, saatat saada palovamman.</t>
  </si>
  <si>
    <t>Fletchinder</t>
  </si>
  <si>
    <t>Nokastaan ​​se työntää ulos hiiliä, jotka sytyttävät korkean ruohon tuleen. Sitten se hyökkää hämmentyneen saaliin kimppuun, joka ponnahtaa esiin ruohosta.</t>
  </si>
  <si>
    <t>Mitä kuumempi sen vatsassa oleva liekkipussi on, sitä nopeammin se voi lentää, mutta tulen sytyttämiseen menee jonkin aikaa.</t>
  </si>
  <si>
    <t>Nokastaan ​​se ampuu saalistaan ​​hiiliä. Kun se on saanut saaliinsa kiinni, se grillaa ne kuumalla lämmöllä ennen kuin herkutelee niillä.</t>
  </si>
  <si>
    <t>https://pokeapi.co/api/v2/pokemon-species/532/</t>
  </si>
  <si>
    <t>Se ei siedä muiden Fletchinder-heimon jäsenten saapumista alueelleen, jonka säde on useita maileja.</t>
  </si>
  <si>
    <t>Se sirottelee hiiliä korkeaan ruohoon. Sitten liekkien säikäyttämät Bug-Pokémonit lentävät esiin, ja Fletchinder hotkaisee ne.</t>
  </si>
  <si>
    <t>Sen nopeus heti nousun jälkeen asettaa sen jo kaikkien lintu-Pokémonien huippunopeuteen.</t>
  </si>
  <si>
    <t>Fletchinder heittää hiiliä saaliinsa pesään. Kun saalis hyppää ulos, Fletchinderin terävät kynnet viimeistelevät sen.</t>
  </si>
  <si>
    <t>Fletchinder-pokémonit ovat äärimmäisen reviiritietoisia ja aggressiivisia. Nämä Pokémonit taistelevat keskenään ruokailupaikoista.</t>
  </si>
  <si>
    <t>Talonflame</t>
  </si>
  <si>
    <t>Polttavan kuuma Pokémon</t>
  </si>
  <si>
    <t>Jännittävän taistelun kuumeessa se suihkuttaa hiiliä höyheniensä välistä ja nousee ilmaan.</t>
  </si>
  <si>
    <t>Saalistaan ​​hyökätessään se voi saavuttaa jopa 500 km/h nopeuden. Se viimeistelee saaliinsa valtavalla potkulla.</t>
  </si>
  <si>
    <t>Sen lempiruokaa ovat wingull ja pikipek. Se hyökkää voimakkaalla potkulla ja tarttuu niihin lujasti kynsiinsä.</t>
  </si>
  <si>
    <t>Se kiitää suoraan saalistaan ​​lähes 500 km/h lentonopeudella, samalla kun tulisia hiiliä leviää sen höyhenten raoista.</t>
  </si>
  <si>
    <t>Sen kovat siivet eivät päästä tulta läpi. Kauan sitten palomiesten varusteet tehtiin Talonflame-siivistä.</t>
  </si>
  <si>
    <t>Lintu-Pokémonit muodostavat suurimman osan sen ruokavaliosta. Se lähestyy kovalla nopeudella ja paiskaa ne maahan voimakkaalla potkullaan.</t>
  </si>
  <si>
    <t>Talonflame saalistaa pääasiassa muita lintu-Pokémoneja. Pelotellakseen vastustajiaan se lähettää hiiliä sylkemällä höyheniensä välistä.</t>
  </si>
  <si>
    <t>Talonflame syöksyy saalista kohti jopa 500 km/h nopeudella ja hyökkää sen kimppuun voimakkailla potkuilla antamatta saaliille mitään mahdollisuutta paeta.</t>
  </si>
  <si>
    <t>Scatterbug</t>
  </si>
  <si>
    <t>Hajanainen pöly-Pokémon</t>
  </si>
  <si>
    <t>Lintu-Pokémonin hyökkäyksen kohteeksi joutuessaan se sylkee myrkyllistä mustaa ruutia, joka aiheuttaa osuessaan halvaantumisen.</t>
  </si>
  <si>
    <t>Sen kehoa peittävä jauhe säätelee sen lämpötilaa, joten se voi elää missä tahansa alueella tai ilmastossa.</t>
  </si>
  <si>
    <t>https://pokeapi.co/api/v2/pokemon-species/533/</t>
  </si>
  <si>
    <t>Spewpa</t>
  </si>
  <si>
    <t>Se elää piilossa tiheikön varjoissa. Kun saalistajat hyökkäävät, se nostaa nopeasti karvansa harjakseen yrittäessään uhata niitä.</t>
  </si>
  <si>
    <t>Lintu-Pokémonin nokka ei voi alkaa raapimaan sen vankkaa ruumista. Puolustautuakseen se sylkee jauhetta.</t>
  </si>
  <si>
    <t>Vivillon</t>
  </si>
  <si>
    <t>Skaalaa Pokémonia</t>
  </si>
  <si>
    <t>Monia erilaisia ​​kuvioita omaavia Vivillon-lajikkeita löytyy kaikkialta maailmasta. Näihin kuvioihin vaikuttaa niiden elinympäristön ilmasto.</t>
  </si>
  <si>
    <t>Tämän Pokémonin siipien kuviot riippuvat sen elinympäristön ilmastosta ja topografiasta. Se levittää värikkäitä suomuja.</t>
  </si>
  <si>
    <t>https://pokeapi.co/api/v2/pokemon-species/534/</t>
  </si>
  <si>
    <t>Litleo</t>
  </si>
  <si>
    <t>Leijonanpentu-Pokémon</t>
  </si>
  <si>
    <t>Mitä vahvemman vihollisen se kohtaa, sitä enemmän lämpöä purkautuu sen harjasta ja sitä enemmän voimaa virtaa sen kehon läpi.</t>
  </si>
  <si>
    <t>Ne lähtevät ylpeydestään omille teilleen ja elävät omilla jaloillaan tullakseen vahvemmiksi. Nämä kuumaveriset Pokémonit ovat nopeita taistelemaan.</t>
  </si>
  <si>
    <t>Nuorena ne elävät ylpeänä. Kun ne pystyvät metsästämään saalista itse, ne häädetään ulos ja niiden on löydettävä oma tietään.</t>
  </si>
  <si>
    <t>Tämä kuumaverinen Pokémon on täynnä uteliaisuutta. Kun se suuttuu tai alkaa taistella, sen lyhyt harja kuumenee.</t>
  </si>
  <si>
    <t>Pyroar</t>
  </si>
  <si>
    <t>https://pokeapi.co/api/v2/pokemon-species/535/</t>
  </si>
  <si>
    <t>Koiras, jolla on suurin tuliharja, on lauman johtaja.</t>
  </si>
  <si>
    <t>Yli 3800 celsiusasteen tulisella hengityksellään ne uhkaavat ilkeästi ketä tahansa haastajaa. Naaraat suojelevat lauman pentuja.</t>
  </si>
  <si>
    <t>Urokset ovat yleensä laiskoja, mutta voimakkaan vihollisen hyökkäyksen kohteeksi joutuessaan uros suojelee ystäviään välittämättä omasta turvallisuudestaan.</t>
  </si>
  <si>
    <t>Sen hengityksen lämpötila on yli 10 000 Fahrenheit-astetta, mutta Pyroar ei käytä sitä saaliiseensa. Tämä Pokémon syö mieluiten raakaa lihaa.</t>
  </si>
  <si>
    <t>Flabébé</t>
  </si>
  <si>
    <t>Yksittäisen kukinnan Pokémon</t>
  </si>
  <si>
    <t>Se vetää esiin ja hallitsee kukkien piilevää voimaa. Flabébén kädessään pitelemä kukka on todennäköisesti osa sen kehoa.</t>
  </si>
  <si>
    <t>Löydettyään kukan, josta se pitää, se viipyy sen perässä koko elämänsä. Se kelluu tuulen syleilyssä levottoman sydämen vallassa.</t>
  </si>
  <si>
    <t>Se ei ole turvassa ilman kukan voimaa, mutta se jatkaa matkaansa, kunnes löytää sellaisen, jolla on haluamansa väri ja muoto.</t>
  </si>
  <si>
    <t>Flabébé käyttää kruunua, joka on tehty sen kukasta kerätystä siitepölystä. Kruunulla on piilotettuja parantavia ominaisuuksia.</t>
  </si>
  <si>
    <t>https://pokeapi.co/api/v2/pokemon-species/536/</t>
  </si>
  <si>
    <t>Floette</t>
  </si>
  <si>
    <t>Se lepattaa kukkapelloilla ja hoitaa nuutumaan alkavia kukkia. Se ammentaa esiin kukkien piilevän voiman taisteluun.</t>
  </si>
  <si>
    <t>Kun hyvin hoidetun kukkapenkin kukat puhkeavat kukkiin, se ilmestyy ja juhlii elegantilla tanssilla.</t>
  </si>
  <si>
    <t>Se kasvattaa kukkia ja käyttää niitä aseina. Mitä upeampi kukka, sitä enemmän voimaa se sisältää.</t>
  </si>
  <si>
    <t>Se antaa kukille oman voimansa ja kaataa sydämensä niiden hoitamiseen. Floette ei koskaan anna anteeksi kenellekään, joka sotkee ​​kukkapenkin.</t>
  </si>
  <si>
    <t>Florges</t>
  </si>
  <si>
    <t>Puutarha-Pokémon</t>
  </si>
  <si>
    <t>Se väittää upeita kukkapuutarhoja alueekseen ja saa voimansa nauttimalla kukkivien kasvien säteilemästä energiasta.</t>
  </si>
  <si>
    <t>Kauan sitten linnanjohtajat kutsuivat Florgesia luomaan kukkapuutarhoja kaunistamaan linnan alueita.</t>
  </si>
  <si>
    <t>Se hallitsee kasvattamiaan kukkia. Florgesin laukaisemat terälehtien lumimyrskyt ovat kauneudessaan ja voimassaan hämmentäviä.</t>
  </si>
  <si>
    <t>Sen elinikä voi olla useita satoja vuosia. Sen sanotaan omistavan koko elämänsä puutarhojen suojelemiseen.</t>
  </si>
  <si>
    <t>Skiddo</t>
  </si>
  <si>
    <t>Pokémon-vuori</t>
  </si>
  <si>
    <t>Sen uskotaan olevan yksi ensimmäisistä Pokémoneista, joka eli sopusoinnussa ihmisten kanssa, ja sillä on rauhallinen luonne.</t>
  </si>
  <si>
    <t>https://pokeapi.co/api/v2/pokemon-species/537/</t>
  </si>
  <si>
    <t>Jos sillä on auringonpaistetta ja vettä, sen ei tarvitse syödä, koska se voi tuottaa energiaa selässään olevista lehdistä.</t>
  </si>
  <si>
    <t>Gogoat</t>
  </si>
  <si>
    <t>Se pystyy kertomaan kouluttajansa tunteet hienovaraisista sarviensa otteen muutoksista. Tämä empaattinen aisti antaa niiden juosta kuin yhtenä olentona.</t>
  </si>
  <si>
    <t>Ne asuvat vuoristoalueilla. Lauman johtaja ratkaistaan ​​sarvien yhteentörmäyksessä.</t>
  </si>
  <si>
    <t>Pancham</t>
  </si>
  <si>
    <t>Se tekee parhaansa, jotta vihollisensa ottaisivat sen vakavasti, mutta sen tuijotus ei ole tarpeeksi pelottava. Lehden pureskelu on sen tavaramerkki.</t>
  </si>
  <si>
    <t>Se tekee parhaansa tuijottaakseen ja tehdäkseen pelottavan ilmeen, mutta se ei voi olla virnistämättä, jos joku taputtaa sen päätä.</t>
  </si>
  <si>
    <t>https://pokeapi.co/api/v2/pokemon-species/538/</t>
  </si>
  <si>
    <t>Se kasvaa matkien Pangoron käytöstä, jota se ihailee johtajana.</t>
  </si>
  <si>
    <t>Sen suussa olevalla lehdellä ei ole mitään tarkoitusta, paitsi että se pyrkii näyttämään coolilta. Se on ilkikurinen, joten se ei sovi kovin hyvin kokemattomille kouluttajille.</t>
  </si>
  <si>
    <t>Se seuraa Pangoroa kuin kätyri. Kun Pancham tekee ison virheen, sen lehti otetaan pois.</t>
  </si>
  <si>
    <t>Se yrittää epätoivoisesti pelotella vastustajiaan. Ole kiltti ja teeskentele peloissasi, jos huomaat sen tuijottavan sinua voimakkaasti.</t>
  </si>
  <si>
    <t>Se valitsee isännäkseen Pangoron ja matkii sitten isäntänsä toimia. Näin se oppii taistelemaan ja metsästämään saalista.</t>
  </si>
  <si>
    <t>Pancham haluaa varmistaa, että se otetaan vakavasti, joten se mulkoilee aina muita. Mutta jos se ei keskity, se päätyy hymyilemään.</t>
  </si>
  <si>
    <t>Pangoro</t>
  </si>
  <si>
    <t>Pelottava Pokémon</t>
  </si>
  <si>
    <t>Vaikka sillä on väkivaltainen luonne, se ei siedä kiusaamista. Se käyttää suussaan olevaa lehteä aistiakseen vihollistensa liikkeitä.</t>
  </si>
  <si>
    <t>Se syöksyy eteenpäin ja moukaroi vastustajiaan kuin raivohullu, välittämättä mahdollisista osumista. Sen käsivarret ovat niin mahtavat, että ne voisivat katkaista puhelinpylvään.</t>
  </si>
  <si>
    <t>Se ylpeilee erinomaisella fyysisellä voimalla. Pangoron kouluttajaksi haluavilla ei ole muuta vaihtoehtoa kuin keskustella nyrkeillään.</t>
  </si>
  <si>
    <t>Bambulehden pienistä nykäyksistä se päättelee vastustajansa liikkeet. Se on innokas tappelemaan, mutta hyväsydäminen tovereitaan kohtaan.</t>
  </si>
  <si>
    <t>https://pokeapi.co/api/v2/pokemon-species/539/</t>
  </si>
  <si>
    <t>Tämä riehakas Pokémon ylpeilee suurella fyysisellä voimalla. Monet kouluttajatkin ihastuvat sen eloisaan luonteeseen.</t>
  </si>
  <si>
    <t>Pangoro on tyyppiä, joka puhuu nyrkeillään. Se ei sano paljoa, vaan iskee vastustajia niin kovalla voimalla, että se lennättäisi roska-auton lentoon.</t>
  </si>
  <si>
    <t>Tämä Pokémon on nopea suuttumaan, eikä sillä ole ongelmia käyttää suunnatonta voimaansa saadakseen tahtonsa läpi. Se elää kaksintaisteluista Obstagoonia vastaan.</t>
  </si>
  <si>
    <t>Lehtensä avulla Pangoro voi ennustaa vastustajiensa liikkeitä. Se iskee lyönneillä, jotka voivat muuttaa roska-auton romuksi yhdellä iskulla.</t>
  </si>
  <si>
    <t>Furfrou</t>
  </si>
  <si>
    <t>Villakoira-Pokémon</t>
  </si>
  <si>
    <t>Pörröisen turkin siistiminen ei ainoastaan ​​tee siitä eleganttimpaa, vaan myös lisää sen liikkeiden nopeutta.</t>
  </si>
  <si>
    <t>Historiallisesti Kaloksen alueella nämä Pokémonit olivat kuninkaan nimettyjä suojelijoita.</t>
  </si>
  <si>
    <t>Oli aikakausi, jolloin aateliset kilpailivat siitä, kuka saisi trimmattua furfroujensa turkin mahdollisimman hienoksi.</t>
  </si>
  <si>
    <t>Yksin jätettynä sen turkki kasvaa pidemmäksi ja pidemmäksi, mutta se antaa vain luotettavan henkilön leikata sen.</t>
  </si>
  <si>
    <t>Espurr</t>
  </si>
  <si>
    <t>Pidättyvä Pokémon</t>
  </si>
  <si>
    <t>https://pokeapi.co/api/v2/pokemon-species/540/</t>
  </si>
  <si>
    <t>Elin, joka säteilee voimakasta psyykkistä voimaansa, on suojattu korvillaan estääkseen voiman vuotamisen ulos.</t>
  </si>
  <si>
    <t>Sillä on tarpeeksi psyykkistä energiaa räjäyttääkseen kaiken 300 jalan säteellä itsestään, mutta se ei pysty hallitsemaan omaa voimaansa.</t>
  </si>
  <si>
    <t>Vaikka Espurrin ilme ei muutu, tyhjän katseen takana on intensiivinen kamppailu sen tuhoisan psyykkisen voiman hillitsemiseksi.</t>
  </si>
  <si>
    <t>Espurrissa on tarpeeksi psyykkistä voimaa lähettääkseen painijan lentoon, mutta koska tätä voimaa ei voi hallita, Espurr kokee sen ongelmalliseksi.</t>
  </si>
  <si>
    <t>Meowstic</t>
  </si>
  <si>
    <t>Rajoitus-Pokémon</t>
  </si>
  <si>
    <t>Vaaratilanteessa se nostaa korvansa ja vapauttaa tarpeeksi psyykkistä voimaa jauhaakseen 10 tonnin kuorma-auton tomuksi.</t>
  </si>
  <si>
    <t>Sen korvien sisäpuolella olevat silmämunakuviot säteilevät psyykkistä energiaa. Se pitää kuviot tiukasti piilossa, koska tuo voima on liian valtava.</t>
  </si>
  <si>
    <t>Silmän kaltaisten kuvioiden paljastaminen sen korvien sisäpuolella vapauttaa sen psyykkiset voimat. Normaalisti se kuitenkin pitää kuviot piilossa.</t>
  </si>
  <si>
    <t>Urosten puolustusvaisto on voimakas. Juuri suojellessaan itseään tai kumppaneitaan ne päästävät kaiken voimansa valloilleen.</t>
  </si>
  <si>
    <t>Honedge</t>
  </si>
  <si>
    <t>Miekka-Pokémon</t>
  </si>
  <si>
    <t>Ilmeisesti tämä Pokémon syntyy, kun kuollut henki asuu miekassa. Se kiinnittyy ihmisiin ja juo heidän elinvoimansa.</t>
  </si>
  <si>
    <t>Jos joku uskaltaa tarttua sen kahvaan, se kietoo sinisen kankaan henkilön käsivarren ympärille ja imee henkilön elämänenergian kokonaan.</t>
  </si>
  <si>
    <t>Honedgen sielu kuului aikoinaan henkilölle, joka tapettiin kauan sitten Honedgen ruumiin muodostavalla miekalla.</t>
  </si>
  <si>
    <t>https://pokeapi.co/api/v2/pokemon-species/541/</t>
  </si>
  <si>
    <t>Miekan kädensijan sininen silmä on Honedgen todellinen ruumis. Vanhalla kankaallaan se imee ihmisten henkiä.</t>
  </si>
  <si>
    <t>Doublade</t>
  </si>
  <si>
    <t>Kun Honedge kehittyy, se jakautuu kahdeksi miekaksi, jotka toimivat telepaattisesti koordinoidakseen hyökkäyksiä ja viiltääkseen vihollisensa suikaleiksi.</t>
  </si>
  <si>
    <t>Sen kahden miekan monimutkaiset hyökkäyskuviot ovat pysäyttämättömiä jopa miekkailussa erittäin taitavalle vastustajalle.</t>
  </si>
  <si>
    <t>Honedge kehittyy kaksosiksi. Miehen terät hankautuvat yhteen ja päästävät metallisen äänen, joka hermostuttaa vastustajia.</t>
  </si>
  <si>
    <t>Nämä kaksi miekkaa käyttävät strategiaa, jossa he vuorottelevat nopeasti hyökkäyksen ja puolustuksen välillä saaliinsa kaatamiseksi.</t>
  </si>
  <si>
    <t>Aegislash</t>
  </si>
  <si>
    <t>Kuninkaallinen miekka-Pokémon</t>
  </si>
  <si>
    <t>Näitä Pokémoneja palvelivat sukupolvien ajan kuninkaat, ja ne käyttivät aavemaista voimiaan ihmisten ja Pokémonien manipulointiin ja hallintaan.</t>
  </si>
  <si>
    <t>Ilmeisesti se pystyy havaitsemaan johtajuuden synnynnäiset ominaisuudet. Legendan mukaan kenet tahansa se tunnistaa, siitä tulee kuningas.</t>
  </si>
  <si>
    <t>https://pokeapi.co/api/v2/pokemon-species/542/</t>
  </si>
  <si>
    <t>Tässä puolustusasennossa Aegislash käyttää teräsrunkoaan ja spektrivoimakenttää vähentääkseen minkä tahansa hyökkäyksen vahinkoa.</t>
  </si>
  <si>
    <t>Sen voimakkaat aavemaiset voimat antavat sille mahdollisuuden manipuloida muita. Se käytti aikoinaan voimiaan pakottaakseen ihmisiä ja Pokémoneja rakentamaan mieleisekseen kuningaskunnan.</t>
  </si>
  <si>
    <t>Spritzee</t>
  </si>
  <si>
    <t>Hajuvesi-Pokémon</t>
  </si>
  <si>
    <t>Se levittää tuoksua, joka lumoaa haistajansa. Tuoksu muuttuu sen mukaan, mitä se on syönyt.</t>
  </si>
  <si>
    <t>Ennen vanhaan kuninkaalliset naiset kantoivat hajuveden sijaan mukanaan Spritzee-tuoksua, josta he pitivät.</t>
  </si>
  <si>
    <t>Tämän Pokémonin kehossa oleva tuoksupussi mahdollistaa sen tuottamisen erilaisilla tuoksuilla. Ruokavalion muutos muuttaa sen tuottamaa tuoksua.</t>
  </si>
  <si>
    <t>Sen tuoksu lumoaa sen haistajat. Aateliset naiset rakastivat Spritzeetä runsaasti.</t>
  </si>
  <si>
    <t>Aromatisse</t>
  </si>
  <si>
    <t>Tuoksu-Pokémon</t>
  </si>
  <si>
    <t>https://pokeapi.co/api/v2/pokemon-species/543/</t>
  </si>
  <si>
    <t>Se keksii erilaisia ​​tuoksuja, miellyttäviä ja epämiellyttäviä, ja päästää tuoksuja, joista sen viholliset eivät pidä, saadakseen etulyöntiaseman taistelussa.</t>
  </si>
  <si>
    <t>Sen tuoksu on niin voimakas, että ellei kouluttaja satu todella nauttimaan tuoksusta, hänen on vaikeuksia kävellä sen rinnalla.</t>
  </si>
  <si>
    <t>Sen turkista jatkuvasti leviävä tuoksu on niin voimakas, että tämän Pokémonin seuralaiset menettävät lopulta hajuaistinsa.</t>
  </si>
  <si>
    <t>Aromatissen tuottamat tuoksut vaihtelevat liittolaisia ​​vahvistavista makeista tuoksuista vastustajan taistelutahdon heikentäviin epämiellyttäviin hajuihin.</t>
  </si>
  <si>
    <t>Swirlix</t>
  </si>
  <si>
    <t>Hattara-Pokémon</t>
  </si>
  <si>
    <t>Takertuakseen vastustajansa taisteluun se pursottaa ulos valkoisia lankoja, jotka ovat yhtä makeita ja tahmeita kuin hattara.</t>
  </si>
  <si>
    <t>Koska se syö vain makeisia, sen turkki on yhtä tahmeaa ja makeaa kuin hattara.</t>
  </si>
  <si>
    <t>Se syö oman painonsa verran sokeria joka päivä. Jos se ei saa tarpeeksi sokeria, siitä tulee uskomattoman ärtyisä.</t>
  </si>
  <si>
    <t>Hattaran makea tuoksu leviää Swirlixin pörröiseen turkkiin. Tämä Pokémon sylkee tahmeaa narua sotkeakseen vihollisensa.</t>
  </si>
  <si>
    <t>Slurpuff</t>
  </si>
  <si>
    <t>Marengki-Pokémon</t>
  </si>
  <si>
    <t>Se pystyy erottamaan heikoimmatkin tuoksut. Se käyttää herkkää hajuaistiaan auttaessaan leipureita heidän työssään.</t>
  </si>
  <si>
    <t>Sen hajuaisti on sata miljoonaa kertaa parempi kuin ihmisen, joten jo heikoinkin tuoksu kertoo sille kaiken lähiympäristössä. Se on kuin se näkisi nenällään!</t>
  </si>
  <si>
    <t>Haistamalla ihmisen tuoksun se voi haistaa hänen henkisen ja fyysisen tilansa. Toivotaan, että tällä taidolla on monia lääketieteellisiä sovelluksia.</t>
  </si>
  <si>
    <t>Slurpuffin turkki sisältää paljon ilmaa, minkä ansiosta se on pehmeä koskettaa ja kevyempi kuin miltä se näyttää.</t>
  </si>
  <si>
    <t>Inkay</t>
  </si>
  <si>
    <t>Pyörivä Pokémon</t>
  </si>
  <si>
    <t>Vastustajat, jotka tuijottavat sen vartalossa välkkyviä valopisteitä, hämmentyvät ja menettävät taistelutahtonsa.</t>
  </si>
  <si>
    <t>Se väläyttää kehossaan olevia valoa emittoivia täpliä, mikä kuluttaa vastustajan taistelutahdon. Se käyttää tilaisuuden hyväkseen paeta ja piiloutua.</t>
  </si>
  <si>
    <t>https://pokeapi.co/api/v2/pokemon-species/544/</t>
  </si>
  <si>
    <t>Se vetää saalista lähelleen vilkkuvilla valoillaan ja kietoo sen sitten pitkien lonkeroidensa ympärille ja pitää sen paikallaan.</t>
  </si>
  <si>
    <t>Vaihtaessaan tietoja muiden kaltaistensa kanssa se väläyttää kehossaan olevia valoa emittoivia täpliä monimutkaisessa rytmissä.</t>
  </si>
  <si>
    <t>Se pyörii samalla kun sen luminoivat täplät välkkyvät. Näiden täplien avulla se voi kommunikoida muiden kanssa käyttämällä erilaisia ​​valokuvioita.</t>
  </si>
  <si>
    <t>Altistamalla viholliset hohtavien täplien välkkyvälle valolle Inkay lannistaa heidät ja tarttuu sitten tilaisuuteen paeta.</t>
  </si>
  <si>
    <t>Malamar</t>
  </si>
  <si>
    <t>Pokémonin kaatuminen</t>
  </si>
  <si>
    <t>Se käyttää kiehtovimpia hypnoottisia voimia kaikista Pokémoneista ja pakottaa muut tekemään mitä tahansa se haluaa.</t>
  </si>
  <si>
    <t>Se houkuttelee saaliinsa lähelle hypnoottisilla liikkeillä, kietoo sitten lonkeronsa sen ympärille ja viimeistelee sen ruoansulatusnesteillä.</t>
  </si>
  <si>
    <t>Kun on kyse vahvasta hypnoosista, on loputon määrä ihmisiä, jotka käyttävät Malamaria ilkeisiin tekoihinsa.</t>
  </si>
  <si>
    <t>Se väläyttää kuviota vartalossaan hallitakseen saalistaan ​​ja houkutellakseen sitä puoleensa. Sen evien reunat ovat erittäin terävät.</t>
  </si>
  <si>
    <t>Sen hohtavien täplien katseleminen aiheuttaa nopeasti hypnoottisen tilan, joka asettaa Malamarin hallintaan.</t>
  </si>
  <si>
    <t>Sanotaan, että Malamarin hypnoottisilla voimilla oli rooli tietyissä historiaa mullistavissa tapahtumissa.</t>
  </si>
  <si>
    <t>Binacle</t>
  </si>
  <si>
    <t>Kaksikätinen Pokémon</t>
  </si>
  <si>
    <t>Kaksi Binaclea asuu yhdessä samalla kalliolla. Kun he taistelevat, toinen heistä siirtyy toiselle kalliolle.</t>
  </si>
  <si>
    <t>Ne venyttelevät ja sitten supistuvat, vetäen kiviään mukanaan rohkeasti hyppien. Ne syövät rantaan huuhtoutunutta merilevää.</t>
  </si>
  <si>
    <t>https://pokeapi.co/api/v2/pokemon-species/545/</t>
  </si>
  <si>
    <t>Löydettyään sopivan kokoisen kiven, kaksi Binaclea tarttuvat siihen ja alkavat elää yhdessä. Ne tekevät yhteistyötä kerätäkseen ruokaa nousuveden aikana.</t>
  </si>
  <si>
    <t>Jos nämä kaksi eivät toimi hyvin yhdessä, sekä heidän hyökkäyksensä että puolustuksensa hajoavat. Ilman hyvää tiimityötä he eivät selviä.</t>
  </si>
  <si>
    <t>Barbaracle</t>
  </si>
  <si>
    <t>Kollektiivinen Pokémon</t>
  </si>
  <si>
    <t>Kun ne kehittyvät, kaksi Binaclea lisääntyy seitsemäksi. Ne taistelevat seitsemän Binaclen voimalla.</t>
  </si>
  <si>
    <t>Barbaraclen jaloilla ja käsillä on omat mielensä, ja ne liikkuvat itsenäisesti. Yleensä ne kuitenkin noudattavat pään käskyjä.</t>
  </si>
  <si>
    <t>https://pokeapi.co/api/v2/pokemon-species/546/</t>
  </si>
  <si>
    <t>Seitsemän Binaclea yhdistyy muodostaen yhden Barbaraclen. Binacle, joka toimii päänä, antaa käskyjä raajoina toimiville Binacleille.</t>
  </si>
  <si>
    <t>Silmän pitäminen kummassakin kämmenessä antaa sille mahdollisuuden tarkkailla kaikkia suuntia. Hätätilanteessa sen raajat alkavat toimia itsenäisesti varmistaakseen vihollisen tappion.</t>
  </si>
  <si>
    <t>Skrelp</t>
  </si>
  <si>
    <t>Valekelp-Pokémon</t>
  </si>
  <si>
    <t>Mädäntyneeksi merileväksi naamioituneina ne suihkuttavat nestemäistä myrkkyä saaliiseensa, joka lähestyy tietämättään, ja sitten tappavat sen.</t>
  </si>
  <si>
    <t>Se näyttää aivan mädältä merilevältä. Se piiloutuu vihollisilta ja samalla kerää voimaa evoluutiotaan varten.</t>
  </si>
  <si>
    <t>Se katoaa merilevään ja pysyy täysin paikallaan välttääkseen suurten Pokémonien hyökkäyksiä. Mätämerilevä on sen tärkein ravinnonlähde.</t>
  </si>
  <si>
    <t>Se ei ole hyvä uimaan, joten se takertuu merilevään. Alolan alueella sitä tavataan usein Dhelmisen lähellä.</t>
  </si>
  <si>
    <t>https://pokeapi.co/api/v2/pokemon-species/547/</t>
  </si>
  <si>
    <t>Se ajelehtii meressä sekoittuen kelluvaan merilevään. Kun muut Pokémonit tulevat herkuttelemaan merilevällä, Skrelp herkuttelee niillä.</t>
  </si>
  <si>
    <t>Skrelp näyttää mädäntyneeltä merilevältä, joten se voi sulautua meressä ajelehtivaan merilevään ja välttää vihollisten havaitsemisen.</t>
  </si>
  <si>
    <t>Dragalge</t>
  </si>
  <si>
    <t>Niiden myrkky on niin vahvaa, että se voi syödä läpi tankkerin rungon, ja ne sylkevät sitä umpimähkään kaikkeen, mikä saapuu niiden alueelle.</t>
  </si>
  <si>
    <t>Tarinoita kerrotaan laivoista, jotka vaeltavat merille, joilla Dragalge asuu, eivätkä koskaan palaa.</t>
  </si>
  <si>
    <t>Tämä ilkeä Pokémon suihkuttaa myrkyllistä nestettä lähelle tulevien vastustajien päälle. Jostain syystä se tulee todella hyvin toimeen Dhelmisen kanssa.</t>
  </si>
  <si>
    <t>Se sekoittuu merilevään väijyttääkseen saalistaan ​​ja tappaa sen sitten myrkyllisellä nesteellä, joka on tarpeeksi vahva sulattamaan metallia.</t>
  </si>
  <si>
    <t>Dragalge käyttää myrkyllistä nestettä, joka kykenee syövyttämään metallia, lähettääkseen alueelleen saapuvat säiliöalukset meren pohjaan.</t>
  </si>
  <si>
    <t>Dragalge tuottaa lohikäärmeen energiaa työntämällä sen päässä olevan höyhenen merenpinnan yläpuolelle ja kylpemällä sitä auringonvalossa.</t>
  </si>
  <si>
    <t>Clauncher</t>
  </si>
  <si>
    <t>Vesipyssy-Pokémon</t>
  </si>
  <si>
    <t>Ne kaatavat lentävän saaliin ampumalla puristettua vettä massiivisista kynsillään kuin ampuisivat pistoolilla.</t>
  </si>
  <si>
    <t>Sisäisen kaasun hallittujen räjähdysten kautta se voi työntää vettä ulos kuin pistoolin laukaus. Lähietäisyydeltä se voi rikkoa kalliota.</t>
  </si>
  <si>
    <t>https://pokeapi.co/api/v2/pokemon-species/548/</t>
  </si>
  <si>
    <t>Sen kynnet irtoavat silloin tällöin, ja se pysyy piilossa, kunnes ne kasvavat takaisin. Sen kynsien liha on niin herkullista!</t>
  </si>
  <si>
    <t>Se liikkuu suihkuttamalla vettä oikeasta pihdeistään. Sillä on huono tasapainoaisti, joten se on surkea uimaan suoraan.</t>
  </si>
  <si>
    <t>Clauncherin kynnet voivat irrota taistelun aikana, mutta ne uusiutuvat. Kynsien sisällä oleva liha on suosittua herkkua Galarissa.</t>
  </si>
  <si>
    <t>Räjäyttämällä oikeaan kynteen kertyvää kaasua tämä Pokémon ampuu vettä kuin luoti. Näin Clauncher kukistaa vihollisensa.</t>
  </si>
  <si>
    <t>Clawitzer</t>
  </si>
  <si>
    <t>Haupitsi-Pokémon</t>
  </si>
  <si>
    <t>Niiden valtavat kynnet ampuvat vesitykinkuulia, jotka ovat riittävän voimakkaita lävistämään tankkereiden rungot.</t>
  </si>
  <si>
    <t>Puristamalla vettä kynnen takaosassa olevasta suuttimesta se voi liikkua 60 solmun nopeudella.</t>
  </si>
  <si>
    <t>Se puristaa imettämäänsä vettä ja puhaltaa sitä sitten niin voimakkaasti, että se pystyy tekemään reiän paksun rautalevyn läpi.</t>
  </si>
  <si>
    <t>Sen oikea käsivarsi on täynnä lihaa. Kun sen pihdit irtoavat, ne viedään muualle ruoanlaittoon.</t>
  </si>
  <si>
    <t>Käytettyään ylisuuren kynteensä tuntosarvia saaliin sijainnin havaitsemiseen, Clawitzer ampuu vettä sisältävän tykinkuulan kohteeseensa.</t>
  </si>
  <si>
    <t>Clawitzerin oikea käsivarsi on tykki, joka ampuu merivedestä valmistettuja ammuksia. Clawitzerin tykin käsivarresta ammutut laukaukset voivat upottaa tankkerin.</t>
  </si>
  <si>
    <t>Helioptile</t>
  </si>
  <si>
    <t>Generaattori-Pokémon</t>
  </si>
  <si>
    <t>Ne asettuvat asumaan aavikoihin. Ne voivat tuottaa energiansa paistattelemalla auringossa, joten ruoan syöminen ei ole välttämätöntä.</t>
  </si>
  <si>
    <t>Pään molemmin puolin olevissa kauluksissa on kennoja, jotka tuottavat sähköä auringonvalossa.</t>
  </si>
  <si>
    <t>Levitettyinä sen pään röyhelöt toimivat kuin aurinkopaneelit, jotka tuottavat energian tämän Pokémonin sähköisiin liikkeisiin.</t>
  </si>
  <si>
    <t>https://pokeapi.co/api/v2/pokemon-species/549/</t>
  </si>
  <si>
    <t>Aurinko saa voimansa tämän Pokémonin sähköntuotannosta. Tämän prosessin keskeytyminen rasittaa Helioptilea heikkouden rajalle.</t>
  </si>
  <si>
    <t>Heliolisk</t>
  </si>
  <si>
    <t>Ne levittävät kauluriaan ja tuottavat energiaa. Yksi ainoa Heliolisk voi tuottaa riittävästi sähköä pilvenpiirtäjän käyttämiseen.</t>
  </si>
  <si>
    <t>Se stimuloi lihaksiaan sähköllä, mikä lisää jalkojen voimaa ja mahdollistaa sen juoksemisen 100 jaardia viidessä sekunnissa.</t>
  </si>
  <si>
    <t>Nykyään kadonnut aavikkokulttuuri vaali näitä Pokémoneja. Sopivasti, kun Heliolisk saapui Galarin alueelle, aarre toi mukanaan.</t>
  </si>
  <si>
    <t>Yksi auringossa paistatteleva heliolisk-hirviö röyhelöineen riittää tuottamaan tarpeeksi sähköä kaupungin virrankulutusta varten.</t>
  </si>
  <si>
    <t>Tyrunt</t>
  </si>
  <si>
    <t>Kuninkaallinen perillinen Pokémon</t>
  </si>
  <si>
    <t>Tämä Pokémon on palautettu fossiilista. Jos tapahtuu jotain, mistä se ei pidä, se saa raivokohtauksen ja lähtee villiin.</t>
  </si>
  <si>
    <t>Sen valtavilla leuoilla on niin paljon tuhovoimaa, että se voi pureskella auton. Se eli 100 miljoonaa vuotta sitten.</t>
  </si>
  <si>
    <t>Sen suurella leualla on uskomaton tuhovoima. Joidenkin teorioiden mukaan sen entisöity muoto on erilainen kuin se oli muinaisessa muodossaan.</t>
  </si>
  <si>
    <t>Tyrunt on hemmoteltu ja itsekäs. Se saattaa vain yrittää leikkiä, mutta joskus sen leikkikaverit ovat vakavasti loukkaantuneita.</t>
  </si>
  <si>
    <t>Tämä on ikivanha Pokémon, joka on herätetty henkiin nykyaikana. Sillä on väkivaltainen luonne, ja se repii kappaleiksi kaiken, minkä se saa jykevien leukojensa väliin.</t>
  </si>
  <si>
    <t>Tämä Pokémon on itsekäs ja tykkää hemmottelusta. Se voi myös aiheuttaa vakavia haavoja kouluttajalleen pelkästään leikkimällä.</t>
  </si>
  <si>
    <t>Tyrantrum</t>
  </si>
  <si>
    <t>Despootti-Pokémon</t>
  </si>
  <si>
    <t>Jättimäisten leukojensa ansiosta, jotka pystyivät silppuamaan paksuja metallilevyjä kuin ne olisivat paperia, se oli voittamaton muinaisessa maailmassa, jossa se kerran asui.</t>
  </si>
  <si>
    <t>Mikään ei voinut pysäyttää tätä Pokémonia 100 miljoonaa vuotta sitten, joten se käyttäytyi kuin kuningas.</t>
  </si>
  <si>
    <t>https://pokeapi.co/api/v2/pokemon-species/550/</t>
  </si>
  <si>
    <t>Täydellinen restaurointi on mahdotonta, mikä antaa tilaa teorioille, joiden mukaan koko sen ruumis oli aikoinaan höyhenmäisen takin peitossa.</t>
  </si>
  <si>
    <t>Muinaisen maailman kuningas, se voi helposti murskaa auton valtavien leukojensa tuhoisalla voimalla.</t>
  </si>
  <si>
    <t>Tämä Pokémon on noin 100 000 000 vuoden takaa. Sillä on kuninkaan olemus, se on ilkeä mutta mahtava.</t>
  </si>
  <si>
    <t>Yksi Tyrantrumin massiivisten leukojen puraisu tuhoaa auton. Tämä Pokémon oli antiikin maailman kuningas.</t>
  </si>
  <si>
    <t>Amaura</t>
  </si>
  <si>
    <t>Tundra-Pokémon</t>
  </si>
  <si>
    <t>Tämä muinainen Pokémon on palautettu osasta sen ruumista, joka oli ollut jäässä yli 100 miljoonaa vuotta.</t>
  </si>
  <si>
    <t>Tämä rauhallinen Pokémon eli kylmällä maalla, jossa ei ollut Tyrantrumin kaltaisia ​​väkivaltaisia ​​saalistajia.</t>
  </si>
  <si>
    <t>Se eli muinaisina aikoina kylmillä alueilla. Sanotaan, että kun amaura hirnahtaa, revontulet ilmestyvät yötaivaalle.</t>
  </si>
  <si>
    <t>Amaura saatiin ennalleen onnistuneesti, mutta sen ei odoteta elävän pitkään nykyisen kuumuuden vuoksi.</t>
  </si>
  <si>
    <t>Tämä Pokémon onnistuttiin palauttamaan fossiilista. Aiemmin se eli muiden lajitovereidensa kanssa kylmillä alueilla, joilla oli vähemmän saalistajia.</t>
  </si>
  <si>
    <t>Amaura on ikivanha Pokémon, joka on kuollut sukupuuttoon. Tämän lajin yksilöitä voi joskus löytää jäätyneinä.</t>
  </si>
  <si>
    <t>Aurorus</t>
  </si>
  <si>
    <t>Sen rungon timantinmuotoiset kiteet puhaltavat ulos jopa -240 celsiusastetta kylmää ilmaa, ympäröiden sen viholliset ja käärien heidät jäähän.</t>
  </si>
  <si>
    <t>Timantinmuotoisten kristalliensa avulla se voi välittömästi luoda jäämuurin estääkseen vastustajan hyökkäyksen.</t>
  </si>
  <si>
    <t>Jäätikön sisältä löydettiin jäätynyt revontuli, aivan kuten se näytti kauan sitten, mistä tuli melkoinen uutistapahtuma.</t>
  </si>
  <si>
    <t>Tämän yleensä hiljaisen ja kiltin Pokémonin pintalämpötila on noin -240 celsiusastetta.</t>
  </si>
  <si>
    <t>Aurorus on palautettu fossiilista. Sanotaan, että kun tämä Pokémon ulvoo, revontulet ilmestyvät yötaivaalle.</t>
  </si>
  <si>
    <t>Raivon vallassa Aurorus säteilee jääkylmää ilmaa, joka peittää kaiken ympärillään jäällä.</t>
  </si>
  <si>
    <t>Sylveon</t>
  </si>
  <si>
    <t>Lomittuvia Pokémoneja</t>
  </si>
  <si>
    <t>Se lähettää rauhoittavan auran nauhamaisista tuntosarvistaan ​​rauhoittaakseen taisteluita.</t>
  </si>
  <si>
    <t>Se kietoo nauhamaiset tuntosarunsa rakkaan kouluttajansa käsivarren ympärille ja kävelee hänen kanssaan.</t>
  </si>
  <si>
    <t>https://pokeapi.co/api/v2/pokemon-species/551/</t>
  </si>
  <si>
    <t>Sen nauhamaiset tuntosarvet levittävät auraa, joka heikentää saaliin vihamielisyyttä ja saa sen laskemaan suojansa. Sitten se hyökkää.</t>
  </si>
  <si>
    <t>Kun tämä Pokémon näkee saaliinsa, se pyörittää nauhamaisia ​​tuntosarviaan häiritäkseen huomiota. Hetkeä myöhemmin se hyökkää kimppuun.</t>
  </si>
  <si>
    <t>Kun taistelu syttyy, se hyökkää horjumatta lohikäärme-Pokémonien kimppuun, jotka ovat monta kertaa sitä itseään suurempia.</t>
  </si>
  <si>
    <t>Sylveon kietoo nauhamaiset tuntosarunsa kouluttajansa käsivarren ympärille, koska tämän kosketuksen avulla se pystyy lukemaan kouluttajansa tunteita.</t>
  </si>
  <si>
    <t>Päästämällä vihamielisyyttä pyyhkiviä aaltoja nauhamaisista tuntosarvistaan ​​Sylveon pysäyttää kaikki konfliktit.</t>
  </si>
  <si>
    <t>Galarialaisessa sadussa kuvataan kaunista Sylveonia, joka kukistaa kauhistuttavan lohikäärme-Pokémonin.</t>
  </si>
  <si>
    <t>Se säteilee rauhoittavaa auraa nauhamaisista elimistään. Se kietoo nämä ulokkeet riitelijöiden ympärille palauttaakseen tilanteen välittömästi rauhallisiksi.</t>
  </si>
  <si>
    <t>Hawlucha</t>
  </si>
  <si>
    <t>Paini-Pokémon</t>
  </si>
  <si>
    <t>Vaikka sen ruumiinrakenne on pieni, sen taitavat taistelutaidot mahdollistavat sen pysymisen Machampin ja Hariyaman kaltaisten kookkaiden vastustajien perässä.</t>
  </si>
  <si>
    <t>Se hallitsee siipiensä avulla asemaansa ilmassa. Se hyökkää mielellään ylhäältä, mikä on vaikea puolustaa.</t>
  </si>
  <si>
    <t>Se hukuttaa vastustajat nopeilla liikkeillään, mutta joskus se esittelee venettään liian kauan käyttäessään erikoisliikettä ja joutuu ahtaalle.</t>
  </si>
  <si>
    <t>Taistelussa Hawlucha hyppii ketterästi hyödyntäen vastustajiensa sokeita kulmia. Se on myös taitava käyttämään erinomaisia ​​alistumisotteita.</t>
  </si>
  <si>
    <t>Se ajaa vastustajansa uupumukseen ketterillä liikkeillään ja päättää sitten taistelun näyttävällä viimeistelyliikkeellä.</t>
  </si>
  <si>
    <t>https://pokeapi.co/api/v2/pokemon-species/552/</t>
  </si>
  <si>
    <t>Se ottaa aina asennon ennen viimeistelyliikettään. Joskus vastustajat käyttävät tilaisuuden hyväkseen vastahyökkäykseen.</t>
  </si>
  <si>
    <t>Dedenne</t>
  </si>
  <si>
    <t>Antenni-Pokémon</t>
  </si>
  <si>
    <t>Sen viikset toimivat antenneina. Lähettämällä ja vastaanottamalla sähköaaltoja se voi kommunikoida muiden kanssa pitkien etäisyyksien päästä.</t>
  </si>
  <si>
    <t>Se käyttää häntäänsä sähkön absorboimiseen voimalaitoksista tai talojen pistorasioista ja sitten se ampuu sähköä viiksiensä avulla.</t>
  </si>
  <si>
    <t>Se hiipii ihmisten koteihin ja varastaa sähköä pistorasioista. Kun sähkölaskusi näyttää olevan pielessä, se on tämän lurjuksen tekosia.</t>
  </si>
  <si>
    <t>Sen ylemmät viikset ovat ympäristöään tarkkailevia antureita. Sen alemmat viikset ovat sähköä lähettäviä elimiä.</t>
  </si>
  <si>
    <t>Dedennen viikset poimivat muiden Dedennen lähettämiä sähköaaltoja. Nämä Pokémonit jakavat keskenään ruoka- tai sähköpaikkoja.</t>
  </si>
  <si>
    <t>Koska Dedenne ei pysty itse tuottamaan paljon sähköä, se varastaa sähköä pistorasioista tai muista sähköisistä Pokémoneista.</t>
  </si>
  <si>
    <t>Carbink</t>
  </si>
  <si>
    <t>Jalokivi-Pokémon</t>
  </si>
  <si>
    <t>Syvällä maan alla vallitsevien lämpötilojen ja paineiden vaikutuksesta se ampuu säteitä päässään olevasta kivestä.</t>
  </si>
  <si>
    <t>https://pokeapi.co/api/v2/pokemon-species/553/</t>
  </si>
  <si>
    <t>Se on nukkunut maan alla satoja miljoonia vuosia syntymästään lähtien. Sitä löytyy toisinaan luolien kaivausten yhteydessä.</t>
  </si>
  <si>
    <t>Syvällä maan alla vallitsevien korkeiden lämpötilojen ja paineiden vaikutuksesta se puolustaa itseään ampumalla säteitä ruumiinsa jalokivestä.</t>
  </si>
  <si>
    <t>Vaikka tämä Pokémon ei ole erityisen harvinainen, sen kimalteleva, jalokivillä koristeltu vartalo herättää ihmisten huomion.</t>
  </si>
  <si>
    <t>Jotkut sanovat, että syvällä maailman pinnan alla lauma Carbink-hevosia elää kuningattarensa kanssa jalokivien valtakunnassa.</t>
  </si>
  <si>
    <t>Pitääkseen kehossaan olevat jalokivet tummumattomina, Carbink-laukut käyttävät pehmeitä harjaansa kiillottaakseen toistensa jalokiviä.</t>
  </si>
  <si>
    <t>Hyökkääjien ahdistaessa Carbink pyyhkäisee ne kaikki pois ampumalla korkeaenergisiä säteitä kehoonsa upotetuista jalokivistä.</t>
  </si>
  <si>
    <t>Sanotaan, että jossain päin maailmaa on mineraalisuoni, jossa on suuri lauma uinuvaa hiilihydraattia. Kerrotaan myös, että tällä laumalla on kuningatar.</t>
  </si>
  <si>
    <t>Goomy</t>
  </si>
  <si>
    <t>Pehmeäkudos-Pokémon</t>
  </si>
  <si>
    <t>Heikoin lohikäärmetyyppinen Pokémon, se elää kosteissa ja varjoisissa paikoissa, joten sen ruumis ei kuivu.</t>
  </si>
  <si>
    <t>Se on peitetty limaisella kalvolla, jonka ansiosta kaikki lyönnit tai potkut liukuvat siitä pois vaaratta.</t>
  </si>
  <si>
    <t>Lohikäärmetyyppisistä Pokémoneista heikoin, se ei pysty hengittämään, jos sen iho kuivuu, joten se pysyttelee varjoisissa paikoissa.</t>
  </si>
  <si>
    <t>Sen suojan lähde on sen limainen, bakteereja täynnä oleva limakalvo. Jokainen, joka koskee siihen, tarvitsee perusteellisen käsienpesun.</t>
  </si>
  <si>
    <t>Se käyttää sarviaan ympäristönsä tarkkailuun. Ne ovat hyvin herkkiä, joten jos tartut niihin, se tuntee voimakkaan iskun eikä pysty liikkumaan.</t>
  </si>
  <si>
    <t>Sen ruumis on enimmäkseen vettä. Jos se kuivuu, se kuolee, joten se istuu aina täysin liikkumatta varjossa.</t>
  </si>
  <si>
    <t>https://pokeapi.co/api/v2/pokemon-species/554/</t>
  </si>
  <si>
    <t>Koska suurin osa sen kehosta on vettä, se kuivuu, jos säästä tulee liian kuiva. Sitä pidetään heikoimpana lohikäärme-Pokémonina.</t>
  </si>
  <si>
    <t>Niiden sarvet ovat tehokkaita antureita. Heti kun Goomy havaitsee merkkejä vihollisista, ne piiloutuvat. Näin ne ovat selvinneet.</t>
  </si>
  <si>
    <t>Goomy piiloutuu puiden varjoon, missä on mukavan kosteaa. Jos sen kehoa peittävä lima kuivuu, Pokémonista tulee välittömästi apaattinen.</t>
  </si>
  <si>
    <t>Sliggoo</t>
  </si>
  <si>
    <t>Se ajaa vastustajat pois erittämällä tahmeaa nestettä, joka voi liuottaa mitä tahansa. Sen silmät ovat devolvoituneet, joten se ei näe mitään.</t>
  </si>
  <si>
    <t>Sen neljä sarvea muodostavat tehokkaan tutkajärjestelmän. Se käyttää niitä äänien ja hajujen havaitsemiseen korvien tai nenän sijaan.</t>
  </si>
  <si>
    <t>Sillä on vaikeuksia vetää rajaa ystävien ja ruoan välille. Se yrittää rauhallisesti sulaa ja syödä jopa ne, joiden kanssa se tulee hyvin toimeen.</t>
  </si>
  <si>
    <t>Tämän Pokémonin lima voi liuottaa mitä tahansa. Hampaattomana se suihkuttaa limaa saaliinsa päälle. Kun limaa on liuennut hyvin, se nielee sen.</t>
  </si>
  <si>
    <t>Se ryömii hitaasti. Sen selässä oleva pyörteilevä kohouma on täynnä sen aivoja ja muita elimiä.</t>
  </si>
  <si>
    <t>https://pokeapi.co/api/v2/pokemon-species/555/</t>
  </si>
  <si>
    <t>Sen koko ruumis on peittynyt tahmaiseen limaan, joka voi liuottaa mitä tahansa. Muista laittaa hanskat käteen, jos aiot koskea siihen.</t>
  </si>
  <si>
    <t>Vaikka tämä Pokémon ei ole kovin vahva, sen ruumis on päällystetty syövyttävällä limalla, joka voi sulattaa minkä tahansa läpi, joten saalistajat pysyttelevät siitä erossa.</t>
  </si>
  <si>
    <t>Sen selässä olevassa möykkyssä on sen pieni aivo. Se ajattelee vain ruokaa ja vihollisiltaan pakenemista.</t>
  </si>
  <si>
    <t>Olento, jolla on taipumus melankoliaan. Epäilen, että sen metallinen kuori kehittyi ihon liman reagoidessa Hisuin vedessä olevan raudan kanssa.</t>
  </si>
  <si>
    <t>Goodra</t>
  </si>
  <si>
    <t>Tämä erittäin ystävällinen lohikäärmetyyppinen Pokémon halaa rakasta kouluttajaansa, joka peittyy tahmeaan limaan.</t>
  </si>
  <si>
    <t>Se hyökkää sisäänvedettävien sarvien avulla. Se heittää iskun, joka vastaa sadan ammattinyrkkeilijän voimaa.</t>
  </si>
  <si>
    <t>Hämmästyttävän ystävällinen Pokémon, mutta jos sen jättää oman onnensa nojaan, yksinäisyys voittaa sen ja se vuodattaa tahmaisia ​​kyyneleitä.</t>
  </si>
  <si>
    <t>Sitä kiusataan, koska se on nöyrä. Mutta sitten se, joka sitä kiusoitteli, saa tuntea sen sarvien täyden voiman ja kunnon läimäytyksen sen paksusta hännästä.</t>
  </si>
  <si>
    <t>https://pokeapi.co/api/v2/pokemon-species/556/</t>
  </si>
  <si>
    <t>Se on erittäin ystävällinen ihmisiä kohtaan. Jos kasvat sen lähelle, Goodra halaa sinua tahmealla, limalla peittyneellä ruumiillaan. Älä suutu.</t>
  </si>
  <si>
    <t>Sen limaisen kuoren alla on paksu rasvakerros, ja näiden kahden yhdistelmä saa vihollisten hyökkäykset liukumaan pois.</t>
  </si>
  <si>
    <t>Joskus se ymmärtää ohjeet väärin ja vaikuttaa hämmentyneeltä tai hämmentyneeltä. Monet kouluttajat eivät välitä tästä, ja pitävät tätä käytöstä suloisena.</t>
  </si>
  <si>
    <t>Sen hyökkäysmuoto on sarvien venyttäminen voimakkaasti. Iskut osuvat sata kertaa kovempaan kuin mikään raskaansarjan nyrkkeilijän isku.</t>
  </si>
  <si>
    <t>Kykenee hallitsemaan vapaasti metallisen kuorensa kovuutta. Se inhoaa yksinäisyyttä ja on äärimmäisen takertuva – se raivoaa ja riehuu, jos sille rakkaimmat ihmiset joskus lähtevät sen rinnalta.</t>
  </si>
  <si>
    <t>Klefki</t>
  </si>
  <si>
    <t>Avaimenperä-Pokémon</t>
  </si>
  <si>
    <t>Nämä avaintenkeräilijät uhkaavat hyökkääjiä kilisemällä avaimiaan raivokkaasti.</t>
  </si>
  <si>
    <t>Se ei koskaan päästä irti avaimesta, josta se pitää, joten ihmiset antavat sille holvien ja kassakaappien avaimet keinona estää rikoksia.</t>
  </si>
  <si>
    <t>https://pokeapi.co/api/v2/pokemon-species/557/</t>
  </si>
  <si>
    <t>Tällä tasaisen luonteen omaavalla Pokémonilla on tapana kerätä avaimia. Se hiipii ihmisten koteihin varastaakseen heidän avaimensa.</t>
  </si>
  <si>
    <t>Se työntää torvensa metallin rakoihin ja imee itseensä metalli-ioneja. Jostain syystä se kerää avaimia.</t>
  </si>
  <si>
    <t>Vaikka on epäselvää, miksi se kerää avaimia, avaimen antaminen tekee Klefkin erittäin onnelliseksi. Ilmeisesti se kuitenkin pitää vain pääavaimista.</t>
  </si>
  <si>
    <t>Kauan sitten se eli kaivoksissa, mutta kun sen ruokavalion mineraalit vähenivät, Klefki alkoi ilmestyä ihmisasutusalueille.</t>
  </si>
  <si>
    <t>Tämä Pokémon kerää jatkuvasti avaimia. Anna Klefkille tärkeät avaimet, niin Pokémon suojelee niitä tapahtuipa mitä tahansa.</t>
  </si>
  <si>
    <t>Klefki imee metalli-ioneja päänsä päällä olevalla sarvella. Näyttää siltä, ​​että tämä Pokémon rakastaa avaimia niin paljon, että sen pään piti näyttää myös samalta.</t>
  </si>
  <si>
    <t>Phantump</t>
  </si>
  <si>
    <t>Tynkö-Pokémon</t>
  </si>
  <si>
    <t>Nämä Pokémonit syntyvät, kun henget ottavat haltuunsa lahoja puunkantoja. Ne mieluummin asuvat hylätyissä metsissä.</t>
  </si>
  <si>
    <t>Vanhojen tarinoiden mukaan nämä Pokémonit ovat metsässä kuolleiden lasten henkien riivaamia tynkiä.</t>
  </si>
  <si>
    <t>https://pokeapi.co/api/v2/pokemon-species/558/</t>
  </si>
  <si>
    <t>Nämä Pokémonit ovat metsässä kuolleiden lasten henkien riivaamia tynkiä. Niiden huuto kuulostaa aavemaisilta kirkaisuilta.</t>
  </si>
  <si>
    <t>Legendan mukaan lääkettä mihin tahansa sairauteen voidaan valmistaa poimimalla sen pään vihreät lehdet, hauduttamalla ne ja keittämällä neste.</t>
  </si>
  <si>
    <t>Matkimalla lapsen ääntä se saa ihmiset eksymään toivottomasti syvälle metsään. Se yrittää ystävystyä heidän kanssaan.</t>
  </si>
  <si>
    <t>Tuntematon henki asettui puunkantoon pesälle ja loi tämän Pokémonin. Sen vihreistä lehdistä voi tehdä ihmelääkkeen.</t>
  </si>
  <si>
    <t>Metsään kadonneen lapsen kuoltua heidän henkensä valtasi puunkannon, mikä aiheutti hengen uudestisyntymisen täksi Pokémoniksi.</t>
  </si>
  <si>
    <t>https://pokeapi.co/api/v2/pokemon-species/559/</t>
  </si>
  <si>
    <t>Ihmislapsen äänellä se huutaa houkutellakseen aikuisia syvälle metsään ja eksyttääkseen heidät puiden sekaan.</t>
  </si>
  <si>
    <t>Trevenant</t>
  </si>
  <si>
    <t>Vanhin puu -pokémon</t>
  </si>
  <si>
    <t>Se voi hallita puita mielensä mukaan. Se vangitsee metsää vahingoittavat ihmiset, jotta he eivät koskaan pääse pois.</t>
  </si>
  <si>
    <t>Se käyttää juuriaan hermostonaan ja hallitsee metsän puita. Se on ystävällinen kehossaan asuville Pokémoneille.</t>
  </si>
  <si>
    <t>Tämän Pokémonin sanotaan ahmivan jokaisen, joka uskaltaa riehua metsässä. Se osoittaa suurta ystävällisyyttä metsän olennoille.</t>
  </si>
  <si>
    <t>Juuriensa kautta se hallitsee muita puita. Tappava kirous langettaa jokaisen, joka kaataa puita metsissä, joissa Trevenantit asuvat.</t>
  </si>
  <si>
    <t>Sitä pelätään metsän aaveena. Metsurit tuovat mukanaan tulilaisia ​​olentoja, joita Trevenant vihaa, tullessaan metsään.</t>
  </si>
  <si>
    <t>Tämä Pokémon hallitsee puita jaloistaan ​​​​lähtevien juurien avulla ja hyökkää kaikkien metsää ryöstävien kimppuun.</t>
  </si>
  <si>
    <t>Ihmiset pelkäävät sitä, koska uskotaan sen syövän kaikki, jotka yrittävät kaataa puita sen metsässä, mutta Pokémoneille, joiden kanssa se jakaa metsänsä, se on ystävällinen.</t>
  </si>
  <si>
    <t>Tämän Pokémonin jalkojen kärjistä ulkonevat pienet juuret voivat tarttua metsän puihin ja antaa Trevenantille hallinnan niistä.</t>
  </si>
  <si>
    <t>https://pokeapi.co/api/v2/pokemon-species/560/</t>
  </si>
  <si>
    <t>Pumpkaboo</t>
  </si>
  <si>
    <t>Kurpitsa-Pokémon</t>
  </si>
  <si>
    <t>Kurpitsan ruumiissa asuu tähän maailmaan loukkuun jäänyt henki. Auringon laskiessa siitä tulee levoton ja aktiivinen.</t>
  </si>
  <si>
    <t>Sen sanotaan kuljettavan vaeltelevia henkiä niiden kuuluviin paikkoihin, jotta ne voivat jatkaa matkaansa.</t>
  </si>
  <si>
    <t>Maailmassa vaeltavat henget asetetaan Pumpkaboon ruumiiseen. Sitten ne siirretään tuonpuoleiseen.</t>
  </si>
  <si>
    <t>Kurpitsan rei'istä virtaava valo voi hypnotisoida ja hallita sen näkeviä ihmisiä ja Pokémoneja.</t>
  </si>
  <si>
    <t>Gourgeist</t>
  </si>
  <si>
    <t>Aavemaisilla äänillä laulaen ne vaeltelevat kaupungin kaduilla uudenkuun yönä. Jokainen, joka kuulee heidän laulunsa, on kirottu.</t>
  </si>
  <si>
    <t>Se kietoo saaliinsa karvaisiin käsivarsiinsa. Se laulaa iloisesti tarkkaillessaan saaliinsa kärsimystä.</t>
  </si>
  <si>
    <t>Sen ruumiista kantautuu aavemaisia ​​huutoja yön keskellä. Äänten sanotaan olevan tuonpuoleisessa kärsivien henkien valitusta.</t>
  </si>
  <si>
    <t>Uudenkuun yön pimeydessä Gourgeist koputtaa. Se, joka avaa oven, tempataan tuonpuoleiseen.</t>
  </si>
  <si>
    <t>Bergmite</t>
  </si>
  <si>
    <t>Jääpala-Pokémon</t>
  </si>
  <si>
    <t>Se estää vastustajien hyökkäykset vartaloaan suojaavalla jäällä. Se käyttää kylmää ilmaa korjatakseen mahdolliset halkeamat uudella jäällä.</t>
  </si>
  <si>
    <t>Käyttämällä -83 celsiusasteen ilmaa ne jäädyttävät vastustajat jähmeiksi. Ne elävät laumoissa lumirajan yläpuolella vuorilla.</t>
  </si>
  <si>
    <t>https://pokeapi.co/api/v2/pokemon-species/561/</t>
  </si>
  <si>
    <t>Ne jäähdyttävät ympäröivän ilman −150 Fahrenheit-asteeseen, jäädyttäen ilmassa olevan veden jääksi, jota ne käyttävät panssarina.</t>
  </si>
  <si>
    <t>Tämä Pokémon elää hyytävän kylmillä alueilla. Se kiinnittää itsensä Avaluggin selkään jäädyttämällä sen jalat paikoilleen.</t>
  </si>
  <si>
    <t>Se elää vuorilla, jotka ovat peittyneet ikuiseen lumeen. Se jäädyttää ilmassa olevan vesihöyryn ja tekee siitä puolustuskypärän.</t>
  </si>
  <si>
    <t>Avalugg</t>
  </si>
  <si>
    <t>Sen jään peittämä runko on teräskova. Sen kömpelö kehys murskaa kaiken, mikä sen tiellä seisoo.</t>
  </si>
  <si>
    <t>Se, miten useat bergmiitit ovat kerääntyneet sen selkään, saa sen näyttämään jäästä tehdyltä lentotukialukselta.</t>
  </si>
  <si>
    <t>Korkeilla leveysasteilla tätä Pokémonia voi löytää selässään bergmiittiryppäitä sen uidessa jäävuorten lomassa.</t>
  </si>
  <si>
    <t>Avaluggin liikkuessa päivän aikana sen kehon halkeamat syvenevät. Pokémonin keho palaa alkuperäiseen tilaansa yön aikana.</t>
  </si>
  <si>
    <t>https://pokeapi.co/api/v2/pokemon-species/562/</t>
  </si>
  <si>
    <t>Jään panssari peittää sen alaleuan ja voi murskata kivet helposti. Tämä Pokémon kiipeilee jyrkkiä vuoristopolkuja pitkin halkaisten syvän lumen läpi.</t>
  </si>
  <si>
    <t>Noibat</t>
  </si>
  <si>
    <t>Ääniaalto-Pokémon</t>
  </si>
  <si>
    <t>Ne elävät pikimustissa luolissa. Niiden valtavat korvat voivat lähettää 200 000 hertsin ultraääniaaltoja.</t>
  </si>
  <si>
    <t>Jopa vankkarakenteinen painija saa huimausta eikä pysty seisomaan, jos hän altistuu sen 200 000 hertsin ultraääniaalloille.</t>
  </si>
  <si>
    <t>Hedelmät ovat sen lempiruokia. Tämä herkkusuu poimii huolellisesti vain kypsät hedelmät kaikuluotaimellaan.</t>
  </si>
  <si>
    <t>Se lentää ympäriinsä etsien syötäväksi kelpaavia hedelmiä. Se käyttää ultraääniaaltoja havaitakseen, mitkä hedelmät ovat kypsiä.</t>
  </si>
  <si>
    <t>https://pokeapi.co/api/v2/pokemon-species/563/</t>
  </si>
  <si>
    <t>Illan tultua ne nousevat luolista, joissa ne pesivät päivällä. Ultraääniaaltojensa avulla ne lähtevät metsästämään kypsyneitä hedelmiä.</t>
  </si>
  <si>
    <t>Mikään äänen aallonpituus ei ole Noibatin kyvyn ulkopuolella. Sen tuottamat ultraääniaallot voivat päihittää paljon suurempia Pokémoneja.</t>
  </si>
  <si>
    <t>Noivern</t>
  </si>
  <si>
    <t>Ne lentelevät ympäriinsä kuuttomina öinä ja hyökkäävät huolimattoman saaliin kimppuun. Mikään ei voi voittaa niitä pimeässä käydyssä taistelussa.</t>
  </si>
  <si>
    <t>Sen korvista lähtevät ultraääniaallot voivat pilkkoa suuren lohkareen pikkukiviksi. Se syöksyy pimeydestä hyökkäämään.</t>
  </si>
  <si>
    <t>Vaikka sillä on väkivaltainen luonne, jos annat sille kauniin kypsän hedelmän, josta se pitää, Noivernista tulee yhtäkkiä kesy.</t>
  </si>
  <si>
    <t>Tämä kuumaverinen Pokémon hyökkää kaikkea näkemäänsä vastaan ​​ultraääniaalloilla, jotka voivat murskata lohkareita.</t>
  </si>
  <si>
    <t>Aggressiivinen ja julma, tämä Pokémon piinaa armottomasti pimeydessä avuttomia vihollisia.</t>
  </si>
  <si>
    <t>Pimeyden halki lentäen se heikentää vihollisia ultraääniaalloilla, jotka voivat murskata kiven. Sen torahampaat viimeistelevät taistelun.</t>
  </si>
  <si>
    <t>Xerneas</t>
  </si>
  <si>
    <t>Elämä-Pokémon</t>
  </si>
  <si>
    <t>Legendojen mukaan se voi jakaa ikuisen elämän. Se nukkui tuhat vuotta puun muodossa ennen heräämistään henkiin.</t>
  </si>
  <si>
    <t>Kun sen päässä olevat sarvet loistavat seitsemässä värissä, sen sanotaan jakavan iankaikkisen elämän.</t>
  </si>
  <si>
    <t>Yveltal</t>
  </si>
  <si>
    <t>Tuho-Pokémon</t>
  </si>
  <si>
    <t>Kun tämän legendaarisen Pokémonin siivet ja pyrstösulat leviävät leveälle ja hehkuvat punaisina, se imee itseensä elävien olentojen elämänvoiman.</t>
  </si>
  <si>
    <t>Kun sen elämä päättyy, se imee itseensä kaikkien elävien olentojen elämänenergian ja muuttuu jälleen koteloksi.</t>
  </si>
  <si>
    <t>https://pokeapi.co/api/v2/pokemon-species/564/</t>
  </si>
  <si>
    <t>Zygarde</t>
  </si>
  <si>
    <t>Tilaa Pokémoneja</t>
  </si>
  <si>
    <t>Kun Kaloksen alueen ekosysteemi ajautuu sekasortoon, se ilmestyy ja paljastaa salaisen voimansa.</t>
  </si>
  <si>
    <t>On oletettu, että se seuraa ekosysteemiä tuhoavia ihmisiä syvältä luolasta, jossa se elää.</t>
  </si>
  <si>
    <t>Tämä on Zygarden muoto, kun se on kerännyt 50 % soluistaan. Se pyyhkäisee pois kaikki vastustajansa, osoittamatta hitustakaan armoa.</t>
  </si>
  <si>
    <t>Sen uskotaan tarkkailevan ekosysteemiä. Huhujen mukaan sen sisällä piilee vielä suurempi voima.</t>
  </si>
  <si>
    <t>Tämä on Zygarden muoto, kun noin puolet sen osista on koottu. Se toimii ekosysteemin valvojana.</t>
  </si>
  <si>
    <t>Jotkut sanovat, että se voi muuttua vielä voimakkaammaksi taistellessaan ekosysteemiä uhkaavia vastaan.</t>
  </si>
  <si>
    <t>Diancie</t>
  </si>
  <si>
    <t>Carbinkin äkillisen muodonmuutoksen, sen vaaleanpunaisen, kimaltelevan vartalon, sanotaan olevan maailman ihanin näky.</t>
  </si>
  <si>
    <t>Se voi hetkessä luoda paljon timantteja puristamalla ilmassa olevaa hiiltä käsiensä välissä.</t>
  </si>
  <si>
    <t>Hoopa</t>
  </si>
  <si>
    <t>Ilkikurinen Pokémon</t>
  </si>
  <si>
    <t>Tämä häirikkö lähettää mitä tahansa kaukaisiin paikkoihin silmukan avulla, joka voi vääristää avaruutta.</t>
  </si>
  <si>
    <t>Se kerää asioita, joista se pitää, ja lähettää ne silmukkansa läpi teleportatakseen ne salaiseen paikkaan.</t>
  </si>
  <si>
    <t>Todellisessa muodossaan sillä on valtava voima. Sen ahneutta kuvaavat legendat kertovat, kuinka se kerran vei kokonaisen linnan mukanaan saadakseen sen sisältä piilotetun aarteen.</t>
  </si>
  <si>
    <t>Sen sanotaan pystyvän kaappaamaan mitä tahansa kuudella renkaallaan ja kuudella valtavalla käsivarrellaan. Voimansa sinetöityä se muuttuu paljon pienemmäksi.</t>
  </si>
  <si>
    <t>Volcanion</t>
  </si>
  <si>
    <t>Steam-Pokémon</t>
  </si>
  <si>
    <t>Se päästää höyrypilviä ja katoaa tiheään sumuun. Sen sanotaan elävän vuorilla, joilla ihmiset eivät astele.</t>
  </si>
  <si>
    <t>Se purkaa sisäisen höyrynsä selässään olevista käsivarsista. Sillä on tarpeeksi voimaa puhaltaa pois vuoren.</t>
  </si>
  <si>
    <t>https://pokeapi.co/api/v2/pokemon-species/565/</t>
  </si>
  <si>
    <t>Rowlet</t>
  </si>
  <si>
    <t>Ruohosilmä-Pokémon</t>
  </si>
  <si>
    <t>Tämä varovainen Pokémon käyttää fotosynteesiä energian varastoimiseen päivällä ja aktivoituu yöllä.</t>
  </si>
  <si>
    <t>Se liitää äänettömästi ja lähestyy kohteitaan. Ennen kuin ne edes huomaavat sitä, se alkaa potkia heitä rajusti.</t>
  </si>
  <si>
    <t>Se lähettää terävät höyhenensä lentoon hyökkäyksessä. Sen jalat ovat vahvat, joten myös sen potkut ovat pelottavia.</t>
  </si>
  <si>
    <t>Se tuntuu rennolta ahtaissa ja pimeissä paikoissa ja sen tiedetään käyttävän Trainer’s-taskuaan tai -laukkuaan pesänä.</t>
  </si>
  <si>
    <t>Kaukaa se ampuu teräviä höyheniä lentäessään. Jos vihollinen pääsee liian lähelle, Rowlet vaihtaa taktiikkaa ja antaa rajuja potkuja.</t>
  </si>
  <si>
    <t>Päivällä se kerää energiaa fotosynteesin avulla. Yöllä se lentää äänettömästi taivaalla saalista etsien.</t>
  </si>
  <si>
    <t>Lentää äänettömästi herkillä siivillä. Se on oppinut ampumaan taitavasti tikarinteräviä höyheniä samoista siivistä.</t>
  </si>
  <si>
    <t>Dartrix</t>
  </si>
  <si>
    <t>Teräsulka-Pokémon</t>
  </si>
  <si>
    <t>Se on hieman näppärä ja viettää vapaa-aikansa siipiään sukitellen. Sen keskittyminen höyhenpeitteensä likaan voi tehdä siitä taistelukyvyttömän.</t>
  </si>
  <si>
    <t>Se heittää teräviä höyheniä, joita kutsutaan terän sulkijoiksi, vihollisia tai saalista kohti. Se osuu harvoin ohi.</t>
  </si>
  <si>
    <t>Tämä narsistinen Pokémon on puhdasverinen friikki. Jos et turkinnu sitä ahkerasti, se lakkaa kuuntelemasta sinua.</t>
  </si>
  <si>
    <t>Se on erittäin herkkä muiden läsnäololle ja pystyy havaitsemaan takanaan seisovat vastustajat ja heittämään teräviä höyheniä tuhotakseen heidät.</t>
  </si>
  <si>
    <t>Se heittää veitsen kaltaisen höyhenen toisensa jälkeen vihollisiaan kohti, ja jokainen osuu tarkasti heikkoon kohtaan. Näitä höyheniä kutsutaan terän sulkimiksi.</t>
  </si>
  <si>
    <t>Se ei koskaan laiminlyö höyhenten puhdistamista. Huolellinen sukiminen pitää sen tyylikkäänä ja sen terän sulkat ovat siistit ja terävät.</t>
  </si>
  <si>
    <t>Se paistattelee säännöllisesti auringonvalossa kerätäkseen voimaa – luultavasti kylmän ilmaston vuoksi. Siipiin kiinnitettyjen teränpiikkien reunat ovat kuitenkin jälleen kerran terävät.</t>
  </si>
  <si>
    <t>Decidueye</t>
  </si>
  <si>
    <t>Nuoli-sulka-Pokémon</t>
  </si>
  <si>
    <t>Se ampuu nuolikärkiä siivistään niin tarkasti, että ne voivat lävistää kiven yli sadan metrin etäisyydeltä.</t>
  </si>
  <si>
    <t>Vaikka se on pohjimmiltaan viileä ja varovainen, yllätyksenä se valtaa paniikki.</t>
  </si>
  <si>
    <t>Se virittää nuolenkärkensä jänteeseen ja ampuu niitä vastustajia kohti. Kun se ei yksinkertaisesti voi osua harhaan, se nykäisee köynnöstä päänsä ympäri parantaakseen keskittymiskykyään.</t>
  </si>
  <si>
    <t>Decidueye voi virittää ja ampua nuolen vihollista kohti kymmenesosassa sekuntia, joten sen taistelut ratkaistaan ​​silmänräpäyksessä.</t>
  </si>
  <si>
    <t>Kuin jousta heilutellen se ampuu siipiensä höyhenten väliin piilotetut nuolenkärjet. Decidueyen laukaukset eivät koskaan osu harhaan.</t>
  </si>
  <si>
    <t>Se voi virittää ja ampua nuolen sulkakynän kymmenesosassa sekuntia, lävistäen vastustajan heikon kohdan ennen kuin tämä huomaa, mitä tapahtuu.</t>
  </si>
  <si>
    <t>https://pokeapi.co/api/v2/pokemon-species/566/</t>
  </si>
  <si>
    <t>Decidueyen höyhenten rachiseissa oleva ilma eristää Pokémonin Hisuin äärimmäiseltä kylmyydeltä. Tämä on vankka todiste siitä, että ympäristö voi vaikuttaa evoluutioon.</t>
  </si>
  <si>
    <t>Litten</t>
  </si>
  <si>
    <t>Tulikissa-Pokémon</t>
  </si>
  <si>
    <t>Puhdistaessaan itseään se kerää karvoja vatsaansa. Se sytyttää karvat tuleen ja sylkee tulisia hyökkäyksiä, jotka vaihtelevat sen yskimisen mukaan.</t>
  </si>
  <si>
    <t>Se ei anna tunteidensa näkyä helposti. Sen luottamuksen ansaitseminen vie aikaa. Se suosii yksinäisyyttä.</t>
  </si>
  <si>
    <t>Jos yrität liikaa päästää sitä lähelle, se ei avaudu sinulle. Vaikka tulisittekin läheisiksi, liiallinen hellyydenosoitus sille on silti kiellettyä.</t>
  </si>
  <si>
    <t>Sen turkki kasvaa uudelleen kaksi kertaa vuodessa. Kun aika koittaa, Litten sytyttää oman ruumiinsa tuleen ja polttaa vanhan turkin pois.</t>
  </si>
  <si>
    <t>Se käyttää pienimmänkin vapaa-ajan hoitaen turkkiaan kielellään. Irtonaiset karvat kerääntyvät sen vatsaan ja toimivat polttoaineena tulisille liikkeille.</t>
  </si>
  <si>
    <t>Jos yrität silittää Litteniä ennen kuin se luottaa sinuun, se naarmuttaa itseään ikävästi terävillä kynsillään. Ole varovainen.</t>
  </si>
  <si>
    <t>Torracat</t>
  </si>
  <si>
    <t>Kurkussaan se kantaa tulikelloa. Kello soi kirkkaasti aina, kun tämä Pokémon sylkee tulta.</t>
  </si>
  <si>
    <t>Sillä on voimakkaat etujalat. Yhdellä iskulla se voi taivuttaa rautatangon nurinpäin.</t>
  </si>
  <si>
    <t>Se voi käyttäytyä hemmoteltuna, jos se kasvaa lähelle kouluttajaansa. Voimakkaana Pokémonina sen terävät kynnet voivat peittää kouluttajansa koko kehon naarmuilla.</t>
  </si>
  <si>
    <t>Kun sen harja on pystyssä, sen vointi on hyvä. Kun se ei voi hyvin, sen turkki on litteänä.</t>
  </si>
  <si>
    <t>Taistelun keskellä Torracatin kaulassa oleva tulipussi soi kuin kello ja tuottaa tavallista voimakkaampia liekkejä.</t>
  </si>
  <si>
    <t>Kohdatessaan voimakkaan vihollisen, Torracatin taistelutahto nousee ja sen tulikello leimahtaa kuumemmin.</t>
  </si>
  <si>
    <t>Incineroar</t>
  </si>
  <si>
    <t>Kantapää-Pokémon</t>
  </si>
  <si>
    <t>Tällä Pokémonilla on väkivaltainen ja itsekäs luonne. Jos se ei ole sillä tuulella, että haluaisi kuunnella, se jättää kouluttajansa käskyt täysin välinpitämättömästi huomiotta.</t>
  </si>
  <si>
    <t>Heitettyään raivokkaita lyöntejä ja heiteltyään raivokkaita potkuja se viimeistelee vastustajat sylkemällä tulta navastaan.</t>
  </si>
  <si>
    <t>Vaikka se on karkeakäytöksinen ja itsekeskeinen, se pitää kelvottomien vastustajien nujertamisen tylsänä. Vahvemmat vastustajat motivoivat sitä.</t>
  </si>
  <si>
    <t>Kun sen taistelutahto syttyy, liekit sen vyötäröllä kiristyvät erityisen voimakkaasti.</t>
  </si>
  <si>
    <t>Se loistaa väkivaltaisissa ja ehdottomissa taisteluissa. Sen navasta lähtevien liekkien lämpötila ylittää 3 600 Fahrenheit-astetta.</t>
  </si>
  <si>
    <t>https://pokeapi.co/api/v2/pokemon-species/567/</t>
  </si>
  <si>
    <t>Incineroarin karkea ja aggressiivinen käytös on sen huomattavin piirre, mutta tapa, jolla se auttaa pieniä Pokémoneja, osoittaa, että sillä on myös ystävällinen puolensa.</t>
  </si>
  <si>
    <t>Popplio</t>
  </si>
  <si>
    <t>Tämä Pokémon nuuhkaa ruumiinnesteitä nenästään ja puhaltaa ilmapalloja paiskautuakseen vihollisiinsa. Se on kuuluisa ahkerasta työstään.</t>
  </si>
  <si>
    <t>Tämä Pokémon osaa hallita vesikuplia. Se harjoittelee ahkerasti, jotta se voi oppia tekemään isoja kuplia.</t>
  </si>
  <si>
    <t>Ilmapallot, joita se täyttää nenällään, kasvavat suuremmiksi ja suuremmiksi sen harjoitellessa päivä päivältä.</t>
  </si>
  <si>
    <t>Popplio kiipeää pomppivien vesipallojensa päälle hypätäkseen korkeammalle. Se on melkoinen akrobaattinen taistelija!</t>
  </si>
  <si>
    <t>Se luo erityisiä pomppivia ilmapalloja lähettääkseen niitä vastustajiaan kohti. Kun ilmapallot poksahtavat, niiden puhkeamisen pelkkä voima tekee vahinkoa.</t>
  </si>
  <si>
    <t>Jos Popplio haluaa luoda isoja ja voimakkaita ilmapalloja, heidän on oltava sinnikkäitä. Näiden Pokémonien taitojen kehittäminen vaatii päivittäistä harjoittelua.</t>
  </si>
  <si>
    <t>Brionne</t>
  </si>
  <si>
    <t>Poptähti-Pokémon</t>
  </si>
  <si>
    <t>Taitava tanssija, se luo tanssiessaan vesipallojen sarjan ja pommittaa vihollisiaan reippaasti.</t>
  </si>
  <si>
    <t>Se välittää syvästi seuralaisistaan. Kun sen kouluttaja on alakuloinen, se tanssii iloisen tanssin yrittääkseen auttaa.</t>
  </si>
  <si>
    <t>Se innostuu nähdessään tanssin, jota se ei osaa. Tämä ahkera harjoittelee ahkerasti, kunnes se oppii tanssin.</t>
  </si>
  <si>
    <t>Se hyökkää läimäisemällä vihollisiaan luomillaan räjähtävillä vesipalloilla.</t>
  </si>
  <si>
    <t>Kuin tanssien se väistää taitavasti vihollistensa hyökkäyksiä. Samaan aikaan se on kiireinen muodostaen kasa ilmapalloja hukuttaakseen vihollisensa.</t>
  </si>
  <si>
    <t>Öinä, kun meri on tyyni, Brionne tanssii keskenään heitä johtavan Primarinan laulun tahtiin.</t>
  </si>
  <si>
    <t>Primarina</t>
  </si>
  <si>
    <t>Solisti-Pokémon</t>
  </si>
  <si>
    <t>Se ohjaa vesipallojaan laululla. Melodian se oppii lajitovereilta ja siirtyy sukupolvelta toiselle.</t>
  </si>
  <si>
    <t>Sen lauluääni on sen tärkein ase taistelussa. Tämän Pokémonin kouluttajan on asetettava kurkkunsa päivittäinen huolto etusijalle hinnalla millä hyvänsä.</t>
  </si>
  <si>
    <t>Primarinalle jokainen taistelu on näyttämö. Se kaataa saaliinsa kauniilla laululla ja tanssilla.</t>
  </si>
  <si>
    <t>Tunnetaan myös laulutähdenä, ja sillä on fantastinen ilme kuutamoöinä johdattaessaan yhdyskuntaansa laulussa.</t>
  </si>
  <si>
    <t>Suullaan se tuottaa ääniaaltoja, jotka kuulostavat kauniilta laululta. Se käyttää ääniaaltoja vesipallojensa ohjaamiseen.</t>
  </si>
  <si>
    <t>Primarinalle jokainen taistelu on näyttämö. Sen laulu ja ilmapallojen tanssi lumoavat yleisön.</t>
  </si>
  <si>
    <t>Pikipek</t>
  </si>
  <si>
    <t>Tikka-Pokémon</t>
  </si>
  <si>
    <t>Se voi nokkia puuhun reikiä 16 kertaa sekunnissa. Se käyttää reikiä ravinnon varastointiin ja pesimiseen.</t>
  </si>
  <si>
    <t>https://pokeapi.co/api/v2/pokemon-species/568/</t>
  </si>
  <si>
    <t>Tämä Pokémon syö marjoja, joiden ylijääneistä siemenistä se käyttää ammuksia suustaan ​​ampumiinsa hyökkäyksiin.</t>
  </si>
  <si>
    <t>Se nokkii puita kovalla nokallaan. Sen mielialasta tai tilasta voi saada jonkinlaisen käsityksen nokkimisen rytmistä.</t>
  </si>
  <si>
    <t>Se saattaa näyttää hontelolta, mutta sen niskalihakset ovat raskaat. Se voi nokkia puuta 16 kertaa sekunnissa!</t>
  </si>
  <si>
    <t>Trumbeak</t>
  </si>
  <si>
    <t>Bugle-nokka-Pokémon</t>
  </si>
  <si>
    <t>Se syö marjoja ja varastoi niiden siemeniä nokkaansa. Kohdatessaan vihollisia tai saalista se ampuu kaikki siemenet ryöpyssä.</t>
  </si>
  <si>
    <t>Taivuttamalla nokkaansa se voi tuottaa monenlaisia ​​ääniä ja leimata itsensä meluisaksi riesaksi naapureilleen.</t>
  </si>
  <si>
    <t>Se voi taivuttaa nokkansa kärkeä ja tuottaa yli sata erilaista huutoa mielensä mukaan.</t>
  </si>
  <si>
    <t>Suustaan ​​se ampuu syömiensä marjojen siemeniä. Hajottavista siemenistä kasvaa uusia kasveja.</t>
  </si>
  <si>
    <t>Toucannon</t>
  </si>
  <si>
    <t>Tykki-Pokémon</t>
  </si>
  <si>
    <t>Taistellessaan sen nokka kuumenee. Lämpötila voi helposti ylittää 100 celsiusastetta, mikä aiheuttaa vakavia palovammoja sen osuessa.</t>
  </si>
  <si>
    <t>Sen nokassa oleva kaasu syttyy ja räjähtää lähettäen siemeniä, joilla on tarpeeksi voimaa jauhaa lohkareita.</t>
  </si>
  <si>
    <t>Ne läpsäyttävät nokkaansa muiden lajitovereidensa kanssa kommunikoidakseen. Iskujen voimakkuus ja määrä kertovat toisilleen, miltä ne tuntevat.</t>
  </si>
  <si>
    <t>Tämä Pokémon tunnetaan harmonisten parien muodostamisesta, ja sitä käytetään hääseremonioissa onnenkaluna.</t>
  </si>
  <si>
    <t>Yungoos</t>
  </si>
  <si>
    <t>Loitteroiva Pokémon</t>
  </si>
  <si>
    <t>Terävillä hampaillaan se puree mitä tahansa. Se ei alun perin elänyt Alolassa, vaan se tuotiin toiselta alueelta.</t>
  </si>
  <si>
    <t>Se vaeltelee ympäriinsä loputtomassa ruoan etsinnässä. Hämärän laskeutuessa se romahtaa uupumuksesta ja nukahtaa paikalleen.</t>
  </si>
  <si>
    <t>Sen vatsa vie suurimman osan pitkästä vartalosta. Se on suuri syöjä, joten summa, jonka kouluttajien on käytettävä sen ruokaan, ei ole naurun asia.</t>
  </si>
  <si>
    <t>Vaikka se syö mitä tahansa, se suosii tuoreita eläviä olentoja, joten se marssii kaduilla etsimässä saalista.</t>
  </si>
  <si>
    <t>Gumshoos</t>
  </si>
  <si>
    <t>Vaarana-Pokémon</t>
  </si>
  <si>
    <t>Löydettyään jäljen saaliistaan ​​se tarkkailee kärsivällisesti paikkaa... mutta iltaan mennessä se on aina torkussa.</t>
  </si>
  <si>
    <t>Se rakastaa Rattatan ja Raticaten syömistä illallisella, mutta koska se on päiväsaikaan elävä, se ei koskaan kohtaa niitä. Tämä Pokémon ylpeilee uskomattomalla kärsivällisyydellä.</t>
  </si>
  <si>
    <t>Vaikka sitä ei alun perin löydetty Alolasta, tämä Pokémon tuotiin sinne kauan sitten valtavan Rattata-epidemian aikana.</t>
  </si>
  <si>
    <t>Luonteeltaan kärsivällinen tämä Pokémon menettää itsensä hallinnan ja hyökkää kimppuun kohdatessaan lempiruokansa – Rattatan!</t>
  </si>
  <si>
    <t>Grubbin</t>
  </si>
  <si>
    <t>Toukka-Pokémon</t>
  </si>
  <si>
    <t>Sen vahvat leuat mahdollistavat sen kaapimisen puista ja mahlan imemisen. Se elää normaalisti maan alla.</t>
  </si>
  <si>
    <t>Ne kokoontuvat usein sähköisten Pokémonien suosimien paikkojen lähelle välttääkseen lintu-Pokémonien hyökkäykset.</t>
  </si>
  <si>
    <t>Jos löydät sen pesän, älä työnnä kättäsi sisään. Ärtynyt toukka puree sinua.</t>
  </si>
  <si>
    <t>https://pokeapi.co/api/v2/pokemon-species/569/</t>
  </si>
  <si>
    <t>Se sylkee tahmean langan pysäyttääkseen vastustajat heidän raiteillaan ja sitten se tarttuu heihin teräviin, tukeviin leukoihinsa kaataakseen heidät.</t>
  </si>
  <si>
    <t>Sen luonnolliset viholliset, kuten Rookidee, saattavat paeta mieluummin kuin ottaa riskin jäädä kiinni sen suuriin leukoihin, jotka voivat napsauttaa paksuja puiden oksia.</t>
  </si>
  <si>
    <t>Se kaivaa pesiä metsänpohjaan suurilla leuoillaan ja rakastaa makean puunmahlan syömistä.</t>
  </si>
  <si>
    <t>Charjabug</t>
  </si>
  <si>
    <t>Akku-Pokémon</t>
  </si>
  <si>
    <t>Sen runko pystyy varastoimaan sähköä. Leirintäretkillä ihmiset ovat kiitollisia siitä, että heillä on sellainen mukanaan.</t>
  </si>
  <si>
    <t>Ruoasta se tuottaa sähköä ja varastoi tämän energian sähköpussiinsa.</t>
  </si>
  <si>
    <t>Se hautautuu pudonneisiin lehtiin ja tuskin liikkuu mutustaen humusta. Jos vahingossa astut sellaisen päälle, saat sähköiskun!</t>
  </si>
  <si>
    <t>Sen tukeva kuori tarjoaa erinomaisen suojan hyökkäyksiä vastaan. Se käyttää sähköä sinnikkäisiin vastustajiin.</t>
  </si>
  <si>
    <t>Vaikka Charjabug suojaa sitä kestävältä kuorelta hyökkäyksiltä, ​​se iskee vihollisiin leukojensa kärjistä purkautuvilla sähköiskuilla.</t>
  </si>
  <si>
    <t>Sen ruoansulatusprosessit muuttavat syömänsä lehdet sähköksi. Sen vatsassa oleva sähköpussi varastoi sähkön myöhempää käyttöä varten.</t>
  </si>
  <si>
    <t>Vikavolt</t>
  </si>
  <si>
    <t>Se viuhuu ympäriinsä tähyillen tarkasti aukkoa. Se keskittää sähköenergiaa suuriin leukoihinsa ja käyttää sitä vihollistensa tuhoamiseen.</t>
  </si>
  <si>
    <t>Se tuottaa sähköä vatsassaan olevan sähköisen elimen kautta. Se hukuttaa lintu-Pokémonit sähköenergian säteillä.</t>
  </si>
  <si>
    <t>Sillä on vatsassa sähköä tuottava elin. Se keskittää energiaa vahvoihin leukoihinsa ja lähettää voimakkaita sähköiskuja.</t>
  </si>
  <si>
    <t>Vikavolt hämmentää vastustajia akrobaattisilla lentoliikkeillä. Tämä luo sille mahdollisuuden suorittaa sähkösuihkuhyökkäys.</t>
  </si>
  <si>
    <t>Se kerää sähköä vatsaansa, keskittää sen leukojensa kautta ja lähettää sitten sähköä keskitetyissä säteissä.</t>
  </si>
  <si>
    <t>Jos se kantaa mukanaan Charjabugia vara-akkuna, lentävä Vikavolt voi ampua nopeasti tehokkaita sähkösäteitä.</t>
  </si>
  <si>
    <t>Crabrawler</t>
  </si>
  <si>
    <t>https://pokeapi.co/api/v2/pokemon-species/570/</t>
  </si>
  <si>
    <t>Nyrkkeily-Pokémon</t>
  </si>
  <si>
    <t>Suojaten heikkoja kohtiaan pihdeillään se etsii aukkoa ja päästää irti lyöntejä. Hävitessään se vaahtoaa suustaan ​​ja pyörtyy.</t>
  </si>
  <si>
    <t>Se iskee niin paljon, että sen pihdit usein irtoavat liikakäytöstä, mutta ne kasvavat nopeasti takaisin. Se vähä liha, mitä niissä on, on täyteläistä ja herkullista.</t>
  </si>
  <si>
    <t>Sen kovat pihdit sopivat hyvin sekä hyökkäykseen että puolustukseen. Kahden Crabbrawlerin väliset taistelut ovat kuin nyrkkeilyotteluita.</t>
  </si>
  <si>
    <t>Crabrawler on erehtynyt luulemaan Exeggutoria kookospalmuksi ja kiipeämään sen päälle. Raivostunut Exeggutor ravistelee sen pois ja tallaa sen.</t>
  </si>
  <si>
    <t>Crabominable</t>
  </si>
  <si>
    <t>Villarapu-Pokémon</t>
  </si>
  <si>
    <t>Se tähtäsi huipulle, mutta eksyi ja päätyi lumihuippuiselle vuorelle. Kylmyyden kestämisen vuoksi tämä Pokémon kehittyi ja kasvatti turkkinsa.</t>
  </si>
  <si>
    <t>Se vain lyö umpimähkään. Epätoivon hetkellä se voi katkaista omat pihtinsä ja ampua niitä kuin raketteja.</t>
  </si>
  <si>
    <t>Se varastoi kylmyyttä pihdeissään ja moukaroi vihollisiaan. Se voi jopa murskata paksut jääkuoria palasiksi!</t>
  </si>
  <si>
    <t>Ennen kuin se pysähtyy ajattelemaan, se jo alkaa hakata. On olemassa tietoja siitä, kuinka se on torjunut lumivyöryjä iskujen riehuessa.</t>
  </si>
  <si>
    <t>Oricorio</t>
  </si>
  <si>
    <t>Tanssiva Pokémon</t>
  </si>
  <si>
    <t>Se lyö siipiään yhteen luodakseen tulta. Kauniin tanssinsa askeleissa se kylvettää vastustajat voimakkaisiin liekkeihin.</t>
  </si>
  <si>
    <t>Tämä Oricorio on siemannut punaista nektaria. Sen intohimoiset tanssiliikkeet saavat viholliset liekkeihin sekä ruumiissa että mielissä.</t>
  </si>
  <si>
    <t>Se voittaa vihollistensa sydämet intohimoisella tanssillaan ja käyttää sitten luomaansa aukkoa polttaakseen heidät liekehtivillä liekeillä.</t>
  </si>
  <si>
    <t>Tämä Oricorio on juonut punaista nektaria. Jos sen kouluttaja antaa väärän käskyn, tämä intohimoinen Pokémon suuttuu raivokkaasti.</t>
  </si>
  <si>
    <t>Cutiefly</t>
  </si>
  <si>
    <t>Mehiläiskärpäsen Pokémon</t>
  </si>
  <si>
    <t>Se syö kukkien mettä ja siitepölyä. Koska se pystyy aistimaan auroja, se voi tunnistaa, mitkä kukat ovat puhkeamassa kukkaan.</t>
  </si>
  <si>
    <t>Myriadeittain söpöläisiä lepattaa ihmisten yllä, joiden aurat muistuttavat kukkien auroja.</t>
  </si>
  <si>
    <t>Mesi ja siitepöly ovat sen lempiruokaa. Kukkakasveilla se joutuu kahakoihin Butterfreen kanssa ruoasta.</t>
  </si>
  <si>
    <t>Cutiefly pystyy havaitsemaan elävien olentojen auroja. Se lukee niitä taitavasti ennustaakseen vihollistensa liikkeitä ja tehdäkseen heistä naurunalaisia.</t>
  </si>
  <si>
    <t>https://pokeapi.co/api/v2/pokemon-species/571/</t>
  </si>
  <si>
    <t>Mesi ja siitepöly ovat sen lempiruokaa. Voit löytää Cutiefly-perhonen leijumasta Gossifleurin ympärillä yrittämässä saada kiinni Gossifleurin siitepölyä.</t>
  </si>
  <si>
    <t>Vastustajan aura voi kertoa Cutieflylle, mikä vastustajan seuraava liike on. Sitten Cutiefly voi liitää hyökkäyksen ympäri ja iskeä takaisin.</t>
  </si>
  <si>
    <t>Ribombee</t>
  </si>
  <si>
    <t>Se käärii siitepölyä möykkyiksi. Siitä muodostuu monia eri lajikkeita, joista osaa käytetään ruoana ja toisia taistelussa.</t>
  </si>
  <si>
    <t>Jotkut Ribombeen siitepölyhuiskauksista ovat erittäin ravitsevia. Niitä myydään joskus ravintolisinä.</t>
  </si>
  <si>
    <t>Sade tekee siitepölystä kosteaa, joten Ribombee vihaa sadetta. Nähdessään uhkaavia pilviä se löytää onkalon puusta, jossa se odottaa liikkumatta.</t>
  </si>
  <si>
    <t>Se voi ennustaa sään kosteustasojen ja tuulen suunnan perusteella. Ribombee paljastaa itsensä vain, kun on muutama kirkas päivä peräkkäin.</t>
  </si>
  <si>
    <t>Se tekee siitepölypuhalluksia siitepölystä ja medestä. Puhallusten vaikutukset riippuvat ainesosien tyypistä ja siitä, kuinka paljon kutakin käytetään.</t>
  </si>
  <si>
    <t>Ribombeet vihaavat kastumista tai satamista. Pilvisellä Galarin alueella niitä näkee hyvin harvoin.</t>
  </si>
  <si>
    <t>Rockruff</t>
  </si>
  <si>
    <t>Sitä pidetään hyvänä Pokémonina aloittelijoille ystävällisyytensä vuoksi, mutta sen luonne karhenee kasvaessaan.</t>
  </si>
  <si>
    <t>Tämä Pokémon on elänyt ihmisten kanssa kauan sitten. Se aistii, milloin sen kouluttaja on alakuloinen, ja pysyy kouluttajansa lähellä.</t>
  </si>
  <si>
    <t>Kehittyessään niiden luonne muuttuu väkivaltaisemmaksi ja aggressiivisemmaksi. Monet kouluttajat kokevat ne liian vaikeiksi käsitellä ja hylkäävät ne.</t>
  </si>
  <si>
    <t>Kun se hieroo niskassaan olevia kiviä sinua vasten, se on todiste sen rakkaudesta sinua kohtaan. Kivet ovat kuitenkin teräviä, joten ele on melko tuskallinen!</t>
  </si>
  <si>
    <t>Tämä Pokémon voi kiintyä erittäin vahvasti kouluttajaansa, mutta sillä on myös tapana purra. Rockruffin kasvattaminen pitkään voi olla haastavaa.</t>
  </si>
  <si>
    <t>Tämä Pokémon pelottelee vastustajia lyömällä maahan kaulassaan olevilla kivillä. Heti kun vastustaja säpsähtää, Rockruff hyökkää.</t>
  </si>
  <si>
    <t>Lycanroc</t>
  </si>
  <si>
    <t>Susi-Pokémon</t>
  </si>
  <si>
    <t>Sen nopeat liikkeet hämmentävät vihollisia. Se on hyvin varustautunut kynsillään ja hampaillaan ja käyttää harjansa teräviä kiviä aseina.</t>
  </si>
  <si>
    <t>Kun sitä kasvatetaan oikein nuoresta iästä lähtien, siitä tulee luotettava kumppani, joka ei koskaan petä kouluttajaansa.</t>
  </si>
  <si>
    <t>Sen harjan terävät kivet voivat viiltää kuin veitset. Lycanroc kuluttaa saaliinsa vähitellen ennen kuin lopettaa sen.</t>
  </si>
  <si>
    <t>Sen harjan kivet ovat terävämpiä kuin veitsi. Irtoavia sirpaleita vaalitaan onnenkaluina.</t>
  </si>
  <si>
    <t>Tämä Lycanroc on rauhallinen ja varovainen. Sen harjasta törröttävät kivet ovat partaveitsen teräviä.</t>
  </si>
  <si>
    <t>Nopeilla liikkeillä tämä Pokémon ajaa saaliinsa vähitellen nurkkaan. Lycanrocin torahampaat on aina suunnattu vastustajien heikkoihin kohtiin.</t>
  </si>
  <si>
    <t>Wishiwashi</t>
  </si>
  <si>
    <t>Pieni paistettu Pokémon</t>
  </si>
  <si>
    <t>Kun se on vaikeuksissa, sen silmät kostuvat ja alkavat loistaa. Loistava valo vetää puoleensa sen tovereita, ja he puolustavat yhdessä vihollisiaan vastaan.</t>
  </si>
  <si>
    <t>https://pokeapi.co/api/v2/pokemon-species/572/</t>
  </si>
  <si>
    <t>Se on kamalan laihaa ja huomattavan maukasta, joten kaikki ovat aina sen perässä. Sattumalta jokainen, joka yrittää kiusata sitä, saa tuskallisen opetuksen.</t>
  </si>
  <si>
    <t>Ne ovat heikkoja, joten ne liikkuvat kouluissa. Ne voidaan kuitenkin usein nähdä myös aivan yksin, eksyneinä koulusta.</t>
  </si>
  <si>
    <t>Ruuhkassa ollessaan sen loistavat silmät vetävät puoleensa muita lajitovereitaan. Sen silmien valo näkyy lähes 40 kilometrin päähän.</t>
  </si>
  <si>
    <t>Yksilöinä he ovat uskomattoman heikkoja. He pystyvät kohtaamaan vastustajat kerääntymällä kouluiksi.</t>
  </si>
  <si>
    <t>Kun se aistii vaaran, sen silmät kostuvat. Sen kyynelten kimallus viestii muille Wishiwasheille, että heidän on kokoontuttava.</t>
  </si>
  <si>
    <t>Mareanie</t>
  </si>
  <si>
    <t>Brutaali Tähti-Pokémon</t>
  </si>
  <si>
    <t>Se iskee päässään olevan myrkkypiikin saaliiseensa. Kun saalis on heikentynyt, Mareanie antaa viimeisen iskun kymmenellä lonkerollaan.</t>
  </si>
  <si>
    <t>Sitä tavataan ryömimässä rannoilla ja merenpohjassa. Corsolan päässä kasvava koralli on tälle Pokémonille kuin viiden tähden juhla-ateria.</t>
  </si>
  <si>
    <t>Ne syövät Corsolan oksia, joten käsityöläiset, jotka työskentelevät luonnostaan ​​pudonneiden Corsolan oksien kanssa, vihaavat Mareanie-kanoja.</t>
  </si>
  <si>
    <t>Päätä lukuun ottamatta sen ruumiinosat uusiutuvat nopeasti, jos ne katkaistaan. Hyvin nukutun yön jälkeen Mareanie on taas normaali.</t>
  </si>
  <si>
    <t>Sen piston ensimmäinen oire on tunnottomuus. Seuraava on kutina, joka on niin voimakasta, että on mahdotonta vastustaa halua raapia ihoa.</t>
  </si>
  <si>
    <t>Toisin kuin alolaiset kollegansa, Galarin alueen mareaniet eivät ole vielä tajunneet, että Corsolan oksat ovat herkullisia.</t>
  </si>
  <si>
    <t>Toxapex</t>
  </si>
  <si>
    <t>Toxapex ryömii merenpohjaa pitkin 12 jalallaan. Se jättää jälkeensä vanan Corsolan palasista.</t>
  </si>
  <si>
    <t>https://pokeapi.co/api/v2/pokemon-species/573/</t>
  </si>
  <si>
    <t>Toxapexin myrkyn kohteeksi joutuneet kärsivät voimakkaasta kivusta kolmen päivän ja kolmen yön ajan. Toipumisen jälkeen on joitakin jälkivaikutuksia.</t>
  </si>
  <si>
    <t>Hyökätäkseen tämä Pokémon lähettää myrkyllisiä piikkejä vihollisiaan kohti. Lähelle tulevat piikit niitetään alas sen jalkojen kynsillä.</t>
  </si>
  <si>
    <t>12 jalallaan se luo kupolin suojaan. Vuoroveden virtaus ei vaikuta siellä olevaan Toxapexiin, joten se on erittäin mukava.</t>
  </si>
  <si>
    <t>Selviytyäkseen Galarin kylmissä vesissä tämä Pokémon muodostaa jaloillaan kupolin, joka ympäröi sen ruumiin, jotta se voi kerätä omaa ruumiinlämpöään.</t>
  </si>
  <si>
    <t>Sen kehon myrkkypussissa on niin myrkyllistä myrkkyä, että jopa Wailordin kokoiset Pokémonit kärsivät siitä vielä kolme päivää sen vaikutuksen alkamisen jälkeen.</t>
  </si>
  <si>
    <t>Mudbray</t>
  </si>
  <si>
    <t>Aasi-Pokémon</t>
  </si>
  <si>
    <t>Mudbrayn kavioihin tarttunut muta parantaa sen pitoa ja voimakasta juoksuaskelta.</t>
  </si>
  <si>
    <t>Sillä on itsepäinen ja individualistinen luonne. Maaperän syöminen, mudan tekeminen ja mudassa leikkiminen ovat kaikki osa sen päivittäistä rutiinia.</t>
  </si>
  <si>
    <t>Se rakastaa mudassa leikkimistä. Jos sitä ei suihkuteta mudalla päivittäin, se stressaantuu eikä enää kuuntele kouluttajaansa.</t>
  </si>
  <si>
    <t>Mahtavan voimansa omaava Mudbray voidaan kuormittaa 50 kertaa oman painonsa verran, eikä se haittaa mitään.</t>
  </si>
  <si>
    <t>Jopa 50 kertaa sen oman painon painavat kuormat eivät ole tälle Pokémonille ongelma. Se on taitava käyttämään mutaa hyväkseen.</t>
  </si>
  <si>
    <t>Se syö multaa luodakseen mutaa ja sivelee tätä mutaa kaikkialle jalkoihinsa, mikä antaa niille tarvittavan pidon kävellä epätasaisessa maastossa liukastumatta.</t>
  </si>
  <si>
    <t>Mudsdale</t>
  </si>
  <si>
    <t>Vetohevos-Pokémon</t>
  </si>
  <si>
    <t>Se sylkee mutaa, joka kestää sekä tuulta että sadetta, joten vanhojen talojen seinät päällystettiin usein sillä.</t>
  </si>
  <si>
    <t>https://pokeapi.co/api/v2/pokemon-species/574/</t>
  </si>
  <si>
    <t>Sen raskaat, mudassa peitetyt potkut ovat sen paras hyökkäyskeino, ja sillä voi romuttaa suuretkin kuorma-autot hikoilematta.</t>
  </si>
  <si>
    <t>Se pysyy rauhallisena ja liikkumattomana tilanteesta riippumatta. Se sekoittaa suussaan sylkeen likaa muodostaen erityisen mudan.</t>
  </si>
  <si>
    <t>Se voi tarpoa vuoristoteitä lepäämättä kolme päivää ja kolme yötä, koko ajan raahaten 10 tonnin kuormaa.</t>
  </si>
  <si>
    <t>Mudsdalen jalkojen ympärille kovettunut muta kovettuu kiveä kovempaa. Se on niin kovaa, että tämä Pokémon voi romuttaa rekan yhdellä potkulla.</t>
  </si>
  <si>
    <t>Mudsdalella on niin paljon kestävyyttä, että se voisi kantaa yli 10 tonnia Galarin alueen halki ilman lepoa tai unta.</t>
  </si>
  <si>
    <t>Dewpider</t>
  </si>
  <si>
    <t>Vesikupla-Pokémon</t>
  </si>
  <si>
    <t>Se ryömii maalle etsimään ruokaa. Sen vesikupla mahdollistaa hengityksen ja suojaa pehmeää päätään.</t>
  </si>
  <si>
    <t>Kohdatessaan vihollisia tai mahdollisen saaliin, tämä Pokémon iskee vesikuplien peittämän päänsä heihin.</t>
  </si>
  <si>
    <t>Kun kaksi kastehämähäkkiä kohtaavat, ne esittelevät vesikupliaan toisilleen. Sitten se, jolla on pienempi kupla, väistyy toisen tieltä.</t>
  </si>
  <si>
    <t>Se voi hengittää vain veteen liuennutta happea, joten sillä on päässään vesikupla kävellessään maalla.</t>
  </si>
  <si>
    <t>Se muodostaa vesikuplan ruumiinsa takaosaan ja peittää sitten päänsä sillä. Toisen kastehämähäkin tapaaminen tarkoittaa vesikuplien koon vertailua.</t>
  </si>
  <si>
    <t>Kastihämähäkki elää normaalisti veden alla. Kun se tulee maihin etsimään ruokaa, se ottaa vettä mukaansa päähänsä muodostuneen kuplan muodossa.</t>
  </si>
  <si>
    <t>Araquanid</t>
  </si>
  <si>
    <t>Se suorittaa pääniskuja vesikupla päässään. Pienet Pokémonit imeytyvät kuplaan, jossa ne hukkuvat.</t>
  </si>
  <si>
    <t>Ulkonäöstään huolimatta se välittää muista. Jos se löytää haavoittuvia, heikkoja Pokémoneja, se tuo ne suojelevasti vesikuplaansa.</t>
  </si>
  <si>
    <t>Se viettää yleensä aikansa vedessä. Kun sen vatsa on täynnä, se säilöö hillityn saaliinsa päänsä vesikuplaan.</t>
  </si>
  <si>
    <t>Sillä on tapana säilyttää arvokkaita asioita vesikuplassaan. Jos sen kouluttaja ei ole varuillaan, Araquanid yrittää laittaa ne sen kuplaan!</t>
  </si>
  <si>
    <t>Se laukaisee vesikuplia jaloillaan hukuttaen saaliinsa kupliin. Tämä Pokémon voi sitten nauttia ateriastaan ​​rauhassa.</t>
  </si>
  <si>
    <t>Se toimii Kastehämähäkin hoitajana laittamalla ne omaan kuplaansa ja antamalla niiden syödä jäljelle jääneen ruoan.</t>
  </si>
  <si>
    <t>Fomantis</t>
  </si>
  <si>
    <t>Sirppiheinä-Pokémon</t>
  </si>
  <si>
    <t>Päivällä se nukkuu ja nauttii valosta. Yön laskeutuessa se kävelee ympäriinsä etsien turvallisempaa nukkumapaikkaa.</t>
  </si>
  <si>
    <t>Ne tuoksuvat makealta ja virkistävältä. Söpöläiskäiset kerääntyvät usein lähelle korkeaa ruohoa, jossa Fomantis-perhoset piileskelevät.</t>
  </si>
  <si>
    <t>https://pokeapi.co/api/v2/pokemon-species/575/</t>
  </si>
  <si>
    <t>Auringon noustessa Fomantis levittää neljä lehteään ja kylpee auringonvalossa. Sen pään kärjestä leviää miellyttävä tuoksu.</t>
  </si>
  <si>
    <t>Se rakastaa auringonpaistetta. Kun se paistattelee säännöllisesti auringonvalossa, se kasvaa kirkkaanväriseksi.</t>
  </si>
  <si>
    <t>Auringonvalossa kylpeessään tämä Pokémon erittää miellyttävän makean tuoksun, joka saa ötökkä-Pokémonit kerääntymään sen ympärille.</t>
  </si>
  <si>
    <t>Päivällä Fomantis paistattelee auringonvalossa ja nukkuu rauhallisesti. Yöllä se herää ja liikkuu.</t>
  </si>
  <si>
    <t>Lurantis</t>
  </si>
  <si>
    <t>Bloom Sirppi-Pokémon</t>
  </si>
  <si>
    <t>Lurantisin eloisien värien ylläpitäminen vaatii paljon vaivaa, mutta jotkut keräilijät nauttivat tästä työstä ja pitävät sitä harrastuksenaan.</t>
  </si>
  <si>
    <t>Se ampuu sirpinmuotoisista terälehdistään säteitä. Nämä säteet ovat riittävän voimakkaita halkaisemaan paksuja metallilevyjä.</t>
  </si>
  <si>
    <t>Itsepuolustukseksi se teeskentelee olevansa ötökkä-Pokémon. Molemmissa sen käsivarsissa on teräväreunaiset terälehdet.</t>
  </si>
  <si>
    <t>Viiltäessään vihollisiaan se näyttää tanssivan. Sen elegantti ulkonäkö on saanut jotkut kutsumaan sitä lumoavimmaksi ruoho-Pokémoniksi.</t>
  </si>
  <si>
    <t>Tämä Pokémon muistuttaa kaunista kukkaa. Oikein kasvatetulla Lurantiksella on upeat, loistavat värit.</t>
  </si>
  <si>
    <t>Tämän Pokémonin käsivarsien terälehdet ovat ohuet ja superterävät, ja ne voivat ampua lasersäteitä, jos Lurantis kerää valoa ensin.</t>
  </si>
  <si>
    <t>Morelull</t>
  </si>
  <si>
    <t>Valaiseva Pokémon</t>
  </si>
  <si>
    <t>Se levittää itiöitä, jotka välkkyvät ja hehkuvat. Jokainen, joka näkee nämä valot, vaipuu syvään uneen.</t>
  </si>
  <si>
    <t>Päivän nukahtaessaan se ravitsee itseään imemällä puiden juurista. Se herää yön laskeutuessa ja vaeltaa etsimään uutta puuta.</t>
  </si>
  <si>
    <t>Se levittää hohtavia itiöitään ympärilleen. Vaikka ne ovat vaarallisia, yölliset retket metsiin, joissa Morelullit elävät, ovat suosittuja.</t>
  </si>
  <si>
    <t>Se pitää kosteista, pimeistä paikoista. Yön laskeutuessa sen sienten lakkeja täyttävät itiöt hehkuvat.</t>
  </si>
  <si>
    <t>Metsässä asuvat Pokémonit syövät Morelullin pään herkullisia lakkeja. Lakit kasvavat uudelleen yön aikana.</t>
  </si>
  <si>
    <t>Morelullit elävät metsissä, jotka pysyvät pimeinä jopa päivällä. Ne levittävät lepattavia itiöitä, jotka nukuttavat viholliset.</t>
  </si>
  <si>
    <t>Shiinotic</t>
  </si>
  <si>
    <t>Metsät, joissa shiinoottiset asuvat, ovat petollisia mennä yöllä. Metsän oudot valot hämmentävät ihmisiä, jotka eivät koskaan löydä tietään kotiin.</t>
  </si>
  <si>
    <t>Se erittää välkkyviä itiöitä, jotka aiheuttavat uneliaisuutta. Kun sen saalis nukahtaa, tämä Pokémon imee niiden energiaa.</t>
  </si>
  <si>
    <t>https://pokeapi.co/api/v2/pokemon-species/576/</t>
  </si>
  <si>
    <t>Se nukuttaa saaliinsa ja imee niiden elinvoimaa käsivarsiensa päiden kautta. Jos jokin lajitoveri heikkenee, se auttaa lähettämällä sille elinvoimaa.</t>
  </si>
  <si>
    <t>Kun se alkaa taistella reviiriä Parasectin kanssa, koko alue peittyy kauttaaltaan itiöihin!</t>
  </si>
  <si>
    <t>Sen välkkyvät itiöt houkuttelevat saaliinsa puoleensa ja nukuttavat ne. Kun tämä Pokémon on saanut saaliinsa torkkumaan, se imee niiden energiaa sormenpäillään.</t>
  </si>
  <si>
    <t>Jos näet valon syvällä metsässä yöllä, älä mene lähelle. Shiinotic saa sinut nukahtamaan sikeästi.</t>
  </si>
  <si>
    <t>Salandit</t>
  </si>
  <si>
    <t>Myrkyllinen lisko-Pokémon</t>
  </si>
  <si>
    <t>Se polttaa ruumiinnesteitään muodostaen myrkyllistä kaasua. Kun sen viholliset menettävät suuntavaistonsa hengittäessään kaasua, se hyökkää niiden kimppuun.</t>
  </si>
  <si>
    <t>Tulivuoret tai kuivat, kallioiset paikat ovat sen koti. Se erittää makeanhajuista myrkyllistä kaasua, joka houkuttelee ötökkä-Pokémoneja ja hyökkää niiden kimppuun.</t>
  </si>
  <si>
    <t>Urokset tekevät mitä tahansa naaraat käskevät. Ne antavat naaraille suurimman osan ravinnostaan. Aliravitsemuksen vuoksi urokset eivät pysty kehittymään.</t>
  </si>
  <si>
    <t>Se heikentää vastustajia ja lähettää heidät sekaisin myrkyllisellä kaasullaan. Salandit ei pärjää hyvin Spindan kanssa, koska se on jatkuvasti sekaisin.</t>
  </si>
  <si>
    <t>Sen myrkkypussit tuottavat nestettä, jota tämä Pokémon sitten kuumentaa pyrstönsä liekillä. Tämä prosessi luo Salanditin myrkyllisen kaasun.</t>
  </si>
  <si>
    <t>Tämä salakavala Pokémon hiipii saaliinsa taakse ja lamauttaa sen myrkyllisellä kaasulla ennen kuin saalis edes huomaa Salanditin olevan paikalla.</t>
  </si>
  <si>
    <t>Salazzle</t>
  </si>
  <si>
    <t>Jostain syystä vain naaraita on löydetty. Se luo käänteisen haaremin uros Salanditista, jonka kanssa se elää.</t>
  </si>
  <si>
    <t>Feromoneilla täytettyä myrkyllistä kaasua voidaan laimentaa ja käyttää sitä herkullisten hajuvesien valmistuksessa.</t>
  </si>
  <si>
    <t>Salazzle asuu syvällä luolissa ja pakottaa feromoniensa avulla houkuttelemansa salandiitin palvelemaan itseään.</t>
  </si>
  <si>
    <t>Se rankaisee Salanditia, joka ei pystynyt tuomaan sille ruokaa, rajulla läimäytyksellä liekkejä sylkevällä kämmenellään.</t>
  </si>
  <si>
    <t>Vain naaraspuolisia Salazzleja on olemassa. Ne erittävät feromonipitoista kaasua kiehtoakseen Salandit-uroksia.</t>
  </si>
  <si>
    <t>Salazzlejen välisten kilpailujen voittaja ratkaistaan ​​sen perusteella, kummalla on eniten miespuolisia Salandit-hahmoja.</t>
  </si>
  <si>
    <t>Stufful</t>
  </si>
  <si>
    <t>Heiluttaen Pokémon</t>
  </si>
  <si>
    <t>Vaikka se on suloinen ulkonäkönsä puolesta, sen kädet ja jalat voivat suuttuessaan ja räpytellessään lyödä ammattipainijan levälleen.</t>
  </si>
  <si>
    <t>Kosketus keneltä tahansa muulta kuin tutulta ystävältä saa sen raivokkaaseen vimmaan. Se on uskomattoman vaarallinen Pokémon.</t>
  </si>
  <si>
    <t>Sillä on niin paljon voimaa, että se pystyy halkaisemaan suuria puita kahtia. Sen takaosassa oleva elin vapauttaa hajua, jota se käyttää kommunikoidakseen muiden lajitovereidensa kanssa.</t>
  </si>
  <si>
    <t>Stufful vihaa halailua tai kosketusta millään tavalla. Se rimpuilee, rimpuilee ja vastustelee uskomattomalla voimalla.</t>
  </si>
  <si>
    <t>Sen pörröistä turkkia on ilo silittää, mutta huolimaton käden koskettaminen voi johtaa tuskalliseen kostotoimeen.</t>
  </si>
  <si>
    <t>Tapa, jolla se suojelee itseään heiluttamalla käsiään, voi olla suloinen näky, mutta pysy kaukana. Tämä heiluttelu voi katkaista paksuja puunrunkoja.</t>
  </si>
  <si>
    <t>Bewear</t>
  </si>
  <si>
    <t>Vahvan käsivarren Pokémon</t>
  </si>
  <si>
    <t>Tällä äärimmäisen vaarallisella Pokémonilla on valtava fyysinen voima. Sen elinympäristö on yleensä kielletty.</t>
  </si>
  <si>
    <t>https://pokeapi.co/api/v2/pokemon-species/577/</t>
  </si>
  <si>
    <t>Tällä Pokémonilla on tapana halata seuralaisiaan. Monet kouluttajat ovat lähteneet tästä maailmasta sen jälkeen, kun heidän selkärankansa ovat litistyneet sen halauksesta.</t>
  </si>
  <si>
    <t>Se heiluttaa käsiään villisti pelotellen ja varoittaen. Elämä on ohi kenelle tahansa, joka ei juokse karkuun niin nopeasti kuin mahdollista.</t>
  </si>
  <si>
    <t>Se ylpeilee valtavalla fyysisellä voimalla. Monet ihmiset kutsuvat sitä Alolan alueen vaarallisimmaksi Pokémoniksi.</t>
  </si>
  <si>
    <t>Kun se hyväksyy sinut ystäväkseen, se yrittää osoittaa kiintymyksensä halauksella. Sen tekeminen niin on vaarallista – se voi helposti murskata luusi.</t>
  </si>
  <si>
    <t>Liikkeet, joita se käyttää saaliinsa kaatamiseen, tekisivät jopa kamppailulajien taitajan kateellisiksi. Se sujauttaa alistetun saaliin kainaloonsa kantaakseen sen pesäänsä.</t>
  </si>
  <si>
    <t>Bounsweet</t>
  </si>
  <si>
    <t>Sen ruumiista leijuu herkullinen tuoksu. Tukanonit nielaisevat ne usein kokonaisina houkuteltuina tuohon leijuvaan herkullisuuteen.</t>
  </si>
  <si>
    <t>Vaikka Bounsweetin hiki on liian sokerista ihmisravinnoksi, siitä voi tehdä juuri sopivasti makeaa mehua.</t>
  </si>
  <si>
    <t>Makean ja herkullisen tuoksunsa ansiosta lintu-Pokémonit ovat aina sen perässä, mutta se ei ole tarpeeksi älykäs välittääkseen.</t>
  </si>
  <si>
    <t>Se yrittää vastustaa lintu-Pokémonin nielemistä pyörittämällä verholehtiä päänsä ympäri. Se on yleensä tulokseton yritys.</t>
  </si>
  <si>
    <t>Sen ruumiista lähtee makea, hedelmäinen tuoksu, joka on erittäin houkutteleva lintu-Pokémoneille.</t>
  </si>
  <si>
    <t>Hyökkäyksen kohteeksi joutuessaan se erittää makeaa ja herkullista hikeä. Tuoksu vain houkuttelee lisää vihollisia puoleensa.</t>
  </si>
  <si>
    <t>Steenee</t>
  </si>
  <si>
    <t>Sen päässä olevat verholehdet kehittyivät suojaamaan sen kehoa. Nämä ovat melko kovia, joten vaikka lintu-Pokémonit nokkisivat sitä, tämä Pokémon on täysin kunnossa.</t>
  </si>
  <si>
    <t>Tämä Pokémon pomppii aina energisesti ympäriinsä. Sen eloisa ulkonäkö ja miellyttävä tuoksu houkuttelevat muita Pokémoneja.</t>
  </si>
  <si>
    <t>Kovat verholehdet suojaavat sitä, joten se leikkii lintu-Pokémonien kanssa huoletta. Ne nokkivat sitä armottomasti, mutta se ei välitä.</t>
  </si>
  <si>
    <t>Se pomppii ympäriinsä heiluttaen verholehtiä päänsä päällä huolettomasti. Ne ovat melko kivuliaita, kun ne läimäyttävät sinua!</t>
  </si>
  <si>
    <t>Sen pyöriessä kuin tanssija, sen ympärille leviää makea tuoksu. Jokainen, joka hengittää tuoksua, tuntee onnen aallon.</t>
  </si>
  <si>
    <t>Jokainen tätä Pokémonia nokkiva Corvisquire saa osakseen läimäyksen verholehdiltä ja terävän potkun.</t>
  </si>
  <si>
    <t>Tsareena</t>
  </si>
  <si>
    <t>Sen pitkät, iskevät jalat eivät ole vain näön vuoksi, vaan niitä käytetään taitavaan potkimiseen. Voitossa se pröystäilee potkaisemalla voitetulle ja nauramalla äänekkäästi.</t>
  </si>
  <si>
    <t>Pokémon, joka tunnetaan kauniista, hyvin muotoilluista jaloistaan, esiintyy joskus maskottina kauneushoitoloiden mainoksissa.</t>
  </si>
  <si>
    <t>Suurien ja kauniiden potkujen mestari, se voi tyrmätä jopa potkunyrkkeilyn mestarit yhdellä iskulla.</t>
  </si>
  <si>
    <t>Aggressiivinen persoonallisuus ja potkimisen taito omaava Pokémon kikattelee joka kerta potkaistessaan vastustajaa.</t>
  </si>
  <si>
    <t>https://pokeapi.co/api/v2/pokemon-species/578/</t>
  </si>
  <si>
    <t>Tällä pelätyllä Pokémonilla on pitkät, hoikat jalat ja julma sydän. Se ei osoita armoa tallatessaan vastustajiaan.</t>
  </si>
  <si>
    <t>Pokémonin kovettuneista jalkojen kärjistä tuleva potku jättää vastustajan kehoon ja sieluun paranemattoman haavan.</t>
  </si>
  <si>
    <t>Comfey</t>
  </si>
  <si>
    <t>Posy-kerääjä-Pokémon</t>
  </si>
  <si>
    <t>Se kiinnittää kukkia erittäin ravinteikkaaseen köynnökseensä. Tämä elvyttää kukkia ja ne tuottavat aromaattisen tuoksun.</t>
  </si>
  <si>
    <t>Sen köynnöksen kukista tehdyillä kylvyillä on rentouttava vaikutus, joten tämä Pokémon on monien ihmisten suosikki.</t>
  </si>
  <si>
    <t>Se venyttää tahmeita köynnöksiä päästään ja poimii kukkia koristeeksi. Kun sillä ei ole kukkia, se on levoton.</t>
  </si>
  <si>
    <t>Se poimii kukkia ja kiinnittää niitä kehoonsa erittämällään nesteellä. Sen terälehdistä leijuva tuoksu on parantava.</t>
  </si>
  <si>
    <t>Comfey poimii kukkia köynnöksellään ja koristelee itsensä niillä. Jostain syystä kukat eivät kuihtu, kun ne on kiinnitetty Comfeyyn.</t>
  </si>
  <si>
    <t>Nämä Pokémonit tuoksuvat erittäin hyvältä. Kaikilla Comfeyilla on erilaiset kukat, joten jokaisella näistä Pokémoneista on oma yksilöllinen tuoksunsa.</t>
  </si>
  <si>
    <t>Oranguru</t>
  </si>
  <si>
    <t>Viisas-Pokémon</t>
  </si>
  <si>
    <t>Äärimmäisestä älykkyydestään tunnettu Pokémon halveksii kokemattomia kouluttajia, joten se sopii parhaiten kokeneille kouluttajille.</t>
  </si>
  <si>
    <t>Syvällä viidakossa, korkealla korkeiden lehtien latvustossa, tämä Pokémon asuu. Harvinaisissa tapauksissa se ilmestyy rannalle kilpailemaan älykkyydestä Slowkingin kanssa.</t>
  </si>
  <si>
    <t>Se viettää yleensä aikansa meditoiden puiden latvoissa. Se heittelee Poképalloja ja antaa muille Pokémoneille käskyjä mielensä mukaan.</t>
  </si>
  <si>
    <t>Orangurut eivät tule toimeen keskenään, joten ne käyvät jatkuvasti älytaisteluita selvittääkseen, kumpi on parempi.</t>
  </si>
  <si>
    <t>Lehdistä ja omasta turkistaan ​​tehdyn viuhkansa aaltoilla Oranguru antaa taitavasti ohjeita muille Pokémoneille.</t>
  </si>
  <si>
    <t>Se tuntee metsän läpikotaisin. Jos se kohtaa haavoittuneen Pokémonin, Oranguru kerää lääkekasveja sen hoitamiseksi.</t>
  </si>
  <si>
    <t>Passimian</t>
  </si>
  <si>
    <t>Tiimityö-Pokémon</t>
  </si>
  <si>
    <t>He muodostavat noin 20 henkilön ryhmiä. Heidän keskinäinen siteensä on merkittävä – he eivät koskaan petä toveriaan.</t>
  </si>
  <si>
    <t>He taistelevat kovilla marjoilla saadakseen aseita. Heidän tekniikkansa siirtyvät pomolta ryhmälle sukupolvi toisensa jälkeen.</t>
  </si>
  <si>
    <t>Ne käyttävät sylkeään kiinnittääkseen lehtiä hartioilleen. Lehtien sijainnista voi päätellä, mihin ryhmään ne kuuluvat.</t>
  </si>
  <si>
    <t>Marjat ovat sen aseita ja sen ruokavalion perusta. Se, joka pystyy heittämään marjan kauimmalle, on joukon pomo.</t>
  </si>
  <si>
    <t>https://pokeapi.co/api/v2/pokemon-species/579/</t>
  </si>
  <si>
    <t>He osoittavat hämmästyttävää tiimityötä noudattaen pomonsa käskyjä ja auttavat yhdessä lempimarjojensa etsimisessä.</t>
  </si>
  <si>
    <t>Passimialaiset elävät noin 20 yksilön ryhmissä, joissa jokaisella jäsenellä on oma tehtävänsä. Yhteistyön ansiosta ryhmä selviytyy.</t>
  </si>
  <si>
    <t>Wimpod</t>
  </si>
  <si>
    <t>Kääntyvähäntäinen Pokémon</t>
  </si>
  <si>
    <t>Tämä Pokémon on pelkuri. Sen epätoivoisen syöksyn aikana sen monien jalkojen heiluminen jättää jälkeensä säihkyvän puhtaan polun.</t>
  </si>
  <si>
    <t>Sen elinympäristö vaihtelee rannoista merenpohjiin. Luonnollisena raadonsyöjänä se syö mielellään kaikkea syötävää, olipa se kuinka mätää tahansa.</t>
  </si>
  <si>
    <t>Se poimii kaiken, mitä se löytää maasta. Joskus se löytää kolikoita, joten Murkrow ja Meowth lähtevät sen perään.</t>
  </si>
  <si>
    <t>Hämmästyttävän pelkurimainen Pokémon Wimpod pyörittää jalkojaan kovaa vauhtia paetakseen, jos jokin tulee lähelle.</t>
  </si>
  <si>
    <t>Se on luonnon puhdistaja – se syö kaikkea, myös roskia ja mädäntyneitä asioita. Sen pesän lähellä oleva maa on aina puhdas.</t>
  </si>
  <si>
    <t>Nynnyt kerääntyvät parviin jatkuvasti varoen vaaraa. Ne hajaantuvat heti, kun ne havaitsevat vihollisen läsnäolon.</t>
  </si>
  <si>
    <t>Golisopod</t>
  </si>
  <si>
    <t>Kovakokoinen Pokémon</t>
  </si>
  <si>
    <t>Jättimäisten terävien kynsiensä välkkyvällä viillolla se halkaisee meriveden – tai jopa ilman – kahtia.</t>
  </si>
  <si>
    <t>Se taistelee taitavasti kuudella kädellään, mutta viettää suurimman osan ajastaan ​​rauhallisesti meditoiden syvällä meren alla olevissa luolissa.</t>
  </si>
  <si>
    <t>Sen vartaloa peittävä kuori on timantinkova. Tämä Pokémon tekee kaikkensa voittaakseen.</t>
  </si>
  <si>
    <t>Sen kynnet, joita se voi ojentaa ja vetää umpeen mielensä mukaan, ovat sen parhaimmat aseet. Golisopodilla on joskus seurassaan Wimpod.</t>
  </si>
  <si>
    <t>Se tekee mitä tahansa voittaakseen, hyödyntää jokaisen tilaisuuden ja viimeistelee vastustajat etujalkojensa pienillä kynsillä.</t>
  </si>
  <si>
    <t>Ne elävät uponneissa laivoissa tai merenpohjan koloissa. Kun Golisopod ja Grapploct taistelevat, häviäjästä tulee voittajan ateria.</t>
  </si>
  <si>
    <t>Sandygast</t>
  </si>
  <si>
    <t>Hiekkakasa-Pokémon</t>
  </si>
  <si>
    <t>Lapsen leikkisästi rakentamasta hiekkakumpasta syntynyt Pokémon ilmentää vainajien kaunoja.</t>
  </si>
  <si>
    <t>Se ottaa vallan jokaisesta, joka laittaa käden sen suuhun. Ja näin se kasvattaa hiekkakumpunsa muodostamaa ruumista.</t>
  </si>
  <si>
    <t>Se pitää päässään olevasta lapiosta, joten Sandygast vakavoituu ja tappelee kaikkia lapsia vastaan, jotka tulevat hakemaan sen takaisin.</t>
  </si>
  <si>
    <t>Jos rakennat hiekkakasoja pelatessasi, tuhoa ne ennen kotiin lähtöä, tai ne voivat joutua Sandgast-hahmojen valtaamiksi.</t>
  </si>
  <si>
    <t>Kuolleiden kaunat ovat ottaneet haltuunsa hiekkakasan ja muuttuneet Pokémoneiksi. Sandygast pitää sen päässä olevasta lapiosta.</t>
  </si>
  <si>
    <t>https://pokeapi.co/api/v2/pokemon-species/580/</t>
  </si>
  <si>
    <t>Sandygast asuttaa pääasiassa rantoja. Se ottaa vallan kenestä tahansa, joka laittaa kätensä sen suuhun, pakottaen heidät kasvattamaan ruumistaan.</t>
  </si>
  <si>
    <t>Palossand</t>
  </si>
  <si>
    <t>Hiekkalinna-Pokémon</t>
  </si>
  <si>
    <t>Tämän Pokémonin hallitsemat riivatut ihmiset muuttivat hiekkakasansa linnaksi. Sen kehittyessä sen kirousvoima kasvoi yhä vahvemmaksi.</t>
  </si>
  <si>
    <t>Linnan alle on haudattu kasoittain kuivuneita luita niiltä, ​​joiden elinvoiman se on imenyt.</t>
  </si>
  <si>
    <t>Jokaisella sen hiekanjyvästä on oma tahtonsa. Palossand syö pieniä Pokémoneja ja imee niiden elinvoiman niiden ollessa vielä elossa.</t>
  </si>
  <si>
    <t>Kun se on nostattanut hiekkamyrskyn pysäyttääkseen vastustajansa, tämä kauhistuttava Pokémon riistää heiltä elinvoiman.</t>
  </si>
  <si>
    <t>Palossandia kutsutaan Rantapainajaiseksi. Se vetää saaliinsa alas hiekkaan hallitsemalla itse hiekkaa ja imee sitten niiden sielut ulos.</t>
  </si>
  <si>
    <t>Tämä Pokémon elää rannoilla, mutta se vihaa vettä. Palossand ei pysty säilyttämään linnamaista muotoaan, jos rankkasade kastuu sen läpimäräksi.</t>
  </si>
  <si>
    <t>Pyukumuku</t>
  </si>
  <si>
    <t>Merikurkku-Pokémon</t>
  </si>
  <si>
    <t>Se elää matalissa merissä, kuten rantojen lähellä. Se voi työntää ulos sisäelimensä, joita se käyttää saaliinsa nielemiseen tai vihollisten torjuntaan.</t>
  </si>
  <si>
    <t>Nämä Pokémonit reunustavat rantoja. Niiden kehoja peittävää tahmeaa limaa voidaan käyttää auringonpolttaman ihon rauhoittamiseen. Kuinka kätevää!</t>
  </si>
  <si>
    <t>Pyukumuku-heittoperinne sai alkunsa tavasta heittää Pyukumuku takaisin mereen sen jälkeen, kun ne huuhtoutuivat rannalle.</t>
  </si>
  <si>
    <t>Sen koko ruumis on peittynyt sen omaan limaan. Jos vahingossa astut sen päälle, liukastut ja se suuttuu ja läimäisee sinua!</t>
  </si>
  <si>
    <t>Se elää lämpimissä, matalissa vesissä. Jos se kohtaa vihollisen, se sylkee sisäelimensä ulos lyödäkseen sitä.</t>
  </si>
  <si>
    <t>Se on peittynyt limakalvoon, joka pitää sen ihon kosteana, jolloin se voi pysyä maalla päiviä kuivumatta.</t>
  </si>
  <si>
    <t>Type: Null</t>
  </si>
  <si>
    <t>Synteettinen Pokémon</t>
  </si>
  <si>
    <t>Sen raskas kontrollinaamio tukahduttaa sen sisäiset kyvyt. Tällä Pokémonilla on piilotettuja erityisvoimia.</t>
  </si>
  <si>
    <t>Koska tämä synteettinen Pokémon voi riehua, se käyttää naamaria hillitäkseen voimaansa.</t>
  </si>
  <si>
    <t>Tiettyä tehtävää varten kehitetty Pokémon-ase sekosi kokeen aikana, joten se jäädytettiin kryogeenisesti.</t>
  </si>
  <si>
    <t>https://pokeapi.co/api/v2/pokemon-species/581/</t>
  </si>
  <si>
    <t>On olemassa vaara, että se riehuu, joten sen todellinen voima on sinetöity sen hallintanaamion alle.</t>
  </si>
  <si>
    <t>Huhun mukaan huippusalaisten tutkimusmuistiinpanojen varastaminen johti uuden Pokémonin luomiseen Galarin alueella.</t>
  </si>
  <si>
    <t>Se on mallinnettu mahtavan myyttisen Pokémonin mukaan. Sille asetettu naamio rajoittaa sen voimaa pitääkseen sen hallinnassa.</t>
  </si>
  <si>
    <t>Silvally</t>
  </si>
  <si>
    <t>Sen luottamus kumppaniinsa herättää sen. Tämä Pokémon pystyy vaihtamaan tyyppiään, ja tämä joustavuus näkyy hyvin taistelussa.</t>
  </si>
  <si>
    <t>Vaikka sen nimi oli aluksi Tyyppi: Null, poika, joka kehitti sen tähän muotoon, antoi sille nimen, jolla se nykyään tunnetaan.</t>
  </si>
  <si>
    <t>Tämä on sen muoto herättyä ja kehittynyt. Vapauduttuaan raskaasta naamiostaan ​​sen nopeus kasvaa huomattavasti.</t>
  </si>
  <si>
    <t>Kouluttajansa kanssa muodostaman siteen kautta sen tahto vahvistui ja se kykeni tuhoamaan kontrollinaamionsa.</t>
  </si>
  <si>
    <t>Tämän Pokémonin ja sen kouluttajan välinen vahva luottamusside herätti Silvallyn sisällä piilevän voiman. Se voi muuttaa tyyppiään mielensä mukaan.</t>
  </si>
  <si>
    <t>Viimeinen tekijä, joka tarvittiin tämän Pokémonin todellisen voiman vapauttamiseksi, oli vahva side kouluttajaan, johon se luottaa.</t>
  </si>
  <si>
    <t>Minior</t>
  </si>
  <si>
    <t>Meteori-Pokémon</t>
  </si>
  <si>
    <t>Alun perin otsonikerroksessa elänyt se syöksyy maahan, kun sen ruumista ympäröivä kuori kasvaa liian raskaaksi.</t>
  </si>
  <si>
    <t>Voimakkaat iskut voivat pudottaa sen kuorestaan. Tämä Pokémon syntyi mutatoituneista nanopartikkeleista.</t>
  </si>
  <si>
    <t>Se elää otsonikerroksessa, jossa siitä tulee ravintoa vahvemmille Pokémoneille. Kun se yrittää paeta, se putoaa maahan.</t>
  </si>
  <si>
    <t>Vaikka sen ulkokuori on epätavallisen kestävä, maahan putoamisen isku murskaa kuoren palasiksi.</t>
  </si>
  <si>
    <t>Komala</t>
  </si>
  <si>
    <t>Se syntyy unessa ja kuolee unessa. Kaikki sen liikkeet ovat näennäisesti vain sen unissa pyörimisen ja pyörimisen tulosta.</t>
  </si>
  <si>
    <t>Sen vanhemmat antoivat sille sen syntymässä lokin, jota se pitää kädessään. Sen tiedetään myös tarrautuvan ystävällisen kouluttajan käsivarteen.</t>
  </si>
  <si>
    <t>Se nukkuu syntymästään lähtien. Kun se vaipuu syvään uneen, se lakkaa liikkumasta kokonaan.</t>
  </si>
  <si>
    <t>Se pysyy unessa syntymästä kuolemaan sen ruokavaliota muodostavien lehtien rauhoittavien ominaisuuksien seurauksena.</t>
  </si>
  <si>
    <t>Turtonator</t>
  </si>
  <si>
    <t>Räjähdyskilpikonna-Pokémon</t>
  </si>
  <si>
    <t>Sen selässä oleva kuori on kemiallisesti epävakaa ja räjähtää rajusti, jos siihen isketään. Vatsassa oleva reikä on sen heikko kohta.</t>
  </si>
  <si>
    <t>Se syöskee sieraimistaan ​​tulta ja myrkyllisiä kaasuja. Sen jätökset ovat räjähdysherkkiä ja niitä voidaan käyttää moniin eri tarkoituksiin.</t>
  </si>
  <si>
    <t>Se elää tulivuorissa ja syö rikkiä ja muita mineraaleja. Sen syömän ruoan materiaalit muodostavat sen räjähtävän kuoren perustan.</t>
  </si>
  <si>
    <t>https://pokeapi.co/api/v2/pokemon-species/582/</t>
  </si>
  <si>
    <t>Sen räjähtävä kuori on todellinen vaara, mutta se on herkkä kosteudelle. Sateisina päivinä Turtonator piiloutuu hiljaa luoliin.</t>
  </si>
  <si>
    <t>Kranaatti on peitetty räjähtävillä aineilla sen selästä. Viholliset, jotka uskaltavat hyökätä sen kimppuun, räjähtävät pois valtavalla räjähdyksellä.</t>
  </si>
  <si>
    <t>Rikin syöminen sen vulkaanisessa elinympäristössä aiheuttaa räjähtävien yhdisteiden kehittymistä sen kuoreen. Myös sen ulosteet ovat vaarallisen räjähdysherkkiä.</t>
  </si>
  <si>
    <t>Togedemaru</t>
  </si>
  <si>
    <t>Roly-Poly-Pokémon</t>
  </si>
  <si>
    <t>Sen selän piikikäs turkki on normaalisti levossa. Kun tämä Pokémon levottomaksi muuttuu, sen turkki nousee pystyyn ja iskee hyökkääjiinsä.</t>
  </si>
  <si>
    <t>Sen selässä olevat pitkät karvat toimivat salamanjohtimina. Sen puoleensa vetävät salamaniskut varastoituvat energiana sen sähköpussiin.</t>
  </si>
  <si>
    <t>Kun se on yllättynyt tai levoton, sen selässä olevat 14 piikkiä nousevat tahtomattaan pystyyn.</t>
  </si>
  <si>
    <t>Sen kyky tuottaa sähköä on jonkin verran rajallinen, joten se latautuu antamalla salaman iskeä siihen!</t>
  </si>
  <si>
    <t>Pitkät selkäkarvansa ansiosta tämä Pokémon imee sähköä muilta sähköisiltä Pokémoneilta. Se varastoi imemänsä sähköpussiin.</t>
  </si>
  <si>
    <t>Hädässä se käpertyy palloksi, nostaa piikkikarvansa pystyyn ja purkaa sitten sähköä umpimähkään.</t>
  </si>
  <si>
    <t>Mimikyu</t>
  </si>
  <si>
    <t>Naamioitu Pokémon</t>
  </si>
  <si>
    <t>Sen todellinen ulkonäkö on tuntematon. Tutkija, joka näki, mitä sen rätin alla oli, joutui kauhun valtaan ja kuoli järkytykseen.</t>
  </si>
  <si>
    <t>Yksinäinen Pokémon, joka kätkee kauhistuttavan ulkonäkönsä vanhan rätin alle päästäkseen lähemmäksi ihmisiä ja muita Pokémoneja.</t>
  </si>
  <si>
    <t>Vaikka se on hiljainen ja yksinäinen Pokémon, se kiihtyy ja vastustelee rajusti, jos yrität katsoa sen rätin alle.</t>
  </si>
  <si>
    <t>Tuulenpuuska paljasti ohikulkevalle kouluttajalle, mitä tämän Pokémonin rätin alla piilee. Kouluttaja meni kotiin ja kuoli tuskallisesti samana yönä.</t>
  </si>
  <si>
    <t>Se käyttää rättiä, joka on muotoiltu Pikachun asuksi näyttääkseen vähemmän pelottavalta. Valitettavasti asu tekee siitä vain kammottavamman.</t>
  </si>
  <si>
    <t>Eräs tiedemies kurkisti Mimikyun vanhan rätin alle tutkimuksen nimissä. Tiedemies kuoli salaperäiseen tautiin.</t>
  </si>
  <si>
    <t>Bruxish</t>
  </si>
  <si>
    <t>Gnash-hampaat-Pokémon</t>
  </si>
  <si>
    <t>Kun se vapauttaa psyykkisen voimansa päänsä kohoumasta, hampaiden narskuttelun rahin kaikuu alueella.</t>
  </si>
  <si>
    <t>Se tainnuttaa saaliinsa psykokineesillä ja jauhaa sen sitten mössöksi vahvoilla hampaillaan. Edes Shellderin kuori ei kestä sitä.</t>
  </si>
  <si>
    <t>Se kaivautuu hiekan alle säteillen psyykkistä voimaa päänsä kohoumasta. Se odottaa saalista tarkkaillessaan aluetta.</t>
  </si>
  <si>
    <t>Sen iho on riittävän paksu torjumaan Mareanien piikit. Voimakkailla hampaillaan Bruxish murskaa piikit ja syö ne.</t>
  </si>
  <si>
    <t>Drampa</t>
  </si>
  <si>
    <t>Rauhallinen Pokémon</t>
  </si>
  <si>
    <t>https://pokeapi.co/api/v2/pokemon-species/583/</t>
  </si>
  <si>
    <t>Sillä on myötätuntoinen persoonallisuus, mutta jos se suuttuu, se tuhoaa ympäristönsä täysin voimakkaalla hengityksellään.</t>
  </si>
  <si>
    <t>Tämä Pokémon on ystävällinen ihmisille ja rakastaa ennen kaikkea lapsia. Se tulee syvältä vuorilta leikkimään lasten kanssa, joista se pitää kaupungissa.</t>
  </si>
  <si>
    <t>Jos lapsi, jonka kanssa se on ystävystynyt, joutuu kiusatuksi, Drampa löytää kiusaajan talon ja polttaa sen maan tasalle.</t>
  </si>
  <si>
    <t>Se ilmestyy kaupunkeihin ja leikkii lasten kanssa. Drampa suojelee lapsia vaarassa, joten heidän äitiensä ei tarvitse huolehtia.</t>
  </si>
  <si>
    <t>Vuoret, joita se kutsuu kodikseen, ovat lähes kolmen kilometrin korkuisia. Harvinaisissa tapauksissa se laskeutuu alas leikkimään alapuolella olevien kaupunkien lasten kanssa.</t>
  </si>
  <si>
    <t>Drampa on kiltti ja ystävällinen Pokémon – kunnes se suuttuu. Suututtuaan se nostattaa myrskyn ja tekee kaiken ympärillään maan tasalle.</t>
  </si>
  <si>
    <t>Dhelmise</t>
  </si>
  <si>
    <t>Merikäärme-Pokémon</t>
  </si>
  <si>
    <t>Heilauttaen massiivista ankkuriaan se voi tyrmätä Wailordin yhdellä iskulla. Se, mikä näyttää vihreältä merilevältä, onkin itse asiassa sen ruumis.</t>
  </si>
  <si>
    <t>Aalloissa ajelehtivan merilevän sielu syntyi uudelleen tänä Pokémonina. Se ylläpitää itseään uusilla merenpohjan roskien ja merilevän lisäyksillä.</t>
  </si>
  <si>
    <t>Se käärii saaliinsa vihreään merilevään ja imee niiden elinvoiman. Se jahtaa mielellään vain isoa saalista, kuten Wailordia.</t>
  </si>
  <si>
    <t>Sen ketjumainen vihreä merilevä voi ulottua satojen metrien päähän. Jostain syystä se tulee hyvin toimeen Skrepin kanssa.</t>
  </si>
  <si>
    <t>Kun merilevänpala sekoittui uponneen laivan roskiin, se syntyi uudelleen tähän haamu-Pokémoniin.</t>
  </si>
  <si>
    <t>Laskettuaan ankkurinsa se jää odottamaan saalistaan. Se nappaa suuren Wailordin ja imee sen elinvoiman.</t>
  </si>
  <si>
    <t>Jangmo-o</t>
  </si>
  <si>
    <t>Suomupokémon</t>
  </si>
  <si>
    <t>Se ilmaisee tunteitaan läpsyttämällä suomujaan. Metalliset äänet kaikuvat korkeiden vuorten läpi, joilla Jangmo-o asuu.</t>
  </si>
  <si>
    <t>Ne elävät vuorilla, joissa ei ole jälkeäkään ihmisistä. Jangmo-ot kasvavat vähitellen taistellessaan toisiaan vastaan.</t>
  </si>
  <si>
    <t>Se läimäyttää päänsä suomuja kiviin tai maahan pelotellakseen vastustajiaan. Se voi myös ottaa yhteyttä ystäviinsä näillä äänillä.</t>
  </si>
  <si>
    <t>Se ei koskaan osoita viholliselle selkäänsä taistelussa. Muinaiset soturit pitivät Jangmo-osta sen urhean luonteen vuoksi ja tekivät siitä omanlaisensa.</t>
  </si>
  <si>
    <t>He oppivat taistelemaan murskaamalla päänsä suomuja yhteen. Kaksintaistelu vahvistaa sekä heidän taitojaan että henkeään.</t>
  </si>
  <si>
    <t>Jangmo-o käyttää suomujaan kommunikoidakseen muiden kaltaistensa kanssa. Sen suomut ovat itse asiassa metallinkovuista turkkia.</t>
  </si>
  <si>
    <t>Hakamo-o</t>
  </si>
  <si>
    <t>Se hyppää saaliinsa kimppuun rohkealla huudolla. Sen suomumaiset iskut repivät vastustajat kappaleiksi.</t>
  </si>
  <si>
    <t>Se karvaa ja kasvattaa suomujaan jatkuvasti. Suomut kovenevat ja terävöityvät joka kerta, kun ne kasvavat uudelleen.</t>
  </si>
  <si>
    <t>Se pitää ääntä kalistemalla suomujaan yhteen. Kun rytmi on saavuttanut huippunsa, Hakamo-o hyökkää.</t>
  </si>
  <si>
    <t>Sen irtoavia suomuja voidaan muovata ja käsitellä kattiloiden ja pannujen valmistamiseksi. Ne johtavat lämpöä hyvin, joten ne ovat suosittuja.</t>
  </si>
  <si>
    <t>Sen suomuttomat, arpeutuneet ruumiinosat ovat merkkejä sen vahvuudesta. Se esittelee niitä voitettujen vastustajien edessä.</t>
  </si>
  <si>
    <t>Ennen vihollisten kimppuun hyökkäämistä se lyö suomunsa yhteen ja karjuu. Sen terävät kynnet silpovat vastustajan.</t>
  </si>
  <si>
    <t>Kommo-o</t>
  </si>
  <si>
    <t>Havaitessaan vihollisia se uhkaa heitä heiluttamalla pyrstössään olevia suomuja. Heikot vastustajat säpsähtelevät ja pakenevat paniikissa.</t>
  </si>
  <si>
    <t>Sen jäykät vaa'at toimivat sekä hyökkäyksessä että puolustuksessa. Ennen vanhaan sen vaakoja käytettiin aseiden ja muiden hyödykkeiden valmistukseen.</t>
  </si>
  <si>
    <t>Kun se ulvoo saaliinsa lopetettuaan, sen juhlivien tovereiden metalliset äänet kuuluvat kaikkialta.</t>
  </si>
  <si>
    <t>Se taistelee urheasti terässuomuilla panssaroituilla nyrkeillään. Kommo-o on erikoistunut yläleikkauksiin.</t>
  </si>
  <si>
    <t>https://pokeapi.co/api/v2/pokemon-species/584/</t>
  </si>
  <si>
    <t>Se räpyttää pyrstösuomujaan hermostuttaakseen vastustajia. Tämä Pokémon taistelee vain niitä vastaan, jotka pysyvät lujina tämän näytöksen edessä.</t>
  </si>
  <si>
    <t>Tietyissä raunioissa on maalauksia muinaisista sotureista, jotka käyttävät Kommo-o-suomuista tehtyjä haarniskoja.</t>
  </si>
  <si>
    <t>Tapu Koko</t>
  </si>
  <si>
    <t>Maanhenki-Pokémon</t>
  </si>
  <si>
    <t>Tämä Melemelen suojelusjumala on täynnä uteliaisuutta. Se kutsuu ukkospilviä ja varastoi niiden salamat kehoonsa.</t>
  </si>
  <si>
    <t>Se hämmentää vihollisiaan lentämällä liian nopeasti silmän seuraamiseksi. Sillä on nopea temperamentti, mutta se unohtaa hetkessä, mikä sen suututti.</t>
  </si>
  <si>
    <t>Vaikka sitä kutsutaan suojelusjumaluuden, jos joku tai Pokémon saa sen huonolle tuulelle, siitä tulee pahansuopa jumaluus ja se hyökkää.</t>
  </si>
  <si>
    <t>Melemelen salamointia heiluttava suojelusjumala Tapu Koko on täynnä uteliaisuutta ja ilmestyy ihmisten eteen aika ajoin.</t>
  </si>
  <si>
    <t>Tapu Lele</t>
  </si>
  <si>
    <t>Tämä Akalan suojelusjumala on viattoman julma. Kukkien tuoksu on sen energian lähde.</t>
  </si>
  <si>
    <t>Lepätessään se levittää oudosti hohtavia suomujaan. Niiden koskettamisen sanotaan palauttavan terveyden välittömästi.</t>
  </si>
  <si>
    <t>Se parantaa ihmisten ja Pokémonien haavat pirskottamalla niitä kimaltelevilla suomuillaan. Tätä suojelusjumalaa palvotaan Akalalla.</t>
  </si>
  <si>
    <t>Vaikka Tapu Leleä kutsutaan suojelusjumaluuteen, hän ei tunne syyllisyyttä julmasta luonteestaan ​​ja sitä voidaan kuvailla luonnon ruumiillistumaksi.</t>
  </si>
  <si>
    <t>Tapu Bulu</t>
  </si>
  <si>
    <t>Se vetää suuria puita juuristaan ​​ylös ja heiluttelee niitä ympäriinsä. Se saa kasvillisuuden kasvamaan ja sitten se imee energiaa kasvusta.</t>
  </si>
  <si>
    <t>Ula’ulan suojelusjumala on laiska Pokémon. Se käskee kasveja lamauttamaan vihollisensa ja sitten iskee niitä raa'asti sarvillaan.</t>
  </si>
  <si>
    <t>Vaikka sitä kutsutaan suojelusjumaluuden uhriksi, se on tarpeeksi väkivaltainen murskatakseen kenet tahansa, jonka se pitää vihollisena.</t>
  </si>
  <si>
    <t>Se soittaa hännällään soittoääniä kertoakseen muille missä se on, välttäen tarpeettomia konflikteja. Tämä Ula’ulan suojelusjumala hallitsee kasveja.</t>
  </si>
  <si>
    <t>Tapu Fini</t>
  </si>
  <si>
    <t>Sen luoma tiheä sumu tuo mukanaan hämmentyneiden vihollistensa tuhon. Merivirrat ovat sen energian lähde.</t>
  </si>
  <si>
    <t>Ponin suojelusjumala, se voi hallita vettä. Ihmisten mukaan se voi luoda puhdasta vettä, joka pesee pois kaiken epäpuhtauden.</t>
  </si>
  <si>
    <t>Tämä Poni-saaren suojelusjumala hallitsee vettä. Koska se asuu syvällä tiheässä sumussa, siitä tuli sekä pelätty että kunnioitettu.</t>
  </si>
  <si>
    <t>Vaikka sitä kutsutaan suojelusjumaluuteen, kauheat onnettomuudet kohtaavat joskus niitä, jotka lähestyvät Tapu Finiä holtittomasti.</t>
  </si>
  <si>
    <t>Cosmog</t>
  </si>
  <si>
    <t>Nebula-Pokémon</t>
  </si>
  <si>
    <t>Sen runko on kaasumainen ja hauras. Se kasvaa hitaasti kerätessään pölyä ilmakehästä.</t>
  </si>
  <si>
    <t>https://pokeapi.co/api/v2/pokemon-species/585/</t>
  </si>
  <si>
    <t>Menneinä aikoina sitä kutsuttiin tähtien lapseksi. Sen sanotaan olevan Pokémon toisesta maailmasta, mutta tarkempia tietoja ei tiedetä.</t>
  </si>
  <si>
    <t>Vaikka sen avuton, kaasumainen ruumis voi puhaltaa pois pienimmästäkin tuulenvireestä, se ei näytä välittävän.</t>
  </si>
  <si>
    <t>Onko se Pokémon tästä maailmasta vai ei, on mysteeri. Kun se on jumissa, se livahtaa turvalliseen piilopaikkaan.</t>
  </si>
  <si>
    <t>Tämä Pokémon tuli toisesta universumista. Sen kaasumainen ruumis on niin kevyt, että jopa lempeä tuulenvire voi puhaltaa sen pois.</t>
  </si>
  <si>
    <t>Cosmog on hyvin utelias, mutta ei kovin varovainen, ja usein se asettaa itsensä vaaraan. Jos tilanne alkaa näyttää vaaralliselta, se teleporttautuu pois.</t>
  </si>
  <si>
    <t>Cosmoem</t>
  </si>
  <si>
    <t>Prototähti-Pokémon</t>
  </si>
  <si>
    <t>Liikkumattomana kuin kuolleena, sen ruumis on himmeän lämmin koskettaa. Kaukaisessa menneisyydessä sitä kutsuttiin tähtien koteloksi.</t>
  </si>
  <si>
    <t>Sen kovan kuoren sisällä olevan mustan ytimen ympärille kerääntyy jotakin. Ihmiset luulevat, että tämä Pokémon saattaa olla peräisin toisesta maailmasta.</t>
  </si>
  <si>
    <t>Alolaa antiikin aikoina hallinnut kuningas kutsui sitä "tähtien koteloksi" ja rakensi alttarin sen palvomiseksi.</t>
  </si>
  <si>
    <t>Valoa absorboidessaan Cosmoem jatkaa kasvuaan. Sen kultainen kuori on yllättävän kiinteä.</t>
  </si>
  <si>
    <t>Tähtien valon imeytyminen ruokkii tämän Pokémonin kasvua. Sitä ympäröivä kuori on kovempi kuin mikään tunnettu materiaali.</t>
  </si>
  <si>
    <t>Se imee pölyä ilmasta hämmästyttävällä nopeudella ja kerryttää vimmatusti energiaa ytimessään valmistautuakseen evoluutioon.</t>
  </si>
  <si>
    <t>Solgaleo</t>
  </si>
  <si>
    <t>Sunne-Pokémon</t>
  </si>
  <si>
    <t>Sen sanotaan elävän toisessa maailmassa. Sen ruumiinpinnasta säteilevä voimakas valo voi saada pimeimmätkin yöt valaisemaan kuin keskipäivä.</t>
  </si>
  <si>
    <t>Tämän Pokémonin sanotaan olevan Cosmogin miespuolinen kehitysaskel. Kolmannen silmänsä aktivoituessa se lähtee toiseen maailmaan.</t>
  </si>
  <si>
    <t>Joskus sen avaamasta Ultra-madonreiästä seuraa, että energiaa ja elämänmuotoja muista maailmoista kutsutaan tänne tähän maailmaan.</t>
  </si>
  <si>
    <t>Kaukaisen menneisyyden kirjoituksissa sitä kutsutaan nimellä "peto, joka syö auringon".</t>
  </si>
  <si>
    <t>https://pokeapi.co/api/v2/pokemon-species/586/</t>
  </si>
  <si>
    <t>Kun valo säteilee kehostaan, tämä Pokémon voi näyttää melkein auringolta. Se karkottaa kaiken pimeyden ja valaisee maailman.</t>
  </si>
  <si>
    <t>Solgaleo tunnettiin aikoinaan nimellä Auringon ahmiva peto. Siitä säteilee rajattomasti valoenergiaa.</t>
  </si>
  <si>
    <t>Lunala</t>
  </si>
  <si>
    <t>Moone-Pokémon</t>
  </si>
  <si>
    <t>Sen sanotaan olevan Cosmogin naispuolinen kehitysaskel. Kun sen kolmas silmä aktivoituu, se lentää toiseen maailmaan.</t>
  </si>
  <si>
    <t>Tämän Pokémonin sanotaan elävän toisessa maailmassa, ja se ahmii valoa vetämällä kuuttoman yön pimeän verhon päivän kirkkauden ylle.</t>
  </si>
  <si>
    <t>Siitä on olemassa merkintöjä kauan, kauan sitten menneistä kirjoituksista, jolloin se tunnettiin nimellä ”peto, joka kutsuu kuuta”.</t>
  </si>
  <si>
    <t>Se kutsuu joskus tuntemattomia voimia ja elämänmuotoja tänne maailmaan reikistä, jotka johtavat muihin maailmoihin.</t>
  </si>
  <si>
    <t>Kuun Kutsujana tunnettu Pokémon elää imemällä itseensä kaiken valon ja muuttamalla sen omaksi energiakseen.</t>
  </si>
  <si>
    <t>Se varastaa valon ympäristöstään ja muuttuu sitten täysikuuksi, joka suihkuttaa omaa valoaan yötaivaan yli.</t>
  </si>
  <si>
    <t>Nihilego</t>
  </si>
  <si>
    <t>Loinen Pokémon</t>
  </si>
  <si>
    <t>Yksi useista salaperäisistä ultrapedoista. Kadulla ihmiset kertovat nähneensä sen saastuttamien ihmisten muuttuvan yhtäkkiä väkivaltaisiksi.</t>
  </si>
  <si>
    <t>https://pokeapi.co/api/v2/pokemon-species/587/</t>
  </si>
  <si>
    <t>Yksi Ultra-oloista. Ei ole selvää, onko tämä Pokémon älykäs, mutta joskus sen voi havaita käyttäytyvän kuin nuoren tytön.</t>
  </si>
  <si>
    <t>Toisesta maailmasta kotoisin oleva elämänmuoto, jota kutsuttiin UB:ksi, uskotaan tuottavan voimakasta neurotoksiinia.</t>
  </si>
  <si>
    <t>Se ilmestyi tähän maailmaan ultramadonreiästä. Nihilego näyttää olevan loinen, joka elää syömällä ihmisiä ja Pokémoneja.</t>
  </si>
  <si>
    <t>Buzzwole</t>
  </si>
  <si>
    <t>Turvonneet Pokémonit</t>
  </si>
  <si>
    <t>Tämä ultrapeto ilmestyi toisesta maailmasta. Se esittelee vartaloaan, mutta onko se kehuskelua vai uhkausta, on epäselvää.</t>
  </si>
  <si>
    <t>Salaperäinen elämänmuoto nimeltä Ultrapeto. Silminnäkijät näkivät sen murskaavan kippiauton yhdellä iskulla.</t>
  </si>
  <si>
    <t>Vaikka se on vieras tälle maailmalle ja vaarallinen täällä, se on ilmeisesti yleinen organismi maailmassa, jossa se normaalisti elää.</t>
  </si>
  <si>
    <t>Buzzwole kulkee ympäriinsä esitellen epätavallisen turvonneita lihaksiaan. Se on eräänlainen ultrapeto.</t>
  </si>
  <si>
    <t>Pheromosa</t>
  </si>
  <si>
    <t>Lissome-pokémon</t>
  </si>
  <si>
    <t>Yksi vaarallisista Ultrapedoista, se on nähty juoksevan maan halki valtavalla nopeudella.</t>
  </si>
  <si>
    <t>Yksi ultrapedoista. Se kieltäytyy koskemasta mihinkään, ehkä siksi, että se aistii jonkinlaista epäpuhtautta tässä maailmassa.</t>
  </si>
  <si>
    <t>Elämänmuoto, joka elää toisessa maailmassa, sen ruumis on laiha ja notkea, mutta sillä on myös suuri voima.</t>
  </si>
  <si>
    <t>Xurkitree</t>
  </si>
  <si>
    <t>Hohtava Pokémon</t>
  </si>
  <si>
    <t>Yksi salaperäisistä elämänmuodoista, jotka tunnetaan nimellä Ultra Beasts. Silminnäkijöiden mukaan sen koko kehosta lähtee hämmästyttäviä sähköiskuja.</t>
  </si>
  <si>
    <t>Se ilmestyi Ultramadonreiästä. Se hyökkäsi voimalaitokseen, joten ihmiset luulevat sen energisoivan itseään sähköllä.</t>
  </si>
  <si>
    <t>Niitä on kutsuttu Ultrapedoiksi. Jotkut niistä seisovat liikkumatta kuin puut, kädet ja jalat maassa.</t>
  </si>
  <si>
    <t>Celesteela</t>
  </si>
  <si>
    <t>Käynnistä Pokémon</t>
  </si>
  <si>
    <t>Se ilmestyi Ultra-madonreiästä. Silminnäkijät näkivät sen lentävän taivaalla suurella nopeudella.</t>
  </si>
  <si>
    <t>Yksi ultrapetolaji. Silminnäkijät ovat nähneet sen polttavan metsän maan tasalle purkamalla kaasua kahdesta käsivarrestaan.</t>
  </si>
  <si>
    <t>Yksi vaarallisista UB-kappaleista, sen molemmista valtavista haaroista voidaan havaita korkeaenergisiä lukemia.</t>
  </si>
  <si>
    <t>Kartana</t>
  </si>
  <si>
    <t>Drawn Sword -pokémon</t>
  </si>
  <si>
    <t>Tämä ultrapeto tuli ultramadonreiästä. Se ei näytä hyökkäävän vihollisten kimppuun yksinään, mutta sen terävä ruumis on itsessään vaarallinen ase.</t>
  </si>
  <si>
    <t>Yksi Ultra Beast -elämänmuodoista, sen havaittiin kaatavan jättimäisen terästornin yhdellä teräniskulla.</t>
  </si>
  <si>
    <t>Tämän Ultrapedon paperin ohut vartalo on kuin teroitettu miekka.</t>
  </si>
  <si>
    <t>Guzzlord</t>
  </si>
  <si>
    <t>Junkivore-Pokémon</t>
  </si>
  <si>
    <t>Raporttien mukaan se on ahminut vuoria ja niellyt kokonaisia ​​rakennuksia. Se on yksi Ultrapedoista.</t>
  </si>
  <si>
    <t>Vaarallinen ultrapeto näyttää syövän jatkuvasti, mutta jostain syystä sen ulosteita ei ole koskaan löydetty.</t>
  </si>
  <si>
    <t>https://pokeapi.co/api/v2/pokemon-species/588/</t>
  </si>
  <si>
    <t>Tuntematon elämänmuoto nimeltä UB. Se voi olla jatkuvasti nälkäinen – se varmasti ahmii aina jotakin.</t>
  </si>
  <si>
    <t>Necrozma</t>
  </si>
  <si>
    <t>Prisma-Pokémon</t>
  </si>
  <si>
    <t>Tämä Ultrapetoja muistuttava elämänmuoto, joka ilmeisesti nukkuu maan alla, on uskottu tulleen toisesta maailmasta muinaisina aikoina.</t>
  </si>
  <si>
    <t>Valo on ilmeisesti sen energian lähde. Sillä on poikkeuksellisen vihamielinen luonne ja se ampuu jatkuvasti lasersäteitä.</t>
  </si>
  <si>
    <t>Se näyttää jotenkin tuskaiselta raivotessaan ympäriinsä etsien valoa, joka toimii sen energiana. Se on ilmeisesti toisesta maailmasta.</t>
  </si>
  <si>
    <t>Valo on sen energian lähde. Jos se ei niele valoa, siihen ja sen pinnalle kertyy epäpuhtauksia, ja Necrozma tummuu ja lakkaa liikkumasta.</t>
  </si>
  <si>
    <t>Se selviää absorboimalla valoa. Pitkän maan alla nukkumisen jälkeen sen sisään kertyi epäpuhtauksia, jotka aiheuttivat sen ruumiin tummumisen.</t>
  </si>
  <si>
    <t>Se tarvitsee valoa selviytyäkseen ja riehuu sitä etsiessään. Sen lasersäteet leikkaavat minkä tahansa palasiksi.</t>
  </si>
  <si>
    <t>Magearna</t>
  </si>
  <si>
    <t>Keinotekoinen Pokémon</t>
  </si>
  <si>
    <t>Tämä yli 500 vuotta sitten rakennettu keinotekoinen Pokémon ymmärtää ihmisen puhetta, mutta ei itse pysty puhumaan.</t>
  </si>
  <si>
    <t>Sen mekaaninen ruumis on vain astia. Sen todellinen minä on sen Sielu-Sydän, keinotekoinen sielu.</t>
  </si>
  <si>
    <t>Se synkronoi tietoisuutensa muiden kanssa ymmärtääkseen heidän tunteitaan. Tämä kyky tekee siitä hyödyllisen ihmisten hoitamisessa.</t>
  </si>
  <si>
    <t>Tiedemiehen noin 500 vuotta sitten rakentama Sielu-Sydämeksi kutsuttu osa on varsinainen elämänmuoto.</t>
  </si>
  <si>
    <t>Marshadow</t>
  </si>
  <si>
    <t>Synkkäasukas-Pokémon</t>
  </si>
  <si>
    <t>Koska se kykeni kätkeytymään varjoihin, se ei koskaan ilmesty ihmisten eteen, joten sen olemassaolo oli myytin ainesta.</t>
  </si>
  <si>
    <t>Se lymyilee toisten varjoissa kopioiden heidän liikkeitään ja voimiaan. Tämä Pokémon on pelkurimainen ja arasteleva.</t>
  </si>
  <si>
    <t>https://pokeapi.co/api/v2/pokemon-species/589/</t>
  </si>
  <si>
    <t>Se livahtaa toisten varjoihin ja matkii heidän voimiaan ja liikkeitään. Kehittyessään siitä tulee vahvempi kuin ne, joita se matkii.</t>
  </si>
  <si>
    <t>Se vajoaa ihmisten ja Pokémonien varjoihin, missä se voi ymmärtää heidän tunteitaan ja kopioida heidän kykyjään.</t>
  </si>
  <si>
    <t>Vajoamalla kamppailulajien mestarin varjoon ja kopioimalla heidän liikkeitään tämä Pokémon oppi perimmäiset tekniikat.</t>
  </si>
  <si>
    <t>Tämä Pokémon voi piiloutua mihin tahansa varjoon, joten se pysyi pitkään huomaamatta.</t>
  </si>
  <si>
    <t>Poipole</t>
  </si>
  <si>
    <t>Tätä Ultrapetoa pidetään niin paljon, että se valitaan ensimmäiseksi kumppaniksi omaan maailmaansa.</t>
  </si>
  <si>
    <t>Ultrapeto, joka elää eri maailmassa, kikattelee villisti suihkuttaessaan vastustajiinsa myrkkyä päänsä neuloilla.</t>
  </si>
  <si>
    <t>Naganadel</t>
  </si>
  <si>
    <t>Se varastoi kehoonsa satoja litroja myrkyllistä nestettä. Se on yksi UB-nimisistä eliöistä.</t>
  </si>
  <si>
    <t>Se on eräänlainen Ultrapeto, joka ampuu neuloistaan ​​hehkuvaa, myrkyllistä nestettä. Tämä neste on myös erittäin tarttuvaa.</t>
  </si>
  <si>
    <t>Stakataka</t>
  </si>
  <si>
    <t>Valli-Pokémon</t>
  </si>
  <si>
    <t>Se ilmestyi ultramadonreiästä. Jokainen niistä näyttää koostuvan monista päällekkäin pinotuista elämänmuodoista.</t>
  </si>
  <si>
    <t>Kun kiviseinät alkoivat liikkua ja hyökätä, eläimen todellinen identiteetti oli tämä salaperäinen elämänmuoto, joka tuo mieleen ultrapedon.</t>
  </si>
  <si>
    <t>Blacephalon</t>
  </si>
  <si>
    <t>Ilotulitus-Pokémon</t>
  </si>
  <si>
    <t>Se luikertelee ihmisiä kohti. Sitten, varoittamatta, se laukaisee oman päänsä räjähdyksen. Se on ilmeisesti eräänlainen ultrapeto.</t>
  </si>
  <si>
    <t>Ultramadonreiästä ilmestynyt UB aiheuttaa räjähdyksiä ja hyödyntää sitten vastustajien yllätystä riistääkseen heiltä elinvoiman.</t>
  </si>
  <si>
    <t>Zeraora</t>
  </si>
  <si>
    <t>Ukkosenjyrinä-Pokémon</t>
  </si>
  <si>
    <t>Se sähköistää kyntensä ja repii niillä vastustajansa kappaleiksi. Vaikka he väistäisivätkin sen hyökkäyksen, lentävät kipinät sähköistävät heidät.</t>
  </si>
  <si>
    <t>Se lähestyy vihollisiaan salamannopeudella ja repii heidät sitten raajoista raajaan terävillä kynsillään.</t>
  </si>
  <si>
    <t>https://pokeapi.co/api/v2/pokemon-species/590/</t>
  </si>
  <si>
    <t>Se juoksee salamaniskun lailla ja murskaa vastustajansa korkeajännitteisillä kynsillään.</t>
  </si>
  <si>
    <t>Sähkö kipinöi sen raajojen pohjallisista. Minne tahansa Zeraora juokseekin, siellä välähtää salama ja jyrisee ukkonen.</t>
  </si>
  <si>
    <t>Meltan</t>
  </si>
  <si>
    <t>Hex Nut -pokémon</t>
  </si>
  <si>
    <t>Se sulattaa maaperästä löytyviä raudan ja muiden metallien hiukkasia, jotta se voi imeä ne sulaan teräsrunkoonsa.</t>
  </si>
  <si>
    <t>Se liuottaa ja syö metallia. Se tuottaa energiaa kiertämällä nestemäistä metallia kehossaan.</t>
  </si>
  <si>
    <t>He elävät ryhmänä, mutta kun aika koittaa, yksi vahva Meltan imee itseensä kaikki muut ja kehittyy.</t>
  </si>
  <si>
    <t>Melmetal</t>
  </si>
  <si>
    <t>Kauan sitten sen kyvystä luoda rautaa tyhjästä kunnioitettiin sitä, mutta jostain syystä se on herännyt henkiin 3 000 vuoden jälkeen.</t>
  </si>
  <si>
    <t>Elinikänsä lopussa Melmetal ruostuu ja hajoaa. Jäljelle jääneet pienet sirpaleet syntyvät lopulta uudelleen Meltanina.</t>
  </si>
  <si>
    <t>Melmetalin raskaiden kuusiokolokäsivarsien iskujen taustalla on keskipakoisvoima. Melmetalin sanotaan antavan kaikista Pokémoneista voimakkaimmat iskut.</t>
  </si>
  <si>
    <t>Grookey</t>
  </si>
  <si>
    <t>Kun se käyttää erityistä keppiään tahdin käynnistämiseen, tuotetut ääniaallot kuljettavat elvyttävää energiaa alueen kasveihin ja kukkiin.</t>
  </si>
  <si>
    <t>Se hyökkää nopeilla kepiniskuilla. Iskuessaan hämmästyttävällä nopeudella se saa yhä enemmän energiaa.</t>
  </si>
  <si>
    <t>Thwackey</t>
  </si>
  <si>
    <t>Voita Pokémon</t>
  </si>
  <si>
    <t>Mitä nopeammin Thwackey pystyy lyömään rytmin kahdella kepillään, sitä enemmän kunnioitusta se saa tovereiltaan.</t>
  </si>
  <si>
    <t>Kun se rummuttelee nopeita iskuja taistelussa, se uppoutuu rytmiin niin paljon, ettei se edes huomaa tyrmänneensä vastustajansa.</t>
  </si>
  <si>
    <t>Rillaboom</t>
  </si>
  <si>
    <t>Rumpali-Pokémon</t>
  </si>
  <si>
    <t>Rumpuja nyökkäämällä se hyödyntää erityisen puunkannon voimaa. Kannon juuret seuraavat sen suuntaa taistelussa.</t>
  </si>
  <si>
    <t>Parhaan rumputekniikan hallitsevasta tulee ryhmän pomo. Hänellä on lempeä luonne ja hän arvostaa harmoniaa ryhmänsä sisällä.</t>
  </si>
  <si>
    <t>Scorbunny</t>
  </si>
  <si>
    <t>Juoksemalla tehtävä lämmittely saa tulienergian virtaamaan tämän Pokémonin kehossa. Kun se tapahtuu, se on valmis taistelemaan täydellä teholla.</t>
  </si>
  <si>
    <t>Sillä on erityiset tyynyt tassujen takaosissa ja yksi kuonossa. Kun se on taisteluvalmiina, nämä tyynyt säteilevät valtavasti lämpöä.</t>
  </si>
  <si>
    <t>https://pokeapi.co/api/v2/pokemon-species/591/</t>
  </si>
  <si>
    <t>Raboot</t>
  </si>
  <si>
    <t>Sen paksu ja pörröinen turkki suojaa sitä kylmältä ja mahdollistaa kuumempien tuliliikkeiden käytön.</t>
  </si>
  <si>
    <t>Se potkailee marjoja suoraan puiden oksilta ja jonglööraa niitä sitten jaloillaan harjoitellen jalkatyötään.</t>
  </si>
  <si>
    <t>Cinderace</t>
  </si>
  <si>
    <t>Hyökkääjä-Pokémon</t>
  </si>
  <si>
    <t>Se jonglööraa kiveä jaloillaan muuttaen sen palavaksi jalkapalloksi. Sen laukaukset osuvat vastustajiin lujaa ja polttavat heidät.</t>
  </si>
  <si>
    <t>Se on taitava sekä hyökkäyksessä että puolustuksessa, ja se saa energiaa kannustuksesta. Mutta jos se alkaa näyttäytyä, se voi joutua vaikeaan tilanteeseen.</t>
  </si>
  <si>
    <t>Sobble</t>
  </si>
  <si>
    <t>Vesilisko-Pokémon</t>
  </si>
  <si>
    <t>Pelästyessään tämä Pokémon itkee. Sen kyyneleet ovat kemiallisesti yhtä tehokkaita kuin 100 sipulia, eivätkä hyökkääjät pysty vastustamaan itkua.</t>
  </si>
  <si>
    <t>Kastuessaan sen iho vaihtaa väriä, ja tästä Pokémonista tulee näkymätön ikään kuin se olisi naamioitu.</t>
  </si>
  <si>
    <t>Drizzile</t>
  </si>
  <si>
    <t>Tämä Pokémon on nokkela taistelija, joka taistelee käyttämällä vesipalloja, jotka on luotu sen kämmenistä erittyvästä kosteudesta.</t>
  </si>
  <si>
    <t>Erittäin älykäs mutta myös hyvin laiska, se pitää viholliset poissa reviiriltään asettamalla ansoja kaikkialle.</t>
  </si>
  <si>
    <t>Inteleon</t>
  </si>
  <si>
    <t>Salainen agentti Pokémon</t>
  </si>
  <si>
    <t>Sillä on monia piilotettuja ominaisuuksia, kuten sormenpäät, joilla se voi ampua vettä, ja selässä oleva kalvo, jota se voi käyttää liukumiseen ilmassa.</t>
  </si>
  <si>
    <t>Sen vilkkukalvot antavat sen tunnistaa vihollisten heikot kohdat, jotta se voi ampua niitä tarkasti sormenpäistään Mach 3 -nopeudella suihkuavalla vedellä.</t>
  </si>
  <si>
    <t>https://pokeapi.co/api/v2/pokemon-species/592/</t>
  </si>
  <si>
    <t>Skwovet</t>
  </si>
  <si>
    <t>Röyhkeä Pokémon</t>
  </si>
  <si>
    <t>Tätä Galarin alueella esiintyvää Pokémonia vaivaa, jos sen posket ovat kokonaan tyhjät marjoista.</t>
  </si>
  <si>
    <t>Se syö marjoja taukoamatta – tapa, joka on tehnyt siitä sitkeämmän kuin miltä se näyttää. Se ilmestyy maatiloille etsimään lisää marjoja.</t>
  </si>
  <si>
    <t>Greedent</t>
  </si>
  <si>
    <t>Ahne Pokémon</t>
  </si>
  <si>
    <t>Se kätkee marjoja pyrstöönsä – niin paljon marjoja, että ne putoavat ulos jatkuvasti. Mutta tämä Pokémon on hieman hidasälyinen, joten se ei huomaa niiden katoamista.</t>
  </si>
  <si>
    <t>Galarin alueella yleinen Pokémon, jolla on vahvat hampaat ja joka voi pureskella läpi kovimpienkin marjojen kuorien.</t>
  </si>
  <si>
    <t>Rookidee</t>
  </si>
  <si>
    <t>Se haastaa rohkeasti minkä tahansa vastustajan, olipa tämä kuinka voimakas tahansa. Tämä Pokémon hyötyy jokaisesta taistelusta – jopa tappio lisää sen voimaa hieman.</t>
  </si>
  <si>
    <t>Ketterästi hyppivä pienikokoinen Pokémon hyödyntää pienimmätkin tilaisuudet hämmentääkseen suurempia vastustajia.</t>
  </si>
  <si>
    <t>Corvisquire</t>
  </si>
  <si>
    <t>Korppi-Pokémon</t>
  </si>
  <si>
    <t>Nämä Pokémonit ovat tarpeeksi älykkäitä käyttämään työkaluja taistelussa, ja heidän on nähty poimivan kiviä ja heittelevän niitä tai käyttävän köysiä vihollisten käärimiseen.</t>
  </si>
  <si>
    <t>Monien ankarien taisteluiden opetukset ovat opettaneet sille, miten vastustajan vahvuus arvioidaan tarkasti.</t>
  </si>
  <si>
    <t>Corviknight</t>
  </si>
  <si>
    <t>Tämä Pokémon hallitsee Galarin alueen taivaita. Sen teräsrungon musta kiilto voi ajaa kauhun minkä tahansa vihollisen sydämeen.</t>
  </si>
  <si>
    <t>Suuren älykkyytensä ja lentokykyjensä ansiosta nämä Pokémonit toimivat erittäin menestyksekkäästi Galarin alueen ilmataksinapalveluina.</t>
  </si>
  <si>
    <t>Blipbug</t>
  </si>
  <si>
    <t>Jatkuva tiedonkerääjänä tämä Pokémon on erittäin älykäs. Erittäin vahva se ei kuitenkaan ole.</t>
  </si>
  <si>
    <t>Usein puutarhoissa tavattavalla Pokémonilla on kehossaan karvoja, joita se käyttää ympäristönsä arvioimiseen.</t>
  </si>
  <si>
    <t>Dottler</t>
  </si>
  <si>
    <t>Radome-Pokémon</t>
  </si>
  <si>
    <t>Se tuskin liikkuu, mutta on silti elossa. Piiloutuminen kuoressaan ilman ruokaa tai vettä näyttää herättäneen sen psyykkiset voimat.</t>
  </si>
  <si>
    <t>Kasvaessaan kuorensa sisällä se käyttää psyykkisiä kykyjään ulkomaailman tarkkailuun ja evoluutioon valmistautumiseen.</t>
  </si>
  <si>
    <t>Orbeetle</t>
  </si>
  <si>
    <t>Seitsemän pisteen Pokémon</t>
  </si>
  <si>
    <t>https://pokeapi.co/api/v2/pokemon-species/593/</t>
  </si>
  <si>
    <t>Se on kuuluisa korkeasta älykkyydestään, ja sen aivojen suuri koko on todiste siitä, että sillä on myös valtava psyykkinen voima.</t>
  </si>
  <si>
    <t>Se säteilee psyykkistä energiaa havainnoidakseen ja tutkiakseen ympäristöään – ja sen ympäristö voi sisältää yli kuuden mailin päässä olevia asioita.</t>
  </si>
  <si>
    <t>Nickit</t>
  </si>
  <si>
    <t>Pehmeiden tassujensa avulla se ryöstää äänettömästi muiden Pokémonien ruokavarastoja. Se selviytyy epäreilusti hankkimillaan saaliilla.</t>
  </si>
  <si>
    <t>Tämä viekas ja varovainen Pokémon selviää varastamalla ruokaa muilta. Se pyyhkii jälkensä pois hännänheilautuksilla lähtiessään karkuun saaliinsa kanssa.</t>
  </si>
  <si>
    <t>Thievul</t>
  </si>
  <si>
    <t>Se merkitsee salaa potentiaaliset kohteet hajulla. Seuraamalla hajua se vaanii kohteitaan ja varastaa heiltä juuri silloin, kun he sitä vähiten odottavat.</t>
  </si>
  <si>
    <t>Notkean ruumiinsa ja terävien kynsiensä ansiosta se kulkee ympäriinsä varastaen ruokaa ja munia. Boltund on sen luontainen vihollinen.</t>
  </si>
  <si>
    <t>Gossifleur</t>
  </si>
  <si>
    <t>Se ankkuroi itsensä maahan yhdellä jalallaan ja paistattelee sitten auringossa. Saatuaan riittävästi auringonvaloa sen terälehdet leviävät ja se kukkii loistokkaasti.</t>
  </si>
  <si>
    <t>Se pyörii tuulessa laulaen iloista laulua. Tämä ihastuttava esitys on hurmannut monia kasvattamaan tämän Pokémonin.</t>
  </si>
  <si>
    <t>Eldegoss</t>
  </si>
  <si>
    <t>Cotton Bloom -pokémon</t>
  </si>
  <si>
    <t>Sen puuvillanöyhtään kiinnittyneet siemenet ovat täynnä ravinteita. Se levittää niitä tuulen mukana, jotta kasvit ja muut Pokémonit voivat hyötyä niistä.</t>
  </si>
  <si>
    <t>Tämän Pokémonin päässä olevasta puuvillasta voidaan kehrätä kiiltävää, upeaa lankaa – Galarin alueellista erikoisuutta.</t>
  </si>
  <si>
    <t>Wooloo</t>
  </si>
  <si>
    <t>Lammas-Pokémon</t>
  </si>
  <si>
    <t>Sen kihara fleece on niin tehokas tyyny, että tämä Pokémon voi pudota kalliolta ja nousta takaisin alhaalta vahingoittumattomana.</t>
  </si>
  <si>
    <t>Jos sen fleece kasvaa liian pitkäksi, Wooloo ei pysty liikkumaan. Tämän Pokémonin villasta tehty kangas on yllättävän vahvaa.</t>
  </si>
  <si>
    <t>Dubwool</t>
  </si>
  <si>
    <t>Kudo matto sen joustavasta villasta, niin saat jotain lähemmäs trampoliinia. Alat pomppia heti, kun astut sille.</t>
  </si>
  <si>
    <t>Sen majesteettiset sarvet on tarkoitettu vain tekemään vaikutus vastakkaiseen sukupuoleen. Niille ei koskaan ole käyttöä taistelussa.</t>
  </si>
  <si>
    <t>Chewtle</t>
  </si>
  <si>
    <t>Pokémonien napsahtaminen</t>
  </si>
  <si>
    <t>Ilmeisesti hampaiden puhkeamisen kutina ajaa sen napsahtamaan leukojaan kaikelle edessään olevalle.</t>
  </si>
  <si>
    <t>https://pokeapi.co/api/v2/pokemon-species/594/</t>
  </si>
  <si>
    <t>Se aloittaa taistelut hyökkäämällä kivikovalla sarvellaan, mutta heti kun vastustaja säpsähtää, tämä Pokémon puree alas eikä päästä irti.</t>
  </si>
  <si>
    <t>Drednaw</t>
  </si>
  <si>
    <t>Terästankojen läpi katkaisevilla leuoillaan tämä erittäin aggressiivinen Pokémon jyrää epäonnista saalistaan.</t>
  </si>
  <si>
    <t>Tämä Pokémon ojentaa nopeasti sisäänvedettävän kaulansa upottaakseen terävät kulmahampaansa kaukaisiin vihollisiin ja kaataakseen ne.</t>
  </si>
  <si>
    <t>Yamper</t>
  </si>
  <si>
    <t>Tämä Pokémon on erittäin suosittu paimenkoira Galarin alueella. Juostessaan se tuottaa sähköä hännäntyvestä.</t>
  </si>
  <si>
    <t>Tämä ahne Pokémon auttaa ihmisiä töissä vain, koska se haluaa herkkuja. Juostessaan se rätisee sähköstä.</t>
  </si>
  <si>
    <t>Boltund</t>
  </si>
  <si>
    <t>Koira-Pokémon</t>
  </si>
  <si>
    <t>Tämä Pokémon tuottaa sähköä ja kanavoi sitä jalkoihinsa pitääkseen ne vahvoina. Boltund voi juosta tauotta kolme kokonaista päivää.</t>
  </si>
  <si>
    <t>Se lähettää sähköä jalkojensa kautta lisätäkseen niiden voimaa. Huippunopeudella se saavuttaa helposti 80 km/h nopeuden.</t>
  </si>
  <si>
    <t>Rolycoly</t>
  </si>
  <si>
    <t>Suurin osa sen ruumiista on koostumukseltaan samaa kuin kivihiilellä. Sopivasti tämä Pokémon löydettiin ensimmäisen kerran hiilikaivoksista noin 400 vuotta sitten.</t>
  </si>
  <si>
    <t>Se voi kiitää ympäriinsä kuin yksipyöräinen, jopa epätasaisessa, kivisessä maastossa. Hiilen palaminen pitää sen käynnissä.</t>
  </si>
  <si>
    <t>Carkol</t>
  </si>
  <si>
    <t>Se muodostaa hiiltä kehossaan. Tämän Pokémonin pudottama hiili auttoi aikoinaan ruokkimaan Galarin alueen ihmisten elämää.</t>
  </si>
  <si>
    <t>Nopeasti jalkojaan pyörittämällä se voi kulkea yli 29 km/h nopeudella. Sen hengittämien liekkien lämpötila ylittää 700 celsiusastetta.</t>
  </si>
  <si>
    <t>Coalossal</t>
  </si>
  <si>
    <t>Yleensä siellä on rauhallista, mutta kaivosten vandalismi raivostuttaa. Rikkojat poltetaan liekeissä, joiden lämpötila nousee 2 700 celsiusasteeseen.</t>
  </si>
  <si>
    <t>Taistelun aikana sen hiilivuori hehkuu kirkkaan punaisena ja lähettää kipinöitä, jotka polttavat ympäröivän alueen.</t>
  </si>
  <si>
    <t>Applin</t>
  </si>
  <si>
    <t>Apple Core -Pokémon</t>
  </si>
  <si>
    <t>https://pokeapi.co/api/v2/pokemon-species/595/</t>
  </si>
  <si>
    <t>Se viettää koko elämänsä omenan sisällä. Se piiloutuu luonnollisilta vihollisiltaan, lintu-Pokémoneilta, teeskentelemällä olevansa vain omena eikä mitään muuta.</t>
  </si>
  <si>
    <t>Heti syntyttyään se kaivautuu omenaan. Omena ei ainoastaan ​​toimi sen ravinnonlähteenä, vaan hedelmän maku määrää sen kehityksen.</t>
  </si>
  <si>
    <t>Flapple</t>
  </si>
  <si>
    <t>Omenansiipi-Pokémon</t>
  </si>
  <si>
    <t>Se söi happaman omenan, ja se käynnisti sen evoluution. Sen poskissa on happoa, joka voi aiheuttaa kemiallisia palovammoja.</t>
  </si>
  <si>
    <t>Se lentää omenankuoren siivillä ja sylkee voimakasta happoa. Se voi myös muuttaa muotoaan omenan muotoiseksi.</t>
  </si>
  <si>
    <t>Appletun</t>
  </si>
  <si>
    <t>Omenanektari-Pokémon</t>
  </si>
  <si>
    <t>Makean omenan syöminen johti sen evoluutioon. Sen kehosta leijuu mekkäinen tuoksu, joka houkuttelee puoleensa sen saalistaman ötökkä-Pokémonin.</t>
  </si>
  <si>
    <t>Sen ruumis on peittynyt makeaan nektariin, ja sen selän nahka on erityisen herkullinen. Lapset söivät sitä ennen välipalana.</t>
  </si>
  <si>
    <t>Silicobra</t>
  </si>
  <si>
    <t>Hiekkakäärme-Pokémon</t>
  </si>
  <si>
    <t>Kaivaessaan se nielee hiekkaa ja varastoi sen kaulapussiinsa. Pussiin mahtuu yli 7,5 kiloa hiekkaa.</t>
  </si>
  <si>
    <t>Se sylkee hiekkaa sieraimistaan. Vihollisen ollessa sokaistunut se kaivautuu maahan piiloutuakseen.</t>
  </si>
  <si>
    <t>Sandaconda</t>
  </si>
  <si>
    <t>Kun se supistaa ruumistaan, sen kuonosta suihkuaa yli 100 kiloa hiekkaa. Jos hiekka loppuu, se lannistuu.</t>
  </si>
  <si>
    <t>Sen ainutlaatuinen kelaustapa mahdollistaa hiekan tehokkaamman puhaltamisen hiekkapussistaan.</t>
  </si>
  <si>
    <t>Cramorant</t>
  </si>
  <si>
    <t>Gulp-Pokémon</t>
  </si>
  <si>
    <t>Se on niin vahva, että se voi tyrmätä vastustajia yhdellä iskulla, mutta se saattaa myös unohtaa kesken taistelun, mitä vastaan ​​se taistelee.</t>
  </si>
  <si>
    <t>https://pokeapi.co/api/v2/pokemon-species/596/</t>
  </si>
  <si>
    <t>Tämä nälkäinen Pokémon nielee Arrokudan kokonaisena. Toisinaan se tekee virheen ja yrittää niellä muun Pokémonin kuin suosikkisaaliinsa.</t>
  </si>
  <si>
    <t>Arrokuda</t>
  </si>
  <si>
    <t>Rush-Pokémon</t>
  </si>
  <si>
    <t>Jos se näkee liikettä ympärillään, tämä Pokémon ryntää sen kimppuun heti teräväkärkisellä leuallaan edellä. Se on erittäin ylpeä leuastaan.</t>
  </si>
  <si>
    <t>Kun se on syönyt vatsansa täyteen, sen liikkeet hidastuvat äärimmäisen hitaasti. Silloin Cramorant nielaisee sen.</t>
  </si>
  <si>
    <t>Barraskewda</t>
  </si>
  <si>
    <t>Varras-Pokémon</t>
  </si>
  <si>
    <t>Tämän Pokémonin leuka on terävä kuin keihäs ja vahva kuin teräs. Ilmeisesti myös Barraskewdan liha on yllättävän maukasta.</t>
  </si>
  <si>
    <t>Se pyörittää pyrstöeviään liikkuakseen eteenpäin, syöksyy eteenpäin yli 100 solmun nopeudella ennen kuin törmää saaliiseen ja iskee siihen.</t>
  </si>
  <si>
    <t>Toxel</t>
  </si>
  <si>
    <t>Vauva-Pokémon</t>
  </si>
  <si>
    <t>Se varastoi myrkkyä sisäiseen myrkkypussiin ja erittää sitä ihonsa läpi. Jos kosket tähän Pokémoniin, tunnet kihelmöintiä.</t>
  </si>
  <si>
    <t>https://pokeapi.co/api/v2/pokemon-species/597/</t>
  </si>
  <si>
    <t>Se muokkaa myrkkynsä kemiallista koostumusta tuottaakseen sähköä. Jännite on heikko, mutta se voi aiheuttaa kihelmöivän halvaantumisen.</t>
  </si>
  <si>
    <t>Toxtricity</t>
  </si>
  <si>
    <t>Punk-Pokémon</t>
  </si>
  <si>
    <t>Kun tämä Pokémon kuulostaa siltä kuin se näppäilisi kitaraa, se itse asiassa raapii rintansa ulokkeita tuottaakseen sähköä.</t>
  </si>
  <si>
    <t>Tämä äkkipikainen ja aggressiivinen Pokémon imee seisovaa vettä itseensä kaikki sen mahdolliset myrkyt.</t>
  </si>
  <si>
    <t>Sizzlipede</t>
  </si>
  <si>
    <t>Jäähdytin-Pokémon</t>
  </si>
  <si>
    <t>Se varastoi syttyvää kaasua kehoonsa ja käyttää sitä lämmön tuottamiseen. Sen vatsan keltaiset alueet kuumenevat erityisen kuumiksi.</t>
  </si>
  <si>
    <t>Se käärii saaliinsa kuumentuneeseen ruumiiseensa ja kypsentää ne kiemuroihinsa. Kun saalis on kypsää, se nakertelee sitä ahneesti viimeiseen palaan asti.</t>
  </si>
  <si>
    <t>Centiskorch</t>
  </si>
  <si>
    <t>https://pokeapi.co/api/v2/pokemon-species/598/</t>
  </si>
  <si>
    <t>Kun se lämpenee, sen ruumiinlämpötila nousee noin 600 celsiusasteeseen. Se lyö ruumistaan ​​kuin ruoska ja syöksyy vihollisia kohti.</t>
  </si>
  <si>
    <t>Vaikka sen palava ruumis on jo itsessään vaarallinen, tällä äärimmäisen vihamielisellä Pokémonilla on myös suuret ja erittäin terävät torahampaat.</t>
  </si>
  <si>
    <t>Clobbopus</t>
  </si>
  <si>
    <t>Kiukuttelu-Pokémon</t>
  </si>
  <si>
    <t>Se on hyvin utelias, mutta sen tapa tutkia asioita on yrittää lyödä niitä lonkeroillaan. Ruoan etsintä tuo sen maihin.</t>
  </si>
  <si>
    <t>Sen lonkerot repeävät helposti irti, mutta se ei säikähdä silloin – se tietää niiden kasvavan takaisin. Se on suunnilleen yhtä älykäs kuin kolmevuotias.</t>
  </si>
  <si>
    <t>Grapploct</t>
  </si>
  <si>
    <t>Jujitsu-Pokémon</t>
  </si>
  <si>
    <t>https://pokeapi.co/api/v2/pokemon-species/599/</t>
  </si>
  <si>
    <t>Pelkistä lihaksista koostuva ruumis tekee tämän Pokémonin lonkeroillaan suorittamista painiliikkeistä valtavan voimakkaita.</t>
  </si>
  <si>
    <t>Etsiessään vastustajaa, jota vastaan ​​testata taitojaan, se nousee maihin. Taistelun päätyttyä se palaa mereen.</t>
  </si>
  <si>
    <t>Sinistea</t>
  </si>
  <si>
    <t>Mustan teen Pokémon</t>
  </si>
  <si>
    <t>Tämän Pokémonin sanotaan syntyneen, kun yksinäinen henki otti haltuunsa kylmän, teetä yli jääneen kupin.</t>
  </si>
  <si>
    <t>Teekuppi, jossa tämä Pokémon asuu, on kuuluisa antiikkiastiasto. Liikkeellä on monia väärennöksiä.</t>
  </si>
  <si>
    <t>Polteageist</t>
  </si>
  <si>
    <t>Tämä laji elää antiikkisissa teekannuissa. Useimmat kannut ovat väärennöksiä, mutta harvoin löytyy aitoja teoksia.</t>
  </si>
  <si>
    <t>https://pokeapi.co/api/v2/pokemon-species/600/</t>
  </si>
  <si>
    <t>Jäljelle jääneen mustan teen jättäminen ilman valvontaa pyytää tätä Pokémonia tulemaan ja kaatamaan itsensä teehen, muuttaen teen uudeksi polteageistiksi.</t>
  </si>
  <si>
    <t>Hatenna</t>
  </si>
  <si>
    <t>Pään ulokkeen kautta se aistii muiden olentojen tunteita. Jos sinulla ei ole rauhallista luonnetta, se ei koskaan lämpene sinua kohtaan.</t>
  </si>
  <si>
    <t>Jos tämä Pokémon aistii voimakkaan tunteen, se juoksee karkuun niin nopeasti kuin pystyy. Se suosii alueita, joilla ei ole ihmisiä.</t>
  </si>
  <si>
    <t>Hattrem</t>
  </si>
  <si>
    <t>Olitpa kuka tahansa, jos tuot voimakkaita tunteita tämän Pokémonin lähelle, se hiljentää sinut rajusti.</t>
  </si>
  <si>
    <t>Se lyö vihollisia päässään olevilla leteillä saadakseen heidät rauhoittumaan. Yksi isku noista leteistä tyrmäisi ammattinyrkkeilijän.</t>
  </si>
  <si>
    <t>Hatterene</t>
  </si>
  <si>
    <t>Hiljainen Pokémon</t>
  </si>
  <si>
    <t>Se säteilee psyykkistä voimaa, joka on niin voimakasta, että se aiheuttaa päänsärkyä ja estää muita lähestymästä.</t>
  </si>
  <si>
    <t>Jos olet liian äänekäs sen lähellä, sen lonkeron kynnet voivat repiä sinut kappaleiksi. Tämä Pokémon tunnetaan myös nimellä Metsän noita.</t>
  </si>
  <si>
    <t>Impidimp</t>
  </si>
  <si>
    <t>Nenänsä kautta se imee sisäänsä ihmisten ja Pokémonien ärsyyntyneistä lähteitä. Se elää tästä negatiivisesta energiasta.</t>
  </si>
  <si>
    <t>https://pokeapi.co/api/v2/pokemon-species/601/</t>
  </si>
  <si>
    <t>Se hiipii ihmisten koteihin, varastaa tavaroita ja herkuttelee turhautuneiden asukkaiden negatiivisella energialla.</t>
  </si>
  <si>
    <t>Morgrem</t>
  </si>
  <si>
    <t>Kun se laskeutuu kontalleen ikään kuin anelemaan anteeksiantoa, se yrittää houkutella vastustajia luokseen voidakseen iskeä heitä keihäänmäisillä karvoillaan.</t>
  </si>
  <si>
    <t>Se yrittää oveluudella houkutella ihmisiä metsään. Jotkut uskovat, että sillä on kyky saada sadot kasvamaan.</t>
  </si>
  <si>
    <t>Grimmsnarl</t>
  </si>
  <si>
    <t>Kasaa Pokémoneja</t>
  </si>
  <si>
    <t>Karvojen kiedotessa sen vartalon ympärille ja vahvistaen sen lihaksia, tämä Pokémon voi hämmentää jopa Machampia.</t>
  </si>
  <si>
    <t>Sen karvat toimivat kuin lihaskuidut. Kun sen karvat avautuvat, ne tarttuvat vastustajiin ja kietovat heidät ansaan kuin lonkerot.</t>
  </si>
  <si>
    <t>Obstagoon</t>
  </si>
  <si>
    <t>Pokémonien estäminen</t>
  </si>
  <si>
    <t>Sen ääni on häkellyttävän voimakas. Esteellä on taipumus ottaa uhkaava asento ja huutaa – tätä liikettä kutsutaan Esteeksi.</t>
  </si>
  <si>
    <t>Se kehittyi lukuisten taisteluiden jälkeen. Ristiessään käsivartensa se päästää huudon, joka saa minkä tahansa vastustajan säpsähtämään.</t>
  </si>
  <si>
    <t>Perrserker</t>
  </si>
  <si>
    <t>Viikinki-Pokémon</t>
  </si>
  <si>
    <t>Rautakypärältä näyttävä Pokémon on itse asiassa kovettunutta hiusta. Tämä Pokémon elää taistelun jännityksestä.</t>
  </si>
  <si>
    <t>Monien taisteluiden jälkeen se kehitti vaaralliset kynnet, jotka ojennettuina muodostavat tikareita.</t>
  </si>
  <si>
    <t>Cursola</t>
  </si>
  <si>
    <t>Sen kuori pursuaa korostunutta toismaailmallista energiaa. Ektoplasma toimii suojana tämän Pokémonin ydinhengelle.</t>
  </si>
  <si>
    <t>https://pokeapi.co/api/v2/pokemon-species/602/</t>
  </si>
  <si>
    <t>Ole varovainen sen sielua ympäröivän ektoplasmisen ruumiin suhteen. Kosketat sitä ja jäykistyt kuin kivi.</t>
  </si>
  <si>
    <t>Sirfetch’d</t>
  </si>
  <si>
    <t>Vain useista taisteluista selvinneet Farfetch’dit voivat saavuttaa tämän evoluution. Kun tämän Pokémonin purjo kuihtuu, se vetäytyy taistelusta.</t>
  </si>
  <si>
    <t>Torjuttuaan hyökkäykset kovalla lehtikilvellään se iskee takaisin terävällä purjon varrellaan. Purjon varsi on sekä ase että ruoka.</t>
  </si>
  <si>
    <t>Mr. Rime</t>
  </si>
  <si>
    <t>Koomikko-Pokémon</t>
  </si>
  <si>
    <t>Se on erittäin taitava steppaamaan. Se heiluttaa jääkeppiään sulavasti tahdissa.</t>
  </si>
  <si>
    <t>Sen hauskat liikkeet tekevät siitä erittäin suositun. Se vapauttaa psyykkisen voimansa vatsansa kuviosta.</t>
  </si>
  <si>
    <t>Runerigus</t>
  </si>
  <si>
    <t>Kauna-Pokémon</t>
  </si>
  <si>
    <t>Voimakas kirous oli kudottu muinaiseen maalaukseen. Imeytyään itseensä Yamaskin hengen maalaus alkoi liikkua.</t>
  </si>
  <si>
    <t>https://pokeapi.co/api/v2/pokemon-species/603/</t>
  </si>
  <si>
    <t>Älä koskaan koske sen varjomaiseen vartaloon, tai sinulle näytetään siihen kaiverretun kuvan takana olevat kauhistuttavat muistot.</t>
  </si>
  <si>
    <t>Milcery</t>
  </si>
  <si>
    <t>Kerma-Pokémon</t>
  </si>
  <si>
    <t>Tämä Pokémon syntyi ilmassa olevista makeantuoksuisista hiukkasista. Sen ruumis on tehty kermasta.</t>
  </si>
  <si>
    <t>Sanotaan, että Milceryn vierailema leivonnainen tuo taatusti menestystä ja onnea.</t>
  </si>
  <si>
    <t>Alcremie</t>
  </si>
  <si>
    <t>Kun se luottaa kouluttajaan, se hemmottelee sitä kermalla koristelluilla marjoilla.</t>
  </si>
  <si>
    <t>Kun Alcremie on tyytyväinen, sen käsistä erittämä kerma muuttuu makeammaksi ja täyteläisemmäksi.</t>
  </si>
  <si>
    <t>https://pokeapi.co/api/v2/pokemon-species/604/</t>
  </si>
  <si>
    <t>Falinks</t>
  </si>
  <si>
    <t>Pokémonin muodostuminen</t>
  </si>
  <si>
    <t>Viisi heistä on sotilaita ja yksi on johtokunnan jäseniä. Johtajien käskyt ovat ehdottomat.</t>
  </si>
  <si>
    <t>Heistä kuusi työskentelee yhdessä yhtenä Pokémonina. Tiimityöskentely on myös heidän taistelustrategiansa, ja he muuttavat jatkuvasti muodostelmaansa taistelun aikana.</t>
  </si>
  <si>
    <t>Pincurchin</t>
  </si>
  <si>
    <t>Merisiili-Pokémon</t>
  </si>
  <si>
    <t>Se syö merilevää ja kaapii sitä kivistä hampaillaan. Sähkövirta kulkee sen piikkien kärjistä.</t>
  </si>
  <si>
    <t>Se varastoi sähköä kumpaankin selkärankaan. Vaikka toinen katkeaisi, se jatkaa sähkön säteilyä vähintään kolmen tunnin ajan.</t>
  </si>
  <si>
    <t>Snom</t>
  </si>
  <si>
    <t>Se sylkee ulos jääkylmän energian kyllästämää lankaa ja käyttää sitä sitoakseen ruumiinsa oksiin naamioituen jääpuikoksi nukkuessaan.</t>
  </si>
  <si>
    <t>Se syö maahan kasaantuvaa lunta. Mitä enemmän lunta se syö, sitä suuremmiksi ja vaikuttavammiksi sen selässä olevat piikit kasvavat.</t>
  </si>
  <si>
    <t>Frosmoth</t>
  </si>
  <si>
    <t>Pakkasyökki-Pokémon</t>
  </si>
  <si>
    <t>Jäisiä suomuja putoaa sen siivistä kuin lunta sen lentäessä peltojen ja vuorten yli. Sen siipien lämpötila on alle −290 celsiusastetta.</t>
  </si>
  <si>
    <t>Se ei armahda ketään, joka häpäisee peltoja ja vuoria. Se lentää jäisillä siivillään ja aiheuttaa lumimyrskyn, joka ajaa loukkaajat pois.</t>
  </si>
  <si>
    <t>https://pokeapi.co/api/v2/pokemon-species/605/</t>
  </si>
  <si>
    <t>Stonjourner</t>
  </si>
  <si>
    <t>Iso kivi-Pokémon</t>
  </si>
  <si>
    <t>Se seisoo ruohoalueilla ja katselee auringon laskeutumista zeniitistä horisonttiin. Tällä Pokémonilla on kyky antaa dynaamisia potkuja.</t>
  </si>
  <si>
    <t>Kerran vuodessa, tiettynä päivänä ja tiettyyn aikaan, he kokoontuvat tyhjästä ja muodostavat ympyrän.</t>
  </si>
  <si>
    <t>Eiscue</t>
  </si>
  <si>
    <t>Se ajelehti kylmältä paikalta virtaavien merivesien mukana. Se pitää päänsä jatkuvasti jäässä pysyäkseen mukavan kylmänä.</t>
  </si>
  <si>
    <t>Tämä Pokémon pitää lämpöherkän päänsä viileänä jäällä. Se kalastaa ruokansa ja houkuttelee saalista roikottamalla yksittäisiä karvojaan mereen.</t>
  </si>
  <si>
    <t>Indeedee</t>
  </si>
  <si>
    <t>Se käyttää päässään olevia sarvia aistiakseen muiden tunteita. Urokset toimivat palvelijoinaan ja huolehtivat heidän jokaisesta tarpeestaan.</t>
  </si>
  <si>
    <t>Sarviensa kautta se voi aistia ympärillään olevien olentojen tunteita. Positiiviset tunteet ovat sen voiman lähde.</t>
  </si>
  <si>
    <t>Morpeko</t>
  </si>
  <si>
    <t>Kaksipuolinen Pokémon</t>
  </si>
  <si>
    <t>Syödessään taskumaisissa pusseissaan varastoituja siemeniä tämä Pokémon ei ainoastaan ​​tyydytä jatkuvaa nälkäänsä, vaan se myös tuottaa sähköä.</t>
  </si>
  <si>
    <t>Se kantaa mukanaan sähköisesti paahdettuja siemeniä kuin arvokkaita aarteita. Syöpä se kuinka paljon tahansa, se tulee aina pian uudelleen nälkäiseksi.</t>
  </si>
  <si>
    <t>Cufant</t>
  </si>
  <si>
    <t>https://pokeapi.co/api/v2/pokemon-species/606/</t>
  </si>
  <si>
    <t>Kuparidermi-Pokémon</t>
  </si>
  <si>
    <t>Se kaivaa maan ylös rungollaan. Se on myös erittäin vahva ja pystyy kantamaan yli viiden tonnin kuormia ilman ongelmia.</t>
  </si>
  <si>
    <t>Jos työ vaatii vakavaa voimaa, tämä Pokémon loistaa siinä. Sen kuparinvärinen ruumis tummuu sateessa muuttuen eloisan vihreäksi.</t>
  </si>
  <si>
    <t>Copperajah</t>
  </si>
  <si>
    <t>Ne tulivat toiselta alueelta kauan sitten ja työskentelivät yhdessä ihmisten kanssa. Niiden vihreä iho on vettähylkivä.</t>
  </si>
  <si>
    <t>Nämä Pokémonit elävät laumoissa. Niiden kärsillä on uskomaton otevoima, joka on riittävän vahva murskaamaan jättimäisiä kiviä tomuksi.</t>
  </si>
  <si>
    <t>Dracozolt</t>
  </si>
  <si>
    <t>Muinaisina aikoina se oli lyömätön voimakkaan alavartalonsa ansiosta, mutta se kuoli sukupuuttoon joka tapauksessa, kun se oli ehtyttänyt kaikki kasviperäiset ravinnonlähteensä.</t>
  </si>
  <si>
    <t>Sen hännän voimakkaat lihakset tuottavat sille sähköä. Verrattuna sen alavartaloon sen ylävartalo on aivan liian pieni.</t>
  </si>
  <si>
    <t>Arctozolt</t>
  </si>
  <si>
    <t>Sen jäätyneen yläosan tärinä tuottaa sen sähköä. Sen on vaikea kävellä ympäriinsä.</t>
  </si>
  <si>
    <t>https://pokeapi.co/api/v2/pokemon-species/607/</t>
  </si>
  <si>
    <t>Tämä Pokémon eli esihistoriallisilla merenrannoilla ja kykeni säilyttämään ruokaa ruumiinsa jään avulla. Se kuoli sukupuuttoon, koska se liikkui niin hitaasti.</t>
  </si>
  <si>
    <t>Dracovish</t>
  </si>
  <si>
    <t>Voimakkaat jalat ja leuat tekivät siitä aikansa huippupedon. Sen oma saaliin metsästys ajoi sen sukupuuttoon.</t>
  </si>
  <si>
    <t>Sen mahtavat jalat pystyvät juoksemaan yli 64 km/h nopeudella, mutta tämä Pokémon ei voi hengittää, ellei se ole veden alla.</t>
  </si>
  <si>
    <t>Arctovish</t>
  </si>
  <si>
    <t>Vaikka se pystyy nappaamaan saaliin jäädyttämällä ympäristönsä, sillä on vaikeuksia syödä saalista jälkikäteen, koska sen suu on pään päällä.</t>
  </si>
  <si>
    <t>Sen kasvojen iho on hyökkäyksille vastustuskykyinen, mutta hengitysvaikeudet tekivät tästä Pokémonista joka tapauksessa sukupuuttoon kuolleen.</t>
  </si>
  <si>
    <t>Duraludon</t>
  </si>
  <si>
    <t>Alloy-Pokémon</t>
  </si>
  <si>
    <t>Sen runko muistuttaa kiillotettua metallia, ja se on sekä kevyt että vahva. Ainoa haittapuoli on, että se ruostuu helposti.</t>
  </si>
  <si>
    <t>https://pokeapi.co/api/v2/pokemon-species/608/</t>
  </si>
  <si>
    <t>Sen ruumiin muodostava erityinen metalli on erittäin kevyttä, joten tällä Pokémonilla on huomattavaa ketteryyttä. Se asuu luolissa, koska se ei pidä sateesta.</t>
  </si>
  <si>
    <t>Dreepy</t>
  </si>
  <si>
    <t>Viipyilevät Pokémonit</t>
  </si>
  <si>
    <t>Synnyttyään uudelleen haamu-Pokémoniksi Dreepy vaeltaa alueilla, joilla se asutti aikoinaan esihistoriallisissa merissä.</t>
  </si>
  <si>
    <t>Jos tämä heikko Pokémon on yksin, pelkkä lapsi voisi voittaa sen. Mutta jos Dreepyllä on ystäviä auttamassa sitä kouluttautumisessa, se voi kehittyä ja tulla paljon vahvemmaksi.</t>
  </si>
  <si>
    <t>Drakloak</t>
  </si>
  <si>
    <t>Huoltajan Pokémon</t>
  </si>
  <si>
    <t>Se pystyy lentämään yli 190 km/h nopeudella. Se taistelee Dreepyn rinnalla ja himoitsee heitä, kunnes he kehittyvät onnistuneesti.</t>
  </si>
  <si>
    <t>https://pokeapi.co/api/v2/pokemon-species/609/</t>
  </si>
  <si>
    <t>Ilman päähänsä asetettavaa ja hoidettavaa Dreepyä se levottomaksi muuttuu niin, että se yrittää korvata kadonneen Dreepyn millä tahansa löytämällään Pokémonilla.</t>
  </si>
  <si>
    <t>Dragapult</t>
  </si>
  <si>
    <t>Hiiviskely-Pokémon</t>
  </si>
  <si>
    <t>Kun se ei taistele, se pitää Dreepyn sarviensa rei'issä. Taistelun alkaessa se laukaisee Dreepyn kuin yliääniohjukset.</t>
  </si>
  <si>
    <t>Ilmeisesti Dragapultin sarvien sisällä oleva Dreepy odottaa innolla Mach-nopeuksilla laukaistavaa Dreepyä.</t>
  </si>
  <si>
    <t>Zacian</t>
  </si>
  <si>
    <t>Soturi-Pokémon</t>
  </si>
  <si>
    <t>Legendaarisena sankarina tunnettu Pokémon imee metallihiukkasia ja muuttaa ne taisteluaseeksi.</t>
  </si>
  <si>
    <t>Tämä Pokémon on nukkunut vuosia. Jotkut sanovat sen olevan Zamazentan isosisko – toiset sanovat, että nämä kaksi Pokémonia ovat kilpailijoita.</t>
  </si>
  <si>
    <t>Zamazenta</t>
  </si>
  <si>
    <t>Menneisyydessä se työskenteli yhdessä kansan kuninkaan kanssa pelastaakseen Galarin alueen. Se imee metallia, jota se sitten käyttää taistelussa.</t>
  </si>
  <si>
    <t>https://pokeapi.co/api/v2/pokemon-species/610/</t>
  </si>
  <si>
    <t>Tämä Pokémon nukkui aionien ajan patsaan muodossa. Se nukkui niin kauan, että ihmiset unohtivat sen olemassaolon.</t>
  </si>
  <si>
    <t>Eternatus</t>
  </si>
  <si>
    <t>Jättimäinen Pokémon</t>
  </si>
  <si>
    <t>Sen rinnassa oleva ydin imee itseensä Galarin alueen mailta tulevaa energiaa. Tämä energia antaa Eternatuksen pysyä aktiivisena.</t>
  </si>
  <si>
    <t>Se oli meteoriitin sisällä, joka putosi 20 000 vuotta sitten. Tämän Pokémonin ja Dynamax-ilmiön välillä näyttää olevan yhteys.</t>
  </si>
  <si>
    <t>Kubfu</t>
  </si>
  <si>
    <t>Wushu-Pokémon</t>
  </si>
  <si>
    <t>Kubfu harjoittelee ahkerasti täydellistääkseen liikkeitään. Sen hallitsemat liikkeet määräävät, minkä muodon se ottaa kehittyessään.</t>
  </si>
  <si>
    <t>Jos Kubfu vetää sen pitkät valkoiset hiukset päähän, sen taistelutahto voimistuu ja voima kumpuaa sen vatsan syvyyksistä.</t>
  </si>
  <si>
    <t>Urshifu</t>
  </si>
  <si>
    <t>Tämä Urshifu-muoto uskoo vahvasti yhden osuman tyrmäykseen. Sen strategiana on hypätä lähelle vihollista ja iskeä tuhoisa isku kovetetulla nyrkillä.</t>
  </si>
  <si>
    <t>Kaukaisen alueen vuorilla asuen tämä Pokémon kiitää jyrkkien kallioiden yli harjoitellen jalkojaan ja hioen liikkeitään.</t>
  </si>
  <si>
    <t>https://pokeapi.co/api/v2/pokemon-species/611/</t>
  </si>
  <si>
    <t>Zarude</t>
  </si>
  <si>
    <t>Roistoapina-Pokémon</t>
  </si>
  <si>
    <t>Tiheissä metsissä tämä Pokémon elää laumassa muiden lajitovereidensa kanssa. Se on uskomattoman aggressiivinen, ja metsän muut Pokémonit pelkäävät sitä.</t>
  </si>
  <si>
    <t>Kun Zaruden ruumiin köynnökset repeävät irti, niistä tulee maaperän ravinteita. Tämä auttaa metsän kasveja kasvamaan.</t>
  </si>
  <si>
    <t>Regieleki</t>
  </si>
  <si>
    <t>Elektroni-Pokémon</t>
  </si>
  <si>
    <t>Tämä Pokémon on sähköenergiaryppä. Sanotaan, että Regielekin kehosta olevien renkaiden poistaminen vapauttaa Pokémonin piilevän voiman.</t>
  </si>
  <si>
    <t>Sen koko keho koostuu yhdestä elimestä, joka tuottaa sähköenergiaa. Regieleki pystyy tuottamaan kaiken Galarin sähkön.</t>
  </si>
  <si>
    <t>Regidrago</t>
  </si>
  <si>
    <t>Lohikäärmepallo-Pokémon</t>
  </si>
  <si>
    <t>Akateemisen teorian mukaan Regidragon käsivarret olivat aikoinaan muinaisen lohikäärme-Pokémonin pää. Teoriaa ei ole vielä todistettu.</t>
  </si>
  <si>
    <t>Sen keho koostuu kiteytyneestä lohikäärmeenergiasta. Regidragolla sanotaan olevan jokaisen lohikäärme-Pokémonin voimat.</t>
  </si>
  <si>
    <t>Glastrier</t>
  </si>
  <si>
    <t>Villihevos-Pokémon</t>
  </si>
  <si>
    <t>Glastrier erittää kavioistaan ​​voimakasta kylmyyttä. Se on myös sotaisa Pokémon – se ottaa kaiken, mitä haluaa, väkisin.</t>
  </si>
  <si>
    <t>Glastrierilla on valtava fyysinen voima, ja sen kasvoja peittävä jäänaamio on 100 kertaa kovempi kuin timantti.</t>
  </si>
  <si>
    <t>Spectrier</t>
  </si>
  <si>
    <t>Nopea hevonen Pokémon</t>
  </si>
  <si>
    <t>Se luotaa ympäristöään kaikilla aisteillaan yhtä lukuun ottamatta – se ei käytä näköaistiaan. Aaveen potkujen sanotaan erottavan sielun ruumiista.</t>
  </si>
  <si>
    <t>Yön halki kiitäessään Spectrier imee itseensä nukkuvien olentojen elämänvoiman. Se kaipaa hiljaisuutta ja yksinäisyyttä.</t>
  </si>
  <si>
    <t>Calyrex</t>
  </si>
  <si>
    <t>Kuningas-Pokémon</t>
  </si>
  <si>
    <t>Calyrex on armollinen Pokémon, joka kykenee parantamaan ja siunaamaan. Se hallitsi Galarin aluetta menneinä aikoina.</t>
  </si>
  <si>
    <t>Calyrex tunnetaan legendoissa kuninkaana, joka hallitsi Galaria muinaisina aikoina. Sillä on voima saada sydämet korjaamaan ja kasvit kasvattamaan.</t>
  </si>
  <si>
    <t>Wyrdeer</t>
  </si>
  <si>
    <t>Mustat pallot loistavat oudosti, kun Pokémon pystyttää näkymättömiä esteitä. Sen parrasta irtoava turkki pitää lämmön hyvin ja on erittäin hyödyllinen materiaali talvivaatteissa.</t>
  </si>
  <si>
    <t>https://pokeapi.co/api/v2/pokemon-species/612/</t>
  </si>
  <si>
    <t>Kleavor</t>
  </si>
  <si>
    <t>Kirves-Pokémon</t>
  </si>
  <si>
    <t>Väkivaltainen olento, joka kaataa korkeita puita karkeilla kirveillään ja suojaa itseään kovalla kivellä. Jos joku sattuu kohtaamaan tämän Pokémonin erämaassa, ainoa keino on paeta.</t>
  </si>
  <si>
    <t>Ursaluna</t>
  </si>
  <si>
    <t>Turve-Pokémon</t>
  </si>
  <si>
    <t>Uskon, että Hisuin soinen maasto antoi Ursalunalle sen rotevan fysiikan ja uuden kyvyn manipuloida turvetta mielensä mukaan.</t>
  </si>
  <si>
    <t>Basculegion</t>
  </si>
  <si>
    <t>Iso kala-Pokémon</t>
  </si>
  <si>
    <t>Verhoutuu tovereiden sieluihin, jotka menehtyivät ennen kuin olivat saavuttaneet tavoitteensa matkustaa ylävirtaan. Mikään muu laji Hisuin joissa ei ole Basculegionin veroinen.</t>
  </si>
  <si>
    <t>Sneasler</t>
  </si>
  <si>
    <t>Ilmainen kiipeily-Pokémon</t>
  </si>
  <si>
    <t>Sneaslerin myrkyllisen myrkyn ja pelottavan fyysisen kyvykkyyden vuoksi mikään muu laji ei voisi toivoa voittavansa sitä jäisillä ylängöillä. Yksinäisyyttä suosiva laji ei muodosta laumoja.</t>
  </si>
  <si>
    <t>Overqwil</t>
  </si>
  <si>
    <t>Pin-ryppä-Pokémon</t>
  </si>
  <si>
    <t>Sen keihäänmuotoiset piikit ja raa'a luonne ovat ansainneet sille lempinimen ”merihirviö”. Se ahmii myrkkyä ravinnoksi.</t>
  </si>
  <si>
    <t>https://pokeapi.co/api/v2/pokemon-species/613/</t>
  </si>
  <si>
    <t>Enamorus</t>
  </si>
  <si>
    <t>Rakkaus-viha-Pokémon</t>
  </si>
  <si>
    <t>Kun se lentää tälle maalle meren toiselta puolelta, katkera talvi päättyy. Legendan mukaan tämän Pokémonin rakkaus synnyttää uuden elämän Hisuin halki.</t>
  </si>
  <si>
    <t>Sprigatito</t>
  </si>
  <si>
    <t>Ruohokissa-Pokémon</t>
  </si>
  <si>
    <t>Scarlet</t>
  </si>
  <si>
    <t>Sen pörröinen turkki on koostumukseltaan samanlainen kuin kasveilla. Tämä Pokémon pesee kasvonsa usein estääkseen sitä kuivumasta.</t>
  </si>
  <si>
    <t>Violet</t>
  </si>
  <si>
    <t>Sen kehon makea tuoksu lumoaa ympärillä olevat. Tuoksu voimistuu auringossa.</t>
  </si>
  <si>
    <t>Floragato</t>
  </si>
  <si>
    <t>Floragato käyttää taitavasti pitkän turkin alla piilossa olevaa köynnöstä ja paiskaa kovan kukkanupun vastustajiaan vasten.</t>
  </si>
  <si>
    <t>Floragaton turkin kovuus riippuu Pokémonin mielialasta. Kun Floragato on valmis taisteluun, sen turkista tulee terävä ja neulanterävä.</t>
  </si>
  <si>
    <t>Meowscarada</t>
  </si>
  <si>
    <t>Taikuri-Pokémon</t>
  </si>
  <si>
    <t>Tämä Pokémon käyttää viittansa heijastavaa turkkia naamioidakseen kukkansa varren, luoden illuusion siitä, että kukka leijuu.</t>
  </si>
  <si>
    <t>Taitavasti harhauttamalla se hämäilee vihollisia siitepölyä täynnä olevilla kukkapommeilla. Meowscarada laukaisee pommit ennen kuin viholliset tajuavat, mistä on kyse.</t>
  </si>
  <si>
    <t>Fuecoco</t>
  </si>
  <si>
    <t>Tulikrokotiili-Pokémon</t>
  </si>
  <si>
    <t>Se makaa lämpimillä kivillä ja käyttää neliönmuotoisten suomujensa imemää lämpöä tulienergian luomiseen.</t>
  </si>
  <si>
    <t>Sen liekkipussi on pieni, joten energiaa vuotaa jatkuvasti ulos. Tämä energia vapautuu Fuecocon pään päällä olevasta lommosta ja lepattaa edestakaisin.</t>
  </si>
  <si>
    <t>Crocalor</t>
  </si>
  <si>
    <t>Crocalorin tulienergian ja tulvivan elinvoiman yhdistelmä on saanut aikaan munanmuotoisen tulipallon ilmestymisen Pokémonin päähän.</t>
  </si>
  <si>
    <t>Crocalorin liekkipussin läppä on läheisesti yhteydessä sen äänihuulten kanssa. Tämä Pokémon päästää kurkkuhuudon syljessään liekkejä joka suuntaan.</t>
  </si>
  <si>
    <t>Skeledirge</t>
  </si>
  <si>
    <t>Laulaja-Pokémon</t>
  </si>
  <si>
    <t>Tulinen lintu muuttaa muotoaan Skeledirgen laulaessa. Huhun mukaan lintu syntyi, kun Skeledirgen päässä oleva tulipallo sai sielun.</t>
  </si>
  <si>
    <t>Skeledirgen lempeä laulu rauhoittaa kaikkien sen kuulijoiden sieluja. Se polttaa vihollisensa rapeaksi yli 2 400 celsiusasteen liekeissä.</t>
  </si>
  <si>
    <t>Quaxly</t>
  </si>
  <si>
    <t>Ankanpokémon</t>
  </si>
  <si>
    <t>Tämä Pokémon muutti Paldeaan kaukaisista maista kauan sitten. Sen höyhenten erittämä geeli hylkii vettä ja likaa.</t>
  </si>
  <si>
    <t>Vahvojen jalkojensa ansiosta se ui helposti jopa nopeasti virtaavissa joissa. Se pitää mielellään asiat siisteinä ja on taipuvainen ylianalysoimaan asioita.</t>
  </si>
  <si>
    <t>Quaxwell</t>
  </si>
  <si>
    <t>Pokémonin harjoittelu</t>
  </si>
  <si>
    <t>Nämä Pokémonit juoksevat jatkuvasti matalissa vesissä harjoittaakseen jalkojaan ja kilpailevat sitten keskenään siitä, kuka niistä potkaisee sulavammin.</t>
  </si>
  <si>
    <t>https://pokeapi.co/api/v2/pokemon-species/614/</t>
  </si>
  <si>
    <t>Ahkera Quaxwell tarkkailee eri alueiden ihmisiä ja Pokémoneja ja sisällyttää heidän liikkeitään omiin tanssirutiineihinsa.</t>
  </si>
  <si>
    <t>Quaquaval</t>
  </si>
  <si>
    <t>Tanssija-Pokémon</t>
  </si>
  <si>
    <t>Yksi Quaquavalin potku voi saada kuorma-auton liikkeelle. Tämä Pokémon käyttää voimakkaita jalkojaan esittääkseen iskeviä tansseja kaukaisista maista.</t>
  </si>
  <si>
    <t>Tanssien tavoilla, jotka herättävät mielikuvia kaukaisista paikoista, tämä Pokémon lumoaa kaikki näkevät. Sen koristeelliset vesihöyhenet viiltävät vihollisia.</t>
  </si>
  <si>
    <t>Lechonk</t>
  </si>
  <si>
    <t>Se etsii ruokaa koko päivän. Sillä on tarkka hajuaisti, mutta se ei käytä sitä mihinkään muuhun kuin ravinnon etsimiseen.</t>
  </si>
  <si>
    <t>Tämä Pokémon hylkii kaikkea paitsi parasta ruokaa. Sen kehosta lähtee yrttimäinen tuoksu, jota Pokémonit inhoavat.</t>
  </si>
  <si>
    <t>Oinkologne</t>
  </si>
  <si>
    <t>Oinkologne on ylpeä hienosta, kiiltävästä ihostaan. Se erittää pyrstönsä päästä tiivistä tuoksua.</t>
  </si>
  <si>
    <t>Se lumoaa naispuoliset Pokémonit makealla, viettelevällä tuoksulla, joka leijailee koko sen kehosta.</t>
  </si>
  <si>
    <t>Tarountula</t>
  </si>
  <si>
    <t>String Ball -pokémon</t>
  </si>
  <si>
    <t>https://pokeapi.co/api/v2/pokemon-species/615/</t>
  </si>
  <si>
    <t>Sen vartalon ympärille kiedottu lankapallo on riittävän joustava torjumaan Scytherin, tämän Pokémonin luonnollisen vihollisen, viikatteet.</t>
  </si>
  <si>
    <t>Sen takaosasta erittämä lanka on langanvahvaa. Langan vahvuuden salaisuutta tutkitaan parhaillaan.</t>
  </si>
  <si>
    <t>Spidops</t>
  </si>
  <si>
    <t>Se roikkuu oksissa ja katoissa lankojensa avulla ja liikkuu äänettömästi. Se vetää saaliinsa kuoliaaksi ennen kuin saalis edes huomaa sitä.</t>
  </si>
  <si>
    <t>Spidops peittää reviirinsä kovilla, tahmeilla langoilla asettaakseen ansoja tunkeilijoille.</t>
  </si>
  <si>
    <t>Nymble</t>
  </si>
  <si>
    <t>Heinäsirkka-Pokémon</t>
  </si>
  <si>
    <t>Sen kolmannet jalat ovat taivutettuina. Vaikeassa paikassa tämä Pokémon hyppää yli 9 metriä jalkojensa voimalla.</t>
  </si>
  <si>
    <t>Se on erittäin taitava taistelutyylissään, jossa se käyttää hyppykykyjään väistelläkseen tulevia hyökkäyksiä ja samalla aiheuttaakseen vahinkoa vastustajille.</t>
  </si>
  <si>
    <t>Lokix</t>
  </si>
  <si>
    <t>https://pokeapi.co/api/v2/pokemon-species/616/</t>
  </si>
  <si>
    <t>Kun se päättää taistella täysillä, se nousee aiemmin taitetuille jaloilleen siirtyäkseen Välienselvittelytilaan. Se tekee vihollisensa vaarattomiksi lyhyessä ajassa.</t>
  </si>
  <si>
    <t>Se käyttää normaalisti taitettuja kolmansia jalkojaan Showdown-tilassa. Tämä rasittaa sen kehoa valtavasti, joten se ei voi pysyä tässä tilassa pitkään.</t>
  </si>
  <si>
    <t>Pawmi</t>
  </si>
  <si>
    <t>Sen poskissa on alikehittyneet sähköpussit. Nämä pussit voivat tuottaa sähköä vain, jos Pawmi hieroo niitä raivokkaasti etutassujensa tyynyillä.</t>
  </si>
  <si>
    <t>Sen käpälien tyynyt ovat sähköä purkavia elimiä. Pawmi ampuu sähköä etukäpälistään seisten horjuen takajaloillaan.</t>
  </si>
  <si>
    <t>Pawmo</t>
  </si>
  <si>
    <t>Kun Pawmo-ryhmää hyökätään, se hyppää ensimmäisenä taisteluun ja kukistaa viholliset sähköiskuja hyödyntävällä taistelutekniikalla.</t>
  </si>
  <si>
    <t>Pawmo käyttää ainutlaatuista taistelutekniikkaa, jossa se iskee vihollisiin etukäpälillään ja samanaikaisesti sähköistää heidät tassujen tyynyillään.</t>
  </si>
  <si>
    <t>Pawmot</t>
  </si>
  <si>
    <t>Käytännön Pokémon</t>
  </si>
  <si>
    <t>Tämä Pokémon reagoi normaalisti hitaasti, mutta taisteluun astunut se iskee vihollisensa salamannopeilla liikkeillä.</t>
  </si>
  <si>
    <t>Pawmotin pörröinen turkki toimii akkuna. Se voi varastoida saman määrän sähköä kuin sähköauto.</t>
  </si>
  <si>
    <t>https://pokeapi.co/api/v2/pokemon-species/617/</t>
  </si>
  <si>
    <t>Tandemaus</t>
  </si>
  <si>
    <t>Pari Pokémon</t>
  </si>
  <si>
    <t>Ne osoittavat erinomaista tiimityötä leikkaamalla etuhampaillaan paloja mistä tahansa pesänrakennusmateriaalista ja viemällä ne sitten karkuun.</t>
  </si>
  <si>
    <t>Pari pysyy yhdessä kaikesta huolimatta. He halkaisevat löytämänsä ruoan täsmälleen kahtia ja syövät sen sitten yhdessä.</t>
  </si>
  <si>
    <t>Maushold</t>
  </si>
  <si>
    <t>Perhe-Pokémon</t>
  </si>
  <si>
    <t>Kaksi pientä ilmestyi vain yhtenä päivänä. Ryhmä saattaa olla sukua olevien Pokémonien perhe, mutta kukaan ei tiedä varmasti.</t>
  </si>
  <si>
    <t>Suurempi pari suojelee pienempiä taisteluiden aikana. Vahvoja vastustajia kohdatessaan koko ryhmä liittyy taisteluun.</t>
  </si>
  <si>
    <t>Fidough</t>
  </si>
  <si>
    <t>Tämä Pokémon on sileä ja kostea koskettaa. Fidoughin hengityksessä oleva hiiva aiheuttaa käymistä Pokémonin läheisyydessä.</t>
  </si>
  <si>
    <t>https://pokeapi.co/api/v2/pokemon-species/618/</t>
  </si>
  <si>
    <t>Fidoughin hengityksessä oleva hiiva on hyödyllistä ruoanlaitossa, joten ihmiset ovat suojelleet tätä Pokémonia jo kauan sitten.</t>
  </si>
  <si>
    <t>Dachsbun</t>
  </si>
  <si>
    <t>Tämän Pokémonin kehosta huokuva miellyttävä tuoksu auttaa vehnää kasvamaan, joten maanviljelijäkylät ovat vaalineet Dachsbunia.</t>
  </si>
  <si>
    <t>Tämän Pokémonin ihon pinta kovettuu altistuessaan voimakkaalle kuumuudelle, ja sen keholla on herkullinen tuoksu.</t>
  </si>
  <si>
    <t>Smoliv</t>
  </si>
  <si>
    <t>Oliivi-Pokémon</t>
  </si>
  <si>
    <t>Se suojelee itseään vihollisilta erittämällä öljyä hedelmästään sen päässä. Tämä öljy on niin kitkerää ja supistavaa, että se saa ihmisen säpsähtämään.</t>
  </si>
  <si>
    <t>Tämä Pokémon muuntaa ravinteet öljyksi, jota se varastoi päänsä hedelmään. Se voi helposti olla kokonaisen viikon syömättä tai juomatta.</t>
  </si>
  <si>
    <t>Dolliv</t>
  </si>
  <si>
    <t>Dolliv jakaa maukasta, raikkaan tuoksuista öljyään muiden kanssa. Tämä laji on elänyt rinnakkain ihmisten kanssa muinaisista ajoista lähtien.</t>
  </si>
  <si>
    <t>https://pokeapi.co/api/v2/pokemon-species/619/</t>
  </si>
  <si>
    <t>Se paistattelee auringossa sydämensä kyllyydestä, kunnes sen päässä olevat hedelmät kypsyvät. Sen jälkeen Dolliv jättää asutuksen ja lähtee matkalle.</t>
  </si>
  <si>
    <t>Arboliva</t>
  </si>
  <si>
    <t>Tämä rauhallinen Pokémon on hyvin myötätuntoinen. Se jakaa herkullista, ravinnepitoista öljyään heikentyneiden Pokémonien kanssa.</t>
  </si>
  <si>
    <t>Tämä Pokémon ajaa viholliset takaisin ampumalla rikasta, aromaattista öljyään heitä kohti niin voimakkaasti, että se murskaa lohkareen.</t>
  </si>
  <si>
    <t>Squawkabilly</t>
  </si>
  <si>
    <t>Papukaija-Pokémon</t>
  </si>
  <si>
    <t>Nämä Pokémonit viihtyvät kaupungeissa. Ne muodostavat parvia höyheniensä värin perusteella ja taistelevat alueesta.</t>
  </si>
  <si>
    <t>Vihreähöyheniset parvet hallitsevat eniten. Kun ne etsivät ruokaa aamuisin ja iltaisin, siitä tulee erittäin meluisaa.</t>
  </si>
  <si>
    <t>Nacli</t>
  </si>
  <si>
    <t>Kivisuola-Pokémon</t>
  </si>
  <si>
    <t>Se syntyi syvällä maan alla olevassa vuorisuolakerroksessa. Tätä lajia arvostettiin erityisesti ennen vanhaan, sillä ne jakoivat arvokasta suolaa.</t>
  </si>
  <si>
    <t>https://pokeapi.co/api/v2/pokemon-species/620/</t>
  </si>
  <si>
    <t>Maa raapii sen kehoa matkalla, jolloin se jättää jälkeensä suolaa. Suolaa syntyy ja täydentyy jatkuvasti Naclin kehossa.</t>
  </si>
  <si>
    <t>Naclstack</t>
  </si>
  <si>
    <t>Tämä Pokémon kuivakovettaa saaliinsa suihkuttamalla suolaa sen päälle. Kovetusprosessi varastaa veden saaliin kehosta.</t>
  </si>
  <si>
    <t>Se puristaa vuorisuolaa ruumiinsa sisään ja ampuu ulos kovettunutta suolarakeita niin suurella voimalla, että se lävistää rautalevyn.</t>
  </si>
  <si>
    <t>Garganacl</t>
  </si>
  <si>
    <t>Garganacl hieroo sormenpäitään yhteen ja ripottelee suolaa loukkaantuneille Pokémoneille. Jopa vakavat haavat paranevat nopeasti sen jälkeen.</t>
  </si>
  <si>
    <t>Monet Pokémonit kerääntyvät Garganacl'n ympärille toivoen nuolevansa sen mineraalipitoista suolaa.</t>
  </si>
  <si>
    <t>Charcadet</t>
  </si>
  <si>
    <t>Tulilapsi-Pokémon</t>
  </si>
  <si>
    <t>Palanut hiili heräsi eloon ja siitä tuli Pokémon. Tulisen taistelutahtonsa ansiosta Charcadet taistelee koviakin vastustajia vastaan.</t>
  </si>
  <si>
    <t>https://pokeapi.co/api/v2/pokemon-species/621/</t>
  </si>
  <si>
    <t>Sen tulivoima kasvaa taistelussa ja lämpötila nousee yli 800 celsiusasteeseen. Se pitää rasvaisista marjoista.</t>
  </si>
  <si>
    <t>Armarouge</t>
  </si>
  <si>
    <t>Tulisoturi-Pokémon</t>
  </si>
  <si>
    <t>Armarouge kehittyi käyttämällä haarniskoja, jotka kuuluivat arvostetulle soturille. Tämä Pokémon on uskomattoman uskollinen.</t>
  </si>
  <si>
    <t>Tämä Pokémon pukeutuu psyykkisellä ja tulienergialla vahvistettuun haarniskaan ja ampuu liekehtiviä tulipalloja.</t>
  </si>
  <si>
    <t>Ceruledge</t>
  </si>
  <si>
    <t>Tuliterät-Pokémon</t>
  </si>
  <si>
    <t>Sen käsien tulisissa teräissä välähtää raivokkaasti miekankäyttäjän viipyilevä kauna, joka kaatui ennen tavoitteensa saavuttamista.</t>
  </si>
  <si>
    <t>Vanha, kaunojen kyllästämä haarniska aiheutti tämän Pokémonin evoluution. Ceruledge silpoo vihollisensa palasiksi armotta.</t>
  </si>
  <si>
    <t>Tadbulb</t>
  </si>
  <si>
    <t>EleTadpole-Pokémon</t>
  </si>
  <si>
    <t>Tadbulb ravistelee häntäänsä tuottaakseen sähköä. Jos se aistii vaaran, se saa päänsä vilkkumaan hälyttääkseen liittolaisiaan.</t>
  </si>
  <si>
    <t>https://pokeapi.co/api/v2/pokemon-species/622/</t>
  </si>
  <si>
    <t>Se kelluu kehoonsa varastoituneen sähkön avulla. Ukkospilvien ollessa lähellä Tadbulb leijuu korkeammalle maanpinnasta.</t>
  </si>
  <si>
    <t>Bellibolt</t>
  </si>
  <si>
    <t>EleFrog-Pokémon</t>
  </si>
  <si>
    <t>Kun tämä Pokémon laajenee ja supistaa heiluvaa ruumistaan, sen vatsassa oleva napadynamo tuottaa valtavan määrän sähköä.</t>
  </si>
  <si>
    <t>Silmämunilta näyttävät elimet ovat itse asiassa elimiä, jotka purkavat Belliboltin napadynamon tuottamaa sähköä.</t>
  </si>
  <si>
    <t>Wattrel</t>
  </si>
  <si>
    <t>Myrskyn myrskyn myrskypalmu-Pokémon</t>
  </si>
  <si>
    <t>Kun sen siivet osuvat tuuleen, niiden sisällä olevat luut tuottavat sähköä. Tämä Pokémon sukeltaa mereen ja pyydystää saalista sähköiskulla.</t>
  </si>
  <si>
    <t>Nämä Pokémonit tekevät pesänsä rannikkokallioille. Pesillä on outo, rätisevä rakenne, ja ne ovat suosittu herkku.</t>
  </si>
  <si>
    <t>Kilowattrel</t>
  </si>
  <si>
    <t>Fregattilintu-Pokémon</t>
  </si>
  <si>
    <t>Kilowattrel täyttää kurkkupussinsa vahvistaakseen sähköisyyttään. Tuulen avulla tämä Pokémon voi lentää yli 700 kilometriä päivässä.</t>
  </si>
  <si>
    <t>Se käyttää kurkkupussiaan siipiensä tuottaman sähkön varastointiin. Sen höyhenissä on tuskin lainkaan öljyä, joten se on huono uimari.</t>
  </si>
  <si>
    <t>https://pokeapi.co/api/v2/pokemon-species/623/</t>
  </si>
  <si>
    <t>Maschiff</t>
  </si>
  <si>
    <t>Veijari-Pokémon</t>
  </si>
  <si>
    <t>Se aina irvistää yrittäessään saada vastustajat ottamaan sen vakavasti, mutta jopa itkevät lapset purskahtavat nauruun nähdessään Maschiffin kasvot.</t>
  </si>
  <si>
    <t>Sen hyvin kehittyneet leuat ja kulmahampaat ovat riittävän vahvat murskaamaan lohkareita, ja sen paksu rasva tarjoaa erinomaisen puolustuksen.</t>
  </si>
  <si>
    <t>Mabosstiff</t>
  </si>
  <si>
    <t>Pomo-Pokémon</t>
  </si>
  <si>
    <t>Tämä Pokémon voi varastoida energiaa suureen kaulanalustaan. Mabosstiff vapauttaa tämän energian kerralla räjäyttääkseen viholliset pois.</t>
  </si>
  <si>
    <t>Mabosstiff rakastaa leikkiä lasten kanssa. Vaikka se on yleensä lempeä, se näyttää pelottavalta suojellessaan perhettään.</t>
  </si>
  <si>
    <t>Shroodle</t>
  </si>
  <si>
    <t>Myrkyllinen hiiri-Pokémon</t>
  </si>
  <si>
    <t>Vaikka se on yleensä leppoisa Pokémon, se upottaa terävät, myrkytetyt etuhampaansa mihin tahansa, mikä suututtaa sitä, aiheuttaen vihansa kohteen halvaantumisen.</t>
  </si>
  <si>
    <t>https://pokeapi.co/api/v2/pokemon-species/624/</t>
  </si>
  <si>
    <t>Pitääkseen viholliset poissa reviiriltään se maalaa pesänsä ympärille merkintöjä myrkyllisellä nesteellä, jolla on pistävän haju.</t>
  </si>
  <si>
    <t>Grafaiai</t>
  </si>
  <si>
    <t>Myrkyllinen apina-Pokémon</t>
  </si>
  <si>
    <t>Myrkyllisen syljen väri riippuu siitä, mitä Pokémon syö. Grafaiai peittää sormensa sylkeen ja piirtää kuvioita puihin metsissä.</t>
  </si>
  <si>
    <t>Jokainen Grafaiai maalaa oman yksilöllisen kuvionsa, ja se maalaa saman kuvion yhä uudelleen ja uudelleen koko elämänsä ajan.</t>
  </si>
  <si>
    <t>Bramblin</t>
  </si>
  <si>
    <t>Tumbleweed-pokémon</t>
  </si>
  <si>
    <t>Sielu, joka ei kyennyt siirtymään tuonpuoleiseen, joutui tuulen lennättämäksi, kunnes se takertui kuivaan ruohoon ja siitä tuli Pokémon.</t>
  </si>
  <si>
    <t>Edes Bramblin ei tiedä minne se on menossa syöksyessään erämaan halki tuulen viemänä. Se inhoaa kastumista.</t>
  </si>
  <si>
    <t>Brambleghast</t>
  </si>
  <si>
    <t>Se avaa päänsä oksat ympäröidäkseen saaliinsa. Kun se on imenyt kaiken tarvitsemansa elämänenergian, se karkottaa saaliin ja hylkää sen.</t>
  </si>
  <si>
    <t>Brambleghast vaeltelee kuivilla alueilla. Harvinaisissa tapauksissa näiden Pokémonien massaesiintymät hautaavat kokonaisen kaupungin.</t>
  </si>
  <si>
    <t>Toedscool</t>
  </si>
  <si>
    <t>Puukorva-Pokémon</t>
  </si>
  <si>
    <t>Toedscool elää kosteissa metsissä. Sen ruumiista putoavat läpät ovat sitkeitä ja erittäin herkullisia.</t>
  </si>
  <si>
    <t>Vaikka se näyttää Tentacool-kalalta, Toedscool on täysin eri laji. Sen jalat saattavat olla ohuet, mutta se voi juosta jopa 48 km/h nopeudella.</t>
  </si>
  <si>
    <t>https://pokeapi.co/api/v2/pokemon-species/625/</t>
  </si>
  <si>
    <t>Toedscruel</t>
  </si>
  <si>
    <t>Nämä Pokémonit kerääntyvät ryhmiin ja muodostavat yhdyskuntia syvällä metsissä. Ne vihaavat sitä, kun vieraat lähestyvät.</t>
  </si>
  <si>
    <t>Se kietoo 10 lonkeronsa saaliinsa ympärille ja imee niiden ravinteet, mikä aiheuttaa saaliille kipua. Sen pään reunan poimut ovat suosittua herkkua.</t>
  </si>
  <si>
    <t>Klawf</t>
  </si>
  <si>
    <t>Väijytys-Pokémon</t>
  </si>
  <si>
    <t>Klawf roikkuu ylösalaisin kallioilla odottamassa saalista. Mutta Klawf ei voi pysyä tässä asennossa kauan, koska sen veri nousee päähän.</t>
  </si>
  <si>
    <t>Tämä Pokémon elää jyrkillä kallioilla. Se väistää vastustajien hyökkäykset ja hyökkää sitten kynsillään heidän heikkoihin kohtiinsa.</t>
  </si>
  <si>
    <t>https://pokeapi.co/api/v2/pokemon-species/626/</t>
  </si>
  <si>
    <t>Capsakid</t>
  </si>
  <si>
    <t>Mausteinen pippuri-Pokémon</t>
  </si>
  <si>
    <t>Mitä enemmän auringonvaloa tämä Pokémon kylpee, sitä enemmän sen keho tuottaa mausteisempia kemikaaleja, ja sitä mausteisemmiksi sen liikkeet tulevat.</t>
  </si>
  <si>
    <t>Perinteiset paldealaiset ruoat voivat olla erittäin tulisia, koska niiden ainesosiin kuuluvat Capsakidin irronneet etuhampaat.</t>
  </si>
  <si>
    <t>Scovillain</t>
  </si>
  <si>
    <t>Punainen pää muuntaa mausteiset kemikaalit tulienergiaksi ja räjäyttää ympäröivän alueen supermausteisella liekkisuihkulla.</t>
  </si>
  <si>
    <t>Vihreä pää on muuttunut ilkeäksi mausteisten kemikaalien stimuloidessa sen aivoja. Kun se kerran riehuu, sitä ei voi pysäyttää.</t>
  </si>
  <si>
    <t>Rellor</t>
  </si>
  <si>
    <t>https://pokeapi.co/api/v2/pokemon-species/627/</t>
  </si>
  <si>
    <t>Tämä Pokémon luo mutapallon sekoittamalla hiekkaa ja multaa psyykkiseen energiaan. Se vaalii mutapalloaan enemmän kuin omaa elämäänsä.</t>
  </si>
  <si>
    <t>Se pyörittelee mutapalloaan ympäriinsä samalla kun sen evoluutioon tarvitsema energia kypsyy. Lopulta koittaa sen kehityksen aika.</t>
  </si>
  <si>
    <t>Rabsca</t>
  </si>
  <si>
    <t>Palloa tukeva ruumis tuskin liikkuu. Siksi ajatellaan, että tämän Pokémonin todellinen ruumis on itse asiassa pallon sisällä.</t>
  </si>
  <si>
    <t>Vauva nukkuu pallon sisällä. Rabsca pyörittelee palloa rauhoittavasti jaloillaan varmistaakseen, että vauva nukkuu mukavasti.</t>
  </si>
  <si>
    <t>Flittle</t>
  </si>
  <si>
    <t>Röyhelö-Pokémon</t>
  </si>
  <si>
    <t>Flittlen varpaat leijuvat noin puoli tuumaa maanpinnan yläpuolella Pokémonin vatsan röyhelöistä säteilevän psyykkisen voiman ansiosta.</t>
  </si>
  <si>
    <t>Se viettää aikansa juosten autiomailla. Jos joku varastaa sen rakkaat marjat, se ajaa ne takaa ja kostaa.</t>
  </si>
  <si>
    <t>Espathra</t>
  </si>
  <si>
    <t>Strutsi-Pokémon</t>
  </si>
  <si>
    <t>Se lamauttaa vastustajat kylpemällä heitä psyykkisessä voimassa suurista silmistään. Ulkonäöstään huolimatta sillä on ilkeämielinen luonne.</t>
  </si>
  <si>
    <t>https://pokeapi.co/api/v2/pokemon-species/628/</t>
  </si>
  <si>
    <t>Se säteilee psyykkistä voimaa moniväristen korsettien välisistä raoista ja spurttaa yli 120 mph:n nopeudella.</t>
  </si>
  <si>
    <t>Tinkatink</t>
  </si>
  <si>
    <t>Metallisepän Pokémon</t>
  </si>
  <si>
    <t>Se heiluttelee itse tehtyä vasaraansa suojatakseen itseään, mutta metallia syövät Pokémonit usein varastavat vasaran.</t>
  </si>
  <si>
    <t>Tämä Pokémon hakkaa rautaromuja yhteen tehdäkseen vasaran. Se tekee vasaraa uudestaan ​​ja uudestaan, kunnes on tyytyväinen lopputulokseen.</t>
  </si>
  <si>
    <t>Tinkatuff</t>
  </si>
  <si>
    <t>Vasara-Pokémon</t>
  </si>
  <si>
    <t>Tämä Pokémon hyökkää Pawniard- ja Bisharp-ryhmien kimppuun ja kerää niistä metallia luodakseen suuren ja tukevan vasaran.</t>
  </si>
  <si>
    <t>Nämä Pokémonit rakentavat kotinsa romumetallikasoihin. Ne testaavat toistensa vasaroiden lujuutta murskaamalla niitä yhteen.</t>
  </si>
  <si>
    <t>Tinkaton</t>
  </si>
  <si>
    <t>Tällä älykkäällä Pokémonilla on erittäin rohkea luonne. Se hakkaa kiviä taivaalle vasarallaan ja tähtää Corvikinyön lentämään.</t>
  </si>
  <si>
    <t>Vasara painaa yli 220 paunaa, mutta Tinkaton heiluttelee sitä helposti varastessaan mitä haluaa ja kantaessaan saaliinsa takaisin kotiin.</t>
  </si>
  <si>
    <t>Wiglett</t>
  </si>
  <si>
    <t>https://pokeapi.co/api/v2/pokemon-species/629/</t>
  </si>
  <si>
    <t>Puutarhan ankerias-Pokémon</t>
  </si>
  <si>
    <t>Tämä Pokémon voi haistaa veluzan hajun hieman yli 20 metrin päästä ja piiloutuu hiekkaan.</t>
  </si>
  <si>
    <t>Vaikka se näyttää Diglettiltä, ​​Wiglett on täysin eri laji. Yhdennäköisyys näyttää olevan sattumaa, että se on sopeutunut ympäristöön.</t>
  </si>
  <si>
    <t>Wugtrio</t>
  </si>
  <si>
    <t>Sillä on ilkeämielinen luonne, toisin kuin sen ulkonäkö saattaa antaa ymmärtää. Se kietoo pitkät ruumiinsa saaliinsa ympärille ja raahaa sen sitten pesäänsä.</t>
  </si>
  <si>
    <t>Wugtrio on monipuolinen kala-Pokémon, jota pidettiin aikoinaan Dugtrion alueellisena muotona.</t>
  </si>
  <si>
    <t>Bombirdier</t>
  </si>
  <si>
    <t>Esineiden pudotus-Pokémon</t>
  </si>
  <si>
    <t>Se kerää tavaroita esiliinaan, joka on tehty Pokémonin rintahöyheniin lisätyistä irronneista höyhenistä, ja pudottaa ne sitten korkeilta paikoilta huvin vuoksi.</t>
  </si>
  <si>
    <t>Pommittaja käyttää rintansa päällä olevaa esiliinaa ruoan niputtamiseen, jonka se kantaa takaisin pesäänsä. Se nauttii kovia ääniä pitävien esineiden pudottamisesta.</t>
  </si>
  <si>
    <t>Finizen</t>
  </si>
  <si>
    <t>Delfiini-Pokémon</t>
  </si>
  <si>
    <t>Se tykkää leikkiä muiden lajitovereidensa kanssa käyttäen pyrstössään olevaa vesirengasta. Se käyttää ultraääniaaltoja aistiakseen muiden elävien olentojen tunteita.</t>
  </si>
  <si>
    <t>Sen vesirengas on tehty merivedestä, johon on sekoitettu Finizenin puhallusreiästä erittämää tahmeaa nestettä.</t>
  </si>
  <si>
    <t>Palafin</t>
  </si>
  <si>
    <t>Tämä Pokémon muuttaa ulkonäköään, jos se kuulee liittolaistensa huutavan apua. Palafin ei koskaan näytä kenellekään muodonmuutoksensa hetkeä.</t>
  </si>
  <si>
    <t>https://pokeapi.co/api/v2/pokemon-species/630/</t>
  </si>
  <si>
    <t>Sen fyysiset kyvyt eivät eroa Finizenin kyvyistä, mutta kun sen liittolaiset ovat vaarassa, se muuntautuu ja voimistaa itseään.</t>
  </si>
  <si>
    <t>Varoom</t>
  </si>
  <si>
    <t>Yksisylinterinen Pokémon</t>
  </si>
  <si>
    <t>Kerrotaan, että tämä Pokémon syntyi, kun tuntematon myrkky-Pokémon astui sisään ja sytytti romunjalostustehtaalle jätetyn moottorin.</t>
  </si>
  <si>
    <t>Teräsosa on Varoomin varsinainen ruumis. Tämä Pokémon tarrautuu kiviin ja muuntaa niiden sisältämät mineraalit energiaksi, joka ruokkii sen toimintoja.</t>
  </si>
  <si>
    <t>Revavroom</t>
  </si>
  <si>
    <t>Monisylinterinen Pokémon</t>
  </si>
  <si>
    <t>Se luo kaasua myrkyistä ja kivien mineraaleista. Sitten se räjäyttää kaasun sylintereissään – joita on nyt kahdeksan – energian tuottamiseksi.</t>
  </si>
  <si>
    <t>Revavroom uhkailee ilkeästi muita pakoputkensa äänellä. Se työntää kielensä ulos lieriömäisestä suustaan ​​ja suihkuttaa myrkyllisiä nesteitä.</t>
  </si>
  <si>
    <t>Cyclizar</t>
  </si>
  <si>
    <t>Ilmeisesti kyklitsa on antanut ihmisten ratsastaa selällään muinaisista ajoista lähtien. Tästä on löydetty kuvia 10 000 vuotta vanhoista seinämaalauksista.</t>
  </si>
  <si>
    <t>Se voi juosta yli 110 km/h nopeudella kantaessaan ihmistä. Ratsastajan ruumiinlämpö lämmittää Cyclizarin selkää ja kohottaa Pokémonin mielialaa.</t>
  </si>
  <si>
    <t>https://pokeapi.co/api/v2/pokemon-species/631/</t>
  </si>
  <si>
    <t>Orthworm</t>
  </si>
  <si>
    <t>Kastemato-Pokémon</t>
  </si>
  <si>
    <t>Hyökkäyksen aikana tämä Pokémon käyttää kehossaan olevia kärhiä kuin nyrkkejä ja iskee vastustajaa iskujen myrskyllä.</t>
  </si>
  <si>
    <t>Tämä Pokémon elää kuivilla aavikoilla. Se ylläpitää metallikehoaan kuluttamalla rautaa maaperästä.</t>
  </si>
  <si>
    <t>Glimmet</t>
  </si>
  <si>
    <t>Se imee ravinteita luolien seinistä. Sen käyttämät terälehdet on tehty kiteytyneestä myrkystä.</t>
  </si>
  <si>
    <t>Glimmetin myrkylliset mineraalikiteet näyttävät aivan kukan terälehdiltä. Tämä Pokémon levittää myrkyllistä jauhetta, kuten siitepölyä, suojellakseen itseään.</t>
  </si>
  <si>
    <t>Glimmora</t>
  </si>
  <si>
    <t>Kun tämä Pokémon havaitsee vaaran, se avaa kristalliset terälehtensä ja purkaa tulisäteitä kartiomaisesta ruumiistaan.</t>
  </si>
  <si>
    <t>Glimmoran terälehdet koostuvat kiteytyneestä myrkkyenergiasta. Viime aikoina on käynyt ilmi, että nämä terälehdet muistuttavat Tera-jalokiviä.</t>
  </si>
  <si>
    <t>Greavard</t>
  </si>
  <si>
    <t>Aavekoira-Pokémon</t>
  </si>
  <si>
    <t>Kerrotaan, että koira-Pokémon, joka kuoli luonnossa olematta koskaan vuorovaikutuksessa ihmisen kanssa, syntyi uudelleen tänä Pokémonina.</t>
  </si>
  <si>
    <t>https://pokeapi.co/api/v2/pokemon-species/632/</t>
  </si>
  <si>
    <t>Tämä ystävällinen Pokémon ei pidä yksin olemisesta. Kiinnitä sille pienintäkään huomiota, ja se seuraa sinua ikuisesti.</t>
  </si>
  <si>
    <t>Houndstone</t>
  </si>
  <si>
    <t>Houndstone viettää suurimman osan ajastaan ​​nukkuen hautausmailla. Kaikista koira-Pokémoneista tämä on uskollisin isännälleen.</t>
  </si>
  <si>
    <t>Rakkaudella surtu Pokémon syntyi uudesti Houndstonena. Se ei pidä siitä, että kukaan koskee sen pään päällä olevaan kohoumaan.</t>
  </si>
  <si>
    <t>Flamigo</t>
  </si>
  <si>
    <t>Synkronoi Pokémonit</t>
  </si>
  <si>
    <t>Tämä Pokémon ilmeisesti sitoo niskansa tyven solmuun, jotta sen vatsaan varastoitunut energia ei karkaa nokasta.</t>
  </si>
  <si>
    <t>Heidän "synkronointina" tunnetun käyttäytymisensä ansiosta kokonainen parvi näitä Pokémoneja voi hyökätä samanaikaisesti täydellisessä harmoniassa.</t>
  </si>
  <si>
    <t>Cetoddle</t>
  </si>
  <si>
    <t>Mavalas-Pokémon</t>
  </si>
  <si>
    <t>Tämä laji muutti merestä maalle hyvin kauan sitten. Se näyttää olevan läheistä sukua Wailmerille.</t>
  </si>
  <si>
    <t>Se elää kylmillä alueilla noin viiden yksilön parvissa. Se rakastaa lumen ja jään mineraaleja.</t>
  </si>
  <si>
    <t>Cetitan</t>
  </si>
  <si>
    <t>Tämä Pokémon vaeltelee lumisilla ja jäisillä alueilla. Se suojaa kehoaan voimakkailla lihaksilla ja paksulla rasvakerroksella ihon alla.</t>
  </si>
  <si>
    <t>Jääenergia kerääntyy sarven yläleuan sisään, minkä seurauksena sarvi saavuttaa kryogeeniset lämpötilat, jotka jäädyttävät sen ympäristön.</t>
  </si>
  <si>
    <t>Veluza</t>
  </si>
  <si>
    <t>Heitetyn Pokémonin</t>
  </si>
  <si>
    <t>Kun Veluza hylkää tarpeettoman lihan, sen mieli terävöityy ja sen psyykkinen voima kasvaa. Ylimääräisellä lihalla on mieto mutta herkullinen maku.</t>
  </si>
  <si>
    <t>Veluzalla on erinomaiset uusiutumiskyvyt. Se karistaa ylimääräistä lihaa kehostaan ​​parantaakseen ketteryyttään ja hyökkää sitten saaliinsa kimppuun.</t>
  </si>
  <si>
    <t>Dondozo</t>
  </si>
  <si>
    <t>Iso monni-Pokémon</t>
  </si>
  <si>
    <t>Tämä Pokémon on ahmatti, mutta huono ruoan hankkimisessa. Se lyöttäytyy yhteen Tatsugirin kanssa saaliin nappaamiseksi.</t>
  </si>
  <si>
    <t>https://pokeapi.co/api/v2/pokemon-species/633/</t>
  </si>
  <si>
    <t>Se kohtelee Tatsugiria kuin pomoaan ja seuraa tätä uskollisesti. Vaikka Dondozo on voimakas, hän ei ilmeisesti ole kovin älykäs.</t>
  </si>
  <si>
    <t>Tatsugiri</t>
  </si>
  <si>
    <t>Matkiva Pokémon</t>
  </si>
  <si>
    <t>Tämä on pieni lohikäärme-Pokémon. Se asuu Dondozon suussa suojellakseen itseään ulkopuolisilta vihollisilta.</t>
  </si>
  <si>
    <t>Tatsugiri on äärimmäisen ovela Pokémon. Se teeskentelee heikkoutta houkutellakseen saalista puoleensa ja käskee sitten kumppaniaan hyökkäämään.</t>
  </si>
  <si>
    <t>Annihilape</t>
  </si>
  <si>
    <t>Raivoapina-Pokémon</t>
  </si>
  <si>
    <t>Kun sen viha nousi kriittisen pisteen yli, tämä Pokémon sai voiman, jota sen fyysisen kehon rajat eivät kahlehdi.</t>
  </si>
  <si>
    <t>Se kyllästää nyrkkinsä sydämessään piilossa pitämänsä raivon voimalla. Näiden kyllästettyjen nyrkkien iskemät vastustajat murskataan ytimiään myöten.</t>
  </si>
  <si>
    <t>Clodsire</t>
  </si>
  <si>
    <t>Piikkikala-Pokémon</t>
  </si>
  <si>
    <t>Hyökätessä tämä Pokémon kostaa työntämällä paksut piikit ulos kehostaan. Se on riskialtis liike, joka asettaa kaiken vaakalaudalle.</t>
  </si>
  <si>
    <t>Se elää lampien ja soiden pohjalla. Se kantaa Woopereita selässään ja kuljettaa niitä veden yli rannalta toiselle.</t>
  </si>
  <si>
    <t>Farigiraf</t>
  </si>
  <si>
    <t>Nyt kun pään ja hännän aivoaallot on synkronoitu, tämän Pokémonin psyykkinen voima on 10 kertaa vahvempi kuin Girafarigin.</t>
  </si>
  <si>
    <t>Hännän kovettunut pää suojaa rungon päätä, kun Farigiraf heittää pitkää kaulaansa ja puskee vihollisia päällään.</t>
  </si>
  <si>
    <t>Dudunsparce</t>
  </si>
  <si>
    <t>https://pokeapi.co/api/v2/pokemon-species/634/</t>
  </si>
  <si>
    <t>Tämä Pokémon käyttää kovaa häntäänsä pesänsä rakentamiseen poraamalla reikiä syvälle maan alle kallioperään. Pesä voi kasvaa yli kuuden mailin pituiseksi.</t>
  </si>
  <si>
    <t>Se ajaa viholliset ulos pesästään imemällä sisäänsä tarpeeksi ilmaa täyttääkseen pitkät, kapeat keuhkonsa ja vapauttamalla ilman sitten voimakkaana räjähdyksenä.</t>
  </si>
  <si>
    <t>Kingambit</t>
  </si>
  <si>
    <t>Iso terä Pokémon</t>
  </si>
  <si>
    <t>Vain Bisharp, joka on kaikkien muiden yläpuolella valtavassa armeijassaan, voi kehittyä Kingambitiksi.</t>
  </si>
  <si>
    <t>Vaikka se komentaa valtavaa armeijaa taistelussa, se ei ole taitava suunnittelemaan monimutkaisia ​​strategioita. Se vain käyttää raakaa voimaa jatkaakseen eteenpäin.</t>
  </si>
  <si>
    <t>Great Tusk</t>
  </si>
  <si>
    <t>Paradoksi-Pokémon</t>
  </si>
  <si>
    <t>Tätä Pokémonia on nähty viime vuosina. Nimi Great Tusk on otettu eräässä kirjassa mainitusta olennosta.</t>
  </si>
  <si>
    <t>Tämä olento muistuttaa salaperäistä Pokémonia, joka paranormaalilehden mukaan on elänyt muinaisista ajoista lähtien.</t>
  </si>
  <si>
    <t>Scream Tail</t>
  </si>
  <si>
    <t>Tästä Pokémonista on raportoitu vain yksi havainto. Se muistuttaa vanhassa retkikuntapäiväkirjassa kuvattua salaperäistä olentoa.</t>
  </si>
  <si>
    <t>https://pokeapi.co/api/v2/pokemon-species/635/</t>
  </si>
  <si>
    <t>Se muistuttaa salaperäistä Pokémonia, jota paranormaalissa lehdessä kuvataan miljardin vuoden takaiseksi Jigglypuffiksi.</t>
  </si>
  <si>
    <t>Brute Bonnet</t>
  </si>
  <si>
    <t>On mahdollista, että tietyssä kirjassa Brute Bonnetina listattu olento voisi oikeasti olla tämä Pokémon.</t>
  </si>
  <si>
    <t>Se muistuttaa hieman Pokémonia, jota kyseenalaisessa lehdessä kuvailtiin dinosauruksen ja sienen risteytyksellä.</t>
  </si>
  <si>
    <t>Flutter Mane</t>
  </si>
  <si>
    <t>Tällä Pokémonilla on samanlaisia ​​ominaisuuksia kuin Flutter Manella, eräässä kirjassa mainitulla olennolla.</t>
  </si>
  <si>
    <t>Sillä on samanlaisia ​​piirteitä kuin paranormaalissa lehdessä käsitellyllä aavemaisella pterosauruksella, mutta niillä ei ole juuri muuta yhteistä.</t>
  </si>
  <si>
    <t>Slither Wing</t>
  </si>
  <si>
    <t>https://pokeapi.co/api/v2/pokemon-species/636/</t>
  </si>
  <si>
    <t>Tällä salaperäisellä Pokémonilla on joitakin yhtäläisyyksiä olentoon, joka esiteltiin vanhassa kirjassa nimellä Slither Wing.</t>
  </si>
  <si>
    <t>Tämä Pokémon muistuttaa jossain määrin muinaista Volcaronaa, joka esiteltiin kyseenalaisessa lehdessä.</t>
  </si>
  <si>
    <t>Sandy Shocks</t>
  </si>
  <si>
    <t>Tämän Pokémonin pyydystämisestä ei ole tietoja. Tiedot puuttuvat, mutta Pokémonin ominaisuudet vastaavat retkikunnan päiväkirjassa näkyvää olentoa.</t>
  </si>
  <si>
    <t>Se muistuttaa hieman magnetonia, joka eli 10 000 vuotta ja josta oli juttu paranormaalilehden artikkelissa.</t>
  </si>
  <si>
    <t>Iron Treads</t>
  </si>
  <si>
    <t>Tämä Pokémon muistuttaa läheisesti tieteellistä asetta, jonka paranormaali lehti väitti avaruusolentojen lähettäneen tälle planeetalle.</t>
  </si>
  <si>
    <t>Tätä Pokémonia on nähty viime vuosina. Se muistuttaa vanhassa retkikunnan päiväkirjassa kuvattua salaperäistä esinettä.</t>
  </si>
  <si>
    <t>Iron Bundle</t>
  </si>
  <si>
    <t>Sen muoto muistuttaa paranormaalissa aikakauslehtiartikkelissa esiteltyä robottia. Robotin sanotaan olevan muinaisen sivilisaation luoma.</t>
  </si>
  <si>
    <t>Se muistuttaa vanhassa kirjassa mainittua salaperäistä esinettä. Tästä Pokémonista on raportoitu vain kaksi havaintoa.</t>
  </si>
  <si>
    <t>Iron Hands</t>
  </si>
  <si>
    <t>https://pokeapi.co/api/v2/pokemon-species/637/</t>
  </si>
  <si>
    <t>Se on hyvin samanlainen kuin kyborgi, josta kirjoitetaan yksinomaan paranormaaleissa lehdissä. Kyborgin sanottiin olevan tietyn urheilijan muunneltu muoto.</t>
  </si>
  <si>
    <t>Tällä Pokémonilla on monia yhtäläisyyksiä Rautakäden kanssa, esineen, joka mainitaan tietyssä retkikunnan päiväkirjassa.</t>
  </si>
  <si>
    <t>Iron Jugulis</t>
  </si>
  <si>
    <t>Se muistuttaa tiettyä paranormaalissa lehdessä esiteltyä Pokémonia, jota kuvataan robottiin rakastuneen Hydreigonin jälkeläiseksi.</t>
  </si>
  <si>
    <t>On mahdollista, että vanhassa kirjassa kuvattu esine, Iron Jugulis, saattaakin olla tämä Pokémon.</t>
  </si>
  <si>
    <t>Iron Moth</t>
  </si>
  <si>
    <t>Tämä Pokémon muistuttaa tuntematonta kohdetta, jota paranormaalissa lehdessä kuvataan ihmiskuntaa tarkkailemaan lähetetyksi UFOksi.</t>
  </si>
  <si>
    <t>Tämän lajin pyydystämisestä ei ole tietoja. Tiedot puuttuvat, mutta Pokémonin ominaisuudet vastaavat vanhassa kirjassa kuvattua esinettä.</t>
  </si>
  <si>
    <t>https://pokeapi.co/api/v2/pokemon-species/638/</t>
  </si>
  <si>
    <t>Iron Thorns</t>
  </si>
  <si>
    <t>Sillä on joitakin yhtäläisyyksiä Pokémoniin, joka esiteltiin kyseenalaisessa lehdessä tyranitarina miljardin vuoden päähän tulevaisuuteen.</t>
  </si>
  <si>
    <t>Jotkin sen merkittävistä piirteistä vastaavat eräässä retkikunnan päiväkirjassa Rautapiikkinä nimetyn esineen piirteitä.</t>
  </si>
  <si>
    <t>Frigibax</t>
  </si>
  <si>
    <t>Jääevä-Pokémon</t>
  </si>
  <si>
    <t>Frigibax imee lämpöä selkäevänsä kautta ja muuntaa lämmön jääenergiaksi. Mitä korkeampi lämpötila, sitä enemmän energiaa Frigibax varastoi.</t>
  </si>
  <si>
    <t>Tämä Pokémon elää metsissä ja kallioisilla alueilla. Selkäevän voiman avulla se jäähdyttää pesänsä sisäpuolta kuin jääkaappi.</t>
  </si>
  <si>
    <t>Arctibax</t>
  </si>
  <si>
    <t>Arctibax jäädyttää ympäröivän ilman suojaamalla kasvojaan jäänaamiolla ja muuttamalla selkäevänsä jääteräksi.</t>
  </si>
  <si>
    <t>Se hyökkää jäätyneen selkäevän lapalla tekemällä voltin ilmassa. Arctibaxin vahva selkä ja jalat mahdollistavat tämän tekniikan.</t>
  </si>
  <si>
    <t>Baxcalibur</t>
  </si>
  <si>
    <t>Jäälohikäärme-Pokémon</t>
  </si>
  <si>
    <t>Tämä Pokémon puhaltaa suustaan ​​kryogeenistä ilmaa. Tämä ilma voi jäädyttää välittömästi jopa nestemäisen kuuman laavan.</t>
  </si>
  <si>
    <t>Se syöksyy taisteluun kääntymällä ylösalaisin ja sylkemällä suustaan ​​kylmää ilmaa. Se viimeistelee vastustajat selkämiehellään.</t>
  </si>
  <si>
    <t>Gimmighoul</t>
  </si>
  <si>
    <t>Kolikkoarkku-Pokémon</t>
  </si>
  <si>
    <t>Tämä Pokémon syntyi aarrearkussa noin 1 500 vuotta sitten. Se imee elinvoiman roistoista, jotka yrittävät varastaa aarteen.</t>
  </si>
  <si>
    <t>Se asuu vanhassa aarrearkussa. Joskus se jää kauppojen nurkille, koska kukaan ei tiedä, että se on itse asiassa Pokémon.</t>
  </si>
  <si>
    <t>Gholdengo</t>
  </si>
  <si>
    <t>Kolikko-olento-Pokémon</t>
  </si>
  <si>
    <t>Sen ruumis näyttää koostuvan 1 000 kolikosta. Tämä Pokémon tulee hyvin toimeen muiden kanssa ja ystävystyy nopeasti kenen tahansa kanssa.</t>
  </si>
  <si>
    <t>Sillä on tukeva ruumis, joka koostuu pinotuista kolikoista. Gholdengo kukistaa vihollisensa ampumalla kolikkoa toisensa jälkeen nopeassa tahdissa.</t>
  </si>
  <si>
    <t>Wo-Chien</t>
  </si>
  <si>
    <t>https://pokeapi.co/api/v2/pokemon-species/639/</t>
  </si>
  <si>
    <t>Tuhoisa Pokémon</t>
  </si>
  <si>
    <t>Kuninkaan pahojen tekojen kirjoittamisesta puutauluihin rangaistuksen saaneen henkilön kaunan kantaminen on verhoutunut kuolleisiin lehtiin ja muuttunut Pokémoniksi.</t>
  </si>
  <si>
    <t>Se imee kasvillisuuden elinvoiman, jolloin lähimetsät kuihtuvat välittömästi ja pellot muuttuvat karuiksi.</t>
  </si>
  <si>
    <t>Chien-Pao</t>
  </si>
  <si>
    <t>Tämä Pokémon pystyy hallitsemaan 100 tonnia satanutta lunta. Se leikkii viattomasti hyppimällä aiheuttamiinsa lumivyöryihin ja ulos niistä.</t>
  </si>
  <si>
    <t>Kauan sitten miekkaan menehtyneiden viha on verhoutunut lumeen ja muuttunut Pokémoniksi.</t>
  </si>
  <si>
    <t>Ting-Lu</t>
  </si>
  <si>
    <t>Muinaiseen rituaaliastiaan kaadettu pelko on verhoutunut kiviin ja multaan ja muuttunut Pokémoniksi.</t>
  </si>
  <si>
    <t>Se painaa hitaasti raskaan päänsä maahan ja halkaisee maan valtavilla, yli 50 metrin syvyisillä halkeamilla.</t>
  </si>
  <si>
    <t>Chi-Yu</t>
  </si>
  <si>
    <t>Se hallitsee yli 5 400 Fahrenheit-asteen lämpötiloissa palavia liekkejä. Se ui huolettomasti laavameressä, jonka se luo sulattamalla kiveä ja hiekkaa.</t>
  </si>
  <si>
    <t>https://pokeapi.co/api/v2/pokemon-species/640/</t>
  </si>
  <si>
    <t>Kaarevien helmien sisään kertynyt kateus, joka käynnisti useita konflikteja, on verhonnut itsensä tuleen ja muuttunut Pokémoniksi.</t>
  </si>
  <si>
    <t>Roaring Moon</t>
  </si>
  <si>
    <t>On mahdollista, että tämä on sama olento, joka on listattu nimellä Mölyävä Kuu eräässä retkikunnan päiväkirjassa, joka sisältää edelleen monia mysteerejä.</t>
  </si>
  <si>
    <t>Epäilyttävän lehden artikkelin mukaan tällä Pokémonilla on jokin yhteys tietyllä alueella esiintyvään ilmiöön.</t>
  </si>
  <si>
    <t>Iron Valiant</t>
  </si>
  <si>
    <t>Sillä on joitakin yhtäläisyyksiä paranormaalissa lehdessä käsitellyn hullun tiedemiehen keksinnön kanssa.</t>
  </si>
  <si>
    <t>On mahdollista, että tämä on se esine, joka on listattu nimellä Iron Valiant tietyn retkikunnan päiväkirjassa.</t>
  </si>
  <si>
    <t>Koraidon</t>
  </si>
  <si>
    <t>Tämä näyttää olevan Siivekäs Kuningas, josta mainitaan vanhassa retkikunnan päiväkirjassa. Sen sanotaan halkaisseen maan paljain nyrkein.</t>
  </si>
  <si>
    <t>Tämä Pokémon muistuttaa Cyclizaria, mutta on paljon vankkarakenteisempi ja raivokas. Sen ekologiasta tai muista ominaisuuksista ei tiedetä mitään.</t>
  </si>
  <si>
    <t>Miraidon</t>
  </si>
  <si>
    <t>Tästä olennosta on vielä paljon tuntematonta. Se muistuttaa Cyclizaria, mutta on paljon armoton ja voimakkaampi.</t>
  </si>
  <si>
    <t>https://pokeapi.co/api/v2/pokemon-species/641/</t>
  </si>
  <si>
    <t>Tämä näyttää olevan se Rautakäärme, josta mainitaan vanhassa kirjassa. Rautakäärmeen sanotaan muuttaneen maan tuhkaksi salamoillaan.</t>
  </si>
  <si>
    <t>Walking Wake</t>
  </si>
  <si>
    <t>Tämä raivokas olento on mysteerin verhoama. Se on nimetty vanhassa retkikunnan päiväkirjassa mainitun vesihirviön mukaan.</t>
  </si>
  <si>
    <t>Se muistuttaa paranormaalissa lehdessä julkaistua kuvaa, jonka sanotaan esittävän supermuinaista Suicunea.</t>
  </si>
  <si>
    <t>Iron Leaves</t>
  </si>
  <si>
    <t>Monet sen fyysisistä ominaisuuksista vastaavat tulevaisuudesta tulleen Virizionin ominaisuuksia, josta oli juttu paranormaalissa lehdessä.</t>
  </si>
  <si>
    <t>Muutamien silminnäkijäkertomusten mukaan se käytti kiiltäviä teriään kaataakseen suuria puita ja lohkareita.</t>
  </si>
  <si>
    <t>Dipplin</t>
  </si>
  <si>
    <t>Karkkiomena-Pokémon</t>
  </si>
  <si>
    <t>Dipplin on kaksi olentoa yhdessä Pokémonissa. Sen evoluution laukaisi erityinen omena, jota kasvatettiin vain yhdessä paikassa.</t>
  </si>
  <si>
    <t>Ulkoneva pää kuuluu etulaiselle, kun taas häntä kuuluu ydinlaiselle. Ne jakavat yhden omenan ja auttavat toisiaan.</t>
  </si>
  <si>
    <t>https://pokeapi.co/api/v2/pokemon-species/642/</t>
  </si>
  <si>
    <t>Poltchageist</t>
  </si>
  <si>
    <t>Matcha-Pokémon</t>
  </si>
  <si>
    <t>Kerrotaan, että teeseremonian mestarin, joka kuoli ennen kuin hän oli saanut taitonsa täydellistettyä, katumus viipyi matchassa ja hänestä tuli Pokémon.</t>
  </si>
  <si>
    <t>Poltchageist näyttää Sinistean alueelliselta muodolta, mutta äskettäin havaittiin, että nämä kaksi Pokémonia eivät ole lainkaan sukua toisilleen.</t>
  </si>
  <si>
    <t>Sinistcha</t>
  </si>
  <si>
    <t>Se teeskentelee olevansa teetä ja yrittää huijata ihmisiä juomaan sitä, jotta se voi imeä heidän elinvoimansa. Sen juoni on yleensä epäonnistunut.</t>
  </si>
  <si>
    <t>Se viihtyy viileissä ja pimeissä paikoissa, kuten hyllyn takana tai kodin lattialautojen alla. Se vaeltelee etsimässä saalista auringonlaskun jälkeen.</t>
  </si>
  <si>
    <t>Okidogi</t>
  </si>
  <si>
    <t>Pidätin-Pokémon</t>
  </si>
  <si>
    <t>Kun kaikki sen lihakset oli stimuloitu kaulassa olevan myrkyllisen ketjun vaikutuksesta, Okidogi muuttui ja sai voimakkaan fysiikan.</t>
  </si>
  <si>
    <t>https://pokeapi.co/api/v2/pokemon-species/643/</t>
  </si>
  <si>
    <t>Okidogi on äkkipikainen roisto. Se voi murskata mitä tahansa heiluttamalla ketjua kaulassaan.</t>
  </si>
  <si>
    <t>Munkidori</t>
  </si>
  <si>
    <t>Ketju on tehty kykyjä parantavista myrkkyistä. Se stimuloi Munkidorin aivoja ja sai Pokémonin psyykkiset voimat kukoistamaan.</t>
  </si>
  <si>
    <t>Munkidori pysyttelee turvallisessa paikassa leikkiessään vihollistensa kanssa ja käyttää psykokineesiä aiheuttaakseen voimakasta huimausta.</t>
  </si>
  <si>
    <t>Fezandipiti</t>
  </si>
  <si>
    <t>Fezandipiti saa kauniin ulkonäkönsä ja ihanan äänensä velkaa sen ympärille kiedotusta ketjusta tuleville myrkyllisille piristeille.</t>
  </si>
  <si>
    <t>https://pokeapi.co/api/v2/pokemon-species/644/</t>
  </si>
  <si>
    <t>Fezandipiti lyö kiiltäviä siipiään levittääkseen feromoneja, jotka kiehtovat ihmisiä ja Pokémoneja.</t>
  </si>
  <si>
    <t>Ogerpon</t>
  </si>
  <si>
    <t>Naamio-Pokémon</t>
  </si>
  <si>
    <t>Tämän Pokémonin tyyppi muuttuu sen käyttämän naamion mukaan. Se hämmentää vihollisensa ketterillä liikkeillään ja potkuillaan.</t>
  </si>
  <si>
    <t>Tämä ilkikurisuutta rakastava Pokémon on täynnä uteliaisuutta. Se taistelee ammentamalla esiin naamioistaan ​​löytyvän tyyppikohtaisen energian.</t>
  </si>
  <si>
    <t>Archaludon</t>
  </si>
  <si>
    <t>Se kerää staattista sähköä ympäristöstään. Konttausasentoon laskeutuessaan sen lähettämät säteet ovat valtavan voimakkaita.</t>
  </si>
  <si>
    <t>Se kaivaa kuoppia vuorille etsien ruokaa. Se on niin kestävä, ettei sortumaan jääminen säikäytä sitä.</t>
  </si>
  <si>
    <t>https://pokeapi.co/api/v2/pokemon-species/645/</t>
  </si>
  <si>
    <t>Hydrapple</t>
  </si>
  <si>
    <t>Apple Hydra -pokémon</t>
  </si>
  <si>
    <t>Siirapista tehdyn omenan sisällä asuu seitsemän käärmettä. Keskellä oleva käärme on komentaja.</t>
  </si>
  <si>
    <t>Nämä oikukkaat käärmeenhahmot ovat yhdistäneet voimansa. Harvinaisissa tilanteissa, joissa heidän mielialansa kohtaavat, heidän todellinen voimansa pääsee valloilleen.</t>
  </si>
  <si>
    <t>Gouging Fire</t>
  </si>
  <si>
    <t>Tämän olennon näkemisestä on tuskin havaintoja. Yhdessä lyhyessä videossa se riehuu ja syöksee liekkipilareita.</t>
  </si>
  <si>
    <t>Se muistuttaa aavemaista Pokémonia, jota kerran esitettiin paranormaalissa lehdessä. Pokémonin sanottiin olevan fossiilista uusiutunut Entei.</t>
  </si>
  <si>
    <t>Raging Bolt</t>
  </si>
  <si>
    <t>Sen sanotaan polttavan kaiken ympärillään turkistaan ​​​​laukaisevilla salamoilla. Tästä olennosta tiedetään hyvin vähän.</t>
  </si>
  <si>
    <t>Se muistuttaa Pokémonia, josta tuli hetken aikaa kuuma puheenaihe sen jälkeen, kun paranormaali lehti mainosti sitä Raikoun esi-isänä.</t>
  </si>
  <si>
    <t>https://pokeapi.co/api/v2/pokemon-species/646/</t>
  </si>
  <si>
    <t>Iron Boulder</t>
  </si>
  <si>
    <t>Se muistuttaa Pokémonia, jota kyseenalaisessa lehdessä kuvataan pahamaineisen organisaation muokkaamaksi Terrakioniksi.</t>
  </si>
  <si>
    <t>Se nimettiin vanhaan kirjaan kirjatun salaperäisen esineen mukaan. Sen runko näyttää olevan metallinen.</t>
  </si>
  <si>
    <t>Iron Crown</t>
  </si>
  <si>
    <t>Se muistuttaa paranormaalissa lehdessä esiteltyä salaperäistä esinettä, joka on kobalionin muotoinen huippuluokan ase.</t>
  </si>
  <si>
    <t>Kerrotaan, että erään tapauksen aikana se laukaisi kiiltäviä teriä ja paloitteli kaiken ympärillään olevan palasiksi. Muuta siitä ei tiedetä juurikaan.</t>
  </si>
  <si>
    <t>Terapagos</t>
  </si>
  <si>
    <t>Tera-Pokémon</t>
  </si>
  <si>
    <t>Terapagos suojelee itseään käyttämällä kykyään muuttaa energiaa koviksi kiteiksi. Tämä Pokémon on Terastal-ilmiön lähde.</t>
  </si>
  <si>
    <t>Tämän Pokémonin uskotaan eläneen muinaisessa Paldeassa, kunnes se jäi maanjäristysten kouriin ja kuoli sukupuuttoon.</t>
  </si>
  <si>
    <t>Pecharunt</t>
  </si>
  <si>
    <t>Alistaminen-Pokémon</t>
  </si>
  <si>
    <t>Se ruokkii muita myrkyllisiä mochi-juomia, jotka herättävät haluja ja kykyjä. Mochia syövät joutuvat Pecharuntin hallintaan, kahlittuina sen tahtoon.</t>
  </si>
  <si>
    <t>https://pokeapi.co/api/v2/pokemon-species/647/</t>
  </si>
  <si>
    <t>Sen persikanmuotoinen kuori toimii varastona voimakkaalle myrkylle. Se valmistaa myrkyllisiä mochi-karkkeja ja tarjoilee niitä ihmisille ja Pokémoneille.</t>
  </si>
  <si>
    <t>https://pokeapi.co/api/v2/pokemon-species/648/</t>
  </si>
  <si>
    <t>https://pokeapi.co/api/v2/pokemon-species/649/</t>
  </si>
  <si>
    <t>https://pokeapi.co/api/v2/pokemon-species/650/</t>
  </si>
  <si>
    <t>https://pokeapi.co/api/v2/pokemon-species/651/</t>
  </si>
  <si>
    <t>https://pokeapi.co/api/v2/pokemon-species/652/</t>
  </si>
  <si>
    <t>https://pokeapi.co/api/v2/pokemon-species/653/</t>
  </si>
  <si>
    <t>https://pokeapi.co/api/v2/pokemon-species/654/</t>
  </si>
  <si>
    <t>https://pokeapi.co/api/v2/pokemon-species/655/</t>
  </si>
  <si>
    <t>https://pokeapi.co/api/v2/pokemon-species/656/</t>
  </si>
  <si>
    <t>https://pokeapi.co/api/v2/pokemon-species/657/</t>
  </si>
  <si>
    <t>https://pokeapi.co/api/v2/pokemon-species/658/</t>
  </si>
  <si>
    <t>https://pokeapi.co/api/v2/pokemon-species/659/</t>
  </si>
  <si>
    <t>https://pokeapi.co/api/v2/pokemon-species/660/</t>
  </si>
  <si>
    <t>https://pokeapi.co/api/v2/pokemon-species/661/</t>
  </si>
  <si>
    <t>https://pokeapi.co/api/v2/pokemon-species/662/</t>
  </si>
  <si>
    <t>https://pokeapi.co/api/v2/pokemon-species/663/</t>
  </si>
  <si>
    <t>https://pokeapi.co/api/v2/pokemon-species/664/</t>
  </si>
  <si>
    <t>https://pokeapi.co/api/v2/pokemon-species/665/</t>
  </si>
  <si>
    <t>https://pokeapi.co/api/v2/pokemon-species/666/</t>
  </si>
  <si>
    <t>https://pokeapi.co/api/v2/pokemon-species/667/</t>
  </si>
  <si>
    <t>https://pokeapi.co/api/v2/pokemon-species/668/</t>
  </si>
  <si>
    <t>https://pokeapi.co/api/v2/pokemon-species/669/</t>
  </si>
  <si>
    <t>https://pokeapi.co/api/v2/pokemon-species/670/</t>
  </si>
  <si>
    <t>https://pokeapi.co/api/v2/pokemon-species/671/</t>
  </si>
  <si>
    <t>https://pokeapi.co/api/v2/pokemon-species/672/</t>
  </si>
  <si>
    <t>https://pokeapi.co/api/v2/pokemon-species/673/</t>
  </si>
  <si>
    <t>https://pokeapi.co/api/v2/pokemon-species/674/</t>
  </si>
  <si>
    <t>https://pokeapi.co/api/v2/pokemon-species/675/</t>
  </si>
  <si>
    <t>https://pokeapi.co/api/v2/pokemon-species/676/</t>
  </si>
  <si>
    <t>https://pokeapi.co/api/v2/pokemon-species/677/</t>
  </si>
  <si>
    <t>https://pokeapi.co/api/v2/pokemon-species/678/</t>
  </si>
  <si>
    <t>https://pokeapi.co/api/v2/pokemon-species/679/</t>
  </si>
  <si>
    <t>https://pokeapi.co/api/v2/pokemon-species/680/</t>
  </si>
  <si>
    <t>https://pokeapi.co/api/v2/pokemon-species/681/</t>
  </si>
  <si>
    <t>https://pokeapi.co/api/v2/pokemon-species/682/</t>
  </si>
  <si>
    <t>https://pokeapi.co/api/v2/pokemon-species/683/</t>
  </si>
  <si>
    <t>https://pokeapi.co/api/v2/pokemon-species/684/</t>
  </si>
  <si>
    <t>https://pokeapi.co/api/v2/pokemon-species/685/</t>
  </si>
  <si>
    <t>https://pokeapi.co/api/v2/pokemon-species/686/</t>
  </si>
  <si>
    <t>https://pokeapi.co/api/v2/pokemon-species/687/</t>
  </si>
  <si>
    <t>https://pokeapi.co/api/v2/pokemon-species/688/</t>
  </si>
  <si>
    <t>https://pokeapi.co/api/v2/pokemon-species/689/</t>
  </si>
  <si>
    <t>https://pokeapi.co/api/v2/pokemon-species/690/</t>
  </si>
  <si>
    <t>https://pokeapi.co/api/v2/pokemon-species/691/</t>
  </si>
  <si>
    <t>https://pokeapi.co/api/v2/pokemon-species/692/</t>
  </si>
  <si>
    <t>https://pokeapi.co/api/v2/pokemon-species/693/</t>
  </si>
  <si>
    <t>https://pokeapi.co/api/v2/pokemon-species/694/</t>
  </si>
  <si>
    <t>https://pokeapi.co/api/v2/pokemon-species/695/</t>
  </si>
  <si>
    <t>https://pokeapi.co/api/v2/pokemon-species/696/</t>
  </si>
  <si>
    <t>https://pokeapi.co/api/v2/pokemon-species/697/</t>
  </si>
  <si>
    <t>https://pokeapi.co/api/v2/pokemon-species/698/</t>
  </si>
  <si>
    <t>https://pokeapi.co/api/v2/pokemon-species/699/</t>
  </si>
  <si>
    <t>https://pokeapi.co/api/v2/pokemon-species/700/</t>
  </si>
  <si>
    <t>https://pokeapi.co/api/v2/pokemon-species/701/</t>
  </si>
  <si>
    <t>https://pokeapi.co/api/v2/pokemon-species/702/</t>
  </si>
  <si>
    <t>https://pokeapi.co/api/v2/pokemon-species/703/</t>
  </si>
  <si>
    <t>https://pokeapi.co/api/v2/pokemon-species/704/</t>
  </si>
  <si>
    <t>https://pokeapi.co/api/v2/pokemon-species/705/</t>
  </si>
  <si>
    <t>https://pokeapi.co/api/v2/pokemon-species/706/</t>
  </si>
  <si>
    <t>https://pokeapi.co/api/v2/pokemon-species/707/</t>
  </si>
  <si>
    <t>https://pokeapi.co/api/v2/pokemon-species/708/</t>
  </si>
  <si>
    <t>https://pokeapi.co/api/v2/pokemon-species/709/</t>
  </si>
  <si>
    <t>https://pokeapi.co/api/v2/pokemon-species/710/</t>
  </si>
  <si>
    <t>https://pokeapi.co/api/v2/pokemon-species/711/</t>
  </si>
  <si>
    <t>https://pokeapi.co/api/v2/pokemon-species/712/</t>
  </si>
  <si>
    <t>https://pokeapi.co/api/v2/pokemon-species/713/</t>
  </si>
  <si>
    <t>https://pokeapi.co/api/v2/pokemon-species/714/</t>
  </si>
  <si>
    <t>https://pokeapi.co/api/v2/pokemon-species/715/</t>
  </si>
  <si>
    <t>https://pokeapi.co/api/v2/pokemon-species/716/</t>
  </si>
  <si>
    <t>https://pokeapi.co/api/v2/pokemon-species/717/</t>
  </si>
  <si>
    <t>https://pokeapi.co/api/v2/pokemon-species/718/</t>
  </si>
  <si>
    <t>https://pokeapi.co/api/v2/pokemon-species/719/</t>
  </si>
  <si>
    <t>https://pokeapi.co/api/v2/pokemon-species/720/</t>
  </si>
  <si>
    <t>https://pokeapi.co/api/v2/pokemon-species/721/</t>
  </si>
  <si>
    <t>https://pokeapi.co/api/v2/pokemon-species/722/</t>
  </si>
  <si>
    <t>https://pokeapi.co/api/v2/pokemon-species/723/</t>
  </si>
  <si>
    <t>https://pokeapi.co/api/v2/pokemon-species/724/</t>
  </si>
  <si>
    <t>https://pokeapi.co/api/v2/pokemon-species/725/</t>
  </si>
  <si>
    <t>https://pokeapi.co/api/v2/pokemon-species/726/</t>
  </si>
  <si>
    <t>https://pokeapi.co/api/v2/pokemon-species/727/</t>
  </si>
  <si>
    <t>https://pokeapi.co/api/v2/pokemon-species/728/</t>
  </si>
  <si>
    <t>https://pokeapi.co/api/v2/pokemon-species/729/</t>
  </si>
  <si>
    <t>https://pokeapi.co/api/v2/pokemon-species/730/</t>
  </si>
  <si>
    <t>https://pokeapi.co/api/v2/pokemon-species/731/</t>
  </si>
  <si>
    <t>https://pokeapi.co/api/v2/pokemon-species/732/</t>
  </si>
  <si>
    <t>https://pokeapi.co/api/v2/pokemon-species/733/</t>
  </si>
  <si>
    <t>https://pokeapi.co/api/v2/pokemon-species/734/</t>
  </si>
  <si>
    <t>https://pokeapi.co/api/v2/pokemon-species/735/</t>
  </si>
  <si>
    <t>https://pokeapi.co/api/v2/pokemon-species/736/</t>
  </si>
  <si>
    <t>https://pokeapi.co/api/v2/pokemon-species/737/</t>
  </si>
  <si>
    <t>https://pokeapi.co/api/v2/pokemon-species/738/</t>
  </si>
  <si>
    <t>https://pokeapi.co/api/v2/pokemon-species/739/</t>
  </si>
  <si>
    <t>https://pokeapi.co/api/v2/pokemon-species/740/</t>
  </si>
  <si>
    <t>https://pokeapi.co/api/v2/pokemon-species/741/</t>
  </si>
  <si>
    <t>https://pokeapi.co/api/v2/pokemon-species/742/</t>
  </si>
  <si>
    <t>https://pokeapi.co/api/v2/pokemon-species/743/</t>
  </si>
  <si>
    <t>https://pokeapi.co/api/v2/pokemon-species/744/</t>
  </si>
  <si>
    <t>https://pokeapi.co/api/v2/pokemon-species/745/</t>
  </si>
  <si>
    <t>https://pokeapi.co/api/v2/pokemon-species/746/</t>
  </si>
  <si>
    <t>https://pokeapi.co/api/v2/pokemon-species/747/</t>
  </si>
  <si>
    <t>https://pokeapi.co/api/v2/pokemon-species/748/</t>
  </si>
  <si>
    <t>https://pokeapi.co/api/v2/pokemon-species/749/</t>
  </si>
  <si>
    <t>https://pokeapi.co/api/v2/pokemon-species/750/</t>
  </si>
  <si>
    <t>https://pokeapi.co/api/v2/pokemon-species/751/</t>
  </si>
  <si>
    <t>https://pokeapi.co/api/v2/pokemon-species/752/</t>
  </si>
  <si>
    <t>https://pokeapi.co/api/v2/pokemon-species/753/</t>
  </si>
  <si>
    <t>https://pokeapi.co/api/v2/pokemon-species/754/</t>
  </si>
  <si>
    <t>https://pokeapi.co/api/v2/pokemon-species/755/</t>
  </si>
  <si>
    <t>https://pokeapi.co/api/v2/pokemon-species/756/</t>
  </si>
  <si>
    <t>https://pokeapi.co/api/v2/pokemon-species/757/</t>
  </si>
  <si>
    <t>https://pokeapi.co/api/v2/pokemon-species/758/</t>
  </si>
  <si>
    <t>https://pokeapi.co/api/v2/pokemon-species/759/</t>
  </si>
  <si>
    <t>https://pokeapi.co/api/v2/pokemon-species/760/</t>
  </si>
  <si>
    <t>https://pokeapi.co/api/v2/pokemon-species/761/</t>
  </si>
  <si>
    <t>https://pokeapi.co/api/v2/pokemon-species/762/</t>
  </si>
  <si>
    <t>https://pokeapi.co/api/v2/pokemon-species/763/</t>
  </si>
  <si>
    <t>https://pokeapi.co/api/v2/pokemon-species/764/</t>
  </si>
  <si>
    <t>https://pokeapi.co/api/v2/pokemon-species/765/</t>
  </si>
  <si>
    <t>https://pokeapi.co/api/v2/pokemon-species/766/</t>
  </si>
  <si>
    <t>https://pokeapi.co/api/v2/pokemon-species/767/</t>
  </si>
  <si>
    <t>https://pokeapi.co/api/v2/pokemon-species/768/</t>
  </si>
  <si>
    <t>https://pokeapi.co/api/v2/pokemon-species/769/</t>
  </si>
  <si>
    <t>https://pokeapi.co/api/v2/pokemon-species/770/</t>
  </si>
  <si>
    <t>https://pokeapi.co/api/v2/pokemon-species/771/</t>
  </si>
  <si>
    <t>https://pokeapi.co/api/v2/pokemon-species/772/</t>
  </si>
  <si>
    <t>https://pokeapi.co/api/v2/pokemon-species/773/</t>
  </si>
  <si>
    <t>https://pokeapi.co/api/v2/pokemon-species/774/</t>
  </si>
  <si>
    <t>https://pokeapi.co/api/v2/pokemon-species/775/</t>
  </si>
  <si>
    <t>https://pokeapi.co/api/v2/pokemon-species/776/</t>
  </si>
  <si>
    <t>https://pokeapi.co/api/v2/pokemon-species/777/</t>
  </si>
  <si>
    <t>https://pokeapi.co/api/v2/pokemon-species/778/</t>
  </si>
  <si>
    <t>https://pokeapi.co/api/v2/pokemon-species/779/</t>
  </si>
  <si>
    <t>https://pokeapi.co/api/v2/pokemon-species/780/</t>
  </si>
  <si>
    <t>https://pokeapi.co/api/v2/pokemon-species/781/</t>
  </si>
  <si>
    <t>https://pokeapi.co/api/v2/pokemon-species/782/</t>
  </si>
  <si>
    <t>https://pokeapi.co/api/v2/pokemon-species/783/</t>
  </si>
  <si>
    <t>https://pokeapi.co/api/v2/pokemon-species/784/</t>
  </si>
  <si>
    <t>https://pokeapi.co/api/v2/pokemon-species/785/</t>
  </si>
  <si>
    <t>https://pokeapi.co/api/v2/pokemon-species/786/</t>
  </si>
  <si>
    <t>https://pokeapi.co/api/v2/pokemon-species/787/</t>
  </si>
  <si>
    <t>https://pokeapi.co/api/v2/pokemon-species/788/</t>
  </si>
  <si>
    <t>https://pokeapi.co/api/v2/pokemon-species/789/</t>
  </si>
  <si>
    <t>https://pokeapi.co/api/v2/pokemon-species/790/</t>
  </si>
  <si>
    <t>https://pokeapi.co/api/v2/pokemon-species/791/</t>
  </si>
  <si>
    <t>https://pokeapi.co/api/v2/pokemon-species/792/</t>
  </si>
  <si>
    <t>https://pokeapi.co/api/v2/pokemon-species/793/</t>
  </si>
  <si>
    <t>https://pokeapi.co/api/v2/pokemon-species/794/</t>
  </si>
  <si>
    <t>https://pokeapi.co/api/v2/pokemon-species/795/</t>
  </si>
  <si>
    <t>https://pokeapi.co/api/v2/pokemon-species/796/</t>
  </si>
  <si>
    <t>https://pokeapi.co/api/v2/pokemon-species/797/</t>
  </si>
  <si>
    <t>https://pokeapi.co/api/v2/pokemon-species/798/</t>
  </si>
  <si>
    <t>https://pokeapi.co/api/v2/pokemon-species/799/</t>
  </si>
  <si>
    <t>https://pokeapi.co/api/v2/pokemon-species/800/</t>
  </si>
  <si>
    <t>https://pokeapi.co/api/v2/pokemon-species/801/</t>
  </si>
  <si>
    <t>https://pokeapi.co/api/v2/pokemon-species/802/</t>
  </si>
  <si>
    <t>https://pokeapi.co/api/v2/pokemon-species/803/</t>
  </si>
  <si>
    <t>https://pokeapi.co/api/v2/pokemon-species/804/</t>
  </si>
  <si>
    <t>https://pokeapi.co/api/v2/pokemon-species/805/</t>
  </si>
  <si>
    <t>https://pokeapi.co/api/v2/pokemon-species/806/</t>
  </si>
  <si>
    <t>https://pokeapi.co/api/v2/pokemon-species/807/</t>
  </si>
  <si>
    <t>https://pokeapi.co/api/v2/pokemon-species/808/</t>
  </si>
  <si>
    <t>https://pokeapi.co/api/v2/pokemon-species/809/</t>
  </si>
  <si>
    <t>https://pokeapi.co/api/v2/pokemon-species/810/</t>
  </si>
  <si>
    <t>https://pokeapi.co/api/v2/pokemon-species/811/</t>
  </si>
  <si>
    <t>https://pokeapi.co/api/v2/pokemon-species/812/</t>
  </si>
  <si>
    <t>https://pokeapi.co/api/v2/pokemon-species/813/</t>
  </si>
  <si>
    <t>https://pokeapi.co/api/v2/pokemon-species/814/</t>
  </si>
  <si>
    <t>https://pokeapi.co/api/v2/pokemon-species/815/</t>
  </si>
  <si>
    <t>https://pokeapi.co/api/v2/pokemon-species/816/</t>
  </si>
  <si>
    <t>https://pokeapi.co/api/v2/pokemon-species/817/</t>
  </si>
  <si>
    <t>https://pokeapi.co/api/v2/pokemon-species/818/</t>
  </si>
  <si>
    <t>https://pokeapi.co/api/v2/pokemon-species/819/</t>
  </si>
  <si>
    <t>https://pokeapi.co/api/v2/pokemon-species/820/</t>
  </si>
  <si>
    <t>https://pokeapi.co/api/v2/pokemon-species/821/</t>
  </si>
  <si>
    <t>https://pokeapi.co/api/v2/pokemon-species/822/</t>
  </si>
  <si>
    <t>https://pokeapi.co/api/v2/pokemon-species/823/</t>
  </si>
  <si>
    <t>https://pokeapi.co/api/v2/pokemon-species/824/</t>
  </si>
  <si>
    <t>https://pokeapi.co/api/v2/pokemon-species/825/</t>
  </si>
  <si>
    <t>https://pokeapi.co/api/v2/pokemon-species/826/</t>
  </si>
  <si>
    <t>https://pokeapi.co/api/v2/pokemon-species/827/</t>
  </si>
  <si>
    <t>https://pokeapi.co/api/v2/pokemon-species/828/</t>
  </si>
  <si>
    <t>https://pokeapi.co/api/v2/pokemon-species/829/</t>
  </si>
  <si>
    <t>https://pokeapi.co/api/v2/pokemon-species/830/</t>
  </si>
  <si>
    <t>https://pokeapi.co/api/v2/pokemon-species/831/</t>
  </si>
  <si>
    <t>https://pokeapi.co/api/v2/pokemon-species/832/</t>
  </si>
  <si>
    <t>https://pokeapi.co/api/v2/pokemon-species/833/</t>
  </si>
  <si>
    <t>https://pokeapi.co/api/v2/pokemon-species/834/</t>
  </si>
  <si>
    <t>https://pokeapi.co/api/v2/pokemon-species/835/</t>
  </si>
  <si>
    <t>https://pokeapi.co/api/v2/pokemon-species/836/</t>
  </si>
  <si>
    <t>https://pokeapi.co/api/v2/pokemon-species/837/</t>
  </si>
  <si>
    <t>https://pokeapi.co/api/v2/pokemon-species/838/</t>
  </si>
  <si>
    <t>https://pokeapi.co/api/v2/pokemon-species/839/</t>
  </si>
  <si>
    <t>https://pokeapi.co/api/v2/pokemon-species/840/</t>
  </si>
  <si>
    <t>https://pokeapi.co/api/v2/pokemon-species/841/</t>
  </si>
  <si>
    <t>https://pokeapi.co/api/v2/pokemon-species/842/</t>
  </si>
  <si>
    <t>https://pokeapi.co/api/v2/pokemon-species/843/</t>
  </si>
  <si>
    <t>https://pokeapi.co/api/v2/pokemon-species/844/</t>
  </si>
  <si>
    <t>https://pokeapi.co/api/v2/pokemon-species/845/</t>
  </si>
  <si>
    <t>https://pokeapi.co/api/v2/pokemon-species/846/</t>
  </si>
  <si>
    <t>https://pokeapi.co/api/v2/pokemon-species/847/</t>
  </si>
  <si>
    <t>https://pokeapi.co/api/v2/pokemon-species/848/</t>
  </si>
  <si>
    <t>https://pokeapi.co/api/v2/pokemon-species/849/</t>
  </si>
  <si>
    <t>https://pokeapi.co/api/v2/pokemon-species/850/</t>
  </si>
  <si>
    <t>https://pokeapi.co/api/v2/pokemon-species/851/</t>
  </si>
  <si>
    <t>https://pokeapi.co/api/v2/pokemon-species/852/</t>
  </si>
  <si>
    <t>https://pokeapi.co/api/v2/pokemon-species/853/</t>
  </si>
  <si>
    <t>https://pokeapi.co/api/v2/pokemon-species/854/</t>
  </si>
  <si>
    <t>https://pokeapi.co/api/v2/pokemon-species/855/</t>
  </si>
  <si>
    <t>https://pokeapi.co/api/v2/pokemon-species/856/</t>
  </si>
  <si>
    <t>https://pokeapi.co/api/v2/pokemon-species/857/</t>
  </si>
  <si>
    <t>https://pokeapi.co/api/v2/pokemon-species/858/</t>
  </si>
  <si>
    <t>https://pokeapi.co/api/v2/pokemon-species/859/</t>
  </si>
  <si>
    <t>https://pokeapi.co/api/v2/pokemon-species/860/</t>
  </si>
  <si>
    <t>https://pokeapi.co/api/v2/pokemon-species/861/</t>
  </si>
  <si>
    <t>https://pokeapi.co/api/v2/pokemon-species/862/</t>
  </si>
  <si>
    <t>https://pokeapi.co/api/v2/pokemon-species/863/</t>
  </si>
  <si>
    <t>https://pokeapi.co/api/v2/pokemon-species/864/</t>
  </si>
  <si>
    <t>https://pokeapi.co/api/v2/pokemon-species/865/</t>
  </si>
  <si>
    <t>https://pokeapi.co/api/v2/pokemon-species/866/</t>
  </si>
  <si>
    <t>https://pokeapi.co/api/v2/pokemon-species/867/</t>
  </si>
  <si>
    <t>https://pokeapi.co/api/v2/pokemon-species/868/</t>
  </si>
  <si>
    <t>https://pokeapi.co/api/v2/pokemon-species/869/</t>
  </si>
  <si>
    <t>https://pokeapi.co/api/v2/pokemon-species/870/</t>
  </si>
  <si>
    <t>https://pokeapi.co/api/v2/pokemon-species/871/</t>
  </si>
  <si>
    <t>https://pokeapi.co/api/v2/pokemon-species/872/</t>
  </si>
  <si>
    <t>https://pokeapi.co/api/v2/pokemon-species/873/</t>
  </si>
  <si>
    <t>https://pokeapi.co/api/v2/pokemon-species/874/</t>
  </si>
  <si>
    <t>https://pokeapi.co/api/v2/pokemon-species/875/</t>
  </si>
  <si>
    <t>https://pokeapi.co/api/v2/pokemon-species/876/</t>
  </si>
  <si>
    <t>https://pokeapi.co/api/v2/pokemon-species/877/</t>
  </si>
  <si>
    <t>https://pokeapi.co/api/v2/pokemon-species/878/</t>
  </si>
  <si>
    <t>https://pokeapi.co/api/v2/pokemon-species/879/</t>
  </si>
  <si>
    <t>https://pokeapi.co/api/v2/pokemon-species/880/</t>
  </si>
  <si>
    <t>https://pokeapi.co/api/v2/pokemon-species/881/</t>
  </si>
  <si>
    <t>https://pokeapi.co/api/v2/pokemon-species/882/</t>
  </si>
  <si>
    <t>https://pokeapi.co/api/v2/pokemon-species/883/</t>
  </si>
  <si>
    <t>https://pokeapi.co/api/v2/pokemon-species/884/</t>
  </si>
  <si>
    <t>https://pokeapi.co/api/v2/pokemon-species/885/</t>
  </si>
  <si>
    <t>https://pokeapi.co/api/v2/pokemon-species/886/</t>
  </si>
  <si>
    <t>https://pokeapi.co/api/v2/pokemon-species/887/</t>
  </si>
  <si>
    <t>https://pokeapi.co/api/v2/pokemon-species/888/</t>
  </si>
  <si>
    <t>https://pokeapi.co/api/v2/pokemon-species/889/</t>
  </si>
  <si>
    <t>https://pokeapi.co/api/v2/pokemon-species/890/</t>
  </si>
  <si>
    <t>https://pokeapi.co/api/v2/pokemon-species/891/</t>
  </si>
  <si>
    <t>https://pokeapi.co/api/v2/pokemon-species/892/</t>
  </si>
  <si>
    <t>https://pokeapi.co/api/v2/pokemon-species/893/</t>
  </si>
  <si>
    <t>https://pokeapi.co/api/v2/pokemon-species/894/</t>
  </si>
  <si>
    <t>https://pokeapi.co/api/v2/pokemon-species/895/</t>
  </si>
  <si>
    <t>https://pokeapi.co/api/v2/pokemon-species/896/</t>
  </si>
  <si>
    <t>https://pokeapi.co/api/v2/pokemon-species/897/</t>
  </si>
  <si>
    <t>https://pokeapi.co/api/v2/pokemon-species/898/</t>
  </si>
  <si>
    <t>https://pokeapi.co/api/v2/pokemon-species/899/</t>
  </si>
  <si>
    <t>https://pokeapi.co/api/v2/pokemon-species/900/</t>
  </si>
  <si>
    <t>https://pokeapi.co/api/v2/pokemon-species/901/</t>
  </si>
  <si>
    <t>https://pokeapi.co/api/v2/pokemon-species/902/</t>
  </si>
  <si>
    <t>https://pokeapi.co/api/v2/pokemon-species/903/</t>
  </si>
  <si>
    <t>https://pokeapi.co/api/v2/pokemon-species/904/</t>
  </si>
  <si>
    <t>https://pokeapi.co/api/v2/pokemon-species/905/</t>
  </si>
  <si>
    <t>https://pokeapi.co/api/v2/pokemon-species/906/</t>
  </si>
  <si>
    <t>https://pokeapi.co/api/v2/pokemon-species/907/</t>
  </si>
  <si>
    <t>https://pokeapi.co/api/v2/pokemon-species/908/</t>
  </si>
  <si>
    <t>https://pokeapi.co/api/v2/pokemon-species/909/</t>
  </si>
  <si>
    <t>https://pokeapi.co/api/v2/pokemon-species/910/</t>
  </si>
  <si>
    <t>https://pokeapi.co/api/v2/pokemon-species/911/</t>
  </si>
  <si>
    <t>https://pokeapi.co/api/v2/pokemon-species/912/</t>
  </si>
  <si>
    <t>https://pokeapi.co/api/v2/pokemon-species/913/</t>
  </si>
  <si>
    <t>https://pokeapi.co/api/v2/pokemon-species/914/</t>
  </si>
  <si>
    <t>https://pokeapi.co/api/v2/pokemon-species/915/</t>
  </si>
  <si>
    <t>https://pokeapi.co/api/v2/pokemon-species/916/</t>
  </si>
  <si>
    <t>https://pokeapi.co/api/v2/pokemon-species/917/</t>
  </si>
  <si>
    <t>https://pokeapi.co/api/v2/pokemon-species/918/</t>
  </si>
  <si>
    <t>https://pokeapi.co/api/v2/pokemon-species/919/</t>
  </si>
  <si>
    <t>https://pokeapi.co/api/v2/pokemon-species/920/</t>
  </si>
  <si>
    <t>https://pokeapi.co/api/v2/pokemon-species/921/</t>
  </si>
  <si>
    <t>https://pokeapi.co/api/v2/pokemon-species/922/</t>
  </si>
  <si>
    <t>https://pokeapi.co/api/v2/pokemon-species/923/</t>
  </si>
  <si>
    <t>https://pokeapi.co/api/v2/pokemon-species/924/</t>
  </si>
  <si>
    <t>https://pokeapi.co/api/v2/pokemon-species/925/</t>
  </si>
  <si>
    <t>https://pokeapi.co/api/v2/pokemon-species/926/</t>
  </si>
  <si>
    <t>https://pokeapi.co/api/v2/pokemon-species/927/</t>
  </si>
  <si>
    <t>https://pokeapi.co/api/v2/pokemon-species/928/</t>
  </si>
  <si>
    <t>https://pokeapi.co/api/v2/pokemon-species/929/</t>
  </si>
  <si>
    <t>https://pokeapi.co/api/v2/pokemon-species/930/</t>
  </si>
  <si>
    <t>https://pokeapi.co/api/v2/pokemon-species/931/</t>
  </si>
  <si>
    <t>https://pokeapi.co/api/v2/pokemon-species/932/</t>
  </si>
  <si>
    <t>https://pokeapi.co/api/v2/pokemon-species/933/</t>
  </si>
  <si>
    <t>https://pokeapi.co/api/v2/pokemon-species/934/</t>
  </si>
  <si>
    <t>https://pokeapi.co/api/v2/pokemon-species/935/</t>
  </si>
  <si>
    <t>https://pokeapi.co/api/v2/pokemon-species/936/</t>
  </si>
  <si>
    <t>https://pokeapi.co/api/v2/pokemon-species/937/</t>
  </si>
  <si>
    <t>https://pokeapi.co/api/v2/pokemon-species/938/</t>
  </si>
  <si>
    <t>https://pokeapi.co/api/v2/pokemon-species/939/</t>
  </si>
  <si>
    <t>https://pokeapi.co/api/v2/pokemon-species/940/</t>
  </si>
  <si>
    <t>https://pokeapi.co/api/v2/pokemon-species/941/</t>
  </si>
  <si>
    <t>https://pokeapi.co/api/v2/pokemon-species/942/</t>
  </si>
  <si>
    <t>https://pokeapi.co/api/v2/pokemon-species/943/</t>
  </si>
  <si>
    <t>https://pokeapi.co/api/v2/pokemon-species/944/</t>
  </si>
  <si>
    <t>https://pokeapi.co/api/v2/pokemon-species/945/</t>
  </si>
  <si>
    <t>https://pokeapi.co/api/v2/pokemon-species/946/</t>
  </si>
  <si>
    <t>https://pokeapi.co/api/v2/pokemon-species/947/</t>
  </si>
  <si>
    <t>https://pokeapi.co/api/v2/pokemon-species/948/</t>
  </si>
  <si>
    <t>https://pokeapi.co/api/v2/pokemon-species/949/</t>
  </si>
  <si>
    <t>https://pokeapi.co/api/v2/pokemon-species/950/</t>
  </si>
  <si>
    <t>https://pokeapi.co/api/v2/pokemon-species/951/</t>
  </si>
  <si>
    <t>https://pokeapi.co/api/v2/pokemon-species/952/</t>
  </si>
  <si>
    <t>https://pokeapi.co/api/v2/pokemon-species/953/</t>
  </si>
  <si>
    <t>https://pokeapi.co/api/v2/pokemon-species/954/</t>
  </si>
  <si>
    <t>https://pokeapi.co/api/v2/pokemon-species/955/</t>
  </si>
  <si>
    <t>https://pokeapi.co/api/v2/pokemon-species/956/</t>
  </si>
  <si>
    <t>https://pokeapi.co/api/v2/pokemon-species/957/</t>
  </si>
  <si>
    <t>https://pokeapi.co/api/v2/pokemon-species/958/</t>
  </si>
  <si>
    <t>https://pokeapi.co/api/v2/pokemon-species/959/</t>
  </si>
  <si>
    <t>https://pokeapi.co/api/v2/pokemon-species/960/</t>
  </si>
  <si>
    <t>https://pokeapi.co/api/v2/pokemon-species/961/</t>
  </si>
  <si>
    <t>https://pokeapi.co/api/v2/pokemon-species/962/</t>
  </si>
  <si>
    <t>https://pokeapi.co/api/v2/pokemon-species/963/</t>
  </si>
  <si>
    <t>https://pokeapi.co/api/v2/pokemon-species/964/</t>
  </si>
  <si>
    <t>https://pokeapi.co/api/v2/pokemon-species/965/</t>
  </si>
  <si>
    <t>https://pokeapi.co/api/v2/pokemon-species/966/</t>
  </si>
  <si>
    <t>https://pokeapi.co/api/v2/pokemon-species/967/</t>
  </si>
  <si>
    <t>https://pokeapi.co/api/v2/pokemon-species/968/</t>
  </si>
  <si>
    <t>https://pokeapi.co/api/v2/pokemon-species/969/</t>
  </si>
  <si>
    <t>https://pokeapi.co/api/v2/pokemon-species/970/</t>
  </si>
  <si>
    <t>https://pokeapi.co/api/v2/pokemon-species/971/</t>
  </si>
  <si>
    <t>https://pokeapi.co/api/v2/pokemon-species/972/</t>
  </si>
  <si>
    <t>https://pokeapi.co/api/v2/pokemon-species/973/</t>
  </si>
  <si>
    <t>https://pokeapi.co/api/v2/pokemon-species/974/</t>
  </si>
  <si>
    <t>https://pokeapi.co/api/v2/pokemon-species/975/</t>
  </si>
  <si>
    <t>https://pokeapi.co/api/v2/pokemon-species/976/</t>
  </si>
  <si>
    <t>https://pokeapi.co/api/v2/pokemon-species/977/</t>
  </si>
  <si>
    <t>https://pokeapi.co/api/v2/pokemon-species/978/</t>
  </si>
  <si>
    <t>https://pokeapi.co/api/v2/pokemon-species/979/</t>
  </si>
  <si>
    <t>https://pokeapi.co/api/v2/pokemon-species/980/</t>
  </si>
  <si>
    <t>https://pokeapi.co/api/v2/pokemon-species/981/</t>
  </si>
  <si>
    <t>https://pokeapi.co/api/v2/pokemon-species/982/</t>
  </si>
  <si>
    <t>https://pokeapi.co/api/v2/pokemon-species/983/</t>
  </si>
  <si>
    <t>https://pokeapi.co/api/v2/pokemon-species/984/</t>
  </si>
  <si>
    <t>https://pokeapi.co/api/v2/pokemon-species/985/</t>
  </si>
  <si>
    <t>https://pokeapi.co/api/v2/pokemon-species/986/</t>
  </si>
  <si>
    <t>https://pokeapi.co/api/v2/pokemon-species/987/</t>
  </si>
  <si>
    <t>https://pokeapi.co/api/v2/pokemon-species/988/</t>
  </si>
  <si>
    <t>https://pokeapi.co/api/v2/pokemon-species/989/</t>
  </si>
  <si>
    <t>https://pokeapi.co/api/v2/pokemon-species/990/</t>
  </si>
  <si>
    <t>https://pokeapi.co/api/v2/pokemon-species/991/</t>
  </si>
  <si>
    <t>https://pokeapi.co/api/v2/pokemon-species/992/</t>
  </si>
  <si>
    <t>https://pokeapi.co/api/v2/pokemon-species/993/</t>
  </si>
  <si>
    <t>https://pokeapi.co/api/v2/pokemon-species/994/</t>
  </si>
  <si>
    <t>https://pokeapi.co/api/v2/pokemon-species/995/</t>
  </si>
  <si>
    <t>https://pokeapi.co/api/v2/pokemon-species/996/</t>
  </si>
  <si>
    <t>https://pokeapi.co/api/v2/pokemon-species/997/</t>
  </si>
  <si>
    <t>https://pokeapi.co/api/v2/pokemon-species/998/</t>
  </si>
  <si>
    <t>https://pokeapi.co/api/v2/pokemon-species/999/</t>
  </si>
  <si>
    <t>https://pokeapi.co/api/v2/pokemon-species/1000/</t>
  </si>
  <si>
    <t>https://pokeapi.co/api/v2/pokemon-species/1001/</t>
  </si>
  <si>
    <t>https://pokeapi.co/api/v2/pokemon-species/1002/</t>
  </si>
  <si>
    <t>https://pokeapi.co/api/v2/pokemon-species/1003/</t>
  </si>
  <si>
    <t>https://pokeapi.co/api/v2/pokemon-species/1004/</t>
  </si>
  <si>
    <t>https://pokeapi.co/api/v2/pokemon-species/1005/</t>
  </si>
  <si>
    <t>https://pokeapi.co/api/v2/pokemon-species/1006/</t>
  </si>
  <si>
    <t>https://pokeapi.co/api/v2/pokemon-species/1007/</t>
  </si>
  <si>
    <t>https://pokeapi.co/api/v2/pokemon-species/1008/</t>
  </si>
  <si>
    <t>https://pokeapi.co/api/v2/pokemon-species/1009/</t>
  </si>
  <si>
    <t>https://pokeapi.co/api/v2/pokemon-species/1010/</t>
  </si>
  <si>
    <t>https://pokeapi.co/api/v2/pokemon-species/1011/</t>
  </si>
  <si>
    <t>https://pokeapi.co/api/v2/pokemon-species/1012/</t>
  </si>
  <si>
    <t>https://pokeapi.co/api/v2/pokemon-species/1013/</t>
  </si>
  <si>
    <t>https://pokeapi.co/api/v2/pokemon-species/1014/</t>
  </si>
  <si>
    <t>https://pokeapi.co/api/v2/pokemon-species/1015/</t>
  </si>
  <si>
    <t>https://pokeapi.co/api/v2/pokemon-species/1016/</t>
  </si>
  <si>
    <t>https://pokeapi.co/api/v2/pokemon-species/1017/</t>
  </si>
  <si>
    <t>https://pokeapi.co/api/v2/pokemon-species/1018/</t>
  </si>
  <si>
    <t>https://pokeapi.co/api/v2/pokemon-species/1019/</t>
  </si>
  <si>
    <t>https://pokeapi.co/api/v2/pokemon-species/1020/</t>
  </si>
  <si>
    <t>https://pokeapi.co/api/v2/pokemon-species/1021/</t>
  </si>
  <si>
    <t>https://pokeapi.co/api/v2/pokemon-species/1022/</t>
  </si>
  <si>
    <t>https://pokeapi.co/api/v2/pokemon-species/1023/</t>
  </si>
  <si>
    <t>https://pokeapi.co/api/v2/pokemon-species/1024/</t>
  </si>
  <si>
    <t>https://pokeapi.co/api/v2/pokemon-species/1025/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</si>
</sst>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1.0"/>
      <color rgb="FF000000"/>
      <name val="Carlito"/>
      <scheme val="minor"/>
    </font>
    <font>
      <b/>
      <sz val="14.0"/>
      <color rgb="FF1F1F1F"/>
      <name val="Arial"/>
    </font>
    <font>
      <b/>
      <sz val="10.0"/>
      <color rgb="FFFFFFFF"/>
      <name val="Arial"/>
    </font>
    <font>
      <b/>
      <sz val="10.0"/>
      <color rgb="FF333333"/>
      <name val="Arial"/>
    </font>
    <font>
      <sz val="10.0"/>
      <color rgb="FF222222"/>
      <name val="Arial"/>
    </font>
    <font>
      <color theme="1"/>
      <name val="Carlito"/>
      <scheme val="minor"/>
    </font>
  </fonts>
  <fills count="4">
    <fill>
      <patternFill patternType="none"/>
    </fill>
    <fill>
      <patternFill patternType="lightGray"/>
    </fill>
    <fill>
      <patternFill patternType="solid">
        <fgColor rgb="FF1F4E78"/>
        <bgColor rgb="FF1F4E78"/>
      </patternFill>
    </fill>
    <fill>
      <patternFill patternType="solid">
        <fgColor rgb="FF7F6000"/>
        <bgColor rgb="FF7F60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2" fontId="2" numFmtId="0" xfId="0" applyAlignment="1" applyFill="1" applyFont="1">
      <alignment horizontal="center" readingOrder="0" shrinkToFit="0" vertical="center" wrapText="0"/>
    </xf>
    <xf borderId="0" fillId="0" fontId="3" numFmtId="0" xfId="0" applyAlignment="1" applyFont="1">
      <alignment shrinkToFit="0" vertical="center" wrapText="0"/>
    </xf>
    <xf borderId="0" fillId="0" fontId="4" numFmtId="0" xfId="0" applyAlignment="1" applyFont="1">
      <alignment shrinkToFit="0" vertical="center" wrapText="1"/>
    </xf>
    <xf borderId="0" fillId="0" fontId="4" numFmtId="0" xfId="0" applyAlignment="1" applyFont="1">
      <alignment horizontal="center" shrinkToFit="0" vertical="center" wrapText="0"/>
    </xf>
    <xf borderId="0" fillId="0" fontId="4" numFmtId="164" xfId="0" applyAlignment="1" applyFont="1" applyNumberFormat="1">
      <alignment shrinkToFit="0" vertical="center" wrapText="1"/>
    </xf>
    <xf borderId="0" fillId="0" fontId="4" numFmtId="0" xfId="0" applyAlignment="1" applyFont="1">
      <alignment shrinkToFit="0" vertical="center" wrapText="0"/>
    </xf>
    <xf borderId="0" fillId="0" fontId="5" numFmtId="0" xfId="0" applyAlignment="1" applyFont="1">
      <alignment readingOrder="0" shrinkToFit="0" vertical="center" wrapText="0"/>
    </xf>
    <xf borderId="0" fillId="0" fontId="4" numFmtId="0" xfId="0" applyAlignment="1" applyFont="1">
      <alignment readingOrder="0" shrinkToFit="0" vertical="center" wrapText="1"/>
    </xf>
    <xf borderId="0" fillId="0" fontId="4" numFmtId="0" xfId="0" applyAlignment="1" applyFont="1">
      <alignment readingOrder="0" shrinkToFit="0" vertical="center" wrapText="0"/>
    </xf>
    <xf borderId="0" fillId="0" fontId="5"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4">
    <tableStyle count="4" pivot="0" name="English-style">
      <tableStyleElement dxfId="1" type="headerRow"/>
      <tableStyleElement dxfId="2" type="firstRowStripe"/>
      <tableStyleElement dxfId="3" type="secondRowStripe"/>
      <tableStyleElement dxfId="4" size="0" type="wholeTable"/>
    </tableStyle>
    <tableStyle count="4" pivot="0" name="Käännöstaulu-style">
      <tableStyleElement dxfId="1" type="headerRow"/>
      <tableStyleElement dxfId="2" type="firstRowStripe"/>
      <tableStyleElement dxfId="3" type="secondRowStripe"/>
      <tableStyleElement dxfId="4" size="0" type="wholeTable"/>
    </tableStyle>
    <tableStyle count="4" pivot="0" name="Info-style">
      <tableStyleElement dxfId="1" type="headerRow"/>
      <tableStyleElement dxfId="2" type="firstRowStripe"/>
      <tableStyleElement dxfId="3" type="secondRowStripe"/>
      <tableStyleElement dxfId="4" size="0" type="wholeTable"/>
    </tableStyle>
    <tableStyle count="4" pivot="0" name="Suom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4497" displayName="EnglishPokedex" name="EnglishPokedex" id="1">
  <tableColumns count="7">
    <tableColumn name="National Dex #" id="1"/>
    <tableColumn name="Pokémon (English)" id="2"/>
    <tableColumn name="Species genus (English)" id="3"/>
    <tableColumn name="Game version" id="4"/>
    <tableColumn name="Pokédex entry (English)" id="5"/>
    <tableColumn name="PokéAPI species URL" id="6"/>
    <tableColumn name="Pokédex entry summary" id="7"/>
  </tableColumns>
  <tableStyleInfo name="English-style" showColumnStripes="0" showFirstColumn="1" showLastColumn="1" showRowStripes="1"/>
</table>
</file>

<file path=xl/tables/table2.xml><?xml version="1.0" encoding="utf-8"?>
<table xmlns="http://schemas.openxmlformats.org/spreadsheetml/2006/main" ref="A1:F14497" displayName="FinnishPokedex" name="FinnishPokedex" id="2">
  <autoFilter ref="$A$1:$F$14497"/>
  <tableColumns count="6">
    <tableColumn name="Kansallinen Pokédex-numero" id="1"/>
    <tableColumn name="Pokémon" id="2"/>
    <tableColumn name="Lajitieto (konekäännös)" id="3"/>
    <tableColumn name="Peliversio" id="4"/>
    <tableColumn name="Pokédex-merkintä (konekäännös)" id="5"/>
    <tableColumn name="Pokédex-merkintä kootusti" id="6"/>
  </tableColumns>
  <tableStyleInfo name="Suomi-style" showColumnStripes="0" showFirstColumn="1" showLastColumn="1" showRowStripes="1"/>
</table>
</file>

<file path=xl/tables/table3.xml><?xml version="1.0" encoding="utf-8"?>
<table xmlns="http://schemas.openxmlformats.org/spreadsheetml/2006/main" ref="A3:B18" displayName="DataInfo" name="DataInfo" id="3">
  <tableColumns count="2">
    <tableColumn name="Tieto" id="1"/>
    <tableColumn name="Kuvaus" id="2"/>
  </tableColumns>
  <tableStyleInfo name="Info-style" showColumnStripes="0" showFirstColumn="1" showLastColumn="1" showRowStripes="1"/>
</table>
</file>

<file path=xl/tables/table4.xml><?xml version="1.0" encoding="utf-8"?>
<table xmlns="http://schemas.openxmlformats.org/spreadsheetml/2006/main" ref="A1:C9201" displayName="FinnishTranslations" name="FinnishTranslations" id="4">
  <tableColumns count="3">
    <tableColumn name="Englanninkielinen lähdeteksti" id="1"/>
    <tableColumn name="Suomenkielinen konekäännös (Google Sheets)" id="2"/>
    <tableColumn name="Tekstin tyyppi" id="3"/>
  </tableColumns>
  <tableStyleInfo name="Käännöstaulu-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sheetPr>
    <tabColor rgb="FF1F4E78"/>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6.0"/>
    <col customWidth="1" min="2" max="2" width="24.0"/>
    <col customWidth="1" min="3" max="3" width="30.0"/>
    <col customWidth="1" min="4" max="4" width="24.0"/>
    <col customWidth="1" min="5" max="5" width="82.0"/>
    <col customWidth="1" min="6" max="6" width="56.0"/>
    <col min="7" max="7" width="82" customWidth="1"/>
  </cols>
  <sheetData>
    <row r="1" ht="31.5" customHeight="1">
      <c r="A1" s="2" t="s">
        <v>0</v>
      </c>
      <c r="B1" s="2" t="s">
        <v>5</v>
      </c>
      <c r="C1" s="2" t="s">
        <v>10</v>
      </c>
      <c r="D1" s="2" t="s">
        <v>13</v>
      </c>
      <c r="E1" s="2" t="s">
        <v>15</v>
      </c>
      <c r="F1" s="2" t="s">
        <v>17</v>
      </c>
      <c r="G1" t="inlineStr" s="2">
        <is>
          <t xml:space="preserve">Pokédex entry summary</t>
        </is>
      </c>
    </row>
    <row r="2" ht="33.75" customHeight="1">
      <c r="A2" s="7">
        <v>1.0</v>
      </c>
      <c r="B2" s="9" t="s">
        <v>20</v>
      </c>
      <c r="C2" s="9" t="s">
        <v>16</v>
      </c>
      <c r="D2" s="9" t="s">
        <v>24</v>
      </c>
      <c r="E2" s="6" t="s">
        <v>26</v>
      </c>
      <c r="F2" s="9" t="s">
        <v>28</v>
      </c>
      <c r="G2" t="inlineStr" s="6">
        <is>
          <t xml:space="preserve">A strange seed was planted on Bulbasaur's back at birth. The plant sprouts and grows with this POKéMON. It can go for days without eating a single morsel. In the bulb on its back, it stores energy. The seed on its back is filled with nutrients. The seed grows steadily larger as its body grows. It carries a seed on its back right from birth. As it grows older, the seed also grows larger. While it is young, it uses the nutrients that are stored in the seeds on its back in order to grow. BULBASAUR can be seen napping in bright sunlight. There is a seed on its back. By soaking up the sun’s rays, the seed grows progressively larger. There is a plant seed on its back right from the day this POKéMON is born. The seed slowly grows larger. For some time after its birth, it grows by gaining nourishment from the seed on its back. While it is young, it uses the nutrients that are stored in the seed on its back in order to grow.</t>
        </is>
      </c>
    </row>
    <row r="3" ht="33.75" customHeight="1">
      <c r="A3" s="7">
        <v>1.0</v>
      </c>
      <c r="B3" s="9" t="s">
        <v>20</v>
      </c>
      <c r="C3" s="9" t="s">
        <v>16</v>
      </c>
      <c r="D3" s="9" t="s">
        <v>35</v>
      </c>
      <c r="E3" s="6" t="s">
        <v>26</v>
      </c>
      <c r="F3" s="9" t="s">
        <v>28</v>
      </c>
    </row>
    <row r="4" ht="33.75" customHeight="1">
      <c r="A4" s="7">
        <v>1.0</v>
      </c>
      <c r="B4" s="9" t="s">
        <v>20</v>
      </c>
      <c r="C4" s="9" t="s">
        <v>16</v>
      </c>
      <c r="D4" s="9" t="s">
        <v>42</v>
      </c>
      <c r="E4" s="6" t="s">
        <v>44</v>
      </c>
      <c r="F4" s="9" t="s">
        <v>28</v>
      </c>
    </row>
    <row r="5" ht="33.75" customHeight="1">
      <c r="A5" s="7">
        <v>1.0</v>
      </c>
      <c r="B5" s="9" t="s">
        <v>20</v>
      </c>
      <c r="C5" s="9" t="s">
        <v>16</v>
      </c>
      <c r="D5" s="9" t="s">
        <v>52</v>
      </c>
      <c r="E5" s="6" t="s">
        <v>54</v>
      </c>
      <c r="F5" s="9" t="s">
        <v>28</v>
      </c>
    </row>
    <row r="6" ht="33.75" customHeight="1">
      <c r="A6" s="7">
        <v>1.0</v>
      </c>
      <c r="B6" s="9" t="s">
        <v>20</v>
      </c>
      <c r="C6" s="9" t="s">
        <v>16</v>
      </c>
      <c r="D6" s="9" t="s">
        <v>59</v>
      </c>
      <c r="E6" s="6" t="s">
        <v>70</v>
      </c>
      <c r="F6" s="9" t="s">
        <v>28</v>
      </c>
    </row>
    <row r="7" ht="33.75" customHeight="1">
      <c r="A7" s="7">
        <v>1.0</v>
      </c>
      <c r="B7" s="9" t="s">
        <v>20</v>
      </c>
      <c r="C7" s="9" t="s">
        <v>16</v>
      </c>
      <c r="D7" s="9" t="s">
        <v>64</v>
      </c>
      <c r="E7" s="6" t="s">
        <v>77</v>
      </c>
      <c r="F7" s="9" t="s">
        <v>28</v>
      </c>
    </row>
    <row r="8" ht="33.75" customHeight="1">
      <c r="A8" s="7">
        <v>1.0</v>
      </c>
      <c r="B8" s="9" t="s">
        <v>20</v>
      </c>
      <c r="C8" s="9" t="s">
        <v>16</v>
      </c>
      <c r="D8" s="9" t="s">
        <v>67</v>
      </c>
      <c r="E8" s="6" t="s">
        <v>85</v>
      </c>
      <c r="F8" s="9" t="s">
        <v>28</v>
      </c>
    </row>
    <row r="9" ht="33.75" customHeight="1">
      <c r="A9" s="7">
        <v>1.0</v>
      </c>
      <c r="B9" s="9" t="s">
        <v>20</v>
      </c>
      <c r="C9" s="9" t="s">
        <v>16</v>
      </c>
      <c r="D9" s="9" t="s">
        <v>71</v>
      </c>
      <c r="E9" s="6" t="s">
        <v>85</v>
      </c>
      <c r="F9" s="9" t="s">
        <v>28</v>
      </c>
    </row>
    <row r="10" ht="33.75" customHeight="1">
      <c r="A10" s="7">
        <v>1.0</v>
      </c>
      <c r="B10" s="9" t="s">
        <v>20</v>
      </c>
      <c r="C10" s="9" t="s">
        <v>16</v>
      </c>
      <c r="D10" s="9" t="s">
        <v>73</v>
      </c>
      <c r="E10" s="6" t="s">
        <v>85</v>
      </c>
      <c r="F10" s="9" t="s">
        <v>28</v>
      </c>
    </row>
    <row r="11" ht="33.75" customHeight="1">
      <c r="A11" s="7">
        <v>1.0</v>
      </c>
      <c r="B11" s="9" t="s">
        <v>20</v>
      </c>
      <c r="C11" s="9" t="s">
        <v>16</v>
      </c>
      <c r="D11" s="9" t="s">
        <v>75</v>
      </c>
      <c r="E11" s="6" t="s">
        <v>96</v>
      </c>
      <c r="F11" s="9" t="s">
        <v>28</v>
      </c>
    </row>
    <row r="12" ht="33.75" customHeight="1">
      <c r="A12" s="7">
        <v>1.0</v>
      </c>
      <c r="B12" s="9" t="s">
        <v>20</v>
      </c>
      <c r="C12" s="9" t="s">
        <v>16</v>
      </c>
      <c r="D12" s="9" t="s">
        <v>79</v>
      </c>
      <c r="E12" s="6" t="s">
        <v>26</v>
      </c>
      <c r="F12" s="9" t="s">
        <v>28</v>
      </c>
    </row>
    <row r="13" ht="33.75" customHeight="1">
      <c r="A13" s="7">
        <v>1.0</v>
      </c>
      <c r="B13" s="9" t="s">
        <v>20</v>
      </c>
      <c r="C13" s="9" t="s">
        <v>16</v>
      </c>
      <c r="D13" s="9" t="s">
        <v>81</v>
      </c>
      <c r="E13" s="6" t="s">
        <v>103</v>
      </c>
      <c r="F13" s="9" t="s">
        <v>28</v>
      </c>
    </row>
    <row r="14" ht="33.75" customHeight="1">
      <c r="A14" s="7">
        <v>1.0</v>
      </c>
      <c r="B14" s="9" t="s">
        <v>20</v>
      </c>
      <c r="C14" s="9" t="s">
        <v>16</v>
      </c>
      <c r="D14" s="9" t="s">
        <v>84</v>
      </c>
      <c r="E14" s="6" t="s">
        <v>103</v>
      </c>
      <c r="F14" s="9" t="s">
        <v>28</v>
      </c>
    </row>
    <row r="15" ht="33.75" customHeight="1">
      <c r="A15" s="7">
        <v>1.0</v>
      </c>
      <c r="B15" s="9" t="s">
        <v>20</v>
      </c>
      <c r="C15" s="9" t="s">
        <v>16</v>
      </c>
      <c r="D15" s="9" t="s">
        <v>87</v>
      </c>
      <c r="E15" s="6" t="s">
        <v>103</v>
      </c>
      <c r="F15" s="9" t="s">
        <v>28</v>
      </c>
    </row>
    <row r="16" ht="33.75" customHeight="1">
      <c r="A16" s="7">
        <v>1.0</v>
      </c>
      <c r="B16" s="9" t="s">
        <v>20</v>
      </c>
      <c r="C16" s="9" t="s">
        <v>16</v>
      </c>
      <c r="D16" s="9" t="s">
        <v>89</v>
      </c>
      <c r="E16" s="6" t="s">
        <v>54</v>
      </c>
      <c r="F16" s="9" t="s">
        <v>28</v>
      </c>
    </row>
    <row r="17" ht="33.75" customHeight="1">
      <c r="A17" s="7">
        <v>1.0</v>
      </c>
      <c r="B17" s="9" t="s">
        <v>20</v>
      </c>
      <c r="C17" s="9" t="s">
        <v>16</v>
      </c>
      <c r="D17" s="9" t="s">
        <v>91</v>
      </c>
      <c r="E17" s="6" t="s">
        <v>70</v>
      </c>
      <c r="F17" s="9" t="s">
        <v>28</v>
      </c>
    </row>
    <row r="18" ht="33.75" customHeight="1">
      <c r="A18" s="7">
        <v>1.0</v>
      </c>
      <c r="B18" s="9" t="s">
        <v>20</v>
      </c>
      <c r="C18" s="9" t="s">
        <v>16</v>
      </c>
      <c r="D18" s="9" t="s">
        <v>93</v>
      </c>
      <c r="E18" s="6" t="s">
        <v>103</v>
      </c>
      <c r="F18" s="9" t="s">
        <v>28</v>
      </c>
    </row>
    <row r="19" ht="33.75" customHeight="1">
      <c r="A19" s="7">
        <v>1.0</v>
      </c>
      <c r="B19" s="9" t="s">
        <v>20</v>
      </c>
      <c r="C19" s="9" t="s">
        <v>16</v>
      </c>
      <c r="D19" s="9" t="s">
        <v>95</v>
      </c>
      <c r="E19" s="6" t="s">
        <v>103</v>
      </c>
      <c r="F19" s="9" t="s">
        <v>28</v>
      </c>
    </row>
    <row r="20" ht="33.75" customHeight="1">
      <c r="A20" s="7">
        <v>1.0</v>
      </c>
      <c r="B20" s="9" t="s">
        <v>20</v>
      </c>
      <c r="C20" s="9" t="s">
        <v>16</v>
      </c>
      <c r="D20" s="9" t="s">
        <v>98</v>
      </c>
      <c r="E20" s="6" t="s">
        <v>103</v>
      </c>
      <c r="F20" s="9" t="s">
        <v>28</v>
      </c>
    </row>
    <row r="21" ht="33.75" customHeight="1">
      <c r="A21" s="7">
        <v>1.0</v>
      </c>
      <c r="B21" s="9" t="s">
        <v>20</v>
      </c>
      <c r="C21" s="9" t="s">
        <v>16</v>
      </c>
      <c r="D21" s="9" t="s">
        <v>99</v>
      </c>
      <c r="E21" s="6" t="s">
        <v>103</v>
      </c>
      <c r="F21" s="9" t="s">
        <v>28</v>
      </c>
    </row>
    <row r="22" ht="33.75" customHeight="1">
      <c r="A22" s="7">
        <v>1.0</v>
      </c>
      <c r="B22" s="9" t="s">
        <v>20</v>
      </c>
      <c r="C22" s="9" t="s">
        <v>16</v>
      </c>
      <c r="D22" s="9" t="s">
        <v>101</v>
      </c>
      <c r="E22" s="6" t="s">
        <v>142</v>
      </c>
      <c r="F22" s="9" t="s">
        <v>28</v>
      </c>
    </row>
    <row r="23" ht="33.75" customHeight="1">
      <c r="A23" s="7">
        <v>1.0</v>
      </c>
      <c r="B23" s="9" t="s">
        <v>20</v>
      </c>
      <c r="C23" s="9" t="s">
        <v>16</v>
      </c>
      <c r="D23" s="9" t="s">
        <v>105</v>
      </c>
      <c r="E23" s="6" t="s">
        <v>103</v>
      </c>
      <c r="F23" s="9" t="s">
        <v>28</v>
      </c>
    </row>
    <row r="24" ht="33.75" customHeight="1">
      <c r="A24" s="7">
        <v>1.0</v>
      </c>
      <c r="B24" s="9" t="s">
        <v>20</v>
      </c>
      <c r="C24" s="9" t="s">
        <v>16</v>
      </c>
      <c r="D24" s="9" t="s">
        <v>107</v>
      </c>
      <c r="E24" s="6" t="s">
        <v>149</v>
      </c>
      <c r="F24" s="9" t="s">
        <v>28</v>
      </c>
    </row>
    <row r="25" ht="33.75" customHeight="1">
      <c r="A25" s="7">
        <v>1.0</v>
      </c>
      <c r="B25" s="9" t="s">
        <v>20</v>
      </c>
      <c r="C25" s="9" t="s">
        <v>16</v>
      </c>
      <c r="D25" s="9" t="s">
        <v>109</v>
      </c>
      <c r="E25" s="6" t="s">
        <v>149</v>
      </c>
      <c r="F25" s="9" t="s">
        <v>28</v>
      </c>
    </row>
    <row r="26" ht="33.75" customHeight="1">
      <c r="A26" s="7">
        <v>1.0</v>
      </c>
      <c r="B26" s="9" t="s">
        <v>20</v>
      </c>
      <c r="C26" s="9" t="s">
        <v>16</v>
      </c>
      <c r="D26" s="9" t="s">
        <v>111</v>
      </c>
      <c r="E26" s="6" t="s">
        <v>44</v>
      </c>
      <c r="F26" s="9" t="s">
        <v>28</v>
      </c>
    </row>
    <row r="27" ht="33.75" customHeight="1">
      <c r="A27" s="7">
        <v>1.0</v>
      </c>
      <c r="B27" s="9" t="s">
        <v>20</v>
      </c>
      <c r="C27" s="9" t="s">
        <v>16</v>
      </c>
      <c r="D27" s="9" t="s">
        <v>113</v>
      </c>
      <c r="E27" s="6" t="s">
        <v>44</v>
      </c>
      <c r="F27" s="9" t="s">
        <v>28</v>
      </c>
    </row>
    <row r="28" ht="33.75" customHeight="1">
      <c r="A28" s="7">
        <v>1.0</v>
      </c>
      <c r="B28" s="9" t="s">
        <v>20</v>
      </c>
      <c r="C28" s="9" t="s">
        <v>16</v>
      </c>
      <c r="D28" s="9" t="s">
        <v>114</v>
      </c>
      <c r="E28" s="6" t="s">
        <v>157</v>
      </c>
      <c r="F28" s="9" t="s">
        <v>28</v>
      </c>
    </row>
    <row r="29" ht="33.75" customHeight="1">
      <c r="A29" s="7">
        <v>1.0</v>
      </c>
      <c r="B29" s="9" t="s">
        <v>20</v>
      </c>
      <c r="C29" s="9" t="s">
        <v>16</v>
      </c>
      <c r="D29" s="9" t="s">
        <v>117</v>
      </c>
      <c r="E29" s="6" t="s">
        <v>160</v>
      </c>
      <c r="F29" s="9" t="s">
        <v>28</v>
      </c>
    </row>
    <row r="30" ht="33.75" customHeight="1">
      <c r="A30" s="7">
        <v>2.0</v>
      </c>
      <c r="B30" s="9" t="s">
        <v>120</v>
      </c>
      <c r="C30" s="9" t="s">
        <v>16</v>
      </c>
      <c r="D30" s="9" t="s">
        <v>24</v>
      </c>
      <c r="E30" s="6" t="s">
        <v>163</v>
      </c>
      <c r="F30" s="9" t="s">
        <v>165</v>
      </c>
      <c r="G30" t="inlineStr" s="6">
        <is>
          <t xml:space="preserve">When the bulb on Ivysaur's back grows large, it appears to lose the ability to stand on its hind legs. The bulb on its back grows by drawing energy. It gives off an aroma when it is ready to bloom. Exposure to sun light adds to its strength. Sunlight also makes the bud on its back grow larger. If the bud on its back starts to smell sweet, it is evidence that the large flower will soon bloom. The bulb on its back grows as it absorbs nutrients. The bulb gives off a pleasant aroma when it blooms. There is a bud on this POKéMON’s back. To support its weight, IVYSAUR’s legs and trunk grow thick and strong. If it starts spending more time lying in the sunlight, it’s a sign that the bud will bloom into a large flower soon. To support its bulb, IVYSAUR’s legs grow sturdy. If it spends more time lying in the sunlight, the bud will soon bloom into a large flower. There is a plant bulb on its back. When it absorbs nutrients, the bulb is said to blossom into a large flower. When the bud on its back starts swelling, a sweet aroma wafts to indicate the flower’s coming bloom. Exposure to sunlight adds to its strength. The bud on its back grows by drawing energy.</t>
        </is>
      </c>
    </row>
    <row r="31" ht="33.75" customHeight="1">
      <c r="A31" s="7">
        <v>2.0</v>
      </c>
      <c r="B31" s="9" t="s">
        <v>120</v>
      </c>
      <c r="C31" s="9" t="s">
        <v>16</v>
      </c>
      <c r="D31" s="9" t="s">
        <v>35</v>
      </c>
      <c r="E31" s="6" t="s">
        <v>163</v>
      </c>
      <c r="F31" s="9" t="s">
        <v>165</v>
      </c>
    </row>
    <row r="32" ht="33.75" customHeight="1">
      <c r="A32" s="7">
        <v>2.0</v>
      </c>
      <c r="B32" s="9" t="s">
        <v>120</v>
      </c>
      <c r="C32" s="9" t="s">
        <v>16</v>
      </c>
      <c r="D32" s="9" t="s">
        <v>42</v>
      </c>
      <c r="E32" s="6" t="s">
        <v>170</v>
      </c>
      <c r="F32" s="9" t="s">
        <v>165</v>
      </c>
    </row>
    <row r="33" ht="33.75" customHeight="1">
      <c r="A33" s="7">
        <v>2.0</v>
      </c>
      <c r="B33" s="9" t="s">
        <v>120</v>
      </c>
      <c r="C33" s="9" t="s">
        <v>16</v>
      </c>
      <c r="D33" s="9" t="s">
        <v>52</v>
      </c>
      <c r="E33" s="6" t="s">
        <v>174</v>
      </c>
      <c r="F33" s="9" t="s">
        <v>165</v>
      </c>
    </row>
    <row r="34" ht="33.75" customHeight="1">
      <c r="A34" s="7">
        <v>2.0</v>
      </c>
      <c r="B34" s="9" t="s">
        <v>120</v>
      </c>
      <c r="C34" s="9" t="s">
        <v>16</v>
      </c>
      <c r="D34" s="9" t="s">
        <v>59</v>
      </c>
      <c r="E34" s="6" t="s">
        <v>177</v>
      </c>
      <c r="F34" s="9" t="s">
        <v>165</v>
      </c>
    </row>
    <row r="35" ht="33.75" customHeight="1">
      <c r="A35" s="7">
        <v>2.0</v>
      </c>
      <c r="B35" s="9" t="s">
        <v>120</v>
      </c>
      <c r="C35" s="9" t="s">
        <v>16</v>
      </c>
      <c r="D35" s="9" t="s">
        <v>64</v>
      </c>
      <c r="E35" s="6" t="s">
        <v>180</v>
      </c>
      <c r="F35" s="9" t="s">
        <v>165</v>
      </c>
    </row>
    <row r="36" ht="33.75" customHeight="1">
      <c r="A36" s="7">
        <v>2.0</v>
      </c>
      <c r="B36" s="9" t="s">
        <v>120</v>
      </c>
      <c r="C36" s="9" t="s">
        <v>16</v>
      </c>
      <c r="D36" s="9" t="s">
        <v>67</v>
      </c>
      <c r="E36" s="6" t="s">
        <v>186</v>
      </c>
      <c r="F36" s="9" t="s">
        <v>165</v>
      </c>
    </row>
    <row r="37" ht="33.75" customHeight="1">
      <c r="A37" s="7">
        <v>2.0</v>
      </c>
      <c r="B37" s="9" t="s">
        <v>120</v>
      </c>
      <c r="C37" s="9" t="s">
        <v>16</v>
      </c>
      <c r="D37" s="9" t="s">
        <v>71</v>
      </c>
      <c r="E37" s="6" t="s">
        <v>186</v>
      </c>
      <c r="F37" s="9" t="s">
        <v>165</v>
      </c>
    </row>
    <row r="38" ht="33.75" customHeight="1">
      <c r="A38" s="7">
        <v>2.0</v>
      </c>
      <c r="B38" s="9" t="s">
        <v>120</v>
      </c>
      <c r="C38" s="9" t="s">
        <v>16</v>
      </c>
      <c r="D38" s="9" t="s">
        <v>73</v>
      </c>
      <c r="E38" s="6" t="s">
        <v>194</v>
      </c>
      <c r="F38" s="9" t="s">
        <v>165</v>
      </c>
    </row>
    <row r="39" ht="33.75" customHeight="1">
      <c r="A39" s="7">
        <v>2.0</v>
      </c>
      <c r="B39" s="9" t="s">
        <v>120</v>
      </c>
      <c r="C39" s="9" t="s">
        <v>16</v>
      </c>
      <c r="D39" s="9" t="s">
        <v>75</v>
      </c>
      <c r="E39" s="6" t="s">
        <v>199</v>
      </c>
      <c r="F39" s="9" t="s">
        <v>165</v>
      </c>
    </row>
    <row r="40" ht="33.75" customHeight="1">
      <c r="A40" s="7">
        <v>2.0</v>
      </c>
      <c r="B40" s="9" t="s">
        <v>120</v>
      </c>
      <c r="C40" s="9" t="s">
        <v>16</v>
      </c>
      <c r="D40" s="9" t="s">
        <v>79</v>
      </c>
      <c r="E40" s="6" t="s">
        <v>163</v>
      </c>
      <c r="F40" s="9" t="s">
        <v>165</v>
      </c>
    </row>
    <row r="41" ht="33.75" customHeight="1">
      <c r="A41" s="7">
        <v>2.0</v>
      </c>
      <c r="B41" s="9" t="s">
        <v>120</v>
      </c>
      <c r="C41" s="9" t="s">
        <v>16</v>
      </c>
      <c r="D41" s="9" t="s">
        <v>81</v>
      </c>
      <c r="E41" s="6" t="s">
        <v>205</v>
      </c>
      <c r="F41" s="9" t="s">
        <v>165</v>
      </c>
    </row>
    <row r="42" ht="33.75" customHeight="1">
      <c r="A42" s="7">
        <v>2.0</v>
      </c>
      <c r="B42" s="9" t="s">
        <v>120</v>
      </c>
      <c r="C42" s="9" t="s">
        <v>16</v>
      </c>
      <c r="D42" s="9" t="s">
        <v>84</v>
      </c>
      <c r="E42" s="6" t="s">
        <v>205</v>
      </c>
      <c r="F42" s="9" t="s">
        <v>165</v>
      </c>
    </row>
    <row r="43" ht="33.75" customHeight="1">
      <c r="A43" s="7">
        <v>2.0</v>
      </c>
      <c r="B43" s="9" t="s">
        <v>120</v>
      </c>
      <c r="C43" s="9" t="s">
        <v>16</v>
      </c>
      <c r="D43" s="9" t="s">
        <v>87</v>
      </c>
      <c r="E43" s="6" t="s">
        <v>205</v>
      </c>
      <c r="F43" s="9" t="s">
        <v>165</v>
      </c>
    </row>
    <row r="44" ht="33.75" customHeight="1">
      <c r="A44" s="7">
        <v>2.0</v>
      </c>
      <c r="B44" s="9" t="s">
        <v>120</v>
      </c>
      <c r="C44" s="9" t="s">
        <v>16</v>
      </c>
      <c r="D44" s="9" t="s">
        <v>89</v>
      </c>
      <c r="E44" s="6" t="s">
        <v>213</v>
      </c>
      <c r="F44" s="9" t="s">
        <v>165</v>
      </c>
    </row>
    <row r="45" ht="33.75" customHeight="1">
      <c r="A45" s="7">
        <v>2.0</v>
      </c>
      <c r="B45" s="9" t="s">
        <v>120</v>
      </c>
      <c r="C45" s="9" t="s">
        <v>16</v>
      </c>
      <c r="D45" s="9" t="s">
        <v>91</v>
      </c>
      <c r="E45" s="6" t="s">
        <v>177</v>
      </c>
      <c r="F45" s="9" t="s">
        <v>165</v>
      </c>
    </row>
    <row r="46" ht="33.75" customHeight="1">
      <c r="A46" s="7">
        <v>2.0</v>
      </c>
      <c r="B46" s="9" t="s">
        <v>120</v>
      </c>
      <c r="C46" s="9" t="s">
        <v>16</v>
      </c>
      <c r="D46" s="9" t="s">
        <v>93</v>
      </c>
      <c r="E46" s="6" t="s">
        <v>205</v>
      </c>
      <c r="F46" s="9" t="s">
        <v>165</v>
      </c>
    </row>
    <row r="47" ht="33.75" customHeight="1">
      <c r="A47" s="7">
        <v>2.0</v>
      </c>
      <c r="B47" s="9" t="s">
        <v>120</v>
      </c>
      <c r="C47" s="9" t="s">
        <v>16</v>
      </c>
      <c r="D47" s="9" t="s">
        <v>95</v>
      </c>
      <c r="E47" s="6" t="s">
        <v>205</v>
      </c>
      <c r="F47" s="9" t="s">
        <v>165</v>
      </c>
    </row>
    <row r="48" ht="33.75" customHeight="1">
      <c r="A48" s="7">
        <v>2.0</v>
      </c>
      <c r="B48" s="9" t="s">
        <v>120</v>
      </c>
      <c r="C48" s="9" t="s">
        <v>16</v>
      </c>
      <c r="D48" s="9" t="s">
        <v>98</v>
      </c>
      <c r="E48" s="6" t="s">
        <v>205</v>
      </c>
      <c r="F48" s="9" t="s">
        <v>165</v>
      </c>
    </row>
    <row r="49" ht="33.75" customHeight="1">
      <c r="A49" s="7">
        <v>2.0</v>
      </c>
      <c r="B49" s="9" t="s">
        <v>120</v>
      </c>
      <c r="C49" s="9" t="s">
        <v>16</v>
      </c>
      <c r="D49" s="9" t="s">
        <v>99</v>
      </c>
      <c r="E49" s="6" t="s">
        <v>205</v>
      </c>
      <c r="F49" s="9" t="s">
        <v>165</v>
      </c>
    </row>
    <row r="50" ht="33.75" customHeight="1">
      <c r="A50" s="7">
        <v>2.0</v>
      </c>
      <c r="B50" s="9" t="s">
        <v>120</v>
      </c>
      <c r="C50" s="9" t="s">
        <v>16</v>
      </c>
      <c r="D50" s="9" t="s">
        <v>101</v>
      </c>
      <c r="E50" s="6" t="s">
        <v>199</v>
      </c>
      <c r="F50" s="9" t="s">
        <v>165</v>
      </c>
    </row>
    <row r="51" ht="33.75" customHeight="1">
      <c r="A51" s="7">
        <v>2.0</v>
      </c>
      <c r="B51" s="9" t="s">
        <v>120</v>
      </c>
      <c r="C51" s="9" t="s">
        <v>16</v>
      </c>
      <c r="D51" s="9" t="s">
        <v>105</v>
      </c>
      <c r="E51" s="6" t="s">
        <v>205</v>
      </c>
      <c r="F51" s="9" t="s">
        <v>165</v>
      </c>
    </row>
    <row r="52" ht="33.75" customHeight="1">
      <c r="A52" s="7">
        <v>2.0</v>
      </c>
      <c r="B52" s="9" t="s">
        <v>120</v>
      </c>
      <c r="C52" s="9" t="s">
        <v>16</v>
      </c>
      <c r="D52" s="9" t="s">
        <v>107</v>
      </c>
      <c r="E52" s="6" t="s">
        <v>226</v>
      </c>
      <c r="F52" s="9" t="s">
        <v>165</v>
      </c>
    </row>
    <row r="53" ht="33.75" customHeight="1">
      <c r="A53" s="7">
        <v>2.0</v>
      </c>
      <c r="B53" s="9" t="s">
        <v>120</v>
      </c>
      <c r="C53" s="9" t="s">
        <v>16</v>
      </c>
      <c r="D53" s="9" t="s">
        <v>109</v>
      </c>
      <c r="E53" s="6" t="s">
        <v>226</v>
      </c>
      <c r="F53" s="9" t="s">
        <v>165</v>
      </c>
    </row>
    <row r="54" ht="33.75" customHeight="1">
      <c r="A54" s="7">
        <v>2.0</v>
      </c>
      <c r="B54" s="9" t="s">
        <v>120</v>
      </c>
      <c r="C54" s="9" t="s">
        <v>16</v>
      </c>
      <c r="D54" s="9" t="s">
        <v>111</v>
      </c>
      <c r="E54" s="6" t="s">
        <v>231</v>
      </c>
      <c r="F54" s="9" t="s">
        <v>165</v>
      </c>
    </row>
    <row r="55" ht="33.75" customHeight="1">
      <c r="A55" s="7">
        <v>2.0</v>
      </c>
      <c r="B55" s="9" t="s">
        <v>120</v>
      </c>
      <c r="C55" s="9" t="s">
        <v>16</v>
      </c>
      <c r="D55" s="9" t="s">
        <v>113</v>
      </c>
      <c r="E55" s="6" t="s">
        <v>231</v>
      </c>
      <c r="F55" s="9" t="s">
        <v>165</v>
      </c>
    </row>
    <row r="56" ht="33.75" customHeight="1">
      <c r="A56" s="7">
        <v>2.0</v>
      </c>
      <c r="B56" s="9" t="s">
        <v>120</v>
      </c>
      <c r="C56" s="9" t="s">
        <v>16</v>
      </c>
      <c r="D56" s="9" t="s">
        <v>114</v>
      </c>
      <c r="E56" s="6" t="s">
        <v>163</v>
      </c>
      <c r="F56" s="9" t="s">
        <v>165</v>
      </c>
    </row>
    <row r="57" ht="33.75" customHeight="1">
      <c r="A57" s="7">
        <v>2.0</v>
      </c>
      <c r="B57" s="9" t="s">
        <v>120</v>
      </c>
      <c r="C57" s="9" t="s">
        <v>16</v>
      </c>
      <c r="D57" s="9" t="s">
        <v>117</v>
      </c>
      <c r="E57" s="6" t="s">
        <v>213</v>
      </c>
      <c r="F57" s="9" t="s">
        <v>165</v>
      </c>
    </row>
    <row r="58" ht="33.75" customHeight="1">
      <c r="A58" s="7">
        <v>3.0</v>
      </c>
      <c r="B58" s="9" t="s">
        <v>182</v>
      </c>
      <c r="C58" s="9" t="s">
        <v>16</v>
      </c>
      <c r="D58" s="9" t="s">
        <v>24</v>
      </c>
      <c r="E58" s="6" t="s">
        <v>243</v>
      </c>
      <c r="F58" s="9" t="s">
        <v>244</v>
      </c>
      <c r="G58" t="inlineStr" s="6">
        <is>
          <t xml:space="preserve">The plant blooms when Venusaur is absorbing solar energy. It stays on the move to seek sunlight. The flower on its back catches the sun's rays. The sunlight is then absorbed and used for energy. By spreading the broad petals of its flower and catching the sun's rays, it fills its body with power. It is able to convert sunlight into energy. As a result, it is more powerful in the summertime. As it warms it self and absorbs the sunlight, its flower petals release a pleasant fragrance. There is a large flower on VENUSAUR’s back. The flower is said to take on vivid colors if it gets plenty of nutrition and sunlight. The flower’s aroma soothes the emotions of people. VENUSAUR’s flower is said to take on vivid colors if it gets plenty of nutrition and sunlight. A bewitching aroma wafts from its flower. The fragrance becalms those engaged in a battle. Its plant blooms when it is absorbing solar energy. After a rainy day, the flower on its back smells stronger. The scent attracts other Pokémon.</t>
        </is>
      </c>
    </row>
    <row r="59" ht="33.75" customHeight="1">
      <c r="A59" s="7">
        <v>3.0</v>
      </c>
      <c r="B59" s="9" t="s">
        <v>182</v>
      </c>
      <c r="C59" s="9" t="s">
        <v>16</v>
      </c>
      <c r="D59" s="9" t="s">
        <v>35</v>
      </c>
      <c r="E59" s="6" t="s">
        <v>243</v>
      </c>
      <c r="F59" s="9" t="s">
        <v>244</v>
      </c>
    </row>
    <row r="60" ht="33.75" customHeight="1">
      <c r="A60" s="7">
        <v>3.0</v>
      </c>
      <c r="B60" s="9" t="s">
        <v>182</v>
      </c>
      <c r="C60" s="9" t="s">
        <v>16</v>
      </c>
      <c r="D60" s="9" t="s">
        <v>42</v>
      </c>
      <c r="E60" s="6" t="s">
        <v>248</v>
      </c>
      <c r="F60" s="9" t="s">
        <v>244</v>
      </c>
    </row>
    <row r="61" ht="33.75" customHeight="1">
      <c r="A61" s="7">
        <v>3.0</v>
      </c>
      <c r="B61" s="9" t="s">
        <v>182</v>
      </c>
      <c r="C61" s="9" t="s">
        <v>16</v>
      </c>
      <c r="D61" s="9" t="s">
        <v>52</v>
      </c>
      <c r="E61" s="6" t="s">
        <v>251</v>
      </c>
      <c r="F61" s="9" t="s">
        <v>244</v>
      </c>
    </row>
    <row r="62" ht="33.75" customHeight="1">
      <c r="A62" s="7">
        <v>3.0</v>
      </c>
      <c r="B62" s="9" t="s">
        <v>182</v>
      </c>
      <c r="C62" s="9" t="s">
        <v>16</v>
      </c>
      <c r="D62" s="9" t="s">
        <v>59</v>
      </c>
      <c r="E62" s="6" t="s">
        <v>254</v>
      </c>
      <c r="F62" s="9" t="s">
        <v>244</v>
      </c>
    </row>
    <row r="63" ht="33.75" customHeight="1">
      <c r="A63" s="7">
        <v>3.0</v>
      </c>
      <c r="B63" s="9" t="s">
        <v>182</v>
      </c>
      <c r="C63" s="9" t="s">
        <v>16</v>
      </c>
      <c r="D63" s="9" t="s">
        <v>64</v>
      </c>
      <c r="E63" s="6" t="s">
        <v>258</v>
      </c>
      <c r="F63" s="9" t="s">
        <v>244</v>
      </c>
    </row>
    <row r="64" ht="33.75" customHeight="1">
      <c r="A64" s="7">
        <v>3.0</v>
      </c>
      <c r="B64" s="9" t="s">
        <v>182</v>
      </c>
      <c r="C64" s="9" t="s">
        <v>16</v>
      </c>
      <c r="D64" s="9" t="s">
        <v>67</v>
      </c>
      <c r="E64" s="6" t="s">
        <v>260</v>
      </c>
      <c r="F64" s="9" t="s">
        <v>244</v>
      </c>
    </row>
    <row r="65" ht="33.75" customHeight="1">
      <c r="A65" s="7">
        <v>3.0</v>
      </c>
      <c r="B65" s="9" t="s">
        <v>182</v>
      </c>
      <c r="C65" s="9" t="s">
        <v>16</v>
      </c>
      <c r="D65" s="9" t="s">
        <v>71</v>
      </c>
      <c r="E65" s="6" t="s">
        <v>260</v>
      </c>
      <c r="F65" s="9" t="s">
        <v>244</v>
      </c>
    </row>
    <row r="66" ht="33.75" customHeight="1">
      <c r="A66" s="7">
        <v>3.0</v>
      </c>
      <c r="B66" s="9" t="s">
        <v>182</v>
      </c>
      <c r="C66" s="9" t="s">
        <v>16</v>
      </c>
      <c r="D66" s="9" t="s">
        <v>73</v>
      </c>
      <c r="E66" s="6" t="s">
        <v>266</v>
      </c>
      <c r="F66" s="9" t="s">
        <v>244</v>
      </c>
    </row>
    <row r="67" ht="33.75" customHeight="1">
      <c r="A67" s="7">
        <v>3.0</v>
      </c>
      <c r="B67" s="9" t="s">
        <v>182</v>
      </c>
      <c r="C67" s="9" t="s">
        <v>16</v>
      </c>
      <c r="D67" s="9" t="s">
        <v>75</v>
      </c>
      <c r="E67" s="6" t="s">
        <v>269</v>
      </c>
      <c r="F67" s="9" t="s">
        <v>244</v>
      </c>
    </row>
    <row r="68" ht="33.75" customHeight="1">
      <c r="A68" s="7">
        <v>3.0</v>
      </c>
      <c r="B68" s="9" t="s">
        <v>182</v>
      </c>
      <c r="C68" s="9" t="s">
        <v>16</v>
      </c>
      <c r="D68" s="9" t="s">
        <v>79</v>
      </c>
      <c r="E68" s="6" t="s">
        <v>271</v>
      </c>
      <c r="F68" s="9" t="s">
        <v>244</v>
      </c>
    </row>
    <row r="69" ht="33.75" customHeight="1">
      <c r="A69" s="7">
        <v>3.0</v>
      </c>
      <c r="B69" s="9" t="s">
        <v>182</v>
      </c>
      <c r="C69" s="9" t="s">
        <v>16</v>
      </c>
      <c r="D69" s="9" t="s">
        <v>81</v>
      </c>
      <c r="E69" s="6" t="s">
        <v>274</v>
      </c>
      <c r="F69" s="9" t="s">
        <v>244</v>
      </c>
    </row>
    <row r="70" ht="33.75" customHeight="1">
      <c r="A70" s="7">
        <v>3.0</v>
      </c>
      <c r="B70" s="9" t="s">
        <v>182</v>
      </c>
      <c r="C70" s="9" t="s">
        <v>16</v>
      </c>
      <c r="D70" s="9" t="s">
        <v>84</v>
      </c>
      <c r="E70" s="6" t="s">
        <v>274</v>
      </c>
      <c r="F70" s="9" t="s">
        <v>244</v>
      </c>
    </row>
    <row r="71" ht="33.75" customHeight="1">
      <c r="A71" s="7">
        <v>3.0</v>
      </c>
      <c r="B71" s="9" t="s">
        <v>182</v>
      </c>
      <c r="C71" s="9" t="s">
        <v>16</v>
      </c>
      <c r="D71" s="9" t="s">
        <v>87</v>
      </c>
      <c r="E71" s="6" t="s">
        <v>274</v>
      </c>
      <c r="F71" s="9" t="s">
        <v>244</v>
      </c>
    </row>
    <row r="72" ht="33.75" customHeight="1">
      <c r="A72" s="7">
        <v>3.0</v>
      </c>
      <c r="B72" s="9" t="s">
        <v>182</v>
      </c>
      <c r="C72" s="9" t="s">
        <v>16</v>
      </c>
      <c r="D72" s="9" t="s">
        <v>89</v>
      </c>
      <c r="E72" s="6" t="s">
        <v>278</v>
      </c>
      <c r="F72" s="9" t="s">
        <v>244</v>
      </c>
    </row>
    <row r="73" ht="33.75" customHeight="1">
      <c r="A73" s="7">
        <v>3.0</v>
      </c>
      <c r="B73" s="9" t="s">
        <v>182</v>
      </c>
      <c r="C73" s="9" t="s">
        <v>16</v>
      </c>
      <c r="D73" s="9" t="s">
        <v>91</v>
      </c>
      <c r="E73" s="6" t="s">
        <v>281</v>
      </c>
      <c r="F73" s="9" t="s">
        <v>244</v>
      </c>
    </row>
    <row r="74" ht="33.75" customHeight="1">
      <c r="A74" s="7">
        <v>3.0</v>
      </c>
      <c r="B74" s="9" t="s">
        <v>182</v>
      </c>
      <c r="C74" s="9" t="s">
        <v>16</v>
      </c>
      <c r="D74" s="9" t="s">
        <v>93</v>
      </c>
      <c r="E74" s="6" t="s">
        <v>274</v>
      </c>
      <c r="F74" s="9" t="s">
        <v>244</v>
      </c>
    </row>
    <row r="75" ht="33.75" customHeight="1">
      <c r="A75" s="7">
        <v>3.0</v>
      </c>
      <c r="B75" s="9" t="s">
        <v>182</v>
      </c>
      <c r="C75" s="9" t="s">
        <v>16</v>
      </c>
      <c r="D75" s="9" t="s">
        <v>95</v>
      </c>
      <c r="E75" s="6" t="s">
        <v>274</v>
      </c>
      <c r="F75" s="9" t="s">
        <v>244</v>
      </c>
    </row>
    <row r="76" ht="33.75" customHeight="1">
      <c r="A76" s="7">
        <v>3.0</v>
      </c>
      <c r="B76" s="9" t="s">
        <v>182</v>
      </c>
      <c r="C76" s="9" t="s">
        <v>16</v>
      </c>
      <c r="D76" s="9" t="s">
        <v>98</v>
      </c>
      <c r="E76" s="6" t="s">
        <v>274</v>
      </c>
      <c r="F76" s="9" t="s">
        <v>244</v>
      </c>
    </row>
    <row r="77" ht="33.75" customHeight="1">
      <c r="A77" s="7">
        <v>3.0</v>
      </c>
      <c r="B77" s="9" t="s">
        <v>182</v>
      </c>
      <c r="C77" s="9" t="s">
        <v>16</v>
      </c>
      <c r="D77" s="9" t="s">
        <v>99</v>
      </c>
      <c r="E77" s="6" t="s">
        <v>274</v>
      </c>
      <c r="F77" s="9" t="s">
        <v>244</v>
      </c>
    </row>
    <row r="78" ht="33.75" customHeight="1">
      <c r="A78" s="7">
        <v>3.0</v>
      </c>
      <c r="B78" s="9" t="s">
        <v>182</v>
      </c>
      <c r="C78" s="9" t="s">
        <v>16</v>
      </c>
      <c r="D78" s="9" t="s">
        <v>101</v>
      </c>
      <c r="E78" s="6" t="s">
        <v>278</v>
      </c>
      <c r="F78" s="9" t="s">
        <v>244</v>
      </c>
    </row>
    <row r="79" ht="33.75" customHeight="1">
      <c r="A79" s="7">
        <v>3.0</v>
      </c>
      <c r="B79" s="9" t="s">
        <v>182</v>
      </c>
      <c r="C79" s="9" t="s">
        <v>16</v>
      </c>
      <c r="D79" s="9" t="s">
        <v>105</v>
      </c>
      <c r="E79" s="6" t="s">
        <v>274</v>
      </c>
      <c r="F79" s="9" t="s">
        <v>244</v>
      </c>
    </row>
    <row r="80" ht="33.75" customHeight="1">
      <c r="A80" s="7">
        <v>3.0</v>
      </c>
      <c r="B80" s="9" t="s">
        <v>182</v>
      </c>
      <c r="C80" s="9" t="s">
        <v>16</v>
      </c>
      <c r="D80" s="9" t="s">
        <v>107</v>
      </c>
      <c r="E80" s="6" t="s">
        <v>290</v>
      </c>
      <c r="F80" s="9" t="s">
        <v>244</v>
      </c>
    </row>
    <row r="81" ht="33.75" customHeight="1">
      <c r="A81" s="7">
        <v>3.0</v>
      </c>
      <c r="B81" s="9" t="s">
        <v>182</v>
      </c>
      <c r="C81" s="9" t="s">
        <v>16</v>
      </c>
      <c r="D81" s="9" t="s">
        <v>109</v>
      </c>
      <c r="E81" s="6" t="s">
        <v>290</v>
      </c>
      <c r="F81" s="9" t="s">
        <v>244</v>
      </c>
    </row>
    <row r="82" ht="33.75" customHeight="1">
      <c r="A82" s="7">
        <v>3.0</v>
      </c>
      <c r="B82" s="9" t="s">
        <v>182</v>
      </c>
      <c r="C82" s="9" t="s">
        <v>16</v>
      </c>
      <c r="D82" s="9" t="s">
        <v>111</v>
      </c>
      <c r="E82" s="6" t="s">
        <v>295</v>
      </c>
      <c r="F82" s="9" t="s">
        <v>244</v>
      </c>
    </row>
    <row r="83" ht="33.75" customHeight="1">
      <c r="A83" s="7">
        <v>3.0</v>
      </c>
      <c r="B83" s="9" t="s">
        <v>182</v>
      </c>
      <c r="C83" s="9" t="s">
        <v>16</v>
      </c>
      <c r="D83" s="9" t="s">
        <v>113</v>
      </c>
      <c r="E83" s="6" t="s">
        <v>295</v>
      </c>
      <c r="F83" s="9" t="s">
        <v>244</v>
      </c>
    </row>
    <row r="84" ht="33.75" customHeight="1">
      <c r="A84" s="7">
        <v>3.0</v>
      </c>
      <c r="B84" s="9" t="s">
        <v>182</v>
      </c>
      <c r="C84" s="9" t="s">
        <v>16</v>
      </c>
      <c r="D84" s="9" t="s">
        <v>114</v>
      </c>
      <c r="E84" s="6" t="s">
        <v>271</v>
      </c>
      <c r="F84" s="9" t="s">
        <v>244</v>
      </c>
    </row>
    <row r="85" ht="33.75" customHeight="1">
      <c r="A85" s="7">
        <v>3.0</v>
      </c>
      <c r="B85" s="9" t="s">
        <v>182</v>
      </c>
      <c r="C85" s="9" t="s">
        <v>16</v>
      </c>
      <c r="D85" s="9" t="s">
        <v>117</v>
      </c>
      <c r="E85" s="6" t="s">
        <v>269</v>
      </c>
      <c r="F85" s="9" t="s">
        <v>244</v>
      </c>
    </row>
    <row r="86" ht="33.75" customHeight="1">
      <c r="A86" s="7">
        <v>4.0</v>
      </c>
      <c r="B86" s="9" t="s">
        <v>237</v>
      </c>
      <c r="C86" s="9" t="s">
        <v>31</v>
      </c>
      <c r="D86" s="9" t="s">
        <v>24</v>
      </c>
      <c r="E86" s="6" t="s">
        <v>305</v>
      </c>
      <c r="F86" s="9" t="s">
        <v>306</v>
      </c>
      <c r="G86" t="inlineStr" s="6">
        <is>
          <t xml:space="preserve">Obviously prefers hot places. When it rains, steam is said to spout from the tip of its tail. The flame at the tip of its tail makes a sound as it burns. You can only hear it in quiet places. The flame on its tail shows the strength of its life force. If it is weak, the flame also burns weakly. The flame on its tail indicates CHARMANDER's life force. If it is healthy, the flame burns brightly. If it's healthy, the flame on the tip of its tail will burn vigorously, even if it gets a bit wet. The flame that burns at the tip of its tail is an indication of its emotions. The flame wavers when CHARMANDER is enjoying itself. If the POKéMON becomes enraged, the flame burns fiercely. The flame wavers when CHARMANDER is happy, and blazes when it is enraged. From the time it is born, a flame burns at the tip of its tail. Its life would end if the flame were to go out. It has a preference for hot things. The fire on the tip of its tail is a measure of its life. If healthy, its tail burns intensely.</t>
        </is>
      </c>
    </row>
    <row r="87" ht="33.75" customHeight="1">
      <c r="A87" s="7">
        <v>4.0</v>
      </c>
      <c r="B87" s="9" t="s">
        <v>237</v>
      </c>
      <c r="C87" s="9" t="s">
        <v>31</v>
      </c>
      <c r="D87" s="9" t="s">
        <v>35</v>
      </c>
      <c r="E87" s="6" t="s">
        <v>305</v>
      </c>
      <c r="F87" s="9" t="s">
        <v>306</v>
      </c>
    </row>
    <row r="88" ht="33.75" customHeight="1">
      <c r="A88" s="7">
        <v>4.0</v>
      </c>
      <c r="B88" s="9" t="s">
        <v>237</v>
      </c>
      <c r="C88" s="9" t="s">
        <v>31</v>
      </c>
      <c r="D88" s="9" t="s">
        <v>42</v>
      </c>
      <c r="E88" s="6" t="s">
        <v>313</v>
      </c>
      <c r="F88" s="9" t="s">
        <v>306</v>
      </c>
    </row>
    <row r="89" ht="33.75" customHeight="1">
      <c r="A89" s="7">
        <v>4.0</v>
      </c>
      <c r="B89" s="9" t="s">
        <v>237</v>
      </c>
      <c r="C89" s="9" t="s">
        <v>31</v>
      </c>
      <c r="D89" s="9" t="s">
        <v>52</v>
      </c>
      <c r="E89" s="6" t="s">
        <v>316</v>
      </c>
      <c r="F89" s="9" t="s">
        <v>306</v>
      </c>
    </row>
    <row r="90" ht="33.75" customHeight="1">
      <c r="A90" s="7">
        <v>4.0</v>
      </c>
      <c r="B90" s="9" t="s">
        <v>237</v>
      </c>
      <c r="C90" s="9" t="s">
        <v>31</v>
      </c>
      <c r="D90" s="9" t="s">
        <v>59</v>
      </c>
      <c r="E90" s="6" t="s">
        <v>319</v>
      </c>
      <c r="F90" s="9" t="s">
        <v>306</v>
      </c>
    </row>
    <row r="91" ht="33.75" customHeight="1">
      <c r="A91" s="7">
        <v>4.0</v>
      </c>
      <c r="B91" s="9" t="s">
        <v>237</v>
      </c>
      <c r="C91" s="9" t="s">
        <v>31</v>
      </c>
      <c r="D91" s="9" t="s">
        <v>64</v>
      </c>
      <c r="E91" s="6" t="s">
        <v>322</v>
      </c>
      <c r="F91" s="9" t="s">
        <v>306</v>
      </c>
    </row>
    <row r="92" ht="33.75" customHeight="1">
      <c r="A92" s="7">
        <v>4.0</v>
      </c>
      <c r="B92" s="9" t="s">
        <v>237</v>
      </c>
      <c r="C92" s="9" t="s">
        <v>31</v>
      </c>
      <c r="D92" s="9" t="s">
        <v>67</v>
      </c>
      <c r="E92" s="6" t="s">
        <v>326</v>
      </c>
      <c r="F92" s="9" t="s">
        <v>306</v>
      </c>
    </row>
    <row r="93" ht="33.75" customHeight="1">
      <c r="A93" s="7">
        <v>4.0</v>
      </c>
      <c r="B93" s="9" t="s">
        <v>237</v>
      </c>
      <c r="C93" s="9" t="s">
        <v>31</v>
      </c>
      <c r="D93" s="9" t="s">
        <v>71</v>
      </c>
      <c r="E93" s="6" t="s">
        <v>326</v>
      </c>
      <c r="F93" s="9" t="s">
        <v>306</v>
      </c>
    </row>
    <row r="94" ht="33.75" customHeight="1">
      <c r="A94" s="7">
        <v>4.0</v>
      </c>
      <c r="B94" s="9" t="s">
        <v>237</v>
      </c>
      <c r="C94" s="9" t="s">
        <v>31</v>
      </c>
      <c r="D94" s="9" t="s">
        <v>73</v>
      </c>
      <c r="E94" s="6" t="s">
        <v>331</v>
      </c>
      <c r="F94" s="9" t="s">
        <v>306</v>
      </c>
    </row>
    <row r="95" ht="33.75" customHeight="1">
      <c r="A95" s="7">
        <v>4.0</v>
      </c>
      <c r="B95" s="9" t="s">
        <v>237</v>
      </c>
      <c r="C95" s="9" t="s">
        <v>31</v>
      </c>
      <c r="D95" s="9" t="s">
        <v>75</v>
      </c>
      <c r="E95" s="6" t="s">
        <v>334</v>
      </c>
      <c r="F95" s="9" t="s">
        <v>306</v>
      </c>
    </row>
    <row r="96" ht="33.75" customHeight="1">
      <c r="A96" s="7">
        <v>4.0</v>
      </c>
      <c r="B96" s="9" t="s">
        <v>237</v>
      </c>
      <c r="C96" s="9" t="s">
        <v>31</v>
      </c>
      <c r="D96" s="9" t="s">
        <v>79</v>
      </c>
      <c r="E96" s="6" t="s">
        <v>336</v>
      </c>
      <c r="F96" s="9" t="s">
        <v>306</v>
      </c>
    </row>
    <row r="97" ht="33.75" customHeight="1">
      <c r="A97" s="7">
        <v>4.0</v>
      </c>
      <c r="B97" s="9" t="s">
        <v>237</v>
      </c>
      <c r="C97" s="9" t="s">
        <v>31</v>
      </c>
      <c r="D97" s="9" t="s">
        <v>81</v>
      </c>
      <c r="E97" s="6" t="s">
        <v>338</v>
      </c>
      <c r="F97" s="9" t="s">
        <v>306</v>
      </c>
    </row>
    <row r="98" ht="33.75" customHeight="1">
      <c r="A98" s="7">
        <v>4.0</v>
      </c>
      <c r="B98" s="9" t="s">
        <v>237</v>
      </c>
      <c r="C98" s="9" t="s">
        <v>31</v>
      </c>
      <c r="D98" s="9" t="s">
        <v>84</v>
      </c>
      <c r="E98" s="6" t="s">
        <v>338</v>
      </c>
      <c r="F98" s="9" t="s">
        <v>306</v>
      </c>
    </row>
    <row r="99" ht="33.75" customHeight="1">
      <c r="A99" s="7">
        <v>4.0</v>
      </c>
      <c r="B99" s="9" t="s">
        <v>237</v>
      </c>
      <c r="C99" s="9" t="s">
        <v>31</v>
      </c>
      <c r="D99" s="9" t="s">
        <v>87</v>
      </c>
      <c r="E99" s="6" t="s">
        <v>338</v>
      </c>
      <c r="F99" s="9" t="s">
        <v>306</v>
      </c>
    </row>
    <row r="100" ht="33.75" customHeight="1">
      <c r="A100" s="7">
        <v>4.0</v>
      </c>
      <c r="B100" s="9" t="s">
        <v>237</v>
      </c>
      <c r="C100" s="9" t="s">
        <v>31</v>
      </c>
      <c r="D100" s="9" t="s">
        <v>89</v>
      </c>
      <c r="E100" s="6" t="s">
        <v>316</v>
      </c>
      <c r="F100" s="9" t="s">
        <v>306</v>
      </c>
    </row>
    <row r="101" ht="33.75" customHeight="1">
      <c r="A101" s="7">
        <v>4.0</v>
      </c>
      <c r="B101" s="9" t="s">
        <v>237</v>
      </c>
      <c r="C101" s="9" t="s">
        <v>31</v>
      </c>
      <c r="D101" s="9" t="s">
        <v>91</v>
      </c>
      <c r="E101" s="6" t="s">
        <v>345</v>
      </c>
      <c r="F101" s="9" t="s">
        <v>306</v>
      </c>
    </row>
    <row r="102" ht="33.75" customHeight="1">
      <c r="A102" s="7">
        <v>4.0</v>
      </c>
      <c r="B102" s="9" t="s">
        <v>237</v>
      </c>
      <c r="C102" s="9" t="s">
        <v>31</v>
      </c>
      <c r="D102" s="9" t="s">
        <v>93</v>
      </c>
      <c r="E102" s="6" t="s">
        <v>338</v>
      </c>
      <c r="F102" s="9" t="s">
        <v>306</v>
      </c>
    </row>
    <row r="103" ht="33.75" customHeight="1">
      <c r="A103" s="7">
        <v>4.0</v>
      </c>
      <c r="B103" s="9" t="s">
        <v>237</v>
      </c>
      <c r="C103" s="9" t="s">
        <v>31</v>
      </c>
      <c r="D103" s="9" t="s">
        <v>95</v>
      </c>
      <c r="E103" s="6" t="s">
        <v>338</v>
      </c>
      <c r="F103" s="9" t="s">
        <v>306</v>
      </c>
    </row>
    <row r="104" ht="33.75" customHeight="1">
      <c r="A104" s="7">
        <v>4.0</v>
      </c>
      <c r="B104" s="9" t="s">
        <v>237</v>
      </c>
      <c r="C104" s="9" t="s">
        <v>31</v>
      </c>
      <c r="D104" s="9" t="s">
        <v>98</v>
      </c>
      <c r="E104" s="6" t="s">
        <v>338</v>
      </c>
      <c r="F104" s="9" t="s">
        <v>306</v>
      </c>
    </row>
    <row r="105" ht="33.75" customHeight="1">
      <c r="A105" s="7">
        <v>4.0</v>
      </c>
      <c r="B105" s="9" t="s">
        <v>237</v>
      </c>
      <c r="C105" s="9" t="s">
        <v>31</v>
      </c>
      <c r="D105" s="9" t="s">
        <v>99</v>
      </c>
      <c r="E105" s="6" t="s">
        <v>338</v>
      </c>
      <c r="F105" s="9" t="s">
        <v>306</v>
      </c>
    </row>
    <row r="106" ht="33.75" customHeight="1">
      <c r="A106" s="7">
        <v>4.0</v>
      </c>
      <c r="B106" s="9" t="s">
        <v>237</v>
      </c>
      <c r="C106" s="9" t="s">
        <v>31</v>
      </c>
      <c r="D106" s="9" t="s">
        <v>101</v>
      </c>
      <c r="E106" s="6" t="s">
        <v>355</v>
      </c>
      <c r="F106" s="9" t="s">
        <v>306</v>
      </c>
    </row>
    <row r="107" ht="33.75" customHeight="1">
      <c r="A107" s="7">
        <v>4.0</v>
      </c>
      <c r="B107" s="9" t="s">
        <v>237</v>
      </c>
      <c r="C107" s="9" t="s">
        <v>31</v>
      </c>
      <c r="D107" s="9" t="s">
        <v>105</v>
      </c>
      <c r="E107" s="6" t="s">
        <v>334</v>
      </c>
      <c r="F107" s="9" t="s">
        <v>306</v>
      </c>
    </row>
    <row r="108" ht="33.75" customHeight="1">
      <c r="A108" s="7">
        <v>4.0</v>
      </c>
      <c r="B108" s="9" t="s">
        <v>237</v>
      </c>
      <c r="C108" s="9" t="s">
        <v>31</v>
      </c>
      <c r="D108" s="9" t="s">
        <v>107</v>
      </c>
      <c r="E108" s="6" t="s">
        <v>363</v>
      </c>
      <c r="F108" s="9" t="s">
        <v>306</v>
      </c>
    </row>
    <row r="109" ht="33.75" customHeight="1">
      <c r="A109" s="7">
        <v>4.0</v>
      </c>
      <c r="B109" s="9" t="s">
        <v>237</v>
      </c>
      <c r="C109" s="9" t="s">
        <v>31</v>
      </c>
      <c r="D109" s="9" t="s">
        <v>109</v>
      </c>
      <c r="E109" s="6" t="s">
        <v>363</v>
      </c>
      <c r="F109" s="9" t="s">
        <v>306</v>
      </c>
    </row>
    <row r="110" ht="33.75" customHeight="1">
      <c r="A110" s="7">
        <v>4.0</v>
      </c>
      <c r="B110" s="9" t="s">
        <v>237</v>
      </c>
      <c r="C110" s="9" t="s">
        <v>31</v>
      </c>
      <c r="D110" s="9" t="s">
        <v>111</v>
      </c>
      <c r="E110" s="6" t="s">
        <v>313</v>
      </c>
      <c r="F110" s="9" t="s">
        <v>306</v>
      </c>
    </row>
    <row r="111" ht="33.75" customHeight="1">
      <c r="A111" s="7">
        <v>4.0</v>
      </c>
      <c r="B111" s="9" t="s">
        <v>237</v>
      </c>
      <c r="C111" s="9" t="s">
        <v>31</v>
      </c>
      <c r="D111" s="9" t="s">
        <v>113</v>
      </c>
      <c r="E111" s="6" t="s">
        <v>313</v>
      </c>
      <c r="F111" s="9" t="s">
        <v>306</v>
      </c>
    </row>
    <row r="112" ht="33.75" customHeight="1">
      <c r="A112" s="7">
        <v>4.0</v>
      </c>
      <c r="B112" s="9" t="s">
        <v>237</v>
      </c>
      <c r="C112" s="9" t="s">
        <v>31</v>
      </c>
      <c r="D112" s="9" t="s">
        <v>114</v>
      </c>
      <c r="E112" s="6" t="s">
        <v>336</v>
      </c>
      <c r="F112" s="9" t="s">
        <v>306</v>
      </c>
    </row>
    <row r="113" ht="33.75" customHeight="1">
      <c r="A113" s="7">
        <v>4.0</v>
      </c>
      <c r="B113" s="9" t="s">
        <v>237</v>
      </c>
      <c r="C113" s="9" t="s">
        <v>31</v>
      </c>
      <c r="D113" s="9" t="s">
        <v>117</v>
      </c>
      <c r="E113" s="6" t="s">
        <v>334</v>
      </c>
      <c r="F113" s="9" t="s">
        <v>306</v>
      </c>
    </row>
    <row r="114" ht="33.75" customHeight="1">
      <c r="A114" s="7">
        <v>5.0</v>
      </c>
      <c r="B114" s="9" t="s">
        <v>293</v>
      </c>
      <c r="C114" s="9" t="s">
        <v>41</v>
      </c>
      <c r="D114" s="9" t="s">
        <v>24</v>
      </c>
      <c r="E114" s="6" t="s">
        <v>377</v>
      </c>
      <c r="F114" s="9" t="s">
        <v>378</v>
      </c>
      <c r="G114" t="inlineStr" s="6">
        <is>
          <t xml:space="preserve">When it swings Charmeleon's burning tail, it elevates the temperature to unbearably high levels. Tough fights could excite this POKéMON. When excited, it may blow out bluish- white flames. It is very hot headed by nature, so it constantly seeks opponents. It calms down only when it wins. It has a barbaric nature. In battle, it whips its fiery tail around and slashes away with sharp claws. If it becomes agitated during battle, it spouts intense flames, incinerating its surroundings. CHARMELEON mercilessly destroys its foes using its sharp claws. If it encounters a strong foe, it turns aggressive. In this excited state, the flame at the tip of its tail flares with a bluish white color. Without pity, its sharp claws destroy foes. If it encounters a strong enemy, it becomes agitated, and the flame on its tail flares with a bluish white color. It lashes about with its tail to knock down its foe. It then tears up the fallen opponent with sharp claws. When it swings its burning tail, it elevates the air temperature to unbearably high levels. In the rocky mountains where CHARMELEON live, their fiery tails shine at night like stars. It is very hotheaded by nature, so it constantly seeks opponents. When excited, it may breathe out bluish-white flames.</t>
        </is>
      </c>
    </row>
    <row r="115" ht="33.75" customHeight="1">
      <c r="A115" s="7">
        <v>5.0</v>
      </c>
      <c r="B115" s="9" t="s">
        <v>293</v>
      </c>
      <c r="C115" s="9" t="s">
        <v>41</v>
      </c>
      <c r="D115" s="9" t="s">
        <v>35</v>
      </c>
      <c r="E115" s="6" t="s">
        <v>377</v>
      </c>
      <c r="F115" s="9" t="s">
        <v>378</v>
      </c>
    </row>
    <row r="116" ht="33.75" customHeight="1">
      <c r="A116" s="7">
        <v>5.0</v>
      </c>
      <c r="B116" s="9" t="s">
        <v>293</v>
      </c>
      <c r="C116" s="9" t="s">
        <v>41</v>
      </c>
      <c r="D116" s="9" t="s">
        <v>42</v>
      </c>
      <c r="E116" s="6" t="s">
        <v>381</v>
      </c>
      <c r="F116" s="9" t="s">
        <v>378</v>
      </c>
    </row>
    <row r="117" ht="33.75" customHeight="1">
      <c r="A117" s="7">
        <v>5.0</v>
      </c>
      <c r="B117" s="9" t="s">
        <v>293</v>
      </c>
      <c r="C117" s="9" t="s">
        <v>41</v>
      </c>
      <c r="D117" s="9" t="s">
        <v>52</v>
      </c>
      <c r="E117" s="6" t="s">
        <v>383</v>
      </c>
      <c r="F117" s="9" t="s">
        <v>378</v>
      </c>
    </row>
    <row r="118" ht="33.75" customHeight="1">
      <c r="A118" s="7">
        <v>5.0</v>
      </c>
      <c r="B118" s="9" t="s">
        <v>293</v>
      </c>
      <c r="C118" s="9" t="s">
        <v>41</v>
      </c>
      <c r="D118" s="9" t="s">
        <v>59</v>
      </c>
      <c r="E118" s="6" t="s">
        <v>386</v>
      </c>
      <c r="F118" s="9" t="s">
        <v>378</v>
      </c>
    </row>
    <row r="119" ht="33.75" customHeight="1">
      <c r="A119" s="7">
        <v>5.0</v>
      </c>
      <c r="B119" s="9" t="s">
        <v>293</v>
      </c>
      <c r="C119" s="9" t="s">
        <v>41</v>
      </c>
      <c r="D119" s="9" t="s">
        <v>64</v>
      </c>
      <c r="E119" s="6" t="s">
        <v>389</v>
      </c>
      <c r="F119" s="9" t="s">
        <v>378</v>
      </c>
    </row>
    <row r="120" ht="33.75" customHeight="1">
      <c r="A120" s="7">
        <v>5.0</v>
      </c>
      <c r="B120" s="9" t="s">
        <v>293</v>
      </c>
      <c r="C120" s="9" t="s">
        <v>41</v>
      </c>
      <c r="D120" s="9" t="s">
        <v>67</v>
      </c>
      <c r="E120" s="6" t="s">
        <v>392</v>
      </c>
      <c r="F120" s="9" t="s">
        <v>378</v>
      </c>
    </row>
    <row r="121" ht="33.75" customHeight="1">
      <c r="A121" s="7">
        <v>5.0</v>
      </c>
      <c r="B121" s="9" t="s">
        <v>293</v>
      </c>
      <c r="C121" s="9" t="s">
        <v>41</v>
      </c>
      <c r="D121" s="9" t="s">
        <v>71</v>
      </c>
      <c r="E121" s="6" t="s">
        <v>392</v>
      </c>
      <c r="F121" s="9" t="s">
        <v>378</v>
      </c>
    </row>
    <row r="122" ht="33.75" customHeight="1">
      <c r="A122" s="7">
        <v>5.0</v>
      </c>
      <c r="B122" s="9" t="s">
        <v>293</v>
      </c>
      <c r="C122" s="9" t="s">
        <v>41</v>
      </c>
      <c r="D122" s="9" t="s">
        <v>73</v>
      </c>
      <c r="E122" s="6" t="s">
        <v>398</v>
      </c>
      <c r="F122" s="9" t="s">
        <v>378</v>
      </c>
    </row>
    <row r="123" ht="33.75" customHeight="1">
      <c r="A123" s="7">
        <v>5.0</v>
      </c>
      <c r="B123" s="9" t="s">
        <v>293</v>
      </c>
      <c r="C123" s="9" t="s">
        <v>41</v>
      </c>
      <c r="D123" s="9" t="s">
        <v>75</v>
      </c>
      <c r="E123" s="6" t="s">
        <v>402</v>
      </c>
      <c r="F123" s="9" t="s">
        <v>378</v>
      </c>
    </row>
    <row r="124" ht="33.75" customHeight="1">
      <c r="A124" s="7">
        <v>5.0</v>
      </c>
      <c r="B124" s="9" t="s">
        <v>293</v>
      </c>
      <c r="C124" s="9" t="s">
        <v>41</v>
      </c>
      <c r="D124" s="9" t="s">
        <v>79</v>
      </c>
      <c r="E124" s="6" t="s">
        <v>404</v>
      </c>
      <c r="F124" s="9" t="s">
        <v>378</v>
      </c>
    </row>
    <row r="125" ht="33.75" customHeight="1">
      <c r="A125" s="7">
        <v>5.0</v>
      </c>
      <c r="B125" s="9" t="s">
        <v>293</v>
      </c>
      <c r="C125" s="9" t="s">
        <v>41</v>
      </c>
      <c r="D125" s="9" t="s">
        <v>81</v>
      </c>
      <c r="E125" s="6" t="s">
        <v>407</v>
      </c>
      <c r="F125" s="9" t="s">
        <v>378</v>
      </c>
    </row>
    <row r="126" ht="33.75" customHeight="1">
      <c r="A126" s="7">
        <v>5.0</v>
      </c>
      <c r="B126" s="9" t="s">
        <v>293</v>
      </c>
      <c r="C126" s="9" t="s">
        <v>41</v>
      </c>
      <c r="D126" s="9" t="s">
        <v>84</v>
      </c>
      <c r="E126" s="6" t="s">
        <v>407</v>
      </c>
      <c r="F126" s="9" t="s">
        <v>378</v>
      </c>
    </row>
    <row r="127" ht="33.75" customHeight="1">
      <c r="A127" s="7">
        <v>5.0</v>
      </c>
      <c r="B127" s="9" t="s">
        <v>293</v>
      </c>
      <c r="C127" s="9" t="s">
        <v>41</v>
      </c>
      <c r="D127" s="9" t="s">
        <v>87</v>
      </c>
      <c r="E127" s="6" t="s">
        <v>407</v>
      </c>
      <c r="F127" s="9" t="s">
        <v>378</v>
      </c>
    </row>
    <row r="128" ht="33.75" customHeight="1">
      <c r="A128" s="7">
        <v>5.0</v>
      </c>
      <c r="B128" s="9" t="s">
        <v>293</v>
      </c>
      <c r="C128" s="9" t="s">
        <v>41</v>
      </c>
      <c r="D128" s="9" t="s">
        <v>89</v>
      </c>
      <c r="E128" s="6" t="s">
        <v>417</v>
      </c>
      <c r="F128" s="9" t="s">
        <v>378</v>
      </c>
    </row>
    <row r="129" ht="33.75" customHeight="1">
      <c r="A129" s="7">
        <v>5.0</v>
      </c>
      <c r="B129" s="9" t="s">
        <v>293</v>
      </c>
      <c r="C129" s="9" t="s">
        <v>41</v>
      </c>
      <c r="D129" s="9" t="s">
        <v>91</v>
      </c>
      <c r="E129" s="6" t="s">
        <v>386</v>
      </c>
      <c r="F129" s="9" t="s">
        <v>378</v>
      </c>
    </row>
    <row r="130" ht="33.75" customHeight="1">
      <c r="A130" s="7">
        <v>5.0</v>
      </c>
      <c r="B130" s="9" t="s">
        <v>293</v>
      </c>
      <c r="C130" s="9" t="s">
        <v>41</v>
      </c>
      <c r="D130" s="9" t="s">
        <v>93</v>
      </c>
      <c r="E130" s="6" t="s">
        <v>424</v>
      </c>
      <c r="F130" s="9" t="s">
        <v>378</v>
      </c>
    </row>
    <row r="131" ht="33.75" customHeight="1">
      <c r="A131" s="7">
        <v>5.0</v>
      </c>
      <c r="B131" s="9" t="s">
        <v>293</v>
      </c>
      <c r="C131" s="9" t="s">
        <v>41</v>
      </c>
      <c r="D131" s="9" t="s">
        <v>95</v>
      </c>
      <c r="E131" s="6" t="s">
        <v>424</v>
      </c>
      <c r="F131" s="9" t="s">
        <v>378</v>
      </c>
    </row>
    <row r="132" ht="33.75" customHeight="1">
      <c r="A132" s="7">
        <v>5.0</v>
      </c>
      <c r="B132" s="9" t="s">
        <v>293</v>
      </c>
      <c r="C132" s="9" t="s">
        <v>41</v>
      </c>
      <c r="D132" s="9" t="s">
        <v>98</v>
      </c>
      <c r="E132" s="6" t="s">
        <v>424</v>
      </c>
      <c r="F132" s="9" t="s">
        <v>378</v>
      </c>
    </row>
    <row r="133" ht="33.75" customHeight="1">
      <c r="A133" s="7">
        <v>5.0</v>
      </c>
      <c r="B133" s="9" t="s">
        <v>293</v>
      </c>
      <c r="C133" s="9" t="s">
        <v>41</v>
      </c>
      <c r="D133" s="9" t="s">
        <v>99</v>
      </c>
      <c r="E133" s="6" t="s">
        <v>424</v>
      </c>
      <c r="F133" s="9" t="s">
        <v>378</v>
      </c>
    </row>
    <row r="134" ht="33.75" customHeight="1">
      <c r="A134" s="7">
        <v>5.0</v>
      </c>
      <c r="B134" s="9" t="s">
        <v>293</v>
      </c>
      <c r="C134" s="9" t="s">
        <v>41</v>
      </c>
      <c r="D134" s="9" t="s">
        <v>101</v>
      </c>
      <c r="E134" s="6" t="s">
        <v>402</v>
      </c>
      <c r="F134" s="9" t="s">
        <v>378</v>
      </c>
    </row>
    <row r="135" ht="33.75" customHeight="1">
      <c r="A135" s="7">
        <v>5.0</v>
      </c>
      <c r="B135" s="9" t="s">
        <v>293</v>
      </c>
      <c r="C135" s="9" t="s">
        <v>41</v>
      </c>
      <c r="D135" s="9" t="s">
        <v>105</v>
      </c>
      <c r="E135" s="6" t="s">
        <v>404</v>
      </c>
      <c r="F135" s="9" t="s">
        <v>378</v>
      </c>
    </row>
    <row r="136" ht="33.75" customHeight="1">
      <c r="A136" s="7">
        <v>5.0</v>
      </c>
      <c r="B136" s="9" t="s">
        <v>293</v>
      </c>
      <c r="C136" s="9" t="s">
        <v>41</v>
      </c>
      <c r="D136" s="9" t="s">
        <v>107</v>
      </c>
      <c r="E136" s="6" t="s">
        <v>435</v>
      </c>
      <c r="F136" s="9" t="s">
        <v>378</v>
      </c>
    </row>
    <row r="137" ht="33.75" customHeight="1">
      <c r="A137" s="7">
        <v>5.0</v>
      </c>
      <c r="B137" s="9" t="s">
        <v>293</v>
      </c>
      <c r="C137" s="9" t="s">
        <v>41</v>
      </c>
      <c r="D137" s="9" t="s">
        <v>109</v>
      </c>
      <c r="E137" s="6" t="s">
        <v>435</v>
      </c>
      <c r="F137" s="9" t="s">
        <v>378</v>
      </c>
    </row>
    <row r="138" ht="33.75" customHeight="1">
      <c r="A138" s="7">
        <v>5.0</v>
      </c>
      <c r="B138" s="9" t="s">
        <v>293</v>
      </c>
      <c r="C138" s="9" t="s">
        <v>41</v>
      </c>
      <c r="D138" s="9" t="s">
        <v>111</v>
      </c>
      <c r="E138" s="6" t="s">
        <v>439</v>
      </c>
      <c r="F138" s="9" t="s">
        <v>378</v>
      </c>
    </row>
    <row r="139" ht="33.75" customHeight="1">
      <c r="A139" s="7">
        <v>5.0</v>
      </c>
      <c r="B139" s="9" t="s">
        <v>293</v>
      </c>
      <c r="C139" s="9" t="s">
        <v>41</v>
      </c>
      <c r="D139" s="9" t="s">
        <v>113</v>
      </c>
      <c r="E139" s="6" t="s">
        <v>439</v>
      </c>
      <c r="F139" s="9" t="s">
        <v>378</v>
      </c>
    </row>
    <row r="140" ht="33.75" customHeight="1">
      <c r="A140" s="7">
        <v>5.0</v>
      </c>
      <c r="B140" s="9" t="s">
        <v>293</v>
      </c>
      <c r="C140" s="9" t="s">
        <v>41</v>
      </c>
      <c r="D140" s="9" t="s">
        <v>114</v>
      </c>
      <c r="E140" s="6" t="s">
        <v>386</v>
      </c>
      <c r="F140" s="9" t="s">
        <v>378</v>
      </c>
    </row>
    <row r="141" ht="33.75" customHeight="1">
      <c r="A141" s="7">
        <v>5.0</v>
      </c>
      <c r="B141" s="9" t="s">
        <v>293</v>
      </c>
      <c r="C141" s="9" t="s">
        <v>41</v>
      </c>
      <c r="D141" s="9" t="s">
        <v>117</v>
      </c>
      <c r="E141" s="6" t="s">
        <v>389</v>
      </c>
      <c r="F141" s="9" t="s">
        <v>378</v>
      </c>
    </row>
    <row r="142" ht="33.75" customHeight="1">
      <c r="A142" s="7">
        <v>6.0</v>
      </c>
      <c r="B142" s="9" t="s">
        <v>348</v>
      </c>
      <c r="C142" s="9" t="s">
        <v>41</v>
      </c>
      <c r="D142" s="9" t="s">
        <v>24</v>
      </c>
      <c r="E142" s="6" t="s">
        <v>444</v>
      </c>
      <c r="F142" s="9" t="s">
        <v>445</v>
      </c>
      <c r="G142" t="inlineStr" s="6">
        <is>
          <t xml:space="preserve">Spits fire that is hot enough to melt boulders. Known to cause forest fires unintentionally. When expelling a blast of super hot fire, the red flame at the tip of its tail burns more intensely. If CHARIZARD be comes furious, the flame at the tip of its tail flares up in a whitish- blue color. Breathing intense, hot flames, it can melt almost any thing. Its breath inflicts terrible pain on enemies. It uses its wings to fly high. The temperature of its fire increases as it gains experience in battle. CHARIZARD flies around the sky in search of powerful opponents. It breathes fire of such great heat that it melts anything. However, it never turns its fiery breath on any opponent weaker than itself. A CHARIZARD flies about in search of strong opponents. It breathes intense flames that can melt any material. However, it will never torch a weaker foe. Its wings can carry this POKéMON close to an altitude of 4,600 feet. It blows out fire at very high temperatures. It spits fire that is hot enough to melt boulders. It may cause forest fires by blowing flames. It is said that CHARIZARD’s fire burns hotter if it has experienced harsh battles. If CHARIZARD becomes furious, the flame at the tip of its tail flares up in a light blue shade. Breathing intense, hot flames, it can melt almost anything. When expelling a blast of superhot fire, the red flame at the tip of its tail burns more intensely. When this Pokémon expels a blast of superhot fire, the red flame at the tip of its tail burns more intensely.</t>
        </is>
      </c>
    </row>
    <row r="143" ht="33.75" customHeight="1">
      <c r="A143" s="7">
        <v>6.0</v>
      </c>
      <c r="B143" s="9" t="s">
        <v>348</v>
      </c>
      <c r="C143" s="9" t="s">
        <v>41</v>
      </c>
      <c r="D143" s="9" t="s">
        <v>35</v>
      </c>
      <c r="E143" s="6" t="s">
        <v>444</v>
      </c>
      <c r="F143" s="9" t="s">
        <v>445</v>
      </c>
    </row>
    <row r="144" ht="33.75" customHeight="1">
      <c r="A144" s="7">
        <v>6.0</v>
      </c>
      <c r="B144" s="9" t="s">
        <v>348</v>
      </c>
      <c r="C144" s="9" t="s">
        <v>41</v>
      </c>
      <c r="D144" s="9" t="s">
        <v>42</v>
      </c>
      <c r="E144" s="6" t="s">
        <v>448</v>
      </c>
      <c r="F144" s="9" t="s">
        <v>445</v>
      </c>
    </row>
    <row r="145" ht="33.75" customHeight="1">
      <c r="A145" s="7">
        <v>6.0</v>
      </c>
      <c r="B145" s="9" t="s">
        <v>348</v>
      </c>
      <c r="C145" s="9" t="s">
        <v>41</v>
      </c>
      <c r="D145" s="9" t="s">
        <v>52</v>
      </c>
      <c r="E145" s="6" t="s">
        <v>450</v>
      </c>
      <c r="F145" s="9" t="s">
        <v>445</v>
      </c>
    </row>
    <row r="146" ht="33.75" customHeight="1">
      <c r="A146" s="7">
        <v>6.0</v>
      </c>
      <c r="B146" s="9" t="s">
        <v>348</v>
      </c>
      <c r="C146" s="9" t="s">
        <v>41</v>
      </c>
      <c r="D146" s="9" t="s">
        <v>59</v>
      </c>
      <c r="E146" s="6" t="s">
        <v>452</v>
      </c>
      <c r="F146" s="9" t="s">
        <v>445</v>
      </c>
    </row>
    <row r="147" ht="33.75" customHeight="1">
      <c r="A147" s="7">
        <v>6.0</v>
      </c>
      <c r="B147" s="9" t="s">
        <v>348</v>
      </c>
      <c r="C147" s="9" t="s">
        <v>41</v>
      </c>
      <c r="D147" s="9" t="s">
        <v>64</v>
      </c>
      <c r="E147" s="6" t="s">
        <v>454</v>
      </c>
      <c r="F147" s="9" t="s">
        <v>445</v>
      </c>
    </row>
    <row r="148" ht="33.75" customHeight="1">
      <c r="A148" s="7">
        <v>6.0</v>
      </c>
      <c r="B148" s="9" t="s">
        <v>348</v>
      </c>
      <c r="C148" s="9" t="s">
        <v>41</v>
      </c>
      <c r="D148" s="9" t="s">
        <v>67</v>
      </c>
      <c r="E148" s="6" t="s">
        <v>456</v>
      </c>
      <c r="F148" s="9" t="s">
        <v>445</v>
      </c>
    </row>
    <row r="149" ht="33.75" customHeight="1">
      <c r="A149" s="7">
        <v>6.0</v>
      </c>
      <c r="B149" s="9" t="s">
        <v>348</v>
      </c>
      <c r="C149" s="9" t="s">
        <v>41</v>
      </c>
      <c r="D149" s="9" t="s">
        <v>71</v>
      </c>
      <c r="E149" s="6" t="s">
        <v>456</v>
      </c>
      <c r="F149" s="9" t="s">
        <v>445</v>
      </c>
    </row>
    <row r="150" ht="33.75" customHeight="1">
      <c r="A150" s="7">
        <v>6.0</v>
      </c>
      <c r="B150" s="9" t="s">
        <v>348</v>
      </c>
      <c r="C150" s="9" t="s">
        <v>41</v>
      </c>
      <c r="D150" s="9" t="s">
        <v>73</v>
      </c>
      <c r="E150" s="6" t="s">
        <v>458</v>
      </c>
      <c r="F150" s="9" t="s">
        <v>445</v>
      </c>
    </row>
    <row r="151" ht="33.75" customHeight="1">
      <c r="A151" s="7">
        <v>6.0</v>
      </c>
      <c r="B151" s="9" t="s">
        <v>348</v>
      </c>
      <c r="C151" s="9" t="s">
        <v>41</v>
      </c>
      <c r="D151" s="9" t="s">
        <v>75</v>
      </c>
      <c r="E151" s="6" t="s">
        <v>461</v>
      </c>
      <c r="F151" s="9" t="s">
        <v>445</v>
      </c>
    </row>
    <row r="152" ht="33.75" customHeight="1">
      <c r="A152" s="7">
        <v>6.0</v>
      </c>
      <c r="B152" s="9" t="s">
        <v>348</v>
      </c>
      <c r="C152" s="9" t="s">
        <v>41</v>
      </c>
      <c r="D152" s="9" t="s">
        <v>79</v>
      </c>
      <c r="E152" s="6" t="s">
        <v>467</v>
      </c>
      <c r="F152" s="9" t="s">
        <v>445</v>
      </c>
    </row>
    <row r="153" ht="33.75" customHeight="1">
      <c r="A153" s="7">
        <v>6.0</v>
      </c>
      <c r="B153" s="9" t="s">
        <v>348</v>
      </c>
      <c r="C153" s="9" t="s">
        <v>41</v>
      </c>
      <c r="D153" s="9" t="s">
        <v>81</v>
      </c>
      <c r="E153" s="6" t="s">
        <v>469</v>
      </c>
      <c r="F153" s="9" t="s">
        <v>445</v>
      </c>
    </row>
    <row r="154" ht="33.75" customHeight="1">
      <c r="A154" s="7">
        <v>6.0</v>
      </c>
      <c r="B154" s="9" t="s">
        <v>348</v>
      </c>
      <c r="C154" s="9" t="s">
        <v>41</v>
      </c>
      <c r="D154" s="9" t="s">
        <v>84</v>
      </c>
      <c r="E154" s="6" t="s">
        <v>469</v>
      </c>
      <c r="F154" s="9" t="s">
        <v>445</v>
      </c>
    </row>
    <row r="155" ht="33.75" customHeight="1">
      <c r="A155" s="7">
        <v>6.0</v>
      </c>
      <c r="B155" s="9" t="s">
        <v>348</v>
      </c>
      <c r="C155" s="9" t="s">
        <v>41</v>
      </c>
      <c r="D155" s="9" t="s">
        <v>87</v>
      </c>
      <c r="E155" s="6" t="s">
        <v>469</v>
      </c>
      <c r="F155" s="9" t="s">
        <v>445</v>
      </c>
    </row>
    <row r="156" ht="33.75" customHeight="1">
      <c r="A156" s="7">
        <v>6.0</v>
      </c>
      <c r="B156" s="9" t="s">
        <v>348</v>
      </c>
      <c r="C156" s="9" t="s">
        <v>41</v>
      </c>
      <c r="D156" s="9" t="s">
        <v>89</v>
      </c>
      <c r="E156" s="6" t="s">
        <v>475</v>
      </c>
      <c r="F156" s="9" t="s">
        <v>445</v>
      </c>
    </row>
    <row r="157" ht="33.75" customHeight="1">
      <c r="A157" s="7">
        <v>6.0</v>
      </c>
      <c r="B157" s="9" t="s">
        <v>348</v>
      </c>
      <c r="C157" s="9" t="s">
        <v>41</v>
      </c>
      <c r="D157" s="9" t="s">
        <v>91</v>
      </c>
      <c r="E157" s="6" t="s">
        <v>479</v>
      </c>
      <c r="F157" s="9" t="s">
        <v>445</v>
      </c>
    </row>
    <row r="158" ht="33.75" customHeight="1">
      <c r="A158" s="7">
        <v>6.0</v>
      </c>
      <c r="B158" s="9" t="s">
        <v>348</v>
      </c>
      <c r="C158" s="9" t="s">
        <v>41</v>
      </c>
      <c r="D158" s="9" t="s">
        <v>93</v>
      </c>
      <c r="E158" s="6" t="s">
        <v>482</v>
      </c>
      <c r="F158" s="9" t="s">
        <v>445</v>
      </c>
    </row>
    <row r="159" ht="33.75" customHeight="1">
      <c r="A159" s="7">
        <v>6.0</v>
      </c>
      <c r="B159" s="9" t="s">
        <v>348</v>
      </c>
      <c r="C159" s="9" t="s">
        <v>41</v>
      </c>
      <c r="D159" s="9" t="s">
        <v>95</v>
      </c>
      <c r="E159" s="6" t="s">
        <v>482</v>
      </c>
      <c r="F159" s="9" t="s">
        <v>445</v>
      </c>
    </row>
    <row r="160" ht="33.75" customHeight="1">
      <c r="A160" s="7">
        <v>6.0</v>
      </c>
      <c r="B160" s="9" t="s">
        <v>348</v>
      </c>
      <c r="C160" s="9" t="s">
        <v>41</v>
      </c>
      <c r="D160" s="9" t="s">
        <v>98</v>
      </c>
      <c r="E160" s="6" t="s">
        <v>482</v>
      </c>
      <c r="F160" s="9" t="s">
        <v>445</v>
      </c>
    </row>
    <row r="161" ht="33.75" customHeight="1">
      <c r="A161" s="7">
        <v>6.0</v>
      </c>
      <c r="B161" s="9" t="s">
        <v>348</v>
      </c>
      <c r="C161" s="9" t="s">
        <v>41</v>
      </c>
      <c r="D161" s="9" t="s">
        <v>99</v>
      </c>
      <c r="E161" s="6" t="s">
        <v>482</v>
      </c>
      <c r="F161" s="9" t="s">
        <v>445</v>
      </c>
    </row>
    <row r="162" ht="33.75" customHeight="1">
      <c r="A162" s="7">
        <v>6.0</v>
      </c>
      <c r="B162" s="9" t="s">
        <v>348</v>
      </c>
      <c r="C162" s="9" t="s">
        <v>41</v>
      </c>
      <c r="D162" s="9" t="s">
        <v>101</v>
      </c>
      <c r="E162" s="6" t="s">
        <v>491</v>
      </c>
      <c r="F162" s="9" t="s">
        <v>445</v>
      </c>
    </row>
    <row r="163" ht="33.75" customHeight="1">
      <c r="A163" s="7">
        <v>6.0</v>
      </c>
      <c r="B163" s="9" t="s">
        <v>348</v>
      </c>
      <c r="C163" s="9" t="s">
        <v>41</v>
      </c>
      <c r="D163" s="9" t="s">
        <v>105</v>
      </c>
      <c r="E163" s="6" t="s">
        <v>494</v>
      </c>
      <c r="F163" s="9" t="s">
        <v>445</v>
      </c>
    </row>
    <row r="164" ht="33.75" customHeight="1">
      <c r="A164" s="7">
        <v>6.0</v>
      </c>
      <c r="B164" s="9" t="s">
        <v>348</v>
      </c>
      <c r="C164" s="9" t="s">
        <v>41</v>
      </c>
      <c r="D164" s="9" t="s">
        <v>107</v>
      </c>
      <c r="E164" s="6" t="s">
        <v>496</v>
      </c>
      <c r="F164" s="9" t="s">
        <v>445</v>
      </c>
    </row>
    <row r="165" ht="33.75" customHeight="1">
      <c r="A165" s="7">
        <v>6.0</v>
      </c>
      <c r="B165" s="9" t="s">
        <v>348</v>
      </c>
      <c r="C165" s="9" t="s">
        <v>41</v>
      </c>
      <c r="D165" s="9" t="s">
        <v>109</v>
      </c>
      <c r="E165" s="6" t="s">
        <v>496</v>
      </c>
      <c r="F165" s="9" t="s">
        <v>445</v>
      </c>
    </row>
    <row r="166" ht="33.75" customHeight="1">
      <c r="A166" s="7">
        <v>6.0</v>
      </c>
      <c r="B166" s="9" t="s">
        <v>348</v>
      </c>
      <c r="C166" s="9" t="s">
        <v>41</v>
      </c>
      <c r="D166" s="9" t="s">
        <v>111</v>
      </c>
      <c r="E166" s="6" t="s">
        <v>500</v>
      </c>
      <c r="F166" s="9" t="s">
        <v>445</v>
      </c>
    </row>
    <row r="167" ht="33.75" customHeight="1">
      <c r="A167" s="7">
        <v>6.0</v>
      </c>
      <c r="B167" s="9" t="s">
        <v>348</v>
      </c>
      <c r="C167" s="9" t="s">
        <v>41</v>
      </c>
      <c r="D167" s="9" t="s">
        <v>113</v>
      </c>
      <c r="E167" s="6" t="s">
        <v>500</v>
      </c>
      <c r="F167" s="9" t="s">
        <v>445</v>
      </c>
    </row>
    <row r="168" ht="33.75" customHeight="1">
      <c r="A168" s="7">
        <v>6.0</v>
      </c>
      <c r="B168" s="9" t="s">
        <v>348</v>
      </c>
      <c r="C168" s="9" t="s">
        <v>41</v>
      </c>
      <c r="D168" s="9" t="s">
        <v>114</v>
      </c>
      <c r="E168" s="6" t="s">
        <v>467</v>
      </c>
      <c r="F168" s="9" t="s">
        <v>445</v>
      </c>
    </row>
    <row r="169" ht="33.75" customHeight="1">
      <c r="A169" s="7">
        <v>6.0</v>
      </c>
      <c r="B169" s="9" t="s">
        <v>348</v>
      </c>
      <c r="C169" s="9" t="s">
        <v>41</v>
      </c>
      <c r="D169" s="9" t="s">
        <v>117</v>
      </c>
      <c r="E169" s="6" t="s">
        <v>494</v>
      </c>
      <c r="F169" s="9" t="s">
        <v>445</v>
      </c>
    </row>
    <row r="170" ht="33.75" customHeight="1">
      <c r="A170" s="7">
        <v>7.0</v>
      </c>
      <c r="B170" s="9" t="s">
        <v>408</v>
      </c>
      <c r="C170" s="9" t="s">
        <v>48</v>
      </c>
      <c r="D170" s="9" t="s">
        <v>24</v>
      </c>
      <c r="E170" s="6" t="s">
        <v>507</v>
      </c>
      <c r="F170" s="9" t="s">
        <v>508</v>
      </c>
      <c r="G170" t="inlineStr" s="6">
        <is>
          <t xml:space="preserve">After birth, Squirtle's back swells and hardens into a shell. Powerfully sprays foam from its mouth. Shoots water at prey while in the water. Withdraws into its shell when in danger. The shell is soft when it is born. It soon becomes so resilient, prodding fingers will bounce off it. The shell, which hardens soon after it is born, is resilient. If you poke it, it will bounce back out. When it feels threatened, it draws its legs inside its shell and sprays water from its mouth. SQUIRTLE’s shell is not merely used for protection. The shell’s rounded shape and the grooves on its surface help minimize resistance in water, enabling this POKéMON to swim at high speeds. Its shell is not just for protection. Its rounded shape and the grooves on its surface minimize resistance in water, enabling SQUIRTLE to swim at high speeds. When it retracts its long neck into its shell, it squirts out water with vigorous force. It powerfully sprays foam from its mouth. It shelters itself in its shell, then strikes back with spouts of water at every opportunity. It shelters itself in its shell then strikes back with spouts of water at every opportunity. When it feels threatened, it draws its limbs inside its shell and sprays water from its mouth.</t>
        </is>
      </c>
    </row>
    <row r="171" ht="33.75" customHeight="1">
      <c r="A171" s="7">
        <v>7.0</v>
      </c>
      <c r="B171" s="9" t="s">
        <v>408</v>
      </c>
      <c r="C171" s="9" t="s">
        <v>48</v>
      </c>
      <c r="D171" s="9" t="s">
        <v>35</v>
      </c>
      <c r="E171" s="6" t="s">
        <v>507</v>
      </c>
      <c r="F171" s="9" t="s">
        <v>508</v>
      </c>
    </row>
    <row r="172" ht="33.75" customHeight="1">
      <c r="A172" s="7">
        <v>7.0</v>
      </c>
      <c r="B172" s="9" t="s">
        <v>408</v>
      </c>
      <c r="C172" s="9" t="s">
        <v>48</v>
      </c>
      <c r="D172" s="9" t="s">
        <v>42</v>
      </c>
      <c r="E172" s="6" t="s">
        <v>512</v>
      </c>
      <c r="F172" s="9" t="s">
        <v>508</v>
      </c>
    </row>
    <row r="173" ht="33.75" customHeight="1">
      <c r="A173" s="7">
        <v>7.0</v>
      </c>
      <c r="B173" s="9" t="s">
        <v>408</v>
      </c>
      <c r="C173" s="9" t="s">
        <v>48</v>
      </c>
      <c r="D173" s="9" t="s">
        <v>52</v>
      </c>
      <c r="E173" s="6" t="s">
        <v>514</v>
      </c>
      <c r="F173" s="9" t="s">
        <v>508</v>
      </c>
    </row>
    <row r="174" ht="33.75" customHeight="1">
      <c r="A174" s="7">
        <v>7.0</v>
      </c>
      <c r="B174" s="9" t="s">
        <v>408</v>
      </c>
      <c r="C174" s="9" t="s">
        <v>48</v>
      </c>
      <c r="D174" s="9" t="s">
        <v>59</v>
      </c>
      <c r="E174" s="6" t="s">
        <v>517</v>
      </c>
      <c r="F174" s="9" t="s">
        <v>508</v>
      </c>
    </row>
    <row r="175" ht="33.75" customHeight="1">
      <c r="A175" s="7">
        <v>7.0</v>
      </c>
      <c r="B175" s="9" t="s">
        <v>408</v>
      </c>
      <c r="C175" s="9" t="s">
        <v>48</v>
      </c>
      <c r="D175" s="9" t="s">
        <v>64</v>
      </c>
      <c r="E175" s="6" t="s">
        <v>523</v>
      </c>
      <c r="F175" s="9" t="s">
        <v>508</v>
      </c>
    </row>
    <row r="176" ht="33.75" customHeight="1">
      <c r="A176" s="7">
        <v>7.0</v>
      </c>
      <c r="B176" s="9" t="s">
        <v>408</v>
      </c>
      <c r="C176" s="9" t="s">
        <v>48</v>
      </c>
      <c r="D176" s="9" t="s">
        <v>67</v>
      </c>
      <c r="E176" s="6" t="s">
        <v>526</v>
      </c>
      <c r="F176" s="9" t="s">
        <v>508</v>
      </c>
    </row>
    <row r="177" ht="33.75" customHeight="1">
      <c r="A177" s="7">
        <v>7.0</v>
      </c>
      <c r="B177" s="9" t="s">
        <v>408</v>
      </c>
      <c r="C177" s="9" t="s">
        <v>48</v>
      </c>
      <c r="D177" s="9" t="s">
        <v>71</v>
      </c>
      <c r="E177" s="6" t="s">
        <v>526</v>
      </c>
      <c r="F177" s="9" t="s">
        <v>508</v>
      </c>
    </row>
    <row r="178" ht="33.75" customHeight="1">
      <c r="A178" s="7">
        <v>7.0</v>
      </c>
      <c r="B178" s="9" t="s">
        <v>408</v>
      </c>
      <c r="C178" s="9" t="s">
        <v>48</v>
      </c>
      <c r="D178" s="9" t="s">
        <v>73</v>
      </c>
      <c r="E178" s="6" t="s">
        <v>531</v>
      </c>
      <c r="F178" s="9" t="s">
        <v>508</v>
      </c>
    </row>
    <row r="179" ht="33.75" customHeight="1">
      <c r="A179" s="7">
        <v>7.0</v>
      </c>
      <c r="B179" s="9" t="s">
        <v>408</v>
      </c>
      <c r="C179" s="9" t="s">
        <v>48</v>
      </c>
      <c r="D179" s="9" t="s">
        <v>75</v>
      </c>
      <c r="E179" s="6" t="s">
        <v>536</v>
      </c>
      <c r="F179" s="9" t="s">
        <v>508</v>
      </c>
    </row>
    <row r="180" ht="33.75" customHeight="1">
      <c r="A180" s="7">
        <v>7.0</v>
      </c>
      <c r="B180" s="9" t="s">
        <v>408</v>
      </c>
      <c r="C180" s="9" t="s">
        <v>48</v>
      </c>
      <c r="D180" s="9" t="s">
        <v>79</v>
      </c>
      <c r="E180" s="6" t="s">
        <v>541</v>
      </c>
      <c r="F180" s="9" t="s">
        <v>508</v>
      </c>
    </row>
    <row r="181" ht="33.75" customHeight="1">
      <c r="A181" s="7">
        <v>7.0</v>
      </c>
      <c r="B181" s="9" t="s">
        <v>408</v>
      </c>
      <c r="C181" s="9" t="s">
        <v>48</v>
      </c>
      <c r="D181" s="9" t="s">
        <v>81</v>
      </c>
      <c r="E181" s="6" t="s">
        <v>543</v>
      </c>
      <c r="F181" s="9" t="s">
        <v>508</v>
      </c>
    </row>
    <row r="182" ht="33.75" customHeight="1">
      <c r="A182" s="7">
        <v>7.0</v>
      </c>
      <c r="B182" s="9" t="s">
        <v>408</v>
      </c>
      <c r="C182" s="9" t="s">
        <v>48</v>
      </c>
      <c r="D182" s="9" t="s">
        <v>84</v>
      </c>
      <c r="E182" s="6" t="s">
        <v>543</v>
      </c>
      <c r="F182" s="9" t="s">
        <v>508</v>
      </c>
    </row>
    <row r="183" ht="33.75" customHeight="1">
      <c r="A183" s="7">
        <v>7.0</v>
      </c>
      <c r="B183" s="9" t="s">
        <v>408</v>
      </c>
      <c r="C183" s="9" t="s">
        <v>48</v>
      </c>
      <c r="D183" s="9" t="s">
        <v>87</v>
      </c>
      <c r="E183" s="6" t="s">
        <v>543</v>
      </c>
      <c r="F183" s="9" t="s">
        <v>508</v>
      </c>
    </row>
    <row r="184" ht="33.75" customHeight="1">
      <c r="A184" s="7">
        <v>7.0</v>
      </c>
      <c r="B184" s="9" t="s">
        <v>408</v>
      </c>
      <c r="C184" s="9" t="s">
        <v>48</v>
      </c>
      <c r="D184" s="9" t="s">
        <v>89</v>
      </c>
      <c r="E184" s="6" t="s">
        <v>550</v>
      </c>
      <c r="F184" s="9" t="s">
        <v>508</v>
      </c>
    </row>
    <row r="185" ht="33.75" customHeight="1">
      <c r="A185" s="7">
        <v>7.0</v>
      </c>
      <c r="B185" s="9" t="s">
        <v>408</v>
      </c>
      <c r="C185" s="9" t="s">
        <v>48</v>
      </c>
      <c r="D185" s="9" t="s">
        <v>91</v>
      </c>
      <c r="E185" s="6" t="s">
        <v>517</v>
      </c>
      <c r="F185" s="9" t="s">
        <v>508</v>
      </c>
    </row>
    <row r="186" ht="33.75" customHeight="1">
      <c r="A186" s="7">
        <v>7.0</v>
      </c>
      <c r="B186" s="9" t="s">
        <v>408</v>
      </c>
      <c r="C186" s="9" t="s">
        <v>48</v>
      </c>
      <c r="D186" s="9" t="s">
        <v>93</v>
      </c>
      <c r="E186" s="6" t="s">
        <v>543</v>
      </c>
      <c r="F186" s="9" t="s">
        <v>508</v>
      </c>
    </row>
    <row r="187" ht="33.75" customHeight="1">
      <c r="A187" s="7">
        <v>7.0</v>
      </c>
      <c r="B187" s="9" t="s">
        <v>408</v>
      </c>
      <c r="C187" s="9" t="s">
        <v>48</v>
      </c>
      <c r="D187" s="9" t="s">
        <v>95</v>
      </c>
      <c r="E187" s="6" t="s">
        <v>543</v>
      </c>
      <c r="F187" s="9" t="s">
        <v>508</v>
      </c>
    </row>
    <row r="188" ht="33.75" customHeight="1">
      <c r="A188" s="7">
        <v>7.0</v>
      </c>
      <c r="B188" s="9" t="s">
        <v>408</v>
      </c>
      <c r="C188" s="9" t="s">
        <v>48</v>
      </c>
      <c r="D188" s="9" t="s">
        <v>98</v>
      </c>
      <c r="E188" s="6" t="s">
        <v>556</v>
      </c>
      <c r="F188" s="9" t="s">
        <v>508</v>
      </c>
    </row>
    <row r="189" ht="33.75" customHeight="1">
      <c r="A189" s="7">
        <v>7.0</v>
      </c>
      <c r="B189" s="9" t="s">
        <v>408</v>
      </c>
      <c r="C189" s="9" t="s">
        <v>48</v>
      </c>
      <c r="D189" s="9" t="s">
        <v>99</v>
      </c>
      <c r="E189" s="6" t="s">
        <v>556</v>
      </c>
      <c r="F189" s="9" t="s">
        <v>508</v>
      </c>
    </row>
    <row r="190" ht="33.75" customHeight="1">
      <c r="A190" s="7">
        <v>7.0</v>
      </c>
      <c r="B190" s="9" t="s">
        <v>408</v>
      </c>
      <c r="C190" s="9" t="s">
        <v>48</v>
      </c>
      <c r="D190" s="9" t="s">
        <v>101</v>
      </c>
      <c r="E190" s="6" t="s">
        <v>543</v>
      </c>
      <c r="F190" s="9" t="s">
        <v>508</v>
      </c>
    </row>
    <row r="191" ht="33.75" customHeight="1">
      <c r="A191" s="7">
        <v>7.0</v>
      </c>
      <c r="B191" s="9" t="s">
        <v>408</v>
      </c>
      <c r="C191" s="9" t="s">
        <v>48</v>
      </c>
      <c r="D191" s="9" t="s">
        <v>105</v>
      </c>
      <c r="E191" s="6" t="s">
        <v>512</v>
      </c>
      <c r="F191" s="9" t="s">
        <v>508</v>
      </c>
    </row>
    <row r="192" ht="33.75" customHeight="1">
      <c r="A192" s="7">
        <v>7.0</v>
      </c>
      <c r="B192" s="9" t="s">
        <v>408</v>
      </c>
      <c r="C192" s="9" t="s">
        <v>48</v>
      </c>
      <c r="D192" s="9" t="s">
        <v>107</v>
      </c>
      <c r="E192" s="6" t="s">
        <v>562</v>
      </c>
      <c r="F192" s="9" t="s">
        <v>508</v>
      </c>
    </row>
    <row r="193" ht="33.75" customHeight="1">
      <c r="A193" s="7">
        <v>7.0</v>
      </c>
      <c r="B193" s="9" t="s">
        <v>408</v>
      </c>
      <c r="C193" s="9" t="s">
        <v>48</v>
      </c>
      <c r="D193" s="9" t="s">
        <v>109</v>
      </c>
      <c r="E193" s="6" t="s">
        <v>562</v>
      </c>
      <c r="F193" s="9" t="s">
        <v>508</v>
      </c>
    </row>
    <row r="194" ht="33.75" customHeight="1">
      <c r="A194" s="7">
        <v>7.0</v>
      </c>
      <c r="B194" s="9" t="s">
        <v>408</v>
      </c>
      <c r="C194" s="9" t="s">
        <v>48</v>
      </c>
      <c r="D194" s="9" t="s">
        <v>111</v>
      </c>
      <c r="E194" s="6" t="s">
        <v>512</v>
      </c>
      <c r="F194" s="9" t="s">
        <v>508</v>
      </c>
    </row>
    <row r="195" ht="33.75" customHeight="1">
      <c r="A195" s="7">
        <v>7.0</v>
      </c>
      <c r="B195" s="9" t="s">
        <v>408</v>
      </c>
      <c r="C195" s="9" t="s">
        <v>48</v>
      </c>
      <c r="D195" s="9" t="s">
        <v>113</v>
      </c>
      <c r="E195" s="6" t="s">
        <v>512</v>
      </c>
      <c r="F195" s="9" t="s">
        <v>508</v>
      </c>
    </row>
    <row r="196" ht="33.75" customHeight="1">
      <c r="A196" s="7">
        <v>7.0</v>
      </c>
      <c r="B196" s="9" t="s">
        <v>408</v>
      </c>
      <c r="C196" s="9" t="s">
        <v>48</v>
      </c>
      <c r="D196" s="9" t="s">
        <v>114</v>
      </c>
      <c r="E196" s="6" t="s">
        <v>536</v>
      </c>
      <c r="F196" s="9" t="s">
        <v>508</v>
      </c>
    </row>
    <row r="197" ht="33.75" customHeight="1">
      <c r="A197" s="7">
        <v>7.0</v>
      </c>
      <c r="B197" s="9" t="s">
        <v>408</v>
      </c>
      <c r="C197" s="9" t="s">
        <v>48</v>
      </c>
      <c r="D197" s="9" t="s">
        <v>117</v>
      </c>
      <c r="E197" s="6" t="s">
        <v>570</v>
      </c>
      <c r="F197" s="9" t="s">
        <v>508</v>
      </c>
    </row>
    <row r="198" ht="33.75" customHeight="1">
      <c r="A198" s="7">
        <v>8.0</v>
      </c>
      <c r="B198" s="9" t="s">
        <v>462</v>
      </c>
      <c r="C198" s="9" t="s">
        <v>56</v>
      </c>
      <c r="D198" s="9" t="s">
        <v>24</v>
      </c>
      <c r="E198" s="6" t="s">
        <v>572</v>
      </c>
      <c r="F198" s="9" t="s">
        <v>573</v>
      </c>
      <c r="G198" t="inlineStr" s="6">
        <is>
          <t xml:space="preserve">Often hides in water to stalk unwary prey. For swimming fast, it moves its ears to maintain balance. When tapped, this POKéMON will pull in its head, but its tail will still stick out a little bit. It is recognized as a symbol of longevity. If its shell has algae on it, that WARTORTLE is very old. It cleverly controls its furry ears and tail to maintain its balance while swimming. Its long, furry tail is a symbol of longevity, making it quite popular among older people. Its tail is large and covered with a rich, thick fur. The tail becomes increasingly deeper in color as WARTORTLE ages. The scratches on its shell are evidence of this POKéMON’s toughness as a battler. Its large tail is covered with rich, thick fur that deepens in color with age. The scratches on its shell are evidence of this POKéMON’s toughness in battle. This POKéMON is very popular as a pet. Its fur-covered tail is a symbol of its longevity. It often hides in water to stalk unwary prey. For fast swimming, it moves its ears to maintain balance. It is said to live 10,000 years. Its furry tail is popular as a symbol of longevity. It is a well-established symbol of longevity. When tapped on its head, this Pokémon will pull it in, but its tail will still stick out a little bit.</t>
        </is>
      </c>
    </row>
    <row r="199" ht="33.75" customHeight="1">
      <c r="A199" s="7">
        <v>8.0</v>
      </c>
      <c r="B199" s="9" t="s">
        <v>462</v>
      </c>
      <c r="C199" s="9" t="s">
        <v>56</v>
      </c>
      <c r="D199" s="9" t="s">
        <v>35</v>
      </c>
      <c r="E199" s="6" t="s">
        <v>572</v>
      </c>
      <c r="F199" s="9" t="s">
        <v>573</v>
      </c>
    </row>
    <row r="200" ht="33.75" customHeight="1">
      <c r="A200" s="7">
        <v>8.0</v>
      </c>
      <c r="B200" s="9" t="s">
        <v>462</v>
      </c>
      <c r="C200" s="9" t="s">
        <v>56</v>
      </c>
      <c r="D200" s="9" t="s">
        <v>42</v>
      </c>
      <c r="E200" s="6" t="s">
        <v>575</v>
      </c>
      <c r="F200" s="9" t="s">
        <v>573</v>
      </c>
    </row>
    <row r="201" ht="33.75" customHeight="1">
      <c r="A201" s="7">
        <v>8.0</v>
      </c>
      <c r="B201" s="9" t="s">
        <v>462</v>
      </c>
      <c r="C201" s="9" t="s">
        <v>56</v>
      </c>
      <c r="D201" s="9" t="s">
        <v>52</v>
      </c>
      <c r="E201" s="6" t="s">
        <v>577</v>
      </c>
      <c r="F201" s="9" t="s">
        <v>573</v>
      </c>
    </row>
    <row r="202" ht="33.75" customHeight="1">
      <c r="A202" s="7">
        <v>8.0</v>
      </c>
      <c r="B202" s="9" t="s">
        <v>462</v>
      </c>
      <c r="C202" s="9" t="s">
        <v>56</v>
      </c>
      <c r="D202" s="9" t="s">
        <v>59</v>
      </c>
      <c r="E202" s="6" t="s">
        <v>581</v>
      </c>
      <c r="F202" s="9" t="s">
        <v>573</v>
      </c>
    </row>
    <row r="203" ht="33.75" customHeight="1">
      <c r="A203" s="7">
        <v>8.0</v>
      </c>
      <c r="B203" s="9" t="s">
        <v>462</v>
      </c>
      <c r="C203" s="9" t="s">
        <v>56</v>
      </c>
      <c r="D203" s="9" t="s">
        <v>64</v>
      </c>
      <c r="E203" s="6" t="s">
        <v>584</v>
      </c>
      <c r="F203" s="9" t="s">
        <v>573</v>
      </c>
    </row>
    <row r="204" ht="33.75" customHeight="1">
      <c r="A204" s="7">
        <v>8.0</v>
      </c>
      <c r="B204" s="9" t="s">
        <v>462</v>
      </c>
      <c r="C204" s="9" t="s">
        <v>56</v>
      </c>
      <c r="D204" s="9" t="s">
        <v>67</v>
      </c>
      <c r="E204" s="6" t="s">
        <v>587</v>
      </c>
      <c r="F204" s="9" t="s">
        <v>573</v>
      </c>
    </row>
    <row r="205" ht="33.75" customHeight="1">
      <c r="A205" s="7">
        <v>8.0</v>
      </c>
      <c r="B205" s="9" t="s">
        <v>462</v>
      </c>
      <c r="C205" s="9" t="s">
        <v>56</v>
      </c>
      <c r="D205" s="9" t="s">
        <v>71</v>
      </c>
      <c r="E205" s="6" t="s">
        <v>587</v>
      </c>
      <c r="F205" s="9" t="s">
        <v>573</v>
      </c>
    </row>
    <row r="206" ht="33.75" customHeight="1">
      <c r="A206" s="7">
        <v>8.0</v>
      </c>
      <c r="B206" s="9" t="s">
        <v>462</v>
      </c>
      <c r="C206" s="9" t="s">
        <v>56</v>
      </c>
      <c r="D206" s="9" t="s">
        <v>73</v>
      </c>
      <c r="E206" s="6" t="s">
        <v>593</v>
      </c>
      <c r="F206" s="9" t="s">
        <v>573</v>
      </c>
    </row>
    <row r="207" ht="33.75" customHeight="1">
      <c r="A207" s="7">
        <v>8.0</v>
      </c>
      <c r="B207" s="9" t="s">
        <v>462</v>
      </c>
      <c r="C207" s="9" t="s">
        <v>56</v>
      </c>
      <c r="D207" s="9" t="s">
        <v>75</v>
      </c>
      <c r="E207" s="6" t="s">
        <v>598</v>
      </c>
      <c r="F207" s="9" t="s">
        <v>573</v>
      </c>
    </row>
    <row r="208" ht="33.75" customHeight="1">
      <c r="A208" s="7">
        <v>8.0</v>
      </c>
      <c r="B208" s="9" t="s">
        <v>462</v>
      </c>
      <c r="C208" s="9" t="s">
        <v>56</v>
      </c>
      <c r="D208" s="9" t="s">
        <v>79</v>
      </c>
      <c r="E208" s="6" t="s">
        <v>601</v>
      </c>
      <c r="F208" s="9" t="s">
        <v>573</v>
      </c>
    </row>
    <row r="209" ht="33.75" customHeight="1">
      <c r="A209" s="7">
        <v>8.0</v>
      </c>
      <c r="B209" s="9" t="s">
        <v>462</v>
      </c>
      <c r="C209" s="9" t="s">
        <v>56</v>
      </c>
      <c r="D209" s="9" t="s">
        <v>81</v>
      </c>
      <c r="E209" s="6" t="s">
        <v>605</v>
      </c>
      <c r="F209" s="9" t="s">
        <v>573</v>
      </c>
    </row>
    <row r="210" ht="33.75" customHeight="1">
      <c r="A210" s="7">
        <v>8.0</v>
      </c>
      <c r="B210" s="9" t="s">
        <v>462</v>
      </c>
      <c r="C210" s="9" t="s">
        <v>56</v>
      </c>
      <c r="D210" s="9" t="s">
        <v>84</v>
      </c>
      <c r="E210" s="6" t="s">
        <v>605</v>
      </c>
      <c r="F210" s="9" t="s">
        <v>573</v>
      </c>
    </row>
    <row r="211" ht="33.75" customHeight="1">
      <c r="A211" s="7">
        <v>8.0</v>
      </c>
      <c r="B211" s="9" t="s">
        <v>462</v>
      </c>
      <c r="C211" s="9" t="s">
        <v>56</v>
      </c>
      <c r="D211" s="9" t="s">
        <v>87</v>
      </c>
      <c r="E211" s="6" t="s">
        <v>605</v>
      </c>
      <c r="F211" s="9" t="s">
        <v>573</v>
      </c>
    </row>
    <row r="212" ht="33.75" customHeight="1">
      <c r="A212" s="7">
        <v>8.0</v>
      </c>
      <c r="B212" s="9" t="s">
        <v>462</v>
      </c>
      <c r="C212" s="9" t="s">
        <v>56</v>
      </c>
      <c r="D212" s="9" t="s">
        <v>89</v>
      </c>
      <c r="E212" s="6" t="s">
        <v>612</v>
      </c>
      <c r="F212" s="9" t="s">
        <v>573</v>
      </c>
    </row>
    <row r="213" ht="33.75" customHeight="1">
      <c r="A213" s="7">
        <v>8.0</v>
      </c>
      <c r="B213" s="9" t="s">
        <v>462</v>
      </c>
      <c r="C213" s="9" t="s">
        <v>56</v>
      </c>
      <c r="D213" s="9" t="s">
        <v>91</v>
      </c>
      <c r="E213" s="6" t="s">
        <v>615</v>
      </c>
      <c r="F213" s="9" t="s">
        <v>573</v>
      </c>
    </row>
    <row r="214" ht="33.75" customHeight="1">
      <c r="A214" s="7">
        <v>8.0</v>
      </c>
      <c r="B214" s="9" t="s">
        <v>462</v>
      </c>
      <c r="C214" s="9" t="s">
        <v>56</v>
      </c>
      <c r="D214" s="9" t="s">
        <v>93</v>
      </c>
      <c r="E214" s="6" t="s">
        <v>605</v>
      </c>
      <c r="F214" s="9" t="s">
        <v>573</v>
      </c>
    </row>
    <row r="215" ht="33.75" customHeight="1">
      <c r="A215" s="7">
        <v>8.0</v>
      </c>
      <c r="B215" s="9" t="s">
        <v>462</v>
      </c>
      <c r="C215" s="9" t="s">
        <v>56</v>
      </c>
      <c r="D215" s="9" t="s">
        <v>95</v>
      </c>
      <c r="E215" s="6" t="s">
        <v>605</v>
      </c>
      <c r="F215" s="9" t="s">
        <v>573</v>
      </c>
    </row>
    <row r="216" ht="33.75" customHeight="1">
      <c r="A216" s="7">
        <v>8.0</v>
      </c>
      <c r="B216" s="9" t="s">
        <v>462</v>
      </c>
      <c r="C216" s="9" t="s">
        <v>56</v>
      </c>
      <c r="D216" s="9" t="s">
        <v>98</v>
      </c>
      <c r="E216" s="6" t="s">
        <v>605</v>
      </c>
      <c r="F216" s="9" t="s">
        <v>573</v>
      </c>
    </row>
    <row r="217" ht="33.75" customHeight="1">
      <c r="A217" s="7">
        <v>8.0</v>
      </c>
      <c r="B217" s="9" t="s">
        <v>462</v>
      </c>
      <c r="C217" s="9" t="s">
        <v>56</v>
      </c>
      <c r="D217" s="9" t="s">
        <v>99</v>
      </c>
      <c r="E217" s="6" t="s">
        <v>605</v>
      </c>
      <c r="F217" s="9" t="s">
        <v>573</v>
      </c>
    </row>
    <row r="218" ht="33.75" customHeight="1">
      <c r="A218" s="7">
        <v>8.0</v>
      </c>
      <c r="B218" s="9" t="s">
        <v>462</v>
      </c>
      <c r="C218" s="9" t="s">
        <v>56</v>
      </c>
      <c r="D218" s="9" t="s">
        <v>101</v>
      </c>
      <c r="E218" s="6" t="s">
        <v>623</v>
      </c>
      <c r="F218" s="9" t="s">
        <v>573</v>
      </c>
    </row>
    <row r="219" ht="33.75" customHeight="1">
      <c r="A219" s="7">
        <v>8.0</v>
      </c>
      <c r="B219" s="9" t="s">
        <v>462</v>
      </c>
      <c r="C219" s="9" t="s">
        <v>56</v>
      </c>
      <c r="D219" s="9" t="s">
        <v>105</v>
      </c>
      <c r="E219" s="6" t="s">
        <v>605</v>
      </c>
      <c r="F219" s="9" t="s">
        <v>573</v>
      </c>
    </row>
    <row r="220" ht="33.75" customHeight="1">
      <c r="A220" s="7">
        <v>8.0</v>
      </c>
      <c r="B220" s="9" t="s">
        <v>462</v>
      </c>
      <c r="C220" s="9" t="s">
        <v>56</v>
      </c>
      <c r="D220" s="9" t="s">
        <v>107</v>
      </c>
      <c r="E220" s="6" t="s">
        <v>627</v>
      </c>
      <c r="F220" s="9" t="s">
        <v>573</v>
      </c>
    </row>
    <row r="221" ht="33.75" customHeight="1">
      <c r="A221" s="7">
        <v>8.0</v>
      </c>
      <c r="B221" s="9" t="s">
        <v>462</v>
      </c>
      <c r="C221" s="9" t="s">
        <v>56</v>
      </c>
      <c r="D221" s="9" t="s">
        <v>109</v>
      </c>
      <c r="E221" s="6" t="s">
        <v>627</v>
      </c>
      <c r="F221" s="9" t="s">
        <v>573</v>
      </c>
    </row>
    <row r="222" ht="33.75" customHeight="1">
      <c r="A222" s="7">
        <v>8.0</v>
      </c>
      <c r="B222" s="9" t="s">
        <v>462</v>
      </c>
      <c r="C222" s="9" t="s">
        <v>56</v>
      </c>
      <c r="D222" s="9" t="s">
        <v>111</v>
      </c>
      <c r="E222" s="6" t="s">
        <v>631</v>
      </c>
      <c r="F222" s="9" t="s">
        <v>573</v>
      </c>
    </row>
    <row r="223" ht="33.75" customHeight="1">
      <c r="A223" s="7">
        <v>8.0</v>
      </c>
      <c r="B223" s="9" t="s">
        <v>462</v>
      </c>
      <c r="C223" s="9" t="s">
        <v>56</v>
      </c>
      <c r="D223" s="9" t="s">
        <v>113</v>
      </c>
      <c r="E223" s="6" t="s">
        <v>631</v>
      </c>
      <c r="F223" s="9" t="s">
        <v>573</v>
      </c>
    </row>
    <row r="224" ht="33.75" customHeight="1">
      <c r="A224" s="7">
        <v>8.0</v>
      </c>
      <c r="B224" s="9" t="s">
        <v>462</v>
      </c>
      <c r="C224" s="9" t="s">
        <v>56</v>
      </c>
      <c r="D224" s="9" t="s">
        <v>114</v>
      </c>
      <c r="E224" s="6" t="s">
        <v>635</v>
      </c>
      <c r="F224" s="9" t="s">
        <v>573</v>
      </c>
    </row>
    <row r="225" ht="33.75" customHeight="1">
      <c r="A225" s="7">
        <v>8.0</v>
      </c>
      <c r="B225" s="9" t="s">
        <v>462</v>
      </c>
      <c r="C225" s="9" t="s">
        <v>56</v>
      </c>
      <c r="D225" s="9" t="s">
        <v>117</v>
      </c>
      <c r="E225" s="6" t="s">
        <v>615</v>
      </c>
      <c r="F225" s="9" t="s">
        <v>573</v>
      </c>
    </row>
    <row r="226" ht="33.75" customHeight="1">
      <c r="A226" s="7">
        <v>9.0</v>
      </c>
      <c r="B226" s="9" t="s">
        <v>519</v>
      </c>
      <c r="C226" s="9" t="s">
        <v>62</v>
      </c>
      <c r="D226" s="9" t="s">
        <v>24</v>
      </c>
      <c r="E226" s="6" t="s">
        <v>641</v>
      </c>
      <c r="F226" s="9" t="s">
        <v>643</v>
      </c>
      <c r="G226" t="inlineStr" s="6">
        <is>
          <t xml:space="preserve">A brutal POKéMON with pressurized water jets on Blastoise's shell. They are used for high speed tackles. Once it takes aim at its enemy, it blasts out water with even more force than a fire hose. It deliberately makes itself heavy so it can with stand the recoil of the water jets it fires. The rocket cannons on its shell fire jets of water capable of punch ing holes through thick steel. It firmly plants its feet on the ground before shooting water from the jets on its back. BLASTOISE has water spouts that protrude from its shell. The water spouts are very accurate. They can shoot bullets of water with enough accuracy to strike empty cans from a distance of over 160 feet. The waterspouts that protrude from its shell are highly accurate. Their bullets of water can precisely nail tin cans from a distance of over 160 feet. It crushes its foe under its heavy body to cause fainting. In a pinch, it will withdraw inside its shell. The pressurized water jets on this brutal POKéMON’s shell are used for high- speed tackles. The jets of water it spouts from the rocket cannons on its shell can punch through thick steel. It deliberately makes itself heavy so it can withstand the recoil of the water jets it fires. The rocket cannons on its shell fire jets of water capable of punching holes through thick steel. The pressurized water jets on this brutal Pokémon’s shell are used for high-speed tackles.</t>
        </is>
      </c>
    </row>
    <row r="227" ht="33.75" customHeight="1">
      <c r="A227" s="7">
        <v>9.0</v>
      </c>
      <c r="B227" s="9" t="s">
        <v>519</v>
      </c>
      <c r="C227" s="9" t="s">
        <v>62</v>
      </c>
      <c r="D227" s="9" t="s">
        <v>35</v>
      </c>
      <c r="E227" s="6" t="s">
        <v>641</v>
      </c>
      <c r="F227" s="9" t="s">
        <v>643</v>
      </c>
    </row>
    <row r="228" ht="33.75" customHeight="1">
      <c r="A228" s="7">
        <v>9.0</v>
      </c>
      <c r="B228" s="9" t="s">
        <v>519</v>
      </c>
      <c r="C228" s="9" t="s">
        <v>62</v>
      </c>
      <c r="D228" s="9" t="s">
        <v>42</v>
      </c>
      <c r="E228" s="6" t="s">
        <v>650</v>
      </c>
      <c r="F228" s="9" t="s">
        <v>643</v>
      </c>
    </row>
    <row r="229" ht="33.75" customHeight="1">
      <c r="A229" s="7">
        <v>9.0</v>
      </c>
      <c r="B229" s="9" t="s">
        <v>519</v>
      </c>
      <c r="C229" s="9" t="s">
        <v>62</v>
      </c>
      <c r="D229" s="9" t="s">
        <v>52</v>
      </c>
      <c r="E229" s="6" t="s">
        <v>655</v>
      </c>
      <c r="F229" s="9" t="s">
        <v>643</v>
      </c>
    </row>
    <row r="230" ht="33.75" customHeight="1">
      <c r="A230" s="7">
        <v>9.0</v>
      </c>
      <c r="B230" s="9" t="s">
        <v>519</v>
      </c>
      <c r="C230" s="9" t="s">
        <v>62</v>
      </c>
      <c r="D230" s="9" t="s">
        <v>59</v>
      </c>
      <c r="E230" s="6" t="s">
        <v>658</v>
      </c>
      <c r="F230" s="9" t="s">
        <v>643</v>
      </c>
    </row>
    <row r="231" ht="33.75" customHeight="1">
      <c r="A231" s="7">
        <v>9.0</v>
      </c>
      <c r="B231" s="9" t="s">
        <v>519</v>
      </c>
      <c r="C231" s="9" t="s">
        <v>62</v>
      </c>
      <c r="D231" s="9" t="s">
        <v>64</v>
      </c>
      <c r="E231" s="6" t="s">
        <v>660</v>
      </c>
      <c r="F231" s="9" t="s">
        <v>643</v>
      </c>
    </row>
    <row r="232" ht="33.75" customHeight="1">
      <c r="A232" s="7">
        <v>9.0</v>
      </c>
      <c r="B232" s="9" t="s">
        <v>519</v>
      </c>
      <c r="C232" s="9" t="s">
        <v>62</v>
      </c>
      <c r="D232" s="9" t="s">
        <v>67</v>
      </c>
      <c r="E232" s="6" t="s">
        <v>663</v>
      </c>
      <c r="F232" s="9" t="s">
        <v>643</v>
      </c>
    </row>
    <row r="233" ht="33.75" customHeight="1">
      <c r="A233" s="7">
        <v>9.0</v>
      </c>
      <c r="B233" s="9" t="s">
        <v>519</v>
      </c>
      <c r="C233" s="9" t="s">
        <v>62</v>
      </c>
      <c r="D233" s="9" t="s">
        <v>71</v>
      </c>
      <c r="E233" s="6" t="s">
        <v>663</v>
      </c>
      <c r="F233" s="9" t="s">
        <v>643</v>
      </c>
    </row>
    <row r="234" ht="33.75" customHeight="1">
      <c r="A234" s="7">
        <v>9.0</v>
      </c>
      <c r="B234" s="9" t="s">
        <v>519</v>
      </c>
      <c r="C234" s="9" t="s">
        <v>62</v>
      </c>
      <c r="D234" s="9" t="s">
        <v>73</v>
      </c>
      <c r="E234" s="6" t="s">
        <v>669</v>
      </c>
      <c r="F234" s="9" t="s">
        <v>643</v>
      </c>
    </row>
    <row r="235" ht="33.75" customHeight="1">
      <c r="A235" s="7">
        <v>9.0</v>
      </c>
      <c r="B235" s="9" t="s">
        <v>519</v>
      </c>
      <c r="C235" s="9" t="s">
        <v>62</v>
      </c>
      <c r="D235" s="9" t="s">
        <v>75</v>
      </c>
      <c r="E235" s="6" t="s">
        <v>672</v>
      </c>
      <c r="F235" s="9" t="s">
        <v>643</v>
      </c>
    </row>
    <row r="236" ht="33.75" customHeight="1">
      <c r="A236" s="7">
        <v>9.0</v>
      </c>
      <c r="B236" s="9" t="s">
        <v>519</v>
      </c>
      <c r="C236" s="9" t="s">
        <v>62</v>
      </c>
      <c r="D236" s="9" t="s">
        <v>79</v>
      </c>
      <c r="E236" s="6" t="s">
        <v>676</v>
      </c>
      <c r="F236" s="9" t="s">
        <v>643</v>
      </c>
    </row>
    <row r="237" ht="33.75" customHeight="1">
      <c r="A237" s="7">
        <v>9.0</v>
      </c>
      <c r="B237" s="9" t="s">
        <v>519</v>
      </c>
      <c r="C237" s="9" t="s">
        <v>62</v>
      </c>
      <c r="D237" s="9" t="s">
        <v>81</v>
      </c>
      <c r="E237" s="6" t="s">
        <v>679</v>
      </c>
      <c r="F237" s="9" t="s">
        <v>643</v>
      </c>
    </row>
    <row r="238" ht="33.75" customHeight="1">
      <c r="A238" s="7">
        <v>9.0</v>
      </c>
      <c r="B238" s="9" t="s">
        <v>519</v>
      </c>
      <c r="C238" s="9" t="s">
        <v>62</v>
      </c>
      <c r="D238" s="9" t="s">
        <v>84</v>
      </c>
      <c r="E238" s="6" t="s">
        <v>679</v>
      </c>
      <c r="F238" s="9" t="s">
        <v>643</v>
      </c>
    </row>
    <row r="239" ht="33.75" customHeight="1">
      <c r="A239" s="7">
        <v>9.0</v>
      </c>
      <c r="B239" s="9" t="s">
        <v>519</v>
      </c>
      <c r="C239" s="9" t="s">
        <v>62</v>
      </c>
      <c r="D239" s="9" t="s">
        <v>87</v>
      </c>
      <c r="E239" s="6" t="s">
        <v>679</v>
      </c>
      <c r="F239" s="9" t="s">
        <v>643</v>
      </c>
    </row>
    <row r="240" ht="33.75" customHeight="1">
      <c r="A240" s="7">
        <v>9.0</v>
      </c>
      <c r="B240" s="9" t="s">
        <v>519</v>
      </c>
      <c r="C240" s="9" t="s">
        <v>62</v>
      </c>
      <c r="D240" s="9" t="s">
        <v>89</v>
      </c>
      <c r="E240" s="6" t="s">
        <v>686</v>
      </c>
      <c r="F240" s="9" t="s">
        <v>643</v>
      </c>
    </row>
    <row r="241" ht="33.75" customHeight="1">
      <c r="A241" s="7">
        <v>9.0</v>
      </c>
      <c r="B241" s="9" t="s">
        <v>519</v>
      </c>
      <c r="C241" s="9" t="s">
        <v>62</v>
      </c>
      <c r="D241" s="9" t="s">
        <v>91</v>
      </c>
      <c r="E241" s="6" t="s">
        <v>688</v>
      </c>
      <c r="F241" s="9" t="s">
        <v>643</v>
      </c>
    </row>
    <row r="242" ht="33.75" customHeight="1">
      <c r="A242" s="7">
        <v>9.0</v>
      </c>
      <c r="B242" s="9" t="s">
        <v>519</v>
      </c>
      <c r="C242" s="9" t="s">
        <v>62</v>
      </c>
      <c r="D242" s="9" t="s">
        <v>93</v>
      </c>
      <c r="E242" s="6" t="s">
        <v>679</v>
      </c>
      <c r="F242" s="9" t="s">
        <v>643</v>
      </c>
    </row>
    <row r="243" ht="33.75" customHeight="1">
      <c r="A243" s="7">
        <v>9.0</v>
      </c>
      <c r="B243" s="9" t="s">
        <v>519</v>
      </c>
      <c r="C243" s="9" t="s">
        <v>62</v>
      </c>
      <c r="D243" s="9" t="s">
        <v>95</v>
      </c>
      <c r="E243" s="6" t="s">
        <v>679</v>
      </c>
      <c r="F243" s="9" t="s">
        <v>643</v>
      </c>
    </row>
    <row r="244" ht="33.75" customHeight="1">
      <c r="A244" s="7">
        <v>9.0</v>
      </c>
      <c r="B244" s="9" t="s">
        <v>519</v>
      </c>
      <c r="C244" s="9" t="s">
        <v>62</v>
      </c>
      <c r="D244" s="9" t="s">
        <v>98</v>
      </c>
      <c r="E244" s="6" t="s">
        <v>679</v>
      </c>
      <c r="F244" s="9" t="s">
        <v>643</v>
      </c>
    </row>
    <row r="245" ht="33.75" customHeight="1">
      <c r="A245" s="7">
        <v>9.0</v>
      </c>
      <c r="B245" s="9" t="s">
        <v>519</v>
      </c>
      <c r="C245" s="9" t="s">
        <v>62</v>
      </c>
      <c r="D245" s="9" t="s">
        <v>99</v>
      </c>
      <c r="E245" s="6" t="s">
        <v>679</v>
      </c>
      <c r="F245" s="9" t="s">
        <v>643</v>
      </c>
    </row>
    <row r="246" ht="33.75" customHeight="1">
      <c r="A246" s="7">
        <v>9.0</v>
      </c>
      <c r="B246" s="9" t="s">
        <v>519</v>
      </c>
      <c r="C246" s="9" t="s">
        <v>62</v>
      </c>
      <c r="D246" s="9" t="s">
        <v>101</v>
      </c>
      <c r="E246" s="6" t="s">
        <v>672</v>
      </c>
      <c r="F246" s="9" t="s">
        <v>643</v>
      </c>
    </row>
    <row r="247" ht="33.75" customHeight="1">
      <c r="A247" s="7">
        <v>9.0</v>
      </c>
      <c r="B247" s="9" t="s">
        <v>519</v>
      </c>
      <c r="C247" s="9" t="s">
        <v>62</v>
      </c>
      <c r="D247" s="9" t="s">
        <v>105</v>
      </c>
      <c r="E247" s="6" t="s">
        <v>698</v>
      </c>
      <c r="F247" s="9" t="s">
        <v>643</v>
      </c>
    </row>
    <row r="248" ht="33.75" customHeight="1">
      <c r="A248" s="7">
        <v>9.0</v>
      </c>
      <c r="B248" s="9" t="s">
        <v>519</v>
      </c>
      <c r="C248" s="9" t="s">
        <v>62</v>
      </c>
      <c r="D248" s="9" t="s">
        <v>107</v>
      </c>
      <c r="E248" s="6" t="s">
        <v>699</v>
      </c>
      <c r="F248" s="9" t="s">
        <v>643</v>
      </c>
    </row>
    <row r="249" ht="33.75" customHeight="1">
      <c r="A249" s="7">
        <v>9.0</v>
      </c>
      <c r="B249" s="9" t="s">
        <v>519</v>
      </c>
      <c r="C249" s="9" t="s">
        <v>62</v>
      </c>
      <c r="D249" s="9" t="s">
        <v>109</v>
      </c>
      <c r="E249" s="6" t="s">
        <v>699</v>
      </c>
      <c r="F249" s="9" t="s">
        <v>643</v>
      </c>
    </row>
    <row r="250" ht="33.75" customHeight="1">
      <c r="A250" s="7">
        <v>9.0</v>
      </c>
      <c r="B250" s="9" t="s">
        <v>519</v>
      </c>
      <c r="C250" s="9" t="s">
        <v>62</v>
      </c>
      <c r="D250" s="9" t="s">
        <v>111</v>
      </c>
      <c r="E250" s="6" t="s">
        <v>650</v>
      </c>
      <c r="F250" s="9" t="s">
        <v>643</v>
      </c>
    </row>
    <row r="251" ht="33.75" customHeight="1">
      <c r="A251" s="7">
        <v>9.0</v>
      </c>
      <c r="B251" s="9" t="s">
        <v>519</v>
      </c>
      <c r="C251" s="9" t="s">
        <v>62</v>
      </c>
      <c r="D251" s="9" t="s">
        <v>113</v>
      </c>
      <c r="E251" s="6" t="s">
        <v>650</v>
      </c>
      <c r="F251" s="9" t="s">
        <v>643</v>
      </c>
    </row>
    <row r="252" ht="33.75" customHeight="1">
      <c r="A252" s="7">
        <v>9.0</v>
      </c>
      <c r="B252" s="9" t="s">
        <v>519</v>
      </c>
      <c r="C252" s="9" t="s">
        <v>62</v>
      </c>
      <c r="D252" s="9" t="s">
        <v>114</v>
      </c>
      <c r="E252" s="6" t="s">
        <v>672</v>
      </c>
      <c r="F252" s="9" t="s">
        <v>643</v>
      </c>
    </row>
    <row r="253" ht="33.75" customHeight="1">
      <c r="A253" s="7">
        <v>9.0</v>
      </c>
      <c r="B253" s="9" t="s">
        <v>519</v>
      </c>
      <c r="C253" s="9" t="s">
        <v>62</v>
      </c>
      <c r="D253" s="9" t="s">
        <v>117</v>
      </c>
      <c r="E253" s="6" t="s">
        <v>688</v>
      </c>
      <c r="F253" s="9" t="s">
        <v>643</v>
      </c>
    </row>
    <row r="254" ht="33.75" customHeight="1">
      <c r="A254" s="7">
        <v>10.0</v>
      </c>
      <c r="B254" s="9" t="s">
        <v>576</v>
      </c>
      <c r="C254" s="9" t="s">
        <v>68</v>
      </c>
      <c r="D254" s="9" t="s">
        <v>24</v>
      </c>
      <c r="E254" s="6" t="s">
        <v>707</v>
      </c>
      <c r="F254" s="9" t="s">
        <v>708</v>
      </c>
      <c r="G254" t="inlineStr" s="6">
        <is>
          <t xml:space="preserve">Caterpie's short feet are tipped with suction pads that enable it to tirelessly climb slopes and walls. If you touch the feeler on top of its head, it will release a horrible stink to protect itself. For protection, it releases a horrible stench from the antenna on its head to drive away enemies. Its feet have suction cups designed to stick to any surface. It tenaciously climbs trees to forage. It crawls into foliage where it camouflages itself among leaves that are the same color as its body. CATERPIE has a voracious appetite. It can devour leaves bigger than its body right before your eyes. From its antenna, this POKéMON releases a terrifically strong odor. Its voracious appetite compels it to devour leaves bigger than itself without hesitation. It releases a terribly strong odor from its antennae. It is covered with a green skin. When it grows, it sheds the skin, covers itself with silk, and becomes a cocoon. It releases a stench from its red antenna to repel enemies. It grows by molting repeatedly. For protection, it releases a horrible stench from the antennae on its head to drive away enemies. When attacked by bird Pokémon, it resists by releasing a terrifically strong odor from its antennae, but it often becomes their prey. It’s easy to catch, and it grows quickly, making it one of the top recommendations for novice Pokémon Trainers. Perhaps because it would like to grow up quickly, it has a voracious appetite, eating a hundred leaves a day. Its body is soft and weak. In nature, its perpetual fate is to be seen by others as food.</t>
        </is>
      </c>
    </row>
    <row r="255" ht="33.75" customHeight="1">
      <c r="A255" s="7">
        <v>10.0</v>
      </c>
      <c r="B255" s="9" t="s">
        <v>576</v>
      </c>
      <c r="C255" s="9" t="s">
        <v>68</v>
      </c>
      <c r="D255" s="9" t="s">
        <v>35</v>
      </c>
      <c r="E255" s="6" t="s">
        <v>707</v>
      </c>
      <c r="F255" s="9" t="s">
        <v>708</v>
      </c>
    </row>
    <row r="256" ht="33.75" customHeight="1">
      <c r="A256" s="7">
        <v>10.0</v>
      </c>
      <c r="B256" s="9" t="s">
        <v>576</v>
      </c>
      <c r="C256" s="9" t="s">
        <v>68</v>
      </c>
      <c r="D256" s="9" t="s">
        <v>42</v>
      </c>
      <c r="E256" s="6" t="s">
        <v>713</v>
      </c>
      <c r="F256" s="9" t="s">
        <v>708</v>
      </c>
    </row>
    <row r="257" ht="33.75" customHeight="1">
      <c r="A257" s="7">
        <v>10.0</v>
      </c>
      <c r="B257" s="9" t="s">
        <v>576</v>
      </c>
      <c r="C257" s="9" t="s">
        <v>68</v>
      </c>
      <c r="D257" s="9" t="s">
        <v>52</v>
      </c>
      <c r="E257" s="6" t="s">
        <v>716</v>
      </c>
      <c r="F257" s="9" t="s">
        <v>708</v>
      </c>
    </row>
    <row r="258" ht="33.75" customHeight="1">
      <c r="A258" s="7">
        <v>10.0</v>
      </c>
      <c r="B258" s="9" t="s">
        <v>576</v>
      </c>
      <c r="C258" s="9" t="s">
        <v>68</v>
      </c>
      <c r="D258" s="9" t="s">
        <v>59</v>
      </c>
      <c r="E258" s="6" t="s">
        <v>719</v>
      </c>
      <c r="F258" s="9" t="s">
        <v>708</v>
      </c>
    </row>
    <row r="259" ht="33.75" customHeight="1">
      <c r="A259" s="7">
        <v>10.0</v>
      </c>
      <c r="B259" s="9" t="s">
        <v>576</v>
      </c>
      <c r="C259" s="9" t="s">
        <v>68</v>
      </c>
      <c r="D259" s="9" t="s">
        <v>64</v>
      </c>
      <c r="E259" s="6" t="s">
        <v>723</v>
      </c>
      <c r="F259" s="9" t="s">
        <v>708</v>
      </c>
    </row>
    <row r="260" ht="33.75" customHeight="1">
      <c r="A260" s="7">
        <v>10.0</v>
      </c>
      <c r="B260" s="9" t="s">
        <v>576</v>
      </c>
      <c r="C260" s="9" t="s">
        <v>68</v>
      </c>
      <c r="D260" s="9" t="s">
        <v>67</v>
      </c>
      <c r="E260" s="6" t="s">
        <v>726</v>
      </c>
      <c r="F260" s="9" t="s">
        <v>708</v>
      </c>
    </row>
    <row r="261" ht="33.75" customHeight="1">
      <c r="A261" s="7">
        <v>10.0</v>
      </c>
      <c r="B261" s="9" t="s">
        <v>576</v>
      </c>
      <c r="C261" s="9" t="s">
        <v>68</v>
      </c>
      <c r="D261" s="9" t="s">
        <v>71</v>
      </c>
      <c r="E261" s="6" t="s">
        <v>726</v>
      </c>
      <c r="F261" s="9" t="s">
        <v>708</v>
      </c>
    </row>
    <row r="262" ht="33.75" customHeight="1">
      <c r="A262" s="7">
        <v>10.0</v>
      </c>
      <c r="B262" s="9" t="s">
        <v>576</v>
      </c>
      <c r="C262" s="9" t="s">
        <v>68</v>
      </c>
      <c r="D262" s="9" t="s">
        <v>73</v>
      </c>
      <c r="E262" s="6" t="s">
        <v>731</v>
      </c>
      <c r="F262" s="9" t="s">
        <v>708</v>
      </c>
    </row>
    <row r="263" ht="33.75" customHeight="1">
      <c r="A263" s="7">
        <v>10.0</v>
      </c>
      <c r="B263" s="9" t="s">
        <v>576</v>
      </c>
      <c r="C263" s="9" t="s">
        <v>68</v>
      </c>
      <c r="D263" s="9" t="s">
        <v>75</v>
      </c>
      <c r="E263" s="6" t="s">
        <v>733</v>
      </c>
      <c r="F263" s="9" t="s">
        <v>708</v>
      </c>
    </row>
    <row r="264" ht="33.75" customHeight="1">
      <c r="A264" s="7">
        <v>10.0</v>
      </c>
      <c r="B264" s="9" t="s">
        <v>576</v>
      </c>
      <c r="C264" s="9" t="s">
        <v>68</v>
      </c>
      <c r="D264" s="9" t="s">
        <v>79</v>
      </c>
      <c r="E264" s="6" t="s">
        <v>707</v>
      </c>
      <c r="F264" s="9" t="s">
        <v>708</v>
      </c>
    </row>
    <row r="265" ht="33.75" customHeight="1">
      <c r="A265" s="7">
        <v>10.0</v>
      </c>
      <c r="B265" s="9" t="s">
        <v>576</v>
      </c>
      <c r="C265" s="9" t="s">
        <v>68</v>
      </c>
      <c r="D265" s="9" t="s">
        <v>81</v>
      </c>
      <c r="E265" s="6" t="s">
        <v>737</v>
      </c>
      <c r="F265" s="9" t="s">
        <v>708</v>
      </c>
    </row>
    <row r="266" ht="33.75" customHeight="1">
      <c r="A266" s="7">
        <v>10.0</v>
      </c>
      <c r="B266" s="9" t="s">
        <v>576</v>
      </c>
      <c r="C266" s="9" t="s">
        <v>68</v>
      </c>
      <c r="D266" s="9" t="s">
        <v>84</v>
      </c>
      <c r="E266" s="6" t="s">
        <v>737</v>
      </c>
      <c r="F266" s="9" t="s">
        <v>708</v>
      </c>
    </row>
    <row r="267" ht="33.75" customHeight="1">
      <c r="A267" s="7">
        <v>10.0</v>
      </c>
      <c r="B267" s="9" t="s">
        <v>576</v>
      </c>
      <c r="C267" s="9" t="s">
        <v>68</v>
      </c>
      <c r="D267" s="9" t="s">
        <v>87</v>
      </c>
      <c r="E267" s="6" t="s">
        <v>737</v>
      </c>
      <c r="F267" s="9" t="s">
        <v>708</v>
      </c>
    </row>
    <row r="268" ht="33.75" customHeight="1">
      <c r="A268" s="7">
        <v>10.0</v>
      </c>
      <c r="B268" s="9" t="s">
        <v>576</v>
      </c>
      <c r="C268" s="9" t="s">
        <v>68</v>
      </c>
      <c r="D268" s="9" t="s">
        <v>89</v>
      </c>
      <c r="E268" s="6" t="s">
        <v>746</v>
      </c>
      <c r="F268" s="9" t="s">
        <v>708</v>
      </c>
    </row>
    <row r="269" ht="33.75" customHeight="1">
      <c r="A269" s="7">
        <v>10.0</v>
      </c>
      <c r="B269" s="9" t="s">
        <v>576</v>
      </c>
      <c r="C269" s="9" t="s">
        <v>68</v>
      </c>
      <c r="D269" s="9" t="s">
        <v>91</v>
      </c>
      <c r="E269" s="6" t="s">
        <v>719</v>
      </c>
      <c r="F269" s="9" t="s">
        <v>708</v>
      </c>
    </row>
    <row r="270" ht="33.75" customHeight="1">
      <c r="A270" s="7">
        <v>10.0</v>
      </c>
      <c r="B270" s="9" t="s">
        <v>576</v>
      </c>
      <c r="C270" s="9" t="s">
        <v>68</v>
      </c>
      <c r="D270" s="9" t="s">
        <v>93</v>
      </c>
      <c r="E270" s="6" t="s">
        <v>737</v>
      </c>
      <c r="F270" s="9" t="s">
        <v>708</v>
      </c>
    </row>
    <row r="271" ht="33.75" customHeight="1">
      <c r="A271" s="7">
        <v>10.0</v>
      </c>
      <c r="B271" s="9" t="s">
        <v>576</v>
      </c>
      <c r="C271" s="9" t="s">
        <v>68</v>
      </c>
      <c r="D271" s="9" t="s">
        <v>95</v>
      </c>
      <c r="E271" s="6" t="s">
        <v>737</v>
      </c>
      <c r="F271" s="9" t="s">
        <v>708</v>
      </c>
    </row>
    <row r="272" ht="33.75" customHeight="1">
      <c r="A272" s="7">
        <v>10.0</v>
      </c>
      <c r="B272" s="9" t="s">
        <v>576</v>
      </c>
      <c r="C272" s="9" t="s">
        <v>68</v>
      </c>
      <c r="D272" s="9" t="s">
        <v>98</v>
      </c>
      <c r="E272" s="6" t="s">
        <v>737</v>
      </c>
      <c r="F272" s="9" t="s">
        <v>708</v>
      </c>
    </row>
    <row r="273" ht="33.75" customHeight="1">
      <c r="A273" s="7">
        <v>10.0</v>
      </c>
      <c r="B273" s="9" t="s">
        <v>576</v>
      </c>
      <c r="C273" s="9" t="s">
        <v>68</v>
      </c>
      <c r="D273" s="9" t="s">
        <v>99</v>
      </c>
      <c r="E273" s="6" t="s">
        <v>737</v>
      </c>
      <c r="F273" s="9" t="s">
        <v>708</v>
      </c>
    </row>
    <row r="274" ht="33.75" customHeight="1">
      <c r="A274" s="7">
        <v>10.0</v>
      </c>
      <c r="B274" s="9" t="s">
        <v>576</v>
      </c>
      <c r="C274" s="9" t="s">
        <v>68</v>
      </c>
      <c r="D274" s="9" t="s">
        <v>101</v>
      </c>
      <c r="E274" s="6" t="s">
        <v>746</v>
      </c>
      <c r="F274" s="9" t="s">
        <v>708</v>
      </c>
    </row>
    <row r="275" ht="33.75" customHeight="1">
      <c r="A275" s="7">
        <v>10.0</v>
      </c>
      <c r="B275" s="9" t="s">
        <v>576</v>
      </c>
      <c r="C275" s="9" t="s">
        <v>68</v>
      </c>
      <c r="D275" s="9" t="s">
        <v>105</v>
      </c>
      <c r="E275" s="6" t="s">
        <v>719</v>
      </c>
      <c r="F275" s="9" t="s">
        <v>708</v>
      </c>
    </row>
    <row r="276" ht="33.75" customHeight="1">
      <c r="A276" s="7">
        <v>10.0</v>
      </c>
      <c r="B276" s="9" t="s">
        <v>576</v>
      </c>
      <c r="C276" s="9" t="s">
        <v>68</v>
      </c>
      <c r="D276" s="9" t="s">
        <v>107</v>
      </c>
      <c r="E276" s="6" t="s">
        <v>762</v>
      </c>
      <c r="F276" s="9" t="s">
        <v>708</v>
      </c>
    </row>
    <row r="277" ht="33.75" customHeight="1">
      <c r="A277" s="7">
        <v>10.0</v>
      </c>
      <c r="B277" s="9" t="s">
        <v>576</v>
      </c>
      <c r="C277" s="9" t="s">
        <v>68</v>
      </c>
      <c r="D277" s="9" t="s">
        <v>109</v>
      </c>
      <c r="E277" s="6" t="s">
        <v>762</v>
      </c>
      <c r="F277" s="9" t="s">
        <v>708</v>
      </c>
    </row>
    <row r="278" ht="33.75" customHeight="1">
      <c r="A278" s="7">
        <v>10.0</v>
      </c>
      <c r="B278" s="9" t="s">
        <v>576</v>
      </c>
      <c r="C278" s="9" t="s">
        <v>68</v>
      </c>
      <c r="D278" s="9" t="s">
        <v>637</v>
      </c>
      <c r="E278" s="6" t="s">
        <v>768</v>
      </c>
      <c r="F278" s="9" t="s">
        <v>708</v>
      </c>
    </row>
    <row r="279" ht="33.75" customHeight="1">
      <c r="A279" s="7">
        <v>10.0</v>
      </c>
      <c r="B279" s="9" t="s">
        <v>576</v>
      </c>
      <c r="C279" s="9" t="s">
        <v>68</v>
      </c>
      <c r="D279" s="9" t="s">
        <v>642</v>
      </c>
      <c r="E279" s="6" t="s">
        <v>770</v>
      </c>
      <c r="F279" s="9" t="s">
        <v>708</v>
      </c>
    </row>
    <row r="280" ht="33.75" customHeight="1">
      <c r="A280" s="7">
        <v>10.0</v>
      </c>
      <c r="B280" s="9" t="s">
        <v>576</v>
      </c>
      <c r="C280" s="9" t="s">
        <v>68</v>
      </c>
      <c r="D280" s="9" t="s">
        <v>647</v>
      </c>
      <c r="E280" s="6" t="s">
        <v>773</v>
      </c>
      <c r="F280" s="9" t="s">
        <v>708</v>
      </c>
    </row>
    <row r="281" ht="33.75" customHeight="1">
      <c r="A281" s="7">
        <v>10.0</v>
      </c>
      <c r="B281" s="9" t="s">
        <v>576</v>
      </c>
      <c r="C281" s="9" t="s">
        <v>68</v>
      </c>
      <c r="D281" s="9" t="s">
        <v>652</v>
      </c>
      <c r="E281" s="6" t="s">
        <v>775</v>
      </c>
      <c r="F281" s="9" t="s">
        <v>708</v>
      </c>
    </row>
    <row r="282" ht="33.75" customHeight="1">
      <c r="A282" s="7">
        <v>10.0</v>
      </c>
      <c r="B282" s="9" t="s">
        <v>576</v>
      </c>
      <c r="C282" s="9" t="s">
        <v>68</v>
      </c>
      <c r="D282" s="9" t="s">
        <v>111</v>
      </c>
      <c r="E282" s="6" t="s">
        <v>713</v>
      </c>
      <c r="F282" s="9" t="s">
        <v>708</v>
      </c>
    </row>
    <row r="283" ht="33.75" customHeight="1">
      <c r="A283" s="7">
        <v>10.0</v>
      </c>
      <c r="B283" s="9" t="s">
        <v>576</v>
      </c>
      <c r="C283" s="9" t="s">
        <v>68</v>
      </c>
      <c r="D283" s="9" t="s">
        <v>113</v>
      </c>
      <c r="E283" s="6" t="s">
        <v>713</v>
      </c>
      <c r="F283" s="9" t="s">
        <v>708</v>
      </c>
    </row>
    <row r="284" ht="33.75" customHeight="1">
      <c r="A284" s="7">
        <v>10.0</v>
      </c>
      <c r="B284" s="9" t="s">
        <v>576</v>
      </c>
      <c r="C284" s="9" t="s">
        <v>68</v>
      </c>
      <c r="D284" s="9" t="s">
        <v>114</v>
      </c>
      <c r="E284" s="6" t="s">
        <v>781</v>
      </c>
      <c r="F284" s="9" t="s">
        <v>708</v>
      </c>
    </row>
    <row r="285" ht="33.75" customHeight="1">
      <c r="A285" s="7">
        <v>10.0</v>
      </c>
      <c r="B285" s="9" t="s">
        <v>576</v>
      </c>
      <c r="C285" s="9" t="s">
        <v>68</v>
      </c>
      <c r="D285" s="9" t="s">
        <v>117</v>
      </c>
      <c r="E285" s="6" t="s">
        <v>707</v>
      </c>
      <c r="F285" s="9" t="s">
        <v>708</v>
      </c>
    </row>
    <row r="286" ht="33.75" customHeight="1">
      <c r="A286" s="7">
        <v>11.0</v>
      </c>
      <c r="B286" s="9" t="s">
        <v>666</v>
      </c>
      <c r="C286" s="9" t="s">
        <v>72</v>
      </c>
      <c r="D286" s="9" t="s">
        <v>24</v>
      </c>
      <c r="E286" s="6" t="s">
        <v>783</v>
      </c>
      <c r="F286" s="9" t="s">
        <v>784</v>
      </c>
      <c r="G286" t="inlineStr" s="6">
        <is>
          <t xml:space="preserve">This POKéMON is vulnerable to attack while Metapod's shell is soft, exposing its weak and tender body. Hardens its shell to protect itself. However, a large impact may cause it to pop out of its shell. Inside the shell, it is soft and weak as it prepares to evolve. It stays motion less in the shell. It prepares for evolution by hardening its shell as much as possible to protect its soft body. This is its pre- evolved form. At this stage, it can only harden, so it remains motionless to avoid attack. The shell covering this POKéMON’s body is as hard as an iron slab. METAPOD does not move very much. It stays still because it is preparing its soft innards for evolution inside the hard shell. Its shell is as hard as an iron slab. A METAPOD does not move very much because it is preparing its soft innards for evolution inside the shell. Even though it is encased in a sturdy shell, the body inside is tender. It can’t withstand a harsh attack. A steel-hard shell protects its tender body. It quietly endures hardships while awaiting evolution. It stays motionless in the shell. Its shell is filled with its soft innards. It doesn’t move much because of the risk it might carelessly spill its innards out. Its shell is hard, but it’s still just a bug shell. It’s been known to break, so intense battles with it should be avoided. Its shell is filled with a thick liquid. All of the cells throughout its body are being rebuilt in preparation for evolution. Its hard shell doesn’t crack a bit even if Pikipek pecks at it, but it will tip over, spilling out its insides. It is waiting for the moment to evolve.</t>
        </is>
      </c>
    </row>
    <row r="287" ht="33.75" customHeight="1">
      <c r="A287" s="7">
        <v>11.0</v>
      </c>
      <c r="B287" s="9" t="s">
        <v>666</v>
      </c>
      <c r="C287" s="9" t="s">
        <v>72</v>
      </c>
      <c r="D287" s="9" t="s">
        <v>35</v>
      </c>
      <c r="E287" s="6" t="s">
        <v>783</v>
      </c>
      <c r="F287" s="9" t="s">
        <v>784</v>
      </c>
    </row>
    <row r="288" ht="33.75" customHeight="1">
      <c r="A288" s="7">
        <v>11.0</v>
      </c>
      <c r="B288" s="9" t="s">
        <v>666</v>
      </c>
      <c r="C288" s="9" t="s">
        <v>72</v>
      </c>
      <c r="D288" s="9" t="s">
        <v>42</v>
      </c>
      <c r="E288" s="6" t="s">
        <v>787</v>
      </c>
      <c r="F288" s="9" t="s">
        <v>784</v>
      </c>
    </row>
    <row r="289" ht="33.75" customHeight="1">
      <c r="A289" s="7">
        <v>11.0</v>
      </c>
      <c r="B289" s="9" t="s">
        <v>666</v>
      </c>
      <c r="C289" s="9" t="s">
        <v>72</v>
      </c>
      <c r="D289" s="9" t="s">
        <v>52</v>
      </c>
      <c r="E289" s="6" t="s">
        <v>789</v>
      </c>
      <c r="F289" s="9" t="s">
        <v>784</v>
      </c>
    </row>
    <row r="290" ht="33.75" customHeight="1">
      <c r="A290" s="7">
        <v>11.0</v>
      </c>
      <c r="B290" s="9" t="s">
        <v>666</v>
      </c>
      <c r="C290" s="9" t="s">
        <v>72</v>
      </c>
      <c r="D290" s="9" t="s">
        <v>59</v>
      </c>
      <c r="E290" s="6" t="s">
        <v>792</v>
      </c>
      <c r="F290" s="9" t="s">
        <v>784</v>
      </c>
    </row>
    <row r="291" ht="33.75" customHeight="1">
      <c r="A291" s="7">
        <v>11.0</v>
      </c>
      <c r="B291" s="9" t="s">
        <v>666</v>
      </c>
      <c r="C291" s="9" t="s">
        <v>72</v>
      </c>
      <c r="D291" s="9" t="s">
        <v>64</v>
      </c>
      <c r="E291" s="6" t="s">
        <v>795</v>
      </c>
      <c r="F291" s="9" t="s">
        <v>784</v>
      </c>
    </row>
    <row r="292" ht="33.75" customHeight="1">
      <c r="A292" s="7">
        <v>11.0</v>
      </c>
      <c r="B292" s="9" t="s">
        <v>666</v>
      </c>
      <c r="C292" s="9" t="s">
        <v>72</v>
      </c>
      <c r="D292" s="9" t="s">
        <v>67</v>
      </c>
      <c r="E292" s="6" t="s">
        <v>797</v>
      </c>
      <c r="F292" s="9" t="s">
        <v>784</v>
      </c>
    </row>
    <row r="293" ht="33.75" customHeight="1">
      <c r="A293" s="7">
        <v>11.0</v>
      </c>
      <c r="B293" s="9" t="s">
        <v>666</v>
      </c>
      <c r="C293" s="9" t="s">
        <v>72</v>
      </c>
      <c r="D293" s="9" t="s">
        <v>71</v>
      </c>
      <c r="E293" s="6" t="s">
        <v>797</v>
      </c>
      <c r="F293" s="9" t="s">
        <v>784</v>
      </c>
    </row>
    <row r="294" ht="33.75" customHeight="1">
      <c r="A294" s="7">
        <v>11.0</v>
      </c>
      <c r="B294" s="9" t="s">
        <v>666</v>
      </c>
      <c r="C294" s="9" t="s">
        <v>72</v>
      </c>
      <c r="D294" s="9" t="s">
        <v>73</v>
      </c>
      <c r="E294" s="6" t="s">
        <v>801</v>
      </c>
      <c r="F294" s="9" t="s">
        <v>784</v>
      </c>
    </row>
    <row r="295" ht="33.75" customHeight="1">
      <c r="A295" s="7">
        <v>11.0</v>
      </c>
      <c r="B295" s="9" t="s">
        <v>666</v>
      </c>
      <c r="C295" s="9" t="s">
        <v>72</v>
      </c>
      <c r="D295" s="9" t="s">
        <v>75</v>
      </c>
      <c r="E295" s="6" t="s">
        <v>803</v>
      </c>
      <c r="F295" s="9" t="s">
        <v>784</v>
      </c>
    </row>
    <row r="296" ht="33.75" customHeight="1">
      <c r="A296" s="7">
        <v>11.0</v>
      </c>
      <c r="B296" s="9" t="s">
        <v>666</v>
      </c>
      <c r="C296" s="9" t="s">
        <v>72</v>
      </c>
      <c r="D296" s="9" t="s">
        <v>79</v>
      </c>
      <c r="E296" s="6" t="s">
        <v>783</v>
      </c>
      <c r="F296" s="9" t="s">
        <v>784</v>
      </c>
    </row>
    <row r="297" ht="33.75" customHeight="1">
      <c r="A297" s="7">
        <v>11.0</v>
      </c>
      <c r="B297" s="9" t="s">
        <v>666</v>
      </c>
      <c r="C297" s="9" t="s">
        <v>72</v>
      </c>
      <c r="D297" s="9" t="s">
        <v>81</v>
      </c>
      <c r="E297" s="6" t="s">
        <v>808</v>
      </c>
      <c r="F297" s="9" t="s">
        <v>784</v>
      </c>
    </row>
    <row r="298" ht="33.75" customHeight="1">
      <c r="A298" s="7">
        <v>11.0</v>
      </c>
      <c r="B298" s="9" t="s">
        <v>666</v>
      </c>
      <c r="C298" s="9" t="s">
        <v>72</v>
      </c>
      <c r="D298" s="9" t="s">
        <v>84</v>
      </c>
      <c r="E298" s="6" t="s">
        <v>808</v>
      </c>
      <c r="F298" s="9" t="s">
        <v>784</v>
      </c>
    </row>
    <row r="299" ht="33.75" customHeight="1">
      <c r="A299" s="7">
        <v>11.0</v>
      </c>
      <c r="B299" s="9" t="s">
        <v>666</v>
      </c>
      <c r="C299" s="9" t="s">
        <v>72</v>
      </c>
      <c r="D299" s="9" t="s">
        <v>87</v>
      </c>
      <c r="E299" s="6" t="s">
        <v>808</v>
      </c>
      <c r="F299" s="9" t="s">
        <v>784</v>
      </c>
    </row>
    <row r="300" ht="33.75" customHeight="1">
      <c r="A300" s="7">
        <v>11.0</v>
      </c>
      <c r="B300" s="9" t="s">
        <v>666</v>
      </c>
      <c r="C300" s="9" t="s">
        <v>72</v>
      </c>
      <c r="D300" s="9" t="s">
        <v>89</v>
      </c>
      <c r="E300" s="6" t="s">
        <v>813</v>
      </c>
      <c r="F300" s="9" t="s">
        <v>784</v>
      </c>
    </row>
    <row r="301" ht="33.75" customHeight="1">
      <c r="A301" s="7">
        <v>11.0</v>
      </c>
      <c r="B301" s="9" t="s">
        <v>666</v>
      </c>
      <c r="C301" s="9" t="s">
        <v>72</v>
      </c>
      <c r="D301" s="9" t="s">
        <v>91</v>
      </c>
      <c r="E301" s="6" t="s">
        <v>815</v>
      </c>
      <c r="F301" s="9" t="s">
        <v>784</v>
      </c>
    </row>
    <row r="302" ht="33.75" customHeight="1">
      <c r="A302" s="7">
        <v>11.0</v>
      </c>
      <c r="B302" s="9" t="s">
        <v>666</v>
      </c>
      <c r="C302" s="9" t="s">
        <v>72</v>
      </c>
      <c r="D302" s="9" t="s">
        <v>93</v>
      </c>
      <c r="E302" s="6" t="s">
        <v>808</v>
      </c>
      <c r="F302" s="9" t="s">
        <v>784</v>
      </c>
    </row>
    <row r="303" ht="33.75" customHeight="1">
      <c r="A303" s="7">
        <v>11.0</v>
      </c>
      <c r="B303" s="9" t="s">
        <v>666</v>
      </c>
      <c r="C303" s="9" t="s">
        <v>72</v>
      </c>
      <c r="D303" s="9" t="s">
        <v>95</v>
      </c>
      <c r="E303" s="6" t="s">
        <v>808</v>
      </c>
      <c r="F303" s="9" t="s">
        <v>784</v>
      </c>
    </row>
    <row r="304" ht="33.75" customHeight="1">
      <c r="A304" s="7">
        <v>11.0</v>
      </c>
      <c r="B304" s="9" t="s">
        <v>666</v>
      </c>
      <c r="C304" s="9" t="s">
        <v>72</v>
      </c>
      <c r="D304" s="9" t="s">
        <v>98</v>
      </c>
      <c r="E304" s="6" t="s">
        <v>808</v>
      </c>
      <c r="F304" s="9" t="s">
        <v>784</v>
      </c>
    </row>
    <row r="305" ht="33.75" customHeight="1">
      <c r="A305" s="7">
        <v>11.0</v>
      </c>
      <c r="B305" s="9" t="s">
        <v>666</v>
      </c>
      <c r="C305" s="9" t="s">
        <v>72</v>
      </c>
      <c r="D305" s="9" t="s">
        <v>99</v>
      </c>
      <c r="E305" s="6" t="s">
        <v>808</v>
      </c>
      <c r="F305" s="9" t="s">
        <v>784</v>
      </c>
    </row>
    <row r="306" ht="33.75" customHeight="1">
      <c r="A306" s="7">
        <v>11.0</v>
      </c>
      <c r="B306" s="9" t="s">
        <v>666</v>
      </c>
      <c r="C306" s="9" t="s">
        <v>72</v>
      </c>
      <c r="D306" s="9" t="s">
        <v>101</v>
      </c>
      <c r="E306" s="6" t="s">
        <v>808</v>
      </c>
      <c r="F306" s="9" t="s">
        <v>784</v>
      </c>
    </row>
    <row r="307" ht="33.75" customHeight="1">
      <c r="A307" s="7">
        <v>11.0</v>
      </c>
      <c r="B307" s="9" t="s">
        <v>666</v>
      </c>
      <c r="C307" s="9" t="s">
        <v>72</v>
      </c>
      <c r="D307" s="9" t="s">
        <v>105</v>
      </c>
      <c r="E307" s="6" t="s">
        <v>824</v>
      </c>
      <c r="F307" s="9" t="s">
        <v>784</v>
      </c>
    </row>
    <row r="308" ht="33.75" customHeight="1">
      <c r="A308" s="7">
        <v>11.0</v>
      </c>
      <c r="B308" s="9" t="s">
        <v>666</v>
      </c>
      <c r="C308" s="9" t="s">
        <v>72</v>
      </c>
      <c r="D308" s="9" t="s">
        <v>107</v>
      </c>
      <c r="E308" s="6" t="s">
        <v>827</v>
      </c>
      <c r="F308" s="9" t="s">
        <v>784</v>
      </c>
    </row>
    <row r="309" ht="33.75" customHeight="1">
      <c r="A309" s="7">
        <v>11.0</v>
      </c>
      <c r="B309" s="9" t="s">
        <v>666</v>
      </c>
      <c r="C309" s="9" t="s">
        <v>72</v>
      </c>
      <c r="D309" s="9" t="s">
        <v>109</v>
      </c>
      <c r="E309" s="6" t="s">
        <v>827</v>
      </c>
      <c r="F309" s="9" t="s">
        <v>784</v>
      </c>
    </row>
    <row r="310" ht="33.75" customHeight="1">
      <c r="A310" s="7">
        <v>11.0</v>
      </c>
      <c r="B310" s="9" t="s">
        <v>666</v>
      </c>
      <c r="C310" s="9" t="s">
        <v>72</v>
      </c>
      <c r="D310" s="9" t="s">
        <v>637</v>
      </c>
      <c r="E310" s="6" t="s">
        <v>832</v>
      </c>
      <c r="F310" s="9" t="s">
        <v>784</v>
      </c>
    </row>
    <row r="311" ht="33.75" customHeight="1">
      <c r="A311" s="7">
        <v>11.0</v>
      </c>
      <c r="B311" s="9" t="s">
        <v>666</v>
      </c>
      <c r="C311" s="9" t="s">
        <v>72</v>
      </c>
      <c r="D311" s="9" t="s">
        <v>642</v>
      </c>
      <c r="E311" s="6" t="s">
        <v>835</v>
      </c>
      <c r="F311" s="9" t="s">
        <v>784</v>
      </c>
    </row>
    <row r="312" ht="33.75" customHeight="1">
      <c r="A312" s="7">
        <v>11.0</v>
      </c>
      <c r="B312" s="9" t="s">
        <v>666</v>
      </c>
      <c r="C312" s="9" t="s">
        <v>72</v>
      </c>
      <c r="D312" s="9" t="s">
        <v>647</v>
      </c>
      <c r="E312" s="6" t="s">
        <v>838</v>
      </c>
      <c r="F312" s="9" t="s">
        <v>784</v>
      </c>
    </row>
    <row r="313" ht="33.75" customHeight="1">
      <c r="A313" s="7">
        <v>11.0</v>
      </c>
      <c r="B313" s="9" t="s">
        <v>666</v>
      </c>
      <c r="C313" s="9" t="s">
        <v>72</v>
      </c>
      <c r="D313" s="9" t="s">
        <v>652</v>
      </c>
      <c r="E313" s="6" t="s">
        <v>841</v>
      </c>
      <c r="F313" s="9" t="s">
        <v>784</v>
      </c>
    </row>
    <row r="314" ht="33.75" customHeight="1">
      <c r="A314" s="7">
        <v>11.0</v>
      </c>
      <c r="B314" s="9" t="s">
        <v>666</v>
      </c>
      <c r="C314" s="9" t="s">
        <v>72</v>
      </c>
      <c r="D314" s="9" t="s">
        <v>111</v>
      </c>
      <c r="E314" s="6" t="s">
        <v>787</v>
      </c>
      <c r="F314" s="9" t="s">
        <v>784</v>
      </c>
    </row>
    <row r="315" ht="33.75" customHeight="1">
      <c r="A315" s="7">
        <v>11.0</v>
      </c>
      <c r="B315" s="9" t="s">
        <v>666</v>
      </c>
      <c r="C315" s="9" t="s">
        <v>72</v>
      </c>
      <c r="D315" s="9" t="s">
        <v>113</v>
      </c>
      <c r="E315" s="6" t="s">
        <v>787</v>
      </c>
      <c r="F315" s="9" t="s">
        <v>784</v>
      </c>
    </row>
    <row r="316" ht="33.75" customHeight="1">
      <c r="A316" s="7">
        <v>11.0</v>
      </c>
      <c r="B316" s="9" t="s">
        <v>666</v>
      </c>
      <c r="C316" s="9" t="s">
        <v>72</v>
      </c>
      <c r="D316" s="9" t="s">
        <v>114</v>
      </c>
      <c r="E316" s="6" t="s">
        <v>847</v>
      </c>
      <c r="F316" s="9" t="s">
        <v>784</v>
      </c>
    </row>
    <row r="317" ht="33.75" customHeight="1">
      <c r="A317" s="7">
        <v>11.0</v>
      </c>
      <c r="B317" s="9" t="s">
        <v>666</v>
      </c>
      <c r="C317" s="9" t="s">
        <v>72</v>
      </c>
      <c r="D317" s="9" t="s">
        <v>117</v>
      </c>
      <c r="E317" s="6" t="s">
        <v>803</v>
      </c>
      <c r="F317" s="9" t="s">
        <v>784</v>
      </c>
    </row>
    <row r="318" ht="33.75" customHeight="1">
      <c r="A318" s="7">
        <v>12.0</v>
      </c>
      <c r="B318" s="9" t="s">
        <v>740</v>
      </c>
      <c r="C318" s="9" t="s">
        <v>74</v>
      </c>
      <c r="D318" s="9" t="s">
        <v>24</v>
      </c>
      <c r="E318" s="6" t="s">
        <v>853</v>
      </c>
      <c r="F318" s="9" t="s">
        <v>855</v>
      </c>
      <c r="G318" t="inlineStr" s="6">
        <is>
          <t xml:space="preserve">In battle, it flaps Butterfree's wings at high speed to release highly toxic dust into the air. Its wings, covered with poisonous powders, repel water. This allows it to fly in the rain. It collects honey every day. It rubs honey onto the hairs on its legs to carry it back to its nest. Water-repellent powder on its wings enables it to collect honey, even in the heaviest of rains. It flits from flower to flower, collecting honey. It can even identify distant flowers in bloom. BUTTERFREE has a superior ability to search for delicious honey from flowers. It can even search out, extract, and carry honey from flowers that are blooming over six miles from its nest. It has a superior ability to search for delicious honey from flowers. It can seek, extract, and carry honey from flowers blooming over six miles away. The wings are protected by rain-repellent dust. As a result, this POKéMON can fly about even in rain. In battle, it flaps its wings at great speed to release highly toxic dust into the air. It loves the honey of flowers and can locate flower patches that have even tiny amounts of pollen. Close examination of its large eyes reveals that each eye is composed of a myriad of tiny eyes. When attacked by other Pokémon, it defends itself by scattering its poisonous scales and fluttering its wings. Its wings are covered in toxic scales. If it finds bird Pokémon going after Caterpie, Butterfree sprinkles its scales on them to drive them off. Nectar from pretty flowers is its favorite food. In fields of flowers, it has heated battles with Cutiefly for territory. Its wings, covered with poisonous powder, repel water.</t>
        </is>
      </c>
    </row>
    <row r="319" ht="33.75" customHeight="1">
      <c r="A319" s="7">
        <v>12.0</v>
      </c>
      <c r="B319" s="9" t="s">
        <v>740</v>
      </c>
      <c r="C319" s="9" t="s">
        <v>74</v>
      </c>
      <c r="D319" s="9" t="s">
        <v>35</v>
      </c>
      <c r="E319" s="6" t="s">
        <v>853</v>
      </c>
      <c r="F319" s="9" t="s">
        <v>855</v>
      </c>
    </row>
    <row r="320" ht="33.75" customHeight="1">
      <c r="A320" s="7">
        <v>12.0</v>
      </c>
      <c r="B320" s="9" t="s">
        <v>740</v>
      </c>
      <c r="C320" s="9" t="s">
        <v>74</v>
      </c>
      <c r="D320" s="9" t="s">
        <v>42</v>
      </c>
      <c r="E320" s="6" t="s">
        <v>860</v>
      </c>
      <c r="F320" s="9" t="s">
        <v>855</v>
      </c>
    </row>
    <row r="321" ht="33.75" customHeight="1">
      <c r="A321" s="7">
        <v>12.0</v>
      </c>
      <c r="B321" s="9" t="s">
        <v>740</v>
      </c>
      <c r="C321" s="9" t="s">
        <v>74</v>
      </c>
      <c r="D321" s="9" t="s">
        <v>52</v>
      </c>
      <c r="E321" s="6" t="s">
        <v>862</v>
      </c>
      <c r="F321" s="9" t="s">
        <v>855</v>
      </c>
    </row>
    <row r="322" ht="33.75" customHeight="1">
      <c r="A322" s="7">
        <v>12.0</v>
      </c>
      <c r="B322" s="9" t="s">
        <v>740</v>
      </c>
      <c r="C322" s="9" t="s">
        <v>74</v>
      </c>
      <c r="D322" s="9" t="s">
        <v>59</v>
      </c>
      <c r="E322" s="6" t="s">
        <v>867</v>
      </c>
      <c r="F322" s="9" t="s">
        <v>855</v>
      </c>
    </row>
    <row r="323" ht="33.75" customHeight="1">
      <c r="A323" s="7">
        <v>12.0</v>
      </c>
      <c r="B323" s="9" t="s">
        <v>740</v>
      </c>
      <c r="C323" s="9" t="s">
        <v>74</v>
      </c>
      <c r="D323" s="9" t="s">
        <v>64</v>
      </c>
      <c r="E323" s="6" t="s">
        <v>871</v>
      </c>
      <c r="F323" s="9" t="s">
        <v>855</v>
      </c>
    </row>
    <row r="324" ht="33.75" customHeight="1">
      <c r="A324" s="7">
        <v>12.0</v>
      </c>
      <c r="B324" s="9" t="s">
        <v>740</v>
      </c>
      <c r="C324" s="9" t="s">
        <v>74</v>
      </c>
      <c r="D324" s="9" t="s">
        <v>67</v>
      </c>
      <c r="E324" s="6" t="s">
        <v>874</v>
      </c>
      <c r="F324" s="9" t="s">
        <v>855</v>
      </c>
    </row>
    <row r="325" ht="33.75" customHeight="1">
      <c r="A325" s="7">
        <v>12.0</v>
      </c>
      <c r="B325" s="9" t="s">
        <v>740</v>
      </c>
      <c r="C325" s="9" t="s">
        <v>74</v>
      </c>
      <c r="D325" s="9" t="s">
        <v>71</v>
      </c>
      <c r="E325" s="6" t="s">
        <v>874</v>
      </c>
      <c r="F325" s="9" t="s">
        <v>855</v>
      </c>
    </row>
    <row r="326" ht="33.75" customHeight="1">
      <c r="A326" s="7">
        <v>12.0</v>
      </c>
      <c r="B326" s="9" t="s">
        <v>740</v>
      </c>
      <c r="C326" s="9" t="s">
        <v>74</v>
      </c>
      <c r="D326" s="9" t="s">
        <v>73</v>
      </c>
      <c r="E326" s="6" t="s">
        <v>878</v>
      </c>
      <c r="F326" s="9" t="s">
        <v>855</v>
      </c>
    </row>
    <row r="327" ht="33.75" customHeight="1">
      <c r="A327" s="7">
        <v>12.0</v>
      </c>
      <c r="B327" s="9" t="s">
        <v>740</v>
      </c>
      <c r="C327" s="9" t="s">
        <v>74</v>
      </c>
      <c r="D327" s="9" t="s">
        <v>75</v>
      </c>
      <c r="E327" s="6" t="s">
        <v>880</v>
      </c>
      <c r="F327" s="9" t="s">
        <v>855</v>
      </c>
    </row>
    <row r="328" ht="33.75" customHeight="1">
      <c r="A328" s="7">
        <v>12.0</v>
      </c>
      <c r="B328" s="9" t="s">
        <v>740</v>
      </c>
      <c r="C328" s="9" t="s">
        <v>74</v>
      </c>
      <c r="D328" s="9" t="s">
        <v>79</v>
      </c>
      <c r="E328" s="6" t="s">
        <v>883</v>
      </c>
      <c r="F328" s="9" t="s">
        <v>855</v>
      </c>
    </row>
    <row r="329" ht="33.75" customHeight="1">
      <c r="A329" s="7">
        <v>12.0</v>
      </c>
      <c r="B329" s="9" t="s">
        <v>740</v>
      </c>
      <c r="C329" s="9" t="s">
        <v>74</v>
      </c>
      <c r="D329" s="9" t="s">
        <v>81</v>
      </c>
      <c r="E329" s="6" t="s">
        <v>887</v>
      </c>
      <c r="F329" s="9" t="s">
        <v>855</v>
      </c>
    </row>
    <row r="330" ht="33.75" customHeight="1">
      <c r="A330" s="7">
        <v>12.0</v>
      </c>
      <c r="B330" s="9" t="s">
        <v>740</v>
      </c>
      <c r="C330" s="9" t="s">
        <v>74</v>
      </c>
      <c r="D330" s="9" t="s">
        <v>84</v>
      </c>
      <c r="E330" s="6" t="s">
        <v>887</v>
      </c>
      <c r="F330" s="9" t="s">
        <v>855</v>
      </c>
    </row>
    <row r="331" ht="33.75" customHeight="1">
      <c r="A331" s="7">
        <v>12.0</v>
      </c>
      <c r="B331" s="9" t="s">
        <v>740</v>
      </c>
      <c r="C331" s="9" t="s">
        <v>74</v>
      </c>
      <c r="D331" s="9" t="s">
        <v>87</v>
      </c>
      <c r="E331" s="6" t="s">
        <v>887</v>
      </c>
      <c r="F331" s="9" t="s">
        <v>855</v>
      </c>
    </row>
    <row r="332" ht="33.75" customHeight="1">
      <c r="A332" s="7">
        <v>12.0</v>
      </c>
      <c r="B332" s="9" t="s">
        <v>740</v>
      </c>
      <c r="C332" s="9" t="s">
        <v>74</v>
      </c>
      <c r="D332" s="9" t="s">
        <v>89</v>
      </c>
      <c r="E332" s="6" t="s">
        <v>862</v>
      </c>
      <c r="F332" s="9" t="s">
        <v>855</v>
      </c>
    </row>
    <row r="333" ht="33.75" customHeight="1">
      <c r="A333" s="7">
        <v>12.0</v>
      </c>
      <c r="B333" s="9" t="s">
        <v>740</v>
      </c>
      <c r="C333" s="9" t="s">
        <v>74</v>
      </c>
      <c r="D333" s="9" t="s">
        <v>91</v>
      </c>
      <c r="E333" s="6" t="s">
        <v>896</v>
      </c>
      <c r="F333" s="9" t="s">
        <v>855</v>
      </c>
    </row>
    <row r="334" ht="33.75" customHeight="1">
      <c r="A334" s="7">
        <v>12.0</v>
      </c>
      <c r="B334" s="9" t="s">
        <v>740</v>
      </c>
      <c r="C334" s="9" t="s">
        <v>74</v>
      </c>
      <c r="D334" s="9" t="s">
        <v>93</v>
      </c>
      <c r="E334" s="6" t="s">
        <v>887</v>
      </c>
      <c r="F334" s="9" t="s">
        <v>855</v>
      </c>
    </row>
    <row r="335" ht="33.75" customHeight="1">
      <c r="A335" s="7">
        <v>12.0</v>
      </c>
      <c r="B335" s="9" t="s">
        <v>740</v>
      </c>
      <c r="C335" s="9" t="s">
        <v>74</v>
      </c>
      <c r="D335" s="9" t="s">
        <v>95</v>
      </c>
      <c r="E335" s="6" t="s">
        <v>887</v>
      </c>
      <c r="F335" s="9" t="s">
        <v>855</v>
      </c>
    </row>
    <row r="336" ht="33.75" customHeight="1">
      <c r="A336" s="7">
        <v>12.0</v>
      </c>
      <c r="B336" s="9" t="s">
        <v>740</v>
      </c>
      <c r="C336" s="9" t="s">
        <v>74</v>
      </c>
      <c r="D336" s="9" t="s">
        <v>98</v>
      </c>
      <c r="E336" s="6" t="s">
        <v>887</v>
      </c>
      <c r="F336" s="9" t="s">
        <v>855</v>
      </c>
    </row>
    <row r="337" ht="33.75" customHeight="1">
      <c r="A337" s="7">
        <v>12.0</v>
      </c>
      <c r="B337" s="9" t="s">
        <v>740</v>
      </c>
      <c r="C337" s="9" t="s">
        <v>74</v>
      </c>
      <c r="D337" s="9" t="s">
        <v>99</v>
      </c>
      <c r="E337" s="6" t="s">
        <v>887</v>
      </c>
      <c r="F337" s="9" t="s">
        <v>855</v>
      </c>
    </row>
    <row r="338" ht="33.75" customHeight="1">
      <c r="A338" s="7">
        <v>12.0</v>
      </c>
      <c r="B338" s="9" t="s">
        <v>740</v>
      </c>
      <c r="C338" s="9" t="s">
        <v>74</v>
      </c>
      <c r="D338" s="9" t="s">
        <v>101</v>
      </c>
      <c r="E338" s="6" t="s">
        <v>887</v>
      </c>
      <c r="F338" s="9" t="s">
        <v>855</v>
      </c>
    </row>
    <row r="339" ht="33.75" customHeight="1">
      <c r="A339" s="7">
        <v>12.0</v>
      </c>
      <c r="B339" s="9" t="s">
        <v>740</v>
      </c>
      <c r="C339" s="9" t="s">
        <v>74</v>
      </c>
      <c r="D339" s="9" t="s">
        <v>105</v>
      </c>
      <c r="E339" s="6" t="s">
        <v>910</v>
      </c>
      <c r="F339" s="9" t="s">
        <v>855</v>
      </c>
    </row>
    <row r="340" ht="33.75" customHeight="1">
      <c r="A340" s="7">
        <v>12.0</v>
      </c>
      <c r="B340" s="9" t="s">
        <v>740</v>
      </c>
      <c r="C340" s="9" t="s">
        <v>74</v>
      </c>
      <c r="D340" s="9" t="s">
        <v>107</v>
      </c>
      <c r="E340" s="6" t="s">
        <v>913</v>
      </c>
      <c r="F340" s="9" t="s">
        <v>855</v>
      </c>
    </row>
    <row r="341" ht="33.75" customHeight="1">
      <c r="A341" s="7">
        <v>12.0</v>
      </c>
      <c r="B341" s="9" t="s">
        <v>740</v>
      </c>
      <c r="C341" s="9" t="s">
        <v>74</v>
      </c>
      <c r="D341" s="9" t="s">
        <v>109</v>
      </c>
      <c r="E341" s="6" t="s">
        <v>913</v>
      </c>
      <c r="F341" s="9" t="s">
        <v>855</v>
      </c>
    </row>
    <row r="342" ht="33.75" customHeight="1">
      <c r="A342" s="7">
        <v>12.0</v>
      </c>
      <c r="B342" s="9" t="s">
        <v>740</v>
      </c>
      <c r="C342" s="9" t="s">
        <v>74</v>
      </c>
      <c r="D342" s="9" t="s">
        <v>637</v>
      </c>
      <c r="E342" s="6" t="s">
        <v>918</v>
      </c>
      <c r="F342" s="9" t="s">
        <v>855</v>
      </c>
    </row>
    <row r="343" ht="33.75" customHeight="1">
      <c r="A343" s="7">
        <v>12.0</v>
      </c>
      <c r="B343" s="9" t="s">
        <v>740</v>
      </c>
      <c r="C343" s="9" t="s">
        <v>74</v>
      </c>
      <c r="D343" s="9" t="s">
        <v>642</v>
      </c>
      <c r="E343" s="6" t="s">
        <v>923</v>
      </c>
      <c r="F343" s="9" t="s">
        <v>855</v>
      </c>
    </row>
    <row r="344" ht="33.75" customHeight="1">
      <c r="A344" s="7">
        <v>12.0</v>
      </c>
      <c r="B344" s="9" t="s">
        <v>740</v>
      </c>
      <c r="C344" s="9" t="s">
        <v>74</v>
      </c>
      <c r="D344" s="9" t="s">
        <v>647</v>
      </c>
      <c r="E344" s="6" t="s">
        <v>926</v>
      </c>
      <c r="F344" s="9" t="s">
        <v>855</v>
      </c>
    </row>
    <row r="345" ht="33.75" customHeight="1">
      <c r="A345" s="7">
        <v>12.0</v>
      </c>
      <c r="B345" s="9" t="s">
        <v>740</v>
      </c>
      <c r="C345" s="9" t="s">
        <v>74</v>
      </c>
      <c r="D345" s="9" t="s">
        <v>652</v>
      </c>
      <c r="E345" s="6" t="s">
        <v>930</v>
      </c>
      <c r="F345" s="9" t="s">
        <v>855</v>
      </c>
    </row>
    <row r="346" ht="33.75" customHeight="1">
      <c r="A346" s="7">
        <v>12.0</v>
      </c>
      <c r="B346" s="9" t="s">
        <v>740</v>
      </c>
      <c r="C346" s="9" t="s">
        <v>74</v>
      </c>
      <c r="D346" s="9" t="s">
        <v>111</v>
      </c>
      <c r="E346" s="6" t="s">
        <v>932</v>
      </c>
      <c r="F346" s="9" t="s">
        <v>855</v>
      </c>
    </row>
    <row r="347" ht="33.75" customHeight="1">
      <c r="A347" s="7">
        <v>12.0</v>
      </c>
      <c r="B347" s="9" t="s">
        <v>740</v>
      </c>
      <c r="C347" s="9" t="s">
        <v>74</v>
      </c>
      <c r="D347" s="9" t="s">
        <v>113</v>
      </c>
      <c r="E347" s="6" t="s">
        <v>932</v>
      </c>
      <c r="F347" s="9" t="s">
        <v>855</v>
      </c>
    </row>
    <row r="348" ht="33.75" customHeight="1">
      <c r="A348" s="7">
        <v>12.0</v>
      </c>
      <c r="B348" s="9" t="s">
        <v>740</v>
      </c>
      <c r="C348" s="9" t="s">
        <v>74</v>
      </c>
      <c r="D348" s="9" t="s">
        <v>114</v>
      </c>
      <c r="E348" s="6" t="s">
        <v>883</v>
      </c>
      <c r="F348" s="9" t="s">
        <v>855</v>
      </c>
    </row>
    <row r="349" ht="33.75" customHeight="1">
      <c r="A349" s="7">
        <v>12.0</v>
      </c>
      <c r="B349" s="9" t="s">
        <v>740</v>
      </c>
      <c r="C349" s="9" t="s">
        <v>74</v>
      </c>
      <c r="D349" s="9" t="s">
        <v>117</v>
      </c>
      <c r="E349" s="6" t="s">
        <v>862</v>
      </c>
      <c r="F349" s="9" t="s">
        <v>855</v>
      </c>
    </row>
    <row r="350" ht="33.75" customHeight="1">
      <c r="A350" s="7">
        <v>13.0</v>
      </c>
      <c r="B350" s="9" t="s">
        <v>819</v>
      </c>
      <c r="C350" s="9" t="s">
        <v>78</v>
      </c>
      <c r="D350" s="9" t="s">
        <v>24</v>
      </c>
      <c r="E350" s="6" t="s">
        <v>939</v>
      </c>
      <c r="F350" s="9" t="s">
        <v>941</v>
      </c>
      <c r="G350" t="inlineStr" s="6">
        <is>
          <t xml:space="preserve">Often found in forests, eating leaves. It has a sharp venomous stinger on its head. Beware of the sharp stinger on its head. It hides in grass and bushes where it eats leaves. Its poison stinger is very powerful. Its bright-colored body is intended to warn off its enemies. It attacks using a two-inch poison barb on its head. It can usually be found under the leaves it eats. The barb on top of its head secretes a strong poison. It uses this toxic barb to protect itself. WEEDLE has an extremely acute sense of smell. It is capable of distinguishing its favorite kinds of leaves from those it dislikes just by sniffing with its big red proboscis (nose). A WEEDLE has an extremely acute sense of smell. It distinguishes its favorite kinds of leaves from those it dislikes by sniffing with its big red proboscis (nose). Often found in forests and grasslands. It has a sharp, toxic barb of around two inches on top of its head. It has a sharp stinger on its head that injects poison. It eats its weight in leaves every day. It fends off attackers with the needle on its head.</t>
        </is>
      </c>
    </row>
    <row r="351" ht="33.75" customHeight="1">
      <c r="A351" s="7">
        <v>13.0</v>
      </c>
      <c r="B351" s="9" t="s">
        <v>819</v>
      </c>
      <c r="C351" s="9" t="s">
        <v>78</v>
      </c>
      <c r="D351" s="9" t="s">
        <v>35</v>
      </c>
      <c r="E351" s="6" t="s">
        <v>939</v>
      </c>
      <c r="F351" s="9" t="s">
        <v>941</v>
      </c>
    </row>
    <row r="352" ht="33.75" customHeight="1">
      <c r="A352" s="7">
        <v>13.0</v>
      </c>
      <c r="B352" s="9" t="s">
        <v>819</v>
      </c>
      <c r="C352" s="9" t="s">
        <v>78</v>
      </c>
      <c r="D352" s="9" t="s">
        <v>42</v>
      </c>
      <c r="E352" s="6" t="s">
        <v>945</v>
      </c>
      <c r="F352" s="9" t="s">
        <v>941</v>
      </c>
    </row>
    <row r="353" ht="33.75" customHeight="1">
      <c r="A353" s="7">
        <v>13.0</v>
      </c>
      <c r="B353" s="9" t="s">
        <v>819</v>
      </c>
      <c r="C353" s="9" t="s">
        <v>78</v>
      </c>
      <c r="D353" s="9" t="s">
        <v>52</v>
      </c>
      <c r="E353" s="6" t="s">
        <v>948</v>
      </c>
      <c r="F353" s="9" t="s">
        <v>941</v>
      </c>
    </row>
    <row r="354" ht="33.75" customHeight="1">
      <c r="A354" s="7">
        <v>13.0</v>
      </c>
      <c r="B354" s="9" t="s">
        <v>819</v>
      </c>
      <c r="C354" s="9" t="s">
        <v>78</v>
      </c>
      <c r="D354" s="9" t="s">
        <v>59</v>
      </c>
      <c r="E354" s="6" t="s">
        <v>952</v>
      </c>
      <c r="F354" s="9" t="s">
        <v>941</v>
      </c>
    </row>
    <row r="355" ht="33.75" customHeight="1">
      <c r="A355" s="7">
        <v>13.0</v>
      </c>
      <c r="B355" s="9" t="s">
        <v>819</v>
      </c>
      <c r="C355" s="9" t="s">
        <v>78</v>
      </c>
      <c r="D355" s="9" t="s">
        <v>64</v>
      </c>
      <c r="E355" s="6" t="s">
        <v>955</v>
      </c>
      <c r="F355" s="9" t="s">
        <v>941</v>
      </c>
    </row>
    <row r="356" ht="33.75" customHeight="1">
      <c r="A356" s="7">
        <v>13.0</v>
      </c>
      <c r="B356" s="9" t="s">
        <v>819</v>
      </c>
      <c r="C356" s="9" t="s">
        <v>78</v>
      </c>
      <c r="D356" s="9" t="s">
        <v>67</v>
      </c>
      <c r="E356" s="6" t="s">
        <v>958</v>
      </c>
      <c r="F356" s="9" t="s">
        <v>941</v>
      </c>
    </row>
    <row r="357" ht="33.75" customHeight="1">
      <c r="A357" s="7">
        <v>13.0</v>
      </c>
      <c r="B357" s="9" t="s">
        <v>819</v>
      </c>
      <c r="C357" s="9" t="s">
        <v>78</v>
      </c>
      <c r="D357" s="9" t="s">
        <v>71</v>
      </c>
      <c r="E357" s="6" t="s">
        <v>958</v>
      </c>
      <c r="F357" s="9" t="s">
        <v>941</v>
      </c>
    </row>
    <row r="358" ht="33.75" customHeight="1">
      <c r="A358" s="7">
        <v>13.0</v>
      </c>
      <c r="B358" s="9" t="s">
        <v>819</v>
      </c>
      <c r="C358" s="9" t="s">
        <v>78</v>
      </c>
      <c r="D358" s="9" t="s">
        <v>73</v>
      </c>
      <c r="E358" s="6" t="s">
        <v>964</v>
      </c>
      <c r="F358" s="9" t="s">
        <v>941</v>
      </c>
    </row>
    <row r="359" ht="33.75" customHeight="1">
      <c r="A359" s="7">
        <v>13.0</v>
      </c>
      <c r="B359" s="9" t="s">
        <v>819</v>
      </c>
      <c r="C359" s="9" t="s">
        <v>78</v>
      </c>
      <c r="D359" s="9" t="s">
        <v>75</v>
      </c>
      <c r="E359" s="6" t="s">
        <v>967</v>
      </c>
      <c r="F359" s="9" t="s">
        <v>941</v>
      </c>
    </row>
    <row r="360" ht="33.75" customHeight="1">
      <c r="A360" s="7">
        <v>13.0</v>
      </c>
      <c r="B360" s="9" t="s">
        <v>819</v>
      </c>
      <c r="C360" s="9" t="s">
        <v>78</v>
      </c>
      <c r="D360" s="9" t="s">
        <v>79</v>
      </c>
      <c r="E360" s="6" t="s">
        <v>970</v>
      </c>
      <c r="F360" s="9" t="s">
        <v>941</v>
      </c>
    </row>
    <row r="361" ht="33.75" customHeight="1">
      <c r="A361" s="7">
        <v>13.0</v>
      </c>
      <c r="B361" s="9" t="s">
        <v>819</v>
      </c>
      <c r="C361" s="9" t="s">
        <v>78</v>
      </c>
      <c r="D361" s="9" t="s">
        <v>81</v>
      </c>
      <c r="E361" s="6" t="s">
        <v>972</v>
      </c>
      <c r="F361" s="9" t="s">
        <v>941</v>
      </c>
    </row>
    <row r="362" ht="33.75" customHeight="1">
      <c r="A362" s="7">
        <v>13.0</v>
      </c>
      <c r="B362" s="9" t="s">
        <v>819</v>
      </c>
      <c r="C362" s="9" t="s">
        <v>78</v>
      </c>
      <c r="D362" s="9" t="s">
        <v>84</v>
      </c>
      <c r="E362" s="6" t="s">
        <v>972</v>
      </c>
      <c r="F362" s="9" t="s">
        <v>941</v>
      </c>
    </row>
    <row r="363" ht="33.75" customHeight="1">
      <c r="A363" s="7">
        <v>13.0</v>
      </c>
      <c r="B363" s="9" t="s">
        <v>819</v>
      </c>
      <c r="C363" s="9" t="s">
        <v>78</v>
      </c>
      <c r="D363" s="9" t="s">
        <v>87</v>
      </c>
      <c r="E363" s="6" t="s">
        <v>972</v>
      </c>
      <c r="F363" s="9" t="s">
        <v>941</v>
      </c>
    </row>
    <row r="364" ht="33.75" customHeight="1">
      <c r="A364" s="7">
        <v>13.0</v>
      </c>
      <c r="B364" s="9" t="s">
        <v>819</v>
      </c>
      <c r="C364" s="9" t="s">
        <v>78</v>
      </c>
      <c r="D364" s="9" t="s">
        <v>89</v>
      </c>
      <c r="E364" s="6" t="s">
        <v>948</v>
      </c>
      <c r="F364" s="9" t="s">
        <v>941</v>
      </c>
    </row>
    <row r="365" ht="33.75" customHeight="1">
      <c r="A365" s="7">
        <v>13.0</v>
      </c>
      <c r="B365" s="9" t="s">
        <v>819</v>
      </c>
      <c r="C365" s="9" t="s">
        <v>78</v>
      </c>
      <c r="D365" s="9" t="s">
        <v>91</v>
      </c>
      <c r="E365" s="6" t="s">
        <v>952</v>
      </c>
      <c r="F365" s="9" t="s">
        <v>941</v>
      </c>
    </row>
    <row r="366" ht="33.75" customHeight="1">
      <c r="A366" s="7">
        <v>13.0</v>
      </c>
      <c r="B366" s="9" t="s">
        <v>819</v>
      </c>
      <c r="C366" s="9" t="s">
        <v>78</v>
      </c>
      <c r="D366" s="9" t="s">
        <v>93</v>
      </c>
      <c r="E366" s="6" t="s">
        <v>972</v>
      </c>
      <c r="F366" s="9" t="s">
        <v>941</v>
      </c>
    </row>
    <row r="367" ht="33.75" customHeight="1">
      <c r="A367" s="7">
        <v>13.0</v>
      </c>
      <c r="B367" s="9" t="s">
        <v>819</v>
      </c>
      <c r="C367" s="9" t="s">
        <v>78</v>
      </c>
      <c r="D367" s="9" t="s">
        <v>95</v>
      </c>
      <c r="E367" s="6" t="s">
        <v>972</v>
      </c>
      <c r="F367" s="9" t="s">
        <v>941</v>
      </c>
    </row>
    <row r="368" ht="33.75" customHeight="1">
      <c r="A368" s="7">
        <v>13.0</v>
      </c>
      <c r="B368" s="9" t="s">
        <v>819</v>
      </c>
      <c r="C368" s="9" t="s">
        <v>78</v>
      </c>
      <c r="D368" s="9" t="s">
        <v>98</v>
      </c>
      <c r="E368" s="6" t="s">
        <v>972</v>
      </c>
      <c r="F368" s="9" t="s">
        <v>941</v>
      </c>
    </row>
    <row r="369" ht="33.75" customHeight="1">
      <c r="A369" s="7">
        <v>13.0</v>
      </c>
      <c r="B369" s="9" t="s">
        <v>819</v>
      </c>
      <c r="C369" s="9" t="s">
        <v>78</v>
      </c>
      <c r="D369" s="9" t="s">
        <v>99</v>
      </c>
      <c r="E369" s="6" t="s">
        <v>972</v>
      </c>
      <c r="F369" s="9" t="s">
        <v>941</v>
      </c>
    </row>
    <row r="370" ht="33.75" customHeight="1">
      <c r="A370" s="7">
        <v>13.0</v>
      </c>
      <c r="B370" s="9" t="s">
        <v>819</v>
      </c>
      <c r="C370" s="9" t="s">
        <v>78</v>
      </c>
      <c r="D370" s="9" t="s">
        <v>101</v>
      </c>
      <c r="E370" s="6" t="s">
        <v>967</v>
      </c>
      <c r="F370" s="9" t="s">
        <v>941</v>
      </c>
    </row>
    <row r="371" ht="33.75" customHeight="1">
      <c r="A371" s="7">
        <v>13.0</v>
      </c>
      <c r="B371" s="9" t="s">
        <v>819</v>
      </c>
      <c r="C371" s="9" t="s">
        <v>78</v>
      </c>
      <c r="D371" s="9" t="s">
        <v>105</v>
      </c>
      <c r="E371" s="6" t="s">
        <v>948</v>
      </c>
      <c r="F371" s="9" t="s">
        <v>941</v>
      </c>
    </row>
    <row r="372" ht="33.75" customHeight="1">
      <c r="A372" s="7">
        <v>13.0</v>
      </c>
      <c r="B372" s="9" t="s">
        <v>819</v>
      </c>
      <c r="C372" s="9" t="s">
        <v>78</v>
      </c>
      <c r="D372" s="9" t="s">
        <v>107</v>
      </c>
      <c r="E372" s="6" t="s">
        <v>1002</v>
      </c>
      <c r="F372" s="9" t="s">
        <v>941</v>
      </c>
    </row>
    <row r="373" ht="33.75" customHeight="1">
      <c r="A373" s="7">
        <v>13.0</v>
      </c>
      <c r="B373" s="9" t="s">
        <v>819</v>
      </c>
      <c r="C373" s="9" t="s">
        <v>78</v>
      </c>
      <c r="D373" s="9" t="s">
        <v>109</v>
      </c>
      <c r="E373" s="6" t="s">
        <v>1002</v>
      </c>
      <c r="F373" s="9" t="s">
        <v>941</v>
      </c>
    </row>
    <row r="374" ht="33.75" customHeight="1">
      <c r="A374" s="7">
        <v>13.0</v>
      </c>
      <c r="B374" s="9" t="s">
        <v>819</v>
      </c>
      <c r="C374" s="9" t="s">
        <v>78</v>
      </c>
      <c r="D374" s="9" t="s">
        <v>111</v>
      </c>
      <c r="E374" s="6" t="s">
        <v>945</v>
      </c>
      <c r="F374" s="9" t="s">
        <v>941</v>
      </c>
    </row>
    <row r="375" ht="33.75" customHeight="1">
      <c r="A375" s="7">
        <v>13.0</v>
      </c>
      <c r="B375" s="9" t="s">
        <v>819</v>
      </c>
      <c r="C375" s="9" t="s">
        <v>78</v>
      </c>
      <c r="D375" s="9" t="s">
        <v>113</v>
      </c>
      <c r="E375" s="6" t="s">
        <v>945</v>
      </c>
      <c r="F375" s="9" t="s">
        <v>941</v>
      </c>
    </row>
    <row r="376" ht="33.75" customHeight="1">
      <c r="A376" s="7">
        <v>14.0</v>
      </c>
      <c r="B376" s="9" t="s">
        <v>892</v>
      </c>
      <c r="C376" s="9" t="s">
        <v>72</v>
      </c>
      <c r="D376" s="9" t="s">
        <v>24</v>
      </c>
      <c r="E376" s="6" t="s">
        <v>1010</v>
      </c>
      <c r="F376" s="9" t="s">
        <v>1011</v>
      </c>
      <c r="G376" t="inlineStr" s="6">
        <is>
          <t xml:space="preserve">Almost incapable of moving, this POKéMON can only harden Kakuna's shell to protect itself from predators. Able to move only slightly. When endangered, it may stick out its stinger and poison its enemy. Although it is a cocoon, it can move a little. It can extend its poison barb if it is attacked. From this form, it will grow into an adult. As its body becomes soft er, the external shell hardens. Nearly incapable of movement, it leans against stout trees while waiting for its evolution. KAKUNA remains virtually immobile as it clings to a tree. However, on the inside, it is extremely busy as it prepares for its coming evolution. This is evident from how hot the shell becomes to the touch. It remains virtually immobile while it clings to a tree. However, on the inside, it busily prepares for evolution. This is evident from how hot its shell becomes. This POKéMON is in a temporary stage while making its body. It is almost completely unable to move on its own. Almost incapable of moving, this POKéMON can only harden its shell to protect itself when it is in danger. While awaiting evolution, it hides from predators under leaves and in nooks of branches. As its body becomes softer, the external shell hardens.</t>
        </is>
      </c>
    </row>
    <row r="377" ht="33.75" customHeight="1">
      <c r="A377" s="7">
        <v>14.0</v>
      </c>
      <c r="B377" s="9" t="s">
        <v>892</v>
      </c>
      <c r="C377" s="9" t="s">
        <v>72</v>
      </c>
      <c r="D377" s="9" t="s">
        <v>35</v>
      </c>
      <c r="E377" s="6" t="s">
        <v>1010</v>
      </c>
      <c r="F377" s="9" t="s">
        <v>1011</v>
      </c>
    </row>
    <row r="378" ht="33.75" customHeight="1">
      <c r="A378" s="7">
        <v>14.0</v>
      </c>
      <c r="B378" s="9" t="s">
        <v>892</v>
      </c>
      <c r="C378" s="9" t="s">
        <v>72</v>
      </c>
      <c r="D378" s="9" t="s">
        <v>42</v>
      </c>
      <c r="E378" s="6" t="s">
        <v>1015</v>
      </c>
      <c r="F378" s="9" t="s">
        <v>1011</v>
      </c>
    </row>
    <row r="379" ht="33.75" customHeight="1">
      <c r="A379" s="7">
        <v>14.0</v>
      </c>
      <c r="B379" s="9" t="s">
        <v>892</v>
      </c>
      <c r="C379" s="9" t="s">
        <v>72</v>
      </c>
      <c r="D379" s="9" t="s">
        <v>52</v>
      </c>
      <c r="E379" s="6" t="s">
        <v>1017</v>
      </c>
      <c r="F379" s="9" t="s">
        <v>1011</v>
      </c>
    </row>
    <row r="380" ht="33.75" customHeight="1">
      <c r="A380" s="7">
        <v>14.0</v>
      </c>
      <c r="B380" s="9" t="s">
        <v>892</v>
      </c>
      <c r="C380" s="9" t="s">
        <v>72</v>
      </c>
      <c r="D380" s="9" t="s">
        <v>59</v>
      </c>
      <c r="E380" s="6" t="s">
        <v>1020</v>
      </c>
      <c r="F380" s="9" t="s">
        <v>1011</v>
      </c>
    </row>
    <row r="381" ht="33.75" customHeight="1">
      <c r="A381" s="7">
        <v>14.0</v>
      </c>
      <c r="B381" s="9" t="s">
        <v>892</v>
      </c>
      <c r="C381" s="9" t="s">
        <v>72</v>
      </c>
      <c r="D381" s="9" t="s">
        <v>64</v>
      </c>
      <c r="E381" s="6" t="s">
        <v>1023</v>
      </c>
      <c r="F381" s="9" t="s">
        <v>1011</v>
      </c>
    </row>
    <row r="382" ht="33.75" customHeight="1">
      <c r="A382" s="7">
        <v>14.0</v>
      </c>
      <c r="B382" s="9" t="s">
        <v>892</v>
      </c>
      <c r="C382" s="9" t="s">
        <v>72</v>
      </c>
      <c r="D382" s="9" t="s">
        <v>67</v>
      </c>
      <c r="E382" s="6" t="s">
        <v>1025</v>
      </c>
      <c r="F382" s="9" t="s">
        <v>1011</v>
      </c>
    </row>
    <row r="383" ht="33.75" customHeight="1">
      <c r="A383" s="7">
        <v>14.0</v>
      </c>
      <c r="B383" s="9" t="s">
        <v>892</v>
      </c>
      <c r="C383" s="9" t="s">
        <v>72</v>
      </c>
      <c r="D383" s="9" t="s">
        <v>71</v>
      </c>
      <c r="E383" s="6" t="s">
        <v>1025</v>
      </c>
      <c r="F383" s="9" t="s">
        <v>1011</v>
      </c>
    </row>
    <row r="384" ht="33.75" customHeight="1">
      <c r="A384" s="7">
        <v>14.0</v>
      </c>
      <c r="B384" s="9" t="s">
        <v>892</v>
      </c>
      <c r="C384" s="9" t="s">
        <v>72</v>
      </c>
      <c r="D384" s="9" t="s">
        <v>73</v>
      </c>
      <c r="E384" s="6" t="s">
        <v>1029</v>
      </c>
      <c r="F384" s="9" t="s">
        <v>1011</v>
      </c>
    </row>
    <row r="385" ht="33.75" customHeight="1">
      <c r="A385" s="7">
        <v>14.0</v>
      </c>
      <c r="B385" s="9" t="s">
        <v>892</v>
      </c>
      <c r="C385" s="9" t="s">
        <v>72</v>
      </c>
      <c r="D385" s="9" t="s">
        <v>75</v>
      </c>
      <c r="E385" s="6" t="s">
        <v>1031</v>
      </c>
      <c r="F385" s="9" t="s">
        <v>1011</v>
      </c>
    </row>
    <row r="386" ht="33.75" customHeight="1">
      <c r="A386" s="7">
        <v>14.0</v>
      </c>
      <c r="B386" s="9" t="s">
        <v>892</v>
      </c>
      <c r="C386" s="9" t="s">
        <v>72</v>
      </c>
      <c r="D386" s="9" t="s">
        <v>79</v>
      </c>
      <c r="E386" s="6" t="s">
        <v>1034</v>
      </c>
      <c r="F386" s="9" t="s">
        <v>1011</v>
      </c>
    </row>
    <row r="387" ht="33.75" customHeight="1">
      <c r="A387" s="7">
        <v>14.0</v>
      </c>
      <c r="B387" s="9" t="s">
        <v>892</v>
      </c>
      <c r="C387" s="9" t="s">
        <v>72</v>
      </c>
      <c r="D387" s="9" t="s">
        <v>81</v>
      </c>
      <c r="E387" s="6" t="s">
        <v>1038</v>
      </c>
      <c r="F387" s="9" t="s">
        <v>1011</v>
      </c>
    </row>
    <row r="388" ht="33.75" customHeight="1">
      <c r="A388" s="7">
        <v>14.0</v>
      </c>
      <c r="B388" s="9" t="s">
        <v>892</v>
      </c>
      <c r="C388" s="9" t="s">
        <v>72</v>
      </c>
      <c r="D388" s="9" t="s">
        <v>84</v>
      </c>
      <c r="E388" s="6" t="s">
        <v>1038</v>
      </c>
      <c r="F388" s="9" t="s">
        <v>1011</v>
      </c>
    </row>
    <row r="389" ht="33.75" customHeight="1">
      <c r="A389" s="7">
        <v>14.0</v>
      </c>
      <c r="B389" s="9" t="s">
        <v>892</v>
      </c>
      <c r="C389" s="9" t="s">
        <v>72</v>
      </c>
      <c r="D389" s="9" t="s">
        <v>87</v>
      </c>
      <c r="E389" s="6" t="s">
        <v>1038</v>
      </c>
      <c r="F389" s="9" t="s">
        <v>1011</v>
      </c>
    </row>
    <row r="390" ht="33.75" customHeight="1">
      <c r="A390" s="7">
        <v>14.0</v>
      </c>
      <c r="B390" s="9" t="s">
        <v>892</v>
      </c>
      <c r="C390" s="9" t="s">
        <v>72</v>
      </c>
      <c r="D390" s="9" t="s">
        <v>89</v>
      </c>
      <c r="E390" s="6" t="s">
        <v>1017</v>
      </c>
      <c r="F390" s="9" t="s">
        <v>1011</v>
      </c>
    </row>
    <row r="391" ht="33.75" customHeight="1">
      <c r="A391" s="7">
        <v>14.0</v>
      </c>
      <c r="B391" s="9" t="s">
        <v>892</v>
      </c>
      <c r="C391" s="9" t="s">
        <v>72</v>
      </c>
      <c r="D391" s="9" t="s">
        <v>91</v>
      </c>
      <c r="E391" s="6" t="s">
        <v>1056</v>
      </c>
      <c r="F391" s="9" t="s">
        <v>1011</v>
      </c>
    </row>
    <row r="392" ht="33.75" customHeight="1">
      <c r="A392" s="7">
        <v>14.0</v>
      </c>
      <c r="B392" s="9" t="s">
        <v>892</v>
      </c>
      <c r="C392" s="9" t="s">
        <v>72</v>
      </c>
      <c r="D392" s="9" t="s">
        <v>93</v>
      </c>
      <c r="E392" s="6" t="s">
        <v>1038</v>
      </c>
      <c r="F392" s="9" t="s">
        <v>1011</v>
      </c>
    </row>
    <row r="393" ht="33.75" customHeight="1">
      <c r="A393" s="7">
        <v>14.0</v>
      </c>
      <c r="B393" s="9" t="s">
        <v>892</v>
      </c>
      <c r="C393" s="9" t="s">
        <v>72</v>
      </c>
      <c r="D393" s="9" t="s">
        <v>95</v>
      </c>
      <c r="E393" s="6" t="s">
        <v>1038</v>
      </c>
      <c r="F393" s="9" t="s">
        <v>1011</v>
      </c>
    </row>
    <row r="394" ht="33.75" customHeight="1">
      <c r="A394" s="7">
        <v>14.0</v>
      </c>
      <c r="B394" s="9" t="s">
        <v>892</v>
      </c>
      <c r="C394" s="9" t="s">
        <v>72</v>
      </c>
      <c r="D394" s="9" t="s">
        <v>98</v>
      </c>
      <c r="E394" s="6" t="s">
        <v>1038</v>
      </c>
      <c r="F394" s="9" t="s">
        <v>1011</v>
      </c>
    </row>
    <row r="395" ht="33.75" customHeight="1">
      <c r="A395" s="7">
        <v>14.0</v>
      </c>
      <c r="B395" s="9" t="s">
        <v>892</v>
      </c>
      <c r="C395" s="9" t="s">
        <v>72</v>
      </c>
      <c r="D395" s="9" t="s">
        <v>99</v>
      </c>
      <c r="E395" s="6" t="s">
        <v>1038</v>
      </c>
      <c r="F395" s="9" t="s">
        <v>1011</v>
      </c>
    </row>
    <row r="396" ht="33.75" customHeight="1">
      <c r="A396" s="7">
        <v>14.0</v>
      </c>
      <c r="B396" s="9" t="s">
        <v>892</v>
      </c>
      <c r="C396" s="9" t="s">
        <v>72</v>
      </c>
      <c r="D396" s="9" t="s">
        <v>101</v>
      </c>
      <c r="E396" s="6" t="s">
        <v>1075</v>
      </c>
      <c r="F396" s="9" t="s">
        <v>1011</v>
      </c>
    </row>
    <row r="397" ht="33.75" customHeight="1">
      <c r="A397" s="7">
        <v>14.0</v>
      </c>
      <c r="B397" s="9" t="s">
        <v>892</v>
      </c>
      <c r="C397" s="9" t="s">
        <v>72</v>
      </c>
      <c r="D397" s="9" t="s">
        <v>105</v>
      </c>
      <c r="E397" s="6" t="s">
        <v>1038</v>
      </c>
      <c r="F397" s="9" t="s">
        <v>1011</v>
      </c>
    </row>
    <row r="398" ht="33.75" customHeight="1">
      <c r="A398" s="7">
        <v>14.0</v>
      </c>
      <c r="B398" s="9" t="s">
        <v>892</v>
      </c>
      <c r="C398" s="9" t="s">
        <v>72</v>
      </c>
      <c r="D398" s="9" t="s">
        <v>107</v>
      </c>
      <c r="E398" s="6" t="s">
        <v>1079</v>
      </c>
      <c r="F398" s="9" t="s">
        <v>1011</v>
      </c>
    </row>
    <row r="399" ht="33.75" customHeight="1">
      <c r="A399" s="7">
        <v>14.0</v>
      </c>
      <c r="B399" s="9" t="s">
        <v>892</v>
      </c>
      <c r="C399" s="9" t="s">
        <v>72</v>
      </c>
      <c r="D399" s="9" t="s">
        <v>109</v>
      </c>
      <c r="E399" s="6" t="s">
        <v>1079</v>
      </c>
      <c r="F399" s="9" t="s">
        <v>1011</v>
      </c>
    </row>
    <row r="400" ht="33.75" customHeight="1">
      <c r="A400" s="7">
        <v>14.0</v>
      </c>
      <c r="B400" s="9" t="s">
        <v>892</v>
      </c>
      <c r="C400" s="9" t="s">
        <v>72</v>
      </c>
      <c r="D400" s="9" t="s">
        <v>111</v>
      </c>
      <c r="E400" s="6" t="s">
        <v>1015</v>
      </c>
      <c r="F400" s="9" t="s">
        <v>1011</v>
      </c>
    </row>
    <row r="401" ht="33.75" customHeight="1">
      <c r="A401" s="7">
        <v>14.0</v>
      </c>
      <c r="B401" s="9" t="s">
        <v>892</v>
      </c>
      <c r="C401" s="9" t="s">
        <v>72</v>
      </c>
      <c r="D401" s="9" t="s">
        <v>113</v>
      </c>
      <c r="E401" s="6" t="s">
        <v>1015</v>
      </c>
      <c r="F401" s="9" t="s">
        <v>1011</v>
      </c>
    </row>
    <row r="402" ht="33.75" customHeight="1">
      <c r="A402" s="7">
        <v>15.0</v>
      </c>
      <c r="B402" s="9" t="s">
        <v>975</v>
      </c>
      <c r="C402" s="9" t="s">
        <v>80</v>
      </c>
      <c r="D402" s="9" t="s">
        <v>24</v>
      </c>
      <c r="E402" s="6" t="s">
        <v>1086</v>
      </c>
      <c r="F402" s="9" t="s">
        <v>1087</v>
      </c>
      <c r="G402" t="inlineStr" s="6">
        <is>
          <t xml:space="preserve">Flies at high speed and attacks using Beedrill's large venomous stingers on its forelegs and tail. It has 3 poisonous stingers on its forelegs and its tail. They are used to jab its enemy repeatedly. It can take down any opponent with its powerful poi son stingers. It sometimes attacks in swarms. It has three poison barbs. The barb on its tail secretes the most powerful poison. It uses sharp, poisonous stings to defeat prey, then takes the victim back to its nest for food. BEEDRILL is extremely territorial. No one should ever approach its nest - this is for their own safety. If angered, they will attack in a furious swarm. A BEEDRILL is extremely territorial. For safety reasons, no one should ever approach its nest. If angered, they will attack in a swarm. May appear in a swarm. Flies at violent speeds, all the while stabbing with the toxic stinger on its rear. It flies at high speed and attacks using the large venomous stingers on its forelegs and tail. Its best attack involves flying around at high speed, striking with poison needles, then flying off. It can take down any opponent with its powerful poison stingers. It has three poisonous stingers on its forelegs and its tail. No one should ever approach its nest—this is for their own safety.</t>
        </is>
      </c>
    </row>
    <row r="403" ht="33.75" customHeight="1">
      <c r="A403" s="7">
        <v>15.0</v>
      </c>
      <c r="B403" s="9" t="s">
        <v>975</v>
      </c>
      <c r="C403" s="9" t="s">
        <v>80</v>
      </c>
      <c r="D403" s="9" t="s">
        <v>35</v>
      </c>
      <c r="E403" s="6" t="s">
        <v>1086</v>
      </c>
      <c r="F403" s="9" t="s">
        <v>1087</v>
      </c>
    </row>
    <row r="404" ht="33.75" customHeight="1">
      <c r="A404" s="7">
        <v>15.0</v>
      </c>
      <c r="B404" s="9" t="s">
        <v>975</v>
      </c>
      <c r="C404" s="9" t="s">
        <v>80</v>
      </c>
      <c r="D404" s="9" t="s">
        <v>42</v>
      </c>
      <c r="E404" s="6" t="s">
        <v>1092</v>
      </c>
      <c r="F404" s="9" t="s">
        <v>1087</v>
      </c>
    </row>
    <row r="405" ht="33.75" customHeight="1">
      <c r="A405" s="7">
        <v>15.0</v>
      </c>
      <c r="B405" s="9" t="s">
        <v>975</v>
      </c>
      <c r="C405" s="9" t="s">
        <v>80</v>
      </c>
      <c r="D405" s="9" t="s">
        <v>52</v>
      </c>
      <c r="E405" s="6" t="s">
        <v>1094</v>
      </c>
      <c r="F405" s="9" t="s">
        <v>1087</v>
      </c>
    </row>
    <row r="406" ht="33.75" customHeight="1">
      <c r="A406" s="7">
        <v>15.0</v>
      </c>
      <c r="B406" s="9" t="s">
        <v>975</v>
      </c>
      <c r="C406" s="9" t="s">
        <v>80</v>
      </c>
      <c r="D406" s="9" t="s">
        <v>59</v>
      </c>
      <c r="E406" s="6" t="s">
        <v>1097</v>
      </c>
      <c r="F406" s="9" t="s">
        <v>1087</v>
      </c>
    </row>
    <row r="407" ht="33.75" customHeight="1">
      <c r="A407" s="7">
        <v>15.0</v>
      </c>
      <c r="B407" s="9" t="s">
        <v>975</v>
      </c>
      <c r="C407" s="9" t="s">
        <v>80</v>
      </c>
      <c r="D407" s="9" t="s">
        <v>64</v>
      </c>
      <c r="E407" s="6" t="s">
        <v>1100</v>
      </c>
      <c r="F407" s="9" t="s">
        <v>1087</v>
      </c>
    </row>
    <row r="408" ht="33.75" customHeight="1">
      <c r="A408" s="7">
        <v>15.0</v>
      </c>
      <c r="B408" s="9" t="s">
        <v>975</v>
      </c>
      <c r="C408" s="9" t="s">
        <v>80</v>
      </c>
      <c r="D408" s="9" t="s">
        <v>67</v>
      </c>
      <c r="E408" s="6" t="s">
        <v>1103</v>
      </c>
      <c r="F408" s="9" t="s">
        <v>1087</v>
      </c>
    </row>
    <row r="409" ht="33.75" customHeight="1">
      <c r="A409" s="7">
        <v>15.0</v>
      </c>
      <c r="B409" s="9" t="s">
        <v>975</v>
      </c>
      <c r="C409" s="9" t="s">
        <v>80</v>
      </c>
      <c r="D409" s="9" t="s">
        <v>71</v>
      </c>
      <c r="E409" s="6" t="s">
        <v>1103</v>
      </c>
      <c r="F409" s="9" t="s">
        <v>1087</v>
      </c>
    </row>
    <row r="410" ht="33.75" customHeight="1">
      <c r="A410" s="7">
        <v>15.0</v>
      </c>
      <c r="B410" s="9" t="s">
        <v>975</v>
      </c>
      <c r="C410" s="9" t="s">
        <v>80</v>
      </c>
      <c r="D410" s="9" t="s">
        <v>73</v>
      </c>
      <c r="E410" s="6" t="s">
        <v>1107</v>
      </c>
      <c r="F410" s="9" t="s">
        <v>1087</v>
      </c>
    </row>
    <row r="411" ht="33.75" customHeight="1">
      <c r="A411" s="7">
        <v>15.0</v>
      </c>
      <c r="B411" s="9" t="s">
        <v>975</v>
      </c>
      <c r="C411" s="9" t="s">
        <v>80</v>
      </c>
      <c r="D411" s="9" t="s">
        <v>75</v>
      </c>
      <c r="E411" s="6" t="s">
        <v>1112</v>
      </c>
      <c r="F411" s="9" t="s">
        <v>1087</v>
      </c>
    </row>
    <row r="412" ht="33.75" customHeight="1">
      <c r="A412" s="7">
        <v>15.0</v>
      </c>
      <c r="B412" s="9" t="s">
        <v>975</v>
      </c>
      <c r="C412" s="9" t="s">
        <v>80</v>
      </c>
      <c r="D412" s="9" t="s">
        <v>79</v>
      </c>
      <c r="E412" s="6" t="s">
        <v>1115</v>
      </c>
      <c r="F412" s="9" t="s">
        <v>1087</v>
      </c>
    </row>
    <row r="413" ht="33.75" customHeight="1">
      <c r="A413" s="7">
        <v>15.0</v>
      </c>
      <c r="B413" s="9" t="s">
        <v>975</v>
      </c>
      <c r="C413" s="9" t="s">
        <v>80</v>
      </c>
      <c r="D413" s="9" t="s">
        <v>81</v>
      </c>
      <c r="E413" s="6" t="s">
        <v>1118</v>
      </c>
      <c r="F413" s="9" t="s">
        <v>1087</v>
      </c>
    </row>
    <row r="414" ht="33.75" customHeight="1">
      <c r="A414" s="7">
        <v>15.0</v>
      </c>
      <c r="B414" s="9" t="s">
        <v>975</v>
      </c>
      <c r="C414" s="9" t="s">
        <v>80</v>
      </c>
      <c r="D414" s="9" t="s">
        <v>84</v>
      </c>
      <c r="E414" s="6" t="s">
        <v>1118</v>
      </c>
      <c r="F414" s="9" t="s">
        <v>1087</v>
      </c>
    </row>
    <row r="415" ht="33.75" customHeight="1">
      <c r="A415" s="7">
        <v>15.0</v>
      </c>
      <c r="B415" s="9" t="s">
        <v>975</v>
      </c>
      <c r="C415" s="9" t="s">
        <v>80</v>
      </c>
      <c r="D415" s="9" t="s">
        <v>87</v>
      </c>
      <c r="E415" s="6" t="s">
        <v>1118</v>
      </c>
      <c r="F415" s="9" t="s">
        <v>1087</v>
      </c>
    </row>
    <row r="416" ht="33.75" customHeight="1">
      <c r="A416" s="7">
        <v>15.0</v>
      </c>
      <c r="B416" s="9" t="s">
        <v>975</v>
      </c>
      <c r="C416" s="9" t="s">
        <v>80</v>
      </c>
      <c r="D416" s="9" t="s">
        <v>89</v>
      </c>
      <c r="E416" s="6" t="s">
        <v>1127</v>
      </c>
      <c r="F416" s="9" t="s">
        <v>1087</v>
      </c>
    </row>
    <row r="417" ht="33.75" customHeight="1">
      <c r="A417" s="7">
        <v>15.0</v>
      </c>
      <c r="B417" s="9" t="s">
        <v>975</v>
      </c>
      <c r="C417" s="9" t="s">
        <v>80</v>
      </c>
      <c r="D417" s="9" t="s">
        <v>91</v>
      </c>
      <c r="E417" s="6" t="s">
        <v>1097</v>
      </c>
      <c r="F417" s="9" t="s">
        <v>1087</v>
      </c>
    </row>
    <row r="418" ht="33.75" customHeight="1">
      <c r="A418" s="7">
        <v>15.0</v>
      </c>
      <c r="B418" s="9" t="s">
        <v>975</v>
      </c>
      <c r="C418" s="9" t="s">
        <v>80</v>
      </c>
      <c r="D418" s="9" t="s">
        <v>93</v>
      </c>
      <c r="E418" s="6" t="s">
        <v>1118</v>
      </c>
      <c r="F418" s="9" t="s">
        <v>1087</v>
      </c>
    </row>
    <row r="419" ht="33.75" customHeight="1">
      <c r="A419" s="7">
        <v>15.0</v>
      </c>
      <c r="B419" s="9" t="s">
        <v>975</v>
      </c>
      <c r="C419" s="9" t="s">
        <v>80</v>
      </c>
      <c r="D419" s="9" t="s">
        <v>95</v>
      </c>
      <c r="E419" s="6" t="s">
        <v>1118</v>
      </c>
      <c r="F419" s="9" t="s">
        <v>1087</v>
      </c>
    </row>
    <row r="420" ht="33.75" customHeight="1">
      <c r="A420" s="7">
        <v>15.0</v>
      </c>
      <c r="B420" s="9" t="s">
        <v>975</v>
      </c>
      <c r="C420" s="9" t="s">
        <v>80</v>
      </c>
      <c r="D420" s="9" t="s">
        <v>98</v>
      </c>
      <c r="E420" s="6" t="s">
        <v>1118</v>
      </c>
      <c r="F420" s="9" t="s">
        <v>1087</v>
      </c>
    </row>
    <row r="421" ht="33.75" customHeight="1">
      <c r="A421" s="7">
        <v>15.0</v>
      </c>
      <c r="B421" s="9" t="s">
        <v>975</v>
      </c>
      <c r="C421" s="9" t="s">
        <v>80</v>
      </c>
      <c r="D421" s="9" t="s">
        <v>99</v>
      </c>
      <c r="E421" s="6" t="s">
        <v>1118</v>
      </c>
      <c r="F421" s="9" t="s">
        <v>1087</v>
      </c>
    </row>
    <row r="422" ht="33.75" customHeight="1">
      <c r="A422" s="7">
        <v>15.0</v>
      </c>
      <c r="B422" s="9" t="s">
        <v>975</v>
      </c>
      <c r="C422" s="9" t="s">
        <v>80</v>
      </c>
      <c r="D422" s="9" t="s">
        <v>101</v>
      </c>
      <c r="E422" s="6" t="s">
        <v>1143</v>
      </c>
      <c r="F422" s="9" t="s">
        <v>1087</v>
      </c>
    </row>
    <row r="423" ht="33.75" customHeight="1">
      <c r="A423" s="7">
        <v>15.0</v>
      </c>
      <c r="B423" s="9" t="s">
        <v>975</v>
      </c>
      <c r="C423" s="9" t="s">
        <v>80</v>
      </c>
      <c r="D423" s="9" t="s">
        <v>105</v>
      </c>
      <c r="E423" s="6" t="s">
        <v>1112</v>
      </c>
      <c r="F423" s="9" t="s">
        <v>1087</v>
      </c>
    </row>
    <row r="424" ht="33.75" customHeight="1">
      <c r="A424" s="7">
        <v>15.0</v>
      </c>
      <c r="B424" s="9" t="s">
        <v>975</v>
      </c>
      <c r="C424" s="9" t="s">
        <v>80</v>
      </c>
      <c r="D424" s="9" t="s">
        <v>107</v>
      </c>
      <c r="E424" s="6" t="s">
        <v>1148</v>
      </c>
      <c r="F424" s="9" t="s">
        <v>1087</v>
      </c>
    </row>
    <row r="425" ht="33.75" customHeight="1">
      <c r="A425" s="7">
        <v>15.0</v>
      </c>
      <c r="B425" s="9" t="s">
        <v>975</v>
      </c>
      <c r="C425" s="9" t="s">
        <v>80</v>
      </c>
      <c r="D425" s="9" t="s">
        <v>109</v>
      </c>
      <c r="E425" s="6" t="s">
        <v>1148</v>
      </c>
      <c r="F425" s="9" t="s">
        <v>1087</v>
      </c>
    </row>
    <row r="426" ht="33.75" customHeight="1">
      <c r="A426" s="7">
        <v>15.0</v>
      </c>
      <c r="B426" s="9" t="s">
        <v>975</v>
      </c>
      <c r="C426" s="9" t="s">
        <v>80</v>
      </c>
      <c r="D426" s="9" t="s">
        <v>111</v>
      </c>
      <c r="E426" s="6" t="s">
        <v>1143</v>
      </c>
      <c r="F426" s="9" t="s">
        <v>1087</v>
      </c>
    </row>
    <row r="427" ht="33.75" customHeight="1">
      <c r="A427" s="7">
        <v>15.0</v>
      </c>
      <c r="B427" s="9" t="s">
        <v>975</v>
      </c>
      <c r="C427" s="9" t="s">
        <v>80</v>
      </c>
      <c r="D427" s="9" t="s">
        <v>113</v>
      </c>
      <c r="E427" s="6" t="s">
        <v>1143</v>
      </c>
      <c r="F427" s="9" t="s">
        <v>1087</v>
      </c>
    </row>
    <row r="428" ht="33.75" customHeight="1">
      <c r="A428" s="7">
        <v>16.0</v>
      </c>
      <c r="B428" s="9" t="s">
        <v>1040</v>
      </c>
      <c r="C428" s="9" t="s">
        <v>83</v>
      </c>
      <c r="D428" s="9" t="s">
        <v>24</v>
      </c>
      <c r="E428" s="6" t="s">
        <v>1159</v>
      </c>
      <c r="F428" s="9" t="s">
        <v>1160</v>
      </c>
      <c r="G428" t="inlineStr" s="6">
        <is>
          <t xml:space="preserve">A common sight in forests and woods. It flaps its wings at ground level to kick up blinding sand. Very docile. If attacked, it will often kick up sand to protect itself rather than fight back. It usually hides in tall grass. Be cause it dislikes fighting, it pro tects itself by kicking up sand. Common in grassy areas and forests, it is very docile and will chase off enemies by flapping up sand. It rapidly flaps its wings in the grass, stirring up a dust cloud that drives insect prey out into the open. PIDGEY has an extremely sharp sense of direction. It is capable of unerringly returning home to its nest, however far it may be removed from its familiar surroundings. It has an extremely sharp sense of direction. It can unerringly return home to its nest, however far it may be removed from its familiar surroundings. Does not like to fight. It hides in tall grass and so on, foraging for food such as small bugs. It is docile and prefers to avoid conflict. If disturbed, however, it can ferociously strike back. Because it dislikes fighting, it protects itself by kicking up sand.</t>
        </is>
      </c>
    </row>
    <row r="429" ht="33.75" customHeight="1">
      <c r="A429" s="7">
        <v>16.0</v>
      </c>
      <c r="B429" s="9" t="s">
        <v>1040</v>
      </c>
      <c r="C429" s="9" t="s">
        <v>83</v>
      </c>
      <c r="D429" s="9" t="s">
        <v>35</v>
      </c>
      <c r="E429" s="6" t="s">
        <v>1159</v>
      </c>
      <c r="F429" s="9" t="s">
        <v>1160</v>
      </c>
    </row>
    <row r="430" ht="33.75" customHeight="1">
      <c r="A430" s="7">
        <v>16.0</v>
      </c>
      <c r="B430" s="9" t="s">
        <v>1040</v>
      </c>
      <c r="C430" s="9" t="s">
        <v>83</v>
      </c>
      <c r="D430" s="9" t="s">
        <v>42</v>
      </c>
      <c r="E430" s="6" t="s">
        <v>1164</v>
      </c>
      <c r="F430" s="9" t="s">
        <v>1160</v>
      </c>
    </row>
    <row r="431" ht="33.75" customHeight="1">
      <c r="A431" s="7">
        <v>16.0</v>
      </c>
      <c r="B431" s="9" t="s">
        <v>1040</v>
      </c>
      <c r="C431" s="9" t="s">
        <v>83</v>
      </c>
      <c r="D431" s="9" t="s">
        <v>52</v>
      </c>
      <c r="E431" s="6" t="s">
        <v>1166</v>
      </c>
      <c r="F431" s="9" t="s">
        <v>1160</v>
      </c>
    </row>
    <row r="432" ht="33.75" customHeight="1">
      <c r="A432" s="7">
        <v>16.0</v>
      </c>
      <c r="B432" s="9" t="s">
        <v>1040</v>
      </c>
      <c r="C432" s="9" t="s">
        <v>83</v>
      </c>
      <c r="D432" s="9" t="s">
        <v>59</v>
      </c>
      <c r="E432" s="6" t="s">
        <v>1168</v>
      </c>
      <c r="F432" s="9" t="s">
        <v>1160</v>
      </c>
    </row>
    <row r="433" ht="33.75" customHeight="1">
      <c r="A433" s="7">
        <v>16.0</v>
      </c>
      <c r="B433" s="9" t="s">
        <v>1040</v>
      </c>
      <c r="C433" s="9" t="s">
        <v>83</v>
      </c>
      <c r="D433" s="9" t="s">
        <v>64</v>
      </c>
      <c r="E433" s="6" t="s">
        <v>1171</v>
      </c>
      <c r="F433" s="9" t="s">
        <v>1160</v>
      </c>
    </row>
    <row r="434" ht="33.75" customHeight="1">
      <c r="A434" s="7">
        <v>16.0</v>
      </c>
      <c r="B434" s="9" t="s">
        <v>1040</v>
      </c>
      <c r="C434" s="9" t="s">
        <v>83</v>
      </c>
      <c r="D434" s="9" t="s">
        <v>67</v>
      </c>
      <c r="E434" s="6" t="s">
        <v>1174</v>
      </c>
      <c r="F434" s="9" t="s">
        <v>1160</v>
      </c>
    </row>
    <row r="435" ht="33.75" customHeight="1">
      <c r="A435" s="7">
        <v>16.0</v>
      </c>
      <c r="B435" s="9" t="s">
        <v>1040</v>
      </c>
      <c r="C435" s="9" t="s">
        <v>83</v>
      </c>
      <c r="D435" s="9" t="s">
        <v>71</v>
      </c>
      <c r="E435" s="6" t="s">
        <v>1174</v>
      </c>
      <c r="F435" s="9" t="s">
        <v>1160</v>
      </c>
    </row>
    <row r="436" ht="33.75" customHeight="1">
      <c r="A436" s="7">
        <v>16.0</v>
      </c>
      <c r="B436" s="9" t="s">
        <v>1040</v>
      </c>
      <c r="C436" s="9" t="s">
        <v>83</v>
      </c>
      <c r="D436" s="9" t="s">
        <v>73</v>
      </c>
      <c r="E436" s="6" t="s">
        <v>1178</v>
      </c>
      <c r="F436" s="9" t="s">
        <v>1160</v>
      </c>
    </row>
    <row r="437" ht="33.75" customHeight="1">
      <c r="A437" s="7">
        <v>16.0</v>
      </c>
      <c r="B437" s="9" t="s">
        <v>1040</v>
      </c>
      <c r="C437" s="9" t="s">
        <v>83</v>
      </c>
      <c r="D437" s="9" t="s">
        <v>75</v>
      </c>
      <c r="E437" s="6" t="s">
        <v>1181</v>
      </c>
      <c r="F437" s="9" t="s">
        <v>1160</v>
      </c>
    </row>
    <row r="438" ht="33.75" customHeight="1">
      <c r="A438" s="7">
        <v>16.0</v>
      </c>
      <c r="B438" s="9" t="s">
        <v>1040</v>
      </c>
      <c r="C438" s="9" t="s">
        <v>83</v>
      </c>
      <c r="D438" s="9" t="s">
        <v>79</v>
      </c>
      <c r="E438" s="6" t="s">
        <v>1159</v>
      </c>
      <c r="F438" s="9" t="s">
        <v>1160</v>
      </c>
    </row>
    <row r="439" ht="33.75" customHeight="1">
      <c r="A439" s="7">
        <v>16.0</v>
      </c>
      <c r="B439" s="9" t="s">
        <v>1040</v>
      </c>
      <c r="C439" s="9" t="s">
        <v>83</v>
      </c>
      <c r="D439" s="9" t="s">
        <v>81</v>
      </c>
      <c r="E439" s="6" t="s">
        <v>1184</v>
      </c>
      <c r="F439" s="9" t="s">
        <v>1160</v>
      </c>
    </row>
    <row r="440" ht="33.75" customHeight="1">
      <c r="A440" s="7">
        <v>16.0</v>
      </c>
      <c r="B440" s="9" t="s">
        <v>1040</v>
      </c>
      <c r="C440" s="9" t="s">
        <v>83</v>
      </c>
      <c r="D440" s="9" t="s">
        <v>84</v>
      </c>
      <c r="E440" s="6" t="s">
        <v>1184</v>
      </c>
      <c r="F440" s="9" t="s">
        <v>1160</v>
      </c>
    </row>
    <row r="441" ht="33.75" customHeight="1">
      <c r="A441" s="7">
        <v>16.0</v>
      </c>
      <c r="B441" s="9" t="s">
        <v>1040</v>
      </c>
      <c r="C441" s="9" t="s">
        <v>83</v>
      </c>
      <c r="D441" s="9" t="s">
        <v>87</v>
      </c>
      <c r="E441" s="6" t="s">
        <v>1184</v>
      </c>
      <c r="F441" s="9" t="s">
        <v>1160</v>
      </c>
    </row>
    <row r="442" ht="33.75" customHeight="1">
      <c r="A442" s="7">
        <v>16.0</v>
      </c>
      <c r="B442" s="9" t="s">
        <v>1040</v>
      </c>
      <c r="C442" s="9" t="s">
        <v>83</v>
      </c>
      <c r="D442" s="9" t="s">
        <v>89</v>
      </c>
      <c r="E442" s="6" t="s">
        <v>1193</v>
      </c>
      <c r="F442" s="9" t="s">
        <v>1160</v>
      </c>
    </row>
    <row r="443" ht="33.75" customHeight="1">
      <c r="A443" s="7">
        <v>16.0</v>
      </c>
      <c r="B443" s="9" t="s">
        <v>1040</v>
      </c>
      <c r="C443" s="9" t="s">
        <v>83</v>
      </c>
      <c r="D443" s="9" t="s">
        <v>91</v>
      </c>
      <c r="E443" s="6" t="s">
        <v>1196</v>
      </c>
      <c r="F443" s="9" t="s">
        <v>1160</v>
      </c>
    </row>
    <row r="444" ht="33.75" customHeight="1">
      <c r="A444" s="7">
        <v>16.0</v>
      </c>
      <c r="B444" s="9" t="s">
        <v>1040</v>
      </c>
      <c r="C444" s="9" t="s">
        <v>83</v>
      </c>
      <c r="D444" s="9" t="s">
        <v>93</v>
      </c>
      <c r="E444" s="6" t="s">
        <v>1184</v>
      </c>
      <c r="F444" s="9" t="s">
        <v>1160</v>
      </c>
    </row>
    <row r="445" ht="33.75" customHeight="1">
      <c r="A445" s="7">
        <v>16.0</v>
      </c>
      <c r="B445" s="9" t="s">
        <v>1040</v>
      </c>
      <c r="C445" s="9" t="s">
        <v>83</v>
      </c>
      <c r="D445" s="9" t="s">
        <v>95</v>
      </c>
      <c r="E445" s="6" t="s">
        <v>1184</v>
      </c>
      <c r="F445" s="9" t="s">
        <v>1160</v>
      </c>
    </row>
    <row r="446" ht="33.75" customHeight="1">
      <c r="A446" s="7">
        <v>16.0</v>
      </c>
      <c r="B446" s="9" t="s">
        <v>1040</v>
      </c>
      <c r="C446" s="9" t="s">
        <v>83</v>
      </c>
      <c r="D446" s="9" t="s">
        <v>98</v>
      </c>
      <c r="E446" s="6" t="s">
        <v>1184</v>
      </c>
      <c r="F446" s="9" t="s">
        <v>1160</v>
      </c>
    </row>
    <row r="447" ht="33.75" customHeight="1">
      <c r="A447" s="7">
        <v>16.0</v>
      </c>
      <c r="B447" s="9" t="s">
        <v>1040</v>
      </c>
      <c r="C447" s="9" t="s">
        <v>83</v>
      </c>
      <c r="D447" s="9" t="s">
        <v>99</v>
      </c>
      <c r="E447" s="6" t="s">
        <v>1184</v>
      </c>
      <c r="F447" s="9" t="s">
        <v>1160</v>
      </c>
    </row>
    <row r="448" ht="33.75" customHeight="1">
      <c r="A448" s="7">
        <v>16.0</v>
      </c>
      <c r="B448" s="9" t="s">
        <v>1040</v>
      </c>
      <c r="C448" s="9" t="s">
        <v>83</v>
      </c>
      <c r="D448" s="9" t="s">
        <v>101</v>
      </c>
      <c r="E448" s="6" t="s">
        <v>1159</v>
      </c>
      <c r="F448" s="9" t="s">
        <v>1160</v>
      </c>
    </row>
    <row r="449" ht="33.75" customHeight="1">
      <c r="A449" s="7">
        <v>16.0</v>
      </c>
      <c r="B449" s="9" t="s">
        <v>1040</v>
      </c>
      <c r="C449" s="9" t="s">
        <v>83</v>
      </c>
      <c r="D449" s="9" t="s">
        <v>105</v>
      </c>
      <c r="E449" s="6" t="s">
        <v>1184</v>
      </c>
      <c r="F449" s="9" t="s">
        <v>1160</v>
      </c>
    </row>
    <row r="450" ht="33.75" customHeight="1">
      <c r="A450" s="7">
        <v>16.0</v>
      </c>
      <c r="B450" s="9" t="s">
        <v>1040</v>
      </c>
      <c r="C450" s="9" t="s">
        <v>83</v>
      </c>
      <c r="D450" s="9" t="s">
        <v>107</v>
      </c>
      <c r="E450" s="6" t="s">
        <v>1221</v>
      </c>
      <c r="F450" s="9" t="s">
        <v>1160</v>
      </c>
    </row>
    <row r="451" ht="33.75" customHeight="1">
      <c r="A451" s="7">
        <v>16.0</v>
      </c>
      <c r="B451" s="9" t="s">
        <v>1040</v>
      </c>
      <c r="C451" s="9" t="s">
        <v>83</v>
      </c>
      <c r="D451" s="9" t="s">
        <v>109</v>
      </c>
      <c r="E451" s="6" t="s">
        <v>1221</v>
      </c>
      <c r="F451" s="9" t="s">
        <v>1160</v>
      </c>
    </row>
    <row r="452" ht="33.75" customHeight="1">
      <c r="A452" s="7">
        <v>16.0</v>
      </c>
      <c r="B452" s="9" t="s">
        <v>1040</v>
      </c>
      <c r="C452" s="9" t="s">
        <v>83</v>
      </c>
      <c r="D452" s="9" t="s">
        <v>111</v>
      </c>
      <c r="E452" s="6" t="s">
        <v>1164</v>
      </c>
      <c r="F452" s="9" t="s">
        <v>1160</v>
      </c>
    </row>
    <row r="453" ht="33.75" customHeight="1">
      <c r="A453" s="7">
        <v>16.0</v>
      </c>
      <c r="B453" s="9" t="s">
        <v>1040</v>
      </c>
      <c r="C453" s="9" t="s">
        <v>83</v>
      </c>
      <c r="D453" s="9" t="s">
        <v>113</v>
      </c>
      <c r="E453" s="6" t="s">
        <v>1164</v>
      </c>
      <c r="F453" s="9" t="s">
        <v>1160</v>
      </c>
    </row>
    <row r="454" ht="33.75" customHeight="1">
      <c r="A454" s="7">
        <v>17.0</v>
      </c>
      <c r="B454" s="9" t="s">
        <v>1121</v>
      </c>
      <c r="C454" s="9" t="s">
        <v>86</v>
      </c>
      <c r="D454" s="9" t="s">
        <v>24</v>
      </c>
      <c r="E454" s="6" t="s">
        <v>1229</v>
      </c>
      <c r="F454" s="9" t="s">
        <v>1230</v>
      </c>
      <c r="G454" t="inlineStr" s="6">
        <is>
          <t xml:space="preserve">Very protective of Pidgeotto's sprawling territorial area, this POKéMON will fiercely peck at any intruder. This POKéMON is full of vitality. It constantly flies around its large territory in search of prey. It has outstanding vision. However high it flies, it is able to distinguish the movements of its prey. It immobilizes its prey using well- developed claws, then carries the prey more than 60 miles to its nest. It slowly flies in a circular pattern, all the while keeping a sharp lookout for prey. PIDGEOTTO claims a large area as its own territory. This POKéMON flies around, patrolling its living space. If its territory is violated, it shows no mercy in thoroughly punishing the foe with its sharp claws. This POKéMON flies around, patrolling its large territory. If its living space is violated, it shows no mercy in thoroughly punishing the foe with its sharp claws. The claws on its feet are well developed. It can carry prey such as an EXEGGCUTE to its nest over 60 miles away. It flies over its wide territory in search of prey, downing it with its highly developed claws. It renders its prey immobile using well-developed claws, then carries the prey more than 60 miles to its nest.</t>
        </is>
      </c>
    </row>
    <row r="455" ht="33.75" customHeight="1">
      <c r="A455" s="7">
        <v>17.0</v>
      </c>
      <c r="B455" s="9" t="s">
        <v>1121</v>
      </c>
      <c r="C455" s="9" t="s">
        <v>86</v>
      </c>
      <c r="D455" s="9" t="s">
        <v>35</v>
      </c>
      <c r="E455" s="6" t="s">
        <v>1229</v>
      </c>
      <c r="F455" s="9" t="s">
        <v>1230</v>
      </c>
    </row>
    <row r="456" ht="33.75" customHeight="1">
      <c r="A456" s="7">
        <v>17.0</v>
      </c>
      <c r="B456" s="9" t="s">
        <v>1121</v>
      </c>
      <c r="C456" s="9" t="s">
        <v>86</v>
      </c>
      <c r="D456" s="9" t="s">
        <v>42</v>
      </c>
      <c r="E456" s="6" t="s">
        <v>1236</v>
      </c>
      <c r="F456" s="9" t="s">
        <v>1230</v>
      </c>
    </row>
    <row r="457" ht="33.75" customHeight="1">
      <c r="A457" s="7">
        <v>17.0</v>
      </c>
      <c r="B457" s="9" t="s">
        <v>1121</v>
      </c>
      <c r="C457" s="9" t="s">
        <v>86</v>
      </c>
      <c r="D457" s="9" t="s">
        <v>52</v>
      </c>
      <c r="E457" s="6" t="s">
        <v>1240</v>
      </c>
      <c r="F457" s="9" t="s">
        <v>1230</v>
      </c>
    </row>
    <row r="458" ht="33.75" customHeight="1">
      <c r="A458" s="7">
        <v>17.0</v>
      </c>
      <c r="B458" s="9" t="s">
        <v>1121</v>
      </c>
      <c r="C458" s="9" t="s">
        <v>86</v>
      </c>
      <c r="D458" s="9" t="s">
        <v>59</v>
      </c>
      <c r="E458" s="6" t="s">
        <v>1243</v>
      </c>
      <c r="F458" s="9" t="s">
        <v>1230</v>
      </c>
    </row>
    <row r="459" ht="33.75" customHeight="1">
      <c r="A459" s="7">
        <v>17.0</v>
      </c>
      <c r="B459" s="9" t="s">
        <v>1121</v>
      </c>
      <c r="C459" s="9" t="s">
        <v>86</v>
      </c>
      <c r="D459" s="9" t="s">
        <v>64</v>
      </c>
      <c r="E459" s="6" t="s">
        <v>1246</v>
      </c>
      <c r="F459" s="9" t="s">
        <v>1230</v>
      </c>
    </row>
    <row r="460" ht="33.75" customHeight="1">
      <c r="A460" s="7">
        <v>17.0</v>
      </c>
      <c r="B460" s="9" t="s">
        <v>1121</v>
      </c>
      <c r="C460" s="9" t="s">
        <v>86</v>
      </c>
      <c r="D460" s="9" t="s">
        <v>67</v>
      </c>
      <c r="E460" s="6" t="s">
        <v>1248</v>
      </c>
      <c r="F460" s="9" t="s">
        <v>1230</v>
      </c>
    </row>
    <row r="461" ht="33.75" customHeight="1">
      <c r="A461" s="7">
        <v>17.0</v>
      </c>
      <c r="B461" s="9" t="s">
        <v>1121</v>
      </c>
      <c r="C461" s="9" t="s">
        <v>86</v>
      </c>
      <c r="D461" s="9" t="s">
        <v>71</v>
      </c>
      <c r="E461" s="6" t="s">
        <v>1248</v>
      </c>
      <c r="F461" s="9" t="s">
        <v>1230</v>
      </c>
    </row>
    <row r="462" ht="33.75" customHeight="1">
      <c r="A462" s="7">
        <v>17.0</v>
      </c>
      <c r="B462" s="9" t="s">
        <v>1121</v>
      </c>
      <c r="C462" s="9" t="s">
        <v>86</v>
      </c>
      <c r="D462" s="9" t="s">
        <v>73</v>
      </c>
      <c r="E462" s="6" t="s">
        <v>1253</v>
      </c>
      <c r="F462" s="9" t="s">
        <v>1230</v>
      </c>
    </row>
    <row r="463" ht="33.75" customHeight="1">
      <c r="A463" s="7">
        <v>17.0</v>
      </c>
      <c r="B463" s="9" t="s">
        <v>1121</v>
      </c>
      <c r="C463" s="9" t="s">
        <v>86</v>
      </c>
      <c r="D463" s="9" t="s">
        <v>75</v>
      </c>
      <c r="E463" s="6" t="s">
        <v>1256</v>
      </c>
      <c r="F463" s="9" t="s">
        <v>1230</v>
      </c>
    </row>
    <row r="464" ht="33.75" customHeight="1">
      <c r="A464" s="7">
        <v>17.0</v>
      </c>
      <c r="B464" s="9" t="s">
        <v>1121</v>
      </c>
      <c r="C464" s="9" t="s">
        <v>86</v>
      </c>
      <c r="D464" s="9" t="s">
        <v>79</v>
      </c>
      <c r="E464" s="6" t="s">
        <v>1229</v>
      </c>
      <c r="F464" s="9" t="s">
        <v>1230</v>
      </c>
    </row>
    <row r="465" ht="33.75" customHeight="1">
      <c r="A465" s="7">
        <v>17.0</v>
      </c>
      <c r="B465" s="9" t="s">
        <v>1121</v>
      </c>
      <c r="C465" s="9" t="s">
        <v>86</v>
      </c>
      <c r="D465" s="9" t="s">
        <v>81</v>
      </c>
      <c r="E465" s="6" t="s">
        <v>1261</v>
      </c>
      <c r="F465" s="9" t="s">
        <v>1230</v>
      </c>
    </row>
    <row r="466" ht="33.75" customHeight="1">
      <c r="A466" s="7">
        <v>17.0</v>
      </c>
      <c r="B466" s="9" t="s">
        <v>1121</v>
      </c>
      <c r="C466" s="9" t="s">
        <v>86</v>
      </c>
      <c r="D466" s="9" t="s">
        <v>84</v>
      </c>
      <c r="E466" s="6" t="s">
        <v>1261</v>
      </c>
      <c r="F466" s="9" t="s">
        <v>1230</v>
      </c>
    </row>
    <row r="467" ht="33.75" customHeight="1">
      <c r="A467" s="7">
        <v>17.0</v>
      </c>
      <c r="B467" s="9" t="s">
        <v>1121</v>
      </c>
      <c r="C467" s="9" t="s">
        <v>86</v>
      </c>
      <c r="D467" s="9" t="s">
        <v>87</v>
      </c>
      <c r="E467" s="6" t="s">
        <v>1261</v>
      </c>
      <c r="F467" s="9" t="s">
        <v>1230</v>
      </c>
    </row>
    <row r="468" ht="33.75" customHeight="1">
      <c r="A468" s="7">
        <v>17.0</v>
      </c>
      <c r="B468" s="9" t="s">
        <v>1121</v>
      </c>
      <c r="C468" s="9" t="s">
        <v>86</v>
      </c>
      <c r="D468" s="9" t="s">
        <v>89</v>
      </c>
      <c r="E468" s="6" t="s">
        <v>1266</v>
      </c>
      <c r="F468" s="9" t="s">
        <v>1230</v>
      </c>
    </row>
    <row r="469" ht="33.75" customHeight="1">
      <c r="A469" s="7">
        <v>17.0</v>
      </c>
      <c r="B469" s="9" t="s">
        <v>1121</v>
      </c>
      <c r="C469" s="9" t="s">
        <v>86</v>
      </c>
      <c r="D469" s="9" t="s">
        <v>91</v>
      </c>
      <c r="E469" s="6" t="s">
        <v>1269</v>
      </c>
      <c r="F469" s="9" t="s">
        <v>1230</v>
      </c>
    </row>
    <row r="470" ht="33.75" customHeight="1">
      <c r="A470" s="7">
        <v>17.0</v>
      </c>
      <c r="B470" s="9" t="s">
        <v>1121</v>
      </c>
      <c r="C470" s="9" t="s">
        <v>86</v>
      </c>
      <c r="D470" s="9" t="s">
        <v>93</v>
      </c>
      <c r="E470" s="6" t="s">
        <v>1261</v>
      </c>
      <c r="F470" s="9" t="s">
        <v>1230</v>
      </c>
    </row>
    <row r="471" ht="33.75" customHeight="1">
      <c r="A471" s="7">
        <v>17.0</v>
      </c>
      <c r="B471" s="9" t="s">
        <v>1121</v>
      </c>
      <c r="C471" s="9" t="s">
        <v>86</v>
      </c>
      <c r="D471" s="9" t="s">
        <v>95</v>
      </c>
      <c r="E471" s="6" t="s">
        <v>1261</v>
      </c>
      <c r="F471" s="9" t="s">
        <v>1230</v>
      </c>
    </row>
    <row r="472" ht="33.75" customHeight="1">
      <c r="A472" s="7">
        <v>17.0</v>
      </c>
      <c r="B472" s="9" t="s">
        <v>1121</v>
      </c>
      <c r="C472" s="9" t="s">
        <v>86</v>
      </c>
      <c r="D472" s="9" t="s">
        <v>98</v>
      </c>
      <c r="E472" s="6" t="s">
        <v>1261</v>
      </c>
      <c r="F472" s="9" t="s">
        <v>1230</v>
      </c>
    </row>
    <row r="473" ht="33.75" customHeight="1">
      <c r="A473" s="7">
        <v>17.0</v>
      </c>
      <c r="B473" s="9" t="s">
        <v>1121</v>
      </c>
      <c r="C473" s="9" t="s">
        <v>86</v>
      </c>
      <c r="D473" s="9" t="s">
        <v>99</v>
      </c>
      <c r="E473" s="6" t="s">
        <v>1261</v>
      </c>
      <c r="F473" s="9" t="s">
        <v>1230</v>
      </c>
    </row>
    <row r="474" ht="33.75" customHeight="1">
      <c r="A474" s="7">
        <v>17.0</v>
      </c>
      <c r="B474" s="9" t="s">
        <v>1121</v>
      </c>
      <c r="C474" s="9" t="s">
        <v>86</v>
      </c>
      <c r="D474" s="9" t="s">
        <v>101</v>
      </c>
      <c r="E474" s="6" t="s">
        <v>1283</v>
      </c>
      <c r="F474" s="9" t="s">
        <v>1230</v>
      </c>
    </row>
    <row r="475" ht="33.75" customHeight="1">
      <c r="A475" s="7">
        <v>17.0</v>
      </c>
      <c r="B475" s="9" t="s">
        <v>1121</v>
      </c>
      <c r="C475" s="9" t="s">
        <v>86</v>
      </c>
      <c r="D475" s="9" t="s">
        <v>105</v>
      </c>
      <c r="E475" s="6" t="s">
        <v>1287</v>
      </c>
      <c r="F475" s="9" t="s">
        <v>1230</v>
      </c>
    </row>
    <row r="476" ht="33.75" customHeight="1">
      <c r="A476" s="7">
        <v>17.0</v>
      </c>
      <c r="B476" s="9" t="s">
        <v>1121</v>
      </c>
      <c r="C476" s="9" t="s">
        <v>86</v>
      </c>
      <c r="D476" s="9" t="s">
        <v>107</v>
      </c>
      <c r="E476" s="6" t="s">
        <v>1293</v>
      </c>
      <c r="F476" s="9" t="s">
        <v>1230</v>
      </c>
    </row>
    <row r="477" ht="33.75" customHeight="1">
      <c r="A477" s="7">
        <v>17.0</v>
      </c>
      <c r="B477" s="9" t="s">
        <v>1121</v>
      </c>
      <c r="C477" s="9" t="s">
        <v>86</v>
      </c>
      <c r="D477" s="9" t="s">
        <v>109</v>
      </c>
      <c r="E477" s="6" t="s">
        <v>1293</v>
      </c>
      <c r="F477" s="9" t="s">
        <v>1230</v>
      </c>
    </row>
    <row r="478" ht="33.75" customHeight="1">
      <c r="A478" s="7">
        <v>17.0</v>
      </c>
      <c r="B478" s="9" t="s">
        <v>1121</v>
      </c>
      <c r="C478" s="9" t="s">
        <v>86</v>
      </c>
      <c r="D478" s="9" t="s">
        <v>111</v>
      </c>
      <c r="E478" s="6" t="s">
        <v>1300</v>
      </c>
      <c r="F478" s="9" t="s">
        <v>1230</v>
      </c>
    </row>
    <row r="479" ht="33.75" customHeight="1">
      <c r="A479" s="7">
        <v>17.0</v>
      </c>
      <c r="B479" s="9" t="s">
        <v>1121</v>
      </c>
      <c r="C479" s="9" t="s">
        <v>86</v>
      </c>
      <c r="D479" s="9" t="s">
        <v>113</v>
      </c>
      <c r="E479" s="6" t="s">
        <v>1300</v>
      </c>
      <c r="F479" s="9" t="s">
        <v>1230</v>
      </c>
    </row>
    <row r="480" ht="33.75" customHeight="1">
      <c r="A480" s="7">
        <v>18.0</v>
      </c>
      <c r="B480" s="9" t="s">
        <v>1201</v>
      </c>
      <c r="C480" s="9" t="s">
        <v>86</v>
      </c>
      <c r="D480" s="9" t="s">
        <v>24</v>
      </c>
      <c r="E480" s="6" t="s">
        <v>1306</v>
      </c>
      <c r="F480" s="9" t="s">
        <v>1308</v>
      </c>
      <c r="G480" t="inlineStr" s="6">
        <is>
          <t xml:space="preserve">When hunting, it skims the surface of water at high speed to pick off unwary prey such as MAGIKARP. This POKéMON flies at Mach 2 speed, seeking prey. Its large talons are feared as wicked weapons. Its well-developed chest muscles make it strong enough to whip up a gusty windstorm with just a few flaps. It spreads its beautiful wings wide to frighten its enemies. It can fly at Mach 2 speed. Its outstanding vision allows it to spot splashing MAGIKARP, even while flying at 3300 feet. This POKéMON has a dazzling plumage of beautifully glossy feathers. Many TRAINERS are captivated by the striking beauty of the feathers on its head, compelling them to choose PIDGEOT as their POKéMON. This POKéMON has gorgeous, glossy feathers. Many TRAINERS are so captivated by the beautiful feathers on its head that they choose PIDGEOT as their POKéMON. It spreads its gorgeous wings widely to intimidate enemies. It races through the skies at Mach-2 speed. By flapping its wings with all its might, PIDGEOT can make a gust of wind capable of bending tall trees.</t>
        </is>
      </c>
    </row>
    <row r="481" ht="33.75" customHeight="1">
      <c r="A481" s="7">
        <v>18.0</v>
      </c>
      <c r="B481" s="9" t="s">
        <v>1201</v>
      </c>
      <c r="C481" s="9" t="s">
        <v>86</v>
      </c>
      <c r="D481" s="9" t="s">
        <v>35</v>
      </c>
      <c r="E481" s="6" t="s">
        <v>1306</v>
      </c>
      <c r="F481" s="9" t="s">
        <v>1308</v>
      </c>
    </row>
    <row r="482" ht="33.75" customHeight="1">
      <c r="A482" s="7">
        <v>18.0</v>
      </c>
      <c r="B482" s="9" t="s">
        <v>1201</v>
      </c>
      <c r="C482" s="9" t="s">
        <v>86</v>
      </c>
      <c r="D482" s="9" t="s">
        <v>42</v>
      </c>
      <c r="E482" s="6" t="s">
        <v>1311</v>
      </c>
      <c r="F482" s="9" t="s">
        <v>1308</v>
      </c>
    </row>
    <row r="483" ht="33.75" customHeight="1">
      <c r="A483" s="7">
        <v>18.0</v>
      </c>
      <c r="B483" s="9" t="s">
        <v>1201</v>
      </c>
      <c r="C483" s="9" t="s">
        <v>86</v>
      </c>
      <c r="D483" s="9" t="s">
        <v>52</v>
      </c>
      <c r="E483" s="6" t="s">
        <v>1313</v>
      </c>
      <c r="F483" s="9" t="s">
        <v>1308</v>
      </c>
    </row>
    <row r="484" ht="33.75" customHeight="1">
      <c r="A484" s="7">
        <v>18.0</v>
      </c>
      <c r="B484" s="9" t="s">
        <v>1201</v>
      </c>
      <c r="C484" s="9" t="s">
        <v>86</v>
      </c>
      <c r="D484" s="9" t="s">
        <v>59</v>
      </c>
      <c r="E484" s="6" t="s">
        <v>1316</v>
      </c>
      <c r="F484" s="9" t="s">
        <v>1308</v>
      </c>
    </row>
    <row r="485" ht="33.75" customHeight="1">
      <c r="A485" s="7">
        <v>18.0</v>
      </c>
      <c r="B485" s="9" t="s">
        <v>1201</v>
      </c>
      <c r="C485" s="9" t="s">
        <v>86</v>
      </c>
      <c r="D485" s="9" t="s">
        <v>64</v>
      </c>
      <c r="E485" s="6" t="s">
        <v>1318</v>
      </c>
      <c r="F485" s="9" t="s">
        <v>1308</v>
      </c>
    </row>
    <row r="486" ht="33.75" customHeight="1">
      <c r="A486" s="7">
        <v>18.0</v>
      </c>
      <c r="B486" s="9" t="s">
        <v>1201</v>
      </c>
      <c r="C486" s="9" t="s">
        <v>86</v>
      </c>
      <c r="D486" s="9" t="s">
        <v>67</v>
      </c>
      <c r="E486" s="6" t="s">
        <v>1322</v>
      </c>
      <c r="F486" s="9" t="s">
        <v>1308</v>
      </c>
    </row>
    <row r="487" ht="33.75" customHeight="1">
      <c r="A487" s="7">
        <v>18.0</v>
      </c>
      <c r="B487" s="9" t="s">
        <v>1201</v>
      </c>
      <c r="C487" s="9" t="s">
        <v>86</v>
      </c>
      <c r="D487" s="9" t="s">
        <v>71</v>
      </c>
      <c r="E487" s="6" t="s">
        <v>1322</v>
      </c>
      <c r="F487" s="9" t="s">
        <v>1308</v>
      </c>
    </row>
    <row r="488" ht="33.75" customHeight="1">
      <c r="A488" s="7">
        <v>18.0</v>
      </c>
      <c r="B488" s="9" t="s">
        <v>1201</v>
      </c>
      <c r="C488" s="9" t="s">
        <v>86</v>
      </c>
      <c r="D488" s="9" t="s">
        <v>73</v>
      </c>
      <c r="E488" s="6" t="s">
        <v>1328</v>
      </c>
      <c r="F488" s="9" t="s">
        <v>1308</v>
      </c>
    </row>
    <row r="489" ht="33.75" customHeight="1">
      <c r="A489" s="7">
        <v>18.0</v>
      </c>
      <c r="B489" s="9" t="s">
        <v>1201</v>
      </c>
      <c r="C489" s="9" t="s">
        <v>86</v>
      </c>
      <c r="D489" s="9" t="s">
        <v>75</v>
      </c>
      <c r="E489" s="6" t="s">
        <v>1332</v>
      </c>
      <c r="F489" s="9" t="s">
        <v>1308</v>
      </c>
    </row>
    <row r="490" ht="33.75" customHeight="1">
      <c r="A490" s="7">
        <v>18.0</v>
      </c>
      <c r="B490" s="9" t="s">
        <v>1201</v>
      </c>
      <c r="C490" s="9" t="s">
        <v>86</v>
      </c>
      <c r="D490" s="9" t="s">
        <v>79</v>
      </c>
      <c r="E490" s="6" t="s">
        <v>1306</v>
      </c>
      <c r="F490" s="9" t="s">
        <v>1308</v>
      </c>
    </row>
    <row r="491" ht="33.75" customHeight="1">
      <c r="A491" s="7">
        <v>18.0</v>
      </c>
      <c r="B491" s="9" t="s">
        <v>1201</v>
      </c>
      <c r="C491" s="9" t="s">
        <v>86</v>
      </c>
      <c r="D491" s="9" t="s">
        <v>81</v>
      </c>
      <c r="E491" s="6" t="s">
        <v>1340</v>
      </c>
      <c r="F491" s="9" t="s">
        <v>1308</v>
      </c>
    </row>
    <row r="492" ht="33.75" customHeight="1">
      <c r="A492" s="7">
        <v>18.0</v>
      </c>
      <c r="B492" s="9" t="s">
        <v>1201</v>
      </c>
      <c r="C492" s="9" t="s">
        <v>86</v>
      </c>
      <c r="D492" s="9" t="s">
        <v>84</v>
      </c>
      <c r="E492" s="6" t="s">
        <v>1340</v>
      </c>
      <c r="F492" s="9" t="s">
        <v>1308</v>
      </c>
    </row>
    <row r="493" ht="33.75" customHeight="1">
      <c r="A493" s="7">
        <v>18.0</v>
      </c>
      <c r="B493" s="9" t="s">
        <v>1201</v>
      </c>
      <c r="C493" s="9" t="s">
        <v>86</v>
      </c>
      <c r="D493" s="9" t="s">
        <v>87</v>
      </c>
      <c r="E493" s="6" t="s">
        <v>1340</v>
      </c>
      <c r="F493" s="9" t="s">
        <v>1308</v>
      </c>
    </row>
    <row r="494" ht="33.75" customHeight="1">
      <c r="A494" s="7">
        <v>18.0</v>
      </c>
      <c r="B494" s="9" t="s">
        <v>1201</v>
      </c>
      <c r="C494" s="9" t="s">
        <v>86</v>
      </c>
      <c r="D494" s="9" t="s">
        <v>89</v>
      </c>
      <c r="E494" s="6" t="s">
        <v>1313</v>
      </c>
      <c r="F494" s="9" t="s">
        <v>1308</v>
      </c>
    </row>
    <row r="495" ht="33.75" customHeight="1">
      <c r="A495" s="7">
        <v>18.0</v>
      </c>
      <c r="B495" s="9" t="s">
        <v>1201</v>
      </c>
      <c r="C495" s="9" t="s">
        <v>86</v>
      </c>
      <c r="D495" s="9" t="s">
        <v>91</v>
      </c>
      <c r="E495" s="6" t="s">
        <v>1316</v>
      </c>
      <c r="F495" s="9" t="s">
        <v>1308</v>
      </c>
    </row>
    <row r="496" ht="33.75" customHeight="1">
      <c r="A496" s="7">
        <v>18.0</v>
      </c>
      <c r="B496" s="9" t="s">
        <v>1201</v>
      </c>
      <c r="C496" s="9" t="s">
        <v>86</v>
      </c>
      <c r="D496" s="9" t="s">
        <v>93</v>
      </c>
      <c r="E496" s="6" t="s">
        <v>1345</v>
      </c>
      <c r="F496" s="9" t="s">
        <v>1308</v>
      </c>
    </row>
    <row r="497" ht="33.75" customHeight="1">
      <c r="A497" s="7">
        <v>18.0</v>
      </c>
      <c r="B497" s="9" t="s">
        <v>1201</v>
      </c>
      <c r="C497" s="9" t="s">
        <v>86</v>
      </c>
      <c r="D497" s="9" t="s">
        <v>95</v>
      </c>
      <c r="E497" s="6" t="s">
        <v>1345</v>
      </c>
      <c r="F497" s="9" t="s">
        <v>1308</v>
      </c>
    </row>
    <row r="498" ht="33.75" customHeight="1">
      <c r="A498" s="7">
        <v>18.0</v>
      </c>
      <c r="B498" s="9" t="s">
        <v>1201</v>
      </c>
      <c r="C498" s="9" t="s">
        <v>86</v>
      </c>
      <c r="D498" s="9" t="s">
        <v>98</v>
      </c>
      <c r="E498" s="6" t="s">
        <v>1345</v>
      </c>
      <c r="F498" s="9" t="s">
        <v>1308</v>
      </c>
    </row>
    <row r="499" ht="33.75" customHeight="1">
      <c r="A499" s="7">
        <v>18.0</v>
      </c>
      <c r="B499" s="9" t="s">
        <v>1201</v>
      </c>
      <c r="C499" s="9" t="s">
        <v>86</v>
      </c>
      <c r="D499" s="9" t="s">
        <v>99</v>
      </c>
      <c r="E499" s="6" t="s">
        <v>1345</v>
      </c>
      <c r="F499" s="9" t="s">
        <v>1308</v>
      </c>
    </row>
    <row r="500" ht="33.75" customHeight="1">
      <c r="A500" s="7">
        <v>18.0</v>
      </c>
      <c r="B500" s="9" t="s">
        <v>1201</v>
      </c>
      <c r="C500" s="9" t="s">
        <v>86</v>
      </c>
      <c r="D500" s="9" t="s">
        <v>101</v>
      </c>
      <c r="E500" s="6" t="s">
        <v>1347</v>
      </c>
      <c r="F500" s="9" t="s">
        <v>1308</v>
      </c>
    </row>
    <row r="501" ht="33.75" customHeight="1">
      <c r="A501" s="7">
        <v>18.0</v>
      </c>
      <c r="B501" s="9" t="s">
        <v>1201</v>
      </c>
      <c r="C501" s="9" t="s">
        <v>86</v>
      </c>
      <c r="D501" s="9" t="s">
        <v>105</v>
      </c>
      <c r="E501" s="6" t="s">
        <v>1332</v>
      </c>
      <c r="F501" s="9" t="s">
        <v>1308</v>
      </c>
    </row>
    <row r="502" ht="33.75" customHeight="1">
      <c r="A502" s="7">
        <v>18.0</v>
      </c>
      <c r="B502" s="9" t="s">
        <v>1201</v>
      </c>
      <c r="C502" s="9" t="s">
        <v>86</v>
      </c>
      <c r="D502" s="9" t="s">
        <v>107</v>
      </c>
      <c r="E502" s="6" t="s">
        <v>1348</v>
      </c>
      <c r="F502" s="9" t="s">
        <v>1308</v>
      </c>
    </row>
    <row r="503" ht="33.75" customHeight="1">
      <c r="A503" s="7">
        <v>18.0</v>
      </c>
      <c r="B503" s="9" t="s">
        <v>1201</v>
      </c>
      <c r="C503" s="9" t="s">
        <v>86</v>
      </c>
      <c r="D503" s="9" t="s">
        <v>109</v>
      </c>
      <c r="E503" s="6" t="s">
        <v>1348</v>
      </c>
      <c r="F503" s="9" t="s">
        <v>1308</v>
      </c>
    </row>
    <row r="504" ht="33.75" customHeight="1">
      <c r="A504" s="7">
        <v>18.0</v>
      </c>
      <c r="B504" s="9" t="s">
        <v>1201</v>
      </c>
      <c r="C504" s="9" t="s">
        <v>86</v>
      </c>
      <c r="D504" s="9" t="s">
        <v>111</v>
      </c>
      <c r="E504" s="6" t="s">
        <v>1350</v>
      </c>
      <c r="F504" s="9" t="s">
        <v>1308</v>
      </c>
    </row>
    <row r="505" ht="33.75" customHeight="1">
      <c r="A505" s="7">
        <v>18.0</v>
      </c>
      <c r="B505" s="9" t="s">
        <v>1201</v>
      </c>
      <c r="C505" s="9" t="s">
        <v>86</v>
      </c>
      <c r="D505" s="9" t="s">
        <v>113</v>
      </c>
      <c r="E505" s="6" t="s">
        <v>1350</v>
      </c>
      <c r="F505" s="9" t="s">
        <v>1308</v>
      </c>
    </row>
    <row r="506" ht="33.75" customHeight="1">
      <c r="A506" s="7">
        <v>19.0</v>
      </c>
      <c r="B506" s="9" t="s">
        <v>1290</v>
      </c>
      <c r="C506" s="9" t="s">
        <v>88</v>
      </c>
      <c r="D506" s="9" t="s">
        <v>24</v>
      </c>
      <c r="E506" s="6" t="s">
        <v>1352</v>
      </c>
      <c r="F506" s="9" t="s">
        <v>1353</v>
      </c>
      <c r="G506" t="inlineStr" s="6">
        <is>
          <t xml:space="preserve">Bites anything when Rattata attacks. Small and very quick, it is a common sight in many places. Will chew on any thing with its fangs. If you see one, it is certain that 40 more live in the area. It eats anything. Wherever food is available, it will settle down and produce offspring continuously. Living wherever there is food available, it ceaselessly scavenges for edibles the entire day. This POKéMON's impressive vitality allows it to live anywhere. It also multiplies very quickly. RATTATA is cautious in the extreme. Even while it is asleep, it constantly listens by moving its ears around. It is not picky about where it lives - it will make its nest anywhere. A RATTATA is cautious in the extreme. Even while it is asleep, it constantly moves its ears and listens for danger. It will make its nest anywhere. Its fangs are long and very sharp. They grow continuously, so it gnaws on hard things to whittle them down. Cautious in the extreme, its hardy vitality lets it live in any kind of environment. It searches for food all day. It gnaws on hard objects to wear down its fangs, which grow constantly during its lifetime. It is not picky about where it lives—it will make its nest anywhere. Its incisors continue growing until its death. If its Trainer doesn’t offer it a file to gnaw on, it will gnaw on door frames, table legs, and so on. With their strong capacity for survival, they can live in dirty places without concern. Left unchecked, their numbers multiply rapidly. Its incisors grow continuously throughout its life. If its incisors get too long, this Pokémon becomes unable to eat, and it starves to death. This Pokémon is common but hazardous. Its sharp incisors can easily cut right through hard wood. Will chew on anything with its fangs. If you see one, you can be certain that 40 more live in the area.</t>
        </is>
      </c>
    </row>
    <row r="507" ht="33.75" customHeight="1">
      <c r="A507" s="7">
        <v>19.0</v>
      </c>
      <c r="B507" s="9" t="s">
        <v>1290</v>
      </c>
      <c r="C507" s="9" t="s">
        <v>88</v>
      </c>
      <c r="D507" s="9" t="s">
        <v>35</v>
      </c>
      <c r="E507" s="6" t="s">
        <v>1352</v>
      </c>
      <c r="F507" s="9" t="s">
        <v>1353</v>
      </c>
    </row>
    <row r="508" ht="33.75" customHeight="1">
      <c r="A508" s="7">
        <v>19.0</v>
      </c>
      <c r="B508" s="9" t="s">
        <v>1290</v>
      </c>
      <c r="C508" s="9" t="s">
        <v>88</v>
      </c>
      <c r="D508" s="9" t="s">
        <v>42</v>
      </c>
      <c r="E508" s="6" t="s">
        <v>1356</v>
      </c>
      <c r="F508" s="9" t="s">
        <v>1353</v>
      </c>
    </row>
    <row r="509" ht="33.75" customHeight="1">
      <c r="A509" s="7">
        <v>19.0</v>
      </c>
      <c r="B509" s="9" t="s">
        <v>1290</v>
      </c>
      <c r="C509" s="9" t="s">
        <v>88</v>
      </c>
      <c r="D509" s="9" t="s">
        <v>52</v>
      </c>
      <c r="E509" s="6" t="s">
        <v>1358</v>
      </c>
      <c r="F509" s="9" t="s">
        <v>1353</v>
      </c>
    </row>
    <row r="510" ht="33.75" customHeight="1">
      <c r="A510" s="7">
        <v>19.0</v>
      </c>
      <c r="B510" s="9" t="s">
        <v>1290</v>
      </c>
      <c r="C510" s="9" t="s">
        <v>88</v>
      </c>
      <c r="D510" s="9" t="s">
        <v>59</v>
      </c>
      <c r="E510" s="6" t="s">
        <v>1359</v>
      </c>
      <c r="F510" s="9" t="s">
        <v>1353</v>
      </c>
    </row>
    <row r="511" ht="33.75" customHeight="1">
      <c r="A511" s="7">
        <v>19.0</v>
      </c>
      <c r="B511" s="9" t="s">
        <v>1290</v>
      </c>
      <c r="C511" s="9" t="s">
        <v>88</v>
      </c>
      <c r="D511" s="9" t="s">
        <v>64</v>
      </c>
      <c r="E511" s="6" t="s">
        <v>1361</v>
      </c>
      <c r="F511" s="9" t="s">
        <v>1353</v>
      </c>
    </row>
    <row r="512" ht="33.75" customHeight="1">
      <c r="A512" s="7">
        <v>19.0</v>
      </c>
      <c r="B512" s="9" t="s">
        <v>1290</v>
      </c>
      <c r="C512" s="9" t="s">
        <v>88</v>
      </c>
      <c r="D512" s="9" t="s">
        <v>67</v>
      </c>
      <c r="E512" s="6" t="s">
        <v>1362</v>
      </c>
      <c r="F512" s="9" t="s">
        <v>1353</v>
      </c>
    </row>
    <row r="513" ht="33.75" customHeight="1">
      <c r="A513" s="7">
        <v>19.0</v>
      </c>
      <c r="B513" s="9" t="s">
        <v>1290</v>
      </c>
      <c r="C513" s="9" t="s">
        <v>88</v>
      </c>
      <c r="D513" s="9" t="s">
        <v>71</v>
      </c>
      <c r="E513" s="6" t="s">
        <v>1362</v>
      </c>
      <c r="F513" s="9" t="s">
        <v>1353</v>
      </c>
    </row>
    <row r="514" ht="33.75" customHeight="1">
      <c r="A514" s="7">
        <v>19.0</v>
      </c>
      <c r="B514" s="9" t="s">
        <v>1290</v>
      </c>
      <c r="C514" s="9" t="s">
        <v>88</v>
      </c>
      <c r="D514" s="9" t="s">
        <v>73</v>
      </c>
      <c r="E514" s="6" t="s">
        <v>1365</v>
      </c>
      <c r="F514" s="9" t="s">
        <v>1353</v>
      </c>
    </row>
    <row r="515" ht="33.75" customHeight="1">
      <c r="A515" s="7">
        <v>19.0</v>
      </c>
      <c r="B515" s="9" t="s">
        <v>1290</v>
      </c>
      <c r="C515" s="9" t="s">
        <v>88</v>
      </c>
      <c r="D515" s="9" t="s">
        <v>75</v>
      </c>
      <c r="E515" s="6" t="s">
        <v>1367</v>
      </c>
      <c r="F515" s="9" t="s">
        <v>1353</v>
      </c>
    </row>
    <row r="516" ht="33.75" customHeight="1">
      <c r="A516" s="7">
        <v>19.0</v>
      </c>
      <c r="B516" s="9" t="s">
        <v>1290</v>
      </c>
      <c r="C516" s="9" t="s">
        <v>88</v>
      </c>
      <c r="D516" s="9" t="s">
        <v>79</v>
      </c>
      <c r="E516" s="6" t="s">
        <v>1352</v>
      </c>
      <c r="F516" s="9" t="s">
        <v>1353</v>
      </c>
    </row>
    <row r="517" ht="33.75" customHeight="1">
      <c r="A517" s="7">
        <v>19.0</v>
      </c>
      <c r="B517" s="9" t="s">
        <v>1290</v>
      </c>
      <c r="C517" s="9" t="s">
        <v>88</v>
      </c>
      <c r="D517" s="9" t="s">
        <v>81</v>
      </c>
      <c r="E517" s="6" t="s">
        <v>1372</v>
      </c>
      <c r="F517" s="9" t="s">
        <v>1353</v>
      </c>
    </row>
    <row r="518" ht="33.75" customHeight="1">
      <c r="A518" s="7">
        <v>19.0</v>
      </c>
      <c r="B518" s="9" t="s">
        <v>1290</v>
      </c>
      <c r="C518" s="9" t="s">
        <v>88</v>
      </c>
      <c r="D518" s="9" t="s">
        <v>84</v>
      </c>
      <c r="E518" s="6" t="s">
        <v>1372</v>
      </c>
      <c r="F518" s="9" t="s">
        <v>1353</v>
      </c>
    </row>
    <row r="519" ht="33.75" customHeight="1">
      <c r="A519" s="7">
        <v>19.0</v>
      </c>
      <c r="B519" s="9" t="s">
        <v>1290</v>
      </c>
      <c r="C519" s="9" t="s">
        <v>88</v>
      </c>
      <c r="D519" s="9" t="s">
        <v>87</v>
      </c>
      <c r="E519" s="6" t="s">
        <v>1372</v>
      </c>
      <c r="F519" s="9" t="s">
        <v>1353</v>
      </c>
    </row>
    <row r="520" ht="33.75" customHeight="1">
      <c r="A520" s="7">
        <v>19.0</v>
      </c>
      <c r="B520" s="9" t="s">
        <v>1290</v>
      </c>
      <c r="C520" s="9" t="s">
        <v>88</v>
      </c>
      <c r="D520" s="9" t="s">
        <v>89</v>
      </c>
      <c r="E520" s="6" t="s">
        <v>1358</v>
      </c>
      <c r="F520" s="9" t="s">
        <v>1353</v>
      </c>
    </row>
    <row r="521" ht="33.75" customHeight="1">
      <c r="A521" s="7">
        <v>19.0</v>
      </c>
      <c r="B521" s="9" t="s">
        <v>1290</v>
      </c>
      <c r="C521" s="9" t="s">
        <v>88</v>
      </c>
      <c r="D521" s="9" t="s">
        <v>91</v>
      </c>
      <c r="E521" s="6" t="s">
        <v>1377</v>
      </c>
      <c r="F521" s="9" t="s">
        <v>1353</v>
      </c>
    </row>
    <row r="522" ht="33.75" customHeight="1">
      <c r="A522" s="7">
        <v>19.0</v>
      </c>
      <c r="B522" s="9" t="s">
        <v>1290</v>
      </c>
      <c r="C522" s="9" t="s">
        <v>88</v>
      </c>
      <c r="D522" s="9" t="s">
        <v>93</v>
      </c>
      <c r="E522" s="6" t="s">
        <v>1372</v>
      </c>
      <c r="F522" s="9" t="s">
        <v>1353</v>
      </c>
    </row>
    <row r="523" ht="33.75" customHeight="1">
      <c r="A523" s="7">
        <v>19.0</v>
      </c>
      <c r="B523" s="9" t="s">
        <v>1290</v>
      </c>
      <c r="C523" s="9" t="s">
        <v>88</v>
      </c>
      <c r="D523" s="9" t="s">
        <v>95</v>
      </c>
      <c r="E523" s="6" t="s">
        <v>1372</v>
      </c>
      <c r="F523" s="9" t="s">
        <v>1353</v>
      </c>
    </row>
    <row r="524" ht="33.75" customHeight="1">
      <c r="A524" s="7">
        <v>19.0</v>
      </c>
      <c r="B524" s="9" t="s">
        <v>1290</v>
      </c>
      <c r="C524" s="9" t="s">
        <v>88</v>
      </c>
      <c r="D524" s="9" t="s">
        <v>98</v>
      </c>
      <c r="E524" s="6" t="s">
        <v>1378</v>
      </c>
      <c r="F524" s="9" t="s">
        <v>1353</v>
      </c>
    </row>
    <row r="525" ht="33.75" customHeight="1">
      <c r="A525" s="7">
        <v>19.0</v>
      </c>
      <c r="B525" s="9" t="s">
        <v>1290</v>
      </c>
      <c r="C525" s="9" t="s">
        <v>88</v>
      </c>
      <c r="D525" s="9" t="s">
        <v>99</v>
      </c>
      <c r="E525" s="6" t="s">
        <v>1378</v>
      </c>
      <c r="F525" s="9" t="s">
        <v>1353</v>
      </c>
    </row>
    <row r="526" ht="33.75" customHeight="1">
      <c r="A526" s="7">
        <v>19.0</v>
      </c>
      <c r="B526" s="9" t="s">
        <v>1290</v>
      </c>
      <c r="C526" s="9" t="s">
        <v>88</v>
      </c>
      <c r="D526" s="9" t="s">
        <v>101</v>
      </c>
      <c r="E526" s="6" t="s">
        <v>1377</v>
      </c>
      <c r="F526" s="9" t="s">
        <v>1353</v>
      </c>
    </row>
    <row r="527" ht="33.75" customHeight="1">
      <c r="A527" s="7">
        <v>19.0</v>
      </c>
      <c r="B527" s="9" t="s">
        <v>1290</v>
      </c>
      <c r="C527" s="9" t="s">
        <v>88</v>
      </c>
      <c r="D527" s="9" t="s">
        <v>105</v>
      </c>
      <c r="E527" s="6" t="s">
        <v>1367</v>
      </c>
      <c r="F527" s="9" t="s">
        <v>1353</v>
      </c>
    </row>
    <row r="528" ht="33.75" customHeight="1">
      <c r="A528" s="7">
        <v>19.0</v>
      </c>
      <c r="B528" s="9" t="s">
        <v>1290</v>
      </c>
      <c r="C528" s="9" t="s">
        <v>88</v>
      </c>
      <c r="D528" s="9" t="s">
        <v>107</v>
      </c>
      <c r="E528" s="6" t="s">
        <v>1379</v>
      </c>
      <c r="F528" s="9" t="s">
        <v>1353</v>
      </c>
    </row>
    <row r="529" ht="33.75" customHeight="1">
      <c r="A529" s="7">
        <v>19.0</v>
      </c>
      <c r="B529" s="9" t="s">
        <v>1290</v>
      </c>
      <c r="C529" s="9" t="s">
        <v>88</v>
      </c>
      <c r="D529" s="9" t="s">
        <v>109</v>
      </c>
      <c r="E529" s="6" t="s">
        <v>1379</v>
      </c>
      <c r="F529" s="9" t="s">
        <v>1353</v>
      </c>
    </row>
    <row r="530" ht="33.75" customHeight="1">
      <c r="A530" s="7">
        <v>19.0</v>
      </c>
      <c r="B530" s="9" t="s">
        <v>1290</v>
      </c>
      <c r="C530" s="9" t="s">
        <v>88</v>
      </c>
      <c r="D530" s="9" t="s">
        <v>637</v>
      </c>
      <c r="E530" s="6" t="s">
        <v>1381</v>
      </c>
      <c r="F530" s="9" t="s">
        <v>1353</v>
      </c>
    </row>
    <row r="531" ht="33.75" customHeight="1">
      <c r="A531" s="7">
        <v>19.0</v>
      </c>
      <c r="B531" s="9" t="s">
        <v>1290</v>
      </c>
      <c r="C531" s="9" t="s">
        <v>88</v>
      </c>
      <c r="D531" s="9" t="s">
        <v>642</v>
      </c>
      <c r="E531" s="6" t="s">
        <v>1382</v>
      </c>
      <c r="F531" s="9" t="s">
        <v>1353</v>
      </c>
    </row>
    <row r="532" ht="33.75" customHeight="1">
      <c r="A532" s="7">
        <v>19.0</v>
      </c>
      <c r="B532" s="9" t="s">
        <v>1290</v>
      </c>
      <c r="C532" s="9" t="s">
        <v>88</v>
      </c>
      <c r="D532" s="9" t="s">
        <v>647</v>
      </c>
      <c r="E532" s="6" t="s">
        <v>1383</v>
      </c>
      <c r="F532" s="9" t="s">
        <v>1353</v>
      </c>
    </row>
    <row r="533" ht="33.75" customHeight="1">
      <c r="A533" s="7">
        <v>19.0</v>
      </c>
      <c r="B533" s="9" t="s">
        <v>1290</v>
      </c>
      <c r="C533" s="9" t="s">
        <v>88</v>
      </c>
      <c r="D533" s="9" t="s">
        <v>652</v>
      </c>
      <c r="E533" s="6" t="s">
        <v>1384</v>
      </c>
      <c r="F533" s="9" t="s">
        <v>1353</v>
      </c>
    </row>
    <row r="534" ht="33.75" customHeight="1">
      <c r="A534" s="7">
        <v>19.0</v>
      </c>
      <c r="B534" s="9" t="s">
        <v>1290</v>
      </c>
      <c r="C534" s="9" t="s">
        <v>88</v>
      </c>
      <c r="D534" s="9" t="s">
        <v>111</v>
      </c>
      <c r="E534" s="6" t="s">
        <v>1385</v>
      </c>
      <c r="F534" s="9" t="s">
        <v>1353</v>
      </c>
    </row>
    <row r="535" ht="33.75" customHeight="1">
      <c r="A535" s="7">
        <v>19.0</v>
      </c>
      <c r="B535" s="9" t="s">
        <v>1290</v>
      </c>
      <c r="C535" s="9" t="s">
        <v>88</v>
      </c>
      <c r="D535" s="9" t="s">
        <v>113</v>
      </c>
      <c r="E535" s="6" t="s">
        <v>1385</v>
      </c>
      <c r="F535" s="9" t="s">
        <v>1353</v>
      </c>
    </row>
    <row r="536" ht="33.75" customHeight="1">
      <c r="A536" s="7">
        <v>20.0</v>
      </c>
      <c r="B536" s="9" t="s">
        <v>1363</v>
      </c>
      <c r="C536" s="9" t="s">
        <v>88</v>
      </c>
      <c r="D536" s="9" t="s">
        <v>24</v>
      </c>
      <c r="E536" s="6" t="s">
        <v>1387</v>
      </c>
      <c r="F536" s="9" t="s">
        <v>1388</v>
      </c>
      <c r="G536" t="inlineStr" s="6">
        <is>
          <t xml:space="preserve">It uses Raticate's whiskers to maintain its balance. It apparently slows down if they are cut off. Its hind feet are webbed. They act as flippers, so it can swim in rivers and hunt for prey. Gnaws on anything with its tough fangs. It can even topple concrete buildings by gnaw ing on them. Its whiskers help it to maintain balance. Its fangs never stop grow ing, so it gnaws to pare them down. The webs on its hind legs enable it to cross rivers. It search es wide areas for food. RATICATE’s sturdy fangs grow steadily. To keep them ground down, it gnaws on rocks and logs. It may even chew on the walls of houses. A RATICATE’s sturdy fangs grow steadily. Its rear feet have three toes each. They are webbed, enabling it to swim across rivers. It whittles its constantly growing fangs by gnawing on hard things. It can chew apart cinder walls. It can even topple concrete buildings by gnawing on them. Its fangs never stop growing, so it gnaws to pare them down. With its long fangs, this surprisingly violent Pokémon can gnaw away even thick concrete with ease. It searches wide areas for food. Its hind feet are webbed, so it’s a strong swimmer. It can cross rivers and sometimes even oceans. Its disposition is far more violent than its looks would suggest. Don’t let your hand get too close to its face, as it could bite your hand clean off. People say that it fled from its enemies by using its small webbed hind feet to swim from island to island in Alola. Its whiskers are essential for maintaining its balance. No matter how friendly you are, it will get angry and bite you if you touch its whiskers.</t>
        </is>
      </c>
    </row>
    <row r="537" ht="33.75" customHeight="1">
      <c r="A537" s="7">
        <v>20.0</v>
      </c>
      <c r="B537" s="9" t="s">
        <v>1363</v>
      </c>
      <c r="C537" s="9" t="s">
        <v>88</v>
      </c>
      <c r="D537" s="9" t="s">
        <v>35</v>
      </c>
      <c r="E537" s="6" t="s">
        <v>1387</v>
      </c>
      <c r="F537" s="9" t="s">
        <v>1388</v>
      </c>
    </row>
    <row r="538" ht="33.75" customHeight="1">
      <c r="A538" s="7">
        <v>20.0</v>
      </c>
      <c r="B538" s="9" t="s">
        <v>1363</v>
      </c>
      <c r="C538" s="9" t="s">
        <v>88</v>
      </c>
      <c r="D538" s="9" t="s">
        <v>42</v>
      </c>
      <c r="E538" s="6" t="s">
        <v>1389</v>
      </c>
      <c r="F538" s="9" t="s">
        <v>1388</v>
      </c>
    </row>
    <row r="539" ht="33.75" customHeight="1">
      <c r="A539" s="7">
        <v>20.0</v>
      </c>
      <c r="B539" s="9" t="s">
        <v>1363</v>
      </c>
      <c r="C539" s="9" t="s">
        <v>88</v>
      </c>
      <c r="D539" s="9" t="s">
        <v>52</v>
      </c>
      <c r="E539" s="6" t="s">
        <v>1391</v>
      </c>
      <c r="F539" s="9" t="s">
        <v>1388</v>
      </c>
    </row>
    <row r="540" ht="33.75" customHeight="1">
      <c r="A540" s="7">
        <v>20.0</v>
      </c>
      <c r="B540" s="9" t="s">
        <v>1363</v>
      </c>
      <c r="C540" s="9" t="s">
        <v>88</v>
      </c>
      <c r="D540" s="9" t="s">
        <v>59</v>
      </c>
      <c r="E540" s="6" t="s">
        <v>1393</v>
      </c>
      <c r="F540" s="9" t="s">
        <v>1388</v>
      </c>
    </row>
    <row r="541" ht="33.75" customHeight="1">
      <c r="A541" s="7">
        <v>20.0</v>
      </c>
      <c r="B541" s="9" t="s">
        <v>1363</v>
      </c>
      <c r="C541" s="9" t="s">
        <v>88</v>
      </c>
      <c r="D541" s="9" t="s">
        <v>64</v>
      </c>
      <c r="E541" s="6" t="s">
        <v>1395</v>
      </c>
      <c r="F541" s="9" t="s">
        <v>1388</v>
      </c>
    </row>
    <row r="542" ht="33.75" customHeight="1">
      <c r="A542" s="7">
        <v>20.0</v>
      </c>
      <c r="B542" s="9" t="s">
        <v>1363</v>
      </c>
      <c r="C542" s="9" t="s">
        <v>88</v>
      </c>
      <c r="D542" s="9" t="s">
        <v>67</v>
      </c>
      <c r="E542" s="6" t="s">
        <v>1397</v>
      </c>
      <c r="F542" s="9" t="s">
        <v>1388</v>
      </c>
    </row>
    <row r="543" ht="33.75" customHeight="1">
      <c r="A543" s="7">
        <v>20.0</v>
      </c>
      <c r="B543" s="9" t="s">
        <v>1363</v>
      </c>
      <c r="C543" s="9" t="s">
        <v>88</v>
      </c>
      <c r="D543" s="9" t="s">
        <v>71</v>
      </c>
      <c r="E543" s="6" t="s">
        <v>1397</v>
      </c>
      <c r="F543" s="9" t="s">
        <v>1388</v>
      </c>
    </row>
    <row r="544" ht="33.75" customHeight="1">
      <c r="A544" s="7">
        <v>20.0</v>
      </c>
      <c r="B544" s="9" t="s">
        <v>1363</v>
      </c>
      <c r="C544" s="9" t="s">
        <v>88</v>
      </c>
      <c r="D544" s="9" t="s">
        <v>73</v>
      </c>
      <c r="E544" s="6" t="s">
        <v>1398</v>
      </c>
      <c r="F544" s="9" t="s">
        <v>1388</v>
      </c>
    </row>
    <row r="545" ht="33.75" customHeight="1">
      <c r="A545" s="7">
        <v>20.0</v>
      </c>
      <c r="B545" s="9" t="s">
        <v>1363</v>
      </c>
      <c r="C545" s="9" t="s">
        <v>88</v>
      </c>
      <c r="D545" s="9" t="s">
        <v>75</v>
      </c>
      <c r="E545" s="6" t="s">
        <v>1401</v>
      </c>
      <c r="F545" s="9" t="s">
        <v>1388</v>
      </c>
    </row>
    <row r="546" ht="33.75" customHeight="1">
      <c r="A546" s="7">
        <v>20.0</v>
      </c>
      <c r="B546" s="9" t="s">
        <v>1363</v>
      </c>
      <c r="C546" s="9" t="s">
        <v>88</v>
      </c>
      <c r="D546" s="9" t="s">
        <v>79</v>
      </c>
      <c r="E546" s="6" t="s">
        <v>1403</v>
      </c>
      <c r="F546" s="9" t="s">
        <v>1388</v>
      </c>
    </row>
    <row r="547" ht="33.75" customHeight="1">
      <c r="A547" s="7">
        <v>20.0</v>
      </c>
      <c r="B547" s="9" t="s">
        <v>1363</v>
      </c>
      <c r="C547" s="9" t="s">
        <v>88</v>
      </c>
      <c r="D547" s="9" t="s">
        <v>81</v>
      </c>
      <c r="E547" s="6" t="s">
        <v>1404</v>
      </c>
      <c r="F547" s="9" t="s">
        <v>1388</v>
      </c>
    </row>
    <row r="548" ht="33.75" customHeight="1">
      <c r="A548" s="7">
        <v>20.0</v>
      </c>
      <c r="B548" s="9" t="s">
        <v>1363</v>
      </c>
      <c r="C548" s="9" t="s">
        <v>88</v>
      </c>
      <c r="D548" s="9" t="s">
        <v>84</v>
      </c>
      <c r="E548" s="6" t="s">
        <v>1404</v>
      </c>
      <c r="F548" s="9" t="s">
        <v>1388</v>
      </c>
    </row>
    <row r="549" ht="33.75" customHeight="1">
      <c r="A549" s="7">
        <v>20.0</v>
      </c>
      <c r="B549" s="9" t="s">
        <v>1363</v>
      </c>
      <c r="C549" s="9" t="s">
        <v>88</v>
      </c>
      <c r="D549" s="9" t="s">
        <v>87</v>
      </c>
      <c r="E549" s="6" t="s">
        <v>1404</v>
      </c>
      <c r="F549" s="9" t="s">
        <v>1388</v>
      </c>
    </row>
    <row r="550" ht="33.75" customHeight="1">
      <c r="A550" s="7">
        <v>20.0</v>
      </c>
      <c r="B550" s="9" t="s">
        <v>1363</v>
      </c>
      <c r="C550" s="9" t="s">
        <v>88</v>
      </c>
      <c r="D550" s="9" t="s">
        <v>89</v>
      </c>
      <c r="E550" s="6" t="s">
        <v>1408</v>
      </c>
      <c r="F550" s="9" t="s">
        <v>1388</v>
      </c>
    </row>
    <row r="551" ht="33.75" customHeight="1">
      <c r="A551" s="7">
        <v>20.0</v>
      </c>
      <c r="B551" s="9" t="s">
        <v>1363</v>
      </c>
      <c r="C551" s="9" t="s">
        <v>88</v>
      </c>
      <c r="D551" s="9" t="s">
        <v>91</v>
      </c>
      <c r="E551" s="6" t="s">
        <v>1410</v>
      </c>
      <c r="F551" s="9" t="s">
        <v>1388</v>
      </c>
    </row>
    <row r="552" ht="33.75" customHeight="1">
      <c r="A552" s="7">
        <v>20.0</v>
      </c>
      <c r="B552" s="9" t="s">
        <v>1363</v>
      </c>
      <c r="C552" s="9" t="s">
        <v>88</v>
      </c>
      <c r="D552" s="9" t="s">
        <v>93</v>
      </c>
      <c r="E552" s="6" t="s">
        <v>1404</v>
      </c>
      <c r="F552" s="9" t="s">
        <v>1388</v>
      </c>
    </row>
    <row r="553" ht="33.75" customHeight="1">
      <c r="A553" s="7">
        <v>20.0</v>
      </c>
      <c r="B553" s="9" t="s">
        <v>1363</v>
      </c>
      <c r="C553" s="9" t="s">
        <v>88</v>
      </c>
      <c r="D553" s="9" t="s">
        <v>95</v>
      </c>
      <c r="E553" s="6" t="s">
        <v>1404</v>
      </c>
      <c r="F553" s="9" t="s">
        <v>1388</v>
      </c>
    </row>
    <row r="554" ht="33.75" customHeight="1">
      <c r="A554" s="7">
        <v>20.0</v>
      </c>
      <c r="B554" s="9" t="s">
        <v>1363</v>
      </c>
      <c r="C554" s="9" t="s">
        <v>88</v>
      </c>
      <c r="D554" s="9" t="s">
        <v>98</v>
      </c>
      <c r="E554" s="6" t="s">
        <v>1413</v>
      </c>
      <c r="F554" s="9" t="s">
        <v>1388</v>
      </c>
    </row>
    <row r="555" ht="33.75" customHeight="1">
      <c r="A555" s="7">
        <v>20.0</v>
      </c>
      <c r="B555" s="9" t="s">
        <v>1363</v>
      </c>
      <c r="C555" s="9" t="s">
        <v>88</v>
      </c>
      <c r="D555" s="9" t="s">
        <v>99</v>
      </c>
      <c r="E555" s="6" t="s">
        <v>1413</v>
      </c>
      <c r="F555" s="9" t="s">
        <v>1388</v>
      </c>
    </row>
    <row r="556" ht="33.75" customHeight="1">
      <c r="A556" s="7">
        <v>20.0</v>
      </c>
      <c r="B556" s="9" t="s">
        <v>1363</v>
      </c>
      <c r="C556" s="9" t="s">
        <v>88</v>
      </c>
      <c r="D556" s="9" t="s">
        <v>101</v>
      </c>
      <c r="E556" s="6" t="s">
        <v>1404</v>
      </c>
      <c r="F556" s="9" t="s">
        <v>1388</v>
      </c>
    </row>
    <row r="557" ht="33.75" customHeight="1">
      <c r="A557" s="7">
        <v>20.0</v>
      </c>
      <c r="B557" s="9" t="s">
        <v>1363</v>
      </c>
      <c r="C557" s="9" t="s">
        <v>88</v>
      </c>
      <c r="D557" s="9" t="s">
        <v>105</v>
      </c>
      <c r="E557" s="6" t="s">
        <v>1415</v>
      </c>
      <c r="F557" s="9" t="s">
        <v>1388</v>
      </c>
    </row>
    <row r="558" ht="33.75" customHeight="1">
      <c r="A558" s="7">
        <v>20.0</v>
      </c>
      <c r="B558" s="9" t="s">
        <v>1363</v>
      </c>
      <c r="C558" s="9" t="s">
        <v>88</v>
      </c>
      <c r="D558" s="9" t="s">
        <v>107</v>
      </c>
      <c r="E558" s="6" t="s">
        <v>1416</v>
      </c>
      <c r="F558" s="9" t="s">
        <v>1388</v>
      </c>
    </row>
    <row r="559" ht="33.75" customHeight="1">
      <c r="A559" s="7">
        <v>20.0</v>
      </c>
      <c r="B559" s="9" t="s">
        <v>1363</v>
      </c>
      <c r="C559" s="9" t="s">
        <v>88</v>
      </c>
      <c r="D559" s="9" t="s">
        <v>109</v>
      </c>
      <c r="E559" s="6" t="s">
        <v>1416</v>
      </c>
      <c r="F559" s="9" t="s">
        <v>1388</v>
      </c>
    </row>
    <row r="560" ht="33.75" customHeight="1">
      <c r="A560" s="7">
        <v>20.0</v>
      </c>
      <c r="B560" s="9" t="s">
        <v>1363</v>
      </c>
      <c r="C560" s="9" t="s">
        <v>88</v>
      </c>
      <c r="D560" s="9" t="s">
        <v>637</v>
      </c>
      <c r="E560" s="6" t="s">
        <v>1417</v>
      </c>
      <c r="F560" s="9" t="s">
        <v>1388</v>
      </c>
    </row>
    <row r="561" ht="33.75" customHeight="1">
      <c r="A561" s="7">
        <v>20.0</v>
      </c>
      <c r="B561" s="9" t="s">
        <v>1363</v>
      </c>
      <c r="C561" s="9" t="s">
        <v>88</v>
      </c>
      <c r="D561" s="9" t="s">
        <v>642</v>
      </c>
      <c r="E561" s="6" t="s">
        <v>1418</v>
      </c>
      <c r="F561" s="9" t="s">
        <v>1388</v>
      </c>
    </row>
    <row r="562" ht="33.75" customHeight="1">
      <c r="A562" s="7">
        <v>20.0</v>
      </c>
      <c r="B562" s="9" t="s">
        <v>1363</v>
      </c>
      <c r="C562" s="9" t="s">
        <v>88</v>
      </c>
      <c r="D562" s="9" t="s">
        <v>647</v>
      </c>
      <c r="E562" s="6" t="s">
        <v>1419</v>
      </c>
      <c r="F562" s="9" t="s">
        <v>1388</v>
      </c>
    </row>
    <row r="563" ht="33.75" customHeight="1">
      <c r="A563" s="7">
        <v>20.0</v>
      </c>
      <c r="B563" s="9" t="s">
        <v>1363</v>
      </c>
      <c r="C563" s="9" t="s">
        <v>88</v>
      </c>
      <c r="D563" s="9" t="s">
        <v>652</v>
      </c>
      <c r="E563" s="6" t="s">
        <v>1420</v>
      </c>
      <c r="F563" s="9" t="s">
        <v>1388</v>
      </c>
    </row>
    <row r="564" ht="33.75" customHeight="1">
      <c r="A564" s="7">
        <v>20.0</v>
      </c>
      <c r="B564" s="9" t="s">
        <v>1363</v>
      </c>
      <c r="C564" s="9" t="s">
        <v>88</v>
      </c>
      <c r="D564" s="9" t="s">
        <v>111</v>
      </c>
      <c r="E564" s="6" t="s">
        <v>1389</v>
      </c>
      <c r="F564" s="9" t="s">
        <v>1388</v>
      </c>
    </row>
    <row r="565" ht="33.75" customHeight="1">
      <c r="A565" s="7">
        <v>20.0</v>
      </c>
      <c r="B565" s="9" t="s">
        <v>1363</v>
      </c>
      <c r="C565" s="9" t="s">
        <v>88</v>
      </c>
      <c r="D565" s="9" t="s">
        <v>113</v>
      </c>
      <c r="E565" s="6" t="s">
        <v>1389</v>
      </c>
      <c r="F565" s="9" t="s">
        <v>1388</v>
      </c>
    </row>
    <row r="566" ht="33.75" customHeight="1">
      <c r="A566" s="7">
        <v>21.0</v>
      </c>
      <c r="B566" s="9" t="s">
        <v>1399</v>
      </c>
      <c r="C566" s="9" t="s">
        <v>83</v>
      </c>
      <c r="D566" s="9" t="s">
        <v>24</v>
      </c>
      <c r="E566" s="6" t="s">
        <v>1421</v>
      </c>
      <c r="F566" s="9" t="s">
        <v>1422</v>
      </c>
      <c r="G566" t="inlineStr" s="6">
        <is>
          <t xml:space="preserve">Eats bugs in grassy areas. It has to flap its short wings at high speed to stay airborne. Inept at flying high. However, it can fly around very fast to protect its territory. It flaps its short wings to flush out insects from tall grass. It then plucks them with its stubby beak. Very protective of its territory, it flaps its short wings busily to dart around at high speed. To protect its territory, it flies around ceaselessly, making high- pitched cries. SPEAROW has a very loud cry that can be heard over half a mile away. If its high, keening cry is heard echoing all around, it is a sign that they are warning each other of danger. Its loud cry can be heard over half a mile away. It busily flits around here and there. Even if it is frail, it can be a tough foe that uses MIRROR MOVE. It flaps its small wings busily to fly. Using its beak, it searches in grass for prey. Its short wings make it inept at flying. It moves about hurriedly and pecks at Bug-type Pokémon in the tall grass. Farmers whose fields are troubled by bug Pokémon appreciate Spearow for its vigorous appetite and look after it. Its reckless nature leads it to stand up to others—even large Pokémon—if it has to protect its territory. Due to its short wings, it can’t fly long distances. It wanders about restlessly and pecks at bug Pokémon.</t>
        </is>
      </c>
    </row>
    <row r="567" ht="33.75" customHeight="1">
      <c r="A567" s="7">
        <v>21.0</v>
      </c>
      <c r="B567" s="9" t="s">
        <v>1399</v>
      </c>
      <c r="C567" s="9" t="s">
        <v>83</v>
      </c>
      <c r="D567" s="9" t="s">
        <v>35</v>
      </c>
      <c r="E567" s="6" t="s">
        <v>1421</v>
      </c>
      <c r="F567" s="9" t="s">
        <v>1422</v>
      </c>
    </row>
    <row r="568" ht="33.75" customHeight="1">
      <c r="A568" s="7">
        <v>21.0</v>
      </c>
      <c r="B568" s="9" t="s">
        <v>1399</v>
      </c>
      <c r="C568" s="9" t="s">
        <v>83</v>
      </c>
      <c r="D568" s="9" t="s">
        <v>42</v>
      </c>
      <c r="E568" s="6" t="s">
        <v>1424</v>
      </c>
      <c r="F568" s="9" t="s">
        <v>1422</v>
      </c>
    </row>
    <row r="569" ht="33.75" customHeight="1">
      <c r="A569" s="7">
        <v>21.0</v>
      </c>
      <c r="B569" s="9" t="s">
        <v>1399</v>
      </c>
      <c r="C569" s="9" t="s">
        <v>83</v>
      </c>
      <c r="D569" s="9" t="s">
        <v>52</v>
      </c>
      <c r="E569" s="6" t="s">
        <v>1425</v>
      </c>
      <c r="F569" s="9" t="s">
        <v>1422</v>
      </c>
    </row>
    <row r="570" ht="33.75" customHeight="1">
      <c r="A570" s="7">
        <v>21.0</v>
      </c>
      <c r="B570" s="9" t="s">
        <v>1399</v>
      </c>
      <c r="C570" s="9" t="s">
        <v>83</v>
      </c>
      <c r="D570" s="9" t="s">
        <v>59</v>
      </c>
      <c r="E570" s="6" t="s">
        <v>1426</v>
      </c>
      <c r="F570" s="9" t="s">
        <v>1422</v>
      </c>
    </row>
    <row r="571" ht="33.75" customHeight="1">
      <c r="A571" s="7">
        <v>21.0</v>
      </c>
      <c r="B571" s="9" t="s">
        <v>1399</v>
      </c>
      <c r="C571" s="9" t="s">
        <v>83</v>
      </c>
      <c r="D571" s="9" t="s">
        <v>64</v>
      </c>
      <c r="E571" s="6" t="s">
        <v>1428</v>
      </c>
      <c r="F571" s="9" t="s">
        <v>1422</v>
      </c>
    </row>
    <row r="572" ht="33.75" customHeight="1">
      <c r="A572" s="7">
        <v>21.0</v>
      </c>
      <c r="B572" s="9" t="s">
        <v>1399</v>
      </c>
      <c r="C572" s="9" t="s">
        <v>83</v>
      </c>
      <c r="D572" s="9" t="s">
        <v>67</v>
      </c>
      <c r="E572" s="6" t="s">
        <v>1429</v>
      </c>
      <c r="F572" s="9" t="s">
        <v>1422</v>
      </c>
    </row>
    <row r="573" ht="33.75" customHeight="1">
      <c r="A573" s="7">
        <v>21.0</v>
      </c>
      <c r="B573" s="9" t="s">
        <v>1399</v>
      </c>
      <c r="C573" s="9" t="s">
        <v>83</v>
      </c>
      <c r="D573" s="9" t="s">
        <v>71</v>
      </c>
      <c r="E573" s="6" t="s">
        <v>1429</v>
      </c>
      <c r="F573" s="9" t="s">
        <v>1422</v>
      </c>
    </row>
    <row r="574" ht="33.75" customHeight="1">
      <c r="A574" s="7">
        <v>21.0</v>
      </c>
      <c r="B574" s="9" t="s">
        <v>1399</v>
      </c>
      <c r="C574" s="9" t="s">
        <v>83</v>
      </c>
      <c r="D574" s="9" t="s">
        <v>73</v>
      </c>
      <c r="E574" s="6" t="s">
        <v>1432</v>
      </c>
      <c r="F574" s="9" t="s">
        <v>1422</v>
      </c>
    </row>
    <row r="575" ht="33.75" customHeight="1">
      <c r="A575" s="7">
        <v>21.0</v>
      </c>
      <c r="B575" s="9" t="s">
        <v>1399</v>
      </c>
      <c r="C575" s="9" t="s">
        <v>83</v>
      </c>
      <c r="D575" s="9" t="s">
        <v>75</v>
      </c>
      <c r="E575" s="6" t="s">
        <v>1434</v>
      </c>
      <c r="F575" s="9" t="s">
        <v>1422</v>
      </c>
    </row>
    <row r="576" ht="33.75" customHeight="1">
      <c r="A576" s="7">
        <v>21.0</v>
      </c>
      <c r="B576" s="9" t="s">
        <v>1399</v>
      </c>
      <c r="C576" s="9" t="s">
        <v>83</v>
      </c>
      <c r="D576" s="9" t="s">
        <v>79</v>
      </c>
      <c r="E576" s="6" t="s">
        <v>1421</v>
      </c>
      <c r="F576" s="9" t="s">
        <v>1422</v>
      </c>
    </row>
    <row r="577" ht="33.75" customHeight="1">
      <c r="A577" s="7">
        <v>21.0</v>
      </c>
      <c r="B577" s="9" t="s">
        <v>1399</v>
      </c>
      <c r="C577" s="9" t="s">
        <v>83</v>
      </c>
      <c r="D577" s="9" t="s">
        <v>81</v>
      </c>
      <c r="E577" s="6" t="s">
        <v>1436</v>
      </c>
      <c r="F577" s="9" t="s">
        <v>1422</v>
      </c>
    </row>
    <row r="578" ht="33.75" customHeight="1">
      <c r="A578" s="7">
        <v>21.0</v>
      </c>
      <c r="B578" s="9" t="s">
        <v>1399</v>
      </c>
      <c r="C578" s="9" t="s">
        <v>83</v>
      </c>
      <c r="D578" s="9" t="s">
        <v>84</v>
      </c>
      <c r="E578" s="6" t="s">
        <v>1436</v>
      </c>
      <c r="F578" s="9" t="s">
        <v>1422</v>
      </c>
    </row>
    <row r="579" ht="33.75" customHeight="1">
      <c r="A579" s="7">
        <v>21.0</v>
      </c>
      <c r="B579" s="9" t="s">
        <v>1399</v>
      </c>
      <c r="C579" s="9" t="s">
        <v>83</v>
      </c>
      <c r="D579" s="9" t="s">
        <v>87</v>
      </c>
      <c r="E579" s="6" t="s">
        <v>1436</v>
      </c>
      <c r="F579" s="9" t="s">
        <v>1422</v>
      </c>
    </row>
    <row r="580" ht="33.75" customHeight="1">
      <c r="A580" s="7">
        <v>21.0</v>
      </c>
      <c r="B580" s="9" t="s">
        <v>1399</v>
      </c>
      <c r="C580" s="9" t="s">
        <v>83</v>
      </c>
      <c r="D580" s="9" t="s">
        <v>89</v>
      </c>
      <c r="E580" s="6" t="s">
        <v>1425</v>
      </c>
      <c r="F580" s="9" t="s">
        <v>1422</v>
      </c>
    </row>
    <row r="581" ht="33.75" customHeight="1">
      <c r="A581" s="7">
        <v>21.0</v>
      </c>
      <c r="B581" s="9" t="s">
        <v>1399</v>
      </c>
      <c r="C581" s="9" t="s">
        <v>83</v>
      </c>
      <c r="D581" s="9" t="s">
        <v>91</v>
      </c>
      <c r="E581" s="6" t="s">
        <v>1426</v>
      </c>
      <c r="F581" s="9" t="s">
        <v>1422</v>
      </c>
    </row>
    <row r="582" ht="33.75" customHeight="1">
      <c r="A582" s="7">
        <v>21.0</v>
      </c>
      <c r="B582" s="9" t="s">
        <v>1399</v>
      </c>
      <c r="C582" s="9" t="s">
        <v>83</v>
      </c>
      <c r="D582" s="9" t="s">
        <v>93</v>
      </c>
      <c r="E582" s="6" t="s">
        <v>1436</v>
      </c>
      <c r="F582" s="9" t="s">
        <v>1422</v>
      </c>
    </row>
    <row r="583" ht="33.75" customHeight="1">
      <c r="A583" s="7">
        <v>21.0</v>
      </c>
      <c r="B583" s="9" t="s">
        <v>1399</v>
      </c>
      <c r="C583" s="9" t="s">
        <v>83</v>
      </c>
      <c r="D583" s="9" t="s">
        <v>95</v>
      </c>
      <c r="E583" s="6" t="s">
        <v>1436</v>
      </c>
      <c r="F583" s="9" t="s">
        <v>1422</v>
      </c>
    </row>
    <row r="584" ht="33.75" customHeight="1">
      <c r="A584" s="7">
        <v>21.0</v>
      </c>
      <c r="B584" s="9" t="s">
        <v>1399</v>
      </c>
      <c r="C584" s="9" t="s">
        <v>83</v>
      </c>
      <c r="D584" s="9" t="s">
        <v>98</v>
      </c>
      <c r="E584" s="6" t="s">
        <v>1436</v>
      </c>
      <c r="F584" s="9" t="s">
        <v>1422</v>
      </c>
    </row>
    <row r="585" ht="33.75" customHeight="1">
      <c r="A585" s="7">
        <v>21.0</v>
      </c>
      <c r="B585" s="9" t="s">
        <v>1399</v>
      </c>
      <c r="C585" s="9" t="s">
        <v>83</v>
      </c>
      <c r="D585" s="9" t="s">
        <v>99</v>
      </c>
      <c r="E585" s="6" t="s">
        <v>1436</v>
      </c>
      <c r="F585" s="9" t="s">
        <v>1422</v>
      </c>
    </row>
    <row r="586" ht="33.75" customHeight="1">
      <c r="A586" s="7">
        <v>21.0</v>
      </c>
      <c r="B586" s="9" t="s">
        <v>1399</v>
      </c>
      <c r="C586" s="9" t="s">
        <v>83</v>
      </c>
      <c r="D586" s="9" t="s">
        <v>101</v>
      </c>
      <c r="E586" s="6" t="s">
        <v>1426</v>
      </c>
      <c r="F586" s="9" t="s">
        <v>1422</v>
      </c>
    </row>
    <row r="587" ht="33.75" customHeight="1">
      <c r="A587" s="7">
        <v>21.0</v>
      </c>
      <c r="B587" s="9" t="s">
        <v>1399</v>
      </c>
      <c r="C587" s="9" t="s">
        <v>83</v>
      </c>
      <c r="D587" s="9" t="s">
        <v>105</v>
      </c>
      <c r="E587" s="6" t="s">
        <v>1421</v>
      </c>
      <c r="F587" s="9" t="s">
        <v>1422</v>
      </c>
    </row>
    <row r="588" ht="33.75" customHeight="1">
      <c r="A588" s="7">
        <v>21.0</v>
      </c>
      <c r="B588" s="9" t="s">
        <v>1399</v>
      </c>
      <c r="C588" s="9" t="s">
        <v>83</v>
      </c>
      <c r="D588" s="9" t="s">
        <v>107</v>
      </c>
      <c r="E588" s="6" t="s">
        <v>1445</v>
      </c>
      <c r="F588" s="9" t="s">
        <v>1422</v>
      </c>
    </row>
    <row r="589" ht="33.75" customHeight="1">
      <c r="A589" s="7">
        <v>21.0</v>
      </c>
      <c r="B589" s="9" t="s">
        <v>1399</v>
      </c>
      <c r="C589" s="9" t="s">
        <v>83</v>
      </c>
      <c r="D589" s="9" t="s">
        <v>109</v>
      </c>
      <c r="E589" s="6" t="s">
        <v>1445</v>
      </c>
      <c r="F589" s="9" t="s">
        <v>1422</v>
      </c>
    </row>
    <row r="590" ht="33.75" customHeight="1">
      <c r="A590" s="7">
        <v>21.0</v>
      </c>
      <c r="B590" s="9" t="s">
        <v>1399</v>
      </c>
      <c r="C590" s="9" t="s">
        <v>83</v>
      </c>
      <c r="D590" s="9" t="s">
        <v>637</v>
      </c>
      <c r="E590" s="6" t="s">
        <v>1447</v>
      </c>
      <c r="F590" s="9" t="s">
        <v>1422</v>
      </c>
    </row>
    <row r="591" ht="33.75" customHeight="1">
      <c r="A591" s="7">
        <v>21.0</v>
      </c>
      <c r="B591" s="9" t="s">
        <v>1399</v>
      </c>
      <c r="C591" s="9" t="s">
        <v>83</v>
      </c>
      <c r="D591" s="9" t="s">
        <v>642</v>
      </c>
      <c r="E591" s="6" t="s">
        <v>1449</v>
      </c>
      <c r="F591" s="9" t="s">
        <v>1422</v>
      </c>
    </row>
    <row r="592" ht="33.75" customHeight="1">
      <c r="A592" s="7">
        <v>21.0</v>
      </c>
      <c r="B592" s="9" t="s">
        <v>1399</v>
      </c>
      <c r="C592" s="9" t="s">
        <v>83</v>
      </c>
      <c r="D592" s="9" t="s">
        <v>647</v>
      </c>
      <c r="E592" s="6" t="s">
        <v>1450</v>
      </c>
      <c r="F592" s="9" t="s">
        <v>1422</v>
      </c>
    </row>
    <row r="593" ht="33.75" customHeight="1">
      <c r="A593" s="7">
        <v>21.0</v>
      </c>
      <c r="B593" s="9" t="s">
        <v>1399</v>
      </c>
      <c r="C593" s="9" t="s">
        <v>83</v>
      </c>
      <c r="D593" s="9" t="s">
        <v>652</v>
      </c>
      <c r="E593" s="6" t="s">
        <v>1451</v>
      </c>
      <c r="F593" s="9" t="s">
        <v>1422</v>
      </c>
    </row>
    <row r="594" ht="33.75" customHeight="1">
      <c r="A594" s="7">
        <v>21.0</v>
      </c>
      <c r="B594" s="9" t="s">
        <v>1399</v>
      </c>
      <c r="C594" s="9" t="s">
        <v>83</v>
      </c>
      <c r="D594" s="9" t="s">
        <v>111</v>
      </c>
      <c r="E594" s="6" t="s">
        <v>1453</v>
      </c>
      <c r="F594" s="9" t="s">
        <v>1422</v>
      </c>
    </row>
    <row r="595" ht="33.75" customHeight="1">
      <c r="A595" s="7">
        <v>21.0</v>
      </c>
      <c r="B595" s="9" t="s">
        <v>1399</v>
      </c>
      <c r="C595" s="9" t="s">
        <v>83</v>
      </c>
      <c r="D595" s="9" t="s">
        <v>113</v>
      </c>
      <c r="E595" s="6" t="s">
        <v>1453</v>
      </c>
      <c r="F595" s="9" t="s">
        <v>1422</v>
      </c>
    </row>
    <row r="596" ht="33.75" customHeight="1">
      <c r="A596" s="7">
        <v>22.0</v>
      </c>
      <c r="B596" s="9" t="s">
        <v>1437</v>
      </c>
      <c r="C596" s="9" t="s">
        <v>90</v>
      </c>
      <c r="D596" s="9" t="s">
        <v>24</v>
      </c>
      <c r="E596" s="6" t="s">
        <v>1455</v>
      </c>
      <c r="F596" s="9" t="s">
        <v>1456</v>
      </c>
      <c r="G596" t="inlineStr" s="6">
        <is>
          <t xml:space="preserve">With Fearow's huge and magnificent wings, it can keep aloft without ever having to land for rest. A POKéMON that dates back many years. If it senses danger, it flies high and away, instantly. It shoots itself suddenly high into the sky, then plummets down in one fell swoop to strike its prey. It cleverly uses its thin, long beak to pluck and eat small insects that hide under the ground. It uses its long beak to attack. It has a surprisingly long reach, so it must be treated with caution. FEAROW is recognized by its long neck and elongated beak. They are conveniently shaped for catching prey in soil or water. It deftly moves its long and skinny beak to pluck prey. Its long neck and elongated beak are ideal for catching prey in soil or water. It deftly moves this extended and skinny beak to pluck prey. Its huge and magnificent wings can keep it aloft in the sky. It can remain flying a whole day without landing. It has the stamina to fly all day on its broad wings. It fights by using its sharp beak. It has the stamina to keep flying all day on its broad wings. It’s tough and has excellent stamina. It has no problem flying continuously for a whole day carrying a heavy load. Drawings of a Pokémon resembling Fearow can be seen in murals from deep in ancient history. Carrying food through Fearow’s territory is dangerous. It will snatch the food away from you in a flash! In Alola, fish Pokémon are its prey. It can be seen circling above the ocean searching for food.</t>
        </is>
      </c>
    </row>
    <row r="597" ht="33.75" customHeight="1">
      <c r="A597" s="7">
        <v>22.0</v>
      </c>
      <c r="B597" s="9" t="s">
        <v>1437</v>
      </c>
      <c r="C597" s="9" t="s">
        <v>90</v>
      </c>
      <c r="D597" s="9" t="s">
        <v>35</v>
      </c>
      <c r="E597" s="6" t="s">
        <v>1455</v>
      </c>
      <c r="F597" s="9" t="s">
        <v>1456</v>
      </c>
    </row>
    <row r="598" ht="33.75" customHeight="1">
      <c r="A598" s="7">
        <v>22.0</v>
      </c>
      <c r="B598" s="9" t="s">
        <v>1437</v>
      </c>
      <c r="C598" s="9" t="s">
        <v>90</v>
      </c>
      <c r="D598" s="9" t="s">
        <v>42</v>
      </c>
      <c r="E598" s="6" t="s">
        <v>1457</v>
      </c>
      <c r="F598" s="9" t="s">
        <v>1456</v>
      </c>
    </row>
    <row r="599" ht="33.75" customHeight="1">
      <c r="A599" s="7">
        <v>22.0</v>
      </c>
      <c r="B599" s="9" t="s">
        <v>1437</v>
      </c>
      <c r="C599" s="9" t="s">
        <v>90</v>
      </c>
      <c r="D599" s="9" t="s">
        <v>52</v>
      </c>
      <c r="E599" s="6" t="s">
        <v>1458</v>
      </c>
      <c r="F599" s="9" t="s">
        <v>1456</v>
      </c>
    </row>
    <row r="600" ht="33.75" customHeight="1">
      <c r="A600" s="7">
        <v>22.0</v>
      </c>
      <c r="B600" s="9" t="s">
        <v>1437</v>
      </c>
      <c r="C600" s="9" t="s">
        <v>90</v>
      </c>
      <c r="D600" s="9" t="s">
        <v>59</v>
      </c>
      <c r="E600" s="6" t="s">
        <v>1459</v>
      </c>
      <c r="F600" s="9" t="s">
        <v>1456</v>
      </c>
    </row>
    <row r="601" ht="33.75" customHeight="1">
      <c r="A601" s="7">
        <v>22.0</v>
      </c>
      <c r="B601" s="9" t="s">
        <v>1437</v>
      </c>
      <c r="C601" s="9" t="s">
        <v>90</v>
      </c>
      <c r="D601" s="9" t="s">
        <v>64</v>
      </c>
      <c r="E601" s="6" t="s">
        <v>1460</v>
      </c>
      <c r="F601" s="9" t="s">
        <v>1456</v>
      </c>
    </row>
    <row r="602" ht="33.75" customHeight="1">
      <c r="A602" s="7">
        <v>22.0</v>
      </c>
      <c r="B602" s="9" t="s">
        <v>1437</v>
      </c>
      <c r="C602" s="9" t="s">
        <v>90</v>
      </c>
      <c r="D602" s="9" t="s">
        <v>67</v>
      </c>
      <c r="E602" s="6" t="s">
        <v>1461</v>
      </c>
      <c r="F602" s="9" t="s">
        <v>1456</v>
      </c>
    </row>
    <row r="603" ht="33.75" customHeight="1">
      <c r="A603" s="7">
        <v>22.0</v>
      </c>
      <c r="B603" s="9" t="s">
        <v>1437</v>
      </c>
      <c r="C603" s="9" t="s">
        <v>90</v>
      </c>
      <c r="D603" s="9" t="s">
        <v>71</v>
      </c>
      <c r="E603" s="6" t="s">
        <v>1461</v>
      </c>
      <c r="F603" s="9" t="s">
        <v>1456</v>
      </c>
    </row>
    <row r="604" ht="33.75" customHeight="1">
      <c r="A604" s="7">
        <v>22.0</v>
      </c>
      <c r="B604" s="9" t="s">
        <v>1437</v>
      </c>
      <c r="C604" s="9" t="s">
        <v>90</v>
      </c>
      <c r="D604" s="9" t="s">
        <v>73</v>
      </c>
      <c r="E604" s="6" t="s">
        <v>1462</v>
      </c>
      <c r="F604" s="9" t="s">
        <v>1456</v>
      </c>
    </row>
    <row r="605" ht="33.75" customHeight="1">
      <c r="A605" s="7">
        <v>22.0</v>
      </c>
      <c r="B605" s="9" t="s">
        <v>1437</v>
      </c>
      <c r="C605" s="9" t="s">
        <v>90</v>
      </c>
      <c r="D605" s="9" t="s">
        <v>75</v>
      </c>
      <c r="E605" s="6" t="s">
        <v>1464</v>
      </c>
      <c r="F605" s="9" t="s">
        <v>1456</v>
      </c>
    </row>
    <row r="606" ht="33.75" customHeight="1">
      <c r="A606" s="7">
        <v>22.0</v>
      </c>
      <c r="B606" s="9" t="s">
        <v>1437</v>
      </c>
      <c r="C606" s="9" t="s">
        <v>90</v>
      </c>
      <c r="D606" s="9" t="s">
        <v>79</v>
      </c>
      <c r="E606" s="6" t="s">
        <v>1455</v>
      </c>
      <c r="F606" s="9" t="s">
        <v>1456</v>
      </c>
    </row>
    <row r="607" ht="33.75" customHeight="1">
      <c r="A607" s="7">
        <v>22.0</v>
      </c>
      <c r="B607" s="9" t="s">
        <v>1437</v>
      </c>
      <c r="C607" s="9" t="s">
        <v>90</v>
      </c>
      <c r="D607" s="9" t="s">
        <v>81</v>
      </c>
      <c r="E607" s="6" t="s">
        <v>1465</v>
      </c>
      <c r="F607" s="9" t="s">
        <v>1456</v>
      </c>
    </row>
    <row r="608" ht="33.75" customHeight="1">
      <c r="A608" s="7">
        <v>22.0</v>
      </c>
      <c r="B608" s="9" t="s">
        <v>1437</v>
      </c>
      <c r="C608" s="9" t="s">
        <v>90</v>
      </c>
      <c r="D608" s="9" t="s">
        <v>84</v>
      </c>
      <c r="E608" s="6" t="s">
        <v>1467</v>
      </c>
      <c r="F608" s="9" t="s">
        <v>1456</v>
      </c>
    </row>
    <row r="609" ht="33.75" customHeight="1">
      <c r="A609" s="7">
        <v>22.0</v>
      </c>
      <c r="B609" s="9" t="s">
        <v>1437</v>
      </c>
      <c r="C609" s="9" t="s">
        <v>90</v>
      </c>
      <c r="D609" s="9" t="s">
        <v>87</v>
      </c>
      <c r="E609" s="6" t="s">
        <v>1465</v>
      </c>
      <c r="F609" s="9" t="s">
        <v>1456</v>
      </c>
    </row>
    <row r="610" ht="33.75" customHeight="1">
      <c r="A610" s="7">
        <v>22.0</v>
      </c>
      <c r="B610" s="9" t="s">
        <v>1437</v>
      </c>
      <c r="C610" s="9" t="s">
        <v>90</v>
      </c>
      <c r="D610" s="9" t="s">
        <v>89</v>
      </c>
      <c r="E610" s="6" t="s">
        <v>1458</v>
      </c>
      <c r="F610" s="9" t="s">
        <v>1456</v>
      </c>
    </row>
    <row r="611" ht="33.75" customHeight="1">
      <c r="A611" s="7">
        <v>22.0</v>
      </c>
      <c r="B611" s="9" t="s">
        <v>1437</v>
      </c>
      <c r="C611" s="9" t="s">
        <v>90</v>
      </c>
      <c r="D611" s="9" t="s">
        <v>91</v>
      </c>
      <c r="E611" s="6" t="s">
        <v>1459</v>
      </c>
      <c r="F611" s="9" t="s">
        <v>1456</v>
      </c>
    </row>
    <row r="612" ht="33.75" customHeight="1">
      <c r="A612" s="7">
        <v>22.0</v>
      </c>
      <c r="B612" s="9" t="s">
        <v>1437</v>
      </c>
      <c r="C612" s="9" t="s">
        <v>90</v>
      </c>
      <c r="D612" s="9" t="s">
        <v>93</v>
      </c>
      <c r="E612" s="6" t="s">
        <v>1465</v>
      </c>
      <c r="F612" s="9" t="s">
        <v>1456</v>
      </c>
    </row>
    <row r="613" ht="33.75" customHeight="1">
      <c r="A613" s="7">
        <v>22.0</v>
      </c>
      <c r="B613" s="9" t="s">
        <v>1437</v>
      </c>
      <c r="C613" s="9" t="s">
        <v>90</v>
      </c>
      <c r="D613" s="9" t="s">
        <v>95</v>
      </c>
      <c r="E613" s="6" t="s">
        <v>1465</v>
      </c>
      <c r="F613" s="9" t="s">
        <v>1456</v>
      </c>
    </row>
    <row r="614" ht="33.75" customHeight="1">
      <c r="A614" s="7">
        <v>22.0</v>
      </c>
      <c r="B614" s="9" t="s">
        <v>1437</v>
      </c>
      <c r="C614" s="9" t="s">
        <v>90</v>
      </c>
      <c r="D614" s="9" t="s">
        <v>98</v>
      </c>
      <c r="E614" s="6" t="s">
        <v>1465</v>
      </c>
      <c r="F614" s="9" t="s">
        <v>1456</v>
      </c>
    </row>
    <row r="615" ht="33.75" customHeight="1">
      <c r="A615" s="7">
        <v>22.0</v>
      </c>
      <c r="B615" s="9" t="s">
        <v>1437</v>
      </c>
      <c r="C615" s="9" t="s">
        <v>90</v>
      </c>
      <c r="D615" s="9" t="s">
        <v>99</v>
      </c>
      <c r="E615" s="6" t="s">
        <v>1465</v>
      </c>
      <c r="F615" s="9" t="s">
        <v>1456</v>
      </c>
    </row>
    <row r="616" ht="33.75" customHeight="1">
      <c r="A616" s="7">
        <v>22.0</v>
      </c>
      <c r="B616" s="9" t="s">
        <v>1437</v>
      </c>
      <c r="C616" s="9" t="s">
        <v>90</v>
      </c>
      <c r="D616" s="9" t="s">
        <v>101</v>
      </c>
      <c r="E616" s="6" t="s">
        <v>1455</v>
      </c>
      <c r="F616" s="9" t="s">
        <v>1456</v>
      </c>
    </row>
    <row r="617" ht="33.75" customHeight="1">
      <c r="A617" s="7">
        <v>22.0</v>
      </c>
      <c r="B617" s="9" t="s">
        <v>1437</v>
      </c>
      <c r="C617" s="9" t="s">
        <v>90</v>
      </c>
      <c r="D617" s="9" t="s">
        <v>105</v>
      </c>
      <c r="E617" s="6" t="s">
        <v>1465</v>
      </c>
      <c r="F617" s="9" t="s">
        <v>1456</v>
      </c>
    </row>
    <row r="618" ht="33.75" customHeight="1">
      <c r="A618" s="7">
        <v>22.0</v>
      </c>
      <c r="B618" s="9" t="s">
        <v>1437</v>
      </c>
      <c r="C618" s="9" t="s">
        <v>90</v>
      </c>
      <c r="D618" s="9" t="s">
        <v>107</v>
      </c>
      <c r="E618" s="6" t="s">
        <v>1476</v>
      </c>
      <c r="F618" s="9" t="s">
        <v>1456</v>
      </c>
    </row>
    <row r="619" ht="33.75" customHeight="1">
      <c r="A619" s="7">
        <v>22.0</v>
      </c>
      <c r="B619" s="9" t="s">
        <v>1437</v>
      </c>
      <c r="C619" s="9" t="s">
        <v>90</v>
      </c>
      <c r="D619" s="9" t="s">
        <v>109</v>
      </c>
      <c r="E619" s="6" t="s">
        <v>1476</v>
      </c>
      <c r="F619" s="9" t="s">
        <v>1456</v>
      </c>
    </row>
    <row r="620" ht="33.75" customHeight="1">
      <c r="A620" s="7">
        <v>22.0</v>
      </c>
      <c r="B620" s="9" t="s">
        <v>1437</v>
      </c>
      <c r="C620" s="9" t="s">
        <v>90</v>
      </c>
      <c r="D620" s="9" t="s">
        <v>637</v>
      </c>
      <c r="E620" s="6" t="s">
        <v>1479</v>
      </c>
      <c r="F620" s="9" t="s">
        <v>1456</v>
      </c>
    </row>
    <row r="621" ht="33.75" customHeight="1">
      <c r="A621" s="7">
        <v>22.0</v>
      </c>
      <c r="B621" s="9" t="s">
        <v>1437</v>
      </c>
      <c r="C621" s="9" t="s">
        <v>90</v>
      </c>
      <c r="D621" s="9" t="s">
        <v>642</v>
      </c>
      <c r="E621" s="6" t="s">
        <v>1481</v>
      </c>
      <c r="F621" s="9" t="s">
        <v>1456</v>
      </c>
    </row>
    <row r="622" ht="33.75" customHeight="1">
      <c r="A622" s="7">
        <v>22.0</v>
      </c>
      <c r="B622" s="9" t="s">
        <v>1437</v>
      </c>
      <c r="C622" s="9" t="s">
        <v>90</v>
      </c>
      <c r="D622" s="9" t="s">
        <v>647</v>
      </c>
      <c r="E622" s="6" t="s">
        <v>1483</v>
      </c>
      <c r="F622" s="9" t="s">
        <v>1456</v>
      </c>
    </row>
    <row r="623" ht="33.75" customHeight="1">
      <c r="A623" s="7">
        <v>22.0</v>
      </c>
      <c r="B623" s="9" t="s">
        <v>1437</v>
      </c>
      <c r="C623" s="9" t="s">
        <v>90</v>
      </c>
      <c r="D623" s="9" t="s">
        <v>652</v>
      </c>
      <c r="E623" s="6" t="s">
        <v>1484</v>
      </c>
      <c r="F623" s="9" t="s">
        <v>1456</v>
      </c>
    </row>
    <row r="624" ht="33.75" customHeight="1">
      <c r="A624" s="7">
        <v>22.0</v>
      </c>
      <c r="B624" s="9" t="s">
        <v>1437</v>
      </c>
      <c r="C624" s="9" t="s">
        <v>90</v>
      </c>
      <c r="D624" s="9" t="s">
        <v>111</v>
      </c>
      <c r="E624" s="6" t="s">
        <v>1485</v>
      </c>
      <c r="F624" s="9" t="s">
        <v>1456</v>
      </c>
    </row>
    <row r="625" ht="33.75" customHeight="1">
      <c r="A625" s="7">
        <v>22.0</v>
      </c>
      <c r="B625" s="9" t="s">
        <v>1437</v>
      </c>
      <c r="C625" s="9" t="s">
        <v>90</v>
      </c>
      <c r="D625" s="9" t="s">
        <v>113</v>
      </c>
      <c r="E625" s="6" t="s">
        <v>1485</v>
      </c>
      <c r="F625" s="9" t="s">
        <v>1456</v>
      </c>
    </row>
    <row r="626" ht="33.75" customHeight="1">
      <c r="A626" s="7">
        <v>23.0</v>
      </c>
      <c r="B626" s="9" t="s">
        <v>1472</v>
      </c>
      <c r="C626" s="9" t="s">
        <v>92</v>
      </c>
      <c r="D626" s="9" t="s">
        <v>24</v>
      </c>
      <c r="E626" s="6" t="s">
        <v>1488</v>
      </c>
      <c r="F626" s="9" t="s">
        <v>1489</v>
      </c>
      <c r="G626" t="inlineStr" s="6">
        <is>
          <t xml:space="preserve">Moves silently and stealthily. Eats the eggs of birds, such as PIDGEY and SPEAROW, whole. The older it gets, the longer it grows. At night, it wraps its long body around tree branches to rest. It can freely detach its jaw to swallow large prey whole. It can be come too heavy to move, however. It always hides in grass. When first born, it has no poison, so its bite is painful, but harmless. It flutters the tip of its tongue to seek out the scent of prey, then swallows the prey whole. EKANS curls itself up in a spiral while it rests. Assuming this position allows it to quickly respond to a threat from any direction with a glare from its upraised head. An EKANS curls itself up in a spiral while it rests. This position allows it to quickly respond to an enemy from any direction with a threat from its upraised head. A very common sight in grassland, etc. It flicks its tongue in and out to sense danger in its surroundings. Moving silently and stealthily, it eats the eggs of birds, such as PIDGEY and SPEAROW, whole. It sneaks through grass without making a sound and strikes unsuspecting prey from behind. It can become too heavy to move, however. By dislocating its jaw, it can swallow prey larger than itself. After a meal, it curls up and rests. The eggs of bird Pokémon are its favorite food. It swallows eggs whole, so sometimes an egg gets stuck, and Ekans faints.</t>
        </is>
      </c>
    </row>
    <row r="627" ht="33.75" customHeight="1">
      <c r="A627" s="7">
        <v>23.0</v>
      </c>
      <c r="B627" s="9" t="s">
        <v>1472</v>
      </c>
      <c r="C627" s="9" t="s">
        <v>92</v>
      </c>
      <c r="D627" s="9" t="s">
        <v>35</v>
      </c>
      <c r="E627" s="6" t="s">
        <v>1488</v>
      </c>
      <c r="F627" s="9" t="s">
        <v>1489</v>
      </c>
    </row>
    <row r="628" ht="33.75" customHeight="1">
      <c r="A628" s="7">
        <v>23.0</v>
      </c>
      <c r="B628" s="9" t="s">
        <v>1472</v>
      </c>
      <c r="C628" s="9" t="s">
        <v>92</v>
      </c>
      <c r="D628" s="9" t="s">
        <v>42</v>
      </c>
      <c r="E628" s="6" t="s">
        <v>1491</v>
      </c>
      <c r="F628" s="9" t="s">
        <v>1489</v>
      </c>
    </row>
    <row r="629" ht="33.75" customHeight="1">
      <c r="A629" s="7">
        <v>23.0</v>
      </c>
      <c r="B629" s="9" t="s">
        <v>1472</v>
      </c>
      <c r="C629" s="9" t="s">
        <v>92</v>
      </c>
      <c r="D629" s="9" t="s">
        <v>52</v>
      </c>
      <c r="E629" s="6" t="s">
        <v>1493</v>
      </c>
      <c r="F629" s="9" t="s">
        <v>1489</v>
      </c>
    </row>
    <row r="630" ht="33.75" customHeight="1">
      <c r="A630" s="7">
        <v>23.0</v>
      </c>
      <c r="B630" s="9" t="s">
        <v>1472</v>
      </c>
      <c r="C630" s="9" t="s">
        <v>92</v>
      </c>
      <c r="D630" s="9" t="s">
        <v>59</v>
      </c>
      <c r="E630" s="6" t="s">
        <v>1494</v>
      </c>
      <c r="F630" s="9" t="s">
        <v>1489</v>
      </c>
    </row>
    <row r="631" ht="33.75" customHeight="1">
      <c r="A631" s="7">
        <v>23.0</v>
      </c>
      <c r="B631" s="9" t="s">
        <v>1472</v>
      </c>
      <c r="C631" s="9" t="s">
        <v>92</v>
      </c>
      <c r="D631" s="9" t="s">
        <v>64</v>
      </c>
      <c r="E631" s="6" t="s">
        <v>1495</v>
      </c>
      <c r="F631" s="9" t="s">
        <v>1489</v>
      </c>
    </row>
    <row r="632" ht="33.75" customHeight="1">
      <c r="A632" s="7">
        <v>23.0</v>
      </c>
      <c r="B632" s="9" t="s">
        <v>1472</v>
      </c>
      <c r="C632" s="9" t="s">
        <v>92</v>
      </c>
      <c r="D632" s="9" t="s">
        <v>67</v>
      </c>
      <c r="E632" s="6" t="s">
        <v>1497</v>
      </c>
      <c r="F632" s="9" t="s">
        <v>1489</v>
      </c>
    </row>
    <row r="633" ht="33.75" customHeight="1">
      <c r="A633" s="7">
        <v>23.0</v>
      </c>
      <c r="B633" s="9" t="s">
        <v>1472</v>
      </c>
      <c r="C633" s="9" t="s">
        <v>92</v>
      </c>
      <c r="D633" s="9" t="s">
        <v>71</v>
      </c>
      <c r="E633" s="6" t="s">
        <v>1497</v>
      </c>
      <c r="F633" s="9" t="s">
        <v>1489</v>
      </c>
    </row>
    <row r="634" ht="33.75" customHeight="1">
      <c r="A634" s="7">
        <v>23.0</v>
      </c>
      <c r="B634" s="9" t="s">
        <v>1472</v>
      </c>
      <c r="C634" s="9" t="s">
        <v>92</v>
      </c>
      <c r="D634" s="9" t="s">
        <v>73</v>
      </c>
      <c r="E634" s="6" t="s">
        <v>1498</v>
      </c>
      <c r="F634" s="9" t="s">
        <v>1489</v>
      </c>
    </row>
    <row r="635" ht="33.75" customHeight="1">
      <c r="A635" s="7">
        <v>23.0</v>
      </c>
      <c r="B635" s="9" t="s">
        <v>1472</v>
      </c>
      <c r="C635" s="9" t="s">
        <v>92</v>
      </c>
      <c r="D635" s="9" t="s">
        <v>75</v>
      </c>
      <c r="E635" s="6" t="s">
        <v>1499</v>
      </c>
      <c r="F635" s="9" t="s">
        <v>1489</v>
      </c>
    </row>
    <row r="636" ht="33.75" customHeight="1">
      <c r="A636" s="7">
        <v>23.0</v>
      </c>
      <c r="B636" s="9" t="s">
        <v>1472</v>
      </c>
      <c r="C636" s="9" t="s">
        <v>92</v>
      </c>
      <c r="D636" s="9" t="s">
        <v>79</v>
      </c>
      <c r="E636" s="6" t="s">
        <v>1500</v>
      </c>
      <c r="F636" s="9" t="s">
        <v>1489</v>
      </c>
    </row>
    <row r="637" ht="33.75" customHeight="1">
      <c r="A637" s="7">
        <v>23.0</v>
      </c>
      <c r="B637" s="9" t="s">
        <v>1472</v>
      </c>
      <c r="C637" s="9" t="s">
        <v>92</v>
      </c>
      <c r="D637" s="9" t="s">
        <v>81</v>
      </c>
      <c r="E637" s="6" t="s">
        <v>1501</v>
      </c>
      <c r="F637" s="9" t="s">
        <v>1489</v>
      </c>
    </row>
    <row r="638" ht="33.75" customHeight="1">
      <c r="A638" s="7">
        <v>23.0</v>
      </c>
      <c r="B638" s="9" t="s">
        <v>1472</v>
      </c>
      <c r="C638" s="9" t="s">
        <v>92</v>
      </c>
      <c r="D638" s="9" t="s">
        <v>84</v>
      </c>
      <c r="E638" s="6" t="s">
        <v>1501</v>
      </c>
      <c r="F638" s="9" t="s">
        <v>1489</v>
      </c>
    </row>
    <row r="639" ht="33.75" customHeight="1">
      <c r="A639" s="7">
        <v>23.0</v>
      </c>
      <c r="B639" s="9" t="s">
        <v>1472</v>
      </c>
      <c r="C639" s="9" t="s">
        <v>92</v>
      </c>
      <c r="D639" s="9" t="s">
        <v>87</v>
      </c>
      <c r="E639" s="6" t="s">
        <v>1501</v>
      </c>
      <c r="F639" s="9" t="s">
        <v>1489</v>
      </c>
    </row>
    <row r="640" ht="33.75" customHeight="1">
      <c r="A640" s="7">
        <v>23.0</v>
      </c>
      <c r="B640" s="9" t="s">
        <v>1472</v>
      </c>
      <c r="C640" s="9" t="s">
        <v>92</v>
      </c>
      <c r="D640" s="9" t="s">
        <v>89</v>
      </c>
      <c r="E640" s="6" t="s">
        <v>1502</v>
      </c>
      <c r="F640" s="9" t="s">
        <v>1489</v>
      </c>
    </row>
    <row r="641" ht="33.75" customHeight="1">
      <c r="A641" s="7">
        <v>23.0</v>
      </c>
      <c r="B641" s="9" t="s">
        <v>1472</v>
      </c>
      <c r="C641" s="9" t="s">
        <v>92</v>
      </c>
      <c r="D641" s="9" t="s">
        <v>91</v>
      </c>
      <c r="E641" s="6" t="s">
        <v>1494</v>
      </c>
      <c r="F641" s="9" t="s">
        <v>1489</v>
      </c>
    </row>
    <row r="642" ht="33.75" customHeight="1">
      <c r="A642" s="7">
        <v>23.0</v>
      </c>
      <c r="B642" s="9" t="s">
        <v>1472</v>
      </c>
      <c r="C642" s="9" t="s">
        <v>92</v>
      </c>
      <c r="D642" s="9" t="s">
        <v>93</v>
      </c>
      <c r="E642" s="6" t="s">
        <v>1501</v>
      </c>
      <c r="F642" s="9" t="s">
        <v>1489</v>
      </c>
    </row>
    <row r="643" ht="33.75" customHeight="1">
      <c r="A643" s="7">
        <v>23.0</v>
      </c>
      <c r="B643" s="9" t="s">
        <v>1472</v>
      </c>
      <c r="C643" s="9" t="s">
        <v>92</v>
      </c>
      <c r="D643" s="9" t="s">
        <v>95</v>
      </c>
      <c r="E643" s="6" t="s">
        <v>1501</v>
      </c>
      <c r="F643" s="9" t="s">
        <v>1489</v>
      </c>
    </row>
    <row r="644" ht="33.75" customHeight="1">
      <c r="A644" s="7">
        <v>23.0</v>
      </c>
      <c r="B644" s="9" t="s">
        <v>1472</v>
      </c>
      <c r="C644" s="9" t="s">
        <v>92</v>
      </c>
      <c r="D644" s="9" t="s">
        <v>98</v>
      </c>
      <c r="E644" s="6" t="s">
        <v>1501</v>
      </c>
      <c r="F644" s="9" t="s">
        <v>1489</v>
      </c>
    </row>
    <row r="645" ht="33.75" customHeight="1">
      <c r="A645" s="7">
        <v>23.0</v>
      </c>
      <c r="B645" s="9" t="s">
        <v>1472</v>
      </c>
      <c r="C645" s="9" t="s">
        <v>92</v>
      </c>
      <c r="D645" s="9" t="s">
        <v>99</v>
      </c>
      <c r="E645" s="6" t="s">
        <v>1501</v>
      </c>
      <c r="F645" s="9" t="s">
        <v>1489</v>
      </c>
    </row>
    <row r="646" ht="33.75" customHeight="1">
      <c r="A646" s="7">
        <v>23.0</v>
      </c>
      <c r="B646" s="9" t="s">
        <v>1472</v>
      </c>
      <c r="C646" s="9" t="s">
        <v>92</v>
      </c>
      <c r="D646" s="9" t="s">
        <v>101</v>
      </c>
      <c r="E646" s="6" t="s">
        <v>1491</v>
      </c>
      <c r="F646" s="9" t="s">
        <v>1489</v>
      </c>
    </row>
    <row r="647" ht="33.75" customHeight="1">
      <c r="A647" s="7">
        <v>23.0</v>
      </c>
      <c r="B647" s="9" t="s">
        <v>1472</v>
      </c>
      <c r="C647" s="9" t="s">
        <v>92</v>
      </c>
      <c r="D647" s="9" t="s">
        <v>105</v>
      </c>
      <c r="E647" s="6" t="s">
        <v>1507</v>
      </c>
      <c r="F647" s="9" t="s">
        <v>1489</v>
      </c>
    </row>
    <row r="648" ht="33.75" customHeight="1">
      <c r="A648" s="7">
        <v>23.0</v>
      </c>
      <c r="B648" s="9" t="s">
        <v>1472</v>
      </c>
      <c r="C648" s="9" t="s">
        <v>92</v>
      </c>
      <c r="D648" s="9" t="s">
        <v>107</v>
      </c>
      <c r="E648" s="6" t="s">
        <v>1508</v>
      </c>
      <c r="F648" s="9" t="s">
        <v>1489</v>
      </c>
    </row>
    <row r="649" ht="33.75" customHeight="1">
      <c r="A649" s="7">
        <v>23.0</v>
      </c>
      <c r="B649" s="9" t="s">
        <v>1472</v>
      </c>
      <c r="C649" s="9" t="s">
        <v>92</v>
      </c>
      <c r="D649" s="9" t="s">
        <v>109</v>
      </c>
      <c r="E649" s="6" t="s">
        <v>1508</v>
      </c>
      <c r="F649" s="9" t="s">
        <v>1489</v>
      </c>
    </row>
    <row r="650" ht="33.75" customHeight="1">
      <c r="A650" s="7">
        <v>23.0</v>
      </c>
      <c r="B650" s="9" t="s">
        <v>1472</v>
      </c>
      <c r="C650" s="9" t="s">
        <v>92</v>
      </c>
      <c r="D650" s="9" t="s">
        <v>647</v>
      </c>
      <c r="E650" s="6" t="s">
        <v>1512</v>
      </c>
      <c r="F650" s="9" t="s">
        <v>1489</v>
      </c>
    </row>
    <row r="651" ht="33.75" customHeight="1">
      <c r="A651" s="7">
        <v>23.0</v>
      </c>
      <c r="B651" s="9" t="s">
        <v>1472</v>
      </c>
      <c r="C651" s="9" t="s">
        <v>92</v>
      </c>
      <c r="D651" s="9" t="s">
        <v>652</v>
      </c>
      <c r="E651" s="6" t="s">
        <v>1514</v>
      </c>
      <c r="F651" s="9" t="s">
        <v>1489</v>
      </c>
    </row>
    <row r="652" ht="33.75" customHeight="1">
      <c r="A652" s="7">
        <v>23.0</v>
      </c>
      <c r="B652" s="9" t="s">
        <v>1472</v>
      </c>
      <c r="C652" s="9" t="s">
        <v>92</v>
      </c>
      <c r="D652" s="9" t="s">
        <v>111</v>
      </c>
      <c r="E652" s="6" t="s">
        <v>1491</v>
      </c>
      <c r="F652" s="9" t="s">
        <v>1489</v>
      </c>
    </row>
    <row r="653" ht="33.75" customHeight="1">
      <c r="A653" s="7">
        <v>23.0</v>
      </c>
      <c r="B653" s="9" t="s">
        <v>1472</v>
      </c>
      <c r="C653" s="9" t="s">
        <v>92</v>
      </c>
      <c r="D653" s="9" t="s">
        <v>113</v>
      </c>
      <c r="E653" s="6" t="s">
        <v>1491</v>
      </c>
      <c r="F653" s="9" t="s">
        <v>1489</v>
      </c>
    </row>
    <row r="654" ht="33.75" customHeight="1">
      <c r="A654" s="7">
        <v>24.0</v>
      </c>
      <c r="B654" s="9" t="s">
        <v>1509</v>
      </c>
      <c r="C654" s="9" t="s">
        <v>94</v>
      </c>
      <c r="D654" s="9" t="s">
        <v>24</v>
      </c>
      <c r="E654" s="6" t="s">
        <v>1519</v>
      </c>
      <c r="F654" s="9" t="s">
        <v>1520</v>
      </c>
      <c r="G654" t="inlineStr" s="6">
        <is>
          <t xml:space="preserve">It is rumored that the ferocious warning markings on Arbok's belly differ from area to area. The frightening patterns on its belly have been studied. Six variations have been confirmed. Transfixing prey with the face-like pattern on its belly, it binds and poisons the frightened victim. With a very vengeful nature, it won't give up the chase, no matter how far, once it targets its prey. To intimidate foes, it spreads its chest wide and makes eerie sounds by expelling air from its mouth. This POKéMON is terrifically strong in order to constrict things with its body. It can even flatten steel oil drums. Once ARBOK wraps its body around its foe, escaping its crunching embrace is impossible. This POKéMON has a terrifically strong constricting power. Once it wraps its body around its foe, escaping is impossible. The pattern on its belly appears to be a frightening face. Weak foes will flee just at the sight of the pattern. The pattern on its belly is for intimidation. It constricts foes while they are frozen in fear. The latest research has determined that there are over 20 possible arrangements of the patterns on its stomach. After stunning its opponents with the pattern on its stomach, it quickly wraps them up in its body and waits for them to stop moving.</t>
        </is>
      </c>
    </row>
    <row r="655" ht="33.75" customHeight="1">
      <c r="A655" s="7">
        <v>24.0</v>
      </c>
      <c r="B655" s="9" t="s">
        <v>1509</v>
      </c>
      <c r="C655" s="9" t="s">
        <v>94</v>
      </c>
      <c r="D655" s="9" t="s">
        <v>35</v>
      </c>
      <c r="E655" s="6" t="s">
        <v>1519</v>
      </c>
      <c r="F655" s="9" t="s">
        <v>1520</v>
      </c>
    </row>
    <row r="656" ht="33.75" customHeight="1">
      <c r="A656" s="7">
        <v>24.0</v>
      </c>
      <c r="B656" s="9" t="s">
        <v>1509</v>
      </c>
      <c r="C656" s="9" t="s">
        <v>94</v>
      </c>
      <c r="D656" s="9" t="s">
        <v>42</v>
      </c>
      <c r="E656" s="6" t="s">
        <v>1521</v>
      </c>
      <c r="F656" s="9" t="s">
        <v>1520</v>
      </c>
    </row>
    <row r="657" ht="33.75" customHeight="1">
      <c r="A657" s="7">
        <v>24.0</v>
      </c>
      <c r="B657" s="9" t="s">
        <v>1509</v>
      </c>
      <c r="C657" s="9" t="s">
        <v>94</v>
      </c>
      <c r="D657" s="9" t="s">
        <v>52</v>
      </c>
      <c r="E657" s="6" t="s">
        <v>1524</v>
      </c>
      <c r="F657" s="9" t="s">
        <v>1520</v>
      </c>
    </row>
    <row r="658" ht="33.75" customHeight="1">
      <c r="A658" s="7">
        <v>24.0</v>
      </c>
      <c r="B658" s="9" t="s">
        <v>1509</v>
      </c>
      <c r="C658" s="9" t="s">
        <v>94</v>
      </c>
      <c r="D658" s="9" t="s">
        <v>59</v>
      </c>
      <c r="E658" s="6" t="s">
        <v>1525</v>
      </c>
      <c r="F658" s="9" t="s">
        <v>1520</v>
      </c>
    </row>
    <row r="659" ht="33.75" customHeight="1">
      <c r="A659" s="7">
        <v>24.0</v>
      </c>
      <c r="B659" s="9" t="s">
        <v>1509</v>
      </c>
      <c r="C659" s="9" t="s">
        <v>94</v>
      </c>
      <c r="D659" s="9" t="s">
        <v>64</v>
      </c>
      <c r="E659" s="6" t="s">
        <v>1527</v>
      </c>
      <c r="F659" s="9" t="s">
        <v>1520</v>
      </c>
    </row>
    <row r="660" ht="33.75" customHeight="1">
      <c r="A660" s="7">
        <v>24.0</v>
      </c>
      <c r="B660" s="9" t="s">
        <v>1509</v>
      </c>
      <c r="C660" s="9" t="s">
        <v>94</v>
      </c>
      <c r="D660" s="9" t="s">
        <v>67</v>
      </c>
      <c r="E660" s="6" t="s">
        <v>1528</v>
      </c>
      <c r="F660" s="9" t="s">
        <v>1520</v>
      </c>
    </row>
    <row r="661" ht="33.75" customHeight="1">
      <c r="A661" s="7">
        <v>24.0</v>
      </c>
      <c r="B661" s="9" t="s">
        <v>1509</v>
      </c>
      <c r="C661" s="9" t="s">
        <v>94</v>
      </c>
      <c r="D661" s="9" t="s">
        <v>71</v>
      </c>
      <c r="E661" s="6" t="s">
        <v>1528</v>
      </c>
      <c r="F661" s="9" t="s">
        <v>1520</v>
      </c>
    </row>
    <row r="662" ht="33.75" customHeight="1">
      <c r="A662" s="7">
        <v>24.0</v>
      </c>
      <c r="B662" s="9" t="s">
        <v>1509</v>
      </c>
      <c r="C662" s="9" t="s">
        <v>94</v>
      </c>
      <c r="D662" s="9" t="s">
        <v>73</v>
      </c>
      <c r="E662" s="6" t="s">
        <v>1529</v>
      </c>
      <c r="F662" s="9" t="s">
        <v>1520</v>
      </c>
    </row>
    <row r="663" ht="33.75" customHeight="1">
      <c r="A663" s="7">
        <v>24.0</v>
      </c>
      <c r="B663" s="9" t="s">
        <v>1509</v>
      </c>
      <c r="C663" s="9" t="s">
        <v>94</v>
      </c>
      <c r="D663" s="9" t="s">
        <v>75</v>
      </c>
      <c r="E663" s="6" t="s">
        <v>1530</v>
      </c>
      <c r="F663" s="9" t="s">
        <v>1520</v>
      </c>
    </row>
    <row r="664" ht="33.75" customHeight="1">
      <c r="A664" s="7">
        <v>24.0</v>
      </c>
      <c r="B664" s="9" t="s">
        <v>1509</v>
      </c>
      <c r="C664" s="9" t="s">
        <v>94</v>
      </c>
      <c r="D664" s="9" t="s">
        <v>79</v>
      </c>
      <c r="E664" s="6" t="s">
        <v>1519</v>
      </c>
      <c r="F664" s="9" t="s">
        <v>1520</v>
      </c>
    </row>
    <row r="665" ht="33.75" customHeight="1">
      <c r="A665" s="7">
        <v>24.0</v>
      </c>
      <c r="B665" s="9" t="s">
        <v>1509</v>
      </c>
      <c r="C665" s="9" t="s">
        <v>94</v>
      </c>
      <c r="D665" s="9" t="s">
        <v>81</v>
      </c>
      <c r="E665" s="6" t="s">
        <v>1531</v>
      </c>
      <c r="F665" s="9" t="s">
        <v>1520</v>
      </c>
    </row>
    <row r="666" ht="33.75" customHeight="1">
      <c r="A666" s="7">
        <v>24.0</v>
      </c>
      <c r="B666" s="9" t="s">
        <v>1509</v>
      </c>
      <c r="C666" s="9" t="s">
        <v>94</v>
      </c>
      <c r="D666" s="9" t="s">
        <v>84</v>
      </c>
      <c r="E666" s="6" t="s">
        <v>1531</v>
      </c>
      <c r="F666" s="9" t="s">
        <v>1520</v>
      </c>
    </row>
    <row r="667" ht="33.75" customHeight="1">
      <c r="A667" s="7">
        <v>24.0</v>
      </c>
      <c r="B667" s="9" t="s">
        <v>1509</v>
      </c>
      <c r="C667" s="9" t="s">
        <v>94</v>
      </c>
      <c r="D667" s="9" t="s">
        <v>87</v>
      </c>
      <c r="E667" s="6" t="s">
        <v>1531</v>
      </c>
      <c r="F667" s="9" t="s">
        <v>1520</v>
      </c>
    </row>
    <row r="668" ht="33.75" customHeight="1">
      <c r="A668" s="7">
        <v>24.0</v>
      </c>
      <c r="B668" s="9" t="s">
        <v>1509</v>
      </c>
      <c r="C668" s="9" t="s">
        <v>94</v>
      </c>
      <c r="D668" s="9" t="s">
        <v>89</v>
      </c>
      <c r="E668" s="6" t="s">
        <v>1524</v>
      </c>
      <c r="F668" s="9" t="s">
        <v>1520</v>
      </c>
    </row>
    <row r="669" ht="33.75" customHeight="1">
      <c r="A669" s="7">
        <v>24.0</v>
      </c>
      <c r="B669" s="9" t="s">
        <v>1509</v>
      </c>
      <c r="C669" s="9" t="s">
        <v>94</v>
      </c>
      <c r="D669" s="9" t="s">
        <v>91</v>
      </c>
      <c r="E669" s="6" t="s">
        <v>1533</v>
      </c>
      <c r="F669" s="9" t="s">
        <v>1520</v>
      </c>
    </row>
    <row r="670" ht="33.75" customHeight="1">
      <c r="A670" s="7">
        <v>24.0</v>
      </c>
      <c r="B670" s="9" t="s">
        <v>1509</v>
      </c>
      <c r="C670" s="9" t="s">
        <v>94</v>
      </c>
      <c r="D670" s="9" t="s">
        <v>93</v>
      </c>
      <c r="E670" s="6" t="s">
        <v>1531</v>
      </c>
      <c r="F670" s="9" t="s">
        <v>1520</v>
      </c>
    </row>
    <row r="671" ht="33.75" customHeight="1">
      <c r="A671" s="7">
        <v>24.0</v>
      </c>
      <c r="B671" s="9" t="s">
        <v>1509</v>
      </c>
      <c r="C671" s="9" t="s">
        <v>94</v>
      </c>
      <c r="D671" s="9" t="s">
        <v>95</v>
      </c>
      <c r="E671" s="6" t="s">
        <v>1531</v>
      </c>
      <c r="F671" s="9" t="s">
        <v>1520</v>
      </c>
    </row>
    <row r="672" ht="33.75" customHeight="1">
      <c r="A672" s="7">
        <v>24.0</v>
      </c>
      <c r="B672" s="9" t="s">
        <v>1509</v>
      </c>
      <c r="C672" s="9" t="s">
        <v>94</v>
      </c>
      <c r="D672" s="9" t="s">
        <v>98</v>
      </c>
      <c r="E672" s="6" t="s">
        <v>1531</v>
      </c>
      <c r="F672" s="9" t="s">
        <v>1520</v>
      </c>
    </row>
    <row r="673" ht="33.75" customHeight="1">
      <c r="A673" s="7">
        <v>24.0</v>
      </c>
      <c r="B673" s="9" t="s">
        <v>1509</v>
      </c>
      <c r="C673" s="9" t="s">
        <v>94</v>
      </c>
      <c r="D673" s="9" t="s">
        <v>99</v>
      </c>
      <c r="E673" s="6" t="s">
        <v>1531</v>
      </c>
      <c r="F673" s="9" t="s">
        <v>1520</v>
      </c>
    </row>
    <row r="674" ht="33.75" customHeight="1">
      <c r="A674" s="7">
        <v>24.0</v>
      </c>
      <c r="B674" s="9" t="s">
        <v>1509</v>
      </c>
      <c r="C674" s="9" t="s">
        <v>94</v>
      </c>
      <c r="D674" s="9" t="s">
        <v>101</v>
      </c>
      <c r="E674" s="6" t="s">
        <v>1530</v>
      </c>
      <c r="F674" s="9" t="s">
        <v>1520</v>
      </c>
    </row>
    <row r="675" ht="33.75" customHeight="1">
      <c r="A675" s="7">
        <v>24.0</v>
      </c>
      <c r="B675" s="9" t="s">
        <v>1509</v>
      </c>
      <c r="C675" s="9" t="s">
        <v>94</v>
      </c>
      <c r="D675" s="9" t="s">
        <v>105</v>
      </c>
      <c r="E675" s="6" t="s">
        <v>1527</v>
      </c>
      <c r="F675" s="9" t="s">
        <v>1520</v>
      </c>
    </row>
    <row r="676" ht="33.75" customHeight="1">
      <c r="A676" s="7">
        <v>24.0</v>
      </c>
      <c r="B676" s="9" t="s">
        <v>1509</v>
      </c>
      <c r="C676" s="9" t="s">
        <v>94</v>
      </c>
      <c r="D676" s="9" t="s">
        <v>107</v>
      </c>
      <c r="E676" s="6" t="s">
        <v>1545</v>
      </c>
      <c r="F676" s="9" t="s">
        <v>1520</v>
      </c>
    </row>
    <row r="677" ht="33.75" customHeight="1">
      <c r="A677" s="7">
        <v>24.0</v>
      </c>
      <c r="B677" s="9" t="s">
        <v>1509</v>
      </c>
      <c r="C677" s="9" t="s">
        <v>94</v>
      </c>
      <c r="D677" s="9" t="s">
        <v>109</v>
      </c>
      <c r="E677" s="6" t="s">
        <v>1545</v>
      </c>
      <c r="F677" s="9" t="s">
        <v>1520</v>
      </c>
    </row>
    <row r="678" ht="33.75" customHeight="1">
      <c r="A678" s="7">
        <v>24.0</v>
      </c>
      <c r="B678" s="9" t="s">
        <v>1509</v>
      </c>
      <c r="C678" s="9" t="s">
        <v>94</v>
      </c>
      <c r="D678" s="9" t="s">
        <v>647</v>
      </c>
      <c r="E678" s="6" t="s">
        <v>1549</v>
      </c>
      <c r="F678" s="9" t="s">
        <v>1520</v>
      </c>
    </row>
    <row r="679" ht="33.75" customHeight="1">
      <c r="A679" s="7">
        <v>24.0</v>
      </c>
      <c r="B679" s="9" t="s">
        <v>1509</v>
      </c>
      <c r="C679" s="9" t="s">
        <v>94</v>
      </c>
      <c r="D679" s="9" t="s">
        <v>652</v>
      </c>
      <c r="E679" s="6" t="s">
        <v>1552</v>
      </c>
      <c r="F679" s="9" t="s">
        <v>1520</v>
      </c>
    </row>
    <row r="680" ht="33.75" customHeight="1">
      <c r="A680" s="7">
        <v>24.0</v>
      </c>
      <c r="B680" s="9" t="s">
        <v>1509</v>
      </c>
      <c r="C680" s="9" t="s">
        <v>94</v>
      </c>
      <c r="D680" s="9" t="s">
        <v>111</v>
      </c>
      <c r="E680" s="6" t="s">
        <v>1521</v>
      </c>
      <c r="F680" s="9" t="s">
        <v>1520</v>
      </c>
    </row>
    <row r="681" ht="33.75" customHeight="1">
      <c r="A681" s="7">
        <v>24.0</v>
      </c>
      <c r="B681" s="9" t="s">
        <v>1509</v>
      </c>
      <c r="C681" s="9" t="s">
        <v>94</v>
      </c>
      <c r="D681" s="9" t="s">
        <v>113</v>
      </c>
      <c r="E681" s="6" t="s">
        <v>1521</v>
      </c>
      <c r="F681" s="9" t="s">
        <v>1520</v>
      </c>
    </row>
    <row r="682" ht="33.75" customHeight="1">
      <c r="A682" s="7">
        <v>25.0</v>
      </c>
      <c r="B682" s="9" t="s">
        <v>1536</v>
      </c>
      <c r="C682" s="9" t="s">
        <v>88</v>
      </c>
      <c r="D682" s="9" t="s">
        <v>24</v>
      </c>
      <c r="E682" s="6" t="s">
        <v>1556</v>
      </c>
      <c r="F682" s="9" t="s">
        <v>1557</v>
      </c>
      <c r="G682" t="inlineStr" s="6">
        <is>
          <t xml:space="preserve">When several of these POKéMON gather, their electricity could build and cause lightning storms. It keeps its tail raised to monitor its surroundings. If you yank its tail, it will try to bite you. This intelligent POKéMON roasts hard BERRIES with electricity to make them tender enough to eat. It raises its tail to check its surroundings. The tail is sometimes struck by lightning in this pose. When it is angered, it immediately discharges the energy stored in the pouches in its cheeks. Whenever PIKACHU comes across something new, it blasts it with a jolt of electricity. If you come across a blackened berry, it’s evidence that this POKéMON mistook the intensity of its charge. This POKéMON has electricity-storing pouches on its cheeks. These appear to become electrically charged during the night while PIKACHU sleeps. It occasionally discharges electricity when it is dozy after waking up. It stores electricity in the electric sacs on its cheeks. When it releases pent-up energy in a burst, the electric power is equal to a lightning bolt. It has small electric sacs on both its cheeks. If threatened, it looses electric charges from the sacs. When several of these POKéMON gather, their electricity can build and cause lightning storms. It lives in forests with others. It stores electricity in the pouches on its cheeks. If it looses crackling power from the electric pouches on its cheeks, it is being wary. It occasionally uses an electric shock to recharge a fellow PIKACHU that is in a weakened state. A plan was recently announced to gather many Pikachu and make an electric power plant. It’s in its nature to store electricity. It feels stressed now and then if it’s unable to fully discharge the electricity. Its nature is to store up electricity. Forests where nests of Pikachu live are dangerous, since the trees are so often struck by lightning. While sleeping, it generates electricity in the sacs in its cheeks. If it’s not getting enough sleep, it will be able to use only weak electricity. This forest-dwelling Pokémon stores electricity in its cheeks, so you’ll feel a tingly shock if you touch it. Pikachu that can generate powerful electricity have cheek sacs that are extra soft and super stretchy. When Pikachu meet, they’ll touch their tails together and exchange electricity through them as a form of greeting. Possesses cheek sacs in which it stores electricity. This clever forest-dweller roasts tough berries with an electric shock before consuming them.</t>
        </is>
      </c>
    </row>
    <row r="683" ht="33.75" customHeight="1">
      <c r="A683" s="7">
        <v>25.0</v>
      </c>
      <c r="B683" s="9" t="s">
        <v>1536</v>
      </c>
      <c r="C683" s="9" t="s">
        <v>88</v>
      </c>
      <c r="D683" s="9" t="s">
        <v>35</v>
      </c>
      <c r="E683" s="6" t="s">
        <v>1556</v>
      </c>
      <c r="F683" s="9" t="s">
        <v>1557</v>
      </c>
    </row>
    <row r="684" ht="33.75" customHeight="1">
      <c r="A684" s="7">
        <v>25.0</v>
      </c>
      <c r="B684" s="9" t="s">
        <v>1536</v>
      </c>
      <c r="C684" s="9" t="s">
        <v>88</v>
      </c>
      <c r="D684" s="9" t="s">
        <v>42</v>
      </c>
      <c r="E684" s="6" t="s">
        <v>1558</v>
      </c>
      <c r="F684" s="9" t="s">
        <v>1557</v>
      </c>
    </row>
    <row r="685" ht="33.75" customHeight="1">
      <c r="A685" s="7">
        <v>25.0</v>
      </c>
      <c r="B685" s="9" t="s">
        <v>1536</v>
      </c>
      <c r="C685" s="9" t="s">
        <v>88</v>
      </c>
      <c r="D685" s="9" t="s">
        <v>52</v>
      </c>
      <c r="E685" s="6" t="s">
        <v>1559</v>
      </c>
      <c r="F685" s="9" t="s">
        <v>1557</v>
      </c>
    </row>
    <row r="686" ht="33.75" customHeight="1">
      <c r="A686" s="7">
        <v>25.0</v>
      </c>
      <c r="B686" s="9" t="s">
        <v>1536</v>
      </c>
      <c r="C686" s="9" t="s">
        <v>88</v>
      </c>
      <c r="D686" s="9" t="s">
        <v>59</v>
      </c>
      <c r="E686" s="6" t="s">
        <v>1561</v>
      </c>
      <c r="F686" s="9" t="s">
        <v>1557</v>
      </c>
    </row>
    <row r="687" ht="33.75" customHeight="1">
      <c r="A687" s="7">
        <v>25.0</v>
      </c>
      <c r="B687" s="9" t="s">
        <v>1536</v>
      </c>
      <c r="C687" s="9" t="s">
        <v>88</v>
      </c>
      <c r="D687" s="9" t="s">
        <v>64</v>
      </c>
      <c r="E687" s="6" t="s">
        <v>1563</v>
      </c>
      <c r="F687" s="9" t="s">
        <v>1557</v>
      </c>
    </row>
    <row r="688" ht="33.75" customHeight="1">
      <c r="A688" s="7">
        <v>25.0</v>
      </c>
      <c r="B688" s="9" t="s">
        <v>1536</v>
      </c>
      <c r="C688" s="9" t="s">
        <v>88</v>
      </c>
      <c r="D688" s="9" t="s">
        <v>67</v>
      </c>
      <c r="E688" s="6" t="s">
        <v>1565</v>
      </c>
      <c r="F688" s="9" t="s">
        <v>1557</v>
      </c>
    </row>
    <row r="689" ht="33.75" customHeight="1">
      <c r="A689" s="7">
        <v>25.0</v>
      </c>
      <c r="B689" s="9" t="s">
        <v>1536</v>
      </c>
      <c r="C689" s="9" t="s">
        <v>88</v>
      </c>
      <c r="D689" s="9" t="s">
        <v>71</v>
      </c>
      <c r="E689" s="6" t="s">
        <v>1568</v>
      </c>
      <c r="F689" s="9" t="s">
        <v>1557</v>
      </c>
    </row>
    <row r="690" ht="33.75" customHeight="1">
      <c r="A690" s="7">
        <v>25.0</v>
      </c>
      <c r="B690" s="9" t="s">
        <v>1536</v>
      </c>
      <c r="C690" s="9" t="s">
        <v>88</v>
      </c>
      <c r="D690" s="9" t="s">
        <v>73</v>
      </c>
      <c r="E690" s="6" t="s">
        <v>1570</v>
      </c>
      <c r="F690" s="9" t="s">
        <v>1557</v>
      </c>
    </row>
    <row r="691" ht="33.75" customHeight="1">
      <c r="A691" s="7">
        <v>25.0</v>
      </c>
      <c r="B691" s="9" t="s">
        <v>1536</v>
      </c>
      <c r="C691" s="9" t="s">
        <v>88</v>
      </c>
      <c r="D691" s="9" t="s">
        <v>75</v>
      </c>
      <c r="E691" s="6" t="s">
        <v>1572</v>
      </c>
      <c r="F691" s="9" t="s">
        <v>1557</v>
      </c>
    </row>
    <row r="692" ht="33.75" customHeight="1">
      <c r="A692" s="7">
        <v>25.0</v>
      </c>
      <c r="B692" s="9" t="s">
        <v>1536</v>
      </c>
      <c r="C692" s="9" t="s">
        <v>88</v>
      </c>
      <c r="D692" s="9" t="s">
        <v>79</v>
      </c>
      <c r="E692" s="6" t="s">
        <v>1573</v>
      </c>
      <c r="F692" s="9" t="s">
        <v>1557</v>
      </c>
    </row>
    <row r="693" ht="33.75" customHeight="1">
      <c r="A693" s="7">
        <v>25.0</v>
      </c>
      <c r="B693" s="9" t="s">
        <v>1536</v>
      </c>
      <c r="C693" s="9" t="s">
        <v>88</v>
      </c>
      <c r="D693" s="9" t="s">
        <v>81</v>
      </c>
      <c r="E693" s="6" t="s">
        <v>1575</v>
      </c>
      <c r="F693" s="9" t="s">
        <v>1557</v>
      </c>
    </row>
    <row r="694" ht="33.75" customHeight="1">
      <c r="A694" s="7">
        <v>25.0</v>
      </c>
      <c r="B694" s="9" t="s">
        <v>1536</v>
      </c>
      <c r="C694" s="9" t="s">
        <v>88</v>
      </c>
      <c r="D694" s="9" t="s">
        <v>84</v>
      </c>
      <c r="E694" s="6" t="s">
        <v>1580</v>
      </c>
      <c r="F694" s="9" t="s">
        <v>1557</v>
      </c>
    </row>
    <row r="695" ht="33.75" customHeight="1">
      <c r="A695" s="7">
        <v>25.0</v>
      </c>
      <c r="B695" s="9" t="s">
        <v>1536</v>
      </c>
      <c r="C695" s="9" t="s">
        <v>88</v>
      </c>
      <c r="D695" s="9" t="s">
        <v>87</v>
      </c>
      <c r="E695" s="6" t="s">
        <v>1582</v>
      </c>
      <c r="F695" s="9" t="s">
        <v>1557</v>
      </c>
    </row>
    <row r="696" ht="33.75" customHeight="1">
      <c r="A696" s="7">
        <v>25.0</v>
      </c>
      <c r="B696" s="9" t="s">
        <v>1536</v>
      </c>
      <c r="C696" s="9" t="s">
        <v>88</v>
      </c>
      <c r="D696" s="9" t="s">
        <v>89</v>
      </c>
      <c r="E696" s="6" t="s">
        <v>1584</v>
      </c>
      <c r="F696" s="9" t="s">
        <v>1557</v>
      </c>
    </row>
    <row r="697" ht="33.75" customHeight="1">
      <c r="A697" s="7">
        <v>25.0</v>
      </c>
      <c r="B697" s="9" t="s">
        <v>1536</v>
      </c>
      <c r="C697" s="9" t="s">
        <v>88</v>
      </c>
      <c r="D697" s="9" t="s">
        <v>91</v>
      </c>
      <c r="E697" s="6" t="s">
        <v>1586</v>
      </c>
      <c r="F697" s="9" t="s">
        <v>1557</v>
      </c>
    </row>
    <row r="698" ht="33.75" customHeight="1">
      <c r="A698" s="7">
        <v>25.0</v>
      </c>
      <c r="B698" s="9" t="s">
        <v>1536</v>
      </c>
      <c r="C698" s="9" t="s">
        <v>88</v>
      </c>
      <c r="D698" s="9" t="s">
        <v>93</v>
      </c>
      <c r="E698" s="6" t="s">
        <v>1588</v>
      </c>
      <c r="F698" s="9" t="s">
        <v>1557</v>
      </c>
    </row>
    <row r="699" ht="33.75" customHeight="1">
      <c r="A699" s="7">
        <v>25.0</v>
      </c>
      <c r="B699" s="9" t="s">
        <v>1536</v>
      </c>
      <c r="C699" s="9" t="s">
        <v>88</v>
      </c>
      <c r="D699" s="9" t="s">
        <v>95</v>
      </c>
      <c r="E699" s="6" t="s">
        <v>1588</v>
      </c>
      <c r="F699" s="9" t="s">
        <v>1557</v>
      </c>
    </row>
    <row r="700" ht="33.75" customHeight="1">
      <c r="A700" s="7">
        <v>25.0</v>
      </c>
      <c r="B700" s="9" t="s">
        <v>1536</v>
      </c>
      <c r="C700" s="9" t="s">
        <v>88</v>
      </c>
      <c r="D700" s="9" t="s">
        <v>98</v>
      </c>
      <c r="E700" s="6" t="s">
        <v>1588</v>
      </c>
      <c r="F700" s="9" t="s">
        <v>1557</v>
      </c>
    </row>
    <row r="701" ht="33.75" customHeight="1">
      <c r="A701" s="7">
        <v>25.0</v>
      </c>
      <c r="B701" s="9" t="s">
        <v>1536</v>
      </c>
      <c r="C701" s="9" t="s">
        <v>88</v>
      </c>
      <c r="D701" s="9" t="s">
        <v>99</v>
      </c>
      <c r="E701" s="6" t="s">
        <v>1588</v>
      </c>
      <c r="F701" s="9" t="s">
        <v>1557</v>
      </c>
    </row>
    <row r="702" ht="33.75" customHeight="1">
      <c r="A702" s="7">
        <v>25.0</v>
      </c>
      <c r="B702" s="9" t="s">
        <v>1536</v>
      </c>
      <c r="C702" s="9" t="s">
        <v>88</v>
      </c>
      <c r="D702" s="9" t="s">
        <v>101</v>
      </c>
      <c r="E702" s="6" t="s">
        <v>1586</v>
      </c>
      <c r="F702" s="9" t="s">
        <v>1557</v>
      </c>
    </row>
    <row r="703" ht="33.75" customHeight="1">
      <c r="A703" s="7">
        <v>25.0</v>
      </c>
      <c r="B703" s="9" t="s">
        <v>1536</v>
      </c>
      <c r="C703" s="9" t="s">
        <v>88</v>
      </c>
      <c r="D703" s="9" t="s">
        <v>105</v>
      </c>
      <c r="E703" s="6" t="s">
        <v>1572</v>
      </c>
      <c r="F703" s="9" t="s">
        <v>1557</v>
      </c>
    </row>
    <row r="704" ht="33.75" customHeight="1">
      <c r="A704" s="7">
        <v>25.0</v>
      </c>
      <c r="B704" s="9" t="s">
        <v>1536</v>
      </c>
      <c r="C704" s="9" t="s">
        <v>88</v>
      </c>
      <c r="D704" s="9" t="s">
        <v>107</v>
      </c>
      <c r="E704" s="6" t="s">
        <v>1598</v>
      </c>
      <c r="F704" s="9" t="s">
        <v>1557</v>
      </c>
    </row>
    <row r="705" ht="33.75" customHeight="1">
      <c r="A705" s="7">
        <v>25.0</v>
      </c>
      <c r="B705" s="9" t="s">
        <v>1536</v>
      </c>
      <c r="C705" s="9" t="s">
        <v>88</v>
      </c>
      <c r="D705" s="9" t="s">
        <v>109</v>
      </c>
      <c r="E705" s="6" t="s">
        <v>1599</v>
      </c>
      <c r="F705" s="9" t="s">
        <v>1557</v>
      </c>
    </row>
    <row r="706" ht="33.75" customHeight="1">
      <c r="A706" s="7">
        <v>25.0</v>
      </c>
      <c r="B706" s="9" t="s">
        <v>1536</v>
      </c>
      <c r="C706" s="9" t="s">
        <v>88</v>
      </c>
      <c r="D706" s="9" t="s">
        <v>637</v>
      </c>
      <c r="E706" s="6" t="s">
        <v>1600</v>
      </c>
      <c r="F706" s="9" t="s">
        <v>1557</v>
      </c>
    </row>
    <row r="707" ht="33.75" customHeight="1">
      <c r="A707" s="7">
        <v>25.0</v>
      </c>
      <c r="B707" s="9" t="s">
        <v>1536</v>
      </c>
      <c r="C707" s="9" t="s">
        <v>88</v>
      </c>
      <c r="D707" s="9" t="s">
        <v>642</v>
      </c>
      <c r="E707" s="6" t="s">
        <v>1601</v>
      </c>
      <c r="F707" s="9" t="s">
        <v>1557</v>
      </c>
    </row>
    <row r="708" ht="33.75" customHeight="1">
      <c r="A708" s="7">
        <v>25.0</v>
      </c>
      <c r="B708" s="9" t="s">
        <v>1536</v>
      </c>
      <c r="C708" s="9" t="s">
        <v>88</v>
      </c>
      <c r="D708" s="9" t="s">
        <v>647</v>
      </c>
      <c r="E708" s="6" t="s">
        <v>1602</v>
      </c>
      <c r="F708" s="9" t="s">
        <v>1557</v>
      </c>
    </row>
    <row r="709" ht="33.75" customHeight="1">
      <c r="A709" s="7">
        <v>25.0</v>
      </c>
      <c r="B709" s="9" t="s">
        <v>1536</v>
      </c>
      <c r="C709" s="9" t="s">
        <v>88</v>
      </c>
      <c r="D709" s="9" t="s">
        <v>652</v>
      </c>
      <c r="E709" s="6" t="s">
        <v>1604</v>
      </c>
      <c r="F709" s="9" t="s">
        <v>1557</v>
      </c>
    </row>
    <row r="710" ht="33.75" customHeight="1">
      <c r="A710" s="7">
        <v>25.0</v>
      </c>
      <c r="B710" s="9" t="s">
        <v>1536</v>
      </c>
      <c r="C710" s="9" t="s">
        <v>88</v>
      </c>
      <c r="D710" s="9" t="s">
        <v>111</v>
      </c>
      <c r="E710" s="6" t="s">
        <v>1606</v>
      </c>
      <c r="F710" s="9" t="s">
        <v>1557</v>
      </c>
    </row>
    <row r="711" ht="33.75" customHeight="1">
      <c r="A711" s="7">
        <v>25.0</v>
      </c>
      <c r="B711" s="9" t="s">
        <v>1536</v>
      </c>
      <c r="C711" s="9" t="s">
        <v>88</v>
      </c>
      <c r="D711" s="9" t="s">
        <v>113</v>
      </c>
      <c r="E711" s="6" t="s">
        <v>1606</v>
      </c>
      <c r="F711" s="9" t="s">
        <v>1557</v>
      </c>
    </row>
    <row r="712" ht="33.75" customHeight="1">
      <c r="A712" s="7">
        <v>25.0</v>
      </c>
      <c r="B712" s="9" t="s">
        <v>1536</v>
      </c>
      <c r="C712" s="9" t="s">
        <v>88</v>
      </c>
      <c r="D712" s="9" t="s">
        <v>114</v>
      </c>
      <c r="E712" s="6" t="s">
        <v>1609</v>
      </c>
      <c r="F712" s="9" t="s">
        <v>1557</v>
      </c>
    </row>
    <row r="713" ht="33.75" customHeight="1">
      <c r="A713" s="7">
        <v>25.0</v>
      </c>
      <c r="B713" s="9" t="s">
        <v>1536</v>
      </c>
      <c r="C713" s="9" t="s">
        <v>88</v>
      </c>
      <c r="D713" s="9" t="s">
        <v>117</v>
      </c>
      <c r="E713" s="6" t="s">
        <v>1611</v>
      </c>
      <c r="F713" s="9" t="s">
        <v>1557</v>
      </c>
    </row>
    <row r="714" ht="33.75" customHeight="1">
      <c r="A714" s="7">
        <v>25.0</v>
      </c>
      <c r="B714" s="9" t="s">
        <v>1536</v>
      </c>
      <c r="C714" s="9" t="s">
        <v>88</v>
      </c>
      <c r="D714" s="9" t="s">
        <v>1577</v>
      </c>
      <c r="E714" s="6" t="s">
        <v>1612</v>
      </c>
      <c r="F714" s="9" t="s">
        <v>1557</v>
      </c>
    </row>
    <row r="715" ht="33.75" customHeight="1">
      <c r="A715" s="7">
        <v>26.0</v>
      </c>
      <c r="B715" s="9" t="s">
        <v>1579</v>
      </c>
      <c r="C715" s="9" t="s">
        <v>88</v>
      </c>
      <c r="D715" s="9" t="s">
        <v>24</v>
      </c>
      <c r="E715" s="6" t="s">
        <v>1614</v>
      </c>
      <c r="F715" s="9" t="s">
        <v>1615</v>
      </c>
      <c r="G715" t="inlineStr" s="6">
        <is>
          <t xml:space="preserve">Raichu's long tail serves as a ground to protect itself from its own high voltage power. When electricity builds up inside its body, it becomes feisty. It also glows in the dark. When its electric ity builds, its muscles are stimulated, and it be comes more aggressive than usual. If the electric pouches in its cheeks become fully charged, both ears will stand straight up. If its electric pouches run empty, it raises its tail to gather electricity from the atmosphere. If the electrical sacks become excessively charged, RAICHU plants its tail in the ground and discharges. Scorched patches of ground will be found near this POKéMON’s nest. This POKéMON exudes a weak electrical charge from all over its body that makes it take on a slight glow in darkness. RAICHU searches for electricity by planting its tail in the ground. If it stores too much electricity, its behavior turns aggressive. To avoid this, it occasionally discharges excess energy and calms itself down. Its electric charges can reach even 100,000 volts. Careless contact can cause even an Indian elephant to faint. Its long tail serves as a ground to protect itself from its own high-voltage power. It turns aggressive if it has too much electricity in its body. It discharges power through its tail. It can loose 100,000-volt bursts of electricity, instantly downing foes several times its size. Its tail discharges electricity into the ground, protecting it from getting shocked. When its electricity builds, its muscles are stimulated, and it becomes more aggressive than usual. If the electrical sacs become excessively charged, Raichu plants its tail in the ground and discharges. Raichu plants its tail in the ground to discharge electricity. It unleashes electric shocks that can reach 100,000 volts. When agitated, it can knock out even an Indian elephant. It becomes aggressive when it has electricity stored up. At such times, even its Trainer has to take care to avoid being attacked. As electricity builds up inside its body, it becomes more aggressive. One theory is that the electricity buildup is actually causing stress. Because so many Trainers like the way Pikachu looks, you don’t see this Pokémon very often. It can discharge bursts of electricity exceeding 100,000 volts— a single strike with that amount of power would incapacitate one of the Copperajah of my homeland.</t>
        </is>
      </c>
    </row>
    <row r="716" ht="33.75" customHeight="1">
      <c r="A716" s="7">
        <v>26.0</v>
      </c>
      <c r="B716" s="9" t="s">
        <v>1579</v>
      </c>
      <c r="C716" s="9" t="s">
        <v>88</v>
      </c>
      <c r="D716" s="9" t="s">
        <v>35</v>
      </c>
      <c r="E716" s="6" t="s">
        <v>1614</v>
      </c>
      <c r="F716" s="9" t="s">
        <v>1615</v>
      </c>
    </row>
    <row r="717" ht="33.75" customHeight="1">
      <c r="A717" s="7">
        <v>26.0</v>
      </c>
      <c r="B717" s="9" t="s">
        <v>1579</v>
      </c>
      <c r="C717" s="9" t="s">
        <v>88</v>
      </c>
      <c r="D717" s="9" t="s">
        <v>42</v>
      </c>
      <c r="E717" s="6" t="s">
        <v>1616</v>
      </c>
      <c r="F717" s="9" t="s">
        <v>1615</v>
      </c>
    </row>
    <row r="718" ht="33.75" customHeight="1">
      <c r="A718" s="7">
        <v>26.0</v>
      </c>
      <c r="B718" s="9" t="s">
        <v>1579</v>
      </c>
      <c r="C718" s="9" t="s">
        <v>88</v>
      </c>
      <c r="D718" s="9" t="s">
        <v>52</v>
      </c>
      <c r="E718" s="6" t="s">
        <v>1617</v>
      </c>
      <c r="F718" s="9" t="s">
        <v>1615</v>
      </c>
    </row>
    <row r="719" ht="33.75" customHeight="1">
      <c r="A719" s="7">
        <v>26.0</v>
      </c>
      <c r="B719" s="9" t="s">
        <v>1579</v>
      </c>
      <c r="C719" s="9" t="s">
        <v>88</v>
      </c>
      <c r="D719" s="9" t="s">
        <v>59</v>
      </c>
      <c r="E719" s="6" t="s">
        <v>1618</v>
      </c>
      <c r="F719" s="9" t="s">
        <v>1615</v>
      </c>
    </row>
    <row r="720" ht="33.75" customHeight="1">
      <c r="A720" s="7">
        <v>26.0</v>
      </c>
      <c r="B720" s="9" t="s">
        <v>1579</v>
      </c>
      <c r="C720" s="9" t="s">
        <v>88</v>
      </c>
      <c r="D720" s="9" t="s">
        <v>64</v>
      </c>
      <c r="E720" s="6" t="s">
        <v>1619</v>
      </c>
      <c r="F720" s="9" t="s">
        <v>1615</v>
      </c>
    </row>
    <row r="721" ht="33.75" customHeight="1">
      <c r="A721" s="7">
        <v>26.0</v>
      </c>
      <c r="B721" s="9" t="s">
        <v>1579</v>
      </c>
      <c r="C721" s="9" t="s">
        <v>88</v>
      </c>
      <c r="D721" s="9" t="s">
        <v>67</v>
      </c>
      <c r="E721" s="6" t="s">
        <v>1620</v>
      </c>
      <c r="F721" s="9" t="s">
        <v>1615</v>
      </c>
    </row>
    <row r="722" ht="33.75" customHeight="1">
      <c r="A722" s="7">
        <v>26.0</v>
      </c>
      <c r="B722" s="9" t="s">
        <v>1579</v>
      </c>
      <c r="C722" s="9" t="s">
        <v>88</v>
      </c>
      <c r="D722" s="9" t="s">
        <v>71</v>
      </c>
      <c r="E722" s="6" t="s">
        <v>1621</v>
      </c>
      <c r="F722" s="9" t="s">
        <v>1615</v>
      </c>
    </row>
    <row r="723" ht="33.75" customHeight="1">
      <c r="A723" s="7">
        <v>26.0</v>
      </c>
      <c r="B723" s="9" t="s">
        <v>1579</v>
      </c>
      <c r="C723" s="9" t="s">
        <v>88</v>
      </c>
      <c r="D723" s="9" t="s">
        <v>73</v>
      </c>
      <c r="E723" s="6" t="s">
        <v>1622</v>
      </c>
      <c r="F723" s="9" t="s">
        <v>1615</v>
      </c>
    </row>
    <row r="724" ht="33.75" customHeight="1">
      <c r="A724" s="7">
        <v>26.0</v>
      </c>
      <c r="B724" s="9" t="s">
        <v>1579</v>
      </c>
      <c r="C724" s="9" t="s">
        <v>88</v>
      </c>
      <c r="D724" s="9" t="s">
        <v>75</v>
      </c>
      <c r="E724" s="6" t="s">
        <v>1624</v>
      </c>
      <c r="F724" s="9" t="s">
        <v>1615</v>
      </c>
    </row>
    <row r="725" ht="33.75" customHeight="1">
      <c r="A725" s="7">
        <v>26.0</v>
      </c>
      <c r="B725" s="9" t="s">
        <v>1579</v>
      </c>
      <c r="C725" s="9" t="s">
        <v>88</v>
      </c>
      <c r="D725" s="9" t="s">
        <v>79</v>
      </c>
      <c r="E725" s="6" t="s">
        <v>1627</v>
      </c>
      <c r="F725" s="9" t="s">
        <v>1615</v>
      </c>
    </row>
    <row r="726" ht="33.75" customHeight="1">
      <c r="A726" s="7">
        <v>26.0</v>
      </c>
      <c r="B726" s="9" t="s">
        <v>1579</v>
      </c>
      <c r="C726" s="9" t="s">
        <v>88</v>
      </c>
      <c r="D726" s="9" t="s">
        <v>81</v>
      </c>
      <c r="E726" s="6" t="s">
        <v>1629</v>
      </c>
      <c r="F726" s="9" t="s">
        <v>1615</v>
      </c>
    </row>
    <row r="727" ht="33.75" customHeight="1">
      <c r="A727" s="7">
        <v>26.0</v>
      </c>
      <c r="B727" s="9" t="s">
        <v>1579</v>
      </c>
      <c r="C727" s="9" t="s">
        <v>88</v>
      </c>
      <c r="D727" s="9" t="s">
        <v>84</v>
      </c>
      <c r="E727" s="6" t="s">
        <v>1630</v>
      </c>
      <c r="F727" s="9" t="s">
        <v>1615</v>
      </c>
    </row>
    <row r="728" ht="33.75" customHeight="1">
      <c r="A728" s="7">
        <v>26.0</v>
      </c>
      <c r="B728" s="9" t="s">
        <v>1579</v>
      </c>
      <c r="C728" s="9" t="s">
        <v>88</v>
      </c>
      <c r="D728" s="9" t="s">
        <v>87</v>
      </c>
      <c r="E728" s="6" t="s">
        <v>1631</v>
      </c>
      <c r="F728" s="9" t="s">
        <v>1615</v>
      </c>
    </row>
    <row r="729" ht="33.75" customHeight="1">
      <c r="A729" s="7">
        <v>26.0</v>
      </c>
      <c r="B729" s="9" t="s">
        <v>1579</v>
      </c>
      <c r="C729" s="9" t="s">
        <v>88</v>
      </c>
      <c r="D729" s="9" t="s">
        <v>89</v>
      </c>
      <c r="E729" s="6" t="s">
        <v>1633</v>
      </c>
      <c r="F729" s="9" t="s">
        <v>1615</v>
      </c>
    </row>
    <row r="730" ht="33.75" customHeight="1">
      <c r="A730" s="7">
        <v>26.0</v>
      </c>
      <c r="B730" s="9" t="s">
        <v>1579</v>
      </c>
      <c r="C730" s="9" t="s">
        <v>88</v>
      </c>
      <c r="D730" s="9" t="s">
        <v>91</v>
      </c>
      <c r="E730" s="6" t="s">
        <v>1618</v>
      </c>
      <c r="F730" s="9" t="s">
        <v>1615</v>
      </c>
    </row>
    <row r="731" ht="33.75" customHeight="1">
      <c r="A731" s="7">
        <v>26.0</v>
      </c>
      <c r="B731" s="9" t="s">
        <v>1579</v>
      </c>
      <c r="C731" s="9" t="s">
        <v>88</v>
      </c>
      <c r="D731" s="9" t="s">
        <v>93</v>
      </c>
      <c r="E731" s="6" t="s">
        <v>1631</v>
      </c>
      <c r="F731" s="9" t="s">
        <v>1615</v>
      </c>
    </row>
    <row r="732" ht="33.75" customHeight="1">
      <c r="A732" s="7">
        <v>26.0</v>
      </c>
      <c r="B732" s="9" t="s">
        <v>1579</v>
      </c>
      <c r="C732" s="9" t="s">
        <v>88</v>
      </c>
      <c r="D732" s="9" t="s">
        <v>95</v>
      </c>
      <c r="E732" s="6" t="s">
        <v>1631</v>
      </c>
      <c r="F732" s="9" t="s">
        <v>1615</v>
      </c>
    </row>
    <row r="733" ht="33.75" customHeight="1">
      <c r="A733" s="7">
        <v>26.0</v>
      </c>
      <c r="B733" s="9" t="s">
        <v>1579</v>
      </c>
      <c r="C733" s="9" t="s">
        <v>88</v>
      </c>
      <c r="D733" s="9" t="s">
        <v>98</v>
      </c>
      <c r="E733" s="6" t="s">
        <v>1631</v>
      </c>
      <c r="F733" s="9" t="s">
        <v>1615</v>
      </c>
    </row>
    <row r="734" ht="33.75" customHeight="1">
      <c r="A734" s="7">
        <v>26.0</v>
      </c>
      <c r="B734" s="9" t="s">
        <v>1579</v>
      </c>
      <c r="C734" s="9" t="s">
        <v>88</v>
      </c>
      <c r="D734" s="9" t="s">
        <v>99</v>
      </c>
      <c r="E734" s="6" t="s">
        <v>1631</v>
      </c>
      <c r="F734" s="9" t="s">
        <v>1615</v>
      </c>
    </row>
    <row r="735" ht="33.75" customHeight="1">
      <c r="A735" s="7">
        <v>26.0</v>
      </c>
      <c r="B735" s="9" t="s">
        <v>1579</v>
      </c>
      <c r="C735" s="9" t="s">
        <v>88</v>
      </c>
      <c r="D735" s="9" t="s">
        <v>101</v>
      </c>
      <c r="E735" s="6" t="s">
        <v>1633</v>
      </c>
      <c r="F735" s="9" t="s">
        <v>1615</v>
      </c>
    </row>
    <row r="736" ht="33.75" customHeight="1">
      <c r="A736" s="7">
        <v>26.0</v>
      </c>
      <c r="B736" s="9" t="s">
        <v>1579</v>
      </c>
      <c r="C736" s="9" t="s">
        <v>88</v>
      </c>
      <c r="D736" s="9" t="s">
        <v>105</v>
      </c>
      <c r="E736" s="6" t="s">
        <v>1630</v>
      </c>
      <c r="F736" s="9" t="s">
        <v>1615</v>
      </c>
    </row>
    <row r="737" ht="33.75" customHeight="1">
      <c r="A737" s="7">
        <v>26.0</v>
      </c>
      <c r="B737" s="9" t="s">
        <v>1579</v>
      </c>
      <c r="C737" s="9" t="s">
        <v>88</v>
      </c>
      <c r="D737" s="9" t="s">
        <v>107</v>
      </c>
      <c r="E737" s="6" t="s">
        <v>1639</v>
      </c>
      <c r="F737" s="9" t="s">
        <v>1615</v>
      </c>
    </row>
    <row r="738" ht="33.75" customHeight="1">
      <c r="A738" s="7">
        <v>26.0</v>
      </c>
      <c r="B738" s="9" t="s">
        <v>1579</v>
      </c>
      <c r="C738" s="9" t="s">
        <v>88</v>
      </c>
      <c r="D738" s="9" t="s">
        <v>109</v>
      </c>
      <c r="E738" s="6" t="s">
        <v>1640</v>
      </c>
      <c r="F738" s="9" t="s">
        <v>1615</v>
      </c>
    </row>
    <row r="739" ht="33.75" customHeight="1">
      <c r="A739" s="7">
        <v>26.0</v>
      </c>
      <c r="B739" s="9" t="s">
        <v>1579</v>
      </c>
      <c r="C739" s="9" t="s">
        <v>88</v>
      </c>
      <c r="D739" s="9" t="s">
        <v>637</v>
      </c>
      <c r="E739" s="6" t="s">
        <v>1642</v>
      </c>
      <c r="F739" s="9" t="s">
        <v>1615</v>
      </c>
    </row>
    <row r="740" ht="33.75" customHeight="1">
      <c r="A740" s="7">
        <v>26.0</v>
      </c>
      <c r="B740" s="9" t="s">
        <v>1579</v>
      </c>
      <c r="C740" s="9" t="s">
        <v>88</v>
      </c>
      <c r="D740" s="9" t="s">
        <v>642</v>
      </c>
      <c r="E740" s="6" t="s">
        <v>1643</v>
      </c>
      <c r="F740" s="9" t="s">
        <v>1615</v>
      </c>
    </row>
    <row r="741" ht="33.75" customHeight="1">
      <c r="A741" s="7">
        <v>26.0</v>
      </c>
      <c r="B741" s="9" t="s">
        <v>1579</v>
      </c>
      <c r="C741" s="9" t="s">
        <v>88</v>
      </c>
      <c r="D741" s="9" t="s">
        <v>647</v>
      </c>
      <c r="E741" s="6" t="s">
        <v>1644</v>
      </c>
      <c r="F741" s="9" t="s">
        <v>1615</v>
      </c>
    </row>
    <row r="742" ht="33.75" customHeight="1">
      <c r="A742" s="7">
        <v>26.0</v>
      </c>
      <c r="B742" s="9" t="s">
        <v>1579</v>
      </c>
      <c r="C742" s="9" t="s">
        <v>88</v>
      </c>
      <c r="D742" s="9" t="s">
        <v>652</v>
      </c>
      <c r="E742" s="6" t="s">
        <v>1646</v>
      </c>
      <c r="F742" s="9" t="s">
        <v>1615</v>
      </c>
    </row>
    <row r="743" ht="33.75" customHeight="1">
      <c r="A743" s="7">
        <v>26.0</v>
      </c>
      <c r="B743" s="9" t="s">
        <v>1579</v>
      </c>
      <c r="C743" s="9" t="s">
        <v>88</v>
      </c>
      <c r="D743" s="9" t="s">
        <v>111</v>
      </c>
      <c r="E743" s="6" t="s">
        <v>1616</v>
      </c>
      <c r="F743" s="9" t="s">
        <v>1615</v>
      </c>
    </row>
    <row r="744" ht="33.75" customHeight="1">
      <c r="A744" s="7">
        <v>26.0</v>
      </c>
      <c r="B744" s="9" t="s">
        <v>1579</v>
      </c>
      <c r="C744" s="9" t="s">
        <v>88</v>
      </c>
      <c r="D744" s="9" t="s">
        <v>113</v>
      </c>
      <c r="E744" s="6" t="s">
        <v>1616</v>
      </c>
      <c r="F744" s="9" t="s">
        <v>1615</v>
      </c>
    </row>
    <row r="745" ht="33.75" customHeight="1">
      <c r="A745" s="7">
        <v>26.0</v>
      </c>
      <c r="B745" s="9" t="s">
        <v>1579</v>
      </c>
      <c r="C745" s="9" t="s">
        <v>88</v>
      </c>
      <c r="D745" s="9" t="s">
        <v>114</v>
      </c>
      <c r="E745" s="6" t="s">
        <v>1627</v>
      </c>
      <c r="F745" s="9" t="s">
        <v>1615</v>
      </c>
    </row>
    <row r="746" ht="33.75" customHeight="1">
      <c r="A746" s="7">
        <v>26.0</v>
      </c>
      <c r="B746" s="9" t="s">
        <v>1579</v>
      </c>
      <c r="C746" s="9" t="s">
        <v>88</v>
      </c>
      <c r="D746" s="9" t="s">
        <v>117</v>
      </c>
      <c r="E746" s="6" t="s">
        <v>1649</v>
      </c>
      <c r="F746" s="9" t="s">
        <v>1615</v>
      </c>
    </row>
    <row r="747" ht="33.75" customHeight="1">
      <c r="A747" s="7">
        <v>26.0</v>
      </c>
      <c r="B747" s="9" t="s">
        <v>1579</v>
      </c>
      <c r="C747" s="9" t="s">
        <v>88</v>
      </c>
      <c r="D747" s="9" t="s">
        <v>1577</v>
      </c>
      <c r="E747" s="6" t="s">
        <v>1651</v>
      </c>
      <c r="F747" s="9" t="s">
        <v>1615</v>
      </c>
    </row>
    <row r="748" ht="33.75" customHeight="1">
      <c r="A748" s="7">
        <v>27.0</v>
      </c>
      <c r="B748" s="9" t="s">
        <v>1626</v>
      </c>
      <c r="C748" s="9" t="s">
        <v>88</v>
      </c>
      <c r="D748" s="9" t="s">
        <v>24</v>
      </c>
      <c r="E748" s="6" t="s">
        <v>1652</v>
      </c>
      <c r="F748" s="9" t="s">
        <v>1653</v>
      </c>
      <c r="G748" t="inlineStr" s="6">
        <is>
          <t xml:space="preserve">Burrows deep underground in arid locations far from water. It only emerges to hunt for food. Its body is dry. When it gets cold at night, its hide is said to become coated with a fine dew. If it fell from a great height, this POKéMON could save itself by rolling into a ball and bouncing. Disliking water, it lives in deep burrows in arid areas. It can roll itself instantly into a ball. It prefers dry, sandy places because it uses the sand to protect itself when threatened. SANDSHREW’s body is configured to absorb water without waste, enabling it to survive in an arid desert. This POKéMON curls up to protect itself from its enemies. SANDSHREW has a very dry hide that is extremely tough. The POKéMON can roll into a ball that repels any attack. At night, it burrows into the desert sand to sleep. When it curls up in a ball, it can make any attack bounce off harmlessly. Its hide has turned tough and solid as a result of living in the desert. It burrows and lives underground. If threatened, it curls itself up into a ball for protection. It only emerges to hunt for prey. To protect itself from attackers, it curls up into a ball. It lives in arid regions with minimal rainfall. It digs deep burrows to live in. When in danger, it rolls up its body to withstand attacks. It can roll its body into a ball. It moves through the desert by rolling at high speeds. It usually makes its home in deserts and arid zones, where rain does not fall. It digs holes to catch Bug-type Pokémon. It lives in areas of limited rainfall. When danger approaches, it curls up into a ball to protect its soft stomach. When its skin gets wrinkled from moisture, it heads for a volcano. It lies flat on a spot with a lot of geothermal heat and dries itself out. It loves to bathe in the grit of dry, sandy areas. By sand bathing, the Pokémon rids itself of dirt and moisture clinging to its body. It burrows into the ground to create its nest. If hard stones impede its tunneling, it uses its sharp claws to shatter them and then carries on digging.</t>
        </is>
      </c>
    </row>
    <row r="749" ht="33.75" customHeight="1">
      <c r="A749" s="7">
        <v>27.0</v>
      </c>
      <c r="B749" s="9" t="s">
        <v>1626</v>
      </c>
      <c r="C749" s="9" t="s">
        <v>88</v>
      </c>
      <c r="D749" s="9" t="s">
        <v>35</v>
      </c>
      <c r="E749" s="6" t="s">
        <v>1652</v>
      </c>
      <c r="F749" s="9" t="s">
        <v>1653</v>
      </c>
    </row>
    <row r="750" ht="33.75" customHeight="1">
      <c r="A750" s="7">
        <v>27.0</v>
      </c>
      <c r="B750" s="9" t="s">
        <v>1626</v>
      </c>
      <c r="C750" s="9" t="s">
        <v>88</v>
      </c>
      <c r="D750" s="9" t="s">
        <v>42</v>
      </c>
      <c r="E750" s="6" t="s">
        <v>1654</v>
      </c>
      <c r="F750" s="9" t="s">
        <v>1653</v>
      </c>
    </row>
    <row r="751" ht="33.75" customHeight="1">
      <c r="A751" s="7">
        <v>27.0</v>
      </c>
      <c r="B751" s="9" t="s">
        <v>1626</v>
      </c>
      <c r="C751" s="9" t="s">
        <v>88</v>
      </c>
      <c r="D751" s="9" t="s">
        <v>52</v>
      </c>
      <c r="E751" s="6" t="s">
        <v>1655</v>
      </c>
      <c r="F751" s="9" t="s">
        <v>1653</v>
      </c>
    </row>
    <row r="752" ht="33.75" customHeight="1">
      <c r="A752" s="7">
        <v>27.0</v>
      </c>
      <c r="B752" s="9" t="s">
        <v>1626</v>
      </c>
      <c r="C752" s="9" t="s">
        <v>88</v>
      </c>
      <c r="D752" s="9" t="s">
        <v>59</v>
      </c>
      <c r="E752" s="6" t="s">
        <v>1657</v>
      </c>
      <c r="F752" s="9" t="s">
        <v>1653</v>
      </c>
    </row>
    <row r="753" ht="33.75" customHeight="1">
      <c r="A753" s="7">
        <v>27.0</v>
      </c>
      <c r="B753" s="9" t="s">
        <v>1626</v>
      </c>
      <c r="C753" s="9" t="s">
        <v>88</v>
      </c>
      <c r="D753" s="9" t="s">
        <v>64</v>
      </c>
      <c r="E753" s="6" t="s">
        <v>1658</v>
      </c>
      <c r="F753" s="9" t="s">
        <v>1653</v>
      </c>
    </row>
    <row r="754" ht="33.75" customHeight="1">
      <c r="A754" s="7">
        <v>27.0</v>
      </c>
      <c r="B754" s="9" t="s">
        <v>1626</v>
      </c>
      <c r="C754" s="9" t="s">
        <v>88</v>
      </c>
      <c r="D754" s="9" t="s">
        <v>67</v>
      </c>
      <c r="E754" s="6" t="s">
        <v>1659</v>
      </c>
      <c r="F754" s="9" t="s">
        <v>1653</v>
      </c>
    </row>
    <row r="755" ht="33.75" customHeight="1">
      <c r="A755" s="7">
        <v>27.0</v>
      </c>
      <c r="B755" s="9" t="s">
        <v>1626</v>
      </c>
      <c r="C755" s="9" t="s">
        <v>88</v>
      </c>
      <c r="D755" s="9" t="s">
        <v>71</v>
      </c>
      <c r="E755" s="6" t="s">
        <v>1660</v>
      </c>
      <c r="F755" s="9" t="s">
        <v>1653</v>
      </c>
    </row>
    <row r="756" ht="33.75" customHeight="1">
      <c r="A756" s="7">
        <v>27.0</v>
      </c>
      <c r="B756" s="9" t="s">
        <v>1626</v>
      </c>
      <c r="C756" s="9" t="s">
        <v>88</v>
      </c>
      <c r="D756" s="9" t="s">
        <v>73</v>
      </c>
      <c r="E756" s="6" t="s">
        <v>1661</v>
      </c>
      <c r="F756" s="9" t="s">
        <v>1653</v>
      </c>
    </row>
    <row r="757" ht="33.75" customHeight="1">
      <c r="A757" s="7">
        <v>27.0</v>
      </c>
      <c r="B757" s="9" t="s">
        <v>1626</v>
      </c>
      <c r="C757" s="9" t="s">
        <v>88</v>
      </c>
      <c r="D757" s="9" t="s">
        <v>75</v>
      </c>
      <c r="E757" s="6" t="s">
        <v>1662</v>
      </c>
      <c r="F757" s="9" t="s">
        <v>1653</v>
      </c>
    </row>
    <row r="758" ht="33.75" customHeight="1">
      <c r="A758" s="7">
        <v>27.0</v>
      </c>
      <c r="B758" s="9" t="s">
        <v>1626</v>
      </c>
      <c r="C758" s="9" t="s">
        <v>88</v>
      </c>
      <c r="D758" s="9" t="s">
        <v>79</v>
      </c>
      <c r="E758" s="6" t="s">
        <v>1663</v>
      </c>
      <c r="F758" s="9" t="s">
        <v>1653</v>
      </c>
    </row>
    <row r="759" ht="33.75" customHeight="1">
      <c r="A759" s="7">
        <v>27.0</v>
      </c>
      <c r="B759" s="9" t="s">
        <v>1626</v>
      </c>
      <c r="C759" s="9" t="s">
        <v>88</v>
      </c>
      <c r="D759" s="9" t="s">
        <v>81</v>
      </c>
      <c r="E759" s="6" t="s">
        <v>1664</v>
      </c>
      <c r="F759" s="9" t="s">
        <v>1653</v>
      </c>
    </row>
    <row r="760" ht="33.75" customHeight="1">
      <c r="A760" s="7">
        <v>27.0</v>
      </c>
      <c r="B760" s="9" t="s">
        <v>1626</v>
      </c>
      <c r="C760" s="9" t="s">
        <v>88</v>
      </c>
      <c r="D760" s="9" t="s">
        <v>84</v>
      </c>
      <c r="E760" s="6" t="s">
        <v>1664</v>
      </c>
      <c r="F760" s="9" t="s">
        <v>1653</v>
      </c>
    </row>
    <row r="761" ht="33.75" customHeight="1">
      <c r="A761" s="7">
        <v>27.0</v>
      </c>
      <c r="B761" s="9" t="s">
        <v>1626</v>
      </c>
      <c r="C761" s="9" t="s">
        <v>88</v>
      </c>
      <c r="D761" s="9" t="s">
        <v>87</v>
      </c>
      <c r="E761" s="6" t="s">
        <v>1664</v>
      </c>
      <c r="F761" s="9" t="s">
        <v>1653</v>
      </c>
    </row>
    <row r="762" ht="33.75" customHeight="1">
      <c r="A762" s="7">
        <v>27.0</v>
      </c>
      <c r="B762" s="9" t="s">
        <v>1626</v>
      </c>
      <c r="C762" s="9" t="s">
        <v>88</v>
      </c>
      <c r="D762" s="9" t="s">
        <v>89</v>
      </c>
      <c r="E762" s="6" t="s">
        <v>1665</v>
      </c>
      <c r="F762" s="9" t="s">
        <v>1653</v>
      </c>
    </row>
    <row r="763" ht="33.75" customHeight="1">
      <c r="A763" s="7">
        <v>27.0</v>
      </c>
      <c r="B763" s="9" t="s">
        <v>1626</v>
      </c>
      <c r="C763" s="9" t="s">
        <v>88</v>
      </c>
      <c r="D763" s="9" t="s">
        <v>91</v>
      </c>
      <c r="E763" s="6" t="s">
        <v>1657</v>
      </c>
      <c r="F763" s="9" t="s">
        <v>1653</v>
      </c>
    </row>
    <row r="764" ht="33.75" customHeight="1">
      <c r="A764" s="7">
        <v>27.0</v>
      </c>
      <c r="B764" s="9" t="s">
        <v>1626</v>
      </c>
      <c r="C764" s="9" t="s">
        <v>88</v>
      </c>
      <c r="D764" s="9" t="s">
        <v>93</v>
      </c>
      <c r="E764" s="6" t="s">
        <v>1664</v>
      </c>
      <c r="F764" s="9" t="s">
        <v>1653</v>
      </c>
    </row>
    <row r="765" ht="33.75" customHeight="1">
      <c r="A765" s="7">
        <v>27.0</v>
      </c>
      <c r="B765" s="9" t="s">
        <v>1626</v>
      </c>
      <c r="C765" s="9" t="s">
        <v>88</v>
      </c>
      <c r="D765" s="9" t="s">
        <v>95</v>
      </c>
      <c r="E765" s="6" t="s">
        <v>1664</v>
      </c>
      <c r="F765" s="9" t="s">
        <v>1653</v>
      </c>
    </row>
    <row r="766" ht="33.75" customHeight="1">
      <c r="A766" s="7">
        <v>27.0</v>
      </c>
      <c r="B766" s="9" t="s">
        <v>1626</v>
      </c>
      <c r="C766" s="9" t="s">
        <v>88</v>
      </c>
      <c r="D766" s="9" t="s">
        <v>98</v>
      </c>
      <c r="E766" s="6" t="s">
        <v>1666</v>
      </c>
      <c r="F766" s="9" t="s">
        <v>1653</v>
      </c>
    </row>
    <row r="767" ht="33.75" customHeight="1">
      <c r="A767" s="7">
        <v>27.0</v>
      </c>
      <c r="B767" s="9" t="s">
        <v>1626</v>
      </c>
      <c r="C767" s="9" t="s">
        <v>88</v>
      </c>
      <c r="D767" s="9" t="s">
        <v>99</v>
      </c>
      <c r="E767" s="6" t="s">
        <v>1666</v>
      </c>
      <c r="F767" s="9" t="s">
        <v>1653</v>
      </c>
    </row>
    <row r="768" ht="33.75" customHeight="1">
      <c r="A768" s="7">
        <v>27.0</v>
      </c>
      <c r="B768" s="9" t="s">
        <v>1626</v>
      </c>
      <c r="C768" s="9" t="s">
        <v>88</v>
      </c>
      <c r="D768" s="9" t="s">
        <v>101</v>
      </c>
      <c r="E768" s="6" t="s">
        <v>1662</v>
      </c>
      <c r="F768" s="9" t="s">
        <v>1653</v>
      </c>
    </row>
    <row r="769" ht="33.75" customHeight="1">
      <c r="A769" s="7">
        <v>27.0</v>
      </c>
      <c r="B769" s="9" t="s">
        <v>1626</v>
      </c>
      <c r="C769" s="9" t="s">
        <v>88</v>
      </c>
      <c r="D769" s="9" t="s">
        <v>105</v>
      </c>
      <c r="E769" s="6" t="s">
        <v>1657</v>
      </c>
      <c r="F769" s="9" t="s">
        <v>1653</v>
      </c>
    </row>
    <row r="770" ht="33.75" customHeight="1">
      <c r="A770" s="7">
        <v>27.0</v>
      </c>
      <c r="B770" s="9" t="s">
        <v>1626</v>
      </c>
      <c r="C770" s="9" t="s">
        <v>88</v>
      </c>
      <c r="D770" s="9" t="s">
        <v>107</v>
      </c>
      <c r="E770" s="6" t="s">
        <v>1668</v>
      </c>
      <c r="F770" s="9" t="s">
        <v>1653</v>
      </c>
    </row>
    <row r="771" ht="33.75" customHeight="1">
      <c r="A771" s="7">
        <v>27.0</v>
      </c>
      <c r="B771" s="9" t="s">
        <v>1626</v>
      </c>
      <c r="C771" s="9" t="s">
        <v>88</v>
      </c>
      <c r="D771" s="9" t="s">
        <v>109</v>
      </c>
      <c r="E771" s="6" t="s">
        <v>1669</v>
      </c>
      <c r="F771" s="9" t="s">
        <v>1653</v>
      </c>
    </row>
    <row r="772" ht="33.75" customHeight="1">
      <c r="A772" s="7">
        <v>27.0</v>
      </c>
      <c r="B772" s="9" t="s">
        <v>1626</v>
      </c>
      <c r="C772" s="9" t="s">
        <v>88</v>
      </c>
      <c r="D772" s="9" t="s">
        <v>637</v>
      </c>
      <c r="E772" s="6" t="s">
        <v>1671</v>
      </c>
      <c r="F772" s="9" t="s">
        <v>1653</v>
      </c>
    </row>
    <row r="773" ht="33.75" customHeight="1">
      <c r="A773" s="7">
        <v>27.0</v>
      </c>
      <c r="B773" s="9" t="s">
        <v>1626</v>
      </c>
      <c r="C773" s="9" t="s">
        <v>88</v>
      </c>
      <c r="D773" s="9" t="s">
        <v>642</v>
      </c>
      <c r="E773" s="6" t="s">
        <v>1672</v>
      </c>
      <c r="F773" s="9" t="s">
        <v>1653</v>
      </c>
    </row>
    <row r="774" ht="33.75" customHeight="1">
      <c r="A774" s="7">
        <v>27.0</v>
      </c>
      <c r="B774" s="9" t="s">
        <v>1626</v>
      </c>
      <c r="C774" s="9" t="s">
        <v>88</v>
      </c>
      <c r="D774" s="9" t="s">
        <v>647</v>
      </c>
      <c r="E774" s="6" t="s">
        <v>1674</v>
      </c>
      <c r="F774" s="9" t="s">
        <v>1653</v>
      </c>
    </row>
    <row r="775" ht="33.75" customHeight="1">
      <c r="A775" s="7">
        <v>27.0</v>
      </c>
      <c r="B775" s="9" t="s">
        <v>1626</v>
      </c>
      <c r="C775" s="9" t="s">
        <v>88</v>
      </c>
      <c r="D775" s="9" t="s">
        <v>652</v>
      </c>
      <c r="E775" s="6" t="s">
        <v>1675</v>
      </c>
      <c r="F775" s="9" t="s">
        <v>1653</v>
      </c>
    </row>
    <row r="776" ht="33.75" customHeight="1">
      <c r="A776" s="7">
        <v>27.0</v>
      </c>
      <c r="B776" s="9" t="s">
        <v>1626</v>
      </c>
      <c r="C776" s="9" t="s">
        <v>88</v>
      </c>
      <c r="D776" s="9" t="s">
        <v>111</v>
      </c>
      <c r="E776" s="6" t="s">
        <v>1654</v>
      </c>
      <c r="F776" s="9" t="s">
        <v>1653</v>
      </c>
    </row>
    <row r="777" ht="33.75" customHeight="1">
      <c r="A777" s="7">
        <v>27.0</v>
      </c>
      <c r="B777" s="9" t="s">
        <v>1626</v>
      </c>
      <c r="C777" s="9" t="s">
        <v>88</v>
      </c>
      <c r="D777" s="9" t="s">
        <v>113</v>
      </c>
      <c r="E777" s="6" t="s">
        <v>1654</v>
      </c>
      <c r="F777" s="9" t="s">
        <v>1653</v>
      </c>
    </row>
    <row r="778" ht="33.75" customHeight="1">
      <c r="A778" s="7">
        <v>27.0</v>
      </c>
      <c r="B778" s="9" t="s">
        <v>1626</v>
      </c>
      <c r="C778" s="9" t="s">
        <v>88</v>
      </c>
      <c r="D778" s="9" t="s">
        <v>114</v>
      </c>
      <c r="E778" s="6" t="s">
        <v>1676</v>
      </c>
      <c r="F778" s="9" t="s">
        <v>1653</v>
      </c>
    </row>
    <row r="779" ht="33.75" customHeight="1">
      <c r="A779" s="7">
        <v>27.0</v>
      </c>
      <c r="B779" s="9" t="s">
        <v>1626</v>
      </c>
      <c r="C779" s="9" t="s">
        <v>88</v>
      </c>
      <c r="D779" s="9" t="s">
        <v>117</v>
      </c>
      <c r="E779" s="6" t="s">
        <v>1678</v>
      </c>
      <c r="F779" s="9" t="s">
        <v>1653</v>
      </c>
    </row>
    <row r="780" ht="33.75" customHeight="1">
      <c r="A780" s="7">
        <v>28.0</v>
      </c>
      <c r="B780" s="9" t="s">
        <v>1697</v>
      </c>
      <c r="C780" s="9" t="s">
        <v>88</v>
      </c>
      <c r="D780" s="9" t="s">
        <v>24</v>
      </c>
      <c r="E780" s="6" t="s">
        <v>1679</v>
      </c>
      <c r="F780" s="9" t="s">
        <v>1750</v>
      </c>
      <c r="G780" t="inlineStr" s="6">
        <is>
          <t xml:space="preserve">Curls up into a spiny ball when threatened. It can roll while curled up to attack or escape. It is skilled at slashing enemies with its claws. If broken, they start to grow back in a day. In an attempt to hide itself, it will run around at top speed to kick up a blinding dust storm. If it digs at an incredible pace, it may snap off its spikes and claws. They grow back in a day. Adept at climbing trees, it rolls into a spiny ball, then attacks its enemies from above. SANDSLASH’s body is covered by tough spikes, which are hardened sections of its hide. Once a year, the old spikes fall out, to be replaced with new spikes that grow out from beneath the old ones. SANDSLASH can roll up its body as if it were a ball covered with large spikes. In battle, this POKéMON will try to make the foe flinch by jabbing it with its spines. It then leaps at the stunned foe to tear wildly with its sharp claws. It curls up in a ball to protect itself from enemy attacks. It also curls up to prevent heatstroke during the daytime when temperatures rise sharply. It is adept at attacking with the spines on its back and its sharp claws while quickly scurrying about. It curls up, then rolls into foes with its back. Its sharp spines inflict severe damage. The spikes on its body are made up of its hardened hide. It rolls up and attacks foes with its spikes. Although they are sharp, its claws and spikes often break off. They grow back the next day, so it is not bothered by the temporary loss. It uses its claws to climb trees and then curls its body into a spiny ball, ready to drop onto any prey that appears. Its claws and horns often break off. The broken claws and horns can be used to carve plows for tilling farm fields. Thanks to its thick claws, it’s good at climbing trees. There are plenty of Sandslash that park themselves in trees and go right to sleep. The drier the area Sandslash lives in, the harder and smoother the Pokémon’s spikes will feel when touched. It climbs trees by hooking on with its sharp claws. Sandslash shares the berries it gathers, dropping them down to Sandshrew waiting below the tree.</t>
        </is>
      </c>
    </row>
    <row r="781" ht="33.75" customHeight="1">
      <c r="A781" s="7">
        <v>28.0</v>
      </c>
      <c r="B781" s="9" t="s">
        <v>1697</v>
      </c>
      <c r="C781" s="9" t="s">
        <v>88</v>
      </c>
      <c r="D781" s="9" t="s">
        <v>35</v>
      </c>
      <c r="E781" s="6" t="s">
        <v>1679</v>
      </c>
      <c r="F781" s="9" t="s">
        <v>1750</v>
      </c>
    </row>
    <row r="782" ht="33.75" customHeight="1">
      <c r="A782" s="7">
        <v>28.0</v>
      </c>
      <c r="B782" s="9" t="s">
        <v>1697</v>
      </c>
      <c r="C782" s="9" t="s">
        <v>88</v>
      </c>
      <c r="D782" s="9" t="s">
        <v>42</v>
      </c>
      <c r="E782" s="6" t="s">
        <v>1681</v>
      </c>
      <c r="F782" s="9" t="s">
        <v>1750</v>
      </c>
    </row>
    <row r="783" ht="33.75" customHeight="1">
      <c r="A783" s="7">
        <v>28.0</v>
      </c>
      <c r="B783" s="9" t="s">
        <v>1697</v>
      </c>
      <c r="C783" s="9" t="s">
        <v>88</v>
      </c>
      <c r="D783" s="9" t="s">
        <v>52</v>
      </c>
      <c r="E783" s="6" t="s">
        <v>1682</v>
      </c>
      <c r="F783" s="9" t="s">
        <v>1750</v>
      </c>
    </row>
    <row r="784" ht="33.75" customHeight="1">
      <c r="A784" s="7">
        <v>28.0</v>
      </c>
      <c r="B784" s="9" t="s">
        <v>1697</v>
      </c>
      <c r="C784" s="9" t="s">
        <v>88</v>
      </c>
      <c r="D784" s="9" t="s">
        <v>59</v>
      </c>
      <c r="E784" s="6" t="s">
        <v>1683</v>
      </c>
      <c r="F784" s="9" t="s">
        <v>1750</v>
      </c>
    </row>
    <row r="785" ht="33.75" customHeight="1">
      <c r="A785" s="7">
        <v>28.0</v>
      </c>
      <c r="B785" s="9" t="s">
        <v>1697</v>
      </c>
      <c r="C785" s="9" t="s">
        <v>88</v>
      </c>
      <c r="D785" s="9" t="s">
        <v>64</v>
      </c>
      <c r="E785" s="6" t="s">
        <v>1685</v>
      </c>
      <c r="F785" s="9" t="s">
        <v>1750</v>
      </c>
    </row>
    <row r="786" ht="33.75" customHeight="1">
      <c r="A786" s="7">
        <v>28.0</v>
      </c>
      <c r="B786" s="9" t="s">
        <v>1697</v>
      </c>
      <c r="C786" s="9" t="s">
        <v>88</v>
      </c>
      <c r="D786" s="9" t="s">
        <v>67</v>
      </c>
      <c r="E786" s="6" t="s">
        <v>1686</v>
      </c>
      <c r="F786" s="9" t="s">
        <v>1750</v>
      </c>
    </row>
    <row r="787" ht="33.75" customHeight="1">
      <c r="A787" s="7">
        <v>28.0</v>
      </c>
      <c r="B787" s="9" t="s">
        <v>1697</v>
      </c>
      <c r="C787" s="9" t="s">
        <v>88</v>
      </c>
      <c r="D787" s="9" t="s">
        <v>71</v>
      </c>
      <c r="E787" s="6" t="s">
        <v>1687</v>
      </c>
      <c r="F787" s="9" t="s">
        <v>1750</v>
      </c>
    </row>
    <row r="788" ht="33.75" customHeight="1">
      <c r="A788" s="7">
        <v>28.0</v>
      </c>
      <c r="B788" s="9" t="s">
        <v>1697</v>
      </c>
      <c r="C788" s="9" t="s">
        <v>88</v>
      </c>
      <c r="D788" s="9" t="s">
        <v>73</v>
      </c>
      <c r="E788" s="6" t="s">
        <v>1688</v>
      </c>
      <c r="F788" s="9" t="s">
        <v>1750</v>
      </c>
    </row>
    <row r="789" ht="33.75" customHeight="1">
      <c r="A789" s="7">
        <v>28.0</v>
      </c>
      <c r="B789" s="9" t="s">
        <v>1697</v>
      </c>
      <c r="C789" s="9" t="s">
        <v>88</v>
      </c>
      <c r="D789" s="9" t="s">
        <v>75</v>
      </c>
      <c r="E789" s="6" t="s">
        <v>1689</v>
      </c>
      <c r="F789" s="9" t="s">
        <v>1750</v>
      </c>
    </row>
    <row r="790" ht="33.75" customHeight="1">
      <c r="A790" s="7">
        <v>28.0</v>
      </c>
      <c r="B790" s="9" t="s">
        <v>1697</v>
      </c>
      <c r="C790" s="9" t="s">
        <v>88</v>
      </c>
      <c r="D790" s="9" t="s">
        <v>79</v>
      </c>
      <c r="E790" s="6" t="s">
        <v>1679</v>
      </c>
      <c r="F790" s="9" t="s">
        <v>1750</v>
      </c>
    </row>
    <row r="791" ht="33.75" customHeight="1">
      <c r="A791" s="7">
        <v>28.0</v>
      </c>
      <c r="B791" s="9" t="s">
        <v>1697</v>
      </c>
      <c r="C791" s="9" t="s">
        <v>88</v>
      </c>
      <c r="D791" s="9" t="s">
        <v>81</v>
      </c>
      <c r="E791" s="6" t="s">
        <v>1690</v>
      </c>
      <c r="F791" s="9" t="s">
        <v>1750</v>
      </c>
    </row>
    <row r="792" ht="33.75" customHeight="1">
      <c r="A792" s="7">
        <v>28.0</v>
      </c>
      <c r="B792" s="9" t="s">
        <v>1697</v>
      </c>
      <c r="C792" s="9" t="s">
        <v>88</v>
      </c>
      <c r="D792" s="9" t="s">
        <v>84</v>
      </c>
      <c r="E792" s="6" t="s">
        <v>1690</v>
      </c>
      <c r="F792" s="9" t="s">
        <v>1750</v>
      </c>
    </row>
    <row r="793" ht="33.75" customHeight="1">
      <c r="A793" s="7">
        <v>28.0</v>
      </c>
      <c r="B793" s="9" t="s">
        <v>1697</v>
      </c>
      <c r="C793" s="9" t="s">
        <v>88</v>
      </c>
      <c r="D793" s="9" t="s">
        <v>87</v>
      </c>
      <c r="E793" s="6" t="s">
        <v>1690</v>
      </c>
      <c r="F793" s="9" t="s">
        <v>1750</v>
      </c>
    </row>
    <row r="794" ht="33.75" customHeight="1">
      <c r="A794" s="7">
        <v>28.0</v>
      </c>
      <c r="B794" s="9" t="s">
        <v>1697</v>
      </c>
      <c r="C794" s="9" t="s">
        <v>88</v>
      </c>
      <c r="D794" s="9" t="s">
        <v>89</v>
      </c>
      <c r="E794" s="6" t="s">
        <v>1682</v>
      </c>
      <c r="F794" s="9" t="s">
        <v>1750</v>
      </c>
    </row>
    <row r="795" ht="33.75" customHeight="1">
      <c r="A795" s="7">
        <v>28.0</v>
      </c>
      <c r="B795" s="9" t="s">
        <v>1697</v>
      </c>
      <c r="C795" s="9" t="s">
        <v>88</v>
      </c>
      <c r="D795" s="9" t="s">
        <v>91</v>
      </c>
      <c r="E795" s="6" t="s">
        <v>1683</v>
      </c>
      <c r="F795" s="9" t="s">
        <v>1750</v>
      </c>
    </row>
    <row r="796" ht="33.75" customHeight="1">
      <c r="A796" s="7">
        <v>28.0</v>
      </c>
      <c r="B796" s="9" t="s">
        <v>1697</v>
      </c>
      <c r="C796" s="9" t="s">
        <v>88</v>
      </c>
      <c r="D796" s="9" t="s">
        <v>93</v>
      </c>
      <c r="E796" s="6" t="s">
        <v>1690</v>
      </c>
      <c r="F796" s="9" t="s">
        <v>1750</v>
      </c>
    </row>
    <row r="797" ht="33.75" customHeight="1">
      <c r="A797" s="7">
        <v>28.0</v>
      </c>
      <c r="B797" s="9" t="s">
        <v>1697</v>
      </c>
      <c r="C797" s="9" t="s">
        <v>88</v>
      </c>
      <c r="D797" s="9" t="s">
        <v>95</v>
      </c>
      <c r="E797" s="6" t="s">
        <v>1690</v>
      </c>
      <c r="F797" s="9" t="s">
        <v>1750</v>
      </c>
    </row>
    <row r="798" ht="33.75" customHeight="1">
      <c r="A798" s="7">
        <v>28.0</v>
      </c>
      <c r="B798" s="9" t="s">
        <v>1697</v>
      </c>
      <c r="C798" s="9" t="s">
        <v>88</v>
      </c>
      <c r="D798" s="9" t="s">
        <v>98</v>
      </c>
      <c r="E798" s="6" t="s">
        <v>1692</v>
      </c>
      <c r="F798" s="9" t="s">
        <v>1750</v>
      </c>
    </row>
    <row r="799" ht="33.75" customHeight="1">
      <c r="A799" s="7">
        <v>28.0</v>
      </c>
      <c r="B799" s="9" t="s">
        <v>1697</v>
      </c>
      <c r="C799" s="9" t="s">
        <v>88</v>
      </c>
      <c r="D799" s="9" t="s">
        <v>99</v>
      </c>
      <c r="E799" s="6" t="s">
        <v>1692</v>
      </c>
      <c r="F799" s="9" t="s">
        <v>1750</v>
      </c>
    </row>
    <row r="800" ht="33.75" customHeight="1">
      <c r="A800" s="7">
        <v>28.0</v>
      </c>
      <c r="B800" s="9" t="s">
        <v>1697</v>
      </c>
      <c r="C800" s="9" t="s">
        <v>88</v>
      </c>
      <c r="D800" s="9" t="s">
        <v>101</v>
      </c>
      <c r="E800" s="6" t="s">
        <v>1683</v>
      </c>
      <c r="F800" s="9" t="s">
        <v>1750</v>
      </c>
    </row>
    <row r="801" ht="33.75" customHeight="1">
      <c r="A801" s="7">
        <v>28.0</v>
      </c>
      <c r="B801" s="9" t="s">
        <v>1697</v>
      </c>
      <c r="C801" s="9" t="s">
        <v>88</v>
      </c>
      <c r="D801" s="9" t="s">
        <v>105</v>
      </c>
      <c r="E801" s="6" t="s">
        <v>1679</v>
      </c>
      <c r="F801" s="9" t="s">
        <v>1750</v>
      </c>
    </row>
    <row r="802" ht="33.75" customHeight="1">
      <c r="A802" s="7">
        <v>28.0</v>
      </c>
      <c r="B802" s="9" t="s">
        <v>1697</v>
      </c>
      <c r="C802" s="9" t="s">
        <v>88</v>
      </c>
      <c r="D802" s="9" t="s">
        <v>107</v>
      </c>
      <c r="E802" s="6" t="s">
        <v>1693</v>
      </c>
      <c r="F802" s="9" t="s">
        <v>1750</v>
      </c>
    </row>
    <row r="803" ht="33.75" customHeight="1">
      <c r="A803" s="7">
        <v>28.0</v>
      </c>
      <c r="B803" s="9" t="s">
        <v>1697</v>
      </c>
      <c r="C803" s="9" t="s">
        <v>88</v>
      </c>
      <c r="D803" s="9" t="s">
        <v>109</v>
      </c>
      <c r="E803" s="6" t="s">
        <v>1694</v>
      </c>
      <c r="F803" s="9" t="s">
        <v>1750</v>
      </c>
    </row>
    <row r="804" ht="33.75" customHeight="1">
      <c r="A804" s="7">
        <v>28.0</v>
      </c>
      <c r="B804" s="9" t="s">
        <v>1697</v>
      </c>
      <c r="C804" s="9" t="s">
        <v>88</v>
      </c>
      <c r="D804" s="9" t="s">
        <v>637</v>
      </c>
      <c r="E804" s="6" t="s">
        <v>1696</v>
      </c>
      <c r="F804" s="9" t="s">
        <v>1750</v>
      </c>
    </row>
    <row r="805" ht="33.75" customHeight="1">
      <c r="A805" s="7">
        <v>28.0</v>
      </c>
      <c r="B805" s="9" t="s">
        <v>1697</v>
      </c>
      <c r="C805" s="9" t="s">
        <v>88</v>
      </c>
      <c r="D805" s="9" t="s">
        <v>642</v>
      </c>
      <c r="E805" s="6" t="s">
        <v>1698</v>
      </c>
      <c r="F805" s="9" t="s">
        <v>1750</v>
      </c>
    </row>
    <row r="806" ht="33.75" customHeight="1">
      <c r="A806" s="7">
        <v>28.0</v>
      </c>
      <c r="B806" s="9" t="s">
        <v>1697</v>
      </c>
      <c r="C806" s="9" t="s">
        <v>88</v>
      </c>
      <c r="D806" s="9" t="s">
        <v>647</v>
      </c>
      <c r="E806" s="6" t="s">
        <v>1700</v>
      </c>
      <c r="F806" s="9" t="s">
        <v>1750</v>
      </c>
    </row>
    <row r="807" ht="33.75" customHeight="1">
      <c r="A807" s="7">
        <v>28.0</v>
      </c>
      <c r="B807" s="9" t="s">
        <v>1697</v>
      </c>
      <c r="C807" s="9" t="s">
        <v>88</v>
      </c>
      <c r="D807" s="9" t="s">
        <v>652</v>
      </c>
      <c r="E807" s="6" t="s">
        <v>1701</v>
      </c>
      <c r="F807" s="9" t="s">
        <v>1750</v>
      </c>
    </row>
    <row r="808" ht="33.75" customHeight="1">
      <c r="A808" s="7">
        <v>28.0</v>
      </c>
      <c r="B808" s="9" t="s">
        <v>1697</v>
      </c>
      <c r="C808" s="9" t="s">
        <v>88</v>
      </c>
      <c r="D808" s="9" t="s">
        <v>111</v>
      </c>
      <c r="E808" s="6" t="s">
        <v>1681</v>
      </c>
      <c r="F808" s="9" t="s">
        <v>1750</v>
      </c>
    </row>
    <row r="809" ht="33.75" customHeight="1">
      <c r="A809" s="7">
        <v>28.0</v>
      </c>
      <c r="B809" s="9" t="s">
        <v>1697</v>
      </c>
      <c r="C809" s="9" t="s">
        <v>88</v>
      </c>
      <c r="D809" s="9" t="s">
        <v>113</v>
      </c>
      <c r="E809" s="6" t="s">
        <v>1681</v>
      </c>
      <c r="F809" s="9" t="s">
        <v>1750</v>
      </c>
    </row>
    <row r="810" ht="33.75" customHeight="1">
      <c r="A810" s="7">
        <v>28.0</v>
      </c>
      <c r="B810" s="9" t="s">
        <v>1697</v>
      </c>
      <c r="C810" s="9" t="s">
        <v>88</v>
      </c>
      <c r="D810" s="9" t="s">
        <v>114</v>
      </c>
      <c r="E810" s="6" t="s">
        <v>1703</v>
      </c>
      <c r="F810" s="9" t="s">
        <v>1750</v>
      </c>
    </row>
    <row r="811" ht="33.75" customHeight="1">
      <c r="A811" s="7">
        <v>28.0</v>
      </c>
      <c r="B811" s="9" t="s">
        <v>1697</v>
      </c>
      <c r="C811" s="9" t="s">
        <v>88</v>
      </c>
      <c r="D811" s="9" t="s">
        <v>117</v>
      </c>
      <c r="E811" s="6" t="s">
        <v>1705</v>
      </c>
      <c r="F811" s="9" t="s">
        <v>1750</v>
      </c>
    </row>
    <row r="812" ht="33.75" customHeight="1">
      <c r="A812" s="7">
        <v>29.0</v>
      </c>
      <c r="B812" s="9" t="s">
        <v>1778</v>
      </c>
      <c r="C812" s="9" t="s">
        <v>97</v>
      </c>
      <c r="D812" s="9" t="s">
        <v>24</v>
      </c>
      <c r="E812" s="6" t="s">
        <v>1706</v>
      </c>
      <c r="F812" s="9" t="s">
        <v>1842</v>
      </c>
      <c r="G812" t="inlineStr" s="6">
        <is>
          <t xml:space="preserve">Although small, Nidoran♀'s venomous barbs render this POKéMON dangerous. The female has smaller horns. A mild-mannered POKéMON that does not like to fight. Beware, its small horns secrete venom. The poison hidden in its small horn is extremely potent. Even a tiny scratch can have fatal results. Although not very combative, it will torment its foes with poison spikes if it is threatened in any way. Small and very docile, it pro tects itself with its small, poisonous horn when attacked. NIDORAN has barbs that secrete a powerful poison. They are thought to have developed as protection for this small-bodied POKéMON. When enraged, it releases a horrible toxin from its horn. Its highly toxic barbs are thought to have developed as protection for this small- bodied POKéMON. Though small, it must be treated with caution because of its powerfully toxic barbs. While it does not prefer to fight, even one drop of the poison it secretes from barbs can be fatal. Small and very docile, it protects itself with its small, poisonous horn when attacked. Nidoran♀ has barbs that secrete a powerful poison. Beware—its small horn secretes venom. Females are more sensitive to smells than males. While foraging, they’ll use their whiskers to check wind direction and stay downwind of predators. It uses its hard incisor teeth to crush and eat berries. The tip of a female Nidoran’s horn is a bit more rounded than the tip of a male’s horn.</t>
        </is>
      </c>
    </row>
    <row r="813" ht="33.75" customHeight="1">
      <c r="A813" s="7">
        <v>29.0</v>
      </c>
      <c r="B813" s="9" t="s">
        <v>1778</v>
      </c>
      <c r="C813" s="9" t="s">
        <v>97</v>
      </c>
      <c r="D813" s="9" t="s">
        <v>35</v>
      </c>
      <c r="E813" s="6" t="s">
        <v>1706</v>
      </c>
      <c r="F813" s="9" t="s">
        <v>1842</v>
      </c>
    </row>
    <row r="814" ht="33.75" customHeight="1">
      <c r="A814" s="7">
        <v>29.0</v>
      </c>
      <c r="B814" s="9" t="s">
        <v>1778</v>
      </c>
      <c r="C814" s="9" t="s">
        <v>97</v>
      </c>
      <c r="D814" s="9" t="s">
        <v>42</v>
      </c>
      <c r="E814" s="6" t="s">
        <v>1708</v>
      </c>
      <c r="F814" s="9" t="s">
        <v>1842</v>
      </c>
    </row>
    <row r="815" ht="33.75" customHeight="1">
      <c r="A815" s="7">
        <v>29.0</v>
      </c>
      <c r="B815" s="9" t="s">
        <v>1778</v>
      </c>
      <c r="C815" s="9" t="s">
        <v>97</v>
      </c>
      <c r="D815" s="9" t="s">
        <v>52</v>
      </c>
      <c r="E815" s="6" t="s">
        <v>1710</v>
      </c>
      <c r="F815" s="9" t="s">
        <v>1842</v>
      </c>
    </row>
    <row r="816" ht="33.75" customHeight="1">
      <c r="A816" s="7">
        <v>29.0</v>
      </c>
      <c r="B816" s="9" t="s">
        <v>1778</v>
      </c>
      <c r="C816" s="9" t="s">
        <v>97</v>
      </c>
      <c r="D816" s="9" t="s">
        <v>59</v>
      </c>
      <c r="E816" s="6" t="s">
        <v>1711</v>
      </c>
      <c r="F816" s="9" t="s">
        <v>1842</v>
      </c>
    </row>
    <row r="817" ht="33.75" customHeight="1">
      <c r="A817" s="7">
        <v>29.0</v>
      </c>
      <c r="B817" s="9" t="s">
        <v>1778</v>
      </c>
      <c r="C817" s="9" t="s">
        <v>97</v>
      </c>
      <c r="D817" s="9" t="s">
        <v>64</v>
      </c>
      <c r="E817" s="6" t="s">
        <v>1713</v>
      </c>
      <c r="F817" s="9" t="s">
        <v>1842</v>
      </c>
    </row>
    <row r="818" ht="33.75" customHeight="1">
      <c r="A818" s="7">
        <v>29.0</v>
      </c>
      <c r="B818" s="9" t="s">
        <v>1778</v>
      </c>
      <c r="C818" s="9" t="s">
        <v>97</v>
      </c>
      <c r="D818" s="9" t="s">
        <v>67</v>
      </c>
      <c r="E818" s="6" t="s">
        <v>1714</v>
      </c>
      <c r="F818" s="9" t="s">
        <v>1842</v>
      </c>
    </row>
    <row r="819" ht="33.75" customHeight="1">
      <c r="A819" s="7">
        <v>29.0</v>
      </c>
      <c r="B819" s="9" t="s">
        <v>1778</v>
      </c>
      <c r="C819" s="9" t="s">
        <v>97</v>
      </c>
      <c r="D819" s="9" t="s">
        <v>71</v>
      </c>
      <c r="E819" s="6" t="s">
        <v>1714</v>
      </c>
      <c r="F819" s="9" t="s">
        <v>1842</v>
      </c>
    </row>
    <row r="820" ht="33.75" customHeight="1">
      <c r="A820" s="7">
        <v>29.0</v>
      </c>
      <c r="B820" s="9" t="s">
        <v>1778</v>
      </c>
      <c r="C820" s="9" t="s">
        <v>97</v>
      </c>
      <c r="D820" s="9" t="s">
        <v>73</v>
      </c>
      <c r="E820" s="6" t="s">
        <v>1716</v>
      </c>
      <c r="F820" s="9" t="s">
        <v>1842</v>
      </c>
    </row>
    <row r="821" ht="33.75" customHeight="1">
      <c r="A821" s="7">
        <v>29.0</v>
      </c>
      <c r="B821" s="9" t="s">
        <v>1778</v>
      </c>
      <c r="C821" s="9" t="s">
        <v>97</v>
      </c>
      <c r="D821" s="9" t="s">
        <v>75</v>
      </c>
      <c r="E821" s="6" t="s">
        <v>1717</v>
      </c>
      <c r="F821" s="9" t="s">
        <v>1842</v>
      </c>
    </row>
    <row r="822" ht="33.75" customHeight="1">
      <c r="A822" s="7">
        <v>29.0</v>
      </c>
      <c r="B822" s="9" t="s">
        <v>1778</v>
      </c>
      <c r="C822" s="9" t="s">
        <v>97</v>
      </c>
      <c r="D822" s="9" t="s">
        <v>79</v>
      </c>
      <c r="E822" s="6" t="s">
        <v>1706</v>
      </c>
      <c r="F822" s="9" t="s">
        <v>1842</v>
      </c>
    </row>
    <row r="823" ht="33.75" customHeight="1">
      <c r="A823" s="7">
        <v>29.0</v>
      </c>
      <c r="B823" s="9" t="s">
        <v>1778</v>
      </c>
      <c r="C823" s="9" t="s">
        <v>97</v>
      </c>
      <c r="D823" s="9" t="s">
        <v>81</v>
      </c>
      <c r="E823" s="6" t="s">
        <v>1719</v>
      </c>
      <c r="F823" s="9" t="s">
        <v>1842</v>
      </c>
    </row>
    <row r="824" ht="33.75" customHeight="1">
      <c r="A824" s="7">
        <v>29.0</v>
      </c>
      <c r="B824" s="9" t="s">
        <v>1778</v>
      </c>
      <c r="C824" s="9" t="s">
        <v>97</v>
      </c>
      <c r="D824" s="9" t="s">
        <v>84</v>
      </c>
      <c r="E824" s="6" t="s">
        <v>1719</v>
      </c>
      <c r="F824" s="9" t="s">
        <v>1842</v>
      </c>
    </row>
    <row r="825" ht="33.75" customHeight="1">
      <c r="A825" s="7">
        <v>29.0</v>
      </c>
      <c r="B825" s="9" t="s">
        <v>1778</v>
      </c>
      <c r="C825" s="9" t="s">
        <v>97</v>
      </c>
      <c r="D825" s="9" t="s">
        <v>87</v>
      </c>
      <c r="E825" s="6" t="s">
        <v>1719</v>
      </c>
      <c r="F825" s="9" t="s">
        <v>1842</v>
      </c>
    </row>
    <row r="826" ht="33.75" customHeight="1">
      <c r="A826" s="7">
        <v>29.0</v>
      </c>
      <c r="B826" s="9" t="s">
        <v>1778</v>
      </c>
      <c r="C826" s="9" t="s">
        <v>97</v>
      </c>
      <c r="D826" s="9" t="s">
        <v>89</v>
      </c>
      <c r="E826" s="6" t="s">
        <v>1720</v>
      </c>
      <c r="F826" s="9" t="s">
        <v>1842</v>
      </c>
    </row>
    <row r="827" ht="33.75" customHeight="1">
      <c r="A827" s="7">
        <v>29.0</v>
      </c>
      <c r="B827" s="9" t="s">
        <v>1778</v>
      </c>
      <c r="C827" s="9" t="s">
        <v>97</v>
      </c>
      <c r="D827" s="9" t="s">
        <v>91</v>
      </c>
      <c r="E827" s="6" t="s">
        <v>1721</v>
      </c>
      <c r="F827" s="9" t="s">
        <v>1842</v>
      </c>
    </row>
    <row r="828" ht="33.75" customHeight="1">
      <c r="A828" s="7">
        <v>29.0</v>
      </c>
      <c r="B828" s="9" t="s">
        <v>1778</v>
      </c>
      <c r="C828" s="9" t="s">
        <v>97</v>
      </c>
      <c r="D828" s="9" t="s">
        <v>93</v>
      </c>
      <c r="E828" s="6" t="s">
        <v>1719</v>
      </c>
      <c r="F828" s="9" t="s">
        <v>1842</v>
      </c>
    </row>
    <row r="829" ht="33.75" customHeight="1">
      <c r="A829" s="7">
        <v>29.0</v>
      </c>
      <c r="B829" s="9" t="s">
        <v>1778</v>
      </c>
      <c r="C829" s="9" t="s">
        <v>97</v>
      </c>
      <c r="D829" s="9" t="s">
        <v>95</v>
      </c>
      <c r="E829" s="6" t="s">
        <v>1719</v>
      </c>
      <c r="F829" s="9" t="s">
        <v>1842</v>
      </c>
    </row>
    <row r="830" ht="33.75" customHeight="1">
      <c r="A830" s="7">
        <v>29.0</v>
      </c>
      <c r="B830" s="9" t="s">
        <v>1778</v>
      </c>
      <c r="C830" s="9" t="s">
        <v>97</v>
      </c>
      <c r="D830" s="9" t="s">
        <v>98</v>
      </c>
      <c r="E830" s="6" t="s">
        <v>1719</v>
      </c>
      <c r="F830" s="9" t="s">
        <v>1842</v>
      </c>
    </row>
    <row r="831" ht="33.75" customHeight="1">
      <c r="A831" s="7">
        <v>29.0</v>
      </c>
      <c r="B831" s="9" t="s">
        <v>1778</v>
      </c>
      <c r="C831" s="9" t="s">
        <v>97</v>
      </c>
      <c r="D831" s="9" t="s">
        <v>99</v>
      </c>
      <c r="E831" s="6" t="s">
        <v>1719</v>
      </c>
      <c r="F831" s="9" t="s">
        <v>1842</v>
      </c>
    </row>
    <row r="832" ht="33.75" customHeight="1">
      <c r="A832" s="7">
        <v>29.0</v>
      </c>
      <c r="B832" s="9" t="s">
        <v>1778</v>
      </c>
      <c r="C832" s="9" t="s">
        <v>97</v>
      </c>
      <c r="D832" s="9" t="s">
        <v>101</v>
      </c>
      <c r="E832" s="6" t="s">
        <v>1722</v>
      </c>
      <c r="F832" s="9" t="s">
        <v>1842</v>
      </c>
    </row>
    <row r="833" ht="33.75" customHeight="1">
      <c r="A833" s="7">
        <v>29.0</v>
      </c>
      <c r="B833" s="9" t="s">
        <v>1778</v>
      </c>
      <c r="C833" s="9" t="s">
        <v>97</v>
      </c>
      <c r="D833" s="9" t="s">
        <v>105</v>
      </c>
      <c r="E833" s="6" t="s">
        <v>1724</v>
      </c>
      <c r="F833" s="9" t="s">
        <v>1842</v>
      </c>
    </row>
    <row r="834" ht="33.75" customHeight="1">
      <c r="A834" s="7">
        <v>29.0</v>
      </c>
      <c r="B834" s="9" t="s">
        <v>1778</v>
      </c>
      <c r="C834" s="9" t="s">
        <v>97</v>
      </c>
      <c r="D834" s="9" t="s">
        <v>107</v>
      </c>
      <c r="E834" s="6" t="s">
        <v>1725</v>
      </c>
      <c r="F834" s="9" t="s">
        <v>1842</v>
      </c>
    </row>
    <row r="835" ht="33.75" customHeight="1">
      <c r="A835" s="7">
        <v>29.0</v>
      </c>
      <c r="B835" s="9" t="s">
        <v>1778</v>
      </c>
      <c r="C835" s="9" t="s">
        <v>97</v>
      </c>
      <c r="D835" s="9" t="s">
        <v>109</v>
      </c>
      <c r="E835" s="6" t="s">
        <v>1725</v>
      </c>
      <c r="F835" s="9" t="s">
        <v>1842</v>
      </c>
    </row>
    <row r="836" ht="33.75" customHeight="1">
      <c r="A836" s="7">
        <v>29.0</v>
      </c>
      <c r="B836" s="9" t="s">
        <v>1778</v>
      </c>
      <c r="C836" s="9" t="s">
        <v>97</v>
      </c>
      <c r="D836" s="9" t="s">
        <v>111</v>
      </c>
      <c r="E836" s="6" t="s">
        <v>1726</v>
      </c>
      <c r="F836" s="9" t="s">
        <v>1842</v>
      </c>
    </row>
    <row r="837" ht="33.75" customHeight="1">
      <c r="A837" s="7">
        <v>29.0</v>
      </c>
      <c r="B837" s="9" t="s">
        <v>1778</v>
      </c>
      <c r="C837" s="9" t="s">
        <v>97</v>
      </c>
      <c r="D837" s="9" t="s">
        <v>113</v>
      </c>
      <c r="E837" s="6" t="s">
        <v>1726</v>
      </c>
      <c r="F837" s="9" t="s">
        <v>1842</v>
      </c>
    </row>
    <row r="838" ht="33.75" customHeight="1">
      <c r="A838" s="7">
        <v>29.0</v>
      </c>
      <c r="B838" s="9" t="s">
        <v>1778</v>
      </c>
      <c r="C838" s="9" t="s">
        <v>97</v>
      </c>
      <c r="D838" s="9" t="s">
        <v>114</v>
      </c>
      <c r="E838" s="6" t="s">
        <v>1727</v>
      </c>
      <c r="F838" s="9" t="s">
        <v>1842</v>
      </c>
    </row>
    <row r="839" ht="33.75" customHeight="1">
      <c r="A839" s="7">
        <v>29.0</v>
      </c>
      <c r="B839" s="9" t="s">
        <v>1778</v>
      </c>
      <c r="C839" s="9" t="s">
        <v>97</v>
      </c>
      <c r="D839" s="9" t="s">
        <v>117</v>
      </c>
      <c r="E839" s="6" t="s">
        <v>1729</v>
      </c>
      <c r="F839" s="9" t="s">
        <v>1842</v>
      </c>
    </row>
    <row r="840" ht="33.75" customHeight="1">
      <c r="A840" s="7">
        <v>30.0</v>
      </c>
      <c r="B840" s="9" t="s">
        <v>1849</v>
      </c>
      <c r="C840" s="9" t="s">
        <v>97</v>
      </c>
      <c r="D840" s="9" t="s">
        <v>24</v>
      </c>
      <c r="E840" s="6" t="s">
        <v>1730</v>
      </c>
      <c r="F840" s="9" t="s">
        <v>1926</v>
      </c>
      <c r="G840" t="inlineStr" s="6">
        <is>
          <t xml:space="preserve">The female's horn develops slowly. Prefers physical attacks such as clawing and biting. When resting deep in its burrow, its thorns always retract. This is proof that it is relaxed. When feeding its young, it first chews and tender izes the food, then spits it out for the offspring. It has a calm and caring nature. Because its horn grows slowly, it prefers not to fight. It has a docile nature. If it is threatened with attack, it raises the barbs that are all over its body. When NIDORINA are with their friends or family, they keep their barbs tucked away to prevent hurting each other. This POKéMON appears to become nervous if separated from the others. When it is with its friends or family, its barbs are tucked away to prevent injury. It appears to become nervous if separated from the others. The female has a gentle temperament. It emits ultrasonic cries that have the power to befuddle foes. The female’s horns develop slowly. When it senses danger, it raises all the barbs on its body. These barbs grow slower than NIDORINO’s. When feeding its young, it first chews the food into a paste, then spits it out for the offspring. When resting deep in its burrow, its barbs always retract. The horn on its head has atrophied. It’s thought that this happens so Nidorina’s children won’t get poked while their mother is feeding them. If the group is threatened, these Pokémon will band together to assault enemies with a chorus of ultrasonic waves.</t>
        </is>
      </c>
    </row>
    <row r="841" ht="33.75" customHeight="1">
      <c r="A841" s="7">
        <v>30.0</v>
      </c>
      <c r="B841" s="9" t="s">
        <v>1849</v>
      </c>
      <c r="C841" s="9" t="s">
        <v>97</v>
      </c>
      <c r="D841" s="9" t="s">
        <v>35</v>
      </c>
      <c r="E841" s="6" t="s">
        <v>1730</v>
      </c>
      <c r="F841" s="9" t="s">
        <v>1926</v>
      </c>
    </row>
    <row r="842" ht="33.75" customHeight="1">
      <c r="A842" s="7">
        <v>30.0</v>
      </c>
      <c r="B842" s="9" t="s">
        <v>1849</v>
      </c>
      <c r="C842" s="9" t="s">
        <v>97</v>
      </c>
      <c r="D842" s="9" t="s">
        <v>42</v>
      </c>
      <c r="E842" s="6" t="s">
        <v>1731</v>
      </c>
      <c r="F842" s="9" t="s">
        <v>1926</v>
      </c>
    </row>
    <row r="843" ht="33.75" customHeight="1">
      <c r="A843" s="7">
        <v>30.0</v>
      </c>
      <c r="B843" s="9" t="s">
        <v>1849</v>
      </c>
      <c r="C843" s="9" t="s">
        <v>97</v>
      </c>
      <c r="D843" s="9" t="s">
        <v>52</v>
      </c>
      <c r="E843" s="6" t="s">
        <v>1732</v>
      </c>
      <c r="F843" s="9" t="s">
        <v>1926</v>
      </c>
    </row>
    <row r="844" ht="33.75" customHeight="1">
      <c r="A844" s="7">
        <v>30.0</v>
      </c>
      <c r="B844" s="9" t="s">
        <v>1849</v>
      </c>
      <c r="C844" s="9" t="s">
        <v>97</v>
      </c>
      <c r="D844" s="9" t="s">
        <v>59</v>
      </c>
      <c r="E844" s="6" t="s">
        <v>1733</v>
      </c>
      <c r="F844" s="9" t="s">
        <v>1926</v>
      </c>
    </row>
    <row r="845" ht="33.75" customHeight="1">
      <c r="A845" s="7">
        <v>30.0</v>
      </c>
      <c r="B845" s="9" t="s">
        <v>1849</v>
      </c>
      <c r="C845" s="9" t="s">
        <v>97</v>
      </c>
      <c r="D845" s="9" t="s">
        <v>64</v>
      </c>
      <c r="E845" s="6" t="s">
        <v>1734</v>
      </c>
      <c r="F845" s="9" t="s">
        <v>1926</v>
      </c>
    </row>
    <row r="846" ht="33.75" customHeight="1">
      <c r="A846" s="7">
        <v>30.0</v>
      </c>
      <c r="B846" s="9" t="s">
        <v>1849</v>
      </c>
      <c r="C846" s="9" t="s">
        <v>97</v>
      </c>
      <c r="D846" s="9" t="s">
        <v>67</v>
      </c>
      <c r="E846" s="6" t="s">
        <v>1735</v>
      </c>
      <c r="F846" s="9" t="s">
        <v>1926</v>
      </c>
    </row>
    <row r="847" ht="33.75" customHeight="1">
      <c r="A847" s="7">
        <v>30.0</v>
      </c>
      <c r="B847" s="9" t="s">
        <v>1849</v>
      </c>
      <c r="C847" s="9" t="s">
        <v>97</v>
      </c>
      <c r="D847" s="9" t="s">
        <v>71</v>
      </c>
      <c r="E847" s="6" t="s">
        <v>1735</v>
      </c>
      <c r="F847" s="9" t="s">
        <v>1926</v>
      </c>
    </row>
    <row r="848" ht="33.75" customHeight="1">
      <c r="A848" s="7">
        <v>30.0</v>
      </c>
      <c r="B848" s="9" t="s">
        <v>1849</v>
      </c>
      <c r="C848" s="9" t="s">
        <v>97</v>
      </c>
      <c r="D848" s="9" t="s">
        <v>73</v>
      </c>
      <c r="E848" s="6" t="s">
        <v>1736</v>
      </c>
      <c r="F848" s="9" t="s">
        <v>1926</v>
      </c>
    </row>
    <row r="849" ht="33.75" customHeight="1">
      <c r="A849" s="7">
        <v>30.0</v>
      </c>
      <c r="B849" s="9" t="s">
        <v>1849</v>
      </c>
      <c r="C849" s="9" t="s">
        <v>97</v>
      </c>
      <c r="D849" s="9" t="s">
        <v>75</v>
      </c>
      <c r="E849" s="6" t="s">
        <v>1737</v>
      </c>
      <c r="F849" s="9" t="s">
        <v>1926</v>
      </c>
    </row>
    <row r="850" ht="33.75" customHeight="1">
      <c r="A850" s="7">
        <v>30.0</v>
      </c>
      <c r="B850" s="9" t="s">
        <v>1849</v>
      </c>
      <c r="C850" s="9" t="s">
        <v>97</v>
      </c>
      <c r="D850" s="9" t="s">
        <v>79</v>
      </c>
      <c r="E850" s="6" t="s">
        <v>1738</v>
      </c>
      <c r="F850" s="9" t="s">
        <v>1926</v>
      </c>
    </row>
    <row r="851" ht="33.75" customHeight="1">
      <c r="A851" s="7">
        <v>30.0</v>
      </c>
      <c r="B851" s="9" t="s">
        <v>1849</v>
      </c>
      <c r="C851" s="9" t="s">
        <v>97</v>
      </c>
      <c r="D851" s="9" t="s">
        <v>81</v>
      </c>
      <c r="E851" s="6" t="s">
        <v>1739</v>
      </c>
      <c r="F851" s="9" t="s">
        <v>1926</v>
      </c>
    </row>
    <row r="852" ht="33.75" customHeight="1">
      <c r="A852" s="7">
        <v>30.0</v>
      </c>
      <c r="B852" s="9" t="s">
        <v>1849</v>
      </c>
      <c r="C852" s="9" t="s">
        <v>97</v>
      </c>
      <c r="D852" s="9" t="s">
        <v>84</v>
      </c>
      <c r="E852" s="6" t="s">
        <v>1739</v>
      </c>
      <c r="F852" s="9" t="s">
        <v>1926</v>
      </c>
    </row>
    <row r="853" ht="33.75" customHeight="1">
      <c r="A853" s="7">
        <v>30.0</v>
      </c>
      <c r="B853" s="9" t="s">
        <v>1849</v>
      </c>
      <c r="C853" s="9" t="s">
        <v>97</v>
      </c>
      <c r="D853" s="9" t="s">
        <v>87</v>
      </c>
      <c r="E853" s="6" t="s">
        <v>1739</v>
      </c>
      <c r="F853" s="9" t="s">
        <v>1926</v>
      </c>
    </row>
    <row r="854" ht="33.75" customHeight="1">
      <c r="A854" s="7">
        <v>30.0</v>
      </c>
      <c r="B854" s="9" t="s">
        <v>1849</v>
      </c>
      <c r="C854" s="9" t="s">
        <v>97</v>
      </c>
      <c r="D854" s="9" t="s">
        <v>89</v>
      </c>
      <c r="E854" s="6" t="s">
        <v>1740</v>
      </c>
      <c r="F854" s="9" t="s">
        <v>1926</v>
      </c>
    </row>
    <row r="855" ht="33.75" customHeight="1">
      <c r="A855" s="7">
        <v>30.0</v>
      </c>
      <c r="B855" s="9" t="s">
        <v>1849</v>
      </c>
      <c r="C855" s="9" t="s">
        <v>97</v>
      </c>
      <c r="D855" s="9" t="s">
        <v>91</v>
      </c>
      <c r="E855" s="6" t="s">
        <v>1733</v>
      </c>
      <c r="F855" s="9" t="s">
        <v>1926</v>
      </c>
    </row>
    <row r="856" ht="33.75" customHeight="1">
      <c r="A856" s="7">
        <v>30.0</v>
      </c>
      <c r="B856" s="9" t="s">
        <v>1849</v>
      </c>
      <c r="C856" s="9" t="s">
        <v>97</v>
      </c>
      <c r="D856" s="9" t="s">
        <v>93</v>
      </c>
      <c r="E856" s="6" t="s">
        <v>1741</v>
      </c>
      <c r="F856" s="9" t="s">
        <v>1926</v>
      </c>
    </row>
    <row r="857" ht="33.75" customHeight="1">
      <c r="A857" s="7">
        <v>30.0</v>
      </c>
      <c r="B857" s="9" t="s">
        <v>1849</v>
      </c>
      <c r="C857" s="9" t="s">
        <v>97</v>
      </c>
      <c r="D857" s="9" t="s">
        <v>95</v>
      </c>
      <c r="E857" s="6" t="s">
        <v>1741</v>
      </c>
      <c r="F857" s="9" t="s">
        <v>1926</v>
      </c>
    </row>
    <row r="858" ht="33.75" customHeight="1">
      <c r="A858" s="7">
        <v>30.0</v>
      </c>
      <c r="B858" s="9" t="s">
        <v>1849</v>
      </c>
      <c r="C858" s="9" t="s">
        <v>97</v>
      </c>
      <c r="D858" s="9" t="s">
        <v>98</v>
      </c>
      <c r="E858" s="6" t="s">
        <v>1741</v>
      </c>
      <c r="F858" s="9" t="s">
        <v>1926</v>
      </c>
    </row>
    <row r="859" ht="33.75" customHeight="1">
      <c r="A859" s="7">
        <v>30.0</v>
      </c>
      <c r="B859" s="9" t="s">
        <v>1849</v>
      </c>
      <c r="C859" s="9" t="s">
        <v>97</v>
      </c>
      <c r="D859" s="9" t="s">
        <v>99</v>
      </c>
      <c r="E859" s="6" t="s">
        <v>1741</v>
      </c>
      <c r="F859" s="9" t="s">
        <v>1926</v>
      </c>
    </row>
    <row r="860" ht="33.75" customHeight="1">
      <c r="A860" s="7">
        <v>30.0</v>
      </c>
      <c r="B860" s="9" t="s">
        <v>1849</v>
      </c>
      <c r="C860" s="9" t="s">
        <v>97</v>
      </c>
      <c r="D860" s="9" t="s">
        <v>101</v>
      </c>
      <c r="E860" s="6" t="s">
        <v>1737</v>
      </c>
      <c r="F860" s="9" t="s">
        <v>1926</v>
      </c>
    </row>
    <row r="861" ht="33.75" customHeight="1">
      <c r="A861" s="7">
        <v>30.0</v>
      </c>
      <c r="B861" s="9" t="s">
        <v>1849</v>
      </c>
      <c r="C861" s="9" t="s">
        <v>97</v>
      </c>
      <c r="D861" s="9" t="s">
        <v>105</v>
      </c>
      <c r="E861" s="6" t="s">
        <v>1740</v>
      </c>
      <c r="F861" s="9" t="s">
        <v>1926</v>
      </c>
    </row>
    <row r="862" ht="33.75" customHeight="1">
      <c r="A862" s="7">
        <v>30.0</v>
      </c>
      <c r="B862" s="9" t="s">
        <v>1849</v>
      </c>
      <c r="C862" s="9" t="s">
        <v>97</v>
      </c>
      <c r="D862" s="9" t="s">
        <v>107</v>
      </c>
      <c r="E862" s="6" t="s">
        <v>1742</v>
      </c>
      <c r="F862" s="9" t="s">
        <v>1926</v>
      </c>
    </row>
    <row r="863" ht="33.75" customHeight="1">
      <c r="A863" s="7">
        <v>30.0</v>
      </c>
      <c r="B863" s="9" t="s">
        <v>1849</v>
      </c>
      <c r="C863" s="9" t="s">
        <v>97</v>
      </c>
      <c r="D863" s="9" t="s">
        <v>109</v>
      </c>
      <c r="E863" s="6" t="s">
        <v>1742</v>
      </c>
      <c r="F863" s="9" t="s">
        <v>1926</v>
      </c>
    </row>
    <row r="864" ht="33.75" customHeight="1">
      <c r="A864" s="7">
        <v>30.0</v>
      </c>
      <c r="B864" s="9" t="s">
        <v>1849</v>
      </c>
      <c r="C864" s="9" t="s">
        <v>97</v>
      </c>
      <c r="D864" s="9" t="s">
        <v>111</v>
      </c>
      <c r="E864" s="6" t="s">
        <v>1744</v>
      </c>
      <c r="F864" s="9" t="s">
        <v>1926</v>
      </c>
    </row>
    <row r="865" ht="33.75" customHeight="1">
      <c r="A865" s="7">
        <v>30.0</v>
      </c>
      <c r="B865" s="9" t="s">
        <v>1849</v>
      </c>
      <c r="C865" s="9" t="s">
        <v>97</v>
      </c>
      <c r="D865" s="9" t="s">
        <v>113</v>
      </c>
      <c r="E865" s="6" t="s">
        <v>1744</v>
      </c>
      <c r="F865" s="9" t="s">
        <v>1926</v>
      </c>
    </row>
    <row r="866" ht="33.75" customHeight="1">
      <c r="A866" s="7">
        <v>30.0</v>
      </c>
      <c r="B866" s="9" t="s">
        <v>1849</v>
      </c>
      <c r="C866" s="9" t="s">
        <v>97</v>
      </c>
      <c r="D866" s="9" t="s">
        <v>114</v>
      </c>
      <c r="E866" s="6" t="s">
        <v>1745</v>
      </c>
      <c r="F866" s="9" t="s">
        <v>1926</v>
      </c>
    </row>
    <row r="867" ht="33.75" customHeight="1">
      <c r="A867" s="7">
        <v>30.0</v>
      </c>
      <c r="B867" s="9" t="s">
        <v>1849</v>
      </c>
      <c r="C867" s="9" t="s">
        <v>97</v>
      </c>
      <c r="D867" s="9" t="s">
        <v>117</v>
      </c>
      <c r="E867" s="6" t="s">
        <v>1746</v>
      </c>
      <c r="F867" s="9" t="s">
        <v>1926</v>
      </c>
    </row>
    <row r="868" ht="33.75" customHeight="1">
      <c r="A868" s="7">
        <v>31.0</v>
      </c>
      <c r="B868" s="9" t="s">
        <v>1917</v>
      </c>
      <c r="C868" s="9" t="s">
        <v>100</v>
      </c>
      <c r="D868" s="9" t="s">
        <v>24</v>
      </c>
      <c r="E868" s="6" t="s">
        <v>1747</v>
      </c>
      <c r="F868" s="9" t="s">
        <v>1993</v>
      </c>
      <c r="G868" t="inlineStr" s="6">
        <is>
          <t xml:space="preserve">Nidoqueen's hard scales provide strong protection. It uses its hefty bulk to execute powerful moves. Tough scales cover the sturdy body of this POKéMON. It appears that the scales grow in cycles. Its body is covered with needle- like scales. It never shows signs of shrinking from any attack. It uses its scaly, rugged body to seal the entrance of its nest and protect its young from predators. The hard scales that cover its strong body serve as excellent protection from any attack. NIDOQUEEN’s body is encased in extremely hard scales. It is adept at sending foes flying with harsh tackles. This POKéMON is at its strongest when it is defending its young. It is adept at sending foes flying with harsh tackles using its tough, scaly body. The body is covered by stiff, needle- like scales. If it becomes excited, the needles bristle outwards. Its entire body is armored with hard scales. It will protect the young in its burrow with its life. Its body is covered with needle-like scales. The body is covered by stiff, needlelike scales. Nidoqueen is better at defense than offense. With scales like armor, this Pokémon will shield its children from any kind of attack. It pacifies offspring by placing them in the gaps between the spines on its back. The spines will never secrete poison while young are present.</t>
        </is>
      </c>
    </row>
    <row r="869" ht="33.75" customHeight="1">
      <c r="A869" s="7">
        <v>31.0</v>
      </c>
      <c r="B869" s="9" t="s">
        <v>1917</v>
      </c>
      <c r="C869" s="9" t="s">
        <v>100</v>
      </c>
      <c r="D869" s="9" t="s">
        <v>35</v>
      </c>
      <c r="E869" s="6" t="s">
        <v>1747</v>
      </c>
      <c r="F869" s="9" t="s">
        <v>1993</v>
      </c>
    </row>
    <row r="870" ht="33.75" customHeight="1">
      <c r="A870" s="7">
        <v>31.0</v>
      </c>
      <c r="B870" s="9" t="s">
        <v>1917</v>
      </c>
      <c r="C870" s="9" t="s">
        <v>100</v>
      </c>
      <c r="D870" s="9" t="s">
        <v>42</v>
      </c>
      <c r="E870" s="6" t="s">
        <v>1748</v>
      </c>
      <c r="F870" s="9" t="s">
        <v>1993</v>
      </c>
    </row>
    <row r="871" ht="33.75" customHeight="1">
      <c r="A871" s="7">
        <v>31.0</v>
      </c>
      <c r="B871" s="9" t="s">
        <v>1917</v>
      </c>
      <c r="C871" s="9" t="s">
        <v>100</v>
      </c>
      <c r="D871" s="9" t="s">
        <v>52</v>
      </c>
      <c r="E871" s="6" t="s">
        <v>1749</v>
      </c>
      <c r="F871" s="9" t="s">
        <v>1993</v>
      </c>
    </row>
    <row r="872" ht="33.75" customHeight="1">
      <c r="A872" s="7">
        <v>31.0</v>
      </c>
      <c r="B872" s="9" t="s">
        <v>1917</v>
      </c>
      <c r="C872" s="9" t="s">
        <v>100</v>
      </c>
      <c r="D872" s="9" t="s">
        <v>59</v>
      </c>
      <c r="E872" s="6" t="s">
        <v>1751</v>
      </c>
      <c r="F872" s="9" t="s">
        <v>1993</v>
      </c>
    </row>
    <row r="873" ht="33.75" customHeight="1">
      <c r="A873" s="7">
        <v>31.0</v>
      </c>
      <c r="B873" s="9" t="s">
        <v>1917</v>
      </c>
      <c r="C873" s="9" t="s">
        <v>100</v>
      </c>
      <c r="D873" s="9" t="s">
        <v>64</v>
      </c>
      <c r="E873" s="6" t="s">
        <v>1753</v>
      </c>
      <c r="F873" s="9" t="s">
        <v>1993</v>
      </c>
    </row>
    <row r="874" ht="33.75" customHeight="1">
      <c r="A874" s="7">
        <v>31.0</v>
      </c>
      <c r="B874" s="9" t="s">
        <v>1917</v>
      </c>
      <c r="C874" s="9" t="s">
        <v>100</v>
      </c>
      <c r="D874" s="9" t="s">
        <v>67</v>
      </c>
      <c r="E874" s="6" t="s">
        <v>1755</v>
      </c>
      <c r="F874" s="9" t="s">
        <v>1993</v>
      </c>
    </row>
    <row r="875" ht="33.75" customHeight="1">
      <c r="A875" s="7">
        <v>31.0</v>
      </c>
      <c r="B875" s="9" t="s">
        <v>1917</v>
      </c>
      <c r="C875" s="9" t="s">
        <v>100</v>
      </c>
      <c r="D875" s="9" t="s">
        <v>71</v>
      </c>
      <c r="E875" s="6" t="s">
        <v>1755</v>
      </c>
      <c r="F875" s="9" t="s">
        <v>1993</v>
      </c>
    </row>
    <row r="876" ht="33.75" customHeight="1">
      <c r="A876" s="7">
        <v>31.0</v>
      </c>
      <c r="B876" s="9" t="s">
        <v>1917</v>
      </c>
      <c r="C876" s="9" t="s">
        <v>100</v>
      </c>
      <c r="D876" s="9" t="s">
        <v>73</v>
      </c>
      <c r="E876" s="6" t="s">
        <v>1756</v>
      </c>
      <c r="F876" s="9" t="s">
        <v>1993</v>
      </c>
    </row>
    <row r="877" ht="33.75" customHeight="1">
      <c r="A877" s="7">
        <v>31.0</v>
      </c>
      <c r="B877" s="9" t="s">
        <v>1917</v>
      </c>
      <c r="C877" s="9" t="s">
        <v>100</v>
      </c>
      <c r="D877" s="9" t="s">
        <v>75</v>
      </c>
      <c r="E877" s="6" t="s">
        <v>1758</v>
      </c>
      <c r="F877" s="9" t="s">
        <v>1993</v>
      </c>
    </row>
    <row r="878" ht="33.75" customHeight="1">
      <c r="A878" s="7">
        <v>31.0</v>
      </c>
      <c r="B878" s="9" t="s">
        <v>1917</v>
      </c>
      <c r="C878" s="9" t="s">
        <v>100</v>
      </c>
      <c r="D878" s="9" t="s">
        <v>79</v>
      </c>
      <c r="E878" s="6" t="s">
        <v>1747</v>
      </c>
      <c r="F878" s="9" t="s">
        <v>1993</v>
      </c>
    </row>
    <row r="879" ht="33.75" customHeight="1">
      <c r="A879" s="7">
        <v>31.0</v>
      </c>
      <c r="B879" s="9" t="s">
        <v>1917</v>
      </c>
      <c r="C879" s="9" t="s">
        <v>100</v>
      </c>
      <c r="D879" s="9" t="s">
        <v>81</v>
      </c>
      <c r="E879" s="6" t="s">
        <v>1759</v>
      </c>
      <c r="F879" s="9" t="s">
        <v>1993</v>
      </c>
    </row>
    <row r="880" ht="33.75" customHeight="1">
      <c r="A880" s="7">
        <v>31.0</v>
      </c>
      <c r="B880" s="9" t="s">
        <v>1917</v>
      </c>
      <c r="C880" s="9" t="s">
        <v>100</v>
      </c>
      <c r="D880" s="9" t="s">
        <v>84</v>
      </c>
      <c r="E880" s="6" t="s">
        <v>1759</v>
      </c>
      <c r="F880" s="9" t="s">
        <v>1993</v>
      </c>
    </row>
    <row r="881" ht="33.75" customHeight="1">
      <c r="A881" s="7">
        <v>31.0</v>
      </c>
      <c r="B881" s="9" t="s">
        <v>1917</v>
      </c>
      <c r="C881" s="9" t="s">
        <v>100</v>
      </c>
      <c r="D881" s="9" t="s">
        <v>87</v>
      </c>
      <c r="E881" s="6" t="s">
        <v>1759</v>
      </c>
      <c r="F881" s="9" t="s">
        <v>1993</v>
      </c>
    </row>
    <row r="882" ht="33.75" customHeight="1">
      <c r="A882" s="7">
        <v>31.0</v>
      </c>
      <c r="B882" s="9" t="s">
        <v>1917</v>
      </c>
      <c r="C882" s="9" t="s">
        <v>100</v>
      </c>
      <c r="D882" s="9" t="s">
        <v>89</v>
      </c>
      <c r="E882" s="6" t="s">
        <v>1761</v>
      </c>
      <c r="F882" s="9" t="s">
        <v>1993</v>
      </c>
    </row>
    <row r="883" ht="33.75" customHeight="1">
      <c r="A883" s="7">
        <v>31.0</v>
      </c>
      <c r="B883" s="9" t="s">
        <v>1917</v>
      </c>
      <c r="C883" s="9" t="s">
        <v>100</v>
      </c>
      <c r="D883" s="9" t="s">
        <v>91</v>
      </c>
      <c r="E883" s="6" t="s">
        <v>1751</v>
      </c>
      <c r="F883" s="9" t="s">
        <v>1993</v>
      </c>
    </row>
    <row r="884" ht="33.75" customHeight="1">
      <c r="A884" s="7">
        <v>31.0</v>
      </c>
      <c r="B884" s="9" t="s">
        <v>1917</v>
      </c>
      <c r="C884" s="9" t="s">
        <v>100</v>
      </c>
      <c r="D884" s="9" t="s">
        <v>93</v>
      </c>
      <c r="E884" s="6" t="s">
        <v>1759</v>
      </c>
      <c r="F884" s="9" t="s">
        <v>1993</v>
      </c>
    </row>
    <row r="885" ht="33.75" customHeight="1">
      <c r="A885" s="7">
        <v>31.0</v>
      </c>
      <c r="B885" s="9" t="s">
        <v>1917</v>
      </c>
      <c r="C885" s="9" t="s">
        <v>100</v>
      </c>
      <c r="D885" s="9" t="s">
        <v>95</v>
      </c>
      <c r="E885" s="6" t="s">
        <v>1759</v>
      </c>
      <c r="F885" s="9" t="s">
        <v>1993</v>
      </c>
    </row>
    <row r="886" ht="33.75" customHeight="1">
      <c r="A886" s="7">
        <v>31.0</v>
      </c>
      <c r="B886" s="9" t="s">
        <v>1917</v>
      </c>
      <c r="C886" s="9" t="s">
        <v>100</v>
      </c>
      <c r="D886" s="9" t="s">
        <v>98</v>
      </c>
      <c r="E886" s="6" t="s">
        <v>1759</v>
      </c>
      <c r="F886" s="9" t="s">
        <v>1993</v>
      </c>
    </row>
    <row r="887" ht="33.75" customHeight="1">
      <c r="A887" s="7">
        <v>31.0</v>
      </c>
      <c r="B887" s="9" t="s">
        <v>1917</v>
      </c>
      <c r="C887" s="9" t="s">
        <v>100</v>
      </c>
      <c r="D887" s="9" t="s">
        <v>99</v>
      </c>
      <c r="E887" s="6" t="s">
        <v>1759</v>
      </c>
      <c r="F887" s="9" t="s">
        <v>1993</v>
      </c>
    </row>
    <row r="888" ht="33.75" customHeight="1">
      <c r="A888" s="7">
        <v>31.0</v>
      </c>
      <c r="B888" s="9" t="s">
        <v>1917</v>
      </c>
      <c r="C888" s="9" t="s">
        <v>100</v>
      </c>
      <c r="D888" s="9" t="s">
        <v>101</v>
      </c>
      <c r="E888" s="6" t="s">
        <v>1751</v>
      </c>
      <c r="F888" s="9" t="s">
        <v>1993</v>
      </c>
    </row>
    <row r="889" ht="33.75" customHeight="1">
      <c r="A889" s="7">
        <v>31.0</v>
      </c>
      <c r="B889" s="9" t="s">
        <v>1917</v>
      </c>
      <c r="C889" s="9" t="s">
        <v>100</v>
      </c>
      <c r="D889" s="9" t="s">
        <v>105</v>
      </c>
      <c r="E889" s="6" t="s">
        <v>1762</v>
      </c>
      <c r="F889" s="9" t="s">
        <v>1993</v>
      </c>
    </row>
    <row r="890" ht="33.75" customHeight="1">
      <c r="A890" s="7">
        <v>31.0</v>
      </c>
      <c r="B890" s="9" t="s">
        <v>1917</v>
      </c>
      <c r="C890" s="9" t="s">
        <v>100</v>
      </c>
      <c r="D890" s="9" t="s">
        <v>107</v>
      </c>
      <c r="E890" s="6" t="s">
        <v>1765</v>
      </c>
      <c r="F890" s="9" t="s">
        <v>1993</v>
      </c>
    </row>
    <row r="891" ht="33.75" customHeight="1">
      <c r="A891" s="7">
        <v>31.0</v>
      </c>
      <c r="B891" s="9" t="s">
        <v>1917</v>
      </c>
      <c r="C891" s="9" t="s">
        <v>100</v>
      </c>
      <c r="D891" s="9" t="s">
        <v>109</v>
      </c>
      <c r="E891" s="6" t="s">
        <v>1765</v>
      </c>
      <c r="F891" s="9" t="s">
        <v>1993</v>
      </c>
    </row>
    <row r="892" ht="33.75" customHeight="1">
      <c r="A892" s="7">
        <v>31.0</v>
      </c>
      <c r="B892" s="9" t="s">
        <v>1917</v>
      </c>
      <c r="C892" s="9" t="s">
        <v>100</v>
      </c>
      <c r="D892" s="9" t="s">
        <v>111</v>
      </c>
      <c r="E892" s="6" t="s">
        <v>1766</v>
      </c>
      <c r="F892" s="9" t="s">
        <v>1993</v>
      </c>
    </row>
    <row r="893" ht="33.75" customHeight="1">
      <c r="A893" s="7">
        <v>31.0</v>
      </c>
      <c r="B893" s="9" t="s">
        <v>1917</v>
      </c>
      <c r="C893" s="9" t="s">
        <v>100</v>
      </c>
      <c r="D893" s="9" t="s">
        <v>113</v>
      </c>
      <c r="E893" s="6" t="s">
        <v>1766</v>
      </c>
      <c r="F893" s="9" t="s">
        <v>1993</v>
      </c>
    </row>
    <row r="894" ht="33.75" customHeight="1">
      <c r="A894" s="7">
        <v>31.0</v>
      </c>
      <c r="B894" s="9" t="s">
        <v>1917</v>
      </c>
      <c r="C894" s="9" t="s">
        <v>100</v>
      </c>
      <c r="D894" s="9" t="s">
        <v>114</v>
      </c>
      <c r="E894" s="6" t="s">
        <v>1767</v>
      </c>
      <c r="F894" s="9" t="s">
        <v>1993</v>
      </c>
    </row>
    <row r="895" ht="33.75" customHeight="1">
      <c r="A895" s="7">
        <v>31.0</v>
      </c>
      <c r="B895" s="9" t="s">
        <v>1917</v>
      </c>
      <c r="C895" s="9" t="s">
        <v>100</v>
      </c>
      <c r="D895" s="9" t="s">
        <v>117</v>
      </c>
      <c r="E895" s="6" t="s">
        <v>1768</v>
      </c>
      <c r="F895" s="9" t="s">
        <v>1993</v>
      </c>
    </row>
    <row r="896" ht="33.75" customHeight="1">
      <c r="A896" s="7">
        <v>32.0</v>
      </c>
      <c r="B896" s="9" t="s">
        <v>1986</v>
      </c>
      <c r="C896" s="9" t="s">
        <v>97</v>
      </c>
      <c r="D896" s="9" t="s">
        <v>24</v>
      </c>
      <c r="E896" s="6" t="s">
        <v>1769</v>
      </c>
      <c r="F896" s="9" t="s">
        <v>2056</v>
      </c>
      <c r="G896" t="inlineStr" s="6">
        <is>
          <t xml:space="preserve">Stiffens Nidoran♂'s ears to sense danger. The larger its horns, the more powerful its secreted venom. Its large ears are always kept upright. If it senses danger, it will attack with a poisonous sting. It is small, but its horn is filled with poison. It charges then stabs with the horn to inject poison. It raises its big ears to check its surroundings. It will strike first if it senses any danger. It constantly moves its large ears in many directions in order to detect danger right away. The male NIDORAN has developed muscles for moving its ears. Thanks to them, the ears can be freely moved in any direction. Even the slightest sound does not escape this POKéMON’s notice. The male NIDORAN has developed muscles that freely move its ears in any direction. Its large ears are flapped like wings when it is listening to distant sounds. It extends toxic barbs when angered. It stiffens its ears to sense danger. It scans its surroundings by raising its ears out of the grass. Its toxic horn is for protection. Nidoran♂ has developed muscles for moving its ears. The horn on a male Nidoran’s forehead contains a powerful poison. This is a very cautious Pokémon, always straining its large ears. Small but brave, this Pokémon will hold its ground and even risk its life in battle to protect the female it’s friendly with.</t>
        </is>
      </c>
    </row>
    <row r="897" ht="33.75" customHeight="1">
      <c r="A897" s="7">
        <v>32.0</v>
      </c>
      <c r="B897" s="9" t="s">
        <v>1986</v>
      </c>
      <c r="C897" s="9" t="s">
        <v>97</v>
      </c>
      <c r="D897" s="9" t="s">
        <v>35</v>
      </c>
      <c r="E897" s="6" t="s">
        <v>1769</v>
      </c>
      <c r="F897" s="9" t="s">
        <v>2056</v>
      </c>
    </row>
    <row r="898" ht="33.75" customHeight="1">
      <c r="A898" s="7">
        <v>32.0</v>
      </c>
      <c r="B898" s="9" t="s">
        <v>1986</v>
      </c>
      <c r="C898" s="9" t="s">
        <v>97</v>
      </c>
      <c r="D898" s="9" t="s">
        <v>42</v>
      </c>
      <c r="E898" s="6" t="s">
        <v>1770</v>
      </c>
      <c r="F898" s="9" t="s">
        <v>2056</v>
      </c>
    </row>
    <row r="899" ht="33.75" customHeight="1">
      <c r="A899" s="7">
        <v>32.0</v>
      </c>
      <c r="B899" s="9" t="s">
        <v>1986</v>
      </c>
      <c r="C899" s="9" t="s">
        <v>97</v>
      </c>
      <c r="D899" s="9" t="s">
        <v>52</v>
      </c>
      <c r="E899" s="6" t="s">
        <v>1771</v>
      </c>
      <c r="F899" s="9" t="s">
        <v>2056</v>
      </c>
    </row>
    <row r="900" ht="33.75" customHeight="1">
      <c r="A900" s="7">
        <v>32.0</v>
      </c>
      <c r="B900" s="9" t="s">
        <v>1986</v>
      </c>
      <c r="C900" s="9" t="s">
        <v>97</v>
      </c>
      <c r="D900" s="9" t="s">
        <v>59</v>
      </c>
      <c r="E900" s="6" t="s">
        <v>1773</v>
      </c>
      <c r="F900" s="9" t="s">
        <v>2056</v>
      </c>
    </row>
    <row r="901" ht="33.75" customHeight="1">
      <c r="A901" s="7">
        <v>32.0</v>
      </c>
      <c r="B901" s="9" t="s">
        <v>1986</v>
      </c>
      <c r="C901" s="9" t="s">
        <v>97</v>
      </c>
      <c r="D901" s="9" t="s">
        <v>64</v>
      </c>
      <c r="E901" s="6" t="s">
        <v>1774</v>
      </c>
      <c r="F901" s="9" t="s">
        <v>2056</v>
      </c>
    </row>
    <row r="902" ht="33.75" customHeight="1">
      <c r="A902" s="7">
        <v>32.0</v>
      </c>
      <c r="B902" s="9" t="s">
        <v>1986</v>
      </c>
      <c r="C902" s="9" t="s">
        <v>97</v>
      </c>
      <c r="D902" s="9" t="s">
        <v>67</v>
      </c>
      <c r="E902" s="6" t="s">
        <v>1775</v>
      </c>
      <c r="F902" s="9" t="s">
        <v>2056</v>
      </c>
    </row>
    <row r="903" ht="33.75" customHeight="1">
      <c r="A903" s="7">
        <v>32.0</v>
      </c>
      <c r="B903" s="9" t="s">
        <v>1986</v>
      </c>
      <c r="C903" s="9" t="s">
        <v>97</v>
      </c>
      <c r="D903" s="9" t="s">
        <v>71</v>
      </c>
      <c r="E903" s="6" t="s">
        <v>1775</v>
      </c>
      <c r="F903" s="9" t="s">
        <v>2056</v>
      </c>
    </row>
    <row r="904" ht="33.75" customHeight="1">
      <c r="A904" s="7">
        <v>32.0</v>
      </c>
      <c r="B904" s="9" t="s">
        <v>1986</v>
      </c>
      <c r="C904" s="9" t="s">
        <v>97</v>
      </c>
      <c r="D904" s="9" t="s">
        <v>73</v>
      </c>
      <c r="E904" s="6" t="s">
        <v>1777</v>
      </c>
      <c r="F904" s="9" t="s">
        <v>2056</v>
      </c>
    </row>
    <row r="905" ht="33.75" customHeight="1">
      <c r="A905" s="7">
        <v>32.0</v>
      </c>
      <c r="B905" s="9" t="s">
        <v>1986</v>
      </c>
      <c r="C905" s="9" t="s">
        <v>97</v>
      </c>
      <c r="D905" s="9" t="s">
        <v>75</v>
      </c>
      <c r="E905" s="6" t="s">
        <v>1780</v>
      </c>
      <c r="F905" s="9" t="s">
        <v>2056</v>
      </c>
    </row>
    <row r="906" ht="33.75" customHeight="1">
      <c r="A906" s="7">
        <v>32.0</v>
      </c>
      <c r="B906" s="9" t="s">
        <v>1986</v>
      </c>
      <c r="C906" s="9" t="s">
        <v>97</v>
      </c>
      <c r="D906" s="9" t="s">
        <v>79</v>
      </c>
      <c r="E906" s="6" t="s">
        <v>1782</v>
      </c>
      <c r="F906" s="9" t="s">
        <v>2056</v>
      </c>
    </row>
    <row r="907" ht="33.75" customHeight="1">
      <c r="A907" s="7">
        <v>32.0</v>
      </c>
      <c r="B907" s="9" t="s">
        <v>1986</v>
      </c>
      <c r="C907" s="9" t="s">
        <v>97</v>
      </c>
      <c r="D907" s="9" t="s">
        <v>81</v>
      </c>
      <c r="E907" s="6" t="s">
        <v>1783</v>
      </c>
      <c r="F907" s="9" t="s">
        <v>2056</v>
      </c>
    </row>
    <row r="908" ht="33.75" customHeight="1">
      <c r="A908" s="7">
        <v>32.0</v>
      </c>
      <c r="B908" s="9" t="s">
        <v>1986</v>
      </c>
      <c r="C908" s="9" t="s">
        <v>97</v>
      </c>
      <c r="D908" s="9" t="s">
        <v>84</v>
      </c>
      <c r="E908" s="6" t="s">
        <v>1783</v>
      </c>
      <c r="F908" s="9" t="s">
        <v>2056</v>
      </c>
    </row>
    <row r="909" ht="33.75" customHeight="1">
      <c r="A909" s="7">
        <v>32.0</v>
      </c>
      <c r="B909" s="9" t="s">
        <v>1986</v>
      </c>
      <c r="C909" s="9" t="s">
        <v>97</v>
      </c>
      <c r="D909" s="9" t="s">
        <v>87</v>
      </c>
      <c r="E909" s="6" t="s">
        <v>1783</v>
      </c>
      <c r="F909" s="9" t="s">
        <v>2056</v>
      </c>
    </row>
    <row r="910" ht="33.75" customHeight="1">
      <c r="A910" s="7">
        <v>32.0</v>
      </c>
      <c r="B910" s="9" t="s">
        <v>1986</v>
      </c>
      <c r="C910" s="9" t="s">
        <v>97</v>
      </c>
      <c r="D910" s="9" t="s">
        <v>89</v>
      </c>
      <c r="E910" s="6" t="s">
        <v>1771</v>
      </c>
      <c r="F910" s="9" t="s">
        <v>2056</v>
      </c>
    </row>
    <row r="911" ht="33.75" customHeight="1">
      <c r="A911" s="7">
        <v>32.0</v>
      </c>
      <c r="B911" s="9" t="s">
        <v>1986</v>
      </c>
      <c r="C911" s="9" t="s">
        <v>97</v>
      </c>
      <c r="D911" s="9" t="s">
        <v>91</v>
      </c>
      <c r="E911" s="6" t="s">
        <v>1773</v>
      </c>
      <c r="F911" s="9" t="s">
        <v>2056</v>
      </c>
    </row>
    <row r="912" ht="33.75" customHeight="1">
      <c r="A912" s="7">
        <v>32.0</v>
      </c>
      <c r="B912" s="9" t="s">
        <v>1986</v>
      </c>
      <c r="C912" s="9" t="s">
        <v>97</v>
      </c>
      <c r="D912" s="9" t="s">
        <v>93</v>
      </c>
      <c r="E912" s="6" t="s">
        <v>1783</v>
      </c>
      <c r="F912" s="9" t="s">
        <v>2056</v>
      </c>
    </row>
    <row r="913" ht="33.75" customHeight="1">
      <c r="A913" s="7">
        <v>32.0</v>
      </c>
      <c r="B913" s="9" t="s">
        <v>1986</v>
      </c>
      <c r="C913" s="9" t="s">
        <v>97</v>
      </c>
      <c r="D913" s="9" t="s">
        <v>95</v>
      </c>
      <c r="E913" s="6" t="s">
        <v>1783</v>
      </c>
      <c r="F913" s="9" t="s">
        <v>2056</v>
      </c>
    </row>
    <row r="914" ht="33.75" customHeight="1">
      <c r="A914" s="7">
        <v>32.0</v>
      </c>
      <c r="B914" s="9" t="s">
        <v>1986</v>
      </c>
      <c r="C914" s="9" t="s">
        <v>97</v>
      </c>
      <c r="D914" s="9" t="s">
        <v>98</v>
      </c>
      <c r="E914" s="6" t="s">
        <v>1783</v>
      </c>
      <c r="F914" s="9" t="s">
        <v>2056</v>
      </c>
    </row>
    <row r="915" ht="33.75" customHeight="1">
      <c r="A915" s="7">
        <v>32.0</v>
      </c>
      <c r="B915" s="9" t="s">
        <v>1986</v>
      </c>
      <c r="C915" s="9" t="s">
        <v>97</v>
      </c>
      <c r="D915" s="9" t="s">
        <v>99</v>
      </c>
      <c r="E915" s="6" t="s">
        <v>1783</v>
      </c>
      <c r="F915" s="9" t="s">
        <v>2056</v>
      </c>
    </row>
    <row r="916" ht="33.75" customHeight="1">
      <c r="A916" s="7">
        <v>32.0</v>
      </c>
      <c r="B916" s="9" t="s">
        <v>1986</v>
      </c>
      <c r="C916" s="9" t="s">
        <v>97</v>
      </c>
      <c r="D916" s="9" t="s">
        <v>101</v>
      </c>
      <c r="E916" s="6" t="s">
        <v>1783</v>
      </c>
      <c r="F916" s="9" t="s">
        <v>2056</v>
      </c>
    </row>
    <row r="917" ht="33.75" customHeight="1">
      <c r="A917" s="7">
        <v>32.0</v>
      </c>
      <c r="B917" s="9" t="s">
        <v>1986</v>
      </c>
      <c r="C917" s="9" t="s">
        <v>97</v>
      </c>
      <c r="D917" s="9" t="s">
        <v>105</v>
      </c>
      <c r="E917" s="6" t="s">
        <v>1780</v>
      </c>
      <c r="F917" s="9" t="s">
        <v>2056</v>
      </c>
    </row>
    <row r="918" ht="33.75" customHeight="1">
      <c r="A918" s="7">
        <v>32.0</v>
      </c>
      <c r="B918" s="9" t="s">
        <v>1986</v>
      </c>
      <c r="C918" s="9" t="s">
        <v>97</v>
      </c>
      <c r="D918" s="9" t="s">
        <v>107</v>
      </c>
      <c r="E918" s="6" t="s">
        <v>1784</v>
      </c>
      <c r="F918" s="9" t="s">
        <v>2056</v>
      </c>
    </row>
    <row r="919" ht="33.75" customHeight="1">
      <c r="A919" s="7">
        <v>32.0</v>
      </c>
      <c r="B919" s="9" t="s">
        <v>1986</v>
      </c>
      <c r="C919" s="9" t="s">
        <v>97</v>
      </c>
      <c r="D919" s="9" t="s">
        <v>109</v>
      </c>
      <c r="E919" s="6" t="s">
        <v>1784</v>
      </c>
      <c r="F919" s="9" t="s">
        <v>2056</v>
      </c>
    </row>
    <row r="920" ht="33.75" customHeight="1">
      <c r="A920" s="7">
        <v>32.0</v>
      </c>
      <c r="B920" s="9" t="s">
        <v>1986</v>
      </c>
      <c r="C920" s="9" t="s">
        <v>97</v>
      </c>
      <c r="D920" s="9" t="s">
        <v>111</v>
      </c>
      <c r="E920" s="6" t="s">
        <v>1770</v>
      </c>
      <c r="F920" s="9" t="s">
        <v>2056</v>
      </c>
    </row>
    <row r="921" ht="33.75" customHeight="1">
      <c r="A921" s="7">
        <v>32.0</v>
      </c>
      <c r="B921" s="9" t="s">
        <v>1986</v>
      </c>
      <c r="C921" s="9" t="s">
        <v>97</v>
      </c>
      <c r="D921" s="9" t="s">
        <v>113</v>
      </c>
      <c r="E921" s="6" t="s">
        <v>1770</v>
      </c>
      <c r="F921" s="9" t="s">
        <v>2056</v>
      </c>
    </row>
    <row r="922" ht="33.75" customHeight="1">
      <c r="A922" s="7">
        <v>32.0</v>
      </c>
      <c r="B922" s="9" t="s">
        <v>1986</v>
      </c>
      <c r="C922" s="9" t="s">
        <v>97</v>
      </c>
      <c r="D922" s="9" t="s">
        <v>114</v>
      </c>
      <c r="E922" s="6" t="s">
        <v>1786</v>
      </c>
      <c r="F922" s="9" t="s">
        <v>2056</v>
      </c>
    </row>
    <row r="923" ht="33.75" customHeight="1">
      <c r="A923" s="7">
        <v>32.0</v>
      </c>
      <c r="B923" s="9" t="s">
        <v>1986</v>
      </c>
      <c r="C923" s="9" t="s">
        <v>97</v>
      </c>
      <c r="D923" s="9" t="s">
        <v>117</v>
      </c>
      <c r="E923" s="6" t="s">
        <v>1787</v>
      </c>
      <c r="F923" s="9" t="s">
        <v>2056</v>
      </c>
    </row>
    <row r="924" ht="33.75" customHeight="1">
      <c r="A924" s="7">
        <v>33.0</v>
      </c>
      <c r="B924" s="9" t="s">
        <v>2030</v>
      </c>
      <c r="C924" s="9" t="s">
        <v>97</v>
      </c>
      <c r="D924" s="9" t="s">
        <v>24</v>
      </c>
      <c r="E924" s="6" t="s">
        <v>1789</v>
      </c>
      <c r="F924" s="9" t="s">
        <v>2116</v>
      </c>
      <c r="G924" t="inlineStr" s="6">
        <is>
          <t xml:space="preserve">An aggressive POKéMON that is quick to attack. The horn on its head secretes a powerful venom. Its horns contain venom. If they are stabbed into an enemy, the impact makes the poison leak out. It raises its big ears to check its surroundings. If it senses any thing, it attacks immediately. Quick to anger, it stabs enemies with its horn to inject a powerful poison when it becomes agitated. It is easily agitated and uses its horn for offense as soon as it notices an attacker. NIDORINO has a horn that is harder than a diamond. If it senses a hostile presence, all the barbs on its back bristle up at once, and it challenges the foe with all its might. Its horn is harder than a diamond. It is easily angered. By swinging its well- developed horn wildly, it can even punch through diamond. It has a violent disposition and stabs foes with its horn, which oozes poison upon impact. If it senses anything, it attacks immediately. Its horn contains venom. If it stabs an enemy with the horn, the impact makes the poison leak out. With a horn that’s harder than diamond, this Pokémon goes around shattering boulders as it searches for a moon stone. It’s nervous and quick to act aggressively. The potency of its poison increases along with the level of adrenaline present in its body.</t>
        </is>
      </c>
    </row>
    <row r="925" ht="33.75" customHeight="1">
      <c r="A925" s="7">
        <v>33.0</v>
      </c>
      <c r="B925" s="9" t="s">
        <v>2030</v>
      </c>
      <c r="C925" s="9" t="s">
        <v>97</v>
      </c>
      <c r="D925" s="9" t="s">
        <v>35</v>
      </c>
      <c r="E925" s="6" t="s">
        <v>1789</v>
      </c>
      <c r="F925" s="9" t="s">
        <v>2116</v>
      </c>
    </row>
    <row r="926" ht="33.75" customHeight="1">
      <c r="A926" s="7">
        <v>33.0</v>
      </c>
      <c r="B926" s="9" t="s">
        <v>2030</v>
      </c>
      <c r="C926" s="9" t="s">
        <v>97</v>
      </c>
      <c r="D926" s="9" t="s">
        <v>42</v>
      </c>
      <c r="E926" s="6" t="s">
        <v>1790</v>
      </c>
      <c r="F926" s="9" t="s">
        <v>2116</v>
      </c>
    </row>
    <row r="927" ht="33.75" customHeight="1">
      <c r="A927" s="7">
        <v>33.0</v>
      </c>
      <c r="B927" s="9" t="s">
        <v>2030</v>
      </c>
      <c r="C927" s="9" t="s">
        <v>97</v>
      </c>
      <c r="D927" s="9" t="s">
        <v>52</v>
      </c>
      <c r="E927" s="6" t="s">
        <v>1792</v>
      </c>
      <c r="F927" s="9" t="s">
        <v>2116</v>
      </c>
    </row>
    <row r="928" ht="33.75" customHeight="1">
      <c r="A928" s="7">
        <v>33.0</v>
      </c>
      <c r="B928" s="9" t="s">
        <v>2030</v>
      </c>
      <c r="C928" s="9" t="s">
        <v>97</v>
      </c>
      <c r="D928" s="9" t="s">
        <v>59</v>
      </c>
      <c r="E928" s="6" t="s">
        <v>1793</v>
      </c>
      <c r="F928" s="9" t="s">
        <v>2116</v>
      </c>
    </row>
    <row r="929" ht="33.75" customHeight="1">
      <c r="A929" s="7">
        <v>33.0</v>
      </c>
      <c r="B929" s="9" t="s">
        <v>2030</v>
      </c>
      <c r="C929" s="9" t="s">
        <v>97</v>
      </c>
      <c r="D929" s="9" t="s">
        <v>64</v>
      </c>
      <c r="E929" s="6" t="s">
        <v>1794</v>
      </c>
      <c r="F929" s="9" t="s">
        <v>2116</v>
      </c>
    </row>
    <row r="930" ht="33.75" customHeight="1">
      <c r="A930" s="7">
        <v>33.0</v>
      </c>
      <c r="B930" s="9" t="s">
        <v>2030</v>
      </c>
      <c r="C930" s="9" t="s">
        <v>97</v>
      </c>
      <c r="D930" s="9" t="s">
        <v>67</v>
      </c>
      <c r="E930" s="6" t="s">
        <v>1796</v>
      </c>
      <c r="F930" s="9" t="s">
        <v>2116</v>
      </c>
    </row>
    <row r="931" ht="33.75" customHeight="1">
      <c r="A931" s="7">
        <v>33.0</v>
      </c>
      <c r="B931" s="9" t="s">
        <v>2030</v>
      </c>
      <c r="C931" s="9" t="s">
        <v>97</v>
      </c>
      <c r="D931" s="9" t="s">
        <v>71</v>
      </c>
      <c r="E931" s="6" t="s">
        <v>1796</v>
      </c>
      <c r="F931" s="9" t="s">
        <v>2116</v>
      </c>
    </row>
    <row r="932" ht="33.75" customHeight="1">
      <c r="A932" s="7">
        <v>33.0</v>
      </c>
      <c r="B932" s="9" t="s">
        <v>2030</v>
      </c>
      <c r="C932" s="9" t="s">
        <v>97</v>
      </c>
      <c r="D932" s="9" t="s">
        <v>73</v>
      </c>
      <c r="E932" s="6" t="s">
        <v>1797</v>
      </c>
      <c r="F932" s="9" t="s">
        <v>2116</v>
      </c>
    </row>
    <row r="933" ht="33.75" customHeight="1">
      <c r="A933" s="7">
        <v>33.0</v>
      </c>
      <c r="B933" s="9" t="s">
        <v>2030</v>
      </c>
      <c r="C933" s="9" t="s">
        <v>97</v>
      </c>
      <c r="D933" s="9" t="s">
        <v>75</v>
      </c>
      <c r="E933" s="6" t="s">
        <v>1799</v>
      </c>
      <c r="F933" s="9" t="s">
        <v>2116</v>
      </c>
    </row>
    <row r="934" ht="33.75" customHeight="1">
      <c r="A934" s="7">
        <v>33.0</v>
      </c>
      <c r="B934" s="9" t="s">
        <v>2030</v>
      </c>
      <c r="C934" s="9" t="s">
        <v>97</v>
      </c>
      <c r="D934" s="9" t="s">
        <v>79</v>
      </c>
      <c r="E934" s="6" t="s">
        <v>1789</v>
      </c>
      <c r="F934" s="9" t="s">
        <v>2116</v>
      </c>
    </row>
    <row r="935" ht="33.75" customHeight="1">
      <c r="A935" s="7">
        <v>33.0</v>
      </c>
      <c r="B935" s="9" t="s">
        <v>2030</v>
      </c>
      <c r="C935" s="9" t="s">
        <v>97</v>
      </c>
      <c r="D935" s="9" t="s">
        <v>81</v>
      </c>
      <c r="E935" s="6" t="s">
        <v>1800</v>
      </c>
      <c r="F935" s="9" t="s">
        <v>2116</v>
      </c>
    </row>
    <row r="936" ht="33.75" customHeight="1">
      <c r="A936" s="7">
        <v>33.0</v>
      </c>
      <c r="B936" s="9" t="s">
        <v>2030</v>
      </c>
      <c r="C936" s="9" t="s">
        <v>97</v>
      </c>
      <c r="D936" s="9" t="s">
        <v>84</v>
      </c>
      <c r="E936" s="6" t="s">
        <v>1800</v>
      </c>
      <c r="F936" s="9" t="s">
        <v>2116</v>
      </c>
    </row>
    <row r="937" ht="33.75" customHeight="1">
      <c r="A937" s="7">
        <v>33.0</v>
      </c>
      <c r="B937" s="9" t="s">
        <v>2030</v>
      </c>
      <c r="C937" s="9" t="s">
        <v>97</v>
      </c>
      <c r="D937" s="9" t="s">
        <v>87</v>
      </c>
      <c r="E937" s="6" t="s">
        <v>1800</v>
      </c>
      <c r="F937" s="9" t="s">
        <v>2116</v>
      </c>
    </row>
    <row r="938" ht="33.75" customHeight="1">
      <c r="A938" s="7">
        <v>33.0</v>
      </c>
      <c r="B938" s="9" t="s">
        <v>2030</v>
      </c>
      <c r="C938" s="9" t="s">
        <v>97</v>
      </c>
      <c r="D938" s="9" t="s">
        <v>89</v>
      </c>
      <c r="E938" s="6" t="s">
        <v>1802</v>
      </c>
      <c r="F938" s="9" t="s">
        <v>2116</v>
      </c>
    </row>
    <row r="939" ht="33.75" customHeight="1">
      <c r="A939" s="7">
        <v>33.0</v>
      </c>
      <c r="B939" s="9" t="s">
        <v>2030</v>
      </c>
      <c r="C939" s="9" t="s">
        <v>97</v>
      </c>
      <c r="D939" s="9" t="s">
        <v>91</v>
      </c>
      <c r="E939" s="6" t="s">
        <v>1793</v>
      </c>
      <c r="F939" s="9" t="s">
        <v>2116</v>
      </c>
    </row>
    <row r="940" ht="33.75" customHeight="1">
      <c r="A940" s="7">
        <v>33.0</v>
      </c>
      <c r="B940" s="9" t="s">
        <v>2030</v>
      </c>
      <c r="C940" s="9" t="s">
        <v>97</v>
      </c>
      <c r="D940" s="9" t="s">
        <v>93</v>
      </c>
      <c r="E940" s="6" t="s">
        <v>1800</v>
      </c>
      <c r="F940" s="9" t="s">
        <v>2116</v>
      </c>
    </row>
    <row r="941" ht="33.75" customHeight="1">
      <c r="A941" s="7">
        <v>33.0</v>
      </c>
      <c r="B941" s="9" t="s">
        <v>2030</v>
      </c>
      <c r="C941" s="9" t="s">
        <v>97</v>
      </c>
      <c r="D941" s="9" t="s">
        <v>95</v>
      </c>
      <c r="E941" s="6" t="s">
        <v>1800</v>
      </c>
      <c r="F941" s="9" t="s">
        <v>2116</v>
      </c>
    </row>
    <row r="942" ht="33.75" customHeight="1">
      <c r="A942" s="7">
        <v>33.0</v>
      </c>
      <c r="B942" s="9" t="s">
        <v>2030</v>
      </c>
      <c r="C942" s="9" t="s">
        <v>97</v>
      </c>
      <c r="D942" s="9" t="s">
        <v>98</v>
      </c>
      <c r="E942" s="6" t="s">
        <v>1800</v>
      </c>
      <c r="F942" s="9" t="s">
        <v>2116</v>
      </c>
    </row>
    <row r="943" ht="33.75" customHeight="1">
      <c r="A943" s="7">
        <v>33.0</v>
      </c>
      <c r="B943" s="9" t="s">
        <v>2030</v>
      </c>
      <c r="C943" s="9" t="s">
        <v>97</v>
      </c>
      <c r="D943" s="9" t="s">
        <v>99</v>
      </c>
      <c r="E943" s="6" t="s">
        <v>1800</v>
      </c>
      <c r="F943" s="9" t="s">
        <v>2116</v>
      </c>
    </row>
    <row r="944" ht="33.75" customHeight="1">
      <c r="A944" s="7">
        <v>33.0</v>
      </c>
      <c r="B944" s="9" t="s">
        <v>2030</v>
      </c>
      <c r="C944" s="9" t="s">
        <v>97</v>
      </c>
      <c r="D944" s="9" t="s">
        <v>101</v>
      </c>
      <c r="E944" s="6" t="s">
        <v>1802</v>
      </c>
      <c r="F944" s="9" t="s">
        <v>2116</v>
      </c>
    </row>
    <row r="945" ht="33.75" customHeight="1">
      <c r="A945" s="7">
        <v>33.0</v>
      </c>
      <c r="B945" s="9" t="s">
        <v>2030</v>
      </c>
      <c r="C945" s="9" t="s">
        <v>97</v>
      </c>
      <c r="D945" s="9" t="s">
        <v>105</v>
      </c>
      <c r="E945" s="6" t="s">
        <v>1803</v>
      </c>
      <c r="F945" s="9" t="s">
        <v>2116</v>
      </c>
    </row>
    <row r="946" ht="33.75" customHeight="1">
      <c r="A946" s="7">
        <v>33.0</v>
      </c>
      <c r="B946" s="9" t="s">
        <v>2030</v>
      </c>
      <c r="C946" s="9" t="s">
        <v>97</v>
      </c>
      <c r="D946" s="9" t="s">
        <v>107</v>
      </c>
      <c r="E946" s="6" t="s">
        <v>1805</v>
      </c>
      <c r="F946" s="9" t="s">
        <v>2116</v>
      </c>
    </row>
    <row r="947" ht="33.75" customHeight="1">
      <c r="A947" s="7">
        <v>33.0</v>
      </c>
      <c r="B947" s="9" t="s">
        <v>2030</v>
      </c>
      <c r="C947" s="9" t="s">
        <v>97</v>
      </c>
      <c r="D947" s="9" t="s">
        <v>109</v>
      </c>
      <c r="E947" s="6" t="s">
        <v>1805</v>
      </c>
      <c r="F947" s="9" t="s">
        <v>2116</v>
      </c>
    </row>
    <row r="948" ht="33.75" customHeight="1">
      <c r="A948" s="7">
        <v>33.0</v>
      </c>
      <c r="B948" s="9" t="s">
        <v>2030</v>
      </c>
      <c r="C948" s="9" t="s">
        <v>97</v>
      </c>
      <c r="D948" s="9" t="s">
        <v>111</v>
      </c>
      <c r="E948" s="6" t="s">
        <v>1806</v>
      </c>
      <c r="F948" s="9" t="s">
        <v>2116</v>
      </c>
    </row>
    <row r="949" ht="33.75" customHeight="1">
      <c r="A949" s="7">
        <v>33.0</v>
      </c>
      <c r="B949" s="9" t="s">
        <v>2030</v>
      </c>
      <c r="C949" s="9" t="s">
        <v>97</v>
      </c>
      <c r="D949" s="9" t="s">
        <v>113</v>
      </c>
      <c r="E949" s="6" t="s">
        <v>1806</v>
      </c>
      <c r="F949" s="9" t="s">
        <v>2116</v>
      </c>
    </row>
    <row r="950" ht="33.75" customHeight="1">
      <c r="A950" s="7">
        <v>33.0</v>
      </c>
      <c r="B950" s="9" t="s">
        <v>2030</v>
      </c>
      <c r="C950" s="9" t="s">
        <v>97</v>
      </c>
      <c r="D950" s="9" t="s">
        <v>114</v>
      </c>
      <c r="E950" s="6" t="s">
        <v>1807</v>
      </c>
      <c r="F950" s="9" t="s">
        <v>2116</v>
      </c>
    </row>
    <row r="951" ht="33.75" customHeight="1">
      <c r="A951" s="7">
        <v>33.0</v>
      </c>
      <c r="B951" s="9" t="s">
        <v>2030</v>
      </c>
      <c r="C951" s="9" t="s">
        <v>97</v>
      </c>
      <c r="D951" s="9" t="s">
        <v>117</v>
      </c>
      <c r="E951" s="6" t="s">
        <v>1808</v>
      </c>
      <c r="F951" s="9" t="s">
        <v>2116</v>
      </c>
    </row>
    <row r="952" ht="33.75" customHeight="1">
      <c r="A952" s="7">
        <v>34.0</v>
      </c>
      <c r="B952" s="9" t="s">
        <v>2074</v>
      </c>
      <c r="C952" s="9" t="s">
        <v>100</v>
      </c>
      <c r="D952" s="9" t="s">
        <v>24</v>
      </c>
      <c r="E952" s="6" t="s">
        <v>1810</v>
      </c>
      <c r="F952" s="9" t="s">
        <v>2195</v>
      </c>
      <c r="G952" t="inlineStr" s="6">
        <is>
          <t xml:space="preserve">It uses Nidoking's powerful tail in battle to smash, constrict, then break the prey's bones. Its steel-like hide adds to its powerful tackle. Its horns are so hard, they can pierce a diamond. It swings its big tail around during battle. If its foe flinches, it will charge with its sturdy body. Its tail is thick and powerful. If it binds an enemy, it can snap the victim's spine quite easily. It uses its thick arms, legs and tail to attack forcefully. Melee combat is its specialty. NIDOKING’s thick tail packs enormously destructive power. With one swing, it can topple a metal transmission tower. Once this POKéMON goes on a rampage, there is no stopping it. A NIDOKING’s thick tail packs enormously destructive power capable of toppling a metal transmission tower. Once it goes on a rampage, there is no stopping it. It is recognized by its rock-hard hide and its extended horn. Be careful with the horn as it contains venom. One swing of its mighty tail can snap a telephone pole as if it were a matchstick. If it binds an enemy, it can render the victim helpless quite easily. Be careful with the horn, as it contains venom. When it goes on a rampage, it’s impossible to control. But in the presence of a Nidoqueen it’s lived with for a long time, Nidoking calms down. Nidoking prides itself on its strength. It’s forceful and spirited in battle, making use of its thick tail and diamond-crushing horn.</t>
        </is>
      </c>
    </row>
    <row r="953" ht="33.75" customHeight="1">
      <c r="A953" s="7">
        <v>34.0</v>
      </c>
      <c r="B953" s="9" t="s">
        <v>2074</v>
      </c>
      <c r="C953" s="9" t="s">
        <v>100</v>
      </c>
      <c r="D953" s="9" t="s">
        <v>35</v>
      </c>
      <c r="E953" s="6" t="s">
        <v>1810</v>
      </c>
      <c r="F953" s="9" t="s">
        <v>2195</v>
      </c>
    </row>
    <row r="954" ht="33.75" customHeight="1">
      <c r="A954" s="7">
        <v>34.0</v>
      </c>
      <c r="B954" s="9" t="s">
        <v>2074</v>
      </c>
      <c r="C954" s="9" t="s">
        <v>100</v>
      </c>
      <c r="D954" s="9" t="s">
        <v>42</v>
      </c>
      <c r="E954" s="6" t="s">
        <v>1811</v>
      </c>
      <c r="F954" s="9" t="s">
        <v>2195</v>
      </c>
    </row>
    <row r="955" ht="33.75" customHeight="1">
      <c r="A955" s="7">
        <v>34.0</v>
      </c>
      <c r="B955" s="9" t="s">
        <v>2074</v>
      </c>
      <c r="C955" s="9" t="s">
        <v>100</v>
      </c>
      <c r="D955" s="9" t="s">
        <v>52</v>
      </c>
      <c r="E955" s="6" t="s">
        <v>1812</v>
      </c>
      <c r="F955" s="9" t="s">
        <v>2195</v>
      </c>
    </row>
    <row r="956" ht="33.75" customHeight="1">
      <c r="A956" s="7">
        <v>34.0</v>
      </c>
      <c r="B956" s="9" t="s">
        <v>2074</v>
      </c>
      <c r="C956" s="9" t="s">
        <v>100</v>
      </c>
      <c r="D956" s="9" t="s">
        <v>59</v>
      </c>
      <c r="E956" s="6" t="s">
        <v>1813</v>
      </c>
      <c r="F956" s="9" t="s">
        <v>2195</v>
      </c>
    </row>
    <row r="957" ht="33.75" customHeight="1">
      <c r="A957" s="7">
        <v>34.0</v>
      </c>
      <c r="B957" s="9" t="s">
        <v>2074</v>
      </c>
      <c r="C957" s="9" t="s">
        <v>100</v>
      </c>
      <c r="D957" s="9" t="s">
        <v>64</v>
      </c>
      <c r="E957" s="6" t="s">
        <v>1814</v>
      </c>
      <c r="F957" s="9" t="s">
        <v>2195</v>
      </c>
    </row>
    <row r="958" ht="33.75" customHeight="1">
      <c r="A958" s="7">
        <v>34.0</v>
      </c>
      <c r="B958" s="9" t="s">
        <v>2074</v>
      </c>
      <c r="C958" s="9" t="s">
        <v>100</v>
      </c>
      <c r="D958" s="9" t="s">
        <v>67</v>
      </c>
      <c r="E958" s="6" t="s">
        <v>1815</v>
      </c>
      <c r="F958" s="9" t="s">
        <v>2195</v>
      </c>
    </row>
    <row r="959" ht="33.75" customHeight="1">
      <c r="A959" s="7">
        <v>34.0</v>
      </c>
      <c r="B959" s="9" t="s">
        <v>2074</v>
      </c>
      <c r="C959" s="9" t="s">
        <v>100</v>
      </c>
      <c r="D959" s="9" t="s">
        <v>71</v>
      </c>
      <c r="E959" s="6" t="s">
        <v>1815</v>
      </c>
      <c r="F959" s="9" t="s">
        <v>2195</v>
      </c>
    </row>
    <row r="960" ht="33.75" customHeight="1">
      <c r="A960" s="7">
        <v>34.0</v>
      </c>
      <c r="B960" s="9" t="s">
        <v>2074</v>
      </c>
      <c r="C960" s="9" t="s">
        <v>100</v>
      </c>
      <c r="D960" s="9" t="s">
        <v>73</v>
      </c>
      <c r="E960" s="6" t="s">
        <v>1817</v>
      </c>
      <c r="F960" s="9" t="s">
        <v>2195</v>
      </c>
    </row>
    <row r="961" ht="33.75" customHeight="1">
      <c r="A961" s="7">
        <v>34.0</v>
      </c>
      <c r="B961" s="9" t="s">
        <v>2074</v>
      </c>
      <c r="C961" s="9" t="s">
        <v>100</v>
      </c>
      <c r="D961" s="9" t="s">
        <v>75</v>
      </c>
      <c r="E961" s="6" t="s">
        <v>1818</v>
      </c>
      <c r="F961" s="9" t="s">
        <v>2195</v>
      </c>
    </row>
    <row r="962" ht="33.75" customHeight="1">
      <c r="A962" s="7">
        <v>34.0</v>
      </c>
      <c r="B962" s="9" t="s">
        <v>2074</v>
      </c>
      <c r="C962" s="9" t="s">
        <v>100</v>
      </c>
      <c r="D962" s="9" t="s">
        <v>79</v>
      </c>
      <c r="E962" s="6" t="s">
        <v>1820</v>
      </c>
      <c r="F962" s="9" t="s">
        <v>2195</v>
      </c>
    </row>
    <row r="963" ht="33.75" customHeight="1">
      <c r="A963" s="7">
        <v>34.0</v>
      </c>
      <c r="B963" s="9" t="s">
        <v>2074</v>
      </c>
      <c r="C963" s="9" t="s">
        <v>100</v>
      </c>
      <c r="D963" s="9" t="s">
        <v>81</v>
      </c>
      <c r="E963" s="6" t="s">
        <v>1821</v>
      </c>
      <c r="F963" s="9" t="s">
        <v>2195</v>
      </c>
    </row>
    <row r="964" ht="33.75" customHeight="1">
      <c r="A964" s="7">
        <v>34.0</v>
      </c>
      <c r="B964" s="9" t="s">
        <v>2074</v>
      </c>
      <c r="C964" s="9" t="s">
        <v>100</v>
      </c>
      <c r="D964" s="9" t="s">
        <v>84</v>
      </c>
      <c r="E964" s="6" t="s">
        <v>1821</v>
      </c>
      <c r="F964" s="9" t="s">
        <v>2195</v>
      </c>
    </row>
    <row r="965" ht="33.75" customHeight="1">
      <c r="A965" s="7">
        <v>34.0</v>
      </c>
      <c r="B965" s="9" t="s">
        <v>2074</v>
      </c>
      <c r="C965" s="9" t="s">
        <v>100</v>
      </c>
      <c r="D965" s="9" t="s">
        <v>87</v>
      </c>
      <c r="E965" s="6" t="s">
        <v>1821</v>
      </c>
      <c r="F965" s="9" t="s">
        <v>2195</v>
      </c>
    </row>
    <row r="966" ht="33.75" customHeight="1">
      <c r="A966" s="7">
        <v>34.0</v>
      </c>
      <c r="B966" s="9" t="s">
        <v>2074</v>
      </c>
      <c r="C966" s="9" t="s">
        <v>100</v>
      </c>
      <c r="D966" s="9" t="s">
        <v>89</v>
      </c>
      <c r="E966" s="6" t="s">
        <v>1812</v>
      </c>
      <c r="F966" s="9" t="s">
        <v>2195</v>
      </c>
    </row>
    <row r="967" ht="33.75" customHeight="1">
      <c r="A967" s="7">
        <v>34.0</v>
      </c>
      <c r="B967" s="9" t="s">
        <v>2074</v>
      </c>
      <c r="C967" s="9" t="s">
        <v>100</v>
      </c>
      <c r="D967" s="9" t="s">
        <v>91</v>
      </c>
      <c r="E967" s="6" t="s">
        <v>1822</v>
      </c>
      <c r="F967" s="9" t="s">
        <v>2195</v>
      </c>
    </row>
    <row r="968" ht="33.75" customHeight="1">
      <c r="A968" s="7">
        <v>34.0</v>
      </c>
      <c r="B968" s="9" t="s">
        <v>2074</v>
      </c>
      <c r="C968" s="9" t="s">
        <v>100</v>
      </c>
      <c r="D968" s="9" t="s">
        <v>93</v>
      </c>
      <c r="E968" s="6" t="s">
        <v>1821</v>
      </c>
      <c r="F968" s="9" t="s">
        <v>2195</v>
      </c>
    </row>
    <row r="969" ht="33.75" customHeight="1">
      <c r="A969" s="7">
        <v>34.0</v>
      </c>
      <c r="B969" s="9" t="s">
        <v>2074</v>
      </c>
      <c r="C969" s="9" t="s">
        <v>100</v>
      </c>
      <c r="D969" s="9" t="s">
        <v>95</v>
      </c>
      <c r="E969" s="6" t="s">
        <v>1821</v>
      </c>
      <c r="F969" s="9" t="s">
        <v>2195</v>
      </c>
    </row>
    <row r="970" ht="33.75" customHeight="1">
      <c r="A970" s="7">
        <v>34.0</v>
      </c>
      <c r="B970" s="9" t="s">
        <v>2074</v>
      </c>
      <c r="C970" s="9" t="s">
        <v>100</v>
      </c>
      <c r="D970" s="9" t="s">
        <v>98</v>
      </c>
      <c r="E970" s="6" t="s">
        <v>1821</v>
      </c>
      <c r="F970" s="9" t="s">
        <v>2195</v>
      </c>
    </row>
    <row r="971" ht="33.75" customHeight="1">
      <c r="A971" s="7">
        <v>34.0</v>
      </c>
      <c r="B971" s="9" t="s">
        <v>2074</v>
      </c>
      <c r="C971" s="9" t="s">
        <v>100</v>
      </c>
      <c r="D971" s="9" t="s">
        <v>99</v>
      </c>
      <c r="E971" s="6" t="s">
        <v>1821</v>
      </c>
      <c r="F971" s="9" t="s">
        <v>2195</v>
      </c>
    </row>
    <row r="972" ht="33.75" customHeight="1">
      <c r="A972" s="7">
        <v>34.0</v>
      </c>
      <c r="B972" s="9" t="s">
        <v>2074</v>
      </c>
      <c r="C972" s="9" t="s">
        <v>100</v>
      </c>
      <c r="D972" s="9" t="s">
        <v>101</v>
      </c>
      <c r="E972" s="6" t="s">
        <v>1823</v>
      </c>
      <c r="F972" s="9" t="s">
        <v>2195</v>
      </c>
    </row>
    <row r="973" ht="33.75" customHeight="1">
      <c r="A973" s="7">
        <v>34.0</v>
      </c>
      <c r="B973" s="9" t="s">
        <v>2074</v>
      </c>
      <c r="C973" s="9" t="s">
        <v>100</v>
      </c>
      <c r="D973" s="9" t="s">
        <v>105</v>
      </c>
      <c r="E973" s="6" t="s">
        <v>1821</v>
      </c>
      <c r="F973" s="9" t="s">
        <v>2195</v>
      </c>
    </row>
    <row r="974" ht="33.75" customHeight="1">
      <c r="A974" s="7">
        <v>34.0</v>
      </c>
      <c r="B974" s="9" t="s">
        <v>2074</v>
      </c>
      <c r="C974" s="9" t="s">
        <v>100</v>
      </c>
      <c r="D974" s="9" t="s">
        <v>107</v>
      </c>
      <c r="E974" s="6" t="s">
        <v>1824</v>
      </c>
      <c r="F974" s="9" t="s">
        <v>2195</v>
      </c>
    </row>
    <row r="975" ht="33.75" customHeight="1">
      <c r="A975" s="7">
        <v>34.0</v>
      </c>
      <c r="B975" s="9" t="s">
        <v>2074</v>
      </c>
      <c r="C975" s="9" t="s">
        <v>100</v>
      </c>
      <c r="D975" s="9" t="s">
        <v>109</v>
      </c>
      <c r="E975" s="6" t="s">
        <v>1824</v>
      </c>
      <c r="F975" s="9" t="s">
        <v>2195</v>
      </c>
    </row>
    <row r="976" ht="33.75" customHeight="1">
      <c r="A976" s="7">
        <v>34.0</v>
      </c>
      <c r="B976" s="9" t="s">
        <v>2074</v>
      </c>
      <c r="C976" s="9" t="s">
        <v>100</v>
      </c>
      <c r="D976" s="9" t="s">
        <v>111</v>
      </c>
      <c r="E976" s="6" t="s">
        <v>1811</v>
      </c>
      <c r="F976" s="9" t="s">
        <v>2195</v>
      </c>
    </row>
    <row r="977" ht="33.75" customHeight="1">
      <c r="A977" s="7">
        <v>34.0</v>
      </c>
      <c r="B977" s="9" t="s">
        <v>2074</v>
      </c>
      <c r="C977" s="9" t="s">
        <v>100</v>
      </c>
      <c r="D977" s="9" t="s">
        <v>113</v>
      </c>
      <c r="E977" s="6" t="s">
        <v>1811</v>
      </c>
      <c r="F977" s="9" t="s">
        <v>2195</v>
      </c>
    </row>
    <row r="978" ht="33.75" customHeight="1">
      <c r="A978" s="7">
        <v>34.0</v>
      </c>
      <c r="B978" s="9" t="s">
        <v>2074</v>
      </c>
      <c r="C978" s="9" t="s">
        <v>100</v>
      </c>
      <c r="D978" s="9" t="s">
        <v>114</v>
      </c>
      <c r="E978" s="6" t="s">
        <v>1825</v>
      </c>
      <c r="F978" s="9" t="s">
        <v>2195</v>
      </c>
    </row>
    <row r="979" ht="33.75" customHeight="1">
      <c r="A979" s="7">
        <v>34.0</v>
      </c>
      <c r="B979" s="9" t="s">
        <v>2074</v>
      </c>
      <c r="C979" s="9" t="s">
        <v>100</v>
      </c>
      <c r="D979" s="9" t="s">
        <v>117</v>
      </c>
      <c r="E979" s="6" t="s">
        <v>1826</v>
      </c>
      <c r="F979" s="9" t="s">
        <v>2195</v>
      </c>
    </row>
    <row r="980" ht="33.75" customHeight="1">
      <c r="A980" s="7">
        <v>35.0</v>
      </c>
      <c r="B980" s="9" t="s">
        <v>2126</v>
      </c>
      <c r="C980" s="9" t="s">
        <v>104</v>
      </c>
      <c r="D980" s="9" t="s">
        <v>24</v>
      </c>
      <c r="E980" s="6" t="s">
        <v>1827</v>
      </c>
      <c r="F980" s="9" t="s">
        <v>2275</v>
      </c>
      <c r="G980" t="inlineStr" s="6">
        <is>
          <t xml:space="preserve">Clefairy's magical and cute appeal has many admirers. It is rare and found only in certain areas. Adored for their cute looks and playfulness. They are thought to be rare, as they do not appear often. The moonlight that it stores in the wings on its back apparently gives it the ability to float in midair. Its adorable behavior and cry make it highly popular. However, this cute POKéMON is rarely found. Though rarely seen, it becomes easier to spot, for some reason, on the night of a full moon. On every night of a full moon, groups of this POKéMON come out to play. When dawn arrives, the tired CLEFAIRY return to their quiet mountain retreats and go to sleep nestled up against each other. On every night of a full moon, they come out to play. When dawn arrives, the tired CLEFAIRY go to sleep nestled up against each other in deep and quiet mountains. Its adorable appearance makes it popular as a pet. However, it is rare and difficult to find. With its magical and cute appeal, it has many admirers. Thought to live with others on quiet mountains, it is popular for its adorable nature. It flies using the wings on its back to collect moonlight. This Pokémon is difficult to find. It is said that happiness will come to those who see a gathering of CLEFAIRY dancing under a full moon. On nights with a full moon, Clefairy gather from all over and dance. Bathing in moonlight makes them float. Its adorable behavior and appearance make it popular with men and women, young and old. Its numbers are few, however. On nights with a full moon, they gather together and dance. The surrounding area is enveloped in an abnormal magnetic field. They’re popular, but they’re rare. Trainers who show them off recklessly may be targeted by thieves. Bathed in moonlight, its wings glow faintly. Without even flapping, Clefairy rises into the air, where it dances around. It can be found in quiet mountain areas on a full moon's night. Its dancing and its tiny, faintly glowing wings confer upon it a lovely fairylike quality.</t>
        </is>
      </c>
    </row>
    <row r="981" ht="33.75" customHeight="1">
      <c r="A981" s="7">
        <v>35.0</v>
      </c>
      <c r="B981" s="9" t="s">
        <v>2126</v>
      </c>
      <c r="C981" s="9" t="s">
        <v>104</v>
      </c>
      <c r="D981" s="9" t="s">
        <v>35</v>
      </c>
      <c r="E981" s="6" t="s">
        <v>1827</v>
      </c>
      <c r="F981" s="9" t="s">
        <v>2275</v>
      </c>
    </row>
    <row r="982" ht="33.75" customHeight="1">
      <c r="A982" s="7">
        <v>35.0</v>
      </c>
      <c r="B982" s="9" t="s">
        <v>2126</v>
      </c>
      <c r="C982" s="9" t="s">
        <v>104</v>
      </c>
      <c r="D982" s="9" t="s">
        <v>42</v>
      </c>
      <c r="E982" s="6" t="s">
        <v>1828</v>
      </c>
      <c r="F982" s="9" t="s">
        <v>2275</v>
      </c>
    </row>
    <row r="983" ht="33.75" customHeight="1">
      <c r="A983" s="7">
        <v>35.0</v>
      </c>
      <c r="B983" s="9" t="s">
        <v>2126</v>
      </c>
      <c r="C983" s="9" t="s">
        <v>104</v>
      </c>
      <c r="D983" s="9" t="s">
        <v>52</v>
      </c>
      <c r="E983" s="6" t="s">
        <v>1829</v>
      </c>
      <c r="F983" s="9" t="s">
        <v>2275</v>
      </c>
    </row>
    <row r="984" ht="33.75" customHeight="1">
      <c r="A984" s="7">
        <v>35.0</v>
      </c>
      <c r="B984" s="9" t="s">
        <v>2126</v>
      </c>
      <c r="C984" s="9" t="s">
        <v>104</v>
      </c>
      <c r="D984" s="9" t="s">
        <v>59</v>
      </c>
      <c r="E984" s="6" t="s">
        <v>1830</v>
      </c>
      <c r="F984" s="9" t="s">
        <v>2275</v>
      </c>
    </row>
    <row r="985" ht="33.75" customHeight="1">
      <c r="A985" s="7">
        <v>35.0</v>
      </c>
      <c r="B985" s="9" t="s">
        <v>2126</v>
      </c>
      <c r="C985" s="9" t="s">
        <v>104</v>
      </c>
      <c r="D985" s="9" t="s">
        <v>64</v>
      </c>
      <c r="E985" s="6" t="s">
        <v>1832</v>
      </c>
      <c r="F985" s="9" t="s">
        <v>2275</v>
      </c>
    </row>
    <row r="986" ht="33.75" customHeight="1">
      <c r="A986" s="7">
        <v>35.0</v>
      </c>
      <c r="B986" s="9" t="s">
        <v>2126</v>
      </c>
      <c r="C986" s="9" t="s">
        <v>104</v>
      </c>
      <c r="D986" s="9" t="s">
        <v>67</v>
      </c>
      <c r="E986" s="6" t="s">
        <v>1833</v>
      </c>
      <c r="F986" s="9" t="s">
        <v>2275</v>
      </c>
    </row>
    <row r="987" ht="33.75" customHeight="1">
      <c r="A987" s="7">
        <v>35.0</v>
      </c>
      <c r="B987" s="9" t="s">
        <v>2126</v>
      </c>
      <c r="C987" s="9" t="s">
        <v>104</v>
      </c>
      <c r="D987" s="9" t="s">
        <v>71</v>
      </c>
      <c r="E987" s="6" t="s">
        <v>1833</v>
      </c>
      <c r="F987" s="9" t="s">
        <v>2275</v>
      </c>
    </row>
    <row r="988" ht="33.75" customHeight="1">
      <c r="A988" s="7">
        <v>35.0</v>
      </c>
      <c r="B988" s="9" t="s">
        <v>2126</v>
      </c>
      <c r="C988" s="9" t="s">
        <v>104</v>
      </c>
      <c r="D988" s="9" t="s">
        <v>73</v>
      </c>
      <c r="E988" s="6" t="s">
        <v>1834</v>
      </c>
      <c r="F988" s="9" t="s">
        <v>2275</v>
      </c>
    </row>
    <row r="989" ht="33.75" customHeight="1">
      <c r="A989" s="7">
        <v>35.0</v>
      </c>
      <c r="B989" s="9" t="s">
        <v>2126</v>
      </c>
      <c r="C989" s="9" t="s">
        <v>104</v>
      </c>
      <c r="D989" s="9" t="s">
        <v>75</v>
      </c>
      <c r="E989" s="6" t="s">
        <v>1835</v>
      </c>
      <c r="F989" s="9" t="s">
        <v>2275</v>
      </c>
    </row>
    <row r="990" ht="33.75" customHeight="1">
      <c r="A990" s="7">
        <v>35.0</v>
      </c>
      <c r="B990" s="9" t="s">
        <v>2126</v>
      </c>
      <c r="C990" s="9" t="s">
        <v>104</v>
      </c>
      <c r="D990" s="9" t="s">
        <v>79</v>
      </c>
      <c r="E990" s="6" t="s">
        <v>1837</v>
      </c>
      <c r="F990" s="9" t="s">
        <v>2275</v>
      </c>
    </row>
    <row r="991" ht="33.75" customHeight="1">
      <c r="A991" s="7">
        <v>35.0</v>
      </c>
      <c r="B991" s="9" t="s">
        <v>2126</v>
      </c>
      <c r="C991" s="9" t="s">
        <v>104</v>
      </c>
      <c r="D991" s="9" t="s">
        <v>81</v>
      </c>
      <c r="E991" s="6" t="s">
        <v>1838</v>
      </c>
      <c r="F991" s="9" t="s">
        <v>2275</v>
      </c>
    </row>
    <row r="992" ht="33.75" customHeight="1">
      <c r="A992" s="7">
        <v>35.0</v>
      </c>
      <c r="B992" s="9" t="s">
        <v>2126</v>
      </c>
      <c r="C992" s="9" t="s">
        <v>104</v>
      </c>
      <c r="D992" s="9" t="s">
        <v>84</v>
      </c>
      <c r="E992" s="6" t="s">
        <v>1840</v>
      </c>
      <c r="F992" s="9" t="s">
        <v>2275</v>
      </c>
    </row>
    <row r="993" ht="33.75" customHeight="1">
      <c r="A993" s="7">
        <v>35.0</v>
      </c>
      <c r="B993" s="9" t="s">
        <v>2126</v>
      </c>
      <c r="C993" s="9" t="s">
        <v>104</v>
      </c>
      <c r="D993" s="9" t="s">
        <v>87</v>
      </c>
      <c r="E993" s="6" t="s">
        <v>1841</v>
      </c>
      <c r="F993" s="9" t="s">
        <v>2275</v>
      </c>
    </row>
    <row r="994" ht="33.75" customHeight="1">
      <c r="A994" s="7">
        <v>35.0</v>
      </c>
      <c r="B994" s="9" t="s">
        <v>2126</v>
      </c>
      <c r="C994" s="9" t="s">
        <v>104</v>
      </c>
      <c r="D994" s="9" t="s">
        <v>89</v>
      </c>
      <c r="E994" s="6" t="s">
        <v>1829</v>
      </c>
      <c r="F994" s="9" t="s">
        <v>2275</v>
      </c>
    </row>
    <row r="995" ht="33.75" customHeight="1">
      <c r="A995" s="7">
        <v>35.0</v>
      </c>
      <c r="B995" s="9" t="s">
        <v>2126</v>
      </c>
      <c r="C995" s="9" t="s">
        <v>104</v>
      </c>
      <c r="D995" s="9" t="s">
        <v>91</v>
      </c>
      <c r="E995" s="6" t="s">
        <v>1844</v>
      </c>
      <c r="F995" s="9" t="s">
        <v>2275</v>
      </c>
    </row>
    <row r="996" ht="33.75" customHeight="1">
      <c r="A996" s="7">
        <v>35.0</v>
      </c>
      <c r="B996" s="9" t="s">
        <v>2126</v>
      </c>
      <c r="C996" s="9" t="s">
        <v>104</v>
      </c>
      <c r="D996" s="9" t="s">
        <v>93</v>
      </c>
      <c r="E996" s="6" t="s">
        <v>1846</v>
      </c>
      <c r="F996" s="9" t="s">
        <v>2275</v>
      </c>
    </row>
    <row r="997" ht="33.75" customHeight="1">
      <c r="A997" s="7">
        <v>35.0</v>
      </c>
      <c r="B997" s="9" t="s">
        <v>2126</v>
      </c>
      <c r="C997" s="9" t="s">
        <v>104</v>
      </c>
      <c r="D997" s="9" t="s">
        <v>95</v>
      </c>
      <c r="E997" s="6" t="s">
        <v>1846</v>
      </c>
      <c r="F997" s="9" t="s">
        <v>2275</v>
      </c>
    </row>
    <row r="998" ht="33.75" customHeight="1">
      <c r="A998" s="7">
        <v>35.0</v>
      </c>
      <c r="B998" s="9" t="s">
        <v>2126</v>
      </c>
      <c r="C998" s="9" t="s">
        <v>104</v>
      </c>
      <c r="D998" s="9" t="s">
        <v>98</v>
      </c>
      <c r="E998" s="6" t="s">
        <v>1847</v>
      </c>
      <c r="F998" s="9" t="s">
        <v>2275</v>
      </c>
    </row>
    <row r="999" ht="33.75" customHeight="1">
      <c r="A999" s="7">
        <v>35.0</v>
      </c>
      <c r="B999" s="9" t="s">
        <v>2126</v>
      </c>
      <c r="C999" s="9" t="s">
        <v>104</v>
      </c>
      <c r="D999" s="9" t="s">
        <v>99</v>
      </c>
      <c r="E999" s="6" t="s">
        <v>1847</v>
      </c>
      <c r="F999" s="9" t="s">
        <v>2275</v>
      </c>
    </row>
    <row r="1000" ht="33.75" customHeight="1">
      <c r="A1000" s="7">
        <v>35.0</v>
      </c>
      <c r="B1000" s="9" t="s">
        <v>2126</v>
      </c>
      <c r="C1000" s="9" t="s">
        <v>104</v>
      </c>
      <c r="D1000" s="9" t="s">
        <v>101</v>
      </c>
      <c r="E1000" s="6" t="s">
        <v>1846</v>
      </c>
      <c r="F1000" s="9" t="s">
        <v>2275</v>
      </c>
    </row>
    <row r="1001" ht="33.75" customHeight="1">
      <c r="A1001" s="7">
        <v>35.0</v>
      </c>
      <c r="B1001" s="9" t="s">
        <v>2126</v>
      </c>
      <c r="C1001" s="9" t="s">
        <v>104</v>
      </c>
      <c r="D1001" s="9" t="s">
        <v>105</v>
      </c>
      <c r="E1001" s="6" t="s">
        <v>1829</v>
      </c>
      <c r="F1001" s="9" t="s">
        <v>2275</v>
      </c>
    </row>
    <row r="1002" ht="33.75" customHeight="1">
      <c r="A1002" s="7">
        <v>35.0</v>
      </c>
      <c r="B1002" s="9" t="s">
        <v>2126</v>
      </c>
      <c r="C1002" s="9" t="s">
        <v>104</v>
      </c>
      <c r="D1002" s="9" t="s">
        <v>107</v>
      </c>
      <c r="E1002" s="6" t="s">
        <v>1850</v>
      </c>
      <c r="F1002" s="9" t="s">
        <v>2275</v>
      </c>
    </row>
    <row r="1003" ht="33.75" customHeight="1">
      <c r="A1003" s="7">
        <v>35.0</v>
      </c>
      <c r="B1003" s="9" t="s">
        <v>2126</v>
      </c>
      <c r="C1003" s="9" t="s">
        <v>104</v>
      </c>
      <c r="D1003" s="9" t="s">
        <v>109</v>
      </c>
      <c r="E1003" s="6" t="s">
        <v>1850</v>
      </c>
      <c r="F1003" s="9" t="s">
        <v>2275</v>
      </c>
    </row>
    <row r="1004" ht="33.75" customHeight="1">
      <c r="A1004" s="7">
        <v>35.0</v>
      </c>
      <c r="B1004" s="9" t="s">
        <v>2126</v>
      </c>
      <c r="C1004" s="9" t="s">
        <v>104</v>
      </c>
      <c r="D1004" s="9" t="s">
        <v>637</v>
      </c>
      <c r="E1004" s="6" t="s">
        <v>1852</v>
      </c>
      <c r="F1004" s="9" t="s">
        <v>2275</v>
      </c>
    </row>
    <row r="1005" ht="33.75" customHeight="1">
      <c r="A1005" s="7">
        <v>35.0</v>
      </c>
      <c r="B1005" s="9" t="s">
        <v>2126</v>
      </c>
      <c r="C1005" s="9" t="s">
        <v>104</v>
      </c>
      <c r="D1005" s="9" t="s">
        <v>642</v>
      </c>
      <c r="E1005" s="6" t="s">
        <v>1853</v>
      </c>
      <c r="F1005" s="9" t="s">
        <v>2275</v>
      </c>
    </row>
    <row r="1006" ht="33.75" customHeight="1">
      <c r="A1006" s="7">
        <v>35.0</v>
      </c>
      <c r="B1006" s="9" t="s">
        <v>2126</v>
      </c>
      <c r="C1006" s="9" t="s">
        <v>104</v>
      </c>
      <c r="D1006" s="9" t="s">
        <v>647</v>
      </c>
      <c r="E1006" s="6" t="s">
        <v>1854</v>
      </c>
      <c r="F1006" s="9" t="s">
        <v>2275</v>
      </c>
    </row>
    <row r="1007" ht="33.75" customHeight="1">
      <c r="A1007" s="7">
        <v>35.0</v>
      </c>
      <c r="B1007" s="9" t="s">
        <v>2126</v>
      </c>
      <c r="C1007" s="9" t="s">
        <v>104</v>
      </c>
      <c r="D1007" s="9" t="s">
        <v>652</v>
      </c>
      <c r="E1007" s="6" t="s">
        <v>1855</v>
      </c>
      <c r="F1007" s="9" t="s">
        <v>2275</v>
      </c>
    </row>
    <row r="1008" ht="33.75" customHeight="1">
      <c r="A1008" s="7">
        <v>35.0</v>
      </c>
      <c r="B1008" s="9" t="s">
        <v>2126</v>
      </c>
      <c r="C1008" s="9" t="s">
        <v>104</v>
      </c>
      <c r="D1008" s="9" t="s">
        <v>111</v>
      </c>
      <c r="E1008" s="6" t="s">
        <v>1828</v>
      </c>
      <c r="F1008" s="9" t="s">
        <v>2275</v>
      </c>
    </row>
    <row r="1009" ht="33.75" customHeight="1">
      <c r="A1009" s="7">
        <v>35.0</v>
      </c>
      <c r="B1009" s="9" t="s">
        <v>2126</v>
      </c>
      <c r="C1009" s="9" t="s">
        <v>104</v>
      </c>
      <c r="D1009" s="9" t="s">
        <v>113</v>
      </c>
      <c r="E1009" s="6" t="s">
        <v>1828</v>
      </c>
      <c r="F1009" s="9" t="s">
        <v>2275</v>
      </c>
    </row>
    <row r="1010" ht="33.75" customHeight="1">
      <c r="A1010" s="7">
        <v>35.0</v>
      </c>
      <c r="B1010" s="9" t="s">
        <v>2126</v>
      </c>
      <c r="C1010" s="9" t="s">
        <v>104</v>
      </c>
      <c r="D1010" s="9" t="s">
        <v>114</v>
      </c>
      <c r="E1010" s="6" t="s">
        <v>1846</v>
      </c>
      <c r="F1010" s="9" t="s">
        <v>2275</v>
      </c>
    </row>
    <row r="1011" ht="33.75" customHeight="1">
      <c r="A1011" s="7">
        <v>35.0</v>
      </c>
      <c r="B1011" s="9" t="s">
        <v>2126</v>
      </c>
      <c r="C1011" s="9" t="s">
        <v>104</v>
      </c>
      <c r="D1011" s="9" t="s">
        <v>117</v>
      </c>
      <c r="E1011" s="6" t="s">
        <v>1844</v>
      </c>
      <c r="F1011" s="9" t="s">
        <v>2275</v>
      </c>
    </row>
    <row r="1012" ht="33.75" customHeight="1">
      <c r="A1012" s="7">
        <v>35.0</v>
      </c>
      <c r="B1012" s="9" t="s">
        <v>2126</v>
      </c>
      <c r="C1012" s="9" t="s">
        <v>104</v>
      </c>
      <c r="D1012" s="9" t="s">
        <v>1577</v>
      </c>
      <c r="E1012" s="6" t="s">
        <v>1857</v>
      </c>
      <c r="F1012" s="9" t="s">
        <v>2275</v>
      </c>
    </row>
    <row r="1013" ht="33.75" customHeight="1">
      <c r="A1013" s="7">
        <v>36.0</v>
      </c>
      <c r="B1013" s="9" t="s">
        <v>2186</v>
      </c>
      <c r="C1013" s="9" t="s">
        <v>104</v>
      </c>
      <c r="D1013" s="9" t="s">
        <v>24</v>
      </c>
      <c r="E1013" s="6" t="s">
        <v>1858</v>
      </c>
      <c r="F1013" s="9" t="s">
        <v>2337</v>
      </c>
      <c r="G1013" t="inlineStr" s="6">
        <is>
          <t xml:space="preserve">A timid fairy POKéMON that is rarely seen. It will run and hide the moment it senses people. They appear to be very protective of their own world. It is a kind of fairy, rarely seen by people. With its acute hearing, it can pick up sounds from far away. It usually hides in quiet places. Its very sensitive ears lets it distinguish distant sounds. As a result, it prefers quiet places. Said to live in quiet, remote mountains, this type of fairy has a strong aversion to being seen. CLEFABLE moves by skipping lightly as if it were flying using its wings. Its bouncy step lets it even walk on water. It is known to take strolls on lakes on quiet, moonlit nights. A CLEFABLE uses its wings to skip lightly as if it were flying. On quiet, moonlit nights, it strolls on lakes. It has an acute sense of hearing. It can easily hear a pin being dropped nearly 1,100 yards away. A timid fairy POKéMON that is rarely seen, it will run and hide the moment it senses people. Rarely seen by people, it is said to be drawn by the full moon to play at deserted lakes. Its hearing is so acute it can hear a pin drop over half a mile away. It lives on quiet mountains. It is very wary and rarely shows itself to people. Its ears can hear a pin drop over half a mile away. Its very sensitive ears let it distinguish distant sounds. Their ears are sensitive enough to hear a pin drop from over a mile away, so they’re usually found in quiet places. They don’t like to reveal themselves in front of people. They live quietly in packs deep in the mountains. According to tradition, people who see a pair of Clefable skipping by can look forward to a happy marriage. It can’t help but hear a pin drop from over half a mile away, so it lives deep in the mountains where there aren’t many people or Pokémon. Some scientists believe that it gazes intently at the sky on nights with a full moon because it’s homesick. Legend says that on clear, quiet nights, it listens for the voices of its kin living on the moon. I, too, often think of my homeland, so far away.</t>
        </is>
      </c>
    </row>
    <row r="1014" ht="33.75" customHeight="1">
      <c r="A1014" s="7">
        <v>36.0</v>
      </c>
      <c r="B1014" s="9" t="s">
        <v>2186</v>
      </c>
      <c r="C1014" s="9" t="s">
        <v>104</v>
      </c>
      <c r="D1014" s="9" t="s">
        <v>35</v>
      </c>
      <c r="E1014" s="6" t="s">
        <v>1858</v>
      </c>
      <c r="F1014" s="9" t="s">
        <v>2337</v>
      </c>
    </row>
    <row r="1015" ht="33.75" customHeight="1">
      <c r="A1015" s="7">
        <v>36.0</v>
      </c>
      <c r="B1015" s="9" t="s">
        <v>2186</v>
      </c>
      <c r="C1015" s="9" t="s">
        <v>104</v>
      </c>
      <c r="D1015" s="9" t="s">
        <v>42</v>
      </c>
      <c r="E1015" s="6" t="s">
        <v>1860</v>
      </c>
      <c r="F1015" s="9" t="s">
        <v>2337</v>
      </c>
    </row>
    <row r="1016" ht="33.75" customHeight="1">
      <c r="A1016" s="7">
        <v>36.0</v>
      </c>
      <c r="B1016" s="9" t="s">
        <v>2186</v>
      </c>
      <c r="C1016" s="9" t="s">
        <v>104</v>
      </c>
      <c r="D1016" s="9" t="s">
        <v>52</v>
      </c>
      <c r="E1016" s="6" t="s">
        <v>1861</v>
      </c>
      <c r="F1016" s="9" t="s">
        <v>2337</v>
      </c>
    </row>
    <row r="1017" ht="33.75" customHeight="1">
      <c r="A1017" s="7">
        <v>36.0</v>
      </c>
      <c r="B1017" s="9" t="s">
        <v>2186</v>
      </c>
      <c r="C1017" s="9" t="s">
        <v>104</v>
      </c>
      <c r="D1017" s="9" t="s">
        <v>59</v>
      </c>
      <c r="E1017" s="6" t="s">
        <v>1862</v>
      </c>
      <c r="F1017" s="9" t="s">
        <v>2337</v>
      </c>
    </row>
    <row r="1018" ht="33.75" customHeight="1">
      <c r="A1018" s="7">
        <v>36.0</v>
      </c>
      <c r="B1018" s="9" t="s">
        <v>2186</v>
      </c>
      <c r="C1018" s="9" t="s">
        <v>104</v>
      </c>
      <c r="D1018" s="9" t="s">
        <v>64</v>
      </c>
      <c r="E1018" s="6" t="s">
        <v>1864</v>
      </c>
      <c r="F1018" s="9" t="s">
        <v>2337</v>
      </c>
    </row>
    <row r="1019" ht="33.75" customHeight="1">
      <c r="A1019" s="7">
        <v>36.0</v>
      </c>
      <c r="B1019" s="9" t="s">
        <v>2186</v>
      </c>
      <c r="C1019" s="9" t="s">
        <v>104</v>
      </c>
      <c r="D1019" s="9" t="s">
        <v>67</v>
      </c>
      <c r="E1019" s="6" t="s">
        <v>1865</v>
      </c>
      <c r="F1019" s="9" t="s">
        <v>2337</v>
      </c>
    </row>
    <row r="1020" ht="33.75" customHeight="1">
      <c r="A1020" s="7">
        <v>36.0</v>
      </c>
      <c r="B1020" s="9" t="s">
        <v>2186</v>
      </c>
      <c r="C1020" s="9" t="s">
        <v>104</v>
      </c>
      <c r="D1020" s="9" t="s">
        <v>71</v>
      </c>
      <c r="E1020" s="6" t="s">
        <v>1865</v>
      </c>
      <c r="F1020" s="9" t="s">
        <v>2337</v>
      </c>
    </row>
    <row r="1021" ht="33.75" customHeight="1">
      <c r="A1021" s="7">
        <v>36.0</v>
      </c>
      <c r="B1021" s="9" t="s">
        <v>2186</v>
      </c>
      <c r="C1021" s="9" t="s">
        <v>104</v>
      </c>
      <c r="D1021" s="9" t="s">
        <v>73</v>
      </c>
      <c r="E1021" s="6" t="s">
        <v>1867</v>
      </c>
      <c r="F1021" s="9" t="s">
        <v>2337</v>
      </c>
    </row>
    <row r="1022" ht="33.75" customHeight="1">
      <c r="A1022" s="7">
        <v>36.0</v>
      </c>
      <c r="B1022" s="9" t="s">
        <v>2186</v>
      </c>
      <c r="C1022" s="9" t="s">
        <v>104</v>
      </c>
      <c r="D1022" s="9" t="s">
        <v>75</v>
      </c>
      <c r="E1022" s="6" t="s">
        <v>1869</v>
      </c>
      <c r="F1022" s="9" t="s">
        <v>2337</v>
      </c>
    </row>
    <row r="1023" ht="33.75" customHeight="1">
      <c r="A1023" s="7">
        <v>36.0</v>
      </c>
      <c r="B1023" s="9" t="s">
        <v>2186</v>
      </c>
      <c r="C1023" s="9" t="s">
        <v>104</v>
      </c>
      <c r="D1023" s="9" t="s">
        <v>79</v>
      </c>
      <c r="E1023" s="6" t="s">
        <v>1870</v>
      </c>
      <c r="F1023" s="9" t="s">
        <v>2337</v>
      </c>
    </row>
    <row r="1024" ht="33.75" customHeight="1">
      <c r="A1024" s="7">
        <v>36.0</v>
      </c>
      <c r="B1024" s="9" t="s">
        <v>2186</v>
      </c>
      <c r="C1024" s="9" t="s">
        <v>104</v>
      </c>
      <c r="D1024" s="9" t="s">
        <v>81</v>
      </c>
      <c r="E1024" s="6" t="s">
        <v>1871</v>
      </c>
      <c r="F1024" s="9" t="s">
        <v>2337</v>
      </c>
    </row>
    <row r="1025" ht="33.75" customHeight="1">
      <c r="A1025" s="7">
        <v>36.0</v>
      </c>
      <c r="B1025" s="9" t="s">
        <v>2186</v>
      </c>
      <c r="C1025" s="9" t="s">
        <v>104</v>
      </c>
      <c r="D1025" s="9" t="s">
        <v>84</v>
      </c>
      <c r="E1025" s="6" t="s">
        <v>1873</v>
      </c>
      <c r="F1025" s="9" t="s">
        <v>2337</v>
      </c>
    </row>
    <row r="1026" ht="33.75" customHeight="1">
      <c r="A1026" s="7">
        <v>36.0</v>
      </c>
      <c r="B1026" s="9" t="s">
        <v>2186</v>
      </c>
      <c r="C1026" s="9" t="s">
        <v>104</v>
      </c>
      <c r="D1026" s="9" t="s">
        <v>87</v>
      </c>
      <c r="E1026" s="6" t="s">
        <v>1874</v>
      </c>
      <c r="F1026" s="9" t="s">
        <v>2337</v>
      </c>
    </row>
    <row r="1027" ht="33.75" customHeight="1">
      <c r="A1027" s="7">
        <v>36.0</v>
      </c>
      <c r="B1027" s="9" t="s">
        <v>2186</v>
      </c>
      <c r="C1027" s="9" t="s">
        <v>104</v>
      </c>
      <c r="D1027" s="9" t="s">
        <v>89</v>
      </c>
      <c r="E1027" s="6" t="s">
        <v>1861</v>
      </c>
      <c r="F1027" s="9" t="s">
        <v>2337</v>
      </c>
    </row>
    <row r="1028" ht="33.75" customHeight="1">
      <c r="A1028" s="7">
        <v>36.0</v>
      </c>
      <c r="B1028" s="9" t="s">
        <v>2186</v>
      </c>
      <c r="C1028" s="9" t="s">
        <v>104</v>
      </c>
      <c r="D1028" s="9" t="s">
        <v>91</v>
      </c>
      <c r="E1028" s="6" t="s">
        <v>1876</v>
      </c>
      <c r="F1028" s="9" t="s">
        <v>2337</v>
      </c>
    </row>
    <row r="1029" ht="33.75" customHeight="1">
      <c r="A1029" s="7">
        <v>36.0</v>
      </c>
      <c r="B1029" s="9" t="s">
        <v>2186</v>
      </c>
      <c r="C1029" s="9" t="s">
        <v>104</v>
      </c>
      <c r="D1029" s="9" t="s">
        <v>93</v>
      </c>
      <c r="E1029" s="6" t="s">
        <v>1874</v>
      </c>
      <c r="F1029" s="9" t="s">
        <v>2337</v>
      </c>
    </row>
    <row r="1030" ht="33.75" customHeight="1">
      <c r="A1030" s="7">
        <v>36.0</v>
      </c>
      <c r="B1030" s="9" t="s">
        <v>2186</v>
      </c>
      <c r="C1030" s="9" t="s">
        <v>104</v>
      </c>
      <c r="D1030" s="9" t="s">
        <v>95</v>
      </c>
      <c r="E1030" s="6" t="s">
        <v>1874</v>
      </c>
      <c r="F1030" s="9" t="s">
        <v>2337</v>
      </c>
    </row>
    <row r="1031" ht="33.75" customHeight="1">
      <c r="A1031" s="7">
        <v>36.0</v>
      </c>
      <c r="B1031" s="9" t="s">
        <v>2186</v>
      </c>
      <c r="C1031" s="9" t="s">
        <v>104</v>
      </c>
      <c r="D1031" s="9" t="s">
        <v>98</v>
      </c>
      <c r="E1031" s="6" t="s">
        <v>1878</v>
      </c>
      <c r="F1031" s="9" t="s">
        <v>2337</v>
      </c>
    </row>
    <row r="1032" ht="33.75" customHeight="1">
      <c r="A1032" s="7">
        <v>36.0</v>
      </c>
      <c r="B1032" s="9" t="s">
        <v>2186</v>
      </c>
      <c r="C1032" s="9" t="s">
        <v>104</v>
      </c>
      <c r="D1032" s="9" t="s">
        <v>99</v>
      </c>
      <c r="E1032" s="6" t="s">
        <v>1878</v>
      </c>
      <c r="F1032" s="9" t="s">
        <v>2337</v>
      </c>
    </row>
    <row r="1033" ht="33.75" customHeight="1">
      <c r="A1033" s="7">
        <v>36.0</v>
      </c>
      <c r="B1033" s="9" t="s">
        <v>2186</v>
      </c>
      <c r="C1033" s="9" t="s">
        <v>104</v>
      </c>
      <c r="D1033" s="9" t="s">
        <v>101</v>
      </c>
      <c r="E1033" s="6" t="s">
        <v>1873</v>
      </c>
      <c r="F1033" s="9" t="s">
        <v>2337</v>
      </c>
    </row>
    <row r="1034" ht="33.75" customHeight="1">
      <c r="A1034" s="7">
        <v>36.0</v>
      </c>
      <c r="B1034" s="9" t="s">
        <v>2186</v>
      </c>
      <c r="C1034" s="9" t="s">
        <v>104</v>
      </c>
      <c r="D1034" s="9" t="s">
        <v>105</v>
      </c>
      <c r="E1034" s="6" t="s">
        <v>1879</v>
      </c>
      <c r="F1034" s="9" t="s">
        <v>2337</v>
      </c>
    </row>
    <row r="1035" ht="33.75" customHeight="1">
      <c r="A1035" s="7">
        <v>36.0</v>
      </c>
      <c r="B1035" s="9" t="s">
        <v>2186</v>
      </c>
      <c r="C1035" s="9" t="s">
        <v>104</v>
      </c>
      <c r="D1035" s="9" t="s">
        <v>107</v>
      </c>
      <c r="E1035" s="6" t="s">
        <v>1881</v>
      </c>
      <c r="F1035" s="9" t="s">
        <v>2337</v>
      </c>
    </row>
    <row r="1036" ht="33.75" customHeight="1">
      <c r="A1036" s="7">
        <v>36.0</v>
      </c>
      <c r="B1036" s="9" t="s">
        <v>2186</v>
      </c>
      <c r="C1036" s="9" t="s">
        <v>104</v>
      </c>
      <c r="D1036" s="9" t="s">
        <v>109</v>
      </c>
      <c r="E1036" s="6" t="s">
        <v>1881</v>
      </c>
      <c r="F1036" s="9" t="s">
        <v>2337</v>
      </c>
    </row>
    <row r="1037" ht="33.75" customHeight="1">
      <c r="A1037" s="7">
        <v>36.0</v>
      </c>
      <c r="B1037" s="9" t="s">
        <v>2186</v>
      </c>
      <c r="C1037" s="9" t="s">
        <v>104</v>
      </c>
      <c r="D1037" s="9" t="s">
        <v>637</v>
      </c>
      <c r="E1037" s="6" t="s">
        <v>1882</v>
      </c>
      <c r="F1037" s="9" t="s">
        <v>2337</v>
      </c>
    </row>
    <row r="1038" ht="33.75" customHeight="1">
      <c r="A1038" s="7">
        <v>36.0</v>
      </c>
      <c r="B1038" s="9" t="s">
        <v>2186</v>
      </c>
      <c r="C1038" s="9" t="s">
        <v>104</v>
      </c>
      <c r="D1038" s="9" t="s">
        <v>642</v>
      </c>
      <c r="E1038" s="6" t="s">
        <v>1883</v>
      </c>
      <c r="F1038" s="9" t="s">
        <v>2337</v>
      </c>
    </row>
    <row r="1039" ht="33.75" customHeight="1">
      <c r="A1039" s="7">
        <v>36.0</v>
      </c>
      <c r="B1039" s="9" t="s">
        <v>2186</v>
      </c>
      <c r="C1039" s="9" t="s">
        <v>104</v>
      </c>
      <c r="D1039" s="9" t="s">
        <v>647</v>
      </c>
      <c r="E1039" s="6" t="s">
        <v>1884</v>
      </c>
      <c r="F1039" s="9" t="s">
        <v>2337</v>
      </c>
    </row>
    <row r="1040" ht="33.75" customHeight="1">
      <c r="A1040" s="7">
        <v>36.0</v>
      </c>
      <c r="B1040" s="9" t="s">
        <v>2186</v>
      </c>
      <c r="C1040" s="9" t="s">
        <v>104</v>
      </c>
      <c r="D1040" s="9" t="s">
        <v>652</v>
      </c>
      <c r="E1040" s="6" t="s">
        <v>1886</v>
      </c>
      <c r="F1040" s="9" t="s">
        <v>2337</v>
      </c>
    </row>
    <row r="1041" ht="33.75" customHeight="1">
      <c r="A1041" s="7">
        <v>36.0</v>
      </c>
      <c r="B1041" s="9" t="s">
        <v>2186</v>
      </c>
      <c r="C1041" s="9" t="s">
        <v>104</v>
      </c>
      <c r="D1041" s="9" t="s">
        <v>111</v>
      </c>
      <c r="E1041" s="6" t="s">
        <v>1860</v>
      </c>
      <c r="F1041" s="9" t="s">
        <v>2337</v>
      </c>
    </row>
    <row r="1042" ht="33.75" customHeight="1">
      <c r="A1042" s="7">
        <v>36.0</v>
      </c>
      <c r="B1042" s="9" t="s">
        <v>2186</v>
      </c>
      <c r="C1042" s="9" t="s">
        <v>104</v>
      </c>
      <c r="D1042" s="9" t="s">
        <v>113</v>
      </c>
      <c r="E1042" s="6" t="s">
        <v>1860</v>
      </c>
      <c r="F1042" s="9" t="s">
        <v>2337</v>
      </c>
    </row>
    <row r="1043" ht="33.75" customHeight="1">
      <c r="A1043" s="7">
        <v>36.0</v>
      </c>
      <c r="B1043" s="9" t="s">
        <v>2186</v>
      </c>
      <c r="C1043" s="9" t="s">
        <v>104</v>
      </c>
      <c r="D1043" s="9" t="s">
        <v>114</v>
      </c>
      <c r="E1043" s="6" t="s">
        <v>1879</v>
      </c>
      <c r="F1043" s="9" t="s">
        <v>2337</v>
      </c>
    </row>
    <row r="1044" ht="33.75" customHeight="1">
      <c r="A1044" s="7">
        <v>36.0</v>
      </c>
      <c r="B1044" s="9" t="s">
        <v>2186</v>
      </c>
      <c r="C1044" s="9" t="s">
        <v>104</v>
      </c>
      <c r="D1044" s="9" t="s">
        <v>117</v>
      </c>
      <c r="E1044" s="6" t="s">
        <v>1878</v>
      </c>
      <c r="F1044" s="9" t="s">
        <v>2337</v>
      </c>
    </row>
    <row r="1045" ht="33.75" customHeight="1">
      <c r="A1045" s="7">
        <v>36.0</v>
      </c>
      <c r="B1045" s="9" t="s">
        <v>2186</v>
      </c>
      <c r="C1045" s="9" t="s">
        <v>104</v>
      </c>
      <c r="D1045" s="9" t="s">
        <v>1577</v>
      </c>
      <c r="E1045" s="6" t="s">
        <v>1887</v>
      </c>
      <c r="F1045" s="9" t="s">
        <v>2337</v>
      </c>
    </row>
    <row r="1046" ht="33.75" customHeight="1">
      <c r="A1046" s="7">
        <v>37.0</v>
      </c>
      <c r="B1046" s="9" t="s">
        <v>2245</v>
      </c>
      <c r="C1046" s="9" t="s">
        <v>106</v>
      </c>
      <c r="D1046" s="9" t="s">
        <v>24</v>
      </c>
      <c r="E1046" s="6" t="s">
        <v>1888</v>
      </c>
      <c r="F1046" s="9" t="s">
        <v>2424</v>
      </c>
      <c r="G1046" t="inlineStr" s="6">
        <is>
          <t xml:space="preserve">At the time of birth, Vulpix has just one tail. The tail splits from its tip as it grows older. Both its fur and its tails are beautiful. As it grows, the tails split and form more tails. As it develops, its single white tail gains color and splits into six. It is quite warm and cuddly. If it is attacked by an enemy that is stronger than itself, it feigns injury to fool the enemy and escapes. As its body grows larger, its six warm tails become more beautiful, with a more luxurious coat of fur. At the time of its birth, VULPIX has one white tail. The tail separates into six if this POKéMON receives plenty of love from its TRAINER. The six tails become magnificently curled. Inside VULPIX’s body burns a flame that never goes out. During the daytime, when the temperatures rise, this POKéMON releases flames from its mouth to prevent its body from growing too hot. It can freely control fire, making fiery orbs fly like will-o’-the-wisps. Just before evolution, its six tails grow hot as if on fire. While young, it has six gorgeous tails. When it grows, several new tails are sprouted. When it is born, it has just one snow- white tail. It controls balls of fire. As it grows, its six tails split from their tips to make more tails. As each tail grows, its fur becomes more lustrous. When held, it feels slightly warm. When it is born, it has just one snow-white tail. Its beautiful fur and tails have made it very popular. As it grows, its tails split to form more tails. From its mouth spew flames that seem to resemble the spirits of the deceased. Some people mistakenly think this fire is a ghost. Its beautiful tails have made it very popular. However, if it’s not brushed diligently, it will be a mass of tangles before you know it. It manipulates balls of fire to catch its prey. If you raise one from when it’s young, it will grow close to you like a puppy Pokémon. In its belly burns a fire, which Vulpix spits out in the form of fireballs. When young, this Pokémon has but one white tail. As the Pokémon matures, this single tail splits into six.</t>
        </is>
      </c>
    </row>
    <row r="1047" ht="33.75" customHeight="1">
      <c r="A1047" s="7">
        <v>37.0</v>
      </c>
      <c r="B1047" s="9" t="s">
        <v>2245</v>
      </c>
      <c r="C1047" s="9" t="s">
        <v>106</v>
      </c>
      <c r="D1047" s="9" t="s">
        <v>35</v>
      </c>
      <c r="E1047" s="6" t="s">
        <v>1888</v>
      </c>
      <c r="F1047" s="9" t="s">
        <v>2424</v>
      </c>
    </row>
    <row r="1048" ht="33.75" customHeight="1">
      <c r="A1048" s="7">
        <v>37.0</v>
      </c>
      <c r="B1048" s="9" t="s">
        <v>2245</v>
      </c>
      <c r="C1048" s="9" t="s">
        <v>106</v>
      </c>
      <c r="D1048" s="9" t="s">
        <v>42</v>
      </c>
      <c r="E1048" s="6" t="s">
        <v>1889</v>
      </c>
      <c r="F1048" s="9" t="s">
        <v>2424</v>
      </c>
    </row>
    <row r="1049" ht="33.75" customHeight="1">
      <c r="A1049" s="7">
        <v>37.0</v>
      </c>
      <c r="B1049" s="9" t="s">
        <v>2245</v>
      </c>
      <c r="C1049" s="9" t="s">
        <v>106</v>
      </c>
      <c r="D1049" s="9" t="s">
        <v>52</v>
      </c>
      <c r="E1049" s="6" t="s">
        <v>1891</v>
      </c>
      <c r="F1049" s="9" t="s">
        <v>2424</v>
      </c>
    </row>
    <row r="1050" ht="33.75" customHeight="1">
      <c r="A1050" s="7">
        <v>37.0</v>
      </c>
      <c r="B1050" s="9" t="s">
        <v>2245</v>
      </c>
      <c r="C1050" s="9" t="s">
        <v>106</v>
      </c>
      <c r="D1050" s="9" t="s">
        <v>59</v>
      </c>
      <c r="E1050" s="6" t="s">
        <v>1892</v>
      </c>
      <c r="F1050" s="9" t="s">
        <v>2424</v>
      </c>
    </row>
    <row r="1051" ht="33.75" customHeight="1">
      <c r="A1051" s="7">
        <v>37.0</v>
      </c>
      <c r="B1051" s="9" t="s">
        <v>2245</v>
      </c>
      <c r="C1051" s="9" t="s">
        <v>106</v>
      </c>
      <c r="D1051" s="9" t="s">
        <v>64</v>
      </c>
      <c r="E1051" s="6" t="s">
        <v>1893</v>
      </c>
      <c r="F1051" s="9" t="s">
        <v>2424</v>
      </c>
    </row>
    <row r="1052" ht="33.75" customHeight="1">
      <c r="A1052" s="7">
        <v>37.0</v>
      </c>
      <c r="B1052" s="9" t="s">
        <v>2245</v>
      </c>
      <c r="C1052" s="9" t="s">
        <v>106</v>
      </c>
      <c r="D1052" s="9" t="s">
        <v>67</v>
      </c>
      <c r="E1052" s="6" t="s">
        <v>1894</v>
      </c>
      <c r="F1052" s="9" t="s">
        <v>2424</v>
      </c>
    </row>
    <row r="1053" ht="33.75" customHeight="1">
      <c r="A1053" s="7">
        <v>37.0</v>
      </c>
      <c r="B1053" s="9" t="s">
        <v>2245</v>
      </c>
      <c r="C1053" s="9" t="s">
        <v>106</v>
      </c>
      <c r="D1053" s="9" t="s">
        <v>71</v>
      </c>
      <c r="E1053" s="6" t="s">
        <v>1895</v>
      </c>
      <c r="F1053" s="9" t="s">
        <v>2424</v>
      </c>
    </row>
    <row r="1054" ht="33.75" customHeight="1">
      <c r="A1054" s="7">
        <v>37.0</v>
      </c>
      <c r="B1054" s="9" t="s">
        <v>2245</v>
      </c>
      <c r="C1054" s="9" t="s">
        <v>106</v>
      </c>
      <c r="D1054" s="9" t="s">
        <v>73</v>
      </c>
      <c r="E1054" s="6" t="s">
        <v>1896</v>
      </c>
      <c r="F1054" s="9" t="s">
        <v>2424</v>
      </c>
    </row>
    <row r="1055" ht="33.75" customHeight="1">
      <c r="A1055" s="7">
        <v>37.0</v>
      </c>
      <c r="B1055" s="9" t="s">
        <v>2245</v>
      </c>
      <c r="C1055" s="9" t="s">
        <v>106</v>
      </c>
      <c r="D1055" s="9" t="s">
        <v>75</v>
      </c>
      <c r="E1055" s="6" t="s">
        <v>1897</v>
      </c>
      <c r="F1055" s="9" t="s">
        <v>2424</v>
      </c>
    </row>
    <row r="1056" ht="33.75" customHeight="1">
      <c r="A1056" s="7">
        <v>37.0</v>
      </c>
      <c r="B1056" s="9" t="s">
        <v>2245</v>
      </c>
      <c r="C1056" s="9" t="s">
        <v>106</v>
      </c>
      <c r="D1056" s="9" t="s">
        <v>79</v>
      </c>
      <c r="E1056" s="6" t="s">
        <v>1898</v>
      </c>
      <c r="F1056" s="9" t="s">
        <v>2424</v>
      </c>
    </row>
    <row r="1057" ht="33.75" customHeight="1">
      <c r="A1057" s="7">
        <v>37.0</v>
      </c>
      <c r="B1057" s="9" t="s">
        <v>2245</v>
      </c>
      <c r="C1057" s="9" t="s">
        <v>106</v>
      </c>
      <c r="D1057" s="9" t="s">
        <v>81</v>
      </c>
      <c r="E1057" s="6" t="s">
        <v>1899</v>
      </c>
      <c r="F1057" s="9" t="s">
        <v>2424</v>
      </c>
    </row>
    <row r="1058" ht="33.75" customHeight="1">
      <c r="A1058" s="7">
        <v>37.0</v>
      </c>
      <c r="B1058" s="9" t="s">
        <v>2245</v>
      </c>
      <c r="C1058" s="9" t="s">
        <v>106</v>
      </c>
      <c r="D1058" s="9" t="s">
        <v>84</v>
      </c>
      <c r="E1058" s="6" t="s">
        <v>1899</v>
      </c>
      <c r="F1058" s="9" t="s">
        <v>2424</v>
      </c>
    </row>
    <row r="1059" ht="33.75" customHeight="1">
      <c r="A1059" s="7">
        <v>37.0</v>
      </c>
      <c r="B1059" s="9" t="s">
        <v>2245</v>
      </c>
      <c r="C1059" s="9" t="s">
        <v>106</v>
      </c>
      <c r="D1059" s="9" t="s">
        <v>87</v>
      </c>
      <c r="E1059" s="6" t="s">
        <v>1899</v>
      </c>
      <c r="F1059" s="9" t="s">
        <v>2424</v>
      </c>
    </row>
    <row r="1060" ht="33.75" customHeight="1">
      <c r="A1060" s="7">
        <v>37.0</v>
      </c>
      <c r="B1060" s="9" t="s">
        <v>2245</v>
      </c>
      <c r="C1060" s="9" t="s">
        <v>106</v>
      </c>
      <c r="D1060" s="9" t="s">
        <v>89</v>
      </c>
      <c r="E1060" s="6" t="s">
        <v>1891</v>
      </c>
      <c r="F1060" s="9" t="s">
        <v>2424</v>
      </c>
    </row>
    <row r="1061" ht="33.75" customHeight="1">
      <c r="A1061" s="7">
        <v>37.0</v>
      </c>
      <c r="B1061" s="9" t="s">
        <v>2245</v>
      </c>
      <c r="C1061" s="9" t="s">
        <v>106</v>
      </c>
      <c r="D1061" s="9" t="s">
        <v>91</v>
      </c>
      <c r="E1061" s="6" t="s">
        <v>1892</v>
      </c>
      <c r="F1061" s="9" t="s">
        <v>2424</v>
      </c>
    </row>
    <row r="1062" ht="33.75" customHeight="1">
      <c r="A1062" s="7">
        <v>37.0</v>
      </c>
      <c r="B1062" s="9" t="s">
        <v>2245</v>
      </c>
      <c r="C1062" s="9" t="s">
        <v>106</v>
      </c>
      <c r="D1062" s="9" t="s">
        <v>93</v>
      </c>
      <c r="E1062" s="6" t="s">
        <v>1899</v>
      </c>
      <c r="F1062" s="9" t="s">
        <v>2424</v>
      </c>
    </row>
    <row r="1063" ht="33.75" customHeight="1">
      <c r="A1063" s="7">
        <v>37.0</v>
      </c>
      <c r="B1063" s="9" t="s">
        <v>2245</v>
      </c>
      <c r="C1063" s="9" t="s">
        <v>106</v>
      </c>
      <c r="D1063" s="9" t="s">
        <v>95</v>
      </c>
      <c r="E1063" s="6" t="s">
        <v>1899</v>
      </c>
      <c r="F1063" s="9" t="s">
        <v>2424</v>
      </c>
    </row>
    <row r="1064" ht="33.75" customHeight="1">
      <c r="A1064" s="7">
        <v>37.0</v>
      </c>
      <c r="B1064" s="9" t="s">
        <v>2245</v>
      </c>
      <c r="C1064" s="9" t="s">
        <v>106</v>
      </c>
      <c r="D1064" s="9" t="s">
        <v>98</v>
      </c>
      <c r="E1064" s="6" t="s">
        <v>1900</v>
      </c>
      <c r="F1064" s="9" t="s">
        <v>2424</v>
      </c>
    </row>
    <row r="1065" ht="33.75" customHeight="1">
      <c r="A1065" s="7">
        <v>37.0</v>
      </c>
      <c r="B1065" s="9" t="s">
        <v>2245</v>
      </c>
      <c r="C1065" s="9" t="s">
        <v>106</v>
      </c>
      <c r="D1065" s="9" t="s">
        <v>99</v>
      </c>
      <c r="E1065" s="6" t="s">
        <v>1900</v>
      </c>
      <c r="F1065" s="9" t="s">
        <v>2424</v>
      </c>
    </row>
    <row r="1066" ht="33.75" customHeight="1">
      <c r="A1066" s="7">
        <v>37.0</v>
      </c>
      <c r="B1066" s="9" t="s">
        <v>2245</v>
      </c>
      <c r="C1066" s="9" t="s">
        <v>106</v>
      </c>
      <c r="D1066" s="9" t="s">
        <v>101</v>
      </c>
      <c r="E1066" s="6" t="s">
        <v>1901</v>
      </c>
      <c r="F1066" s="9" t="s">
        <v>2424</v>
      </c>
    </row>
    <row r="1067" ht="33.75" customHeight="1">
      <c r="A1067" s="7">
        <v>37.0</v>
      </c>
      <c r="B1067" s="9" t="s">
        <v>2245</v>
      </c>
      <c r="C1067" s="9" t="s">
        <v>106</v>
      </c>
      <c r="D1067" s="9" t="s">
        <v>105</v>
      </c>
      <c r="E1067" s="6" t="s">
        <v>1897</v>
      </c>
      <c r="F1067" s="9" t="s">
        <v>2424</v>
      </c>
    </row>
    <row r="1068" ht="33.75" customHeight="1">
      <c r="A1068" s="7">
        <v>37.0</v>
      </c>
      <c r="B1068" s="9" t="s">
        <v>2245</v>
      </c>
      <c r="C1068" s="9" t="s">
        <v>106</v>
      </c>
      <c r="D1068" s="9" t="s">
        <v>107</v>
      </c>
      <c r="E1068" s="6" t="s">
        <v>1902</v>
      </c>
      <c r="F1068" s="9" t="s">
        <v>2424</v>
      </c>
    </row>
    <row r="1069" ht="33.75" customHeight="1">
      <c r="A1069" s="7">
        <v>37.0</v>
      </c>
      <c r="B1069" s="9" t="s">
        <v>2245</v>
      </c>
      <c r="C1069" s="9" t="s">
        <v>106</v>
      </c>
      <c r="D1069" s="9" t="s">
        <v>109</v>
      </c>
      <c r="E1069" s="6" t="s">
        <v>1904</v>
      </c>
      <c r="F1069" s="9" t="s">
        <v>2424</v>
      </c>
    </row>
    <row r="1070" ht="33.75" customHeight="1">
      <c r="A1070" s="7">
        <v>37.0</v>
      </c>
      <c r="B1070" s="9" t="s">
        <v>2245</v>
      </c>
      <c r="C1070" s="9" t="s">
        <v>106</v>
      </c>
      <c r="D1070" s="9" t="s">
        <v>637</v>
      </c>
      <c r="E1070" s="6" t="s">
        <v>1905</v>
      </c>
      <c r="F1070" s="9" t="s">
        <v>2424</v>
      </c>
    </row>
    <row r="1071" ht="33.75" customHeight="1">
      <c r="A1071" s="7">
        <v>37.0</v>
      </c>
      <c r="B1071" s="9" t="s">
        <v>2245</v>
      </c>
      <c r="C1071" s="9" t="s">
        <v>106</v>
      </c>
      <c r="D1071" s="9" t="s">
        <v>642</v>
      </c>
      <c r="E1071" s="6" t="s">
        <v>1906</v>
      </c>
      <c r="F1071" s="9" t="s">
        <v>2424</v>
      </c>
    </row>
    <row r="1072" ht="33.75" customHeight="1">
      <c r="A1072" s="7">
        <v>37.0</v>
      </c>
      <c r="B1072" s="9" t="s">
        <v>2245</v>
      </c>
      <c r="C1072" s="9" t="s">
        <v>106</v>
      </c>
      <c r="D1072" s="9" t="s">
        <v>647</v>
      </c>
      <c r="E1072" s="6" t="s">
        <v>1907</v>
      </c>
      <c r="F1072" s="9" t="s">
        <v>2424</v>
      </c>
    </row>
    <row r="1073" ht="33.75" customHeight="1">
      <c r="A1073" s="7">
        <v>37.0</v>
      </c>
      <c r="B1073" s="9" t="s">
        <v>2245</v>
      </c>
      <c r="C1073" s="9" t="s">
        <v>106</v>
      </c>
      <c r="D1073" s="9" t="s">
        <v>652</v>
      </c>
      <c r="E1073" s="6" t="s">
        <v>1908</v>
      </c>
      <c r="F1073" s="9" t="s">
        <v>2424</v>
      </c>
    </row>
    <row r="1074" ht="33.75" customHeight="1">
      <c r="A1074" s="7">
        <v>37.0</v>
      </c>
      <c r="B1074" s="9" t="s">
        <v>2245</v>
      </c>
      <c r="C1074" s="9" t="s">
        <v>106</v>
      </c>
      <c r="D1074" s="9" t="s">
        <v>111</v>
      </c>
      <c r="E1074" s="6" t="s">
        <v>1889</v>
      </c>
      <c r="F1074" s="9" t="s">
        <v>2424</v>
      </c>
    </row>
    <row r="1075" ht="33.75" customHeight="1">
      <c r="A1075" s="7">
        <v>37.0</v>
      </c>
      <c r="B1075" s="9" t="s">
        <v>2245</v>
      </c>
      <c r="C1075" s="9" t="s">
        <v>106</v>
      </c>
      <c r="D1075" s="9" t="s">
        <v>113</v>
      </c>
      <c r="E1075" s="6" t="s">
        <v>1889</v>
      </c>
      <c r="F1075" s="9" t="s">
        <v>2424</v>
      </c>
    </row>
    <row r="1076" ht="33.75" customHeight="1">
      <c r="A1076" s="7">
        <v>37.0</v>
      </c>
      <c r="B1076" s="9" t="s">
        <v>2245</v>
      </c>
      <c r="C1076" s="9" t="s">
        <v>106</v>
      </c>
      <c r="D1076" s="9" t="s">
        <v>114</v>
      </c>
      <c r="E1076" s="6" t="s">
        <v>1897</v>
      </c>
      <c r="F1076" s="9" t="s">
        <v>2424</v>
      </c>
    </row>
    <row r="1077" ht="33.75" customHeight="1">
      <c r="A1077" s="7">
        <v>37.0</v>
      </c>
      <c r="B1077" s="9" t="s">
        <v>2245</v>
      </c>
      <c r="C1077" s="9" t="s">
        <v>106</v>
      </c>
      <c r="D1077" s="9" t="s">
        <v>117</v>
      </c>
      <c r="E1077" s="6" t="s">
        <v>1900</v>
      </c>
      <c r="F1077" s="9" t="s">
        <v>2424</v>
      </c>
    </row>
    <row r="1078" ht="33.75" customHeight="1">
      <c r="A1078" s="7">
        <v>37.0</v>
      </c>
      <c r="B1078" s="9" t="s">
        <v>2245</v>
      </c>
      <c r="C1078" s="9" t="s">
        <v>106</v>
      </c>
      <c r="D1078" s="9" t="s">
        <v>1577</v>
      </c>
      <c r="E1078" s="6" t="s">
        <v>1909</v>
      </c>
      <c r="F1078" s="9" t="s">
        <v>2424</v>
      </c>
    </row>
    <row r="1079" ht="33.75" customHeight="1">
      <c r="A1079" s="7">
        <v>38.0</v>
      </c>
      <c r="B1079" s="9" t="s">
        <v>2309</v>
      </c>
      <c r="C1079" s="9" t="s">
        <v>106</v>
      </c>
      <c r="D1079" s="9" t="s">
        <v>24</v>
      </c>
      <c r="E1079" s="6" t="s">
        <v>1910</v>
      </c>
      <c r="F1079" s="9" t="s">
        <v>2517</v>
      </c>
      <c r="G1079" t="inlineStr" s="6">
        <is>
          <t xml:space="preserve">Very smart and very vengeful. Grabbing one of its many tails could result in a 1000-year curse. According to an enduring legend, 9 noble saints were united and reincarnated as this POKéMON. Some legends claim that each of its nine tails has its own unique type of special mystical power. Its nine beautiful tails are filled with a wondrous energy that could keep it alive for 1,000 years. It is said to live a thousand years, and each of its tails is loaded with supernatural powers. NINETALES casts a sinister light from its bright red eyes to gain total control over its foe’s mind. This POKéMON is said to live for a thousand years. Legend has it that NINETALES came into being when nine wizards possessing sacred powers merged into one. This POKéMON is highly intelligent - it can understand human speech. It has long been said that each of the nine tails embody an enchanted power. A long-lived NINETALES will have fur that shines like gold. It has nine long tails and fur that gleams gold. It is said to live for 1,000 years. Grabbing one of its many tails could result in a 1,000-year curse. Its nine tails are said to be imbued with a mystic power. It can live for a thousand years. Each of its nine tails is imbued with supernatural power, and it can live for a thousand years. This Pokémon is highly intelligent—it can understand human speech. Legend has it that this mystical Pokémon was formed when nine saints coalesced into one. Said to live for a thousand years, this Pokémon uses its supernatural abilities to manipulate fire. It can burn its prey to a crisp as it pleases. It is vindictive and relentless by nature. Those who cross it even once will be cursed for a thousand years, along with their descendants. The flickering flames it spews from its mouth leave its opponents hypnotized. Then, this extremely intelligent Pokémon attacks. According to an enduring legend, nine noble saints were united and reincarnated as this Pokémon. It is said to live 1,000 years, and each of its tails is loaded with supernatural powers. The coat of gleaming golden fur is quite magnificent. This species is said to store sacred power in its nine long tails and to live for a millennium.</t>
        </is>
      </c>
    </row>
    <row r="1080" ht="33.75" customHeight="1">
      <c r="A1080" s="7">
        <v>38.0</v>
      </c>
      <c r="B1080" s="9" t="s">
        <v>2309</v>
      </c>
      <c r="C1080" s="9" t="s">
        <v>106</v>
      </c>
      <c r="D1080" s="9" t="s">
        <v>35</v>
      </c>
      <c r="E1080" s="6" t="s">
        <v>1910</v>
      </c>
      <c r="F1080" s="9" t="s">
        <v>2517</v>
      </c>
    </row>
    <row r="1081" ht="33.75" customHeight="1">
      <c r="A1081" s="7">
        <v>38.0</v>
      </c>
      <c r="B1081" s="9" t="s">
        <v>2309</v>
      </c>
      <c r="C1081" s="9" t="s">
        <v>106</v>
      </c>
      <c r="D1081" s="9" t="s">
        <v>42</v>
      </c>
      <c r="E1081" s="6" t="s">
        <v>1911</v>
      </c>
      <c r="F1081" s="9" t="s">
        <v>2517</v>
      </c>
    </row>
    <row r="1082" ht="33.75" customHeight="1">
      <c r="A1082" s="7">
        <v>38.0</v>
      </c>
      <c r="B1082" s="9" t="s">
        <v>2309</v>
      </c>
      <c r="C1082" s="9" t="s">
        <v>106</v>
      </c>
      <c r="D1082" s="9" t="s">
        <v>52</v>
      </c>
      <c r="E1082" s="6" t="s">
        <v>1912</v>
      </c>
      <c r="F1082" s="9" t="s">
        <v>2517</v>
      </c>
    </row>
    <row r="1083" ht="33.75" customHeight="1">
      <c r="A1083" s="7">
        <v>38.0</v>
      </c>
      <c r="B1083" s="9" t="s">
        <v>2309</v>
      </c>
      <c r="C1083" s="9" t="s">
        <v>106</v>
      </c>
      <c r="D1083" s="9" t="s">
        <v>59</v>
      </c>
      <c r="E1083" s="6" t="s">
        <v>1914</v>
      </c>
      <c r="F1083" s="9" t="s">
        <v>2517</v>
      </c>
    </row>
    <row r="1084" ht="33.75" customHeight="1">
      <c r="A1084" s="7">
        <v>38.0</v>
      </c>
      <c r="B1084" s="9" t="s">
        <v>2309</v>
      </c>
      <c r="C1084" s="9" t="s">
        <v>106</v>
      </c>
      <c r="D1084" s="9" t="s">
        <v>64</v>
      </c>
      <c r="E1084" s="6" t="s">
        <v>1915</v>
      </c>
      <c r="F1084" s="9" t="s">
        <v>2517</v>
      </c>
    </row>
    <row r="1085" ht="33.75" customHeight="1">
      <c r="A1085" s="7">
        <v>38.0</v>
      </c>
      <c r="B1085" s="9" t="s">
        <v>2309</v>
      </c>
      <c r="C1085" s="9" t="s">
        <v>106</v>
      </c>
      <c r="D1085" s="9" t="s">
        <v>67</v>
      </c>
      <c r="E1085" s="6" t="s">
        <v>1918</v>
      </c>
      <c r="F1085" s="9" t="s">
        <v>2517</v>
      </c>
    </row>
    <row r="1086" ht="33.75" customHeight="1">
      <c r="A1086" s="7">
        <v>38.0</v>
      </c>
      <c r="B1086" s="9" t="s">
        <v>2309</v>
      </c>
      <c r="C1086" s="9" t="s">
        <v>106</v>
      </c>
      <c r="D1086" s="9" t="s">
        <v>71</v>
      </c>
      <c r="E1086" s="6" t="s">
        <v>1921</v>
      </c>
      <c r="F1086" s="9" t="s">
        <v>2517</v>
      </c>
    </row>
    <row r="1087" ht="33.75" customHeight="1">
      <c r="A1087" s="7">
        <v>38.0</v>
      </c>
      <c r="B1087" s="9" t="s">
        <v>2309</v>
      </c>
      <c r="C1087" s="9" t="s">
        <v>106</v>
      </c>
      <c r="D1087" s="9" t="s">
        <v>73</v>
      </c>
      <c r="E1087" s="6" t="s">
        <v>1922</v>
      </c>
      <c r="F1087" s="9" t="s">
        <v>2517</v>
      </c>
    </row>
    <row r="1088" ht="33.75" customHeight="1">
      <c r="A1088" s="7">
        <v>38.0</v>
      </c>
      <c r="B1088" s="9" t="s">
        <v>2309</v>
      </c>
      <c r="C1088" s="9" t="s">
        <v>106</v>
      </c>
      <c r="D1088" s="9" t="s">
        <v>75</v>
      </c>
      <c r="E1088" s="6" t="s">
        <v>1923</v>
      </c>
      <c r="F1088" s="9" t="s">
        <v>2517</v>
      </c>
    </row>
    <row r="1089" ht="33.75" customHeight="1">
      <c r="A1089" s="7">
        <v>38.0</v>
      </c>
      <c r="B1089" s="9" t="s">
        <v>2309</v>
      </c>
      <c r="C1089" s="9" t="s">
        <v>106</v>
      </c>
      <c r="D1089" s="9" t="s">
        <v>79</v>
      </c>
      <c r="E1089" s="6" t="s">
        <v>1925</v>
      </c>
      <c r="F1089" s="9" t="s">
        <v>2517</v>
      </c>
    </row>
    <row r="1090" ht="33.75" customHeight="1">
      <c r="A1090" s="7">
        <v>38.0</v>
      </c>
      <c r="B1090" s="9" t="s">
        <v>2309</v>
      </c>
      <c r="C1090" s="9" t="s">
        <v>106</v>
      </c>
      <c r="D1090" s="9" t="s">
        <v>81</v>
      </c>
      <c r="E1090" s="6" t="s">
        <v>1928</v>
      </c>
      <c r="F1090" s="9" t="s">
        <v>2517</v>
      </c>
    </row>
    <row r="1091" ht="33.75" customHeight="1">
      <c r="A1091" s="7">
        <v>38.0</v>
      </c>
      <c r="B1091" s="9" t="s">
        <v>2309</v>
      </c>
      <c r="C1091" s="9" t="s">
        <v>106</v>
      </c>
      <c r="D1091" s="9" t="s">
        <v>84</v>
      </c>
      <c r="E1091" s="6" t="s">
        <v>1928</v>
      </c>
      <c r="F1091" s="9" t="s">
        <v>2517</v>
      </c>
    </row>
    <row r="1092" ht="33.75" customHeight="1">
      <c r="A1092" s="7">
        <v>38.0</v>
      </c>
      <c r="B1092" s="9" t="s">
        <v>2309</v>
      </c>
      <c r="C1092" s="9" t="s">
        <v>106</v>
      </c>
      <c r="D1092" s="9" t="s">
        <v>87</v>
      </c>
      <c r="E1092" s="6" t="s">
        <v>1928</v>
      </c>
      <c r="F1092" s="9" t="s">
        <v>2517</v>
      </c>
    </row>
    <row r="1093" ht="33.75" customHeight="1">
      <c r="A1093" s="7">
        <v>38.0</v>
      </c>
      <c r="B1093" s="9" t="s">
        <v>2309</v>
      </c>
      <c r="C1093" s="9" t="s">
        <v>106</v>
      </c>
      <c r="D1093" s="9" t="s">
        <v>89</v>
      </c>
      <c r="E1093" s="6" t="s">
        <v>1912</v>
      </c>
      <c r="F1093" s="9" t="s">
        <v>2517</v>
      </c>
    </row>
    <row r="1094" ht="33.75" customHeight="1">
      <c r="A1094" s="7">
        <v>38.0</v>
      </c>
      <c r="B1094" s="9" t="s">
        <v>2309</v>
      </c>
      <c r="C1094" s="9" t="s">
        <v>106</v>
      </c>
      <c r="D1094" s="9" t="s">
        <v>91</v>
      </c>
      <c r="E1094" s="6" t="s">
        <v>1914</v>
      </c>
      <c r="F1094" s="9" t="s">
        <v>2517</v>
      </c>
    </row>
    <row r="1095" ht="33.75" customHeight="1">
      <c r="A1095" s="7">
        <v>38.0</v>
      </c>
      <c r="B1095" s="9" t="s">
        <v>2309</v>
      </c>
      <c r="C1095" s="9" t="s">
        <v>106</v>
      </c>
      <c r="D1095" s="9" t="s">
        <v>93</v>
      </c>
      <c r="E1095" s="6" t="s">
        <v>1928</v>
      </c>
      <c r="F1095" s="9" t="s">
        <v>2517</v>
      </c>
    </row>
    <row r="1096" ht="33.75" customHeight="1">
      <c r="A1096" s="7">
        <v>38.0</v>
      </c>
      <c r="B1096" s="9" t="s">
        <v>2309</v>
      </c>
      <c r="C1096" s="9" t="s">
        <v>106</v>
      </c>
      <c r="D1096" s="9" t="s">
        <v>95</v>
      </c>
      <c r="E1096" s="6" t="s">
        <v>1928</v>
      </c>
      <c r="F1096" s="9" t="s">
        <v>2517</v>
      </c>
    </row>
    <row r="1097" ht="33.75" customHeight="1">
      <c r="A1097" s="7">
        <v>38.0</v>
      </c>
      <c r="B1097" s="9" t="s">
        <v>2309</v>
      </c>
      <c r="C1097" s="9" t="s">
        <v>106</v>
      </c>
      <c r="D1097" s="9" t="s">
        <v>98</v>
      </c>
      <c r="E1097" s="6" t="s">
        <v>1929</v>
      </c>
      <c r="F1097" s="9" t="s">
        <v>2517</v>
      </c>
    </row>
    <row r="1098" ht="33.75" customHeight="1">
      <c r="A1098" s="7">
        <v>38.0</v>
      </c>
      <c r="B1098" s="9" t="s">
        <v>2309</v>
      </c>
      <c r="C1098" s="9" t="s">
        <v>106</v>
      </c>
      <c r="D1098" s="9" t="s">
        <v>99</v>
      </c>
      <c r="E1098" s="6" t="s">
        <v>1929</v>
      </c>
      <c r="F1098" s="9" t="s">
        <v>2517</v>
      </c>
    </row>
    <row r="1099" ht="33.75" customHeight="1">
      <c r="A1099" s="7">
        <v>38.0</v>
      </c>
      <c r="B1099" s="9" t="s">
        <v>2309</v>
      </c>
      <c r="C1099" s="9" t="s">
        <v>106</v>
      </c>
      <c r="D1099" s="9" t="s">
        <v>101</v>
      </c>
      <c r="E1099" s="6" t="s">
        <v>1923</v>
      </c>
      <c r="F1099" s="9" t="s">
        <v>2517</v>
      </c>
    </row>
    <row r="1100" ht="33.75" customHeight="1">
      <c r="A1100" s="7">
        <v>38.0</v>
      </c>
      <c r="B1100" s="9" t="s">
        <v>2309</v>
      </c>
      <c r="C1100" s="9" t="s">
        <v>106</v>
      </c>
      <c r="D1100" s="9" t="s">
        <v>105</v>
      </c>
      <c r="E1100" s="6" t="s">
        <v>1925</v>
      </c>
      <c r="F1100" s="9" t="s">
        <v>2517</v>
      </c>
    </row>
    <row r="1101" ht="33.75" customHeight="1">
      <c r="A1101" s="7">
        <v>38.0</v>
      </c>
      <c r="B1101" s="9" t="s">
        <v>2309</v>
      </c>
      <c r="C1101" s="9" t="s">
        <v>106</v>
      </c>
      <c r="D1101" s="9" t="s">
        <v>107</v>
      </c>
      <c r="E1101" s="6" t="s">
        <v>1931</v>
      </c>
      <c r="F1101" s="9" t="s">
        <v>2517</v>
      </c>
    </row>
    <row r="1102" ht="33.75" customHeight="1">
      <c r="A1102" s="7">
        <v>38.0</v>
      </c>
      <c r="B1102" s="9" t="s">
        <v>2309</v>
      </c>
      <c r="C1102" s="9" t="s">
        <v>106</v>
      </c>
      <c r="D1102" s="9" t="s">
        <v>109</v>
      </c>
      <c r="E1102" s="6" t="s">
        <v>1933</v>
      </c>
      <c r="F1102" s="9" t="s">
        <v>2517</v>
      </c>
    </row>
    <row r="1103" ht="33.75" customHeight="1">
      <c r="A1103" s="7">
        <v>38.0</v>
      </c>
      <c r="B1103" s="9" t="s">
        <v>2309</v>
      </c>
      <c r="C1103" s="9" t="s">
        <v>106</v>
      </c>
      <c r="D1103" s="9" t="s">
        <v>637</v>
      </c>
      <c r="E1103" s="6" t="s">
        <v>1934</v>
      </c>
      <c r="F1103" s="9" t="s">
        <v>2517</v>
      </c>
    </row>
    <row r="1104" ht="33.75" customHeight="1">
      <c r="A1104" s="7">
        <v>38.0</v>
      </c>
      <c r="B1104" s="9" t="s">
        <v>2309</v>
      </c>
      <c r="C1104" s="9" t="s">
        <v>106</v>
      </c>
      <c r="D1104" s="9" t="s">
        <v>642</v>
      </c>
      <c r="E1104" s="6" t="s">
        <v>1936</v>
      </c>
      <c r="F1104" s="9" t="s">
        <v>2517</v>
      </c>
    </row>
    <row r="1105" ht="33.75" customHeight="1">
      <c r="A1105" s="7">
        <v>38.0</v>
      </c>
      <c r="B1105" s="9" t="s">
        <v>2309</v>
      </c>
      <c r="C1105" s="9" t="s">
        <v>106</v>
      </c>
      <c r="D1105" s="9" t="s">
        <v>647</v>
      </c>
      <c r="E1105" s="6" t="s">
        <v>1937</v>
      </c>
      <c r="F1105" s="9" t="s">
        <v>2517</v>
      </c>
    </row>
    <row r="1106" ht="33.75" customHeight="1">
      <c r="A1106" s="7">
        <v>38.0</v>
      </c>
      <c r="B1106" s="9" t="s">
        <v>2309</v>
      </c>
      <c r="C1106" s="9" t="s">
        <v>106</v>
      </c>
      <c r="D1106" s="9" t="s">
        <v>652</v>
      </c>
      <c r="E1106" s="6" t="s">
        <v>1938</v>
      </c>
      <c r="F1106" s="9" t="s">
        <v>2517</v>
      </c>
    </row>
    <row r="1107" ht="33.75" customHeight="1">
      <c r="A1107" s="7">
        <v>38.0</v>
      </c>
      <c r="B1107" s="9" t="s">
        <v>2309</v>
      </c>
      <c r="C1107" s="9" t="s">
        <v>106</v>
      </c>
      <c r="D1107" s="9" t="s">
        <v>111</v>
      </c>
      <c r="E1107" s="6" t="s">
        <v>1940</v>
      </c>
      <c r="F1107" s="9" t="s">
        <v>2517</v>
      </c>
    </row>
    <row r="1108" ht="33.75" customHeight="1">
      <c r="A1108" s="7">
        <v>38.0</v>
      </c>
      <c r="B1108" s="9" t="s">
        <v>2309</v>
      </c>
      <c r="C1108" s="9" t="s">
        <v>106</v>
      </c>
      <c r="D1108" s="9" t="s">
        <v>113</v>
      </c>
      <c r="E1108" s="6" t="s">
        <v>1940</v>
      </c>
      <c r="F1108" s="9" t="s">
        <v>2517</v>
      </c>
    </row>
    <row r="1109" ht="33.75" customHeight="1">
      <c r="A1109" s="7">
        <v>38.0</v>
      </c>
      <c r="B1109" s="9" t="s">
        <v>2309</v>
      </c>
      <c r="C1109" s="9" t="s">
        <v>106</v>
      </c>
      <c r="D1109" s="9" t="s">
        <v>114</v>
      </c>
      <c r="E1109" s="6" t="s">
        <v>1941</v>
      </c>
      <c r="F1109" s="9" t="s">
        <v>2517</v>
      </c>
    </row>
    <row r="1110" ht="33.75" customHeight="1">
      <c r="A1110" s="7">
        <v>38.0</v>
      </c>
      <c r="B1110" s="9" t="s">
        <v>2309</v>
      </c>
      <c r="C1110" s="9" t="s">
        <v>106</v>
      </c>
      <c r="D1110" s="9" t="s">
        <v>117</v>
      </c>
      <c r="E1110" s="6" t="s">
        <v>1925</v>
      </c>
      <c r="F1110" s="9" t="s">
        <v>2517</v>
      </c>
    </row>
    <row r="1111" ht="33.75" customHeight="1">
      <c r="A1111" s="7">
        <v>38.0</v>
      </c>
      <c r="B1111" s="9" t="s">
        <v>2309</v>
      </c>
      <c r="C1111" s="9" t="s">
        <v>106</v>
      </c>
      <c r="D1111" s="9" t="s">
        <v>1577</v>
      </c>
      <c r="E1111" s="6" t="s">
        <v>1943</v>
      </c>
      <c r="F1111" s="9" t="s">
        <v>2517</v>
      </c>
    </row>
    <row r="1112" ht="33.75" customHeight="1">
      <c r="A1112" s="7">
        <v>39.0</v>
      </c>
      <c r="B1112" s="9" t="s">
        <v>2367</v>
      </c>
      <c r="C1112" s="9" t="s">
        <v>110</v>
      </c>
      <c r="D1112" s="9" t="s">
        <v>24</v>
      </c>
      <c r="E1112" s="6" t="s">
        <v>1944</v>
      </c>
      <c r="F1112" s="9" t="s">
        <v>2630</v>
      </c>
      <c r="G1112" t="inlineStr" s="6">
        <is>
          <t xml:space="preserve">When Jigglypuff's huge eyes light up, it sings a mysteriously soothing melody that lulls its enemies to sleep. Uses its alluring eyes to enrapture its foe. It then sings a pleasing melody that lulls the foe to sleep. If it inflates to SING a lullaby, it can perform longer and cause sure drowsiness in its audience. Looking into its cute, round eyes causes it to sing a relaxing melody, inducing its enemies to sleep. It rolls its cute eyes as it sings a soothing lullaby. Its gentle song puts anyone who hears it to sleep. JIGGLYPUFF’s vocal chords can freely adjust the wavelength of its voice. This POKéMON uses this ability to sing at precisely the right wavelength to make its foes most drowsy. When this POKéMON sings, it never pauses to breathe. If it is in a battle against an opponent that does not easily fall asleep, JIGGLYPUFF cannot breathe, endangering its life. Nothing can avoid falling asleep hearing a JIGGLYPUFF’s song. The sound waves of its singing voice match the brain waves of someone in a deep sleep. It captivates foes with its huge, round eyes, then lulls them to sleep by singing a soothing melody. When its huge eyes waver, it sings a mysteriously soothing melody that lulls its enemies to sleep. When it wavers its big, round eyes, it begins singing a lullaby that makes everyone drowsy. Looking into its cute, round eyes makes it start singing a song so pleasant listeners can’t help but fall asleep. Jigglypuff’s vocal cords can freely adjust the wavelength of its voice. It hugely inflates its stomach and sings a mysterious melody. If you hear this melody, you’ll become sleepy right away. Jigglypuff possess a vocal range that exceeds 12 octaves, but each individual’s singing skill depends on its own effort. Recordings of Jigglypuff’s strange lullabies can be purchased from department stores. These CDs can be found near the bedding area. The songs they sing are totally different depending on the region they live in. Some even sound like they’re shouting! Uses its cute round eyes to enrapture its foe. Jigglypuff has top-notch lung capacity, even by comparison to other Pokémon. It won’t stop singing its lullabies until its foes fall asleep. By freely changing the wavelength of its voice, Jigglypuff sings a mysterious melody sure to make any listener sleepy.</t>
        </is>
      </c>
    </row>
    <row r="1113" ht="33.75" customHeight="1">
      <c r="A1113" s="7">
        <v>39.0</v>
      </c>
      <c r="B1113" s="9" t="s">
        <v>2367</v>
      </c>
      <c r="C1113" s="9" t="s">
        <v>110</v>
      </c>
      <c r="D1113" s="9" t="s">
        <v>35</v>
      </c>
      <c r="E1113" s="6" t="s">
        <v>1944</v>
      </c>
      <c r="F1113" s="9" t="s">
        <v>2630</v>
      </c>
    </row>
    <row r="1114" ht="33.75" customHeight="1">
      <c r="A1114" s="7">
        <v>39.0</v>
      </c>
      <c r="B1114" s="9" t="s">
        <v>2367</v>
      </c>
      <c r="C1114" s="9" t="s">
        <v>110</v>
      </c>
      <c r="D1114" s="9" t="s">
        <v>42</v>
      </c>
      <c r="E1114" s="6" t="s">
        <v>1945</v>
      </c>
      <c r="F1114" s="9" t="s">
        <v>2630</v>
      </c>
    </row>
    <row r="1115" ht="33.75" customHeight="1">
      <c r="A1115" s="7">
        <v>39.0</v>
      </c>
      <c r="B1115" s="9" t="s">
        <v>2367</v>
      </c>
      <c r="C1115" s="9" t="s">
        <v>110</v>
      </c>
      <c r="D1115" s="9" t="s">
        <v>52</v>
      </c>
      <c r="E1115" s="6" t="s">
        <v>1946</v>
      </c>
      <c r="F1115" s="9" t="s">
        <v>2630</v>
      </c>
    </row>
    <row r="1116" ht="33.75" customHeight="1">
      <c r="A1116" s="7">
        <v>39.0</v>
      </c>
      <c r="B1116" s="9" t="s">
        <v>2367</v>
      </c>
      <c r="C1116" s="9" t="s">
        <v>110</v>
      </c>
      <c r="D1116" s="9" t="s">
        <v>59</v>
      </c>
      <c r="E1116" s="6" t="s">
        <v>1947</v>
      </c>
      <c r="F1116" s="9" t="s">
        <v>2630</v>
      </c>
    </row>
    <row r="1117" ht="33.75" customHeight="1">
      <c r="A1117" s="7">
        <v>39.0</v>
      </c>
      <c r="B1117" s="9" t="s">
        <v>2367</v>
      </c>
      <c r="C1117" s="9" t="s">
        <v>110</v>
      </c>
      <c r="D1117" s="9" t="s">
        <v>64</v>
      </c>
      <c r="E1117" s="6" t="s">
        <v>1948</v>
      </c>
      <c r="F1117" s="9" t="s">
        <v>2630</v>
      </c>
    </row>
    <row r="1118" ht="33.75" customHeight="1">
      <c r="A1118" s="7">
        <v>39.0</v>
      </c>
      <c r="B1118" s="9" t="s">
        <v>2367</v>
      </c>
      <c r="C1118" s="9" t="s">
        <v>110</v>
      </c>
      <c r="D1118" s="9" t="s">
        <v>67</v>
      </c>
      <c r="E1118" s="6" t="s">
        <v>1950</v>
      </c>
      <c r="F1118" s="9" t="s">
        <v>2630</v>
      </c>
    </row>
    <row r="1119" ht="33.75" customHeight="1">
      <c r="A1119" s="7">
        <v>39.0</v>
      </c>
      <c r="B1119" s="9" t="s">
        <v>2367</v>
      </c>
      <c r="C1119" s="9" t="s">
        <v>110</v>
      </c>
      <c r="D1119" s="9" t="s">
        <v>71</v>
      </c>
      <c r="E1119" s="6" t="s">
        <v>1951</v>
      </c>
      <c r="F1119" s="9" t="s">
        <v>2630</v>
      </c>
    </row>
    <row r="1120" ht="33.75" customHeight="1">
      <c r="A1120" s="7">
        <v>39.0</v>
      </c>
      <c r="B1120" s="9" t="s">
        <v>2367</v>
      </c>
      <c r="C1120" s="9" t="s">
        <v>110</v>
      </c>
      <c r="D1120" s="9" t="s">
        <v>73</v>
      </c>
      <c r="E1120" s="6" t="s">
        <v>1952</v>
      </c>
      <c r="F1120" s="9" t="s">
        <v>2630</v>
      </c>
    </row>
    <row r="1121" ht="33.75" customHeight="1">
      <c r="A1121" s="7">
        <v>39.0</v>
      </c>
      <c r="B1121" s="9" t="s">
        <v>2367</v>
      </c>
      <c r="C1121" s="9" t="s">
        <v>110</v>
      </c>
      <c r="D1121" s="9" t="s">
        <v>75</v>
      </c>
      <c r="E1121" s="6" t="s">
        <v>1953</v>
      </c>
      <c r="F1121" s="9" t="s">
        <v>2630</v>
      </c>
    </row>
    <row r="1122" ht="33.75" customHeight="1">
      <c r="A1122" s="7">
        <v>39.0</v>
      </c>
      <c r="B1122" s="9" t="s">
        <v>2367</v>
      </c>
      <c r="C1122" s="9" t="s">
        <v>110</v>
      </c>
      <c r="D1122" s="9" t="s">
        <v>79</v>
      </c>
      <c r="E1122" s="6" t="s">
        <v>1954</v>
      </c>
      <c r="F1122" s="9" t="s">
        <v>2630</v>
      </c>
    </row>
    <row r="1123" ht="33.75" customHeight="1">
      <c r="A1123" s="7">
        <v>39.0</v>
      </c>
      <c r="B1123" s="9" t="s">
        <v>2367</v>
      </c>
      <c r="C1123" s="9" t="s">
        <v>110</v>
      </c>
      <c r="D1123" s="9" t="s">
        <v>81</v>
      </c>
      <c r="E1123" s="6" t="s">
        <v>1955</v>
      </c>
      <c r="F1123" s="9" t="s">
        <v>2630</v>
      </c>
    </row>
    <row r="1124" ht="33.75" customHeight="1">
      <c r="A1124" s="7">
        <v>39.0</v>
      </c>
      <c r="B1124" s="9" t="s">
        <v>2367</v>
      </c>
      <c r="C1124" s="9" t="s">
        <v>110</v>
      </c>
      <c r="D1124" s="9" t="s">
        <v>84</v>
      </c>
      <c r="E1124" s="6" t="s">
        <v>1955</v>
      </c>
      <c r="F1124" s="9" t="s">
        <v>2630</v>
      </c>
    </row>
    <row r="1125" ht="33.75" customHeight="1">
      <c r="A1125" s="7">
        <v>39.0</v>
      </c>
      <c r="B1125" s="9" t="s">
        <v>2367</v>
      </c>
      <c r="C1125" s="9" t="s">
        <v>110</v>
      </c>
      <c r="D1125" s="9" t="s">
        <v>87</v>
      </c>
      <c r="E1125" s="6" t="s">
        <v>1955</v>
      </c>
      <c r="F1125" s="9" t="s">
        <v>2630</v>
      </c>
    </row>
    <row r="1126" ht="33.75" customHeight="1">
      <c r="A1126" s="7">
        <v>39.0</v>
      </c>
      <c r="B1126" s="9" t="s">
        <v>2367</v>
      </c>
      <c r="C1126" s="9" t="s">
        <v>110</v>
      </c>
      <c r="D1126" s="9" t="s">
        <v>89</v>
      </c>
      <c r="E1126" s="6" t="s">
        <v>1956</v>
      </c>
      <c r="F1126" s="9" t="s">
        <v>2630</v>
      </c>
    </row>
    <row r="1127" ht="33.75" customHeight="1">
      <c r="A1127" s="7">
        <v>39.0</v>
      </c>
      <c r="B1127" s="9" t="s">
        <v>2367</v>
      </c>
      <c r="C1127" s="9" t="s">
        <v>110</v>
      </c>
      <c r="D1127" s="9" t="s">
        <v>91</v>
      </c>
      <c r="E1127" s="6" t="s">
        <v>1947</v>
      </c>
      <c r="F1127" s="9" t="s">
        <v>2630</v>
      </c>
    </row>
    <row r="1128" ht="33.75" customHeight="1">
      <c r="A1128" s="7">
        <v>39.0</v>
      </c>
      <c r="B1128" s="9" t="s">
        <v>2367</v>
      </c>
      <c r="C1128" s="9" t="s">
        <v>110</v>
      </c>
      <c r="D1128" s="9" t="s">
        <v>93</v>
      </c>
      <c r="E1128" s="6" t="s">
        <v>1955</v>
      </c>
      <c r="F1128" s="9" t="s">
        <v>2630</v>
      </c>
    </row>
    <row r="1129" ht="33.75" customHeight="1">
      <c r="A1129" s="7">
        <v>39.0</v>
      </c>
      <c r="B1129" s="9" t="s">
        <v>2367</v>
      </c>
      <c r="C1129" s="9" t="s">
        <v>110</v>
      </c>
      <c r="D1129" s="9" t="s">
        <v>95</v>
      </c>
      <c r="E1129" s="6" t="s">
        <v>1955</v>
      </c>
      <c r="F1129" s="9" t="s">
        <v>2630</v>
      </c>
    </row>
    <row r="1130" ht="33.75" customHeight="1">
      <c r="A1130" s="7">
        <v>39.0</v>
      </c>
      <c r="B1130" s="9" t="s">
        <v>2367</v>
      </c>
      <c r="C1130" s="9" t="s">
        <v>110</v>
      </c>
      <c r="D1130" s="9" t="s">
        <v>98</v>
      </c>
      <c r="E1130" s="6" t="s">
        <v>1957</v>
      </c>
      <c r="F1130" s="9" t="s">
        <v>2630</v>
      </c>
    </row>
    <row r="1131" ht="33.75" customHeight="1">
      <c r="A1131" s="7">
        <v>39.0</v>
      </c>
      <c r="B1131" s="9" t="s">
        <v>2367</v>
      </c>
      <c r="C1131" s="9" t="s">
        <v>110</v>
      </c>
      <c r="D1131" s="9" t="s">
        <v>99</v>
      </c>
      <c r="E1131" s="6" t="s">
        <v>1957</v>
      </c>
      <c r="F1131" s="9" t="s">
        <v>2630</v>
      </c>
    </row>
    <row r="1132" ht="33.75" customHeight="1">
      <c r="A1132" s="7">
        <v>39.0</v>
      </c>
      <c r="B1132" s="9" t="s">
        <v>2367</v>
      </c>
      <c r="C1132" s="9" t="s">
        <v>110</v>
      </c>
      <c r="D1132" s="9" t="s">
        <v>101</v>
      </c>
      <c r="E1132" s="6" t="s">
        <v>1953</v>
      </c>
      <c r="F1132" s="9" t="s">
        <v>2630</v>
      </c>
    </row>
    <row r="1133" ht="33.75" customHeight="1">
      <c r="A1133" s="7">
        <v>39.0</v>
      </c>
      <c r="B1133" s="9" t="s">
        <v>2367</v>
      </c>
      <c r="C1133" s="9" t="s">
        <v>110</v>
      </c>
      <c r="D1133" s="9" t="s">
        <v>105</v>
      </c>
      <c r="E1133" s="6" t="s">
        <v>1956</v>
      </c>
      <c r="F1133" s="9" t="s">
        <v>2630</v>
      </c>
    </row>
    <row r="1134" ht="33.75" customHeight="1">
      <c r="A1134" s="7">
        <v>39.0</v>
      </c>
      <c r="B1134" s="9" t="s">
        <v>2367</v>
      </c>
      <c r="C1134" s="9" t="s">
        <v>110</v>
      </c>
      <c r="D1134" s="9" t="s">
        <v>107</v>
      </c>
      <c r="E1134" s="6" t="s">
        <v>1958</v>
      </c>
      <c r="F1134" s="9" t="s">
        <v>2630</v>
      </c>
    </row>
    <row r="1135" ht="33.75" customHeight="1">
      <c r="A1135" s="7">
        <v>39.0</v>
      </c>
      <c r="B1135" s="9" t="s">
        <v>2367</v>
      </c>
      <c r="C1135" s="9" t="s">
        <v>110</v>
      </c>
      <c r="D1135" s="9" t="s">
        <v>109</v>
      </c>
      <c r="E1135" s="6" t="s">
        <v>1959</v>
      </c>
      <c r="F1135" s="9" t="s">
        <v>2630</v>
      </c>
    </row>
    <row r="1136" ht="33.75" customHeight="1">
      <c r="A1136" s="7">
        <v>39.0</v>
      </c>
      <c r="B1136" s="9" t="s">
        <v>2367</v>
      </c>
      <c r="C1136" s="9" t="s">
        <v>110</v>
      </c>
      <c r="D1136" s="9" t="s">
        <v>637</v>
      </c>
      <c r="E1136" s="6" t="s">
        <v>1960</v>
      </c>
      <c r="F1136" s="9" t="s">
        <v>2630</v>
      </c>
    </row>
    <row r="1137" ht="33.75" customHeight="1">
      <c r="A1137" s="7">
        <v>39.0</v>
      </c>
      <c r="B1137" s="9" t="s">
        <v>2367</v>
      </c>
      <c r="C1137" s="9" t="s">
        <v>110</v>
      </c>
      <c r="D1137" s="9" t="s">
        <v>642</v>
      </c>
      <c r="E1137" s="6" t="s">
        <v>1961</v>
      </c>
      <c r="F1137" s="9" t="s">
        <v>2630</v>
      </c>
    </row>
    <row r="1138" ht="33.75" customHeight="1">
      <c r="A1138" s="7">
        <v>39.0</v>
      </c>
      <c r="B1138" s="9" t="s">
        <v>2367</v>
      </c>
      <c r="C1138" s="9" t="s">
        <v>110</v>
      </c>
      <c r="D1138" s="9" t="s">
        <v>647</v>
      </c>
      <c r="E1138" s="6" t="s">
        <v>1962</v>
      </c>
      <c r="F1138" s="9" t="s">
        <v>2630</v>
      </c>
    </row>
    <row r="1139" ht="33.75" customHeight="1">
      <c r="A1139" s="7">
        <v>39.0</v>
      </c>
      <c r="B1139" s="9" t="s">
        <v>2367</v>
      </c>
      <c r="C1139" s="9" t="s">
        <v>110</v>
      </c>
      <c r="D1139" s="9" t="s">
        <v>652</v>
      </c>
      <c r="E1139" s="6" t="s">
        <v>1963</v>
      </c>
      <c r="F1139" s="9" t="s">
        <v>2630</v>
      </c>
    </row>
    <row r="1140" ht="33.75" customHeight="1">
      <c r="A1140" s="7">
        <v>39.0</v>
      </c>
      <c r="B1140" s="9" t="s">
        <v>2367</v>
      </c>
      <c r="C1140" s="9" t="s">
        <v>110</v>
      </c>
      <c r="D1140" s="9" t="s">
        <v>111</v>
      </c>
      <c r="E1140" s="6" t="s">
        <v>1964</v>
      </c>
      <c r="F1140" s="9" t="s">
        <v>2630</v>
      </c>
    </row>
    <row r="1141" ht="33.75" customHeight="1">
      <c r="A1141" s="7">
        <v>39.0</v>
      </c>
      <c r="B1141" s="9" t="s">
        <v>2367</v>
      </c>
      <c r="C1141" s="9" t="s">
        <v>110</v>
      </c>
      <c r="D1141" s="9" t="s">
        <v>113</v>
      </c>
      <c r="E1141" s="6" t="s">
        <v>1964</v>
      </c>
      <c r="F1141" s="9" t="s">
        <v>2630</v>
      </c>
    </row>
    <row r="1142" ht="33.75" customHeight="1">
      <c r="A1142" s="7">
        <v>39.0</v>
      </c>
      <c r="B1142" s="9" t="s">
        <v>2367</v>
      </c>
      <c r="C1142" s="9" t="s">
        <v>110</v>
      </c>
      <c r="D1142" s="9" t="s">
        <v>114</v>
      </c>
      <c r="E1142" s="6" t="s">
        <v>1965</v>
      </c>
      <c r="F1142" s="9" t="s">
        <v>2630</v>
      </c>
    </row>
    <row r="1143" ht="33.75" customHeight="1">
      <c r="A1143" s="7">
        <v>39.0</v>
      </c>
      <c r="B1143" s="9" t="s">
        <v>2367</v>
      </c>
      <c r="C1143" s="9" t="s">
        <v>110</v>
      </c>
      <c r="D1143" s="9" t="s">
        <v>117</v>
      </c>
      <c r="E1143" s="6" t="s">
        <v>1966</v>
      </c>
      <c r="F1143" s="9" t="s">
        <v>2630</v>
      </c>
    </row>
    <row r="1144" ht="33.75" customHeight="1">
      <c r="A1144" s="7">
        <v>40.0</v>
      </c>
      <c r="B1144" s="9" t="s">
        <v>2421</v>
      </c>
      <c r="C1144" s="9" t="s">
        <v>110</v>
      </c>
      <c r="D1144" s="9" t="s">
        <v>24</v>
      </c>
      <c r="E1144" s="6" t="s">
        <v>1967</v>
      </c>
      <c r="F1144" s="9" t="s">
        <v>2706</v>
      </c>
      <c r="G1144" t="inlineStr" s="6">
        <is>
          <t xml:space="preserve">The body is soft and rubbery. When angered, it will suck in air and inflate itself to an enormous size. Its body is full of elasticity. By inhaling deeply, it can continue to inflate itself without limit. Their fur feels so good that if two of them snuggle together, they won't want to be separated. It has a very fine fur. Take care not to make it angry, or it may inflate steadily and hit with a BODY SLAM. The rich, fluffy fur that covers its body feels so good that anyone who feels it can't stop touching it. WIGGLYTUFF has large, saucerlike eyes. The surfaces of its eyes are always covered with a thin layer of tears. If any dust gets in this POKéMON’s eyes, it is quickly washed away. WIGGLYTUFF’s body is very flexible. By inhaling deeply, this POKéMON can inflate itself seemingly without end. Once inflated, WIGGLYTUFF bounces along lightly like a balloon. Its fur is the ultimate in luxuriousness. Sleeping alongside a WIGGLYTUFF is simply divine. Its body expands seemingly without end when it inhales. Its fur is extremely fine, dense, and supple. The exquisitely pleasant fur conveys an image of luxury. Its fine fur feels sublime to the touch. It can expand its body by inhaling air. Its fine fur feels so pleasant, those who accidentally touch it cannot take their hands away. It sheds its fine fur when the seasons change. The fur is gathered and spun into a luxurious yarn. As it inhales, it expands...and expands...and expands. Wigglytuff compete to see which one can inflate itself the most. Thanks to its bouncy body and fine fur, this Pokémon is sought after. Holding one in your arms while you sleep feels great. When it gets angry, it inhales with all its might, and its body gradually inflates. Sometimes they can grow 20 times larger! Its body is very elastic. The more air it takes in, the more it inflates. If opponents catch it in a bad mood, it will inflate itself to an enormous size to intimidate them. It’s proud of its fur, which is fine and delicate. In particular, the curl on its forehead has a texture that’s perfectly heavenly.</t>
        </is>
      </c>
    </row>
    <row r="1145" ht="33.75" customHeight="1">
      <c r="A1145" s="7">
        <v>40.0</v>
      </c>
      <c r="B1145" s="9" t="s">
        <v>2421</v>
      </c>
      <c r="C1145" s="9" t="s">
        <v>110</v>
      </c>
      <c r="D1145" s="9" t="s">
        <v>35</v>
      </c>
      <c r="E1145" s="6" t="s">
        <v>1967</v>
      </c>
      <c r="F1145" s="9" t="s">
        <v>2706</v>
      </c>
    </row>
    <row r="1146" ht="33.75" customHeight="1">
      <c r="A1146" s="7">
        <v>40.0</v>
      </c>
      <c r="B1146" s="9" t="s">
        <v>2421</v>
      </c>
      <c r="C1146" s="9" t="s">
        <v>110</v>
      </c>
      <c r="D1146" s="9" t="s">
        <v>42</v>
      </c>
      <c r="E1146" s="6" t="s">
        <v>1968</v>
      </c>
      <c r="F1146" s="9" t="s">
        <v>2706</v>
      </c>
    </row>
    <row r="1147" ht="33.75" customHeight="1">
      <c r="A1147" s="7">
        <v>40.0</v>
      </c>
      <c r="B1147" s="9" t="s">
        <v>2421</v>
      </c>
      <c r="C1147" s="9" t="s">
        <v>110</v>
      </c>
      <c r="D1147" s="9" t="s">
        <v>52</v>
      </c>
      <c r="E1147" s="6" t="s">
        <v>1969</v>
      </c>
      <c r="F1147" s="9" t="s">
        <v>2706</v>
      </c>
    </row>
    <row r="1148" ht="33.75" customHeight="1">
      <c r="A1148" s="7">
        <v>40.0</v>
      </c>
      <c r="B1148" s="9" t="s">
        <v>2421</v>
      </c>
      <c r="C1148" s="9" t="s">
        <v>110</v>
      </c>
      <c r="D1148" s="9" t="s">
        <v>59</v>
      </c>
      <c r="E1148" s="6" t="s">
        <v>1970</v>
      </c>
      <c r="F1148" s="9" t="s">
        <v>2706</v>
      </c>
    </row>
    <row r="1149" ht="33.75" customHeight="1">
      <c r="A1149" s="7">
        <v>40.0</v>
      </c>
      <c r="B1149" s="9" t="s">
        <v>2421</v>
      </c>
      <c r="C1149" s="9" t="s">
        <v>110</v>
      </c>
      <c r="D1149" s="9" t="s">
        <v>64</v>
      </c>
      <c r="E1149" s="6" t="s">
        <v>1972</v>
      </c>
      <c r="F1149" s="9" t="s">
        <v>2706</v>
      </c>
    </row>
    <row r="1150" ht="33.75" customHeight="1">
      <c r="A1150" s="7">
        <v>40.0</v>
      </c>
      <c r="B1150" s="9" t="s">
        <v>2421</v>
      </c>
      <c r="C1150" s="9" t="s">
        <v>110</v>
      </c>
      <c r="D1150" s="9" t="s">
        <v>67</v>
      </c>
      <c r="E1150" s="6" t="s">
        <v>1973</v>
      </c>
      <c r="F1150" s="9" t="s">
        <v>2706</v>
      </c>
    </row>
    <row r="1151" ht="33.75" customHeight="1">
      <c r="A1151" s="7">
        <v>40.0</v>
      </c>
      <c r="B1151" s="9" t="s">
        <v>2421</v>
      </c>
      <c r="C1151" s="9" t="s">
        <v>110</v>
      </c>
      <c r="D1151" s="9" t="s">
        <v>71</v>
      </c>
      <c r="E1151" s="6" t="s">
        <v>1974</v>
      </c>
      <c r="F1151" s="9" t="s">
        <v>2706</v>
      </c>
    </row>
    <row r="1152" ht="33.75" customHeight="1">
      <c r="A1152" s="7">
        <v>40.0</v>
      </c>
      <c r="B1152" s="9" t="s">
        <v>2421</v>
      </c>
      <c r="C1152" s="9" t="s">
        <v>110</v>
      </c>
      <c r="D1152" s="9" t="s">
        <v>73</v>
      </c>
      <c r="E1152" s="6" t="s">
        <v>1976</v>
      </c>
      <c r="F1152" s="9" t="s">
        <v>2706</v>
      </c>
    </row>
    <row r="1153" ht="33.75" customHeight="1">
      <c r="A1153" s="7">
        <v>40.0</v>
      </c>
      <c r="B1153" s="9" t="s">
        <v>2421</v>
      </c>
      <c r="C1153" s="9" t="s">
        <v>110</v>
      </c>
      <c r="D1153" s="9" t="s">
        <v>75</v>
      </c>
      <c r="E1153" s="6" t="s">
        <v>1977</v>
      </c>
      <c r="F1153" s="9" t="s">
        <v>2706</v>
      </c>
    </row>
    <row r="1154" ht="33.75" customHeight="1">
      <c r="A1154" s="7">
        <v>40.0</v>
      </c>
      <c r="B1154" s="9" t="s">
        <v>2421</v>
      </c>
      <c r="C1154" s="9" t="s">
        <v>110</v>
      </c>
      <c r="D1154" s="9" t="s">
        <v>79</v>
      </c>
      <c r="E1154" s="6" t="s">
        <v>1967</v>
      </c>
      <c r="F1154" s="9" t="s">
        <v>2706</v>
      </c>
    </row>
    <row r="1155" ht="33.75" customHeight="1">
      <c r="A1155" s="7">
        <v>40.0</v>
      </c>
      <c r="B1155" s="9" t="s">
        <v>2421</v>
      </c>
      <c r="C1155" s="9" t="s">
        <v>110</v>
      </c>
      <c r="D1155" s="9" t="s">
        <v>81</v>
      </c>
      <c r="E1155" s="6" t="s">
        <v>1978</v>
      </c>
      <c r="F1155" s="9" t="s">
        <v>2706</v>
      </c>
    </row>
    <row r="1156" ht="33.75" customHeight="1">
      <c r="A1156" s="7">
        <v>40.0</v>
      </c>
      <c r="B1156" s="9" t="s">
        <v>2421</v>
      </c>
      <c r="C1156" s="9" t="s">
        <v>110</v>
      </c>
      <c r="D1156" s="9" t="s">
        <v>84</v>
      </c>
      <c r="E1156" s="6" t="s">
        <v>1978</v>
      </c>
      <c r="F1156" s="9" t="s">
        <v>2706</v>
      </c>
    </row>
    <row r="1157" ht="33.75" customHeight="1">
      <c r="A1157" s="7">
        <v>40.0</v>
      </c>
      <c r="B1157" s="9" t="s">
        <v>2421</v>
      </c>
      <c r="C1157" s="9" t="s">
        <v>110</v>
      </c>
      <c r="D1157" s="9" t="s">
        <v>87</v>
      </c>
      <c r="E1157" s="6" t="s">
        <v>1978</v>
      </c>
      <c r="F1157" s="9" t="s">
        <v>2706</v>
      </c>
    </row>
    <row r="1158" ht="33.75" customHeight="1">
      <c r="A1158" s="7">
        <v>40.0</v>
      </c>
      <c r="B1158" s="9" t="s">
        <v>2421</v>
      </c>
      <c r="C1158" s="9" t="s">
        <v>110</v>
      </c>
      <c r="D1158" s="9" t="s">
        <v>89</v>
      </c>
      <c r="E1158" s="6" t="s">
        <v>1979</v>
      </c>
      <c r="F1158" s="9" t="s">
        <v>2706</v>
      </c>
    </row>
    <row r="1159" ht="33.75" customHeight="1">
      <c r="A1159" s="7">
        <v>40.0</v>
      </c>
      <c r="B1159" s="9" t="s">
        <v>2421</v>
      </c>
      <c r="C1159" s="9" t="s">
        <v>110</v>
      </c>
      <c r="D1159" s="9" t="s">
        <v>91</v>
      </c>
      <c r="E1159" s="6" t="s">
        <v>1981</v>
      </c>
      <c r="F1159" s="9" t="s">
        <v>2706</v>
      </c>
    </row>
    <row r="1160" ht="33.75" customHeight="1">
      <c r="A1160" s="7">
        <v>40.0</v>
      </c>
      <c r="B1160" s="9" t="s">
        <v>2421</v>
      </c>
      <c r="C1160" s="9" t="s">
        <v>110</v>
      </c>
      <c r="D1160" s="9" t="s">
        <v>93</v>
      </c>
      <c r="E1160" s="6" t="s">
        <v>1978</v>
      </c>
      <c r="F1160" s="9" t="s">
        <v>2706</v>
      </c>
    </row>
    <row r="1161" ht="33.75" customHeight="1">
      <c r="A1161" s="7">
        <v>40.0</v>
      </c>
      <c r="B1161" s="9" t="s">
        <v>2421</v>
      </c>
      <c r="C1161" s="9" t="s">
        <v>110</v>
      </c>
      <c r="D1161" s="9" t="s">
        <v>95</v>
      </c>
      <c r="E1161" s="6" t="s">
        <v>1978</v>
      </c>
      <c r="F1161" s="9" t="s">
        <v>2706</v>
      </c>
    </row>
    <row r="1162" ht="33.75" customHeight="1">
      <c r="A1162" s="7">
        <v>40.0</v>
      </c>
      <c r="B1162" s="9" t="s">
        <v>2421</v>
      </c>
      <c r="C1162" s="9" t="s">
        <v>110</v>
      </c>
      <c r="D1162" s="9" t="s">
        <v>98</v>
      </c>
      <c r="E1162" s="6" t="s">
        <v>1982</v>
      </c>
      <c r="F1162" s="9" t="s">
        <v>2706</v>
      </c>
    </row>
    <row r="1163" ht="33.75" customHeight="1">
      <c r="A1163" s="7">
        <v>40.0</v>
      </c>
      <c r="B1163" s="9" t="s">
        <v>2421</v>
      </c>
      <c r="C1163" s="9" t="s">
        <v>110</v>
      </c>
      <c r="D1163" s="9" t="s">
        <v>99</v>
      </c>
      <c r="E1163" s="6" t="s">
        <v>1982</v>
      </c>
      <c r="F1163" s="9" t="s">
        <v>2706</v>
      </c>
    </row>
    <row r="1164" ht="33.75" customHeight="1">
      <c r="A1164" s="7">
        <v>40.0</v>
      </c>
      <c r="B1164" s="9" t="s">
        <v>2421</v>
      </c>
      <c r="C1164" s="9" t="s">
        <v>110</v>
      </c>
      <c r="D1164" s="9" t="s">
        <v>101</v>
      </c>
      <c r="E1164" s="6" t="s">
        <v>1979</v>
      </c>
      <c r="F1164" s="9" t="s">
        <v>2706</v>
      </c>
    </row>
    <row r="1165" ht="33.75" customHeight="1">
      <c r="A1165" s="7">
        <v>40.0</v>
      </c>
      <c r="B1165" s="9" t="s">
        <v>2421</v>
      </c>
      <c r="C1165" s="9" t="s">
        <v>110</v>
      </c>
      <c r="D1165" s="9" t="s">
        <v>105</v>
      </c>
      <c r="E1165" s="6" t="s">
        <v>1967</v>
      </c>
      <c r="F1165" s="9" t="s">
        <v>2706</v>
      </c>
    </row>
    <row r="1166" ht="33.75" customHeight="1">
      <c r="A1166" s="7">
        <v>40.0</v>
      </c>
      <c r="B1166" s="9" t="s">
        <v>2421</v>
      </c>
      <c r="C1166" s="9" t="s">
        <v>110</v>
      </c>
      <c r="D1166" s="9" t="s">
        <v>107</v>
      </c>
      <c r="E1166" s="6" t="s">
        <v>1984</v>
      </c>
      <c r="F1166" s="9" t="s">
        <v>2706</v>
      </c>
    </row>
    <row r="1167" ht="33.75" customHeight="1">
      <c r="A1167" s="7">
        <v>40.0</v>
      </c>
      <c r="B1167" s="9" t="s">
        <v>2421</v>
      </c>
      <c r="C1167" s="9" t="s">
        <v>110</v>
      </c>
      <c r="D1167" s="9" t="s">
        <v>109</v>
      </c>
      <c r="E1167" s="6" t="s">
        <v>1985</v>
      </c>
      <c r="F1167" s="9" t="s">
        <v>2706</v>
      </c>
    </row>
    <row r="1168" ht="33.75" customHeight="1">
      <c r="A1168" s="7">
        <v>40.0</v>
      </c>
      <c r="B1168" s="9" t="s">
        <v>2421</v>
      </c>
      <c r="C1168" s="9" t="s">
        <v>110</v>
      </c>
      <c r="D1168" s="9" t="s">
        <v>637</v>
      </c>
      <c r="E1168" s="6" t="s">
        <v>1988</v>
      </c>
      <c r="F1168" s="9" t="s">
        <v>2706</v>
      </c>
    </row>
    <row r="1169" ht="33.75" customHeight="1">
      <c r="A1169" s="7">
        <v>40.0</v>
      </c>
      <c r="B1169" s="9" t="s">
        <v>2421</v>
      </c>
      <c r="C1169" s="9" t="s">
        <v>110</v>
      </c>
      <c r="D1169" s="9" t="s">
        <v>642</v>
      </c>
      <c r="E1169" s="6" t="s">
        <v>1989</v>
      </c>
      <c r="F1169" s="9" t="s">
        <v>2706</v>
      </c>
    </row>
    <row r="1170" ht="33.75" customHeight="1">
      <c r="A1170" s="7">
        <v>40.0</v>
      </c>
      <c r="B1170" s="9" t="s">
        <v>2421</v>
      </c>
      <c r="C1170" s="9" t="s">
        <v>110</v>
      </c>
      <c r="D1170" s="9" t="s">
        <v>647</v>
      </c>
      <c r="E1170" s="6" t="s">
        <v>1991</v>
      </c>
      <c r="F1170" s="9" t="s">
        <v>2706</v>
      </c>
    </row>
    <row r="1171" ht="33.75" customHeight="1">
      <c r="A1171" s="7">
        <v>40.0</v>
      </c>
      <c r="B1171" s="9" t="s">
        <v>2421</v>
      </c>
      <c r="C1171" s="9" t="s">
        <v>110</v>
      </c>
      <c r="D1171" s="9" t="s">
        <v>652</v>
      </c>
      <c r="E1171" s="6" t="s">
        <v>1995</v>
      </c>
      <c r="F1171" s="9" t="s">
        <v>2706</v>
      </c>
    </row>
    <row r="1172" ht="33.75" customHeight="1">
      <c r="A1172" s="7">
        <v>40.0</v>
      </c>
      <c r="B1172" s="9" t="s">
        <v>2421</v>
      </c>
      <c r="C1172" s="9" t="s">
        <v>110</v>
      </c>
      <c r="D1172" s="9" t="s">
        <v>111</v>
      </c>
      <c r="E1172" s="6" t="s">
        <v>1997</v>
      </c>
      <c r="F1172" s="9" t="s">
        <v>2706</v>
      </c>
    </row>
    <row r="1173" ht="33.75" customHeight="1">
      <c r="A1173" s="7">
        <v>40.0</v>
      </c>
      <c r="B1173" s="9" t="s">
        <v>2421</v>
      </c>
      <c r="C1173" s="9" t="s">
        <v>110</v>
      </c>
      <c r="D1173" s="9" t="s">
        <v>113</v>
      </c>
      <c r="E1173" s="6" t="s">
        <v>1997</v>
      </c>
      <c r="F1173" s="9" t="s">
        <v>2706</v>
      </c>
    </row>
    <row r="1174" ht="33.75" customHeight="1">
      <c r="A1174" s="7">
        <v>40.0</v>
      </c>
      <c r="B1174" s="9" t="s">
        <v>2421</v>
      </c>
      <c r="C1174" s="9" t="s">
        <v>110</v>
      </c>
      <c r="D1174" s="9" t="s">
        <v>114</v>
      </c>
      <c r="E1174" s="6" t="s">
        <v>1999</v>
      </c>
      <c r="F1174" s="9" t="s">
        <v>2706</v>
      </c>
    </row>
    <row r="1175" ht="33.75" customHeight="1">
      <c r="A1175" s="7">
        <v>40.0</v>
      </c>
      <c r="B1175" s="9" t="s">
        <v>2421</v>
      </c>
      <c r="C1175" s="9" t="s">
        <v>110</v>
      </c>
      <c r="D1175" s="9" t="s">
        <v>117</v>
      </c>
      <c r="E1175" s="6" t="s">
        <v>2000</v>
      </c>
      <c r="F1175" s="9" t="s">
        <v>2706</v>
      </c>
    </row>
    <row r="1176" ht="33.75" customHeight="1">
      <c r="A1176" s="7">
        <v>41.0</v>
      </c>
      <c r="B1176" s="9" t="s">
        <v>2487</v>
      </c>
      <c r="C1176" s="9" t="s">
        <v>112</v>
      </c>
      <c r="D1176" s="9" t="s">
        <v>24</v>
      </c>
      <c r="E1176" s="6" t="s">
        <v>2001</v>
      </c>
      <c r="F1176" s="9" t="s">
        <v>2779</v>
      </c>
      <c r="G1176" t="inlineStr" s="6">
        <is>
          <t xml:space="preserve">Forms colonies in perpetually dark places. Uses ultrasonic waves to identify and approach targets. Emits ultrasonic cries while it flies. They act as a sonar used to check for objects in its way. While flying, it constantly emits ultrasonic waves from its mouth to check its surroundings. Capable of flying safely in dark places, it emits ultrasonic cries to check for any obstacles. During the day, it gathers with others and hangs from the ceilings of old buildings and caves. ZUBAT remains quietly unmoving in a dark spot during the bright daylight hours. It does so because prolonged exposure to the sun causes its body to become slightly burned. ZUBAT avoids sunlight because exposure causes it to become unhealthy. During the daytime, it stays in caves or under the eaves of old houses, sleeping while hanging upside down. While living in pitch-black caverns, their eyes gradually grew shut and deprived them of vision. They use ultrasonic waves to detect obstacles. It has no eyes. Instead, it relies on its ultrasonic cries for echo location to flit about in darkness. It forms colonies in perpetually dark places and uses ultrasonic waves to identify and approach targets. Even though it has no eyes, it can sense obstacles using ultrasonic waves it emits from its mouth. Disliking sunlight, it sleeps deep in forests and caves until sundown. It checks its surroundings and location using reflections of the ultrasonic waves from its mouth. It does not need eyes, because it emits ultrasonic waves to check its surroundings while it flies. Instead, it relies on its ultrasonic cries for echolocation to flit about in darkness. It sleeps in caves during the day. It has no eyes, so to check its surroundings while flying, it emits ultrasonic waves. When exposed to sunlight, they suffer burns. The frequency of their ultrasonic waves can differ slightly from colony to colony. It has no eyeballs, so it can’t see. It checks its surroundings via the ultrasonic waves it emits from its mouth. Their skin is so thin that they’ll be burned if sunlight hits them. When it gets cold out, they gather together to warm one another’s bodies. It emits ultrasonic waves from its mouth to check its surroundings. Even in tight caves, Zubat flies around with skill. Zubat live in caves, down where the sun’s light won’t reach. In the morning, they gather together to keep each other warm as they sleep. Makes its home in gloomy caves. Atrophied eyes have left this Pokémon blind, so it scans its surroundings via sound waves that it emits from its mouth as it flies.</t>
        </is>
      </c>
    </row>
    <row r="1177" ht="33.75" customHeight="1">
      <c r="A1177" s="7">
        <v>41.0</v>
      </c>
      <c r="B1177" s="9" t="s">
        <v>2487</v>
      </c>
      <c r="C1177" s="9" t="s">
        <v>112</v>
      </c>
      <c r="D1177" s="9" t="s">
        <v>35</v>
      </c>
      <c r="E1177" s="6" t="s">
        <v>2001</v>
      </c>
      <c r="F1177" s="9" t="s">
        <v>2779</v>
      </c>
    </row>
    <row r="1178" ht="33.75" customHeight="1">
      <c r="A1178" s="7">
        <v>41.0</v>
      </c>
      <c r="B1178" s="9" t="s">
        <v>2487</v>
      </c>
      <c r="C1178" s="9" t="s">
        <v>112</v>
      </c>
      <c r="D1178" s="9" t="s">
        <v>42</v>
      </c>
      <c r="E1178" s="6" t="s">
        <v>2003</v>
      </c>
      <c r="F1178" s="9" t="s">
        <v>2779</v>
      </c>
    </row>
    <row r="1179" ht="33.75" customHeight="1">
      <c r="A1179" s="7">
        <v>41.0</v>
      </c>
      <c r="B1179" s="9" t="s">
        <v>2487</v>
      </c>
      <c r="C1179" s="9" t="s">
        <v>112</v>
      </c>
      <c r="D1179" s="9" t="s">
        <v>52</v>
      </c>
      <c r="E1179" s="6" t="s">
        <v>2005</v>
      </c>
      <c r="F1179" s="9" t="s">
        <v>2779</v>
      </c>
    </row>
    <row r="1180" ht="33.75" customHeight="1">
      <c r="A1180" s="7">
        <v>41.0</v>
      </c>
      <c r="B1180" s="9" t="s">
        <v>2487</v>
      </c>
      <c r="C1180" s="9" t="s">
        <v>112</v>
      </c>
      <c r="D1180" s="9" t="s">
        <v>59</v>
      </c>
      <c r="E1180" s="6" t="s">
        <v>2007</v>
      </c>
      <c r="F1180" s="9" t="s">
        <v>2779</v>
      </c>
    </row>
    <row r="1181" ht="33.75" customHeight="1">
      <c r="A1181" s="7">
        <v>41.0</v>
      </c>
      <c r="B1181" s="9" t="s">
        <v>2487</v>
      </c>
      <c r="C1181" s="9" t="s">
        <v>112</v>
      </c>
      <c r="D1181" s="9" t="s">
        <v>64</v>
      </c>
      <c r="E1181" s="6" t="s">
        <v>2009</v>
      </c>
      <c r="F1181" s="9" t="s">
        <v>2779</v>
      </c>
    </row>
    <row r="1182" ht="33.75" customHeight="1">
      <c r="A1182" s="7">
        <v>41.0</v>
      </c>
      <c r="B1182" s="9" t="s">
        <v>2487</v>
      </c>
      <c r="C1182" s="9" t="s">
        <v>112</v>
      </c>
      <c r="D1182" s="9" t="s">
        <v>67</v>
      </c>
      <c r="E1182" s="6" t="s">
        <v>2010</v>
      </c>
      <c r="F1182" s="9" t="s">
        <v>2779</v>
      </c>
    </row>
    <row r="1183" ht="33.75" customHeight="1">
      <c r="A1183" s="7">
        <v>41.0</v>
      </c>
      <c r="B1183" s="9" t="s">
        <v>2487</v>
      </c>
      <c r="C1183" s="9" t="s">
        <v>112</v>
      </c>
      <c r="D1183" s="9" t="s">
        <v>71</v>
      </c>
      <c r="E1183" s="6" t="s">
        <v>2011</v>
      </c>
      <c r="F1183" s="9" t="s">
        <v>2779</v>
      </c>
    </row>
    <row r="1184" ht="33.75" customHeight="1">
      <c r="A1184" s="7">
        <v>41.0</v>
      </c>
      <c r="B1184" s="9" t="s">
        <v>2487</v>
      </c>
      <c r="C1184" s="9" t="s">
        <v>112</v>
      </c>
      <c r="D1184" s="9" t="s">
        <v>73</v>
      </c>
      <c r="E1184" s="6" t="s">
        <v>2012</v>
      </c>
      <c r="F1184" s="9" t="s">
        <v>2779</v>
      </c>
    </row>
    <row r="1185" ht="33.75" customHeight="1">
      <c r="A1185" s="7">
        <v>41.0</v>
      </c>
      <c r="B1185" s="9" t="s">
        <v>2487</v>
      </c>
      <c r="C1185" s="9" t="s">
        <v>112</v>
      </c>
      <c r="D1185" s="9" t="s">
        <v>75</v>
      </c>
      <c r="E1185" s="6" t="s">
        <v>2013</v>
      </c>
      <c r="F1185" s="9" t="s">
        <v>2779</v>
      </c>
    </row>
    <row r="1186" ht="33.75" customHeight="1">
      <c r="A1186" s="7">
        <v>41.0</v>
      </c>
      <c r="B1186" s="9" t="s">
        <v>2487</v>
      </c>
      <c r="C1186" s="9" t="s">
        <v>112</v>
      </c>
      <c r="D1186" s="9" t="s">
        <v>79</v>
      </c>
      <c r="E1186" s="6" t="s">
        <v>2014</v>
      </c>
      <c r="F1186" s="9" t="s">
        <v>2779</v>
      </c>
    </row>
    <row r="1187" ht="33.75" customHeight="1">
      <c r="A1187" s="7">
        <v>41.0</v>
      </c>
      <c r="B1187" s="9" t="s">
        <v>2487</v>
      </c>
      <c r="C1187" s="9" t="s">
        <v>112</v>
      </c>
      <c r="D1187" s="9" t="s">
        <v>81</v>
      </c>
      <c r="E1187" s="6" t="s">
        <v>2015</v>
      </c>
      <c r="F1187" s="9" t="s">
        <v>2779</v>
      </c>
    </row>
    <row r="1188" ht="33.75" customHeight="1">
      <c r="A1188" s="7">
        <v>41.0</v>
      </c>
      <c r="B1188" s="9" t="s">
        <v>2487</v>
      </c>
      <c r="C1188" s="9" t="s">
        <v>112</v>
      </c>
      <c r="D1188" s="9" t="s">
        <v>84</v>
      </c>
      <c r="E1188" s="6" t="s">
        <v>2016</v>
      </c>
      <c r="F1188" s="9" t="s">
        <v>2779</v>
      </c>
    </row>
    <row r="1189" ht="33.75" customHeight="1">
      <c r="A1189" s="7">
        <v>41.0</v>
      </c>
      <c r="B1189" s="9" t="s">
        <v>2487</v>
      </c>
      <c r="C1189" s="9" t="s">
        <v>112</v>
      </c>
      <c r="D1189" s="9" t="s">
        <v>87</v>
      </c>
      <c r="E1189" s="6" t="s">
        <v>2017</v>
      </c>
      <c r="F1189" s="9" t="s">
        <v>2779</v>
      </c>
    </row>
    <row r="1190" ht="33.75" customHeight="1">
      <c r="A1190" s="7">
        <v>41.0</v>
      </c>
      <c r="B1190" s="9" t="s">
        <v>2487</v>
      </c>
      <c r="C1190" s="9" t="s">
        <v>112</v>
      </c>
      <c r="D1190" s="9" t="s">
        <v>89</v>
      </c>
      <c r="E1190" s="6" t="s">
        <v>2018</v>
      </c>
      <c r="F1190" s="9" t="s">
        <v>2779</v>
      </c>
    </row>
    <row r="1191" ht="33.75" customHeight="1">
      <c r="A1191" s="7">
        <v>41.0</v>
      </c>
      <c r="B1191" s="9" t="s">
        <v>2487</v>
      </c>
      <c r="C1191" s="9" t="s">
        <v>112</v>
      </c>
      <c r="D1191" s="9" t="s">
        <v>91</v>
      </c>
      <c r="E1191" s="6" t="s">
        <v>2007</v>
      </c>
      <c r="F1191" s="9" t="s">
        <v>2779</v>
      </c>
    </row>
    <row r="1192" ht="33.75" customHeight="1">
      <c r="A1192" s="7">
        <v>41.0</v>
      </c>
      <c r="B1192" s="9" t="s">
        <v>2487</v>
      </c>
      <c r="C1192" s="9" t="s">
        <v>112</v>
      </c>
      <c r="D1192" s="9" t="s">
        <v>93</v>
      </c>
      <c r="E1192" s="6" t="s">
        <v>2017</v>
      </c>
      <c r="F1192" s="9" t="s">
        <v>2779</v>
      </c>
    </row>
    <row r="1193" ht="33.75" customHeight="1">
      <c r="A1193" s="7">
        <v>41.0</v>
      </c>
      <c r="B1193" s="9" t="s">
        <v>2487</v>
      </c>
      <c r="C1193" s="9" t="s">
        <v>112</v>
      </c>
      <c r="D1193" s="9" t="s">
        <v>95</v>
      </c>
      <c r="E1193" s="6" t="s">
        <v>2017</v>
      </c>
      <c r="F1193" s="9" t="s">
        <v>2779</v>
      </c>
    </row>
    <row r="1194" ht="33.75" customHeight="1">
      <c r="A1194" s="7">
        <v>41.0</v>
      </c>
      <c r="B1194" s="9" t="s">
        <v>2487</v>
      </c>
      <c r="C1194" s="9" t="s">
        <v>112</v>
      </c>
      <c r="D1194" s="9" t="s">
        <v>98</v>
      </c>
      <c r="E1194" s="6" t="s">
        <v>2019</v>
      </c>
      <c r="F1194" s="9" t="s">
        <v>2779</v>
      </c>
    </row>
    <row r="1195" ht="33.75" customHeight="1">
      <c r="A1195" s="7">
        <v>41.0</v>
      </c>
      <c r="B1195" s="9" t="s">
        <v>2487</v>
      </c>
      <c r="C1195" s="9" t="s">
        <v>112</v>
      </c>
      <c r="D1195" s="9" t="s">
        <v>99</v>
      </c>
      <c r="E1195" s="6" t="s">
        <v>2019</v>
      </c>
      <c r="F1195" s="9" t="s">
        <v>2779</v>
      </c>
    </row>
    <row r="1196" ht="33.75" customHeight="1">
      <c r="A1196" s="7">
        <v>41.0</v>
      </c>
      <c r="B1196" s="9" t="s">
        <v>2487</v>
      </c>
      <c r="C1196" s="9" t="s">
        <v>112</v>
      </c>
      <c r="D1196" s="9" t="s">
        <v>101</v>
      </c>
      <c r="E1196" s="6" t="s">
        <v>2015</v>
      </c>
      <c r="F1196" s="9" t="s">
        <v>2779</v>
      </c>
    </row>
    <row r="1197" ht="33.75" customHeight="1">
      <c r="A1197" s="7">
        <v>41.0</v>
      </c>
      <c r="B1197" s="9" t="s">
        <v>2487</v>
      </c>
      <c r="C1197" s="9" t="s">
        <v>112</v>
      </c>
      <c r="D1197" s="9" t="s">
        <v>105</v>
      </c>
      <c r="E1197" s="6" t="s">
        <v>2020</v>
      </c>
      <c r="F1197" s="9" t="s">
        <v>2779</v>
      </c>
    </row>
    <row r="1198" ht="33.75" customHeight="1">
      <c r="A1198" s="7">
        <v>41.0</v>
      </c>
      <c r="B1198" s="9" t="s">
        <v>2487</v>
      </c>
      <c r="C1198" s="9" t="s">
        <v>112</v>
      </c>
      <c r="D1198" s="9" t="s">
        <v>107</v>
      </c>
      <c r="E1198" s="6" t="s">
        <v>2021</v>
      </c>
      <c r="F1198" s="9" t="s">
        <v>2779</v>
      </c>
    </row>
    <row r="1199" ht="33.75" customHeight="1">
      <c r="A1199" s="7">
        <v>41.0</v>
      </c>
      <c r="B1199" s="9" t="s">
        <v>2487</v>
      </c>
      <c r="C1199" s="9" t="s">
        <v>112</v>
      </c>
      <c r="D1199" s="9" t="s">
        <v>109</v>
      </c>
      <c r="E1199" s="6" t="s">
        <v>2023</v>
      </c>
      <c r="F1199" s="9" t="s">
        <v>2779</v>
      </c>
    </row>
    <row r="1200" ht="33.75" customHeight="1">
      <c r="A1200" s="7">
        <v>41.0</v>
      </c>
      <c r="B1200" s="9" t="s">
        <v>2487</v>
      </c>
      <c r="C1200" s="9" t="s">
        <v>112</v>
      </c>
      <c r="D1200" s="9" t="s">
        <v>637</v>
      </c>
      <c r="E1200" s="6" t="s">
        <v>2024</v>
      </c>
      <c r="F1200" s="9" t="s">
        <v>2779</v>
      </c>
    </row>
    <row r="1201" ht="33.75" customHeight="1">
      <c r="A1201" s="7">
        <v>41.0</v>
      </c>
      <c r="B1201" s="9" t="s">
        <v>2487</v>
      </c>
      <c r="C1201" s="9" t="s">
        <v>112</v>
      </c>
      <c r="D1201" s="9" t="s">
        <v>642</v>
      </c>
      <c r="E1201" s="6" t="s">
        <v>2025</v>
      </c>
      <c r="F1201" s="9" t="s">
        <v>2779</v>
      </c>
    </row>
    <row r="1202" ht="33.75" customHeight="1">
      <c r="A1202" s="7">
        <v>41.0</v>
      </c>
      <c r="B1202" s="9" t="s">
        <v>2487</v>
      </c>
      <c r="C1202" s="9" t="s">
        <v>112</v>
      </c>
      <c r="D1202" s="9" t="s">
        <v>647</v>
      </c>
      <c r="E1202" s="6" t="s">
        <v>2026</v>
      </c>
      <c r="F1202" s="9" t="s">
        <v>2779</v>
      </c>
    </row>
    <row r="1203" ht="33.75" customHeight="1">
      <c r="A1203" s="7">
        <v>41.0</v>
      </c>
      <c r="B1203" s="9" t="s">
        <v>2487</v>
      </c>
      <c r="C1203" s="9" t="s">
        <v>112</v>
      </c>
      <c r="D1203" s="9" t="s">
        <v>652</v>
      </c>
      <c r="E1203" s="6" t="s">
        <v>2029</v>
      </c>
      <c r="F1203" s="9" t="s">
        <v>2779</v>
      </c>
    </row>
    <row r="1204" ht="33.75" customHeight="1">
      <c r="A1204" s="7">
        <v>41.0</v>
      </c>
      <c r="B1204" s="9" t="s">
        <v>2487</v>
      </c>
      <c r="C1204" s="9" t="s">
        <v>112</v>
      </c>
      <c r="D1204" s="9" t="s">
        <v>111</v>
      </c>
      <c r="E1204" s="6" t="s">
        <v>2032</v>
      </c>
      <c r="F1204" s="9" t="s">
        <v>2779</v>
      </c>
    </row>
    <row r="1205" ht="33.75" customHeight="1">
      <c r="A1205" s="7">
        <v>41.0</v>
      </c>
      <c r="B1205" s="9" t="s">
        <v>2487</v>
      </c>
      <c r="C1205" s="9" t="s">
        <v>112</v>
      </c>
      <c r="D1205" s="9" t="s">
        <v>113</v>
      </c>
      <c r="E1205" s="6" t="s">
        <v>2032</v>
      </c>
      <c r="F1205" s="9" t="s">
        <v>2779</v>
      </c>
    </row>
    <row r="1206" ht="33.75" customHeight="1">
      <c r="A1206" s="7">
        <v>41.0</v>
      </c>
      <c r="B1206" s="9" t="s">
        <v>2487</v>
      </c>
      <c r="C1206" s="9" t="s">
        <v>112</v>
      </c>
      <c r="D1206" s="9" t="s">
        <v>114</v>
      </c>
      <c r="E1206" s="6" t="s">
        <v>2033</v>
      </c>
      <c r="F1206" s="9" t="s">
        <v>2779</v>
      </c>
    </row>
    <row r="1207" ht="33.75" customHeight="1">
      <c r="A1207" s="7">
        <v>41.0</v>
      </c>
      <c r="B1207" s="9" t="s">
        <v>2487</v>
      </c>
      <c r="C1207" s="9" t="s">
        <v>112</v>
      </c>
      <c r="D1207" s="9" t="s">
        <v>117</v>
      </c>
      <c r="E1207" s="6" t="s">
        <v>2035</v>
      </c>
      <c r="F1207" s="9" t="s">
        <v>2779</v>
      </c>
    </row>
    <row r="1208" ht="33.75" customHeight="1">
      <c r="A1208" s="7">
        <v>41.0</v>
      </c>
      <c r="B1208" s="9" t="s">
        <v>2487</v>
      </c>
      <c r="C1208" s="9" t="s">
        <v>112</v>
      </c>
      <c r="D1208" s="9" t="s">
        <v>1577</v>
      </c>
      <c r="E1208" s="6" t="s">
        <v>2037</v>
      </c>
      <c r="F1208" s="9" t="s">
        <v>2779</v>
      </c>
    </row>
    <row r="1209" ht="33.75" customHeight="1">
      <c r="A1209" s="7">
        <v>42.0</v>
      </c>
      <c r="B1209" s="9" t="s">
        <v>2553</v>
      </c>
      <c r="C1209" s="9" t="s">
        <v>112</v>
      </c>
      <c r="D1209" s="9" t="s">
        <v>24</v>
      </c>
      <c r="E1209" s="6" t="s">
        <v>2039</v>
      </c>
      <c r="F1209" s="9" t="s">
        <v>2895</v>
      </c>
      <c r="G1209" t="inlineStr" s="6">
        <is>
          <t xml:space="preserve">Once Golbat strikes, it will not stop draining energy from the victim even if it gets too heavy to fly. It attacks in a stealthy manner, without warning. Its sharp fangs are used to bite and suck blood. However hard its victim's hide may be, it punctures with sharp fangs and gorges itself with blood. It can drink more than 10 ounces of blood at once. If it has too much, it gets heavy and flies clumsily. When it plunges its fangs into its prey, it instantly draws and gulps down more than ten ounces of blood. GOLBAT loves to drink the blood of living things. It is particularly active in the pitch black of night. This POKéMON flits around in the night skies, seeking fresh blood. GOLBAT bites down on prey with its four fangs and drinks the victim’s blood. It becomes active on inky dark moonless nights, flying around to attack people and POKéMON. Its fangs easily puncture even thick animal hide. It loves to feast on the blood of people and POKéMON. It flits about in darkness and strikes from behind. It clamps down on its prey with needle- sharp fangs and drains over 10 ounces of blood in one gulp. Once it bites, it will not stop draining energy from the victim even if it gets too heavy to fly. It loves the blood of humans and Pokémon. It flies around at night in search of neck veins. Once it starts sucking blood, it does not stop until it is full. It flies at night in search of prey. Its sharp fangs puncture the toughest of hides and have small holes for greedily sucking blood. Flitting around in the dead of night, it sinks its fangs into its prey and drains a nearly fatal amount of blood. Its thick fangs are hollow like straws, making them unexpectedly fragile. These fangs are specialized for sucking blood. Sometimes they drink so much blood, they can’t fly anymore. Then they fall to the ground and become food for other Pokémon. Every once in a while, you’ll see a Golbat that’s missing some fangs. This happens when hunger drives it to try biting a Steel-type Pokémon. They can suck down over 10 ounces of blood in one go. They have been known to drink so much blood that they can no longer fly. Its sharp fangs are used to bite and to suck blood. It loves to drink other creatures’ blood. It’s said that if it finds others of its kind going hungry, it sometimes shares the blood it’s gathered. Its feet are tiny, but this Pokémon walks skillfully. It sneaks up on sleeping prey before sinking in its fangs and slurping up blood. It sinks its sharp fangs into other creatures and slurps up their blood. A closer look at the fangs reveals that they are hollow and akin to straws.</t>
        </is>
      </c>
    </row>
    <row r="1210" ht="33.75" customHeight="1">
      <c r="A1210" s="7">
        <v>42.0</v>
      </c>
      <c r="B1210" s="9" t="s">
        <v>2553</v>
      </c>
      <c r="C1210" s="9" t="s">
        <v>112</v>
      </c>
      <c r="D1210" s="9" t="s">
        <v>35</v>
      </c>
      <c r="E1210" s="6" t="s">
        <v>2039</v>
      </c>
      <c r="F1210" s="9" t="s">
        <v>2895</v>
      </c>
    </row>
    <row r="1211" ht="33.75" customHeight="1">
      <c r="A1211" s="7">
        <v>42.0</v>
      </c>
      <c r="B1211" s="9" t="s">
        <v>2553</v>
      </c>
      <c r="C1211" s="9" t="s">
        <v>112</v>
      </c>
      <c r="D1211" s="9" t="s">
        <v>42</v>
      </c>
      <c r="E1211" s="6" t="s">
        <v>2041</v>
      </c>
      <c r="F1211" s="9" t="s">
        <v>2895</v>
      </c>
    </row>
    <row r="1212" ht="33.75" customHeight="1">
      <c r="A1212" s="7">
        <v>42.0</v>
      </c>
      <c r="B1212" s="9" t="s">
        <v>2553</v>
      </c>
      <c r="C1212" s="9" t="s">
        <v>112</v>
      </c>
      <c r="D1212" s="9" t="s">
        <v>52</v>
      </c>
      <c r="E1212" s="6" t="s">
        <v>2045</v>
      </c>
      <c r="F1212" s="9" t="s">
        <v>2895</v>
      </c>
    </row>
    <row r="1213" ht="33.75" customHeight="1">
      <c r="A1213" s="7">
        <v>42.0</v>
      </c>
      <c r="B1213" s="9" t="s">
        <v>2553</v>
      </c>
      <c r="C1213" s="9" t="s">
        <v>112</v>
      </c>
      <c r="D1213" s="9" t="s">
        <v>59</v>
      </c>
      <c r="E1213" s="6" t="s">
        <v>2046</v>
      </c>
      <c r="F1213" s="9" t="s">
        <v>2895</v>
      </c>
    </row>
    <row r="1214" ht="33.75" customHeight="1">
      <c r="A1214" s="7">
        <v>42.0</v>
      </c>
      <c r="B1214" s="9" t="s">
        <v>2553</v>
      </c>
      <c r="C1214" s="9" t="s">
        <v>112</v>
      </c>
      <c r="D1214" s="9" t="s">
        <v>64</v>
      </c>
      <c r="E1214" s="6" t="s">
        <v>2047</v>
      </c>
      <c r="F1214" s="9" t="s">
        <v>2895</v>
      </c>
    </row>
    <row r="1215" ht="33.75" customHeight="1">
      <c r="A1215" s="7">
        <v>42.0</v>
      </c>
      <c r="B1215" s="9" t="s">
        <v>2553</v>
      </c>
      <c r="C1215" s="9" t="s">
        <v>112</v>
      </c>
      <c r="D1215" s="9" t="s">
        <v>67</v>
      </c>
      <c r="E1215" s="6" t="s">
        <v>2049</v>
      </c>
      <c r="F1215" s="9" t="s">
        <v>2895</v>
      </c>
    </row>
    <row r="1216" ht="33.75" customHeight="1">
      <c r="A1216" s="7">
        <v>42.0</v>
      </c>
      <c r="B1216" s="9" t="s">
        <v>2553</v>
      </c>
      <c r="C1216" s="9" t="s">
        <v>112</v>
      </c>
      <c r="D1216" s="9" t="s">
        <v>71</v>
      </c>
      <c r="E1216" s="6" t="s">
        <v>2050</v>
      </c>
      <c r="F1216" s="9" t="s">
        <v>2895</v>
      </c>
    </row>
    <row r="1217" ht="33.75" customHeight="1">
      <c r="A1217" s="7">
        <v>42.0</v>
      </c>
      <c r="B1217" s="9" t="s">
        <v>2553</v>
      </c>
      <c r="C1217" s="9" t="s">
        <v>112</v>
      </c>
      <c r="D1217" s="9" t="s">
        <v>73</v>
      </c>
      <c r="E1217" s="6" t="s">
        <v>2051</v>
      </c>
      <c r="F1217" s="9" t="s">
        <v>2895</v>
      </c>
    </row>
    <row r="1218" ht="33.75" customHeight="1">
      <c r="A1218" s="7">
        <v>42.0</v>
      </c>
      <c r="B1218" s="9" t="s">
        <v>2553</v>
      </c>
      <c r="C1218" s="9" t="s">
        <v>112</v>
      </c>
      <c r="D1218" s="9" t="s">
        <v>75</v>
      </c>
      <c r="E1218" s="6" t="s">
        <v>2052</v>
      </c>
      <c r="F1218" s="9" t="s">
        <v>2895</v>
      </c>
    </row>
    <row r="1219" ht="33.75" customHeight="1">
      <c r="A1219" s="7">
        <v>42.0</v>
      </c>
      <c r="B1219" s="9" t="s">
        <v>2553</v>
      </c>
      <c r="C1219" s="9" t="s">
        <v>112</v>
      </c>
      <c r="D1219" s="9" t="s">
        <v>79</v>
      </c>
      <c r="E1219" s="6" t="s">
        <v>2053</v>
      </c>
      <c r="F1219" s="9" t="s">
        <v>2895</v>
      </c>
    </row>
    <row r="1220" ht="33.75" customHeight="1">
      <c r="A1220" s="7">
        <v>42.0</v>
      </c>
      <c r="B1220" s="9" t="s">
        <v>2553</v>
      </c>
      <c r="C1220" s="9" t="s">
        <v>112</v>
      </c>
      <c r="D1220" s="9" t="s">
        <v>81</v>
      </c>
      <c r="E1220" s="6" t="s">
        <v>2054</v>
      </c>
      <c r="F1220" s="9" t="s">
        <v>2895</v>
      </c>
    </row>
    <row r="1221" ht="33.75" customHeight="1">
      <c r="A1221" s="7">
        <v>42.0</v>
      </c>
      <c r="B1221" s="9" t="s">
        <v>2553</v>
      </c>
      <c r="C1221" s="9" t="s">
        <v>112</v>
      </c>
      <c r="D1221" s="9" t="s">
        <v>84</v>
      </c>
      <c r="E1221" s="6" t="s">
        <v>2055</v>
      </c>
      <c r="F1221" s="9" t="s">
        <v>2895</v>
      </c>
    </row>
    <row r="1222" ht="33.75" customHeight="1">
      <c r="A1222" s="7">
        <v>42.0</v>
      </c>
      <c r="B1222" s="9" t="s">
        <v>2553</v>
      </c>
      <c r="C1222" s="9" t="s">
        <v>112</v>
      </c>
      <c r="D1222" s="9" t="s">
        <v>87</v>
      </c>
      <c r="E1222" s="6" t="s">
        <v>2057</v>
      </c>
      <c r="F1222" s="9" t="s">
        <v>2895</v>
      </c>
    </row>
    <row r="1223" ht="33.75" customHeight="1">
      <c r="A1223" s="7">
        <v>42.0</v>
      </c>
      <c r="B1223" s="9" t="s">
        <v>2553</v>
      </c>
      <c r="C1223" s="9" t="s">
        <v>112</v>
      </c>
      <c r="D1223" s="9" t="s">
        <v>89</v>
      </c>
      <c r="E1223" s="6" t="s">
        <v>2058</v>
      </c>
      <c r="F1223" s="9" t="s">
        <v>2895</v>
      </c>
    </row>
    <row r="1224" ht="33.75" customHeight="1">
      <c r="A1224" s="7">
        <v>42.0</v>
      </c>
      <c r="B1224" s="9" t="s">
        <v>2553</v>
      </c>
      <c r="C1224" s="9" t="s">
        <v>112</v>
      </c>
      <c r="D1224" s="9" t="s">
        <v>91</v>
      </c>
      <c r="E1224" s="6" t="s">
        <v>2046</v>
      </c>
      <c r="F1224" s="9" t="s">
        <v>2895</v>
      </c>
    </row>
    <row r="1225" ht="33.75" customHeight="1">
      <c r="A1225" s="7">
        <v>42.0</v>
      </c>
      <c r="B1225" s="9" t="s">
        <v>2553</v>
      </c>
      <c r="C1225" s="9" t="s">
        <v>112</v>
      </c>
      <c r="D1225" s="9" t="s">
        <v>93</v>
      </c>
      <c r="E1225" s="6" t="s">
        <v>2057</v>
      </c>
      <c r="F1225" s="9" t="s">
        <v>2895</v>
      </c>
    </row>
    <row r="1226" ht="33.75" customHeight="1">
      <c r="A1226" s="7">
        <v>42.0</v>
      </c>
      <c r="B1226" s="9" t="s">
        <v>2553</v>
      </c>
      <c r="C1226" s="9" t="s">
        <v>112</v>
      </c>
      <c r="D1226" s="9" t="s">
        <v>95</v>
      </c>
      <c r="E1226" s="6" t="s">
        <v>2057</v>
      </c>
      <c r="F1226" s="9" t="s">
        <v>2895</v>
      </c>
    </row>
    <row r="1227" ht="33.75" customHeight="1">
      <c r="A1227" s="7">
        <v>42.0</v>
      </c>
      <c r="B1227" s="9" t="s">
        <v>2553</v>
      </c>
      <c r="C1227" s="9" t="s">
        <v>112</v>
      </c>
      <c r="D1227" s="9" t="s">
        <v>98</v>
      </c>
      <c r="E1227" s="6" t="s">
        <v>2059</v>
      </c>
      <c r="F1227" s="9" t="s">
        <v>2895</v>
      </c>
    </row>
    <row r="1228" ht="33.75" customHeight="1">
      <c r="A1228" s="7">
        <v>42.0</v>
      </c>
      <c r="B1228" s="9" t="s">
        <v>2553</v>
      </c>
      <c r="C1228" s="9" t="s">
        <v>112</v>
      </c>
      <c r="D1228" s="9" t="s">
        <v>99</v>
      </c>
      <c r="E1228" s="6" t="s">
        <v>2059</v>
      </c>
      <c r="F1228" s="9" t="s">
        <v>2895</v>
      </c>
    </row>
    <row r="1229" ht="33.75" customHeight="1">
      <c r="A1229" s="7">
        <v>42.0</v>
      </c>
      <c r="B1229" s="9" t="s">
        <v>2553</v>
      </c>
      <c r="C1229" s="9" t="s">
        <v>112</v>
      </c>
      <c r="D1229" s="9" t="s">
        <v>101</v>
      </c>
      <c r="E1229" s="6" t="s">
        <v>2053</v>
      </c>
      <c r="F1229" s="9" t="s">
        <v>2895</v>
      </c>
    </row>
    <row r="1230" ht="33.75" customHeight="1">
      <c r="A1230" s="7">
        <v>42.0</v>
      </c>
      <c r="B1230" s="9" t="s">
        <v>2553</v>
      </c>
      <c r="C1230" s="9" t="s">
        <v>112</v>
      </c>
      <c r="D1230" s="9" t="s">
        <v>105</v>
      </c>
      <c r="E1230" s="6" t="s">
        <v>2055</v>
      </c>
      <c r="F1230" s="9" t="s">
        <v>2895</v>
      </c>
    </row>
    <row r="1231" ht="33.75" customHeight="1">
      <c r="A1231" s="7">
        <v>42.0</v>
      </c>
      <c r="B1231" s="9" t="s">
        <v>2553</v>
      </c>
      <c r="C1231" s="9" t="s">
        <v>112</v>
      </c>
      <c r="D1231" s="9" t="s">
        <v>107</v>
      </c>
      <c r="E1231" s="6" t="s">
        <v>2060</v>
      </c>
      <c r="F1231" s="9" t="s">
        <v>2895</v>
      </c>
    </row>
    <row r="1232" ht="33.75" customHeight="1">
      <c r="A1232" s="7">
        <v>42.0</v>
      </c>
      <c r="B1232" s="9" t="s">
        <v>2553</v>
      </c>
      <c r="C1232" s="9" t="s">
        <v>112</v>
      </c>
      <c r="D1232" s="9" t="s">
        <v>109</v>
      </c>
      <c r="E1232" s="6" t="s">
        <v>2062</v>
      </c>
      <c r="F1232" s="9" t="s">
        <v>2895</v>
      </c>
    </row>
    <row r="1233" ht="33.75" customHeight="1">
      <c r="A1233" s="7">
        <v>42.0</v>
      </c>
      <c r="B1233" s="9" t="s">
        <v>2553</v>
      </c>
      <c r="C1233" s="9" t="s">
        <v>112</v>
      </c>
      <c r="D1233" s="9" t="s">
        <v>637</v>
      </c>
      <c r="E1233" s="6" t="s">
        <v>2064</v>
      </c>
      <c r="F1233" s="9" t="s">
        <v>2895</v>
      </c>
    </row>
    <row r="1234" ht="33.75" customHeight="1">
      <c r="A1234" s="7">
        <v>42.0</v>
      </c>
      <c r="B1234" s="9" t="s">
        <v>2553</v>
      </c>
      <c r="C1234" s="9" t="s">
        <v>112</v>
      </c>
      <c r="D1234" s="9" t="s">
        <v>642</v>
      </c>
      <c r="E1234" s="6" t="s">
        <v>2065</v>
      </c>
      <c r="F1234" s="9" t="s">
        <v>2895</v>
      </c>
    </row>
    <row r="1235" ht="33.75" customHeight="1">
      <c r="A1235" s="7">
        <v>42.0</v>
      </c>
      <c r="B1235" s="9" t="s">
        <v>2553</v>
      </c>
      <c r="C1235" s="9" t="s">
        <v>112</v>
      </c>
      <c r="D1235" s="9" t="s">
        <v>647</v>
      </c>
      <c r="E1235" s="6" t="s">
        <v>2067</v>
      </c>
      <c r="F1235" s="9" t="s">
        <v>2895</v>
      </c>
    </row>
    <row r="1236" ht="33.75" customHeight="1">
      <c r="A1236" s="7">
        <v>42.0</v>
      </c>
      <c r="B1236" s="9" t="s">
        <v>2553</v>
      </c>
      <c r="C1236" s="9" t="s">
        <v>112</v>
      </c>
      <c r="D1236" s="9" t="s">
        <v>652</v>
      </c>
      <c r="E1236" s="6" t="s">
        <v>2068</v>
      </c>
      <c r="F1236" s="9" t="s">
        <v>2895</v>
      </c>
    </row>
    <row r="1237" ht="33.75" customHeight="1">
      <c r="A1237" s="7">
        <v>42.0</v>
      </c>
      <c r="B1237" s="9" t="s">
        <v>2553</v>
      </c>
      <c r="C1237" s="9" t="s">
        <v>112</v>
      </c>
      <c r="D1237" s="9" t="s">
        <v>111</v>
      </c>
      <c r="E1237" s="6" t="s">
        <v>2069</v>
      </c>
      <c r="F1237" s="9" t="s">
        <v>2895</v>
      </c>
    </row>
    <row r="1238" ht="33.75" customHeight="1">
      <c r="A1238" s="7">
        <v>42.0</v>
      </c>
      <c r="B1238" s="9" t="s">
        <v>2553</v>
      </c>
      <c r="C1238" s="9" t="s">
        <v>112</v>
      </c>
      <c r="D1238" s="9" t="s">
        <v>113</v>
      </c>
      <c r="E1238" s="6" t="s">
        <v>2069</v>
      </c>
      <c r="F1238" s="9" t="s">
        <v>2895</v>
      </c>
    </row>
    <row r="1239" ht="33.75" customHeight="1">
      <c r="A1239" s="7">
        <v>42.0</v>
      </c>
      <c r="B1239" s="9" t="s">
        <v>2553</v>
      </c>
      <c r="C1239" s="9" t="s">
        <v>112</v>
      </c>
      <c r="D1239" s="9" t="s">
        <v>114</v>
      </c>
      <c r="E1239" s="6" t="s">
        <v>2071</v>
      </c>
      <c r="F1239" s="9" t="s">
        <v>2895</v>
      </c>
    </row>
    <row r="1240" ht="33.75" customHeight="1">
      <c r="A1240" s="7">
        <v>42.0</v>
      </c>
      <c r="B1240" s="9" t="s">
        <v>2553</v>
      </c>
      <c r="C1240" s="9" t="s">
        <v>112</v>
      </c>
      <c r="D1240" s="9" t="s">
        <v>117</v>
      </c>
      <c r="E1240" s="6" t="s">
        <v>2073</v>
      </c>
      <c r="F1240" s="9" t="s">
        <v>2895</v>
      </c>
    </row>
    <row r="1241" ht="33.75" customHeight="1">
      <c r="A1241" s="7">
        <v>42.0</v>
      </c>
      <c r="B1241" s="9" t="s">
        <v>2553</v>
      </c>
      <c r="C1241" s="9" t="s">
        <v>112</v>
      </c>
      <c r="D1241" s="9" t="s">
        <v>1577</v>
      </c>
      <c r="E1241" s="6" t="s">
        <v>2075</v>
      </c>
      <c r="F1241" s="9" t="s">
        <v>2895</v>
      </c>
    </row>
    <row r="1242" ht="33.75" customHeight="1">
      <c r="A1242" s="7">
        <v>43.0</v>
      </c>
      <c r="B1242" s="9" t="s">
        <v>2617</v>
      </c>
      <c r="C1242" s="9" t="s">
        <v>115</v>
      </c>
      <c r="D1242" s="9" t="s">
        <v>24</v>
      </c>
      <c r="E1242" s="6" t="s">
        <v>2077</v>
      </c>
      <c r="F1242" s="9" t="s">
        <v>3006</v>
      </c>
      <c r="G1242" t="inlineStr" s="6">
        <is>
          <t xml:space="preserve">During the day, it keeps Oddish's face buried in the ground. At night, it wanders around sowing its seeds. It may be mistaken for a clump of weeds. If you try to yank it out of the ground, it shrieks horribly. Awakened by moon light, it roams actively at night. In the day, it stays quietly underground. If exposed to moonlight, it starts to move. It roams far and wide at night to scatter its seeds. During the day, it stays in the cold underground to avoid the sun. It grows by bathing in moonlight. During the daytime, ODDISH buries itself in soil to absorb nutrients from the ground using its entire body. The more fertile the soil, the glossier its leaves become. ODDISH searches for fertile, nutrient- rich soil, then plants itself. During the daytime, while it is planted, this POKéMON’s feet are thought to change shape and become similar to the roots of trees. This POKéMON grows by absorbing moonlight. During the daytime, it buries itself in the ground, leaving only its leaves exposed to avoid detection by its enemies. Its scientific name is “Oddium Wanderus. At night, it is said to walk nearly 1,000 feet on its two roots. It often plants its root feet in the ground during the day and sows seeds as it walks about at night. Awakened by moonlight, it roams actively at night. Oddish searches for fertile, nutrient-rich soil, then plants itself.</t>
        </is>
      </c>
    </row>
    <row r="1243" ht="33.75" customHeight="1">
      <c r="A1243" s="7">
        <v>43.0</v>
      </c>
      <c r="B1243" s="9" t="s">
        <v>2617</v>
      </c>
      <c r="C1243" s="9" t="s">
        <v>115</v>
      </c>
      <c r="D1243" s="9" t="s">
        <v>35</v>
      </c>
      <c r="E1243" s="6" t="s">
        <v>2077</v>
      </c>
      <c r="F1243" s="9" t="s">
        <v>3006</v>
      </c>
    </row>
    <row r="1244" ht="33.75" customHeight="1">
      <c r="A1244" s="7">
        <v>43.0</v>
      </c>
      <c r="B1244" s="9" t="s">
        <v>2617</v>
      </c>
      <c r="C1244" s="9" t="s">
        <v>115</v>
      </c>
      <c r="D1244" s="9" t="s">
        <v>42</v>
      </c>
      <c r="E1244" s="6" t="s">
        <v>2078</v>
      </c>
      <c r="F1244" s="9" t="s">
        <v>3006</v>
      </c>
    </row>
    <row r="1245" ht="33.75" customHeight="1">
      <c r="A1245" s="7">
        <v>43.0</v>
      </c>
      <c r="B1245" s="9" t="s">
        <v>2617</v>
      </c>
      <c r="C1245" s="9" t="s">
        <v>115</v>
      </c>
      <c r="D1245" s="9" t="s">
        <v>52</v>
      </c>
      <c r="E1245" s="6" t="s">
        <v>2080</v>
      </c>
      <c r="F1245" s="9" t="s">
        <v>3006</v>
      </c>
    </row>
    <row r="1246" ht="33.75" customHeight="1">
      <c r="A1246" s="7">
        <v>43.0</v>
      </c>
      <c r="B1246" s="9" t="s">
        <v>2617</v>
      </c>
      <c r="C1246" s="9" t="s">
        <v>115</v>
      </c>
      <c r="D1246" s="9" t="s">
        <v>59</v>
      </c>
      <c r="E1246" s="6" t="s">
        <v>2081</v>
      </c>
      <c r="F1246" s="9" t="s">
        <v>3006</v>
      </c>
    </row>
    <row r="1247" ht="33.75" customHeight="1">
      <c r="A1247" s="7">
        <v>43.0</v>
      </c>
      <c r="B1247" s="9" t="s">
        <v>2617</v>
      </c>
      <c r="C1247" s="9" t="s">
        <v>115</v>
      </c>
      <c r="D1247" s="9" t="s">
        <v>64</v>
      </c>
      <c r="E1247" s="6" t="s">
        <v>2083</v>
      </c>
      <c r="F1247" s="9" t="s">
        <v>3006</v>
      </c>
    </row>
    <row r="1248" ht="33.75" customHeight="1">
      <c r="A1248" s="7">
        <v>43.0</v>
      </c>
      <c r="B1248" s="9" t="s">
        <v>2617</v>
      </c>
      <c r="C1248" s="9" t="s">
        <v>115</v>
      </c>
      <c r="D1248" s="9" t="s">
        <v>67</v>
      </c>
      <c r="E1248" s="6" t="s">
        <v>2084</v>
      </c>
      <c r="F1248" s="9" t="s">
        <v>3006</v>
      </c>
    </row>
    <row r="1249" ht="33.75" customHeight="1">
      <c r="A1249" s="7">
        <v>43.0</v>
      </c>
      <c r="B1249" s="9" t="s">
        <v>2617</v>
      </c>
      <c r="C1249" s="9" t="s">
        <v>115</v>
      </c>
      <c r="D1249" s="9" t="s">
        <v>71</v>
      </c>
      <c r="E1249" s="6" t="s">
        <v>2086</v>
      </c>
      <c r="F1249" s="9" t="s">
        <v>3006</v>
      </c>
    </row>
    <row r="1250" ht="33.75" customHeight="1">
      <c r="A1250" s="7">
        <v>43.0</v>
      </c>
      <c r="B1250" s="9" t="s">
        <v>2617</v>
      </c>
      <c r="C1250" s="9" t="s">
        <v>115</v>
      </c>
      <c r="D1250" s="9" t="s">
        <v>73</v>
      </c>
      <c r="E1250" s="6" t="s">
        <v>2088</v>
      </c>
      <c r="F1250" s="9" t="s">
        <v>3006</v>
      </c>
    </row>
    <row r="1251" ht="33.75" customHeight="1">
      <c r="A1251" s="7">
        <v>43.0</v>
      </c>
      <c r="B1251" s="9" t="s">
        <v>2617</v>
      </c>
      <c r="C1251" s="9" t="s">
        <v>115</v>
      </c>
      <c r="D1251" s="9" t="s">
        <v>75</v>
      </c>
      <c r="E1251" s="6" t="s">
        <v>2090</v>
      </c>
      <c r="F1251" s="9" t="s">
        <v>3006</v>
      </c>
    </row>
    <row r="1252" ht="33.75" customHeight="1">
      <c r="A1252" s="7">
        <v>43.0</v>
      </c>
      <c r="B1252" s="9" t="s">
        <v>2617</v>
      </c>
      <c r="C1252" s="9" t="s">
        <v>115</v>
      </c>
      <c r="D1252" s="9" t="s">
        <v>79</v>
      </c>
      <c r="E1252" s="6" t="s">
        <v>2077</v>
      </c>
      <c r="F1252" s="9" t="s">
        <v>3006</v>
      </c>
    </row>
    <row r="1253" ht="33.75" customHeight="1">
      <c r="A1253" s="7">
        <v>43.0</v>
      </c>
      <c r="B1253" s="9" t="s">
        <v>2617</v>
      </c>
      <c r="C1253" s="9" t="s">
        <v>115</v>
      </c>
      <c r="D1253" s="9" t="s">
        <v>81</v>
      </c>
      <c r="E1253" s="6" t="s">
        <v>2091</v>
      </c>
      <c r="F1253" s="9" t="s">
        <v>3006</v>
      </c>
    </row>
    <row r="1254" ht="33.75" customHeight="1">
      <c r="A1254" s="7">
        <v>43.0</v>
      </c>
      <c r="B1254" s="9" t="s">
        <v>2617</v>
      </c>
      <c r="C1254" s="9" t="s">
        <v>115</v>
      </c>
      <c r="D1254" s="9" t="s">
        <v>84</v>
      </c>
      <c r="E1254" s="6" t="s">
        <v>2091</v>
      </c>
      <c r="F1254" s="9" t="s">
        <v>3006</v>
      </c>
    </row>
    <row r="1255" ht="33.75" customHeight="1">
      <c r="A1255" s="7">
        <v>43.0</v>
      </c>
      <c r="B1255" s="9" t="s">
        <v>2617</v>
      </c>
      <c r="C1255" s="9" t="s">
        <v>115</v>
      </c>
      <c r="D1255" s="9" t="s">
        <v>87</v>
      </c>
      <c r="E1255" s="6" t="s">
        <v>2091</v>
      </c>
      <c r="F1255" s="9" t="s">
        <v>3006</v>
      </c>
    </row>
    <row r="1256" ht="33.75" customHeight="1">
      <c r="A1256" s="7">
        <v>43.0</v>
      </c>
      <c r="B1256" s="9" t="s">
        <v>2617</v>
      </c>
      <c r="C1256" s="9" t="s">
        <v>115</v>
      </c>
      <c r="D1256" s="9" t="s">
        <v>89</v>
      </c>
      <c r="E1256" s="6" t="s">
        <v>2093</v>
      </c>
      <c r="F1256" s="9" t="s">
        <v>3006</v>
      </c>
    </row>
    <row r="1257" ht="33.75" customHeight="1">
      <c r="A1257" s="7">
        <v>43.0</v>
      </c>
      <c r="B1257" s="9" t="s">
        <v>2617</v>
      </c>
      <c r="C1257" s="9" t="s">
        <v>115</v>
      </c>
      <c r="D1257" s="9" t="s">
        <v>91</v>
      </c>
      <c r="E1257" s="6" t="s">
        <v>2081</v>
      </c>
      <c r="F1257" s="9" t="s">
        <v>3006</v>
      </c>
    </row>
    <row r="1258" ht="33.75" customHeight="1">
      <c r="A1258" s="7">
        <v>43.0</v>
      </c>
      <c r="B1258" s="9" t="s">
        <v>2617</v>
      </c>
      <c r="C1258" s="9" t="s">
        <v>115</v>
      </c>
      <c r="D1258" s="9" t="s">
        <v>93</v>
      </c>
      <c r="E1258" s="6" t="s">
        <v>2091</v>
      </c>
      <c r="F1258" s="9" t="s">
        <v>3006</v>
      </c>
    </row>
    <row r="1259" ht="33.75" customHeight="1">
      <c r="A1259" s="7">
        <v>43.0</v>
      </c>
      <c r="B1259" s="9" t="s">
        <v>2617</v>
      </c>
      <c r="C1259" s="9" t="s">
        <v>115</v>
      </c>
      <c r="D1259" s="9" t="s">
        <v>95</v>
      </c>
      <c r="E1259" s="6" t="s">
        <v>2091</v>
      </c>
      <c r="F1259" s="9" t="s">
        <v>3006</v>
      </c>
    </row>
    <row r="1260" ht="33.75" customHeight="1">
      <c r="A1260" s="7">
        <v>43.0</v>
      </c>
      <c r="B1260" s="9" t="s">
        <v>2617</v>
      </c>
      <c r="C1260" s="9" t="s">
        <v>115</v>
      </c>
      <c r="D1260" s="9" t="s">
        <v>98</v>
      </c>
      <c r="E1260" s="6" t="s">
        <v>2091</v>
      </c>
      <c r="F1260" s="9" t="s">
        <v>3006</v>
      </c>
    </row>
    <row r="1261" ht="33.75" customHeight="1">
      <c r="A1261" s="7">
        <v>43.0</v>
      </c>
      <c r="B1261" s="9" t="s">
        <v>2617</v>
      </c>
      <c r="C1261" s="9" t="s">
        <v>115</v>
      </c>
      <c r="D1261" s="9" t="s">
        <v>99</v>
      </c>
      <c r="E1261" s="6" t="s">
        <v>2091</v>
      </c>
      <c r="F1261" s="9" t="s">
        <v>3006</v>
      </c>
    </row>
    <row r="1262" ht="33.75" customHeight="1">
      <c r="A1262" s="7">
        <v>43.0</v>
      </c>
      <c r="B1262" s="9" t="s">
        <v>2617</v>
      </c>
      <c r="C1262" s="9" t="s">
        <v>115</v>
      </c>
      <c r="D1262" s="9" t="s">
        <v>101</v>
      </c>
      <c r="E1262" s="6" t="s">
        <v>2094</v>
      </c>
      <c r="F1262" s="9" t="s">
        <v>3006</v>
      </c>
    </row>
    <row r="1263" ht="33.75" customHeight="1">
      <c r="A1263" s="7">
        <v>43.0</v>
      </c>
      <c r="B1263" s="9" t="s">
        <v>2617</v>
      </c>
      <c r="C1263" s="9" t="s">
        <v>115</v>
      </c>
      <c r="D1263" s="9" t="s">
        <v>105</v>
      </c>
      <c r="E1263" s="6" t="s">
        <v>2090</v>
      </c>
      <c r="F1263" s="9" t="s">
        <v>3006</v>
      </c>
    </row>
    <row r="1264" ht="33.75" customHeight="1">
      <c r="A1264" s="7">
        <v>43.0</v>
      </c>
      <c r="B1264" s="9" t="s">
        <v>2617</v>
      </c>
      <c r="C1264" s="9" t="s">
        <v>115</v>
      </c>
      <c r="D1264" s="9" t="s">
        <v>107</v>
      </c>
      <c r="E1264" s="6" t="s">
        <v>2098</v>
      </c>
      <c r="F1264" s="9" t="s">
        <v>3006</v>
      </c>
    </row>
    <row r="1265" ht="33.75" customHeight="1">
      <c r="A1265" s="7">
        <v>43.0</v>
      </c>
      <c r="B1265" s="9" t="s">
        <v>2617</v>
      </c>
      <c r="C1265" s="9" t="s">
        <v>115</v>
      </c>
      <c r="D1265" s="9" t="s">
        <v>109</v>
      </c>
      <c r="E1265" s="6" t="s">
        <v>2099</v>
      </c>
      <c r="F1265" s="9" t="s">
        <v>3006</v>
      </c>
    </row>
    <row r="1266" ht="33.75" customHeight="1">
      <c r="A1266" s="7">
        <v>43.0</v>
      </c>
      <c r="B1266" s="9" t="s">
        <v>2617</v>
      </c>
      <c r="C1266" s="9" t="s">
        <v>115</v>
      </c>
      <c r="D1266" s="9" t="s">
        <v>111</v>
      </c>
      <c r="E1266" s="6" t="s">
        <v>2078</v>
      </c>
      <c r="F1266" s="9" t="s">
        <v>3006</v>
      </c>
    </row>
    <row r="1267" ht="33.75" customHeight="1">
      <c r="A1267" s="7">
        <v>43.0</v>
      </c>
      <c r="B1267" s="9" t="s">
        <v>2617</v>
      </c>
      <c r="C1267" s="9" t="s">
        <v>115</v>
      </c>
      <c r="D1267" s="9" t="s">
        <v>113</v>
      </c>
      <c r="E1267" s="6" t="s">
        <v>2078</v>
      </c>
      <c r="F1267" s="9" t="s">
        <v>3006</v>
      </c>
    </row>
    <row r="1268" ht="33.75" customHeight="1">
      <c r="A1268" s="7">
        <v>43.0</v>
      </c>
      <c r="B1268" s="9" t="s">
        <v>2617</v>
      </c>
      <c r="C1268" s="9" t="s">
        <v>115</v>
      </c>
      <c r="D1268" s="9" t="s">
        <v>114</v>
      </c>
      <c r="E1268" s="6" t="s">
        <v>2081</v>
      </c>
      <c r="F1268" s="9" t="s">
        <v>3006</v>
      </c>
    </row>
    <row r="1269" ht="33.75" customHeight="1">
      <c r="A1269" s="7">
        <v>43.0</v>
      </c>
      <c r="B1269" s="9" t="s">
        <v>2617</v>
      </c>
      <c r="C1269" s="9" t="s">
        <v>115</v>
      </c>
      <c r="D1269" s="9" t="s">
        <v>117</v>
      </c>
      <c r="E1269" s="6" t="s">
        <v>2094</v>
      </c>
      <c r="F1269" s="9" t="s">
        <v>3006</v>
      </c>
    </row>
    <row r="1270" ht="33.75" customHeight="1">
      <c r="A1270" s="7">
        <v>44.0</v>
      </c>
      <c r="B1270" s="9" t="s">
        <v>2667</v>
      </c>
      <c r="C1270" s="9" t="s">
        <v>115</v>
      </c>
      <c r="D1270" s="9" t="s">
        <v>24</v>
      </c>
      <c r="E1270" s="6" t="s">
        <v>2100</v>
      </c>
      <c r="F1270" s="9" t="s">
        <v>3101</v>
      </c>
      <c r="G1270" t="inlineStr" s="6">
        <is>
          <t xml:space="preserve">The fluid that oozes from Gloom's mouth isn't drool. It is a nectar that is used to attract prey. Smells incredibly foul! However, around 1 out of 1,000 people enjoy sniffing its nose- bending stink. What appears to be drool is actually sweet honey. It is very sticky and clings stubbornly if touched. It secretes a sticky, drool-like honey. Although sweet, it smells too repulsive to get very close. The smell from its drool-like syrup and the pollen on its petals is so bad, it may make opponents faint. GLOOM releases a foul fragrance from the pistil of its flower. When faced with danger, the stench worsens. If this POKéMON is feeling calm and secure, it does not release its usual stinky aroma. From its mouth GLOOM drips honey that smells absolutely horrible. Apparently, it loves the horrid stench. It sniffs the noxious fumes and then drools even more of its honey. A horribly noxious honey drools from its mouth. One whiff of the honey can result in memory loss. Some fans are said to enjoy this overwhelming stink, however. Its pistils exude an incredibly foul odor. The horrid stench can cause fainting at a distance of 1.25 miles. The honey it drools from its mouth smells so atrocious, it can curl noses more than a mile away. However, around one out of a thousand people enjoy sniffing its nose-bending stink.</t>
        </is>
      </c>
    </row>
    <row r="1271" ht="33.75" customHeight="1">
      <c r="A1271" s="7">
        <v>44.0</v>
      </c>
      <c r="B1271" s="9" t="s">
        <v>2667</v>
      </c>
      <c r="C1271" s="9" t="s">
        <v>115</v>
      </c>
      <c r="D1271" s="9" t="s">
        <v>35</v>
      </c>
      <c r="E1271" s="6" t="s">
        <v>2100</v>
      </c>
      <c r="F1271" s="9" t="s">
        <v>3101</v>
      </c>
    </row>
    <row r="1272" ht="33.75" customHeight="1">
      <c r="A1272" s="7">
        <v>44.0</v>
      </c>
      <c r="B1272" s="9" t="s">
        <v>2667</v>
      </c>
      <c r="C1272" s="9" t="s">
        <v>115</v>
      </c>
      <c r="D1272" s="9" t="s">
        <v>42</v>
      </c>
      <c r="E1272" s="6" t="s">
        <v>2101</v>
      </c>
      <c r="F1272" s="9" t="s">
        <v>3101</v>
      </c>
    </row>
    <row r="1273" ht="33.75" customHeight="1">
      <c r="A1273" s="7">
        <v>44.0</v>
      </c>
      <c r="B1273" s="9" t="s">
        <v>2667</v>
      </c>
      <c r="C1273" s="9" t="s">
        <v>115</v>
      </c>
      <c r="D1273" s="9" t="s">
        <v>52</v>
      </c>
      <c r="E1273" s="6" t="s">
        <v>2102</v>
      </c>
      <c r="F1273" s="9" t="s">
        <v>3101</v>
      </c>
    </row>
    <row r="1274" ht="33.75" customHeight="1">
      <c r="A1274" s="7">
        <v>44.0</v>
      </c>
      <c r="B1274" s="9" t="s">
        <v>2667</v>
      </c>
      <c r="C1274" s="9" t="s">
        <v>115</v>
      </c>
      <c r="D1274" s="9" t="s">
        <v>59</v>
      </c>
      <c r="E1274" s="6" t="s">
        <v>2103</v>
      </c>
      <c r="F1274" s="9" t="s">
        <v>3101</v>
      </c>
    </row>
    <row r="1275" ht="33.75" customHeight="1">
      <c r="A1275" s="7">
        <v>44.0</v>
      </c>
      <c r="B1275" s="9" t="s">
        <v>2667</v>
      </c>
      <c r="C1275" s="9" t="s">
        <v>115</v>
      </c>
      <c r="D1275" s="9" t="s">
        <v>64</v>
      </c>
      <c r="E1275" s="6" t="s">
        <v>2105</v>
      </c>
      <c r="F1275" s="9" t="s">
        <v>3101</v>
      </c>
    </row>
    <row r="1276" ht="33.75" customHeight="1">
      <c r="A1276" s="7">
        <v>44.0</v>
      </c>
      <c r="B1276" s="9" t="s">
        <v>2667</v>
      </c>
      <c r="C1276" s="9" t="s">
        <v>115</v>
      </c>
      <c r="D1276" s="9" t="s">
        <v>67</v>
      </c>
      <c r="E1276" s="6" t="s">
        <v>2106</v>
      </c>
      <c r="F1276" s="9" t="s">
        <v>3101</v>
      </c>
    </row>
    <row r="1277" ht="33.75" customHeight="1">
      <c r="A1277" s="7">
        <v>44.0</v>
      </c>
      <c r="B1277" s="9" t="s">
        <v>2667</v>
      </c>
      <c r="C1277" s="9" t="s">
        <v>115</v>
      </c>
      <c r="D1277" s="9" t="s">
        <v>71</v>
      </c>
      <c r="E1277" s="6" t="s">
        <v>2107</v>
      </c>
      <c r="F1277" s="9" t="s">
        <v>3101</v>
      </c>
    </row>
    <row r="1278" ht="33.75" customHeight="1">
      <c r="A1278" s="7">
        <v>44.0</v>
      </c>
      <c r="B1278" s="9" t="s">
        <v>2667</v>
      </c>
      <c r="C1278" s="9" t="s">
        <v>115</v>
      </c>
      <c r="D1278" s="9" t="s">
        <v>73</v>
      </c>
      <c r="E1278" s="6" t="s">
        <v>2108</v>
      </c>
      <c r="F1278" s="9" t="s">
        <v>3101</v>
      </c>
    </row>
    <row r="1279" ht="33.75" customHeight="1">
      <c r="A1279" s="7">
        <v>44.0</v>
      </c>
      <c r="B1279" s="9" t="s">
        <v>2667</v>
      </c>
      <c r="C1279" s="9" t="s">
        <v>115</v>
      </c>
      <c r="D1279" s="9" t="s">
        <v>75</v>
      </c>
      <c r="E1279" s="6" t="s">
        <v>2109</v>
      </c>
      <c r="F1279" s="9" t="s">
        <v>3101</v>
      </c>
    </row>
    <row r="1280" ht="33.75" customHeight="1">
      <c r="A1280" s="7">
        <v>44.0</v>
      </c>
      <c r="B1280" s="9" t="s">
        <v>2667</v>
      </c>
      <c r="C1280" s="9" t="s">
        <v>115</v>
      </c>
      <c r="D1280" s="9" t="s">
        <v>79</v>
      </c>
      <c r="E1280" s="6" t="s">
        <v>2110</v>
      </c>
      <c r="F1280" s="9" t="s">
        <v>3101</v>
      </c>
    </row>
    <row r="1281" ht="33.75" customHeight="1">
      <c r="A1281" s="7">
        <v>44.0</v>
      </c>
      <c r="B1281" s="9" t="s">
        <v>2667</v>
      </c>
      <c r="C1281" s="9" t="s">
        <v>115</v>
      </c>
      <c r="D1281" s="9" t="s">
        <v>81</v>
      </c>
      <c r="E1281" s="6" t="s">
        <v>2111</v>
      </c>
      <c r="F1281" s="9" t="s">
        <v>3101</v>
      </c>
    </row>
    <row r="1282" ht="33.75" customHeight="1">
      <c r="A1282" s="7">
        <v>44.0</v>
      </c>
      <c r="B1282" s="9" t="s">
        <v>2667</v>
      </c>
      <c r="C1282" s="9" t="s">
        <v>115</v>
      </c>
      <c r="D1282" s="9" t="s">
        <v>84</v>
      </c>
      <c r="E1282" s="6" t="s">
        <v>2111</v>
      </c>
      <c r="F1282" s="9" t="s">
        <v>3101</v>
      </c>
    </row>
    <row r="1283" ht="33.75" customHeight="1">
      <c r="A1283" s="7">
        <v>44.0</v>
      </c>
      <c r="B1283" s="9" t="s">
        <v>2667</v>
      </c>
      <c r="C1283" s="9" t="s">
        <v>115</v>
      </c>
      <c r="D1283" s="9" t="s">
        <v>87</v>
      </c>
      <c r="E1283" s="6" t="s">
        <v>2111</v>
      </c>
      <c r="F1283" s="9" t="s">
        <v>3101</v>
      </c>
    </row>
    <row r="1284" ht="33.75" customHeight="1">
      <c r="A1284" s="7">
        <v>44.0</v>
      </c>
      <c r="B1284" s="9" t="s">
        <v>2667</v>
      </c>
      <c r="C1284" s="9" t="s">
        <v>115</v>
      </c>
      <c r="D1284" s="9" t="s">
        <v>89</v>
      </c>
      <c r="E1284" s="6" t="s">
        <v>2102</v>
      </c>
      <c r="F1284" s="9" t="s">
        <v>3101</v>
      </c>
    </row>
    <row r="1285" ht="33.75" customHeight="1">
      <c r="A1285" s="7">
        <v>44.0</v>
      </c>
      <c r="B1285" s="9" t="s">
        <v>2667</v>
      </c>
      <c r="C1285" s="9" t="s">
        <v>115</v>
      </c>
      <c r="D1285" s="9" t="s">
        <v>91</v>
      </c>
      <c r="E1285" s="6" t="s">
        <v>2103</v>
      </c>
      <c r="F1285" s="9" t="s">
        <v>3101</v>
      </c>
    </row>
    <row r="1286" ht="33.75" customHeight="1">
      <c r="A1286" s="7">
        <v>44.0</v>
      </c>
      <c r="B1286" s="9" t="s">
        <v>2667</v>
      </c>
      <c r="C1286" s="9" t="s">
        <v>115</v>
      </c>
      <c r="D1286" s="9" t="s">
        <v>93</v>
      </c>
      <c r="E1286" s="6" t="s">
        <v>2111</v>
      </c>
      <c r="F1286" s="9" t="s">
        <v>3101</v>
      </c>
    </row>
    <row r="1287" ht="33.75" customHeight="1">
      <c r="A1287" s="7">
        <v>44.0</v>
      </c>
      <c r="B1287" s="9" t="s">
        <v>2667</v>
      </c>
      <c r="C1287" s="9" t="s">
        <v>115</v>
      </c>
      <c r="D1287" s="9" t="s">
        <v>95</v>
      </c>
      <c r="E1287" s="6" t="s">
        <v>2111</v>
      </c>
      <c r="F1287" s="9" t="s">
        <v>3101</v>
      </c>
    </row>
    <row r="1288" ht="33.75" customHeight="1">
      <c r="A1288" s="7">
        <v>44.0</v>
      </c>
      <c r="B1288" s="9" t="s">
        <v>2667</v>
      </c>
      <c r="C1288" s="9" t="s">
        <v>115</v>
      </c>
      <c r="D1288" s="9" t="s">
        <v>98</v>
      </c>
      <c r="E1288" s="6" t="s">
        <v>2111</v>
      </c>
      <c r="F1288" s="9" t="s">
        <v>3101</v>
      </c>
    </row>
    <row r="1289" ht="33.75" customHeight="1">
      <c r="A1289" s="7">
        <v>44.0</v>
      </c>
      <c r="B1289" s="9" t="s">
        <v>2667</v>
      </c>
      <c r="C1289" s="9" t="s">
        <v>115</v>
      </c>
      <c r="D1289" s="9" t="s">
        <v>99</v>
      </c>
      <c r="E1289" s="6" t="s">
        <v>2111</v>
      </c>
      <c r="F1289" s="9" t="s">
        <v>3101</v>
      </c>
    </row>
    <row r="1290" ht="33.75" customHeight="1">
      <c r="A1290" s="7">
        <v>44.0</v>
      </c>
      <c r="B1290" s="9" t="s">
        <v>2667</v>
      </c>
      <c r="C1290" s="9" t="s">
        <v>115</v>
      </c>
      <c r="D1290" s="9" t="s">
        <v>101</v>
      </c>
      <c r="E1290" s="6" t="s">
        <v>2112</v>
      </c>
      <c r="F1290" s="9" t="s">
        <v>3101</v>
      </c>
    </row>
    <row r="1291" ht="33.75" customHeight="1">
      <c r="A1291" s="7">
        <v>44.0</v>
      </c>
      <c r="B1291" s="9" t="s">
        <v>2667</v>
      </c>
      <c r="C1291" s="9" t="s">
        <v>115</v>
      </c>
      <c r="D1291" s="9" t="s">
        <v>105</v>
      </c>
      <c r="E1291" s="6" t="s">
        <v>2111</v>
      </c>
      <c r="F1291" s="9" t="s">
        <v>3101</v>
      </c>
    </row>
    <row r="1292" ht="33.75" customHeight="1">
      <c r="A1292" s="7">
        <v>44.0</v>
      </c>
      <c r="B1292" s="9" t="s">
        <v>2667</v>
      </c>
      <c r="C1292" s="9" t="s">
        <v>115</v>
      </c>
      <c r="D1292" s="9" t="s">
        <v>107</v>
      </c>
      <c r="E1292" s="6" t="s">
        <v>2113</v>
      </c>
      <c r="F1292" s="9" t="s">
        <v>3101</v>
      </c>
    </row>
    <row r="1293" ht="33.75" customHeight="1">
      <c r="A1293" s="7">
        <v>44.0</v>
      </c>
      <c r="B1293" s="9" t="s">
        <v>2667</v>
      </c>
      <c r="C1293" s="9" t="s">
        <v>115</v>
      </c>
      <c r="D1293" s="9" t="s">
        <v>109</v>
      </c>
      <c r="E1293" s="6" t="s">
        <v>2114</v>
      </c>
      <c r="F1293" s="9" t="s">
        <v>3101</v>
      </c>
    </row>
    <row r="1294" ht="33.75" customHeight="1">
      <c r="A1294" s="7">
        <v>44.0</v>
      </c>
      <c r="B1294" s="9" t="s">
        <v>2667</v>
      </c>
      <c r="C1294" s="9" t="s">
        <v>115</v>
      </c>
      <c r="D1294" s="9" t="s">
        <v>111</v>
      </c>
      <c r="E1294" s="6" t="s">
        <v>2112</v>
      </c>
      <c r="F1294" s="9" t="s">
        <v>3101</v>
      </c>
    </row>
    <row r="1295" ht="33.75" customHeight="1">
      <c r="A1295" s="7">
        <v>44.0</v>
      </c>
      <c r="B1295" s="9" t="s">
        <v>2667</v>
      </c>
      <c r="C1295" s="9" t="s">
        <v>115</v>
      </c>
      <c r="D1295" s="9" t="s">
        <v>113</v>
      </c>
      <c r="E1295" s="6" t="s">
        <v>2112</v>
      </c>
      <c r="F1295" s="9" t="s">
        <v>3101</v>
      </c>
    </row>
    <row r="1296" ht="33.75" customHeight="1">
      <c r="A1296" s="7">
        <v>44.0</v>
      </c>
      <c r="B1296" s="9" t="s">
        <v>2667</v>
      </c>
      <c r="C1296" s="9" t="s">
        <v>115</v>
      </c>
      <c r="D1296" s="9" t="s">
        <v>114</v>
      </c>
      <c r="E1296" s="6" t="s">
        <v>2109</v>
      </c>
      <c r="F1296" s="9" t="s">
        <v>3101</v>
      </c>
    </row>
    <row r="1297" ht="33.75" customHeight="1">
      <c r="A1297" s="7">
        <v>44.0</v>
      </c>
      <c r="B1297" s="9" t="s">
        <v>2667</v>
      </c>
      <c r="C1297" s="9" t="s">
        <v>115</v>
      </c>
      <c r="D1297" s="9" t="s">
        <v>117</v>
      </c>
      <c r="E1297" s="6" t="s">
        <v>2102</v>
      </c>
      <c r="F1297" s="9" t="s">
        <v>3101</v>
      </c>
    </row>
    <row r="1298" ht="33.75" customHeight="1">
      <c r="A1298" s="7">
        <v>45.0</v>
      </c>
      <c r="B1298" s="9" t="s">
        <v>2709</v>
      </c>
      <c r="C1298" s="9" t="s">
        <v>119</v>
      </c>
      <c r="D1298" s="9" t="s">
        <v>24</v>
      </c>
      <c r="E1298" s="6" t="s">
        <v>2117</v>
      </c>
      <c r="F1298" s="9" t="s">
        <v>3161</v>
      </c>
      <c r="G1298" t="inlineStr" s="6">
        <is>
          <t xml:space="preserve">The larger Vileplume's petals, the more toxic pollen it contains. Its big head is heavy and hard to hold up. Flaps its broad flower petals to scatter its poisonous pollen. The flapping sound is very loud. It has the world's largest petals. With every step, the petals shake out heavy clouds of toxic pollen. The bud bursts into bloom with a bang. It then starts scattering allergenic, poisonous pollen. By shaking its big petals, it scatters toxic pollen into the air, turning the air yellow. VILEPLUME’s toxic pollen triggers atrocious allergy attacks. That’s why it is advisable never to approach any attractive flowers in a jungle, however pretty they may be. VILEPLUME has the world’s largest petals. They are used to attract prey that are then doused with toxic spores. Once the prey are immobilized, this POKéMON catches and devours them. In seasons when it produces more pollen, the air around a VILEPLUME turns yellow with the powder as it walks. The pollen is highly toxic and causes paralysis. Its petals are the largest in the world. It fiendishly scatters allergy-causing pollen from its petals. As it walks, it scatters extremely allergenic pollen.</t>
        </is>
      </c>
    </row>
    <row r="1299" ht="33.75" customHeight="1">
      <c r="A1299" s="7">
        <v>45.0</v>
      </c>
      <c r="B1299" s="9" t="s">
        <v>2709</v>
      </c>
      <c r="C1299" s="9" t="s">
        <v>119</v>
      </c>
      <c r="D1299" s="9" t="s">
        <v>35</v>
      </c>
      <c r="E1299" s="6" t="s">
        <v>2117</v>
      </c>
      <c r="F1299" s="9" t="s">
        <v>3161</v>
      </c>
    </row>
    <row r="1300" ht="33.75" customHeight="1">
      <c r="A1300" s="7">
        <v>45.0</v>
      </c>
      <c r="B1300" s="9" t="s">
        <v>2709</v>
      </c>
      <c r="C1300" s="9" t="s">
        <v>119</v>
      </c>
      <c r="D1300" s="9" t="s">
        <v>42</v>
      </c>
      <c r="E1300" s="6" t="s">
        <v>2118</v>
      </c>
      <c r="F1300" s="9" t="s">
        <v>3161</v>
      </c>
    </row>
    <row r="1301" ht="33.75" customHeight="1">
      <c r="A1301" s="7">
        <v>45.0</v>
      </c>
      <c r="B1301" s="9" t="s">
        <v>2709</v>
      </c>
      <c r="C1301" s="9" t="s">
        <v>119</v>
      </c>
      <c r="D1301" s="9" t="s">
        <v>52</v>
      </c>
      <c r="E1301" s="6" t="s">
        <v>2119</v>
      </c>
      <c r="F1301" s="9" t="s">
        <v>3161</v>
      </c>
    </row>
    <row r="1302" ht="33.75" customHeight="1">
      <c r="A1302" s="7">
        <v>45.0</v>
      </c>
      <c r="B1302" s="9" t="s">
        <v>2709</v>
      </c>
      <c r="C1302" s="9" t="s">
        <v>119</v>
      </c>
      <c r="D1302" s="9" t="s">
        <v>59</v>
      </c>
      <c r="E1302" s="6" t="s">
        <v>2120</v>
      </c>
      <c r="F1302" s="9" t="s">
        <v>3161</v>
      </c>
    </row>
    <row r="1303" ht="33.75" customHeight="1">
      <c r="A1303" s="7">
        <v>45.0</v>
      </c>
      <c r="B1303" s="9" t="s">
        <v>2709</v>
      </c>
      <c r="C1303" s="9" t="s">
        <v>119</v>
      </c>
      <c r="D1303" s="9" t="s">
        <v>64</v>
      </c>
      <c r="E1303" s="6" t="s">
        <v>2122</v>
      </c>
      <c r="F1303" s="9" t="s">
        <v>3161</v>
      </c>
    </row>
    <row r="1304" ht="33.75" customHeight="1">
      <c r="A1304" s="7">
        <v>45.0</v>
      </c>
      <c r="B1304" s="9" t="s">
        <v>2709</v>
      </c>
      <c r="C1304" s="9" t="s">
        <v>119</v>
      </c>
      <c r="D1304" s="9" t="s">
        <v>67</v>
      </c>
      <c r="E1304" s="6" t="s">
        <v>2123</v>
      </c>
      <c r="F1304" s="9" t="s">
        <v>3161</v>
      </c>
    </row>
    <row r="1305" ht="33.75" customHeight="1">
      <c r="A1305" s="7">
        <v>45.0</v>
      </c>
      <c r="B1305" s="9" t="s">
        <v>2709</v>
      </c>
      <c r="C1305" s="9" t="s">
        <v>119</v>
      </c>
      <c r="D1305" s="9" t="s">
        <v>71</v>
      </c>
      <c r="E1305" s="6" t="s">
        <v>2124</v>
      </c>
      <c r="F1305" s="9" t="s">
        <v>3161</v>
      </c>
    </row>
    <row r="1306" ht="33.75" customHeight="1">
      <c r="A1306" s="7">
        <v>45.0</v>
      </c>
      <c r="B1306" s="9" t="s">
        <v>2709</v>
      </c>
      <c r="C1306" s="9" t="s">
        <v>119</v>
      </c>
      <c r="D1306" s="9" t="s">
        <v>73</v>
      </c>
      <c r="E1306" s="6" t="s">
        <v>2128</v>
      </c>
      <c r="F1306" s="9" t="s">
        <v>3161</v>
      </c>
    </row>
    <row r="1307" ht="33.75" customHeight="1">
      <c r="A1307" s="7">
        <v>45.0</v>
      </c>
      <c r="B1307" s="9" t="s">
        <v>2709</v>
      </c>
      <c r="C1307" s="9" t="s">
        <v>119</v>
      </c>
      <c r="D1307" s="9" t="s">
        <v>75</v>
      </c>
      <c r="E1307" s="6" t="s">
        <v>2130</v>
      </c>
      <c r="F1307" s="9" t="s">
        <v>3161</v>
      </c>
    </row>
    <row r="1308" ht="33.75" customHeight="1">
      <c r="A1308" s="7">
        <v>45.0</v>
      </c>
      <c r="B1308" s="9" t="s">
        <v>2709</v>
      </c>
      <c r="C1308" s="9" t="s">
        <v>119</v>
      </c>
      <c r="D1308" s="9" t="s">
        <v>79</v>
      </c>
      <c r="E1308" s="6" t="s">
        <v>2117</v>
      </c>
      <c r="F1308" s="9" t="s">
        <v>3161</v>
      </c>
    </row>
    <row r="1309" ht="33.75" customHeight="1">
      <c r="A1309" s="7">
        <v>45.0</v>
      </c>
      <c r="B1309" s="9" t="s">
        <v>2709</v>
      </c>
      <c r="C1309" s="9" t="s">
        <v>119</v>
      </c>
      <c r="D1309" s="9" t="s">
        <v>81</v>
      </c>
      <c r="E1309" s="6" t="s">
        <v>2131</v>
      </c>
      <c r="F1309" s="9" t="s">
        <v>3161</v>
      </c>
    </row>
    <row r="1310" ht="33.75" customHeight="1">
      <c r="A1310" s="7">
        <v>45.0</v>
      </c>
      <c r="B1310" s="9" t="s">
        <v>2709</v>
      </c>
      <c r="C1310" s="9" t="s">
        <v>119</v>
      </c>
      <c r="D1310" s="9" t="s">
        <v>84</v>
      </c>
      <c r="E1310" s="6" t="s">
        <v>2131</v>
      </c>
      <c r="F1310" s="9" t="s">
        <v>3161</v>
      </c>
    </row>
    <row r="1311" ht="33.75" customHeight="1">
      <c r="A1311" s="7">
        <v>45.0</v>
      </c>
      <c r="B1311" s="9" t="s">
        <v>2709</v>
      </c>
      <c r="C1311" s="9" t="s">
        <v>119</v>
      </c>
      <c r="D1311" s="9" t="s">
        <v>87</v>
      </c>
      <c r="E1311" s="6" t="s">
        <v>2131</v>
      </c>
      <c r="F1311" s="9" t="s">
        <v>3161</v>
      </c>
    </row>
    <row r="1312" ht="33.75" customHeight="1">
      <c r="A1312" s="7">
        <v>45.0</v>
      </c>
      <c r="B1312" s="9" t="s">
        <v>2709</v>
      </c>
      <c r="C1312" s="9" t="s">
        <v>119</v>
      </c>
      <c r="D1312" s="9" t="s">
        <v>89</v>
      </c>
      <c r="E1312" s="6" t="s">
        <v>2133</v>
      </c>
      <c r="F1312" s="9" t="s">
        <v>3161</v>
      </c>
    </row>
    <row r="1313" ht="33.75" customHeight="1">
      <c r="A1313" s="7">
        <v>45.0</v>
      </c>
      <c r="B1313" s="9" t="s">
        <v>2709</v>
      </c>
      <c r="C1313" s="9" t="s">
        <v>119</v>
      </c>
      <c r="D1313" s="9" t="s">
        <v>91</v>
      </c>
      <c r="E1313" s="6" t="s">
        <v>2134</v>
      </c>
      <c r="F1313" s="9" t="s">
        <v>3161</v>
      </c>
    </row>
    <row r="1314" ht="33.75" customHeight="1">
      <c r="A1314" s="7">
        <v>45.0</v>
      </c>
      <c r="B1314" s="9" t="s">
        <v>2709</v>
      </c>
      <c r="C1314" s="9" t="s">
        <v>119</v>
      </c>
      <c r="D1314" s="9" t="s">
        <v>93</v>
      </c>
      <c r="E1314" s="6" t="s">
        <v>2131</v>
      </c>
      <c r="F1314" s="9" t="s">
        <v>3161</v>
      </c>
    </row>
    <row r="1315" ht="33.75" customHeight="1">
      <c r="A1315" s="7">
        <v>45.0</v>
      </c>
      <c r="B1315" s="9" t="s">
        <v>2709</v>
      </c>
      <c r="C1315" s="9" t="s">
        <v>119</v>
      </c>
      <c r="D1315" s="9" t="s">
        <v>95</v>
      </c>
      <c r="E1315" s="6" t="s">
        <v>2131</v>
      </c>
      <c r="F1315" s="9" t="s">
        <v>3161</v>
      </c>
    </row>
    <row r="1316" ht="33.75" customHeight="1">
      <c r="A1316" s="7">
        <v>45.0</v>
      </c>
      <c r="B1316" s="9" t="s">
        <v>2709</v>
      </c>
      <c r="C1316" s="9" t="s">
        <v>119</v>
      </c>
      <c r="D1316" s="9" t="s">
        <v>98</v>
      </c>
      <c r="E1316" s="6" t="s">
        <v>2131</v>
      </c>
      <c r="F1316" s="9" t="s">
        <v>3161</v>
      </c>
    </row>
    <row r="1317" ht="33.75" customHeight="1">
      <c r="A1317" s="7">
        <v>45.0</v>
      </c>
      <c r="B1317" s="9" t="s">
        <v>2709</v>
      </c>
      <c r="C1317" s="9" t="s">
        <v>119</v>
      </c>
      <c r="D1317" s="9" t="s">
        <v>99</v>
      </c>
      <c r="E1317" s="6" t="s">
        <v>2131</v>
      </c>
      <c r="F1317" s="9" t="s">
        <v>3161</v>
      </c>
    </row>
    <row r="1318" ht="33.75" customHeight="1">
      <c r="A1318" s="7">
        <v>45.0</v>
      </c>
      <c r="B1318" s="9" t="s">
        <v>2709</v>
      </c>
      <c r="C1318" s="9" t="s">
        <v>119</v>
      </c>
      <c r="D1318" s="9" t="s">
        <v>101</v>
      </c>
      <c r="E1318" s="6" t="s">
        <v>2117</v>
      </c>
      <c r="F1318" s="9" t="s">
        <v>3161</v>
      </c>
    </row>
    <row r="1319" ht="33.75" customHeight="1">
      <c r="A1319" s="7">
        <v>45.0</v>
      </c>
      <c r="B1319" s="9" t="s">
        <v>2709</v>
      </c>
      <c r="C1319" s="9" t="s">
        <v>119</v>
      </c>
      <c r="D1319" s="9" t="s">
        <v>105</v>
      </c>
      <c r="E1319" s="6" t="s">
        <v>2133</v>
      </c>
      <c r="F1319" s="9" t="s">
        <v>3161</v>
      </c>
    </row>
    <row r="1320" ht="33.75" customHeight="1">
      <c r="A1320" s="7">
        <v>45.0</v>
      </c>
      <c r="B1320" s="9" t="s">
        <v>2709</v>
      </c>
      <c r="C1320" s="9" t="s">
        <v>119</v>
      </c>
      <c r="D1320" s="9" t="s">
        <v>107</v>
      </c>
      <c r="E1320" s="6" t="s">
        <v>2136</v>
      </c>
      <c r="F1320" s="9" t="s">
        <v>3161</v>
      </c>
    </row>
    <row r="1321" ht="33.75" customHeight="1">
      <c r="A1321" s="7">
        <v>45.0</v>
      </c>
      <c r="B1321" s="9" t="s">
        <v>2709</v>
      </c>
      <c r="C1321" s="9" t="s">
        <v>119</v>
      </c>
      <c r="D1321" s="9" t="s">
        <v>109</v>
      </c>
      <c r="E1321" s="6" t="s">
        <v>2138</v>
      </c>
      <c r="F1321" s="9" t="s">
        <v>3161</v>
      </c>
    </row>
    <row r="1322" ht="33.75" customHeight="1">
      <c r="A1322" s="7">
        <v>45.0</v>
      </c>
      <c r="B1322" s="9" t="s">
        <v>2709</v>
      </c>
      <c r="C1322" s="9" t="s">
        <v>119</v>
      </c>
      <c r="D1322" s="9" t="s">
        <v>111</v>
      </c>
      <c r="E1322" s="6" t="s">
        <v>2118</v>
      </c>
      <c r="F1322" s="9" t="s">
        <v>3161</v>
      </c>
    </row>
    <row r="1323" ht="33.75" customHeight="1">
      <c r="A1323" s="7">
        <v>45.0</v>
      </c>
      <c r="B1323" s="9" t="s">
        <v>2709</v>
      </c>
      <c r="C1323" s="9" t="s">
        <v>119</v>
      </c>
      <c r="D1323" s="9" t="s">
        <v>113</v>
      </c>
      <c r="E1323" s="6" t="s">
        <v>2118</v>
      </c>
      <c r="F1323" s="9" t="s">
        <v>3161</v>
      </c>
    </row>
    <row r="1324" ht="33.75" customHeight="1">
      <c r="A1324" s="7">
        <v>45.0</v>
      </c>
      <c r="B1324" s="9" t="s">
        <v>2709</v>
      </c>
      <c r="C1324" s="9" t="s">
        <v>119</v>
      </c>
      <c r="D1324" s="9" t="s">
        <v>114</v>
      </c>
      <c r="E1324" s="6" t="s">
        <v>2133</v>
      </c>
      <c r="F1324" s="9" t="s">
        <v>3161</v>
      </c>
    </row>
    <row r="1325" ht="33.75" customHeight="1">
      <c r="A1325" s="7">
        <v>45.0</v>
      </c>
      <c r="B1325" s="9" t="s">
        <v>2709</v>
      </c>
      <c r="C1325" s="9" t="s">
        <v>119</v>
      </c>
      <c r="D1325" s="9" t="s">
        <v>117</v>
      </c>
      <c r="E1325" s="6" t="s">
        <v>2117</v>
      </c>
      <c r="F1325" s="9" t="s">
        <v>3161</v>
      </c>
    </row>
    <row r="1326" ht="33.75" customHeight="1">
      <c r="A1326" s="7">
        <v>46.0</v>
      </c>
      <c r="B1326" s="9" t="s">
        <v>2748</v>
      </c>
      <c r="C1326" s="9" t="s">
        <v>122</v>
      </c>
      <c r="D1326" s="9" t="s">
        <v>24</v>
      </c>
      <c r="E1326" s="6" t="s">
        <v>2140</v>
      </c>
      <c r="F1326" s="9" t="s">
        <v>3225</v>
      </c>
      <c r="G1326" t="inlineStr" s="6">
        <is>
          <t xml:space="preserve">Burrows to suck tree roots. The mushrooms on its back grow by draw ing nutrients from the bug host. Burrows under the ground to gnaw on tree roots. The mushrooms on its back absorb most of the nutrition. It is doused with mushroom spores when it is born. As its body grows, mushrooms sprout from its back. As its body grows large, oriental mushrooms named tochukaso start sprouting out of its back. The tochukaso growing on this POKéMON's back orders it to extract juice from tree trunks. PARAS has parasitic mushrooms growing on its back called tochukaso. They grow large by drawing nutrients from the BUG POKéMON host. They are highly valued as a medicine for extending life. They grow large by drawing nutrients from this BUG POKéMON host. A PARAS has parasitic tochukaso mushrooms growing on its back. They grow by drawing nutrients from the host. They are valued as a medicine for long life. Growing out of the bug’s back are mushrooms called tochukaso. The mushrooms grow with the bug host. The mushrooms on its back grow by drawing nutrients from the bug host. Mushrooms named tochukaso grow on its back. They grow along with the host PARAS. As its body grows, large mushrooms named tochukaso start sprouting out of its back. No matter how much it eats, the mushrooms growing on its back steal away most of the nutrients it consumes. Mushrooms called tochukaso sprout from its back. They can be dried and powdered to make a medicine used to extend life. Whether it’s due to a lack of moisture or a lack of nutrients, in Alola the mushrooms on Paras don’t grow up quite right. The mushrooms, known as tochukaso, are controlling the bug. Even if the bug bugs the mushrooms, they tell it to bug off. Sometimes seen at the foot of trees in humid forests. The mushrooms on its back—called tochukaso—are not present on infant specimens and instead emerge as Paras matures.</t>
        </is>
      </c>
    </row>
    <row r="1327" ht="33.75" customHeight="1">
      <c r="A1327" s="7">
        <v>46.0</v>
      </c>
      <c r="B1327" s="9" t="s">
        <v>2748</v>
      </c>
      <c r="C1327" s="9" t="s">
        <v>122</v>
      </c>
      <c r="D1327" s="9" t="s">
        <v>35</v>
      </c>
      <c r="E1327" s="6" t="s">
        <v>2140</v>
      </c>
      <c r="F1327" s="9" t="s">
        <v>3225</v>
      </c>
    </row>
    <row r="1328" ht="33.75" customHeight="1">
      <c r="A1328" s="7">
        <v>46.0</v>
      </c>
      <c r="B1328" s="9" t="s">
        <v>2748</v>
      </c>
      <c r="C1328" s="9" t="s">
        <v>122</v>
      </c>
      <c r="D1328" s="9" t="s">
        <v>42</v>
      </c>
      <c r="E1328" s="6" t="s">
        <v>2142</v>
      </c>
      <c r="F1328" s="9" t="s">
        <v>3225</v>
      </c>
    </row>
    <row r="1329" ht="33.75" customHeight="1">
      <c r="A1329" s="7">
        <v>46.0</v>
      </c>
      <c r="B1329" s="9" t="s">
        <v>2748</v>
      </c>
      <c r="C1329" s="9" t="s">
        <v>122</v>
      </c>
      <c r="D1329" s="9" t="s">
        <v>52</v>
      </c>
      <c r="E1329" s="6" t="s">
        <v>2143</v>
      </c>
      <c r="F1329" s="9" t="s">
        <v>3225</v>
      </c>
    </row>
    <row r="1330" ht="33.75" customHeight="1">
      <c r="A1330" s="7">
        <v>46.0</v>
      </c>
      <c r="B1330" s="9" t="s">
        <v>2748</v>
      </c>
      <c r="C1330" s="9" t="s">
        <v>122</v>
      </c>
      <c r="D1330" s="9" t="s">
        <v>59</v>
      </c>
      <c r="E1330" s="6" t="s">
        <v>2145</v>
      </c>
      <c r="F1330" s="9" t="s">
        <v>3225</v>
      </c>
    </row>
    <row r="1331" ht="33.75" customHeight="1">
      <c r="A1331" s="7">
        <v>46.0</v>
      </c>
      <c r="B1331" s="9" t="s">
        <v>2748</v>
      </c>
      <c r="C1331" s="9" t="s">
        <v>122</v>
      </c>
      <c r="D1331" s="9" t="s">
        <v>64</v>
      </c>
      <c r="E1331" s="6" t="s">
        <v>2147</v>
      </c>
      <c r="F1331" s="9" t="s">
        <v>3225</v>
      </c>
    </row>
    <row r="1332" ht="33.75" customHeight="1">
      <c r="A1332" s="7">
        <v>46.0</v>
      </c>
      <c r="B1332" s="9" t="s">
        <v>2748</v>
      </c>
      <c r="C1332" s="9" t="s">
        <v>122</v>
      </c>
      <c r="D1332" s="9" t="s">
        <v>67</v>
      </c>
      <c r="E1332" s="6" t="s">
        <v>2149</v>
      </c>
      <c r="F1332" s="9" t="s">
        <v>3225</v>
      </c>
    </row>
    <row r="1333" ht="33.75" customHeight="1">
      <c r="A1333" s="7">
        <v>46.0</v>
      </c>
      <c r="B1333" s="9" t="s">
        <v>2748</v>
      </c>
      <c r="C1333" s="9" t="s">
        <v>122</v>
      </c>
      <c r="D1333" s="9" t="s">
        <v>71</v>
      </c>
      <c r="E1333" s="6" t="s">
        <v>2151</v>
      </c>
      <c r="F1333" s="9" t="s">
        <v>3225</v>
      </c>
    </row>
    <row r="1334" ht="33.75" customHeight="1">
      <c r="A1334" s="7">
        <v>46.0</v>
      </c>
      <c r="B1334" s="9" t="s">
        <v>2748</v>
      </c>
      <c r="C1334" s="9" t="s">
        <v>122</v>
      </c>
      <c r="D1334" s="9" t="s">
        <v>73</v>
      </c>
      <c r="E1334" s="6" t="s">
        <v>2153</v>
      </c>
      <c r="F1334" s="9" t="s">
        <v>3225</v>
      </c>
    </row>
    <row r="1335" ht="33.75" customHeight="1">
      <c r="A1335" s="7">
        <v>46.0</v>
      </c>
      <c r="B1335" s="9" t="s">
        <v>2748</v>
      </c>
      <c r="C1335" s="9" t="s">
        <v>122</v>
      </c>
      <c r="D1335" s="9" t="s">
        <v>75</v>
      </c>
      <c r="E1335" s="6" t="s">
        <v>2155</v>
      </c>
      <c r="F1335" s="9" t="s">
        <v>3225</v>
      </c>
    </row>
    <row r="1336" ht="33.75" customHeight="1">
      <c r="A1336" s="7">
        <v>46.0</v>
      </c>
      <c r="B1336" s="9" t="s">
        <v>2748</v>
      </c>
      <c r="C1336" s="9" t="s">
        <v>122</v>
      </c>
      <c r="D1336" s="9" t="s">
        <v>79</v>
      </c>
      <c r="E1336" s="6" t="s">
        <v>2156</v>
      </c>
      <c r="F1336" s="9" t="s">
        <v>3225</v>
      </c>
    </row>
    <row r="1337" ht="33.75" customHeight="1">
      <c r="A1337" s="7">
        <v>46.0</v>
      </c>
      <c r="B1337" s="9" t="s">
        <v>2748</v>
      </c>
      <c r="C1337" s="9" t="s">
        <v>122</v>
      </c>
      <c r="D1337" s="9" t="s">
        <v>81</v>
      </c>
      <c r="E1337" s="6" t="s">
        <v>2158</v>
      </c>
      <c r="F1337" s="9" t="s">
        <v>3225</v>
      </c>
    </row>
    <row r="1338" ht="33.75" customHeight="1">
      <c r="A1338" s="7">
        <v>46.0</v>
      </c>
      <c r="B1338" s="9" t="s">
        <v>2748</v>
      </c>
      <c r="C1338" s="9" t="s">
        <v>122</v>
      </c>
      <c r="D1338" s="9" t="s">
        <v>84</v>
      </c>
      <c r="E1338" s="6" t="s">
        <v>2158</v>
      </c>
      <c r="F1338" s="9" t="s">
        <v>3225</v>
      </c>
    </row>
    <row r="1339" ht="33.75" customHeight="1">
      <c r="A1339" s="7">
        <v>46.0</v>
      </c>
      <c r="B1339" s="9" t="s">
        <v>2748</v>
      </c>
      <c r="C1339" s="9" t="s">
        <v>122</v>
      </c>
      <c r="D1339" s="9" t="s">
        <v>87</v>
      </c>
      <c r="E1339" s="6" t="s">
        <v>2158</v>
      </c>
      <c r="F1339" s="9" t="s">
        <v>3225</v>
      </c>
    </row>
    <row r="1340" ht="33.75" customHeight="1">
      <c r="A1340" s="7">
        <v>46.0</v>
      </c>
      <c r="B1340" s="9" t="s">
        <v>2748</v>
      </c>
      <c r="C1340" s="9" t="s">
        <v>122</v>
      </c>
      <c r="D1340" s="9" t="s">
        <v>89</v>
      </c>
      <c r="E1340" s="6" t="s">
        <v>2143</v>
      </c>
      <c r="F1340" s="9" t="s">
        <v>3225</v>
      </c>
    </row>
    <row r="1341" ht="33.75" customHeight="1">
      <c r="A1341" s="7">
        <v>46.0</v>
      </c>
      <c r="B1341" s="9" t="s">
        <v>2748</v>
      </c>
      <c r="C1341" s="9" t="s">
        <v>122</v>
      </c>
      <c r="D1341" s="9" t="s">
        <v>91</v>
      </c>
      <c r="E1341" s="6" t="s">
        <v>2160</v>
      </c>
      <c r="F1341" s="9" t="s">
        <v>3225</v>
      </c>
    </row>
    <row r="1342" ht="33.75" customHeight="1">
      <c r="A1342" s="7">
        <v>46.0</v>
      </c>
      <c r="B1342" s="9" t="s">
        <v>2748</v>
      </c>
      <c r="C1342" s="9" t="s">
        <v>122</v>
      </c>
      <c r="D1342" s="9" t="s">
        <v>93</v>
      </c>
      <c r="E1342" s="6" t="s">
        <v>2161</v>
      </c>
      <c r="F1342" s="9" t="s">
        <v>3225</v>
      </c>
    </row>
    <row r="1343" ht="33.75" customHeight="1">
      <c r="A1343" s="7">
        <v>46.0</v>
      </c>
      <c r="B1343" s="9" t="s">
        <v>2748</v>
      </c>
      <c r="C1343" s="9" t="s">
        <v>122</v>
      </c>
      <c r="D1343" s="9" t="s">
        <v>95</v>
      </c>
      <c r="E1343" s="6" t="s">
        <v>2161</v>
      </c>
      <c r="F1343" s="9" t="s">
        <v>3225</v>
      </c>
    </row>
    <row r="1344" ht="33.75" customHeight="1">
      <c r="A1344" s="7">
        <v>46.0</v>
      </c>
      <c r="B1344" s="9" t="s">
        <v>2748</v>
      </c>
      <c r="C1344" s="9" t="s">
        <v>122</v>
      </c>
      <c r="D1344" s="9" t="s">
        <v>98</v>
      </c>
      <c r="E1344" s="6" t="s">
        <v>2161</v>
      </c>
      <c r="F1344" s="9" t="s">
        <v>3225</v>
      </c>
    </row>
    <row r="1345" ht="33.75" customHeight="1">
      <c r="A1345" s="7">
        <v>46.0</v>
      </c>
      <c r="B1345" s="9" t="s">
        <v>2748</v>
      </c>
      <c r="C1345" s="9" t="s">
        <v>122</v>
      </c>
      <c r="D1345" s="9" t="s">
        <v>99</v>
      </c>
      <c r="E1345" s="6" t="s">
        <v>2161</v>
      </c>
      <c r="F1345" s="9" t="s">
        <v>3225</v>
      </c>
    </row>
    <row r="1346" ht="33.75" customHeight="1">
      <c r="A1346" s="7">
        <v>46.0</v>
      </c>
      <c r="B1346" s="9" t="s">
        <v>2748</v>
      </c>
      <c r="C1346" s="9" t="s">
        <v>122</v>
      </c>
      <c r="D1346" s="9" t="s">
        <v>101</v>
      </c>
      <c r="E1346" s="6" t="s">
        <v>2155</v>
      </c>
      <c r="F1346" s="9" t="s">
        <v>3225</v>
      </c>
    </row>
    <row r="1347" ht="33.75" customHeight="1">
      <c r="A1347" s="7">
        <v>46.0</v>
      </c>
      <c r="B1347" s="9" t="s">
        <v>2748</v>
      </c>
      <c r="C1347" s="9" t="s">
        <v>122</v>
      </c>
      <c r="D1347" s="9" t="s">
        <v>105</v>
      </c>
      <c r="E1347" s="6" t="s">
        <v>2142</v>
      </c>
      <c r="F1347" s="9" t="s">
        <v>3225</v>
      </c>
    </row>
    <row r="1348" ht="33.75" customHeight="1">
      <c r="A1348" s="7">
        <v>46.0</v>
      </c>
      <c r="B1348" s="9" t="s">
        <v>2748</v>
      </c>
      <c r="C1348" s="9" t="s">
        <v>122</v>
      </c>
      <c r="D1348" s="9" t="s">
        <v>107</v>
      </c>
      <c r="E1348" s="6" t="s">
        <v>2162</v>
      </c>
      <c r="F1348" s="9" t="s">
        <v>3225</v>
      </c>
    </row>
    <row r="1349" ht="33.75" customHeight="1">
      <c r="A1349" s="7">
        <v>46.0</v>
      </c>
      <c r="B1349" s="9" t="s">
        <v>2748</v>
      </c>
      <c r="C1349" s="9" t="s">
        <v>122</v>
      </c>
      <c r="D1349" s="9" t="s">
        <v>109</v>
      </c>
      <c r="E1349" s="6" t="s">
        <v>2162</v>
      </c>
      <c r="F1349" s="9" t="s">
        <v>3225</v>
      </c>
    </row>
    <row r="1350" ht="33.75" customHeight="1">
      <c r="A1350" s="7">
        <v>46.0</v>
      </c>
      <c r="B1350" s="9" t="s">
        <v>2748</v>
      </c>
      <c r="C1350" s="9" t="s">
        <v>122</v>
      </c>
      <c r="D1350" s="9" t="s">
        <v>637</v>
      </c>
      <c r="E1350" s="6" t="s">
        <v>2164</v>
      </c>
      <c r="F1350" s="9" t="s">
        <v>3225</v>
      </c>
    </row>
    <row r="1351" ht="33.75" customHeight="1">
      <c r="A1351" s="7">
        <v>46.0</v>
      </c>
      <c r="B1351" s="9" t="s">
        <v>2748</v>
      </c>
      <c r="C1351" s="9" t="s">
        <v>122</v>
      </c>
      <c r="D1351" s="9" t="s">
        <v>642</v>
      </c>
      <c r="E1351" s="6" t="s">
        <v>2165</v>
      </c>
      <c r="F1351" s="9" t="s">
        <v>3225</v>
      </c>
    </row>
    <row r="1352" ht="33.75" customHeight="1">
      <c r="A1352" s="7">
        <v>46.0</v>
      </c>
      <c r="B1352" s="9" t="s">
        <v>2748</v>
      </c>
      <c r="C1352" s="9" t="s">
        <v>122</v>
      </c>
      <c r="D1352" s="9" t="s">
        <v>647</v>
      </c>
      <c r="E1352" s="6" t="s">
        <v>2166</v>
      </c>
      <c r="F1352" s="9" t="s">
        <v>3225</v>
      </c>
    </row>
    <row r="1353" ht="33.75" customHeight="1">
      <c r="A1353" s="7">
        <v>46.0</v>
      </c>
      <c r="B1353" s="9" t="s">
        <v>2748</v>
      </c>
      <c r="C1353" s="9" t="s">
        <v>122</v>
      </c>
      <c r="D1353" s="9" t="s">
        <v>652</v>
      </c>
      <c r="E1353" s="6" t="s">
        <v>2167</v>
      </c>
      <c r="F1353" s="9" t="s">
        <v>3225</v>
      </c>
    </row>
    <row r="1354" ht="33.75" customHeight="1">
      <c r="A1354" s="7">
        <v>46.0</v>
      </c>
      <c r="B1354" s="9" t="s">
        <v>2748</v>
      </c>
      <c r="C1354" s="9" t="s">
        <v>122</v>
      </c>
      <c r="D1354" s="9" t="s">
        <v>111</v>
      </c>
      <c r="E1354" s="6" t="s">
        <v>2142</v>
      </c>
      <c r="F1354" s="9" t="s">
        <v>3225</v>
      </c>
    </row>
    <row r="1355" ht="33.75" customHeight="1">
      <c r="A1355" s="7">
        <v>46.0</v>
      </c>
      <c r="B1355" s="9" t="s">
        <v>2748</v>
      </c>
      <c r="C1355" s="9" t="s">
        <v>122</v>
      </c>
      <c r="D1355" s="9" t="s">
        <v>113</v>
      </c>
      <c r="E1355" s="6" t="s">
        <v>2142</v>
      </c>
      <c r="F1355" s="9" t="s">
        <v>3225</v>
      </c>
    </row>
    <row r="1356" ht="33.75" customHeight="1">
      <c r="A1356" s="7">
        <v>46.0</v>
      </c>
      <c r="B1356" s="9" t="s">
        <v>2748</v>
      </c>
      <c r="C1356" s="9" t="s">
        <v>122</v>
      </c>
      <c r="D1356" s="9" t="s">
        <v>1577</v>
      </c>
      <c r="E1356" s="6" t="s">
        <v>2169</v>
      </c>
      <c r="F1356" s="9" t="s">
        <v>3225</v>
      </c>
    </row>
    <row r="1357" ht="33.75" customHeight="1">
      <c r="A1357" s="7">
        <v>47.0</v>
      </c>
      <c r="B1357" s="9" t="s">
        <v>2799</v>
      </c>
      <c r="C1357" s="9" t="s">
        <v>122</v>
      </c>
      <c r="D1357" s="9" t="s">
        <v>24</v>
      </c>
      <c r="E1357" s="6" t="s">
        <v>2170</v>
      </c>
      <c r="F1357" s="9" t="s">
        <v>3284</v>
      </c>
      <c r="G1357" t="inlineStr" s="6">
        <is>
          <t xml:space="preserve">A host-parasite pair in which the parasite mushroom has taken over the host bug. Prefers damp places. The bug host is drained of energy by the mushrooms on its back. They appear to do all the thinking. It stays mostly in dark, damp places, the preference not of the bug, but of the big mushrooms on its back. The larger the mushroom on its back grows, the stronger the mush room spores it scatters. When nothing's left to extract from the bug, the mushrooms on its back leave spores on the bug's egg. PARASECT is known to infest large trees en masse and drain nutrients from the lower trunk and roots. When an infested tree dies, they move onto another tree all at once. PARASECT are known to infest the roots of large trees en masse and drain nutrients. It scatters toxic spores from the mushroom cap. In China, the spores are used as herbal medicine. A mushroom grown larger than the host’s body controls PARASECT. It scatters poisonous spores. It is controlled by a mushroom grown larger than the bug body. It is said to prefer damp places. It stays mostly in dark, damp places, the preference not of the bug, but of the big mushroom on its back. The larger the mushroom on its back grows, the stronger the mushroom spores it scatters. The large mushroom on its back controls it. It often fights over territory with Shiinotic. It scatters toxic spores from its mushroom cap. Once harvested, these spores can be steeped and boiled down to prepare herbal medicines. The bug is mostly dead, with the mushroom on its back having become the main body. If the mushroom comes off, the bug stops moving. Its poisonous spores are also used in traditional medicine. Apparently, spores produced in Alola are not of very good quality. The bug host is drained of energy by the mushroom on its back. The mushroom appears to do all the thinking. Mushroom-lacking specimens of this Pokémon lie unmoving in the forest, lending credence to the hypothesis that the large mushroom is in control of Parasect's actions.</t>
        </is>
      </c>
    </row>
    <row r="1358" ht="33.75" customHeight="1">
      <c r="A1358" s="7">
        <v>47.0</v>
      </c>
      <c r="B1358" s="9" t="s">
        <v>2799</v>
      </c>
      <c r="C1358" s="9" t="s">
        <v>122</v>
      </c>
      <c r="D1358" s="9" t="s">
        <v>35</v>
      </c>
      <c r="E1358" s="6" t="s">
        <v>2170</v>
      </c>
      <c r="F1358" s="9" t="s">
        <v>3284</v>
      </c>
    </row>
    <row r="1359" ht="33.75" customHeight="1">
      <c r="A1359" s="7">
        <v>47.0</v>
      </c>
      <c r="B1359" s="9" t="s">
        <v>2799</v>
      </c>
      <c r="C1359" s="9" t="s">
        <v>122</v>
      </c>
      <c r="D1359" s="9" t="s">
        <v>42</v>
      </c>
      <c r="E1359" s="6" t="s">
        <v>2172</v>
      </c>
      <c r="F1359" s="9" t="s">
        <v>3284</v>
      </c>
    </row>
    <row r="1360" ht="33.75" customHeight="1">
      <c r="A1360" s="7">
        <v>47.0</v>
      </c>
      <c r="B1360" s="9" t="s">
        <v>2799</v>
      </c>
      <c r="C1360" s="9" t="s">
        <v>122</v>
      </c>
      <c r="D1360" s="9" t="s">
        <v>52</v>
      </c>
      <c r="E1360" s="6" t="s">
        <v>2174</v>
      </c>
      <c r="F1360" s="9" t="s">
        <v>3284</v>
      </c>
    </row>
    <row r="1361" ht="33.75" customHeight="1">
      <c r="A1361" s="7">
        <v>47.0</v>
      </c>
      <c r="B1361" s="9" t="s">
        <v>2799</v>
      </c>
      <c r="C1361" s="9" t="s">
        <v>122</v>
      </c>
      <c r="D1361" s="9" t="s">
        <v>59</v>
      </c>
      <c r="E1361" s="6" t="s">
        <v>2175</v>
      </c>
      <c r="F1361" s="9" t="s">
        <v>3284</v>
      </c>
    </row>
    <row r="1362" ht="33.75" customHeight="1">
      <c r="A1362" s="7">
        <v>47.0</v>
      </c>
      <c r="B1362" s="9" t="s">
        <v>2799</v>
      </c>
      <c r="C1362" s="9" t="s">
        <v>122</v>
      </c>
      <c r="D1362" s="9" t="s">
        <v>64</v>
      </c>
      <c r="E1362" s="6" t="s">
        <v>2177</v>
      </c>
      <c r="F1362" s="9" t="s">
        <v>3284</v>
      </c>
    </row>
    <row r="1363" ht="33.75" customHeight="1">
      <c r="A1363" s="7">
        <v>47.0</v>
      </c>
      <c r="B1363" s="9" t="s">
        <v>2799</v>
      </c>
      <c r="C1363" s="9" t="s">
        <v>122</v>
      </c>
      <c r="D1363" s="9" t="s">
        <v>67</v>
      </c>
      <c r="E1363" s="6" t="s">
        <v>2179</v>
      </c>
      <c r="F1363" s="9" t="s">
        <v>3284</v>
      </c>
    </row>
    <row r="1364" ht="33.75" customHeight="1">
      <c r="A1364" s="7">
        <v>47.0</v>
      </c>
      <c r="B1364" s="9" t="s">
        <v>2799</v>
      </c>
      <c r="C1364" s="9" t="s">
        <v>122</v>
      </c>
      <c r="D1364" s="9" t="s">
        <v>71</v>
      </c>
      <c r="E1364" s="6" t="s">
        <v>2179</v>
      </c>
      <c r="F1364" s="9" t="s">
        <v>3284</v>
      </c>
    </row>
    <row r="1365" ht="33.75" customHeight="1">
      <c r="A1365" s="7">
        <v>47.0</v>
      </c>
      <c r="B1365" s="9" t="s">
        <v>2799</v>
      </c>
      <c r="C1365" s="9" t="s">
        <v>122</v>
      </c>
      <c r="D1365" s="9" t="s">
        <v>73</v>
      </c>
      <c r="E1365" s="6" t="s">
        <v>2180</v>
      </c>
      <c r="F1365" s="9" t="s">
        <v>3284</v>
      </c>
    </row>
    <row r="1366" ht="33.75" customHeight="1">
      <c r="A1366" s="7">
        <v>47.0</v>
      </c>
      <c r="B1366" s="9" t="s">
        <v>2799</v>
      </c>
      <c r="C1366" s="9" t="s">
        <v>122</v>
      </c>
      <c r="D1366" s="9" t="s">
        <v>75</v>
      </c>
      <c r="E1366" s="6" t="s">
        <v>2181</v>
      </c>
      <c r="F1366" s="9" t="s">
        <v>3284</v>
      </c>
    </row>
    <row r="1367" ht="33.75" customHeight="1">
      <c r="A1367" s="7">
        <v>47.0</v>
      </c>
      <c r="B1367" s="9" t="s">
        <v>2799</v>
      </c>
      <c r="C1367" s="9" t="s">
        <v>122</v>
      </c>
      <c r="D1367" s="9" t="s">
        <v>79</v>
      </c>
      <c r="E1367" s="6" t="s">
        <v>2170</v>
      </c>
      <c r="F1367" s="9" t="s">
        <v>3284</v>
      </c>
    </row>
    <row r="1368" ht="33.75" customHeight="1">
      <c r="A1368" s="7">
        <v>47.0</v>
      </c>
      <c r="B1368" s="9" t="s">
        <v>2799</v>
      </c>
      <c r="C1368" s="9" t="s">
        <v>122</v>
      </c>
      <c r="D1368" s="9" t="s">
        <v>81</v>
      </c>
      <c r="E1368" s="6" t="s">
        <v>2182</v>
      </c>
      <c r="F1368" s="9" t="s">
        <v>3284</v>
      </c>
    </row>
    <row r="1369" ht="33.75" customHeight="1">
      <c r="A1369" s="7">
        <v>47.0</v>
      </c>
      <c r="B1369" s="9" t="s">
        <v>2799</v>
      </c>
      <c r="C1369" s="9" t="s">
        <v>122</v>
      </c>
      <c r="D1369" s="9" t="s">
        <v>84</v>
      </c>
      <c r="E1369" s="6" t="s">
        <v>2183</v>
      </c>
      <c r="F1369" s="9" t="s">
        <v>3284</v>
      </c>
    </row>
    <row r="1370" ht="33.75" customHeight="1">
      <c r="A1370" s="7">
        <v>47.0</v>
      </c>
      <c r="B1370" s="9" t="s">
        <v>2799</v>
      </c>
      <c r="C1370" s="9" t="s">
        <v>122</v>
      </c>
      <c r="D1370" s="9" t="s">
        <v>87</v>
      </c>
      <c r="E1370" s="6" t="s">
        <v>2182</v>
      </c>
      <c r="F1370" s="9" t="s">
        <v>3284</v>
      </c>
    </row>
    <row r="1371" ht="33.75" customHeight="1">
      <c r="A1371" s="7">
        <v>47.0</v>
      </c>
      <c r="B1371" s="9" t="s">
        <v>2799</v>
      </c>
      <c r="C1371" s="9" t="s">
        <v>122</v>
      </c>
      <c r="D1371" s="9" t="s">
        <v>89</v>
      </c>
      <c r="E1371" s="6" t="s">
        <v>2184</v>
      </c>
      <c r="F1371" s="9" t="s">
        <v>3284</v>
      </c>
    </row>
    <row r="1372" ht="33.75" customHeight="1">
      <c r="A1372" s="7">
        <v>47.0</v>
      </c>
      <c r="B1372" s="9" t="s">
        <v>2799</v>
      </c>
      <c r="C1372" s="9" t="s">
        <v>122</v>
      </c>
      <c r="D1372" s="9" t="s">
        <v>91</v>
      </c>
      <c r="E1372" s="6" t="s">
        <v>2187</v>
      </c>
      <c r="F1372" s="9" t="s">
        <v>3284</v>
      </c>
    </row>
    <row r="1373" ht="33.75" customHeight="1">
      <c r="A1373" s="7">
        <v>47.0</v>
      </c>
      <c r="B1373" s="9" t="s">
        <v>2799</v>
      </c>
      <c r="C1373" s="9" t="s">
        <v>122</v>
      </c>
      <c r="D1373" s="9" t="s">
        <v>93</v>
      </c>
      <c r="E1373" s="6" t="s">
        <v>2189</v>
      </c>
      <c r="F1373" s="9" t="s">
        <v>3284</v>
      </c>
    </row>
    <row r="1374" ht="33.75" customHeight="1">
      <c r="A1374" s="7">
        <v>47.0</v>
      </c>
      <c r="B1374" s="9" t="s">
        <v>2799</v>
      </c>
      <c r="C1374" s="9" t="s">
        <v>122</v>
      </c>
      <c r="D1374" s="9" t="s">
        <v>95</v>
      </c>
      <c r="E1374" s="6" t="s">
        <v>2189</v>
      </c>
      <c r="F1374" s="9" t="s">
        <v>3284</v>
      </c>
    </row>
    <row r="1375" ht="33.75" customHeight="1">
      <c r="A1375" s="7">
        <v>47.0</v>
      </c>
      <c r="B1375" s="9" t="s">
        <v>2799</v>
      </c>
      <c r="C1375" s="9" t="s">
        <v>122</v>
      </c>
      <c r="D1375" s="9" t="s">
        <v>98</v>
      </c>
      <c r="E1375" s="6" t="s">
        <v>2189</v>
      </c>
      <c r="F1375" s="9" t="s">
        <v>3284</v>
      </c>
    </row>
    <row r="1376" ht="33.75" customHeight="1">
      <c r="A1376" s="7">
        <v>47.0</v>
      </c>
      <c r="B1376" s="9" t="s">
        <v>2799</v>
      </c>
      <c r="C1376" s="9" t="s">
        <v>122</v>
      </c>
      <c r="D1376" s="9" t="s">
        <v>99</v>
      </c>
      <c r="E1376" s="6" t="s">
        <v>2189</v>
      </c>
      <c r="F1376" s="9" t="s">
        <v>3284</v>
      </c>
    </row>
    <row r="1377" ht="33.75" customHeight="1">
      <c r="A1377" s="7">
        <v>47.0</v>
      </c>
      <c r="B1377" s="9" t="s">
        <v>2799</v>
      </c>
      <c r="C1377" s="9" t="s">
        <v>122</v>
      </c>
      <c r="D1377" s="9" t="s">
        <v>101</v>
      </c>
      <c r="E1377" s="6" t="s">
        <v>2189</v>
      </c>
      <c r="F1377" s="9" t="s">
        <v>3284</v>
      </c>
    </row>
    <row r="1378" ht="33.75" customHeight="1">
      <c r="A1378" s="7">
        <v>47.0</v>
      </c>
      <c r="B1378" s="9" t="s">
        <v>2799</v>
      </c>
      <c r="C1378" s="9" t="s">
        <v>122</v>
      </c>
      <c r="D1378" s="9" t="s">
        <v>105</v>
      </c>
      <c r="E1378" s="6" t="s">
        <v>2187</v>
      </c>
      <c r="F1378" s="9" t="s">
        <v>3284</v>
      </c>
    </row>
    <row r="1379" ht="33.75" customHeight="1">
      <c r="A1379" s="7">
        <v>47.0</v>
      </c>
      <c r="B1379" s="9" t="s">
        <v>2799</v>
      </c>
      <c r="C1379" s="9" t="s">
        <v>122</v>
      </c>
      <c r="D1379" s="9" t="s">
        <v>107</v>
      </c>
      <c r="E1379" s="6" t="s">
        <v>2190</v>
      </c>
      <c r="F1379" s="9" t="s">
        <v>3284</v>
      </c>
    </row>
    <row r="1380" ht="33.75" customHeight="1">
      <c r="A1380" s="7">
        <v>47.0</v>
      </c>
      <c r="B1380" s="9" t="s">
        <v>2799</v>
      </c>
      <c r="C1380" s="9" t="s">
        <v>122</v>
      </c>
      <c r="D1380" s="9" t="s">
        <v>109</v>
      </c>
      <c r="E1380" s="6" t="s">
        <v>2190</v>
      </c>
      <c r="F1380" s="9" t="s">
        <v>3284</v>
      </c>
    </row>
    <row r="1381" ht="33.75" customHeight="1">
      <c r="A1381" s="7">
        <v>47.0</v>
      </c>
      <c r="B1381" s="9" t="s">
        <v>2799</v>
      </c>
      <c r="C1381" s="9" t="s">
        <v>122</v>
      </c>
      <c r="D1381" s="9" t="s">
        <v>637</v>
      </c>
      <c r="E1381" s="6" t="s">
        <v>2192</v>
      </c>
      <c r="F1381" s="9" t="s">
        <v>3284</v>
      </c>
    </row>
    <row r="1382" ht="33.75" customHeight="1">
      <c r="A1382" s="7">
        <v>47.0</v>
      </c>
      <c r="B1382" s="9" t="s">
        <v>2799</v>
      </c>
      <c r="C1382" s="9" t="s">
        <v>122</v>
      </c>
      <c r="D1382" s="9" t="s">
        <v>642</v>
      </c>
      <c r="E1382" s="6" t="s">
        <v>2194</v>
      </c>
      <c r="F1382" s="9" t="s">
        <v>3284</v>
      </c>
    </row>
    <row r="1383" ht="33.75" customHeight="1">
      <c r="A1383" s="7">
        <v>47.0</v>
      </c>
      <c r="B1383" s="9" t="s">
        <v>2799</v>
      </c>
      <c r="C1383" s="9" t="s">
        <v>122</v>
      </c>
      <c r="D1383" s="9" t="s">
        <v>647</v>
      </c>
      <c r="E1383" s="6" t="s">
        <v>2197</v>
      </c>
      <c r="F1383" s="9" t="s">
        <v>3284</v>
      </c>
    </row>
    <row r="1384" ht="33.75" customHeight="1">
      <c r="A1384" s="7">
        <v>47.0</v>
      </c>
      <c r="B1384" s="9" t="s">
        <v>2799</v>
      </c>
      <c r="C1384" s="9" t="s">
        <v>122</v>
      </c>
      <c r="D1384" s="9" t="s">
        <v>652</v>
      </c>
      <c r="E1384" s="6" t="s">
        <v>2199</v>
      </c>
      <c r="F1384" s="9" t="s">
        <v>3284</v>
      </c>
    </row>
    <row r="1385" ht="33.75" customHeight="1">
      <c r="A1385" s="7">
        <v>47.0</v>
      </c>
      <c r="B1385" s="9" t="s">
        <v>2799</v>
      </c>
      <c r="C1385" s="9" t="s">
        <v>122</v>
      </c>
      <c r="D1385" s="9" t="s">
        <v>111</v>
      </c>
      <c r="E1385" s="6" t="s">
        <v>2201</v>
      </c>
      <c r="F1385" s="9" t="s">
        <v>3284</v>
      </c>
    </row>
    <row r="1386" ht="33.75" customHeight="1">
      <c r="A1386" s="7">
        <v>47.0</v>
      </c>
      <c r="B1386" s="9" t="s">
        <v>2799</v>
      </c>
      <c r="C1386" s="9" t="s">
        <v>122</v>
      </c>
      <c r="D1386" s="9" t="s">
        <v>113</v>
      </c>
      <c r="E1386" s="6" t="s">
        <v>2201</v>
      </c>
      <c r="F1386" s="9" t="s">
        <v>3284</v>
      </c>
    </row>
    <row r="1387" ht="33.75" customHeight="1">
      <c r="A1387" s="7">
        <v>47.0</v>
      </c>
      <c r="B1387" s="9" t="s">
        <v>2799</v>
      </c>
      <c r="C1387" s="9" t="s">
        <v>122</v>
      </c>
      <c r="D1387" s="9" t="s">
        <v>1577</v>
      </c>
      <c r="E1387" s="6" t="s">
        <v>2202</v>
      </c>
      <c r="F1387" s="9" t="s">
        <v>3284</v>
      </c>
    </row>
    <row r="1388" ht="33.75" customHeight="1">
      <c r="A1388" s="7">
        <v>48.0</v>
      </c>
      <c r="B1388" s="9" t="s">
        <v>2857</v>
      </c>
      <c r="C1388" s="9" t="s">
        <v>124</v>
      </c>
      <c r="D1388" s="9" t="s">
        <v>24</v>
      </c>
      <c r="E1388" s="6" t="s">
        <v>2204</v>
      </c>
      <c r="F1388" s="9" t="s">
        <v>3343</v>
      </c>
      <c r="G1388" t="inlineStr" s="6">
        <is>
          <t xml:space="preserve">Lives in the shadows of tall trees where Venonat eats insects. It is attracted by light at night. Its large eyes act as radars. In a bright place, you can see that they are clusters of many tiny eyes. Its eyes also function as radar units. It catches and eats small bugs that hide in darkness. Poison oozes from all over its body. It catches and eats small bugs at night that are attracted by light. The small bugs it eats appear only at night, so it sleeps in a hole in a tree until night falls. VENONAT is said to have evolved with a coat of thin, stiff hair that covers its entire body for protection. It possesses large eyes that never fail to spot even miniscule prey. Its coat of thin, stiff hair that covers its entire body is said to have evolved for protection. Its large eyes never fail to spot even miniscule prey. Its eyes act as radar, enabling it to be active in darkness. The eyes can also shoot powerful beams. Lives in the shadows of tall trees where it eats bugs. Its big eyes are actually clusters of tiny eyes. At night, its kind is drawn by light. It possesses large eyes that never fail to spot even minuscule prey. Its large eyes act as radar.</t>
        </is>
      </c>
    </row>
    <row r="1389" ht="33.75" customHeight="1">
      <c r="A1389" s="7">
        <v>48.0</v>
      </c>
      <c r="B1389" s="9" t="s">
        <v>2857</v>
      </c>
      <c r="C1389" s="9" t="s">
        <v>124</v>
      </c>
      <c r="D1389" s="9" t="s">
        <v>35</v>
      </c>
      <c r="E1389" s="6" t="s">
        <v>2204</v>
      </c>
      <c r="F1389" s="9" t="s">
        <v>3343</v>
      </c>
    </row>
    <row r="1390" ht="33.75" customHeight="1">
      <c r="A1390" s="7">
        <v>48.0</v>
      </c>
      <c r="B1390" s="9" t="s">
        <v>2857</v>
      </c>
      <c r="C1390" s="9" t="s">
        <v>124</v>
      </c>
      <c r="D1390" s="9" t="s">
        <v>42</v>
      </c>
      <c r="E1390" s="6" t="s">
        <v>2206</v>
      </c>
      <c r="F1390" s="9" t="s">
        <v>3343</v>
      </c>
    </row>
    <row r="1391" ht="33.75" customHeight="1">
      <c r="A1391" s="7">
        <v>48.0</v>
      </c>
      <c r="B1391" s="9" t="s">
        <v>2857</v>
      </c>
      <c r="C1391" s="9" t="s">
        <v>124</v>
      </c>
      <c r="D1391" s="9" t="s">
        <v>52</v>
      </c>
      <c r="E1391" s="6" t="s">
        <v>2208</v>
      </c>
      <c r="F1391" s="9" t="s">
        <v>3343</v>
      </c>
    </row>
    <row r="1392" ht="33.75" customHeight="1">
      <c r="A1392" s="7">
        <v>48.0</v>
      </c>
      <c r="B1392" s="9" t="s">
        <v>2857</v>
      </c>
      <c r="C1392" s="9" t="s">
        <v>124</v>
      </c>
      <c r="D1392" s="9" t="s">
        <v>59</v>
      </c>
      <c r="E1392" s="6" t="s">
        <v>2210</v>
      </c>
      <c r="F1392" s="9" t="s">
        <v>3343</v>
      </c>
    </row>
    <row r="1393" ht="33.75" customHeight="1">
      <c r="A1393" s="7">
        <v>48.0</v>
      </c>
      <c r="B1393" s="9" t="s">
        <v>2857</v>
      </c>
      <c r="C1393" s="9" t="s">
        <v>124</v>
      </c>
      <c r="D1393" s="9" t="s">
        <v>64</v>
      </c>
      <c r="E1393" s="6" t="s">
        <v>2211</v>
      </c>
      <c r="F1393" s="9" t="s">
        <v>3343</v>
      </c>
    </row>
    <row r="1394" ht="33.75" customHeight="1">
      <c r="A1394" s="7">
        <v>48.0</v>
      </c>
      <c r="B1394" s="9" t="s">
        <v>2857</v>
      </c>
      <c r="C1394" s="9" t="s">
        <v>124</v>
      </c>
      <c r="D1394" s="9" t="s">
        <v>67</v>
      </c>
      <c r="E1394" s="6" t="s">
        <v>2213</v>
      </c>
      <c r="F1394" s="9" t="s">
        <v>3343</v>
      </c>
    </row>
    <row r="1395" ht="33.75" customHeight="1">
      <c r="A1395" s="7">
        <v>48.0</v>
      </c>
      <c r="B1395" s="9" t="s">
        <v>2857</v>
      </c>
      <c r="C1395" s="9" t="s">
        <v>124</v>
      </c>
      <c r="D1395" s="9" t="s">
        <v>71</v>
      </c>
      <c r="E1395" s="6" t="s">
        <v>2213</v>
      </c>
      <c r="F1395" s="9" t="s">
        <v>3343</v>
      </c>
    </row>
    <row r="1396" ht="33.75" customHeight="1">
      <c r="A1396" s="7">
        <v>48.0</v>
      </c>
      <c r="B1396" s="9" t="s">
        <v>2857</v>
      </c>
      <c r="C1396" s="9" t="s">
        <v>124</v>
      </c>
      <c r="D1396" s="9" t="s">
        <v>73</v>
      </c>
      <c r="E1396" s="6" t="s">
        <v>2215</v>
      </c>
      <c r="F1396" s="9" t="s">
        <v>3343</v>
      </c>
    </row>
    <row r="1397" ht="33.75" customHeight="1">
      <c r="A1397" s="7">
        <v>48.0</v>
      </c>
      <c r="B1397" s="9" t="s">
        <v>2857</v>
      </c>
      <c r="C1397" s="9" t="s">
        <v>124</v>
      </c>
      <c r="D1397" s="9" t="s">
        <v>75</v>
      </c>
      <c r="E1397" s="6" t="s">
        <v>2216</v>
      </c>
      <c r="F1397" s="9" t="s">
        <v>3343</v>
      </c>
    </row>
    <row r="1398" ht="33.75" customHeight="1">
      <c r="A1398" s="7">
        <v>48.0</v>
      </c>
      <c r="B1398" s="9" t="s">
        <v>2857</v>
      </c>
      <c r="C1398" s="9" t="s">
        <v>124</v>
      </c>
      <c r="D1398" s="9" t="s">
        <v>79</v>
      </c>
      <c r="E1398" s="6" t="s">
        <v>2218</v>
      </c>
      <c r="F1398" s="9" t="s">
        <v>3343</v>
      </c>
    </row>
    <row r="1399" ht="33.75" customHeight="1">
      <c r="A1399" s="7">
        <v>48.0</v>
      </c>
      <c r="B1399" s="9" t="s">
        <v>2857</v>
      </c>
      <c r="C1399" s="9" t="s">
        <v>124</v>
      </c>
      <c r="D1399" s="9" t="s">
        <v>81</v>
      </c>
      <c r="E1399" s="6" t="s">
        <v>2219</v>
      </c>
      <c r="F1399" s="9" t="s">
        <v>3343</v>
      </c>
    </row>
    <row r="1400" ht="33.75" customHeight="1">
      <c r="A1400" s="7">
        <v>48.0</v>
      </c>
      <c r="B1400" s="9" t="s">
        <v>2857</v>
      </c>
      <c r="C1400" s="9" t="s">
        <v>124</v>
      </c>
      <c r="D1400" s="9" t="s">
        <v>84</v>
      </c>
      <c r="E1400" s="6" t="s">
        <v>2219</v>
      </c>
      <c r="F1400" s="9" t="s">
        <v>3343</v>
      </c>
    </row>
    <row r="1401" ht="33.75" customHeight="1">
      <c r="A1401" s="7">
        <v>48.0</v>
      </c>
      <c r="B1401" s="9" t="s">
        <v>2857</v>
      </c>
      <c r="C1401" s="9" t="s">
        <v>124</v>
      </c>
      <c r="D1401" s="9" t="s">
        <v>87</v>
      </c>
      <c r="E1401" s="6" t="s">
        <v>2219</v>
      </c>
      <c r="F1401" s="9" t="s">
        <v>3343</v>
      </c>
    </row>
    <row r="1402" ht="33.75" customHeight="1">
      <c r="A1402" s="7">
        <v>48.0</v>
      </c>
      <c r="B1402" s="9" t="s">
        <v>2857</v>
      </c>
      <c r="C1402" s="9" t="s">
        <v>124</v>
      </c>
      <c r="D1402" s="9" t="s">
        <v>89</v>
      </c>
      <c r="E1402" s="6" t="s">
        <v>2208</v>
      </c>
      <c r="F1402" s="9" t="s">
        <v>3343</v>
      </c>
    </row>
    <row r="1403" ht="33.75" customHeight="1">
      <c r="A1403" s="7">
        <v>48.0</v>
      </c>
      <c r="B1403" s="9" t="s">
        <v>2857</v>
      </c>
      <c r="C1403" s="9" t="s">
        <v>124</v>
      </c>
      <c r="D1403" s="9" t="s">
        <v>91</v>
      </c>
      <c r="E1403" s="6" t="s">
        <v>2220</v>
      </c>
      <c r="F1403" s="9" t="s">
        <v>3343</v>
      </c>
    </row>
    <row r="1404" ht="33.75" customHeight="1">
      <c r="A1404" s="7">
        <v>48.0</v>
      </c>
      <c r="B1404" s="9" t="s">
        <v>2857</v>
      </c>
      <c r="C1404" s="9" t="s">
        <v>124</v>
      </c>
      <c r="D1404" s="9" t="s">
        <v>93</v>
      </c>
      <c r="E1404" s="6" t="s">
        <v>2219</v>
      </c>
      <c r="F1404" s="9" t="s">
        <v>3343</v>
      </c>
    </row>
    <row r="1405" ht="33.75" customHeight="1">
      <c r="A1405" s="7">
        <v>48.0</v>
      </c>
      <c r="B1405" s="9" t="s">
        <v>2857</v>
      </c>
      <c r="C1405" s="9" t="s">
        <v>124</v>
      </c>
      <c r="D1405" s="9" t="s">
        <v>95</v>
      </c>
      <c r="E1405" s="6" t="s">
        <v>2219</v>
      </c>
      <c r="F1405" s="9" t="s">
        <v>3343</v>
      </c>
    </row>
    <row r="1406" ht="33.75" customHeight="1">
      <c r="A1406" s="7">
        <v>48.0</v>
      </c>
      <c r="B1406" s="9" t="s">
        <v>2857</v>
      </c>
      <c r="C1406" s="9" t="s">
        <v>124</v>
      </c>
      <c r="D1406" s="9" t="s">
        <v>98</v>
      </c>
      <c r="E1406" s="6" t="s">
        <v>2219</v>
      </c>
      <c r="F1406" s="9" t="s">
        <v>3343</v>
      </c>
    </row>
    <row r="1407" ht="33.75" customHeight="1">
      <c r="A1407" s="7">
        <v>48.0</v>
      </c>
      <c r="B1407" s="9" t="s">
        <v>2857</v>
      </c>
      <c r="C1407" s="9" t="s">
        <v>124</v>
      </c>
      <c r="D1407" s="9" t="s">
        <v>99</v>
      </c>
      <c r="E1407" s="6" t="s">
        <v>2219</v>
      </c>
      <c r="F1407" s="9" t="s">
        <v>3343</v>
      </c>
    </row>
    <row r="1408" ht="33.75" customHeight="1">
      <c r="A1408" s="7">
        <v>48.0</v>
      </c>
      <c r="B1408" s="9" t="s">
        <v>2857</v>
      </c>
      <c r="C1408" s="9" t="s">
        <v>124</v>
      </c>
      <c r="D1408" s="9" t="s">
        <v>101</v>
      </c>
      <c r="E1408" s="6" t="s">
        <v>2219</v>
      </c>
      <c r="F1408" s="9" t="s">
        <v>3343</v>
      </c>
    </row>
    <row r="1409" ht="33.75" customHeight="1">
      <c r="A1409" s="7">
        <v>48.0</v>
      </c>
      <c r="B1409" s="9" t="s">
        <v>2857</v>
      </c>
      <c r="C1409" s="9" t="s">
        <v>124</v>
      </c>
      <c r="D1409" s="9" t="s">
        <v>105</v>
      </c>
      <c r="E1409" s="6" t="s">
        <v>2218</v>
      </c>
      <c r="F1409" s="9" t="s">
        <v>3343</v>
      </c>
    </row>
    <row r="1410" ht="33.75" customHeight="1">
      <c r="A1410" s="7">
        <v>48.0</v>
      </c>
      <c r="B1410" s="9" t="s">
        <v>2857</v>
      </c>
      <c r="C1410" s="9" t="s">
        <v>124</v>
      </c>
      <c r="D1410" s="9" t="s">
        <v>107</v>
      </c>
      <c r="E1410" s="6" t="s">
        <v>2222</v>
      </c>
      <c r="F1410" s="9" t="s">
        <v>3343</v>
      </c>
    </row>
    <row r="1411" ht="33.75" customHeight="1">
      <c r="A1411" s="7">
        <v>48.0</v>
      </c>
      <c r="B1411" s="9" t="s">
        <v>2857</v>
      </c>
      <c r="C1411" s="9" t="s">
        <v>124</v>
      </c>
      <c r="D1411" s="9" t="s">
        <v>109</v>
      </c>
      <c r="E1411" s="6" t="s">
        <v>2222</v>
      </c>
      <c r="F1411" s="9" t="s">
        <v>3343</v>
      </c>
    </row>
    <row r="1412" ht="33.75" customHeight="1">
      <c r="A1412" s="7">
        <v>48.0</v>
      </c>
      <c r="B1412" s="9" t="s">
        <v>2857</v>
      </c>
      <c r="C1412" s="9" t="s">
        <v>124</v>
      </c>
      <c r="D1412" s="9" t="s">
        <v>111</v>
      </c>
      <c r="E1412" s="6" t="s">
        <v>2223</v>
      </c>
      <c r="F1412" s="9" t="s">
        <v>3343</v>
      </c>
    </row>
    <row r="1413" ht="33.75" customHeight="1">
      <c r="A1413" s="7">
        <v>48.0</v>
      </c>
      <c r="B1413" s="9" t="s">
        <v>2857</v>
      </c>
      <c r="C1413" s="9" t="s">
        <v>124</v>
      </c>
      <c r="D1413" s="9" t="s">
        <v>113</v>
      </c>
      <c r="E1413" s="6" t="s">
        <v>2223</v>
      </c>
      <c r="F1413" s="9" t="s">
        <v>3343</v>
      </c>
    </row>
    <row r="1414" ht="33.75" customHeight="1">
      <c r="A1414" s="7">
        <v>49.0</v>
      </c>
      <c r="B1414" s="9" t="s">
        <v>2913</v>
      </c>
      <c r="C1414" s="9" t="s">
        <v>125</v>
      </c>
      <c r="D1414" s="9" t="s">
        <v>24</v>
      </c>
      <c r="E1414" s="6" t="s">
        <v>2224</v>
      </c>
      <c r="F1414" s="9" t="s">
        <v>3384</v>
      </c>
      <c r="G1414" t="inlineStr" s="6">
        <is>
          <t xml:space="preserve">The dust-like scales covering Venomoth's wings are color coded to indicate the kinds of poison it has. The powdery scales on its wings are hard to remove. They also contain poison that leaks out on contact. When it attacks, it flaps its large wings violently to scatter its poisonous powder all around. The powder on its wings is poisonous if it is dark in color. If it is light, it causes paralysis. The scales it scatters will paralyze anyone who touches them, making that person unable to stand. VENOMOTH is nocturnal - it is a POKéMON that only becomes active at night. Its favorite prey are small insects that gather around streetlights, attracted by the light in the darkness. VENOMOTH are nocturnal--they only are active at night. Their favorite prey are insects that gather around streetlights, attracted by the light in the darkness. The wings are covered with dustlike scales. Every time it flaps its wings, it looses highly toxic dust. The dustlike scales covering its wings are color-coded to indicate the kinds of poison it has. It flutters its wings to scatter dustlike scales. The scales leach toxins if they contact skin. The powder on its wings is poisonous if it is dark in hue. If it is light in hue, it causes paralysis. Venomoth is nocturnal—it is a Pokémon that only becomes active at night. The powdery scales on its wings are hard to remove from skin.</t>
        </is>
      </c>
    </row>
    <row r="1415" ht="33.75" customHeight="1">
      <c r="A1415" s="7">
        <v>49.0</v>
      </c>
      <c r="B1415" s="9" t="s">
        <v>2913</v>
      </c>
      <c r="C1415" s="9" t="s">
        <v>125</v>
      </c>
      <c r="D1415" s="9" t="s">
        <v>35</v>
      </c>
      <c r="E1415" s="6" t="s">
        <v>2224</v>
      </c>
      <c r="F1415" s="9" t="s">
        <v>3384</v>
      </c>
    </row>
    <row r="1416" ht="33.75" customHeight="1">
      <c r="A1416" s="7">
        <v>49.0</v>
      </c>
      <c r="B1416" s="9" t="s">
        <v>2913</v>
      </c>
      <c r="C1416" s="9" t="s">
        <v>125</v>
      </c>
      <c r="D1416" s="9" t="s">
        <v>42</v>
      </c>
      <c r="E1416" s="6" t="s">
        <v>2226</v>
      </c>
      <c r="F1416" s="9" t="s">
        <v>3384</v>
      </c>
    </row>
    <row r="1417" ht="33.75" customHeight="1">
      <c r="A1417" s="7">
        <v>49.0</v>
      </c>
      <c r="B1417" s="9" t="s">
        <v>2913</v>
      </c>
      <c r="C1417" s="9" t="s">
        <v>125</v>
      </c>
      <c r="D1417" s="9" t="s">
        <v>52</v>
      </c>
      <c r="E1417" s="6" t="s">
        <v>2228</v>
      </c>
      <c r="F1417" s="9" t="s">
        <v>3384</v>
      </c>
    </row>
    <row r="1418" ht="33.75" customHeight="1">
      <c r="A1418" s="7">
        <v>49.0</v>
      </c>
      <c r="B1418" s="9" t="s">
        <v>2913</v>
      </c>
      <c r="C1418" s="9" t="s">
        <v>125</v>
      </c>
      <c r="D1418" s="9" t="s">
        <v>59</v>
      </c>
      <c r="E1418" s="6" t="s">
        <v>2229</v>
      </c>
      <c r="F1418" s="9" t="s">
        <v>3384</v>
      </c>
    </row>
    <row r="1419" ht="33.75" customHeight="1">
      <c r="A1419" s="7">
        <v>49.0</v>
      </c>
      <c r="B1419" s="9" t="s">
        <v>2913</v>
      </c>
      <c r="C1419" s="9" t="s">
        <v>125</v>
      </c>
      <c r="D1419" s="9" t="s">
        <v>64</v>
      </c>
      <c r="E1419" s="6" t="s">
        <v>2230</v>
      </c>
      <c r="F1419" s="9" t="s">
        <v>3384</v>
      </c>
    </row>
    <row r="1420" ht="33.75" customHeight="1">
      <c r="A1420" s="7">
        <v>49.0</v>
      </c>
      <c r="B1420" s="9" t="s">
        <v>2913</v>
      </c>
      <c r="C1420" s="9" t="s">
        <v>125</v>
      </c>
      <c r="D1420" s="9" t="s">
        <v>67</v>
      </c>
      <c r="E1420" s="6" t="s">
        <v>2232</v>
      </c>
      <c r="F1420" s="9" t="s">
        <v>3384</v>
      </c>
    </row>
    <row r="1421" ht="33.75" customHeight="1">
      <c r="A1421" s="7">
        <v>49.0</v>
      </c>
      <c r="B1421" s="9" t="s">
        <v>2913</v>
      </c>
      <c r="C1421" s="9" t="s">
        <v>125</v>
      </c>
      <c r="D1421" s="9" t="s">
        <v>71</v>
      </c>
      <c r="E1421" s="6" t="s">
        <v>2232</v>
      </c>
      <c r="F1421" s="9" t="s">
        <v>3384</v>
      </c>
    </row>
    <row r="1422" ht="33.75" customHeight="1">
      <c r="A1422" s="7">
        <v>49.0</v>
      </c>
      <c r="B1422" s="9" t="s">
        <v>2913</v>
      </c>
      <c r="C1422" s="9" t="s">
        <v>125</v>
      </c>
      <c r="D1422" s="9" t="s">
        <v>73</v>
      </c>
      <c r="E1422" s="6" t="s">
        <v>2234</v>
      </c>
      <c r="F1422" s="9" t="s">
        <v>3384</v>
      </c>
    </row>
    <row r="1423" ht="33.75" customHeight="1">
      <c r="A1423" s="7">
        <v>49.0</v>
      </c>
      <c r="B1423" s="9" t="s">
        <v>2913</v>
      </c>
      <c r="C1423" s="9" t="s">
        <v>125</v>
      </c>
      <c r="D1423" s="9" t="s">
        <v>75</v>
      </c>
      <c r="E1423" s="6" t="s">
        <v>2236</v>
      </c>
      <c r="F1423" s="9" t="s">
        <v>3384</v>
      </c>
    </row>
    <row r="1424" ht="33.75" customHeight="1">
      <c r="A1424" s="7">
        <v>49.0</v>
      </c>
      <c r="B1424" s="9" t="s">
        <v>2913</v>
      </c>
      <c r="C1424" s="9" t="s">
        <v>125</v>
      </c>
      <c r="D1424" s="9" t="s">
        <v>79</v>
      </c>
      <c r="E1424" s="6" t="s">
        <v>2237</v>
      </c>
      <c r="F1424" s="9" t="s">
        <v>3384</v>
      </c>
    </row>
    <row r="1425" ht="33.75" customHeight="1">
      <c r="A1425" s="7">
        <v>49.0</v>
      </c>
      <c r="B1425" s="9" t="s">
        <v>2913</v>
      </c>
      <c r="C1425" s="9" t="s">
        <v>125</v>
      </c>
      <c r="D1425" s="9" t="s">
        <v>81</v>
      </c>
      <c r="E1425" s="6" t="s">
        <v>2239</v>
      </c>
      <c r="F1425" s="9" t="s">
        <v>3384</v>
      </c>
    </row>
    <row r="1426" ht="33.75" customHeight="1">
      <c r="A1426" s="7">
        <v>49.0</v>
      </c>
      <c r="B1426" s="9" t="s">
        <v>2913</v>
      </c>
      <c r="C1426" s="9" t="s">
        <v>125</v>
      </c>
      <c r="D1426" s="9" t="s">
        <v>84</v>
      </c>
      <c r="E1426" s="6" t="s">
        <v>2239</v>
      </c>
      <c r="F1426" s="9" t="s">
        <v>3384</v>
      </c>
    </row>
    <row r="1427" ht="33.75" customHeight="1">
      <c r="A1427" s="7">
        <v>49.0</v>
      </c>
      <c r="B1427" s="9" t="s">
        <v>2913</v>
      </c>
      <c r="C1427" s="9" t="s">
        <v>125</v>
      </c>
      <c r="D1427" s="9" t="s">
        <v>87</v>
      </c>
      <c r="E1427" s="6" t="s">
        <v>2239</v>
      </c>
      <c r="F1427" s="9" t="s">
        <v>3384</v>
      </c>
    </row>
    <row r="1428" ht="33.75" customHeight="1">
      <c r="A1428" s="7">
        <v>49.0</v>
      </c>
      <c r="B1428" s="9" t="s">
        <v>2913</v>
      </c>
      <c r="C1428" s="9" t="s">
        <v>125</v>
      </c>
      <c r="D1428" s="9" t="s">
        <v>89</v>
      </c>
      <c r="E1428" s="6" t="s">
        <v>2240</v>
      </c>
      <c r="F1428" s="9" t="s">
        <v>3384</v>
      </c>
    </row>
    <row r="1429" ht="33.75" customHeight="1">
      <c r="A1429" s="7">
        <v>49.0</v>
      </c>
      <c r="B1429" s="9" t="s">
        <v>2913</v>
      </c>
      <c r="C1429" s="9" t="s">
        <v>125</v>
      </c>
      <c r="D1429" s="9" t="s">
        <v>91</v>
      </c>
      <c r="E1429" s="6" t="s">
        <v>2241</v>
      </c>
      <c r="F1429" s="9" t="s">
        <v>3384</v>
      </c>
    </row>
    <row r="1430" ht="33.75" customHeight="1">
      <c r="A1430" s="7">
        <v>49.0</v>
      </c>
      <c r="B1430" s="9" t="s">
        <v>2913</v>
      </c>
      <c r="C1430" s="9" t="s">
        <v>125</v>
      </c>
      <c r="D1430" s="9" t="s">
        <v>93</v>
      </c>
      <c r="E1430" s="6" t="s">
        <v>2239</v>
      </c>
      <c r="F1430" s="9" t="s">
        <v>3384</v>
      </c>
    </row>
    <row r="1431" ht="33.75" customHeight="1">
      <c r="A1431" s="7">
        <v>49.0</v>
      </c>
      <c r="B1431" s="9" t="s">
        <v>2913</v>
      </c>
      <c r="C1431" s="9" t="s">
        <v>125</v>
      </c>
      <c r="D1431" s="9" t="s">
        <v>95</v>
      </c>
      <c r="E1431" s="6" t="s">
        <v>2239</v>
      </c>
      <c r="F1431" s="9" t="s">
        <v>3384</v>
      </c>
    </row>
    <row r="1432" ht="33.75" customHeight="1">
      <c r="A1432" s="7">
        <v>49.0</v>
      </c>
      <c r="B1432" s="9" t="s">
        <v>2913</v>
      </c>
      <c r="C1432" s="9" t="s">
        <v>125</v>
      </c>
      <c r="D1432" s="9" t="s">
        <v>98</v>
      </c>
      <c r="E1432" s="6" t="s">
        <v>2239</v>
      </c>
      <c r="F1432" s="9" t="s">
        <v>3384</v>
      </c>
    </row>
    <row r="1433" ht="33.75" customHeight="1">
      <c r="A1433" s="7">
        <v>49.0</v>
      </c>
      <c r="B1433" s="9" t="s">
        <v>2913</v>
      </c>
      <c r="C1433" s="9" t="s">
        <v>125</v>
      </c>
      <c r="D1433" s="9" t="s">
        <v>99</v>
      </c>
      <c r="E1433" s="6" t="s">
        <v>2239</v>
      </c>
      <c r="F1433" s="9" t="s">
        <v>3384</v>
      </c>
    </row>
    <row r="1434" ht="33.75" customHeight="1">
      <c r="A1434" s="7">
        <v>49.0</v>
      </c>
      <c r="B1434" s="9" t="s">
        <v>2913</v>
      </c>
      <c r="C1434" s="9" t="s">
        <v>125</v>
      </c>
      <c r="D1434" s="9" t="s">
        <v>101</v>
      </c>
      <c r="E1434" s="6" t="s">
        <v>2230</v>
      </c>
      <c r="F1434" s="9" t="s">
        <v>3384</v>
      </c>
    </row>
    <row r="1435" ht="33.75" customHeight="1">
      <c r="A1435" s="7">
        <v>49.0</v>
      </c>
      <c r="B1435" s="9" t="s">
        <v>2913</v>
      </c>
      <c r="C1435" s="9" t="s">
        <v>125</v>
      </c>
      <c r="D1435" s="9" t="s">
        <v>105</v>
      </c>
      <c r="E1435" s="6" t="s">
        <v>2236</v>
      </c>
      <c r="F1435" s="9" t="s">
        <v>3384</v>
      </c>
    </row>
    <row r="1436" ht="33.75" customHeight="1">
      <c r="A1436" s="7">
        <v>49.0</v>
      </c>
      <c r="B1436" s="9" t="s">
        <v>2913</v>
      </c>
      <c r="C1436" s="9" t="s">
        <v>125</v>
      </c>
      <c r="D1436" s="9" t="s">
        <v>107</v>
      </c>
      <c r="E1436" s="6" t="s">
        <v>2242</v>
      </c>
      <c r="F1436" s="9" t="s">
        <v>3384</v>
      </c>
    </row>
    <row r="1437" ht="33.75" customHeight="1">
      <c r="A1437" s="7">
        <v>49.0</v>
      </c>
      <c r="B1437" s="9" t="s">
        <v>2913</v>
      </c>
      <c r="C1437" s="9" t="s">
        <v>125</v>
      </c>
      <c r="D1437" s="9" t="s">
        <v>109</v>
      </c>
      <c r="E1437" s="6" t="s">
        <v>2242</v>
      </c>
      <c r="F1437" s="9" t="s">
        <v>3384</v>
      </c>
    </row>
    <row r="1438" ht="33.75" customHeight="1">
      <c r="A1438" s="7">
        <v>49.0</v>
      </c>
      <c r="B1438" s="9" t="s">
        <v>2913</v>
      </c>
      <c r="C1438" s="9" t="s">
        <v>125</v>
      </c>
      <c r="D1438" s="9" t="s">
        <v>111</v>
      </c>
      <c r="E1438" s="6" t="s">
        <v>2243</v>
      </c>
      <c r="F1438" s="9" t="s">
        <v>3384</v>
      </c>
    </row>
    <row r="1439" ht="33.75" customHeight="1">
      <c r="A1439" s="7">
        <v>49.0</v>
      </c>
      <c r="B1439" s="9" t="s">
        <v>2913</v>
      </c>
      <c r="C1439" s="9" t="s">
        <v>125</v>
      </c>
      <c r="D1439" s="9" t="s">
        <v>113</v>
      </c>
      <c r="E1439" s="6" t="s">
        <v>2243</v>
      </c>
      <c r="F1439" s="9" t="s">
        <v>3384</v>
      </c>
    </row>
    <row r="1440" ht="33.75" customHeight="1">
      <c r="A1440" s="7">
        <v>50.0</v>
      </c>
      <c r="B1440" s="9" t="s">
        <v>2953</v>
      </c>
      <c r="C1440" s="9" t="s">
        <v>127</v>
      </c>
      <c r="D1440" s="9" t="s">
        <v>24</v>
      </c>
      <c r="E1440" s="6" t="s">
        <v>2246</v>
      </c>
      <c r="F1440" s="9" t="s">
        <v>3423</v>
      </c>
      <c r="G1440" t="inlineStr" s="6">
        <is>
          <t xml:space="preserve">Lives about one yard underground where Diglett feeds on plant roots. It sometimes appears above ground. It prefers dark places. It spends most of its time underground, though it may pop up in caves. Its skin is very thin. If it is exposed to light, its blood heats up, causing it to grow weak. If a DIGLETT DIGS through a field, it leaves the soil perfectly tilled and ideal for planting crops. It digs under ground and chews on tree roots, sticking its head out only when the sun isn't bright. DIGLETT are raised in most farms. The reason is simple - wherever this POKéMON burrows, the soil is left perfectly tilled for planting crops. This soil is made ideal for growing delicious vegetables. The reason is simple--wherever they burrow, the soil is left perfectly tilled for growing delicious crops. It burrows through the ground at a shallow depth. It leaves raised earth in its wake, making it easy to spot. It sometimes appears aboveground. A Pokémon that lives underground. Because of its dark habitat, it is repelled by bright sunlight. The reason is simple— wherever this Pokémon burrows, the soil is left perfectly tilled for planting crops. It chews on plant roots underground. Farmers whose vegetables are vulnerable find it can be quite a pest. Many farmers cherish and nurture Diglett because its droppings enrich the soil it lives in. It travels through tunnels that it digs underground. It hates sunlight, so it comes out only after the sun goes down. Around their crops, farmers plant the kind of tree that Diglett like to eat as a way of getting Diglett to plow the fields for them.</t>
        </is>
      </c>
    </row>
    <row r="1441" ht="33.75" customHeight="1">
      <c r="A1441" s="7">
        <v>50.0</v>
      </c>
      <c r="B1441" s="9" t="s">
        <v>2953</v>
      </c>
      <c r="C1441" s="9" t="s">
        <v>127</v>
      </c>
      <c r="D1441" s="9" t="s">
        <v>35</v>
      </c>
      <c r="E1441" s="6" t="s">
        <v>2246</v>
      </c>
      <c r="F1441" s="9" t="s">
        <v>3423</v>
      </c>
    </row>
    <row r="1442" ht="33.75" customHeight="1">
      <c r="A1442" s="7">
        <v>50.0</v>
      </c>
      <c r="B1442" s="9" t="s">
        <v>2953</v>
      </c>
      <c r="C1442" s="9" t="s">
        <v>127</v>
      </c>
      <c r="D1442" s="9" t="s">
        <v>42</v>
      </c>
      <c r="E1442" s="6" t="s">
        <v>2249</v>
      </c>
      <c r="F1442" s="9" t="s">
        <v>3423</v>
      </c>
    </row>
    <row r="1443" ht="33.75" customHeight="1">
      <c r="A1443" s="7">
        <v>50.0</v>
      </c>
      <c r="B1443" s="9" t="s">
        <v>2953</v>
      </c>
      <c r="C1443" s="9" t="s">
        <v>127</v>
      </c>
      <c r="D1443" s="9" t="s">
        <v>52</v>
      </c>
      <c r="E1443" s="6" t="s">
        <v>2250</v>
      </c>
      <c r="F1443" s="9" t="s">
        <v>3423</v>
      </c>
    </row>
    <row r="1444" ht="33.75" customHeight="1">
      <c r="A1444" s="7">
        <v>50.0</v>
      </c>
      <c r="B1444" s="9" t="s">
        <v>2953</v>
      </c>
      <c r="C1444" s="9" t="s">
        <v>127</v>
      </c>
      <c r="D1444" s="9" t="s">
        <v>59</v>
      </c>
      <c r="E1444" s="6" t="s">
        <v>2251</v>
      </c>
      <c r="F1444" s="9" t="s">
        <v>3423</v>
      </c>
    </row>
    <row r="1445" ht="33.75" customHeight="1">
      <c r="A1445" s="7">
        <v>50.0</v>
      </c>
      <c r="B1445" s="9" t="s">
        <v>2953</v>
      </c>
      <c r="C1445" s="9" t="s">
        <v>127</v>
      </c>
      <c r="D1445" s="9" t="s">
        <v>64</v>
      </c>
      <c r="E1445" s="6" t="s">
        <v>2253</v>
      </c>
      <c r="F1445" s="9" t="s">
        <v>3423</v>
      </c>
    </row>
    <row r="1446" ht="33.75" customHeight="1">
      <c r="A1446" s="7">
        <v>50.0</v>
      </c>
      <c r="B1446" s="9" t="s">
        <v>2953</v>
      </c>
      <c r="C1446" s="9" t="s">
        <v>127</v>
      </c>
      <c r="D1446" s="9" t="s">
        <v>67</v>
      </c>
      <c r="E1446" s="6" t="s">
        <v>2255</v>
      </c>
      <c r="F1446" s="9" t="s">
        <v>3423</v>
      </c>
    </row>
    <row r="1447" ht="33.75" customHeight="1">
      <c r="A1447" s="7">
        <v>50.0</v>
      </c>
      <c r="B1447" s="9" t="s">
        <v>2953</v>
      </c>
      <c r="C1447" s="9" t="s">
        <v>127</v>
      </c>
      <c r="D1447" s="9" t="s">
        <v>71</v>
      </c>
      <c r="E1447" s="6" t="s">
        <v>2255</v>
      </c>
      <c r="F1447" s="9" t="s">
        <v>3423</v>
      </c>
    </row>
    <row r="1448" ht="33.75" customHeight="1">
      <c r="A1448" s="7">
        <v>50.0</v>
      </c>
      <c r="B1448" s="9" t="s">
        <v>2953</v>
      </c>
      <c r="C1448" s="9" t="s">
        <v>127</v>
      </c>
      <c r="D1448" s="9" t="s">
        <v>73</v>
      </c>
      <c r="E1448" s="6" t="s">
        <v>2257</v>
      </c>
      <c r="F1448" s="9" t="s">
        <v>3423</v>
      </c>
    </row>
    <row r="1449" ht="33.75" customHeight="1">
      <c r="A1449" s="7">
        <v>50.0</v>
      </c>
      <c r="B1449" s="9" t="s">
        <v>2953</v>
      </c>
      <c r="C1449" s="9" t="s">
        <v>127</v>
      </c>
      <c r="D1449" s="9" t="s">
        <v>75</v>
      </c>
      <c r="E1449" s="6" t="s">
        <v>2259</v>
      </c>
      <c r="F1449" s="9" t="s">
        <v>3423</v>
      </c>
    </row>
    <row r="1450" ht="33.75" customHeight="1">
      <c r="A1450" s="7">
        <v>50.0</v>
      </c>
      <c r="B1450" s="9" t="s">
        <v>2953</v>
      </c>
      <c r="C1450" s="9" t="s">
        <v>127</v>
      </c>
      <c r="D1450" s="9" t="s">
        <v>79</v>
      </c>
      <c r="E1450" s="6" t="s">
        <v>2261</v>
      </c>
      <c r="F1450" s="9" t="s">
        <v>3423</v>
      </c>
    </row>
    <row r="1451" ht="33.75" customHeight="1">
      <c r="A1451" s="7">
        <v>50.0</v>
      </c>
      <c r="B1451" s="9" t="s">
        <v>2953</v>
      </c>
      <c r="C1451" s="9" t="s">
        <v>127</v>
      </c>
      <c r="D1451" s="9" t="s">
        <v>81</v>
      </c>
      <c r="E1451" s="6" t="s">
        <v>2262</v>
      </c>
      <c r="F1451" s="9" t="s">
        <v>3423</v>
      </c>
    </row>
    <row r="1452" ht="33.75" customHeight="1">
      <c r="A1452" s="7">
        <v>50.0</v>
      </c>
      <c r="B1452" s="9" t="s">
        <v>2953</v>
      </c>
      <c r="C1452" s="9" t="s">
        <v>127</v>
      </c>
      <c r="D1452" s="9" t="s">
        <v>84</v>
      </c>
      <c r="E1452" s="6" t="s">
        <v>2262</v>
      </c>
      <c r="F1452" s="9" t="s">
        <v>3423</v>
      </c>
    </row>
    <row r="1453" ht="33.75" customHeight="1">
      <c r="A1453" s="7">
        <v>50.0</v>
      </c>
      <c r="B1453" s="9" t="s">
        <v>2953</v>
      </c>
      <c r="C1453" s="9" t="s">
        <v>127</v>
      </c>
      <c r="D1453" s="9" t="s">
        <v>87</v>
      </c>
      <c r="E1453" s="6" t="s">
        <v>2262</v>
      </c>
      <c r="F1453" s="9" t="s">
        <v>3423</v>
      </c>
    </row>
    <row r="1454" ht="33.75" customHeight="1">
      <c r="A1454" s="7">
        <v>50.0</v>
      </c>
      <c r="B1454" s="9" t="s">
        <v>2953</v>
      </c>
      <c r="C1454" s="9" t="s">
        <v>127</v>
      </c>
      <c r="D1454" s="9" t="s">
        <v>89</v>
      </c>
      <c r="E1454" s="6" t="s">
        <v>2250</v>
      </c>
      <c r="F1454" s="9" t="s">
        <v>3423</v>
      </c>
    </row>
    <row r="1455" ht="33.75" customHeight="1">
      <c r="A1455" s="7">
        <v>50.0</v>
      </c>
      <c r="B1455" s="9" t="s">
        <v>2953</v>
      </c>
      <c r="C1455" s="9" t="s">
        <v>127</v>
      </c>
      <c r="D1455" s="9" t="s">
        <v>91</v>
      </c>
      <c r="E1455" s="6" t="s">
        <v>2264</v>
      </c>
      <c r="F1455" s="9" t="s">
        <v>3423</v>
      </c>
    </row>
    <row r="1456" ht="33.75" customHeight="1">
      <c r="A1456" s="7">
        <v>50.0</v>
      </c>
      <c r="B1456" s="9" t="s">
        <v>2953</v>
      </c>
      <c r="C1456" s="9" t="s">
        <v>127</v>
      </c>
      <c r="D1456" s="9" t="s">
        <v>93</v>
      </c>
      <c r="E1456" s="6" t="s">
        <v>2262</v>
      </c>
      <c r="F1456" s="9" t="s">
        <v>3423</v>
      </c>
    </row>
    <row r="1457" ht="33.75" customHeight="1">
      <c r="A1457" s="7">
        <v>50.0</v>
      </c>
      <c r="B1457" s="9" t="s">
        <v>2953</v>
      </c>
      <c r="C1457" s="9" t="s">
        <v>127</v>
      </c>
      <c r="D1457" s="9" t="s">
        <v>95</v>
      </c>
      <c r="E1457" s="6" t="s">
        <v>2262</v>
      </c>
      <c r="F1457" s="9" t="s">
        <v>3423</v>
      </c>
    </row>
    <row r="1458" ht="33.75" customHeight="1">
      <c r="A1458" s="7">
        <v>50.0</v>
      </c>
      <c r="B1458" s="9" t="s">
        <v>2953</v>
      </c>
      <c r="C1458" s="9" t="s">
        <v>127</v>
      </c>
      <c r="D1458" s="9" t="s">
        <v>98</v>
      </c>
      <c r="E1458" s="6" t="s">
        <v>2262</v>
      </c>
      <c r="F1458" s="9" t="s">
        <v>3423</v>
      </c>
    </row>
    <row r="1459" ht="33.75" customHeight="1">
      <c r="A1459" s="7">
        <v>50.0</v>
      </c>
      <c r="B1459" s="9" t="s">
        <v>2953</v>
      </c>
      <c r="C1459" s="9" t="s">
        <v>127</v>
      </c>
      <c r="D1459" s="9" t="s">
        <v>99</v>
      </c>
      <c r="E1459" s="6" t="s">
        <v>2262</v>
      </c>
      <c r="F1459" s="9" t="s">
        <v>3423</v>
      </c>
    </row>
    <row r="1460" ht="33.75" customHeight="1">
      <c r="A1460" s="7">
        <v>50.0</v>
      </c>
      <c r="B1460" s="9" t="s">
        <v>2953</v>
      </c>
      <c r="C1460" s="9" t="s">
        <v>127</v>
      </c>
      <c r="D1460" s="9" t="s">
        <v>101</v>
      </c>
      <c r="E1460" s="6" t="s">
        <v>2261</v>
      </c>
      <c r="F1460" s="9" t="s">
        <v>3423</v>
      </c>
    </row>
    <row r="1461" ht="33.75" customHeight="1">
      <c r="A1461" s="7">
        <v>50.0</v>
      </c>
      <c r="B1461" s="9" t="s">
        <v>2953</v>
      </c>
      <c r="C1461" s="9" t="s">
        <v>127</v>
      </c>
      <c r="D1461" s="9" t="s">
        <v>105</v>
      </c>
      <c r="E1461" s="6" t="s">
        <v>2250</v>
      </c>
      <c r="F1461" s="9" t="s">
        <v>3423</v>
      </c>
    </row>
    <row r="1462" ht="33.75" customHeight="1">
      <c r="A1462" s="7">
        <v>50.0</v>
      </c>
      <c r="B1462" s="9" t="s">
        <v>2953</v>
      </c>
      <c r="C1462" s="9" t="s">
        <v>127</v>
      </c>
      <c r="D1462" s="9" t="s">
        <v>107</v>
      </c>
      <c r="E1462" s="6" t="s">
        <v>2266</v>
      </c>
      <c r="F1462" s="9" t="s">
        <v>3423</v>
      </c>
    </row>
    <row r="1463" ht="33.75" customHeight="1">
      <c r="A1463" s="7">
        <v>50.0</v>
      </c>
      <c r="B1463" s="9" t="s">
        <v>2953</v>
      </c>
      <c r="C1463" s="9" t="s">
        <v>127</v>
      </c>
      <c r="D1463" s="9" t="s">
        <v>109</v>
      </c>
      <c r="E1463" s="6" t="s">
        <v>2266</v>
      </c>
      <c r="F1463" s="9" t="s">
        <v>3423</v>
      </c>
    </row>
    <row r="1464" ht="33.75" customHeight="1">
      <c r="A1464" s="7">
        <v>50.0</v>
      </c>
      <c r="B1464" s="9" t="s">
        <v>2953</v>
      </c>
      <c r="C1464" s="9" t="s">
        <v>127</v>
      </c>
      <c r="D1464" s="9" t="s">
        <v>637</v>
      </c>
      <c r="E1464" s="6" t="s">
        <v>2267</v>
      </c>
      <c r="F1464" s="9" t="s">
        <v>3423</v>
      </c>
    </row>
    <row r="1465" ht="33.75" customHeight="1">
      <c r="A1465" s="7">
        <v>50.0</v>
      </c>
      <c r="B1465" s="9" t="s">
        <v>2953</v>
      </c>
      <c r="C1465" s="9" t="s">
        <v>127</v>
      </c>
      <c r="D1465" s="9" t="s">
        <v>642</v>
      </c>
      <c r="E1465" s="6" t="s">
        <v>2269</v>
      </c>
      <c r="F1465" s="9" t="s">
        <v>3423</v>
      </c>
    </row>
    <row r="1466" ht="33.75" customHeight="1">
      <c r="A1466" s="7">
        <v>50.0</v>
      </c>
      <c r="B1466" s="9" t="s">
        <v>2953</v>
      </c>
      <c r="C1466" s="9" t="s">
        <v>127</v>
      </c>
      <c r="D1466" s="9" t="s">
        <v>647</v>
      </c>
      <c r="E1466" s="6" t="s">
        <v>2271</v>
      </c>
      <c r="F1466" s="9" t="s">
        <v>3423</v>
      </c>
    </row>
    <row r="1467" ht="33.75" customHeight="1">
      <c r="A1467" s="7">
        <v>50.0</v>
      </c>
      <c r="B1467" s="9" t="s">
        <v>2953</v>
      </c>
      <c r="C1467" s="9" t="s">
        <v>127</v>
      </c>
      <c r="D1467" s="9" t="s">
        <v>652</v>
      </c>
      <c r="E1467" s="6" t="s">
        <v>2273</v>
      </c>
      <c r="F1467" s="9" t="s">
        <v>3423</v>
      </c>
    </row>
    <row r="1468" ht="33.75" customHeight="1">
      <c r="A1468" s="7">
        <v>50.0</v>
      </c>
      <c r="B1468" s="9" t="s">
        <v>2953</v>
      </c>
      <c r="C1468" s="9" t="s">
        <v>127</v>
      </c>
      <c r="D1468" s="9" t="s">
        <v>111</v>
      </c>
      <c r="E1468" s="6" t="s">
        <v>2249</v>
      </c>
      <c r="F1468" s="9" t="s">
        <v>3423</v>
      </c>
    </row>
    <row r="1469" ht="33.75" customHeight="1">
      <c r="A1469" s="7">
        <v>50.0</v>
      </c>
      <c r="B1469" s="9" t="s">
        <v>2953</v>
      </c>
      <c r="C1469" s="9" t="s">
        <v>127</v>
      </c>
      <c r="D1469" s="9" t="s">
        <v>113</v>
      </c>
      <c r="E1469" s="6" t="s">
        <v>2249</v>
      </c>
      <c r="F1469" s="9" t="s">
        <v>3423</v>
      </c>
    </row>
    <row r="1470" ht="33.75" customHeight="1">
      <c r="A1470" s="7">
        <v>50.0</v>
      </c>
      <c r="B1470" s="9" t="s">
        <v>2953</v>
      </c>
      <c r="C1470" s="9" t="s">
        <v>127</v>
      </c>
      <c r="D1470" s="9" t="s">
        <v>114</v>
      </c>
      <c r="E1470" s="6" t="s">
        <v>2274</v>
      </c>
      <c r="F1470" s="9" t="s">
        <v>3423</v>
      </c>
    </row>
    <row r="1471" ht="33.75" customHeight="1">
      <c r="A1471" s="7">
        <v>50.0</v>
      </c>
      <c r="B1471" s="9" t="s">
        <v>2953</v>
      </c>
      <c r="C1471" s="9" t="s">
        <v>127</v>
      </c>
      <c r="D1471" s="9" t="s">
        <v>117</v>
      </c>
      <c r="E1471" s="6" t="s">
        <v>2259</v>
      </c>
      <c r="F1471" s="9" t="s">
        <v>3423</v>
      </c>
    </row>
    <row r="1472" ht="33.75" customHeight="1">
      <c r="A1472" s="7">
        <v>51.0</v>
      </c>
      <c r="B1472" s="9" t="s">
        <v>3018</v>
      </c>
      <c r="C1472" s="9" t="s">
        <v>127</v>
      </c>
      <c r="D1472" s="9" t="s">
        <v>24</v>
      </c>
      <c r="E1472" s="6" t="s">
        <v>2276</v>
      </c>
      <c r="F1472" s="9" t="s">
        <v>3472</v>
      </c>
      <c r="G1472" t="inlineStr" s="6">
        <is>
          <t xml:space="preserve">A team of DIGLETT triplets. It triggers huge earthquakes by burrowing 60 miles underground. A team of triplets that can burrow over 60 MPH. Due to this, some people think it's an earthquake. Its three heads bob separately up and down to loosen the soil nearby, making it easier for it to burrow. Extremely power ful, they can DIG through even the hardest ground to a depth of over 60 miles. These DIGLETT triplets dig over 60 miles below sea level. No one knows what it's like underground. DUGTRIO are actually triplets that emerged from one body. As a result, each triplet thinks exactly like the other two triplets. They work cooperatively to burrow endlessly. Because the triplets originally split from one body, they think exactly alike. They work cooperatively to burrow endlessly through the ground. In battle, it digs through the ground and strikes the unsuspecting foe from an unexpected direction. Its three heads move alternately, driving it through tough soil to depths of over 60 miles. Extremely powerful, they can dig through even the hardest ground to a depth of over 60 miles. This set of triplets moves cooperatively. It’s the power of teamwork that enables this Pokémon to dig to a depth of 60 miles. Despite the closeness between this Pokémon and farmers and other people, no one has ever seen the parts of it concealed underground. While the three of them normally get along splendidly, on rare occasions a huge fight will break out over which head gets to eat first. Dugtrio’s heads are sleek and smooth and incredibly hard. It can dig through any soil with its headbutts. A team of triplets that can burrow to a depth of 60 miles. It’s reported that this triggers an earthquake.</t>
        </is>
      </c>
    </row>
    <row r="1473" ht="33.75" customHeight="1">
      <c r="A1473" s="7">
        <v>51.0</v>
      </c>
      <c r="B1473" s="9" t="s">
        <v>3018</v>
      </c>
      <c r="C1473" s="9" t="s">
        <v>127</v>
      </c>
      <c r="D1473" s="9" t="s">
        <v>35</v>
      </c>
      <c r="E1473" s="6" t="s">
        <v>2276</v>
      </c>
      <c r="F1473" s="9" t="s">
        <v>3472</v>
      </c>
    </row>
    <row r="1474" ht="33.75" customHeight="1">
      <c r="A1474" s="7">
        <v>51.0</v>
      </c>
      <c r="B1474" s="9" t="s">
        <v>3018</v>
      </c>
      <c r="C1474" s="9" t="s">
        <v>127</v>
      </c>
      <c r="D1474" s="9" t="s">
        <v>42</v>
      </c>
      <c r="E1474" s="6" t="s">
        <v>2277</v>
      </c>
      <c r="F1474" s="9" t="s">
        <v>3472</v>
      </c>
    </row>
    <row r="1475" ht="33.75" customHeight="1">
      <c r="A1475" s="7">
        <v>51.0</v>
      </c>
      <c r="B1475" s="9" t="s">
        <v>3018</v>
      </c>
      <c r="C1475" s="9" t="s">
        <v>127</v>
      </c>
      <c r="D1475" s="9" t="s">
        <v>52</v>
      </c>
      <c r="E1475" s="6" t="s">
        <v>2278</v>
      </c>
      <c r="F1475" s="9" t="s">
        <v>3472</v>
      </c>
    </row>
    <row r="1476" ht="33.75" customHeight="1">
      <c r="A1476" s="7">
        <v>51.0</v>
      </c>
      <c r="B1476" s="9" t="s">
        <v>3018</v>
      </c>
      <c r="C1476" s="9" t="s">
        <v>127</v>
      </c>
      <c r="D1476" s="9" t="s">
        <v>59</v>
      </c>
      <c r="E1476" s="6" t="s">
        <v>2279</v>
      </c>
      <c r="F1476" s="9" t="s">
        <v>3472</v>
      </c>
    </row>
    <row r="1477" ht="33.75" customHeight="1">
      <c r="A1477" s="7">
        <v>51.0</v>
      </c>
      <c r="B1477" s="9" t="s">
        <v>3018</v>
      </c>
      <c r="C1477" s="9" t="s">
        <v>127</v>
      </c>
      <c r="D1477" s="9" t="s">
        <v>64</v>
      </c>
      <c r="E1477" s="6" t="s">
        <v>2280</v>
      </c>
      <c r="F1477" s="9" t="s">
        <v>3472</v>
      </c>
    </row>
    <row r="1478" ht="33.75" customHeight="1">
      <c r="A1478" s="7">
        <v>51.0</v>
      </c>
      <c r="B1478" s="9" t="s">
        <v>3018</v>
      </c>
      <c r="C1478" s="9" t="s">
        <v>127</v>
      </c>
      <c r="D1478" s="9" t="s">
        <v>67</v>
      </c>
      <c r="E1478" s="6" t="s">
        <v>2281</v>
      </c>
      <c r="F1478" s="9" t="s">
        <v>3472</v>
      </c>
    </row>
    <row r="1479" ht="33.75" customHeight="1">
      <c r="A1479" s="7">
        <v>51.0</v>
      </c>
      <c r="B1479" s="9" t="s">
        <v>3018</v>
      </c>
      <c r="C1479" s="9" t="s">
        <v>127</v>
      </c>
      <c r="D1479" s="9" t="s">
        <v>71</v>
      </c>
      <c r="E1479" s="6" t="s">
        <v>2281</v>
      </c>
      <c r="F1479" s="9" t="s">
        <v>3472</v>
      </c>
    </row>
    <row r="1480" ht="33.75" customHeight="1">
      <c r="A1480" s="7">
        <v>51.0</v>
      </c>
      <c r="B1480" s="9" t="s">
        <v>3018</v>
      </c>
      <c r="C1480" s="9" t="s">
        <v>127</v>
      </c>
      <c r="D1480" s="9" t="s">
        <v>73</v>
      </c>
      <c r="E1480" s="6" t="s">
        <v>2282</v>
      </c>
      <c r="F1480" s="9" t="s">
        <v>3472</v>
      </c>
    </row>
    <row r="1481" ht="33.75" customHeight="1">
      <c r="A1481" s="7">
        <v>51.0</v>
      </c>
      <c r="B1481" s="9" t="s">
        <v>3018</v>
      </c>
      <c r="C1481" s="9" t="s">
        <v>127</v>
      </c>
      <c r="D1481" s="9" t="s">
        <v>75</v>
      </c>
      <c r="E1481" s="6" t="s">
        <v>2284</v>
      </c>
      <c r="F1481" s="9" t="s">
        <v>3472</v>
      </c>
    </row>
    <row r="1482" ht="33.75" customHeight="1">
      <c r="A1482" s="7">
        <v>51.0</v>
      </c>
      <c r="B1482" s="9" t="s">
        <v>3018</v>
      </c>
      <c r="C1482" s="9" t="s">
        <v>127</v>
      </c>
      <c r="D1482" s="9" t="s">
        <v>79</v>
      </c>
      <c r="E1482" s="6" t="s">
        <v>2276</v>
      </c>
      <c r="F1482" s="9" t="s">
        <v>3472</v>
      </c>
    </row>
    <row r="1483" ht="33.75" customHeight="1">
      <c r="A1483" s="7">
        <v>51.0</v>
      </c>
      <c r="B1483" s="9" t="s">
        <v>3018</v>
      </c>
      <c r="C1483" s="9" t="s">
        <v>127</v>
      </c>
      <c r="D1483" s="9" t="s">
        <v>81</v>
      </c>
      <c r="E1483" s="6" t="s">
        <v>2285</v>
      </c>
      <c r="F1483" s="9" t="s">
        <v>3472</v>
      </c>
    </row>
    <row r="1484" ht="33.75" customHeight="1">
      <c r="A1484" s="7">
        <v>51.0</v>
      </c>
      <c r="B1484" s="9" t="s">
        <v>3018</v>
      </c>
      <c r="C1484" s="9" t="s">
        <v>127</v>
      </c>
      <c r="D1484" s="9" t="s">
        <v>84</v>
      </c>
      <c r="E1484" s="6" t="s">
        <v>2285</v>
      </c>
      <c r="F1484" s="9" t="s">
        <v>3472</v>
      </c>
    </row>
    <row r="1485" ht="33.75" customHeight="1">
      <c r="A1485" s="7">
        <v>51.0</v>
      </c>
      <c r="B1485" s="9" t="s">
        <v>3018</v>
      </c>
      <c r="C1485" s="9" t="s">
        <v>127</v>
      </c>
      <c r="D1485" s="9" t="s">
        <v>87</v>
      </c>
      <c r="E1485" s="6" t="s">
        <v>2285</v>
      </c>
      <c r="F1485" s="9" t="s">
        <v>3472</v>
      </c>
    </row>
    <row r="1486" ht="33.75" customHeight="1">
      <c r="A1486" s="7">
        <v>51.0</v>
      </c>
      <c r="B1486" s="9" t="s">
        <v>3018</v>
      </c>
      <c r="C1486" s="9" t="s">
        <v>127</v>
      </c>
      <c r="D1486" s="9" t="s">
        <v>89</v>
      </c>
      <c r="E1486" s="6" t="s">
        <v>2278</v>
      </c>
      <c r="F1486" s="9" t="s">
        <v>3472</v>
      </c>
    </row>
    <row r="1487" ht="33.75" customHeight="1">
      <c r="A1487" s="7">
        <v>51.0</v>
      </c>
      <c r="B1487" s="9" t="s">
        <v>3018</v>
      </c>
      <c r="C1487" s="9" t="s">
        <v>127</v>
      </c>
      <c r="D1487" s="9" t="s">
        <v>91</v>
      </c>
      <c r="E1487" s="6" t="s">
        <v>2286</v>
      </c>
      <c r="F1487" s="9" t="s">
        <v>3472</v>
      </c>
    </row>
    <row r="1488" ht="33.75" customHeight="1">
      <c r="A1488" s="7">
        <v>51.0</v>
      </c>
      <c r="B1488" s="9" t="s">
        <v>3018</v>
      </c>
      <c r="C1488" s="9" t="s">
        <v>127</v>
      </c>
      <c r="D1488" s="9" t="s">
        <v>93</v>
      </c>
      <c r="E1488" s="6" t="s">
        <v>2285</v>
      </c>
      <c r="F1488" s="9" t="s">
        <v>3472</v>
      </c>
    </row>
    <row r="1489" ht="33.75" customHeight="1">
      <c r="A1489" s="7">
        <v>51.0</v>
      </c>
      <c r="B1489" s="9" t="s">
        <v>3018</v>
      </c>
      <c r="C1489" s="9" t="s">
        <v>127</v>
      </c>
      <c r="D1489" s="9" t="s">
        <v>95</v>
      </c>
      <c r="E1489" s="6" t="s">
        <v>2285</v>
      </c>
      <c r="F1489" s="9" t="s">
        <v>3472</v>
      </c>
    </row>
    <row r="1490" ht="33.75" customHeight="1">
      <c r="A1490" s="7">
        <v>51.0</v>
      </c>
      <c r="B1490" s="9" t="s">
        <v>3018</v>
      </c>
      <c r="C1490" s="9" t="s">
        <v>127</v>
      </c>
      <c r="D1490" s="9" t="s">
        <v>98</v>
      </c>
      <c r="E1490" s="6" t="s">
        <v>2285</v>
      </c>
      <c r="F1490" s="9" t="s">
        <v>3472</v>
      </c>
    </row>
    <row r="1491" ht="33.75" customHeight="1">
      <c r="A1491" s="7">
        <v>51.0</v>
      </c>
      <c r="B1491" s="9" t="s">
        <v>3018</v>
      </c>
      <c r="C1491" s="9" t="s">
        <v>127</v>
      </c>
      <c r="D1491" s="9" t="s">
        <v>99</v>
      </c>
      <c r="E1491" s="6" t="s">
        <v>2285</v>
      </c>
      <c r="F1491" s="9" t="s">
        <v>3472</v>
      </c>
    </row>
    <row r="1492" ht="33.75" customHeight="1">
      <c r="A1492" s="7">
        <v>51.0</v>
      </c>
      <c r="B1492" s="9" t="s">
        <v>3018</v>
      </c>
      <c r="C1492" s="9" t="s">
        <v>127</v>
      </c>
      <c r="D1492" s="9" t="s">
        <v>101</v>
      </c>
      <c r="E1492" s="6" t="s">
        <v>2284</v>
      </c>
      <c r="F1492" s="9" t="s">
        <v>3472</v>
      </c>
    </row>
    <row r="1493" ht="33.75" customHeight="1">
      <c r="A1493" s="7">
        <v>51.0</v>
      </c>
      <c r="B1493" s="9" t="s">
        <v>3018</v>
      </c>
      <c r="C1493" s="9" t="s">
        <v>127</v>
      </c>
      <c r="D1493" s="9" t="s">
        <v>105</v>
      </c>
      <c r="E1493" s="6" t="s">
        <v>2286</v>
      </c>
      <c r="F1493" s="9" t="s">
        <v>3472</v>
      </c>
    </row>
    <row r="1494" ht="33.75" customHeight="1">
      <c r="A1494" s="7">
        <v>51.0</v>
      </c>
      <c r="B1494" s="9" t="s">
        <v>3018</v>
      </c>
      <c r="C1494" s="9" t="s">
        <v>127</v>
      </c>
      <c r="D1494" s="9" t="s">
        <v>107</v>
      </c>
      <c r="E1494" s="6" t="s">
        <v>2287</v>
      </c>
      <c r="F1494" s="9" t="s">
        <v>3472</v>
      </c>
    </row>
    <row r="1495" ht="33.75" customHeight="1">
      <c r="A1495" s="7">
        <v>51.0</v>
      </c>
      <c r="B1495" s="9" t="s">
        <v>3018</v>
      </c>
      <c r="C1495" s="9" t="s">
        <v>127</v>
      </c>
      <c r="D1495" s="9" t="s">
        <v>109</v>
      </c>
      <c r="E1495" s="6" t="s">
        <v>2287</v>
      </c>
      <c r="F1495" s="9" t="s">
        <v>3472</v>
      </c>
    </row>
    <row r="1496" ht="33.75" customHeight="1">
      <c r="A1496" s="7">
        <v>51.0</v>
      </c>
      <c r="B1496" s="9" t="s">
        <v>3018</v>
      </c>
      <c r="C1496" s="9" t="s">
        <v>127</v>
      </c>
      <c r="D1496" s="9" t="s">
        <v>637</v>
      </c>
      <c r="E1496" s="6" t="s">
        <v>2289</v>
      </c>
      <c r="F1496" s="9" t="s">
        <v>3472</v>
      </c>
    </row>
    <row r="1497" ht="33.75" customHeight="1">
      <c r="A1497" s="7">
        <v>51.0</v>
      </c>
      <c r="B1497" s="9" t="s">
        <v>3018</v>
      </c>
      <c r="C1497" s="9" t="s">
        <v>127</v>
      </c>
      <c r="D1497" s="9" t="s">
        <v>642</v>
      </c>
      <c r="E1497" s="6" t="s">
        <v>2291</v>
      </c>
      <c r="F1497" s="9" t="s">
        <v>3472</v>
      </c>
    </row>
    <row r="1498" ht="33.75" customHeight="1">
      <c r="A1498" s="7">
        <v>51.0</v>
      </c>
      <c r="B1498" s="9" t="s">
        <v>3018</v>
      </c>
      <c r="C1498" s="9" t="s">
        <v>127</v>
      </c>
      <c r="D1498" s="9" t="s">
        <v>647</v>
      </c>
      <c r="E1498" s="6" t="s">
        <v>2293</v>
      </c>
      <c r="F1498" s="9" t="s">
        <v>3472</v>
      </c>
    </row>
    <row r="1499" ht="33.75" customHeight="1">
      <c r="A1499" s="7">
        <v>51.0</v>
      </c>
      <c r="B1499" s="9" t="s">
        <v>3018</v>
      </c>
      <c r="C1499" s="9" t="s">
        <v>127</v>
      </c>
      <c r="D1499" s="9" t="s">
        <v>652</v>
      </c>
      <c r="E1499" s="6" t="s">
        <v>2294</v>
      </c>
      <c r="F1499" s="9" t="s">
        <v>3472</v>
      </c>
    </row>
    <row r="1500" ht="33.75" customHeight="1">
      <c r="A1500" s="7">
        <v>51.0</v>
      </c>
      <c r="B1500" s="9" t="s">
        <v>3018</v>
      </c>
      <c r="C1500" s="9" t="s">
        <v>127</v>
      </c>
      <c r="D1500" s="9" t="s">
        <v>111</v>
      </c>
      <c r="E1500" s="6" t="s">
        <v>2296</v>
      </c>
      <c r="F1500" s="9" t="s">
        <v>3472</v>
      </c>
    </row>
    <row r="1501" ht="33.75" customHeight="1">
      <c r="A1501" s="7">
        <v>51.0</v>
      </c>
      <c r="B1501" s="9" t="s">
        <v>3018</v>
      </c>
      <c r="C1501" s="9" t="s">
        <v>127</v>
      </c>
      <c r="D1501" s="9" t="s">
        <v>113</v>
      </c>
      <c r="E1501" s="6" t="s">
        <v>2296</v>
      </c>
      <c r="F1501" s="9" t="s">
        <v>3472</v>
      </c>
    </row>
    <row r="1502" ht="33.75" customHeight="1">
      <c r="A1502" s="7">
        <v>51.0</v>
      </c>
      <c r="B1502" s="9" t="s">
        <v>3018</v>
      </c>
      <c r="C1502" s="9" t="s">
        <v>127</v>
      </c>
      <c r="D1502" s="9" t="s">
        <v>114</v>
      </c>
      <c r="E1502" s="6" t="s">
        <v>2298</v>
      </c>
      <c r="F1502" s="9" t="s">
        <v>3472</v>
      </c>
    </row>
    <row r="1503" ht="33.75" customHeight="1">
      <c r="A1503" s="7">
        <v>51.0</v>
      </c>
      <c r="B1503" s="9" t="s">
        <v>3018</v>
      </c>
      <c r="C1503" s="9" t="s">
        <v>127</v>
      </c>
      <c r="D1503" s="9" t="s">
        <v>117</v>
      </c>
      <c r="E1503" s="6" t="s">
        <v>2300</v>
      </c>
      <c r="F1503" s="9" t="s">
        <v>3472</v>
      </c>
    </row>
    <row r="1504" ht="33.75" customHeight="1">
      <c r="A1504" s="7">
        <v>52.0</v>
      </c>
      <c r="B1504" s="9" t="s">
        <v>3073</v>
      </c>
      <c r="C1504" s="9" t="s">
        <v>128</v>
      </c>
      <c r="D1504" s="9" t="s">
        <v>24</v>
      </c>
      <c r="E1504" s="6" t="s">
        <v>2301</v>
      </c>
      <c r="F1504" s="9" t="s">
        <v>3544</v>
      </c>
      <c r="G1504" t="inlineStr" s="6">
        <is>
          <t xml:space="preserve">Adores circular objects. Wanders the streets on a nightly basis to look for dropped loose change. Appears to be more active at night. It loves round and shiny things. It can't stop from picking them up. It is fascinated by round objects. It can't stop playing with them until it tires and falls asleep. It loves anything that shines. It especially adores coins that it picks up and secretly hoards. It loves things that sparkle. When it sees a shiny object, the gold coin on its head shines too. MEOWTH withdraws its sharp claws into its paws to slinkily sneak about without making any incriminating footsteps. For some reason, this POKéMON loves shiny coins that glitter with light. MEOWTH withdraw their sharp claws into their paws to silently sneak about. All it does is sleep during the daytime. At night, it patrols its territory with its eyes aglow. Adores round objects. It wanders the streets on a nightly basis to look for dropped loose change. It is nocturnal in nature. If it spots something shiny, its eyes glitter brightly. It lies around all day, becoming active near dusk. At night, it wanders the city in search of loose change. It loves shiny things. It often fights with Murkrow over prey they’re both trying to catch. When visiting a junkyard, you may catch sight of it having an intense fight with Murkrow over shiny objects. It loves coins, so if you give it one, you can make friends with Meowth easily. But it’s fickle, so you can’t count on that friendship lasting. It can’t stop itself from picking them up. It loves to collect shiny things. If it’s in a good mood, it might even let its Trainer have a look at its hoard of treasures. It washes its face regularly to keep the coin on its forehead spotless. It doesn’t get along with Galarian Meowth.</t>
        </is>
      </c>
    </row>
    <row r="1505" ht="33.75" customHeight="1">
      <c r="A1505" s="7">
        <v>52.0</v>
      </c>
      <c r="B1505" s="9" t="s">
        <v>3073</v>
      </c>
      <c r="C1505" s="9" t="s">
        <v>128</v>
      </c>
      <c r="D1505" s="9" t="s">
        <v>35</v>
      </c>
      <c r="E1505" s="6" t="s">
        <v>2301</v>
      </c>
      <c r="F1505" s="9" t="s">
        <v>3544</v>
      </c>
    </row>
    <row r="1506" ht="33.75" customHeight="1">
      <c r="A1506" s="7">
        <v>52.0</v>
      </c>
      <c r="B1506" s="9" t="s">
        <v>3073</v>
      </c>
      <c r="C1506" s="9" t="s">
        <v>128</v>
      </c>
      <c r="D1506" s="9" t="s">
        <v>42</v>
      </c>
      <c r="E1506" s="6" t="s">
        <v>2302</v>
      </c>
      <c r="F1506" s="9" t="s">
        <v>3544</v>
      </c>
    </row>
    <row r="1507" ht="33.75" customHeight="1">
      <c r="A1507" s="7">
        <v>52.0</v>
      </c>
      <c r="B1507" s="9" t="s">
        <v>3073</v>
      </c>
      <c r="C1507" s="9" t="s">
        <v>128</v>
      </c>
      <c r="D1507" s="9" t="s">
        <v>52</v>
      </c>
      <c r="E1507" s="6" t="s">
        <v>2303</v>
      </c>
      <c r="F1507" s="9" t="s">
        <v>3544</v>
      </c>
    </row>
    <row r="1508" ht="33.75" customHeight="1">
      <c r="A1508" s="7">
        <v>52.0</v>
      </c>
      <c r="B1508" s="9" t="s">
        <v>3073</v>
      </c>
      <c r="C1508" s="9" t="s">
        <v>128</v>
      </c>
      <c r="D1508" s="9" t="s">
        <v>59</v>
      </c>
      <c r="E1508" s="6" t="s">
        <v>2304</v>
      </c>
      <c r="F1508" s="9" t="s">
        <v>3544</v>
      </c>
    </row>
    <row r="1509" ht="33.75" customHeight="1">
      <c r="A1509" s="7">
        <v>52.0</v>
      </c>
      <c r="B1509" s="9" t="s">
        <v>3073</v>
      </c>
      <c r="C1509" s="9" t="s">
        <v>128</v>
      </c>
      <c r="D1509" s="9" t="s">
        <v>64</v>
      </c>
      <c r="E1509" s="6" t="s">
        <v>2305</v>
      </c>
      <c r="F1509" s="9" t="s">
        <v>3544</v>
      </c>
    </row>
    <row r="1510" ht="33.75" customHeight="1">
      <c r="A1510" s="7">
        <v>52.0</v>
      </c>
      <c r="B1510" s="9" t="s">
        <v>3073</v>
      </c>
      <c r="C1510" s="9" t="s">
        <v>128</v>
      </c>
      <c r="D1510" s="9" t="s">
        <v>67</v>
      </c>
      <c r="E1510" s="6" t="s">
        <v>2306</v>
      </c>
      <c r="F1510" s="9" t="s">
        <v>3544</v>
      </c>
    </row>
    <row r="1511" ht="33.75" customHeight="1">
      <c r="A1511" s="7">
        <v>52.0</v>
      </c>
      <c r="B1511" s="9" t="s">
        <v>3073</v>
      </c>
      <c r="C1511" s="9" t="s">
        <v>128</v>
      </c>
      <c r="D1511" s="9" t="s">
        <v>71</v>
      </c>
      <c r="E1511" s="6" t="s">
        <v>2306</v>
      </c>
      <c r="F1511" s="9" t="s">
        <v>3544</v>
      </c>
    </row>
    <row r="1512" ht="33.75" customHeight="1">
      <c r="A1512" s="7">
        <v>52.0</v>
      </c>
      <c r="B1512" s="9" t="s">
        <v>3073</v>
      </c>
      <c r="C1512" s="9" t="s">
        <v>128</v>
      </c>
      <c r="D1512" s="9" t="s">
        <v>73</v>
      </c>
      <c r="E1512" s="6" t="s">
        <v>2307</v>
      </c>
      <c r="F1512" s="9" t="s">
        <v>3544</v>
      </c>
    </row>
    <row r="1513" ht="33.75" customHeight="1">
      <c r="A1513" s="7">
        <v>52.0</v>
      </c>
      <c r="B1513" s="9" t="s">
        <v>3073</v>
      </c>
      <c r="C1513" s="9" t="s">
        <v>128</v>
      </c>
      <c r="D1513" s="9" t="s">
        <v>75</v>
      </c>
      <c r="E1513" s="6" t="s">
        <v>2310</v>
      </c>
      <c r="F1513" s="9" t="s">
        <v>3544</v>
      </c>
    </row>
    <row r="1514" ht="33.75" customHeight="1">
      <c r="A1514" s="7">
        <v>52.0</v>
      </c>
      <c r="B1514" s="9" t="s">
        <v>3073</v>
      </c>
      <c r="C1514" s="9" t="s">
        <v>128</v>
      </c>
      <c r="D1514" s="9" t="s">
        <v>79</v>
      </c>
      <c r="E1514" s="6" t="s">
        <v>2312</v>
      </c>
      <c r="F1514" s="9" t="s">
        <v>3544</v>
      </c>
    </row>
    <row r="1515" ht="33.75" customHeight="1">
      <c r="A1515" s="7">
        <v>52.0</v>
      </c>
      <c r="B1515" s="9" t="s">
        <v>3073</v>
      </c>
      <c r="C1515" s="9" t="s">
        <v>128</v>
      </c>
      <c r="D1515" s="9" t="s">
        <v>81</v>
      </c>
      <c r="E1515" s="6" t="s">
        <v>2314</v>
      </c>
      <c r="F1515" s="9" t="s">
        <v>3544</v>
      </c>
    </row>
    <row r="1516" ht="33.75" customHeight="1">
      <c r="A1516" s="7">
        <v>52.0</v>
      </c>
      <c r="B1516" s="9" t="s">
        <v>3073</v>
      </c>
      <c r="C1516" s="9" t="s">
        <v>128</v>
      </c>
      <c r="D1516" s="9" t="s">
        <v>84</v>
      </c>
      <c r="E1516" s="6" t="s">
        <v>2314</v>
      </c>
      <c r="F1516" s="9" t="s">
        <v>3544</v>
      </c>
    </row>
    <row r="1517" ht="33.75" customHeight="1">
      <c r="A1517" s="7">
        <v>52.0</v>
      </c>
      <c r="B1517" s="9" t="s">
        <v>3073</v>
      </c>
      <c r="C1517" s="9" t="s">
        <v>128</v>
      </c>
      <c r="D1517" s="9" t="s">
        <v>87</v>
      </c>
      <c r="E1517" s="6" t="s">
        <v>2314</v>
      </c>
      <c r="F1517" s="9" t="s">
        <v>3544</v>
      </c>
    </row>
    <row r="1518" ht="33.75" customHeight="1">
      <c r="A1518" s="7">
        <v>52.0</v>
      </c>
      <c r="B1518" s="9" t="s">
        <v>3073</v>
      </c>
      <c r="C1518" s="9" t="s">
        <v>128</v>
      </c>
      <c r="D1518" s="9" t="s">
        <v>89</v>
      </c>
      <c r="E1518" s="6" t="s">
        <v>2316</v>
      </c>
      <c r="F1518" s="9" t="s">
        <v>3544</v>
      </c>
    </row>
    <row r="1519" ht="33.75" customHeight="1">
      <c r="A1519" s="7">
        <v>52.0</v>
      </c>
      <c r="B1519" s="9" t="s">
        <v>3073</v>
      </c>
      <c r="C1519" s="9" t="s">
        <v>128</v>
      </c>
      <c r="D1519" s="9" t="s">
        <v>91</v>
      </c>
      <c r="E1519" s="6" t="s">
        <v>2318</v>
      </c>
      <c r="F1519" s="9" t="s">
        <v>3544</v>
      </c>
    </row>
    <row r="1520" ht="33.75" customHeight="1">
      <c r="A1520" s="7">
        <v>52.0</v>
      </c>
      <c r="B1520" s="9" t="s">
        <v>3073</v>
      </c>
      <c r="C1520" s="9" t="s">
        <v>128</v>
      </c>
      <c r="D1520" s="9" t="s">
        <v>93</v>
      </c>
      <c r="E1520" s="6" t="s">
        <v>2314</v>
      </c>
      <c r="F1520" s="9" t="s">
        <v>3544</v>
      </c>
    </row>
    <row r="1521" ht="33.75" customHeight="1">
      <c r="A1521" s="7">
        <v>52.0</v>
      </c>
      <c r="B1521" s="9" t="s">
        <v>3073</v>
      </c>
      <c r="C1521" s="9" t="s">
        <v>128</v>
      </c>
      <c r="D1521" s="9" t="s">
        <v>95</v>
      </c>
      <c r="E1521" s="6" t="s">
        <v>2314</v>
      </c>
      <c r="F1521" s="9" t="s">
        <v>3544</v>
      </c>
    </row>
    <row r="1522" ht="33.75" customHeight="1">
      <c r="A1522" s="7">
        <v>52.0</v>
      </c>
      <c r="B1522" s="9" t="s">
        <v>3073</v>
      </c>
      <c r="C1522" s="9" t="s">
        <v>128</v>
      </c>
      <c r="D1522" s="9" t="s">
        <v>98</v>
      </c>
      <c r="E1522" s="6" t="s">
        <v>2314</v>
      </c>
      <c r="F1522" s="9" t="s">
        <v>3544</v>
      </c>
    </row>
    <row r="1523" ht="33.75" customHeight="1">
      <c r="A1523" s="7">
        <v>52.0</v>
      </c>
      <c r="B1523" s="9" t="s">
        <v>3073</v>
      </c>
      <c r="C1523" s="9" t="s">
        <v>128</v>
      </c>
      <c r="D1523" s="9" t="s">
        <v>99</v>
      </c>
      <c r="E1523" s="6" t="s">
        <v>2314</v>
      </c>
      <c r="F1523" s="9" t="s">
        <v>3544</v>
      </c>
    </row>
    <row r="1524" ht="33.75" customHeight="1">
      <c r="A1524" s="7">
        <v>52.0</v>
      </c>
      <c r="B1524" s="9" t="s">
        <v>3073</v>
      </c>
      <c r="C1524" s="9" t="s">
        <v>128</v>
      </c>
      <c r="D1524" s="9" t="s">
        <v>101</v>
      </c>
      <c r="E1524" s="6" t="s">
        <v>2314</v>
      </c>
      <c r="F1524" s="9" t="s">
        <v>3544</v>
      </c>
    </row>
    <row r="1525" ht="33.75" customHeight="1">
      <c r="A1525" s="7">
        <v>52.0</v>
      </c>
      <c r="B1525" s="9" t="s">
        <v>3073</v>
      </c>
      <c r="C1525" s="9" t="s">
        <v>128</v>
      </c>
      <c r="D1525" s="9" t="s">
        <v>105</v>
      </c>
      <c r="E1525" s="6" t="s">
        <v>2312</v>
      </c>
      <c r="F1525" s="9" t="s">
        <v>3544</v>
      </c>
    </row>
    <row r="1526" ht="33.75" customHeight="1">
      <c r="A1526" s="7">
        <v>52.0</v>
      </c>
      <c r="B1526" s="9" t="s">
        <v>3073</v>
      </c>
      <c r="C1526" s="9" t="s">
        <v>128</v>
      </c>
      <c r="D1526" s="9" t="s">
        <v>107</v>
      </c>
      <c r="E1526" s="6" t="s">
        <v>2319</v>
      </c>
      <c r="F1526" s="9" t="s">
        <v>3544</v>
      </c>
    </row>
    <row r="1527" ht="33.75" customHeight="1">
      <c r="A1527" s="7">
        <v>52.0</v>
      </c>
      <c r="B1527" s="9" t="s">
        <v>3073</v>
      </c>
      <c r="C1527" s="9" t="s">
        <v>128</v>
      </c>
      <c r="D1527" s="9" t="s">
        <v>109</v>
      </c>
      <c r="E1527" s="6" t="s">
        <v>2319</v>
      </c>
      <c r="F1527" s="9" t="s">
        <v>3544</v>
      </c>
    </row>
    <row r="1528" ht="33.75" customHeight="1">
      <c r="A1528" s="7">
        <v>52.0</v>
      </c>
      <c r="B1528" s="9" t="s">
        <v>3073</v>
      </c>
      <c r="C1528" s="9" t="s">
        <v>128</v>
      </c>
      <c r="D1528" s="9" t="s">
        <v>637</v>
      </c>
      <c r="E1528" s="6" t="s">
        <v>2321</v>
      </c>
      <c r="F1528" s="9" t="s">
        <v>3544</v>
      </c>
    </row>
    <row r="1529" ht="33.75" customHeight="1">
      <c r="A1529" s="7">
        <v>52.0</v>
      </c>
      <c r="B1529" s="9" t="s">
        <v>3073</v>
      </c>
      <c r="C1529" s="9" t="s">
        <v>128</v>
      </c>
      <c r="D1529" s="9" t="s">
        <v>642</v>
      </c>
      <c r="E1529" s="6" t="s">
        <v>2322</v>
      </c>
      <c r="F1529" s="9" t="s">
        <v>3544</v>
      </c>
    </row>
    <row r="1530" ht="33.75" customHeight="1">
      <c r="A1530" s="7">
        <v>52.0</v>
      </c>
      <c r="B1530" s="9" t="s">
        <v>3073</v>
      </c>
      <c r="C1530" s="9" t="s">
        <v>128</v>
      </c>
      <c r="D1530" s="9" t="s">
        <v>647</v>
      </c>
      <c r="E1530" s="6" t="s">
        <v>2324</v>
      </c>
      <c r="F1530" s="9" t="s">
        <v>3544</v>
      </c>
    </row>
    <row r="1531" ht="33.75" customHeight="1">
      <c r="A1531" s="7">
        <v>52.0</v>
      </c>
      <c r="B1531" s="9" t="s">
        <v>3073</v>
      </c>
      <c r="C1531" s="9" t="s">
        <v>128</v>
      </c>
      <c r="D1531" s="9" t="s">
        <v>652</v>
      </c>
      <c r="E1531" s="6" t="s">
        <v>2326</v>
      </c>
      <c r="F1531" s="9" t="s">
        <v>3544</v>
      </c>
    </row>
    <row r="1532" ht="33.75" customHeight="1">
      <c r="A1532" s="7">
        <v>52.0</v>
      </c>
      <c r="B1532" s="9" t="s">
        <v>3073</v>
      </c>
      <c r="C1532" s="9" t="s">
        <v>128</v>
      </c>
      <c r="D1532" s="9" t="s">
        <v>111</v>
      </c>
      <c r="E1532" s="6" t="s">
        <v>2328</v>
      </c>
      <c r="F1532" s="9" t="s">
        <v>3544</v>
      </c>
    </row>
    <row r="1533" ht="33.75" customHeight="1">
      <c r="A1533" s="7">
        <v>52.0</v>
      </c>
      <c r="B1533" s="9" t="s">
        <v>3073</v>
      </c>
      <c r="C1533" s="9" t="s">
        <v>128</v>
      </c>
      <c r="D1533" s="9" t="s">
        <v>113</v>
      </c>
      <c r="E1533" s="6" t="s">
        <v>2328</v>
      </c>
      <c r="F1533" s="9" t="s">
        <v>3544</v>
      </c>
    </row>
    <row r="1534" ht="33.75" customHeight="1">
      <c r="A1534" s="7">
        <v>52.0</v>
      </c>
      <c r="B1534" s="9" t="s">
        <v>3073</v>
      </c>
      <c r="C1534" s="9" t="s">
        <v>128</v>
      </c>
      <c r="D1534" s="9" t="s">
        <v>114</v>
      </c>
      <c r="E1534" s="6" t="s">
        <v>2329</v>
      </c>
      <c r="F1534" s="9" t="s">
        <v>3544</v>
      </c>
    </row>
    <row r="1535" ht="33.75" customHeight="1">
      <c r="A1535" s="7">
        <v>52.0</v>
      </c>
      <c r="B1535" s="9" t="s">
        <v>3073</v>
      </c>
      <c r="C1535" s="9" t="s">
        <v>128</v>
      </c>
      <c r="D1535" s="9" t="s">
        <v>117</v>
      </c>
      <c r="E1535" s="6" t="s">
        <v>2331</v>
      </c>
      <c r="F1535" s="9" t="s">
        <v>3544</v>
      </c>
    </row>
    <row r="1536" ht="33.75" customHeight="1">
      <c r="A1536" s="7">
        <v>53.0</v>
      </c>
      <c r="B1536" s="9" t="s">
        <v>3149</v>
      </c>
      <c r="C1536" s="9" t="s">
        <v>130</v>
      </c>
      <c r="D1536" s="9" t="s">
        <v>24</v>
      </c>
      <c r="E1536" s="6" t="s">
        <v>2332</v>
      </c>
      <c r="F1536" s="9" t="s">
        <v>3592</v>
      </c>
      <c r="G1536" t="inlineStr" s="6">
        <is>
          <t xml:space="preserve">Although Persian's fur has many admirers, it is tough to raise as a pet because of its fickle meanness. The gem in its forehead glows on its own! It walks with all the grace and elegance of a proud queen. Many adore it for its sophisticated air. However, it will lash out and scratch for little reason. Its lithe muscles allow it to walk without making a sound. It attacks in an instant. Behind its lithe, elegant appearance lies a barbaric side. It will tear apart its prey on a mere whim. PERSIAN has six bold whiskers that give it a look of toughness. The whiskers sense air movements to determine what is in the POKéMON’s surrounding vicinity. It becomes docile if grabbed by the whiskers. A PERSIAN’s six bold whiskers sense air movements to determine what is in its vicinity. Has a vicious temperament. Beware if it raises its tail straight up. It is a signal that it is about to pounce and bite. A very haughty Pokémon. Among fans, the size of the jewel in its forehead is a topic of much talk. It has a violent temperament. It will attack anything that looks it in the eye. Its sharp claws inflict deep wounds. It has a high opinion of itself, although not to the same extent as the Alolan Persian. It’s quite difficult to make friends with this Pokémon. Although the jewel on its forehead appears to be a different color than those of Alolan Persian, it’s mostly made of the same material. This Pokémon is popular with rich people. It’s also targeted by hunters who are after the jewel in its forehead. Getting this prideful Pokémon to warm up to you takes a lot of effort, and it will claw at you the moment it gets annoyed. Its elegant and refined behavior clashes with that of the barbaric Perrserker. The relationship between the two is one of mutual disdain.</t>
        </is>
      </c>
    </row>
    <row r="1537" ht="33.75" customHeight="1">
      <c r="A1537" s="7">
        <v>53.0</v>
      </c>
      <c r="B1537" s="9" t="s">
        <v>3149</v>
      </c>
      <c r="C1537" s="9" t="s">
        <v>130</v>
      </c>
      <c r="D1537" s="9" t="s">
        <v>35</v>
      </c>
      <c r="E1537" s="6" t="s">
        <v>2332</v>
      </c>
      <c r="F1537" s="9" t="s">
        <v>3592</v>
      </c>
    </row>
    <row r="1538" ht="33.75" customHeight="1">
      <c r="A1538" s="7">
        <v>53.0</v>
      </c>
      <c r="B1538" s="9" t="s">
        <v>3149</v>
      </c>
      <c r="C1538" s="9" t="s">
        <v>130</v>
      </c>
      <c r="D1538" s="9" t="s">
        <v>42</v>
      </c>
      <c r="E1538" s="6" t="s">
        <v>2334</v>
      </c>
      <c r="F1538" s="9" t="s">
        <v>3592</v>
      </c>
    </row>
    <row r="1539" ht="33.75" customHeight="1">
      <c r="A1539" s="7">
        <v>53.0</v>
      </c>
      <c r="B1539" s="9" t="s">
        <v>3149</v>
      </c>
      <c r="C1539" s="9" t="s">
        <v>130</v>
      </c>
      <c r="D1539" s="9" t="s">
        <v>52</v>
      </c>
      <c r="E1539" s="6" t="s">
        <v>2335</v>
      </c>
      <c r="F1539" s="9" t="s">
        <v>3592</v>
      </c>
    </row>
    <row r="1540" ht="33.75" customHeight="1">
      <c r="A1540" s="7">
        <v>53.0</v>
      </c>
      <c r="B1540" s="9" t="s">
        <v>3149</v>
      </c>
      <c r="C1540" s="9" t="s">
        <v>130</v>
      </c>
      <c r="D1540" s="9" t="s">
        <v>59</v>
      </c>
      <c r="E1540" s="6" t="s">
        <v>2336</v>
      </c>
      <c r="F1540" s="9" t="s">
        <v>3592</v>
      </c>
    </row>
    <row r="1541" ht="33.75" customHeight="1">
      <c r="A1541" s="7">
        <v>53.0</v>
      </c>
      <c r="B1541" s="9" t="s">
        <v>3149</v>
      </c>
      <c r="C1541" s="9" t="s">
        <v>130</v>
      </c>
      <c r="D1541" s="9" t="s">
        <v>64</v>
      </c>
      <c r="E1541" s="6" t="s">
        <v>2338</v>
      </c>
      <c r="F1541" s="9" t="s">
        <v>3592</v>
      </c>
    </row>
    <row r="1542" ht="33.75" customHeight="1">
      <c r="A1542" s="7">
        <v>53.0</v>
      </c>
      <c r="B1542" s="9" t="s">
        <v>3149</v>
      </c>
      <c r="C1542" s="9" t="s">
        <v>130</v>
      </c>
      <c r="D1542" s="9" t="s">
        <v>67</v>
      </c>
      <c r="E1542" s="6" t="s">
        <v>2339</v>
      </c>
      <c r="F1542" s="9" t="s">
        <v>3592</v>
      </c>
    </row>
    <row r="1543" ht="33.75" customHeight="1">
      <c r="A1543" s="7">
        <v>53.0</v>
      </c>
      <c r="B1543" s="9" t="s">
        <v>3149</v>
      </c>
      <c r="C1543" s="9" t="s">
        <v>130</v>
      </c>
      <c r="D1543" s="9" t="s">
        <v>71</v>
      </c>
      <c r="E1543" s="6" t="s">
        <v>2339</v>
      </c>
      <c r="F1543" s="9" t="s">
        <v>3592</v>
      </c>
    </row>
    <row r="1544" ht="33.75" customHeight="1">
      <c r="A1544" s="7">
        <v>53.0</v>
      </c>
      <c r="B1544" s="9" t="s">
        <v>3149</v>
      </c>
      <c r="C1544" s="9" t="s">
        <v>130</v>
      </c>
      <c r="D1544" s="9" t="s">
        <v>73</v>
      </c>
      <c r="E1544" s="6" t="s">
        <v>2340</v>
      </c>
      <c r="F1544" s="9" t="s">
        <v>3592</v>
      </c>
    </row>
    <row r="1545" ht="33.75" customHeight="1">
      <c r="A1545" s="7">
        <v>53.0</v>
      </c>
      <c r="B1545" s="9" t="s">
        <v>3149</v>
      </c>
      <c r="C1545" s="9" t="s">
        <v>130</v>
      </c>
      <c r="D1545" s="9" t="s">
        <v>75</v>
      </c>
      <c r="E1545" s="6" t="s">
        <v>2341</v>
      </c>
      <c r="F1545" s="9" t="s">
        <v>3592</v>
      </c>
    </row>
    <row r="1546" ht="33.75" customHeight="1">
      <c r="A1546" s="7">
        <v>53.0</v>
      </c>
      <c r="B1546" s="9" t="s">
        <v>3149</v>
      </c>
      <c r="C1546" s="9" t="s">
        <v>130</v>
      </c>
      <c r="D1546" s="9" t="s">
        <v>79</v>
      </c>
      <c r="E1546" s="6" t="s">
        <v>2332</v>
      </c>
      <c r="F1546" s="9" t="s">
        <v>3592</v>
      </c>
    </row>
    <row r="1547" ht="33.75" customHeight="1">
      <c r="A1547" s="7">
        <v>53.0</v>
      </c>
      <c r="B1547" s="9" t="s">
        <v>3149</v>
      </c>
      <c r="C1547" s="9" t="s">
        <v>130</v>
      </c>
      <c r="D1547" s="9" t="s">
        <v>81</v>
      </c>
      <c r="E1547" s="6" t="s">
        <v>2343</v>
      </c>
      <c r="F1547" s="9" t="s">
        <v>3592</v>
      </c>
    </row>
    <row r="1548" ht="33.75" customHeight="1">
      <c r="A1548" s="7">
        <v>53.0</v>
      </c>
      <c r="B1548" s="9" t="s">
        <v>3149</v>
      </c>
      <c r="C1548" s="9" t="s">
        <v>130</v>
      </c>
      <c r="D1548" s="9" t="s">
        <v>84</v>
      </c>
      <c r="E1548" s="6" t="s">
        <v>2343</v>
      </c>
      <c r="F1548" s="9" t="s">
        <v>3592</v>
      </c>
    </row>
    <row r="1549" ht="33.75" customHeight="1">
      <c r="A1549" s="7">
        <v>53.0</v>
      </c>
      <c r="B1549" s="9" t="s">
        <v>3149</v>
      </c>
      <c r="C1549" s="9" t="s">
        <v>130</v>
      </c>
      <c r="D1549" s="9" t="s">
        <v>87</v>
      </c>
      <c r="E1549" s="6" t="s">
        <v>2343</v>
      </c>
      <c r="F1549" s="9" t="s">
        <v>3592</v>
      </c>
    </row>
    <row r="1550" ht="33.75" customHeight="1">
      <c r="A1550" s="7">
        <v>53.0</v>
      </c>
      <c r="B1550" s="9" t="s">
        <v>3149</v>
      </c>
      <c r="C1550" s="9" t="s">
        <v>130</v>
      </c>
      <c r="D1550" s="9" t="s">
        <v>89</v>
      </c>
      <c r="E1550" s="6" t="s">
        <v>2335</v>
      </c>
      <c r="F1550" s="9" t="s">
        <v>3592</v>
      </c>
    </row>
    <row r="1551" ht="33.75" customHeight="1">
      <c r="A1551" s="7">
        <v>53.0</v>
      </c>
      <c r="B1551" s="9" t="s">
        <v>3149</v>
      </c>
      <c r="C1551" s="9" t="s">
        <v>130</v>
      </c>
      <c r="D1551" s="9" t="s">
        <v>91</v>
      </c>
      <c r="E1551" s="6" t="s">
        <v>2336</v>
      </c>
      <c r="F1551" s="9" t="s">
        <v>3592</v>
      </c>
    </row>
    <row r="1552" ht="33.75" customHeight="1">
      <c r="A1552" s="7">
        <v>53.0</v>
      </c>
      <c r="B1552" s="9" t="s">
        <v>3149</v>
      </c>
      <c r="C1552" s="9" t="s">
        <v>130</v>
      </c>
      <c r="D1552" s="9" t="s">
        <v>93</v>
      </c>
      <c r="E1552" s="6" t="s">
        <v>2343</v>
      </c>
      <c r="F1552" s="9" t="s">
        <v>3592</v>
      </c>
    </row>
    <row r="1553" ht="33.75" customHeight="1">
      <c r="A1553" s="7">
        <v>53.0</v>
      </c>
      <c r="B1553" s="9" t="s">
        <v>3149</v>
      </c>
      <c r="C1553" s="9" t="s">
        <v>130</v>
      </c>
      <c r="D1553" s="9" t="s">
        <v>95</v>
      </c>
      <c r="E1553" s="6" t="s">
        <v>2343</v>
      </c>
      <c r="F1553" s="9" t="s">
        <v>3592</v>
      </c>
    </row>
    <row r="1554" ht="33.75" customHeight="1">
      <c r="A1554" s="7">
        <v>53.0</v>
      </c>
      <c r="B1554" s="9" t="s">
        <v>3149</v>
      </c>
      <c r="C1554" s="9" t="s">
        <v>130</v>
      </c>
      <c r="D1554" s="9" t="s">
        <v>98</v>
      </c>
      <c r="E1554" s="6" t="s">
        <v>2343</v>
      </c>
      <c r="F1554" s="9" t="s">
        <v>3592</v>
      </c>
    </row>
    <row r="1555" ht="33.75" customHeight="1">
      <c r="A1555" s="7">
        <v>53.0</v>
      </c>
      <c r="B1555" s="9" t="s">
        <v>3149</v>
      </c>
      <c r="C1555" s="9" t="s">
        <v>130</v>
      </c>
      <c r="D1555" s="9" t="s">
        <v>99</v>
      </c>
      <c r="E1555" s="6" t="s">
        <v>2343</v>
      </c>
      <c r="F1555" s="9" t="s">
        <v>3592</v>
      </c>
    </row>
    <row r="1556" ht="33.75" customHeight="1">
      <c r="A1556" s="7">
        <v>53.0</v>
      </c>
      <c r="B1556" s="9" t="s">
        <v>3149</v>
      </c>
      <c r="C1556" s="9" t="s">
        <v>130</v>
      </c>
      <c r="D1556" s="9" t="s">
        <v>101</v>
      </c>
      <c r="E1556" s="6" t="s">
        <v>2332</v>
      </c>
      <c r="F1556" s="9" t="s">
        <v>3592</v>
      </c>
    </row>
    <row r="1557" ht="33.75" customHeight="1">
      <c r="A1557" s="7">
        <v>53.0</v>
      </c>
      <c r="B1557" s="9" t="s">
        <v>3149</v>
      </c>
      <c r="C1557" s="9" t="s">
        <v>130</v>
      </c>
      <c r="D1557" s="9" t="s">
        <v>105</v>
      </c>
      <c r="E1557" s="6" t="s">
        <v>2336</v>
      </c>
      <c r="F1557" s="9" t="s">
        <v>3592</v>
      </c>
    </row>
    <row r="1558" ht="33.75" customHeight="1">
      <c r="A1558" s="7">
        <v>53.0</v>
      </c>
      <c r="B1558" s="9" t="s">
        <v>3149</v>
      </c>
      <c r="C1558" s="9" t="s">
        <v>130</v>
      </c>
      <c r="D1558" s="9" t="s">
        <v>107</v>
      </c>
      <c r="E1558" s="6" t="s">
        <v>2344</v>
      </c>
      <c r="F1558" s="9" t="s">
        <v>3592</v>
      </c>
    </row>
    <row r="1559" ht="33.75" customHeight="1">
      <c r="A1559" s="7">
        <v>53.0</v>
      </c>
      <c r="B1559" s="9" t="s">
        <v>3149</v>
      </c>
      <c r="C1559" s="9" t="s">
        <v>130</v>
      </c>
      <c r="D1559" s="9" t="s">
        <v>109</v>
      </c>
      <c r="E1559" s="6" t="s">
        <v>2344</v>
      </c>
      <c r="F1559" s="9" t="s">
        <v>3592</v>
      </c>
    </row>
    <row r="1560" ht="33.75" customHeight="1">
      <c r="A1560" s="7">
        <v>53.0</v>
      </c>
      <c r="B1560" s="9" t="s">
        <v>3149</v>
      </c>
      <c r="C1560" s="9" t="s">
        <v>130</v>
      </c>
      <c r="D1560" s="9" t="s">
        <v>637</v>
      </c>
      <c r="E1560" s="6" t="s">
        <v>2345</v>
      </c>
      <c r="F1560" s="9" t="s">
        <v>3592</v>
      </c>
    </row>
    <row r="1561" ht="33.75" customHeight="1">
      <c r="A1561" s="7">
        <v>53.0</v>
      </c>
      <c r="B1561" s="9" t="s">
        <v>3149</v>
      </c>
      <c r="C1561" s="9" t="s">
        <v>130</v>
      </c>
      <c r="D1561" s="9" t="s">
        <v>642</v>
      </c>
      <c r="E1561" s="6" t="s">
        <v>2346</v>
      </c>
      <c r="F1561" s="9" t="s">
        <v>3592</v>
      </c>
    </row>
    <row r="1562" ht="33.75" customHeight="1">
      <c r="A1562" s="7">
        <v>53.0</v>
      </c>
      <c r="B1562" s="9" t="s">
        <v>3149</v>
      </c>
      <c r="C1562" s="9" t="s">
        <v>130</v>
      </c>
      <c r="D1562" s="9" t="s">
        <v>647</v>
      </c>
      <c r="E1562" s="6" t="s">
        <v>2348</v>
      </c>
      <c r="F1562" s="9" t="s">
        <v>3592</v>
      </c>
    </row>
    <row r="1563" ht="33.75" customHeight="1">
      <c r="A1563" s="7">
        <v>53.0</v>
      </c>
      <c r="B1563" s="9" t="s">
        <v>3149</v>
      </c>
      <c r="C1563" s="9" t="s">
        <v>130</v>
      </c>
      <c r="D1563" s="9" t="s">
        <v>652</v>
      </c>
      <c r="E1563" s="6" t="s">
        <v>2350</v>
      </c>
      <c r="F1563" s="9" t="s">
        <v>3592</v>
      </c>
    </row>
    <row r="1564" ht="33.75" customHeight="1">
      <c r="A1564" s="7">
        <v>53.0</v>
      </c>
      <c r="B1564" s="9" t="s">
        <v>3149</v>
      </c>
      <c r="C1564" s="9" t="s">
        <v>130</v>
      </c>
      <c r="D1564" s="9" t="s">
        <v>111</v>
      </c>
      <c r="E1564" s="6" t="s">
        <v>2334</v>
      </c>
      <c r="F1564" s="9" t="s">
        <v>3592</v>
      </c>
    </row>
    <row r="1565" ht="33.75" customHeight="1">
      <c r="A1565" s="7">
        <v>53.0</v>
      </c>
      <c r="B1565" s="9" t="s">
        <v>3149</v>
      </c>
      <c r="C1565" s="9" t="s">
        <v>130</v>
      </c>
      <c r="D1565" s="9" t="s">
        <v>113</v>
      </c>
      <c r="E1565" s="6" t="s">
        <v>2334</v>
      </c>
      <c r="F1565" s="9" t="s">
        <v>3592</v>
      </c>
    </row>
    <row r="1566" ht="33.75" customHeight="1">
      <c r="A1566" s="7">
        <v>53.0</v>
      </c>
      <c r="B1566" s="9" t="s">
        <v>3149</v>
      </c>
      <c r="C1566" s="9" t="s">
        <v>130</v>
      </c>
      <c r="D1566" s="9" t="s">
        <v>114</v>
      </c>
      <c r="E1566" s="6" t="s">
        <v>2352</v>
      </c>
      <c r="F1566" s="9" t="s">
        <v>3592</v>
      </c>
    </row>
    <row r="1567" ht="33.75" customHeight="1">
      <c r="A1567" s="7">
        <v>53.0</v>
      </c>
      <c r="B1567" s="9" t="s">
        <v>3149</v>
      </c>
      <c r="C1567" s="9" t="s">
        <v>130</v>
      </c>
      <c r="D1567" s="9" t="s">
        <v>117</v>
      </c>
      <c r="E1567" s="6" t="s">
        <v>2354</v>
      </c>
      <c r="F1567" s="9" t="s">
        <v>3592</v>
      </c>
    </row>
    <row r="1568" ht="33.75" customHeight="1">
      <c r="A1568" s="7">
        <v>54.0</v>
      </c>
      <c r="B1568" s="9" t="s">
        <v>3216</v>
      </c>
      <c r="C1568" s="9" t="s">
        <v>132</v>
      </c>
      <c r="D1568" s="9" t="s">
        <v>24</v>
      </c>
      <c r="E1568" s="6" t="s">
        <v>2356</v>
      </c>
      <c r="F1568" s="9" t="s">
        <v>3638</v>
      </c>
      <c r="G1568" t="inlineStr" s="6">
        <is>
          <t xml:space="preserve">While lulling Psyduck's enemies with its vacant look, this wily POKéMON will use psychokinetic powers. Always tormented by headaches. It uses psychic powers, but it is not known if it intends to do so. It has mystical powers but doesn't recall that it has used them. That is why it always looks puzzled. If its chronic headache peaks, it may exhibit odd powers. It seems unable to recall such an episode. The only time it can use its psychic power is when its sleeping brain cells happen to wake. PSYDUCK uses a mysterious power. When it does so, this POKéMON generates brain waves that are supposedly only seen in sleepers. This discovery spurred controversy among scholars. If it uses its mysterious power, PSYDUCK can’t remember having done so. It apparently can’t form a memory of such an event because it goes into an altered state that is much like deep sleep. When its headache intensifies, it starts using strange powers. However, it has no recollection of its powers, so it always looks befuddled and bewildered. It is constantly wracked by a headache. When the headache turns intense, it begins using mysterious powers. If its usual headache worsens, it starts exhibiting odd powers. It can’t remember doing so, however. It never remembers using its odd powers, so it always tilts its head in puzzlement. Overwhelmed by enigmatic abilities, it suffers a constant headache. It sometimes uses mysterious powers. When headaches stimulate its brain cells, which are usually inactive, it can use a mysterious power. As a result of headaches so fierce they cause it to cry, it sometimes uses psychokinesis without meaning to. This Pokémon is troubled by constant headaches. The more pain it’s in, the more powerful its psychokinesis becomes. Using psychokinesis gives it a headache, so it normally passes the time spacing out and doing as little as possible. It has been found that its brain cells are 10 times more active when Psyduck is experiencing a headache. It uses psychic powers, but whether it intends to do so is not known. Psyduck is constantly beset by headaches. If the Pokémon lets its strange power erupt, apparently the pain subsides for a while. As Psyduck gets stressed out, its headache gets progressively worse. It uses intense psychic energy to overwhelm those around it. Suffers perpetual headaches. If the agony grows too great, Psyduck's latent power erupts, contrary to Psyduck's intent. Ergo, I am exploring ways to ease the pain.</t>
        </is>
      </c>
    </row>
    <row r="1569" ht="33.75" customHeight="1">
      <c r="A1569" s="7">
        <v>54.0</v>
      </c>
      <c r="B1569" s="9" t="s">
        <v>3216</v>
      </c>
      <c r="C1569" s="9" t="s">
        <v>132</v>
      </c>
      <c r="D1569" s="9" t="s">
        <v>35</v>
      </c>
      <c r="E1569" s="6" t="s">
        <v>2356</v>
      </c>
      <c r="F1569" s="9" t="s">
        <v>3638</v>
      </c>
    </row>
    <row r="1570" ht="33.75" customHeight="1">
      <c r="A1570" s="7">
        <v>54.0</v>
      </c>
      <c r="B1570" s="9" t="s">
        <v>3216</v>
      </c>
      <c r="C1570" s="9" t="s">
        <v>132</v>
      </c>
      <c r="D1570" s="9" t="s">
        <v>42</v>
      </c>
      <c r="E1570" s="6" t="s">
        <v>2358</v>
      </c>
      <c r="F1570" s="9" t="s">
        <v>3638</v>
      </c>
    </row>
    <row r="1571" ht="33.75" customHeight="1">
      <c r="A1571" s="7">
        <v>54.0</v>
      </c>
      <c r="B1571" s="9" t="s">
        <v>3216</v>
      </c>
      <c r="C1571" s="9" t="s">
        <v>132</v>
      </c>
      <c r="D1571" s="9" t="s">
        <v>52</v>
      </c>
      <c r="E1571" s="6" t="s">
        <v>2360</v>
      </c>
      <c r="F1571" s="9" t="s">
        <v>3638</v>
      </c>
    </row>
    <row r="1572" ht="33.75" customHeight="1">
      <c r="A1572" s="7">
        <v>54.0</v>
      </c>
      <c r="B1572" s="9" t="s">
        <v>3216</v>
      </c>
      <c r="C1572" s="9" t="s">
        <v>132</v>
      </c>
      <c r="D1572" s="9" t="s">
        <v>59</v>
      </c>
      <c r="E1572" s="6" t="s">
        <v>2361</v>
      </c>
      <c r="F1572" s="9" t="s">
        <v>3638</v>
      </c>
    </row>
    <row r="1573" ht="33.75" customHeight="1">
      <c r="A1573" s="7">
        <v>54.0</v>
      </c>
      <c r="B1573" s="9" t="s">
        <v>3216</v>
      </c>
      <c r="C1573" s="9" t="s">
        <v>132</v>
      </c>
      <c r="D1573" s="9" t="s">
        <v>64</v>
      </c>
      <c r="E1573" s="6" t="s">
        <v>2363</v>
      </c>
      <c r="F1573" s="9" t="s">
        <v>3638</v>
      </c>
    </row>
    <row r="1574" ht="33.75" customHeight="1">
      <c r="A1574" s="7">
        <v>54.0</v>
      </c>
      <c r="B1574" s="9" t="s">
        <v>3216</v>
      </c>
      <c r="C1574" s="9" t="s">
        <v>132</v>
      </c>
      <c r="D1574" s="9" t="s">
        <v>67</v>
      </c>
      <c r="E1574" s="6" t="s">
        <v>2364</v>
      </c>
      <c r="F1574" s="9" t="s">
        <v>3638</v>
      </c>
    </row>
    <row r="1575" ht="33.75" customHeight="1">
      <c r="A1575" s="7">
        <v>54.0</v>
      </c>
      <c r="B1575" s="9" t="s">
        <v>3216</v>
      </c>
      <c r="C1575" s="9" t="s">
        <v>132</v>
      </c>
      <c r="D1575" s="9" t="s">
        <v>71</v>
      </c>
      <c r="E1575" s="6" t="s">
        <v>2366</v>
      </c>
      <c r="F1575" s="9" t="s">
        <v>3638</v>
      </c>
    </row>
    <row r="1576" ht="33.75" customHeight="1">
      <c r="A1576" s="7">
        <v>54.0</v>
      </c>
      <c r="B1576" s="9" t="s">
        <v>3216</v>
      </c>
      <c r="C1576" s="9" t="s">
        <v>132</v>
      </c>
      <c r="D1576" s="9" t="s">
        <v>73</v>
      </c>
      <c r="E1576" s="6" t="s">
        <v>2370</v>
      </c>
      <c r="F1576" s="9" t="s">
        <v>3638</v>
      </c>
    </row>
    <row r="1577" ht="33.75" customHeight="1">
      <c r="A1577" s="7">
        <v>54.0</v>
      </c>
      <c r="B1577" s="9" t="s">
        <v>3216</v>
      </c>
      <c r="C1577" s="9" t="s">
        <v>132</v>
      </c>
      <c r="D1577" s="9" t="s">
        <v>75</v>
      </c>
      <c r="E1577" s="6" t="s">
        <v>2371</v>
      </c>
      <c r="F1577" s="9" t="s">
        <v>3638</v>
      </c>
    </row>
    <row r="1578" ht="33.75" customHeight="1">
      <c r="A1578" s="7">
        <v>54.0</v>
      </c>
      <c r="B1578" s="9" t="s">
        <v>3216</v>
      </c>
      <c r="C1578" s="9" t="s">
        <v>132</v>
      </c>
      <c r="D1578" s="9" t="s">
        <v>79</v>
      </c>
      <c r="E1578" s="6" t="s">
        <v>2356</v>
      </c>
      <c r="F1578" s="9" t="s">
        <v>3638</v>
      </c>
    </row>
    <row r="1579" ht="33.75" customHeight="1">
      <c r="A1579" s="7">
        <v>54.0</v>
      </c>
      <c r="B1579" s="9" t="s">
        <v>3216</v>
      </c>
      <c r="C1579" s="9" t="s">
        <v>132</v>
      </c>
      <c r="D1579" s="9" t="s">
        <v>81</v>
      </c>
      <c r="E1579" s="6" t="s">
        <v>2373</v>
      </c>
      <c r="F1579" s="9" t="s">
        <v>3638</v>
      </c>
    </row>
    <row r="1580" ht="33.75" customHeight="1">
      <c r="A1580" s="7">
        <v>54.0</v>
      </c>
      <c r="B1580" s="9" t="s">
        <v>3216</v>
      </c>
      <c r="C1580" s="9" t="s">
        <v>132</v>
      </c>
      <c r="D1580" s="9" t="s">
        <v>84</v>
      </c>
      <c r="E1580" s="6" t="s">
        <v>2375</v>
      </c>
      <c r="F1580" s="9" t="s">
        <v>3638</v>
      </c>
    </row>
    <row r="1581" ht="33.75" customHeight="1">
      <c r="A1581" s="7">
        <v>54.0</v>
      </c>
      <c r="B1581" s="9" t="s">
        <v>3216</v>
      </c>
      <c r="C1581" s="9" t="s">
        <v>132</v>
      </c>
      <c r="D1581" s="9" t="s">
        <v>87</v>
      </c>
      <c r="E1581" s="6" t="s">
        <v>2377</v>
      </c>
      <c r="F1581" s="9" t="s">
        <v>3638</v>
      </c>
    </row>
    <row r="1582" ht="33.75" customHeight="1">
      <c r="A1582" s="7">
        <v>54.0</v>
      </c>
      <c r="B1582" s="9" t="s">
        <v>3216</v>
      </c>
      <c r="C1582" s="9" t="s">
        <v>132</v>
      </c>
      <c r="D1582" s="9" t="s">
        <v>89</v>
      </c>
      <c r="E1582" s="6" t="s">
        <v>2379</v>
      </c>
      <c r="F1582" s="9" t="s">
        <v>3638</v>
      </c>
    </row>
    <row r="1583" ht="33.75" customHeight="1">
      <c r="A1583" s="7">
        <v>54.0</v>
      </c>
      <c r="B1583" s="9" t="s">
        <v>3216</v>
      </c>
      <c r="C1583" s="9" t="s">
        <v>132</v>
      </c>
      <c r="D1583" s="9" t="s">
        <v>91</v>
      </c>
      <c r="E1583" s="6" t="s">
        <v>2361</v>
      </c>
      <c r="F1583" s="9" t="s">
        <v>3638</v>
      </c>
    </row>
    <row r="1584" ht="33.75" customHeight="1">
      <c r="A1584" s="7">
        <v>54.0</v>
      </c>
      <c r="B1584" s="9" t="s">
        <v>3216</v>
      </c>
      <c r="C1584" s="9" t="s">
        <v>132</v>
      </c>
      <c r="D1584" s="9" t="s">
        <v>93</v>
      </c>
      <c r="E1584" s="6" t="s">
        <v>2377</v>
      </c>
      <c r="F1584" s="9" t="s">
        <v>3638</v>
      </c>
    </row>
    <row r="1585" ht="33.75" customHeight="1">
      <c r="A1585" s="7">
        <v>54.0</v>
      </c>
      <c r="B1585" s="9" t="s">
        <v>3216</v>
      </c>
      <c r="C1585" s="9" t="s">
        <v>132</v>
      </c>
      <c r="D1585" s="9" t="s">
        <v>95</v>
      </c>
      <c r="E1585" s="6" t="s">
        <v>2377</v>
      </c>
      <c r="F1585" s="9" t="s">
        <v>3638</v>
      </c>
    </row>
    <row r="1586" ht="33.75" customHeight="1">
      <c r="A1586" s="7">
        <v>54.0</v>
      </c>
      <c r="B1586" s="9" t="s">
        <v>3216</v>
      </c>
      <c r="C1586" s="9" t="s">
        <v>132</v>
      </c>
      <c r="D1586" s="9" t="s">
        <v>98</v>
      </c>
      <c r="E1586" s="6" t="s">
        <v>2381</v>
      </c>
      <c r="F1586" s="9" t="s">
        <v>3638</v>
      </c>
    </row>
    <row r="1587" ht="33.75" customHeight="1">
      <c r="A1587" s="7">
        <v>54.0</v>
      </c>
      <c r="B1587" s="9" t="s">
        <v>3216</v>
      </c>
      <c r="C1587" s="9" t="s">
        <v>132</v>
      </c>
      <c r="D1587" s="9" t="s">
        <v>99</v>
      </c>
      <c r="E1587" s="6" t="s">
        <v>2381</v>
      </c>
      <c r="F1587" s="9" t="s">
        <v>3638</v>
      </c>
    </row>
    <row r="1588" ht="33.75" customHeight="1">
      <c r="A1588" s="7">
        <v>54.0</v>
      </c>
      <c r="B1588" s="9" t="s">
        <v>3216</v>
      </c>
      <c r="C1588" s="9" t="s">
        <v>132</v>
      </c>
      <c r="D1588" s="9" t="s">
        <v>101</v>
      </c>
      <c r="E1588" s="6" t="s">
        <v>2371</v>
      </c>
      <c r="F1588" s="9" t="s">
        <v>3638</v>
      </c>
    </row>
    <row r="1589" ht="33.75" customHeight="1">
      <c r="A1589" s="7">
        <v>54.0</v>
      </c>
      <c r="B1589" s="9" t="s">
        <v>3216</v>
      </c>
      <c r="C1589" s="9" t="s">
        <v>132</v>
      </c>
      <c r="D1589" s="9" t="s">
        <v>105</v>
      </c>
      <c r="E1589" s="6" t="s">
        <v>2379</v>
      </c>
      <c r="F1589" s="9" t="s">
        <v>3638</v>
      </c>
    </row>
    <row r="1590" ht="33.75" customHeight="1">
      <c r="A1590" s="7">
        <v>54.0</v>
      </c>
      <c r="B1590" s="9" t="s">
        <v>3216</v>
      </c>
      <c r="C1590" s="9" t="s">
        <v>132</v>
      </c>
      <c r="D1590" s="9" t="s">
        <v>107</v>
      </c>
      <c r="E1590" s="6" t="s">
        <v>2383</v>
      </c>
      <c r="F1590" s="9" t="s">
        <v>3638</v>
      </c>
    </row>
    <row r="1591" ht="33.75" customHeight="1">
      <c r="A1591" s="7">
        <v>54.0</v>
      </c>
      <c r="B1591" s="9" t="s">
        <v>3216</v>
      </c>
      <c r="C1591" s="9" t="s">
        <v>132</v>
      </c>
      <c r="D1591" s="9" t="s">
        <v>109</v>
      </c>
      <c r="E1591" s="6" t="s">
        <v>2385</v>
      </c>
      <c r="F1591" s="9" t="s">
        <v>3638</v>
      </c>
    </row>
    <row r="1592" ht="33.75" customHeight="1">
      <c r="A1592" s="7">
        <v>54.0</v>
      </c>
      <c r="B1592" s="9" t="s">
        <v>3216</v>
      </c>
      <c r="C1592" s="9" t="s">
        <v>132</v>
      </c>
      <c r="D1592" s="9" t="s">
        <v>637</v>
      </c>
      <c r="E1592" s="6" t="s">
        <v>2386</v>
      </c>
      <c r="F1592" s="9" t="s">
        <v>3638</v>
      </c>
    </row>
    <row r="1593" ht="33.75" customHeight="1">
      <c r="A1593" s="7">
        <v>54.0</v>
      </c>
      <c r="B1593" s="9" t="s">
        <v>3216</v>
      </c>
      <c r="C1593" s="9" t="s">
        <v>132</v>
      </c>
      <c r="D1593" s="9" t="s">
        <v>642</v>
      </c>
      <c r="E1593" s="6" t="s">
        <v>2388</v>
      </c>
      <c r="F1593" s="9" t="s">
        <v>3638</v>
      </c>
    </row>
    <row r="1594" ht="33.75" customHeight="1">
      <c r="A1594" s="7">
        <v>54.0</v>
      </c>
      <c r="B1594" s="9" t="s">
        <v>3216</v>
      </c>
      <c r="C1594" s="9" t="s">
        <v>132</v>
      </c>
      <c r="D1594" s="9" t="s">
        <v>647</v>
      </c>
      <c r="E1594" s="6" t="s">
        <v>2390</v>
      </c>
      <c r="F1594" s="9" t="s">
        <v>3638</v>
      </c>
    </row>
    <row r="1595" ht="33.75" customHeight="1">
      <c r="A1595" s="7">
        <v>54.0</v>
      </c>
      <c r="B1595" s="9" t="s">
        <v>3216</v>
      </c>
      <c r="C1595" s="9" t="s">
        <v>132</v>
      </c>
      <c r="D1595" s="9" t="s">
        <v>652</v>
      </c>
      <c r="E1595" s="6" t="s">
        <v>2391</v>
      </c>
      <c r="F1595" s="9" t="s">
        <v>3638</v>
      </c>
    </row>
    <row r="1596" ht="33.75" customHeight="1">
      <c r="A1596" s="7">
        <v>54.0</v>
      </c>
      <c r="B1596" s="9" t="s">
        <v>3216</v>
      </c>
      <c r="C1596" s="9" t="s">
        <v>132</v>
      </c>
      <c r="D1596" s="9" t="s">
        <v>111</v>
      </c>
      <c r="E1596" s="6" t="s">
        <v>2393</v>
      </c>
      <c r="F1596" s="9" t="s">
        <v>3638</v>
      </c>
    </row>
    <row r="1597" ht="33.75" customHeight="1">
      <c r="A1597" s="7">
        <v>54.0</v>
      </c>
      <c r="B1597" s="9" t="s">
        <v>3216</v>
      </c>
      <c r="C1597" s="9" t="s">
        <v>132</v>
      </c>
      <c r="D1597" s="9" t="s">
        <v>113</v>
      </c>
      <c r="E1597" s="6" t="s">
        <v>2393</v>
      </c>
      <c r="F1597" s="9" t="s">
        <v>3638</v>
      </c>
    </row>
    <row r="1598" ht="33.75" customHeight="1">
      <c r="A1598" s="7">
        <v>54.0</v>
      </c>
      <c r="B1598" s="9" t="s">
        <v>3216</v>
      </c>
      <c r="C1598" s="9" t="s">
        <v>132</v>
      </c>
      <c r="D1598" s="9" t="s">
        <v>114</v>
      </c>
      <c r="E1598" s="6" t="s">
        <v>2394</v>
      </c>
      <c r="F1598" s="9" t="s">
        <v>3638</v>
      </c>
    </row>
    <row r="1599" ht="33.75" customHeight="1">
      <c r="A1599" s="7">
        <v>54.0</v>
      </c>
      <c r="B1599" s="9" t="s">
        <v>3216</v>
      </c>
      <c r="C1599" s="9" t="s">
        <v>132</v>
      </c>
      <c r="D1599" s="9" t="s">
        <v>117</v>
      </c>
      <c r="E1599" s="6" t="s">
        <v>2396</v>
      </c>
      <c r="F1599" s="9" t="s">
        <v>3638</v>
      </c>
    </row>
    <row r="1600" ht="33.75" customHeight="1">
      <c r="A1600" s="7">
        <v>54.0</v>
      </c>
      <c r="B1600" s="9" t="s">
        <v>3216</v>
      </c>
      <c r="C1600" s="9" t="s">
        <v>132</v>
      </c>
      <c r="D1600" s="9" t="s">
        <v>1577</v>
      </c>
      <c r="E1600" s="6" t="s">
        <v>2397</v>
      </c>
      <c r="F1600" s="9" t="s">
        <v>3638</v>
      </c>
    </row>
    <row r="1601" ht="33.75" customHeight="1">
      <c r="A1601" s="7">
        <v>55.0</v>
      </c>
      <c r="B1601" s="9" t="s">
        <v>3287</v>
      </c>
      <c r="C1601" s="9" t="s">
        <v>132</v>
      </c>
      <c r="D1601" s="9" t="s">
        <v>24</v>
      </c>
      <c r="E1601" s="6" t="s">
        <v>2398</v>
      </c>
      <c r="F1601" s="9" t="s">
        <v>3708</v>
      </c>
      <c r="G1601" t="inlineStr" s="6">
        <is>
          <t xml:space="preserve">Often seen swim ming elegantly by lake shores. It is often mistaken for the Japanese monster, Kappa. Its slim and long limbs end in broad flippers. They are used for swim ming gracefully in lakes. When it swims at full speed using its long, webbed limbs, its forehead somehow begins to glow. It appears by waterways at dusk. It may use telekinetic powers if its forehead glows mysteriously. It swims grace fully along on the quiet, slow-moving rivers and lakes of which it is so fond. The webbed flippers on its forelegs and hind legs and the streamlined body of GOLDUCK give it frightening speed. This POKéMON is definitely much faster than even the most athletic swimmer. GOLDUCK is the fastest swimmer among all POKéMON. It swims effortlessly, even in a rough, stormy sea. It sometimes rescues people from wrecked ships floundering in high seas. A GOLDUCK is an adept swimmer. It sometimes joins competitive swimmers in training. It uses psychic powers when its forehead shimmers with light. The forelegs are webbed, helping to make it an adept swimmer. It can be seen swimming elegantly in lakes, etc. Often seen swimming elegantly by lakeshores. It is often mistaken for the Japanese monster Kappa. A Pokémon that lives in lakes. It swims faster than any human swimming champion. The flippers of its well-developed limbs give it shocking speed. It is the best swimmer among Pokémon. It is seen swimming dynamically and elegantly using its well-developed limbs and flippers. When its forehead shines mysteriously, Golduck can use the full extent of its power. It is said that the red part of its forehead grants supernatural powers to those who possess one, so it was over-hunted in the past. It swims along the banks of lakes and catches fish Pokémon. It takes them to the shore and quietly eats them up. Even fast-swimming fish Pokémon can be disabled by Golduck. It brings them to a standstill and seizes them. A professional swimmer, it can continue swimming for two days straight by waving its long tail skillfully. Its long, slim limbs end in broad flippers. They are used for swimming gracefully in lakes. This Pokémon lives in gently flowing rivers. It paddles through the water with its long limbs, putting its graceful swimming skills on display. Old tales tell of Golduck punishing those that defiled its river. The guilty were dragged into the water and taken away. Its body is strong, and it has webbing on its hands and feet. Golduck can swim easily through rough seas, clawing its way through the high waves.</t>
        </is>
      </c>
    </row>
    <row r="1602" ht="33.75" customHeight="1">
      <c r="A1602" s="7">
        <v>55.0</v>
      </c>
      <c r="B1602" s="9" t="s">
        <v>3287</v>
      </c>
      <c r="C1602" s="9" t="s">
        <v>132</v>
      </c>
      <c r="D1602" s="9" t="s">
        <v>35</v>
      </c>
      <c r="E1602" s="6" t="s">
        <v>2398</v>
      </c>
      <c r="F1602" s="9" t="s">
        <v>3708</v>
      </c>
    </row>
    <row r="1603" ht="33.75" customHeight="1">
      <c r="A1603" s="7">
        <v>55.0</v>
      </c>
      <c r="B1603" s="9" t="s">
        <v>3287</v>
      </c>
      <c r="C1603" s="9" t="s">
        <v>132</v>
      </c>
      <c r="D1603" s="9" t="s">
        <v>42</v>
      </c>
      <c r="E1603" s="6" t="s">
        <v>2399</v>
      </c>
      <c r="F1603" s="9" t="s">
        <v>3708</v>
      </c>
    </row>
    <row r="1604" ht="33.75" customHeight="1">
      <c r="A1604" s="7">
        <v>55.0</v>
      </c>
      <c r="B1604" s="9" t="s">
        <v>3287</v>
      </c>
      <c r="C1604" s="9" t="s">
        <v>132</v>
      </c>
      <c r="D1604" s="9" t="s">
        <v>52</v>
      </c>
      <c r="E1604" s="6" t="s">
        <v>2401</v>
      </c>
      <c r="F1604" s="9" t="s">
        <v>3708</v>
      </c>
    </row>
    <row r="1605" ht="33.75" customHeight="1">
      <c r="A1605" s="7">
        <v>55.0</v>
      </c>
      <c r="B1605" s="9" t="s">
        <v>3287</v>
      </c>
      <c r="C1605" s="9" t="s">
        <v>132</v>
      </c>
      <c r="D1605" s="9" t="s">
        <v>59</v>
      </c>
      <c r="E1605" s="6" t="s">
        <v>2402</v>
      </c>
      <c r="F1605" s="9" t="s">
        <v>3708</v>
      </c>
    </row>
    <row r="1606" ht="33.75" customHeight="1">
      <c r="A1606" s="7">
        <v>55.0</v>
      </c>
      <c r="B1606" s="9" t="s">
        <v>3287</v>
      </c>
      <c r="C1606" s="9" t="s">
        <v>132</v>
      </c>
      <c r="D1606" s="9" t="s">
        <v>64</v>
      </c>
      <c r="E1606" s="6" t="s">
        <v>2405</v>
      </c>
      <c r="F1606" s="9" t="s">
        <v>3708</v>
      </c>
    </row>
    <row r="1607" ht="33.75" customHeight="1">
      <c r="A1607" s="7">
        <v>55.0</v>
      </c>
      <c r="B1607" s="9" t="s">
        <v>3287</v>
      </c>
      <c r="C1607" s="9" t="s">
        <v>132</v>
      </c>
      <c r="D1607" s="9" t="s">
        <v>67</v>
      </c>
      <c r="E1607" s="6" t="s">
        <v>2406</v>
      </c>
      <c r="F1607" s="9" t="s">
        <v>3708</v>
      </c>
    </row>
    <row r="1608" ht="33.75" customHeight="1">
      <c r="A1608" s="7">
        <v>55.0</v>
      </c>
      <c r="B1608" s="9" t="s">
        <v>3287</v>
      </c>
      <c r="C1608" s="9" t="s">
        <v>132</v>
      </c>
      <c r="D1608" s="9" t="s">
        <v>71</v>
      </c>
      <c r="E1608" s="6" t="s">
        <v>2408</v>
      </c>
      <c r="F1608" s="9" t="s">
        <v>3708</v>
      </c>
    </row>
    <row r="1609" ht="33.75" customHeight="1">
      <c r="A1609" s="7">
        <v>55.0</v>
      </c>
      <c r="B1609" s="9" t="s">
        <v>3287</v>
      </c>
      <c r="C1609" s="9" t="s">
        <v>132</v>
      </c>
      <c r="D1609" s="9" t="s">
        <v>73</v>
      </c>
      <c r="E1609" s="6" t="s">
        <v>2411</v>
      </c>
      <c r="F1609" s="9" t="s">
        <v>3708</v>
      </c>
    </row>
    <row r="1610" ht="33.75" customHeight="1">
      <c r="A1610" s="7">
        <v>55.0</v>
      </c>
      <c r="B1610" s="9" t="s">
        <v>3287</v>
      </c>
      <c r="C1610" s="9" t="s">
        <v>132</v>
      </c>
      <c r="D1610" s="9" t="s">
        <v>75</v>
      </c>
      <c r="E1610" s="6" t="s">
        <v>2413</v>
      </c>
      <c r="F1610" s="9" t="s">
        <v>3708</v>
      </c>
    </row>
    <row r="1611" ht="33.75" customHeight="1">
      <c r="A1611" s="7">
        <v>55.0</v>
      </c>
      <c r="B1611" s="9" t="s">
        <v>3287</v>
      </c>
      <c r="C1611" s="9" t="s">
        <v>132</v>
      </c>
      <c r="D1611" s="9" t="s">
        <v>79</v>
      </c>
      <c r="E1611" s="6" t="s">
        <v>2415</v>
      </c>
      <c r="F1611" s="9" t="s">
        <v>3708</v>
      </c>
    </row>
    <row r="1612" ht="33.75" customHeight="1">
      <c r="A1612" s="7">
        <v>55.0</v>
      </c>
      <c r="B1612" s="9" t="s">
        <v>3287</v>
      </c>
      <c r="C1612" s="9" t="s">
        <v>132</v>
      </c>
      <c r="D1612" s="9" t="s">
        <v>81</v>
      </c>
      <c r="E1612" s="6" t="s">
        <v>2416</v>
      </c>
      <c r="F1612" s="9" t="s">
        <v>3708</v>
      </c>
    </row>
    <row r="1613" ht="33.75" customHeight="1">
      <c r="A1613" s="7">
        <v>55.0</v>
      </c>
      <c r="B1613" s="9" t="s">
        <v>3287</v>
      </c>
      <c r="C1613" s="9" t="s">
        <v>132</v>
      </c>
      <c r="D1613" s="9" t="s">
        <v>84</v>
      </c>
      <c r="E1613" s="6" t="s">
        <v>2418</v>
      </c>
      <c r="F1613" s="9" t="s">
        <v>3708</v>
      </c>
    </row>
    <row r="1614" ht="33.75" customHeight="1">
      <c r="A1614" s="7">
        <v>55.0</v>
      </c>
      <c r="B1614" s="9" t="s">
        <v>3287</v>
      </c>
      <c r="C1614" s="9" t="s">
        <v>132</v>
      </c>
      <c r="D1614" s="9" t="s">
        <v>87</v>
      </c>
      <c r="E1614" s="6" t="s">
        <v>2420</v>
      </c>
      <c r="F1614" s="9" t="s">
        <v>3708</v>
      </c>
    </row>
    <row r="1615" ht="33.75" customHeight="1">
      <c r="A1615" s="7">
        <v>55.0</v>
      </c>
      <c r="B1615" s="9" t="s">
        <v>3287</v>
      </c>
      <c r="C1615" s="9" t="s">
        <v>132</v>
      </c>
      <c r="D1615" s="9" t="s">
        <v>89</v>
      </c>
      <c r="E1615" s="6" t="s">
        <v>2423</v>
      </c>
      <c r="F1615" s="9" t="s">
        <v>3708</v>
      </c>
    </row>
    <row r="1616" ht="33.75" customHeight="1">
      <c r="A1616" s="7">
        <v>55.0</v>
      </c>
      <c r="B1616" s="9" t="s">
        <v>3287</v>
      </c>
      <c r="C1616" s="9" t="s">
        <v>132</v>
      </c>
      <c r="D1616" s="9" t="s">
        <v>91</v>
      </c>
      <c r="E1616" s="6" t="s">
        <v>2425</v>
      </c>
      <c r="F1616" s="9" t="s">
        <v>3708</v>
      </c>
    </row>
    <row r="1617" ht="33.75" customHeight="1">
      <c r="A1617" s="7">
        <v>55.0</v>
      </c>
      <c r="B1617" s="9" t="s">
        <v>3287</v>
      </c>
      <c r="C1617" s="9" t="s">
        <v>132</v>
      </c>
      <c r="D1617" s="9" t="s">
        <v>93</v>
      </c>
      <c r="E1617" s="6" t="s">
        <v>2420</v>
      </c>
      <c r="F1617" s="9" t="s">
        <v>3708</v>
      </c>
    </row>
    <row r="1618" ht="33.75" customHeight="1">
      <c r="A1618" s="7">
        <v>55.0</v>
      </c>
      <c r="B1618" s="9" t="s">
        <v>3287</v>
      </c>
      <c r="C1618" s="9" t="s">
        <v>132</v>
      </c>
      <c r="D1618" s="9" t="s">
        <v>95</v>
      </c>
      <c r="E1618" s="6" t="s">
        <v>2420</v>
      </c>
      <c r="F1618" s="9" t="s">
        <v>3708</v>
      </c>
    </row>
    <row r="1619" ht="33.75" customHeight="1">
      <c r="A1619" s="7">
        <v>55.0</v>
      </c>
      <c r="B1619" s="9" t="s">
        <v>3287</v>
      </c>
      <c r="C1619" s="9" t="s">
        <v>132</v>
      </c>
      <c r="D1619" s="9" t="s">
        <v>98</v>
      </c>
      <c r="E1619" s="6" t="s">
        <v>2427</v>
      </c>
      <c r="F1619" s="9" t="s">
        <v>3708</v>
      </c>
    </row>
    <row r="1620" ht="33.75" customHeight="1">
      <c r="A1620" s="7">
        <v>55.0</v>
      </c>
      <c r="B1620" s="9" t="s">
        <v>3287</v>
      </c>
      <c r="C1620" s="9" t="s">
        <v>132</v>
      </c>
      <c r="D1620" s="9" t="s">
        <v>99</v>
      </c>
      <c r="E1620" s="6" t="s">
        <v>2427</v>
      </c>
      <c r="F1620" s="9" t="s">
        <v>3708</v>
      </c>
    </row>
    <row r="1621" ht="33.75" customHeight="1">
      <c r="A1621" s="7">
        <v>55.0</v>
      </c>
      <c r="B1621" s="9" t="s">
        <v>3287</v>
      </c>
      <c r="C1621" s="9" t="s">
        <v>132</v>
      </c>
      <c r="D1621" s="9" t="s">
        <v>101</v>
      </c>
      <c r="E1621" s="6" t="s">
        <v>2425</v>
      </c>
      <c r="F1621" s="9" t="s">
        <v>3708</v>
      </c>
    </row>
    <row r="1622" ht="33.75" customHeight="1">
      <c r="A1622" s="7">
        <v>55.0</v>
      </c>
      <c r="B1622" s="9" t="s">
        <v>3287</v>
      </c>
      <c r="C1622" s="9" t="s">
        <v>132</v>
      </c>
      <c r="D1622" s="9" t="s">
        <v>105</v>
      </c>
      <c r="E1622" s="6" t="s">
        <v>2413</v>
      </c>
      <c r="F1622" s="9" t="s">
        <v>3708</v>
      </c>
    </row>
    <row r="1623" ht="33.75" customHeight="1">
      <c r="A1623" s="7">
        <v>55.0</v>
      </c>
      <c r="B1623" s="9" t="s">
        <v>3287</v>
      </c>
      <c r="C1623" s="9" t="s">
        <v>132</v>
      </c>
      <c r="D1623" s="9" t="s">
        <v>107</v>
      </c>
      <c r="E1623" s="6" t="s">
        <v>2429</v>
      </c>
      <c r="F1623" s="9" t="s">
        <v>3708</v>
      </c>
    </row>
    <row r="1624" ht="33.75" customHeight="1">
      <c r="A1624" s="7">
        <v>55.0</v>
      </c>
      <c r="B1624" s="9" t="s">
        <v>3287</v>
      </c>
      <c r="C1624" s="9" t="s">
        <v>132</v>
      </c>
      <c r="D1624" s="9" t="s">
        <v>109</v>
      </c>
      <c r="E1624" s="6" t="s">
        <v>2431</v>
      </c>
      <c r="F1624" s="9" t="s">
        <v>3708</v>
      </c>
    </row>
    <row r="1625" ht="33.75" customHeight="1">
      <c r="A1625" s="7">
        <v>55.0</v>
      </c>
      <c r="B1625" s="9" t="s">
        <v>3287</v>
      </c>
      <c r="C1625" s="9" t="s">
        <v>132</v>
      </c>
      <c r="D1625" s="9" t="s">
        <v>637</v>
      </c>
      <c r="E1625" s="6" t="s">
        <v>2433</v>
      </c>
      <c r="F1625" s="9" t="s">
        <v>3708</v>
      </c>
    </row>
    <row r="1626" ht="33.75" customHeight="1">
      <c r="A1626" s="7">
        <v>55.0</v>
      </c>
      <c r="B1626" s="9" t="s">
        <v>3287</v>
      </c>
      <c r="C1626" s="9" t="s">
        <v>132</v>
      </c>
      <c r="D1626" s="9" t="s">
        <v>642</v>
      </c>
      <c r="E1626" s="6" t="s">
        <v>2435</v>
      </c>
      <c r="F1626" s="9" t="s">
        <v>3708</v>
      </c>
    </row>
    <row r="1627" ht="33.75" customHeight="1">
      <c r="A1627" s="7">
        <v>55.0</v>
      </c>
      <c r="B1627" s="9" t="s">
        <v>3287</v>
      </c>
      <c r="C1627" s="9" t="s">
        <v>132</v>
      </c>
      <c r="D1627" s="9" t="s">
        <v>647</v>
      </c>
      <c r="E1627" s="6" t="s">
        <v>2437</v>
      </c>
      <c r="F1627" s="9" t="s">
        <v>3708</v>
      </c>
    </row>
    <row r="1628" ht="33.75" customHeight="1">
      <c r="A1628" s="7">
        <v>55.0</v>
      </c>
      <c r="B1628" s="9" t="s">
        <v>3287</v>
      </c>
      <c r="C1628" s="9" t="s">
        <v>132</v>
      </c>
      <c r="D1628" s="9" t="s">
        <v>652</v>
      </c>
      <c r="E1628" s="6" t="s">
        <v>2438</v>
      </c>
      <c r="F1628" s="9" t="s">
        <v>3708</v>
      </c>
    </row>
    <row r="1629" ht="33.75" customHeight="1">
      <c r="A1629" s="7">
        <v>55.0</v>
      </c>
      <c r="B1629" s="9" t="s">
        <v>3287</v>
      </c>
      <c r="C1629" s="9" t="s">
        <v>132</v>
      </c>
      <c r="D1629" s="9" t="s">
        <v>111</v>
      </c>
      <c r="E1629" s="6" t="s">
        <v>2440</v>
      </c>
      <c r="F1629" s="9" t="s">
        <v>3708</v>
      </c>
    </row>
    <row r="1630" ht="33.75" customHeight="1">
      <c r="A1630" s="7">
        <v>55.0</v>
      </c>
      <c r="B1630" s="9" t="s">
        <v>3287</v>
      </c>
      <c r="C1630" s="9" t="s">
        <v>132</v>
      </c>
      <c r="D1630" s="9" t="s">
        <v>113</v>
      </c>
      <c r="E1630" s="6" t="s">
        <v>2440</v>
      </c>
      <c r="F1630" s="9" t="s">
        <v>3708</v>
      </c>
    </row>
    <row r="1631" ht="33.75" customHeight="1">
      <c r="A1631" s="7">
        <v>55.0</v>
      </c>
      <c r="B1631" s="9" t="s">
        <v>3287</v>
      </c>
      <c r="C1631" s="9" t="s">
        <v>132</v>
      </c>
      <c r="D1631" s="9" t="s">
        <v>114</v>
      </c>
      <c r="E1631" s="6" t="s">
        <v>2442</v>
      </c>
      <c r="F1631" s="9" t="s">
        <v>3708</v>
      </c>
    </row>
    <row r="1632" ht="33.75" customHeight="1">
      <c r="A1632" s="7">
        <v>55.0</v>
      </c>
      <c r="B1632" s="9" t="s">
        <v>3287</v>
      </c>
      <c r="C1632" s="9" t="s">
        <v>132</v>
      </c>
      <c r="D1632" s="9" t="s">
        <v>117</v>
      </c>
      <c r="E1632" s="6" t="s">
        <v>2443</v>
      </c>
      <c r="F1632" s="9" t="s">
        <v>3708</v>
      </c>
    </row>
    <row r="1633" ht="33.75" customHeight="1">
      <c r="A1633" s="7">
        <v>55.0</v>
      </c>
      <c r="B1633" s="9" t="s">
        <v>3287</v>
      </c>
      <c r="C1633" s="9" t="s">
        <v>132</v>
      </c>
      <c r="D1633" s="9" t="s">
        <v>1577</v>
      </c>
      <c r="E1633" s="6" t="s">
        <v>2444</v>
      </c>
      <c r="F1633" s="9" t="s">
        <v>3708</v>
      </c>
    </row>
    <row r="1634" ht="33.75" customHeight="1">
      <c r="A1634" s="7">
        <v>56.0</v>
      </c>
      <c r="B1634" s="9" t="s">
        <v>3351</v>
      </c>
      <c r="C1634" s="9" t="s">
        <v>134</v>
      </c>
      <c r="D1634" s="9" t="s">
        <v>24</v>
      </c>
      <c r="E1634" s="6" t="s">
        <v>2445</v>
      </c>
      <c r="F1634" s="9" t="s">
        <v>3769</v>
      </c>
      <c r="G1634" t="inlineStr" s="6">
        <is>
          <t xml:space="preserve">Extremely quick to anger. It could be docile one moment then thrashing away the next instant. An agile POKéMON that lives in trees. It angers easily and will not hesitate to attack anything. It is extremely ill-tempered. Groups of them will attack any handy target for no reason. It's unsafe to approach if it gets violently enraged for no reason and can't distinguish friends from foes. It lives in groups in the treetops. If it loses sight of its group, it becomes infuriated by its loneliness. When MANKEY starts shaking and its nasal breathing turns rough, it’s a sure sign that it is becoming angry. However, because it goes into a towering rage almost instantly, it is impossible for anyone to flee its wrath. When it starts shaking and its nasal breathing turns rough, it’s a sure sign of anger. However, since this happens instantly, there is no time to flee. Light and agile on its feet, and ferocious in temperament. When angered, it flies into an uncontrollable frenzy. It could be docile one moment, then thrashing away the next instant. It lives in treetop colonies. If one becomes enraged, the whole colony rampages for no reason. It can spontaneously become enraged. Everyone near it clears out as it rampages, and the resulting loneliness makes it angrier still. Its raging tires it out and causes it to fall asleep, but the anger resonating in its dreams causes it to wake up—which infuriates it all over again. The smallest of things could cause it to lose its temper. Because it doesn’t hold in its stress, this Pokémon can live a long time. If one gets angry, all the others around it will get angry, so silence is a rare visitor in a troop of Mankey.</t>
        </is>
      </c>
    </row>
    <row r="1635" ht="33.75" customHeight="1">
      <c r="A1635" s="7">
        <v>56.0</v>
      </c>
      <c r="B1635" s="9" t="s">
        <v>3351</v>
      </c>
      <c r="C1635" s="9" t="s">
        <v>134</v>
      </c>
      <c r="D1635" s="9" t="s">
        <v>35</v>
      </c>
      <c r="E1635" s="6" t="s">
        <v>2445</v>
      </c>
      <c r="F1635" s="9" t="s">
        <v>3769</v>
      </c>
    </row>
    <row r="1636" ht="33.75" customHeight="1">
      <c r="A1636" s="7">
        <v>56.0</v>
      </c>
      <c r="B1636" s="9" t="s">
        <v>3351</v>
      </c>
      <c r="C1636" s="9" t="s">
        <v>134</v>
      </c>
      <c r="D1636" s="9" t="s">
        <v>42</v>
      </c>
      <c r="E1636" s="6" t="s">
        <v>2446</v>
      </c>
      <c r="F1636" s="9" t="s">
        <v>3769</v>
      </c>
    </row>
    <row r="1637" ht="33.75" customHeight="1">
      <c r="A1637" s="7">
        <v>56.0</v>
      </c>
      <c r="B1637" s="9" t="s">
        <v>3351</v>
      </c>
      <c r="C1637" s="9" t="s">
        <v>134</v>
      </c>
      <c r="D1637" s="9" t="s">
        <v>52</v>
      </c>
      <c r="E1637" s="6" t="s">
        <v>2448</v>
      </c>
      <c r="F1637" s="9" t="s">
        <v>3769</v>
      </c>
    </row>
    <row r="1638" ht="33.75" customHeight="1">
      <c r="A1638" s="7">
        <v>56.0</v>
      </c>
      <c r="B1638" s="9" t="s">
        <v>3351</v>
      </c>
      <c r="C1638" s="9" t="s">
        <v>134</v>
      </c>
      <c r="D1638" s="9" t="s">
        <v>59</v>
      </c>
      <c r="E1638" s="6" t="s">
        <v>2449</v>
      </c>
      <c r="F1638" s="9" t="s">
        <v>3769</v>
      </c>
    </row>
    <row r="1639" ht="33.75" customHeight="1">
      <c r="A1639" s="7">
        <v>56.0</v>
      </c>
      <c r="B1639" s="9" t="s">
        <v>3351</v>
      </c>
      <c r="C1639" s="9" t="s">
        <v>134</v>
      </c>
      <c r="D1639" s="9" t="s">
        <v>64</v>
      </c>
      <c r="E1639" s="6" t="s">
        <v>2450</v>
      </c>
      <c r="F1639" s="9" t="s">
        <v>3769</v>
      </c>
    </row>
    <row r="1640" ht="33.75" customHeight="1">
      <c r="A1640" s="7">
        <v>56.0</v>
      </c>
      <c r="B1640" s="9" t="s">
        <v>3351</v>
      </c>
      <c r="C1640" s="9" t="s">
        <v>134</v>
      </c>
      <c r="D1640" s="9" t="s">
        <v>67</v>
      </c>
      <c r="E1640" s="6" t="s">
        <v>2451</v>
      </c>
      <c r="F1640" s="9" t="s">
        <v>3769</v>
      </c>
    </row>
    <row r="1641" ht="33.75" customHeight="1">
      <c r="A1641" s="7">
        <v>56.0</v>
      </c>
      <c r="B1641" s="9" t="s">
        <v>3351</v>
      </c>
      <c r="C1641" s="9" t="s">
        <v>134</v>
      </c>
      <c r="D1641" s="9" t="s">
        <v>71</v>
      </c>
      <c r="E1641" s="6" t="s">
        <v>2451</v>
      </c>
      <c r="F1641" s="9" t="s">
        <v>3769</v>
      </c>
    </row>
    <row r="1642" ht="33.75" customHeight="1">
      <c r="A1642" s="7">
        <v>56.0</v>
      </c>
      <c r="B1642" s="9" t="s">
        <v>3351</v>
      </c>
      <c r="C1642" s="9" t="s">
        <v>134</v>
      </c>
      <c r="D1642" s="9" t="s">
        <v>73</v>
      </c>
      <c r="E1642" s="6" t="s">
        <v>2453</v>
      </c>
      <c r="F1642" s="9" t="s">
        <v>3769</v>
      </c>
    </row>
    <row r="1643" ht="33.75" customHeight="1">
      <c r="A1643" s="7">
        <v>56.0</v>
      </c>
      <c r="B1643" s="9" t="s">
        <v>3351</v>
      </c>
      <c r="C1643" s="9" t="s">
        <v>134</v>
      </c>
      <c r="D1643" s="9" t="s">
        <v>75</v>
      </c>
      <c r="E1643" s="6" t="s">
        <v>2454</v>
      </c>
      <c r="F1643" s="9" t="s">
        <v>3769</v>
      </c>
    </row>
    <row r="1644" ht="33.75" customHeight="1">
      <c r="A1644" s="7">
        <v>56.0</v>
      </c>
      <c r="B1644" s="9" t="s">
        <v>3351</v>
      </c>
      <c r="C1644" s="9" t="s">
        <v>134</v>
      </c>
      <c r="D1644" s="9" t="s">
        <v>79</v>
      </c>
      <c r="E1644" s="6" t="s">
        <v>2455</v>
      </c>
      <c r="F1644" s="9" t="s">
        <v>3769</v>
      </c>
    </row>
    <row r="1645" ht="33.75" customHeight="1">
      <c r="A1645" s="7">
        <v>56.0</v>
      </c>
      <c r="B1645" s="9" t="s">
        <v>3351</v>
      </c>
      <c r="C1645" s="9" t="s">
        <v>134</v>
      </c>
      <c r="D1645" s="9" t="s">
        <v>81</v>
      </c>
      <c r="E1645" s="6" t="s">
        <v>2456</v>
      </c>
      <c r="F1645" s="9" t="s">
        <v>3769</v>
      </c>
    </row>
    <row r="1646" ht="33.75" customHeight="1">
      <c r="A1646" s="7">
        <v>56.0</v>
      </c>
      <c r="B1646" s="9" t="s">
        <v>3351</v>
      </c>
      <c r="C1646" s="9" t="s">
        <v>134</v>
      </c>
      <c r="D1646" s="9" t="s">
        <v>84</v>
      </c>
      <c r="E1646" s="6" t="s">
        <v>2456</v>
      </c>
      <c r="F1646" s="9" t="s">
        <v>3769</v>
      </c>
    </row>
    <row r="1647" ht="33.75" customHeight="1">
      <c r="A1647" s="7">
        <v>56.0</v>
      </c>
      <c r="B1647" s="9" t="s">
        <v>3351</v>
      </c>
      <c r="C1647" s="9" t="s">
        <v>134</v>
      </c>
      <c r="D1647" s="9" t="s">
        <v>87</v>
      </c>
      <c r="E1647" s="6" t="s">
        <v>2456</v>
      </c>
      <c r="F1647" s="9" t="s">
        <v>3769</v>
      </c>
    </row>
    <row r="1648" ht="33.75" customHeight="1">
      <c r="A1648" s="7">
        <v>56.0</v>
      </c>
      <c r="B1648" s="9" t="s">
        <v>3351</v>
      </c>
      <c r="C1648" s="9" t="s">
        <v>134</v>
      </c>
      <c r="D1648" s="9" t="s">
        <v>89</v>
      </c>
      <c r="E1648" s="6" t="s">
        <v>2448</v>
      </c>
      <c r="F1648" s="9" t="s">
        <v>3769</v>
      </c>
    </row>
    <row r="1649" ht="33.75" customHeight="1">
      <c r="A1649" s="7">
        <v>56.0</v>
      </c>
      <c r="B1649" s="9" t="s">
        <v>3351</v>
      </c>
      <c r="C1649" s="9" t="s">
        <v>134</v>
      </c>
      <c r="D1649" s="9" t="s">
        <v>91</v>
      </c>
      <c r="E1649" s="6" t="s">
        <v>2458</v>
      </c>
      <c r="F1649" s="9" t="s">
        <v>3769</v>
      </c>
    </row>
    <row r="1650" ht="33.75" customHeight="1">
      <c r="A1650" s="7">
        <v>56.0</v>
      </c>
      <c r="B1650" s="9" t="s">
        <v>3351</v>
      </c>
      <c r="C1650" s="9" t="s">
        <v>134</v>
      </c>
      <c r="D1650" s="9" t="s">
        <v>93</v>
      </c>
      <c r="E1650" s="6" t="s">
        <v>2456</v>
      </c>
      <c r="F1650" s="9" t="s">
        <v>3769</v>
      </c>
    </row>
    <row r="1651" ht="33.75" customHeight="1">
      <c r="A1651" s="7">
        <v>56.0</v>
      </c>
      <c r="B1651" s="9" t="s">
        <v>3351</v>
      </c>
      <c r="C1651" s="9" t="s">
        <v>134</v>
      </c>
      <c r="D1651" s="9" t="s">
        <v>95</v>
      </c>
      <c r="E1651" s="6" t="s">
        <v>2456</v>
      </c>
      <c r="F1651" s="9" t="s">
        <v>3769</v>
      </c>
    </row>
    <row r="1652" ht="33.75" customHeight="1">
      <c r="A1652" s="7">
        <v>56.0</v>
      </c>
      <c r="B1652" s="9" t="s">
        <v>3351</v>
      </c>
      <c r="C1652" s="9" t="s">
        <v>134</v>
      </c>
      <c r="D1652" s="9" t="s">
        <v>98</v>
      </c>
      <c r="E1652" s="6" t="s">
        <v>2456</v>
      </c>
      <c r="F1652" s="9" t="s">
        <v>3769</v>
      </c>
    </row>
    <row r="1653" ht="33.75" customHeight="1">
      <c r="A1653" s="7">
        <v>56.0</v>
      </c>
      <c r="B1653" s="9" t="s">
        <v>3351</v>
      </c>
      <c r="C1653" s="9" t="s">
        <v>134</v>
      </c>
      <c r="D1653" s="9" t="s">
        <v>99</v>
      </c>
      <c r="E1653" s="6" t="s">
        <v>2456</v>
      </c>
      <c r="F1653" s="9" t="s">
        <v>3769</v>
      </c>
    </row>
    <row r="1654" ht="33.75" customHeight="1">
      <c r="A1654" s="7">
        <v>56.0</v>
      </c>
      <c r="B1654" s="9" t="s">
        <v>3351</v>
      </c>
      <c r="C1654" s="9" t="s">
        <v>134</v>
      </c>
      <c r="D1654" s="9" t="s">
        <v>101</v>
      </c>
      <c r="E1654" s="6" t="s">
        <v>2458</v>
      </c>
      <c r="F1654" s="9" t="s">
        <v>3769</v>
      </c>
    </row>
    <row r="1655" ht="33.75" customHeight="1">
      <c r="A1655" s="7">
        <v>56.0</v>
      </c>
      <c r="B1655" s="9" t="s">
        <v>3351</v>
      </c>
      <c r="C1655" s="9" t="s">
        <v>134</v>
      </c>
      <c r="D1655" s="9" t="s">
        <v>105</v>
      </c>
      <c r="E1655" s="6" t="s">
        <v>2456</v>
      </c>
      <c r="F1655" s="9" t="s">
        <v>3769</v>
      </c>
    </row>
    <row r="1656" ht="33.75" customHeight="1">
      <c r="A1656" s="7">
        <v>56.0</v>
      </c>
      <c r="B1656" s="9" t="s">
        <v>3351</v>
      </c>
      <c r="C1656" s="9" t="s">
        <v>134</v>
      </c>
      <c r="D1656" s="9" t="s">
        <v>107</v>
      </c>
      <c r="E1656" s="6" t="s">
        <v>2459</v>
      </c>
      <c r="F1656" s="9" t="s">
        <v>3769</v>
      </c>
    </row>
    <row r="1657" ht="33.75" customHeight="1">
      <c r="A1657" s="7">
        <v>56.0</v>
      </c>
      <c r="B1657" s="9" t="s">
        <v>3351</v>
      </c>
      <c r="C1657" s="9" t="s">
        <v>134</v>
      </c>
      <c r="D1657" s="9" t="s">
        <v>109</v>
      </c>
      <c r="E1657" s="6" t="s">
        <v>2459</v>
      </c>
      <c r="F1657" s="9" t="s">
        <v>3769</v>
      </c>
    </row>
    <row r="1658" ht="33.75" customHeight="1">
      <c r="A1658" s="7">
        <v>56.0</v>
      </c>
      <c r="B1658" s="9" t="s">
        <v>3351</v>
      </c>
      <c r="C1658" s="9" t="s">
        <v>134</v>
      </c>
      <c r="D1658" s="9" t="s">
        <v>637</v>
      </c>
      <c r="E1658" s="6" t="s">
        <v>2460</v>
      </c>
      <c r="F1658" s="9" t="s">
        <v>3769</v>
      </c>
    </row>
    <row r="1659" ht="33.75" customHeight="1">
      <c r="A1659" s="7">
        <v>56.0</v>
      </c>
      <c r="B1659" s="9" t="s">
        <v>3351</v>
      </c>
      <c r="C1659" s="9" t="s">
        <v>134</v>
      </c>
      <c r="D1659" s="9" t="s">
        <v>642</v>
      </c>
      <c r="E1659" s="6" t="s">
        <v>2462</v>
      </c>
      <c r="F1659" s="9" t="s">
        <v>3769</v>
      </c>
    </row>
    <row r="1660" ht="33.75" customHeight="1">
      <c r="A1660" s="7">
        <v>56.0</v>
      </c>
      <c r="B1660" s="9" t="s">
        <v>3351</v>
      </c>
      <c r="C1660" s="9" t="s">
        <v>134</v>
      </c>
      <c r="D1660" s="9" t="s">
        <v>647</v>
      </c>
      <c r="E1660" s="6" t="s">
        <v>2463</v>
      </c>
      <c r="F1660" s="9" t="s">
        <v>3769</v>
      </c>
    </row>
    <row r="1661" ht="33.75" customHeight="1">
      <c r="A1661" s="7">
        <v>56.0</v>
      </c>
      <c r="B1661" s="9" t="s">
        <v>3351</v>
      </c>
      <c r="C1661" s="9" t="s">
        <v>134</v>
      </c>
      <c r="D1661" s="9" t="s">
        <v>652</v>
      </c>
      <c r="E1661" s="6" t="s">
        <v>2465</v>
      </c>
      <c r="F1661" s="9" t="s">
        <v>3769</v>
      </c>
    </row>
    <row r="1662" ht="33.75" customHeight="1">
      <c r="A1662" s="7">
        <v>56.0</v>
      </c>
      <c r="B1662" s="9" t="s">
        <v>3351</v>
      </c>
      <c r="C1662" s="9" t="s">
        <v>134</v>
      </c>
      <c r="D1662" s="9" t="s">
        <v>111</v>
      </c>
      <c r="E1662" s="6" t="s">
        <v>2466</v>
      </c>
      <c r="F1662" s="9" t="s">
        <v>3769</v>
      </c>
    </row>
    <row r="1663" ht="33.75" customHeight="1">
      <c r="A1663" s="7">
        <v>56.0</v>
      </c>
      <c r="B1663" s="9" t="s">
        <v>3351</v>
      </c>
      <c r="C1663" s="9" t="s">
        <v>134</v>
      </c>
      <c r="D1663" s="9" t="s">
        <v>113</v>
      </c>
      <c r="E1663" s="6" t="s">
        <v>2466</v>
      </c>
      <c r="F1663" s="9" t="s">
        <v>3769</v>
      </c>
    </row>
    <row r="1664" ht="33.75" customHeight="1">
      <c r="A1664" s="7">
        <v>57.0</v>
      </c>
      <c r="B1664" s="9" t="s">
        <v>3406</v>
      </c>
      <c r="C1664" s="9" t="s">
        <v>134</v>
      </c>
      <c r="D1664" s="9" t="s">
        <v>24</v>
      </c>
      <c r="E1664" s="6" t="s">
        <v>2468</v>
      </c>
      <c r="F1664" s="9" t="s">
        <v>3836</v>
      </c>
      <c r="G1664" t="inlineStr" s="6">
        <is>
          <t xml:space="preserve">Always furious and tenacious to boot. It will not abandon chasing its quarry until it is caught. It stops being angry only when nobody else is around. To view this moment is very difficult. If approached while asleep, it may awaken and angrily give chase in a groggy state of semi-sleep. It becomes wildly furious if it even senses someone looking at it. It chases anyone that meets its glare. It will beat up anyone who makes it mad, even if it has to chase them until the end of the world. When PRIMEAPE becomes furious, its blood circulation is boosted. In turn, its muscles are made even stronger. However, it also becomes much less intelligent at the same time. When it becomes furious, its blood circulation becomes more robust, and its muscles are made stronger. But it also becomes much less intelligent. It is always outrageously furious. If it gives chase, it will tenaciously track the target no matter how far. It will not abandon chasing its quarry until it catches up. It grows angry if you see its eyes and gets angrier if you run. If you beat it, it gets even madder. It has been known to become so angry that it dies as a result. Its face looks peaceful in death, however. Some researchers theorize that Primeape remains angry even when inside a Poké Ball. It will never forgive opponents who have angered it. Even after it has beaten them down until they can’t move, it never ever forgives. The blood vessels in its brain are sturdier than those of other Pokémon, so it can stay healthy despite its constant raging.</t>
        </is>
      </c>
    </row>
    <row r="1665" ht="33.75" customHeight="1">
      <c r="A1665" s="7">
        <v>57.0</v>
      </c>
      <c r="B1665" s="9" t="s">
        <v>3406</v>
      </c>
      <c r="C1665" s="9" t="s">
        <v>134</v>
      </c>
      <c r="D1665" s="9" t="s">
        <v>35</v>
      </c>
      <c r="E1665" s="6" t="s">
        <v>2468</v>
      </c>
      <c r="F1665" s="9" t="s">
        <v>3836</v>
      </c>
    </row>
    <row r="1666" ht="33.75" customHeight="1">
      <c r="A1666" s="7">
        <v>57.0</v>
      </c>
      <c r="B1666" s="9" t="s">
        <v>3406</v>
      </c>
      <c r="C1666" s="9" t="s">
        <v>134</v>
      </c>
      <c r="D1666" s="9" t="s">
        <v>42</v>
      </c>
      <c r="E1666" s="6" t="s">
        <v>2470</v>
      </c>
      <c r="F1666" s="9" t="s">
        <v>3836</v>
      </c>
    </row>
    <row r="1667" ht="33.75" customHeight="1">
      <c r="A1667" s="7">
        <v>57.0</v>
      </c>
      <c r="B1667" s="9" t="s">
        <v>3406</v>
      </c>
      <c r="C1667" s="9" t="s">
        <v>134</v>
      </c>
      <c r="D1667" s="9" t="s">
        <v>52</v>
      </c>
      <c r="E1667" s="6" t="s">
        <v>2472</v>
      </c>
      <c r="F1667" s="9" t="s">
        <v>3836</v>
      </c>
    </row>
    <row r="1668" ht="33.75" customHeight="1">
      <c r="A1668" s="7">
        <v>57.0</v>
      </c>
      <c r="B1668" s="9" t="s">
        <v>3406</v>
      </c>
      <c r="C1668" s="9" t="s">
        <v>134</v>
      </c>
      <c r="D1668" s="9" t="s">
        <v>59</v>
      </c>
      <c r="E1668" s="6" t="s">
        <v>2473</v>
      </c>
      <c r="F1668" s="9" t="s">
        <v>3836</v>
      </c>
    </row>
    <row r="1669" ht="33.75" customHeight="1">
      <c r="A1669" s="7">
        <v>57.0</v>
      </c>
      <c r="B1669" s="9" t="s">
        <v>3406</v>
      </c>
      <c r="C1669" s="9" t="s">
        <v>134</v>
      </c>
      <c r="D1669" s="9" t="s">
        <v>64</v>
      </c>
      <c r="E1669" s="6" t="s">
        <v>2475</v>
      </c>
      <c r="F1669" s="9" t="s">
        <v>3836</v>
      </c>
    </row>
    <row r="1670" ht="33.75" customHeight="1">
      <c r="A1670" s="7">
        <v>57.0</v>
      </c>
      <c r="B1670" s="9" t="s">
        <v>3406</v>
      </c>
      <c r="C1670" s="9" t="s">
        <v>134</v>
      </c>
      <c r="D1670" s="9" t="s">
        <v>67</v>
      </c>
      <c r="E1670" s="6" t="s">
        <v>2476</v>
      </c>
      <c r="F1670" s="9" t="s">
        <v>3836</v>
      </c>
    </row>
    <row r="1671" ht="33.75" customHeight="1">
      <c r="A1671" s="7">
        <v>57.0</v>
      </c>
      <c r="B1671" s="9" t="s">
        <v>3406</v>
      </c>
      <c r="C1671" s="9" t="s">
        <v>134</v>
      </c>
      <c r="D1671" s="9" t="s">
        <v>71</v>
      </c>
      <c r="E1671" s="6" t="s">
        <v>2476</v>
      </c>
      <c r="F1671" s="9" t="s">
        <v>3836</v>
      </c>
    </row>
    <row r="1672" ht="33.75" customHeight="1">
      <c r="A1672" s="7">
        <v>57.0</v>
      </c>
      <c r="B1672" s="9" t="s">
        <v>3406</v>
      </c>
      <c r="C1672" s="9" t="s">
        <v>134</v>
      </c>
      <c r="D1672" s="9" t="s">
        <v>73</v>
      </c>
      <c r="E1672" s="6" t="s">
        <v>2477</v>
      </c>
      <c r="F1672" s="9" t="s">
        <v>3836</v>
      </c>
    </row>
    <row r="1673" ht="33.75" customHeight="1">
      <c r="A1673" s="7">
        <v>57.0</v>
      </c>
      <c r="B1673" s="9" t="s">
        <v>3406</v>
      </c>
      <c r="C1673" s="9" t="s">
        <v>134</v>
      </c>
      <c r="D1673" s="9" t="s">
        <v>75</v>
      </c>
      <c r="E1673" s="6" t="s">
        <v>2479</v>
      </c>
      <c r="F1673" s="9" t="s">
        <v>3836</v>
      </c>
    </row>
    <row r="1674" ht="33.75" customHeight="1">
      <c r="A1674" s="7">
        <v>57.0</v>
      </c>
      <c r="B1674" s="9" t="s">
        <v>3406</v>
      </c>
      <c r="C1674" s="9" t="s">
        <v>134</v>
      </c>
      <c r="D1674" s="9" t="s">
        <v>79</v>
      </c>
      <c r="E1674" s="6" t="s">
        <v>2480</v>
      </c>
      <c r="F1674" s="9" t="s">
        <v>3836</v>
      </c>
    </row>
    <row r="1675" ht="33.75" customHeight="1">
      <c r="A1675" s="7">
        <v>57.0</v>
      </c>
      <c r="B1675" s="9" t="s">
        <v>3406</v>
      </c>
      <c r="C1675" s="9" t="s">
        <v>134</v>
      </c>
      <c r="D1675" s="9" t="s">
        <v>81</v>
      </c>
      <c r="E1675" s="6" t="s">
        <v>2481</v>
      </c>
      <c r="F1675" s="9" t="s">
        <v>3836</v>
      </c>
    </row>
    <row r="1676" ht="33.75" customHeight="1">
      <c r="A1676" s="7">
        <v>57.0</v>
      </c>
      <c r="B1676" s="9" t="s">
        <v>3406</v>
      </c>
      <c r="C1676" s="9" t="s">
        <v>134</v>
      </c>
      <c r="D1676" s="9" t="s">
        <v>84</v>
      </c>
      <c r="E1676" s="6" t="s">
        <v>2481</v>
      </c>
      <c r="F1676" s="9" t="s">
        <v>3836</v>
      </c>
    </row>
    <row r="1677" ht="33.75" customHeight="1">
      <c r="A1677" s="7">
        <v>57.0</v>
      </c>
      <c r="B1677" s="9" t="s">
        <v>3406</v>
      </c>
      <c r="C1677" s="9" t="s">
        <v>134</v>
      </c>
      <c r="D1677" s="9" t="s">
        <v>87</v>
      </c>
      <c r="E1677" s="6" t="s">
        <v>2481</v>
      </c>
      <c r="F1677" s="9" t="s">
        <v>3836</v>
      </c>
    </row>
    <row r="1678" ht="33.75" customHeight="1">
      <c r="A1678" s="7">
        <v>57.0</v>
      </c>
      <c r="B1678" s="9" t="s">
        <v>3406</v>
      </c>
      <c r="C1678" s="9" t="s">
        <v>134</v>
      </c>
      <c r="D1678" s="9" t="s">
        <v>89</v>
      </c>
      <c r="E1678" s="6" t="s">
        <v>2472</v>
      </c>
      <c r="F1678" s="9" t="s">
        <v>3836</v>
      </c>
    </row>
    <row r="1679" ht="33.75" customHeight="1">
      <c r="A1679" s="7">
        <v>57.0</v>
      </c>
      <c r="B1679" s="9" t="s">
        <v>3406</v>
      </c>
      <c r="C1679" s="9" t="s">
        <v>134</v>
      </c>
      <c r="D1679" s="9" t="s">
        <v>91</v>
      </c>
      <c r="E1679" s="6" t="s">
        <v>2473</v>
      </c>
      <c r="F1679" s="9" t="s">
        <v>3836</v>
      </c>
    </row>
    <row r="1680" ht="33.75" customHeight="1">
      <c r="A1680" s="7">
        <v>57.0</v>
      </c>
      <c r="B1680" s="9" t="s">
        <v>3406</v>
      </c>
      <c r="C1680" s="9" t="s">
        <v>134</v>
      </c>
      <c r="D1680" s="9" t="s">
        <v>93</v>
      </c>
      <c r="E1680" s="6" t="s">
        <v>2481</v>
      </c>
      <c r="F1680" s="9" t="s">
        <v>3836</v>
      </c>
    </row>
    <row r="1681" ht="33.75" customHeight="1">
      <c r="A1681" s="7">
        <v>57.0</v>
      </c>
      <c r="B1681" s="9" t="s">
        <v>3406</v>
      </c>
      <c r="C1681" s="9" t="s">
        <v>134</v>
      </c>
      <c r="D1681" s="9" t="s">
        <v>95</v>
      </c>
      <c r="E1681" s="6" t="s">
        <v>2481</v>
      </c>
      <c r="F1681" s="9" t="s">
        <v>3836</v>
      </c>
    </row>
    <row r="1682" ht="33.75" customHeight="1">
      <c r="A1682" s="7">
        <v>57.0</v>
      </c>
      <c r="B1682" s="9" t="s">
        <v>3406</v>
      </c>
      <c r="C1682" s="9" t="s">
        <v>134</v>
      </c>
      <c r="D1682" s="9" t="s">
        <v>98</v>
      </c>
      <c r="E1682" s="6" t="s">
        <v>2481</v>
      </c>
      <c r="F1682" s="9" t="s">
        <v>3836</v>
      </c>
    </row>
    <row r="1683" ht="33.75" customHeight="1">
      <c r="A1683" s="7">
        <v>57.0</v>
      </c>
      <c r="B1683" s="9" t="s">
        <v>3406</v>
      </c>
      <c r="C1683" s="9" t="s">
        <v>134</v>
      </c>
      <c r="D1683" s="9" t="s">
        <v>99</v>
      </c>
      <c r="E1683" s="6" t="s">
        <v>2481</v>
      </c>
      <c r="F1683" s="9" t="s">
        <v>3836</v>
      </c>
    </row>
    <row r="1684" ht="33.75" customHeight="1">
      <c r="A1684" s="7">
        <v>57.0</v>
      </c>
      <c r="B1684" s="9" t="s">
        <v>3406</v>
      </c>
      <c r="C1684" s="9" t="s">
        <v>134</v>
      </c>
      <c r="D1684" s="9" t="s">
        <v>101</v>
      </c>
      <c r="E1684" s="6" t="s">
        <v>2470</v>
      </c>
      <c r="F1684" s="9" t="s">
        <v>3836</v>
      </c>
    </row>
    <row r="1685" ht="33.75" customHeight="1">
      <c r="A1685" s="7">
        <v>57.0</v>
      </c>
      <c r="B1685" s="9" t="s">
        <v>3406</v>
      </c>
      <c r="C1685" s="9" t="s">
        <v>134</v>
      </c>
      <c r="D1685" s="9" t="s">
        <v>105</v>
      </c>
      <c r="E1685" s="6" t="s">
        <v>2479</v>
      </c>
      <c r="F1685" s="9" t="s">
        <v>3836</v>
      </c>
    </row>
    <row r="1686" ht="33.75" customHeight="1">
      <c r="A1686" s="7">
        <v>57.0</v>
      </c>
      <c r="B1686" s="9" t="s">
        <v>3406</v>
      </c>
      <c r="C1686" s="9" t="s">
        <v>134</v>
      </c>
      <c r="D1686" s="9" t="s">
        <v>107</v>
      </c>
      <c r="E1686" s="6" t="s">
        <v>2483</v>
      </c>
      <c r="F1686" s="9" t="s">
        <v>3836</v>
      </c>
    </row>
    <row r="1687" ht="33.75" customHeight="1">
      <c r="A1687" s="7">
        <v>57.0</v>
      </c>
      <c r="B1687" s="9" t="s">
        <v>3406</v>
      </c>
      <c r="C1687" s="9" t="s">
        <v>134</v>
      </c>
      <c r="D1687" s="9" t="s">
        <v>109</v>
      </c>
      <c r="E1687" s="6" t="s">
        <v>2483</v>
      </c>
      <c r="F1687" s="9" t="s">
        <v>3836</v>
      </c>
    </row>
    <row r="1688" ht="33.75" customHeight="1">
      <c r="A1688" s="7">
        <v>57.0</v>
      </c>
      <c r="B1688" s="9" t="s">
        <v>3406</v>
      </c>
      <c r="C1688" s="9" t="s">
        <v>134</v>
      </c>
      <c r="D1688" s="9" t="s">
        <v>637</v>
      </c>
      <c r="E1688" s="6" t="s">
        <v>2484</v>
      </c>
      <c r="F1688" s="9" t="s">
        <v>3836</v>
      </c>
    </row>
    <row r="1689" ht="33.75" customHeight="1">
      <c r="A1689" s="7">
        <v>57.0</v>
      </c>
      <c r="B1689" s="9" t="s">
        <v>3406</v>
      </c>
      <c r="C1689" s="9" t="s">
        <v>134</v>
      </c>
      <c r="D1689" s="9" t="s">
        <v>642</v>
      </c>
      <c r="E1689" s="6" t="s">
        <v>2486</v>
      </c>
      <c r="F1689" s="9" t="s">
        <v>3836</v>
      </c>
    </row>
    <row r="1690" ht="33.75" customHeight="1">
      <c r="A1690" s="7">
        <v>57.0</v>
      </c>
      <c r="B1690" s="9" t="s">
        <v>3406</v>
      </c>
      <c r="C1690" s="9" t="s">
        <v>134</v>
      </c>
      <c r="D1690" s="9" t="s">
        <v>647</v>
      </c>
      <c r="E1690" s="6" t="s">
        <v>2489</v>
      </c>
      <c r="F1690" s="9" t="s">
        <v>3836</v>
      </c>
    </row>
    <row r="1691" ht="33.75" customHeight="1">
      <c r="A1691" s="7">
        <v>57.0</v>
      </c>
      <c r="B1691" s="9" t="s">
        <v>3406</v>
      </c>
      <c r="C1691" s="9" t="s">
        <v>134</v>
      </c>
      <c r="D1691" s="9" t="s">
        <v>652</v>
      </c>
      <c r="E1691" s="6" t="s">
        <v>2491</v>
      </c>
      <c r="F1691" s="9" t="s">
        <v>3836</v>
      </c>
    </row>
    <row r="1692" ht="33.75" customHeight="1">
      <c r="A1692" s="7">
        <v>57.0</v>
      </c>
      <c r="B1692" s="9" t="s">
        <v>3406</v>
      </c>
      <c r="C1692" s="9" t="s">
        <v>134</v>
      </c>
      <c r="D1692" s="9" t="s">
        <v>111</v>
      </c>
      <c r="E1692" s="6" t="s">
        <v>2470</v>
      </c>
      <c r="F1692" s="9" t="s">
        <v>3836</v>
      </c>
    </row>
    <row r="1693" ht="33.75" customHeight="1">
      <c r="A1693" s="7">
        <v>57.0</v>
      </c>
      <c r="B1693" s="9" t="s">
        <v>3406</v>
      </c>
      <c r="C1693" s="9" t="s">
        <v>134</v>
      </c>
      <c r="D1693" s="9" t="s">
        <v>113</v>
      </c>
      <c r="E1693" s="6" t="s">
        <v>2470</v>
      </c>
      <c r="F1693" s="9" t="s">
        <v>3836</v>
      </c>
    </row>
    <row r="1694" ht="33.75" customHeight="1">
      <c r="A1694" s="7">
        <v>58.0</v>
      </c>
      <c r="B1694" s="9" t="s">
        <v>3458</v>
      </c>
      <c r="C1694" s="9" t="s">
        <v>135</v>
      </c>
      <c r="D1694" s="9" t="s">
        <v>24</v>
      </c>
      <c r="E1694" s="6" t="s">
        <v>2493</v>
      </c>
      <c r="F1694" s="9" t="s">
        <v>3916</v>
      </c>
      <c r="G1694" t="inlineStr" s="6">
        <is>
          <t xml:space="preserve">Very protective of Growlithe's territory. It will bark and bite to repel intruders from its space. A POKéMON with a friendly nature. However, it will bark fiercely at anything invading its territory. It has a brave and trustworthy nature. It fearlessly stands up to bigger and stronger foes. Extremely loyal, it will fearlessly bark at any oppo nent to protect its own trainer from harm. It controls a big territory. If it detects an unknown smell, it roars loudly to force out the intruder. GROWLITHE has a superb sense of smell. Once it smells anything, this POKéMON won’t forget the scent, no matter what. It uses its advanced olfactory sense to determine the emotions of other living things. Its superb sense of smell ensures that this POKéMON won’t forget any scent, no matter what. It uses its sense of smell to detect the emotions of others. Very friendly and faithful to people. It will try to repel enemies by barking and biting. It is very protective of its territory. A Pokémon with a loyal nature. It will remain motionless until it is given an order by its Trainer. Extremely loyal, it will fearlessly bark at any opponent to protect its own Trainer from harm. Extremely loyal to its Trainer, it will bark at those who approach the Trainer unexpectedly and run them out of town. It’s both clever and loyal, but if a stranger tries to invade its territory, it barks threateningly. It looks cute, but when you approach another Trainer’s Growlithe, it will bark at you and bite. While it’s quite friendly toward humans once it’s grown used to them, in the wild it must be quite fierce to defend its territory from Rockruff. It has lived alongside humans since ages ago. Its bones have been found in excavations of ruins from the Stone Age. They patrol their territory in pairs. I believe the igneous rock components in the fur of this species are the result of volcanic activity in its habitat.</t>
        </is>
      </c>
    </row>
    <row r="1695" ht="33.75" customHeight="1">
      <c r="A1695" s="7">
        <v>58.0</v>
      </c>
      <c r="B1695" s="9" t="s">
        <v>3458</v>
      </c>
      <c r="C1695" s="9" t="s">
        <v>135</v>
      </c>
      <c r="D1695" s="9" t="s">
        <v>35</v>
      </c>
      <c r="E1695" s="6" t="s">
        <v>2493</v>
      </c>
      <c r="F1695" s="9" t="s">
        <v>3916</v>
      </c>
    </row>
    <row r="1696" ht="33.75" customHeight="1">
      <c r="A1696" s="7">
        <v>58.0</v>
      </c>
      <c r="B1696" s="9" t="s">
        <v>3458</v>
      </c>
      <c r="C1696" s="9" t="s">
        <v>135</v>
      </c>
      <c r="D1696" s="9" t="s">
        <v>42</v>
      </c>
      <c r="E1696" s="6" t="s">
        <v>2494</v>
      </c>
      <c r="F1696" s="9" t="s">
        <v>3916</v>
      </c>
    </row>
    <row r="1697" ht="33.75" customHeight="1">
      <c r="A1697" s="7">
        <v>58.0</v>
      </c>
      <c r="B1697" s="9" t="s">
        <v>3458</v>
      </c>
      <c r="C1697" s="9" t="s">
        <v>135</v>
      </c>
      <c r="D1697" s="9" t="s">
        <v>52</v>
      </c>
      <c r="E1697" s="6" t="s">
        <v>2496</v>
      </c>
      <c r="F1697" s="9" t="s">
        <v>3916</v>
      </c>
    </row>
    <row r="1698" ht="33.75" customHeight="1">
      <c r="A1698" s="7">
        <v>58.0</v>
      </c>
      <c r="B1698" s="9" t="s">
        <v>3458</v>
      </c>
      <c r="C1698" s="9" t="s">
        <v>135</v>
      </c>
      <c r="D1698" s="9" t="s">
        <v>59</v>
      </c>
      <c r="E1698" s="6" t="s">
        <v>2497</v>
      </c>
      <c r="F1698" s="9" t="s">
        <v>3916</v>
      </c>
    </row>
    <row r="1699" ht="33.75" customHeight="1">
      <c r="A1699" s="7">
        <v>58.0</v>
      </c>
      <c r="B1699" s="9" t="s">
        <v>3458</v>
      </c>
      <c r="C1699" s="9" t="s">
        <v>135</v>
      </c>
      <c r="D1699" s="9" t="s">
        <v>64</v>
      </c>
      <c r="E1699" s="6" t="s">
        <v>2500</v>
      </c>
      <c r="F1699" s="9" t="s">
        <v>3916</v>
      </c>
    </row>
    <row r="1700" ht="33.75" customHeight="1">
      <c r="A1700" s="7">
        <v>58.0</v>
      </c>
      <c r="B1700" s="9" t="s">
        <v>3458</v>
      </c>
      <c r="C1700" s="9" t="s">
        <v>135</v>
      </c>
      <c r="D1700" s="9" t="s">
        <v>67</v>
      </c>
      <c r="E1700" s="6" t="s">
        <v>2502</v>
      </c>
      <c r="F1700" s="9" t="s">
        <v>3916</v>
      </c>
    </row>
    <row r="1701" ht="33.75" customHeight="1">
      <c r="A1701" s="7">
        <v>58.0</v>
      </c>
      <c r="B1701" s="9" t="s">
        <v>3458</v>
      </c>
      <c r="C1701" s="9" t="s">
        <v>135</v>
      </c>
      <c r="D1701" s="9" t="s">
        <v>71</v>
      </c>
      <c r="E1701" s="6" t="s">
        <v>2502</v>
      </c>
      <c r="F1701" s="9" t="s">
        <v>3916</v>
      </c>
    </row>
    <row r="1702" ht="33.75" customHeight="1">
      <c r="A1702" s="7">
        <v>58.0</v>
      </c>
      <c r="B1702" s="9" t="s">
        <v>3458</v>
      </c>
      <c r="C1702" s="9" t="s">
        <v>135</v>
      </c>
      <c r="D1702" s="9" t="s">
        <v>73</v>
      </c>
      <c r="E1702" s="6" t="s">
        <v>2504</v>
      </c>
      <c r="F1702" s="9" t="s">
        <v>3916</v>
      </c>
    </row>
    <row r="1703" ht="33.75" customHeight="1">
      <c r="A1703" s="7">
        <v>58.0</v>
      </c>
      <c r="B1703" s="9" t="s">
        <v>3458</v>
      </c>
      <c r="C1703" s="9" t="s">
        <v>135</v>
      </c>
      <c r="D1703" s="9" t="s">
        <v>75</v>
      </c>
      <c r="E1703" s="6" t="s">
        <v>2506</v>
      </c>
      <c r="F1703" s="9" t="s">
        <v>3916</v>
      </c>
    </row>
    <row r="1704" ht="33.75" customHeight="1">
      <c r="A1704" s="7">
        <v>58.0</v>
      </c>
      <c r="B1704" s="9" t="s">
        <v>3458</v>
      </c>
      <c r="C1704" s="9" t="s">
        <v>135</v>
      </c>
      <c r="D1704" s="9" t="s">
        <v>79</v>
      </c>
      <c r="E1704" s="6" t="s">
        <v>2508</v>
      </c>
      <c r="F1704" s="9" t="s">
        <v>3916</v>
      </c>
    </row>
    <row r="1705" ht="33.75" customHeight="1">
      <c r="A1705" s="7">
        <v>58.0</v>
      </c>
      <c r="B1705" s="9" t="s">
        <v>3458</v>
      </c>
      <c r="C1705" s="9" t="s">
        <v>135</v>
      </c>
      <c r="D1705" s="9" t="s">
        <v>81</v>
      </c>
      <c r="E1705" s="6" t="s">
        <v>2510</v>
      </c>
      <c r="F1705" s="9" t="s">
        <v>3916</v>
      </c>
    </row>
    <row r="1706" ht="33.75" customHeight="1">
      <c r="A1706" s="7">
        <v>58.0</v>
      </c>
      <c r="B1706" s="9" t="s">
        <v>3458</v>
      </c>
      <c r="C1706" s="9" t="s">
        <v>135</v>
      </c>
      <c r="D1706" s="9" t="s">
        <v>84</v>
      </c>
      <c r="E1706" s="6" t="s">
        <v>2510</v>
      </c>
      <c r="F1706" s="9" t="s">
        <v>3916</v>
      </c>
    </row>
    <row r="1707" ht="33.75" customHeight="1">
      <c r="A1707" s="7">
        <v>58.0</v>
      </c>
      <c r="B1707" s="9" t="s">
        <v>3458</v>
      </c>
      <c r="C1707" s="9" t="s">
        <v>135</v>
      </c>
      <c r="D1707" s="9" t="s">
        <v>87</v>
      </c>
      <c r="E1707" s="6" t="s">
        <v>2510</v>
      </c>
      <c r="F1707" s="9" t="s">
        <v>3916</v>
      </c>
    </row>
    <row r="1708" ht="33.75" customHeight="1">
      <c r="A1708" s="7">
        <v>58.0</v>
      </c>
      <c r="B1708" s="9" t="s">
        <v>3458</v>
      </c>
      <c r="C1708" s="9" t="s">
        <v>135</v>
      </c>
      <c r="D1708" s="9" t="s">
        <v>89</v>
      </c>
      <c r="E1708" s="6" t="s">
        <v>2512</v>
      </c>
      <c r="F1708" s="9" t="s">
        <v>3916</v>
      </c>
    </row>
    <row r="1709" ht="33.75" customHeight="1">
      <c r="A1709" s="7">
        <v>58.0</v>
      </c>
      <c r="B1709" s="9" t="s">
        <v>3458</v>
      </c>
      <c r="C1709" s="9" t="s">
        <v>135</v>
      </c>
      <c r="D1709" s="9" t="s">
        <v>91</v>
      </c>
      <c r="E1709" s="6" t="s">
        <v>2514</v>
      </c>
      <c r="F1709" s="9" t="s">
        <v>3916</v>
      </c>
    </row>
    <row r="1710" ht="33.75" customHeight="1">
      <c r="A1710" s="7">
        <v>58.0</v>
      </c>
      <c r="B1710" s="9" t="s">
        <v>3458</v>
      </c>
      <c r="C1710" s="9" t="s">
        <v>135</v>
      </c>
      <c r="D1710" s="9" t="s">
        <v>93</v>
      </c>
      <c r="E1710" s="6" t="s">
        <v>2510</v>
      </c>
      <c r="F1710" s="9" t="s">
        <v>3916</v>
      </c>
    </row>
    <row r="1711" ht="33.75" customHeight="1">
      <c r="A1711" s="7">
        <v>58.0</v>
      </c>
      <c r="B1711" s="9" t="s">
        <v>3458</v>
      </c>
      <c r="C1711" s="9" t="s">
        <v>135</v>
      </c>
      <c r="D1711" s="9" t="s">
        <v>95</v>
      </c>
      <c r="E1711" s="6" t="s">
        <v>2510</v>
      </c>
      <c r="F1711" s="9" t="s">
        <v>3916</v>
      </c>
    </row>
    <row r="1712" ht="33.75" customHeight="1">
      <c r="A1712" s="7">
        <v>58.0</v>
      </c>
      <c r="B1712" s="9" t="s">
        <v>3458</v>
      </c>
      <c r="C1712" s="9" t="s">
        <v>135</v>
      </c>
      <c r="D1712" s="9" t="s">
        <v>98</v>
      </c>
      <c r="E1712" s="6" t="s">
        <v>2516</v>
      </c>
      <c r="F1712" s="9" t="s">
        <v>3916</v>
      </c>
    </row>
    <row r="1713" ht="33.75" customHeight="1">
      <c r="A1713" s="7">
        <v>58.0</v>
      </c>
      <c r="B1713" s="9" t="s">
        <v>3458</v>
      </c>
      <c r="C1713" s="9" t="s">
        <v>135</v>
      </c>
      <c r="D1713" s="9" t="s">
        <v>99</v>
      </c>
      <c r="E1713" s="6" t="s">
        <v>2516</v>
      </c>
      <c r="F1713" s="9" t="s">
        <v>3916</v>
      </c>
    </row>
    <row r="1714" ht="33.75" customHeight="1">
      <c r="A1714" s="7">
        <v>58.0</v>
      </c>
      <c r="B1714" s="9" t="s">
        <v>3458</v>
      </c>
      <c r="C1714" s="9" t="s">
        <v>135</v>
      </c>
      <c r="D1714" s="9" t="s">
        <v>101</v>
      </c>
      <c r="E1714" s="6" t="s">
        <v>2506</v>
      </c>
      <c r="F1714" s="9" t="s">
        <v>3916</v>
      </c>
    </row>
    <row r="1715" ht="33.75" customHeight="1">
      <c r="A1715" s="7">
        <v>58.0</v>
      </c>
      <c r="B1715" s="9" t="s">
        <v>3458</v>
      </c>
      <c r="C1715" s="9" t="s">
        <v>135</v>
      </c>
      <c r="D1715" s="9" t="s">
        <v>105</v>
      </c>
      <c r="E1715" s="6" t="s">
        <v>2512</v>
      </c>
      <c r="F1715" s="9" t="s">
        <v>3916</v>
      </c>
    </row>
    <row r="1716" ht="33.75" customHeight="1">
      <c r="A1716" s="7">
        <v>58.0</v>
      </c>
      <c r="B1716" s="9" t="s">
        <v>3458</v>
      </c>
      <c r="C1716" s="9" t="s">
        <v>135</v>
      </c>
      <c r="D1716" s="9" t="s">
        <v>107</v>
      </c>
      <c r="E1716" s="6" t="s">
        <v>2518</v>
      </c>
      <c r="F1716" s="9" t="s">
        <v>3916</v>
      </c>
    </row>
    <row r="1717" ht="33.75" customHeight="1">
      <c r="A1717" s="7">
        <v>58.0</v>
      </c>
      <c r="B1717" s="9" t="s">
        <v>3458</v>
      </c>
      <c r="C1717" s="9" t="s">
        <v>135</v>
      </c>
      <c r="D1717" s="9" t="s">
        <v>109</v>
      </c>
      <c r="E1717" s="6" t="s">
        <v>2518</v>
      </c>
      <c r="F1717" s="9" t="s">
        <v>3916</v>
      </c>
    </row>
    <row r="1718" ht="33.75" customHeight="1">
      <c r="A1718" s="7">
        <v>58.0</v>
      </c>
      <c r="B1718" s="9" t="s">
        <v>3458</v>
      </c>
      <c r="C1718" s="9" t="s">
        <v>135</v>
      </c>
      <c r="D1718" s="9" t="s">
        <v>637</v>
      </c>
      <c r="E1718" s="6" t="s">
        <v>2519</v>
      </c>
      <c r="F1718" s="9" t="s">
        <v>3916</v>
      </c>
    </row>
    <row r="1719" ht="33.75" customHeight="1">
      <c r="A1719" s="7">
        <v>58.0</v>
      </c>
      <c r="B1719" s="9" t="s">
        <v>3458</v>
      </c>
      <c r="C1719" s="9" t="s">
        <v>135</v>
      </c>
      <c r="D1719" s="9" t="s">
        <v>642</v>
      </c>
      <c r="E1719" s="6" t="s">
        <v>2520</v>
      </c>
      <c r="F1719" s="9" t="s">
        <v>3916</v>
      </c>
    </row>
    <row r="1720" ht="33.75" customHeight="1">
      <c r="A1720" s="7">
        <v>58.0</v>
      </c>
      <c r="B1720" s="9" t="s">
        <v>3458</v>
      </c>
      <c r="C1720" s="9" t="s">
        <v>135</v>
      </c>
      <c r="D1720" s="9" t="s">
        <v>647</v>
      </c>
      <c r="E1720" s="6" t="s">
        <v>2521</v>
      </c>
      <c r="F1720" s="9" t="s">
        <v>3916</v>
      </c>
    </row>
    <row r="1721" ht="33.75" customHeight="1">
      <c r="A1721" s="7">
        <v>58.0</v>
      </c>
      <c r="B1721" s="9" t="s">
        <v>3458</v>
      </c>
      <c r="C1721" s="9" t="s">
        <v>135</v>
      </c>
      <c r="D1721" s="9" t="s">
        <v>652</v>
      </c>
      <c r="E1721" s="6" t="s">
        <v>2522</v>
      </c>
      <c r="F1721" s="9" t="s">
        <v>3916</v>
      </c>
    </row>
    <row r="1722" ht="33.75" customHeight="1">
      <c r="A1722" s="7">
        <v>58.0</v>
      </c>
      <c r="B1722" s="9" t="s">
        <v>3458</v>
      </c>
      <c r="C1722" s="9" t="s">
        <v>135</v>
      </c>
      <c r="D1722" s="9" t="s">
        <v>111</v>
      </c>
      <c r="E1722" s="6" t="s">
        <v>2524</v>
      </c>
      <c r="F1722" s="9" t="s">
        <v>3916</v>
      </c>
    </row>
    <row r="1723" ht="33.75" customHeight="1">
      <c r="A1723" s="7">
        <v>58.0</v>
      </c>
      <c r="B1723" s="9" t="s">
        <v>3458</v>
      </c>
      <c r="C1723" s="9" t="s">
        <v>135</v>
      </c>
      <c r="D1723" s="9" t="s">
        <v>113</v>
      </c>
      <c r="E1723" s="6" t="s">
        <v>2524</v>
      </c>
      <c r="F1723" s="9" t="s">
        <v>3916</v>
      </c>
    </row>
    <row r="1724" ht="33.75" customHeight="1">
      <c r="A1724" s="7">
        <v>58.0</v>
      </c>
      <c r="B1724" s="9" t="s">
        <v>3458</v>
      </c>
      <c r="C1724" s="9" t="s">
        <v>135</v>
      </c>
      <c r="D1724" s="9" t="s">
        <v>114</v>
      </c>
      <c r="E1724" s="6" t="s">
        <v>2512</v>
      </c>
      <c r="F1724" s="9" t="s">
        <v>3916</v>
      </c>
    </row>
    <row r="1725" ht="33.75" customHeight="1">
      <c r="A1725" s="7">
        <v>58.0</v>
      </c>
      <c r="B1725" s="9" t="s">
        <v>3458</v>
      </c>
      <c r="C1725" s="9" t="s">
        <v>135</v>
      </c>
      <c r="D1725" s="9" t="s">
        <v>117</v>
      </c>
      <c r="E1725" s="6" t="s">
        <v>2514</v>
      </c>
      <c r="F1725" s="9" t="s">
        <v>3916</v>
      </c>
    </row>
    <row r="1726" ht="33.75" customHeight="1">
      <c r="A1726" s="7">
        <v>58.0</v>
      </c>
      <c r="B1726" s="9" t="s">
        <v>3458</v>
      </c>
      <c r="C1726" s="9" t="s">
        <v>135</v>
      </c>
      <c r="D1726" s="9" t="s">
        <v>1577</v>
      </c>
      <c r="E1726" s="6" t="s">
        <v>2525</v>
      </c>
      <c r="F1726" s="9" t="s">
        <v>3916</v>
      </c>
    </row>
    <row r="1727" ht="33.75" customHeight="1">
      <c r="A1727" s="7">
        <v>59.0</v>
      </c>
      <c r="B1727" s="9" t="s">
        <v>3521</v>
      </c>
      <c r="C1727" s="9" t="s">
        <v>137</v>
      </c>
      <c r="D1727" s="9" t="s">
        <v>24</v>
      </c>
      <c r="E1727" s="6" t="s">
        <v>2526</v>
      </c>
      <c r="F1727" s="9" t="s">
        <v>3994</v>
      </c>
      <c r="G1727" t="inlineStr" s="6">
        <is>
          <t xml:space="preserve">A POKéMON that has been admired since the past for Arcanine's beauty. It runs agilely as if on wings. A legendary POKé MON in China. Many people are charmed by its grace and beauty while running. This legendary Chinese POKEMON is considered magnificent. Many people are enchanted by its grand mane. Its magnificent bark conveys a sense of majesty. Anyone hearing it can't help but grovel before it. An ancient picture scroll shows that people were attracted to its movement as it ran through prairies. ARCANINE is known for its high speed. It is said to be capable of running over 6,200 miles in a single day and night. The fire that blazes wildly within this POKéMON’s body is its source of power. This fleet-footed POKéMON is said to run over 6,200 miles in a single day and night. The fire that blazes wildly within its body is its source of power. A POKéMON that is described in Chinese legends. It is said to race at an unbelievable speed. A POKéMON that has long been admired for its beauty. Its proud and regal appearance has captured the hearts of people since long ago. This legendary Chinese Pokémon is considered magnificent. The sight of it running over 6,200 miles in a single day and night has captivated many people. Overflowing with beauty and majesty, this strong Pokémon appears in ancient Eastern folklore. The fire burning inside its body serves as the energy to fuel it as it runs great distances. It appears in many legends. Legends tell of its fighting alongside a general and conquering a whole country. There are so many old tales about them that they’re called legendary Pokémon, but there are way more of them around than you’d expect. A legendary Pokémon in the East. Many people are charmed by the grace and beauty of its running. Snaps at its foes with fangs cloaked in blazing flame. Despite its bulk, it deftly feints every which way, leading opponents on a deceptively merry chase as it all but dances around them.</t>
        </is>
      </c>
    </row>
    <row r="1728" ht="33.75" customHeight="1">
      <c r="A1728" s="7">
        <v>59.0</v>
      </c>
      <c r="B1728" s="9" t="s">
        <v>3521</v>
      </c>
      <c r="C1728" s="9" t="s">
        <v>137</v>
      </c>
      <c r="D1728" s="9" t="s">
        <v>35</v>
      </c>
      <c r="E1728" s="6" t="s">
        <v>2526</v>
      </c>
      <c r="F1728" s="9" t="s">
        <v>3994</v>
      </c>
    </row>
    <row r="1729" ht="33.75" customHeight="1">
      <c r="A1729" s="7">
        <v>59.0</v>
      </c>
      <c r="B1729" s="9" t="s">
        <v>3521</v>
      </c>
      <c r="C1729" s="9" t="s">
        <v>137</v>
      </c>
      <c r="D1729" s="9" t="s">
        <v>42</v>
      </c>
      <c r="E1729" s="6" t="s">
        <v>2527</v>
      </c>
      <c r="F1729" s="9" t="s">
        <v>3994</v>
      </c>
    </row>
    <row r="1730" ht="33.75" customHeight="1">
      <c r="A1730" s="7">
        <v>59.0</v>
      </c>
      <c r="B1730" s="9" t="s">
        <v>3521</v>
      </c>
      <c r="C1730" s="9" t="s">
        <v>137</v>
      </c>
      <c r="D1730" s="9" t="s">
        <v>52</v>
      </c>
      <c r="E1730" s="6" t="s">
        <v>2528</v>
      </c>
      <c r="F1730" s="9" t="s">
        <v>3994</v>
      </c>
    </row>
    <row r="1731" ht="33.75" customHeight="1">
      <c r="A1731" s="7">
        <v>59.0</v>
      </c>
      <c r="B1731" s="9" t="s">
        <v>3521</v>
      </c>
      <c r="C1731" s="9" t="s">
        <v>137</v>
      </c>
      <c r="D1731" s="9" t="s">
        <v>59</v>
      </c>
      <c r="E1731" s="6" t="s">
        <v>2530</v>
      </c>
      <c r="F1731" s="9" t="s">
        <v>3994</v>
      </c>
    </row>
    <row r="1732" ht="33.75" customHeight="1">
      <c r="A1732" s="7">
        <v>59.0</v>
      </c>
      <c r="B1732" s="9" t="s">
        <v>3521</v>
      </c>
      <c r="C1732" s="9" t="s">
        <v>137</v>
      </c>
      <c r="D1732" s="9" t="s">
        <v>64</v>
      </c>
      <c r="E1732" s="6" t="s">
        <v>2532</v>
      </c>
      <c r="F1732" s="9" t="s">
        <v>3994</v>
      </c>
    </row>
    <row r="1733" ht="33.75" customHeight="1">
      <c r="A1733" s="7">
        <v>59.0</v>
      </c>
      <c r="B1733" s="9" t="s">
        <v>3521</v>
      </c>
      <c r="C1733" s="9" t="s">
        <v>137</v>
      </c>
      <c r="D1733" s="9" t="s">
        <v>67</v>
      </c>
      <c r="E1733" s="6" t="s">
        <v>2534</v>
      </c>
      <c r="F1733" s="9" t="s">
        <v>3994</v>
      </c>
    </row>
    <row r="1734" ht="33.75" customHeight="1">
      <c r="A1734" s="7">
        <v>59.0</v>
      </c>
      <c r="B1734" s="9" t="s">
        <v>3521</v>
      </c>
      <c r="C1734" s="9" t="s">
        <v>137</v>
      </c>
      <c r="D1734" s="9" t="s">
        <v>71</v>
      </c>
      <c r="E1734" s="6" t="s">
        <v>2534</v>
      </c>
      <c r="F1734" s="9" t="s">
        <v>3994</v>
      </c>
    </row>
    <row r="1735" ht="33.75" customHeight="1">
      <c r="A1735" s="7">
        <v>59.0</v>
      </c>
      <c r="B1735" s="9" t="s">
        <v>3521</v>
      </c>
      <c r="C1735" s="9" t="s">
        <v>137</v>
      </c>
      <c r="D1735" s="9" t="s">
        <v>73</v>
      </c>
      <c r="E1735" s="6" t="s">
        <v>2536</v>
      </c>
      <c r="F1735" s="9" t="s">
        <v>3994</v>
      </c>
    </row>
    <row r="1736" ht="33.75" customHeight="1">
      <c r="A1736" s="7">
        <v>59.0</v>
      </c>
      <c r="B1736" s="9" t="s">
        <v>3521</v>
      </c>
      <c r="C1736" s="9" t="s">
        <v>137</v>
      </c>
      <c r="D1736" s="9" t="s">
        <v>75</v>
      </c>
      <c r="E1736" s="6" t="s">
        <v>2537</v>
      </c>
      <c r="F1736" s="9" t="s">
        <v>3994</v>
      </c>
    </row>
    <row r="1737" ht="33.75" customHeight="1">
      <c r="A1737" s="7">
        <v>59.0</v>
      </c>
      <c r="B1737" s="9" t="s">
        <v>3521</v>
      </c>
      <c r="C1737" s="9" t="s">
        <v>137</v>
      </c>
      <c r="D1737" s="9" t="s">
        <v>79</v>
      </c>
      <c r="E1737" s="6" t="s">
        <v>2539</v>
      </c>
      <c r="F1737" s="9" t="s">
        <v>3994</v>
      </c>
    </row>
    <row r="1738" ht="33.75" customHeight="1">
      <c r="A1738" s="7">
        <v>59.0</v>
      </c>
      <c r="B1738" s="9" t="s">
        <v>3521</v>
      </c>
      <c r="C1738" s="9" t="s">
        <v>137</v>
      </c>
      <c r="D1738" s="9" t="s">
        <v>81</v>
      </c>
      <c r="E1738" s="6" t="s">
        <v>2541</v>
      </c>
      <c r="F1738" s="9" t="s">
        <v>3994</v>
      </c>
    </row>
    <row r="1739" ht="33.75" customHeight="1">
      <c r="A1739" s="7">
        <v>59.0</v>
      </c>
      <c r="B1739" s="9" t="s">
        <v>3521</v>
      </c>
      <c r="C1739" s="9" t="s">
        <v>137</v>
      </c>
      <c r="D1739" s="9" t="s">
        <v>84</v>
      </c>
      <c r="E1739" s="6" t="s">
        <v>2541</v>
      </c>
      <c r="F1739" s="9" t="s">
        <v>3994</v>
      </c>
    </row>
    <row r="1740" ht="33.75" customHeight="1">
      <c r="A1740" s="7">
        <v>59.0</v>
      </c>
      <c r="B1740" s="9" t="s">
        <v>3521</v>
      </c>
      <c r="C1740" s="9" t="s">
        <v>137</v>
      </c>
      <c r="D1740" s="9" t="s">
        <v>87</v>
      </c>
      <c r="E1740" s="6" t="s">
        <v>2541</v>
      </c>
      <c r="F1740" s="9" t="s">
        <v>3994</v>
      </c>
    </row>
    <row r="1741" ht="33.75" customHeight="1">
      <c r="A1741" s="7">
        <v>59.0</v>
      </c>
      <c r="B1741" s="9" t="s">
        <v>3521</v>
      </c>
      <c r="C1741" s="9" t="s">
        <v>137</v>
      </c>
      <c r="D1741" s="9" t="s">
        <v>89</v>
      </c>
      <c r="E1741" s="6" t="s">
        <v>2542</v>
      </c>
      <c r="F1741" s="9" t="s">
        <v>3994</v>
      </c>
    </row>
    <row r="1742" ht="33.75" customHeight="1">
      <c r="A1742" s="7">
        <v>59.0</v>
      </c>
      <c r="B1742" s="9" t="s">
        <v>3521</v>
      </c>
      <c r="C1742" s="9" t="s">
        <v>137</v>
      </c>
      <c r="D1742" s="9" t="s">
        <v>91</v>
      </c>
      <c r="E1742" s="6" t="s">
        <v>2544</v>
      </c>
      <c r="F1742" s="9" t="s">
        <v>3994</v>
      </c>
    </row>
    <row r="1743" ht="33.75" customHeight="1">
      <c r="A1743" s="7">
        <v>59.0</v>
      </c>
      <c r="B1743" s="9" t="s">
        <v>3521</v>
      </c>
      <c r="C1743" s="9" t="s">
        <v>137</v>
      </c>
      <c r="D1743" s="9" t="s">
        <v>93</v>
      </c>
      <c r="E1743" s="6" t="s">
        <v>2541</v>
      </c>
      <c r="F1743" s="9" t="s">
        <v>3994</v>
      </c>
    </row>
    <row r="1744" ht="33.75" customHeight="1">
      <c r="A1744" s="7">
        <v>59.0</v>
      </c>
      <c r="B1744" s="9" t="s">
        <v>3521</v>
      </c>
      <c r="C1744" s="9" t="s">
        <v>137</v>
      </c>
      <c r="D1744" s="9" t="s">
        <v>95</v>
      </c>
      <c r="E1744" s="6" t="s">
        <v>2541</v>
      </c>
      <c r="F1744" s="9" t="s">
        <v>3994</v>
      </c>
    </row>
    <row r="1745" ht="33.75" customHeight="1">
      <c r="A1745" s="7">
        <v>59.0</v>
      </c>
      <c r="B1745" s="9" t="s">
        <v>3521</v>
      </c>
      <c r="C1745" s="9" t="s">
        <v>137</v>
      </c>
      <c r="D1745" s="9" t="s">
        <v>98</v>
      </c>
      <c r="E1745" s="6" t="s">
        <v>2545</v>
      </c>
      <c r="F1745" s="9" t="s">
        <v>3994</v>
      </c>
    </row>
    <row r="1746" ht="33.75" customHeight="1">
      <c r="A1746" s="7">
        <v>59.0</v>
      </c>
      <c r="B1746" s="9" t="s">
        <v>3521</v>
      </c>
      <c r="C1746" s="9" t="s">
        <v>137</v>
      </c>
      <c r="D1746" s="9" t="s">
        <v>99</v>
      </c>
      <c r="E1746" s="6" t="s">
        <v>2545</v>
      </c>
      <c r="F1746" s="9" t="s">
        <v>3994</v>
      </c>
    </row>
    <row r="1747" ht="33.75" customHeight="1">
      <c r="A1747" s="7">
        <v>59.0</v>
      </c>
      <c r="B1747" s="9" t="s">
        <v>3521</v>
      </c>
      <c r="C1747" s="9" t="s">
        <v>137</v>
      </c>
      <c r="D1747" s="9" t="s">
        <v>101</v>
      </c>
      <c r="E1747" s="6" t="s">
        <v>2546</v>
      </c>
      <c r="F1747" s="9" t="s">
        <v>3994</v>
      </c>
    </row>
    <row r="1748" ht="33.75" customHeight="1">
      <c r="A1748" s="7">
        <v>59.0</v>
      </c>
      <c r="B1748" s="9" t="s">
        <v>3521</v>
      </c>
      <c r="C1748" s="9" t="s">
        <v>137</v>
      </c>
      <c r="D1748" s="9" t="s">
        <v>105</v>
      </c>
      <c r="E1748" s="6" t="s">
        <v>2544</v>
      </c>
      <c r="F1748" s="9" t="s">
        <v>3994</v>
      </c>
    </row>
    <row r="1749" ht="33.75" customHeight="1">
      <c r="A1749" s="7">
        <v>59.0</v>
      </c>
      <c r="B1749" s="9" t="s">
        <v>3521</v>
      </c>
      <c r="C1749" s="9" t="s">
        <v>137</v>
      </c>
      <c r="D1749" s="9" t="s">
        <v>107</v>
      </c>
      <c r="E1749" s="6" t="s">
        <v>2548</v>
      </c>
      <c r="F1749" s="9" t="s">
        <v>3994</v>
      </c>
    </row>
    <row r="1750" ht="33.75" customHeight="1">
      <c r="A1750" s="7">
        <v>59.0</v>
      </c>
      <c r="B1750" s="9" t="s">
        <v>3521</v>
      </c>
      <c r="C1750" s="9" t="s">
        <v>137</v>
      </c>
      <c r="D1750" s="9" t="s">
        <v>109</v>
      </c>
      <c r="E1750" s="6" t="s">
        <v>2548</v>
      </c>
      <c r="F1750" s="9" t="s">
        <v>3994</v>
      </c>
    </row>
    <row r="1751" ht="33.75" customHeight="1">
      <c r="A1751" s="7">
        <v>59.0</v>
      </c>
      <c r="B1751" s="9" t="s">
        <v>3521</v>
      </c>
      <c r="C1751" s="9" t="s">
        <v>137</v>
      </c>
      <c r="D1751" s="9" t="s">
        <v>637</v>
      </c>
      <c r="E1751" s="6" t="s">
        <v>2550</v>
      </c>
      <c r="F1751" s="9" t="s">
        <v>3994</v>
      </c>
    </row>
    <row r="1752" ht="33.75" customHeight="1">
      <c r="A1752" s="7">
        <v>59.0</v>
      </c>
      <c r="B1752" s="9" t="s">
        <v>3521</v>
      </c>
      <c r="C1752" s="9" t="s">
        <v>137</v>
      </c>
      <c r="D1752" s="9" t="s">
        <v>642</v>
      </c>
      <c r="E1752" s="6" t="s">
        <v>2551</v>
      </c>
      <c r="F1752" s="9" t="s">
        <v>3994</v>
      </c>
    </row>
    <row r="1753" ht="33.75" customHeight="1">
      <c r="A1753" s="7">
        <v>59.0</v>
      </c>
      <c r="B1753" s="9" t="s">
        <v>3521</v>
      </c>
      <c r="C1753" s="9" t="s">
        <v>137</v>
      </c>
      <c r="D1753" s="9" t="s">
        <v>647</v>
      </c>
      <c r="E1753" s="6" t="s">
        <v>2554</v>
      </c>
      <c r="F1753" s="9" t="s">
        <v>3994</v>
      </c>
    </row>
    <row r="1754" ht="33.75" customHeight="1">
      <c r="A1754" s="7">
        <v>59.0</v>
      </c>
      <c r="B1754" s="9" t="s">
        <v>3521</v>
      </c>
      <c r="C1754" s="9" t="s">
        <v>137</v>
      </c>
      <c r="D1754" s="9" t="s">
        <v>652</v>
      </c>
      <c r="E1754" s="6" t="s">
        <v>2556</v>
      </c>
      <c r="F1754" s="9" t="s">
        <v>3994</v>
      </c>
    </row>
    <row r="1755" ht="33.75" customHeight="1">
      <c r="A1755" s="7">
        <v>59.0</v>
      </c>
      <c r="B1755" s="9" t="s">
        <v>3521</v>
      </c>
      <c r="C1755" s="9" t="s">
        <v>137</v>
      </c>
      <c r="D1755" s="9" t="s">
        <v>111</v>
      </c>
      <c r="E1755" s="6" t="s">
        <v>2557</v>
      </c>
      <c r="F1755" s="9" t="s">
        <v>3994</v>
      </c>
    </row>
    <row r="1756" ht="33.75" customHeight="1">
      <c r="A1756" s="7">
        <v>59.0</v>
      </c>
      <c r="B1756" s="9" t="s">
        <v>3521</v>
      </c>
      <c r="C1756" s="9" t="s">
        <v>137</v>
      </c>
      <c r="D1756" s="9" t="s">
        <v>113</v>
      </c>
      <c r="E1756" s="6" t="s">
        <v>2557</v>
      </c>
      <c r="F1756" s="9" t="s">
        <v>3994</v>
      </c>
    </row>
    <row r="1757" ht="33.75" customHeight="1">
      <c r="A1757" s="7">
        <v>59.0</v>
      </c>
      <c r="B1757" s="9" t="s">
        <v>3521</v>
      </c>
      <c r="C1757" s="9" t="s">
        <v>137</v>
      </c>
      <c r="D1757" s="9" t="s">
        <v>114</v>
      </c>
      <c r="E1757" s="6" t="s">
        <v>2545</v>
      </c>
      <c r="F1757" s="9" t="s">
        <v>3994</v>
      </c>
    </row>
    <row r="1758" ht="33.75" customHeight="1">
      <c r="A1758" s="7">
        <v>59.0</v>
      </c>
      <c r="B1758" s="9" t="s">
        <v>3521</v>
      </c>
      <c r="C1758" s="9" t="s">
        <v>137</v>
      </c>
      <c r="D1758" s="9" t="s">
        <v>117</v>
      </c>
      <c r="E1758" s="6" t="s">
        <v>2546</v>
      </c>
      <c r="F1758" s="9" t="s">
        <v>3994</v>
      </c>
    </row>
    <row r="1759" ht="33.75" customHeight="1">
      <c r="A1759" s="7">
        <v>59.0</v>
      </c>
      <c r="B1759" s="9" t="s">
        <v>3521</v>
      </c>
      <c r="C1759" s="9" t="s">
        <v>137</v>
      </c>
      <c r="D1759" s="9" t="s">
        <v>1577</v>
      </c>
      <c r="E1759" s="6" t="s">
        <v>2559</v>
      </c>
      <c r="F1759" s="9" t="s">
        <v>3994</v>
      </c>
    </row>
    <row r="1760" ht="33.75" customHeight="1">
      <c r="A1760" s="7">
        <v>60.0</v>
      </c>
      <c r="B1760" s="9" t="s">
        <v>3586</v>
      </c>
      <c r="C1760" s="9" t="s">
        <v>138</v>
      </c>
      <c r="D1760" s="9" t="s">
        <v>24</v>
      </c>
      <c r="E1760" s="6" t="s">
        <v>2561</v>
      </c>
      <c r="F1760" s="9" t="s">
        <v>4063</v>
      </c>
      <c r="G1760" t="inlineStr" s="6">
        <is>
          <t xml:space="preserve">Poliwag's newly grown legs prevent it from running. It appears to prefer swimming than trying to stand. The direction of the spiral on the belly differs by area. It is more adept at swimming than walking. Because it is inept at walking on its newly grown legs, it always swims around in water. The direction of its belly spiral differs by area. The equator is thought to have an effect on this. The swirl on its belly is its insides showing through the skin. It looks clearer after it eats. POLIWAG has a very thin skin. It is possible to see the POKéMON’s spiral innards right through the skin. Despite its thinness, however, the skin is also very flexible. Even sharp fangs bounce right off it. It is possible to see this POKéMON’s spiral innards right through its thin skin. However, the skin is also very flexible. Its slick black skin is thin and damp. A part of its internal organs can be seen through the skin as a spiral pattern. Its newly grown legs prevent it from walking well. It appears to prefer swimming over walking. Its skin is so thin, its internal organs are visible. It has trouble walking on its newly grown feet. The swirl on its belly is its internal organs showing through. If the swirl is tinged white, that means it’s affected by some disease. It’s still not very good at walking. Its Trainers should train this Pokémon to walk every day. Despite the danger, it wants to come up on land. So it does its best to waddle along, but when an enemy finds it, it rushes back to the water. The direction of the swirl on their stomachs differs depending on where they live. Poliwag aficionados can tell them apart at a glance. For Poliwag, swimming is easier than walking. The swirl pattern on its belly is actually part of the Pokémon’s innards showing through the skin. In rivers with fast-flowing water, this Pokémon will cling to a rock by using its thick lips, which act like a suction cup.</t>
        </is>
      </c>
    </row>
    <row r="1761" ht="33.75" customHeight="1">
      <c r="A1761" s="7">
        <v>60.0</v>
      </c>
      <c r="B1761" s="9" t="s">
        <v>3586</v>
      </c>
      <c r="C1761" s="9" t="s">
        <v>138</v>
      </c>
      <c r="D1761" s="9" t="s">
        <v>35</v>
      </c>
      <c r="E1761" s="6" t="s">
        <v>2561</v>
      </c>
      <c r="F1761" s="9" t="s">
        <v>4063</v>
      </c>
    </row>
    <row r="1762" ht="33.75" customHeight="1">
      <c r="A1762" s="7">
        <v>60.0</v>
      </c>
      <c r="B1762" s="9" t="s">
        <v>3586</v>
      </c>
      <c r="C1762" s="9" t="s">
        <v>138</v>
      </c>
      <c r="D1762" s="9" t="s">
        <v>42</v>
      </c>
      <c r="E1762" s="6" t="s">
        <v>2563</v>
      </c>
      <c r="F1762" s="9" t="s">
        <v>4063</v>
      </c>
    </row>
    <row r="1763" ht="33.75" customHeight="1">
      <c r="A1763" s="7">
        <v>60.0</v>
      </c>
      <c r="B1763" s="9" t="s">
        <v>3586</v>
      </c>
      <c r="C1763" s="9" t="s">
        <v>138</v>
      </c>
      <c r="D1763" s="9" t="s">
        <v>52</v>
      </c>
      <c r="E1763" s="6" t="s">
        <v>2565</v>
      </c>
      <c r="F1763" s="9" t="s">
        <v>4063</v>
      </c>
    </row>
    <row r="1764" ht="33.75" customHeight="1">
      <c r="A1764" s="7">
        <v>60.0</v>
      </c>
      <c r="B1764" s="9" t="s">
        <v>3586</v>
      </c>
      <c r="C1764" s="9" t="s">
        <v>138</v>
      </c>
      <c r="D1764" s="9" t="s">
        <v>59</v>
      </c>
      <c r="E1764" s="6" t="s">
        <v>2567</v>
      </c>
      <c r="F1764" s="9" t="s">
        <v>4063</v>
      </c>
    </row>
    <row r="1765" ht="33.75" customHeight="1">
      <c r="A1765" s="7">
        <v>60.0</v>
      </c>
      <c r="B1765" s="9" t="s">
        <v>3586</v>
      </c>
      <c r="C1765" s="9" t="s">
        <v>138</v>
      </c>
      <c r="D1765" s="9" t="s">
        <v>64</v>
      </c>
      <c r="E1765" s="6" t="s">
        <v>2568</v>
      </c>
      <c r="F1765" s="9" t="s">
        <v>4063</v>
      </c>
    </row>
    <row r="1766" ht="33.75" customHeight="1">
      <c r="A1766" s="7">
        <v>60.0</v>
      </c>
      <c r="B1766" s="9" t="s">
        <v>3586</v>
      </c>
      <c r="C1766" s="9" t="s">
        <v>138</v>
      </c>
      <c r="D1766" s="9" t="s">
        <v>67</v>
      </c>
      <c r="E1766" s="6" t="s">
        <v>2570</v>
      </c>
      <c r="F1766" s="9" t="s">
        <v>4063</v>
      </c>
    </row>
    <row r="1767" ht="33.75" customHeight="1">
      <c r="A1767" s="7">
        <v>60.0</v>
      </c>
      <c r="B1767" s="9" t="s">
        <v>3586</v>
      </c>
      <c r="C1767" s="9" t="s">
        <v>138</v>
      </c>
      <c r="D1767" s="9" t="s">
        <v>71</v>
      </c>
      <c r="E1767" s="6" t="s">
        <v>2570</v>
      </c>
      <c r="F1767" s="9" t="s">
        <v>4063</v>
      </c>
    </row>
    <row r="1768" ht="33.75" customHeight="1">
      <c r="A1768" s="7">
        <v>60.0</v>
      </c>
      <c r="B1768" s="9" t="s">
        <v>3586</v>
      </c>
      <c r="C1768" s="9" t="s">
        <v>138</v>
      </c>
      <c r="D1768" s="9" t="s">
        <v>73</v>
      </c>
      <c r="E1768" s="6" t="s">
        <v>2572</v>
      </c>
      <c r="F1768" s="9" t="s">
        <v>4063</v>
      </c>
    </row>
    <row r="1769" ht="33.75" customHeight="1">
      <c r="A1769" s="7">
        <v>60.0</v>
      </c>
      <c r="B1769" s="9" t="s">
        <v>3586</v>
      </c>
      <c r="C1769" s="9" t="s">
        <v>138</v>
      </c>
      <c r="D1769" s="9" t="s">
        <v>75</v>
      </c>
      <c r="E1769" s="6" t="s">
        <v>2575</v>
      </c>
      <c r="F1769" s="9" t="s">
        <v>4063</v>
      </c>
    </row>
    <row r="1770" ht="33.75" customHeight="1">
      <c r="A1770" s="7">
        <v>60.0</v>
      </c>
      <c r="B1770" s="9" t="s">
        <v>3586</v>
      </c>
      <c r="C1770" s="9" t="s">
        <v>138</v>
      </c>
      <c r="D1770" s="9" t="s">
        <v>79</v>
      </c>
      <c r="E1770" s="6" t="s">
        <v>2576</v>
      </c>
      <c r="F1770" s="9" t="s">
        <v>4063</v>
      </c>
    </row>
    <row r="1771" ht="33.75" customHeight="1">
      <c r="A1771" s="7">
        <v>60.0</v>
      </c>
      <c r="B1771" s="9" t="s">
        <v>3586</v>
      </c>
      <c r="C1771" s="9" t="s">
        <v>138</v>
      </c>
      <c r="D1771" s="9" t="s">
        <v>81</v>
      </c>
      <c r="E1771" s="6" t="s">
        <v>2578</v>
      </c>
      <c r="F1771" s="9" t="s">
        <v>4063</v>
      </c>
    </row>
    <row r="1772" ht="33.75" customHeight="1">
      <c r="A1772" s="7">
        <v>60.0</v>
      </c>
      <c r="B1772" s="9" t="s">
        <v>3586</v>
      </c>
      <c r="C1772" s="9" t="s">
        <v>138</v>
      </c>
      <c r="D1772" s="9" t="s">
        <v>84</v>
      </c>
      <c r="E1772" s="6" t="s">
        <v>2578</v>
      </c>
      <c r="F1772" s="9" t="s">
        <v>4063</v>
      </c>
    </row>
    <row r="1773" ht="33.75" customHeight="1">
      <c r="A1773" s="7">
        <v>60.0</v>
      </c>
      <c r="B1773" s="9" t="s">
        <v>3586</v>
      </c>
      <c r="C1773" s="9" t="s">
        <v>138</v>
      </c>
      <c r="D1773" s="9" t="s">
        <v>87</v>
      </c>
      <c r="E1773" s="6" t="s">
        <v>2578</v>
      </c>
      <c r="F1773" s="9" t="s">
        <v>4063</v>
      </c>
    </row>
    <row r="1774" ht="33.75" customHeight="1">
      <c r="A1774" s="7">
        <v>60.0</v>
      </c>
      <c r="B1774" s="9" t="s">
        <v>3586</v>
      </c>
      <c r="C1774" s="9" t="s">
        <v>138</v>
      </c>
      <c r="D1774" s="9" t="s">
        <v>89</v>
      </c>
      <c r="E1774" s="6" t="s">
        <v>2580</v>
      </c>
      <c r="F1774" s="9" t="s">
        <v>4063</v>
      </c>
    </row>
    <row r="1775" ht="33.75" customHeight="1">
      <c r="A1775" s="7">
        <v>60.0</v>
      </c>
      <c r="B1775" s="9" t="s">
        <v>3586</v>
      </c>
      <c r="C1775" s="9" t="s">
        <v>138</v>
      </c>
      <c r="D1775" s="9" t="s">
        <v>91</v>
      </c>
      <c r="E1775" s="6" t="s">
        <v>2567</v>
      </c>
      <c r="F1775" s="9" t="s">
        <v>4063</v>
      </c>
    </row>
    <row r="1776" ht="33.75" customHeight="1">
      <c r="A1776" s="7">
        <v>60.0</v>
      </c>
      <c r="B1776" s="9" t="s">
        <v>3586</v>
      </c>
      <c r="C1776" s="9" t="s">
        <v>138</v>
      </c>
      <c r="D1776" s="9" t="s">
        <v>93</v>
      </c>
      <c r="E1776" s="6" t="s">
        <v>2578</v>
      </c>
      <c r="F1776" s="9" t="s">
        <v>4063</v>
      </c>
    </row>
    <row r="1777" ht="33.75" customHeight="1">
      <c r="A1777" s="7">
        <v>60.0</v>
      </c>
      <c r="B1777" s="9" t="s">
        <v>3586</v>
      </c>
      <c r="C1777" s="9" t="s">
        <v>138</v>
      </c>
      <c r="D1777" s="9" t="s">
        <v>95</v>
      </c>
      <c r="E1777" s="6" t="s">
        <v>2578</v>
      </c>
      <c r="F1777" s="9" t="s">
        <v>4063</v>
      </c>
    </row>
    <row r="1778" ht="33.75" customHeight="1">
      <c r="A1778" s="7">
        <v>60.0</v>
      </c>
      <c r="B1778" s="9" t="s">
        <v>3586</v>
      </c>
      <c r="C1778" s="9" t="s">
        <v>138</v>
      </c>
      <c r="D1778" s="9" t="s">
        <v>98</v>
      </c>
      <c r="E1778" s="6" t="s">
        <v>2578</v>
      </c>
      <c r="F1778" s="9" t="s">
        <v>4063</v>
      </c>
    </row>
    <row r="1779" ht="33.75" customHeight="1">
      <c r="A1779" s="7">
        <v>60.0</v>
      </c>
      <c r="B1779" s="9" t="s">
        <v>3586</v>
      </c>
      <c r="C1779" s="9" t="s">
        <v>138</v>
      </c>
      <c r="D1779" s="9" t="s">
        <v>99</v>
      </c>
      <c r="E1779" s="6" t="s">
        <v>2578</v>
      </c>
      <c r="F1779" s="9" t="s">
        <v>4063</v>
      </c>
    </row>
    <row r="1780" ht="33.75" customHeight="1">
      <c r="A1780" s="7">
        <v>60.0</v>
      </c>
      <c r="B1780" s="9" t="s">
        <v>3586</v>
      </c>
      <c r="C1780" s="9" t="s">
        <v>138</v>
      </c>
      <c r="D1780" s="9" t="s">
        <v>101</v>
      </c>
      <c r="E1780" s="6" t="s">
        <v>2575</v>
      </c>
      <c r="F1780" s="9" t="s">
        <v>4063</v>
      </c>
    </row>
    <row r="1781" ht="33.75" customHeight="1">
      <c r="A1781" s="7">
        <v>60.0</v>
      </c>
      <c r="B1781" s="9" t="s">
        <v>3586</v>
      </c>
      <c r="C1781" s="9" t="s">
        <v>138</v>
      </c>
      <c r="D1781" s="9" t="s">
        <v>105</v>
      </c>
      <c r="E1781" s="6" t="s">
        <v>2563</v>
      </c>
      <c r="F1781" s="9" t="s">
        <v>4063</v>
      </c>
    </row>
    <row r="1782" ht="33.75" customHeight="1">
      <c r="A1782" s="7">
        <v>60.0</v>
      </c>
      <c r="B1782" s="9" t="s">
        <v>3586</v>
      </c>
      <c r="C1782" s="9" t="s">
        <v>138</v>
      </c>
      <c r="D1782" s="9" t="s">
        <v>107</v>
      </c>
      <c r="E1782" s="6" t="s">
        <v>2582</v>
      </c>
      <c r="F1782" s="9" t="s">
        <v>4063</v>
      </c>
    </row>
    <row r="1783" ht="33.75" customHeight="1">
      <c r="A1783" s="7">
        <v>60.0</v>
      </c>
      <c r="B1783" s="9" t="s">
        <v>3586</v>
      </c>
      <c r="C1783" s="9" t="s">
        <v>138</v>
      </c>
      <c r="D1783" s="9" t="s">
        <v>109</v>
      </c>
      <c r="E1783" s="6" t="s">
        <v>2582</v>
      </c>
      <c r="F1783" s="9" t="s">
        <v>4063</v>
      </c>
    </row>
    <row r="1784" ht="33.75" customHeight="1">
      <c r="A1784" s="7">
        <v>60.0</v>
      </c>
      <c r="B1784" s="9" t="s">
        <v>3586</v>
      </c>
      <c r="C1784" s="9" t="s">
        <v>138</v>
      </c>
      <c r="D1784" s="9" t="s">
        <v>637</v>
      </c>
      <c r="E1784" s="6" t="s">
        <v>2583</v>
      </c>
      <c r="F1784" s="9" t="s">
        <v>4063</v>
      </c>
    </row>
    <row r="1785" ht="33.75" customHeight="1">
      <c r="A1785" s="7">
        <v>60.0</v>
      </c>
      <c r="B1785" s="9" t="s">
        <v>3586</v>
      </c>
      <c r="C1785" s="9" t="s">
        <v>138</v>
      </c>
      <c r="D1785" s="9" t="s">
        <v>642</v>
      </c>
      <c r="E1785" s="6" t="s">
        <v>2584</v>
      </c>
      <c r="F1785" s="9" t="s">
        <v>4063</v>
      </c>
    </row>
    <row r="1786" ht="33.75" customHeight="1">
      <c r="A1786" s="7">
        <v>60.0</v>
      </c>
      <c r="B1786" s="9" t="s">
        <v>3586</v>
      </c>
      <c r="C1786" s="9" t="s">
        <v>138</v>
      </c>
      <c r="D1786" s="9" t="s">
        <v>647</v>
      </c>
      <c r="E1786" s="6" t="s">
        <v>2585</v>
      </c>
      <c r="F1786" s="9" t="s">
        <v>4063</v>
      </c>
    </row>
    <row r="1787" ht="33.75" customHeight="1">
      <c r="A1787" s="7">
        <v>60.0</v>
      </c>
      <c r="B1787" s="9" t="s">
        <v>3586</v>
      </c>
      <c r="C1787" s="9" t="s">
        <v>138</v>
      </c>
      <c r="D1787" s="9" t="s">
        <v>652</v>
      </c>
      <c r="E1787" s="6" t="s">
        <v>2586</v>
      </c>
      <c r="F1787" s="9" t="s">
        <v>4063</v>
      </c>
    </row>
    <row r="1788" ht="33.75" customHeight="1">
      <c r="A1788" s="7">
        <v>60.0</v>
      </c>
      <c r="B1788" s="9" t="s">
        <v>3586</v>
      </c>
      <c r="C1788" s="9" t="s">
        <v>138</v>
      </c>
      <c r="D1788" s="9" t="s">
        <v>111</v>
      </c>
      <c r="E1788" s="6" t="s">
        <v>2563</v>
      </c>
      <c r="F1788" s="9" t="s">
        <v>4063</v>
      </c>
    </row>
    <row r="1789" ht="33.75" customHeight="1">
      <c r="A1789" s="7">
        <v>60.0</v>
      </c>
      <c r="B1789" s="9" t="s">
        <v>3586</v>
      </c>
      <c r="C1789" s="9" t="s">
        <v>138</v>
      </c>
      <c r="D1789" s="9" t="s">
        <v>113</v>
      </c>
      <c r="E1789" s="6" t="s">
        <v>2563</v>
      </c>
      <c r="F1789" s="9" t="s">
        <v>4063</v>
      </c>
    </row>
    <row r="1790" ht="33.75" customHeight="1">
      <c r="A1790" s="7">
        <v>60.0</v>
      </c>
      <c r="B1790" s="9" t="s">
        <v>3586</v>
      </c>
      <c r="C1790" s="9" t="s">
        <v>138</v>
      </c>
      <c r="D1790" s="9" t="s">
        <v>114</v>
      </c>
      <c r="E1790" s="6" t="s">
        <v>2587</v>
      </c>
      <c r="F1790" s="9" t="s">
        <v>4063</v>
      </c>
    </row>
    <row r="1791" ht="33.75" customHeight="1">
      <c r="A1791" s="7">
        <v>60.0</v>
      </c>
      <c r="B1791" s="9" t="s">
        <v>3586</v>
      </c>
      <c r="C1791" s="9" t="s">
        <v>138</v>
      </c>
      <c r="D1791" s="9" t="s">
        <v>117</v>
      </c>
      <c r="E1791" s="6" t="s">
        <v>2588</v>
      </c>
      <c r="F1791" s="9" t="s">
        <v>4063</v>
      </c>
    </row>
    <row r="1792" ht="33.75" customHeight="1">
      <c r="A1792" s="7">
        <v>61.0</v>
      </c>
      <c r="B1792" s="9" t="s">
        <v>3668</v>
      </c>
      <c r="C1792" s="9" t="s">
        <v>138</v>
      </c>
      <c r="D1792" s="9" t="s">
        <v>24</v>
      </c>
      <c r="E1792" s="6" t="s">
        <v>2590</v>
      </c>
      <c r="F1792" s="9" t="s">
        <v>4113</v>
      </c>
      <c r="G1792" t="inlineStr" s="6">
        <is>
          <t xml:space="preserve">Capable of living in or out of water. When out of water, it sweats to keep its body slimy. Under attack, it uses its belly spiral to put the foe to sleep. It then makes its escape. The swirl on its belly subtly undulates. Staring at it may gradually cause drowsiness. The skin on most of its body is moist. However, the skin on its belly spiral feels smooth. Though it is skilled at walk ing, it prefers to live underwater where there is less danger. The surface of POLIWHIRL’s body is always wet and slick with an oily fluid. Because of this greasy covering, it can easily slip and slide out of the clutches of any enemy in battle. Its body surface is always wet and slick with an oily fluid. Its two legs are well developed. Even though it can live on the ground, it prefers living in water. It can live in or out of water. When out of water, it constantly sweats to keep its body slimy. The spiral pattern on its belly subtly undulates. Staring at it gradually causes drowsiness. The surface of Poliwhirl’s body is always wet and slick with a slimy fluid. Because of this slippery covering, it can easily slip and slide out of the clutches of any enemy in battle. Although it can live on land, it prefers to stay in the water, where it has fewer natural enemies. It marches over the land in search of bug Pokémon to eat. Then it takes them underwater so it can dine on them where it’s safe. Although it has become capable of living on land, it spends its time in the water, where its prey, fish Pokémon, are plentiful. Its health suffers when its skin dries out, so be sure to moisturize it diligently. Staring at the swirl on its belly causes drowsiness. This trait of Poliwhirl’s has been used in place of lullabies to get children to go to sleep. This Pokémon’s sweat is a slimy mucus. When captured, Poliwhirl can slither from its enemies’ grasp and escape.</t>
        </is>
      </c>
    </row>
    <row r="1793" ht="33.75" customHeight="1">
      <c r="A1793" s="7">
        <v>61.0</v>
      </c>
      <c r="B1793" s="9" t="s">
        <v>3668</v>
      </c>
      <c r="C1793" s="9" t="s">
        <v>138</v>
      </c>
      <c r="D1793" s="9" t="s">
        <v>35</v>
      </c>
      <c r="E1793" s="6" t="s">
        <v>2590</v>
      </c>
      <c r="F1793" s="9" t="s">
        <v>4113</v>
      </c>
    </row>
    <row r="1794" ht="33.75" customHeight="1">
      <c r="A1794" s="7">
        <v>61.0</v>
      </c>
      <c r="B1794" s="9" t="s">
        <v>3668</v>
      </c>
      <c r="C1794" s="9" t="s">
        <v>138</v>
      </c>
      <c r="D1794" s="9" t="s">
        <v>42</v>
      </c>
      <c r="E1794" s="6" t="s">
        <v>2591</v>
      </c>
      <c r="F1794" s="9" t="s">
        <v>4113</v>
      </c>
    </row>
    <row r="1795" ht="33.75" customHeight="1">
      <c r="A1795" s="7">
        <v>61.0</v>
      </c>
      <c r="B1795" s="9" t="s">
        <v>3668</v>
      </c>
      <c r="C1795" s="9" t="s">
        <v>138</v>
      </c>
      <c r="D1795" s="9" t="s">
        <v>52</v>
      </c>
      <c r="E1795" s="6" t="s">
        <v>2592</v>
      </c>
      <c r="F1795" s="9" t="s">
        <v>4113</v>
      </c>
    </row>
    <row r="1796" ht="33.75" customHeight="1">
      <c r="A1796" s="7">
        <v>61.0</v>
      </c>
      <c r="B1796" s="9" t="s">
        <v>3668</v>
      </c>
      <c r="C1796" s="9" t="s">
        <v>138</v>
      </c>
      <c r="D1796" s="9" t="s">
        <v>59</v>
      </c>
      <c r="E1796" s="6" t="s">
        <v>2593</v>
      </c>
      <c r="F1796" s="9" t="s">
        <v>4113</v>
      </c>
    </row>
    <row r="1797" ht="33.75" customHeight="1">
      <c r="A1797" s="7">
        <v>61.0</v>
      </c>
      <c r="B1797" s="9" t="s">
        <v>3668</v>
      </c>
      <c r="C1797" s="9" t="s">
        <v>138</v>
      </c>
      <c r="D1797" s="9" t="s">
        <v>64</v>
      </c>
      <c r="E1797" s="6" t="s">
        <v>2594</v>
      </c>
      <c r="F1797" s="9" t="s">
        <v>4113</v>
      </c>
    </row>
    <row r="1798" ht="33.75" customHeight="1">
      <c r="A1798" s="7">
        <v>61.0</v>
      </c>
      <c r="B1798" s="9" t="s">
        <v>3668</v>
      </c>
      <c r="C1798" s="9" t="s">
        <v>138</v>
      </c>
      <c r="D1798" s="9" t="s">
        <v>67</v>
      </c>
      <c r="E1798" s="6" t="s">
        <v>2597</v>
      </c>
      <c r="F1798" s="9" t="s">
        <v>4113</v>
      </c>
    </row>
    <row r="1799" ht="33.75" customHeight="1">
      <c r="A1799" s="7">
        <v>61.0</v>
      </c>
      <c r="B1799" s="9" t="s">
        <v>3668</v>
      </c>
      <c r="C1799" s="9" t="s">
        <v>138</v>
      </c>
      <c r="D1799" s="9" t="s">
        <v>71</v>
      </c>
      <c r="E1799" s="6" t="s">
        <v>2597</v>
      </c>
      <c r="F1799" s="9" t="s">
        <v>4113</v>
      </c>
    </row>
    <row r="1800" ht="33.75" customHeight="1">
      <c r="A1800" s="7">
        <v>61.0</v>
      </c>
      <c r="B1800" s="9" t="s">
        <v>3668</v>
      </c>
      <c r="C1800" s="9" t="s">
        <v>138</v>
      </c>
      <c r="D1800" s="9" t="s">
        <v>73</v>
      </c>
      <c r="E1800" s="6" t="s">
        <v>2599</v>
      </c>
      <c r="F1800" s="9" t="s">
        <v>4113</v>
      </c>
    </row>
    <row r="1801" ht="33.75" customHeight="1">
      <c r="A1801" s="7">
        <v>61.0</v>
      </c>
      <c r="B1801" s="9" t="s">
        <v>3668</v>
      </c>
      <c r="C1801" s="9" t="s">
        <v>138</v>
      </c>
      <c r="D1801" s="9" t="s">
        <v>75</v>
      </c>
      <c r="E1801" s="6" t="s">
        <v>2600</v>
      </c>
      <c r="F1801" s="9" t="s">
        <v>4113</v>
      </c>
    </row>
    <row r="1802" ht="33.75" customHeight="1">
      <c r="A1802" s="7">
        <v>61.0</v>
      </c>
      <c r="B1802" s="9" t="s">
        <v>3668</v>
      </c>
      <c r="C1802" s="9" t="s">
        <v>138</v>
      </c>
      <c r="D1802" s="9" t="s">
        <v>79</v>
      </c>
      <c r="E1802" s="6" t="s">
        <v>2602</v>
      </c>
      <c r="F1802" s="9" t="s">
        <v>4113</v>
      </c>
    </row>
    <row r="1803" ht="33.75" customHeight="1">
      <c r="A1803" s="7">
        <v>61.0</v>
      </c>
      <c r="B1803" s="9" t="s">
        <v>3668</v>
      </c>
      <c r="C1803" s="9" t="s">
        <v>138</v>
      </c>
      <c r="D1803" s="9" t="s">
        <v>81</v>
      </c>
      <c r="E1803" s="6" t="s">
        <v>2603</v>
      </c>
      <c r="F1803" s="9" t="s">
        <v>4113</v>
      </c>
    </row>
    <row r="1804" ht="33.75" customHeight="1">
      <c r="A1804" s="7">
        <v>61.0</v>
      </c>
      <c r="B1804" s="9" t="s">
        <v>3668</v>
      </c>
      <c r="C1804" s="9" t="s">
        <v>138</v>
      </c>
      <c r="D1804" s="9" t="s">
        <v>84</v>
      </c>
      <c r="E1804" s="6" t="s">
        <v>2603</v>
      </c>
      <c r="F1804" s="9" t="s">
        <v>4113</v>
      </c>
    </row>
    <row r="1805" ht="33.75" customHeight="1">
      <c r="A1805" s="7">
        <v>61.0</v>
      </c>
      <c r="B1805" s="9" t="s">
        <v>3668</v>
      </c>
      <c r="C1805" s="9" t="s">
        <v>138</v>
      </c>
      <c r="D1805" s="9" t="s">
        <v>87</v>
      </c>
      <c r="E1805" s="6" t="s">
        <v>2603</v>
      </c>
      <c r="F1805" s="9" t="s">
        <v>4113</v>
      </c>
    </row>
    <row r="1806" ht="33.75" customHeight="1">
      <c r="A1806" s="7">
        <v>61.0</v>
      </c>
      <c r="B1806" s="9" t="s">
        <v>3668</v>
      </c>
      <c r="C1806" s="9" t="s">
        <v>138</v>
      </c>
      <c r="D1806" s="9" t="s">
        <v>89</v>
      </c>
      <c r="E1806" s="6" t="s">
        <v>2604</v>
      </c>
      <c r="F1806" s="9" t="s">
        <v>4113</v>
      </c>
    </row>
    <row r="1807" ht="33.75" customHeight="1">
      <c r="A1807" s="7">
        <v>61.0</v>
      </c>
      <c r="B1807" s="9" t="s">
        <v>3668</v>
      </c>
      <c r="C1807" s="9" t="s">
        <v>138</v>
      </c>
      <c r="D1807" s="9" t="s">
        <v>91</v>
      </c>
      <c r="E1807" s="6" t="s">
        <v>2593</v>
      </c>
      <c r="F1807" s="9" t="s">
        <v>4113</v>
      </c>
    </row>
    <row r="1808" ht="33.75" customHeight="1">
      <c r="A1808" s="7">
        <v>61.0</v>
      </c>
      <c r="B1808" s="9" t="s">
        <v>3668</v>
      </c>
      <c r="C1808" s="9" t="s">
        <v>138</v>
      </c>
      <c r="D1808" s="9" t="s">
        <v>93</v>
      </c>
      <c r="E1808" s="6" t="s">
        <v>2603</v>
      </c>
      <c r="F1808" s="9" t="s">
        <v>4113</v>
      </c>
    </row>
    <row r="1809" ht="33.75" customHeight="1">
      <c r="A1809" s="7">
        <v>61.0</v>
      </c>
      <c r="B1809" s="9" t="s">
        <v>3668</v>
      </c>
      <c r="C1809" s="9" t="s">
        <v>138</v>
      </c>
      <c r="D1809" s="9" t="s">
        <v>95</v>
      </c>
      <c r="E1809" s="6" t="s">
        <v>2603</v>
      </c>
      <c r="F1809" s="9" t="s">
        <v>4113</v>
      </c>
    </row>
    <row r="1810" ht="33.75" customHeight="1">
      <c r="A1810" s="7">
        <v>61.0</v>
      </c>
      <c r="B1810" s="9" t="s">
        <v>3668</v>
      </c>
      <c r="C1810" s="9" t="s">
        <v>138</v>
      </c>
      <c r="D1810" s="9" t="s">
        <v>98</v>
      </c>
      <c r="E1810" s="6" t="s">
        <v>2603</v>
      </c>
      <c r="F1810" s="9" t="s">
        <v>4113</v>
      </c>
    </row>
    <row r="1811" ht="33.75" customHeight="1">
      <c r="A1811" s="7">
        <v>61.0</v>
      </c>
      <c r="B1811" s="9" t="s">
        <v>3668</v>
      </c>
      <c r="C1811" s="9" t="s">
        <v>138</v>
      </c>
      <c r="D1811" s="9" t="s">
        <v>99</v>
      </c>
      <c r="E1811" s="6" t="s">
        <v>2603</v>
      </c>
      <c r="F1811" s="9" t="s">
        <v>4113</v>
      </c>
    </row>
    <row r="1812" ht="33.75" customHeight="1">
      <c r="A1812" s="7">
        <v>61.0</v>
      </c>
      <c r="B1812" s="9" t="s">
        <v>3668</v>
      </c>
      <c r="C1812" s="9" t="s">
        <v>138</v>
      </c>
      <c r="D1812" s="9" t="s">
        <v>101</v>
      </c>
      <c r="E1812" s="6" t="s">
        <v>2602</v>
      </c>
      <c r="F1812" s="9" t="s">
        <v>4113</v>
      </c>
    </row>
    <row r="1813" ht="33.75" customHeight="1">
      <c r="A1813" s="7">
        <v>61.0</v>
      </c>
      <c r="B1813" s="9" t="s">
        <v>3668</v>
      </c>
      <c r="C1813" s="9" t="s">
        <v>138</v>
      </c>
      <c r="D1813" s="9" t="s">
        <v>105</v>
      </c>
      <c r="E1813" s="6" t="s">
        <v>2600</v>
      </c>
      <c r="F1813" s="9" t="s">
        <v>4113</v>
      </c>
    </row>
    <row r="1814" ht="33.75" customHeight="1">
      <c r="A1814" s="7">
        <v>61.0</v>
      </c>
      <c r="B1814" s="9" t="s">
        <v>3668</v>
      </c>
      <c r="C1814" s="9" t="s">
        <v>138</v>
      </c>
      <c r="D1814" s="9" t="s">
        <v>107</v>
      </c>
      <c r="E1814" s="6" t="s">
        <v>2606</v>
      </c>
      <c r="F1814" s="9" t="s">
        <v>4113</v>
      </c>
    </row>
    <row r="1815" ht="33.75" customHeight="1">
      <c r="A1815" s="7">
        <v>61.0</v>
      </c>
      <c r="B1815" s="9" t="s">
        <v>3668</v>
      </c>
      <c r="C1815" s="9" t="s">
        <v>138</v>
      </c>
      <c r="D1815" s="9" t="s">
        <v>109</v>
      </c>
      <c r="E1815" s="6" t="s">
        <v>2606</v>
      </c>
      <c r="F1815" s="9" t="s">
        <v>4113</v>
      </c>
    </row>
    <row r="1816" ht="33.75" customHeight="1">
      <c r="A1816" s="7">
        <v>61.0</v>
      </c>
      <c r="B1816" s="9" t="s">
        <v>3668</v>
      </c>
      <c r="C1816" s="9" t="s">
        <v>138</v>
      </c>
      <c r="D1816" s="9" t="s">
        <v>637</v>
      </c>
      <c r="E1816" s="6" t="s">
        <v>2607</v>
      </c>
      <c r="F1816" s="9" t="s">
        <v>4113</v>
      </c>
    </row>
    <row r="1817" ht="33.75" customHeight="1">
      <c r="A1817" s="7">
        <v>61.0</v>
      </c>
      <c r="B1817" s="9" t="s">
        <v>3668</v>
      </c>
      <c r="C1817" s="9" t="s">
        <v>138</v>
      </c>
      <c r="D1817" s="9" t="s">
        <v>642</v>
      </c>
      <c r="E1817" s="6" t="s">
        <v>2609</v>
      </c>
      <c r="F1817" s="9" t="s">
        <v>4113</v>
      </c>
    </row>
    <row r="1818" ht="33.75" customHeight="1">
      <c r="A1818" s="7">
        <v>61.0</v>
      </c>
      <c r="B1818" s="9" t="s">
        <v>3668</v>
      </c>
      <c r="C1818" s="9" t="s">
        <v>138</v>
      </c>
      <c r="D1818" s="9" t="s">
        <v>647</v>
      </c>
      <c r="E1818" s="6" t="s">
        <v>2610</v>
      </c>
      <c r="F1818" s="9" t="s">
        <v>4113</v>
      </c>
    </row>
    <row r="1819" ht="33.75" customHeight="1">
      <c r="A1819" s="7">
        <v>61.0</v>
      </c>
      <c r="B1819" s="9" t="s">
        <v>3668</v>
      </c>
      <c r="C1819" s="9" t="s">
        <v>138</v>
      </c>
      <c r="D1819" s="9" t="s">
        <v>652</v>
      </c>
      <c r="E1819" s="6" t="s">
        <v>2612</v>
      </c>
      <c r="F1819" s="9" t="s">
        <v>4113</v>
      </c>
    </row>
    <row r="1820" ht="33.75" customHeight="1">
      <c r="A1820" s="7">
        <v>61.0</v>
      </c>
      <c r="B1820" s="9" t="s">
        <v>3668</v>
      </c>
      <c r="C1820" s="9" t="s">
        <v>138</v>
      </c>
      <c r="D1820" s="9" t="s">
        <v>111</v>
      </c>
      <c r="E1820" s="6" t="s">
        <v>2591</v>
      </c>
      <c r="F1820" s="9" t="s">
        <v>4113</v>
      </c>
    </row>
    <row r="1821" ht="33.75" customHeight="1">
      <c r="A1821" s="7">
        <v>61.0</v>
      </c>
      <c r="B1821" s="9" t="s">
        <v>3668</v>
      </c>
      <c r="C1821" s="9" t="s">
        <v>138</v>
      </c>
      <c r="D1821" s="9" t="s">
        <v>113</v>
      </c>
      <c r="E1821" s="6" t="s">
        <v>2591</v>
      </c>
      <c r="F1821" s="9" t="s">
        <v>4113</v>
      </c>
    </row>
    <row r="1822" ht="33.75" customHeight="1">
      <c r="A1822" s="7">
        <v>61.0</v>
      </c>
      <c r="B1822" s="9" t="s">
        <v>3668</v>
      </c>
      <c r="C1822" s="9" t="s">
        <v>138</v>
      </c>
      <c r="D1822" s="9" t="s">
        <v>114</v>
      </c>
      <c r="E1822" s="6" t="s">
        <v>2613</v>
      </c>
      <c r="F1822" s="9" t="s">
        <v>4113</v>
      </c>
    </row>
    <row r="1823" ht="33.75" customHeight="1">
      <c r="A1823" s="7">
        <v>61.0</v>
      </c>
      <c r="B1823" s="9" t="s">
        <v>3668</v>
      </c>
      <c r="C1823" s="9" t="s">
        <v>138</v>
      </c>
      <c r="D1823" s="9" t="s">
        <v>117</v>
      </c>
      <c r="E1823" s="6" t="s">
        <v>2615</v>
      </c>
      <c r="F1823" s="9" t="s">
        <v>4113</v>
      </c>
    </row>
    <row r="1824" ht="33.75" customHeight="1">
      <c r="A1824" s="7">
        <v>62.0</v>
      </c>
      <c r="B1824" s="9" t="s">
        <v>3735</v>
      </c>
      <c r="C1824" s="9" t="s">
        <v>138</v>
      </c>
      <c r="D1824" s="9" t="s">
        <v>24</v>
      </c>
      <c r="E1824" s="6" t="s">
        <v>2618</v>
      </c>
      <c r="F1824" s="9" t="s">
        <v>4152</v>
      </c>
      <c r="G1824" t="inlineStr" s="6">
        <is>
          <t xml:space="preserve">An adept swimmer at both the front crawl and breaststroke. Easily overtakes the best human swimmers. Swims powerfully using all the muscles in its body. It can even overtake champion swimmers. This strong and skilled swimmer is even capable of crossing the Pacific Ocean just by kicking. Although an energetic, skilled swimmer that uses all of its muscles, it lives on dry land. It can use its well-developed arms and legs to run on the surface of the water for a split second. POLIWRATH’s highly developed, brawny muscles never grow fatigued, however much it exercises. It is so tirelessly strong, this POKéMON can swim back and forth across the Pacific Ocean without effort. Its highly developed muscles never grow fatigued, however much it exercises. This POKéMON can swim back and forth across the Pacific Ocean without effort. An adept swimmer, it knows the front crawl, butterfly, and more. It is faster than the best human swimmers. A swimmer adept at both the front crawl and breaststroke. With its extremely tough muscles, it can keep swimming in the Pacific Ocean without resting. It is so tirelessly strong, this Pokémon can swim back and forth across the ocean without effort. Poliwrath in the Alola region are strong swimmers that use the breaststroke. Many children learn to swim by imitating Poliwrath. Its percentage of body fat is nearly zero. Its body is entirely muscle, which makes it heavy and forces its swimming prowess to develop. It’s quite a gifted swimmer, even among Water-type Pokémon, but it normally spends its time on land. The muscles it has developed through swimming are thick and powerful. When it lands a square punch, it can turn huge boulders to dust. It can even overtake world-class swimmers. Its body is solid muscle. When swimming through cold seas, Poliwrath uses its impressive arms to smash through drift ice and plow forward. Poliwrath is skilled at both swimming and martial arts. It uses its well-trained arms to dish out powerful punches.</t>
        </is>
      </c>
    </row>
    <row r="1825" ht="33.75" customHeight="1">
      <c r="A1825" s="7">
        <v>62.0</v>
      </c>
      <c r="B1825" s="9" t="s">
        <v>3735</v>
      </c>
      <c r="C1825" s="9" t="s">
        <v>138</v>
      </c>
      <c r="D1825" s="9" t="s">
        <v>35</v>
      </c>
      <c r="E1825" s="6" t="s">
        <v>2618</v>
      </c>
      <c r="F1825" s="9" t="s">
        <v>4152</v>
      </c>
    </row>
    <row r="1826" ht="33.75" customHeight="1">
      <c r="A1826" s="7">
        <v>62.0</v>
      </c>
      <c r="B1826" s="9" t="s">
        <v>3735</v>
      </c>
      <c r="C1826" s="9" t="s">
        <v>138</v>
      </c>
      <c r="D1826" s="9" t="s">
        <v>42</v>
      </c>
      <c r="E1826" s="6" t="s">
        <v>2621</v>
      </c>
      <c r="F1826" s="9" t="s">
        <v>4152</v>
      </c>
    </row>
    <row r="1827" ht="33.75" customHeight="1">
      <c r="A1827" s="7">
        <v>62.0</v>
      </c>
      <c r="B1827" s="9" t="s">
        <v>3735</v>
      </c>
      <c r="C1827" s="9" t="s">
        <v>138</v>
      </c>
      <c r="D1827" s="9" t="s">
        <v>52</v>
      </c>
      <c r="E1827" s="6" t="s">
        <v>2622</v>
      </c>
      <c r="F1827" s="9" t="s">
        <v>4152</v>
      </c>
    </row>
    <row r="1828" ht="33.75" customHeight="1">
      <c r="A1828" s="7">
        <v>62.0</v>
      </c>
      <c r="B1828" s="9" t="s">
        <v>3735</v>
      </c>
      <c r="C1828" s="9" t="s">
        <v>138</v>
      </c>
      <c r="D1828" s="9" t="s">
        <v>59</v>
      </c>
      <c r="E1828" s="6" t="s">
        <v>2623</v>
      </c>
      <c r="F1828" s="9" t="s">
        <v>4152</v>
      </c>
    </row>
    <row r="1829" ht="33.75" customHeight="1">
      <c r="A1829" s="7">
        <v>62.0</v>
      </c>
      <c r="B1829" s="9" t="s">
        <v>3735</v>
      </c>
      <c r="C1829" s="9" t="s">
        <v>138</v>
      </c>
      <c r="D1829" s="9" t="s">
        <v>64</v>
      </c>
      <c r="E1829" s="6" t="s">
        <v>2626</v>
      </c>
      <c r="F1829" s="9" t="s">
        <v>4152</v>
      </c>
    </row>
    <row r="1830" ht="33.75" customHeight="1">
      <c r="A1830" s="7">
        <v>62.0</v>
      </c>
      <c r="B1830" s="9" t="s">
        <v>3735</v>
      </c>
      <c r="C1830" s="9" t="s">
        <v>138</v>
      </c>
      <c r="D1830" s="9" t="s">
        <v>67</v>
      </c>
      <c r="E1830" s="6" t="s">
        <v>2627</v>
      </c>
      <c r="F1830" s="9" t="s">
        <v>4152</v>
      </c>
    </row>
    <row r="1831" ht="33.75" customHeight="1">
      <c r="A1831" s="7">
        <v>62.0</v>
      </c>
      <c r="B1831" s="9" t="s">
        <v>3735</v>
      </c>
      <c r="C1831" s="9" t="s">
        <v>138</v>
      </c>
      <c r="D1831" s="9" t="s">
        <v>71</v>
      </c>
      <c r="E1831" s="6" t="s">
        <v>2627</v>
      </c>
      <c r="F1831" s="9" t="s">
        <v>4152</v>
      </c>
    </row>
    <row r="1832" ht="33.75" customHeight="1">
      <c r="A1832" s="7">
        <v>62.0</v>
      </c>
      <c r="B1832" s="9" t="s">
        <v>3735</v>
      </c>
      <c r="C1832" s="9" t="s">
        <v>138</v>
      </c>
      <c r="D1832" s="9" t="s">
        <v>73</v>
      </c>
      <c r="E1832" s="6" t="s">
        <v>2629</v>
      </c>
      <c r="F1832" s="9" t="s">
        <v>4152</v>
      </c>
    </row>
    <row r="1833" ht="33.75" customHeight="1">
      <c r="A1833" s="7">
        <v>62.0</v>
      </c>
      <c r="B1833" s="9" t="s">
        <v>3735</v>
      </c>
      <c r="C1833" s="9" t="s">
        <v>138</v>
      </c>
      <c r="D1833" s="9" t="s">
        <v>75</v>
      </c>
      <c r="E1833" s="6" t="s">
        <v>2632</v>
      </c>
      <c r="F1833" s="9" t="s">
        <v>4152</v>
      </c>
    </row>
    <row r="1834" ht="33.75" customHeight="1">
      <c r="A1834" s="7">
        <v>62.0</v>
      </c>
      <c r="B1834" s="9" t="s">
        <v>3735</v>
      </c>
      <c r="C1834" s="9" t="s">
        <v>138</v>
      </c>
      <c r="D1834" s="9" t="s">
        <v>79</v>
      </c>
      <c r="E1834" s="6" t="s">
        <v>2633</v>
      </c>
      <c r="F1834" s="9" t="s">
        <v>4152</v>
      </c>
    </row>
    <row r="1835" ht="33.75" customHeight="1">
      <c r="A1835" s="7">
        <v>62.0</v>
      </c>
      <c r="B1835" s="9" t="s">
        <v>3735</v>
      </c>
      <c r="C1835" s="9" t="s">
        <v>138</v>
      </c>
      <c r="D1835" s="9" t="s">
        <v>81</v>
      </c>
      <c r="E1835" s="6" t="s">
        <v>2635</v>
      </c>
      <c r="F1835" s="9" t="s">
        <v>4152</v>
      </c>
    </row>
    <row r="1836" ht="33.75" customHeight="1">
      <c r="A1836" s="7">
        <v>62.0</v>
      </c>
      <c r="B1836" s="9" t="s">
        <v>3735</v>
      </c>
      <c r="C1836" s="9" t="s">
        <v>138</v>
      </c>
      <c r="D1836" s="9" t="s">
        <v>84</v>
      </c>
      <c r="E1836" s="6" t="s">
        <v>2635</v>
      </c>
      <c r="F1836" s="9" t="s">
        <v>4152</v>
      </c>
    </row>
    <row r="1837" ht="33.75" customHeight="1">
      <c r="A1837" s="7">
        <v>62.0</v>
      </c>
      <c r="B1837" s="9" t="s">
        <v>3735</v>
      </c>
      <c r="C1837" s="9" t="s">
        <v>138</v>
      </c>
      <c r="D1837" s="9" t="s">
        <v>87</v>
      </c>
      <c r="E1837" s="6" t="s">
        <v>2635</v>
      </c>
      <c r="F1837" s="9" t="s">
        <v>4152</v>
      </c>
    </row>
    <row r="1838" ht="33.75" customHeight="1">
      <c r="A1838" s="7">
        <v>62.0</v>
      </c>
      <c r="B1838" s="9" t="s">
        <v>3735</v>
      </c>
      <c r="C1838" s="9" t="s">
        <v>138</v>
      </c>
      <c r="D1838" s="9" t="s">
        <v>89</v>
      </c>
      <c r="E1838" s="6" t="s">
        <v>2622</v>
      </c>
      <c r="F1838" s="9" t="s">
        <v>4152</v>
      </c>
    </row>
    <row r="1839" ht="33.75" customHeight="1">
      <c r="A1839" s="7">
        <v>62.0</v>
      </c>
      <c r="B1839" s="9" t="s">
        <v>3735</v>
      </c>
      <c r="C1839" s="9" t="s">
        <v>138</v>
      </c>
      <c r="D1839" s="9" t="s">
        <v>91</v>
      </c>
      <c r="E1839" s="6" t="s">
        <v>2637</v>
      </c>
      <c r="F1839" s="9" t="s">
        <v>4152</v>
      </c>
    </row>
    <row r="1840" ht="33.75" customHeight="1">
      <c r="A1840" s="7">
        <v>62.0</v>
      </c>
      <c r="B1840" s="9" t="s">
        <v>3735</v>
      </c>
      <c r="C1840" s="9" t="s">
        <v>138</v>
      </c>
      <c r="D1840" s="9" t="s">
        <v>93</v>
      </c>
      <c r="E1840" s="6" t="s">
        <v>2635</v>
      </c>
      <c r="F1840" s="9" t="s">
        <v>4152</v>
      </c>
    </row>
    <row r="1841" ht="33.75" customHeight="1">
      <c r="A1841" s="7">
        <v>62.0</v>
      </c>
      <c r="B1841" s="9" t="s">
        <v>3735</v>
      </c>
      <c r="C1841" s="9" t="s">
        <v>138</v>
      </c>
      <c r="D1841" s="9" t="s">
        <v>95</v>
      </c>
      <c r="E1841" s="6" t="s">
        <v>2635</v>
      </c>
      <c r="F1841" s="9" t="s">
        <v>4152</v>
      </c>
    </row>
    <row r="1842" ht="33.75" customHeight="1">
      <c r="A1842" s="7">
        <v>62.0</v>
      </c>
      <c r="B1842" s="9" t="s">
        <v>3735</v>
      </c>
      <c r="C1842" s="9" t="s">
        <v>138</v>
      </c>
      <c r="D1842" s="9" t="s">
        <v>98</v>
      </c>
      <c r="E1842" s="6" t="s">
        <v>2635</v>
      </c>
      <c r="F1842" s="9" t="s">
        <v>4152</v>
      </c>
    </row>
    <row r="1843" ht="33.75" customHeight="1">
      <c r="A1843" s="7">
        <v>62.0</v>
      </c>
      <c r="B1843" s="9" t="s">
        <v>3735</v>
      </c>
      <c r="C1843" s="9" t="s">
        <v>138</v>
      </c>
      <c r="D1843" s="9" t="s">
        <v>99</v>
      </c>
      <c r="E1843" s="6" t="s">
        <v>2635</v>
      </c>
      <c r="F1843" s="9" t="s">
        <v>4152</v>
      </c>
    </row>
    <row r="1844" ht="33.75" customHeight="1">
      <c r="A1844" s="7">
        <v>62.0</v>
      </c>
      <c r="B1844" s="9" t="s">
        <v>3735</v>
      </c>
      <c r="C1844" s="9" t="s">
        <v>138</v>
      </c>
      <c r="D1844" s="9" t="s">
        <v>101</v>
      </c>
      <c r="E1844" s="6" t="s">
        <v>2635</v>
      </c>
      <c r="F1844" s="9" t="s">
        <v>4152</v>
      </c>
    </row>
    <row r="1845" ht="33.75" customHeight="1">
      <c r="A1845" s="7">
        <v>62.0</v>
      </c>
      <c r="B1845" s="9" t="s">
        <v>3735</v>
      </c>
      <c r="C1845" s="9" t="s">
        <v>138</v>
      </c>
      <c r="D1845" s="9" t="s">
        <v>105</v>
      </c>
      <c r="E1845" s="6" t="s">
        <v>2633</v>
      </c>
      <c r="F1845" s="9" t="s">
        <v>4152</v>
      </c>
    </row>
    <row r="1846" ht="33.75" customHeight="1">
      <c r="A1846" s="7">
        <v>62.0</v>
      </c>
      <c r="B1846" s="9" t="s">
        <v>3735</v>
      </c>
      <c r="C1846" s="9" t="s">
        <v>138</v>
      </c>
      <c r="D1846" s="9" t="s">
        <v>107</v>
      </c>
      <c r="E1846" s="6" t="s">
        <v>2639</v>
      </c>
      <c r="F1846" s="9" t="s">
        <v>4152</v>
      </c>
    </row>
    <row r="1847" ht="33.75" customHeight="1">
      <c r="A1847" s="7">
        <v>62.0</v>
      </c>
      <c r="B1847" s="9" t="s">
        <v>3735</v>
      </c>
      <c r="C1847" s="9" t="s">
        <v>138</v>
      </c>
      <c r="D1847" s="9" t="s">
        <v>109</v>
      </c>
      <c r="E1847" s="6" t="s">
        <v>2639</v>
      </c>
      <c r="F1847" s="9" t="s">
        <v>4152</v>
      </c>
    </row>
    <row r="1848" ht="33.75" customHeight="1">
      <c r="A1848" s="7">
        <v>62.0</v>
      </c>
      <c r="B1848" s="9" t="s">
        <v>3735</v>
      </c>
      <c r="C1848" s="9" t="s">
        <v>138</v>
      </c>
      <c r="D1848" s="9" t="s">
        <v>637</v>
      </c>
      <c r="E1848" s="6" t="s">
        <v>2640</v>
      </c>
      <c r="F1848" s="9" t="s">
        <v>4152</v>
      </c>
    </row>
    <row r="1849" ht="33.75" customHeight="1">
      <c r="A1849" s="7">
        <v>62.0</v>
      </c>
      <c r="B1849" s="9" t="s">
        <v>3735</v>
      </c>
      <c r="C1849" s="9" t="s">
        <v>138</v>
      </c>
      <c r="D1849" s="9" t="s">
        <v>642</v>
      </c>
      <c r="E1849" s="6" t="s">
        <v>2642</v>
      </c>
      <c r="F1849" s="9" t="s">
        <v>4152</v>
      </c>
    </row>
    <row r="1850" ht="33.75" customHeight="1">
      <c r="A1850" s="7">
        <v>62.0</v>
      </c>
      <c r="B1850" s="9" t="s">
        <v>3735</v>
      </c>
      <c r="C1850" s="9" t="s">
        <v>138</v>
      </c>
      <c r="D1850" s="9" t="s">
        <v>647</v>
      </c>
      <c r="E1850" s="6" t="s">
        <v>2643</v>
      </c>
      <c r="F1850" s="9" t="s">
        <v>4152</v>
      </c>
    </row>
    <row r="1851" ht="33.75" customHeight="1">
      <c r="A1851" s="7">
        <v>62.0</v>
      </c>
      <c r="B1851" s="9" t="s">
        <v>3735</v>
      </c>
      <c r="C1851" s="9" t="s">
        <v>138</v>
      </c>
      <c r="D1851" s="9" t="s">
        <v>652</v>
      </c>
      <c r="E1851" s="6" t="s">
        <v>2645</v>
      </c>
      <c r="F1851" s="9" t="s">
        <v>4152</v>
      </c>
    </row>
    <row r="1852" ht="33.75" customHeight="1">
      <c r="A1852" s="7">
        <v>62.0</v>
      </c>
      <c r="B1852" s="9" t="s">
        <v>3735</v>
      </c>
      <c r="C1852" s="9" t="s">
        <v>138</v>
      </c>
      <c r="D1852" s="9" t="s">
        <v>111</v>
      </c>
      <c r="E1852" s="6" t="s">
        <v>2646</v>
      </c>
      <c r="F1852" s="9" t="s">
        <v>4152</v>
      </c>
    </row>
    <row r="1853" ht="33.75" customHeight="1">
      <c r="A1853" s="7">
        <v>62.0</v>
      </c>
      <c r="B1853" s="9" t="s">
        <v>3735</v>
      </c>
      <c r="C1853" s="9" t="s">
        <v>138</v>
      </c>
      <c r="D1853" s="9" t="s">
        <v>113</v>
      </c>
      <c r="E1853" s="6" t="s">
        <v>2646</v>
      </c>
      <c r="F1853" s="9" t="s">
        <v>4152</v>
      </c>
    </row>
    <row r="1854" ht="33.75" customHeight="1">
      <c r="A1854" s="7">
        <v>62.0</v>
      </c>
      <c r="B1854" s="9" t="s">
        <v>3735</v>
      </c>
      <c r="C1854" s="9" t="s">
        <v>138</v>
      </c>
      <c r="D1854" s="9" t="s">
        <v>114</v>
      </c>
      <c r="E1854" s="6" t="s">
        <v>2647</v>
      </c>
      <c r="F1854" s="9" t="s">
        <v>4152</v>
      </c>
    </row>
    <row r="1855" ht="33.75" customHeight="1">
      <c r="A1855" s="7">
        <v>62.0</v>
      </c>
      <c r="B1855" s="9" t="s">
        <v>3735</v>
      </c>
      <c r="C1855" s="9" t="s">
        <v>138</v>
      </c>
      <c r="D1855" s="9" t="s">
        <v>117</v>
      </c>
      <c r="E1855" s="6" t="s">
        <v>2648</v>
      </c>
      <c r="F1855" s="9" t="s">
        <v>4152</v>
      </c>
    </row>
    <row r="1856" ht="33.75" customHeight="1">
      <c r="A1856" s="7">
        <v>63.0</v>
      </c>
      <c r="B1856" s="9" t="s">
        <v>3795</v>
      </c>
      <c r="C1856" s="9" t="s">
        <v>139</v>
      </c>
      <c r="D1856" s="9" t="s">
        <v>24</v>
      </c>
      <c r="E1856" s="6" t="s">
        <v>2650</v>
      </c>
      <c r="F1856" s="9" t="s">
        <v>4221</v>
      </c>
      <c r="G1856" t="inlineStr" s="6">
        <is>
          <t xml:space="preserve">Using Abra's ability to read minds, it will identify impending danger and TELEPORT to safety. Sleeps 18 hours a day. If it senses danger, it will teleport itself to safety even as it sleeps. It senses impending attacks and TELEPORTS away to safety before the actual attacks can strike. If it decides to TELEPORT randomly, it creates the illusion that it has created copies of itself. It hypnotizes itself so that it can teleport away when it senses danger, even if it is asleep. ABRA sleeps for eighteen hours a day. However, it can sense the presence of foes even while it is sleeping. In such a situation, this POKéMON immediately teleports to safety. ABRA needs to sleep for eighteen hours a day. If it doesn’t, this POKéMON loses its ability to use telekinetic powers. If it is attacked, ABRA escapes using TELEPORT while it is still sleeping. A POKéMON that sleeps 18 hours a day. Observation revealed that it uses TELEPORT to change its location once every hour. It sleeps for 18 hours a day. It uses a variety of extrasensory powers even while asleep. Using its ability to read minds, it will sense impending danger and TELEPORT to safety. Even when awake, it teleports itself while remaining seated. Even while asleep, it maintains a telepathic radar. It teleports when it is threatened. Using its psychic power is such a strain on its brain that it needs to sleep for 18 hours a day. If it decides to teleport randomly, it evokes the illusion that it has created copies of itself. It sleeps 18 hours a day. Even while sleeping, it will teleport itself to treetops and pick and eat berries there. It can teleport itself to safety while it’s asleep, but when it wakes, it doesn’t know where it is, so it panics. It uses various psychic powers even while it’s sleeping, so you can’t tell whether or not it’s awake. It can read others’ minds and will teleport away when danger approaches. You must clear your mind if you want to catch it. This Pokémon uses its psychic powers while it sleeps. The contents of Abra’s dreams affect the powers that the Pokémon wields. Abra can teleport in its sleep. Apparently the more deeply Abra sleeps, the farther its teleportations go. Spends 18 hours of the day sleeping. Even while asleep, Abra can control its psychic powers—should danger approach, the Pokémon will simply teleport away.</t>
        </is>
      </c>
    </row>
    <row r="1857" ht="33.75" customHeight="1">
      <c r="A1857" s="7">
        <v>63.0</v>
      </c>
      <c r="B1857" s="9" t="s">
        <v>3795</v>
      </c>
      <c r="C1857" s="9" t="s">
        <v>139</v>
      </c>
      <c r="D1857" s="9" t="s">
        <v>35</v>
      </c>
      <c r="E1857" s="6" t="s">
        <v>2650</v>
      </c>
      <c r="F1857" s="9" t="s">
        <v>4221</v>
      </c>
    </row>
    <row r="1858" ht="33.75" customHeight="1">
      <c r="A1858" s="7">
        <v>63.0</v>
      </c>
      <c r="B1858" s="9" t="s">
        <v>3795</v>
      </c>
      <c r="C1858" s="9" t="s">
        <v>139</v>
      </c>
      <c r="D1858" s="9" t="s">
        <v>42</v>
      </c>
      <c r="E1858" s="6" t="s">
        <v>2651</v>
      </c>
      <c r="F1858" s="9" t="s">
        <v>4221</v>
      </c>
    </row>
    <row r="1859" ht="33.75" customHeight="1">
      <c r="A1859" s="7">
        <v>63.0</v>
      </c>
      <c r="B1859" s="9" t="s">
        <v>3795</v>
      </c>
      <c r="C1859" s="9" t="s">
        <v>139</v>
      </c>
      <c r="D1859" s="9" t="s">
        <v>52</v>
      </c>
      <c r="E1859" s="6" t="s">
        <v>2652</v>
      </c>
      <c r="F1859" s="9" t="s">
        <v>4221</v>
      </c>
    </row>
    <row r="1860" ht="33.75" customHeight="1">
      <c r="A1860" s="7">
        <v>63.0</v>
      </c>
      <c r="B1860" s="9" t="s">
        <v>3795</v>
      </c>
      <c r="C1860" s="9" t="s">
        <v>139</v>
      </c>
      <c r="D1860" s="9" t="s">
        <v>59</v>
      </c>
      <c r="E1860" s="6" t="s">
        <v>2653</v>
      </c>
      <c r="F1860" s="9" t="s">
        <v>4221</v>
      </c>
    </row>
    <row r="1861" ht="33.75" customHeight="1">
      <c r="A1861" s="7">
        <v>63.0</v>
      </c>
      <c r="B1861" s="9" t="s">
        <v>3795</v>
      </c>
      <c r="C1861" s="9" t="s">
        <v>139</v>
      </c>
      <c r="D1861" s="9" t="s">
        <v>64</v>
      </c>
      <c r="E1861" s="6" t="s">
        <v>2654</v>
      </c>
      <c r="F1861" s="9" t="s">
        <v>4221</v>
      </c>
    </row>
    <row r="1862" ht="33.75" customHeight="1">
      <c r="A1862" s="7">
        <v>63.0</v>
      </c>
      <c r="B1862" s="9" t="s">
        <v>3795</v>
      </c>
      <c r="C1862" s="9" t="s">
        <v>139</v>
      </c>
      <c r="D1862" s="9" t="s">
        <v>67</v>
      </c>
      <c r="E1862" s="6" t="s">
        <v>2655</v>
      </c>
      <c r="F1862" s="9" t="s">
        <v>4221</v>
      </c>
    </row>
    <row r="1863" ht="33.75" customHeight="1">
      <c r="A1863" s="7">
        <v>63.0</v>
      </c>
      <c r="B1863" s="9" t="s">
        <v>3795</v>
      </c>
      <c r="C1863" s="9" t="s">
        <v>139</v>
      </c>
      <c r="D1863" s="9" t="s">
        <v>71</v>
      </c>
      <c r="E1863" s="6" t="s">
        <v>2656</v>
      </c>
      <c r="F1863" s="9" t="s">
        <v>4221</v>
      </c>
    </row>
    <row r="1864" ht="33.75" customHeight="1">
      <c r="A1864" s="7">
        <v>63.0</v>
      </c>
      <c r="B1864" s="9" t="s">
        <v>3795</v>
      </c>
      <c r="C1864" s="9" t="s">
        <v>139</v>
      </c>
      <c r="D1864" s="9" t="s">
        <v>73</v>
      </c>
      <c r="E1864" s="6" t="s">
        <v>2657</v>
      </c>
      <c r="F1864" s="9" t="s">
        <v>4221</v>
      </c>
    </row>
    <row r="1865" ht="33.75" customHeight="1">
      <c r="A1865" s="7">
        <v>63.0</v>
      </c>
      <c r="B1865" s="9" t="s">
        <v>3795</v>
      </c>
      <c r="C1865" s="9" t="s">
        <v>139</v>
      </c>
      <c r="D1865" s="9" t="s">
        <v>75</v>
      </c>
      <c r="E1865" s="6" t="s">
        <v>2659</v>
      </c>
      <c r="F1865" s="9" t="s">
        <v>4221</v>
      </c>
    </row>
    <row r="1866" ht="33.75" customHeight="1">
      <c r="A1866" s="7">
        <v>63.0</v>
      </c>
      <c r="B1866" s="9" t="s">
        <v>3795</v>
      </c>
      <c r="C1866" s="9" t="s">
        <v>139</v>
      </c>
      <c r="D1866" s="9" t="s">
        <v>79</v>
      </c>
      <c r="E1866" s="6" t="s">
        <v>2661</v>
      </c>
      <c r="F1866" s="9" t="s">
        <v>4221</v>
      </c>
    </row>
    <row r="1867" ht="33.75" customHeight="1">
      <c r="A1867" s="7">
        <v>63.0</v>
      </c>
      <c r="B1867" s="9" t="s">
        <v>3795</v>
      </c>
      <c r="C1867" s="9" t="s">
        <v>139</v>
      </c>
      <c r="D1867" s="9" t="s">
        <v>81</v>
      </c>
      <c r="E1867" s="6" t="s">
        <v>2663</v>
      </c>
      <c r="F1867" s="9" t="s">
        <v>4221</v>
      </c>
    </row>
    <row r="1868" ht="33.75" customHeight="1">
      <c r="A1868" s="7">
        <v>63.0</v>
      </c>
      <c r="B1868" s="9" t="s">
        <v>3795</v>
      </c>
      <c r="C1868" s="9" t="s">
        <v>139</v>
      </c>
      <c r="D1868" s="9" t="s">
        <v>84</v>
      </c>
      <c r="E1868" s="6" t="s">
        <v>2664</v>
      </c>
      <c r="F1868" s="9" t="s">
        <v>4221</v>
      </c>
    </row>
    <row r="1869" ht="33.75" customHeight="1">
      <c r="A1869" s="7">
        <v>63.0</v>
      </c>
      <c r="B1869" s="9" t="s">
        <v>3795</v>
      </c>
      <c r="C1869" s="9" t="s">
        <v>139</v>
      </c>
      <c r="D1869" s="9" t="s">
        <v>87</v>
      </c>
      <c r="E1869" s="6" t="s">
        <v>2665</v>
      </c>
      <c r="F1869" s="9" t="s">
        <v>4221</v>
      </c>
    </row>
    <row r="1870" ht="33.75" customHeight="1">
      <c r="A1870" s="7">
        <v>63.0</v>
      </c>
      <c r="B1870" s="9" t="s">
        <v>3795</v>
      </c>
      <c r="C1870" s="9" t="s">
        <v>139</v>
      </c>
      <c r="D1870" s="9" t="s">
        <v>89</v>
      </c>
      <c r="E1870" s="6" t="s">
        <v>2666</v>
      </c>
      <c r="F1870" s="9" t="s">
        <v>4221</v>
      </c>
    </row>
    <row r="1871" ht="33.75" customHeight="1">
      <c r="A1871" s="7">
        <v>63.0</v>
      </c>
      <c r="B1871" s="9" t="s">
        <v>3795</v>
      </c>
      <c r="C1871" s="9" t="s">
        <v>139</v>
      </c>
      <c r="D1871" s="9" t="s">
        <v>91</v>
      </c>
      <c r="E1871" s="6" t="s">
        <v>2668</v>
      </c>
      <c r="F1871" s="9" t="s">
        <v>4221</v>
      </c>
    </row>
    <row r="1872" ht="33.75" customHeight="1">
      <c r="A1872" s="7">
        <v>63.0</v>
      </c>
      <c r="B1872" s="9" t="s">
        <v>3795</v>
      </c>
      <c r="C1872" s="9" t="s">
        <v>139</v>
      </c>
      <c r="D1872" s="9" t="s">
        <v>93</v>
      </c>
      <c r="E1872" s="6" t="s">
        <v>2665</v>
      </c>
      <c r="F1872" s="9" t="s">
        <v>4221</v>
      </c>
    </row>
    <row r="1873" ht="33.75" customHeight="1">
      <c r="A1873" s="7">
        <v>63.0</v>
      </c>
      <c r="B1873" s="9" t="s">
        <v>3795</v>
      </c>
      <c r="C1873" s="9" t="s">
        <v>139</v>
      </c>
      <c r="D1873" s="9" t="s">
        <v>95</v>
      </c>
      <c r="E1873" s="6" t="s">
        <v>2665</v>
      </c>
      <c r="F1873" s="9" t="s">
        <v>4221</v>
      </c>
    </row>
    <row r="1874" ht="33.75" customHeight="1">
      <c r="A1874" s="7">
        <v>63.0</v>
      </c>
      <c r="B1874" s="9" t="s">
        <v>3795</v>
      </c>
      <c r="C1874" s="9" t="s">
        <v>139</v>
      </c>
      <c r="D1874" s="9" t="s">
        <v>98</v>
      </c>
      <c r="E1874" s="6" t="s">
        <v>2665</v>
      </c>
      <c r="F1874" s="9" t="s">
        <v>4221</v>
      </c>
    </row>
    <row r="1875" ht="33.75" customHeight="1">
      <c r="A1875" s="7">
        <v>63.0</v>
      </c>
      <c r="B1875" s="9" t="s">
        <v>3795</v>
      </c>
      <c r="C1875" s="9" t="s">
        <v>139</v>
      </c>
      <c r="D1875" s="9" t="s">
        <v>99</v>
      </c>
      <c r="E1875" s="6" t="s">
        <v>2665</v>
      </c>
      <c r="F1875" s="9" t="s">
        <v>4221</v>
      </c>
    </row>
    <row r="1876" ht="33.75" customHeight="1">
      <c r="A1876" s="7">
        <v>63.0</v>
      </c>
      <c r="B1876" s="9" t="s">
        <v>3795</v>
      </c>
      <c r="C1876" s="9" t="s">
        <v>139</v>
      </c>
      <c r="D1876" s="9" t="s">
        <v>101</v>
      </c>
      <c r="E1876" s="6" t="s">
        <v>2659</v>
      </c>
      <c r="F1876" s="9" t="s">
        <v>4221</v>
      </c>
    </row>
    <row r="1877" ht="33.75" customHeight="1">
      <c r="A1877" s="7">
        <v>63.0</v>
      </c>
      <c r="B1877" s="9" t="s">
        <v>3795</v>
      </c>
      <c r="C1877" s="9" t="s">
        <v>139</v>
      </c>
      <c r="D1877" s="9" t="s">
        <v>105</v>
      </c>
      <c r="E1877" s="6" t="s">
        <v>2666</v>
      </c>
      <c r="F1877" s="9" t="s">
        <v>4221</v>
      </c>
    </row>
    <row r="1878" ht="33.75" customHeight="1">
      <c r="A1878" s="7">
        <v>63.0</v>
      </c>
      <c r="B1878" s="9" t="s">
        <v>3795</v>
      </c>
      <c r="C1878" s="9" t="s">
        <v>139</v>
      </c>
      <c r="D1878" s="9" t="s">
        <v>107</v>
      </c>
      <c r="E1878" s="6" t="s">
        <v>2670</v>
      </c>
      <c r="F1878" s="9" t="s">
        <v>4221</v>
      </c>
    </row>
    <row r="1879" ht="33.75" customHeight="1">
      <c r="A1879" s="7">
        <v>63.0</v>
      </c>
      <c r="B1879" s="9" t="s">
        <v>3795</v>
      </c>
      <c r="C1879" s="9" t="s">
        <v>139</v>
      </c>
      <c r="D1879" s="9" t="s">
        <v>109</v>
      </c>
      <c r="E1879" s="6" t="s">
        <v>2672</v>
      </c>
      <c r="F1879" s="9" t="s">
        <v>4221</v>
      </c>
    </row>
    <row r="1880" ht="33.75" customHeight="1">
      <c r="A1880" s="7">
        <v>63.0</v>
      </c>
      <c r="B1880" s="9" t="s">
        <v>3795</v>
      </c>
      <c r="C1880" s="9" t="s">
        <v>139</v>
      </c>
      <c r="D1880" s="9" t="s">
        <v>637</v>
      </c>
      <c r="E1880" s="6" t="s">
        <v>2674</v>
      </c>
      <c r="F1880" s="9" t="s">
        <v>4221</v>
      </c>
    </row>
    <row r="1881" ht="33.75" customHeight="1">
      <c r="A1881" s="7">
        <v>63.0</v>
      </c>
      <c r="B1881" s="9" t="s">
        <v>3795</v>
      </c>
      <c r="C1881" s="9" t="s">
        <v>139</v>
      </c>
      <c r="D1881" s="9" t="s">
        <v>642</v>
      </c>
      <c r="E1881" s="6" t="s">
        <v>2677</v>
      </c>
      <c r="F1881" s="9" t="s">
        <v>4221</v>
      </c>
    </row>
    <row r="1882" ht="33.75" customHeight="1">
      <c r="A1882" s="7">
        <v>63.0</v>
      </c>
      <c r="B1882" s="9" t="s">
        <v>3795</v>
      </c>
      <c r="C1882" s="9" t="s">
        <v>139</v>
      </c>
      <c r="D1882" s="9" t="s">
        <v>647</v>
      </c>
      <c r="E1882" s="6" t="s">
        <v>2679</v>
      </c>
      <c r="F1882" s="9" t="s">
        <v>4221</v>
      </c>
    </row>
    <row r="1883" ht="33.75" customHeight="1">
      <c r="A1883" s="7">
        <v>63.0</v>
      </c>
      <c r="B1883" s="9" t="s">
        <v>3795</v>
      </c>
      <c r="C1883" s="9" t="s">
        <v>139</v>
      </c>
      <c r="D1883" s="9" t="s">
        <v>652</v>
      </c>
      <c r="E1883" s="6" t="s">
        <v>2681</v>
      </c>
      <c r="F1883" s="9" t="s">
        <v>4221</v>
      </c>
    </row>
    <row r="1884" ht="33.75" customHeight="1">
      <c r="A1884" s="7">
        <v>63.0</v>
      </c>
      <c r="B1884" s="9" t="s">
        <v>3795</v>
      </c>
      <c r="C1884" s="9" t="s">
        <v>139</v>
      </c>
      <c r="D1884" s="9" t="s">
        <v>111</v>
      </c>
      <c r="E1884" s="6" t="s">
        <v>2651</v>
      </c>
      <c r="F1884" s="9" t="s">
        <v>4221</v>
      </c>
    </row>
    <row r="1885" ht="33.75" customHeight="1">
      <c r="A1885" s="7">
        <v>63.0</v>
      </c>
      <c r="B1885" s="9" t="s">
        <v>3795</v>
      </c>
      <c r="C1885" s="9" t="s">
        <v>139</v>
      </c>
      <c r="D1885" s="9" t="s">
        <v>113</v>
      </c>
      <c r="E1885" s="6" t="s">
        <v>2651</v>
      </c>
      <c r="F1885" s="9" t="s">
        <v>4221</v>
      </c>
    </row>
    <row r="1886" ht="33.75" customHeight="1">
      <c r="A1886" s="7">
        <v>63.0</v>
      </c>
      <c r="B1886" s="9" t="s">
        <v>3795</v>
      </c>
      <c r="C1886" s="9" t="s">
        <v>139</v>
      </c>
      <c r="D1886" s="9" t="s">
        <v>114</v>
      </c>
      <c r="E1886" s="6" t="s">
        <v>2684</v>
      </c>
      <c r="F1886" s="9" t="s">
        <v>4221</v>
      </c>
    </row>
    <row r="1887" ht="33.75" customHeight="1">
      <c r="A1887" s="7">
        <v>63.0</v>
      </c>
      <c r="B1887" s="9" t="s">
        <v>3795</v>
      </c>
      <c r="C1887" s="9" t="s">
        <v>139</v>
      </c>
      <c r="D1887" s="9" t="s">
        <v>117</v>
      </c>
      <c r="E1887" s="6" t="s">
        <v>2685</v>
      </c>
      <c r="F1887" s="9" t="s">
        <v>4221</v>
      </c>
    </row>
    <row r="1888" ht="33.75" customHeight="1">
      <c r="A1888" s="7">
        <v>63.0</v>
      </c>
      <c r="B1888" s="9" t="s">
        <v>3795</v>
      </c>
      <c r="C1888" s="9" t="s">
        <v>139</v>
      </c>
      <c r="D1888" s="9" t="s">
        <v>1577</v>
      </c>
      <c r="E1888" s="6" t="s">
        <v>2687</v>
      </c>
      <c r="F1888" s="9" t="s">
        <v>4221</v>
      </c>
    </row>
    <row r="1889" ht="33.75" customHeight="1">
      <c r="A1889" s="7">
        <v>64.0</v>
      </c>
      <c r="B1889" s="9" t="s">
        <v>3868</v>
      </c>
      <c r="C1889" s="9" t="s">
        <v>139</v>
      </c>
      <c r="D1889" s="9" t="s">
        <v>24</v>
      </c>
      <c r="E1889" s="6" t="s">
        <v>2688</v>
      </c>
      <c r="F1889" s="9" t="s">
        <v>4292</v>
      </c>
      <c r="G1889" t="inlineStr" s="6">
        <is>
          <t xml:space="preserve">It emits special alpha waves from Kadabra's body that induce headaches just by being close by. Many odd things happen if this POKéMON is close by. For example, it makes clocks run backwards. It possesses strong spiritual power. The more danger it faces, the stronger its psychic power. If it uses its abilities, it emits special alpha waves that cause machines to malfunction. When it closes its eyes, twice as many alpha particles come out of the surface of its body. KADABRA emits a peculiar alpha wave if it develops a headache. Only those people with a particularly strong psyche can hope to become a TRAINER of this POKéMON. KADABRA holds a silver spoon in its hand. The spoon is used to amplify the alpha waves in its brain. Without the spoon, the POKéMON is said to be limited to half the usual amount of its telekinetic powers. It is rumored that a boy with psychic abilities suddenly transformed into KADABRA while he was assisting research into extrasensory powers. It happened one morning - a boy with extrasensory powers awoke in bed transformed into KADABRA. It emits special alpha waves from its body that induce headaches just by being close. If one is nearby, an eerie shadow appears on TV screens. Seeing the shadow is said to bring bad luck. When it uses its psychic power, it emits strong ha waves that can ruin precision devices. It stares at its silver spoon to focus its mind. It emits more alpha waves while doing so. When it uses its psychic power, it emits strong alpha waves that can ruin precision devices. A theory exists that this Pokémon was a young boy who couldn’t control his psychic powers and ended up transformed into this Pokémon. Kadabra’s presence infests televisions and monitors with creepy shadows that bring bad luck. It stares at a silver spoon to amplify its psychic powers before it lets loose. Apparently, gold spoons are no good. It possesses strong mental capabilities, but its psychic powers are halved when it’s not holding a silver spoon. For example, it makes clocks run backward. Using its psychic power, Kadabra levitates as it sleeps. It uses its springy tail as a pillow. This Pokémon’s telekinesis is immensely powerful. To prepare for evolution, Kadabra stores up psychic energy in the star on its forehead. There are rumors that a child with mystical powers became a Kadabra; however, this remains unverified. I suspect that the spoon Kadabra holds enhances its brain waves.</t>
        </is>
      </c>
    </row>
    <row r="1890" ht="33.75" customHeight="1">
      <c r="A1890" s="7">
        <v>64.0</v>
      </c>
      <c r="B1890" s="9" t="s">
        <v>3868</v>
      </c>
      <c r="C1890" s="9" t="s">
        <v>139</v>
      </c>
      <c r="D1890" s="9" t="s">
        <v>35</v>
      </c>
      <c r="E1890" s="6" t="s">
        <v>2688</v>
      </c>
      <c r="F1890" s="9" t="s">
        <v>4292</v>
      </c>
    </row>
    <row r="1891" ht="33.75" customHeight="1">
      <c r="A1891" s="7">
        <v>64.0</v>
      </c>
      <c r="B1891" s="9" t="s">
        <v>3868</v>
      </c>
      <c r="C1891" s="9" t="s">
        <v>139</v>
      </c>
      <c r="D1891" s="9" t="s">
        <v>42</v>
      </c>
      <c r="E1891" s="6" t="s">
        <v>2689</v>
      </c>
      <c r="F1891" s="9" t="s">
        <v>4292</v>
      </c>
    </row>
    <row r="1892" ht="33.75" customHeight="1">
      <c r="A1892" s="7">
        <v>64.0</v>
      </c>
      <c r="B1892" s="9" t="s">
        <v>3868</v>
      </c>
      <c r="C1892" s="9" t="s">
        <v>139</v>
      </c>
      <c r="D1892" s="9" t="s">
        <v>52</v>
      </c>
      <c r="E1892" s="6" t="s">
        <v>2690</v>
      </c>
      <c r="F1892" s="9" t="s">
        <v>4292</v>
      </c>
    </row>
    <row r="1893" ht="33.75" customHeight="1">
      <c r="A1893" s="7">
        <v>64.0</v>
      </c>
      <c r="B1893" s="9" t="s">
        <v>3868</v>
      </c>
      <c r="C1893" s="9" t="s">
        <v>139</v>
      </c>
      <c r="D1893" s="9" t="s">
        <v>59</v>
      </c>
      <c r="E1893" s="6" t="s">
        <v>2691</v>
      </c>
      <c r="F1893" s="9" t="s">
        <v>4292</v>
      </c>
    </row>
    <row r="1894" ht="33.75" customHeight="1">
      <c r="A1894" s="7">
        <v>64.0</v>
      </c>
      <c r="B1894" s="9" t="s">
        <v>3868</v>
      </c>
      <c r="C1894" s="9" t="s">
        <v>139</v>
      </c>
      <c r="D1894" s="9" t="s">
        <v>64</v>
      </c>
      <c r="E1894" s="6" t="s">
        <v>2692</v>
      </c>
      <c r="F1894" s="9" t="s">
        <v>4292</v>
      </c>
    </row>
    <row r="1895" ht="33.75" customHeight="1">
      <c r="A1895" s="7">
        <v>64.0</v>
      </c>
      <c r="B1895" s="9" t="s">
        <v>3868</v>
      </c>
      <c r="C1895" s="9" t="s">
        <v>139</v>
      </c>
      <c r="D1895" s="9" t="s">
        <v>67</v>
      </c>
      <c r="E1895" s="6" t="s">
        <v>2693</v>
      </c>
      <c r="F1895" s="9" t="s">
        <v>4292</v>
      </c>
    </row>
    <row r="1896" ht="33.75" customHeight="1">
      <c r="A1896" s="7">
        <v>64.0</v>
      </c>
      <c r="B1896" s="9" t="s">
        <v>3868</v>
      </c>
      <c r="C1896" s="9" t="s">
        <v>139</v>
      </c>
      <c r="D1896" s="9" t="s">
        <v>71</v>
      </c>
      <c r="E1896" s="6" t="s">
        <v>2694</v>
      </c>
      <c r="F1896" s="9" t="s">
        <v>4292</v>
      </c>
    </row>
    <row r="1897" ht="33.75" customHeight="1">
      <c r="A1897" s="7">
        <v>64.0</v>
      </c>
      <c r="B1897" s="9" t="s">
        <v>3868</v>
      </c>
      <c r="C1897" s="9" t="s">
        <v>139</v>
      </c>
      <c r="D1897" s="9" t="s">
        <v>73</v>
      </c>
      <c r="E1897" s="6" t="s">
        <v>2695</v>
      </c>
      <c r="F1897" s="9" t="s">
        <v>4292</v>
      </c>
    </row>
    <row r="1898" ht="33.75" customHeight="1">
      <c r="A1898" s="7">
        <v>64.0</v>
      </c>
      <c r="B1898" s="9" t="s">
        <v>3868</v>
      </c>
      <c r="C1898" s="9" t="s">
        <v>139</v>
      </c>
      <c r="D1898" s="9" t="s">
        <v>75</v>
      </c>
      <c r="E1898" s="6" t="s">
        <v>2697</v>
      </c>
      <c r="F1898" s="9" t="s">
        <v>4292</v>
      </c>
    </row>
    <row r="1899" ht="33.75" customHeight="1">
      <c r="A1899" s="7">
        <v>64.0</v>
      </c>
      <c r="B1899" s="9" t="s">
        <v>3868</v>
      </c>
      <c r="C1899" s="9" t="s">
        <v>139</v>
      </c>
      <c r="D1899" s="9" t="s">
        <v>79</v>
      </c>
      <c r="E1899" s="6" t="s">
        <v>2698</v>
      </c>
      <c r="F1899" s="9" t="s">
        <v>4292</v>
      </c>
    </row>
    <row r="1900" ht="33.75" customHeight="1">
      <c r="A1900" s="7">
        <v>64.0</v>
      </c>
      <c r="B1900" s="9" t="s">
        <v>3868</v>
      </c>
      <c r="C1900" s="9" t="s">
        <v>139</v>
      </c>
      <c r="D1900" s="9" t="s">
        <v>81</v>
      </c>
      <c r="E1900" s="6" t="s">
        <v>2699</v>
      </c>
      <c r="F1900" s="9" t="s">
        <v>4292</v>
      </c>
    </row>
    <row r="1901" ht="33.75" customHeight="1">
      <c r="A1901" s="7">
        <v>64.0</v>
      </c>
      <c r="B1901" s="9" t="s">
        <v>3868</v>
      </c>
      <c r="C1901" s="9" t="s">
        <v>139</v>
      </c>
      <c r="D1901" s="9" t="s">
        <v>84</v>
      </c>
      <c r="E1901" s="6" t="s">
        <v>2701</v>
      </c>
      <c r="F1901" s="9" t="s">
        <v>4292</v>
      </c>
    </row>
    <row r="1902" ht="33.75" customHeight="1">
      <c r="A1902" s="7">
        <v>64.0</v>
      </c>
      <c r="B1902" s="9" t="s">
        <v>3868</v>
      </c>
      <c r="C1902" s="9" t="s">
        <v>139</v>
      </c>
      <c r="D1902" s="9" t="s">
        <v>87</v>
      </c>
      <c r="E1902" s="6" t="s">
        <v>2703</v>
      </c>
      <c r="F1902" s="9" t="s">
        <v>4292</v>
      </c>
    </row>
    <row r="1903" ht="33.75" customHeight="1">
      <c r="A1903" s="7">
        <v>64.0</v>
      </c>
      <c r="B1903" s="9" t="s">
        <v>3868</v>
      </c>
      <c r="C1903" s="9" t="s">
        <v>139</v>
      </c>
      <c r="D1903" s="9" t="s">
        <v>89</v>
      </c>
      <c r="E1903" s="6" t="s">
        <v>2690</v>
      </c>
      <c r="F1903" s="9" t="s">
        <v>4292</v>
      </c>
    </row>
    <row r="1904" ht="33.75" customHeight="1">
      <c r="A1904" s="7">
        <v>64.0</v>
      </c>
      <c r="B1904" s="9" t="s">
        <v>3868</v>
      </c>
      <c r="C1904" s="9" t="s">
        <v>139</v>
      </c>
      <c r="D1904" s="9" t="s">
        <v>91</v>
      </c>
      <c r="E1904" s="6" t="s">
        <v>2691</v>
      </c>
      <c r="F1904" s="9" t="s">
        <v>4292</v>
      </c>
    </row>
    <row r="1905" ht="33.75" customHeight="1">
      <c r="A1905" s="7">
        <v>64.0</v>
      </c>
      <c r="B1905" s="9" t="s">
        <v>3868</v>
      </c>
      <c r="C1905" s="9" t="s">
        <v>139</v>
      </c>
      <c r="D1905" s="9" t="s">
        <v>93</v>
      </c>
      <c r="E1905" s="6" t="s">
        <v>2703</v>
      </c>
      <c r="F1905" s="9" t="s">
        <v>4292</v>
      </c>
    </row>
    <row r="1906" ht="33.75" customHeight="1">
      <c r="A1906" s="7">
        <v>64.0</v>
      </c>
      <c r="B1906" s="9" t="s">
        <v>3868</v>
      </c>
      <c r="C1906" s="9" t="s">
        <v>139</v>
      </c>
      <c r="D1906" s="9" t="s">
        <v>95</v>
      </c>
      <c r="E1906" s="6" t="s">
        <v>2703</v>
      </c>
      <c r="F1906" s="9" t="s">
        <v>4292</v>
      </c>
    </row>
    <row r="1907" ht="33.75" customHeight="1">
      <c r="A1907" s="7">
        <v>64.0</v>
      </c>
      <c r="B1907" s="9" t="s">
        <v>3868</v>
      </c>
      <c r="C1907" s="9" t="s">
        <v>139</v>
      </c>
      <c r="D1907" s="9" t="s">
        <v>98</v>
      </c>
      <c r="E1907" s="6" t="s">
        <v>2703</v>
      </c>
      <c r="F1907" s="9" t="s">
        <v>4292</v>
      </c>
    </row>
    <row r="1908" ht="33.75" customHeight="1">
      <c r="A1908" s="7">
        <v>64.0</v>
      </c>
      <c r="B1908" s="9" t="s">
        <v>3868</v>
      </c>
      <c r="C1908" s="9" t="s">
        <v>139</v>
      </c>
      <c r="D1908" s="9" t="s">
        <v>99</v>
      </c>
      <c r="E1908" s="6" t="s">
        <v>2703</v>
      </c>
      <c r="F1908" s="9" t="s">
        <v>4292</v>
      </c>
    </row>
    <row r="1909" ht="33.75" customHeight="1">
      <c r="A1909" s="7">
        <v>64.0</v>
      </c>
      <c r="B1909" s="9" t="s">
        <v>3868</v>
      </c>
      <c r="C1909" s="9" t="s">
        <v>139</v>
      </c>
      <c r="D1909" s="9" t="s">
        <v>101</v>
      </c>
      <c r="E1909" s="6" t="s">
        <v>2704</v>
      </c>
      <c r="F1909" s="9" t="s">
        <v>4292</v>
      </c>
    </row>
    <row r="1910" ht="33.75" customHeight="1">
      <c r="A1910" s="7">
        <v>64.0</v>
      </c>
      <c r="B1910" s="9" t="s">
        <v>3868</v>
      </c>
      <c r="C1910" s="9" t="s">
        <v>139</v>
      </c>
      <c r="D1910" s="9" t="s">
        <v>105</v>
      </c>
      <c r="E1910" s="6" t="s">
        <v>2691</v>
      </c>
      <c r="F1910" s="9" t="s">
        <v>4292</v>
      </c>
    </row>
    <row r="1911" ht="33.75" customHeight="1">
      <c r="A1911" s="7">
        <v>64.0</v>
      </c>
      <c r="B1911" s="9" t="s">
        <v>3868</v>
      </c>
      <c r="C1911" s="9" t="s">
        <v>139</v>
      </c>
      <c r="D1911" s="9" t="s">
        <v>107</v>
      </c>
      <c r="E1911" s="6" t="s">
        <v>2705</v>
      </c>
      <c r="F1911" s="9" t="s">
        <v>4292</v>
      </c>
    </row>
    <row r="1912" ht="33.75" customHeight="1">
      <c r="A1912" s="7">
        <v>64.0</v>
      </c>
      <c r="B1912" s="9" t="s">
        <v>3868</v>
      </c>
      <c r="C1912" s="9" t="s">
        <v>139</v>
      </c>
      <c r="D1912" s="9" t="s">
        <v>109</v>
      </c>
      <c r="E1912" s="6" t="s">
        <v>2707</v>
      </c>
      <c r="F1912" s="9" t="s">
        <v>4292</v>
      </c>
    </row>
    <row r="1913" ht="33.75" customHeight="1">
      <c r="A1913" s="7">
        <v>64.0</v>
      </c>
      <c r="B1913" s="9" t="s">
        <v>3868</v>
      </c>
      <c r="C1913" s="9" t="s">
        <v>139</v>
      </c>
      <c r="D1913" s="9" t="s">
        <v>637</v>
      </c>
      <c r="E1913" s="6" t="s">
        <v>2708</v>
      </c>
      <c r="F1913" s="9" t="s">
        <v>4292</v>
      </c>
    </row>
    <row r="1914" ht="33.75" customHeight="1">
      <c r="A1914" s="7">
        <v>64.0</v>
      </c>
      <c r="B1914" s="9" t="s">
        <v>3868</v>
      </c>
      <c r="C1914" s="9" t="s">
        <v>139</v>
      </c>
      <c r="D1914" s="9" t="s">
        <v>642</v>
      </c>
      <c r="E1914" s="6" t="s">
        <v>2710</v>
      </c>
      <c r="F1914" s="9" t="s">
        <v>4292</v>
      </c>
    </row>
    <row r="1915" ht="33.75" customHeight="1">
      <c r="A1915" s="7">
        <v>64.0</v>
      </c>
      <c r="B1915" s="9" t="s">
        <v>3868</v>
      </c>
      <c r="C1915" s="9" t="s">
        <v>139</v>
      </c>
      <c r="D1915" s="9" t="s">
        <v>647</v>
      </c>
      <c r="E1915" s="6" t="s">
        <v>2713</v>
      </c>
      <c r="F1915" s="9" t="s">
        <v>4292</v>
      </c>
    </row>
    <row r="1916" ht="33.75" customHeight="1">
      <c r="A1916" s="7">
        <v>64.0</v>
      </c>
      <c r="B1916" s="9" t="s">
        <v>3868</v>
      </c>
      <c r="C1916" s="9" t="s">
        <v>139</v>
      </c>
      <c r="D1916" s="9" t="s">
        <v>652</v>
      </c>
      <c r="E1916" s="6" t="s">
        <v>2715</v>
      </c>
      <c r="F1916" s="9" t="s">
        <v>4292</v>
      </c>
    </row>
    <row r="1917" ht="33.75" customHeight="1">
      <c r="A1917" s="7">
        <v>64.0</v>
      </c>
      <c r="B1917" s="9" t="s">
        <v>3868</v>
      </c>
      <c r="C1917" s="9" t="s">
        <v>139</v>
      </c>
      <c r="D1917" s="9" t="s">
        <v>111</v>
      </c>
      <c r="E1917" s="6" t="s">
        <v>2717</v>
      </c>
      <c r="F1917" s="9" t="s">
        <v>4292</v>
      </c>
    </row>
    <row r="1918" ht="33.75" customHeight="1">
      <c r="A1918" s="7">
        <v>64.0</v>
      </c>
      <c r="B1918" s="9" t="s">
        <v>3868</v>
      </c>
      <c r="C1918" s="9" t="s">
        <v>139</v>
      </c>
      <c r="D1918" s="9" t="s">
        <v>113</v>
      </c>
      <c r="E1918" s="6" t="s">
        <v>2717</v>
      </c>
      <c r="F1918" s="9" t="s">
        <v>4292</v>
      </c>
    </row>
    <row r="1919" ht="33.75" customHeight="1">
      <c r="A1919" s="7">
        <v>64.0</v>
      </c>
      <c r="B1919" s="9" t="s">
        <v>3868</v>
      </c>
      <c r="C1919" s="9" t="s">
        <v>139</v>
      </c>
      <c r="D1919" s="9" t="s">
        <v>114</v>
      </c>
      <c r="E1919" s="6" t="s">
        <v>2719</v>
      </c>
      <c r="F1919" s="9" t="s">
        <v>4292</v>
      </c>
    </row>
    <row r="1920" ht="33.75" customHeight="1">
      <c r="A1920" s="7">
        <v>64.0</v>
      </c>
      <c r="B1920" s="9" t="s">
        <v>3868</v>
      </c>
      <c r="C1920" s="9" t="s">
        <v>139</v>
      </c>
      <c r="D1920" s="9" t="s">
        <v>117</v>
      </c>
      <c r="E1920" s="6" t="s">
        <v>2721</v>
      </c>
      <c r="F1920" s="9" t="s">
        <v>4292</v>
      </c>
    </row>
    <row r="1921" ht="33.75" customHeight="1">
      <c r="A1921" s="7">
        <v>64.0</v>
      </c>
      <c r="B1921" s="9" t="s">
        <v>3868</v>
      </c>
      <c r="C1921" s="9" t="s">
        <v>139</v>
      </c>
      <c r="D1921" s="9" t="s">
        <v>1577</v>
      </c>
      <c r="E1921" s="6" t="s">
        <v>2723</v>
      </c>
      <c r="F1921" s="9" t="s">
        <v>4292</v>
      </c>
    </row>
    <row r="1922" ht="33.75" customHeight="1">
      <c r="A1922" s="7">
        <v>65.0</v>
      </c>
      <c r="B1922" s="9" t="s">
        <v>3935</v>
      </c>
      <c r="C1922" s="9" t="s">
        <v>139</v>
      </c>
      <c r="D1922" s="9" t="s">
        <v>24</v>
      </c>
      <c r="E1922" s="6" t="s">
        <v>2725</v>
      </c>
      <c r="F1922" s="9" t="s">
        <v>4337</v>
      </c>
      <c r="G1922" t="inlineStr" s="6">
        <is>
          <t xml:space="preserve">Alakazam's brain can out perform a super computer. Its intelligence quotient is said to be 5,000. A POKéMON that can memorize anything. It never forgets what it learns-- that's why this POKéMON is smart. Closing both its eyes heightens all its other senses. This enables it to use its abilities to their extremes. Its brain cells multiply continually until it dies. As a result, it remembers everything. It has an IQ of 5000. It calcu lates many things in order to gain the edge in every battle. ALAKAZAM’s brain continually grows, making its head far too heavy to support with its neck. This POKéMON holds its head up using its psychokinetic power instead. ALAKAZAM’s brain continually grows, infinitely multiplying brain cells. This amazing brain gives this POKéMON an astoundingly high IQ of 5,000. It has a thorough memory of everything that has occurred in the world. While it has strong psychic abilities and high intelligence, an ALAKAZAM’s muscles are very weak. It uses psychic power to move its body. It does not like physical attacks very much. Instead, it freely uses extrasensory powers to defeat foes. Its brain can outperform a supercomputer. Its IQ (intelligence quotient) is said to be around 5,000. Its superb memory lets it recall everything it has experienced from birth. Its IQ exceeds 5,000. Its highly developed brain is on par with a supercomputer. It can use all forms of psychic abilities. The spoons clutched in its hands are said to have been created by its psychic powers. It is said to have an IQ of approximately 5,000. Its overflowing psychokinetic powers cause headaches to anyone nearby. Its brain cells continue to increase in number until its death. The older the Alakazam, the larger its head. Alakazam uses its psychic powers to make the spoons it carries. Each spoon is an original that there’s only one of in the whole world. If it trusts someone deeply, it will let them have one of its spoons. Anything you eat with that spoon is apparently delicious. It never forgets what it learns—that’s why this Pokémon is smart. It has an incredibly high level of intelligence. Some say that Alakazam remembers everything that ever happens to it, from birth till death. Alakazam wields potent psychic powers. It’s said that this Pokémon used these powers to create the spoons it holds. The longer Alakazam lives, the larger and heavier its head becomes. Our tests have shown that the strength of its psychic powers correlates positively to the weight of its head.</t>
        </is>
      </c>
    </row>
    <row r="1923" ht="33.75" customHeight="1">
      <c r="A1923" s="7">
        <v>65.0</v>
      </c>
      <c r="B1923" s="9" t="s">
        <v>3935</v>
      </c>
      <c r="C1923" s="9" t="s">
        <v>139</v>
      </c>
      <c r="D1923" s="9" t="s">
        <v>35</v>
      </c>
      <c r="E1923" s="6" t="s">
        <v>2725</v>
      </c>
      <c r="F1923" s="9" t="s">
        <v>4337</v>
      </c>
    </row>
    <row r="1924" ht="33.75" customHeight="1">
      <c r="A1924" s="7">
        <v>65.0</v>
      </c>
      <c r="B1924" s="9" t="s">
        <v>3935</v>
      </c>
      <c r="C1924" s="9" t="s">
        <v>139</v>
      </c>
      <c r="D1924" s="9" t="s">
        <v>42</v>
      </c>
      <c r="E1924" s="6" t="s">
        <v>2727</v>
      </c>
      <c r="F1924" s="9" t="s">
        <v>4337</v>
      </c>
    </row>
    <row r="1925" ht="33.75" customHeight="1">
      <c r="A1925" s="7">
        <v>65.0</v>
      </c>
      <c r="B1925" s="9" t="s">
        <v>3935</v>
      </c>
      <c r="C1925" s="9" t="s">
        <v>139</v>
      </c>
      <c r="D1925" s="9" t="s">
        <v>52</v>
      </c>
      <c r="E1925" s="6" t="s">
        <v>2729</v>
      </c>
      <c r="F1925" s="9" t="s">
        <v>4337</v>
      </c>
    </row>
    <row r="1926" ht="33.75" customHeight="1">
      <c r="A1926" s="7">
        <v>65.0</v>
      </c>
      <c r="B1926" s="9" t="s">
        <v>3935</v>
      </c>
      <c r="C1926" s="9" t="s">
        <v>139</v>
      </c>
      <c r="D1926" s="9" t="s">
        <v>59</v>
      </c>
      <c r="E1926" s="6" t="s">
        <v>2730</v>
      </c>
      <c r="F1926" s="9" t="s">
        <v>4337</v>
      </c>
    </row>
    <row r="1927" ht="33.75" customHeight="1">
      <c r="A1927" s="7">
        <v>65.0</v>
      </c>
      <c r="B1927" s="9" t="s">
        <v>3935</v>
      </c>
      <c r="C1927" s="9" t="s">
        <v>139</v>
      </c>
      <c r="D1927" s="9" t="s">
        <v>64</v>
      </c>
      <c r="E1927" s="6" t="s">
        <v>2732</v>
      </c>
      <c r="F1927" s="9" t="s">
        <v>4337</v>
      </c>
    </row>
    <row r="1928" ht="33.75" customHeight="1">
      <c r="A1928" s="7">
        <v>65.0</v>
      </c>
      <c r="B1928" s="9" t="s">
        <v>3935</v>
      </c>
      <c r="C1928" s="9" t="s">
        <v>139</v>
      </c>
      <c r="D1928" s="9" t="s">
        <v>67</v>
      </c>
      <c r="E1928" s="6" t="s">
        <v>2733</v>
      </c>
      <c r="F1928" s="9" t="s">
        <v>4337</v>
      </c>
    </row>
    <row r="1929" ht="33.75" customHeight="1">
      <c r="A1929" s="7">
        <v>65.0</v>
      </c>
      <c r="B1929" s="9" t="s">
        <v>3935</v>
      </c>
      <c r="C1929" s="9" t="s">
        <v>139</v>
      </c>
      <c r="D1929" s="9" t="s">
        <v>71</v>
      </c>
      <c r="E1929" s="6" t="s">
        <v>2734</v>
      </c>
      <c r="F1929" s="9" t="s">
        <v>4337</v>
      </c>
    </row>
    <row r="1930" ht="33.75" customHeight="1">
      <c r="A1930" s="7">
        <v>65.0</v>
      </c>
      <c r="B1930" s="9" t="s">
        <v>3935</v>
      </c>
      <c r="C1930" s="9" t="s">
        <v>139</v>
      </c>
      <c r="D1930" s="9" t="s">
        <v>73</v>
      </c>
      <c r="E1930" s="6" t="s">
        <v>2735</v>
      </c>
      <c r="F1930" s="9" t="s">
        <v>4337</v>
      </c>
    </row>
    <row r="1931" ht="33.75" customHeight="1">
      <c r="A1931" s="7">
        <v>65.0</v>
      </c>
      <c r="B1931" s="9" t="s">
        <v>3935</v>
      </c>
      <c r="C1931" s="9" t="s">
        <v>139</v>
      </c>
      <c r="D1931" s="9" t="s">
        <v>75</v>
      </c>
      <c r="E1931" s="6" t="s">
        <v>2736</v>
      </c>
      <c r="F1931" s="9" t="s">
        <v>4337</v>
      </c>
    </row>
    <row r="1932" ht="33.75" customHeight="1">
      <c r="A1932" s="7">
        <v>65.0</v>
      </c>
      <c r="B1932" s="9" t="s">
        <v>3935</v>
      </c>
      <c r="C1932" s="9" t="s">
        <v>139</v>
      </c>
      <c r="D1932" s="9" t="s">
        <v>79</v>
      </c>
      <c r="E1932" s="6" t="s">
        <v>2737</v>
      </c>
      <c r="F1932" s="9" t="s">
        <v>4337</v>
      </c>
    </row>
    <row r="1933" ht="33.75" customHeight="1">
      <c r="A1933" s="7">
        <v>65.0</v>
      </c>
      <c r="B1933" s="9" t="s">
        <v>3935</v>
      </c>
      <c r="C1933" s="9" t="s">
        <v>139</v>
      </c>
      <c r="D1933" s="9" t="s">
        <v>81</v>
      </c>
      <c r="E1933" s="6" t="s">
        <v>2738</v>
      </c>
      <c r="F1933" s="9" t="s">
        <v>4337</v>
      </c>
    </row>
    <row r="1934" ht="33.75" customHeight="1">
      <c r="A1934" s="7">
        <v>65.0</v>
      </c>
      <c r="B1934" s="9" t="s">
        <v>3935</v>
      </c>
      <c r="C1934" s="9" t="s">
        <v>139</v>
      </c>
      <c r="D1934" s="9" t="s">
        <v>84</v>
      </c>
      <c r="E1934" s="6" t="s">
        <v>2739</v>
      </c>
      <c r="F1934" s="9" t="s">
        <v>4337</v>
      </c>
    </row>
    <row r="1935" ht="33.75" customHeight="1">
      <c r="A1935" s="7">
        <v>65.0</v>
      </c>
      <c r="B1935" s="9" t="s">
        <v>3935</v>
      </c>
      <c r="C1935" s="9" t="s">
        <v>139</v>
      </c>
      <c r="D1935" s="9" t="s">
        <v>87</v>
      </c>
      <c r="E1935" s="6" t="s">
        <v>2740</v>
      </c>
      <c r="F1935" s="9" t="s">
        <v>4337</v>
      </c>
    </row>
    <row r="1936" ht="33.75" customHeight="1">
      <c r="A1936" s="7">
        <v>65.0</v>
      </c>
      <c r="B1936" s="9" t="s">
        <v>3935</v>
      </c>
      <c r="C1936" s="9" t="s">
        <v>139</v>
      </c>
      <c r="D1936" s="9" t="s">
        <v>89</v>
      </c>
      <c r="E1936" s="6" t="s">
        <v>2729</v>
      </c>
      <c r="F1936" s="9" t="s">
        <v>4337</v>
      </c>
    </row>
    <row r="1937" ht="33.75" customHeight="1">
      <c r="A1937" s="7">
        <v>65.0</v>
      </c>
      <c r="B1937" s="9" t="s">
        <v>3935</v>
      </c>
      <c r="C1937" s="9" t="s">
        <v>139</v>
      </c>
      <c r="D1937" s="9" t="s">
        <v>91</v>
      </c>
      <c r="E1937" s="6" t="s">
        <v>2742</v>
      </c>
      <c r="F1937" s="9" t="s">
        <v>4337</v>
      </c>
    </row>
    <row r="1938" ht="33.75" customHeight="1">
      <c r="A1938" s="7">
        <v>65.0</v>
      </c>
      <c r="B1938" s="9" t="s">
        <v>3935</v>
      </c>
      <c r="C1938" s="9" t="s">
        <v>139</v>
      </c>
      <c r="D1938" s="9" t="s">
        <v>93</v>
      </c>
      <c r="E1938" s="6" t="s">
        <v>2740</v>
      </c>
      <c r="F1938" s="9" t="s">
        <v>4337</v>
      </c>
    </row>
    <row r="1939" ht="33.75" customHeight="1">
      <c r="A1939" s="7">
        <v>65.0</v>
      </c>
      <c r="B1939" s="9" t="s">
        <v>3935</v>
      </c>
      <c r="C1939" s="9" t="s">
        <v>139</v>
      </c>
      <c r="D1939" s="9" t="s">
        <v>95</v>
      </c>
      <c r="E1939" s="6" t="s">
        <v>2740</v>
      </c>
      <c r="F1939" s="9" t="s">
        <v>4337</v>
      </c>
    </row>
    <row r="1940" ht="33.75" customHeight="1">
      <c r="A1940" s="7">
        <v>65.0</v>
      </c>
      <c r="B1940" s="9" t="s">
        <v>3935</v>
      </c>
      <c r="C1940" s="9" t="s">
        <v>139</v>
      </c>
      <c r="D1940" s="9" t="s">
        <v>98</v>
      </c>
      <c r="E1940" s="6" t="s">
        <v>2740</v>
      </c>
      <c r="F1940" s="9" t="s">
        <v>4337</v>
      </c>
    </row>
    <row r="1941" ht="33.75" customHeight="1">
      <c r="A1941" s="7">
        <v>65.0</v>
      </c>
      <c r="B1941" s="9" t="s">
        <v>3935</v>
      </c>
      <c r="C1941" s="9" t="s">
        <v>139</v>
      </c>
      <c r="D1941" s="9" t="s">
        <v>99</v>
      </c>
      <c r="E1941" s="6" t="s">
        <v>2740</v>
      </c>
      <c r="F1941" s="9" t="s">
        <v>4337</v>
      </c>
    </row>
    <row r="1942" ht="33.75" customHeight="1">
      <c r="A1942" s="7">
        <v>65.0</v>
      </c>
      <c r="B1942" s="9" t="s">
        <v>3935</v>
      </c>
      <c r="C1942" s="9" t="s">
        <v>139</v>
      </c>
      <c r="D1942" s="9" t="s">
        <v>101</v>
      </c>
      <c r="E1942" s="6" t="s">
        <v>2742</v>
      </c>
      <c r="F1942" s="9" t="s">
        <v>4337</v>
      </c>
    </row>
    <row r="1943" ht="33.75" customHeight="1">
      <c r="A1943" s="7">
        <v>65.0</v>
      </c>
      <c r="B1943" s="9" t="s">
        <v>3935</v>
      </c>
      <c r="C1943" s="9" t="s">
        <v>139</v>
      </c>
      <c r="D1943" s="9" t="s">
        <v>105</v>
      </c>
      <c r="E1943" s="6" t="s">
        <v>2737</v>
      </c>
      <c r="F1943" s="9" t="s">
        <v>4337</v>
      </c>
    </row>
    <row r="1944" ht="33.75" customHeight="1">
      <c r="A1944" s="7">
        <v>65.0</v>
      </c>
      <c r="B1944" s="9" t="s">
        <v>3935</v>
      </c>
      <c r="C1944" s="9" t="s">
        <v>139</v>
      </c>
      <c r="D1944" s="9" t="s">
        <v>107</v>
      </c>
      <c r="E1944" s="6" t="s">
        <v>2744</v>
      </c>
      <c r="F1944" s="9" t="s">
        <v>4337</v>
      </c>
    </row>
    <row r="1945" ht="33.75" customHeight="1">
      <c r="A1945" s="7">
        <v>65.0</v>
      </c>
      <c r="B1945" s="9" t="s">
        <v>3935</v>
      </c>
      <c r="C1945" s="9" t="s">
        <v>139</v>
      </c>
      <c r="D1945" s="9" t="s">
        <v>109</v>
      </c>
      <c r="E1945" s="6" t="s">
        <v>2745</v>
      </c>
      <c r="F1945" s="9" t="s">
        <v>4337</v>
      </c>
    </row>
    <row r="1946" ht="33.75" customHeight="1">
      <c r="A1946" s="7">
        <v>65.0</v>
      </c>
      <c r="B1946" s="9" t="s">
        <v>3935</v>
      </c>
      <c r="C1946" s="9" t="s">
        <v>139</v>
      </c>
      <c r="D1946" s="9" t="s">
        <v>637</v>
      </c>
      <c r="E1946" s="6" t="s">
        <v>2746</v>
      </c>
      <c r="F1946" s="9" t="s">
        <v>4337</v>
      </c>
    </row>
    <row r="1947" ht="33.75" customHeight="1">
      <c r="A1947" s="7">
        <v>65.0</v>
      </c>
      <c r="B1947" s="9" t="s">
        <v>3935</v>
      </c>
      <c r="C1947" s="9" t="s">
        <v>139</v>
      </c>
      <c r="D1947" s="9" t="s">
        <v>642</v>
      </c>
      <c r="E1947" s="6" t="s">
        <v>2747</v>
      </c>
      <c r="F1947" s="9" t="s">
        <v>4337</v>
      </c>
    </row>
    <row r="1948" ht="33.75" customHeight="1">
      <c r="A1948" s="7">
        <v>65.0</v>
      </c>
      <c r="B1948" s="9" t="s">
        <v>3935</v>
      </c>
      <c r="C1948" s="9" t="s">
        <v>139</v>
      </c>
      <c r="D1948" s="9" t="s">
        <v>647</v>
      </c>
      <c r="E1948" s="6" t="s">
        <v>2750</v>
      </c>
      <c r="F1948" s="9" t="s">
        <v>4337</v>
      </c>
    </row>
    <row r="1949" ht="33.75" customHeight="1">
      <c r="A1949" s="7">
        <v>65.0</v>
      </c>
      <c r="B1949" s="9" t="s">
        <v>3935</v>
      </c>
      <c r="C1949" s="9" t="s">
        <v>139</v>
      </c>
      <c r="D1949" s="9" t="s">
        <v>652</v>
      </c>
      <c r="E1949" s="6" t="s">
        <v>2752</v>
      </c>
      <c r="F1949" s="9" t="s">
        <v>4337</v>
      </c>
    </row>
    <row r="1950" ht="33.75" customHeight="1">
      <c r="A1950" s="7">
        <v>65.0</v>
      </c>
      <c r="B1950" s="9" t="s">
        <v>3935</v>
      </c>
      <c r="C1950" s="9" t="s">
        <v>139</v>
      </c>
      <c r="D1950" s="9" t="s">
        <v>111</v>
      </c>
      <c r="E1950" s="6" t="s">
        <v>2754</v>
      </c>
      <c r="F1950" s="9" t="s">
        <v>4337</v>
      </c>
    </row>
    <row r="1951" ht="33.75" customHeight="1">
      <c r="A1951" s="7">
        <v>65.0</v>
      </c>
      <c r="B1951" s="9" t="s">
        <v>3935</v>
      </c>
      <c r="C1951" s="9" t="s">
        <v>139</v>
      </c>
      <c r="D1951" s="9" t="s">
        <v>113</v>
      </c>
      <c r="E1951" s="6" t="s">
        <v>2754</v>
      </c>
      <c r="F1951" s="9" t="s">
        <v>4337</v>
      </c>
    </row>
    <row r="1952" ht="33.75" customHeight="1">
      <c r="A1952" s="7">
        <v>65.0</v>
      </c>
      <c r="B1952" s="9" t="s">
        <v>3935</v>
      </c>
      <c r="C1952" s="9" t="s">
        <v>139</v>
      </c>
      <c r="D1952" s="9" t="s">
        <v>114</v>
      </c>
      <c r="E1952" s="6" t="s">
        <v>2756</v>
      </c>
      <c r="F1952" s="9" t="s">
        <v>4337</v>
      </c>
    </row>
    <row r="1953" ht="33.75" customHeight="1">
      <c r="A1953" s="7">
        <v>65.0</v>
      </c>
      <c r="B1953" s="9" t="s">
        <v>3935</v>
      </c>
      <c r="C1953" s="9" t="s">
        <v>139</v>
      </c>
      <c r="D1953" s="9" t="s">
        <v>117</v>
      </c>
      <c r="E1953" s="6" t="s">
        <v>2758</v>
      </c>
      <c r="F1953" s="9" t="s">
        <v>4337</v>
      </c>
    </row>
    <row r="1954" ht="33.75" customHeight="1">
      <c r="A1954" s="7">
        <v>65.0</v>
      </c>
      <c r="B1954" s="9" t="s">
        <v>3935</v>
      </c>
      <c r="C1954" s="9" t="s">
        <v>139</v>
      </c>
      <c r="D1954" s="9" t="s">
        <v>1577</v>
      </c>
      <c r="E1954" s="6" t="s">
        <v>2760</v>
      </c>
      <c r="F1954" s="9" t="s">
        <v>4337</v>
      </c>
    </row>
    <row r="1955" ht="33.75" customHeight="1">
      <c r="A1955" s="7">
        <v>66.0</v>
      </c>
      <c r="B1955" s="9" t="s">
        <v>4003</v>
      </c>
      <c r="C1955" s="9" t="s">
        <v>141</v>
      </c>
      <c r="D1955" s="9" t="s">
        <v>24</v>
      </c>
      <c r="E1955" s="6" t="s">
        <v>2762</v>
      </c>
      <c r="F1955" s="9" t="s">
        <v>4415</v>
      </c>
      <c r="G1955" t="inlineStr" s="6">
        <is>
          <t xml:space="preserve">Loves to build Machop's muscles. It trains in all styles of martial arts to become even stronger. Very powerful in spite of its small size. Its mastery of many types of martial arts makes it very tough. Always brimming with power, it passes time by lifting boulders. Doing so makes it even stronger. It loves to work out and build its muscles. It is never satisfied, even if it trains hard all day long. It trains by lifting rocks in the mountains. It can even pick up a GRAVELER with ease. MACHOP’s muscles are special - they never get sore no matter how much they are used in exercise. This POKéMON has sufficient power to hurl a hundred adult humans. MACHOP exercises by hefting around a GRAVELER as if it were a barbell. There are some MACHOP that travel the world in a quest to master all kinds of martial arts. It continually undertakes strenuous training to master all forms of martial arts. Its strength lets it easily hoist a sumo wrestler onto its shoulders. Its whole body is composed of muscles. Even though it’s the size of a human child, it can hurl 100 grown-ups. It hefts a GRAVELER repeatedly to strengthen its entire body. It uses every type of martial arts. Its muscles never cramp however much it trains. It lives in the mountains away from humans. Though small in stature, it is powerful enough to easily heft and throw a number of GEODUDE at once. Machop’s muscles are special—they never get sore no matter how much they are used in exercise. It loves working out. As it gazes at its muscles, which continue to swell day by day, it becomes more and more dedicated to its training. With its superhuman strength, it’s able to throw a hundred people all at the same time. Its strength comes from lifting Graveler every day. Once this Pokémon has gained enough confidence and muscle from training with its friends, it challenges Makuhita to a battle. It likes food that’s highly nutritious because its instincts drive it to build muscle efficiently. Though as small as a child, it has strength enough to easily throw a well-built adult. Striving to become ever stronger, Machop trains by carrying a Graveler on its shoulders.</t>
        </is>
      </c>
    </row>
    <row r="1956" ht="33.75" customHeight="1">
      <c r="A1956" s="7">
        <v>66.0</v>
      </c>
      <c r="B1956" s="9" t="s">
        <v>4003</v>
      </c>
      <c r="C1956" s="9" t="s">
        <v>141</v>
      </c>
      <c r="D1956" s="9" t="s">
        <v>35</v>
      </c>
      <c r="E1956" s="6" t="s">
        <v>2762</v>
      </c>
      <c r="F1956" s="9" t="s">
        <v>4415</v>
      </c>
    </row>
    <row r="1957" ht="33.75" customHeight="1">
      <c r="A1957" s="7">
        <v>66.0</v>
      </c>
      <c r="B1957" s="9" t="s">
        <v>4003</v>
      </c>
      <c r="C1957" s="9" t="s">
        <v>141</v>
      </c>
      <c r="D1957" s="9" t="s">
        <v>42</v>
      </c>
      <c r="E1957" s="6" t="s">
        <v>2763</v>
      </c>
      <c r="F1957" s="9" t="s">
        <v>4415</v>
      </c>
    </row>
    <row r="1958" ht="33.75" customHeight="1">
      <c r="A1958" s="7">
        <v>66.0</v>
      </c>
      <c r="B1958" s="9" t="s">
        <v>4003</v>
      </c>
      <c r="C1958" s="9" t="s">
        <v>141</v>
      </c>
      <c r="D1958" s="9" t="s">
        <v>52</v>
      </c>
      <c r="E1958" s="6" t="s">
        <v>2765</v>
      </c>
      <c r="F1958" s="9" t="s">
        <v>4415</v>
      </c>
    </row>
    <row r="1959" ht="33.75" customHeight="1">
      <c r="A1959" s="7">
        <v>66.0</v>
      </c>
      <c r="B1959" s="9" t="s">
        <v>4003</v>
      </c>
      <c r="C1959" s="9" t="s">
        <v>141</v>
      </c>
      <c r="D1959" s="9" t="s">
        <v>59</v>
      </c>
      <c r="E1959" s="6" t="s">
        <v>2767</v>
      </c>
      <c r="F1959" s="9" t="s">
        <v>4415</v>
      </c>
    </row>
    <row r="1960" ht="33.75" customHeight="1">
      <c r="A1960" s="7">
        <v>66.0</v>
      </c>
      <c r="B1960" s="9" t="s">
        <v>4003</v>
      </c>
      <c r="C1960" s="9" t="s">
        <v>141</v>
      </c>
      <c r="D1960" s="9" t="s">
        <v>64</v>
      </c>
      <c r="E1960" s="6" t="s">
        <v>2768</v>
      </c>
      <c r="F1960" s="9" t="s">
        <v>4415</v>
      </c>
    </row>
    <row r="1961" ht="33.75" customHeight="1">
      <c r="A1961" s="7">
        <v>66.0</v>
      </c>
      <c r="B1961" s="9" t="s">
        <v>4003</v>
      </c>
      <c r="C1961" s="9" t="s">
        <v>141</v>
      </c>
      <c r="D1961" s="9" t="s">
        <v>67</v>
      </c>
      <c r="E1961" s="6" t="s">
        <v>2771</v>
      </c>
      <c r="F1961" s="9" t="s">
        <v>4415</v>
      </c>
    </row>
    <row r="1962" ht="33.75" customHeight="1">
      <c r="A1962" s="7">
        <v>66.0</v>
      </c>
      <c r="B1962" s="9" t="s">
        <v>4003</v>
      </c>
      <c r="C1962" s="9" t="s">
        <v>141</v>
      </c>
      <c r="D1962" s="9" t="s">
        <v>71</v>
      </c>
      <c r="E1962" s="6" t="s">
        <v>2773</v>
      </c>
      <c r="F1962" s="9" t="s">
        <v>4415</v>
      </c>
    </row>
    <row r="1963" ht="33.75" customHeight="1">
      <c r="A1963" s="7">
        <v>66.0</v>
      </c>
      <c r="B1963" s="9" t="s">
        <v>4003</v>
      </c>
      <c r="C1963" s="9" t="s">
        <v>141</v>
      </c>
      <c r="D1963" s="9" t="s">
        <v>73</v>
      </c>
      <c r="E1963" s="6" t="s">
        <v>2774</v>
      </c>
      <c r="F1963" s="9" t="s">
        <v>4415</v>
      </c>
    </row>
    <row r="1964" ht="33.75" customHeight="1">
      <c r="A1964" s="7">
        <v>66.0</v>
      </c>
      <c r="B1964" s="9" t="s">
        <v>4003</v>
      </c>
      <c r="C1964" s="9" t="s">
        <v>141</v>
      </c>
      <c r="D1964" s="9" t="s">
        <v>75</v>
      </c>
      <c r="E1964" s="6" t="s">
        <v>2775</v>
      </c>
      <c r="F1964" s="9" t="s">
        <v>4415</v>
      </c>
    </row>
    <row r="1965" ht="33.75" customHeight="1">
      <c r="A1965" s="7">
        <v>66.0</v>
      </c>
      <c r="B1965" s="9" t="s">
        <v>4003</v>
      </c>
      <c r="C1965" s="9" t="s">
        <v>141</v>
      </c>
      <c r="D1965" s="9" t="s">
        <v>79</v>
      </c>
      <c r="E1965" s="6" t="s">
        <v>2762</v>
      </c>
      <c r="F1965" s="9" t="s">
        <v>4415</v>
      </c>
    </row>
    <row r="1966" ht="33.75" customHeight="1">
      <c r="A1966" s="7">
        <v>66.0</v>
      </c>
      <c r="B1966" s="9" t="s">
        <v>4003</v>
      </c>
      <c r="C1966" s="9" t="s">
        <v>141</v>
      </c>
      <c r="D1966" s="9" t="s">
        <v>81</v>
      </c>
      <c r="E1966" s="6" t="s">
        <v>2776</v>
      </c>
      <c r="F1966" s="9" t="s">
        <v>4415</v>
      </c>
    </row>
    <row r="1967" ht="33.75" customHeight="1">
      <c r="A1967" s="7">
        <v>66.0</v>
      </c>
      <c r="B1967" s="9" t="s">
        <v>4003</v>
      </c>
      <c r="C1967" s="9" t="s">
        <v>141</v>
      </c>
      <c r="D1967" s="9" t="s">
        <v>84</v>
      </c>
      <c r="E1967" s="6" t="s">
        <v>2780</v>
      </c>
      <c r="F1967" s="9" t="s">
        <v>4415</v>
      </c>
    </row>
    <row r="1968" ht="33.75" customHeight="1">
      <c r="A1968" s="7">
        <v>66.0</v>
      </c>
      <c r="B1968" s="9" t="s">
        <v>4003</v>
      </c>
      <c r="C1968" s="9" t="s">
        <v>141</v>
      </c>
      <c r="D1968" s="9" t="s">
        <v>87</v>
      </c>
      <c r="E1968" s="6" t="s">
        <v>2781</v>
      </c>
      <c r="F1968" s="9" t="s">
        <v>4415</v>
      </c>
    </row>
    <row r="1969" ht="33.75" customHeight="1">
      <c r="A1969" s="7">
        <v>66.0</v>
      </c>
      <c r="B1969" s="9" t="s">
        <v>4003</v>
      </c>
      <c r="C1969" s="9" t="s">
        <v>141</v>
      </c>
      <c r="D1969" s="9" t="s">
        <v>89</v>
      </c>
      <c r="E1969" s="6" t="s">
        <v>2765</v>
      </c>
      <c r="F1969" s="9" t="s">
        <v>4415</v>
      </c>
    </row>
    <row r="1970" ht="33.75" customHeight="1">
      <c r="A1970" s="7">
        <v>66.0</v>
      </c>
      <c r="B1970" s="9" t="s">
        <v>4003</v>
      </c>
      <c r="C1970" s="9" t="s">
        <v>141</v>
      </c>
      <c r="D1970" s="9" t="s">
        <v>91</v>
      </c>
      <c r="E1970" s="6" t="s">
        <v>2767</v>
      </c>
      <c r="F1970" s="9" t="s">
        <v>4415</v>
      </c>
    </row>
    <row r="1971" ht="33.75" customHeight="1">
      <c r="A1971" s="7">
        <v>66.0</v>
      </c>
      <c r="B1971" s="9" t="s">
        <v>4003</v>
      </c>
      <c r="C1971" s="9" t="s">
        <v>141</v>
      </c>
      <c r="D1971" s="9" t="s">
        <v>93</v>
      </c>
      <c r="E1971" s="6" t="s">
        <v>2782</v>
      </c>
      <c r="F1971" s="9" t="s">
        <v>4415</v>
      </c>
    </row>
    <row r="1972" ht="33.75" customHeight="1">
      <c r="A1972" s="7">
        <v>66.0</v>
      </c>
      <c r="B1972" s="9" t="s">
        <v>4003</v>
      </c>
      <c r="C1972" s="9" t="s">
        <v>141</v>
      </c>
      <c r="D1972" s="9" t="s">
        <v>95</v>
      </c>
      <c r="E1972" s="6" t="s">
        <v>2782</v>
      </c>
      <c r="F1972" s="9" t="s">
        <v>4415</v>
      </c>
    </row>
    <row r="1973" ht="33.75" customHeight="1">
      <c r="A1973" s="7">
        <v>66.0</v>
      </c>
      <c r="B1973" s="9" t="s">
        <v>4003</v>
      </c>
      <c r="C1973" s="9" t="s">
        <v>141</v>
      </c>
      <c r="D1973" s="9" t="s">
        <v>98</v>
      </c>
      <c r="E1973" s="6" t="s">
        <v>2782</v>
      </c>
      <c r="F1973" s="9" t="s">
        <v>4415</v>
      </c>
    </row>
    <row r="1974" ht="33.75" customHeight="1">
      <c r="A1974" s="7">
        <v>66.0</v>
      </c>
      <c r="B1974" s="9" t="s">
        <v>4003</v>
      </c>
      <c r="C1974" s="9" t="s">
        <v>141</v>
      </c>
      <c r="D1974" s="9" t="s">
        <v>99</v>
      </c>
      <c r="E1974" s="6" t="s">
        <v>2782</v>
      </c>
      <c r="F1974" s="9" t="s">
        <v>4415</v>
      </c>
    </row>
    <row r="1975" ht="33.75" customHeight="1">
      <c r="A1975" s="7">
        <v>66.0</v>
      </c>
      <c r="B1975" s="9" t="s">
        <v>4003</v>
      </c>
      <c r="C1975" s="9" t="s">
        <v>141</v>
      </c>
      <c r="D1975" s="9" t="s">
        <v>101</v>
      </c>
      <c r="E1975" s="6" t="s">
        <v>2783</v>
      </c>
      <c r="F1975" s="9" t="s">
        <v>4415</v>
      </c>
    </row>
    <row r="1976" ht="33.75" customHeight="1">
      <c r="A1976" s="7">
        <v>66.0</v>
      </c>
      <c r="B1976" s="9" t="s">
        <v>4003</v>
      </c>
      <c r="C1976" s="9" t="s">
        <v>141</v>
      </c>
      <c r="D1976" s="9" t="s">
        <v>105</v>
      </c>
      <c r="E1976" s="6" t="s">
        <v>2775</v>
      </c>
      <c r="F1976" s="9" t="s">
        <v>4415</v>
      </c>
    </row>
    <row r="1977" ht="33.75" customHeight="1">
      <c r="A1977" s="7">
        <v>66.0</v>
      </c>
      <c r="B1977" s="9" t="s">
        <v>4003</v>
      </c>
      <c r="C1977" s="9" t="s">
        <v>141</v>
      </c>
      <c r="D1977" s="9" t="s">
        <v>107</v>
      </c>
      <c r="E1977" s="6" t="s">
        <v>2784</v>
      </c>
      <c r="F1977" s="9" t="s">
        <v>4415</v>
      </c>
    </row>
    <row r="1978" ht="33.75" customHeight="1">
      <c r="A1978" s="7">
        <v>66.0</v>
      </c>
      <c r="B1978" s="9" t="s">
        <v>4003</v>
      </c>
      <c r="C1978" s="9" t="s">
        <v>141</v>
      </c>
      <c r="D1978" s="9" t="s">
        <v>109</v>
      </c>
      <c r="E1978" s="6" t="s">
        <v>2786</v>
      </c>
      <c r="F1978" s="9" t="s">
        <v>4415</v>
      </c>
    </row>
    <row r="1979" ht="33.75" customHeight="1">
      <c r="A1979" s="7">
        <v>66.0</v>
      </c>
      <c r="B1979" s="9" t="s">
        <v>4003</v>
      </c>
      <c r="C1979" s="9" t="s">
        <v>141</v>
      </c>
      <c r="D1979" s="9" t="s">
        <v>637</v>
      </c>
      <c r="E1979" s="6" t="s">
        <v>2788</v>
      </c>
      <c r="F1979" s="9" t="s">
        <v>4415</v>
      </c>
    </row>
    <row r="1980" ht="33.75" customHeight="1">
      <c r="A1980" s="7">
        <v>66.0</v>
      </c>
      <c r="B1980" s="9" t="s">
        <v>4003</v>
      </c>
      <c r="C1980" s="9" t="s">
        <v>141</v>
      </c>
      <c r="D1980" s="9" t="s">
        <v>642</v>
      </c>
      <c r="E1980" s="6" t="s">
        <v>2790</v>
      </c>
      <c r="F1980" s="9" t="s">
        <v>4415</v>
      </c>
    </row>
    <row r="1981" ht="33.75" customHeight="1">
      <c r="A1981" s="7">
        <v>66.0</v>
      </c>
      <c r="B1981" s="9" t="s">
        <v>4003</v>
      </c>
      <c r="C1981" s="9" t="s">
        <v>141</v>
      </c>
      <c r="D1981" s="9" t="s">
        <v>647</v>
      </c>
      <c r="E1981" s="6" t="s">
        <v>2792</v>
      </c>
      <c r="F1981" s="9" t="s">
        <v>4415</v>
      </c>
    </row>
    <row r="1982" ht="33.75" customHeight="1">
      <c r="A1982" s="7">
        <v>66.0</v>
      </c>
      <c r="B1982" s="9" t="s">
        <v>4003</v>
      </c>
      <c r="C1982" s="9" t="s">
        <v>141</v>
      </c>
      <c r="D1982" s="9" t="s">
        <v>652</v>
      </c>
      <c r="E1982" s="6" t="s">
        <v>2794</v>
      </c>
      <c r="F1982" s="9" t="s">
        <v>4415</v>
      </c>
    </row>
    <row r="1983" ht="33.75" customHeight="1">
      <c r="A1983" s="7">
        <v>66.0</v>
      </c>
      <c r="B1983" s="9" t="s">
        <v>4003</v>
      </c>
      <c r="C1983" s="9" t="s">
        <v>141</v>
      </c>
      <c r="D1983" s="9" t="s">
        <v>111</v>
      </c>
      <c r="E1983" s="6" t="s">
        <v>2763</v>
      </c>
      <c r="F1983" s="9" t="s">
        <v>4415</v>
      </c>
    </row>
    <row r="1984" ht="33.75" customHeight="1">
      <c r="A1984" s="7">
        <v>66.0</v>
      </c>
      <c r="B1984" s="9" t="s">
        <v>4003</v>
      </c>
      <c r="C1984" s="9" t="s">
        <v>141</v>
      </c>
      <c r="D1984" s="9" t="s">
        <v>113</v>
      </c>
      <c r="E1984" s="6" t="s">
        <v>2763</v>
      </c>
      <c r="F1984" s="9" t="s">
        <v>4415</v>
      </c>
    </row>
    <row r="1985" ht="33.75" customHeight="1">
      <c r="A1985" s="7">
        <v>66.0</v>
      </c>
      <c r="B1985" s="9" t="s">
        <v>4003</v>
      </c>
      <c r="C1985" s="9" t="s">
        <v>141</v>
      </c>
      <c r="D1985" s="9" t="s">
        <v>114</v>
      </c>
      <c r="E1985" s="6" t="s">
        <v>2775</v>
      </c>
      <c r="F1985" s="9" t="s">
        <v>4415</v>
      </c>
    </row>
    <row r="1986" ht="33.75" customHeight="1">
      <c r="A1986" s="7">
        <v>66.0</v>
      </c>
      <c r="B1986" s="9" t="s">
        <v>4003</v>
      </c>
      <c r="C1986" s="9" t="s">
        <v>141</v>
      </c>
      <c r="D1986" s="9" t="s">
        <v>117</v>
      </c>
      <c r="E1986" s="6" t="s">
        <v>2765</v>
      </c>
      <c r="F1986" s="9" t="s">
        <v>4415</v>
      </c>
    </row>
    <row r="1987" ht="33.75" customHeight="1">
      <c r="A1987" s="7">
        <v>66.0</v>
      </c>
      <c r="B1987" s="9" t="s">
        <v>4003</v>
      </c>
      <c r="C1987" s="9" t="s">
        <v>141</v>
      </c>
      <c r="D1987" s="9" t="s">
        <v>1577</v>
      </c>
      <c r="E1987" s="6" t="s">
        <v>2795</v>
      </c>
      <c r="F1987" s="9" t="s">
        <v>4415</v>
      </c>
    </row>
    <row r="1988" ht="33.75" customHeight="1">
      <c r="A1988" s="7">
        <v>67.0</v>
      </c>
      <c r="B1988" s="9" t="s">
        <v>4073</v>
      </c>
      <c r="C1988" s="9" t="s">
        <v>141</v>
      </c>
      <c r="D1988" s="9" t="s">
        <v>24</v>
      </c>
      <c r="E1988" s="6" t="s">
        <v>2796</v>
      </c>
      <c r="F1988" s="9" t="s">
        <v>4482</v>
      </c>
      <c r="G1988" t="inlineStr" s="6">
        <is>
          <t xml:space="preserve">Machoke's muscular body is so powerful, it must wear a power save belt to be able to regulate its motions. The belt around its waist holds back its energy. Without it, this POKéMON would be unstoppable. It always goes at its full power, but this very tough and durable POKéMON never gets tired. The muscles cover ing its body teem with power. Even when still, it exudes an amazing sense of strength. This tough POKéMON always stays in the zone. Its muscles become thicker after every battle. MACHOKE’s thoroughly toned muscles possess the hardness of steel. This POKéMON has so much strength, it can easily hold aloft a sumo wrestler on just one finger. MACHOKE undertakes bodybuilding every day even as it helps people with tough, physically demanding labor. On its days off, this POKéMON heads to the fields and mountains to exercise and train. A belt is worn by a MACHOKE to keep its overwhelming power under control. Because it is so dangerous, no one has ever removed the belt. Its formidable body never gets tired. It helps people by doing work such as the moving of heavy goods. Its muscular body is so powerful, it must wear a power-save belt to be able to regulate its motions. MACHOKE’s boundless power is very dangerous, so it wears a belt that suppresses its energy. It can lift a dump truck with one hand. Using that power, it helps people with heavy jobs. It happily carries heavy cargo to toughen up. It willingly does hard work for people. The muscles covering its body teem with power. As a result of its continual workouts, it has developed tremendous power. It uses that power to help people with their work. It willingly assists with hard labor because it knows the work is good training for its muscles. When it encounters an enemy that’s truly mighty, this Pokémon removes the power-save belt from its waist and unleashes its full power. A popular motif for sculptures, its incredibly well-developed muscles have captured the imagination of many an artist. A sturdy creature boasting a robust physique and boundless stamina. Loves training above all else and voluntarily assists with tasks such as construction and clearing land.</t>
        </is>
      </c>
    </row>
    <row r="1989" ht="33.75" customHeight="1">
      <c r="A1989" s="7">
        <v>67.0</v>
      </c>
      <c r="B1989" s="9" t="s">
        <v>4073</v>
      </c>
      <c r="C1989" s="9" t="s">
        <v>141</v>
      </c>
      <c r="D1989" s="9" t="s">
        <v>35</v>
      </c>
      <c r="E1989" s="6" t="s">
        <v>2796</v>
      </c>
      <c r="F1989" s="9" t="s">
        <v>4482</v>
      </c>
    </row>
    <row r="1990" ht="33.75" customHeight="1">
      <c r="A1990" s="7">
        <v>67.0</v>
      </c>
      <c r="B1990" s="9" t="s">
        <v>4073</v>
      </c>
      <c r="C1990" s="9" t="s">
        <v>141</v>
      </c>
      <c r="D1990" s="9" t="s">
        <v>42</v>
      </c>
      <c r="E1990" s="6" t="s">
        <v>2798</v>
      </c>
      <c r="F1990" s="9" t="s">
        <v>4482</v>
      </c>
    </row>
    <row r="1991" ht="33.75" customHeight="1">
      <c r="A1991" s="7">
        <v>67.0</v>
      </c>
      <c r="B1991" s="9" t="s">
        <v>4073</v>
      </c>
      <c r="C1991" s="9" t="s">
        <v>141</v>
      </c>
      <c r="D1991" s="9" t="s">
        <v>52</v>
      </c>
      <c r="E1991" s="6" t="s">
        <v>2801</v>
      </c>
      <c r="F1991" s="9" t="s">
        <v>4482</v>
      </c>
    </row>
    <row r="1992" ht="33.75" customHeight="1">
      <c r="A1992" s="7">
        <v>67.0</v>
      </c>
      <c r="B1992" s="9" t="s">
        <v>4073</v>
      </c>
      <c r="C1992" s="9" t="s">
        <v>141</v>
      </c>
      <c r="D1992" s="9" t="s">
        <v>59</v>
      </c>
      <c r="E1992" s="6" t="s">
        <v>2802</v>
      </c>
      <c r="F1992" s="9" t="s">
        <v>4482</v>
      </c>
    </row>
    <row r="1993" ht="33.75" customHeight="1">
      <c r="A1993" s="7">
        <v>67.0</v>
      </c>
      <c r="B1993" s="9" t="s">
        <v>4073</v>
      </c>
      <c r="C1993" s="9" t="s">
        <v>141</v>
      </c>
      <c r="D1993" s="9" t="s">
        <v>64</v>
      </c>
      <c r="E1993" s="6" t="s">
        <v>2804</v>
      </c>
      <c r="F1993" s="9" t="s">
        <v>4482</v>
      </c>
    </row>
    <row r="1994" ht="33.75" customHeight="1">
      <c r="A1994" s="7">
        <v>67.0</v>
      </c>
      <c r="B1994" s="9" t="s">
        <v>4073</v>
      </c>
      <c r="C1994" s="9" t="s">
        <v>141</v>
      </c>
      <c r="D1994" s="9" t="s">
        <v>67</v>
      </c>
      <c r="E1994" s="6" t="s">
        <v>2805</v>
      </c>
      <c r="F1994" s="9" t="s">
        <v>4482</v>
      </c>
    </row>
    <row r="1995" ht="33.75" customHeight="1">
      <c r="A1995" s="7">
        <v>67.0</v>
      </c>
      <c r="B1995" s="9" t="s">
        <v>4073</v>
      </c>
      <c r="C1995" s="9" t="s">
        <v>141</v>
      </c>
      <c r="D1995" s="9" t="s">
        <v>71</v>
      </c>
      <c r="E1995" s="6" t="s">
        <v>2807</v>
      </c>
      <c r="F1995" s="9" t="s">
        <v>4482</v>
      </c>
    </row>
    <row r="1996" ht="33.75" customHeight="1">
      <c r="A1996" s="7">
        <v>67.0</v>
      </c>
      <c r="B1996" s="9" t="s">
        <v>4073</v>
      </c>
      <c r="C1996" s="9" t="s">
        <v>141</v>
      </c>
      <c r="D1996" s="9" t="s">
        <v>73</v>
      </c>
      <c r="E1996" s="6" t="s">
        <v>2809</v>
      </c>
      <c r="F1996" s="9" t="s">
        <v>4482</v>
      </c>
    </row>
    <row r="1997" ht="33.75" customHeight="1">
      <c r="A1997" s="7">
        <v>67.0</v>
      </c>
      <c r="B1997" s="9" t="s">
        <v>4073</v>
      </c>
      <c r="C1997" s="9" t="s">
        <v>141</v>
      </c>
      <c r="D1997" s="9" t="s">
        <v>75</v>
      </c>
      <c r="E1997" s="6" t="s">
        <v>2811</v>
      </c>
      <c r="F1997" s="9" t="s">
        <v>4482</v>
      </c>
    </row>
    <row r="1998" ht="33.75" customHeight="1">
      <c r="A1998" s="7">
        <v>67.0</v>
      </c>
      <c r="B1998" s="9" t="s">
        <v>4073</v>
      </c>
      <c r="C1998" s="9" t="s">
        <v>141</v>
      </c>
      <c r="D1998" s="9" t="s">
        <v>79</v>
      </c>
      <c r="E1998" s="6" t="s">
        <v>2813</v>
      </c>
      <c r="F1998" s="9" t="s">
        <v>4482</v>
      </c>
    </row>
    <row r="1999" ht="33.75" customHeight="1">
      <c r="A1999" s="7">
        <v>67.0</v>
      </c>
      <c r="B1999" s="9" t="s">
        <v>4073</v>
      </c>
      <c r="C1999" s="9" t="s">
        <v>141</v>
      </c>
      <c r="D1999" s="9" t="s">
        <v>81</v>
      </c>
      <c r="E1999" s="6" t="s">
        <v>2814</v>
      </c>
      <c r="F1999" s="9" t="s">
        <v>4482</v>
      </c>
    </row>
    <row r="2000" ht="33.75" customHeight="1">
      <c r="A2000" s="7">
        <v>67.0</v>
      </c>
      <c r="B2000" s="9" t="s">
        <v>4073</v>
      </c>
      <c r="C2000" s="9" t="s">
        <v>141</v>
      </c>
      <c r="D2000" s="9" t="s">
        <v>84</v>
      </c>
      <c r="E2000" s="6" t="s">
        <v>2817</v>
      </c>
      <c r="F2000" s="9" t="s">
        <v>4482</v>
      </c>
    </row>
    <row r="2001" ht="33.75" customHeight="1">
      <c r="A2001" s="7">
        <v>67.0</v>
      </c>
      <c r="B2001" s="9" t="s">
        <v>4073</v>
      </c>
      <c r="C2001" s="9" t="s">
        <v>141</v>
      </c>
      <c r="D2001" s="9" t="s">
        <v>87</v>
      </c>
      <c r="E2001" s="6" t="s">
        <v>2818</v>
      </c>
      <c r="F2001" s="9" t="s">
        <v>4482</v>
      </c>
    </row>
    <row r="2002" ht="33.75" customHeight="1">
      <c r="A2002" s="7">
        <v>67.0</v>
      </c>
      <c r="B2002" s="9" t="s">
        <v>4073</v>
      </c>
      <c r="C2002" s="9" t="s">
        <v>141</v>
      </c>
      <c r="D2002" s="9" t="s">
        <v>89</v>
      </c>
      <c r="E2002" s="6" t="s">
        <v>2820</v>
      </c>
      <c r="F2002" s="9" t="s">
        <v>4482</v>
      </c>
    </row>
    <row r="2003" ht="33.75" customHeight="1">
      <c r="A2003" s="7">
        <v>67.0</v>
      </c>
      <c r="B2003" s="9" t="s">
        <v>4073</v>
      </c>
      <c r="C2003" s="9" t="s">
        <v>141</v>
      </c>
      <c r="D2003" s="9" t="s">
        <v>91</v>
      </c>
      <c r="E2003" s="6" t="s">
        <v>2823</v>
      </c>
      <c r="F2003" s="9" t="s">
        <v>4482</v>
      </c>
    </row>
    <row r="2004" ht="33.75" customHeight="1">
      <c r="A2004" s="7">
        <v>67.0</v>
      </c>
      <c r="B2004" s="9" t="s">
        <v>4073</v>
      </c>
      <c r="C2004" s="9" t="s">
        <v>141</v>
      </c>
      <c r="D2004" s="9" t="s">
        <v>93</v>
      </c>
      <c r="E2004" s="6" t="s">
        <v>2818</v>
      </c>
      <c r="F2004" s="9" t="s">
        <v>4482</v>
      </c>
    </row>
    <row r="2005" ht="33.75" customHeight="1">
      <c r="A2005" s="7">
        <v>67.0</v>
      </c>
      <c r="B2005" s="9" t="s">
        <v>4073</v>
      </c>
      <c r="C2005" s="9" t="s">
        <v>141</v>
      </c>
      <c r="D2005" s="9" t="s">
        <v>95</v>
      </c>
      <c r="E2005" s="6" t="s">
        <v>2818</v>
      </c>
      <c r="F2005" s="9" t="s">
        <v>4482</v>
      </c>
    </row>
    <row r="2006" ht="33.75" customHeight="1">
      <c r="A2006" s="7">
        <v>67.0</v>
      </c>
      <c r="B2006" s="9" t="s">
        <v>4073</v>
      </c>
      <c r="C2006" s="9" t="s">
        <v>141</v>
      </c>
      <c r="D2006" s="9" t="s">
        <v>98</v>
      </c>
      <c r="E2006" s="6" t="s">
        <v>2818</v>
      </c>
      <c r="F2006" s="9" t="s">
        <v>4482</v>
      </c>
    </row>
    <row r="2007" ht="33.75" customHeight="1">
      <c r="A2007" s="7">
        <v>67.0</v>
      </c>
      <c r="B2007" s="9" t="s">
        <v>4073</v>
      </c>
      <c r="C2007" s="9" t="s">
        <v>141</v>
      </c>
      <c r="D2007" s="9" t="s">
        <v>99</v>
      </c>
      <c r="E2007" s="6" t="s">
        <v>2818</v>
      </c>
      <c r="F2007" s="9" t="s">
        <v>4482</v>
      </c>
    </row>
    <row r="2008" ht="33.75" customHeight="1">
      <c r="A2008" s="7">
        <v>67.0</v>
      </c>
      <c r="B2008" s="9" t="s">
        <v>4073</v>
      </c>
      <c r="C2008" s="9" t="s">
        <v>141</v>
      </c>
      <c r="D2008" s="9" t="s">
        <v>101</v>
      </c>
      <c r="E2008" s="6" t="s">
        <v>2813</v>
      </c>
      <c r="F2008" s="9" t="s">
        <v>4482</v>
      </c>
    </row>
    <row r="2009" ht="33.75" customHeight="1">
      <c r="A2009" s="7">
        <v>67.0</v>
      </c>
      <c r="B2009" s="9" t="s">
        <v>4073</v>
      </c>
      <c r="C2009" s="9" t="s">
        <v>141</v>
      </c>
      <c r="D2009" s="9" t="s">
        <v>105</v>
      </c>
      <c r="E2009" s="6" t="s">
        <v>2817</v>
      </c>
      <c r="F2009" s="9" t="s">
        <v>4482</v>
      </c>
    </row>
    <row r="2010" ht="33.75" customHeight="1">
      <c r="A2010" s="7">
        <v>67.0</v>
      </c>
      <c r="B2010" s="9" t="s">
        <v>4073</v>
      </c>
      <c r="C2010" s="9" t="s">
        <v>141</v>
      </c>
      <c r="D2010" s="9" t="s">
        <v>107</v>
      </c>
      <c r="E2010" s="6" t="s">
        <v>2825</v>
      </c>
      <c r="F2010" s="9" t="s">
        <v>4482</v>
      </c>
    </row>
    <row r="2011" ht="33.75" customHeight="1">
      <c r="A2011" s="7">
        <v>67.0</v>
      </c>
      <c r="B2011" s="9" t="s">
        <v>4073</v>
      </c>
      <c r="C2011" s="9" t="s">
        <v>141</v>
      </c>
      <c r="D2011" s="9" t="s">
        <v>109</v>
      </c>
      <c r="E2011" s="6" t="s">
        <v>2826</v>
      </c>
      <c r="F2011" s="9" t="s">
        <v>4482</v>
      </c>
    </row>
    <row r="2012" ht="33.75" customHeight="1">
      <c r="A2012" s="7">
        <v>67.0</v>
      </c>
      <c r="B2012" s="9" t="s">
        <v>4073</v>
      </c>
      <c r="C2012" s="9" t="s">
        <v>141</v>
      </c>
      <c r="D2012" s="9" t="s">
        <v>637</v>
      </c>
      <c r="E2012" s="6" t="s">
        <v>2828</v>
      </c>
      <c r="F2012" s="9" t="s">
        <v>4482</v>
      </c>
    </row>
    <row r="2013" ht="33.75" customHeight="1">
      <c r="A2013" s="7">
        <v>67.0</v>
      </c>
      <c r="B2013" s="9" t="s">
        <v>4073</v>
      </c>
      <c r="C2013" s="9" t="s">
        <v>141</v>
      </c>
      <c r="D2013" s="9" t="s">
        <v>642</v>
      </c>
      <c r="E2013" s="6" t="s">
        <v>2829</v>
      </c>
      <c r="F2013" s="9" t="s">
        <v>4482</v>
      </c>
    </row>
    <row r="2014" ht="33.75" customHeight="1">
      <c r="A2014" s="7">
        <v>67.0</v>
      </c>
      <c r="B2014" s="9" t="s">
        <v>4073</v>
      </c>
      <c r="C2014" s="9" t="s">
        <v>141</v>
      </c>
      <c r="D2014" s="9" t="s">
        <v>647</v>
      </c>
      <c r="E2014" s="6" t="s">
        <v>2830</v>
      </c>
      <c r="F2014" s="9" t="s">
        <v>4482</v>
      </c>
    </row>
    <row r="2015" ht="33.75" customHeight="1">
      <c r="A2015" s="7">
        <v>67.0</v>
      </c>
      <c r="B2015" s="9" t="s">
        <v>4073</v>
      </c>
      <c r="C2015" s="9" t="s">
        <v>141</v>
      </c>
      <c r="D2015" s="9" t="s">
        <v>652</v>
      </c>
      <c r="E2015" s="6" t="s">
        <v>2831</v>
      </c>
      <c r="F2015" s="9" t="s">
        <v>4482</v>
      </c>
    </row>
    <row r="2016" ht="33.75" customHeight="1">
      <c r="A2016" s="7">
        <v>67.0</v>
      </c>
      <c r="B2016" s="9" t="s">
        <v>4073</v>
      </c>
      <c r="C2016" s="9" t="s">
        <v>141</v>
      </c>
      <c r="D2016" s="9" t="s">
        <v>111</v>
      </c>
      <c r="E2016" s="6" t="s">
        <v>2832</v>
      </c>
      <c r="F2016" s="9" t="s">
        <v>4482</v>
      </c>
    </row>
    <row r="2017" ht="33.75" customHeight="1">
      <c r="A2017" s="7">
        <v>67.0</v>
      </c>
      <c r="B2017" s="9" t="s">
        <v>4073</v>
      </c>
      <c r="C2017" s="9" t="s">
        <v>141</v>
      </c>
      <c r="D2017" s="9" t="s">
        <v>113</v>
      </c>
      <c r="E2017" s="6" t="s">
        <v>2832</v>
      </c>
      <c r="F2017" s="9" t="s">
        <v>4482</v>
      </c>
    </row>
    <row r="2018" ht="33.75" customHeight="1">
      <c r="A2018" s="7">
        <v>67.0</v>
      </c>
      <c r="B2018" s="9" t="s">
        <v>4073</v>
      </c>
      <c r="C2018" s="9" t="s">
        <v>141</v>
      </c>
      <c r="D2018" s="9" t="s">
        <v>114</v>
      </c>
      <c r="E2018" s="6" t="s">
        <v>2813</v>
      </c>
      <c r="F2018" s="9" t="s">
        <v>4482</v>
      </c>
    </row>
    <row r="2019" ht="33.75" customHeight="1">
      <c r="A2019" s="7">
        <v>67.0</v>
      </c>
      <c r="B2019" s="9" t="s">
        <v>4073</v>
      </c>
      <c r="C2019" s="9" t="s">
        <v>141</v>
      </c>
      <c r="D2019" s="9" t="s">
        <v>117</v>
      </c>
      <c r="E2019" s="6" t="s">
        <v>2811</v>
      </c>
      <c r="F2019" s="9" t="s">
        <v>4482</v>
      </c>
    </row>
    <row r="2020" ht="33.75" customHeight="1">
      <c r="A2020" s="7">
        <v>67.0</v>
      </c>
      <c r="B2020" s="9" t="s">
        <v>4073</v>
      </c>
      <c r="C2020" s="9" t="s">
        <v>141</v>
      </c>
      <c r="D2020" s="9" t="s">
        <v>1577</v>
      </c>
      <c r="E2020" s="6" t="s">
        <v>2833</v>
      </c>
      <c r="F2020" s="9" t="s">
        <v>4482</v>
      </c>
    </row>
    <row r="2021" ht="33.75" customHeight="1">
      <c r="A2021" s="7">
        <v>68.0</v>
      </c>
      <c r="B2021" s="9" t="s">
        <v>4149</v>
      </c>
      <c r="C2021" s="9" t="s">
        <v>141</v>
      </c>
      <c r="D2021" s="9" t="s">
        <v>24</v>
      </c>
      <c r="E2021" s="6" t="s">
        <v>2834</v>
      </c>
      <c r="F2021" s="9" t="s">
        <v>4541</v>
      </c>
      <c r="G2021" t="inlineStr" s="6">
        <is>
          <t xml:space="preserve">Using Machamp's heavy muscles, it throws powerful punches that can send the victim clear over the horizon. One arm alone can move mountains. Using all four arms, this POKéMON fires off awesome punches. It quickly swings its four arms to rock its opponents with ceaseless punches and chops from all angles. It uses its four powerful arms to pin the limbs of its foe, then throws the victim over the horizon. With four arms that react more quickly than it can think, it can execute many punches at once. MACHAMP has the power to hurl anything aside. However, trying to do any work requiring care and dexterity causes its arms to get tangled. This POKéMON tends to leap into action before it thinks. MACHAMP is known as the POKéMON that has mastered every kind of martial arts. If it grabs hold of the foe with its four arms, the battle is all but over. The hapless foe is thrown far over the horizon. It is impossible to defend against punches and chops doled out by its four arms. Its fighting spirit flares up when it faces a tough opponent. Its four ruggedly developed arms can launch a flurry of 1,000 punches in just two seconds. Its superpowerful punches are said to knock the victim flying clear over the horizon. It punches with its four arms at blinding speed. It can launch 1,000 punches in two seconds. It can knock a train flying with a punch. However, it is terrible at delicate work using its fingers. Its four muscled arms slam foes with powerful punches and chops at blinding speed. It unleashes megaton-level punches that send opponents flying clear over the horizon. It can lift heavy loads with the greatest of ease. It can even heft dump trucks. But its clumsy fingers prevent it from doing any precision work. It grasps its opponents with its four arms and twists them up in an intricate hold. People call it “the Machamp special. With four arms, it can attack and defend simultaneously. It’s said to have mastered every martial art in the world. In close combat, its four arms afford it offensive and defensive supremacy. In but a blink, this valiant Pokémon can overwhelm its foes with more than 1,000 blows from its fists.</t>
        </is>
      </c>
    </row>
    <row r="2022" ht="33.75" customHeight="1">
      <c r="A2022" s="7">
        <v>68.0</v>
      </c>
      <c r="B2022" s="9" t="s">
        <v>4149</v>
      </c>
      <c r="C2022" s="9" t="s">
        <v>141</v>
      </c>
      <c r="D2022" s="9" t="s">
        <v>35</v>
      </c>
      <c r="E2022" s="6" t="s">
        <v>2834</v>
      </c>
      <c r="F2022" s="9" t="s">
        <v>4541</v>
      </c>
    </row>
    <row r="2023" ht="33.75" customHeight="1">
      <c r="A2023" s="7">
        <v>68.0</v>
      </c>
      <c r="B2023" s="9" t="s">
        <v>4149</v>
      </c>
      <c r="C2023" s="9" t="s">
        <v>141</v>
      </c>
      <c r="D2023" s="9" t="s">
        <v>42</v>
      </c>
      <c r="E2023" s="6" t="s">
        <v>2835</v>
      </c>
      <c r="F2023" s="9" t="s">
        <v>4541</v>
      </c>
    </row>
    <row r="2024" ht="33.75" customHeight="1">
      <c r="A2024" s="7">
        <v>68.0</v>
      </c>
      <c r="B2024" s="9" t="s">
        <v>4149</v>
      </c>
      <c r="C2024" s="9" t="s">
        <v>141</v>
      </c>
      <c r="D2024" s="9" t="s">
        <v>52</v>
      </c>
      <c r="E2024" s="6" t="s">
        <v>2836</v>
      </c>
      <c r="F2024" s="9" t="s">
        <v>4541</v>
      </c>
    </row>
    <row r="2025" ht="33.75" customHeight="1">
      <c r="A2025" s="7">
        <v>68.0</v>
      </c>
      <c r="B2025" s="9" t="s">
        <v>4149</v>
      </c>
      <c r="C2025" s="9" t="s">
        <v>141</v>
      </c>
      <c r="D2025" s="9" t="s">
        <v>59</v>
      </c>
      <c r="E2025" s="6" t="s">
        <v>2838</v>
      </c>
      <c r="F2025" s="9" t="s">
        <v>4541</v>
      </c>
    </row>
    <row r="2026" ht="33.75" customHeight="1">
      <c r="A2026" s="7">
        <v>68.0</v>
      </c>
      <c r="B2026" s="9" t="s">
        <v>4149</v>
      </c>
      <c r="C2026" s="9" t="s">
        <v>141</v>
      </c>
      <c r="D2026" s="9" t="s">
        <v>64</v>
      </c>
      <c r="E2026" s="6" t="s">
        <v>2839</v>
      </c>
      <c r="F2026" s="9" t="s">
        <v>4541</v>
      </c>
    </row>
    <row r="2027" ht="33.75" customHeight="1">
      <c r="A2027" s="7">
        <v>68.0</v>
      </c>
      <c r="B2027" s="9" t="s">
        <v>4149</v>
      </c>
      <c r="C2027" s="9" t="s">
        <v>141</v>
      </c>
      <c r="D2027" s="9" t="s">
        <v>67</v>
      </c>
      <c r="E2027" s="6" t="s">
        <v>2840</v>
      </c>
      <c r="F2027" s="9" t="s">
        <v>4541</v>
      </c>
    </row>
    <row r="2028" ht="33.75" customHeight="1">
      <c r="A2028" s="7">
        <v>68.0</v>
      </c>
      <c r="B2028" s="9" t="s">
        <v>4149</v>
      </c>
      <c r="C2028" s="9" t="s">
        <v>141</v>
      </c>
      <c r="D2028" s="9" t="s">
        <v>71</v>
      </c>
      <c r="E2028" s="6" t="s">
        <v>2842</v>
      </c>
      <c r="F2028" s="9" t="s">
        <v>4541</v>
      </c>
    </row>
    <row r="2029" ht="33.75" customHeight="1">
      <c r="A2029" s="7">
        <v>68.0</v>
      </c>
      <c r="B2029" s="9" t="s">
        <v>4149</v>
      </c>
      <c r="C2029" s="9" t="s">
        <v>141</v>
      </c>
      <c r="D2029" s="9" t="s">
        <v>73</v>
      </c>
      <c r="E2029" s="6" t="s">
        <v>2843</v>
      </c>
      <c r="F2029" s="9" t="s">
        <v>4541</v>
      </c>
    </row>
    <row r="2030" ht="33.75" customHeight="1">
      <c r="A2030" s="7">
        <v>68.0</v>
      </c>
      <c r="B2030" s="9" t="s">
        <v>4149</v>
      </c>
      <c r="C2030" s="9" t="s">
        <v>141</v>
      </c>
      <c r="D2030" s="9" t="s">
        <v>75</v>
      </c>
      <c r="E2030" s="6" t="s">
        <v>2845</v>
      </c>
      <c r="F2030" s="9" t="s">
        <v>4541</v>
      </c>
    </row>
    <row r="2031" ht="33.75" customHeight="1">
      <c r="A2031" s="7">
        <v>68.0</v>
      </c>
      <c r="B2031" s="9" t="s">
        <v>4149</v>
      </c>
      <c r="C2031" s="9" t="s">
        <v>141</v>
      </c>
      <c r="D2031" s="9" t="s">
        <v>79</v>
      </c>
      <c r="E2031" s="6" t="s">
        <v>2846</v>
      </c>
      <c r="F2031" s="9" t="s">
        <v>4541</v>
      </c>
    </row>
    <row r="2032" ht="33.75" customHeight="1">
      <c r="A2032" s="7">
        <v>68.0</v>
      </c>
      <c r="B2032" s="9" t="s">
        <v>4149</v>
      </c>
      <c r="C2032" s="9" t="s">
        <v>141</v>
      </c>
      <c r="D2032" s="9" t="s">
        <v>81</v>
      </c>
      <c r="E2032" s="6" t="s">
        <v>2848</v>
      </c>
      <c r="F2032" s="9" t="s">
        <v>4541</v>
      </c>
    </row>
    <row r="2033" ht="33.75" customHeight="1">
      <c r="A2033" s="7">
        <v>68.0</v>
      </c>
      <c r="B2033" s="9" t="s">
        <v>4149</v>
      </c>
      <c r="C2033" s="9" t="s">
        <v>141</v>
      </c>
      <c r="D2033" s="9" t="s">
        <v>84</v>
      </c>
      <c r="E2033" s="6" t="s">
        <v>2849</v>
      </c>
      <c r="F2033" s="9" t="s">
        <v>4541</v>
      </c>
    </row>
    <row r="2034" ht="33.75" customHeight="1">
      <c r="A2034" s="7">
        <v>68.0</v>
      </c>
      <c r="B2034" s="9" t="s">
        <v>4149</v>
      </c>
      <c r="C2034" s="9" t="s">
        <v>141</v>
      </c>
      <c r="D2034" s="9" t="s">
        <v>87</v>
      </c>
      <c r="E2034" s="6" t="s">
        <v>2851</v>
      </c>
      <c r="F2034" s="9" t="s">
        <v>4541</v>
      </c>
    </row>
    <row r="2035" ht="33.75" customHeight="1">
      <c r="A2035" s="7">
        <v>68.0</v>
      </c>
      <c r="B2035" s="9" t="s">
        <v>4149</v>
      </c>
      <c r="C2035" s="9" t="s">
        <v>141</v>
      </c>
      <c r="D2035" s="9" t="s">
        <v>89</v>
      </c>
      <c r="E2035" s="6" t="s">
        <v>2836</v>
      </c>
      <c r="F2035" s="9" t="s">
        <v>4541</v>
      </c>
    </row>
    <row r="2036" ht="33.75" customHeight="1">
      <c r="A2036" s="7">
        <v>68.0</v>
      </c>
      <c r="B2036" s="9" t="s">
        <v>4149</v>
      </c>
      <c r="C2036" s="9" t="s">
        <v>141</v>
      </c>
      <c r="D2036" s="9" t="s">
        <v>91</v>
      </c>
      <c r="E2036" s="6" t="s">
        <v>2838</v>
      </c>
      <c r="F2036" s="9" t="s">
        <v>4541</v>
      </c>
    </row>
    <row r="2037" ht="33.75" customHeight="1">
      <c r="A2037" s="7">
        <v>68.0</v>
      </c>
      <c r="B2037" s="9" t="s">
        <v>4149</v>
      </c>
      <c r="C2037" s="9" t="s">
        <v>141</v>
      </c>
      <c r="D2037" s="9" t="s">
        <v>93</v>
      </c>
      <c r="E2037" s="6" t="s">
        <v>2851</v>
      </c>
      <c r="F2037" s="9" t="s">
        <v>4541</v>
      </c>
    </row>
    <row r="2038" ht="33.75" customHeight="1">
      <c r="A2038" s="7">
        <v>68.0</v>
      </c>
      <c r="B2038" s="9" t="s">
        <v>4149</v>
      </c>
      <c r="C2038" s="9" t="s">
        <v>141</v>
      </c>
      <c r="D2038" s="9" t="s">
        <v>95</v>
      </c>
      <c r="E2038" s="6" t="s">
        <v>2851</v>
      </c>
      <c r="F2038" s="9" t="s">
        <v>4541</v>
      </c>
    </row>
    <row r="2039" ht="33.75" customHeight="1">
      <c r="A2039" s="7">
        <v>68.0</v>
      </c>
      <c r="B2039" s="9" t="s">
        <v>4149</v>
      </c>
      <c r="C2039" s="9" t="s">
        <v>141</v>
      </c>
      <c r="D2039" s="9" t="s">
        <v>98</v>
      </c>
      <c r="E2039" s="6" t="s">
        <v>2851</v>
      </c>
      <c r="F2039" s="9" t="s">
        <v>4541</v>
      </c>
    </row>
    <row r="2040" ht="33.75" customHeight="1">
      <c r="A2040" s="7">
        <v>68.0</v>
      </c>
      <c r="B2040" s="9" t="s">
        <v>4149</v>
      </c>
      <c r="C2040" s="9" t="s">
        <v>141</v>
      </c>
      <c r="D2040" s="9" t="s">
        <v>99</v>
      </c>
      <c r="E2040" s="6" t="s">
        <v>2851</v>
      </c>
      <c r="F2040" s="9" t="s">
        <v>4541</v>
      </c>
    </row>
    <row r="2041" ht="33.75" customHeight="1">
      <c r="A2041" s="7">
        <v>68.0</v>
      </c>
      <c r="B2041" s="9" t="s">
        <v>4149</v>
      </c>
      <c r="C2041" s="9" t="s">
        <v>141</v>
      </c>
      <c r="D2041" s="9" t="s">
        <v>101</v>
      </c>
      <c r="E2041" s="6" t="s">
        <v>2845</v>
      </c>
      <c r="F2041" s="9" t="s">
        <v>4541</v>
      </c>
    </row>
    <row r="2042" ht="33.75" customHeight="1">
      <c r="A2042" s="7">
        <v>68.0</v>
      </c>
      <c r="B2042" s="9" t="s">
        <v>4149</v>
      </c>
      <c r="C2042" s="9" t="s">
        <v>141</v>
      </c>
      <c r="D2042" s="9" t="s">
        <v>105</v>
      </c>
      <c r="E2042" s="6" t="s">
        <v>2838</v>
      </c>
      <c r="F2042" s="9" t="s">
        <v>4541</v>
      </c>
    </row>
    <row r="2043" ht="33.75" customHeight="1">
      <c r="A2043" s="7">
        <v>68.0</v>
      </c>
      <c r="B2043" s="9" t="s">
        <v>4149</v>
      </c>
      <c r="C2043" s="9" t="s">
        <v>141</v>
      </c>
      <c r="D2043" s="9" t="s">
        <v>107</v>
      </c>
      <c r="E2043" s="6" t="s">
        <v>2853</v>
      </c>
      <c r="F2043" s="9" t="s">
        <v>4541</v>
      </c>
    </row>
    <row r="2044" ht="33.75" customHeight="1">
      <c r="A2044" s="7">
        <v>68.0</v>
      </c>
      <c r="B2044" s="9" t="s">
        <v>4149</v>
      </c>
      <c r="C2044" s="9" t="s">
        <v>141</v>
      </c>
      <c r="D2044" s="9" t="s">
        <v>109</v>
      </c>
      <c r="E2044" s="6" t="s">
        <v>2854</v>
      </c>
      <c r="F2044" s="9" t="s">
        <v>4541</v>
      </c>
    </row>
    <row r="2045" ht="33.75" customHeight="1">
      <c r="A2045" s="7">
        <v>68.0</v>
      </c>
      <c r="B2045" s="9" t="s">
        <v>4149</v>
      </c>
      <c r="C2045" s="9" t="s">
        <v>141</v>
      </c>
      <c r="D2045" s="9" t="s">
        <v>637</v>
      </c>
      <c r="E2045" s="6" t="s">
        <v>2856</v>
      </c>
      <c r="F2045" s="9" t="s">
        <v>4541</v>
      </c>
    </row>
    <row r="2046" ht="33.75" customHeight="1">
      <c r="A2046" s="7">
        <v>68.0</v>
      </c>
      <c r="B2046" s="9" t="s">
        <v>4149</v>
      </c>
      <c r="C2046" s="9" t="s">
        <v>141</v>
      </c>
      <c r="D2046" s="9" t="s">
        <v>642</v>
      </c>
      <c r="E2046" s="6" t="s">
        <v>2858</v>
      </c>
      <c r="F2046" s="9" t="s">
        <v>4541</v>
      </c>
    </row>
    <row r="2047" ht="33.75" customHeight="1">
      <c r="A2047" s="7">
        <v>68.0</v>
      </c>
      <c r="B2047" s="9" t="s">
        <v>4149</v>
      </c>
      <c r="C2047" s="9" t="s">
        <v>141</v>
      </c>
      <c r="D2047" s="9" t="s">
        <v>647</v>
      </c>
      <c r="E2047" s="6" t="s">
        <v>2861</v>
      </c>
      <c r="F2047" s="9" t="s">
        <v>4541</v>
      </c>
    </row>
    <row r="2048" ht="33.75" customHeight="1">
      <c r="A2048" s="7">
        <v>68.0</v>
      </c>
      <c r="B2048" s="9" t="s">
        <v>4149</v>
      </c>
      <c r="C2048" s="9" t="s">
        <v>141</v>
      </c>
      <c r="D2048" s="9" t="s">
        <v>652</v>
      </c>
      <c r="E2048" s="6" t="s">
        <v>2862</v>
      </c>
      <c r="F2048" s="9" t="s">
        <v>4541</v>
      </c>
    </row>
    <row r="2049" ht="33.75" customHeight="1">
      <c r="A2049" s="7">
        <v>68.0</v>
      </c>
      <c r="B2049" s="9" t="s">
        <v>4149</v>
      </c>
      <c r="C2049" s="9" t="s">
        <v>141</v>
      </c>
      <c r="D2049" s="9" t="s">
        <v>111</v>
      </c>
      <c r="E2049" s="6" t="s">
        <v>2863</v>
      </c>
      <c r="F2049" s="9" t="s">
        <v>4541</v>
      </c>
    </row>
    <row r="2050" ht="33.75" customHeight="1">
      <c r="A2050" s="7">
        <v>68.0</v>
      </c>
      <c r="B2050" s="9" t="s">
        <v>4149</v>
      </c>
      <c r="C2050" s="9" t="s">
        <v>141</v>
      </c>
      <c r="D2050" s="9" t="s">
        <v>113</v>
      </c>
      <c r="E2050" s="6" t="s">
        <v>2863</v>
      </c>
      <c r="F2050" s="9" t="s">
        <v>4541</v>
      </c>
    </row>
    <row r="2051" ht="33.75" customHeight="1">
      <c r="A2051" s="7">
        <v>68.0</v>
      </c>
      <c r="B2051" s="9" t="s">
        <v>4149</v>
      </c>
      <c r="C2051" s="9" t="s">
        <v>141</v>
      </c>
      <c r="D2051" s="9" t="s">
        <v>114</v>
      </c>
      <c r="E2051" s="6" t="s">
        <v>2836</v>
      </c>
      <c r="F2051" s="9" t="s">
        <v>4541</v>
      </c>
    </row>
    <row r="2052" ht="33.75" customHeight="1">
      <c r="A2052" s="7">
        <v>68.0</v>
      </c>
      <c r="B2052" s="9" t="s">
        <v>4149</v>
      </c>
      <c r="C2052" s="9" t="s">
        <v>141</v>
      </c>
      <c r="D2052" s="9" t="s">
        <v>117</v>
      </c>
      <c r="E2052" s="6" t="s">
        <v>2839</v>
      </c>
      <c r="F2052" s="9" t="s">
        <v>4541</v>
      </c>
    </row>
    <row r="2053" ht="33.75" customHeight="1">
      <c r="A2053" s="7">
        <v>68.0</v>
      </c>
      <c r="B2053" s="9" t="s">
        <v>4149</v>
      </c>
      <c r="C2053" s="9" t="s">
        <v>141</v>
      </c>
      <c r="D2053" s="9" t="s">
        <v>1577</v>
      </c>
      <c r="E2053" s="6" t="s">
        <v>2865</v>
      </c>
      <c r="F2053" s="9" t="s">
        <v>4541</v>
      </c>
    </row>
    <row r="2054" ht="33.75" customHeight="1">
      <c r="A2054" s="7">
        <v>69.0</v>
      </c>
      <c r="B2054" s="9" t="s">
        <v>4212</v>
      </c>
      <c r="C2054" s="9" t="s">
        <v>119</v>
      </c>
      <c r="D2054" s="9" t="s">
        <v>24</v>
      </c>
      <c r="E2054" s="6" t="s">
        <v>2866</v>
      </c>
      <c r="F2054" s="9" t="s">
        <v>4662</v>
      </c>
      <c r="G2054" t="inlineStr" s="6">
        <is>
          <t xml:space="preserve">A carnivorous POKéMON that traps and eats bugs. It uses its root feet to soak up needed moisture. Prefers hot and humid places. It ensnares tiny insects with its vines and devours them. Even though its body is extremely skinny, it is blindingly fast when catching its prey. It plants its feet deep underground to replenish water. It can't es cape its enemy while it's rooted. If it notices anything that moves, it immediately flings its vine at the object. BELLSPROUT’s thin and flexible body lets it bend and sway to avoid any attack, however strong it may be. From its mouth, this POKéMON spits a corrosive fluid that melts even iron. A BELLSPROUT’s thin and flexible body lets it bend and sway to avoid any attack, however strong it may be. From its mouth, it leaks a fluid that melts even iron. Its bud looks like a human face. Because of the bud, it is rumored to be a type of legendary mandrake plant. It appears to use its root feet to replenish moisture. It prefers hot and humid environments. It is quick at capturing prey with its vines. It can’t escape its enemy while it’s rooted. It ensnares tiny bugs with its vines and devours them.</t>
        </is>
      </c>
    </row>
    <row r="2055" ht="33.75" customHeight="1">
      <c r="A2055" s="7">
        <v>69.0</v>
      </c>
      <c r="B2055" s="9" t="s">
        <v>4212</v>
      </c>
      <c r="C2055" s="9" t="s">
        <v>119</v>
      </c>
      <c r="D2055" s="9" t="s">
        <v>35</v>
      </c>
      <c r="E2055" s="6" t="s">
        <v>2866</v>
      </c>
      <c r="F2055" s="9" t="s">
        <v>4662</v>
      </c>
    </row>
    <row r="2056" ht="33.75" customHeight="1">
      <c r="A2056" s="7">
        <v>69.0</v>
      </c>
      <c r="B2056" s="9" t="s">
        <v>4212</v>
      </c>
      <c r="C2056" s="9" t="s">
        <v>119</v>
      </c>
      <c r="D2056" s="9" t="s">
        <v>42</v>
      </c>
      <c r="E2056" s="6" t="s">
        <v>2868</v>
      </c>
      <c r="F2056" s="9" t="s">
        <v>4662</v>
      </c>
    </row>
    <row r="2057" ht="33.75" customHeight="1">
      <c r="A2057" s="7">
        <v>69.0</v>
      </c>
      <c r="B2057" s="9" t="s">
        <v>4212</v>
      </c>
      <c r="C2057" s="9" t="s">
        <v>119</v>
      </c>
      <c r="D2057" s="9" t="s">
        <v>52</v>
      </c>
      <c r="E2057" s="6" t="s">
        <v>2870</v>
      </c>
      <c r="F2057" s="9" t="s">
        <v>4662</v>
      </c>
    </row>
    <row r="2058" ht="33.75" customHeight="1">
      <c r="A2058" s="7">
        <v>69.0</v>
      </c>
      <c r="B2058" s="9" t="s">
        <v>4212</v>
      </c>
      <c r="C2058" s="9" t="s">
        <v>119</v>
      </c>
      <c r="D2058" s="9" t="s">
        <v>59</v>
      </c>
      <c r="E2058" s="6" t="s">
        <v>2871</v>
      </c>
      <c r="F2058" s="9" t="s">
        <v>4662</v>
      </c>
    </row>
    <row r="2059" ht="33.75" customHeight="1">
      <c r="A2059" s="7">
        <v>69.0</v>
      </c>
      <c r="B2059" s="9" t="s">
        <v>4212</v>
      </c>
      <c r="C2059" s="9" t="s">
        <v>119</v>
      </c>
      <c r="D2059" s="9" t="s">
        <v>64</v>
      </c>
      <c r="E2059" s="6" t="s">
        <v>2873</v>
      </c>
      <c r="F2059" s="9" t="s">
        <v>4662</v>
      </c>
    </row>
    <row r="2060" ht="33.75" customHeight="1">
      <c r="A2060" s="7">
        <v>69.0</v>
      </c>
      <c r="B2060" s="9" t="s">
        <v>4212</v>
      </c>
      <c r="C2060" s="9" t="s">
        <v>119</v>
      </c>
      <c r="D2060" s="9" t="s">
        <v>67</v>
      </c>
      <c r="E2060" s="6" t="s">
        <v>2875</v>
      </c>
      <c r="F2060" s="9" t="s">
        <v>4662</v>
      </c>
    </row>
    <row r="2061" ht="33.75" customHeight="1">
      <c r="A2061" s="7">
        <v>69.0</v>
      </c>
      <c r="B2061" s="9" t="s">
        <v>4212</v>
      </c>
      <c r="C2061" s="9" t="s">
        <v>119</v>
      </c>
      <c r="D2061" s="9" t="s">
        <v>71</v>
      </c>
      <c r="E2061" s="6" t="s">
        <v>2875</v>
      </c>
      <c r="F2061" s="9" t="s">
        <v>4662</v>
      </c>
    </row>
    <row r="2062" ht="33.75" customHeight="1">
      <c r="A2062" s="7">
        <v>69.0</v>
      </c>
      <c r="B2062" s="9" t="s">
        <v>4212</v>
      </c>
      <c r="C2062" s="9" t="s">
        <v>119</v>
      </c>
      <c r="D2062" s="9" t="s">
        <v>73</v>
      </c>
      <c r="E2062" s="6" t="s">
        <v>2876</v>
      </c>
      <c r="F2062" s="9" t="s">
        <v>4662</v>
      </c>
    </row>
    <row r="2063" ht="33.75" customHeight="1">
      <c r="A2063" s="7">
        <v>69.0</v>
      </c>
      <c r="B2063" s="9" t="s">
        <v>4212</v>
      </c>
      <c r="C2063" s="9" t="s">
        <v>119</v>
      </c>
      <c r="D2063" s="9" t="s">
        <v>75</v>
      </c>
      <c r="E2063" s="6" t="s">
        <v>2877</v>
      </c>
      <c r="F2063" s="9" t="s">
        <v>4662</v>
      </c>
    </row>
    <row r="2064" ht="33.75" customHeight="1">
      <c r="A2064" s="7">
        <v>69.0</v>
      </c>
      <c r="B2064" s="9" t="s">
        <v>4212</v>
      </c>
      <c r="C2064" s="9" t="s">
        <v>119</v>
      </c>
      <c r="D2064" s="9" t="s">
        <v>79</v>
      </c>
      <c r="E2064" s="6" t="s">
        <v>2879</v>
      </c>
      <c r="F2064" s="9" t="s">
        <v>4662</v>
      </c>
    </row>
    <row r="2065" ht="33.75" customHeight="1">
      <c r="A2065" s="7">
        <v>69.0</v>
      </c>
      <c r="B2065" s="9" t="s">
        <v>4212</v>
      </c>
      <c r="C2065" s="9" t="s">
        <v>119</v>
      </c>
      <c r="D2065" s="9" t="s">
        <v>81</v>
      </c>
      <c r="E2065" s="6" t="s">
        <v>2880</v>
      </c>
      <c r="F2065" s="9" t="s">
        <v>4662</v>
      </c>
    </row>
    <row r="2066" ht="33.75" customHeight="1">
      <c r="A2066" s="7">
        <v>69.0</v>
      </c>
      <c r="B2066" s="9" t="s">
        <v>4212</v>
      </c>
      <c r="C2066" s="9" t="s">
        <v>119</v>
      </c>
      <c r="D2066" s="9" t="s">
        <v>84</v>
      </c>
      <c r="E2066" s="6" t="s">
        <v>2880</v>
      </c>
      <c r="F2066" s="9" t="s">
        <v>4662</v>
      </c>
    </row>
    <row r="2067" ht="33.75" customHeight="1">
      <c r="A2067" s="7">
        <v>69.0</v>
      </c>
      <c r="B2067" s="9" t="s">
        <v>4212</v>
      </c>
      <c r="C2067" s="9" t="s">
        <v>119</v>
      </c>
      <c r="D2067" s="9" t="s">
        <v>87</v>
      </c>
      <c r="E2067" s="6" t="s">
        <v>2880</v>
      </c>
      <c r="F2067" s="9" t="s">
        <v>4662</v>
      </c>
    </row>
    <row r="2068" ht="33.75" customHeight="1">
      <c r="A2068" s="7">
        <v>69.0</v>
      </c>
      <c r="B2068" s="9" t="s">
        <v>4212</v>
      </c>
      <c r="C2068" s="9" t="s">
        <v>119</v>
      </c>
      <c r="D2068" s="9" t="s">
        <v>89</v>
      </c>
      <c r="E2068" s="6" t="s">
        <v>2870</v>
      </c>
      <c r="F2068" s="9" t="s">
        <v>4662</v>
      </c>
    </row>
    <row r="2069" ht="33.75" customHeight="1">
      <c r="A2069" s="7">
        <v>69.0</v>
      </c>
      <c r="B2069" s="9" t="s">
        <v>4212</v>
      </c>
      <c r="C2069" s="9" t="s">
        <v>119</v>
      </c>
      <c r="D2069" s="9" t="s">
        <v>91</v>
      </c>
      <c r="E2069" s="6" t="s">
        <v>2882</v>
      </c>
      <c r="F2069" s="9" t="s">
        <v>4662</v>
      </c>
    </row>
    <row r="2070" ht="33.75" customHeight="1">
      <c r="A2070" s="7">
        <v>69.0</v>
      </c>
      <c r="B2070" s="9" t="s">
        <v>4212</v>
      </c>
      <c r="C2070" s="9" t="s">
        <v>119</v>
      </c>
      <c r="D2070" s="9" t="s">
        <v>93</v>
      </c>
      <c r="E2070" s="6" t="s">
        <v>2880</v>
      </c>
      <c r="F2070" s="9" t="s">
        <v>4662</v>
      </c>
    </row>
    <row r="2071" ht="33.75" customHeight="1">
      <c r="A2071" s="7">
        <v>69.0</v>
      </c>
      <c r="B2071" s="9" t="s">
        <v>4212</v>
      </c>
      <c r="C2071" s="9" t="s">
        <v>119</v>
      </c>
      <c r="D2071" s="9" t="s">
        <v>95</v>
      </c>
      <c r="E2071" s="6" t="s">
        <v>2880</v>
      </c>
      <c r="F2071" s="9" t="s">
        <v>4662</v>
      </c>
    </row>
    <row r="2072" ht="33.75" customHeight="1">
      <c r="A2072" s="7">
        <v>69.0</v>
      </c>
      <c r="B2072" s="9" t="s">
        <v>4212</v>
      </c>
      <c r="C2072" s="9" t="s">
        <v>119</v>
      </c>
      <c r="D2072" s="9" t="s">
        <v>98</v>
      </c>
      <c r="E2072" s="6" t="s">
        <v>2880</v>
      </c>
      <c r="F2072" s="9" t="s">
        <v>4662</v>
      </c>
    </row>
    <row r="2073" ht="33.75" customHeight="1">
      <c r="A2073" s="7">
        <v>69.0</v>
      </c>
      <c r="B2073" s="9" t="s">
        <v>4212</v>
      </c>
      <c r="C2073" s="9" t="s">
        <v>119</v>
      </c>
      <c r="D2073" s="9" t="s">
        <v>99</v>
      </c>
      <c r="E2073" s="6" t="s">
        <v>2880</v>
      </c>
      <c r="F2073" s="9" t="s">
        <v>4662</v>
      </c>
    </row>
    <row r="2074" ht="33.75" customHeight="1">
      <c r="A2074" s="7">
        <v>69.0</v>
      </c>
      <c r="B2074" s="9" t="s">
        <v>4212</v>
      </c>
      <c r="C2074" s="9" t="s">
        <v>119</v>
      </c>
      <c r="D2074" s="9" t="s">
        <v>101</v>
      </c>
      <c r="E2074" s="6" t="s">
        <v>2870</v>
      </c>
      <c r="F2074" s="9" t="s">
        <v>4662</v>
      </c>
    </row>
    <row r="2075" ht="33.75" customHeight="1">
      <c r="A2075" s="7">
        <v>69.0</v>
      </c>
      <c r="B2075" s="9" t="s">
        <v>4212</v>
      </c>
      <c r="C2075" s="9" t="s">
        <v>119</v>
      </c>
      <c r="D2075" s="9" t="s">
        <v>105</v>
      </c>
      <c r="E2075" s="6" t="s">
        <v>2877</v>
      </c>
      <c r="F2075" s="9" t="s">
        <v>4662</v>
      </c>
    </row>
    <row r="2076" ht="33.75" customHeight="1">
      <c r="A2076" s="7">
        <v>69.0</v>
      </c>
      <c r="B2076" s="9" t="s">
        <v>4212</v>
      </c>
      <c r="C2076" s="9" t="s">
        <v>119</v>
      </c>
      <c r="D2076" s="9" t="s">
        <v>107</v>
      </c>
      <c r="E2076" s="6" t="s">
        <v>2883</v>
      </c>
      <c r="F2076" s="9" t="s">
        <v>4662</v>
      </c>
    </row>
    <row r="2077" ht="33.75" customHeight="1">
      <c r="A2077" s="7">
        <v>69.0</v>
      </c>
      <c r="B2077" s="9" t="s">
        <v>4212</v>
      </c>
      <c r="C2077" s="9" t="s">
        <v>119</v>
      </c>
      <c r="D2077" s="9" t="s">
        <v>109</v>
      </c>
      <c r="E2077" s="6" t="s">
        <v>2883</v>
      </c>
      <c r="F2077" s="9" t="s">
        <v>4662</v>
      </c>
    </row>
    <row r="2078" ht="33.75" customHeight="1">
      <c r="A2078" s="7">
        <v>69.0</v>
      </c>
      <c r="B2078" s="9" t="s">
        <v>4212</v>
      </c>
      <c r="C2078" s="9" t="s">
        <v>119</v>
      </c>
      <c r="D2078" s="9" t="s">
        <v>111</v>
      </c>
      <c r="E2078" s="6" t="s">
        <v>2885</v>
      </c>
      <c r="F2078" s="9" t="s">
        <v>4662</v>
      </c>
    </row>
    <row r="2079" ht="33.75" customHeight="1">
      <c r="A2079" s="7">
        <v>69.0</v>
      </c>
      <c r="B2079" s="9" t="s">
        <v>4212</v>
      </c>
      <c r="C2079" s="9" t="s">
        <v>119</v>
      </c>
      <c r="D2079" s="9" t="s">
        <v>113</v>
      </c>
      <c r="E2079" s="6" t="s">
        <v>2885</v>
      </c>
      <c r="F2079" s="9" t="s">
        <v>4662</v>
      </c>
    </row>
    <row r="2080" ht="33.75" customHeight="1">
      <c r="A2080" s="7">
        <v>70.0</v>
      </c>
      <c r="B2080" s="9" t="s">
        <v>4263</v>
      </c>
      <c r="C2080" s="9" t="s">
        <v>143</v>
      </c>
      <c r="D2080" s="9" t="s">
        <v>24</v>
      </c>
      <c r="E2080" s="6" t="s">
        <v>2886</v>
      </c>
      <c r="F2080" s="9" t="s">
        <v>4739</v>
      </c>
      <c r="G2080" t="inlineStr" s="6">
        <is>
          <t xml:space="preserve">It spits out POISONPOWDER to immobilize the enemy and then finishes it with a spray of ACID. When hungry, it swallows anything that moves. Its hapless prey is melted inside by strong acids. Even though it is filled with ACID, it does not melt because it also oozes a neutral izing fluid. If its prey is bigger than its mouth, it slices up the victim with sharp leaves, then eats every morsel. When it's hungry, it swings its razor-sharp leaves, slicing up any unlucky object nearby for food. WEEPINBELL has a large hook on its rear end. At night, the POKéMON hooks on to a tree branch and goes to sleep. If it moves around in its sleep, it may wake up to find itself on the ground. At night, a WEEPINBELL hangs on to a tree branch with its hooked rear and sleeps. The leafy parts act as cutters for slashing foes. It spits a fluid that dissolves everything. A Pokémon that appears to be a plant. It captures unwary prey by dousing them with a toxic powder. Even though it is filled with acid, it does not melt because it also oozes a protective fluid. It spits out Poison Powder to immobilize the enemy and then finishes it with a spray of Acid. Its hapless prey is dissolved by strong acids.</t>
        </is>
      </c>
    </row>
    <row r="2081" ht="33.75" customHeight="1">
      <c r="A2081" s="7">
        <v>70.0</v>
      </c>
      <c r="B2081" s="9" t="s">
        <v>4263</v>
      </c>
      <c r="C2081" s="9" t="s">
        <v>143</v>
      </c>
      <c r="D2081" s="9" t="s">
        <v>35</v>
      </c>
      <c r="E2081" s="6" t="s">
        <v>2886</v>
      </c>
      <c r="F2081" s="9" t="s">
        <v>4739</v>
      </c>
    </row>
    <row r="2082" ht="33.75" customHeight="1">
      <c r="A2082" s="7">
        <v>70.0</v>
      </c>
      <c r="B2082" s="9" t="s">
        <v>4263</v>
      </c>
      <c r="C2082" s="9" t="s">
        <v>143</v>
      </c>
      <c r="D2082" s="9" t="s">
        <v>42</v>
      </c>
      <c r="E2082" s="6" t="s">
        <v>2887</v>
      </c>
      <c r="F2082" s="9" t="s">
        <v>4739</v>
      </c>
    </row>
    <row r="2083" ht="33.75" customHeight="1">
      <c r="A2083" s="7">
        <v>70.0</v>
      </c>
      <c r="B2083" s="9" t="s">
        <v>4263</v>
      </c>
      <c r="C2083" s="9" t="s">
        <v>143</v>
      </c>
      <c r="D2083" s="9" t="s">
        <v>52</v>
      </c>
      <c r="E2083" s="6" t="s">
        <v>2888</v>
      </c>
      <c r="F2083" s="9" t="s">
        <v>4739</v>
      </c>
    </row>
    <row r="2084" ht="33.75" customHeight="1">
      <c r="A2084" s="7">
        <v>70.0</v>
      </c>
      <c r="B2084" s="9" t="s">
        <v>4263</v>
      </c>
      <c r="C2084" s="9" t="s">
        <v>143</v>
      </c>
      <c r="D2084" s="9" t="s">
        <v>59</v>
      </c>
      <c r="E2084" s="6" t="s">
        <v>2889</v>
      </c>
      <c r="F2084" s="9" t="s">
        <v>4739</v>
      </c>
    </row>
    <row r="2085" ht="33.75" customHeight="1">
      <c r="A2085" s="7">
        <v>70.0</v>
      </c>
      <c r="B2085" s="9" t="s">
        <v>4263</v>
      </c>
      <c r="C2085" s="9" t="s">
        <v>143</v>
      </c>
      <c r="D2085" s="9" t="s">
        <v>64</v>
      </c>
      <c r="E2085" s="6" t="s">
        <v>2890</v>
      </c>
      <c r="F2085" s="9" t="s">
        <v>4739</v>
      </c>
    </row>
    <row r="2086" ht="33.75" customHeight="1">
      <c r="A2086" s="7">
        <v>70.0</v>
      </c>
      <c r="B2086" s="9" t="s">
        <v>4263</v>
      </c>
      <c r="C2086" s="9" t="s">
        <v>143</v>
      </c>
      <c r="D2086" s="9" t="s">
        <v>67</v>
      </c>
      <c r="E2086" s="6" t="s">
        <v>2891</v>
      </c>
      <c r="F2086" s="9" t="s">
        <v>4739</v>
      </c>
    </row>
    <row r="2087" ht="33.75" customHeight="1">
      <c r="A2087" s="7">
        <v>70.0</v>
      </c>
      <c r="B2087" s="9" t="s">
        <v>4263</v>
      </c>
      <c r="C2087" s="9" t="s">
        <v>143</v>
      </c>
      <c r="D2087" s="9" t="s">
        <v>71</v>
      </c>
      <c r="E2087" s="6" t="s">
        <v>2891</v>
      </c>
      <c r="F2087" s="9" t="s">
        <v>4739</v>
      </c>
    </row>
    <row r="2088" ht="33.75" customHeight="1">
      <c r="A2088" s="7">
        <v>70.0</v>
      </c>
      <c r="B2088" s="9" t="s">
        <v>4263</v>
      </c>
      <c r="C2088" s="9" t="s">
        <v>143</v>
      </c>
      <c r="D2088" s="9" t="s">
        <v>73</v>
      </c>
      <c r="E2088" s="6" t="s">
        <v>2892</v>
      </c>
      <c r="F2088" s="9" t="s">
        <v>4739</v>
      </c>
    </row>
    <row r="2089" ht="33.75" customHeight="1">
      <c r="A2089" s="7">
        <v>70.0</v>
      </c>
      <c r="B2089" s="9" t="s">
        <v>4263</v>
      </c>
      <c r="C2089" s="9" t="s">
        <v>143</v>
      </c>
      <c r="D2089" s="9" t="s">
        <v>75</v>
      </c>
      <c r="E2089" s="6" t="s">
        <v>2893</v>
      </c>
      <c r="F2089" s="9" t="s">
        <v>4739</v>
      </c>
    </row>
    <row r="2090" ht="33.75" customHeight="1">
      <c r="A2090" s="7">
        <v>70.0</v>
      </c>
      <c r="B2090" s="9" t="s">
        <v>4263</v>
      </c>
      <c r="C2090" s="9" t="s">
        <v>143</v>
      </c>
      <c r="D2090" s="9" t="s">
        <v>79</v>
      </c>
      <c r="E2090" s="6" t="s">
        <v>2886</v>
      </c>
      <c r="F2090" s="9" t="s">
        <v>4739</v>
      </c>
    </row>
    <row r="2091" ht="33.75" customHeight="1">
      <c r="A2091" s="7">
        <v>70.0</v>
      </c>
      <c r="B2091" s="9" t="s">
        <v>4263</v>
      </c>
      <c r="C2091" s="9" t="s">
        <v>143</v>
      </c>
      <c r="D2091" s="9" t="s">
        <v>81</v>
      </c>
      <c r="E2091" s="6" t="s">
        <v>2894</v>
      </c>
      <c r="F2091" s="9" t="s">
        <v>4739</v>
      </c>
    </row>
    <row r="2092" ht="33.75" customHeight="1">
      <c r="A2092" s="7">
        <v>70.0</v>
      </c>
      <c r="B2092" s="9" t="s">
        <v>4263</v>
      </c>
      <c r="C2092" s="9" t="s">
        <v>143</v>
      </c>
      <c r="D2092" s="9" t="s">
        <v>84</v>
      </c>
      <c r="E2092" s="6" t="s">
        <v>2894</v>
      </c>
      <c r="F2092" s="9" t="s">
        <v>4739</v>
      </c>
    </row>
    <row r="2093" ht="33.75" customHeight="1">
      <c r="A2093" s="7">
        <v>70.0</v>
      </c>
      <c r="B2093" s="9" t="s">
        <v>4263</v>
      </c>
      <c r="C2093" s="9" t="s">
        <v>143</v>
      </c>
      <c r="D2093" s="9" t="s">
        <v>87</v>
      </c>
      <c r="E2093" s="6" t="s">
        <v>2894</v>
      </c>
      <c r="F2093" s="9" t="s">
        <v>4739</v>
      </c>
    </row>
    <row r="2094" ht="33.75" customHeight="1">
      <c r="A2094" s="7">
        <v>70.0</v>
      </c>
      <c r="B2094" s="9" t="s">
        <v>4263</v>
      </c>
      <c r="C2094" s="9" t="s">
        <v>143</v>
      </c>
      <c r="D2094" s="9" t="s">
        <v>89</v>
      </c>
      <c r="E2094" s="6" t="s">
        <v>2896</v>
      </c>
      <c r="F2094" s="9" t="s">
        <v>4739</v>
      </c>
    </row>
    <row r="2095" ht="33.75" customHeight="1">
      <c r="A2095" s="7">
        <v>70.0</v>
      </c>
      <c r="B2095" s="9" t="s">
        <v>4263</v>
      </c>
      <c r="C2095" s="9" t="s">
        <v>143</v>
      </c>
      <c r="D2095" s="9" t="s">
        <v>91</v>
      </c>
      <c r="E2095" s="6" t="s">
        <v>2889</v>
      </c>
      <c r="F2095" s="9" t="s">
        <v>4739</v>
      </c>
    </row>
    <row r="2096" ht="33.75" customHeight="1">
      <c r="A2096" s="7">
        <v>70.0</v>
      </c>
      <c r="B2096" s="9" t="s">
        <v>4263</v>
      </c>
      <c r="C2096" s="9" t="s">
        <v>143</v>
      </c>
      <c r="D2096" s="9" t="s">
        <v>93</v>
      </c>
      <c r="E2096" s="6" t="s">
        <v>2894</v>
      </c>
      <c r="F2096" s="9" t="s">
        <v>4739</v>
      </c>
    </row>
    <row r="2097" ht="33.75" customHeight="1">
      <c r="A2097" s="7">
        <v>70.0</v>
      </c>
      <c r="B2097" s="9" t="s">
        <v>4263</v>
      </c>
      <c r="C2097" s="9" t="s">
        <v>143</v>
      </c>
      <c r="D2097" s="9" t="s">
        <v>95</v>
      </c>
      <c r="E2097" s="6" t="s">
        <v>2894</v>
      </c>
      <c r="F2097" s="9" t="s">
        <v>4739</v>
      </c>
    </row>
    <row r="2098" ht="33.75" customHeight="1">
      <c r="A2098" s="7">
        <v>70.0</v>
      </c>
      <c r="B2098" s="9" t="s">
        <v>4263</v>
      </c>
      <c r="C2098" s="9" t="s">
        <v>143</v>
      </c>
      <c r="D2098" s="9" t="s">
        <v>98</v>
      </c>
      <c r="E2098" s="6" t="s">
        <v>2894</v>
      </c>
      <c r="F2098" s="9" t="s">
        <v>4739</v>
      </c>
    </row>
    <row r="2099" ht="33.75" customHeight="1">
      <c r="A2099" s="7">
        <v>70.0</v>
      </c>
      <c r="B2099" s="9" t="s">
        <v>4263</v>
      </c>
      <c r="C2099" s="9" t="s">
        <v>143</v>
      </c>
      <c r="D2099" s="9" t="s">
        <v>99</v>
      </c>
      <c r="E2099" s="6" t="s">
        <v>2894</v>
      </c>
      <c r="F2099" s="9" t="s">
        <v>4739</v>
      </c>
    </row>
    <row r="2100" ht="33.75" customHeight="1">
      <c r="A2100" s="7">
        <v>70.0</v>
      </c>
      <c r="B2100" s="9" t="s">
        <v>4263</v>
      </c>
      <c r="C2100" s="9" t="s">
        <v>143</v>
      </c>
      <c r="D2100" s="9" t="s">
        <v>101</v>
      </c>
      <c r="E2100" s="6" t="s">
        <v>2893</v>
      </c>
      <c r="F2100" s="9" t="s">
        <v>4739</v>
      </c>
    </row>
    <row r="2101" ht="33.75" customHeight="1">
      <c r="A2101" s="7">
        <v>70.0</v>
      </c>
      <c r="B2101" s="9" t="s">
        <v>4263</v>
      </c>
      <c r="C2101" s="9" t="s">
        <v>143</v>
      </c>
      <c r="D2101" s="9" t="s">
        <v>105</v>
      </c>
      <c r="E2101" s="6" t="s">
        <v>2897</v>
      </c>
      <c r="F2101" s="9" t="s">
        <v>4739</v>
      </c>
    </row>
    <row r="2102" ht="33.75" customHeight="1">
      <c r="A2102" s="7">
        <v>70.0</v>
      </c>
      <c r="B2102" s="9" t="s">
        <v>4263</v>
      </c>
      <c r="C2102" s="9" t="s">
        <v>143</v>
      </c>
      <c r="D2102" s="9" t="s">
        <v>107</v>
      </c>
      <c r="E2102" s="6" t="s">
        <v>2898</v>
      </c>
      <c r="F2102" s="9" t="s">
        <v>4739</v>
      </c>
    </row>
    <row r="2103" ht="33.75" customHeight="1">
      <c r="A2103" s="7">
        <v>70.0</v>
      </c>
      <c r="B2103" s="9" t="s">
        <v>4263</v>
      </c>
      <c r="C2103" s="9" t="s">
        <v>143</v>
      </c>
      <c r="D2103" s="9" t="s">
        <v>109</v>
      </c>
      <c r="E2103" s="6" t="s">
        <v>2898</v>
      </c>
      <c r="F2103" s="9" t="s">
        <v>4739</v>
      </c>
    </row>
    <row r="2104" ht="33.75" customHeight="1">
      <c r="A2104" s="7">
        <v>70.0</v>
      </c>
      <c r="B2104" s="9" t="s">
        <v>4263</v>
      </c>
      <c r="C2104" s="9" t="s">
        <v>143</v>
      </c>
      <c r="D2104" s="9" t="s">
        <v>111</v>
      </c>
      <c r="E2104" s="6" t="s">
        <v>2899</v>
      </c>
      <c r="F2104" s="9" t="s">
        <v>4739</v>
      </c>
    </row>
    <row r="2105" ht="33.75" customHeight="1">
      <c r="A2105" s="7">
        <v>70.0</v>
      </c>
      <c r="B2105" s="9" t="s">
        <v>4263</v>
      </c>
      <c r="C2105" s="9" t="s">
        <v>143</v>
      </c>
      <c r="D2105" s="9" t="s">
        <v>113</v>
      </c>
      <c r="E2105" s="6" t="s">
        <v>2899</v>
      </c>
      <c r="F2105" s="9" t="s">
        <v>4739</v>
      </c>
    </row>
    <row r="2106" ht="33.75" customHeight="1">
      <c r="A2106" s="7">
        <v>71.0</v>
      </c>
      <c r="B2106" s="9" t="s">
        <v>4317</v>
      </c>
      <c r="C2106" s="9" t="s">
        <v>143</v>
      </c>
      <c r="D2106" s="9" t="s">
        <v>24</v>
      </c>
      <c r="E2106" s="6" t="s">
        <v>2900</v>
      </c>
      <c r="F2106" s="9" t="s">
        <v>4805</v>
      </c>
      <c r="G2106" t="inlineStr" s="6">
        <is>
          <t xml:space="preserve">Said to live in huge colonies deep in jungles, although no one has ever returned from there. Lures prey with the sweet aroma of honey. Swallowed whole, the prey is melted in a day, bones and all. ACID that has dissolved many prey becomes sweeter, making it even more effective at attracting prey. This horrifying plant POKéMON attracts prey with aromatic honey, then melts them in its mouth. Once ingested into this POKéMON's body, even the hardest object will melt into nothing. VICTREEBEL has a long vine that extends from its head. This vine is waved and flicked about as if it were an animal to attract prey. When an unsuspecting prey draws near, this POKéMON swallows it whole. The long vine extending from its head is waved about as if it were a living thing to attract prey. When an unsuspecting victim approaches, it is swallowed whole. Lures prey into its mouth with a honeylike aroma. The helpless prey is melted with a dissolving fluid. It pools in its mouth a fluid with a honeylike scent, which is really an acid that dissolves anything. It pools in its mouth a fluid with a honey-like scent, which is really an acid that dissolves anything. Swallowed whole, the prey is dissolved in a day, bones and all.</t>
        </is>
      </c>
    </row>
    <row r="2107" ht="33.75" customHeight="1">
      <c r="A2107" s="7">
        <v>71.0</v>
      </c>
      <c r="B2107" s="9" t="s">
        <v>4317</v>
      </c>
      <c r="C2107" s="9" t="s">
        <v>143</v>
      </c>
      <c r="D2107" s="9" t="s">
        <v>35</v>
      </c>
      <c r="E2107" s="6" t="s">
        <v>2900</v>
      </c>
      <c r="F2107" s="9" t="s">
        <v>4805</v>
      </c>
    </row>
    <row r="2108" ht="33.75" customHeight="1">
      <c r="A2108" s="7">
        <v>71.0</v>
      </c>
      <c r="B2108" s="9" t="s">
        <v>4317</v>
      </c>
      <c r="C2108" s="9" t="s">
        <v>143</v>
      </c>
      <c r="D2108" s="9" t="s">
        <v>42</v>
      </c>
      <c r="E2108" s="6" t="s">
        <v>2901</v>
      </c>
      <c r="F2108" s="9" t="s">
        <v>4805</v>
      </c>
    </row>
    <row r="2109" ht="33.75" customHeight="1">
      <c r="A2109" s="7">
        <v>71.0</v>
      </c>
      <c r="B2109" s="9" t="s">
        <v>4317</v>
      </c>
      <c r="C2109" s="9" t="s">
        <v>143</v>
      </c>
      <c r="D2109" s="9" t="s">
        <v>52</v>
      </c>
      <c r="E2109" s="6" t="s">
        <v>2902</v>
      </c>
      <c r="F2109" s="9" t="s">
        <v>4805</v>
      </c>
    </row>
    <row r="2110" ht="33.75" customHeight="1">
      <c r="A2110" s="7">
        <v>71.0</v>
      </c>
      <c r="B2110" s="9" t="s">
        <v>4317</v>
      </c>
      <c r="C2110" s="9" t="s">
        <v>143</v>
      </c>
      <c r="D2110" s="9" t="s">
        <v>59</v>
      </c>
      <c r="E2110" s="6" t="s">
        <v>2903</v>
      </c>
      <c r="F2110" s="9" t="s">
        <v>4805</v>
      </c>
    </row>
    <row r="2111" ht="33.75" customHeight="1">
      <c r="A2111" s="7">
        <v>71.0</v>
      </c>
      <c r="B2111" s="9" t="s">
        <v>4317</v>
      </c>
      <c r="C2111" s="9" t="s">
        <v>143</v>
      </c>
      <c r="D2111" s="9" t="s">
        <v>64</v>
      </c>
      <c r="E2111" s="6" t="s">
        <v>2905</v>
      </c>
      <c r="F2111" s="9" t="s">
        <v>4805</v>
      </c>
    </row>
    <row r="2112" ht="33.75" customHeight="1">
      <c r="A2112" s="7">
        <v>71.0</v>
      </c>
      <c r="B2112" s="9" t="s">
        <v>4317</v>
      </c>
      <c r="C2112" s="9" t="s">
        <v>143</v>
      </c>
      <c r="D2112" s="9" t="s">
        <v>67</v>
      </c>
      <c r="E2112" s="6" t="s">
        <v>2906</v>
      </c>
      <c r="F2112" s="9" t="s">
        <v>4805</v>
      </c>
    </row>
    <row r="2113" ht="33.75" customHeight="1">
      <c r="A2113" s="7">
        <v>71.0</v>
      </c>
      <c r="B2113" s="9" t="s">
        <v>4317</v>
      </c>
      <c r="C2113" s="9" t="s">
        <v>143</v>
      </c>
      <c r="D2113" s="9" t="s">
        <v>71</v>
      </c>
      <c r="E2113" s="6" t="s">
        <v>2906</v>
      </c>
      <c r="F2113" s="9" t="s">
        <v>4805</v>
      </c>
    </row>
    <row r="2114" ht="33.75" customHeight="1">
      <c r="A2114" s="7">
        <v>71.0</v>
      </c>
      <c r="B2114" s="9" t="s">
        <v>4317</v>
      </c>
      <c r="C2114" s="9" t="s">
        <v>143</v>
      </c>
      <c r="D2114" s="9" t="s">
        <v>73</v>
      </c>
      <c r="E2114" s="6" t="s">
        <v>2907</v>
      </c>
      <c r="F2114" s="9" t="s">
        <v>4805</v>
      </c>
    </row>
    <row r="2115" ht="33.75" customHeight="1">
      <c r="A2115" s="7">
        <v>71.0</v>
      </c>
      <c r="B2115" s="9" t="s">
        <v>4317</v>
      </c>
      <c r="C2115" s="9" t="s">
        <v>143</v>
      </c>
      <c r="D2115" s="9" t="s">
        <v>75</v>
      </c>
      <c r="E2115" s="6" t="s">
        <v>2909</v>
      </c>
      <c r="F2115" s="9" t="s">
        <v>4805</v>
      </c>
    </row>
    <row r="2116" ht="33.75" customHeight="1">
      <c r="A2116" s="7">
        <v>71.0</v>
      </c>
      <c r="B2116" s="9" t="s">
        <v>4317</v>
      </c>
      <c r="C2116" s="9" t="s">
        <v>143</v>
      </c>
      <c r="D2116" s="9" t="s">
        <v>79</v>
      </c>
      <c r="E2116" s="6" t="s">
        <v>2900</v>
      </c>
      <c r="F2116" s="9" t="s">
        <v>4805</v>
      </c>
    </row>
    <row r="2117" ht="33.75" customHeight="1">
      <c r="A2117" s="7">
        <v>71.0</v>
      </c>
      <c r="B2117" s="9" t="s">
        <v>4317</v>
      </c>
      <c r="C2117" s="9" t="s">
        <v>143</v>
      </c>
      <c r="D2117" s="9" t="s">
        <v>81</v>
      </c>
      <c r="E2117" s="6" t="s">
        <v>2910</v>
      </c>
      <c r="F2117" s="9" t="s">
        <v>4805</v>
      </c>
    </row>
    <row r="2118" ht="33.75" customHeight="1">
      <c r="A2118" s="7">
        <v>71.0</v>
      </c>
      <c r="B2118" s="9" t="s">
        <v>4317</v>
      </c>
      <c r="C2118" s="9" t="s">
        <v>143</v>
      </c>
      <c r="D2118" s="9" t="s">
        <v>84</v>
      </c>
      <c r="E2118" s="6" t="s">
        <v>2910</v>
      </c>
      <c r="F2118" s="9" t="s">
        <v>4805</v>
      </c>
    </row>
    <row r="2119" ht="33.75" customHeight="1">
      <c r="A2119" s="7">
        <v>71.0</v>
      </c>
      <c r="B2119" s="9" t="s">
        <v>4317</v>
      </c>
      <c r="C2119" s="9" t="s">
        <v>143</v>
      </c>
      <c r="D2119" s="9" t="s">
        <v>87</v>
      </c>
      <c r="E2119" s="6" t="s">
        <v>2910</v>
      </c>
      <c r="F2119" s="9" t="s">
        <v>4805</v>
      </c>
    </row>
    <row r="2120" ht="33.75" customHeight="1">
      <c r="A2120" s="7">
        <v>71.0</v>
      </c>
      <c r="B2120" s="9" t="s">
        <v>4317</v>
      </c>
      <c r="C2120" s="9" t="s">
        <v>143</v>
      </c>
      <c r="D2120" s="9" t="s">
        <v>89</v>
      </c>
      <c r="E2120" s="6" t="s">
        <v>2911</v>
      </c>
      <c r="F2120" s="9" t="s">
        <v>4805</v>
      </c>
    </row>
    <row r="2121" ht="33.75" customHeight="1">
      <c r="A2121" s="7">
        <v>71.0</v>
      </c>
      <c r="B2121" s="9" t="s">
        <v>4317</v>
      </c>
      <c r="C2121" s="9" t="s">
        <v>143</v>
      </c>
      <c r="D2121" s="9" t="s">
        <v>91</v>
      </c>
      <c r="E2121" s="6" t="s">
        <v>2912</v>
      </c>
      <c r="F2121" s="9" t="s">
        <v>4805</v>
      </c>
    </row>
    <row r="2122" ht="33.75" customHeight="1">
      <c r="A2122" s="7">
        <v>71.0</v>
      </c>
      <c r="B2122" s="9" t="s">
        <v>4317</v>
      </c>
      <c r="C2122" s="9" t="s">
        <v>143</v>
      </c>
      <c r="D2122" s="9" t="s">
        <v>93</v>
      </c>
      <c r="E2122" s="6" t="s">
        <v>2910</v>
      </c>
      <c r="F2122" s="9" t="s">
        <v>4805</v>
      </c>
    </row>
    <row r="2123" ht="33.75" customHeight="1">
      <c r="A2123" s="7">
        <v>71.0</v>
      </c>
      <c r="B2123" s="9" t="s">
        <v>4317</v>
      </c>
      <c r="C2123" s="9" t="s">
        <v>143</v>
      </c>
      <c r="D2123" s="9" t="s">
        <v>95</v>
      </c>
      <c r="E2123" s="6" t="s">
        <v>2910</v>
      </c>
      <c r="F2123" s="9" t="s">
        <v>4805</v>
      </c>
    </row>
    <row r="2124" ht="33.75" customHeight="1">
      <c r="A2124" s="7">
        <v>71.0</v>
      </c>
      <c r="B2124" s="9" t="s">
        <v>4317</v>
      </c>
      <c r="C2124" s="9" t="s">
        <v>143</v>
      </c>
      <c r="D2124" s="9" t="s">
        <v>98</v>
      </c>
      <c r="E2124" s="6" t="s">
        <v>2916</v>
      </c>
      <c r="F2124" s="9" t="s">
        <v>4805</v>
      </c>
    </row>
    <row r="2125" ht="33.75" customHeight="1">
      <c r="A2125" s="7">
        <v>71.0</v>
      </c>
      <c r="B2125" s="9" t="s">
        <v>4317</v>
      </c>
      <c r="C2125" s="9" t="s">
        <v>143</v>
      </c>
      <c r="D2125" s="9" t="s">
        <v>99</v>
      </c>
      <c r="E2125" s="6" t="s">
        <v>2916</v>
      </c>
      <c r="F2125" s="9" t="s">
        <v>4805</v>
      </c>
    </row>
    <row r="2126" ht="33.75" customHeight="1">
      <c r="A2126" s="7">
        <v>71.0</v>
      </c>
      <c r="B2126" s="9" t="s">
        <v>4317</v>
      </c>
      <c r="C2126" s="9" t="s">
        <v>143</v>
      </c>
      <c r="D2126" s="9" t="s">
        <v>101</v>
      </c>
      <c r="E2126" s="6" t="s">
        <v>2900</v>
      </c>
      <c r="F2126" s="9" t="s">
        <v>4805</v>
      </c>
    </row>
    <row r="2127" ht="33.75" customHeight="1">
      <c r="A2127" s="7">
        <v>71.0</v>
      </c>
      <c r="B2127" s="9" t="s">
        <v>4317</v>
      </c>
      <c r="C2127" s="9" t="s">
        <v>143</v>
      </c>
      <c r="D2127" s="9" t="s">
        <v>105</v>
      </c>
      <c r="E2127" s="6" t="s">
        <v>2917</v>
      </c>
      <c r="F2127" s="9" t="s">
        <v>4805</v>
      </c>
    </row>
    <row r="2128" ht="33.75" customHeight="1">
      <c r="A2128" s="7">
        <v>71.0</v>
      </c>
      <c r="B2128" s="9" t="s">
        <v>4317</v>
      </c>
      <c r="C2128" s="9" t="s">
        <v>143</v>
      </c>
      <c r="D2128" s="9" t="s">
        <v>107</v>
      </c>
      <c r="E2128" s="6" t="s">
        <v>2919</v>
      </c>
      <c r="F2128" s="9" t="s">
        <v>4805</v>
      </c>
    </row>
    <row r="2129" ht="33.75" customHeight="1">
      <c r="A2129" s="7">
        <v>71.0</v>
      </c>
      <c r="B2129" s="9" t="s">
        <v>4317</v>
      </c>
      <c r="C2129" s="9" t="s">
        <v>143</v>
      </c>
      <c r="D2129" s="9" t="s">
        <v>109</v>
      </c>
      <c r="E2129" s="6" t="s">
        <v>2919</v>
      </c>
      <c r="F2129" s="9" t="s">
        <v>4805</v>
      </c>
    </row>
    <row r="2130" ht="33.75" customHeight="1">
      <c r="A2130" s="7">
        <v>71.0</v>
      </c>
      <c r="B2130" s="9" t="s">
        <v>4317</v>
      </c>
      <c r="C2130" s="9" t="s">
        <v>143</v>
      </c>
      <c r="D2130" s="9" t="s">
        <v>111</v>
      </c>
      <c r="E2130" s="6" t="s">
        <v>2921</v>
      </c>
      <c r="F2130" s="9" t="s">
        <v>4805</v>
      </c>
    </row>
    <row r="2131" ht="33.75" customHeight="1">
      <c r="A2131" s="7">
        <v>71.0</v>
      </c>
      <c r="B2131" s="9" t="s">
        <v>4317</v>
      </c>
      <c r="C2131" s="9" t="s">
        <v>143</v>
      </c>
      <c r="D2131" s="9" t="s">
        <v>113</v>
      </c>
      <c r="E2131" s="6" t="s">
        <v>2921</v>
      </c>
      <c r="F2131" s="9" t="s">
        <v>4805</v>
      </c>
    </row>
    <row r="2132" ht="33.75" customHeight="1">
      <c r="A2132" s="7">
        <v>72.0</v>
      </c>
      <c r="B2132" s="9" t="s">
        <v>4359</v>
      </c>
      <c r="C2132" s="9" t="s">
        <v>145</v>
      </c>
      <c r="D2132" s="9" t="s">
        <v>24</v>
      </c>
      <c r="E2132" s="6" t="s">
        <v>2923</v>
      </c>
      <c r="F2132" s="9" t="s">
        <v>4868</v>
      </c>
      <c r="G2132" t="inlineStr" s="6">
        <is>
          <t xml:space="preserve">Drifts in shallow seas. Anglers who hook them by accident are often punished by its stinging acid. It can sometimes be found all dry and shriveled up on a beach. Toss it back into the sea to revive it. When the tide goes out, dehydrated TENTACOOL remains can be found washed up on the shore. It drifts aimlessly in waves. Very difficult to see in water, it may not be noticed until it stings. As it floats along on the waves, it uses its toxic feelers to stab anything it touches. TENTACOOL’s body is largely composed of water. If it is removed from the sea, it dries up like parchment. If this POKéMON happens to become dehydrated, put it back into the sea. TENTACOOL absorbs sunlight and refracts it using water inside its body to convert it into beam energy. This POKéMON shoots beams from its crystal-like eyes. Its body is almost entirely composed of water. It ensnares its foe with its two long tentacles, then stabs with the poison stingers at their tips. Its eyes are as transparent as crystals. From them, it shoots mysterious beams of light. Anglers who hook them by accident are often punished by their stingers. Its body is virtually composed of water. It shoots strange beams from its crystal-like eyes. It drifts in sea currents. Countless fishermen are hurt by its poison stingers. Because its body is almost entirely composed of water, it shrivels up if it is washed ashore. This Pokémon shoots beams from the small round organ above its eyes. They can be found lying dehydrated on beaches, but they are often still alive. When soaked in water, they will revive. It drifts in shallow seas, such as the areas near beaches. If you get bitten or stabbed by its toxic tentacles, rush to the hospital. It drifts through the sea searching for prey. Its poisonous tentacles break off sometimes, but after a while, they grow back. Its body is 99% water. The remaining 1% contains the organ that makes its poison. Tentacool is not a particularly strong swimmer. It drifts across the surface of shallow seas as it searches for prey. This Pokémon is mostly made of water. A Tentacool out in the ocean is very hard to spot, because its body blends in with the sea. They fire beams from the glassy, magenta orbs that resemble eyes atop their heads, and they drift in shallow seas. During low tide, they can sometimes be found on beaches, desiccated.</t>
        </is>
      </c>
    </row>
    <row r="2133" ht="33.75" customHeight="1">
      <c r="A2133" s="7">
        <v>72.0</v>
      </c>
      <c r="B2133" s="9" t="s">
        <v>4359</v>
      </c>
      <c r="C2133" s="9" t="s">
        <v>145</v>
      </c>
      <c r="D2133" s="9" t="s">
        <v>35</v>
      </c>
      <c r="E2133" s="6" t="s">
        <v>2923</v>
      </c>
      <c r="F2133" s="9" t="s">
        <v>4868</v>
      </c>
    </row>
    <row r="2134" ht="33.75" customHeight="1">
      <c r="A2134" s="7">
        <v>72.0</v>
      </c>
      <c r="B2134" s="9" t="s">
        <v>4359</v>
      </c>
      <c r="C2134" s="9" t="s">
        <v>145</v>
      </c>
      <c r="D2134" s="9" t="s">
        <v>42</v>
      </c>
      <c r="E2134" s="6" t="s">
        <v>2925</v>
      </c>
      <c r="F2134" s="9" t="s">
        <v>4868</v>
      </c>
    </row>
    <row r="2135" ht="33.75" customHeight="1">
      <c r="A2135" s="7">
        <v>72.0</v>
      </c>
      <c r="B2135" s="9" t="s">
        <v>4359</v>
      </c>
      <c r="C2135" s="9" t="s">
        <v>145</v>
      </c>
      <c r="D2135" s="9" t="s">
        <v>52</v>
      </c>
      <c r="E2135" s="6" t="s">
        <v>2927</v>
      </c>
      <c r="F2135" s="9" t="s">
        <v>4868</v>
      </c>
    </row>
    <row r="2136" ht="33.75" customHeight="1">
      <c r="A2136" s="7">
        <v>72.0</v>
      </c>
      <c r="B2136" s="9" t="s">
        <v>4359</v>
      </c>
      <c r="C2136" s="9" t="s">
        <v>145</v>
      </c>
      <c r="D2136" s="9" t="s">
        <v>59</v>
      </c>
      <c r="E2136" s="6" t="s">
        <v>2928</v>
      </c>
      <c r="F2136" s="9" t="s">
        <v>4868</v>
      </c>
    </row>
    <row r="2137" ht="33.75" customHeight="1">
      <c r="A2137" s="7">
        <v>72.0</v>
      </c>
      <c r="B2137" s="9" t="s">
        <v>4359</v>
      </c>
      <c r="C2137" s="9" t="s">
        <v>145</v>
      </c>
      <c r="D2137" s="9" t="s">
        <v>64</v>
      </c>
      <c r="E2137" s="6" t="s">
        <v>2930</v>
      </c>
      <c r="F2137" s="9" t="s">
        <v>4868</v>
      </c>
    </row>
    <row r="2138" ht="33.75" customHeight="1">
      <c r="A2138" s="7">
        <v>72.0</v>
      </c>
      <c r="B2138" s="9" t="s">
        <v>4359</v>
      </c>
      <c r="C2138" s="9" t="s">
        <v>145</v>
      </c>
      <c r="D2138" s="9" t="s">
        <v>67</v>
      </c>
      <c r="E2138" s="6" t="s">
        <v>2932</v>
      </c>
      <c r="F2138" s="9" t="s">
        <v>4868</v>
      </c>
    </row>
    <row r="2139" ht="33.75" customHeight="1">
      <c r="A2139" s="7">
        <v>72.0</v>
      </c>
      <c r="B2139" s="9" t="s">
        <v>4359</v>
      </c>
      <c r="C2139" s="9" t="s">
        <v>145</v>
      </c>
      <c r="D2139" s="9" t="s">
        <v>71</v>
      </c>
      <c r="E2139" s="6" t="s">
        <v>2934</v>
      </c>
      <c r="F2139" s="9" t="s">
        <v>4868</v>
      </c>
    </row>
    <row r="2140" ht="33.75" customHeight="1">
      <c r="A2140" s="7">
        <v>72.0</v>
      </c>
      <c r="B2140" s="9" t="s">
        <v>4359</v>
      </c>
      <c r="C2140" s="9" t="s">
        <v>145</v>
      </c>
      <c r="D2140" s="9" t="s">
        <v>73</v>
      </c>
      <c r="E2140" s="6" t="s">
        <v>2935</v>
      </c>
      <c r="F2140" s="9" t="s">
        <v>4868</v>
      </c>
    </row>
    <row r="2141" ht="33.75" customHeight="1">
      <c r="A2141" s="7">
        <v>72.0</v>
      </c>
      <c r="B2141" s="9" t="s">
        <v>4359</v>
      </c>
      <c r="C2141" s="9" t="s">
        <v>145</v>
      </c>
      <c r="D2141" s="9" t="s">
        <v>75</v>
      </c>
      <c r="E2141" s="6" t="s">
        <v>2936</v>
      </c>
      <c r="F2141" s="9" t="s">
        <v>4868</v>
      </c>
    </row>
    <row r="2142" ht="33.75" customHeight="1">
      <c r="A2142" s="7">
        <v>72.0</v>
      </c>
      <c r="B2142" s="9" t="s">
        <v>4359</v>
      </c>
      <c r="C2142" s="9" t="s">
        <v>145</v>
      </c>
      <c r="D2142" s="9" t="s">
        <v>79</v>
      </c>
      <c r="E2142" s="6" t="s">
        <v>2937</v>
      </c>
      <c r="F2142" s="9" t="s">
        <v>4868</v>
      </c>
    </row>
    <row r="2143" ht="33.75" customHeight="1">
      <c r="A2143" s="7">
        <v>72.0</v>
      </c>
      <c r="B2143" s="9" t="s">
        <v>4359</v>
      </c>
      <c r="C2143" s="9" t="s">
        <v>145</v>
      </c>
      <c r="D2143" s="9" t="s">
        <v>81</v>
      </c>
      <c r="E2143" s="6" t="s">
        <v>2938</v>
      </c>
      <c r="F2143" s="9" t="s">
        <v>4868</v>
      </c>
    </row>
    <row r="2144" ht="33.75" customHeight="1">
      <c r="A2144" s="7">
        <v>72.0</v>
      </c>
      <c r="B2144" s="9" t="s">
        <v>4359</v>
      </c>
      <c r="C2144" s="9" t="s">
        <v>145</v>
      </c>
      <c r="D2144" s="9" t="s">
        <v>84</v>
      </c>
      <c r="E2144" s="6" t="s">
        <v>2939</v>
      </c>
      <c r="F2144" s="9" t="s">
        <v>4868</v>
      </c>
    </row>
    <row r="2145" ht="33.75" customHeight="1">
      <c r="A2145" s="7">
        <v>72.0</v>
      </c>
      <c r="B2145" s="9" t="s">
        <v>4359</v>
      </c>
      <c r="C2145" s="9" t="s">
        <v>145</v>
      </c>
      <c r="D2145" s="9" t="s">
        <v>87</v>
      </c>
      <c r="E2145" s="6" t="s">
        <v>2941</v>
      </c>
      <c r="F2145" s="9" t="s">
        <v>4868</v>
      </c>
    </row>
    <row r="2146" ht="33.75" customHeight="1">
      <c r="A2146" s="7">
        <v>72.0</v>
      </c>
      <c r="B2146" s="9" t="s">
        <v>4359</v>
      </c>
      <c r="C2146" s="9" t="s">
        <v>145</v>
      </c>
      <c r="D2146" s="9" t="s">
        <v>89</v>
      </c>
      <c r="E2146" s="6" t="s">
        <v>2927</v>
      </c>
      <c r="F2146" s="9" t="s">
        <v>4868</v>
      </c>
    </row>
    <row r="2147" ht="33.75" customHeight="1">
      <c r="A2147" s="7">
        <v>72.0</v>
      </c>
      <c r="B2147" s="9" t="s">
        <v>4359</v>
      </c>
      <c r="C2147" s="9" t="s">
        <v>145</v>
      </c>
      <c r="D2147" s="9" t="s">
        <v>91</v>
      </c>
      <c r="E2147" s="6" t="s">
        <v>2942</v>
      </c>
      <c r="F2147" s="9" t="s">
        <v>4868</v>
      </c>
    </row>
    <row r="2148" ht="33.75" customHeight="1">
      <c r="A2148" s="7">
        <v>72.0</v>
      </c>
      <c r="B2148" s="9" t="s">
        <v>4359</v>
      </c>
      <c r="C2148" s="9" t="s">
        <v>145</v>
      </c>
      <c r="D2148" s="9" t="s">
        <v>93</v>
      </c>
      <c r="E2148" s="6" t="s">
        <v>2941</v>
      </c>
      <c r="F2148" s="9" t="s">
        <v>4868</v>
      </c>
    </row>
    <row r="2149" ht="33.75" customHeight="1">
      <c r="A2149" s="7">
        <v>72.0</v>
      </c>
      <c r="B2149" s="9" t="s">
        <v>4359</v>
      </c>
      <c r="C2149" s="9" t="s">
        <v>145</v>
      </c>
      <c r="D2149" s="9" t="s">
        <v>95</v>
      </c>
      <c r="E2149" s="6" t="s">
        <v>2941</v>
      </c>
      <c r="F2149" s="9" t="s">
        <v>4868</v>
      </c>
    </row>
    <row r="2150" ht="33.75" customHeight="1">
      <c r="A2150" s="7">
        <v>72.0</v>
      </c>
      <c r="B2150" s="9" t="s">
        <v>4359</v>
      </c>
      <c r="C2150" s="9" t="s">
        <v>145</v>
      </c>
      <c r="D2150" s="9" t="s">
        <v>98</v>
      </c>
      <c r="E2150" s="6" t="s">
        <v>2941</v>
      </c>
      <c r="F2150" s="9" t="s">
        <v>4868</v>
      </c>
    </row>
    <row r="2151" ht="33.75" customHeight="1">
      <c r="A2151" s="7">
        <v>72.0</v>
      </c>
      <c r="B2151" s="9" t="s">
        <v>4359</v>
      </c>
      <c r="C2151" s="9" t="s">
        <v>145</v>
      </c>
      <c r="D2151" s="9" t="s">
        <v>99</v>
      </c>
      <c r="E2151" s="6" t="s">
        <v>2941</v>
      </c>
      <c r="F2151" s="9" t="s">
        <v>4868</v>
      </c>
    </row>
    <row r="2152" ht="33.75" customHeight="1">
      <c r="A2152" s="7">
        <v>72.0</v>
      </c>
      <c r="B2152" s="9" t="s">
        <v>4359</v>
      </c>
      <c r="C2152" s="9" t="s">
        <v>145</v>
      </c>
      <c r="D2152" s="9" t="s">
        <v>101</v>
      </c>
      <c r="E2152" s="6" t="s">
        <v>2938</v>
      </c>
      <c r="F2152" s="9" t="s">
        <v>4868</v>
      </c>
    </row>
    <row r="2153" ht="33.75" customHeight="1">
      <c r="A2153" s="7">
        <v>72.0</v>
      </c>
      <c r="B2153" s="9" t="s">
        <v>4359</v>
      </c>
      <c r="C2153" s="9" t="s">
        <v>145</v>
      </c>
      <c r="D2153" s="9" t="s">
        <v>105</v>
      </c>
      <c r="E2153" s="6" t="s">
        <v>2937</v>
      </c>
      <c r="F2153" s="9" t="s">
        <v>4868</v>
      </c>
    </row>
    <row r="2154" ht="33.75" customHeight="1">
      <c r="A2154" s="7">
        <v>72.0</v>
      </c>
      <c r="B2154" s="9" t="s">
        <v>4359</v>
      </c>
      <c r="C2154" s="9" t="s">
        <v>145</v>
      </c>
      <c r="D2154" s="9" t="s">
        <v>107</v>
      </c>
      <c r="E2154" s="6" t="s">
        <v>2943</v>
      </c>
      <c r="F2154" s="9" t="s">
        <v>4868</v>
      </c>
    </row>
    <row r="2155" ht="33.75" customHeight="1">
      <c r="A2155" s="7">
        <v>72.0</v>
      </c>
      <c r="B2155" s="9" t="s">
        <v>4359</v>
      </c>
      <c r="C2155" s="9" t="s">
        <v>145</v>
      </c>
      <c r="D2155" s="9" t="s">
        <v>109</v>
      </c>
      <c r="E2155" s="6" t="s">
        <v>2944</v>
      </c>
      <c r="F2155" s="9" t="s">
        <v>4868</v>
      </c>
    </row>
    <row r="2156" ht="33.75" customHeight="1">
      <c r="A2156" s="7">
        <v>72.0</v>
      </c>
      <c r="B2156" s="9" t="s">
        <v>4359</v>
      </c>
      <c r="C2156" s="9" t="s">
        <v>145</v>
      </c>
      <c r="D2156" s="9" t="s">
        <v>637</v>
      </c>
      <c r="E2156" s="6" t="s">
        <v>2945</v>
      </c>
      <c r="F2156" s="9" t="s">
        <v>4868</v>
      </c>
    </row>
    <row r="2157" ht="33.75" customHeight="1">
      <c r="A2157" s="7">
        <v>72.0</v>
      </c>
      <c r="B2157" s="9" t="s">
        <v>4359</v>
      </c>
      <c r="C2157" s="9" t="s">
        <v>145</v>
      </c>
      <c r="D2157" s="9" t="s">
        <v>642</v>
      </c>
      <c r="E2157" s="6" t="s">
        <v>2946</v>
      </c>
      <c r="F2157" s="9" t="s">
        <v>4868</v>
      </c>
    </row>
    <row r="2158" ht="33.75" customHeight="1">
      <c r="A2158" s="7">
        <v>72.0</v>
      </c>
      <c r="B2158" s="9" t="s">
        <v>4359</v>
      </c>
      <c r="C2158" s="9" t="s">
        <v>145</v>
      </c>
      <c r="D2158" s="9" t="s">
        <v>647</v>
      </c>
      <c r="E2158" s="6" t="s">
        <v>2947</v>
      </c>
      <c r="F2158" s="9" t="s">
        <v>4868</v>
      </c>
    </row>
    <row r="2159" ht="33.75" customHeight="1">
      <c r="A2159" s="7">
        <v>72.0</v>
      </c>
      <c r="B2159" s="9" t="s">
        <v>4359</v>
      </c>
      <c r="C2159" s="9" t="s">
        <v>145</v>
      </c>
      <c r="D2159" s="9" t="s">
        <v>652</v>
      </c>
      <c r="E2159" s="6" t="s">
        <v>2949</v>
      </c>
      <c r="F2159" s="9" t="s">
        <v>4868</v>
      </c>
    </row>
    <row r="2160" ht="33.75" customHeight="1">
      <c r="A2160" s="7">
        <v>72.0</v>
      </c>
      <c r="B2160" s="9" t="s">
        <v>4359</v>
      </c>
      <c r="C2160" s="9" t="s">
        <v>145</v>
      </c>
      <c r="D2160" s="9" t="s">
        <v>111</v>
      </c>
      <c r="E2160" s="6" t="s">
        <v>2925</v>
      </c>
      <c r="F2160" s="9" t="s">
        <v>4868</v>
      </c>
    </row>
    <row r="2161" ht="33.75" customHeight="1">
      <c r="A2161" s="7">
        <v>72.0</v>
      </c>
      <c r="B2161" s="9" t="s">
        <v>4359</v>
      </c>
      <c r="C2161" s="9" t="s">
        <v>145</v>
      </c>
      <c r="D2161" s="9" t="s">
        <v>113</v>
      </c>
      <c r="E2161" s="6" t="s">
        <v>2925</v>
      </c>
      <c r="F2161" s="9" t="s">
        <v>4868</v>
      </c>
    </row>
    <row r="2162" ht="33.75" customHeight="1">
      <c r="A2162" s="7">
        <v>72.0</v>
      </c>
      <c r="B2162" s="9" t="s">
        <v>4359</v>
      </c>
      <c r="C2162" s="9" t="s">
        <v>145</v>
      </c>
      <c r="D2162" s="9" t="s">
        <v>114</v>
      </c>
      <c r="E2162" s="6" t="s">
        <v>2950</v>
      </c>
      <c r="F2162" s="9" t="s">
        <v>4868</v>
      </c>
    </row>
    <row r="2163" ht="33.75" customHeight="1">
      <c r="A2163" s="7">
        <v>72.0</v>
      </c>
      <c r="B2163" s="9" t="s">
        <v>4359</v>
      </c>
      <c r="C2163" s="9" t="s">
        <v>145</v>
      </c>
      <c r="D2163" s="9" t="s">
        <v>117</v>
      </c>
      <c r="E2163" s="6" t="s">
        <v>2952</v>
      </c>
      <c r="F2163" s="9" t="s">
        <v>4868</v>
      </c>
    </row>
    <row r="2164" ht="33.75" customHeight="1">
      <c r="A2164" s="7">
        <v>72.0</v>
      </c>
      <c r="B2164" s="9" t="s">
        <v>4359</v>
      </c>
      <c r="C2164" s="9" t="s">
        <v>145</v>
      </c>
      <c r="D2164" s="9" t="s">
        <v>1577</v>
      </c>
      <c r="E2164" s="6" t="s">
        <v>2956</v>
      </c>
      <c r="F2164" s="9" t="s">
        <v>4868</v>
      </c>
    </row>
    <row r="2165" ht="33.75" customHeight="1">
      <c r="A2165" s="7">
        <v>73.0</v>
      </c>
      <c r="B2165" s="9" t="s">
        <v>4441</v>
      </c>
      <c r="C2165" s="9" t="s">
        <v>145</v>
      </c>
      <c r="D2165" s="9" t="s">
        <v>24</v>
      </c>
      <c r="E2165" s="6" t="s">
        <v>2957</v>
      </c>
      <c r="F2165" s="9" t="s">
        <v>4941</v>
      </c>
      <c r="G2165" t="inlineStr" s="6">
        <is>
          <t xml:space="preserve">The tentacles are normally kept short. On hunts, they are extended to ensnare and immobilize prey. Its 80 tentacles can stretch and contract freely. They wrap around prey and weaken it with poison. Its 80 tentacles absorb water and stretch almost endlessly to CON STRICT its prey and enemies. In battle, it extends all 80 of its tentacles to entrap its oppo nent inside a poisonous net. When its 80 feel ers absorb water, it stretches to become like a net to entangle its prey. TENTACRUEL has large red orbs on its head. The orbs glow before lashing the vicinity with a harsh ultrasonic blast. This POKéMON’s outburst creates rough waves around it. TENTACRUEL has tentacles that can be freely elongated and shortened at will. It ensnares prey with its tentacles and weakens the prey by dosing it with a harsh toxin. It can catch up to 80 prey at the same time. It lives in complex rock formations on the ocean floor and traps prey using its 80 tentacles. Its red orbs glow when it grows excited or agitated. It has 80 tentacles that move about freely. They can sting, causing poisoning and sharp, stabbing pain. With 80 tentacles for ensnaring victims, it prevents escape until the prey is weakened by poison. It alerts others to danger by stridently flashing the red orbs on its head. It extends its 80 tentacles to form an encircling poisonous net that is difficult to escape. Its 80 tentacles absorb water and stretch almost endlessly to constrict its prey and enemies. In battle, it extends all 80 of its tentacles to entrap its opponent inside a poisonous net. Normally, it has 80 poisonous tentacles. The longer one has been alive, the fewer tentacles it will have. Although these Pokémon are rare, when a large outbreak of them occurs, all fish Pokémon disappear from the surrounding sea. It fires off ultrasonic waves from its red orbs to weaken its prey, and then it wraps them up in its 80 tentacles. It communicates with others of its kind by lighting up the red orbs on its head. When the orbs are blinking, it’s a warning sign. When the red orbs on Tentacruel’s head glow brightly, watch out. The Pokémon is about to fire off a burst of ultrasonic waves. Its 80 tentacles can stretch and shrink freely. Tentacruel ensnares prey in a net of spread-out tentacles, delivering venomous stings to its catch. It has 80 tentacles, each with a venomous tip. These tentacles are also extendible, lengthening when Tentacruel attempts to catch prey. Use caution.</t>
        </is>
      </c>
    </row>
    <row r="2166" ht="33.75" customHeight="1">
      <c r="A2166" s="7">
        <v>73.0</v>
      </c>
      <c r="B2166" s="9" t="s">
        <v>4441</v>
      </c>
      <c r="C2166" s="9" t="s">
        <v>145</v>
      </c>
      <c r="D2166" s="9" t="s">
        <v>35</v>
      </c>
      <c r="E2166" s="6" t="s">
        <v>2957</v>
      </c>
      <c r="F2166" s="9" t="s">
        <v>4941</v>
      </c>
    </row>
    <row r="2167" ht="33.75" customHeight="1">
      <c r="A2167" s="7">
        <v>73.0</v>
      </c>
      <c r="B2167" s="9" t="s">
        <v>4441</v>
      </c>
      <c r="C2167" s="9" t="s">
        <v>145</v>
      </c>
      <c r="D2167" s="9" t="s">
        <v>42</v>
      </c>
      <c r="E2167" s="6" t="s">
        <v>2958</v>
      </c>
      <c r="F2167" s="9" t="s">
        <v>4941</v>
      </c>
    </row>
    <row r="2168" ht="33.75" customHeight="1">
      <c r="A2168" s="7">
        <v>73.0</v>
      </c>
      <c r="B2168" s="9" t="s">
        <v>4441</v>
      </c>
      <c r="C2168" s="9" t="s">
        <v>145</v>
      </c>
      <c r="D2168" s="9" t="s">
        <v>52</v>
      </c>
      <c r="E2168" s="6" t="s">
        <v>2960</v>
      </c>
      <c r="F2168" s="9" t="s">
        <v>4941</v>
      </c>
    </row>
    <row r="2169" ht="33.75" customHeight="1">
      <c r="A2169" s="7">
        <v>73.0</v>
      </c>
      <c r="B2169" s="9" t="s">
        <v>4441</v>
      </c>
      <c r="C2169" s="9" t="s">
        <v>145</v>
      </c>
      <c r="D2169" s="9" t="s">
        <v>59</v>
      </c>
      <c r="E2169" s="6" t="s">
        <v>2961</v>
      </c>
      <c r="F2169" s="9" t="s">
        <v>4941</v>
      </c>
    </row>
    <row r="2170" ht="33.75" customHeight="1">
      <c r="A2170" s="7">
        <v>73.0</v>
      </c>
      <c r="B2170" s="9" t="s">
        <v>4441</v>
      </c>
      <c r="C2170" s="9" t="s">
        <v>145</v>
      </c>
      <c r="D2170" s="9" t="s">
        <v>64</v>
      </c>
      <c r="E2170" s="6" t="s">
        <v>2963</v>
      </c>
      <c r="F2170" s="9" t="s">
        <v>4941</v>
      </c>
    </row>
    <row r="2171" ht="33.75" customHeight="1">
      <c r="A2171" s="7">
        <v>73.0</v>
      </c>
      <c r="B2171" s="9" t="s">
        <v>4441</v>
      </c>
      <c r="C2171" s="9" t="s">
        <v>145</v>
      </c>
      <c r="D2171" s="9" t="s">
        <v>67</v>
      </c>
      <c r="E2171" s="6" t="s">
        <v>2965</v>
      </c>
      <c r="F2171" s="9" t="s">
        <v>4941</v>
      </c>
    </row>
    <row r="2172" ht="33.75" customHeight="1">
      <c r="A2172" s="7">
        <v>73.0</v>
      </c>
      <c r="B2172" s="9" t="s">
        <v>4441</v>
      </c>
      <c r="C2172" s="9" t="s">
        <v>145</v>
      </c>
      <c r="D2172" s="9" t="s">
        <v>71</v>
      </c>
      <c r="E2172" s="6" t="s">
        <v>2967</v>
      </c>
      <c r="F2172" s="9" t="s">
        <v>4941</v>
      </c>
    </row>
    <row r="2173" ht="33.75" customHeight="1">
      <c r="A2173" s="7">
        <v>73.0</v>
      </c>
      <c r="B2173" s="9" t="s">
        <v>4441</v>
      </c>
      <c r="C2173" s="9" t="s">
        <v>145</v>
      </c>
      <c r="D2173" s="9" t="s">
        <v>73</v>
      </c>
      <c r="E2173" s="6" t="s">
        <v>2969</v>
      </c>
      <c r="F2173" s="9" t="s">
        <v>4941</v>
      </c>
    </row>
    <row r="2174" ht="33.75" customHeight="1">
      <c r="A2174" s="7">
        <v>73.0</v>
      </c>
      <c r="B2174" s="9" t="s">
        <v>4441</v>
      </c>
      <c r="C2174" s="9" t="s">
        <v>145</v>
      </c>
      <c r="D2174" s="9" t="s">
        <v>75</v>
      </c>
      <c r="E2174" s="6" t="s">
        <v>2970</v>
      </c>
      <c r="F2174" s="9" t="s">
        <v>4941</v>
      </c>
    </row>
    <row r="2175" ht="33.75" customHeight="1">
      <c r="A2175" s="7">
        <v>73.0</v>
      </c>
      <c r="B2175" s="9" t="s">
        <v>4441</v>
      </c>
      <c r="C2175" s="9" t="s">
        <v>145</v>
      </c>
      <c r="D2175" s="9" t="s">
        <v>79</v>
      </c>
      <c r="E2175" s="6" t="s">
        <v>2957</v>
      </c>
      <c r="F2175" s="9" t="s">
        <v>4941</v>
      </c>
    </row>
    <row r="2176" ht="33.75" customHeight="1">
      <c r="A2176" s="7">
        <v>73.0</v>
      </c>
      <c r="B2176" s="9" t="s">
        <v>4441</v>
      </c>
      <c r="C2176" s="9" t="s">
        <v>145</v>
      </c>
      <c r="D2176" s="9" t="s">
        <v>81</v>
      </c>
      <c r="E2176" s="6" t="s">
        <v>2972</v>
      </c>
      <c r="F2176" s="9" t="s">
        <v>4941</v>
      </c>
    </row>
    <row r="2177" ht="33.75" customHeight="1">
      <c r="A2177" s="7">
        <v>73.0</v>
      </c>
      <c r="B2177" s="9" t="s">
        <v>4441</v>
      </c>
      <c r="C2177" s="9" t="s">
        <v>145</v>
      </c>
      <c r="D2177" s="9" t="s">
        <v>84</v>
      </c>
      <c r="E2177" s="6" t="s">
        <v>2974</v>
      </c>
      <c r="F2177" s="9" t="s">
        <v>4941</v>
      </c>
    </row>
    <row r="2178" ht="33.75" customHeight="1">
      <c r="A2178" s="7">
        <v>73.0</v>
      </c>
      <c r="B2178" s="9" t="s">
        <v>4441</v>
      </c>
      <c r="C2178" s="9" t="s">
        <v>145</v>
      </c>
      <c r="D2178" s="9" t="s">
        <v>87</v>
      </c>
      <c r="E2178" s="6" t="s">
        <v>2975</v>
      </c>
      <c r="F2178" s="9" t="s">
        <v>4941</v>
      </c>
    </row>
    <row r="2179" ht="33.75" customHeight="1">
      <c r="A2179" s="7">
        <v>73.0</v>
      </c>
      <c r="B2179" s="9" t="s">
        <v>4441</v>
      </c>
      <c r="C2179" s="9" t="s">
        <v>145</v>
      </c>
      <c r="D2179" s="9" t="s">
        <v>89</v>
      </c>
      <c r="E2179" s="6" t="s">
        <v>2976</v>
      </c>
      <c r="F2179" s="9" t="s">
        <v>4941</v>
      </c>
    </row>
    <row r="2180" ht="33.75" customHeight="1">
      <c r="A2180" s="7">
        <v>73.0</v>
      </c>
      <c r="B2180" s="9" t="s">
        <v>4441</v>
      </c>
      <c r="C2180" s="9" t="s">
        <v>145</v>
      </c>
      <c r="D2180" s="9" t="s">
        <v>91</v>
      </c>
      <c r="E2180" s="6" t="s">
        <v>2978</v>
      </c>
      <c r="F2180" s="9" t="s">
        <v>4941</v>
      </c>
    </row>
    <row r="2181" ht="33.75" customHeight="1">
      <c r="A2181" s="7">
        <v>73.0</v>
      </c>
      <c r="B2181" s="9" t="s">
        <v>4441</v>
      </c>
      <c r="C2181" s="9" t="s">
        <v>145</v>
      </c>
      <c r="D2181" s="9" t="s">
        <v>93</v>
      </c>
      <c r="E2181" s="6" t="s">
        <v>2975</v>
      </c>
      <c r="F2181" s="9" t="s">
        <v>4941</v>
      </c>
    </row>
    <row r="2182" ht="33.75" customHeight="1">
      <c r="A2182" s="7">
        <v>73.0</v>
      </c>
      <c r="B2182" s="9" t="s">
        <v>4441</v>
      </c>
      <c r="C2182" s="9" t="s">
        <v>145</v>
      </c>
      <c r="D2182" s="9" t="s">
        <v>95</v>
      </c>
      <c r="E2182" s="6" t="s">
        <v>2975</v>
      </c>
      <c r="F2182" s="9" t="s">
        <v>4941</v>
      </c>
    </row>
    <row r="2183" ht="33.75" customHeight="1">
      <c r="A2183" s="7">
        <v>73.0</v>
      </c>
      <c r="B2183" s="9" t="s">
        <v>4441</v>
      </c>
      <c r="C2183" s="9" t="s">
        <v>145</v>
      </c>
      <c r="D2183" s="9" t="s">
        <v>98</v>
      </c>
      <c r="E2183" s="6" t="s">
        <v>2975</v>
      </c>
      <c r="F2183" s="9" t="s">
        <v>4941</v>
      </c>
    </row>
    <row r="2184" ht="33.75" customHeight="1">
      <c r="A2184" s="7">
        <v>73.0</v>
      </c>
      <c r="B2184" s="9" t="s">
        <v>4441</v>
      </c>
      <c r="C2184" s="9" t="s">
        <v>145</v>
      </c>
      <c r="D2184" s="9" t="s">
        <v>99</v>
      </c>
      <c r="E2184" s="6" t="s">
        <v>2975</v>
      </c>
      <c r="F2184" s="9" t="s">
        <v>4941</v>
      </c>
    </row>
    <row r="2185" ht="33.75" customHeight="1">
      <c r="A2185" s="7">
        <v>73.0</v>
      </c>
      <c r="B2185" s="9" t="s">
        <v>4441</v>
      </c>
      <c r="C2185" s="9" t="s">
        <v>145</v>
      </c>
      <c r="D2185" s="9" t="s">
        <v>101</v>
      </c>
      <c r="E2185" s="6" t="s">
        <v>2957</v>
      </c>
      <c r="F2185" s="9" t="s">
        <v>4941</v>
      </c>
    </row>
    <row r="2186" ht="33.75" customHeight="1">
      <c r="A2186" s="7">
        <v>73.0</v>
      </c>
      <c r="B2186" s="9" t="s">
        <v>4441</v>
      </c>
      <c r="C2186" s="9" t="s">
        <v>145</v>
      </c>
      <c r="D2186" s="9" t="s">
        <v>105</v>
      </c>
      <c r="E2186" s="6" t="s">
        <v>2970</v>
      </c>
      <c r="F2186" s="9" t="s">
        <v>4941</v>
      </c>
    </row>
    <row r="2187" ht="33.75" customHeight="1">
      <c r="A2187" s="7">
        <v>73.0</v>
      </c>
      <c r="B2187" s="9" t="s">
        <v>4441</v>
      </c>
      <c r="C2187" s="9" t="s">
        <v>145</v>
      </c>
      <c r="D2187" s="9" t="s">
        <v>107</v>
      </c>
      <c r="E2187" s="6" t="s">
        <v>2979</v>
      </c>
      <c r="F2187" s="9" t="s">
        <v>4941</v>
      </c>
    </row>
    <row r="2188" ht="33.75" customHeight="1">
      <c r="A2188" s="7">
        <v>73.0</v>
      </c>
      <c r="B2188" s="9" t="s">
        <v>4441</v>
      </c>
      <c r="C2188" s="9" t="s">
        <v>145</v>
      </c>
      <c r="D2188" s="9" t="s">
        <v>109</v>
      </c>
      <c r="E2188" s="6" t="s">
        <v>2980</v>
      </c>
      <c r="F2188" s="9" t="s">
        <v>4941</v>
      </c>
    </row>
    <row r="2189" ht="33.75" customHeight="1">
      <c r="A2189" s="7">
        <v>73.0</v>
      </c>
      <c r="B2189" s="9" t="s">
        <v>4441</v>
      </c>
      <c r="C2189" s="9" t="s">
        <v>145</v>
      </c>
      <c r="D2189" s="9" t="s">
        <v>637</v>
      </c>
      <c r="E2189" s="6" t="s">
        <v>2981</v>
      </c>
      <c r="F2189" s="9" t="s">
        <v>4941</v>
      </c>
    </row>
    <row r="2190" ht="33.75" customHeight="1">
      <c r="A2190" s="7">
        <v>73.0</v>
      </c>
      <c r="B2190" s="9" t="s">
        <v>4441</v>
      </c>
      <c r="C2190" s="9" t="s">
        <v>145</v>
      </c>
      <c r="D2190" s="9" t="s">
        <v>642</v>
      </c>
      <c r="E2190" s="6" t="s">
        <v>2983</v>
      </c>
      <c r="F2190" s="9" t="s">
        <v>4941</v>
      </c>
    </row>
    <row r="2191" ht="33.75" customHeight="1">
      <c r="A2191" s="7">
        <v>73.0</v>
      </c>
      <c r="B2191" s="9" t="s">
        <v>4441</v>
      </c>
      <c r="C2191" s="9" t="s">
        <v>145</v>
      </c>
      <c r="D2191" s="9" t="s">
        <v>647</v>
      </c>
      <c r="E2191" s="6" t="s">
        <v>2984</v>
      </c>
      <c r="F2191" s="9" t="s">
        <v>4941</v>
      </c>
    </row>
    <row r="2192" ht="33.75" customHeight="1">
      <c r="A2192" s="7">
        <v>73.0</v>
      </c>
      <c r="B2192" s="9" t="s">
        <v>4441</v>
      </c>
      <c r="C2192" s="9" t="s">
        <v>145</v>
      </c>
      <c r="D2192" s="9" t="s">
        <v>652</v>
      </c>
      <c r="E2192" s="6" t="s">
        <v>2985</v>
      </c>
      <c r="F2192" s="9" t="s">
        <v>4941</v>
      </c>
    </row>
    <row r="2193" ht="33.75" customHeight="1">
      <c r="A2193" s="7">
        <v>73.0</v>
      </c>
      <c r="B2193" s="9" t="s">
        <v>4441</v>
      </c>
      <c r="C2193" s="9" t="s">
        <v>145</v>
      </c>
      <c r="D2193" s="9" t="s">
        <v>111</v>
      </c>
      <c r="E2193" s="6" t="s">
        <v>2958</v>
      </c>
      <c r="F2193" s="9" t="s">
        <v>4941</v>
      </c>
    </row>
    <row r="2194" ht="33.75" customHeight="1">
      <c r="A2194" s="7">
        <v>73.0</v>
      </c>
      <c r="B2194" s="9" t="s">
        <v>4441</v>
      </c>
      <c r="C2194" s="9" t="s">
        <v>145</v>
      </c>
      <c r="D2194" s="9" t="s">
        <v>113</v>
      </c>
      <c r="E2194" s="6" t="s">
        <v>2958</v>
      </c>
      <c r="F2194" s="9" t="s">
        <v>4941</v>
      </c>
    </row>
    <row r="2195" ht="33.75" customHeight="1">
      <c r="A2195" s="7">
        <v>73.0</v>
      </c>
      <c r="B2195" s="9" t="s">
        <v>4441</v>
      </c>
      <c r="C2195" s="9" t="s">
        <v>145</v>
      </c>
      <c r="D2195" s="9" t="s">
        <v>114</v>
      </c>
      <c r="E2195" s="6" t="s">
        <v>2986</v>
      </c>
      <c r="F2195" s="9" t="s">
        <v>4941</v>
      </c>
    </row>
    <row r="2196" ht="33.75" customHeight="1">
      <c r="A2196" s="7">
        <v>73.0</v>
      </c>
      <c r="B2196" s="9" t="s">
        <v>4441</v>
      </c>
      <c r="C2196" s="9" t="s">
        <v>145</v>
      </c>
      <c r="D2196" s="9" t="s">
        <v>117</v>
      </c>
      <c r="E2196" s="6" t="s">
        <v>2987</v>
      </c>
      <c r="F2196" s="9" t="s">
        <v>4941</v>
      </c>
    </row>
    <row r="2197" ht="33.75" customHeight="1">
      <c r="A2197" s="7">
        <v>73.0</v>
      </c>
      <c r="B2197" s="9" t="s">
        <v>4441</v>
      </c>
      <c r="C2197" s="9" t="s">
        <v>145</v>
      </c>
      <c r="D2197" s="9" t="s">
        <v>1577</v>
      </c>
      <c r="E2197" s="6" t="s">
        <v>2988</v>
      </c>
      <c r="F2197" s="9" t="s">
        <v>4941</v>
      </c>
    </row>
    <row r="2198" ht="33.75" customHeight="1">
      <c r="A2198" s="7">
        <v>74.0</v>
      </c>
      <c r="B2198" s="9" t="s">
        <v>4509</v>
      </c>
      <c r="C2198" s="9" t="s">
        <v>146</v>
      </c>
      <c r="D2198" s="9" t="s">
        <v>24</v>
      </c>
      <c r="E2198" s="6" t="s">
        <v>2989</v>
      </c>
      <c r="F2198" s="9" t="s">
        <v>5039</v>
      </c>
      <c r="G2198" t="inlineStr" s="6">
        <is>
          <t xml:space="preserve">Found in fields and mountains. Mistaking them for boulders, people often step or trip on them. Commonly found near mountain trails, etc. If you step on one by accident, it gets angry. Most people may not notice, but a closer look should reveal that there are many GEODUDE around. It uses its arms to steadily climb steep mountain paths. It swings its fists around if angered. Proud of their sturdy bodies, they bash against each other in a contest to prove whose is harder. The longer a GEODUDE lives, the more its edges are chipped and worn away, making it more rounded in appearance. However, this POKéMON’s heart will remain hard, craggy, and rough always. When GEODUDE sleeps deeply, it buries itself halfway into the ground. It will not awaken even if hikers step on it unwittingly. In the morning, this POKéMON rolls downhill in search of food. It climbs mountain paths using only the power of its arms. Because they look just like boulders lining paths, hikers may step on them without noticing. Its round form makes it easy to pick up. Some people have used them to hurl at each other in a snowball fight. Many live on mountain trails and remain half buried while keeping an eye on climbers. It is impossible to distinguish from rocks. It slams against others in contests of hardness. At rest, it looks just like a rock. Carelessly stepping on it will make it swing its fists angrily. Its round body makes it easy to pick up, but it is hard and heavy. It’s dangerous to play with them as if they were snowballs. There are plenty of them to be found along any road. A scholar with too much free time once counted a hundred of them along a single route. Geodude that have lived a long life have had all their edges smoothed out until they’re totally round. They also have a calm, quiet disposition. It uses both hands to climb precipitous cliffs. People who see it in action have been known to take up bouldering. Commonly found near mountain trails and the like. Makes its home in mountainous regions, using its arms to climb along harsh mountain roads. Can be troublesome—carelessly kicking one will cause it to fly into a rage and chase after you.</t>
        </is>
      </c>
    </row>
    <row r="2199" ht="33.75" customHeight="1">
      <c r="A2199" s="7">
        <v>74.0</v>
      </c>
      <c r="B2199" s="9" t="s">
        <v>4509</v>
      </c>
      <c r="C2199" s="9" t="s">
        <v>146</v>
      </c>
      <c r="D2199" s="9" t="s">
        <v>35</v>
      </c>
      <c r="E2199" s="6" t="s">
        <v>2989</v>
      </c>
      <c r="F2199" s="9" t="s">
        <v>5039</v>
      </c>
    </row>
    <row r="2200" ht="33.75" customHeight="1">
      <c r="A2200" s="7">
        <v>74.0</v>
      </c>
      <c r="B2200" s="9" t="s">
        <v>4509</v>
      </c>
      <c r="C2200" s="9" t="s">
        <v>146</v>
      </c>
      <c r="D2200" s="9" t="s">
        <v>42</v>
      </c>
      <c r="E2200" s="6" t="s">
        <v>2990</v>
      </c>
      <c r="F2200" s="9" t="s">
        <v>5039</v>
      </c>
    </row>
    <row r="2201" ht="33.75" customHeight="1">
      <c r="A2201" s="7">
        <v>74.0</v>
      </c>
      <c r="B2201" s="9" t="s">
        <v>4509</v>
      </c>
      <c r="C2201" s="9" t="s">
        <v>146</v>
      </c>
      <c r="D2201" s="9" t="s">
        <v>52</v>
      </c>
      <c r="E2201" s="6" t="s">
        <v>2991</v>
      </c>
      <c r="F2201" s="9" t="s">
        <v>5039</v>
      </c>
    </row>
    <row r="2202" ht="33.75" customHeight="1">
      <c r="A2202" s="7">
        <v>74.0</v>
      </c>
      <c r="B2202" s="9" t="s">
        <v>4509</v>
      </c>
      <c r="C2202" s="9" t="s">
        <v>146</v>
      </c>
      <c r="D2202" s="9" t="s">
        <v>59</v>
      </c>
      <c r="E2202" s="6" t="s">
        <v>2992</v>
      </c>
      <c r="F2202" s="9" t="s">
        <v>5039</v>
      </c>
    </row>
    <row r="2203" ht="33.75" customHeight="1">
      <c r="A2203" s="7">
        <v>74.0</v>
      </c>
      <c r="B2203" s="9" t="s">
        <v>4509</v>
      </c>
      <c r="C2203" s="9" t="s">
        <v>146</v>
      </c>
      <c r="D2203" s="9" t="s">
        <v>64</v>
      </c>
      <c r="E2203" s="6" t="s">
        <v>2993</v>
      </c>
      <c r="F2203" s="9" t="s">
        <v>5039</v>
      </c>
    </row>
    <row r="2204" ht="33.75" customHeight="1">
      <c r="A2204" s="7">
        <v>74.0</v>
      </c>
      <c r="B2204" s="9" t="s">
        <v>4509</v>
      </c>
      <c r="C2204" s="9" t="s">
        <v>146</v>
      </c>
      <c r="D2204" s="9" t="s">
        <v>67</v>
      </c>
      <c r="E2204" s="6" t="s">
        <v>2994</v>
      </c>
      <c r="F2204" s="9" t="s">
        <v>5039</v>
      </c>
    </row>
    <row r="2205" ht="33.75" customHeight="1">
      <c r="A2205" s="7">
        <v>74.0</v>
      </c>
      <c r="B2205" s="9" t="s">
        <v>4509</v>
      </c>
      <c r="C2205" s="9" t="s">
        <v>146</v>
      </c>
      <c r="D2205" s="9" t="s">
        <v>71</v>
      </c>
      <c r="E2205" s="6" t="s">
        <v>2995</v>
      </c>
      <c r="F2205" s="9" t="s">
        <v>5039</v>
      </c>
    </row>
    <row r="2206" ht="33.75" customHeight="1">
      <c r="A2206" s="7">
        <v>74.0</v>
      </c>
      <c r="B2206" s="9" t="s">
        <v>4509</v>
      </c>
      <c r="C2206" s="9" t="s">
        <v>146</v>
      </c>
      <c r="D2206" s="9" t="s">
        <v>73</v>
      </c>
      <c r="E2206" s="6" t="s">
        <v>2997</v>
      </c>
      <c r="F2206" s="9" t="s">
        <v>5039</v>
      </c>
    </row>
    <row r="2207" ht="33.75" customHeight="1">
      <c r="A2207" s="7">
        <v>74.0</v>
      </c>
      <c r="B2207" s="9" t="s">
        <v>4509</v>
      </c>
      <c r="C2207" s="9" t="s">
        <v>146</v>
      </c>
      <c r="D2207" s="9" t="s">
        <v>75</v>
      </c>
      <c r="E2207" s="6" t="s">
        <v>2998</v>
      </c>
      <c r="F2207" s="9" t="s">
        <v>5039</v>
      </c>
    </row>
    <row r="2208" ht="33.75" customHeight="1">
      <c r="A2208" s="7">
        <v>74.0</v>
      </c>
      <c r="B2208" s="9" t="s">
        <v>4509</v>
      </c>
      <c r="C2208" s="9" t="s">
        <v>146</v>
      </c>
      <c r="D2208" s="9" t="s">
        <v>79</v>
      </c>
      <c r="E2208" s="6" t="s">
        <v>2989</v>
      </c>
      <c r="F2208" s="9" t="s">
        <v>5039</v>
      </c>
    </row>
    <row r="2209" ht="33.75" customHeight="1">
      <c r="A2209" s="7">
        <v>74.0</v>
      </c>
      <c r="B2209" s="9" t="s">
        <v>4509</v>
      </c>
      <c r="C2209" s="9" t="s">
        <v>146</v>
      </c>
      <c r="D2209" s="9" t="s">
        <v>81</v>
      </c>
      <c r="E2209" s="6" t="s">
        <v>2999</v>
      </c>
      <c r="F2209" s="9" t="s">
        <v>5039</v>
      </c>
    </row>
    <row r="2210" ht="33.75" customHeight="1">
      <c r="A2210" s="7">
        <v>74.0</v>
      </c>
      <c r="B2210" s="9" t="s">
        <v>4509</v>
      </c>
      <c r="C2210" s="9" t="s">
        <v>146</v>
      </c>
      <c r="D2210" s="9" t="s">
        <v>84</v>
      </c>
      <c r="E2210" s="6" t="s">
        <v>3000</v>
      </c>
      <c r="F2210" s="9" t="s">
        <v>5039</v>
      </c>
    </row>
    <row r="2211" ht="33.75" customHeight="1">
      <c r="A2211" s="7">
        <v>74.0</v>
      </c>
      <c r="B2211" s="9" t="s">
        <v>4509</v>
      </c>
      <c r="C2211" s="9" t="s">
        <v>146</v>
      </c>
      <c r="D2211" s="9" t="s">
        <v>87</v>
      </c>
      <c r="E2211" s="6" t="s">
        <v>3002</v>
      </c>
      <c r="F2211" s="9" t="s">
        <v>5039</v>
      </c>
    </row>
    <row r="2212" ht="33.75" customHeight="1">
      <c r="A2212" s="7">
        <v>74.0</v>
      </c>
      <c r="B2212" s="9" t="s">
        <v>4509</v>
      </c>
      <c r="C2212" s="9" t="s">
        <v>146</v>
      </c>
      <c r="D2212" s="9" t="s">
        <v>89</v>
      </c>
      <c r="E2212" s="6" t="s">
        <v>2991</v>
      </c>
      <c r="F2212" s="9" t="s">
        <v>5039</v>
      </c>
    </row>
    <row r="2213" ht="33.75" customHeight="1">
      <c r="A2213" s="7">
        <v>74.0</v>
      </c>
      <c r="B2213" s="9" t="s">
        <v>4509</v>
      </c>
      <c r="C2213" s="9" t="s">
        <v>146</v>
      </c>
      <c r="D2213" s="9" t="s">
        <v>91</v>
      </c>
      <c r="E2213" s="6" t="s">
        <v>2992</v>
      </c>
      <c r="F2213" s="9" t="s">
        <v>5039</v>
      </c>
    </row>
    <row r="2214" ht="33.75" customHeight="1">
      <c r="A2214" s="7">
        <v>74.0</v>
      </c>
      <c r="B2214" s="9" t="s">
        <v>4509</v>
      </c>
      <c r="C2214" s="9" t="s">
        <v>146</v>
      </c>
      <c r="D2214" s="9" t="s">
        <v>93</v>
      </c>
      <c r="E2214" s="6" t="s">
        <v>3002</v>
      </c>
      <c r="F2214" s="9" t="s">
        <v>5039</v>
      </c>
    </row>
    <row r="2215" ht="33.75" customHeight="1">
      <c r="A2215" s="7">
        <v>74.0</v>
      </c>
      <c r="B2215" s="9" t="s">
        <v>4509</v>
      </c>
      <c r="C2215" s="9" t="s">
        <v>146</v>
      </c>
      <c r="D2215" s="9" t="s">
        <v>95</v>
      </c>
      <c r="E2215" s="6" t="s">
        <v>3002</v>
      </c>
      <c r="F2215" s="9" t="s">
        <v>5039</v>
      </c>
    </row>
    <row r="2216" ht="33.75" customHeight="1">
      <c r="A2216" s="7">
        <v>74.0</v>
      </c>
      <c r="B2216" s="9" t="s">
        <v>4509</v>
      </c>
      <c r="C2216" s="9" t="s">
        <v>146</v>
      </c>
      <c r="D2216" s="9" t="s">
        <v>98</v>
      </c>
      <c r="E2216" s="6" t="s">
        <v>3002</v>
      </c>
      <c r="F2216" s="9" t="s">
        <v>5039</v>
      </c>
    </row>
    <row r="2217" ht="33.75" customHeight="1">
      <c r="A2217" s="7">
        <v>74.0</v>
      </c>
      <c r="B2217" s="9" t="s">
        <v>4509</v>
      </c>
      <c r="C2217" s="9" t="s">
        <v>146</v>
      </c>
      <c r="D2217" s="9" t="s">
        <v>99</v>
      </c>
      <c r="E2217" s="6" t="s">
        <v>3002</v>
      </c>
      <c r="F2217" s="9" t="s">
        <v>5039</v>
      </c>
    </row>
    <row r="2218" ht="33.75" customHeight="1">
      <c r="A2218" s="7">
        <v>74.0</v>
      </c>
      <c r="B2218" s="9" t="s">
        <v>4509</v>
      </c>
      <c r="C2218" s="9" t="s">
        <v>146</v>
      </c>
      <c r="D2218" s="9" t="s">
        <v>101</v>
      </c>
      <c r="E2218" s="6" t="s">
        <v>2989</v>
      </c>
      <c r="F2218" s="9" t="s">
        <v>5039</v>
      </c>
    </row>
    <row r="2219" ht="33.75" customHeight="1">
      <c r="A2219" s="7">
        <v>74.0</v>
      </c>
      <c r="B2219" s="9" t="s">
        <v>4509</v>
      </c>
      <c r="C2219" s="9" t="s">
        <v>146</v>
      </c>
      <c r="D2219" s="9" t="s">
        <v>105</v>
      </c>
      <c r="E2219" s="6" t="s">
        <v>3000</v>
      </c>
      <c r="F2219" s="9" t="s">
        <v>5039</v>
      </c>
    </row>
    <row r="2220" ht="33.75" customHeight="1">
      <c r="A2220" s="7">
        <v>74.0</v>
      </c>
      <c r="B2220" s="9" t="s">
        <v>4509</v>
      </c>
      <c r="C2220" s="9" t="s">
        <v>146</v>
      </c>
      <c r="D2220" s="9" t="s">
        <v>107</v>
      </c>
      <c r="E2220" s="6" t="s">
        <v>3003</v>
      </c>
      <c r="F2220" s="9" t="s">
        <v>5039</v>
      </c>
    </row>
    <row r="2221" ht="33.75" customHeight="1">
      <c r="A2221" s="7">
        <v>74.0</v>
      </c>
      <c r="B2221" s="9" t="s">
        <v>4509</v>
      </c>
      <c r="C2221" s="9" t="s">
        <v>146</v>
      </c>
      <c r="D2221" s="9" t="s">
        <v>109</v>
      </c>
      <c r="E2221" s="6" t="s">
        <v>3005</v>
      </c>
      <c r="F2221" s="9" t="s">
        <v>5039</v>
      </c>
    </row>
    <row r="2222" ht="33.75" customHeight="1">
      <c r="A2222" s="7">
        <v>74.0</v>
      </c>
      <c r="B2222" s="9" t="s">
        <v>4509</v>
      </c>
      <c r="C2222" s="9" t="s">
        <v>146</v>
      </c>
      <c r="D2222" s="9" t="s">
        <v>637</v>
      </c>
      <c r="E2222" s="6" t="s">
        <v>3008</v>
      </c>
      <c r="F2222" s="9" t="s">
        <v>5039</v>
      </c>
    </row>
    <row r="2223" ht="33.75" customHeight="1">
      <c r="A2223" s="7">
        <v>74.0</v>
      </c>
      <c r="B2223" s="9" t="s">
        <v>4509</v>
      </c>
      <c r="C2223" s="9" t="s">
        <v>146</v>
      </c>
      <c r="D2223" s="9" t="s">
        <v>642</v>
      </c>
      <c r="E2223" s="6" t="s">
        <v>3009</v>
      </c>
      <c r="F2223" s="9" t="s">
        <v>5039</v>
      </c>
    </row>
    <row r="2224" ht="33.75" customHeight="1">
      <c r="A2224" s="7">
        <v>74.0</v>
      </c>
      <c r="B2224" s="9" t="s">
        <v>4509</v>
      </c>
      <c r="C2224" s="9" t="s">
        <v>146</v>
      </c>
      <c r="D2224" s="9" t="s">
        <v>647</v>
      </c>
      <c r="E2224" s="6" t="s">
        <v>3011</v>
      </c>
      <c r="F2224" s="9" t="s">
        <v>5039</v>
      </c>
    </row>
    <row r="2225" ht="33.75" customHeight="1">
      <c r="A2225" s="7">
        <v>74.0</v>
      </c>
      <c r="B2225" s="9" t="s">
        <v>4509</v>
      </c>
      <c r="C2225" s="9" t="s">
        <v>146</v>
      </c>
      <c r="D2225" s="9" t="s">
        <v>652</v>
      </c>
      <c r="E2225" s="6" t="s">
        <v>3012</v>
      </c>
      <c r="F2225" s="9" t="s">
        <v>5039</v>
      </c>
    </row>
    <row r="2226" ht="33.75" customHeight="1">
      <c r="A2226" s="7">
        <v>74.0</v>
      </c>
      <c r="B2226" s="9" t="s">
        <v>4509</v>
      </c>
      <c r="C2226" s="9" t="s">
        <v>146</v>
      </c>
      <c r="D2226" s="9" t="s">
        <v>111</v>
      </c>
      <c r="E2226" s="6" t="s">
        <v>3013</v>
      </c>
      <c r="F2226" s="9" t="s">
        <v>5039</v>
      </c>
    </row>
    <row r="2227" ht="33.75" customHeight="1">
      <c r="A2227" s="7">
        <v>74.0</v>
      </c>
      <c r="B2227" s="9" t="s">
        <v>4509</v>
      </c>
      <c r="C2227" s="9" t="s">
        <v>146</v>
      </c>
      <c r="D2227" s="9" t="s">
        <v>113</v>
      </c>
      <c r="E2227" s="6" t="s">
        <v>3013</v>
      </c>
      <c r="F2227" s="9" t="s">
        <v>5039</v>
      </c>
    </row>
    <row r="2228" ht="33.75" customHeight="1">
      <c r="A2228" s="7">
        <v>74.0</v>
      </c>
      <c r="B2228" s="9" t="s">
        <v>4509</v>
      </c>
      <c r="C2228" s="9" t="s">
        <v>146</v>
      </c>
      <c r="D2228" s="9" t="s">
        <v>1577</v>
      </c>
      <c r="E2228" s="6" t="s">
        <v>3014</v>
      </c>
      <c r="F2228" s="9" t="s">
        <v>5039</v>
      </c>
    </row>
    <row r="2229" ht="33.75" customHeight="1">
      <c r="A2229" s="7">
        <v>75.0</v>
      </c>
      <c r="B2229" s="9" t="s">
        <v>4569</v>
      </c>
      <c r="C2229" s="9" t="s">
        <v>146</v>
      </c>
      <c r="D2229" s="9" t="s">
        <v>24</v>
      </c>
      <c r="E2229" s="6" t="s">
        <v>3016</v>
      </c>
      <c r="F2229" s="9" t="s">
        <v>5094</v>
      </c>
      <c r="G2229" t="inlineStr" s="6">
        <is>
          <t xml:space="preserve">Rolls down slopes to move. It rolls over any obstacle without slowing or changing its direction. Often seen rolling down mountain trails. Obstacles are just things to roll straight over, not avoid. With a free and uncaring nature, it doesn't mind if pieces break off while it rolls down mountains. A slow walker, it rolls to move. It pays no attention to any object that happens to be in its path. It travels by rolling on mountain paths. If it gains too much speed, it stops by running into huge rocks. GRAVELER grows by feeding on rocks. Apparently, it prefers to eat rocks that are covered in moss. This POKéMON eats its way through a ton of rocks on a daily basis. Rocks are GRAVELER’s favorite food. This POKéMON will climb a mountain from the base to the summit, crunchingly feasting on rocks all the while. Upon reaching the peak, it rolls back down to the bottom. They descend from mountains by tumbling down steep slopes. They are so brutal, they smash aside obstructing trees and massive boulders with thunderous tackles. Be careful while hiking on mountain trails. GRAVELER may come rolling down the path without slowing. GRAVELER make their homes on sheer cliff faces by gouging out numerous horizontal holes. It tumbles down slopes, heedless of any body parts chipping off. It eats a ton of rocks daily. It rolls on mountain paths to move. Once it builds momentum, no Pokémon can stop it without difficulty. Mossy rocks are its favorite food. It can devour a ton a day while crunching loudly. This slow-footed Pokémon moves by curling up and rolling instead of walking. With enough momentum, its speed can exceed 60 mph. It climbs up cliffs as it heads toward the peak of a mountain. As soon as it reaches the summit, it rolls back down the way it came. It travels by rolling down cliffs. If it falls into a river, it will explode with its last gasp. Dwells in holes dug into sheer walls of stone. It enjoys rolling down slopes as though it were a boulder during a rockfall, so keep an eye upward while traversing mountain roads.</t>
        </is>
      </c>
    </row>
    <row r="2230" ht="33.75" customHeight="1">
      <c r="A2230" s="7">
        <v>75.0</v>
      </c>
      <c r="B2230" s="9" t="s">
        <v>4569</v>
      </c>
      <c r="C2230" s="9" t="s">
        <v>146</v>
      </c>
      <c r="D2230" s="9" t="s">
        <v>35</v>
      </c>
      <c r="E2230" s="6" t="s">
        <v>3016</v>
      </c>
      <c r="F2230" s="9" t="s">
        <v>5094</v>
      </c>
    </row>
    <row r="2231" ht="33.75" customHeight="1">
      <c r="A2231" s="7">
        <v>75.0</v>
      </c>
      <c r="B2231" s="9" t="s">
        <v>4569</v>
      </c>
      <c r="C2231" s="9" t="s">
        <v>146</v>
      </c>
      <c r="D2231" s="9" t="s">
        <v>42</v>
      </c>
      <c r="E2231" s="6" t="s">
        <v>3017</v>
      </c>
      <c r="F2231" s="9" t="s">
        <v>5094</v>
      </c>
    </row>
    <row r="2232" ht="33.75" customHeight="1">
      <c r="A2232" s="7">
        <v>75.0</v>
      </c>
      <c r="B2232" s="9" t="s">
        <v>4569</v>
      </c>
      <c r="C2232" s="9" t="s">
        <v>146</v>
      </c>
      <c r="D2232" s="9" t="s">
        <v>52</v>
      </c>
      <c r="E2232" s="6" t="s">
        <v>3019</v>
      </c>
      <c r="F2232" s="9" t="s">
        <v>5094</v>
      </c>
    </row>
    <row r="2233" ht="33.75" customHeight="1">
      <c r="A2233" s="7">
        <v>75.0</v>
      </c>
      <c r="B2233" s="9" t="s">
        <v>4569</v>
      </c>
      <c r="C2233" s="9" t="s">
        <v>146</v>
      </c>
      <c r="D2233" s="9" t="s">
        <v>59</v>
      </c>
      <c r="E2233" s="6" t="s">
        <v>3021</v>
      </c>
      <c r="F2233" s="9" t="s">
        <v>5094</v>
      </c>
    </row>
    <row r="2234" ht="33.75" customHeight="1">
      <c r="A2234" s="7">
        <v>75.0</v>
      </c>
      <c r="B2234" s="9" t="s">
        <v>4569</v>
      </c>
      <c r="C2234" s="9" t="s">
        <v>146</v>
      </c>
      <c r="D2234" s="9" t="s">
        <v>64</v>
      </c>
      <c r="E2234" s="6" t="s">
        <v>3022</v>
      </c>
      <c r="F2234" s="9" t="s">
        <v>5094</v>
      </c>
    </row>
    <row r="2235" ht="33.75" customHeight="1">
      <c r="A2235" s="7">
        <v>75.0</v>
      </c>
      <c r="B2235" s="9" t="s">
        <v>4569</v>
      </c>
      <c r="C2235" s="9" t="s">
        <v>146</v>
      </c>
      <c r="D2235" s="9" t="s">
        <v>67</v>
      </c>
      <c r="E2235" s="6" t="s">
        <v>3023</v>
      </c>
      <c r="F2235" s="9" t="s">
        <v>5094</v>
      </c>
    </row>
    <row r="2236" ht="33.75" customHeight="1">
      <c r="A2236" s="7">
        <v>75.0</v>
      </c>
      <c r="B2236" s="9" t="s">
        <v>4569</v>
      </c>
      <c r="C2236" s="9" t="s">
        <v>146</v>
      </c>
      <c r="D2236" s="9" t="s">
        <v>71</v>
      </c>
      <c r="E2236" s="6" t="s">
        <v>3025</v>
      </c>
      <c r="F2236" s="9" t="s">
        <v>5094</v>
      </c>
    </row>
    <row r="2237" ht="33.75" customHeight="1">
      <c r="A2237" s="7">
        <v>75.0</v>
      </c>
      <c r="B2237" s="9" t="s">
        <v>4569</v>
      </c>
      <c r="C2237" s="9" t="s">
        <v>146</v>
      </c>
      <c r="D2237" s="9" t="s">
        <v>73</v>
      </c>
      <c r="E2237" s="6" t="s">
        <v>3027</v>
      </c>
      <c r="F2237" s="9" t="s">
        <v>5094</v>
      </c>
    </row>
    <row r="2238" ht="33.75" customHeight="1">
      <c r="A2238" s="7">
        <v>75.0</v>
      </c>
      <c r="B2238" s="9" t="s">
        <v>4569</v>
      </c>
      <c r="C2238" s="9" t="s">
        <v>146</v>
      </c>
      <c r="D2238" s="9" t="s">
        <v>75</v>
      </c>
      <c r="E2238" s="6" t="s">
        <v>3028</v>
      </c>
      <c r="F2238" s="9" t="s">
        <v>5094</v>
      </c>
    </row>
    <row r="2239" ht="33.75" customHeight="1">
      <c r="A2239" s="7">
        <v>75.0</v>
      </c>
      <c r="B2239" s="9" t="s">
        <v>4569</v>
      </c>
      <c r="C2239" s="9" t="s">
        <v>146</v>
      </c>
      <c r="D2239" s="9" t="s">
        <v>79</v>
      </c>
      <c r="E2239" s="6" t="s">
        <v>3016</v>
      </c>
      <c r="F2239" s="9" t="s">
        <v>5094</v>
      </c>
    </row>
    <row r="2240" ht="33.75" customHeight="1">
      <c r="A2240" s="7">
        <v>75.0</v>
      </c>
      <c r="B2240" s="9" t="s">
        <v>4569</v>
      </c>
      <c r="C2240" s="9" t="s">
        <v>146</v>
      </c>
      <c r="D2240" s="9" t="s">
        <v>81</v>
      </c>
      <c r="E2240" s="6" t="s">
        <v>3030</v>
      </c>
      <c r="F2240" s="9" t="s">
        <v>5094</v>
      </c>
    </row>
    <row r="2241" ht="33.75" customHeight="1">
      <c r="A2241" s="7">
        <v>75.0</v>
      </c>
      <c r="B2241" s="9" t="s">
        <v>4569</v>
      </c>
      <c r="C2241" s="9" t="s">
        <v>146</v>
      </c>
      <c r="D2241" s="9" t="s">
        <v>84</v>
      </c>
      <c r="E2241" s="6" t="s">
        <v>3031</v>
      </c>
      <c r="F2241" s="9" t="s">
        <v>5094</v>
      </c>
    </row>
    <row r="2242" ht="33.75" customHeight="1">
      <c r="A2242" s="7">
        <v>75.0</v>
      </c>
      <c r="B2242" s="9" t="s">
        <v>4569</v>
      </c>
      <c r="C2242" s="9" t="s">
        <v>146</v>
      </c>
      <c r="D2242" s="9" t="s">
        <v>87</v>
      </c>
      <c r="E2242" s="6" t="s">
        <v>3033</v>
      </c>
      <c r="F2242" s="9" t="s">
        <v>5094</v>
      </c>
    </row>
    <row r="2243" ht="33.75" customHeight="1">
      <c r="A2243" s="7">
        <v>75.0</v>
      </c>
      <c r="B2243" s="9" t="s">
        <v>4569</v>
      </c>
      <c r="C2243" s="9" t="s">
        <v>146</v>
      </c>
      <c r="D2243" s="9" t="s">
        <v>89</v>
      </c>
      <c r="E2243" s="6" t="s">
        <v>3034</v>
      </c>
      <c r="F2243" s="9" t="s">
        <v>5094</v>
      </c>
    </row>
    <row r="2244" ht="33.75" customHeight="1">
      <c r="A2244" s="7">
        <v>75.0</v>
      </c>
      <c r="B2244" s="9" t="s">
        <v>4569</v>
      </c>
      <c r="C2244" s="9" t="s">
        <v>146</v>
      </c>
      <c r="D2244" s="9" t="s">
        <v>91</v>
      </c>
      <c r="E2244" s="6" t="s">
        <v>3021</v>
      </c>
      <c r="F2244" s="9" t="s">
        <v>5094</v>
      </c>
    </row>
    <row r="2245" ht="33.75" customHeight="1">
      <c r="A2245" s="7">
        <v>75.0</v>
      </c>
      <c r="B2245" s="9" t="s">
        <v>4569</v>
      </c>
      <c r="C2245" s="9" t="s">
        <v>146</v>
      </c>
      <c r="D2245" s="9" t="s">
        <v>93</v>
      </c>
      <c r="E2245" s="6" t="s">
        <v>3033</v>
      </c>
      <c r="F2245" s="9" t="s">
        <v>5094</v>
      </c>
    </row>
    <row r="2246" ht="33.75" customHeight="1">
      <c r="A2246" s="7">
        <v>75.0</v>
      </c>
      <c r="B2246" s="9" t="s">
        <v>4569</v>
      </c>
      <c r="C2246" s="9" t="s">
        <v>146</v>
      </c>
      <c r="D2246" s="9" t="s">
        <v>95</v>
      </c>
      <c r="E2246" s="6" t="s">
        <v>3033</v>
      </c>
      <c r="F2246" s="9" t="s">
        <v>5094</v>
      </c>
    </row>
    <row r="2247" ht="33.75" customHeight="1">
      <c r="A2247" s="7">
        <v>75.0</v>
      </c>
      <c r="B2247" s="9" t="s">
        <v>4569</v>
      </c>
      <c r="C2247" s="9" t="s">
        <v>146</v>
      </c>
      <c r="D2247" s="9" t="s">
        <v>98</v>
      </c>
      <c r="E2247" s="6" t="s">
        <v>3033</v>
      </c>
      <c r="F2247" s="9" t="s">
        <v>5094</v>
      </c>
    </row>
    <row r="2248" ht="33.75" customHeight="1">
      <c r="A2248" s="7">
        <v>75.0</v>
      </c>
      <c r="B2248" s="9" t="s">
        <v>4569</v>
      </c>
      <c r="C2248" s="9" t="s">
        <v>146</v>
      </c>
      <c r="D2248" s="9" t="s">
        <v>99</v>
      </c>
      <c r="E2248" s="6" t="s">
        <v>3033</v>
      </c>
      <c r="F2248" s="9" t="s">
        <v>5094</v>
      </c>
    </row>
    <row r="2249" ht="33.75" customHeight="1">
      <c r="A2249" s="7">
        <v>75.0</v>
      </c>
      <c r="B2249" s="9" t="s">
        <v>4569</v>
      </c>
      <c r="C2249" s="9" t="s">
        <v>146</v>
      </c>
      <c r="D2249" s="9" t="s">
        <v>101</v>
      </c>
      <c r="E2249" s="6" t="s">
        <v>3034</v>
      </c>
      <c r="F2249" s="9" t="s">
        <v>5094</v>
      </c>
    </row>
    <row r="2250" ht="33.75" customHeight="1">
      <c r="A2250" s="7">
        <v>75.0</v>
      </c>
      <c r="B2250" s="9" t="s">
        <v>4569</v>
      </c>
      <c r="C2250" s="9" t="s">
        <v>146</v>
      </c>
      <c r="D2250" s="9" t="s">
        <v>105</v>
      </c>
      <c r="E2250" s="6" t="s">
        <v>3016</v>
      </c>
      <c r="F2250" s="9" t="s">
        <v>5094</v>
      </c>
    </row>
    <row r="2251" ht="33.75" customHeight="1">
      <c r="A2251" s="7">
        <v>75.0</v>
      </c>
      <c r="B2251" s="9" t="s">
        <v>4569</v>
      </c>
      <c r="C2251" s="9" t="s">
        <v>146</v>
      </c>
      <c r="D2251" s="9" t="s">
        <v>107</v>
      </c>
      <c r="E2251" s="6" t="s">
        <v>3036</v>
      </c>
      <c r="F2251" s="9" t="s">
        <v>5094</v>
      </c>
    </row>
    <row r="2252" ht="33.75" customHeight="1">
      <c r="A2252" s="7">
        <v>75.0</v>
      </c>
      <c r="B2252" s="9" t="s">
        <v>4569</v>
      </c>
      <c r="C2252" s="9" t="s">
        <v>146</v>
      </c>
      <c r="D2252" s="9" t="s">
        <v>109</v>
      </c>
      <c r="E2252" s="6" t="s">
        <v>3037</v>
      </c>
      <c r="F2252" s="9" t="s">
        <v>5094</v>
      </c>
    </row>
    <row r="2253" ht="33.75" customHeight="1">
      <c r="A2253" s="7">
        <v>75.0</v>
      </c>
      <c r="B2253" s="9" t="s">
        <v>4569</v>
      </c>
      <c r="C2253" s="9" t="s">
        <v>146</v>
      </c>
      <c r="D2253" s="9" t="s">
        <v>637</v>
      </c>
      <c r="E2253" s="6" t="s">
        <v>3038</v>
      </c>
      <c r="F2253" s="9" t="s">
        <v>5094</v>
      </c>
    </row>
    <row r="2254" ht="33.75" customHeight="1">
      <c r="A2254" s="7">
        <v>75.0</v>
      </c>
      <c r="B2254" s="9" t="s">
        <v>4569</v>
      </c>
      <c r="C2254" s="9" t="s">
        <v>146</v>
      </c>
      <c r="D2254" s="9" t="s">
        <v>642</v>
      </c>
      <c r="E2254" s="6" t="s">
        <v>3040</v>
      </c>
      <c r="F2254" s="9" t="s">
        <v>5094</v>
      </c>
    </row>
    <row r="2255" ht="33.75" customHeight="1">
      <c r="A2255" s="7">
        <v>75.0</v>
      </c>
      <c r="B2255" s="9" t="s">
        <v>4569</v>
      </c>
      <c r="C2255" s="9" t="s">
        <v>146</v>
      </c>
      <c r="D2255" s="9" t="s">
        <v>647</v>
      </c>
      <c r="E2255" s="6" t="s">
        <v>3042</v>
      </c>
      <c r="F2255" s="9" t="s">
        <v>5094</v>
      </c>
    </row>
    <row r="2256" ht="33.75" customHeight="1">
      <c r="A2256" s="7">
        <v>75.0</v>
      </c>
      <c r="B2256" s="9" t="s">
        <v>4569</v>
      </c>
      <c r="C2256" s="9" t="s">
        <v>146</v>
      </c>
      <c r="D2256" s="9" t="s">
        <v>652</v>
      </c>
      <c r="E2256" s="6" t="s">
        <v>3043</v>
      </c>
      <c r="F2256" s="9" t="s">
        <v>5094</v>
      </c>
    </row>
    <row r="2257" ht="33.75" customHeight="1">
      <c r="A2257" s="7">
        <v>75.0</v>
      </c>
      <c r="B2257" s="9" t="s">
        <v>4569</v>
      </c>
      <c r="C2257" s="9" t="s">
        <v>146</v>
      </c>
      <c r="D2257" s="9" t="s">
        <v>111</v>
      </c>
      <c r="E2257" s="6" t="s">
        <v>3017</v>
      </c>
      <c r="F2257" s="9" t="s">
        <v>5094</v>
      </c>
    </row>
    <row r="2258" ht="33.75" customHeight="1">
      <c r="A2258" s="7">
        <v>75.0</v>
      </c>
      <c r="B2258" s="9" t="s">
        <v>4569</v>
      </c>
      <c r="C2258" s="9" t="s">
        <v>146</v>
      </c>
      <c r="D2258" s="9" t="s">
        <v>113</v>
      </c>
      <c r="E2258" s="6" t="s">
        <v>3017</v>
      </c>
      <c r="F2258" s="9" t="s">
        <v>5094</v>
      </c>
    </row>
    <row r="2259" ht="33.75" customHeight="1">
      <c r="A2259" s="7">
        <v>75.0</v>
      </c>
      <c r="B2259" s="9" t="s">
        <v>4569</v>
      </c>
      <c r="C2259" s="9" t="s">
        <v>146</v>
      </c>
      <c r="D2259" s="9" t="s">
        <v>1577</v>
      </c>
      <c r="E2259" s="6" t="s">
        <v>3045</v>
      </c>
      <c r="F2259" s="9" t="s">
        <v>5094</v>
      </c>
    </row>
    <row r="2260" ht="33.75" customHeight="1">
      <c r="A2260" s="7">
        <v>76.0</v>
      </c>
      <c r="B2260" s="9" t="s">
        <v>4621</v>
      </c>
      <c r="C2260" s="9" t="s">
        <v>147</v>
      </c>
      <c r="D2260" s="9" t="s">
        <v>24</v>
      </c>
      <c r="E2260" s="6" t="s">
        <v>3046</v>
      </c>
      <c r="F2260" s="9" t="s">
        <v>5191</v>
      </c>
      <c r="G2260" t="inlineStr" s="6">
        <is>
          <t xml:space="preserve">Golem's boulder-like body is extremely hard. It can easily withstand dynamite blasts without damage. Once it sheds its skin, its body turns tender and whitish. Its hide hardens when it's exposed to air. It sheds its skin once a year. The discarded shell immediately hardens and crumbles away. It is capable of blowing itself up. It uses this explosive force to jump from mountain to mountain. Its rock-like body is so durable, even high-powered dynamite blasts fail to scratch its rugged hide. GOLEM live up on mountains. If there is a large earthquake, these POKéMON will come rolling down off the mountains en masse to the foothills below. GOLEM is known for rolling down from mountains. To prevent them from rolling into the homes of people downhill, grooves have been dug into the sides of mountains to serve as guideways for diverting this POKéMON’s course. It is said to live in volcanic craters on mountain peaks. Once a year, it sheds its hide and grows larger. The shed hide crumbles and returns to the soil. It is enclosed in a hard shell that is as rugged as slabs of rock. It sheds skin once a year to grow larger. It can easily withstand dynamite blasts without taking damage. It sheds its hide once a year. Its boulderlike body is so tough, even dynamite can’t harm it. It tumbles down mountains, leaving grooves from peak to base. Stay clear of these grooves. Even dynamite can’t harm its hard, boulderlike body. It sheds its hide just once a year. Even dynamite can’t harm its hard, boulder-like body. Its body can survive dynamite blasts without a single scratch, but it hates rain and humidity. Once a year, this Pokémon molts, and its shed shell returns to the soil. This process creates enriched soil, so farmers collect the shells. When Golem grow old, they stop shedding their shells. Those that have lived a long, long time have shells green with moss. It detonates its own body. The power from that explosion can propel it up steep mountain paths with amazing speed. The rocklike shell is shed each year. The cast-off shell then crumbles, reverting to a mass of soil, which can be spread across fields to promote crop growth.</t>
        </is>
      </c>
    </row>
    <row r="2261" ht="33.75" customHeight="1">
      <c r="A2261" s="7">
        <v>76.0</v>
      </c>
      <c r="B2261" s="9" t="s">
        <v>4621</v>
      </c>
      <c r="C2261" s="9" t="s">
        <v>147</v>
      </c>
      <c r="D2261" s="9" t="s">
        <v>35</v>
      </c>
      <c r="E2261" s="6" t="s">
        <v>3046</v>
      </c>
      <c r="F2261" s="9" t="s">
        <v>5191</v>
      </c>
    </row>
    <row r="2262" ht="33.75" customHeight="1">
      <c r="A2262" s="7">
        <v>76.0</v>
      </c>
      <c r="B2262" s="9" t="s">
        <v>4621</v>
      </c>
      <c r="C2262" s="9" t="s">
        <v>147</v>
      </c>
      <c r="D2262" s="9" t="s">
        <v>42</v>
      </c>
      <c r="E2262" s="6" t="s">
        <v>3047</v>
      </c>
      <c r="F2262" s="9" t="s">
        <v>5191</v>
      </c>
    </row>
    <row r="2263" ht="33.75" customHeight="1">
      <c r="A2263" s="7">
        <v>76.0</v>
      </c>
      <c r="B2263" s="9" t="s">
        <v>4621</v>
      </c>
      <c r="C2263" s="9" t="s">
        <v>147</v>
      </c>
      <c r="D2263" s="9" t="s">
        <v>52</v>
      </c>
      <c r="E2263" s="6" t="s">
        <v>3048</v>
      </c>
      <c r="F2263" s="9" t="s">
        <v>5191</v>
      </c>
    </row>
    <row r="2264" ht="33.75" customHeight="1">
      <c r="A2264" s="7">
        <v>76.0</v>
      </c>
      <c r="B2264" s="9" t="s">
        <v>4621</v>
      </c>
      <c r="C2264" s="9" t="s">
        <v>147</v>
      </c>
      <c r="D2264" s="9" t="s">
        <v>59</v>
      </c>
      <c r="E2264" s="6" t="s">
        <v>3050</v>
      </c>
      <c r="F2264" s="9" t="s">
        <v>5191</v>
      </c>
    </row>
    <row r="2265" ht="33.75" customHeight="1">
      <c r="A2265" s="7">
        <v>76.0</v>
      </c>
      <c r="B2265" s="9" t="s">
        <v>4621</v>
      </c>
      <c r="C2265" s="9" t="s">
        <v>147</v>
      </c>
      <c r="D2265" s="9" t="s">
        <v>64</v>
      </c>
      <c r="E2265" s="6" t="s">
        <v>3051</v>
      </c>
      <c r="F2265" s="9" t="s">
        <v>5191</v>
      </c>
    </row>
    <row r="2266" ht="33.75" customHeight="1">
      <c r="A2266" s="7">
        <v>76.0</v>
      </c>
      <c r="B2266" s="9" t="s">
        <v>4621</v>
      </c>
      <c r="C2266" s="9" t="s">
        <v>147</v>
      </c>
      <c r="D2266" s="9" t="s">
        <v>67</v>
      </c>
      <c r="E2266" s="6" t="s">
        <v>3052</v>
      </c>
      <c r="F2266" s="9" t="s">
        <v>5191</v>
      </c>
    </row>
    <row r="2267" ht="33.75" customHeight="1">
      <c r="A2267" s="7">
        <v>76.0</v>
      </c>
      <c r="B2267" s="9" t="s">
        <v>4621</v>
      </c>
      <c r="C2267" s="9" t="s">
        <v>147</v>
      </c>
      <c r="D2267" s="9" t="s">
        <v>71</v>
      </c>
      <c r="E2267" s="6" t="s">
        <v>3053</v>
      </c>
      <c r="F2267" s="9" t="s">
        <v>5191</v>
      </c>
    </row>
    <row r="2268" ht="33.75" customHeight="1">
      <c r="A2268" s="7">
        <v>76.0</v>
      </c>
      <c r="B2268" s="9" t="s">
        <v>4621</v>
      </c>
      <c r="C2268" s="9" t="s">
        <v>147</v>
      </c>
      <c r="D2268" s="9" t="s">
        <v>73</v>
      </c>
      <c r="E2268" s="6" t="s">
        <v>3054</v>
      </c>
      <c r="F2268" s="9" t="s">
        <v>5191</v>
      </c>
    </row>
    <row r="2269" ht="33.75" customHeight="1">
      <c r="A2269" s="7">
        <v>76.0</v>
      </c>
      <c r="B2269" s="9" t="s">
        <v>4621</v>
      </c>
      <c r="C2269" s="9" t="s">
        <v>147</v>
      </c>
      <c r="D2269" s="9" t="s">
        <v>75</v>
      </c>
      <c r="E2269" s="6" t="s">
        <v>3056</v>
      </c>
      <c r="F2269" s="9" t="s">
        <v>5191</v>
      </c>
    </row>
    <row r="2270" ht="33.75" customHeight="1">
      <c r="A2270" s="7">
        <v>76.0</v>
      </c>
      <c r="B2270" s="9" t="s">
        <v>4621</v>
      </c>
      <c r="C2270" s="9" t="s">
        <v>147</v>
      </c>
      <c r="D2270" s="9" t="s">
        <v>79</v>
      </c>
      <c r="E2270" s="6" t="s">
        <v>3057</v>
      </c>
      <c r="F2270" s="9" t="s">
        <v>5191</v>
      </c>
    </row>
    <row r="2271" ht="33.75" customHeight="1">
      <c r="A2271" s="7">
        <v>76.0</v>
      </c>
      <c r="B2271" s="9" t="s">
        <v>4621</v>
      </c>
      <c r="C2271" s="9" t="s">
        <v>147</v>
      </c>
      <c r="D2271" s="9" t="s">
        <v>81</v>
      </c>
      <c r="E2271" s="6" t="s">
        <v>3059</v>
      </c>
      <c r="F2271" s="9" t="s">
        <v>5191</v>
      </c>
    </row>
    <row r="2272" ht="33.75" customHeight="1">
      <c r="A2272" s="7">
        <v>76.0</v>
      </c>
      <c r="B2272" s="9" t="s">
        <v>4621</v>
      </c>
      <c r="C2272" s="9" t="s">
        <v>147</v>
      </c>
      <c r="D2272" s="9" t="s">
        <v>84</v>
      </c>
      <c r="E2272" s="6" t="s">
        <v>3061</v>
      </c>
      <c r="F2272" s="9" t="s">
        <v>5191</v>
      </c>
    </row>
    <row r="2273" ht="33.75" customHeight="1">
      <c r="A2273" s="7">
        <v>76.0</v>
      </c>
      <c r="B2273" s="9" t="s">
        <v>4621</v>
      </c>
      <c r="C2273" s="9" t="s">
        <v>147</v>
      </c>
      <c r="D2273" s="9" t="s">
        <v>87</v>
      </c>
      <c r="E2273" s="6" t="s">
        <v>3063</v>
      </c>
      <c r="F2273" s="9" t="s">
        <v>5191</v>
      </c>
    </row>
    <row r="2274" ht="33.75" customHeight="1">
      <c r="A2274" s="7">
        <v>76.0</v>
      </c>
      <c r="B2274" s="9" t="s">
        <v>4621</v>
      </c>
      <c r="C2274" s="9" t="s">
        <v>147</v>
      </c>
      <c r="D2274" s="9" t="s">
        <v>89</v>
      </c>
      <c r="E2274" s="6" t="s">
        <v>3065</v>
      </c>
      <c r="F2274" s="9" t="s">
        <v>5191</v>
      </c>
    </row>
    <row r="2275" ht="33.75" customHeight="1">
      <c r="A2275" s="7">
        <v>76.0</v>
      </c>
      <c r="B2275" s="9" t="s">
        <v>4621</v>
      </c>
      <c r="C2275" s="9" t="s">
        <v>147</v>
      </c>
      <c r="D2275" s="9" t="s">
        <v>91</v>
      </c>
      <c r="E2275" s="6" t="s">
        <v>3050</v>
      </c>
      <c r="F2275" s="9" t="s">
        <v>5191</v>
      </c>
    </row>
    <row r="2276" ht="33.75" customHeight="1">
      <c r="A2276" s="7">
        <v>76.0</v>
      </c>
      <c r="B2276" s="9" t="s">
        <v>4621</v>
      </c>
      <c r="C2276" s="9" t="s">
        <v>147</v>
      </c>
      <c r="D2276" s="9" t="s">
        <v>93</v>
      </c>
      <c r="E2276" s="6" t="s">
        <v>3063</v>
      </c>
      <c r="F2276" s="9" t="s">
        <v>5191</v>
      </c>
    </row>
    <row r="2277" ht="33.75" customHeight="1">
      <c r="A2277" s="7">
        <v>76.0</v>
      </c>
      <c r="B2277" s="9" t="s">
        <v>4621</v>
      </c>
      <c r="C2277" s="9" t="s">
        <v>147</v>
      </c>
      <c r="D2277" s="9" t="s">
        <v>95</v>
      </c>
      <c r="E2277" s="6" t="s">
        <v>3063</v>
      </c>
      <c r="F2277" s="9" t="s">
        <v>5191</v>
      </c>
    </row>
    <row r="2278" ht="33.75" customHeight="1">
      <c r="A2278" s="7">
        <v>76.0</v>
      </c>
      <c r="B2278" s="9" t="s">
        <v>4621</v>
      </c>
      <c r="C2278" s="9" t="s">
        <v>147</v>
      </c>
      <c r="D2278" s="9" t="s">
        <v>98</v>
      </c>
      <c r="E2278" s="6" t="s">
        <v>3067</v>
      </c>
      <c r="F2278" s="9" t="s">
        <v>5191</v>
      </c>
    </row>
    <row r="2279" ht="33.75" customHeight="1">
      <c r="A2279" s="7">
        <v>76.0</v>
      </c>
      <c r="B2279" s="9" t="s">
        <v>4621</v>
      </c>
      <c r="C2279" s="9" t="s">
        <v>147</v>
      </c>
      <c r="D2279" s="9" t="s">
        <v>99</v>
      </c>
      <c r="E2279" s="6" t="s">
        <v>3067</v>
      </c>
      <c r="F2279" s="9" t="s">
        <v>5191</v>
      </c>
    </row>
    <row r="2280" ht="33.75" customHeight="1">
      <c r="A2280" s="7">
        <v>76.0</v>
      </c>
      <c r="B2280" s="9" t="s">
        <v>4621</v>
      </c>
      <c r="C2280" s="9" t="s">
        <v>147</v>
      </c>
      <c r="D2280" s="9" t="s">
        <v>101</v>
      </c>
      <c r="E2280" s="6" t="s">
        <v>3061</v>
      </c>
      <c r="F2280" s="9" t="s">
        <v>5191</v>
      </c>
    </row>
    <row r="2281" ht="33.75" customHeight="1">
      <c r="A2281" s="7">
        <v>76.0</v>
      </c>
      <c r="B2281" s="9" t="s">
        <v>4621</v>
      </c>
      <c r="C2281" s="9" t="s">
        <v>147</v>
      </c>
      <c r="D2281" s="9" t="s">
        <v>105</v>
      </c>
      <c r="E2281" s="6" t="s">
        <v>3067</v>
      </c>
      <c r="F2281" s="9" t="s">
        <v>5191</v>
      </c>
    </row>
    <row r="2282" ht="33.75" customHeight="1">
      <c r="A2282" s="7">
        <v>76.0</v>
      </c>
      <c r="B2282" s="9" t="s">
        <v>4621</v>
      </c>
      <c r="C2282" s="9" t="s">
        <v>147</v>
      </c>
      <c r="D2282" s="9" t="s">
        <v>107</v>
      </c>
      <c r="E2282" s="6" t="s">
        <v>3068</v>
      </c>
      <c r="F2282" s="9" t="s">
        <v>5191</v>
      </c>
    </row>
    <row r="2283" ht="33.75" customHeight="1">
      <c r="A2283" s="7">
        <v>76.0</v>
      </c>
      <c r="B2283" s="9" t="s">
        <v>4621</v>
      </c>
      <c r="C2283" s="9" t="s">
        <v>147</v>
      </c>
      <c r="D2283" s="9" t="s">
        <v>109</v>
      </c>
      <c r="E2283" s="6" t="s">
        <v>3069</v>
      </c>
      <c r="F2283" s="9" t="s">
        <v>5191</v>
      </c>
    </row>
    <row r="2284" ht="33.75" customHeight="1">
      <c r="A2284" s="7">
        <v>76.0</v>
      </c>
      <c r="B2284" s="9" t="s">
        <v>4621</v>
      </c>
      <c r="C2284" s="9" t="s">
        <v>147</v>
      </c>
      <c r="D2284" s="9" t="s">
        <v>637</v>
      </c>
      <c r="E2284" s="6" t="s">
        <v>3071</v>
      </c>
      <c r="F2284" s="9" t="s">
        <v>5191</v>
      </c>
    </row>
    <row r="2285" ht="33.75" customHeight="1">
      <c r="A2285" s="7">
        <v>76.0</v>
      </c>
      <c r="B2285" s="9" t="s">
        <v>4621</v>
      </c>
      <c r="C2285" s="9" t="s">
        <v>147</v>
      </c>
      <c r="D2285" s="9" t="s">
        <v>642</v>
      </c>
      <c r="E2285" s="6" t="s">
        <v>3076</v>
      </c>
      <c r="F2285" s="9" t="s">
        <v>5191</v>
      </c>
    </row>
    <row r="2286" ht="33.75" customHeight="1">
      <c r="A2286" s="7">
        <v>76.0</v>
      </c>
      <c r="B2286" s="9" t="s">
        <v>4621</v>
      </c>
      <c r="C2286" s="9" t="s">
        <v>147</v>
      </c>
      <c r="D2286" s="9" t="s">
        <v>647</v>
      </c>
      <c r="E2286" s="6" t="s">
        <v>3077</v>
      </c>
      <c r="F2286" s="9" t="s">
        <v>5191</v>
      </c>
    </row>
    <row r="2287" ht="33.75" customHeight="1">
      <c r="A2287" s="7">
        <v>76.0</v>
      </c>
      <c r="B2287" s="9" t="s">
        <v>4621</v>
      </c>
      <c r="C2287" s="9" t="s">
        <v>147</v>
      </c>
      <c r="D2287" s="9" t="s">
        <v>652</v>
      </c>
      <c r="E2287" s="6" t="s">
        <v>3079</v>
      </c>
      <c r="F2287" s="9" t="s">
        <v>5191</v>
      </c>
    </row>
    <row r="2288" ht="33.75" customHeight="1">
      <c r="A2288" s="7">
        <v>76.0</v>
      </c>
      <c r="B2288" s="9" t="s">
        <v>4621</v>
      </c>
      <c r="C2288" s="9" t="s">
        <v>147</v>
      </c>
      <c r="D2288" s="9" t="s">
        <v>111</v>
      </c>
      <c r="E2288" s="6" t="s">
        <v>3081</v>
      </c>
      <c r="F2288" s="9" t="s">
        <v>5191</v>
      </c>
    </row>
    <row r="2289" ht="33.75" customHeight="1">
      <c r="A2289" s="7">
        <v>76.0</v>
      </c>
      <c r="B2289" s="9" t="s">
        <v>4621</v>
      </c>
      <c r="C2289" s="9" t="s">
        <v>147</v>
      </c>
      <c r="D2289" s="9" t="s">
        <v>113</v>
      </c>
      <c r="E2289" s="6" t="s">
        <v>3081</v>
      </c>
      <c r="F2289" s="9" t="s">
        <v>5191</v>
      </c>
    </row>
    <row r="2290" ht="33.75" customHeight="1">
      <c r="A2290" s="7">
        <v>76.0</v>
      </c>
      <c r="B2290" s="9" t="s">
        <v>4621</v>
      </c>
      <c r="C2290" s="9" t="s">
        <v>147</v>
      </c>
      <c r="D2290" s="9" t="s">
        <v>1577</v>
      </c>
      <c r="E2290" s="6" t="s">
        <v>3083</v>
      </c>
      <c r="F2290" s="9" t="s">
        <v>5191</v>
      </c>
    </row>
    <row r="2291" ht="33.75" customHeight="1">
      <c r="A2291" s="7">
        <v>77.0</v>
      </c>
      <c r="B2291" s="9" t="s">
        <v>4679</v>
      </c>
      <c r="C2291" s="9" t="s">
        <v>150</v>
      </c>
      <c r="D2291" s="9" t="s">
        <v>24</v>
      </c>
      <c r="E2291" s="6" t="s">
        <v>3085</v>
      </c>
      <c r="F2291" s="9" t="s">
        <v>5286</v>
      </c>
      <c r="G2291" t="inlineStr" s="6">
        <is>
          <t xml:space="preserve">Ponyta's hooves are 10 times harder than diamonds. It can trample anything completely flat in little time. Capable of jumping incredibly high. Its hooves and sturdy legs absorb the impact of a hard landing. It is a weak runner immediately after birth. It gradually becomes faster by chasing after its parents. Its hind legs, which have hard er-than-diamond hooves, kick back at any presence it senses behind it. Training by jumping over grass that grows longer every day has made it a world-class jumper. PONYTA is very weak at birth. It can barely stand up. This POKéMON becomes stronger by stumbling and falling to keep up with its parent. A PONYTA is very weak at birth. Its legs become stronger as it stumbles and falls while trying to keep up with its parent. Its body is light, and its legs are incredibly powerful. It can clear Ayers Rock in one leap. Its hooves are ten times harder than diamond. About an hour after birth, its fiery mane and tail grow out, giving it an impressive appearance. Its legs grow strong while it chases after its parent. It runs in fields and mountains all day. As a newborn, it can barely stand. However, through galloping, its legs are made tougher and faster. Its hind legs, which have hooves that are harder than diamond, kick back at any presence it senses behind it. It can’t run properly when it’s newly born. As it races around with others of its kind, its legs grow stronger. If you’ve been accepted by Ponyta, its burning mane is mysteriously no longer hot to the touch. These Pokémon live in herds out in the grassland. Newborn foals lack their fiery manes, which will develop about an hour after birth.</t>
        </is>
      </c>
    </row>
    <row r="2292" ht="33.75" customHeight="1">
      <c r="A2292" s="7">
        <v>77.0</v>
      </c>
      <c r="B2292" s="9" t="s">
        <v>4679</v>
      </c>
      <c r="C2292" s="9" t="s">
        <v>150</v>
      </c>
      <c r="D2292" s="9" t="s">
        <v>35</v>
      </c>
      <c r="E2292" s="6" t="s">
        <v>3085</v>
      </c>
      <c r="F2292" s="9" t="s">
        <v>5286</v>
      </c>
    </row>
    <row r="2293" ht="33.75" customHeight="1">
      <c r="A2293" s="7">
        <v>77.0</v>
      </c>
      <c r="B2293" s="9" t="s">
        <v>4679</v>
      </c>
      <c r="C2293" s="9" t="s">
        <v>150</v>
      </c>
      <c r="D2293" s="9" t="s">
        <v>42</v>
      </c>
      <c r="E2293" s="6" t="s">
        <v>3087</v>
      </c>
      <c r="F2293" s="9" t="s">
        <v>5286</v>
      </c>
    </row>
    <row r="2294" ht="33.75" customHeight="1">
      <c r="A2294" s="7">
        <v>77.0</v>
      </c>
      <c r="B2294" s="9" t="s">
        <v>4679</v>
      </c>
      <c r="C2294" s="9" t="s">
        <v>150</v>
      </c>
      <c r="D2294" s="9" t="s">
        <v>52</v>
      </c>
      <c r="E2294" s="6" t="s">
        <v>3088</v>
      </c>
      <c r="F2294" s="9" t="s">
        <v>5286</v>
      </c>
    </row>
    <row r="2295" ht="33.75" customHeight="1">
      <c r="A2295" s="7">
        <v>77.0</v>
      </c>
      <c r="B2295" s="9" t="s">
        <v>4679</v>
      </c>
      <c r="C2295" s="9" t="s">
        <v>150</v>
      </c>
      <c r="D2295" s="9" t="s">
        <v>59</v>
      </c>
      <c r="E2295" s="6" t="s">
        <v>3089</v>
      </c>
      <c r="F2295" s="9" t="s">
        <v>5286</v>
      </c>
    </row>
    <row r="2296" ht="33.75" customHeight="1">
      <c r="A2296" s="7">
        <v>77.0</v>
      </c>
      <c r="B2296" s="9" t="s">
        <v>4679</v>
      </c>
      <c r="C2296" s="9" t="s">
        <v>150</v>
      </c>
      <c r="D2296" s="9" t="s">
        <v>64</v>
      </c>
      <c r="E2296" s="6" t="s">
        <v>3091</v>
      </c>
      <c r="F2296" s="9" t="s">
        <v>5286</v>
      </c>
    </row>
    <row r="2297" ht="33.75" customHeight="1">
      <c r="A2297" s="7">
        <v>77.0</v>
      </c>
      <c r="B2297" s="9" t="s">
        <v>4679</v>
      </c>
      <c r="C2297" s="9" t="s">
        <v>150</v>
      </c>
      <c r="D2297" s="9" t="s">
        <v>67</v>
      </c>
      <c r="E2297" s="6" t="s">
        <v>3093</v>
      </c>
      <c r="F2297" s="9" t="s">
        <v>5286</v>
      </c>
    </row>
    <row r="2298" ht="33.75" customHeight="1">
      <c r="A2298" s="7">
        <v>77.0</v>
      </c>
      <c r="B2298" s="9" t="s">
        <v>4679</v>
      </c>
      <c r="C2298" s="9" t="s">
        <v>150</v>
      </c>
      <c r="D2298" s="9" t="s">
        <v>71</v>
      </c>
      <c r="E2298" s="6" t="s">
        <v>3093</v>
      </c>
      <c r="F2298" s="9" t="s">
        <v>5286</v>
      </c>
    </row>
    <row r="2299" ht="33.75" customHeight="1">
      <c r="A2299" s="7">
        <v>77.0</v>
      </c>
      <c r="B2299" s="9" t="s">
        <v>4679</v>
      </c>
      <c r="C2299" s="9" t="s">
        <v>150</v>
      </c>
      <c r="D2299" s="9" t="s">
        <v>73</v>
      </c>
      <c r="E2299" s="6" t="s">
        <v>3094</v>
      </c>
      <c r="F2299" s="9" t="s">
        <v>5286</v>
      </c>
    </row>
    <row r="2300" ht="33.75" customHeight="1">
      <c r="A2300" s="7">
        <v>77.0</v>
      </c>
      <c r="B2300" s="9" t="s">
        <v>4679</v>
      </c>
      <c r="C2300" s="9" t="s">
        <v>150</v>
      </c>
      <c r="D2300" s="9" t="s">
        <v>75</v>
      </c>
      <c r="E2300" s="6" t="s">
        <v>3096</v>
      </c>
      <c r="F2300" s="9" t="s">
        <v>5286</v>
      </c>
    </row>
    <row r="2301" ht="33.75" customHeight="1">
      <c r="A2301" s="7">
        <v>77.0</v>
      </c>
      <c r="B2301" s="9" t="s">
        <v>4679</v>
      </c>
      <c r="C2301" s="9" t="s">
        <v>150</v>
      </c>
      <c r="D2301" s="9" t="s">
        <v>79</v>
      </c>
      <c r="E2301" s="6" t="s">
        <v>3097</v>
      </c>
      <c r="F2301" s="9" t="s">
        <v>5286</v>
      </c>
    </row>
    <row r="2302" ht="33.75" customHeight="1">
      <c r="A2302" s="7">
        <v>77.0</v>
      </c>
      <c r="B2302" s="9" t="s">
        <v>4679</v>
      </c>
      <c r="C2302" s="9" t="s">
        <v>150</v>
      </c>
      <c r="D2302" s="9" t="s">
        <v>81</v>
      </c>
      <c r="E2302" s="6" t="s">
        <v>3099</v>
      </c>
      <c r="F2302" s="9" t="s">
        <v>5286</v>
      </c>
    </row>
    <row r="2303" ht="33.75" customHeight="1">
      <c r="A2303" s="7">
        <v>77.0</v>
      </c>
      <c r="B2303" s="9" t="s">
        <v>4679</v>
      </c>
      <c r="C2303" s="9" t="s">
        <v>150</v>
      </c>
      <c r="D2303" s="9" t="s">
        <v>84</v>
      </c>
      <c r="E2303" s="6" t="s">
        <v>3100</v>
      </c>
      <c r="F2303" s="9" t="s">
        <v>5286</v>
      </c>
    </row>
    <row r="2304" ht="33.75" customHeight="1">
      <c r="A2304" s="7">
        <v>77.0</v>
      </c>
      <c r="B2304" s="9" t="s">
        <v>4679</v>
      </c>
      <c r="C2304" s="9" t="s">
        <v>150</v>
      </c>
      <c r="D2304" s="9" t="s">
        <v>87</v>
      </c>
      <c r="E2304" s="6" t="s">
        <v>3102</v>
      </c>
      <c r="F2304" s="9" t="s">
        <v>5286</v>
      </c>
    </row>
    <row r="2305" ht="33.75" customHeight="1">
      <c r="A2305" s="7">
        <v>77.0</v>
      </c>
      <c r="B2305" s="9" t="s">
        <v>4679</v>
      </c>
      <c r="C2305" s="9" t="s">
        <v>150</v>
      </c>
      <c r="D2305" s="9" t="s">
        <v>89</v>
      </c>
      <c r="E2305" s="6" t="s">
        <v>3103</v>
      </c>
      <c r="F2305" s="9" t="s">
        <v>5286</v>
      </c>
    </row>
    <row r="2306" ht="33.75" customHeight="1">
      <c r="A2306" s="7">
        <v>77.0</v>
      </c>
      <c r="B2306" s="9" t="s">
        <v>4679</v>
      </c>
      <c r="C2306" s="9" t="s">
        <v>150</v>
      </c>
      <c r="D2306" s="9" t="s">
        <v>91</v>
      </c>
      <c r="E2306" s="6" t="s">
        <v>3104</v>
      </c>
      <c r="F2306" s="9" t="s">
        <v>5286</v>
      </c>
    </row>
    <row r="2307" ht="33.75" customHeight="1">
      <c r="A2307" s="7">
        <v>77.0</v>
      </c>
      <c r="B2307" s="9" t="s">
        <v>4679</v>
      </c>
      <c r="C2307" s="9" t="s">
        <v>150</v>
      </c>
      <c r="D2307" s="9" t="s">
        <v>93</v>
      </c>
      <c r="E2307" s="6" t="s">
        <v>3102</v>
      </c>
      <c r="F2307" s="9" t="s">
        <v>5286</v>
      </c>
    </row>
    <row r="2308" ht="33.75" customHeight="1">
      <c r="A2308" s="7">
        <v>77.0</v>
      </c>
      <c r="B2308" s="9" t="s">
        <v>4679</v>
      </c>
      <c r="C2308" s="9" t="s">
        <v>150</v>
      </c>
      <c r="D2308" s="9" t="s">
        <v>95</v>
      </c>
      <c r="E2308" s="6" t="s">
        <v>3102</v>
      </c>
      <c r="F2308" s="9" t="s">
        <v>5286</v>
      </c>
    </row>
    <row r="2309" ht="33.75" customHeight="1">
      <c r="A2309" s="7">
        <v>77.0</v>
      </c>
      <c r="B2309" s="9" t="s">
        <v>4679</v>
      </c>
      <c r="C2309" s="9" t="s">
        <v>150</v>
      </c>
      <c r="D2309" s="9" t="s">
        <v>98</v>
      </c>
      <c r="E2309" s="6" t="s">
        <v>3102</v>
      </c>
      <c r="F2309" s="9" t="s">
        <v>5286</v>
      </c>
    </row>
    <row r="2310" ht="33.75" customHeight="1">
      <c r="A2310" s="7">
        <v>77.0</v>
      </c>
      <c r="B2310" s="9" t="s">
        <v>4679</v>
      </c>
      <c r="C2310" s="9" t="s">
        <v>150</v>
      </c>
      <c r="D2310" s="9" t="s">
        <v>99</v>
      </c>
      <c r="E2310" s="6" t="s">
        <v>3102</v>
      </c>
      <c r="F2310" s="9" t="s">
        <v>5286</v>
      </c>
    </row>
    <row r="2311" ht="33.75" customHeight="1">
      <c r="A2311" s="7">
        <v>77.0</v>
      </c>
      <c r="B2311" s="9" t="s">
        <v>4679</v>
      </c>
      <c r="C2311" s="9" t="s">
        <v>150</v>
      </c>
      <c r="D2311" s="9" t="s">
        <v>101</v>
      </c>
      <c r="E2311" s="6" t="s">
        <v>3102</v>
      </c>
      <c r="F2311" s="9" t="s">
        <v>5286</v>
      </c>
    </row>
    <row r="2312" ht="33.75" customHeight="1">
      <c r="A2312" s="7">
        <v>77.0</v>
      </c>
      <c r="B2312" s="9" t="s">
        <v>4679</v>
      </c>
      <c r="C2312" s="9" t="s">
        <v>150</v>
      </c>
      <c r="D2312" s="9" t="s">
        <v>105</v>
      </c>
      <c r="E2312" s="6" t="s">
        <v>3100</v>
      </c>
      <c r="F2312" s="9" t="s">
        <v>5286</v>
      </c>
    </row>
    <row r="2313" ht="33.75" customHeight="1">
      <c r="A2313" s="7">
        <v>77.0</v>
      </c>
      <c r="B2313" s="9" t="s">
        <v>4679</v>
      </c>
      <c r="C2313" s="9" t="s">
        <v>150</v>
      </c>
      <c r="D2313" s="9" t="s">
        <v>107</v>
      </c>
      <c r="E2313" s="6" t="s">
        <v>3105</v>
      </c>
      <c r="F2313" s="9" t="s">
        <v>5286</v>
      </c>
    </row>
    <row r="2314" ht="33.75" customHeight="1">
      <c r="A2314" s="7">
        <v>77.0</v>
      </c>
      <c r="B2314" s="9" t="s">
        <v>4679</v>
      </c>
      <c r="C2314" s="9" t="s">
        <v>150</v>
      </c>
      <c r="D2314" s="9" t="s">
        <v>109</v>
      </c>
      <c r="E2314" s="6" t="s">
        <v>3105</v>
      </c>
      <c r="F2314" s="9" t="s">
        <v>5286</v>
      </c>
    </row>
    <row r="2315" ht="33.75" customHeight="1">
      <c r="A2315" s="7">
        <v>77.0</v>
      </c>
      <c r="B2315" s="9" t="s">
        <v>4679</v>
      </c>
      <c r="C2315" s="9" t="s">
        <v>150</v>
      </c>
      <c r="D2315" s="9" t="s">
        <v>111</v>
      </c>
      <c r="E2315" s="6" t="s">
        <v>3087</v>
      </c>
      <c r="F2315" s="9" t="s">
        <v>5286</v>
      </c>
    </row>
    <row r="2316" ht="33.75" customHeight="1">
      <c r="A2316" s="7">
        <v>77.0</v>
      </c>
      <c r="B2316" s="9" t="s">
        <v>4679</v>
      </c>
      <c r="C2316" s="9" t="s">
        <v>150</v>
      </c>
      <c r="D2316" s="9" t="s">
        <v>113</v>
      </c>
      <c r="E2316" s="6" t="s">
        <v>3087</v>
      </c>
      <c r="F2316" s="9" t="s">
        <v>5286</v>
      </c>
    </row>
    <row r="2317" ht="33.75" customHeight="1">
      <c r="A2317" s="7">
        <v>77.0</v>
      </c>
      <c r="B2317" s="9" t="s">
        <v>4679</v>
      </c>
      <c r="C2317" s="9" t="s">
        <v>150</v>
      </c>
      <c r="D2317" s="9" t="s">
        <v>114</v>
      </c>
      <c r="E2317" s="6" t="s">
        <v>3106</v>
      </c>
      <c r="F2317" s="9" t="s">
        <v>5286</v>
      </c>
    </row>
    <row r="2318" ht="33.75" customHeight="1">
      <c r="A2318" s="7">
        <v>77.0</v>
      </c>
      <c r="B2318" s="9" t="s">
        <v>4679</v>
      </c>
      <c r="C2318" s="9" t="s">
        <v>150</v>
      </c>
      <c r="D2318" s="9" t="s">
        <v>117</v>
      </c>
      <c r="E2318" s="6" t="s">
        <v>3107</v>
      </c>
      <c r="F2318" s="9" t="s">
        <v>5286</v>
      </c>
    </row>
    <row r="2319" ht="33.75" customHeight="1">
      <c r="A2319" s="7">
        <v>77.0</v>
      </c>
      <c r="B2319" s="9" t="s">
        <v>4679</v>
      </c>
      <c r="C2319" s="9" t="s">
        <v>150</v>
      </c>
      <c r="D2319" s="9" t="s">
        <v>1577</v>
      </c>
      <c r="E2319" s="6" t="s">
        <v>3108</v>
      </c>
      <c r="F2319" s="9" t="s">
        <v>5286</v>
      </c>
    </row>
    <row r="2320" ht="33.75" customHeight="1">
      <c r="A2320" s="7">
        <v>78.0</v>
      </c>
      <c r="B2320" s="9" t="s">
        <v>4726</v>
      </c>
      <c r="C2320" s="9" t="s">
        <v>150</v>
      </c>
      <c r="D2320" s="9" t="s">
        <v>24</v>
      </c>
      <c r="E2320" s="6" t="s">
        <v>3109</v>
      </c>
      <c r="F2320" s="9" t="s">
        <v>5389</v>
      </c>
      <c r="G2320" t="inlineStr" s="6">
        <is>
          <t xml:space="preserve">Very competitive, this POKéMON will chase anything that moves fast in the hopes of racing it. Just loves to run. If it sees some thing faster than itself, it will give chase at top speed. At full gallop, its four hooves barely touch the ground because it moves so incredibly fast. With incredible acceleration, it reaches its top speed of 150 mph after running just ten steps. It just loves to gallop. The faster it goes, the long er the swaying flames of its mane will become. RAPIDASH usually can be seen casually cantering in the fields and plains. However, when this POKéMON turns serious, its fiery manes flare and blaze as it gallops its way up to 150 mph. It usually canters casually in the fields and plains. But once a RAPIDASH turns serious, its fiery manes flare and blaze as it gallops its way up to 150 mph. It can gallop at a top speed of 150 miles per hour. It can race as fast as a bullet train while ablaze. It gallops at nearly 150 mph. With its mane blazing ferociously, it races as if it were an arrow. It has astounding acceleration. From a standstill, it can reach top speed within 10 steps. When at an all-out gallop, its blazing mane sparkles, enhancing its beautiful appearance. With incredible acceleration, it reaches its top speed of 150 mph after running just 10 steps. If it sees something faster than itself, it will give chase at top speed. This Pokémon can be seen galloping through fields at speeds of up to 150 mph, its fiery mane fluttering in the wind. The fastest runner becomes the leader, and it decides the herd’s pace and direction of travel. Fiery mane aglow, Rapidash darts like an arrow across the land. This prodigiously swift creature can traverse the vast region of Hisui in a day and a half.</t>
        </is>
      </c>
    </row>
    <row r="2321" ht="33.75" customHeight="1">
      <c r="A2321" s="7">
        <v>78.0</v>
      </c>
      <c r="B2321" s="9" t="s">
        <v>4726</v>
      </c>
      <c r="C2321" s="9" t="s">
        <v>150</v>
      </c>
      <c r="D2321" s="9" t="s">
        <v>35</v>
      </c>
      <c r="E2321" s="6" t="s">
        <v>3109</v>
      </c>
      <c r="F2321" s="9" t="s">
        <v>5389</v>
      </c>
    </row>
    <row r="2322" ht="33.75" customHeight="1">
      <c r="A2322" s="7">
        <v>78.0</v>
      </c>
      <c r="B2322" s="9" t="s">
        <v>4726</v>
      </c>
      <c r="C2322" s="9" t="s">
        <v>150</v>
      </c>
      <c r="D2322" s="9" t="s">
        <v>42</v>
      </c>
      <c r="E2322" s="6" t="s">
        <v>3110</v>
      </c>
      <c r="F2322" s="9" t="s">
        <v>5389</v>
      </c>
    </row>
    <row r="2323" ht="33.75" customHeight="1">
      <c r="A2323" s="7">
        <v>78.0</v>
      </c>
      <c r="B2323" s="9" t="s">
        <v>4726</v>
      </c>
      <c r="C2323" s="9" t="s">
        <v>150</v>
      </c>
      <c r="D2323" s="9" t="s">
        <v>52</v>
      </c>
      <c r="E2323" s="6" t="s">
        <v>3111</v>
      </c>
      <c r="F2323" s="9" t="s">
        <v>5389</v>
      </c>
    </row>
    <row r="2324" ht="33.75" customHeight="1">
      <c r="A2324" s="7">
        <v>78.0</v>
      </c>
      <c r="B2324" s="9" t="s">
        <v>4726</v>
      </c>
      <c r="C2324" s="9" t="s">
        <v>150</v>
      </c>
      <c r="D2324" s="9" t="s">
        <v>59</v>
      </c>
      <c r="E2324" s="6" t="s">
        <v>3112</v>
      </c>
      <c r="F2324" s="9" t="s">
        <v>5389</v>
      </c>
    </row>
    <row r="2325" ht="33.75" customHeight="1">
      <c r="A2325" s="7">
        <v>78.0</v>
      </c>
      <c r="B2325" s="9" t="s">
        <v>4726</v>
      </c>
      <c r="C2325" s="9" t="s">
        <v>150</v>
      </c>
      <c r="D2325" s="9" t="s">
        <v>64</v>
      </c>
      <c r="E2325" s="6" t="s">
        <v>3113</v>
      </c>
      <c r="F2325" s="9" t="s">
        <v>5389</v>
      </c>
    </row>
    <row r="2326" ht="33.75" customHeight="1">
      <c r="A2326" s="7">
        <v>78.0</v>
      </c>
      <c r="B2326" s="9" t="s">
        <v>4726</v>
      </c>
      <c r="C2326" s="9" t="s">
        <v>150</v>
      </c>
      <c r="D2326" s="9" t="s">
        <v>67</v>
      </c>
      <c r="E2326" s="6" t="s">
        <v>3114</v>
      </c>
      <c r="F2326" s="9" t="s">
        <v>5389</v>
      </c>
    </row>
    <row r="2327" ht="33.75" customHeight="1">
      <c r="A2327" s="7">
        <v>78.0</v>
      </c>
      <c r="B2327" s="9" t="s">
        <v>4726</v>
      </c>
      <c r="C2327" s="9" t="s">
        <v>150</v>
      </c>
      <c r="D2327" s="9" t="s">
        <v>71</v>
      </c>
      <c r="E2327" s="6" t="s">
        <v>3114</v>
      </c>
      <c r="F2327" s="9" t="s">
        <v>5389</v>
      </c>
    </row>
    <row r="2328" ht="33.75" customHeight="1">
      <c r="A2328" s="7">
        <v>78.0</v>
      </c>
      <c r="B2328" s="9" t="s">
        <v>4726</v>
      </c>
      <c r="C2328" s="9" t="s">
        <v>150</v>
      </c>
      <c r="D2328" s="9" t="s">
        <v>73</v>
      </c>
      <c r="E2328" s="6" t="s">
        <v>3115</v>
      </c>
      <c r="F2328" s="9" t="s">
        <v>5389</v>
      </c>
    </row>
    <row r="2329" ht="33.75" customHeight="1">
      <c r="A2329" s="7">
        <v>78.0</v>
      </c>
      <c r="B2329" s="9" t="s">
        <v>4726</v>
      </c>
      <c r="C2329" s="9" t="s">
        <v>150</v>
      </c>
      <c r="D2329" s="9" t="s">
        <v>75</v>
      </c>
      <c r="E2329" s="6" t="s">
        <v>3116</v>
      </c>
      <c r="F2329" s="9" t="s">
        <v>5389</v>
      </c>
    </row>
    <row r="2330" ht="33.75" customHeight="1">
      <c r="A2330" s="7">
        <v>78.0</v>
      </c>
      <c r="B2330" s="9" t="s">
        <v>4726</v>
      </c>
      <c r="C2330" s="9" t="s">
        <v>150</v>
      </c>
      <c r="D2330" s="9" t="s">
        <v>79</v>
      </c>
      <c r="E2330" s="6" t="s">
        <v>3109</v>
      </c>
      <c r="F2330" s="9" t="s">
        <v>5389</v>
      </c>
    </row>
    <row r="2331" ht="33.75" customHeight="1">
      <c r="A2331" s="7">
        <v>78.0</v>
      </c>
      <c r="B2331" s="9" t="s">
        <v>4726</v>
      </c>
      <c r="C2331" s="9" t="s">
        <v>150</v>
      </c>
      <c r="D2331" s="9" t="s">
        <v>81</v>
      </c>
      <c r="E2331" s="6" t="s">
        <v>3117</v>
      </c>
      <c r="F2331" s="9" t="s">
        <v>5389</v>
      </c>
    </row>
    <row r="2332" ht="33.75" customHeight="1">
      <c r="A2332" s="7">
        <v>78.0</v>
      </c>
      <c r="B2332" s="9" t="s">
        <v>4726</v>
      </c>
      <c r="C2332" s="9" t="s">
        <v>150</v>
      </c>
      <c r="D2332" s="9" t="s">
        <v>84</v>
      </c>
      <c r="E2332" s="6" t="s">
        <v>3118</v>
      </c>
      <c r="F2332" s="9" t="s">
        <v>5389</v>
      </c>
    </row>
    <row r="2333" ht="33.75" customHeight="1">
      <c r="A2333" s="7">
        <v>78.0</v>
      </c>
      <c r="B2333" s="9" t="s">
        <v>4726</v>
      </c>
      <c r="C2333" s="9" t="s">
        <v>150</v>
      </c>
      <c r="D2333" s="9" t="s">
        <v>87</v>
      </c>
      <c r="E2333" s="6" t="s">
        <v>3119</v>
      </c>
      <c r="F2333" s="9" t="s">
        <v>5389</v>
      </c>
    </row>
    <row r="2334" ht="33.75" customHeight="1">
      <c r="A2334" s="7">
        <v>78.0</v>
      </c>
      <c r="B2334" s="9" t="s">
        <v>4726</v>
      </c>
      <c r="C2334" s="9" t="s">
        <v>150</v>
      </c>
      <c r="D2334" s="9" t="s">
        <v>89</v>
      </c>
      <c r="E2334" s="6" t="s">
        <v>3120</v>
      </c>
      <c r="F2334" s="9" t="s">
        <v>5389</v>
      </c>
    </row>
    <row r="2335" ht="33.75" customHeight="1">
      <c r="A2335" s="7">
        <v>78.0</v>
      </c>
      <c r="B2335" s="9" t="s">
        <v>4726</v>
      </c>
      <c r="C2335" s="9" t="s">
        <v>150</v>
      </c>
      <c r="D2335" s="9" t="s">
        <v>91</v>
      </c>
      <c r="E2335" s="6" t="s">
        <v>3121</v>
      </c>
      <c r="F2335" s="9" t="s">
        <v>5389</v>
      </c>
    </row>
    <row r="2336" ht="33.75" customHeight="1">
      <c r="A2336" s="7">
        <v>78.0</v>
      </c>
      <c r="B2336" s="9" t="s">
        <v>4726</v>
      </c>
      <c r="C2336" s="9" t="s">
        <v>150</v>
      </c>
      <c r="D2336" s="9" t="s">
        <v>93</v>
      </c>
      <c r="E2336" s="6" t="s">
        <v>3119</v>
      </c>
      <c r="F2336" s="9" t="s">
        <v>5389</v>
      </c>
    </row>
    <row r="2337" ht="33.75" customHeight="1">
      <c r="A2337" s="7">
        <v>78.0</v>
      </c>
      <c r="B2337" s="9" t="s">
        <v>4726</v>
      </c>
      <c r="C2337" s="9" t="s">
        <v>150</v>
      </c>
      <c r="D2337" s="9" t="s">
        <v>95</v>
      </c>
      <c r="E2337" s="6" t="s">
        <v>3119</v>
      </c>
      <c r="F2337" s="9" t="s">
        <v>5389</v>
      </c>
    </row>
    <row r="2338" ht="33.75" customHeight="1">
      <c r="A2338" s="7">
        <v>78.0</v>
      </c>
      <c r="B2338" s="9" t="s">
        <v>4726</v>
      </c>
      <c r="C2338" s="9" t="s">
        <v>150</v>
      </c>
      <c r="D2338" s="9" t="s">
        <v>98</v>
      </c>
      <c r="E2338" s="6" t="s">
        <v>3119</v>
      </c>
      <c r="F2338" s="9" t="s">
        <v>5389</v>
      </c>
    </row>
    <row r="2339" ht="33.75" customHeight="1">
      <c r="A2339" s="7">
        <v>78.0</v>
      </c>
      <c r="B2339" s="9" t="s">
        <v>4726</v>
      </c>
      <c r="C2339" s="9" t="s">
        <v>150</v>
      </c>
      <c r="D2339" s="9" t="s">
        <v>99</v>
      </c>
      <c r="E2339" s="6" t="s">
        <v>3119</v>
      </c>
      <c r="F2339" s="9" t="s">
        <v>5389</v>
      </c>
    </row>
    <row r="2340" ht="33.75" customHeight="1">
      <c r="A2340" s="7">
        <v>78.0</v>
      </c>
      <c r="B2340" s="9" t="s">
        <v>4726</v>
      </c>
      <c r="C2340" s="9" t="s">
        <v>150</v>
      </c>
      <c r="D2340" s="9" t="s">
        <v>101</v>
      </c>
      <c r="E2340" s="6" t="s">
        <v>3123</v>
      </c>
      <c r="F2340" s="9" t="s">
        <v>5389</v>
      </c>
    </row>
    <row r="2341" ht="33.75" customHeight="1">
      <c r="A2341" s="7">
        <v>78.0</v>
      </c>
      <c r="B2341" s="9" t="s">
        <v>4726</v>
      </c>
      <c r="C2341" s="9" t="s">
        <v>150</v>
      </c>
      <c r="D2341" s="9" t="s">
        <v>105</v>
      </c>
      <c r="E2341" s="6" t="s">
        <v>3117</v>
      </c>
      <c r="F2341" s="9" t="s">
        <v>5389</v>
      </c>
    </row>
    <row r="2342" ht="33.75" customHeight="1">
      <c r="A2342" s="7">
        <v>78.0</v>
      </c>
      <c r="B2342" s="9" t="s">
        <v>4726</v>
      </c>
      <c r="C2342" s="9" t="s">
        <v>150</v>
      </c>
      <c r="D2342" s="9" t="s">
        <v>107</v>
      </c>
      <c r="E2342" s="6" t="s">
        <v>3124</v>
      </c>
      <c r="F2342" s="9" t="s">
        <v>5389</v>
      </c>
    </row>
    <row r="2343" ht="33.75" customHeight="1">
      <c r="A2343" s="7">
        <v>78.0</v>
      </c>
      <c r="B2343" s="9" t="s">
        <v>4726</v>
      </c>
      <c r="C2343" s="9" t="s">
        <v>150</v>
      </c>
      <c r="D2343" s="9" t="s">
        <v>109</v>
      </c>
      <c r="E2343" s="6" t="s">
        <v>3124</v>
      </c>
      <c r="F2343" s="9" t="s">
        <v>5389</v>
      </c>
    </row>
    <row r="2344" ht="33.75" customHeight="1">
      <c r="A2344" s="7">
        <v>78.0</v>
      </c>
      <c r="B2344" s="9" t="s">
        <v>4726</v>
      </c>
      <c r="C2344" s="9" t="s">
        <v>150</v>
      </c>
      <c r="D2344" s="9" t="s">
        <v>111</v>
      </c>
      <c r="E2344" s="6" t="s">
        <v>3125</v>
      </c>
      <c r="F2344" s="9" t="s">
        <v>5389</v>
      </c>
    </row>
    <row r="2345" ht="33.75" customHeight="1">
      <c r="A2345" s="7">
        <v>78.0</v>
      </c>
      <c r="B2345" s="9" t="s">
        <v>4726</v>
      </c>
      <c r="C2345" s="9" t="s">
        <v>150</v>
      </c>
      <c r="D2345" s="9" t="s">
        <v>113</v>
      </c>
      <c r="E2345" s="6" t="s">
        <v>3125</v>
      </c>
      <c r="F2345" s="9" t="s">
        <v>5389</v>
      </c>
    </row>
    <row r="2346" ht="33.75" customHeight="1">
      <c r="A2346" s="7">
        <v>78.0</v>
      </c>
      <c r="B2346" s="9" t="s">
        <v>4726</v>
      </c>
      <c r="C2346" s="9" t="s">
        <v>150</v>
      </c>
      <c r="D2346" s="9" t="s">
        <v>114</v>
      </c>
      <c r="E2346" s="6" t="s">
        <v>3126</v>
      </c>
      <c r="F2346" s="9" t="s">
        <v>5389</v>
      </c>
    </row>
    <row r="2347" ht="33.75" customHeight="1">
      <c r="A2347" s="7">
        <v>78.0</v>
      </c>
      <c r="B2347" s="9" t="s">
        <v>4726</v>
      </c>
      <c r="C2347" s="9" t="s">
        <v>150</v>
      </c>
      <c r="D2347" s="9" t="s">
        <v>117</v>
      </c>
      <c r="E2347" s="6" t="s">
        <v>3128</v>
      </c>
      <c r="F2347" s="9" t="s">
        <v>5389</v>
      </c>
    </row>
    <row r="2348" ht="33.75" customHeight="1">
      <c r="A2348" s="7">
        <v>78.0</v>
      </c>
      <c r="B2348" s="9" t="s">
        <v>4726</v>
      </c>
      <c r="C2348" s="9" t="s">
        <v>150</v>
      </c>
      <c r="D2348" s="9" t="s">
        <v>1577</v>
      </c>
      <c r="E2348" s="6" t="s">
        <v>3129</v>
      </c>
      <c r="F2348" s="9" t="s">
        <v>5389</v>
      </c>
    </row>
    <row r="2349" ht="33.75" customHeight="1">
      <c r="A2349" s="7">
        <v>79.0</v>
      </c>
      <c r="B2349" s="9" t="s">
        <v>4774</v>
      </c>
      <c r="C2349" s="9" t="s">
        <v>151</v>
      </c>
      <c r="D2349" s="9" t="s">
        <v>24</v>
      </c>
      <c r="E2349" s="6" t="s">
        <v>3131</v>
      </c>
      <c r="F2349" s="9" t="s">
        <v>5486</v>
      </c>
      <c r="G2349" t="inlineStr" s="6">
        <is>
          <t xml:space="preserve">Incredibly slow and dopey. It takes 5 seconds for it to feel pain when under attack. Incredibly slow and sluggish. It is quite content to loll about without worrying about the time. It lazes vacantly near water. If something bites its tail, it won't even notice for a whole day. A sweet sap leaks from its tail's tip. Although not nutritious, the tail is pleasant to chew on. It is always so absent-minded that it won't react, even if its flavorful tail is bitten. SLOWPOKE uses its tail to catch prey by dipping it in water at the side of a river. However, this POKéMON often forgets what it’s doing and often spends entire days just loafing at water’s edge. It catches prey by dipping its tail in water at the side of a river. But it often forgets what it is doing and spends entire days just loafing at water’s edge. It is always vacantly lost in thought, but no one knows what it is thinking about. It is good at fishing with its tail. It takes five seconds for it to feel pain when under attack. Although slow, it is skilled at fishing with its tail. It does not feel pain if its tail is bitten. Its long tail often breaks off. It doesn’t really feel any pain, though, and the tail grows back, so Slowpoke isn’t particularly bothered. Alolan home cooking involves drying Slowpoke tails and then simmering them into a salty stew. There are some places where Slowpoke is worshiped because of a long-standing belief that whenever Slowpoke yawns, it rains. Although their tails, which fall off naturally, can easily be found lying around, they’re a precious ingredient for cooking. Slow-witted and oblivious, this Pokémon won’t feel any pain if its tail gets eaten. It won’t notice when its tail grows back, either. When this Pokémon’s tail is soaked in water, sweetness seeps from it. Slowpoke uses this trait to lure in and fish up other Pokémon.</t>
        </is>
      </c>
    </row>
    <row r="2350" ht="33.75" customHeight="1">
      <c r="A2350" s="7">
        <v>79.0</v>
      </c>
      <c r="B2350" s="9" t="s">
        <v>4774</v>
      </c>
      <c r="C2350" s="9" t="s">
        <v>151</v>
      </c>
      <c r="D2350" s="9" t="s">
        <v>35</v>
      </c>
      <c r="E2350" s="6" t="s">
        <v>3131</v>
      </c>
      <c r="F2350" s="9" t="s">
        <v>5486</v>
      </c>
    </row>
    <row r="2351" ht="33.75" customHeight="1">
      <c r="A2351" s="7">
        <v>79.0</v>
      </c>
      <c r="B2351" s="9" t="s">
        <v>4774</v>
      </c>
      <c r="C2351" s="9" t="s">
        <v>151</v>
      </c>
      <c r="D2351" s="9" t="s">
        <v>42</v>
      </c>
      <c r="E2351" s="6" t="s">
        <v>3132</v>
      </c>
      <c r="F2351" s="9" t="s">
        <v>5486</v>
      </c>
    </row>
    <row r="2352" ht="33.75" customHeight="1">
      <c r="A2352" s="7">
        <v>79.0</v>
      </c>
      <c r="B2352" s="9" t="s">
        <v>4774</v>
      </c>
      <c r="C2352" s="9" t="s">
        <v>151</v>
      </c>
      <c r="D2352" s="9" t="s">
        <v>52</v>
      </c>
      <c r="E2352" s="6" t="s">
        <v>3134</v>
      </c>
      <c r="F2352" s="9" t="s">
        <v>5486</v>
      </c>
    </row>
    <row r="2353" ht="33.75" customHeight="1">
      <c r="A2353" s="7">
        <v>79.0</v>
      </c>
      <c r="B2353" s="9" t="s">
        <v>4774</v>
      </c>
      <c r="C2353" s="9" t="s">
        <v>151</v>
      </c>
      <c r="D2353" s="9" t="s">
        <v>59</v>
      </c>
      <c r="E2353" s="6" t="s">
        <v>3135</v>
      </c>
      <c r="F2353" s="9" t="s">
        <v>5486</v>
      </c>
    </row>
    <row r="2354" ht="33.75" customHeight="1">
      <c r="A2354" s="7">
        <v>79.0</v>
      </c>
      <c r="B2354" s="9" t="s">
        <v>4774</v>
      </c>
      <c r="C2354" s="9" t="s">
        <v>151</v>
      </c>
      <c r="D2354" s="9" t="s">
        <v>64</v>
      </c>
      <c r="E2354" s="6" t="s">
        <v>3137</v>
      </c>
      <c r="F2354" s="9" t="s">
        <v>5486</v>
      </c>
    </row>
    <row r="2355" ht="33.75" customHeight="1">
      <c r="A2355" s="7">
        <v>79.0</v>
      </c>
      <c r="B2355" s="9" t="s">
        <v>4774</v>
      </c>
      <c r="C2355" s="9" t="s">
        <v>151</v>
      </c>
      <c r="D2355" s="9" t="s">
        <v>67</v>
      </c>
      <c r="E2355" s="6" t="s">
        <v>3138</v>
      </c>
      <c r="F2355" s="9" t="s">
        <v>5486</v>
      </c>
    </row>
    <row r="2356" ht="33.75" customHeight="1">
      <c r="A2356" s="7">
        <v>79.0</v>
      </c>
      <c r="B2356" s="9" t="s">
        <v>4774</v>
      </c>
      <c r="C2356" s="9" t="s">
        <v>151</v>
      </c>
      <c r="D2356" s="9" t="s">
        <v>71</v>
      </c>
      <c r="E2356" s="6" t="s">
        <v>3138</v>
      </c>
      <c r="F2356" s="9" t="s">
        <v>5486</v>
      </c>
    </row>
    <row r="2357" ht="33.75" customHeight="1">
      <c r="A2357" s="7">
        <v>79.0</v>
      </c>
      <c r="B2357" s="9" t="s">
        <v>4774</v>
      </c>
      <c r="C2357" s="9" t="s">
        <v>151</v>
      </c>
      <c r="D2357" s="9" t="s">
        <v>73</v>
      </c>
      <c r="E2357" s="6" t="s">
        <v>3140</v>
      </c>
      <c r="F2357" s="9" t="s">
        <v>5486</v>
      </c>
    </row>
    <row r="2358" ht="33.75" customHeight="1">
      <c r="A2358" s="7">
        <v>79.0</v>
      </c>
      <c r="B2358" s="9" t="s">
        <v>4774</v>
      </c>
      <c r="C2358" s="9" t="s">
        <v>151</v>
      </c>
      <c r="D2358" s="9" t="s">
        <v>75</v>
      </c>
      <c r="E2358" s="6" t="s">
        <v>3141</v>
      </c>
      <c r="F2358" s="9" t="s">
        <v>5486</v>
      </c>
    </row>
    <row r="2359" ht="33.75" customHeight="1">
      <c r="A2359" s="7">
        <v>79.0</v>
      </c>
      <c r="B2359" s="9" t="s">
        <v>4774</v>
      </c>
      <c r="C2359" s="9" t="s">
        <v>151</v>
      </c>
      <c r="D2359" s="9" t="s">
        <v>79</v>
      </c>
      <c r="E2359" s="6" t="s">
        <v>3142</v>
      </c>
      <c r="F2359" s="9" t="s">
        <v>5486</v>
      </c>
    </row>
    <row r="2360" ht="33.75" customHeight="1">
      <c r="A2360" s="7">
        <v>79.0</v>
      </c>
      <c r="B2360" s="9" t="s">
        <v>4774</v>
      </c>
      <c r="C2360" s="9" t="s">
        <v>151</v>
      </c>
      <c r="D2360" s="9" t="s">
        <v>81</v>
      </c>
      <c r="E2360" s="6" t="s">
        <v>3143</v>
      </c>
      <c r="F2360" s="9" t="s">
        <v>5486</v>
      </c>
    </row>
    <row r="2361" ht="33.75" customHeight="1">
      <c r="A2361" s="7">
        <v>79.0</v>
      </c>
      <c r="B2361" s="9" t="s">
        <v>4774</v>
      </c>
      <c r="C2361" s="9" t="s">
        <v>151</v>
      </c>
      <c r="D2361" s="9" t="s">
        <v>84</v>
      </c>
      <c r="E2361" s="6" t="s">
        <v>3143</v>
      </c>
      <c r="F2361" s="9" t="s">
        <v>5486</v>
      </c>
    </row>
    <row r="2362" ht="33.75" customHeight="1">
      <c r="A2362" s="7">
        <v>79.0</v>
      </c>
      <c r="B2362" s="9" t="s">
        <v>4774</v>
      </c>
      <c r="C2362" s="9" t="s">
        <v>151</v>
      </c>
      <c r="D2362" s="9" t="s">
        <v>87</v>
      </c>
      <c r="E2362" s="6" t="s">
        <v>3143</v>
      </c>
      <c r="F2362" s="9" t="s">
        <v>5486</v>
      </c>
    </row>
    <row r="2363" ht="33.75" customHeight="1">
      <c r="A2363" s="7">
        <v>79.0</v>
      </c>
      <c r="B2363" s="9" t="s">
        <v>4774</v>
      </c>
      <c r="C2363" s="9" t="s">
        <v>151</v>
      </c>
      <c r="D2363" s="9" t="s">
        <v>89</v>
      </c>
      <c r="E2363" s="6" t="s">
        <v>3145</v>
      </c>
      <c r="F2363" s="9" t="s">
        <v>5486</v>
      </c>
    </row>
    <row r="2364" ht="33.75" customHeight="1">
      <c r="A2364" s="7">
        <v>79.0</v>
      </c>
      <c r="B2364" s="9" t="s">
        <v>4774</v>
      </c>
      <c r="C2364" s="9" t="s">
        <v>151</v>
      </c>
      <c r="D2364" s="9" t="s">
        <v>91</v>
      </c>
      <c r="E2364" s="6" t="s">
        <v>3146</v>
      </c>
      <c r="F2364" s="9" t="s">
        <v>5486</v>
      </c>
    </row>
    <row r="2365" ht="33.75" customHeight="1">
      <c r="A2365" s="7">
        <v>79.0</v>
      </c>
      <c r="B2365" s="9" t="s">
        <v>4774</v>
      </c>
      <c r="C2365" s="9" t="s">
        <v>151</v>
      </c>
      <c r="D2365" s="9" t="s">
        <v>93</v>
      </c>
      <c r="E2365" s="6" t="s">
        <v>3143</v>
      </c>
      <c r="F2365" s="9" t="s">
        <v>5486</v>
      </c>
    </row>
    <row r="2366" ht="33.75" customHeight="1">
      <c r="A2366" s="7">
        <v>79.0</v>
      </c>
      <c r="B2366" s="9" t="s">
        <v>4774</v>
      </c>
      <c r="C2366" s="9" t="s">
        <v>151</v>
      </c>
      <c r="D2366" s="9" t="s">
        <v>95</v>
      </c>
      <c r="E2366" s="6" t="s">
        <v>3143</v>
      </c>
      <c r="F2366" s="9" t="s">
        <v>5486</v>
      </c>
    </row>
    <row r="2367" ht="33.75" customHeight="1">
      <c r="A2367" s="7">
        <v>79.0</v>
      </c>
      <c r="B2367" s="9" t="s">
        <v>4774</v>
      </c>
      <c r="C2367" s="9" t="s">
        <v>151</v>
      </c>
      <c r="D2367" s="9" t="s">
        <v>98</v>
      </c>
      <c r="E2367" s="6" t="s">
        <v>3143</v>
      </c>
      <c r="F2367" s="9" t="s">
        <v>5486</v>
      </c>
    </row>
    <row r="2368" ht="33.75" customHeight="1">
      <c r="A2368" s="7">
        <v>79.0</v>
      </c>
      <c r="B2368" s="9" t="s">
        <v>4774</v>
      </c>
      <c r="C2368" s="9" t="s">
        <v>151</v>
      </c>
      <c r="D2368" s="9" t="s">
        <v>99</v>
      </c>
      <c r="E2368" s="6" t="s">
        <v>3143</v>
      </c>
      <c r="F2368" s="9" t="s">
        <v>5486</v>
      </c>
    </row>
    <row r="2369" ht="33.75" customHeight="1">
      <c r="A2369" s="7">
        <v>79.0</v>
      </c>
      <c r="B2369" s="9" t="s">
        <v>4774</v>
      </c>
      <c r="C2369" s="9" t="s">
        <v>151</v>
      </c>
      <c r="D2369" s="9" t="s">
        <v>101</v>
      </c>
      <c r="E2369" s="6" t="s">
        <v>3141</v>
      </c>
      <c r="F2369" s="9" t="s">
        <v>5486</v>
      </c>
    </row>
    <row r="2370" ht="33.75" customHeight="1">
      <c r="A2370" s="7">
        <v>79.0</v>
      </c>
      <c r="B2370" s="9" t="s">
        <v>4774</v>
      </c>
      <c r="C2370" s="9" t="s">
        <v>151</v>
      </c>
      <c r="D2370" s="9" t="s">
        <v>105</v>
      </c>
      <c r="E2370" s="6" t="s">
        <v>3145</v>
      </c>
      <c r="F2370" s="9" t="s">
        <v>5486</v>
      </c>
    </row>
    <row r="2371" ht="33.75" customHeight="1">
      <c r="A2371" s="7">
        <v>79.0</v>
      </c>
      <c r="B2371" s="9" t="s">
        <v>4774</v>
      </c>
      <c r="C2371" s="9" t="s">
        <v>151</v>
      </c>
      <c r="D2371" s="9" t="s">
        <v>107</v>
      </c>
      <c r="E2371" s="6" t="s">
        <v>3148</v>
      </c>
      <c r="F2371" s="9" t="s">
        <v>5486</v>
      </c>
    </row>
    <row r="2372" ht="33.75" customHeight="1">
      <c r="A2372" s="7">
        <v>79.0</v>
      </c>
      <c r="B2372" s="9" t="s">
        <v>4774</v>
      </c>
      <c r="C2372" s="9" t="s">
        <v>151</v>
      </c>
      <c r="D2372" s="9" t="s">
        <v>109</v>
      </c>
      <c r="E2372" s="6" t="s">
        <v>3148</v>
      </c>
      <c r="F2372" s="9" t="s">
        <v>5486</v>
      </c>
    </row>
    <row r="2373" ht="33.75" customHeight="1">
      <c r="A2373" s="7">
        <v>79.0</v>
      </c>
      <c r="B2373" s="9" t="s">
        <v>4774</v>
      </c>
      <c r="C2373" s="9" t="s">
        <v>151</v>
      </c>
      <c r="D2373" s="9" t="s">
        <v>637</v>
      </c>
      <c r="E2373" s="6" t="s">
        <v>3151</v>
      </c>
      <c r="F2373" s="9" t="s">
        <v>5486</v>
      </c>
    </row>
    <row r="2374" ht="33.75" customHeight="1">
      <c r="A2374" s="7">
        <v>79.0</v>
      </c>
      <c r="B2374" s="9" t="s">
        <v>4774</v>
      </c>
      <c r="C2374" s="9" t="s">
        <v>151</v>
      </c>
      <c r="D2374" s="9" t="s">
        <v>642</v>
      </c>
      <c r="E2374" s="6" t="s">
        <v>3153</v>
      </c>
      <c r="F2374" s="9" t="s">
        <v>5486</v>
      </c>
    </row>
    <row r="2375" ht="33.75" customHeight="1">
      <c r="A2375" s="7">
        <v>79.0</v>
      </c>
      <c r="B2375" s="9" t="s">
        <v>4774</v>
      </c>
      <c r="C2375" s="9" t="s">
        <v>151</v>
      </c>
      <c r="D2375" s="9" t="s">
        <v>647</v>
      </c>
      <c r="E2375" s="6" t="s">
        <v>3155</v>
      </c>
      <c r="F2375" s="9" t="s">
        <v>5486</v>
      </c>
    </row>
    <row r="2376" ht="33.75" customHeight="1">
      <c r="A2376" s="7">
        <v>79.0</v>
      </c>
      <c r="B2376" s="9" t="s">
        <v>4774</v>
      </c>
      <c r="C2376" s="9" t="s">
        <v>151</v>
      </c>
      <c r="D2376" s="9" t="s">
        <v>652</v>
      </c>
      <c r="E2376" s="6" t="s">
        <v>3157</v>
      </c>
      <c r="F2376" s="9" t="s">
        <v>5486</v>
      </c>
    </row>
    <row r="2377" ht="33.75" customHeight="1">
      <c r="A2377" s="7">
        <v>79.0</v>
      </c>
      <c r="B2377" s="9" t="s">
        <v>4774</v>
      </c>
      <c r="C2377" s="9" t="s">
        <v>151</v>
      </c>
      <c r="D2377" s="9" t="s">
        <v>111</v>
      </c>
      <c r="E2377" s="6" t="s">
        <v>3132</v>
      </c>
      <c r="F2377" s="9" t="s">
        <v>5486</v>
      </c>
    </row>
    <row r="2378" ht="33.75" customHeight="1">
      <c r="A2378" s="7">
        <v>79.0</v>
      </c>
      <c r="B2378" s="9" t="s">
        <v>4774</v>
      </c>
      <c r="C2378" s="9" t="s">
        <v>151</v>
      </c>
      <c r="D2378" s="9" t="s">
        <v>113</v>
      </c>
      <c r="E2378" s="6" t="s">
        <v>3132</v>
      </c>
      <c r="F2378" s="9" t="s">
        <v>5486</v>
      </c>
    </row>
    <row r="2379" ht="33.75" customHeight="1">
      <c r="A2379" s="7">
        <v>79.0</v>
      </c>
      <c r="B2379" s="9" t="s">
        <v>4774</v>
      </c>
      <c r="C2379" s="9" t="s">
        <v>151</v>
      </c>
      <c r="D2379" s="9" t="s">
        <v>114</v>
      </c>
      <c r="E2379" s="6" t="s">
        <v>3158</v>
      </c>
      <c r="F2379" s="9" t="s">
        <v>5486</v>
      </c>
    </row>
    <row r="2380" ht="33.75" customHeight="1">
      <c r="A2380" s="7">
        <v>79.0</v>
      </c>
      <c r="B2380" s="9" t="s">
        <v>4774</v>
      </c>
      <c r="C2380" s="9" t="s">
        <v>151</v>
      </c>
      <c r="D2380" s="9" t="s">
        <v>117</v>
      </c>
      <c r="E2380" s="6" t="s">
        <v>3160</v>
      </c>
      <c r="F2380" s="9" t="s">
        <v>5486</v>
      </c>
    </row>
    <row r="2381" ht="33.75" customHeight="1">
      <c r="A2381" s="7">
        <v>80.0</v>
      </c>
      <c r="B2381" s="9" t="s">
        <v>4826</v>
      </c>
      <c r="C2381" s="9" t="s">
        <v>152</v>
      </c>
      <c r="D2381" s="9" t="s">
        <v>24</v>
      </c>
      <c r="E2381" s="6" t="s">
        <v>3163</v>
      </c>
      <c r="F2381" s="9" t="s">
        <v>5586</v>
      </c>
      <c r="G2381" t="inlineStr" s="6">
        <is>
          <t xml:space="preserve">The SHELLDER that is latched onto SLOWPOKE's tail is said to feed on the host's left over scraps. Lives lazily by the sea. If the SHELLDER on its tail comes off, it becomes a SLOWPOKE again. If the tail-biting SHELLDER is thrown off in a harsh battle, it reverts to being an ordinary SLOWPOKE. Naturally dull to begin with, it lost its ability to feel pain due to SHELLDER's seeping poison. An attached SHELLDER won't let go because of the tasty flavor that oozes out of its tail. SLOWBRO’s tail has a SHELLDER firmly attached with a bite. As a result, the tail can’t be used for fishing anymore. This causes SLOWBRO to grudgingly swim and catch prey instead. Its tail has a SHELLDER firmly attached with a bite. This forces it to reluctantly swim and catch prey. When a SLOWPOKE went hunting in the sea, its tail was bitten by a SHELLDER. That made it evolve into SLOWBRO. The SHELLDER that latches onto SLOWPOKE’s tail is said to feed on the host’s leftover scraps. Though usually dim witted, it seems to become inspired if the SHELLDER on its tail bites down. It spaces out while gazing at the sea. With Shellder’s poison flowing through its body, it becomes even spacier. Whenever Shellder bites down hard on its tail, it gives Slowbro a flash of inspiration...which it forgets a moment later. Spacing out is basically all it does. It turns back into Slowpoke if its tail, along with Shellder, breaks off. Shellder, in its greed to suck out more and more sweetness from Slowbro’s tail, has metamorphosed into a spiral-shaped shell. Slowpoke became Slowbro when a Shellder bit on to its tail. Sweet flavors seeping from the tail make the Shellder feel as if its life is a dream. Being bitten by a Shellder shocked this Pokémon into standing on two legs. If the Shellder lets go, it seems Slowbro will turn back into a Slowpoke.</t>
        </is>
      </c>
    </row>
    <row r="2382" ht="33.75" customHeight="1">
      <c r="A2382" s="7">
        <v>80.0</v>
      </c>
      <c r="B2382" s="9" t="s">
        <v>4826</v>
      </c>
      <c r="C2382" s="9" t="s">
        <v>152</v>
      </c>
      <c r="D2382" s="9" t="s">
        <v>35</v>
      </c>
      <c r="E2382" s="6" t="s">
        <v>3163</v>
      </c>
      <c r="F2382" s="9" t="s">
        <v>5586</v>
      </c>
    </row>
    <row r="2383" ht="33.75" customHeight="1">
      <c r="A2383" s="7">
        <v>80.0</v>
      </c>
      <c r="B2383" s="9" t="s">
        <v>4826</v>
      </c>
      <c r="C2383" s="9" t="s">
        <v>152</v>
      </c>
      <c r="D2383" s="9" t="s">
        <v>42</v>
      </c>
      <c r="E2383" s="6" t="s">
        <v>3165</v>
      </c>
      <c r="F2383" s="9" t="s">
        <v>5586</v>
      </c>
    </row>
    <row r="2384" ht="33.75" customHeight="1">
      <c r="A2384" s="7">
        <v>80.0</v>
      </c>
      <c r="B2384" s="9" t="s">
        <v>4826</v>
      </c>
      <c r="C2384" s="9" t="s">
        <v>152</v>
      </c>
      <c r="D2384" s="9" t="s">
        <v>52</v>
      </c>
      <c r="E2384" s="6" t="s">
        <v>3166</v>
      </c>
      <c r="F2384" s="9" t="s">
        <v>5586</v>
      </c>
    </row>
    <row r="2385" ht="33.75" customHeight="1">
      <c r="A2385" s="7">
        <v>80.0</v>
      </c>
      <c r="B2385" s="9" t="s">
        <v>4826</v>
      </c>
      <c r="C2385" s="9" t="s">
        <v>152</v>
      </c>
      <c r="D2385" s="9" t="s">
        <v>59</v>
      </c>
      <c r="E2385" s="6" t="s">
        <v>3167</v>
      </c>
      <c r="F2385" s="9" t="s">
        <v>5586</v>
      </c>
    </row>
    <row r="2386" ht="33.75" customHeight="1">
      <c r="A2386" s="7">
        <v>80.0</v>
      </c>
      <c r="B2386" s="9" t="s">
        <v>4826</v>
      </c>
      <c r="C2386" s="9" t="s">
        <v>152</v>
      </c>
      <c r="D2386" s="9" t="s">
        <v>64</v>
      </c>
      <c r="E2386" s="6" t="s">
        <v>3169</v>
      </c>
      <c r="F2386" s="9" t="s">
        <v>5586</v>
      </c>
    </row>
    <row r="2387" ht="33.75" customHeight="1">
      <c r="A2387" s="7">
        <v>80.0</v>
      </c>
      <c r="B2387" s="9" t="s">
        <v>4826</v>
      </c>
      <c r="C2387" s="9" t="s">
        <v>152</v>
      </c>
      <c r="D2387" s="9" t="s">
        <v>67</v>
      </c>
      <c r="E2387" s="6" t="s">
        <v>3171</v>
      </c>
      <c r="F2387" s="9" t="s">
        <v>5586</v>
      </c>
    </row>
    <row r="2388" ht="33.75" customHeight="1">
      <c r="A2388" s="7">
        <v>80.0</v>
      </c>
      <c r="B2388" s="9" t="s">
        <v>4826</v>
      </c>
      <c r="C2388" s="9" t="s">
        <v>152</v>
      </c>
      <c r="D2388" s="9" t="s">
        <v>71</v>
      </c>
      <c r="E2388" s="6" t="s">
        <v>3171</v>
      </c>
      <c r="F2388" s="9" t="s">
        <v>5586</v>
      </c>
    </row>
    <row r="2389" ht="33.75" customHeight="1">
      <c r="A2389" s="7">
        <v>80.0</v>
      </c>
      <c r="B2389" s="9" t="s">
        <v>4826</v>
      </c>
      <c r="C2389" s="9" t="s">
        <v>152</v>
      </c>
      <c r="D2389" s="9" t="s">
        <v>73</v>
      </c>
      <c r="E2389" s="6" t="s">
        <v>3172</v>
      </c>
      <c r="F2389" s="9" t="s">
        <v>5586</v>
      </c>
    </row>
    <row r="2390" ht="33.75" customHeight="1">
      <c r="A2390" s="7">
        <v>80.0</v>
      </c>
      <c r="B2390" s="9" t="s">
        <v>4826</v>
      </c>
      <c r="C2390" s="9" t="s">
        <v>152</v>
      </c>
      <c r="D2390" s="9" t="s">
        <v>75</v>
      </c>
      <c r="E2390" s="6" t="s">
        <v>3173</v>
      </c>
      <c r="F2390" s="9" t="s">
        <v>5586</v>
      </c>
    </row>
    <row r="2391" ht="33.75" customHeight="1">
      <c r="A2391" s="7">
        <v>80.0</v>
      </c>
      <c r="B2391" s="9" t="s">
        <v>4826</v>
      </c>
      <c r="C2391" s="9" t="s">
        <v>152</v>
      </c>
      <c r="D2391" s="9" t="s">
        <v>79</v>
      </c>
      <c r="E2391" s="6" t="s">
        <v>3174</v>
      </c>
      <c r="F2391" s="9" t="s">
        <v>5586</v>
      </c>
    </row>
    <row r="2392" ht="33.75" customHeight="1">
      <c r="A2392" s="7">
        <v>80.0</v>
      </c>
      <c r="B2392" s="9" t="s">
        <v>4826</v>
      </c>
      <c r="C2392" s="9" t="s">
        <v>152</v>
      </c>
      <c r="D2392" s="9" t="s">
        <v>81</v>
      </c>
      <c r="E2392" s="6" t="s">
        <v>3176</v>
      </c>
      <c r="F2392" s="9" t="s">
        <v>5586</v>
      </c>
    </row>
    <row r="2393" ht="33.75" customHeight="1">
      <c r="A2393" s="7">
        <v>80.0</v>
      </c>
      <c r="B2393" s="9" t="s">
        <v>4826</v>
      </c>
      <c r="C2393" s="9" t="s">
        <v>152</v>
      </c>
      <c r="D2393" s="9" t="s">
        <v>84</v>
      </c>
      <c r="E2393" s="6" t="s">
        <v>3176</v>
      </c>
      <c r="F2393" s="9" t="s">
        <v>5586</v>
      </c>
    </row>
    <row r="2394" ht="33.75" customHeight="1">
      <c r="A2394" s="7">
        <v>80.0</v>
      </c>
      <c r="B2394" s="9" t="s">
        <v>4826</v>
      </c>
      <c r="C2394" s="9" t="s">
        <v>152</v>
      </c>
      <c r="D2394" s="9" t="s">
        <v>87</v>
      </c>
      <c r="E2394" s="6" t="s">
        <v>3176</v>
      </c>
      <c r="F2394" s="9" t="s">
        <v>5586</v>
      </c>
    </row>
    <row r="2395" ht="33.75" customHeight="1">
      <c r="A2395" s="7">
        <v>80.0</v>
      </c>
      <c r="B2395" s="9" t="s">
        <v>4826</v>
      </c>
      <c r="C2395" s="9" t="s">
        <v>152</v>
      </c>
      <c r="D2395" s="9" t="s">
        <v>89</v>
      </c>
      <c r="E2395" s="6" t="s">
        <v>3177</v>
      </c>
      <c r="F2395" s="9" t="s">
        <v>5586</v>
      </c>
    </row>
    <row r="2396" ht="33.75" customHeight="1">
      <c r="A2396" s="7">
        <v>80.0</v>
      </c>
      <c r="B2396" s="9" t="s">
        <v>4826</v>
      </c>
      <c r="C2396" s="9" t="s">
        <v>152</v>
      </c>
      <c r="D2396" s="9" t="s">
        <v>91</v>
      </c>
      <c r="E2396" s="6" t="s">
        <v>3178</v>
      </c>
      <c r="F2396" s="9" t="s">
        <v>5586</v>
      </c>
    </row>
    <row r="2397" ht="33.75" customHeight="1">
      <c r="A2397" s="7">
        <v>80.0</v>
      </c>
      <c r="B2397" s="9" t="s">
        <v>4826</v>
      </c>
      <c r="C2397" s="9" t="s">
        <v>152</v>
      </c>
      <c r="D2397" s="9" t="s">
        <v>93</v>
      </c>
      <c r="E2397" s="6" t="s">
        <v>3179</v>
      </c>
      <c r="F2397" s="9" t="s">
        <v>5586</v>
      </c>
    </row>
    <row r="2398" ht="33.75" customHeight="1">
      <c r="A2398" s="7">
        <v>80.0</v>
      </c>
      <c r="B2398" s="9" t="s">
        <v>4826</v>
      </c>
      <c r="C2398" s="9" t="s">
        <v>152</v>
      </c>
      <c r="D2398" s="9" t="s">
        <v>95</v>
      </c>
      <c r="E2398" s="6" t="s">
        <v>3179</v>
      </c>
      <c r="F2398" s="9" t="s">
        <v>5586</v>
      </c>
    </row>
    <row r="2399" ht="33.75" customHeight="1">
      <c r="A2399" s="7">
        <v>80.0</v>
      </c>
      <c r="B2399" s="9" t="s">
        <v>4826</v>
      </c>
      <c r="C2399" s="9" t="s">
        <v>152</v>
      </c>
      <c r="D2399" s="9" t="s">
        <v>98</v>
      </c>
      <c r="E2399" s="6" t="s">
        <v>3179</v>
      </c>
      <c r="F2399" s="9" t="s">
        <v>5586</v>
      </c>
    </row>
    <row r="2400" ht="33.75" customHeight="1">
      <c r="A2400" s="7">
        <v>80.0</v>
      </c>
      <c r="B2400" s="9" t="s">
        <v>4826</v>
      </c>
      <c r="C2400" s="9" t="s">
        <v>152</v>
      </c>
      <c r="D2400" s="9" t="s">
        <v>99</v>
      </c>
      <c r="E2400" s="6" t="s">
        <v>3179</v>
      </c>
      <c r="F2400" s="9" t="s">
        <v>5586</v>
      </c>
    </row>
    <row r="2401" ht="33.75" customHeight="1">
      <c r="A2401" s="7">
        <v>80.0</v>
      </c>
      <c r="B2401" s="9" t="s">
        <v>4826</v>
      </c>
      <c r="C2401" s="9" t="s">
        <v>152</v>
      </c>
      <c r="D2401" s="9" t="s">
        <v>101</v>
      </c>
      <c r="E2401" s="6" t="s">
        <v>3180</v>
      </c>
      <c r="F2401" s="9" t="s">
        <v>5586</v>
      </c>
    </row>
    <row r="2402" ht="33.75" customHeight="1">
      <c r="A2402" s="7">
        <v>80.0</v>
      </c>
      <c r="B2402" s="9" t="s">
        <v>4826</v>
      </c>
      <c r="C2402" s="9" t="s">
        <v>152</v>
      </c>
      <c r="D2402" s="9" t="s">
        <v>105</v>
      </c>
      <c r="E2402" s="6" t="s">
        <v>3181</v>
      </c>
      <c r="F2402" s="9" t="s">
        <v>5586</v>
      </c>
    </row>
    <row r="2403" ht="33.75" customHeight="1">
      <c r="A2403" s="7">
        <v>80.0</v>
      </c>
      <c r="B2403" s="9" t="s">
        <v>4826</v>
      </c>
      <c r="C2403" s="9" t="s">
        <v>152</v>
      </c>
      <c r="D2403" s="9" t="s">
        <v>107</v>
      </c>
      <c r="E2403" s="6" t="s">
        <v>3182</v>
      </c>
      <c r="F2403" s="9" t="s">
        <v>5586</v>
      </c>
    </row>
    <row r="2404" ht="33.75" customHeight="1">
      <c r="A2404" s="7">
        <v>80.0</v>
      </c>
      <c r="B2404" s="9" t="s">
        <v>4826</v>
      </c>
      <c r="C2404" s="9" t="s">
        <v>152</v>
      </c>
      <c r="D2404" s="9" t="s">
        <v>109</v>
      </c>
      <c r="E2404" s="6" t="s">
        <v>3182</v>
      </c>
      <c r="F2404" s="9" t="s">
        <v>5586</v>
      </c>
    </row>
    <row r="2405" ht="33.75" customHeight="1">
      <c r="A2405" s="7">
        <v>80.0</v>
      </c>
      <c r="B2405" s="9" t="s">
        <v>4826</v>
      </c>
      <c r="C2405" s="9" t="s">
        <v>152</v>
      </c>
      <c r="D2405" s="9" t="s">
        <v>637</v>
      </c>
      <c r="E2405" s="6" t="s">
        <v>3183</v>
      </c>
      <c r="F2405" s="9" t="s">
        <v>5586</v>
      </c>
    </row>
    <row r="2406" ht="33.75" customHeight="1">
      <c r="A2406" s="7">
        <v>80.0</v>
      </c>
      <c r="B2406" s="9" t="s">
        <v>4826</v>
      </c>
      <c r="C2406" s="9" t="s">
        <v>152</v>
      </c>
      <c r="D2406" s="9" t="s">
        <v>642</v>
      </c>
      <c r="E2406" s="6" t="s">
        <v>3184</v>
      </c>
      <c r="F2406" s="9" t="s">
        <v>5586</v>
      </c>
    </row>
    <row r="2407" ht="33.75" customHeight="1">
      <c r="A2407" s="7">
        <v>80.0</v>
      </c>
      <c r="B2407" s="9" t="s">
        <v>4826</v>
      </c>
      <c r="C2407" s="9" t="s">
        <v>152</v>
      </c>
      <c r="D2407" s="9" t="s">
        <v>647</v>
      </c>
      <c r="E2407" s="6" t="s">
        <v>3185</v>
      </c>
      <c r="F2407" s="9" t="s">
        <v>5586</v>
      </c>
    </row>
    <row r="2408" ht="33.75" customHeight="1">
      <c r="A2408" s="7">
        <v>80.0</v>
      </c>
      <c r="B2408" s="9" t="s">
        <v>4826</v>
      </c>
      <c r="C2408" s="9" t="s">
        <v>152</v>
      </c>
      <c r="D2408" s="9" t="s">
        <v>652</v>
      </c>
      <c r="E2408" s="6" t="s">
        <v>3186</v>
      </c>
      <c r="F2408" s="9" t="s">
        <v>5586</v>
      </c>
    </row>
    <row r="2409" ht="33.75" customHeight="1">
      <c r="A2409" s="7">
        <v>80.0</v>
      </c>
      <c r="B2409" s="9" t="s">
        <v>4826</v>
      </c>
      <c r="C2409" s="9" t="s">
        <v>152</v>
      </c>
      <c r="D2409" s="9" t="s">
        <v>111</v>
      </c>
      <c r="E2409" s="6" t="s">
        <v>3187</v>
      </c>
      <c r="F2409" s="9" t="s">
        <v>5586</v>
      </c>
    </row>
    <row r="2410" ht="33.75" customHeight="1">
      <c r="A2410" s="7">
        <v>80.0</v>
      </c>
      <c r="B2410" s="9" t="s">
        <v>4826</v>
      </c>
      <c r="C2410" s="9" t="s">
        <v>152</v>
      </c>
      <c r="D2410" s="9" t="s">
        <v>113</v>
      </c>
      <c r="E2410" s="6" t="s">
        <v>3187</v>
      </c>
      <c r="F2410" s="9" t="s">
        <v>5586</v>
      </c>
    </row>
    <row r="2411" ht="33.75" customHeight="1">
      <c r="A2411" s="7">
        <v>80.0</v>
      </c>
      <c r="B2411" s="9" t="s">
        <v>4826</v>
      </c>
      <c r="C2411" s="9" t="s">
        <v>152</v>
      </c>
      <c r="D2411" s="9" t="s">
        <v>114</v>
      </c>
      <c r="E2411" s="6" t="s">
        <v>3188</v>
      </c>
      <c r="F2411" s="9" t="s">
        <v>5586</v>
      </c>
    </row>
    <row r="2412" ht="33.75" customHeight="1">
      <c r="A2412" s="7">
        <v>80.0</v>
      </c>
      <c r="B2412" s="9" t="s">
        <v>4826</v>
      </c>
      <c r="C2412" s="9" t="s">
        <v>152</v>
      </c>
      <c r="D2412" s="9" t="s">
        <v>117</v>
      </c>
      <c r="E2412" s="6" t="s">
        <v>3189</v>
      </c>
      <c r="F2412" s="9" t="s">
        <v>5586</v>
      </c>
    </row>
    <row r="2413" ht="33.75" customHeight="1">
      <c r="A2413" s="7">
        <v>81.0</v>
      </c>
      <c r="B2413" s="9" t="s">
        <v>4881</v>
      </c>
      <c r="C2413" s="9" t="s">
        <v>153</v>
      </c>
      <c r="D2413" s="9" t="s">
        <v>24</v>
      </c>
      <c r="E2413" s="6" t="s">
        <v>3190</v>
      </c>
      <c r="F2413" s="9" t="s">
        <v>5710</v>
      </c>
      <c r="G2413" t="inlineStr" s="6">
        <is>
          <t xml:space="preserve">Uses anti-gravity to stay suspended. Appears without warning and uses THUNDER WAVE and similar moves. It is born with the ability to defy gravity. It floats in air on powerful electromagnetic waves. It is attracted by electromagnetic waves. It may approach trainers if they are using their POKéGEAR. The units at the sides of its body generate anti gravity energy to keep it aloft in the air. The electricity emitted by the units on each side of its body cause it to become a strong magnet. MAGNEMITE attaches itself to power lines to feed on electricity. If your house has a power outage, check your circuit breakers. You may find a large number of this POKéMON clinging to the breaker box. MAGNEMITE floats in the air by emitting electromagnetic waves from the units at its sides. These waves block gravity. This POKéMON becomes incapable of flight if its internal electrical supply is depleted. The units at its sides are extremely powerful magnets. They generate enough magnetism to draw in iron objects from over 300 feet away. It moves while constantly hovering. It discharges THUNDER WAVE and so on from the units at its sides. Uses antigravity to stay suspended. The units at its sides generate electromagnetic waves that keep it airborne. It feeds on electricity. The faster the units at its sides rotate, the greater the magnetic force they generate. The units at the sides of its body generate antigravity energy to keep it aloft in the air. The electromagnetic waves emitted by the units at the sides of its head expel antigravity, which allows it to float. They gather in places where electricity is available. They can be found clinging to the steel towers used to support power lines. It sends out electromagnetic waves, which let it float through the air. Touching it while it’s eating electricity will give you a full-body shock. It’s frequently the cause of power outages, which is why some power plants send out electrical signals that it can’t stand. Perhaps because electrical lines are often buried these days, the number of Magnemite attacks on power plants has increased. It is hatched with the ability to defy gravity. It floats while emitting powerful electromagnetic waves. At times, Magnemite runs out of electricity and ends up on the ground. If you give batteries to a grounded Magnemite, it’ll start moving again. It subsists on electricity. As Magnemite flies, it emits electromagnetic waves from the units on each side of its body. A bizarre Pokémon with but a single eye embedded in an iron sphere. I suspect this creature levitates due to the magnetism it emits from its arms, which resemble horseshoe-shaped magnets.</t>
        </is>
      </c>
    </row>
    <row r="2414" ht="33.75" customHeight="1">
      <c r="A2414" s="7">
        <v>81.0</v>
      </c>
      <c r="B2414" s="9" t="s">
        <v>4881</v>
      </c>
      <c r="C2414" s="9" t="s">
        <v>153</v>
      </c>
      <c r="D2414" s="9" t="s">
        <v>35</v>
      </c>
      <c r="E2414" s="6" t="s">
        <v>3190</v>
      </c>
      <c r="F2414" s="9" t="s">
        <v>5710</v>
      </c>
    </row>
    <row r="2415" ht="33.75" customHeight="1">
      <c r="A2415" s="7">
        <v>81.0</v>
      </c>
      <c r="B2415" s="9" t="s">
        <v>4881</v>
      </c>
      <c r="C2415" s="9" t="s">
        <v>153</v>
      </c>
      <c r="D2415" s="9" t="s">
        <v>42</v>
      </c>
      <c r="E2415" s="6" t="s">
        <v>3191</v>
      </c>
      <c r="F2415" s="9" t="s">
        <v>5710</v>
      </c>
    </row>
    <row r="2416" ht="33.75" customHeight="1">
      <c r="A2416" s="7">
        <v>81.0</v>
      </c>
      <c r="B2416" s="9" t="s">
        <v>4881</v>
      </c>
      <c r="C2416" s="9" t="s">
        <v>153</v>
      </c>
      <c r="D2416" s="9" t="s">
        <v>52</v>
      </c>
      <c r="E2416" s="6" t="s">
        <v>3192</v>
      </c>
      <c r="F2416" s="9" t="s">
        <v>5710</v>
      </c>
    </row>
    <row r="2417" ht="33.75" customHeight="1">
      <c r="A2417" s="7">
        <v>81.0</v>
      </c>
      <c r="B2417" s="9" t="s">
        <v>4881</v>
      </c>
      <c r="C2417" s="9" t="s">
        <v>153</v>
      </c>
      <c r="D2417" s="9" t="s">
        <v>59</v>
      </c>
      <c r="E2417" s="6" t="s">
        <v>3193</v>
      </c>
      <c r="F2417" s="9" t="s">
        <v>5710</v>
      </c>
    </row>
    <row r="2418" ht="33.75" customHeight="1">
      <c r="A2418" s="7">
        <v>81.0</v>
      </c>
      <c r="B2418" s="9" t="s">
        <v>4881</v>
      </c>
      <c r="C2418" s="9" t="s">
        <v>153</v>
      </c>
      <c r="D2418" s="9" t="s">
        <v>64</v>
      </c>
      <c r="E2418" s="6" t="s">
        <v>3194</v>
      </c>
      <c r="F2418" s="9" t="s">
        <v>5710</v>
      </c>
    </row>
    <row r="2419" ht="33.75" customHeight="1">
      <c r="A2419" s="7">
        <v>81.0</v>
      </c>
      <c r="B2419" s="9" t="s">
        <v>4881</v>
      </c>
      <c r="C2419" s="9" t="s">
        <v>153</v>
      </c>
      <c r="D2419" s="9" t="s">
        <v>67</v>
      </c>
      <c r="E2419" s="6" t="s">
        <v>3196</v>
      </c>
      <c r="F2419" s="9" t="s">
        <v>5710</v>
      </c>
    </row>
    <row r="2420" ht="33.75" customHeight="1">
      <c r="A2420" s="7">
        <v>81.0</v>
      </c>
      <c r="B2420" s="9" t="s">
        <v>4881</v>
      </c>
      <c r="C2420" s="9" t="s">
        <v>153</v>
      </c>
      <c r="D2420" s="9" t="s">
        <v>71</v>
      </c>
      <c r="E2420" s="6" t="s">
        <v>3197</v>
      </c>
      <c r="F2420" s="9" t="s">
        <v>5710</v>
      </c>
    </row>
    <row r="2421" ht="33.75" customHeight="1">
      <c r="A2421" s="7">
        <v>81.0</v>
      </c>
      <c r="B2421" s="9" t="s">
        <v>4881</v>
      </c>
      <c r="C2421" s="9" t="s">
        <v>153</v>
      </c>
      <c r="D2421" s="9" t="s">
        <v>73</v>
      </c>
      <c r="E2421" s="6" t="s">
        <v>3198</v>
      </c>
      <c r="F2421" s="9" t="s">
        <v>5710</v>
      </c>
    </row>
    <row r="2422" ht="33.75" customHeight="1">
      <c r="A2422" s="7">
        <v>81.0</v>
      </c>
      <c r="B2422" s="9" t="s">
        <v>4881</v>
      </c>
      <c r="C2422" s="9" t="s">
        <v>153</v>
      </c>
      <c r="D2422" s="9" t="s">
        <v>75</v>
      </c>
      <c r="E2422" s="6" t="s">
        <v>3199</v>
      </c>
      <c r="F2422" s="9" t="s">
        <v>5710</v>
      </c>
    </row>
    <row r="2423" ht="33.75" customHeight="1">
      <c r="A2423" s="7">
        <v>81.0</v>
      </c>
      <c r="B2423" s="9" t="s">
        <v>4881</v>
      </c>
      <c r="C2423" s="9" t="s">
        <v>153</v>
      </c>
      <c r="D2423" s="9" t="s">
        <v>79</v>
      </c>
      <c r="E2423" s="6" t="s">
        <v>3200</v>
      </c>
      <c r="F2423" s="9" t="s">
        <v>5710</v>
      </c>
    </row>
    <row r="2424" ht="33.75" customHeight="1">
      <c r="A2424" s="7">
        <v>81.0</v>
      </c>
      <c r="B2424" s="9" t="s">
        <v>4881</v>
      </c>
      <c r="C2424" s="9" t="s">
        <v>153</v>
      </c>
      <c r="D2424" s="9" t="s">
        <v>81</v>
      </c>
      <c r="E2424" s="6" t="s">
        <v>3202</v>
      </c>
      <c r="F2424" s="9" t="s">
        <v>5710</v>
      </c>
    </row>
    <row r="2425" ht="33.75" customHeight="1">
      <c r="A2425" s="7">
        <v>81.0</v>
      </c>
      <c r="B2425" s="9" t="s">
        <v>4881</v>
      </c>
      <c r="C2425" s="9" t="s">
        <v>153</v>
      </c>
      <c r="D2425" s="9" t="s">
        <v>84</v>
      </c>
      <c r="E2425" s="6" t="s">
        <v>3202</v>
      </c>
      <c r="F2425" s="9" t="s">
        <v>5710</v>
      </c>
    </row>
    <row r="2426" ht="33.75" customHeight="1">
      <c r="A2426" s="7">
        <v>81.0</v>
      </c>
      <c r="B2426" s="9" t="s">
        <v>4881</v>
      </c>
      <c r="C2426" s="9" t="s">
        <v>153</v>
      </c>
      <c r="D2426" s="9" t="s">
        <v>87</v>
      </c>
      <c r="E2426" s="6" t="s">
        <v>3203</v>
      </c>
      <c r="F2426" s="9" t="s">
        <v>5710</v>
      </c>
    </row>
    <row r="2427" ht="33.75" customHeight="1">
      <c r="A2427" s="7">
        <v>81.0</v>
      </c>
      <c r="B2427" s="9" t="s">
        <v>4881</v>
      </c>
      <c r="C2427" s="9" t="s">
        <v>153</v>
      </c>
      <c r="D2427" s="9" t="s">
        <v>89</v>
      </c>
      <c r="E2427" s="6" t="s">
        <v>3204</v>
      </c>
      <c r="F2427" s="9" t="s">
        <v>5710</v>
      </c>
    </row>
    <row r="2428" ht="33.75" customHeight="1">
      <c r="A2428" s="7">
        <v>81.0</v>
      </c>
      <c r="B2428" s="9" t="s">
        <v>4881</v>
      </c>
      <c r="C2428" s="9" t="s">
        <v>153</v>
      </c>
      <c r="D2428" s="9" t="s">
        <v>91</v>
      </c>
      <c r="E2428" s="6" t="s">
        <v>3206</v>
      </c>
      <c r="F2428" s="9" t="s">
        <v>5710</v>
      </c>
    </row>
    <row r="2429" ht="33.75" customHeight="1">
      <c r="A2429" s="7">
        <v>81.0</v>
      </c>
      <c r="B2429" s="9" t="s">
        <v>4881</v>
      </c>
      <c r="C2429" s="9" t="s">
        <v>153</v>
      </c>
      <c r="D2429" s="9" t="s">
        <v>93</v>
      </c>
      <c r="E2429" s="6" t="s">
        <v>3203</v>
      </c>
      <c r="F2429" s="9" t="s">
        <v>5710</v>
      </c>
    </row>
    <row r="2430" ht="33.75" customHeight="1">
      <c r="A2430" s="7">
        <v>81.0</v>
      </c>
      <c r="B2430" s="9" t="s">
        <v>4881</v>
      </c>
      <c r="C2430" s="9" t="s">
        <v>153</v>
      </c>
      <c r="D2430" s="9" t="s">
        <v>95</v>
      </c>
      <c r="E2430" s="6" t="s">
        <v>3203</v>
      </c>
      <c r="F2430" s="9" t="s">
        <v>5710</v>
      </c>
    </row>
    <row r="2431" ht="33.75" customHeight="1">
      <c r="A2431" s="7">
        <v>81.0</v>
      </c>
      <c r="B2431" s="9" t="s">
        <v>4881</v>
      </c>
      <c r="C2431" s="9" t="s">
        <v>153</v>
      </c>
      <c r="D2431" s="9" t="s">
        <v>98</v>
      </c>
      <c r="E2431" s="6" t="s">
        <v>3208</v>
      </c>
      <c r="F2431" s="9" t="s">
        <v>5710</v>
      </c>
    </row>
    <row r="2432" ht="33.75" customHeight="1">
      <c r="A2432" s="7">
        <v>81.0</v>
      </c>
      <c r="B2432" s="9" t="s">
        <v>4881</v>
      </c>
      <c r="C2432" s="9" t="s">
        <v>153</v>
      </c>
      <c r="D2432" s="9" t="s">
        <v>99</v>
      </c>
      <c r="E2432" s="6" t="s">
        <v>3208</v>
      </c>
      <c r="F2432" s="9" t="s">
        <v>5710</v>
      </c>
    </row>
    <row r="2433" ht="33.75" customHeight="1">
      <c r="A2433" s="7">
        <v>81.0</v>
      </c>
      <c r="B2433" s="9" t="s">
        <v>4881</v>
      </c>
      <c r="C2433" s="9" t="s">
        <v>153</v>
      </c>
      <c r="D2433" s="9" t="s">
        <v>101</v>
      </c>
      <c r="E2433" s="6" t="s">
        <v>3206</v>
      </c>
      <c r="F2433" s="9" t="s">
        <v>5710</v>
      </c>
    </row>
    <row r="2434" ht="33.75" customHeight="1">
      <c r="A2434" s="7">
        <v>81.0</v>
      </c>
      <c r="B2434" s="9" t="s">
        <v>4881</v>
      </c>
      <c r="C2434" s="9" t="s">
        <v>153</v>
      </c>
      <c r="D2434" s="9" t="s">
        <v>105</v>
      </c>
      <c r="E2434" s="6" t="s">
        <v>3210</v>
      </c>
      <c r="F2434" s="9" t="s">
        <v>5710</v>
      </c>
    </row>
    <row r="2435" ht="33.75" customHeight="1">
      <c r="A2435" s="7">
        <v>81.0</v>
      </c>
      <c r="B2435" s="9" t="s">
        <v>4881</v>
      </c>
      <c r="C2435" s="9" t="s">
        <v>153</v>
      </c>
      <c r="D2435" s="9" t="s">
        <v>107</v>
      </c>
      <c r="E2435" s="6" t="s">
        <v>3211</v>
      </c>
      <c r="F2435" s="9" t="s">
        <v>5710</v>
      </c>
    </row>
    <row r="2436" ht="33.75" customHeight="1">
      <c r="A2436" s="7">
        <v>81.0</v>
      </c>
      <c r="B2436" s="9" t="s">
        <v>4881</v>
      </c>
      <c r="C2436" s="9" t="s">
        <v>153</v>
      </c>
      <c r="D2436" s="9" t="s">
        <v>109</v>
      </c>
      <c r="E2436" s="6" t="s">
        <v>3212</v>
      </c>
      <c r="F2436" s="9" t="s">
        <v>5710</v>
      </c>
    </row>
    <row r="2437" ht="33.75" customHeight="1">
      <c r="A2437" s="7">
        <v>81.0</v>
      </c>
      <c r="B2437" s="9" t="s">
        <v>4881</v>
      </c>
      <c r="C2437" s="9" t="s">
        <v>153</v>
      </c>
      <c r="D2437" s="9" t="s">
        <v>637</v>
      </c>
      <c r="E2437" s="6" t="s">
        <v>3214</v>
      </c>
      <c r="F2437" s="9" t="s">
        <v>5710</v>
      </c>
    </row>
    <row r="2438" ht="33.75" customHeight="1">
      <c r="A2438" s="7">
        <v>81.0</v>
      </c>
      <c r="B2438" s="9" t="s">
        <v>4881</v>
      </c>
      <c r="C2438" s="9" t="s">
        <v>153</v>
      </c>
      <c r="D2438" s="9" t="s">
        <v>642</v>
      </c>
      <c r="E2438" s="6" t="s">
        <v>3218</v>
      </c>
      <c r="F2438" s="9" t="s">
        <v>5710</v>
      </c>
    </row>
    <row r="2439" ht="33.75" customHeight="1">
      <c r="A2439" s="7">
        <v>81.0</v>
      </c>
      <c r="B2439" s="9" t="s">
        <v>4881</v>
      </c>
      <c r="C2439" s="9" t="s">
        <v>153</v>
      </c>
      <c r="D2439" s="9" t="s">
        <v>647</v>
      </c>
      <c r="E2439" s="6" t="s">
        <v>3220</v>
      </c>
      <c r="F2439" s="9" t="s">
        <v>5710</v>
      </c>
    </row>
    <row r="2440" ht="33.75" customHeight="1">
      <c r="A2440" s="7">
        <v>81.0</v>
      </c>
      <c r="B2440" s="9" t="s">
        <v>4881</v>
      </c>
      <c r="C2440" s="9" t="s">
        <v>153</v>
      </c>
      <c r="D2440" s="9" t="s">
        <v>652</v>
      </c>
      <c r="E2440" s="6" t="s">
        <v>3221</v>
      </c>
      <c r="F2440" s="9" t="s">
        <v>5710</v>
      </c>
    </row>
    <row r="2441" ht="33.75" customHeight="1">
      <c r="A2441" s="7">
        <v>81.0</v>
      </c>
      <c r="B2441" s="9" t="s">
        <v>4881</v>
      </c>
      <c r="C2441" s="9" t="s">
        <v>153</v>
      </c>
      <c r="D2441" s="9" t="s">
        <v>111</v>
      </c>
      <c r="E2441" s="6" t="s">
        <v>3222</v>
      </c>
      <c r="F2441" s="9" t="s">
        <v>5710</v>
      </c>
    </row>
    <row r="2442" ht="33.75" customHeight="1">
      <c r="A2442" s="7">
        <v>81.0</v>
      </c>
      <c r="B2442" s="9" t="s">
        <v>4881</v>
      </c>
      <c r="C2442" s="9" t="s">
        <v>153</v>
      </c>
      <c r="D2442" s="9" t="s">
        <v>113</v>
      </c>
      <c r="E2442" s="6" t="s">
        <v>3222</v>
      </c>
      <c r="F2442" s="9" t="s">
        <v>5710</v>
      </c>
    </row>
    <row r="2443" ht="33.75" customHeight="1">
      <c r="A2443" s="7">
        <v>81.0</v>
      </c>
      <c r="B2443" s="9" t="s">
        <v>4881</v>
      </c>
      <c r="C2443" s="9" t="s">
        <v>153</v>
      </c>
      <c r="D2443" s="9" t="s">
        <v>114</v>
      </c>
      <c r="E2443" s="6" t="s">
        <v>3227</v>
      </c>
      <c r="F2443" s="9" t="s">
        <v>5710</v>
      </c>
    </row>
    <row r="2444" ht="33.75" customHeight="1">
      <c r="A2444" s="7">
        <v>81.0</v>
      </c>
      <c r="B2444" s="9" t="s">
        <v>4881</v>
      </c>
      <c r="C2444" s="9" t="s">
        <v>153</v>
      </c>
      <c r="D2444" s="9" t="s">
        <v>117</v>
      </c>
      <c r="E2444" s="6" t="s">
        <v>3229</v>
      </c>
      <c r="F2444" s="9" t="s">
        <v>5710</v>
      </c>
    </row>
    <row r="2445" ht="33.75" customHeight="1">
      <c r="A2445" s="7">
        <v>81.0</v>
      </c>
      <c r="B2445" s="9" t="s">
        <v>4881</v>
      </c>
      <c r="C2445" s="9" t="s">
        <v>153</v>
      </c>
      <c r="D2445" s="9" t="s">
        <v>1577</v>
      </c>
      <c r="E2445" s="6" t="s">
        <v>3230</v>
      </c>
      <c r="F2445" s="9" t="s">
        <v>5710</v>
      </c>
    </row>
    <row r="2446" ht="33.75" customHeight="1">
      <c r="A2446" s="7">
        <v>82.0</v>
      </c>
      <c r="B2446" s="9" t="s">
        <v>4948</v>
      </c>
      <c r="C2446" s="9" t="s">
        <v>153</v>
      </c>
      <c r="D2446" s="9" t="s">
        <v>24</v>
      </c>
      <c r="E2446" s="6" t="s">
        <v>3232</v>
      </c>
      <c r="F2446" s="9" t="s">
        <v>5819</v>
      </c>
      <c r="G2446" t="inlineStr" s="6">
        <is>
          <t xml:space="preserve">Formed by several MAGNEMITEs linked together. They frequently appear when sunspots flare up. Generates strange radio signals. It raises the temperature by 3.6F degrees within 3,300 feet. Three MAGNEMITE are linked by a strong magnetic force. Earaches will occur if you get too close. The MAGNEMITE are united by a magnetism so power ful, it dries all moisture in its vicinities. When many MAGNETON gather together, the resulting magnetic storm disrupts radio waves. MAGNETON emits a powerful magnetic force that is fatal to mechanical devices. As a result, large cities sound sirens to warn citizens of large-scale outbreaks of this POKéMON. MAGNETON emits a powerful magnetic force that is fatal to electronics and precision instruments. Because of this, it is said that some towns warn people to keep this POKéMON inside a POKé BALL. It is actually three MAGNEMITE linked by magnetism. It generates powerful radio waves that raise temperatures by 3.6 degrees F within a 3,300-foot radius. A linked cluster formed of several MAGNEMITE. It discharges powerful magnetic waves at high voltage. Formed by several MAGNEMITE linked together. A group can set off a magnetic storm. Many mysteriously appear when more sunspots dot the sun. They stop TV sets from displaying properly. The MAGNEMITE are united by a magnetism so powerful, it dries all moisture in its vicinity. The stronger electromagnetic waves from the three linked Magnemite are enough to dry out surrounding moisture. It raises the temperature by 3.6 degrees Fahrenheit within 3,300 feet. When three Magnemite link together, their brains also become one. They do not become three times more intelligent. It has about three times the electrical power of Magnemite. For some reason, outbreaks of this Pokémon happen when lots of sunspots appear. Delicate equipment can malfunction in areas inhabited by Magneton, which send out mysterious electrical signals. When rain clouds form, many Magneton gather in high places to wait for lightning to strike. This Pokémon is three Magnemite that have linked together. Magneton sends out powerful radio waves to study its surroundings. This Pokémon is constantly putting out a powerful magnetic force. Most computers go haywire when a Magneton approaches. Three Magnemite gathered to evolve into this Pokémon. The source of much vexation on my part, as its powerful magnetism destroys my research equipment.</t>
        </is>
      </c>
    </row>
    <row r="2447" ht="33.75" customHeight="1">
      <c r="A2447" s="7">
        <v>82.0</v>
      </c>
      <c r="B2447" s="9" t="s">
        <v>4948</v>
      </c>
      <c r="C2447" s="9" t="s">
        <v>153</v>
      </c>
      <c r="D2447" s="9" t="s">
        <v>35</v>
      </c>
      <c r="E2447" s="6" t="s">
        <v>3232</v>
      </c>
      <c r="F2447" s="9" t="s">
        <v>5819</v>
      </c>
    </row>
    <row r="2448" ht="33.75" customHeight="1">
      <c r="A2448" s="7">
        <v>82.0</v>
      </c>
      <c r="B2448" s="9" t="s">
        <v>4948</v>
      </c>
      <c r="C2448" s="9" t="s">
        <v>153</v>
      </c>
      <c r="D2448" s="9" t="s">
        <v>42</v>
      </c>
      <c r="E2448" s="6" t="s">
        <v>3234</v>
      </c>
      <c r="F2448" s="9" t="s">
        <v>5819</v>
      </c>
    </row>
    <row r="2449" ht="33.75" customHeight="1">
      <c r="A2449" s="7">
        <v>82.0</v>
      </c>
      <c r="B2449" s="9" t="s">
        <v>4948</v>
      </c>
      <c r="C2449" s="9" t="s">
        <v>153</v>
      </c>
      <c r="D2449" s="9" t="s">
        <v>52</v>
      </c>
      <c r="E2449" s="6" t="s">
        <v>3236</v>
      </c>
      <c r="F2449" s="9" t="s">
        <v>5819</v>
      </c>
    </row>
    <row r="2450" ht="33.75" customHeight="1">
      <c r="A2450" s="7">
        <v>82.0</v>
      </c>
      <c r="B2450" s="9" t="s">
        <v>4948</v>
      </c>
      <c r="C2450" s="9" t="s">
        <v>153</v>
      </c>
      <c r="D2450" s="9" t="s">
        <v>59</v>
      </c>
      <c r="E2450" s="6" t="s">
        <v>3238</v>
      </c>
      <c r="F2450" s="9" t="s">
        <v>5819</v>
      </c>
    </row>
    <row r="2451" ht="33.75" customHeight="1">
      <c r="A2451" s="7">
        <v>82.0</v>
      </c>
      <c r="B2451" s="9" t="s">
        <v>4948</v>
      </c>
      <c r="C2451" s="9" t="s">
        <v>153</v>
      </c>
      <c r="D2451" s="9" t="s">
        <v>64</v>
      </c>
      <c r="E2451" s="6" t="s">
        <v>3239</v>
      </c>
      <c r="F2451" s="9" t="s">
        <v>5819</v>
      </c>
    </row>
    <row r="2452" ht="33.75" customHeight="1">
      <c r="A2452" s="7">
        <v>82.0</v>
      </c>
      <c r="B2452" s="9" t="s">
        <v>4948</v>
      </c>
      <c r="C2452" s="9" t="s">
        <v>153</v>
      </c>
      <c r="D2452" s="9" t="s">
        <v>67</v>
      </c>
      <c r="E2452" s="6" t="s">
        <v>3240</v>
      </c>
      <c r="F2452" s="9" t="s">
        <v>5819</v>
      </c>
    </row>
    <row r="2453" ht="33.75" customHeight="1">
      <c r="A2453" s="7">
        <v>82.0</v>
      </c>
      <c r="B2453" s="9" t="s">
        <v>4948</v>
      </c>
      <c r="C2453" s="9" t="s">
        <v>153</v>
      </c>
      <c r="D2453" s="9" t="s">
        <v>71</v>
      </c>
      <c r="E2453" s="6" t="s">
        <v>3242</v>
      </c>
      <c r="F2453" s="9" t="s">
        <v>5819</v>
      </c>
    </row>
    <row r="2454" ht="33.75" customHeight="1">
      <c r="A2454" s="7">
        <v>82.0</v>
      </c>
      <c r="B2454" s="9" t="s">
        <v>4948</v>
      </c>
      <c r="C2454" s="9" t="s">
        <v>153</v>
      </c>
      <c r="D2454" s="9" t="s">
        <v>73</v>
      </c>
      <c r="E2454" s="6" t="s">
        <v>3244</v>
      </c>
      <c r="F2454" s="9" t="s">
        <v>5819</v>
      </c>
    </row>
    <row r="2455" ht="33.75" customHeight="1">
      <c r="A2455" s="7">
        <v>82.0</v>
      </c>
      <c r="B2455" s="9" t="s">
        <v>4948</v>
      </c>
      <c r="C2455" s="9" t="s">
        <v>153</v>
      </c>
      <c r="D2455" s="9" t="s">
        <v>75</v>
      </c>
      <c r="E2455" s="6" t="s">
        <v>3245</v>
      </c>
      <c r="F2455" s="9" t="s">
        <v>5819</v>
      </c>
    </row>
    <row r="2456" ht="33.75" customHeight="1">
      <c r="A2456" s="7">
        <v>82.0</v>
      </c>
      <c r="B2456" s="9" t="s">
        <v>4948</v>
      </c>
      <c r="C2456" s="9" t="s">
        <v>153</v>
      </c>
      <c r="D2456" s="9" t="s">
        <v>79</v>
      </c>
      <c r="E2456" s="6" t="s">
        <v>3247</v>
      </c>
      <c r="F2456" s="9" t="s">
        <v>5819</v>
      </c>
    </row>
    <row r="2457" ht="33.75" customHeight="1">
      <c r="A2457" s="7">
        <v>82.0</v>
      </c>
      <c r="B2457" s="9" t="s">
        <v>4948</v>
      </c>
      <c r="C2457" s="9" t="s">
        <v>153</v>
      </c>
      <c r="D2457" s="9" t="s">
        <v>81</v>
      </c>
      <c r="E2457" s="6" t="s">
        <v>3248</v>
      </c>
      <c r="F2457" s="9" t="s">
        <v>5819</v>
      </c>
    </row>
    <row r="2458" ht="33.75" customHeight="1">
      <c r="A2458" s="7">
        <v>82.0</v>
      </c>
      <c r="B2458" s="9" t="s">
        <v>4948</v>
      </c>
      <c r="C2458" s="9" t="s">
        <v>153</v>
      </c>
      <c r="D2458" s="9" t="s">
        <v>84</v>
      </c>
      <c r="E2458" s="6" t="s">
        <v>3248</v>
      </c>
      <c r="F2458" s="9" t="s">
        <v>5819</v>
      </c>
    </row>
    <row r="2459" ht="33.75" customHeight="1">
      <c r="A2459" s="7">
        <v>82.0</v>
      </c>
      <c r="B2459" s="9" t="s">
        <v>4948</v>
      </c>
      <c r="C2459" s="9" t="s">
        <v>153</v>
      </c>
      <c r="D2459" s="9" t="s">
        <v>87</v>
      </c>
      <c r="E2459" s="6" t="s">
        <v>3249</v>
      </c>
      <c r="F2459" s="9" t="s">
        <v>5819</v>
      </c>
    </row>
    <row r="2460" ht="33.75" customHeight="1">
      <c r="A2460" s="7">
        <v>82.0</v>
      </c>
      <c r="B2460" s="9" t="s">
        <v>4948</v>
      </c>
      <c r="C2460" s="9" t="s">
        <v>153</v>
      </c>
      <c r="D2460" s="9" t="s">
        <v>89</v>
      </c>
      <c r="E2460" s="6" t="s">
        <v>3236</v>
      </c>
      <c r="F2460" s="9" t="s">
        <v>5819</v>
      </c>
    </row>
    <row r="2461" ht="33.75" customHeight="1">
      <c r="A2461" s="7">
        <v>82.0</v>
      </c>
      <c r="B2461" s="9" t="s">
        <v>4948</v>
      </c>
      <c r="C2461" s="9" t="s">
        <v>153</v>
      </c>
      <c r="D2461" s="9" t="s">
        <v>91</v>
      </c>
      <c r="E2461" s="6" t="s">
        <v>3250</v>
      </c>
      <c r="F2461" s="9" t="s">
        <v>5819</v>
      </c>
    </row>
    <row r="2462" ht="33.75" customHeight="1">
      <c r="A2462" s="7">
        <v>82.0</v>
      </c>
      <c r="B2462" s="9" t="s">
        <v>4948</v>
      </c>
      <c r="C2462" s="9" t="s">
        <v>153</v>
      </c>
      <c r="D2462" s="9" t="s">
        <v>93</v>
      </c>
      <c r="E2462" s="6" t="s">
        <v>3249</v>
      </c>
      <c r="F2462" s="9" t="s">
        <v>5819</v>
      </c>
    </row>
    <row r="2463" ht="33.75" customHeight="1">
      <c r="A2463" s="7">
        <v>82.0</v>
      </c>
      <c r="B2463" s="9" t="s">
        <v>4948</v>
      </c>
      <c r="C2463" s="9" t="s">
        <v>153</v>
      </c>
      <c r="D2463" s="9" t="s">
        <v>95</v>
      </c>
      <c r="E2463" s="6" t="s">
        <v>3249</v>
      </c>
      <c r="F2463" s="9" t="s">
        <v>5819</v>
      </c>
    </row>
    <row r="2464" ht="33.75" customHeight="1">
      <c r="A2464" s="7">
        <v>82.0</v>
      </c>
      <c r="B2464" s="9" t="s">
        <v>4948</v>
      </c>
      <c r="C2464" s="9" t="s">
        <v>153</v>
      </c>
      <c r="D2464" s="9" t="s">
        <v>98</v>
      </c>
      <c r="E2464" s="6" t="s">
        <v>3251</v>
      </c>
      <c r="F2464" s="9" t="s">
        <v>5819</v>
      </c>
    </row>
    <row r="2465" ht="33.75" customHeight="1">
      <c r="A2465" s="7">
        <v>82.0</v>
      </c>
      <c r="B2465" s="9" t="s">
        <v>4948</v>
      </c>
      <c r="C2465" s="9" t="s">
        <v>153</v>
      </c>
      <c r="D2465" s="9" t="s">
        <v>99</v>
      </c>
      <c r="E2465" s="6" t="s">
        <v>3251</v>
      </c>
      <c r="F2465" s="9" t="s">
        <v>5819</v>
      </c>
    </row>
    <row r="2466" ht="33.75" customHeight="1">
      <c r="A2466" s="7">
        <v>82.0</v>
      </c>
      <c r="B2466" s="9" t="s">
        <v>4948</v>
      </c>
      <c r="C2466" s="9" t="s">
        <v>153</v>
      </c>
      <c r="D2466" s="9" t="s">
        <v>101</v>
      </c>
      <c r="E2466" s="6" t="s">
        <v>3252</v>
      </c>
      <c r="F2466" s="9" t="s">
        <v>5819</v>
      </c>
    </row>
    <row r="2467" ht="33.75" customHeight="1">
      <c r="A2467" s="7">
        <v>82.0</v>
      </c>
      <c r="B2467" s="9" t="s">
        <v>4948</v>
      </c>
      <c r="C2467" s="9" t="s">
        <v>153</v>
      </c>
      <c r="D2467" s="9" t="s">
        <v>105</v>
      </c>
      <c r="E2467" s="6" t="s">
        <v>3253</v>
      </c>
      <c r="F2467" s="9" t="s">
        <v>5819</v>
      </c>
    </row>
    <row r="2468" ht="33.75" customHeight="1">
      <c r="A2468" s="7">
        <v>82.0</v>
      </c>
      <c r="B2468" s="9" t="s">
        <v>4948</v>
      </c>
      <c r="C2468" s="9" t="s">
        <v>153</v>
      </c>
      <c r="D2468" s="9" t="s">
        <v>107</v>
      </c>
      <c r="E2468" s="6" t="s">
        <v>3255</v>
      </c>
      <c r="F2468" s="9" t="s">
        <v>5819</v>
      </c>
    </row>
    <row r="2469" ht="33.75" customHeight="1">
      <c r="A2469" s="7">
        <v>82.0</v>
      </c>
      <c r="B2469" s="9" t="s">
        <v>4948</v>
      </c>
      <c r="C2469" s="9" t="s">
        <v>153</v>
      </c>
      <c r="D2469" s="9" t="s">
        <v>109</v>
      </c>
      <c r="E2469" s="6" t="s">
        <v>3256</v>
      </c>
      <c r="F2469" s="9" t="s">
        <v>5819</v>
      </c>
    </row>
    <row r="2470" ht="33.75" customHeight="1">
      <c r="A2470" s="7">
        <v>82.0</v>
      </c>
      <c r="B2470" s="9" t="s">
        <v>4948</v>
      </c>
      <c r="C2470" s="9" t="s">
        <v>153</v>
      </c>
      <c r="D2470" s="9" t="s">
        <v>637</v>
      </c>
      <c r="E2470" s="6" t="s">
        <v>3257</v>
      </c>
      <c r="F2470" s="9" t="s">
        <v>5819</v>
      </c>
    </row>
    <row r="2471" ht="33.75" customHeight="1">
      <c r="A2471" s="7">
        <v>82.0</v>
      </c>
      <c r="B2471" s="9" t="s">
        <v>4948</v>
      </c>
      <c r="C2471" s="9" t="s">
        <v>153</v>
      </c>
      <c r="D2471" s="9" t="s">
        <v>642</v>
      </c>
      <c r="E2471" s="6" t="s">
        <v>3259</v>
      </c>
      <c r="F2471" s="9" t="s">
        <v>5819</v>
      </c>
    </row>
    <row r="2472" ht="33.75" customHeight="1">
      <c r="A2472" s="7">
        <v>82.0</v>
      </c>
      <c r="B2472" s="9" t="s">
        <v>4948</v>
      </c>
      <c r="C2472" s="9" t="s">
        <v>153</v>
      </c>
      <c r="D2472" s="9" t="s">
        <v>647</v>
      </c>
      <c r="E2472" s="6" t="s">
        <v>3260</v>
      </c>
      <c r="F2472" s="9" t="s">
        <v>5819</v>
      </c>
    </row>
    <row r="2473" ht="33.75" customHeight="1">
      <c r="A2473" s="7">
        <v>82.0</v>
      </c>
      <c r="B2473" s="9" t="s">
        <v>4948</v>
      </c>
      <c r="C2473" s="9" t="s">
        <v>153</v>
      </c>
      <c r="D2473" s="9" t="s">
        <v>652</v>
      </c>
      <c r="E2473" s="6" t="s">
        <v>3262</v>
      </c>
      <c r="F2473" s="9" t="s">
        <v>5819</v>
      </c>
    </row>
    <row r="2474" ht="33.75" customHeight="1">
      <c r="A2474" s="7">
        <v>82.0</v>
      </c>
      <c r="B2474" s="9" t="s">
        <v>4948</v>
      </c>
      <c r="C2474" s="9" t="s">
        <v>153</v>
      </c>
      <c r="D2474" s="9" t="s">
        <v>111</v>
      </c>
      <c r="E2474" s="6" t="s">
        <v>3253</v>
      </c>
      <c r="F2474" s="9" t="s">
        <v>5819</v>
      </c>
    </row>
    <row r="2475" ht="33.75" customHeight="1">
      <c r="A2475" s="7">
        <v>82.0</v>
      </c>
      <c r="B2475" s="9" t="s">
        <v>4948</v>
      </c>
      <c r="C2475" s="9" t="s">
        <v>153</v>
      </c>
      <c r="D2475" s="9" t="s">
        <v>113</v>
      </c>
      <c r="E2475" s="6" t="s">
        <v>3253</v>
      </c>
      <c r="F2475" s="9" t="s">
        <v>5819</v>
      </c>
    </row>
    <row r="2476" ht="33.75" customHeight="1">
      <c r="A2476" s="7">
        <v>82.0</v>
      </c>
      <c r="B2476" s="9" t="s">
        <v>4948</v>
      </c>
      <c r="C2476" s="9" t="s">
        <v>153</v>
      </c>
      <c r="D2476" s="9" t="s">
        <v>114</v>
      </c>
      <c r="E2476" s="6" t="s">
        <v>3264</v>
      </c>
      <c r="F2476" s="9" t="s">
        <v>5819</v>
      </c>
    </row>
    <row r="2477" ht="33.75" customHeight="1">
      <c r="A2477" s="7">
        <v>82.0</v>
      </c>
      <c r="B2477" s="9" t="s">
        <v>4948</v>
      </c>
      <c r="C2477" s="9" t="s">
        <v>153</v>
      </c>
      <c r="D2477" s="9" t="s">
        <v>117</v>
      </c>
      <c r="E2477" s="6" t="s">
        <v>3265</v>
      </c>
      <c r="F2477" s="9" t="s">
        <v>5819</v>
      </c>
    </row>
    <row r="2478" ht="33.75" customHeight="1">
      <c r="A2478" s="7">
        <v>82.0</v>
      </c>
      <c r="B2478" s="9" t="s">
        <v>4948</v>
      </c>
      <c r="C2478" s="9" t="s">
        <v>153</v>
      </c>
      <c r="D2478" s="9" t="s">
        <v>1577</v>
      </c>
      <c r="E2478" s="6" t="s">
        <v>3266</v>
      </c>
      <c r="F2478" s="9" t="s">
        <v>5819</v>
      </c>
    </row>
    <row r="2479" ht="33.75" customHeight="1">
      <c r="A2479" s="7">
        <v>83.0</v>
      </c>
      <c r="B2479" s="9" t="s">
        <v>5057</v>
      </c>
      <c r="C2479" s="9" t="s">
        <v>154</v>
      </c>
      <c r="D2479" s="9" t="s">
        <v>24</v>
      </c>
      <c r="E2479" s="6" t="s">
        <v>3268</v>
      </c>
      <c r="F2479" s="9" t="s">
        <v>5910</v>
      </c>
      <c r="G2479" t="inlineStr" s="6">
        <is>
          <t xml:space="preserve">The sprig of green onions it holds is Farfetch’d's weapon. It is used much like a metal sword. Lives where reedy plants grow. They are rarely seen, so it's thought their numbers are decreasing. If anyone tries to disturb where the essential plant sticks grow, it uses its own stick to thwart them. If it eats the plant stick it carries as emergency rations, it runs off in search of a new stick. In order to pre vent their extinction, more people have made an effort to breed these POKéMON. FARFETCH’D is always seen with a stick from a plant of some sort. Apparently, there are good sticks and bad sticks. This POKéMON has been known to fight with others over sticks. It is always seen with a stick from a plant. This POKéMON occasionally fights with others over choice sticks. It always walks about with a plant stalk clamped in its beak. The stalk is used for building its nest. The plant stalk it holds is its weapon. The stalk is used like a sword to cut all sorts of things. It can’t live without the stalk it holds. That’s why it defends the stalk from attackers with its life. If anyone tries to disturb where the essential plant stalks grow, it uses its own stalk to thwart them. If it eats the plant stalk it carries as emergency rations, it runs off in search of a new stalk. Farfetch’d is always seen with a stalk from a plant of some sort. Apparently, there are good stalks and bad stalks. This Pokémon has been known to fight with others over stalks. They live where reedy plants grow. Farfetch’d are rarely seen, so it’s thought their numbers are decreasing. The stalk this Pokémon carries in its wings serves as a sword to cut down opponents. In a dire situation, the stalk can also serve as food. They use a plant stalk as a weapon, but not all of them use it in the same way. Several distinct styles of stalk fighting have been observed.</t>
        </is>
      </c>
    </row>
    <row r="2480" ht="33.75" customHeight="1">
      <c r="A2480" s="7">
        <v>83.0</v>
      </c>
      <c r="B2480" s="9" t="s">
        <v>5057</v>
      </c>
      <c r="C2480" s="9" t="s">
        <v>154</v>
      </c>
      <c r="D2480" s="9" t="s">
        <v>35</v>
      </c>
      <c r="E2480" s="6" t="s">
        <v>3268</v>
      </c>
      <c r="F2480" s="9" t="s">
        <v>5910</v>
      </c>
    </row>
    <row r="2481" ht="33.75" customHeight="1">
      <c r="A2481" s="7">
        <v>83.0</v>
      </c>
      <c r="B2481" s="9" t="s">
        <v>5057</v>
      </c>
      <c r="C2481" s="9" t="s">
        <v>154</v>
      </c>
      <c r="D2481" s="9" t="s">
        <v>42</v>
      </c>
      <c r="E2481" s="6" t="s">
        <v>3269</v>
      </c>
      <c r="F2481" s="9" t="s">
        <v>5910</v>
      </c>
    </row>
    <row r="2482" ht="33.75" customHeight="1">
      <c r="A2482" s="7">
        <v>83.0</v>
      </c>
      <c r="B2482" s="9" t="s">
        <v>5057</v>
      </c>
      <c r="C2482" s="9" t="s">
        <v>154</v>
      </c>
      <c r="D2482" s="9" t="s">
        <v>52</v>
      </c>
      <c r="E2482" s="6" t="s">
        <v>3271</v>
      </c>
      <c r="F2482" s="9" t="s">
        <v>5910</v>
      </c>
    </row>
    <row r="2483" ht="33.75" customHeight="1">
      <c r="A2483" s="7">
        <v>83.0</v>
      </c>
      <c r="B2483" s="9" t="s">
        <v>5057</v>
      </c>
      <c r="C2483" s="9" t="s">
        <v>154</v>
      </c>
      <c r="D2483" s="9" t="s">
        <v>59</v>
      </c>
      <c r="E2483" s="6" t="s">
        <v>3273</v>
      </c>
      <c r="F2483" s="9" t="s">
        <v>5910</v>
      </c>
    </row>
    <row r="2484" ht="33.75" customHeight="1">
      <c r="A2484" s="7">
        <v>83.0</v>
      </c>
      <c r="B2484" s="9" t="s">
        <v>5057</v>
      </c>
      <c r="C2484" s="9" t="s">
        <v>154</v>
      </c>
      <c r="D2484" s="9" t="s">
        <v>64</v>
      </c>
      <c r="E2484" s="6" t="s">
        <v>3274</v>
      </c>
      <c r="F2484" s="9" t="s">
        <v>5910</v>
      </c>
    </row>
    <row r="2485" ht="33.75" customHeight="1">
      <c r="A2485" s="7">
        <v>83.0</v>
      </c>
      <c r="B2485" s="9" t="s">
        <v>5057</v>
      </c>
      <c r="C2485" s="9" t="s">
        <v>154</v>
      </c>
      <c r="D2485" s="9" t="s">
        <v>67</v>
      </c>
      <c r="E2485" s="6" t="s">
        <v>3275</v>
      </c>
      <c r="F2485" s="9" t="s">
        <v>5910</v>
      </c>
    </row>
    <row r="2486" ht="33.75" customHeight="1">
      <c r="A2486" s="7">
        <v>83.0</v>
      </c>
      <c r="B2486" s="9" t="s">
        <v>5057</v>
      </c>
      <c r="C2486" s="9" t="s">
        <v>154</v>
      </c>
      <c r="D2486" s="9" t="s">
        <v>71</v>
      </c>
      <c r="E2486" s="6" t="s">
        <v>3275</v>
      </c>
      <c r="F2486" s="9" t="s">
        <v>5910</v>
      </c>
    </row>
    <row r="2487" ht="33.75" customHeight="1">
      <c r="A2487" s="7">
        <v>83.0</v>
      </c>
      <c r="B2487" s="9" t="s">
        <v>5057</v>
      </c>
      <c r="C2487" s="9" t="s">
        <v>154</v>
      </c>
      <c r="D2487" s="9" t="s">
        <v>73</v>
      </c>
      <c r="E2487" s="6" t="s">
        <v>3276</v>
      </c>
      <c r="F2487" s="9" t="s">
        <v>5910</v>
      </c>
    </row>
    <row r="2488" ht="33.75" customHeight="1">
      <c r="A2488" s="7">
        <v>83.0</v>
      </c>
      <c r="B2488" s="9" t="s">
        <v>5057</v>
      </c>
      <c r="C2488" s="9" t="s">
        <v>154</v>
      </c>
      <c r="D2488" s="9" t="s">
        <v>75</v>
      </c>
      <c r="E2488" s="6" t="s">
        <v>3277</v>
      </c>
      <c r="F2488" s="9" t="s">
        <v>5910</v>
      </c>
    </row>
    <row r="2489" ht="33.75" customHeight="1">
      <c r="A2489" s="7">
        <v>83.0</v>
      </c>
      <c r="B2489" s="9" t="s">
        <v>5057</v>
      </c>
      <c r="C2489" s="9" t="s">
        <v>154</v>
      </c>
      <c r="D2489" s="9" t="s">
        <v>79</v>
      </c>
      <c r="E2489" s="6" t="s">
        <v>3278</v>
      </c>
      <c r="F2489" s="9" t="s">
        <v>5910</v>
      </c>
    </row>
    <row r="2490" ht="33.75" customHeight="1">
      <c r="A2490" s="7">
        <v>83.0</v>
      </c>
      <c r="B2490" s="9" t="s">
        <v>5057</v>
      </c>
      <c r="C2490" s="9" t="s">
        <v>154</v>
      </c>
      <c r="D2490" s="9" t="s">
        <v>81</v>
      </c>
      <c r="E2490" s="6" t="s">
        <v>3279</v>
      </c>
      <c r="F2490" s="9" t="s">
        <v>5910</v>
      </c>
    </row>
    <row r="2491" ht="33.75" customHeight="1">
      <c r="A2491" s="7">
        <v>83.0</v>
      </c>
      <c r="B2491" s="9" t="s">
        <v>5057</v>
      </c>
      <c r="C2491" s="9" t="s">
        <v>154</v>
      </c>
      <c r="D2491" s="9" t="s">
        <v>84</v>
      </c>
      <c r="E2491" s="6" t="s">
        <v>3279</v>
      </c>
      <c r="F2491" s="9" t="s">
        <v>5910</v>
      </c>
    </row>
    <row r="2492" ht="33.75" customHeight="1">
      <c r="A2492" s="7">
        <v>83.0</v>
      </c>
      <c r="B2492" s="9" t="s">
        <v>5057</v>
      </c>
      <c r="C2492" s="9" t="s">
        <v>154</v>
      </c>
      <c r="D2492" s="9" t="s">
        <v>87</v>
      </c>
      <c r="E2492" s="6" t="s">
        <v>3279</v>
      </c>
      <c r="F2492" s="9" t="s">
        <v>5910</v>
      </c>
    </row>
    <row r="2493" ht="33.75" customHeight="1">
      <c r="A2493" s="7">
        <v>83.0</v>
      </c>
      <c r="B2493" s="9" t="s">
        <v>5057</v>
      </c>
      <c r="C2493" s="9" t="s">
        <v>154</v>
      </c>
      <c r="D2493" s="9" t="s">
        <v>89</v>
      </c>
      <c r="E2493" s="6" t="s">
        <v>3281</v>
      </c>
      <c r="F2493" s="9" t="s">
        <v>5910</v>
      </c>
    </row>
    <row r="2494" ht="33.75" customHeight="1">
      <c r="A2494" s="7">
        <v>83.0</v>
      </c>
      <c r="B2494" s="9" t="s">
        <v>5057</v>
      </c>
      <c r="C2494" s="9" t="s">
        <v>154</v>
      </c>
      <c r="D2494" s="9" t="s">
        <v>91</v>
      </c>
      <c r="E2494" s="6" t="s">
        <v>3282</v>
      </c>
      <c r="F2494" s="9" t="s">
        <v>5910</v>
      </c>
    </row>
    <row r="2495" ht="33.75" customHeight="1">
      <c r="A2495" s="7">
        <v>83.0</v>
      </c>
      <c r="B2495" s="9" t="s">
        <v>5057</v>
      </c>
      <c r="C2495" s="9" t="s">
        <v>154</v>
      </c>
      <c r="D2495" s="9" t="s">
        <v>93</v>
      </c>
      <c r="E2495" s="6" t="s">
        <v>3279</v>
      </c>
      <c r="F2495" s="9" t="s">
        <v>5910</v>
      </c>
    </row>
    <row r="2496" ht="33.75" customHeight="1">
      <c r="A2496" s="7">
        <v>83.0</v>
      </c>
      <c r="B2496" s="9" t="s">
        <v>5057</v>
      </c>
      <c r="C2496" s="9" t="s">
        <v>154</v>
      </c>
      <c r="D2496" s="9" t="s">
        <v>95</v>
      </c>
      <c r="E2496" s="6" t="s">
        <v>3279</v>
      </c>
      <c r="F2496" s="9" t="s">
        <v>5910</v>
      </c>
    </row>
    <row r="2497" ht="33.75" customHeight="1">
      <c r="A2497" s="7">
        <v>83.0</v>
      </c>
      <c r="B2497" s="9" t="s">
        <v>5057</v>
      </c>
      <c r="C2497" s="9" t="s">
        <v>154</v>
      </c>
      <c r="D2497" s="9" t="s">
        <v>98</v>
      </c>
      <c r="E2497" s="6" t="s">
        <v>3279</v>
      </c>
      <c r="F2497" s="9" t="s">
        <v>5910</v>
      </c>
    </row>
    <row r="2498" ht="33.75" customHeight="1">
      <c r="A2498" s="7">
        <v>83.0</v>
      </c>
      <c r="B2498" s="9" t="s">
        <v>5057</v>
      </c>
      <c r="C2498" s="9" t="s">
        <v>154</v>
      </c>
      <c r="D2498" s="9" t="s">
        <v>99</v>
      </c>
      <c r="E2498" s="6" t="s">
        <v>3279</v>
      </c>
      <c r="F2498" s="9" t="s">
        <v>5910</v>
      </c>
    </row>
    <row r="2499" ht="33.75" customHeight="1">
      <c r="A2499" s="7">
        <v>83.0</v>
      </c>
      <c r="B2499" s="9" t="s">
        <v>5057</v>
      </c>
      <c r="C2499" s="9" t="s">
        <v>154</v>
      </c>
      <c r="D2499" s="9" t="s">
        <v>101</v>
      </c>
      <c r="E2499" s="6" t="s">
        <v>3278</v>
      </c>
      <c r="F2499" s="9" t="s">
        <v>5910</v>
      </c>
    </row>
    <row r="2500" ht="33.75" customHeight="1">
      <c r="A2500" s="7">
        <v>83.0</v>
      </c>
      <c r="B2500" s="9" t="s">
        <v>5057</v>
      </c>
      <c r="C2500" s="9" t="s">
        <v>154</v>
      </c>
      <c r="D2500" s="9" t="s">
        <v>105</v>
      </c>
      <c r="E2500" s="6" t="s">
        <v>3277</v>
      </c>
      <c r="F2500" s="9" t="s">
        <v>5910</v>
      </c>
    </row>
    <row r="2501" ht="33.75" customHeight="1">
      <c r="A2501" s="7">
        <v>83.0</v>
      </c>
      <c r="B2501" s="9" t="s">
        <v>5057</v>
      </c>
      <c r="C2501" s="9" t="s">
        <v>154</v>
      </c>
      <c r="D2501" s="9" t="s">
        <v>107</v>
      </c>
      <c r="E2501" s="6" t="s">
        <v>3286</v>
      </c>
      <c r="F2501" s="9" t="s">
        <v>5910</v>
      </c>
    </row>
    <row r="2502" ht="33.75" customHeight="1">
      <c r="A2502" s="7">
        <v>83.0</v>
      </c>
      <c r="B2502" s="9" t="s">
        <v>5057</v>
      </c>
      <c r="C2502" s="9" t="s">
        <v>154</v>
      </c>
      <c r="D2502" s="9" t="s">
        <v>109</v>
      </c>
      <c r="E2502" s="6" t="s">
        <v>3286</v>
      </c>
      <c r="F2502" s="9" t="s">
        <v>5910</v>
      </c>
    </row>
    <row r="2503" ht="33.75" customHeight="1">
      <c r="A2503" s="7">
        <v>83.0</v>
      </c>
      <c r="B2503" s="9" t="s">
        <v>5057</v>
      </c>
      <c r="C2503" s="9" t="s">
        <v>154</v>
      </c>
      <c r="D2503" s="9" t="s">
        <v>111</v>
      </c>
      <c r="E2503" s="6" t="s">
        <v>3288</v>
      </c>
      <c r="F2503" s="9" t="s">
        <v>5910</v>
      </c>
    </row>
    <row r="2504" ht="33.75" customHeight="1">
      <c r="A2504" s="7">
        <v>83.0</v>
      </c>
      <c r="B2504" s="9" t="s">
        <v>5057</v>
      </c>
      <c r="C2504" s="9" t="s">
        <v>154</v>
      </c>
      <c r="D2504" s="9" t="s">
        <v>113</v>
      </c>
      <c r="E2504" s="6" t="s">
        <v>3288</v>
      </c>
      <c r="F2504" s="9" t="s">
        <v>5910</v>
      </c>
    </row>
    <row r="2505" ht="33.75" customHeight="1">
      <c r="A2505" s="7">
        <v>83.0</v>
      </c>
      <c r="B2505" s="9" t="s">
        <v>5057</v>
      </c>
      <c r="C2505" s="9" t="s">
        <v>154</v>
      </c>
      <c r="D2505" s="9" t="s">
        <v>114</v>
      </c>
      <c r="E2505" s="6" t="s">
        <v>3290</v>
      </c>
      <c r="F2505" s="9" t="s">
        <v>5910</v>
      </c>
    </row>
    <row r="2506" ht="33.75" customHeight="1">
      <c r="A2506" s="7">
        <v>83.0</v>
      </c>
      <c r="B2506" s="9" t="s">
        <v>5057</v>
      </c>
      <c r="C2506" s="9" t="s">
        <v>154</v>
      </c>
      <c r="D2506" s="9" t="s">
        <v>117</v>
      </c>
      <c r="E2506" s="6" t="s">
        <v>3291</v>
      </c>
      <c r="F2506" s="9" t="s">
        <v>5910</v>
      </c>
    </row>
    <row r="2507" ht="33.75" customHeight="1">
      <c r="A2507" s="7">
        <v>84.0</v>
      </c>
      <c r="B2507" s="9" t="s">
        <v>5132</v>
      </c>
      <c r="C2507" s="9" t="s">
        <v>155</v>
      </c>
      <c r="D2507" s="9" t="s">
        <v>24</v>
      </c>
      <c r="E2507" s="6" t="s">
        <v>3293</v>
      </c>
      <c r="F2507" s="9" t="s">
        <v>5988</v>
      </c>
      <c r="G2507" t="inlineStr" s="6">
        <is>
          <t xml:space="preserve">A bird that makes up for Doduo's poor flying with its fast foot speed. Leaves giant footprints. Its short wings make flying difficult. Instead, this POKéMON runs at high speed on developed legs. By alternately raising and lower ing its two heads, it balances itself to be more stable while running. It races through grassy plains with powerful strides, leaving footprints up to four inches deep. It lives on a grassy plain where it can see a long way. If it sees an enemy, it runs away at 60 mph. DODUO’s two heads never sleep at the same time. Its two heads take turns sleeping, so one head can always keep watch for enemies while the other one sleeps. DODUO’s two heads contain completely identical brains. A scientific study reported that on rare occasions, there will be examples of this POKéMON possessing different sets of brains. Even while eating or sleeping, one of the heads remains always vigilant for any sign of danger. When threatened, it flees at over 60 miles per hour. A two-headed POKéMON that was discovered as a sudden mutation. It runs at a pace of over 60 miles per hour. The brains in its two heads appear to communicate emotions to each other with a telepathic power. By alternately raising and lowering its two heads, it balances itself to be more stable while running.</t>
        </is>
      </c>
    </row>
    <row r="2508" ht="33.75" customHeight="1">
      <c r="A2508" s="7">
        <v>84.0</v>
      </c>
      <c r="B2508" s="9" t="s">
        <v>5132</v>
      </c>
      <c r="C2508" s="9" t="s">
        <v>155</v>
      </c>
      <c r="D2508" s="9" t="s">
        <v>35</v>
      </c>
      <c r="E2508" s="6" t="s">
        <v>3293</v>
      </c>
      <c r="F2508" s="9" t="s">
        <v>5988</v>
      </c>
    </row>
    <row r="2509" ht="33.75" customHeight="1">
      <c r="A2509" s="7">
        <v>84.0</v>
      </c>
      <c r="B2509" s="9" t="s">
        <v>5132</v>
      </c>
      <c r="C2509" s="9" t="s">
        <v>155</v>
      </c>
      <c r="D2509" s="9" t="s">
        <v>42</v>
      </c>
      <c r="E2509" s="6" t="s">
        <v>3295</v>
      </c>
      <c r="F2509" s="9" t="s">
        <v>5988</v>
      </c>
    </row>
    <row r="2510" ht="33.75" customHeight="1">
      <c r="A2510" s="7">
        <v>84.0</v>
      </c>
      <c r="B2510" s="9" t="s">
        <v>5132</v>
      </c>
      <c r="C2510" s="9" t="s">
        <v>155</v>
      </c>
      <c r="D2510" s="9" t="s">
        <v>52</v>
      </c>
      <c r="E2510" s="6" t="s">
        <v>3297</v>
      </c>
      <c r="F2510" s="9" t="s">
        <v>5988</v>
      </c>
    </row>
    <row r="2511" ht="33.75" customHeight="1">
      <c r="A2511" s="7">
        <v>84.0</v>
      </c>
      <c r="B2511" s="9" t="s">
        <v>5132</v>
      </c>
      <c r="C2511" s="9" t="s">
        <v>155</v>
      </c>
      <c r="D2511" s="9" t="s">
        <v>59</v>
      </c>
      <c r="E2511" s="6" t="s">
        <v>3299</v>
      </c>
      <c r="F2511" s="9" t="s">
        <v>5988</v>
      </c>
    </row>
    <row r="2512" ht="33.75" customHeight="1">
      <c r="A2512" s="7">
        <v>84.0</v>
      </c>
      <c r="B2512" s="9" t="s">
        <v>5132</v>
      </c>
      <c r="C2512" s="9" t="s">
        <v>155</v>
      </c>
      <c r="D2512" s="9" t="s">
        <v>64</v>
      </c>
      <c r="E2512" s="6" t="s">
        <v>3301</v>
      </c>
      <c r="F2512" s="9" t="s">
        <v>5988</v>
      </c>
    </row>
    <row r="2513" ht="33.75" customHeight="1">
      <c r="A2513" s="7">
        <v>84.0</v>
      </c>
      <c r="B2513" s="9" t="s">
        <v>5132</v>
      </c>
      <c r="C2513" s="9" t="s">
        <v>155</v>
      </c>
      <c r="D2513" s="9" t="s">
        <v>67</v>
      </c>
      <c r="E2513" s="6" t="s">
        <v>3303</v>
      </c>
      <c r="F2513" s="9" t="s">
        <v>5988</v>
      </c>
    </row>
    <row r="2514" ht="33.75" customHeight="1">
      <c r="A2514" s="7">
        <v>84.0</v>
      </c>
      <c r="B2514" s="9" t="s">
        <v>5132</v>
      </c>
      <c r="C2514" s="9" t="s">
        <v>155</v>
      </c>
      <c r="D2514" s="9" t="s">
        <v>71</v>
      </c>
      <c r="E2514" s="6" t="s">
        <v>3305</v>
      </c>
      <c r="F2514" s="9" t="s">
        <v>5988</v>
      </c>
    </row>
    <row r="2515" ht="33.75" customHeight="1">
      <c r="A2515" s="7">
        <v>84.0</v>
      </c>
      <c r="B2515" s="9" t="s">
        <v>5132</v>
      </c>
      <c r="C2515" s="9" t="s">
        <v>155</v>
      </c>
      <c r="D2515" s="9" t="s">
        <v>73</v>
      </c>
      <c r="E2515" s="6" t="s">
        <v>3307</v>
      </c>
      <c r="F2515" s="9" t="s">
        <v>5988</v>
      </c>
    </row>
    <row r="2516" ht="33.75" customHeight="1">
      <c r="A2516" s="7">
        <v>84.0</v>
      </c>
      <c r="B2516" s="9" t="s">
        <v>5132</v>
      </c>
      <c r="C2516" s="9" t="s">
        <v>155</v>
      </c>
      <c r="D2516" s="9" t="s">
        <v>75</v>
      </c>
      <c r="E2516" s="6" t="s">
        <v>3309</v>
      </c>
      <c r="F2516" s="9" t="s">
        <v>5988</v>
      </c>
    </row>
    <row r="2517" ht="33.75" customHeight="1">
      <c r="A2517" s="7">
        <v>84.0</v>
      </c>
      <c r="B2517" s="9" t="s">
        <v>5132</v>
      </c>
      <c r="C2517" s="9" t="s">
        <v>155</v>
      </c>
      <c r="D2517" s="9" t="s">
        <v>79</v>
      </c>
      <c r="E2517" s="6" t="s">
        <v>3293</v>
      </c>
      <c r="F2517" s="9" t="s">
        <v>5988</v>
      </c>
    </row>
    <row r="2518" ht="33.75" customHeight="1">
      <c r="A2518" s="7">
        <v>84.0</v>
      </c>
      <c r="B2518" s="9" t="s">
        <v>5132</v>
      </c>
      <c r="C2518" s="9" t="s">
        <v>155</v>
      </c>
      <c r="D2518" s="9" t="s">
        <v>81</v>
      </c>
      <c r="E2518" s="6" t="s">
        <v>3310</v>
      </c>
      <c r="F2518" s="9" t="s">
        <v>5988</v>
      </c>
    </row>
    <row r="2519" ht="33.75" customHeight="1">
      <c r="A2519" s="7">
        <v>84.0</v>
      </c>
      <c r="B2519" s="9" t="s">
        <v>5132</v>
      </c>
      <c r="C2519" s="9" t="s">
        <v>155</v>
      </c>
      <c r="D2519" s="9" t="s">
        <v>84</v>
      </c>
      <c r="E2519" s="6" t="s">
        <v>3310</v>
      </c>
      <c r="F2519" s="9" t="s">
        <v>5988</v>
      </c>
    </row>
    <row r="2520" ht="33.75" customHeight="1">
      <c r="A2520" s="7">
        <v>84.0</v>
      </c>
      <c r="B2520" s="9" t="s">
        <v>5132</v>
      </c>
      <c r="C2520" s="9" t="s">
        <v>155</v>
      </c>
      <c r="D2520" s="9" t="s">
        <v>87</v>
      </c>
      <c r="E2520" s="6" t="s">
        <v>3310</v>
      </c>
      <c r="F2520" s="9" t="s">
        <v>5988</v>
      </c>
    </row>
    <row r="2521" ht="33.75" customHeight="1">
      <c r="A2521" s="7">
        <v>84.0</v>
      </c>
      <c r="B2521" s="9" t="s">
        <v>5132</v>
      </c>
      <c r="C2521" s="9" t="s">
        <v>155</v>
      </c>
      <c r="D2521" s="9" t="s">
        <v>89</v>
      </c>
      <c r="E2521" s="6" t="s">
        <v>3312</v>
      </c>
      <c r="F2521" s="9" t="s">
        <v>5988</v>
      </c>
    </row>
    <row r="2522" ht="33.75" customHeight="1">
      <c r="A2522" s="7">
        <v>84.0</v>
      </c>
      <c r="B2522" s="9" t="s">
        <v>5132</v>
      </c>
      <c r="C2522" s="9" t="s">
        <v>155</v>
      </c>
      <c r="D2522" s="9" t="s">
        <v>91</v>
      </c>
      <c r="E2522" s="6" t="s">
        <v>3299</v>
      </c>
      <c r="F2522" s="9" t="s">
        <v>5988</v>
      </c>
    </row>
    <row r="2523" ht="33.75" customHeight="1">
      <c r="A2523" s="7">
        <v>84.0</v>
      </c>
      <c r="B2523" s="9" t="s">
        <v>5132</v>
      </c>
      <c r="C2523" s="9" t="s">
        <v>155</v>
      </c>
      <c r="D2523" s="9" t="s">
        <v>93</v>
      </c>
      <c r="E2523" s="6" t="s">
        <v>3310</v>
      </c>
      <c r="F2523" s="9" t="s">
        <v>5988</v>
      </c>
    </row>
    <row r="2524" ht="33.75" customHeight="1">
      <c r="A2524" s="7">
        <v>84.0</v>
      </c>
      <c r="B2524" s="9" t="s">
        <v>5132</v>
      </c>
      <c r="C2524" s="9" t="s">
        <v>155</v>
      </c>
      <c r="D2524" s="9" t="s">
        <v>95</v>
      </c>
      <c r="E2524" s="6" t="s">
        <v>3310</v>
      </c>
      <c r="F2524" s="9" t="s">
        <v>5988</v>
      </c>
    </row>
    <row r="2525" ht="33.75" customHeight="1">
      <c r="A2525" s="7">
        <v>84.0</v>
      </c>
      <c r="B2525" s="9" t="s">
        <v>5132</v>
      </c>
      <c r="C2525" s="9" t="s">
        <v>155</v>
      </c>
      <c r="D2525" s="9" t="s">
        <v>98</v>
      </c>
      <c r="E2525" s="6" t="s">
        <v>3310</v>
      </c>
      <c r="F2525" s="9" t="s">
        <v>5988</v>
      </c>
    </row>
    <row r="2526" ht="33.75" customHeight="1">
      <c r="A2526" s="7">
        <v>84.0</v>
      </c>
      <c r="B2526" s="9" t="s">
        <v>5132</v>
      </c>
      <c r="C2526" s="9" t="s">
        <v>155</v>
      </c>
      <c r="D2526" s="9" t="s">
        <v>99</v>
      </c>
      <c r="E2526" s="6" t="s">
        <v>3310</v>
      </c>
      <c r="F2526" s="9" t="s">
        <v>5988</v>
      </c>
    </row>
    <row r="2527" ht="33.75" customHeight="1">
      <c r="A2527" s="7">
        <v>84.0</v>
      </c>
      <c r="B2527" s="9" t="s">
        <v>5132</v>
      </c>
      <c r="C2527" s="9" t="s">
        <v>155</v>
      </c>
      <c r="D2527" s="9" t="s">
        <v>101</v>
      </c>
      <c r="E2527" s="6" t="s">
        <v>3314</v>
      </c>
      <c r="F2527" s="9" t="s">
        <v>5988</v>
      </c>
    </row>
    <row r="2528" ht="33.75" customHeight="1">
      <c r="A2528" s="7">
        <v>84.0</v>
      </c>
      <c r="B2528" s="9" t="s">
        <v>5132</v>
      </c>
      <c r="C2528" s="9" t="s">
        <v>155</v>
      </c>
      <c r="D2528" s="9" t="s">
        <v>105</v>
      </c>
      <c r="E2528" s="6" t="s">
        <v>3310</v>
      </c>
      <c r="F2528" s="9" t="s">
        <v>5988</v>
      </c>
    </row>
    <row r="2529" ht="33.75" customHeight="1">
      <c r="A2529" s="7">
        <v>84.0</v>
      </c>
      <c r="B2529" s="9" t="s">
        <v>5132</v>
      </c>
      <c r="C2529" s="9" t="s">
        <v>155</v>
      </c>
      <c r="D2529" s="9" t="s">
        <v>107</v>
      </c>
      <c r="E2529" s="6" t="s">
        <v>3316</v>
      </c>
      <c r="F2529" s="9" t="s">
        <v>5988</v>
      </c>
    </row>
    <row r="2530" ht="33.75" customHeight="1">
      <c r="A2530" s="7">
        <v>84.0</v>
      </c>
      <c r="B2530" s="9" t="s">
        <v>5132</v>
      </c>
      <c r="C2530" s="9" t="s">
        <v>155</v>
      </c>
      <c r="D2530" s="9" t="s">
        <v>109</v>
      </c>
      <c r="E2530" s="6" t="s">
        <v>3318</v>
      </c>
      <c r="F2530" s="9" t="s">
        <v>5988</v>
      </c>
    </row>
    <row r="2531" ht="33.75" customHeight="1">
      <c r="A2531" s="7">
        <v>84.0</v>
      </c>
      <c r="B2531" s="9" t="s">
        <v>5132</v>
      </c>
      <c r="C2531" s="9" t="s">
        <v>155</v>
      </c>
      <c r="D2531" s="9" t="s">
        <v>111</v>
      </c>
      <c r="E2531" s="6" t="s">
        <v>3320</v>
      </c>
      <c r="F2531" s="9" t="s">
        <v>5988</v>
      </c>
    </row>
    <row r="2532" ht="33.75" customHeight="1">
      <c r="A2532" s="7">
        <v>84.0</v>
      </c>
      <c r="B2532" s="9" t="s">
        <v>5132</v>
      </c>
      <c r="C2532" s="9" t="s">
        <v>155</v>
      </c>
      <c r="D2532" s="9" t="s">
        <v>113</v>
      </c>
      <c r="E2532" s="6" t="s">
        <v>3320</v>
      </c>
      <c r="F2532" s="9" t="s">
        <v>5988</v>
      </c>
    </row>
    <row r="2533" ht="33.75" customHeight="1">
      <c r="A2533" s="7">
        <v>85.0</v>
      </c>
      <c r="B2533" s="9" t="s">
        <v>5204</v>
      </c>
      <c r="C2533" s="9" t="s">
        <v>156</v>
      </c>
      <c r="D2533" s="9" t="s">
        <v>24</v>
      </c>
      <c r="E2533" s="6" t="s">
        <v>3321</v>
      </c>
      <c r="F2533" s="9" t="s">
        <v>6058</v>
      </c>
      <c r="G2533" t="inlineStr" s="6">
        <is>
          <t xml:space="preserve">Uses Dodrio's three brains to execute complex plans. While two heads sleep, one head stays awake. One of DODUO's 2 heads splits to form a unique species. It runs close to 40 MPH in prairies. It collects data and plans three times as wisely, but it may think too much and be come immobilized. If one of the heads gets to eat, the others will be satisfied, too, and they will stop squabbling. An enemy that takes its eyes off any of the three heads--even for a second--will get pecked severely. Watch out if DODRIO’s three heads are looking in three separate directions. It’s a sure sign that it is on its guard. Don’t go near this POKéMON if it’s being wary - it may decide to peck you. Apparently, the heads aren’t the only parts of the body that DODRIO has three of. It has three sets of hearts and lungs as well, so it is capable of running long distances without rest. A peculiar POKéMON species with three heads. It vigorously races across grassy plains even in arid seasons with little rainfall. An odd species that is rarely found. The three heads respectively represent joy, sadness, and anger. While two heads sleep, one head is said to stay awake. When DODUO evolves into this odd breed, one of its heads splits into two. It runs at nearly 40 mph. It collects data and plans three times as wisely, but it may think too much and fall into a state of immobility. Don’t go near this Pokémon if it’s being wary—it may decide to peck you. One of Doduo’s two heads splits to form a unique species.</t>
        </is>
      </c>
    </row>
    <row r="2534" ht="33.75" customHeight="1">
      <c r="A2534" s="7">
        <v>85.0</v>
      </c>
      <c r="B2534" s="9" t="s">
        <v>5204</v>
      </c>
      <c r="C2534" s="9" t="s">
        <v>156</v>
      </c>
      <c r="D2534" s="9" t="s">
        <v>35</v>
      </c>
      <c r="E2534" s="6" t="s">
        <v>3321</v>
      </c>
      <c r="F2534" s="9" t="s">
        <v>6058</v>
      </c>
    </row>
    <row r="2535" ht="33.75" customHeight="1">
      <c r="A2535" s="7">
        <v>85.0</v>
      </c>
      <c r="B2535" s="9" t="s">
        <v>5204</v>
      </c>
      <c r="C2535" s="9" t="s">
        <v>156</v>
      </c>
      <c r="D2535" s="9" t="s">
        <v>42</v>
      </c>
      <c r="E2535" s="6" t="s">
        <v>3322</v>
      </c>
      <c r="F2535" s="9" t="s">
        <v>6058</v>
      </c>
    </row>
    <row r="2536" ht="33.75" customHeight="1">
      <c r="A2536" s="7">
        <v>85.0</v>
      </c>
      <c r="B2536" s="9" t="s">
        <v>5204</v>
      </c>
      <c r="C2536" s="9" t="s">
        <v>156</v>
      </c>
      <c r="D2536" s="9" t="s">
        <v>52</v>
      </c>
      <c r="E2536" s="6" t="s">
        <v>3324</v>
      </c>
      <c r="F2536" s="9" t="s">
        <v>6058</v>
      </c>
    </row>
    <row r="2537" ht="33.75" customHeight="1">
      <c r="A2537" s="7">
        <v>85.0</v>
      </c>
      <c r="B2537" s="9" t="s">
        <v>5204</v>
      </c>
      <c r="C2537" s="9" t="s">
        <v>156</v>
      </c>
      <c r="D2537" s="9" t="s">
        <v>59</v>
      </c>
      <c r="E2537" s="6" t="s">
        <v>3325</v>
      </c>
      <c r="F2537" s="9" t="s">
        <v>6058</v>
      </c>
    </row>
    <row r="2538" ht="33.75" customHeight="1">
      <c r="A2538" s="7">
        <v>85.0</v>
      </c>
      <c r="B2538" s="9" t="s">
        <v>5204</v>
      </c>
      <c r="C2538" s="9" t="s">
        <v>156</v>
      </c>
      <c r="D2538" s="9" t="s">
        <v>64</v>
      </c>
      <c r="E2538" s="6" t="s">
        <v>3326</v>
      </c>
      <c r="F2538" s="9" t="s">
        <v>6058</v>
      </c>
    </row>
    <row r="2539" ht="33.75" customHeight="1">
      <c r="A2539" s="7">
        <v>85.0</v>
      </c>
      <c r="B2539" s="9" t="s">
        <v>5204</v>
      </c>
      <c r="C2539" s="9" t="s">
        <v>156</v>
      </c>
      <c r="D2539" s="9" t="s">
        <v>67</v>
      </c>
      <c r="E2539" s="6" t="s">
        <v>3327</v>
      </c>
      <c r="F2539" s="9" t="s">
        <v>6058</v>
      </c>
    </row>
    <row r="2540" ht="33.75" customHeight="1">
      <c r="A2540" s="7">
        <v>85.0</v>
      </c>
      <c r="B2540" s="9" t="s">
        <v>5204</v>
      </c>
      <c r="C2540" s="9" t="s">
        <v>156</v>
      </c>
      <c r="D2540" s="9" t="s">
        <v>71</v>
      </c>
      <c r="E2540" s="6" t="s">
        <v>3328</v>
      </c>
      <c r="F2540" s="9" t="s">
        <v>6058</v>
      </c>
    </row>
    <row r="2541" ht="33.75" customHeight="1">
      <c r="A2541" s="7">
        <v>85.0</v>
      </c>
      <c r="B2541" s="9" t="s">
        <v>5204</v>
      </c>
      <c r="C2541" s="9" t="s">
        <v>156</v>
      </c>
      <c r="D2541" s="9" t="s">
        <v>73</v>
      </c>
      <c r="E2541" s="6" t="s">
        <v>3330</v>
      </c>
      <c r="F2541" s="9" t="s">
        <v>6058</v>
      </c>
    </row>
    <row r="2542" ht="33.75" customHeight="1">
      <c r="A2542" s="7">
        <v>85.0</v>
      </c>
      <c r="B2542" s="9" t="s">
        <v>5204</v>
      </c>
      <c r="C2542" s="9" t="s">
        <v>156</v>
      </c>
      <c r="D2542" s="9" t="s">
        <v>75</v>
      </c>
      <c r="E2542" s="6" t="s">
        <v>3332</v>
      </c>
      <c r="F2542" s="9" t="s">
        <v>6058</v>
      </c>
    </row>
    <row r="2543" ht="33.75" customHeight="1">
      <c r="A2543" s="7">
        <v>85.0</v>
      </c>
      <c r="B2543" s="9" t="s">
        <v>5204</v>
      </c>
      <c r="C2543" s="9" t="s">
        <v>156</v>
      </c>
      <c r="D2543" s="9" t="s">
        <v>79</v>
      </c>
      <c r="E2543" s="6" t="s">
        <v>3334</v>
      </c>
      <c r="F2543" s="9" t="s">
        <v>6058</v>
      </c>
    </row>
    <row r="2544" ht="33.75" customHeight="1">
      <c r="A2544" s="7">
        <v>85.0</v>
      </c>
      <c r="B2544" s="9" t="s">
        <v>5204</v>
      </c>
      <c r="C2544" s="9" t="s">
        <v>156</v>
      </c>
      <c r="D2544" s="9" t="s">
        <v>81</v>
      </c>
      <c r="E2544" s="6" t="s">
        <v>3336</v>
      </c>
      <c r="F2544" s="9" t="s">
        <v>6058</v>
      </c>
    </row>
    <row r="2545" ht="33.75" customHeight="1">
      <c r="A2545" s="7">
        <v>85.0</v>
      </c>
      <c r="B2545" s="9" t="s">
        <v>5204</v>
      </c>
      <c r="C2545" s="9" t="s">
        <v>156</v>
      </c>
      <c r="D2545" s="9" t="s">
        <v>84</v>
      </c>
      <c r="E2545" s="6" t="s">
        <v>3336</v>
      </c>
      <c r="F2545" s="9" t="s">
        <v>6058</v>
      </c>
    </row>
    <row r="2546" ht="33.75" customHeight="1">
      <c r="A2546" s="7">
        <v>85.0</v>
      </c>
      <c r="B2546" s="9" t="s">
        <v>5204</v>
      </c>
      <c r="C2546" s="9" t="s">
        <v>156</v>
      </c>
      <c r="D2546" s="9" t="s">
        <v>87</v>
      </c>
      <c r="E2546" s="6" t="s">
        <v>3336</v>
      </c>
      <c r="F2546" s="9" t="s">
        <v>6058</v>
      </c>
    </row>
    <row r="2547" ht="33.75" customHeight="1">
      <c r="A2547" s="7">
        <v>85.0</v>
      </c>
      <c r="B2547" s="9" t="s">
        <v>5204</v>
      </c>
      <c r="C2547" s="9" t="s">
        <v>156</v>
      </c>
      <c r="D2547" s="9" t="s">
        <v>89</v>
      </c>
      <c r="E2547" s="6" t="s">
        <v>3338</v>
      </c>
      <c r="F2547" s="9" t="s">
        <v>6058</v>
      </c>
    </row>
    <row r="2548" ht="33.75" customHeight="1">
      <c r="A2548" s="7">
        <v>85.0</v>
      </c>
      <c r="B2548" s="9" t="s">
        <v>5204</v>
      </c>
      <c r="C2548" s="9" t="s">
        <v>156</v>
      </c>
      <c r="D2548" s="9" t="s">
        <v>91</v>
      </c>
      <c r="E2548" s="6" t="s">
        <v>3325</v>
      </c>
      <c r="F2548" s="9" t="s">
        <v>6058</v>
      </c>
    </row>
    <row r="2549" ht="33.75" customHeight="1">
      <c r="A2549" s="7">
        <v>85.0</v>
      </c>
      <c r="B2549" s="9" t="s">
        <v>5204</v>
      </c>
      <c r="C2549" s="9" t="s">
        <v>156</v>
      </c>
      <c r="D2549" s="9" t="s">
        <v>93</v>
      </c>
      <c r="E2549" s="6" t="s">
        <v>3340</v>
      </c>
      <c r="F2549" s="9" t="s">
        <v>6058</v>
      </c>
    </row>
    <row r="2550" ht="33.75" customHeight="1">
      <c r="A2550" s="7">
        <v>85.0</v>
      </c>
      <c r="B2550" s="9" t="s">
        <v>5204</v>
      </c>
      <c r="C2550" s="9" t="s">
        <v>156</v>
      </c>
      <c r="D2550" s="9" t="s">
        <v>95</v>
      </c>
      <c r="E2550" s="6" t="s">
        <v>3340</v>
      </c>
      <c r="F2550" s="9" t="s">
        <v>6058</v>
      </c>
    </row>
    <row r="2551" ht="33.75" customHeight="1">
      <c r="A2551" s="7">
        <v>85.0</v>
      </c>
      <c r="B2551" s="9" t="s">
        <v>5204</v>
      </c>
      <c r="C2551" s="9" t="s">
        <v>156</v>
      </c>
      <c r="D2551" s="9" t="s">
        <v>98</v>
      </c>
      <c r="E2551" s="6" t="s">
        <v>3340</v>
      </c>
      <c r="F2551" s="9" t="s">
        <v>6058</v>
      </c>
    </row>
    <row r="2552" ht="33.75" customHeight="1">
      <c r="A2552" s="7">
        <v>85.0</v>
      </c>
      <c r="B2552" s="9" t="s">
        <v>5204</v>
      </c>
      <c r="C2552" s="9" t="s">
        <v>156</v>
      </c>
      <c r="D2552" s="9" t="s">
        <v>99</v>
      </c>
      <c r="E2552" s="6" t="s">
        <v>3340</v>
      </c>
      <c r="F2552" s="9" t="s">
        <v>6058</v>
      </c>
    </row>
    <row r="2553" ht="33.75" customHeight="1">
      <c r="A2553" s="7">
        <v>85.0</v>
      </c>
      <c r="B2553" s="9" t="s">
        <v>5204</v>
      </c>
      <c r="C2553" s="9" t="s">
        <v>156</v>
      </c>
      <c r="D2553" s="9" t="s">
        <v>101</v>
      </c>
      <c r="E2553" s="6" t="s">
        <v>3326</v>
      </c>
      <c r="F2553" s="9" t="s">
        <v>6058</v>
      </c>
    </row>
    <row r="2554" ht="33.75" customHeight="1">
      <c r="A2554" s="7">
        <v>85.0</v>
      </c>
      <c r="B2554" s="9" t="s">
        <v>5204</v>
      </c>
      <c r="C2554" s="9" t="s">
        <v>156</v>
      </c>
      <c r="D2554" s="9" t="s">
        <v>105</v>
      </c>
      <c r="E2554" s="6" t="s">
        <v>3332</v>
      </c>
      <c r="F2554" s="9" t="s">
        <v>6058</v>
      </c>
    </row>
    <row r="2555" ht="33.75" customHeight="1">
      <c r="A2555" s="7">
        <v>85.0</v>
      </c>
      <c r="B2555" s="9" t="s">
        <v>5204</v>
      </c>
      <c r="C2555" s="9" t="s">
        <v>156</v>
      </c>
      <c r="D2555" s="9" t="s">
        <v>107</v>
      </c>
      <c r="E2555" s="6" t="s">
        <v>3342</v>
      </c>
      <c r="F2555" s="9" t="s">
        <v>6058</v>
      </c>
    </row>
    <row r="2556" ht="33.75" customHeight="1">
      <c r="A2556" s="7">
        <v>85.0</v>
      </c>
      <c r="B2556" s="9" t="s">
        <v>5204</v>
      </c>
      <c r="C2556" s="9" t="s">
        <v>156</v>
      </c>
      <c r="D2556" s="9" t="s">
        <v>109</v>
      </c>
      <c r="E2556" s="6" t="s">
        <v>3344</v>
      </c>
      <c r="F2556" s="9" t="s">
        <v>6058</v>
      </c>
    </row>
    <row r="2557" ht="33.75" customHeight="1">
      <c r="A2557" s="7">
        <v>85.0</v>
      </c>
      <c r="B2557" s="9" t="s">
        <v>5204</v>
      </c>
      <c r="C2557" s="9" t="s">
        <v>156</v>
      </c>
      <c r="D2557" s="9" t="s">
        <v>111</v>
      </c>
      <c r="E2557" s="6" t="s">
        <v>3347</v>
      </c>
      <c r="F2557" s="9" t="s">
        <v>6058</v>
      </c>
    </row>
    <row r="2558" ht="33.75" customHeight="1">
      <c r="A2558" s="7">
        <v>85.0</v>
      </c>
      <c r="B2558" s="9" t="s">
        <v>5204</v>
      </c>
      <c r="C2558" s="9" t="s">
        <v>156</v>
      </c>
      <c r="D2558" s="9" t="s">
        <v>113</v>
      </c>
      <c r="E2558" s="6" t="s">
        <v>3347</v>
      </c>
      <c r="F2558" s="9" t="s">
        <v>6058</v>
      </c>
    </row>
    <row r="2559" ht="33.75" customHeight="1">
      <c r="A2559" s="7">
        <v>86.0</v>
      </c>
      <c r="B2559" s="9" t="s">
        <v>5272</v>
      </c>
      <c r="C2559" s="9" t="s">
        <v>158</v>
      </c>
      <c r="D2559" s="9" t="s">
        <v>24</v>
      </c>
      <c r="E2559" s="6" t="s">
        <v>3348</v>
      </c>
      <c r="F2559" s="9" t="s">
        <v>6107</v>
      </c>
      <c r="G2559" t="inlineStr" s="6">
        <is>
          <t xml:space="preserve">The protruding horn on Seel's head is very hard. It is used for bashing through thick ice. Loves freezing cold conditions. Relishes swimming in a frigid climate of around 14F degrees. Although it can't walk well on land, it is a graceful swimmer. It especially loves being in frigid seas. In daytime, it is often found asleep on the seabed in shallow waters. Its nostrils close while it swims. The light blue fur that covers it keeps it protected against the cold. It loves iceberg- filled oceans. SEEL hunts for prey in the frigid sea underneath sheets of ice. When it needs to breathe, it punches a hole through the ice with the sharply protruding section of its head. SEEL hunt for prey in frigid, ice-covered seas. Covered with light blue fur, its hide is thick and tough. It is active in bitter cold of minus 40 degrees Fahrenheit. It is used for bashing through thick icebergs. A Pokémon that lives on icebergs. It swims in the sea using the point on its head to break up ice. The colder it gets, the better it feels. It joyfully swims around oceans so cold that they are filled with floating ice. It is active in bitter cold of -40 degrees Fahrenheit. It has always been supposed that Seel live only in cold seas. Their having shown up in Alola is a mystery. Thanks to its thick fat, cold seas don’t bother it at all, but it gets tired pretty easily in warm waters. Loves freezing-cold conditions. Relishes swimming in a frigid climate of around 14 degrees Fahrenheit.</t>
        </is>
      </c>
    </row>
    <row r="2560" ht="33.75" customHeight="1">
      <c r="A2560" s="7">
        <v>86.0</v>
      </c>
      <c r="B2560" s="9" t="s">
        <v>5272</v>
      </c>
      <c r="C2560" s="9" t="s">
        <v>158</v>
      </c>
      <c r="D2560" s="9" t="s">
        <v>35</v>
      </c>
      <c r="E2560" s="6" t="s">
        <v>3348</v>
      </c>
      <c r="F2560" s="9" t="s">
        <v>6107</v>
      </c>
    </row>
    <row r="2561" ht="33.75" customHeight="1">
      <c r="A2561" s="7">
        <v>86.0</v>
      </c>
      <c r="B2561" s="9" t="s">
        <v>5272</v>
      </c>
      <c r="C2561" s="9" t="s">
        <v>158</v>
      </c>
      <c r="D2561" s="9" t="s">
        <v>42</v>
      </c>
      <c r="E2561" s="6" t="s">
        <v>3350</v>
      </c>
      <c r="F2561" s="9" t="s">
        <v>6107</v>
      </c>
    </row>
    <row r="2562" ht="33.75" customHeight="1">
      <c r="A2562" s="7">
        <v>86.0</v>
      </c>
      <c r="B2562" s="9" t="s">
        <v>5272</v>
      </c>
      <c r="C2562" s="9" t="s">
        <v>158</v>
      </c>
      <c r="D2562" s="9" t="s">
        <v>52</v>
      </c>
      <c r="E2562" s="6" t="s">
        <v>3354</v>
      </c>
      <c r="F2562" s="9" t="s">
        <v>6107</v>
      </c>
    </row>
    <row r="2563" ht="33.75" customHeight="1">
      <c r="A2563" s="7">
        <v>86.0</v>
      </c>
      <c r="B2563" s="9" t="s">
        <v>5272</v>
      </c>
      <c r="C2563" s="9" t="s">
        <v>158</v>
      </c>
      <c r="D2563" s="9" t="s">
        <v>59</v>
      </c>
      <c r="E2563" s="6" t="s">
        <v>3355</v>
      </c>
      <c r="F2563" s="9" t="s">
        <v>6107</v>
      </c>
    </row>
    <row r="2564" ht="33.75" customHeight="1">
      <c r="A2564" s="7">
        <v>86.0</v>
      </c>
      <c r="B2564" s="9" t="s">
        <v>5272</v>
      </c>
      <c r="C2564" s="9" t="s">
        <v>158</v>
      </c>
      <c r="D2564" s="9" t="s">
        <v>64</v>
      </c>
      <c r="E2564" s="6" t="s">
        <v>3356</v>
      </c>
      <c r="F2564" s="9" t="s">
        <v>6107</v>
      </c>
    </row>
    <row r="2565" ht="33.75" customHeight="1">
      <c r="A2565" s="7">
        <v>86.0</v>
      </c>
      <c r="B2565" s="9" t="s">
        <v>5272</v>
      </c>
      <c r="C2565" s="9" t="s">
        <v>158</v>
      </c>
      <c r="D2565" s="9" t="s">
        <v>67</v>
      </c>
      <c r="E2565" s="6" t="s">
        <v>3358</v>
      </c>
      <c r="F2565" s="9" t="s">
        <v>6107</v>
      </c>
    </row>
    <row r="2566" ht="33.75" customHeight="1">
      <c r="A2566" s="7">
        <v>86.0</v>
      </c>
      <c r="B2566" s="9" t="s">
        <v>5272</v>
      </c>
      <c r="C2566" s="9" t="s">
        <v>158</v>
      </c>
      <c r="D2566" s="9" t="s">
        <v>71</v>
      </c>
      <c r="E2566" s="6" t="s">
        <v>3358</v>
      </c>
      <c r="F2566" s="9" t="s">
        <v>6107</v>
      </c>
    </row>
    <row r="2567" ht="33.75" customHeight="1">
      <c r="A2567" s="7">
        <v>86.0</v>
      </c>
      <c r="B2567" s="9" t="s">
        <v>5272</v>
      </c>
      <c r="C2567" s="9" t="s">
        <v>158</v>
      </c>
      <c r="D2567" s="9" t="s">
        <v>73</v>
      </c>
      <c r="E2567" s="6" t="s">
        <v>3360</v>
      </c>
      <c r="F2567" s="9" t="s">
        <v>6107</v>
      </c>
    </row>
    <row r="2568" ht="33.75" customHeight="1">
      <c r="A2568" s="7">
        <v>86.0</v>
      </c>
      <c r="B2568" s="9" t="s">
        <v>5272</v>
      </c>
      <c r="C2568" s="9" t="s">
        <v>158</v>
      </c>
      <c r="D2568" s="9" t="s">
        <v>75</v>
      </c>
      <c r="E2568" s="6" t="s">
        <v>3362</v>
      </c>
      <c r="F2568" s="9" t="s">
        <v>6107</v>
      </c>
    </row>
    <row r="2569" ht="33.75" customHeight="1">
      <c r="A2569" s="7">
        <v>86.0</v>
      </c>
      <c r="B2569" s="9" t="s">
        <v>5272</v>
      </c>
      <c r="C2569" s="9" t="s">
        <v>158</v>
      </c>
      <c r="D2569" s="9" t="s">
        <v>79</v>
      </c>
      <c r="E2569" s="6" t="s">
        <v>3364</v>
      </c>
      <c r="F2569" s="9" t="s">
        <v>6107</v>
      </c>
    </row>
    <row r="2570" ht="33.75" customHeight="1">
      <c r="A2570" s="7">
        <v>86.0</v>
      </c>
      <c r="B2570" s="9" t="s">
        <v>5272</v>
      </c>
      <c r="C2570" s="9" t="s">
        <v>158</v>
      </c>
      <c r="D2570" s="9" t="s">
        <v>81</v>
      </c>
      <c r="E2570" s="6" t="s">
        <v>3366</v>
      </c>
      <c r="F2570" s="9" t="s">
        <v>6107</v>
      </c>
    </row>
    <row r="2571" ht="33.75" customHeight="1">
      <c r="A2571" s="7">
        <v>86.0</v>
      </c>
      <c r="B2571" s="9" t="s">
        <v>5272</v>
      </c>
      <c r="C2571" s="9" t="s">
        <v>158</v>
      </c>
      <c r="D2571" s="9" t="s">
        <v>84</v>
      </c>
      <c r="E2571" s="6" t="s">
        <v>3366</v>
      </c>
      <c r="F2571" s="9" t="s">
        <v>6107</v>
      </c>
    </row>
    <row r="2572" ht="33.75" customHeight="1">
      <c r="A2572" s="7">
        <v>86.0</v>
      </c>
      <c r="B2572" s="9" t="s">
        <v>5272</v>
      </c>
      <c r="C2572" s="9" t="s">
        <v>158</v>
      </c>
      <c r="D2572" s="9" t="s">
        <v>87</v>
      </c>
      <c r="E2572" s="6" t="s">
        <v>3366</v>
      </c>
      <c r="F2572" s="9" t="s">
        <v>6107</v>
      </c>
    </row>
    <row r="2573" ht="33.75" customHeight="1">
      <c r="A2573" s="7">
        <v>86.0</v>
      </c>
      <c r="B2573" s="9" t="s">
        <v>5272</v>
      </c>
      <c r="C2573" s="9" t="s">
        <v>158</v>
      </c>
      <c r="D2573" s="9" t="s">
        <v>89</v>
      </c>
      <c r="E2573" s="6" t="s">
        <v>3367</v>
      </c>
      <c r="F2573" s="9" t="s">
        <v>6107</v>
      </c>
    </row>
    <row r="2574" ht="33.75" customHeight="1">
      <c r="A2574" s="7">
        <v>86.0</v>
      </c>
      <c r="B2574" s="9" t="s">
        <v>5272</v>
      </c>
      <c r="C2574" s="9" t="s">
        <v>158</v>
      </c>
      <c r="D2574" s="9" t="s">
        <v>91</v>
      </c>
      <c r="E2574" s="6" t="s">
        <v>3355</v>
      </c>
      <c r="F2574" s="9" t="s">
        <v>6107</v>
      </c>
    </row>
    <row r="2575" ht="33.75" customHeight="1">
      <c r="A2575" s="7">
        <v>86.0</v>
      </c>
      <c r="B2575" s="9" t="s">
        <v>5272</v>
      </c>
      <c r="C2575" s="9" t="s">
        <v>158</v>
      </c>
      <c r="D2575" s="9" t="s">
        <v>93</v>
      </c>
      <c r="E2575" s="6" t="s">
        <v>3366</v>
      </c>
      <c r="F2575" s="9" t="s">
        <v>6107</v>
      </c>
    </row>
    <row r="2576" ht="33.75" customHeight="1">
      <c r="A2576" s="7">
        <v>86.0</v>
      </c>
      <c r="B2576" s="9" t="s">
        <v>5272</v>
      </c>
      <c r="C2576" s="9" t="s">
        <v>158</v>
      </c>
      <c r="D2576" s="9" t="s">
        <v>95</v>
      </c>
      <c r="E2576" s="6" t="s">
        <v>3366</v>
      </c>
      <c r="F2576" s="9" t="s">
        <v>6107</v>
      </c>
    </row>
    <row r="2577" ht="33.75" customHeight="1">
      <c r="A2577" s="7">
        <v>86.0</v>
      </c>
      <c r="B2577" s="9" t="s">
        <v>5272</v>
      </c>
      <c r="C2577" s="9" t="s">
        <v>158</v>
      </c>
      <c r="D2577" s="9" t="s">
        <v>98</v>
      </c>
      <c r="E2577" s="6" t="s">
        <v>3368</v>
      </c>
      <c r="F2577" s="9" t="s">
        <v>6107</v>
      </c>
    </row>
    <row r="2578" ht="33.75" customHeight="1">
      <c r="A2578" s="7">
        <v>86.0</v>
      </c>
      <c r="B2578" s="9" t="s">
        <v>5272</v>
      </c>
      <c r="C2578" s="9" t="s">
        <v>158</v>
      </c>
      <c r="D2578" s="9" t="s">
        <v>99</v>
      </c>
      <c r="E2578" s="6" t="s">
        <v>3368</v>
      </c>
      <c r="F2578" s="9" t="s">
        <v>6107</v>
      </c>
    </row>
    <row r="2579" ht="33.75" customHeight="1">
      <c r="A2579" s="7">
        <v>86.0</v>
      </c>
      <c r="B2579" s="9" t="s">
        <v>5272</v>
      </c>
      <c r="C2579" s="9" t="s">
        <v>158</v>
      </c>
      <c r="D2579" s="9" t="s">
        <v>101</v>
      </c>
      <c r="E2579" s="6" t="s">
        <v>3366</v>
      </c>
      <c r="F2579" s="9" t="s">
        <v>6107</v>
      </c>
    </row>
    <row r="2580" ht="33.75" customHeight="1">
      <c r="A2580" s="7">
        <v>86.0</v>
      </c>
      <c r="B2580" s="9" t="s">
        <v>5272</v>
      </c>
      <c r="C2580" s="9" t="s">
        <v>158</v>
      </c>
      <c r="D2580" s="9" t="s">
        <v>105</v>
      </c>
      <c r="E2580" s="6" t="s">
        <v>3369</v>
      </c>
      <c r="F2580" s="9" t="s">
        <v>6107</v>
      </c>
    </row>
    <row r="2581" ht="33.75" customHeight="1">
      <c r="A2581" s="7">
        <v>86.0</v>
      </c>
      <c r="B2581" s="9" t="s">
        <v>5272</v>
      </c>
      <c r="C2581" s="9" t="s">
        <v>158</v>
      </c>
      <c r="D2581" s="9" t="s">
        <v>107</v>
      </c>
      <c r="E2581" s="6" t="s">
        <v>3370</v>
      </c>
      <c r="F2581" s="9" t="s">
        <v>6107</v>
      </c>
    </row>
    <row r="2582" ht="33.75" customHeight="1">
      <c r="A2582" s="7">
        <v>86.0</v>
      </c>
      <c r="B2582" s="9" t="s">
        <v>5272</v>
      </c>
      <c r="C2582" s="9" t="s">
        <v>158</v>
      </c>
      <c r="D2582" s="9" t="s">
        <v>109</v>
      </c>
      <c r="E2582" s="6" t="s">
        <v>3370</v>
      </c>
      <c r="F2582" s="9" t="s">
        <v>6107</v>
      </c>
    </row>
    <row r="2583" ht="33.75" customHeight="1">
      <c r="A2583" s="7">
        <v>86.0</v>
      </c>
      <c r="B2583" s="9" t="s">
        <v>5272</v>
      </c>
      <c r="C2583" s="9" t="s">
        <v>158</v>
      </c>
      <c r="D2583" s="9" t="s">
        <v>647</v>
      </c>
      <c r="E2583" s="6" t="s">
        <v>3372</v>
      </c>
      <c r="F2583" s="9" t="s">
        <v>6107</v>
      </c>
    </row>
    <row r="2584" ht="33.75" customHeight="1">
      <c r="A2584" s="7">
        <v>86.0</v>
      </c>
      <c r="B2584" s="9" t="s">
        <v>5272</v>
      </c>
      <c r="C2584" s="9" t="s">
        <v>158</v>
      </c>
      <c r="D2584" s="9" t="s">
        <v>652</v>
      </c>
      <c r="E2584" s="6" t="s">
        <v>3374</v>
      </c>
      <c r="F2584" s="9" t="s">
        <v>6107</v>
      </c>
    </row>
    <row r="2585" ht="33.75" customHeight="1">
      <c r="A2585" s="7">
        <v>86.0</v>
      </c>
      <c r="B2585" s="9" t="s">
        <v>5272</v>
      </c>
      <c r="C2585" s="9" t="s">
        <v>158</v>
      </c>
      <c r="D2585" s="9" t="s">
        <v>111</v>
      </c>
      <c r="E2585" s="6" t="s">
        <v>3376</v>
      </c>
      <c r="F2585" s="9" t="s">
        <v>6107</v>
      </c>
    </row>
    <row r="2586" ht="33.75" customHeight="1">
      <c r="A2586" s="7">
        <v>86.0</v>
      </c>
      <c r="B2586" s="9" t="s">
        <v>5272</v>
      </c>
      <c r="C2586" s="9" t="s">
        <v>158</v>
      </c>
      <c r="D2586" s="9" t="s">
        <v>113</v>
      </c>
      <c r="E2586" s="6" t="s">
        <v>3376</v>
      </c>
      <c r="F2586" s="9" t="s">
        <v>6107</v>
      </c>
    </row>
    <row r="2587" ht="33.75" customHeight="1">
      <c r="A2587" s="7">
        <v>87.0</v>
      </c>
      <c r="B2587" s="9" t="s">
        <v>5354</v>
      </c>
      <c r="C2587" s="9" t="s">
        <v>158</v>
      </c>
      <c r="D2587" s="9" t="s">
        <v>24</v>
      </c>
      <c r="E2587" s="6" t="s">
        <v>3378</v>
      </c>
      <c r="F2587" s="9" t="s">
        <v>6172</v>
      </c>
      <c r="G2587" t="inlineStr" s="6">
        <is>
          <t xml:space="preserve">Stores thermal energy in Dewgong's body. Swims at a steady 8 knots even in intensely cold waters. Its entire body is a snowy-white. Unharmed by even intense cold, it swims powerfully in icy waters. Its streamlined body has little drag in water. The colder the temperature, the friskier it gets. It loves frigid seas with ice floes. It uses its long tail to change swimming direction quickly. It sleeps under shallow ocean waters during the day, then looks for food at night when it's cold. DEWGONG loves to snooze on bitterly cold ice. The sight of this POKéMON sleeping on a glacier was mistakenly thought to be a mermaid by a mariner long ago. It loves to snooze on bitterly cold ice. Its body is covered with a pure white fur. The colder the weather, the more active it becomes. It stores thermal energy in the body. It swims at a steady eight knots even in intensely cold waters. In snow, the pure white coat covering its body obscures it from predators. Its streamlined body has low resistance, and it swims around cold oceans at a speed of eight knots. It swims through the ocean at a speed of eight knots, searching for Pokémon that will become its prey. It’s especially fond of Wishiwashi. It sunbathes on the beach after meals. The rise in its body temperature helps its digestion. Its entire body is a snowy white.</t>
        </is>
      </c>
    </row>
    <row r="2588" ht="33.75" customHeight="1">
      <c r="A2588" s="7">
        <v>87.0</v>
      </c>
      <c r="B2588" s="9" t="s">
        <v>5354</v>
      </c>
      <c r="C2588" s="9" t="s">
        <v>158</v>
      </c>
      <c r="D2588" s="9" t="s">
        <v>35</v>
      </c>
      <c r="E2588" s="6" t="s">
        <v>3378</v>
      </c>
      <c r="F2588" s="9" t="s">
        <v>6172</v>
      </c>
    </row>
    <row r="2589" ht="33.75" customHeight="1">
      <c r="A2589" s="7">
        <v>87.0</v>
      </c>
      <c r="B2589" s="9" t="s">
        <v>5354</v>
      </c>
      <c r="C2589" s="9" t="s">
        <v>158</v>
      </c>
      <c r="D2589" s="9" t="s">
        <v>42</v>
      </c>
      <c r="E2589" s="6" t="s">
        <v>3379</v>
      </c>
      <c r="F2589" s="9" t="s">
        <v>6172</v>
      </c>
    </row>
    <row r="2590" ht="33.75" customHeight="1">
      <c r="A2590" s="7">
        <v>87.0</v>
      </c>
      <c r="B2590" s="9" t="s">
        <v>5354</v>
      </c>
      <c r="C2590" s="9" t="s">
        <v>158</v>
      </c>
      <c r="D2590" s="9" t="s">
        <v>52</v>
      </c>
      <c r="E2590" s="6" t="s">
        <v>3380</v>
      </c>
      <c r="F2590" s="9" t="s">
        <v>6172</v>
      </c>
    </row>
    <row r="2591" ht="33.75" customHeight="1">
      <c r="A2591" s="7">
        <v>87.0</v>
      </c>
      <c r="B2591" s="9" t="s">
        <v>5354</v>
      </c>
      <c r="C2591" s="9" t="s">
        <v>158</v>
      </c>
      <c r="D2591" s="9" t="s">
        <v>59</v>
      </c>
      <c r="E2591" s="6" t="s">
        <v>3381</v>
      </c>
      <c r="F2591" s="9" t="s">
        <v>6172</v>
      </c>
    </row>
    <row r="2592" ht="33.75" customHeight="1">
      <c r="A2592" s="7">
        <v>87.0</v>
      </c>
      <c r="B2592" s="9" t="s">
        <v>5354</v>
      </c>
      <c r="C2592" s="9" t="s">
        <v>158</v>
      </c>
      <c r="D2592" s="9" t="s">
        <v>64</v>
      </c>
      <c r="E2592" s="6" t="s">
        <v>3382</v>
      </c>
      <c r="F2592" s="9" t="s">
        <v>6172</v>
      </c>
    </row>
    <row r="2593" ht="33.75" customHeight="1">
      <c r="A2593" s="7">
        <v>87.0</v>
      </c>
      <c r="B2593" s="9" t="s">
        <v>5354</v>
      </c>
      <c r="C2593" s="9" t="s">
        <v>158</v>
      </c>
      <c r="D2593" s="9" t="s">
        <v>67</v>
      </c>
      <c r="E2593" s="6" t="s">
        <v>3383</v>
      </c>
      <c r="F2593" s="9" t="s">
        <v>6172</v>
      </c>
    </row>
    <row r="2594" ht="33.75" customHeight="1">
      <c r="A2594" s="7">
        <v>87.0</v>
      </c>
      <c r="B2594" s="9" t="s">
        <v>5354</v>
      </c>
      <c r="C2594" s="9" t="s">
        <v>158</v>
      </c>
      <c r="D2594" s="9" t="s">
        <v>71</v>
      </c>
      <c r="E2594" s="6" t="s">
        <v>3383</v>
      </c>
      <c r="F2594" s="9" t="s">
        <v>6172</v>
      </c>
    </row>
    <row r="2595" ht="33.75" customHeight="1">
      <c r="A2595" s="7">
        <v>87.0</v>
      </c>
      <c r="B2595" s="9" t="s">
        <v>5354</v>
      </c>
      <c r="C2595" s="9" t="s">
        <v>158</v>
      </c>
      <c r="D2595" s="9" t="s">
        <v>73</v>
      </c>
      <c r="E2595" s="6" t="s">
        <v>3385</v>
      </c>
      <c r="F2595" s="9" t="s">
        <v>6172</v>
      </c>
    </row>
    <row r="2596" ht="33.75" customHeight="1">
      <c r="A2596" s="7">
        <v>87.0</v>
      </c>
      <c r="B2596" s="9" t="s">
        <v>5354</v>
      </c>
      <c r="C2596" s="9" t="s">
        <v>158</v>
      </c>
      <c r="D2596" s="9" t="s">
        <v>75</v>
      </c>
      <c r="E2596" s="6" t="s">
        <v>3386</v>
      </c>
      <c r="F2596" s="9" t="s">
        <v>6172</v>
      </c>
    </row>
    <row r="2597" ht="33.75" customHeight="1">
      <c r="A2597" s="7">
        <v>87.0</v>
      </c>
      <c r="B2597" s="9" t="s">
        <v>5354</v>
      </c>
      <c r="C2597" s="9" t="s">
        <v>158</v>
      </c>
      <c r="D2597" s="9" t="s">
        <v>79</v>
      </c>
      <c r="E2597" s="6" t="s">
        <v>3387</v>
      </c>
      <c r="F2597" s="9" t="s">
        <v>6172</v>
      </c>
    </row>
    <row r="2598" ht="33.75" customHeight="1">
      <c r="A2598" s="7">
        <v>87.0</v>
      </c>
      <c r="B2598" s="9" t="s">
        <v>5354</v>
      </c>
      <c r="C2598" s="9" t="s">
        <v>158</v>
      </c>
      <c r="D2598" s="9" t="s">
        <v>81</v>
      </c>
      <c r="E2598" s="6" t="s">
        <v>3388</v>
      </c>
      <c r="F2598" s="9" t="s">
        <v>6172</v>
      </c>
    </row>
    <row r="2599" ht="33.75" customHeight="1">
      <c r="A2599" s="7">
        <v>87.0</v>
      </c>
      <c r="B2599" s="9" t="s">
        <v>5354</v>
      </c>
      <c r="C2599" s="9" t="s">
        <v>158</v>
      </c>
      <c r="D2599" s="9" t="s">
        <v>84</v>
      </c>
      <c r="E2599" s="6" t="s">
        <v>3388</v>
      </c>
      <c r="F2599" s="9" t="s">
        <v>6172</v>
      </c>
    </row>
    <row r="2600" ht="33.75" customHeight="1">
      <c r="A2600" s="7">
        <v>87.0</v>
      </c>
      <c r="B2600" s="9" t="s">
        <v>5354</v>
      </c>
      <c r="C2600" s="9" t="s">
        <v>158</v>
      </c>
      <c r="D2600" s="9" t="s">
        <v>87</v>
      </c>
      <c r="E2600" s="6" t="s">
        <v>3388</v>
      </c>
      <c r="F2600" s="9" t="s">
        <v>6172</v>
      </c>
    </row>
    <row r="2601" ht="33.75" customHeight="1">
      <c r="A2601" s="7">
        <v>87.0</v>
      </c>
      <c r="B2601" s="9" t="s">
        <v>5354</v>
      </c>
      <c r="C2601" s="9" t="s">
        <v>158</v>
      </c>
      <c r="D2601" s="9" t="s">
        <v>89</v>
      </c>
      <c r="E2601" s="6" t="s">
        <v>3380</v>
      </c>
      <c r="F2601" s="9" t="s">
        <v>6172</v>
      </c>
    </row>
    <row r="2602" ht="33.75" customHeight="1">
      <c r="A2602" s="7">
        <v>87.0</v>
      </c>
      <c r="B2602" s="9" t="s">
        <v>5354</v>
      </c>
      <c r="C2602" s="9" t="s">
        <v>158</v>
      </c>
      <c r="D2602" s="9" t="s">
        <v>91</v>
      </c>
      <c r="E2602" s="6" t="s">
        <v>3381</v>
      </c>
      <c r="F2602" s="9" t="s">
        <v>6172</v>
      </c>
    </row>
    <row r="2603" ht="33.75" customHeight="1">
      <c r="A2603" s="7">
        <v>87.0</v>
      </c>
      <c r="B2603" s="9" t="s">
        <v>5354</v>
      </c>
      <c r="C2603" s="9" t="s">
        <v>158</v>
      </c>
      <c r="D2603" s="9" t="s">
        <v>93</v>
      </c>
      <c r="E2603" s="6" t="s">
        <v>3388</v>
      </c>
      <c r="F2603" s="9" t="s">
        <v>6172</v>
      </c>
    </row>
    <row r="2604" ht="33.75" customHeight="1">
      <c r="A2604" s="7">
        <v>87.0</v>
      </c>
      <c r="B2604" s="9" t="s">
        <v>5354</v>
      </c>
      <c r="C2604" s="9" t="s">
        <v>158</v>
      </c>
      <c r="D2604" s="9" t="s">
        <v>95</v>
      </c>
      <c r="E2604" s="6" t="s">
        <v>3388</v>
      </c>
      <c r="F2604" s="9" t="s">
        <v>6172</v>
      </c>
    </row>
    <row r="2605" ht="33.75" customHeight="1">
      <c r="A2605" s="7">
        <v>87.0</v>
      </c>
      <c r="B2605" s="9" t="s">
        <v>5354</v>
      </c>
      <c r="C2605" s="9" t="s">
        <v>158</v>
      </c>
      <c r="D2605" s="9" t="s">
        <v>98</v>
      </c>
      <c r="E2605" s="6" t="s">
        <v>3389</v>
      </c>
      <c r="F2605" s="9" t="s">
        <v>6172</v>
      </c>
    </row>
    <row r="2606" ht="33.75" customHeight="1">
      <c r="A2606" s="7">
        <v>87.0</v>
      </c>
      <c r="B2606" s="9" t="s">
        <v>5354</v>
      </c>
      <c r="C2606" s="9" t="s">
        <v>158</v>
      </c>
      <c r="D2606" s="9" t="s">
        <v>99</v>
      </c>
      <c r="E2606" s="6" t="s">
        <v>3389</v>
      </c>
      <c r="F2606" s="9" t="s">
        <v>6172</v>
      </c>
    </row>
    <row r="2607" ht="33.75" customHeight="1">
      <c r="A2607" s="7">
        <v>87.0</v>
      </c>
      <c r="B2607" s="9" t="s">
        <v>5354</v>
      </c>
      <c r="C2607" s="9" t="s">
        <v>158</v>
      </c>
      <c r="D2607" s="9" t="s">
        <v>101</v>
      </c>
      <c r="E2607" s="6" t="s">
        <v>3386</v>
      </c>
      <c r="F2607" s="9" t="s">
        <v>6172</v>
      </c>
    </row>
    <row r="2608" ht="33.75" customHeight="1">
      <c r="A2608" s="7">
        <v>87.0</v>
      </c>
      <c r="B2608" s="9" t="s">
        <v>5354</v>
      </c>
      <c r="C2608" s="9" t="s">
        <v>158</v>
      </c>
      <c r="D2608" s="9" t="s">
        <v>105</v>
      </c>
      <c r="E2608" s="6" t="s">
        <v>3380</v>
      </c>
      <c r="F2608" s="9" t="s">
        <v>6172</v>
      </c>
    </row>
    <row r="2609" ht="33.75" customHeight="1">
      <c r="A2609" s="7">
        <v>87.0</v>
      </c>
      <c r="B2609" s="9" t="s">
        <v>5354</v>
      </c>
      <c r="C2609" s="9" t="s">
        <v>158</v>
      </c>
      <c r="D2609" s="9" t="s">
        <v>107</v>
      </c>
      <c r="E2609" s="6" t="s">
        <v>3390</v>
      </c>
      <c r="F2609" s="9" t="s">
        <v>6172</v>
      </c>
    </row>
    <row r="2610" ht="33.75" customHeight="1">
      <c r="A2610" s="7">
        <v>87.0</v>
      </c>
      <c r="B2610" s="9" t="s">
        <v>5354</v>
      </c>
      <c r="C2610" s="9" t="s">
        <v>158</v>
      </c>
      <c r="D2610" s="9" t="s">
        <v>109</v>
      </c>
      <c r="E2610" s="6" t="s">
        <v>3390</v>
      </c>
      <c r="F2610" s="9" t="s">
        <v>6172</v>
      </c>
    </row>
    <row r="2611" ht="33.75" customHeight="1">
      <c r="A2611" s="7">
        <v>87.0</v>
      </c>
      <c r="B2611" s="9" t="s">
        <v>5354</v>
      </c>
      <c r="C2611" s="9" t="s">
        <v>158</v>
      </c>
      <c r="D2611" s="9" t="s">
        <v>647</v>
      </c>
      <c r="E2611" s="6" t="s">
        <v>3391</v>
      </c>
      <c r="F2611" s="9" t="s">
        <v>6172</v>
      </c>
    </row>
    <row r="2612" ht="33.75" customHeight="1">
      <c r="A2612" s="7">
        <v>87.0</v>
      </c>
      <c r="B2612" s="9" t="s">
        <v>5354</v>
      </c>
      <c r="C2612" s="9" t="s">
        <v>158</v>
      </c>
      <c r="D2612" s="9" t="s">
        <v>652</v>
      </c>
      <c r="E2612" s="6" t="s">
        <v>3393</v>
      </c>
      <c r="F2612" s="9" t="s">
        <v>6172</v>
      </c>
    </row>
    <row r="2613" ht="33.75" customHeight="1">
      <c r="A2613" s="7">
        <v>87.0</v>
      </c>
      <c r="B2613" s="9" t="s">
        <v>5354</v>
      </c>
      <c r="C2613" s="9" t="s">
        <v>158</v>
      </c>
      <c r="D2613" s="9" t="s">
        <v>111</v>
      </c>
      <c r="E2613" s="6" t="s">
        <v>3394</v>
      </c>
      <c r="F2613" s="9" t="s">
        <v>6172</v>
      </c>
    </row>
    <row r="2614" ht="33.75" customHeight="1">
      <c r="A2614" s="7">
        <v>87.0</v>
      </c>
      <c r="B2614" s="9" t="s">
        <v>5354</v>
      </c>
      <c r="C2614" s="9" t="s">
        <v>158</v>
      </c>
      <c r="D2614" s="9" t="s">
        <v>113</v>
      </c>
      <c r="E2614" s="6" t="s">
        <v>3394</v>
      </c>
      <c r="F2614" s="9" t="s">
        <v>6172</v>
      </c>
    </row>
    <row r="2615" ht="33.75" customHeight="1">
      <c r="A2615" s="7">
        <v>88.0</v>
      </c>
      <c r="B2615" s="9" t="s">
        <v>5436</v>
      </c>
      <c r="C2615" s="9" t="s">
        <v>159</v>
      </c>
      <c r="D2615" s="9" t="s">
        <v>24</v>
      </c>
      <c r="E2615" s="6" t="s">
        <v>3396</v>
      </c>
      <c r="F2615" s="9" t="s">
        <v>6285</v>
      </c>
      <c r="G2615" t="inlineStr" s="6">
        <is>
          <t xml:space="preserve">Appears in filthy areas. Thrives by sucking up polluted sludge that is pumped out of factories. Made of hardened sludge. It smells too putrid to touch. Even weeds won't grow in its path. As it moves, it loses bits of its body from which new GRIMER emerge. This worsens the stench around it. Wherever GRIMER has passed, so many germs are left behind that no plants will ever grow again. When two of these POKéMON's bodies are combined together, new poisons are created. GRIMER’s sludgy and rubbery body can be forced through any opening, however small it may be. This POKéMON enters sewer pipes to drink filthy wastewater. GRIMER emerged from the sludge that settled on a polluted seabed. This POKéMON loves anything filthy. It constantly leaks a horribly germ- infested fluid from all over its body. Born from polluted sludge in the sea, GRIMER’s favorite food is anything filthy. They feed on wastewater pumped out from factories. Sludge exposed to X rays from the moon transformed into GRIMER. It loves feeding on filthy things. It thrives by sucking up polluted sludge that is pumped out of factories. It was born when sludge in a dirty stream was exposed to the moon’s X-rays. It appears among filth. As it moves, it loses bits of its body, from which new GRIMER emerge. Born from sludge, these Pokémon now gather in polluted places and increase the bacteria in their bodies. Sludge exposed to X-rays from the moon transformed into Grimer. It constantly leaks a horribly germ-infested fluid from all over its body. Its main source of food is the slimy industrial waste of factories. This Pokémon’s numbers have been decreasing in recent years. It was born from sludge transformed by exposure to X-rays from the moon. When its internal load of germs decreases, it dies. It was born from sludge on the ocean floor. In a sterile environment, the germs within its body can’t multiply, and it dies. The wastewater coming from factories is clean these days, so Grimer have nothing to eat. They’re said to be on the verge of extinction. Made of congealed sludge.</t>
        </is>
      </c>
    </row>
    <row r="2616" ht="33.75" customHeight="1">
      <c r="A2616" s="7">
        <v>88.0</v>
      </c>
      <c r="B2616" s="9" t="s">
        <v>5436</v>
      </c>
      <c r="C2616" s="9" t="s">
        <v>159</v>
      </c>
      <c r="D2616" s="9" t="s">
        <v>35</v>
      </c>
      <c r="E2616" s="6" t="s">
        <v>3396</v>
      </c>
      <c r="F2616" s="9" t="s">
        <v>6285</v>
      </c>
    </row>
    <row r="2617" ht="33.75" customHeight="1">
      <c r="A2617" s="7">
        <v>88.0</v>
      </c>
      <c r="B2617" s="9" t="s">
        <v>5436</v>
      </c>
      <c r="C2617" s="9" t="s">
        <v>159</v>
      </c>
      <c r="D2617" s="9" t="s">
        <v>42</v>
      </c>
      <c r="E2617" s="6" t="s">
        <v>3398</v>
      </c>
      <c r="F2617" s="9" t="s">
        <v>6285</v>
      </c>
    </row>
    <row r="2618" ht="33.75" customHeight="1">
      <c r="A2618" s="7">
        <v>88.0</v>
      </c>
      <c r="B2618" s="9" t="s">
        <v>5436</v>
      </c>
      <c r="C2618" s="9" t="s">
        <v>159</v>
      </c>
      <c r="D2618" s="9" t="s">
        <v>52</v>
      </c>
      <c r="E2618" s="6" t="s">
        <v>3400</v>
      </c>
      <c r="F2618" s="9" t="s">
        <v>6285</v>
      </c>
    </row>
    <row r="2619" ht="33.75" customHeight="1">
      <c r="A2619" s="7">
        <v>88.0</v>
      </c>
      <c r="B2619" s="9" t="s">
        <v>5436</v>
      </c>
      <c r="C2619" s="9" t="s">
        <v>159</v>
      </c>
      <c r="D2619" s="9" t="s">
        <v>59</v>
      </c>
      <c r="E2619" s="6" t="s">
        <v>3401</v>
      </c>
      <c r="F2619" s="9" t="s">
        <v>6285</v>
      </c>
    </row>
    <row r="2620" ht="33.75" customHeight="1">
      <c r="A2620" s="7">
        <v>88.0</v>
      </c>
      <c r="B2620" s="9" t="s">
        <v>5436</v>
      </c>
      <c r="C2620" s="9" t="s">
        <v>159</v>
      </c>
      <c r="D2620" s="9" t="s">
        <v>64</v>
      </c>
      <c r="E2620" s="6" t="s">
        <v>3403</v>
      </c>
      <c r="F2620" s="9" t="s">
        <v>6285</v>
      </c>
    </row>
    <row r="2621" ht="33.75" customHeight="1">
      <c r="A2621" s="7">
        <v>88.0</v>
      </c>
      <c r="B2621" s="9" t="s">
        <v>5436</v>
      </c>
      <c r="C2621" s="9" t="s">
        <v>159</v>
      </c>
      <c r="D2621" s="9" t="s">
        <v>67</v>
      </c>
      <c r="E2621" s="6" t="s">
        <v>3405</v>
      </c>
      <c r="F2621" s="9" t="s">
        <v>6285</v>
      </c>
    </row>
    <row r="2622" ht="33.75" customHeight="1">
      <c r="A2622" s="7">
        <v>88.0</v>
      </c>
      <c r="B2622" s="9" t="s">
        <v>5436</v>
      </c>
      <c r="C2622" s="9" t="s">
        <v>159</v>
      </c>
      <c r="D2622" s="9" t="s">
        <v>71</v>
      </c>
      <c r="E2622" s="6" t="s">
        <v>3407</v>
      </c>
      <c r="F2622" s="9" t="s">
        <v>6285</v>
      </c>
    </row>
    <row r="2623" ht="33.75" customHeight="1">
      <c r="A2623" s="7">
        <v>88.0</v>
      </c>
      <c r="B2623" s="9" t="s">
        <v>5436</v>
      </c>
      <c r="C2623" s="9" t="s">
        <v>159</v>
      </c>
      <c r="D2623" s="9" t="s">
        <v>73</v>
      </c>
      <c r="E2623" s="6" t="s">
        <v>3409</v>
      </c>
      <c r="F2623" s="9" t="s">
        <v>6285</v>
      </c>
    </row>
    <row r="2624" ht="33.75" customHeight="1">
      <c r="A2624" s="7">
        <v>88.0</v>
      </c>
      <c r="B2624" s="9" t="s">
        <v>5436</v>
      </c>
      <c r="C2624" s="9" t="s">
        <v>159</v>
      </c>
      <c r="D2624" s="9" t="s">
        <v>75</v>
      </c>
      <c r="E2624" s="6" t="s">
        <v>3410</v>
      </c>
      <c r="F2624" s="9" t="s">
        <v>6285</v>
      </c>
    </row>
    <row r="2625" ht="33.75" customHeight="1">
      <c r="A2625" s="7">
        <v>88.0</v>
      </c>
      <c r="B2625" s="9" t="s">
        <v>5436</v>
      </c>
      <c r="C2625" s="9" t="s">
        <v>159</v>
      </c>
      <c r="D2625" s="9" t="s">
        <v>79</v>
      </c>
      <c r="E2625" s="6" t="s">
        <v>3412</v>
      </c>
      <c r="F2625" s="9" t="s">
        <v>6285</v>
      </c>
    </row>
    <row r="2626" ht="33.75" customHeight="1">
      <c r="A2626" s="7">
        <v>88.0</v>
      </c>
      <c r="B2626" s="9" t="s">
        <v>5436</v>
      </c>
      <c r="C2626" s="9" t="s">
        <v>159</v>
      </c>
      <c r="D2626" s="9" t="s">
        <v>81</v>
      </c>
      <c r="E2626" s="6" t="s">
        <v>3414</v>
      </c>
      <c r="F2626" s="9" t="s">
        <v>6285</v>
      </c>
    </row>
    <row r="2627" ht="33.75" customHeight="1">
      <c r="A2627" s="7">
        <v>88.0</v>
      </c>
      <c r="B2627" s="9" t="s">
        <v>5436</v>
      </c>
      <c r="C2627" s="9" t="s">
        <v>159</v>
      </c>
      <c r="D2627" s="9" t="s">
        <v>84</v>
      </c>
      <c r="E2627" s="6" t="s">
        <v>3414</v>
      </c>
      <c r="F2627" s="9" t="s">
        <v>6285</v>
      </c>
    </row>
    <row r="2628" ht="33.75" customHeight="1">
      <c r="A2628" s="7">
        <v>88.0</v>
      </c>
      <c r="B2628" s="9" t="s">
        <v>5436</v>
      </c>
      <c r="C2628" s="9" t="s">
        <v>159</v>
      </c>
      <c r="D2628" s="9" t="s">
        <v>87</v>
      </c>
      <c r="E2628" s="6" t="s">
        <v>3414</v>
      </c>
      <c r="F2628" s="9" t="s">
        <v>6285</v>
      </c>
    </row>
    <row r="2629" ht="33.75" customHeight="1">
      <c r="A2629" s="7">
        <v>88.0</v>
      </c>
      <c r="B2629" s="9" t="s">
        <v>5436</v>
      </c>
      <c r="C2629" s="9" t="s">
        <v>159</v>
      </c>
      <c r="D2629" s="9" t="s">
        <v>89</v>
      </c>
      <c r="E2629" s="6" t="s">
        <v>3415</v>
      </c>
      <c r="F2629" s="9" t="s">
        <v>6285</v>
      </c>
    </row>
    <row r="2630" ht="33.75" customHeight="1">
      <c r="A2630" s="7">
        <v>88.0</v>
      </c>
      <c r="B2630" s="9" t="s">
        <v>5436</v>
      </c>
      <c r="C2630" s="9" t="s">
        <v>159</v>
      </c>
      <c r="D2630" s="9" t="s">
        <v>91</v>
      </c>
      <c r="E2630" s="6" t="s">
        <v>3401</v>
      </c>
      <c r="F2630" s="9" t="s">
        <v>6285</v>
      </c>
    </row>
    <row r="2631" ht="33.75" customHeight="1">
      <c r="A2631" s="7">
        <v>88.0</v>
      </c>
      <c r="B2631" s="9" t="s">
        <v>5436</v>
      </c>
      <c r="C2631" s="9" t="s">
        <v>159</v>
      </c>
      <c r="D2631" s="9" t="s">
        <v>93</v>
      </c>
      <c r="E2631" s="6" t="s">
        <v>3414</v>
      </c>
      <c r="F2631" s="9" t="s">
        <v>6285</v>
      </c>
    </row>
    <row r="2632" ht="33.75" customHeight="1">
      <c r="A2632" s="7">
        <v>88.0</v>
      </c>
      <c r="B2632" s="9" t="s">
        <v>5436</v>
      </c>
      <c r="C2632" s="9" t="s">
        <v>159</v>
      </c>
      <c r="D2632" s="9" t="s">
        <v>95</v>
      </c>
      <c r="E2632" s="6" t="s">
        <v>3414</v>
      </c>
      <c r="F2632" s="9" t="s">
        <v>6285</v>
      </c>
    </row>
    <row r="2633" ht="33.75" customHeight="1">
      <c r="A2633" s="7">
        <v>88.0</v>
      </c>
      <c r="B2633" s="9" t="s">
        <v>5436</v>
      </c>
      <c r="C2633" s="9" t="s">
        <v>159</v>
      </c>
      <c r="D2633" s="9" t="s">
        <v>98</v>
      </c>
      <c r="E2633" s="6" t="s">
        <v>3417</v>
      </c>
      <c r="F2633" s="9" t="s">
        <v>6285</v>
      </c>
    </row>
    <row r="2634" ht="33.75" customHeight="1">
      <c r="A2634" s="7">
        <v>88.0</v>
      </c>
      <c r="B2634" s="9" t="s">
        <v>5436</v>
      </c>
      <c r="C2634" s="9" t="s">
        <v>159</v>
      </c>
      <c r="D2634" s="9" t="s">
        <v>99</v>
      </c>
      <c r="E2634" s="6" t="s">
        <v>3417</v>
      </c>
      <c r="F2634" s="9" t="s">
        <v>6285</v>
      </c>
    </row>
    <row r="2635" ht="33.75" customHeight="1">
      <c r="A2635" s="7">
        <v>88.0</v>
      </c>
      <c r="B2635" s="9" t="s">
        <v>5436</v>
      </c>
      <c r="C2635" s="9" t="s">
        <v>159</v>
      </c>
      <c r="D2635" s="9" t="s">
        <v>101</v>
      </c>
      <c r="E2635" s="6" t="s">
        <v>3419</v>
      </c>
      <c r="F2635" s="9" t="s">
        <v>6285</v>
      </c>
    </row>
    <row r="2636" ht="33.75" customHeight="1">
      <c r="A2636" s="7">
        <v>88.0</v>
      </c>
      <c r="B2636" s="9" t="s">
        <v>5436</v>
      </c>
      <c r="C2636" s="9" t="s">
        <v>159</v>
      </c>
      <c r="D2636" s="9" t="s">
        <v>105</v>
      </c>
      <c r="E2636" s="6" t="s">
        <v>3412</v>
      </c>
      <c r="F2636" s="9" t="s">
        <v>6285</v>
      </c>
    </row>
    <row r="2637" ht="33.75" customHeight="1">
      <c r="A2637" s="7">
        <v>88.0</v>
      </c>
      <c r="B2637" s="9" t="s">
        <v>5436</v>
      </c>
      <c r="C2637" s="9" t="s">
        <v>159</v>
      </c>
      <c r="D2637" s="9" t="s">
        <v>107</v>
      </c>
      <c r="E2637" s="6" t="s">
        <v>3421</v>
      </c>
      <c r="F2637" s="9" t="s">
        <v>6285</v>
      </c>
    </row>
    <row r="2638" ht="33.75" customHeight="1">
      <c r="A2638" s="7">
        <v>88.0</v>
      </c>
      <c r="B2638" s="9" t="s">
        <v>5436</v>
      </c>
      <c r="C2638" s="9" t="s">
        <v>159</v>
      </c>
      <c r="D2638" s="9" t="s">
        <v>109</v>
      </c>
      <c r="E2638" s="6" t="s">
        <v>3422</v>
      </c>
      <c r="F2638" s="9" t="s">
        <v>6285</v>
      </c>
    </row>
    <row r="2639" ht="33.75" customHeight="1">
      <c r="A2639" s="7">
        <v>88.0</v>
      </c>
      <c r="B2639" s="9" t="s">
        <v>5436</v>
      </c>
      <c r="C2639" s="9" t="s">
        <v>159</v>
      </c>
      <c r="D2639" s="9" t="s">
        <v>637</v>
      </c>
      <c r="E2639" s="6" t="s">
        <v>3425</v>
      </c>
      <c r="F2639" s="9" t="s">
        <v>6285</v>
      </c>
    </row>
    <row r="2640" ht="33.75" customHeight="1">
      <c r="A2640" s="7">
        <v>88.0</v>
      </c>
      <c r="B2640" s="9" t="s">
        <v>5436</v>
      </c>
      <c r="C2640" s="9" t="s">
        <v>159</v>
      </c>
      <c r="D2640" s="9" t="s">
        <v>642</v>
      </c>
      <c r="E2640" s="6" t="s">
        <v>3427</v>
      </c>
      <c r="F2640" s="9" t="s">
        <v>6285</v>
      </c>
    </row>
    <row r="2641" ht="33.75" customHeight="1">
      <c r="A2641" s="7">
        <v>88.0</v>
      </c>
      <c r="B2641" s="9" t="s">
        <v>5436</v>
      </c>
      <c r="C2641" s="9" t="s">
        <v>159</v>
      </c>
      <c r="D2641" s="9" t="s">
        <v>647</v>
      </c>
      <c r="E2641" s="6" t="s">
        <v>3429</v>
      </c>
      <c r="F2641" s="9" t="s">
        <v>6285</v>
      </c>
    </row>
    <row r="2642" ht="33.75" customHeight="1">
      <c r="A2642" s="7">
        <v>88.0</v>
      </c>
      <c r="B2642" s="9" t="s">
        <v>5436</v>
      </c>
      <c r="C2642" s="9" t="s">
        <v>159</v>
      </c>
      <c r="D2642" s="9" t="s">
        <v>652</v>
      </c>
      <c r="E2642" s="6" t="s">
        <v>3430</v>
      </c>
      <c r="F2642" s="9" t="s">
        <v>6285</v>
      </c>
    </row>
    <row r="2643" ht="33.75" customHeight="1">
      <c r="A2643" s="7">
        <v>88.0</v>
      </c>
      <c r="B2643" s="9" t="s">
        <v>5436</v>
      </c>
      <c r="C2643" s="9" t="s">
        <v>159</v>
      </c>
      <c r="D2643" s="9" t="s">
        <v>111</v>
      </c>
      <c r="E2643" s="6" t="s">
        <v>3432</v>
      </c>
      <c r="F2643" s="9" t="s">
        <v>6285</v>
      </c>
    </row>
    <row r="2644" ht="33.75" customHeight="1">
      <c r="A2644" s="7">
        <v>88.0</v>
      </c>
      <c r="B2644" s="9" t="s">
        <v>5436</v>
      </c>
      <c r="C2644" s="9" t="s">
        <v>159</v>
      </c>
      <c r="D2644" s="9" t="s">
        <v>113</v>
      </c>
      <c r="E2644" s="6" t="s">
        <v>3432</v>
      </c>
      <c r="F2644" s="9" t="s">
        <v>6285</v>
      </c>
    </row>
    <row r="2645" ht="33.75" customHeight="1">
      <c r="A2645" s="7">
        <v>89.0</v>
      </c>
      <c r="B2645" s="9" t="s">
        <v>5518</v>
      </c>
      <c r="C2645" s="9" t="s">
        <v>159</v>
      </c>
      <c r="D2645" s="9" t="s">
        <v>24</v>
      </c>
      <c r="E2645" s="6" t="s">
        <v>3433</v>
      </c>
      <c r="F2645" s="9" t="s">
        <v>6405</v>
      </c>
      <c r="G2645" t="inlineStr" s="6">
        <is>
          <t xml:space="preserve">Thickly covered with a filthy, vile sludge. It is so toxic, even its footprints contain poison. Smells so awful, it can cause fainting. Through degeneration, it lost its sense of smell. They love to gather in smelly areas where sludge accumulates, making the stench around them worse. Its body is made of a powerful poi son. Touching it accidentally will cause a fever that requires bed rest. As it moves, a very strong poison leaks from it, making the ground there barren for three years. From MUK’s body seeps a foul fluid that gives off a nose-bendingly horrible stench. Just one drop of this POKéMON’s body fluid can turn a pool stagnant and rancid. This POKéMON’s favorite food is anything that is repugnantly filthy. In dirty towns where people think nothing of throwing away litter on the streets, MUK are certain to gather. It prefers warm and humid habitats. In the summertime, the toxic substances in its body intensify, making MUK reek like putrid kitchen garbage. It is usually undetectable because it blends in with the ground. Touching it can cause terrible poisoning. A toxic fluid seeps from its body. The fluid instantly kills plants and trees on contact. Its body is made of a powerful poison. It’s so stinky! Muk’s body contains toxic elements, and any plant will wilt when it passes by. The stench it gives off will make your nose scrunch up. Still, there are Muk fans who think that’s a good thing. After recent environmental improvements, this Pokémon is now hardly seen at all. People speculate that it may go extinct at some point. Their food sources have decreased, and their numbers have declined sharply. Sludge ponds are being built to prevent their extinction. Because they scatter germs everywhere, they’ve long been targeted for extermination, leading to a steep decline in their population. Through degeneration of its nose, it lost its sense of smell.</t>
        </is>
      </c>
    </row>
    <row r="2646" ht="33.75" customHeight="1">
      <c r="A2646" s="7">
        <v>89.0</v>
      </c>
      <c r="B2646" s="9" t="s">
        <v>5518</v>
      </c>
      <c r="C2646" s="9" t="s">
        <v>159</v>
      </c>
      <c r="D2646" s="9" t="s">
        <v>35</v>
      </c>
      <c r="E2646" s="6" t="s">
        <v>3433</v>
      </c>
      <c r="F2646" s="9" t="s">
        <v>6405</v>
      </c>
    </row>
    <row r="2647" ht="33.75" customHeight="1">
      <c r="A2647" s="7">
        <v>89.0</v>
      </c>
      <c r="B2647" s="9" t="s">
        <v>5518</v>
      </c>
      <c r="C2647" s="9" t="s">
        <v>159</v>
      </c>
      <c r="D2647" s="9" t="s">
        <v>42</v>
      </c>
      <c r="E2647" s="6" t="s">
        <v>3434</v>
      </c>
      <c r="F2647" s="9" t="s">
        <v>6405</v>
      </c>
    </row>
    <row r="2648" ht="33.75" customHeight="1">
      <c r="A2648" s="7">
        <v>89.0</v>
      </c>
      <c r="B2648" s="9" t="s">
        <v>5518</v>
      </c>
      <c r="C2648" s="9" t="s">
        <v>159</v>
      </c>
      <c r="D2648" s="9" t="s">
        <v>52</v>
      </c>
      <c r="E2648" s="6" t="s">
        <v>3435</v>
      </c>
      <c r="F2648" s="9" t="s">
        <v>6405</v>
      </c>
    </row>
    <row r="2649" ht="33.75" customHeight="1">
      <c r="A2649" s="7">
        <v>89.0</v>
      </c>
      <c r="B2649" s="9" t="s">
        <v>5518</v>
      </c>
      <c r="C2649" s="9" t="s">
        <v>159</v>
      </c>
      <c r="D2649" s="9" t="s">
        <v>59</v>
      </c>
      <c r="E2649" s="6" t="s">
        <v>3436</v>
      </c>
      <c r="F2649" s="9" t="s">
        <v>6405</v>
      </c>
    </row>
    <row r="2650" ht="33.75" customHeight="1">
      <c r="A2650" s="7">
        <v>89.0</v>
      </c>
      <c r="B2650" s="9" t="s">
        <v>5518</v>
      </c>
      <c r="C2650" s="9" t="s">
        <v>159</v>
      </c>
      <c r="D2650" s="9" t="s">
        <v>64</v>
      </c>
      <c r="E2650" s="6" t="s">
        <v>3437</v>
      </c>
      <c r="F2650" s="9" t="s">
        <v>6405</v>
      </c>
    </row>
    <row r="2651" ht="33.75" customHeight="1">
      <c r="A2651" s="7">
        <v>89.0</v>
      </c>
      <c r="B2651" s="9" t="s">
        <v>5518</v>
      </c>
      <c r="C2651" s="9" t="s">
        <v>159</v>
      </c>
      <c r="D2651" s="9" t="s">
        <v>67</v>
      </c>
      <c r="E2651" s="6" t="s">
        <v>3438</v>
      </c>
      <c r="F2651" s="9" t="s">
        <v>6405</v>
      </c>
    </row>
    <row r="2652" ht="33.75" customHeight="1">
      <c r="A2652" s="7">
        <v>89.0</v>
      </c>
      <c r="B2652" s="9" t="s">
        <v>5518</v>
      </c>
      <c r="C2652" s="9" t="s">
        <v>159</v>
      </c>
      <c r="D2652" s="9" t="s">
        <v>71</v>
      </c>
      <c r="E2652" s="6" t="s">
        <v>3439</v>
      </c>
      <c r="F2652" s="9" t="s">
        <v>6405</v>
      </c>
    </row>
    <row r="2653" ht="33.75" customHeight="1">
      <c r="A2653" s="7">
        <v>89.0</v>
      </c>
      <c r="B2653" s="9" t="s">
        <v>5518</v>
      </c>
      <c r="C2653" s="9" t="s">
        <v>159</v>
      </c>
      <c r="D2653" s="9" t="s">
        <v>73</v>
      </c>
      <c r="E2653" s="6" t="s">
        <v>3440</v>
      </c>
      <c r="F2653" s="9" t="s">
        <v>6405</v>
      </c>
    </row>
    <row r="2654" ht="33.75" customHeight="1">
      <c r="A2654" s="7">
        <v>89.0</v>
      </c>
      <c r="B2654" s="9" t="s">
        <v>5518</v>
      </c>
      <c r="C2654" s="9" t="s">
        <v>159</v>
      </c>
      <c r="D2654" s="9" t="s">
        <v>75</v>
      </c>
      <c r="E2654" s="6" t="s">
        <v>3441</v>
      </c>
      <c r="F2654" s="9" t="s">
        <v>6405</v>
      </c>
    </row>
    <row r="2655" ht="33.75" customHeight="1">
      <c r="A2655" s="7">
        <v>89.0</v>
      </c>
      <c r="B2655" s="9" t="s">
        <v>5518</v>
      </c>
      <c r="C2655" s="9" t="s">
        <v>159</v>
      </c>
      <c r="D2655" s="9" t="s">
        <v>79</v>
      </c>
      <c r="E2655" s="6" t="s">
        <v>3433</v>
      </c>
      <c r="F2655" s="9" t="s">
        <v>6405</v>
      </c>
    </row>
    <row r="2656" ht="33.75" customHeight="1">
      <c r="A2656" s="7">
        <v>89.0</v>
      </c>
      <c r="B2656" s="9" t="s">
        <v>5518</v>
      </c>
      <c r="C2656" s="9" t="s">
        <v>159</v>
      </c>
      <c r="D2656" s="9" t="s">
        <v>81</v>
      </c>
      <c r="E2656" s="6" t="s">
        <v>3442</v>
      </c>
      <c r="F2656" s="9" t="s">
        <v>6405</v>
      </c>
    </row>
    <row r="2657" ht="33.75" customHeight="1">
      <c r="A2657" s="7">
        <v>89.0</v>
      </c>
      <c r="B2657" s="9" t="s">
        <v>5518</v>
      </c>
      <c r="C2657" s="9" t="s">
        <v>159</v>
      </c>
      <c r="D2657" s="9" t="s">
        <v>84</v>
      </c>
      <c r="E2657" s="6" t="s">
        <v>3442</v>
      </c>
      <c r="F2657" s="9" t="s">
        <v>6405</v>
      </c>
    </row>
    <row r="2658" ht="33.75" customHeight="1">
      <c r="A2658" s="7">
        <v>89.0</v>
      </c>
      <c r="B2658" s="9" t="s">
        <v>5518</v>
      </c>
      <c r="C2658" s="9" t="s">
        <v>159</v>
      </c>
      <c r="D2658" s="9" t="s">
        <v>87</v>
      </c>
      <c r="E2658" s="6" t="s">
        <v>3442</v>
      </c>
      <c r="F2658" s="9" t="s">
        <v>6405</v>
      </c>
    </row>
    <row r="2659" ht="33.75" customHeight="1">
      <c r="A2659" s="7">
        <v>89.0</v>
      </c>
      <c r="B2659" s="9" t="s">
        <v>5518</v>
      </c>
      <c r="C2659" s="9" t="s">
        <v>159</v>
      </c>
      <c r="D2659" s="9" t="s">
        <v>89</v>
      </c>
      <c r="E2659" s="6" t="s">
        <v>3443</v>
      </c>
      <c r="F2659" s="9" t="s">
        <v>6405</v>
      </c>
    </row>
    <row r="2660" ht="33.75" customHeight="1">
      <c r="A2660" s="7">
        <v>89.0</v>
      </c>
      <c r="B2660" s="9" t="s">
        <v>5518</v>
      </c>
      <c r="C2660" s="9" t="s">
        <v>159</v>
      </c>
      <c r="D2660" s="9" t="s">
        <v>91</v>
      </c>
      <c r="E2660" s="6" t="s">
        <v>3444</v>
      </c>
      <c r="F2660" s="9" t="s">
        <v>6405</v>
      </c>
    </row>
    <row r="2661" ht="33.75" customHeight="1">
      <c r="A2661" s="7">
        <v>89.0</v>
      </c>
      <c r="B2661" s="9" t="s">
        <v>5518</v>
      </c>
      <c r="C2661" s="9" t="s">
        <v>159</v>
      </c>
      <c r="D2661" s="9" t="s">
        <v>93</v>
      </c>
      <c r="E2661" s="6" t="s">
        <v>3442</v>
      </c>
      <c r="F2661" s="9" t="s">
        <v>6405</v>
      </c>
    </row>
    <row r="2662" ht="33.75" customHeight="1">
      <c r="A2662" s="7">
        <v>89.0</v>
      </c>
      <c r="B2662" s="9" t="s">
        <v>5518</v>
      </c>
      <c r="C2662" s="9" t="s">
        <v>159</v>
      </c>
      <c r="D2662" s="9" t="s">
        <v>95</v>
      </c>
      <c r="E2662" s="6" t="s">
        <v>3442</v>
      </c>
      <c r="F2662" s="9" t="s">
        <v>6405</v>
      </c>
    </row>
    <row r="2663" ht="33.75" customHeight="1">
      <c r="A2663" s="7">
        <v>89.0</v>
      </c>
      <c r="B2663" s="9" t="s">
        <v>5518</v>
      </c>
      <c r="C2663" s="9" t="s">
        <v>159</v>
      </c>
      <c r="D2663" s="9" t="s">
        <v>98</v>
      </c>
      <c r="E2663" s="6" t="s">
        <v>3446</v>
      </c>
      <c r="F2663" s="9" t="s">
        <v>6405</v>
      </c>
    </row>
    <row r="2664" ht="33.75" customHeight="1">
      <c r="A2664" s="7">
        <v>89.0</v>
      </c>
      <c r="B2664" s="9" t="s">
        <v>5518</v>
      </c>
      <c r="C2664" s="9" t="s">
        <v>159</v>
      </c>
      <c r="D2664" s="9" t="s">
        <v>99</v>
      </c>
      <c r="E2664" s="6" t="s">
        <v>3446</v>
      </c>
      <c r="F2664" s="9" t="s">
        <v>6405</v>
      </c>
    </row>
    <row r="2665" ht="33.75" customHeight="1">
      <c r="A2665" s="7">
        <v>89.0</v>
      </c>
      <c r="B2665" s="9" t="s">
        <v>5518</v>
      </c>
      <c r="C2665" s="9" t="s">
        <v>159</v>
      </c>
      <c r="D2665" s="9" t="s">
        <v>101</v>
      </c>
      <c r="E2665" s="6" t="s">
        <v>3443</v>
      </c>
      <c r="F2665" s="9" t="s">
        <v>6405</v>
      </c>
    </row>
    <row r="2666" ht="33.75" customHeight="1">
      <c r="A2666" s="7">
        <v>89.0</v>
      </c>
      <c r="B2666" s="9" t="s">
        <v>5518</v>
      </c>
      <c r="C2666" s="9" t="s">
        <v>159</v>
      </c>
      <c r="D2666" s="9" t="s">
        <v>105</v>
      </c>
      <c r="E2666" s="6" t="s">
        <v>3442</v>
      </c>
      <c r="F2666" s="9" t="s">
        <v>6405</v>
      </c>
    </row>
    <row r="2667" ht="33.75" customHeight="1">
      <c r="A2667" s="7">
        <v>89.0</v>
      </c>
      <c r="B2667" s="9" t="s">
        <v>5518</v>
      </c>
      <c r="C2667" s="9" t="s">
        <v>159</v>
      </c>
      <c r="D2667" s="9" t="s">
        <v>107</v>
      </c>
      <c r="E2667" s="6" t="s">
        <v>3447</v>
      </c>
      <c r="F2667" s="9" t="s">
        <v>6405</v>
      </c>
    </row>
    <row r="2668" ht="33.75" customHeight="1">
      <c r="A2668" s="7">
        <v>89.0</v>
      </c>
      <c r="B2668" s="9" t="s">
        <v>5518</v>
      </c>
      <c r="C2668" s="9" t="s">
        <v>159</v>
      </c>
      <c r="D2668" s="9" t="s">
        <v>109</v>
      </c>
      <c r="E2668" s="6" t="s">
        <v>3449</v>
      </c>
      <c r="F2668" s="9" t="s">
        <v>6405</v>
      </c>
    </row>
    <row r="2669" ht="33.75" customHeight="1">
      <c r="A2669" s="7">
        <v>89.0</v>
      </c>
      <c r="B2669" s="9" t="s">
        <v>5518</v>
      </c>
      <c r="C2669" s="9" t="s">
        <v>159</v>
      </c>
      <c r="D2669" s="9" t="s">
        <v>637</v>
      </c>
      <c r="E2669" s="6" t="s">
        <v>3451</v>
      </c>
      <c r="F2669" s="9" t="s">
        <v>6405</v>
      </c>
    </row>
    <row r="2670" ht="33.75" customHeight="1">
      <c r="A2670" s="7">
        <v>89.0</v>
      </c>
      <c r="B2670" s="9" t="s">
        <v>5518</v>
      </c>
      <c r="C2670" s="9" t="s">
        <v>159</v>
      </c>
      <c r="D2670" s="9" t="s">
        <v>642</v>
      </c>
      <c r="E2670" s="6" t="s">
        <v>3453</v>
      </c>
      <c r="F2670" s="9" t="s">
        <v>6405</v>
      </c>
    </row>
    <row r="2671" ht="33.75" customHeight="1">
      <c r="A2671" s="7">
        <v>89.0</v>
      </c>
      <c r="B2671" s="9" t="s">
        <v>5518</v>
      </c>
      <c r="C2671" s="9" t="s">
        <v>159</v>
      </c>
      <c r="D2671" s="9" t="s">
        <v>647</v>
      </c>
      <c r="E2671" s="6" t="s">
        <v>3455</v>
      </c>
      <c r="F2671" s="9" t="s">
        <v>6405</v>
      </c>
    </row>
    <row r="2672" ht="33.75" customHeight="1">
      <c r="A2672" s="7">
        <v>89.0</v>
      </c>
      <c r="B2672" s="9" t="s">
        <v>5518</v>
      </c>
      <c r="C2672" s="9" t="s">
        <v>159</v>
      </c>
      <c r="D2672" s="9" t="s">
        <v>652</v>
      </c>
      <c r="E2672" s="6" t="s">
        <v>3456</v>
      </c>
      <c r="F2672" s="9" t="s">
        <v>6405</v>
      </c>
    </row>
    <row r="2673" ht="33.75" customHeight="1">
      <c r="A2673" s="7">
        <v>89.0</v>
      </c>
      <c r="B2673" s="9" t="s">
        <v>5518</v>
      </c>
      <c r="C2673" s="9" t="s">
        <v>159</v>
      </c>
      <c r="D2673" s="9" t="s">
        <v>111</v>
      </c>
      <c r="E2673" s="6" t="s">
        <v>3457</v>
      </c>
      <c r="F2673" s="9" t="s">
        <v>6405</v>
      </c>
    </row>
    <row r="2674" ht="33.75" customHeight="1">
      <c r="A2674" s="7">
        <v>89.0</v>
      </c>
      <c r="B2674" s="9" t="s">
        <v>5518</v>
      </c>
      <c r="C2674" s="9" t="s">
        <v>159</v>
      </c>
      <c r="D2674" s="9" t="s">
        <v>113</v>
      </c>
      <c r="E2674" s="6" t="s">
        <v>3457</v>
      </c>
      <c r="F2674" s="9" t="s">
        <v>6405</v>
      </c>
    </row>
    <row r="2675" ht="33.75" customHeight="1">
      <c r="A2675" s="7">
        <v>90.0</v>
      </c>
      <c r="B2675" s="9" t="s">
        <v>5587</v>
      </c>
      <c r="C2675" s="9" t="s">
        <v>161</v>
      </c>
      <c r="D2675" s="9" t="s">
        <v>24</v>
      </c>
      <c r="E2675" s="6" t="s">
        <v>3461</v>
      </c>
      <c r="F2675" s="9" t="s">
        <v>6523</v>
      </c>
      <c r="G2675" t="inlineStr" s="6">
        <is>
          <t xml:space="preserve">Shellder's hard shell repels any kind of attack. It is vulnerable only when its shell is open. The shell can withstand any attack. However, when it is open, the tender body is exposed. It swims facing backward by open ing and closing its two-piece shell. It is surprisingly fast. Grains of sand trapped in its shells mix with its body fluids to form beautiful pearls. Clamping on to an opponent reveals its vulnerable parts, so it uses this move only as a last resort. At night, this POKéMON uses its broad tongue to burrow a hole in the seafloor sand and then sleep in it. While it is sleeping, SHELLDER closes its shell, but leaves its tongue hanging out. At night, it burrows a hole in the seafloor with its broad tongue to make a place to sleep. While asleep, it closes its shell, but leaves its tongue hanging out. It is encased in a shell that is harder than diamond. Inside, however, it is surprisingly tender. It swims backward by opening and closing its two shells. Its large tongue is always kept hanging out. It swims facing backward by opening and closing its two-piece shell. The hardness of its shell surpasses the hardness of a diamond. In days gone by, people used the shells to make shields. This Pokémon’s tongue is always hanging out. It uses its tongue with great dexterity to dig up sand from the seabed in its search for food. The sand that accumulates inside its shell eventually becomes a pearl. But the pearl gets in the way, so it spits it out and discards it. Even when its shell is closed, its tongue still hangs out. If you give its tongue a good yank, the shock will cause Shellder to open its shell.</t>
        </is>
      </c>
    </row>
    <row r="2676" ht="33.75" customHeight="1">
      <c r="A2676" s="7">
        <v>90.0</v>
      </c>
      <c r="B2676" s="9" t="s">
        <v>5587</v>
      </c>
      <c r="C2676" s="9" t="s">
        <v>161</v>
      </c>
      <c r="D2676" s="9" t="s">
        <v>35</v>
      </c>
      <c r="E2676" s="6" t="s">
        <v>3461</v>
      </c>
      <c r="F2676" s="9" t="s">
        <v>6523</v>
      </c>
    </row>
    <row r="2677" ht="33.75" customHeight="1">
      <c r="A2677" s="7">
        <v>90.0</v>
      </c>
      <c r="B2677" s="9" t="s">
        <v>5587</v>
      </c>
      <c r="C2677" s="9" t="s">
        <v>161</v>
      </c>
      <c r="D2677" s="9" t="s">
        <v>42</v>
      </c>
      <c r="E2677" s="6" t="s">
        <v>3462</v>
      </c>
      <c r="F2677" s="9" t="s">
        <v>6523</v>
      </c>
    </row>
    <row r="2678" ht="33.75" customHeight="1">
      <c r="A2678" s="7">
        <v>90.0</v>
      </c>
      <c r="B2678" s="9" t="s">
        <v>5587</v>
      </c>
      <c r="C2678" s="9" t="s">
        <v>161</v>
      </c>
      <c r="D2678" s="9" t="s">
        <v>52</v>
      </c>
      <c r="E2678" s="6" t="s">
        <v>3463</v>
      </c>
      <c r="F2678" s="9" t="s">
        <v>6523</v>
      </c>
    </row>
    <row r="2679" ht="33.75" customHeight="1">
      <c r="A2679" s="7">
        <v>90.0</v>
      </c>
      <c r="B2679" s="9" t="s">
        <v>5587</v>
      </c>
      <c r="C2679" s="9" t="s">
        <v>161</v>
      </c>
      <c r="D2679" s="9" t="s">
        <v>59</v>
      </c>
      <c r="E2679" s="6" t="s">
        <v>3465</v>
      </c>
      <c r="F2679" s="9" t="s">
        <v>6523</v>
      </c>
    </row>
    <row r="2680" ht="33.75" customHeight="1">
      <c r="A2680" s="7">
        <v>90.0</v>
      </c>
      <c r="B2680" s="9" t="s">
        <v>5587</v>
      </c>
      <c r="C2680" s="9" t="s">
        <v>161</v>
      </c>
      <c r="D2680" s="9" t="s">
        <v>64</v>
      </c>
      <c r="E2680" s="6" t="s">
        <v>3467</v>
      </c>
      <c r="F2680" s="9" t="s">
        <v>6523</v>
      </c>
    </row>
    <row r="2681" ht="33.75" customHeight="1">
      <c r="A2681" s="7">
        <v>90.0</v>
      </c>
      <c r="B2681" s="9" t="s">
        <v>5587</v>
      </c>
      <c r="C2681" s="9" t="s">
        <v>161</v>
      </c>
      <c r="D2681" s="9" t="s">
        <v>67</v>
      </c>
      <c r="E2681" s="6" t="s">
        <v>3469</v>
      </c>
      <c r="F2681" s="9" t="s">
        <v>6523</v>
      </c>
    </row>
    <row r="2682" ht="33.75" customHeight="1">
      <c r="A2682" s="7">
        <v>90.0</v>
      </c>
      <c r="B2682" s="9" t="s">
        <v>5587</v>
      </c>
      <c r="C2682" s="9" t="s">
        <v>161</v>
      </c>
      <c r="D2682" s="9" t="s">
        <v>71</v>
      </c>
      <c r="E2682" s="6" t="s">
        <v>3469</v>
      </c>
      <c r="F2682" s="9" t="s">
        <v>6523</v>
      </c>
    </row>
    <row r="2683" ht="33.75" customHeight="1">
      <c r="A2683" s="7">
        <v>90.0</v>
      </c>
      <c r="B2683" s="9" t="s">
        <v>5587</v>
      </c>
      <c r="C2683" s="9" t="s">
        <v>161</v>
      </c>
      <c r="D2683" s="9" t="s">
        <v>73</v>
      </c>
      <c r="E2683" s="6" t="s">
        <v>3471</v>
      </c>
      <c r="F2683" s="9" t="s">
        <v>6523</v>
      </c>
    </row>
    <row r="2684" ht="33.75" customHeight="1">
      <c r="A2684" s="7">
        <v>90.0</v>
      </c>
      <c r="B2684" s="9" t="s">
        <v>5587</v>
      </c>
      <c r="C2684" s="9" t="s">
        <v>161</v>
      </c>
      <c r="D2684" s="9" t="s">
        <v>75</v>
      </c>
      <c r="E2684" s="6" t="s">
        <v>3474</v>
      </c>
      <c r="F2684" s="9" t="s">
        <v>6523</v>
      </c>
    </row>
    <row r="2685" ht="33.75" customHeight="1">
      <c r="A2685" s="7">
        <v>90.0</v>
      </c>
      <c r="B2685" s="9" t="s">
        <v>5587</v>
      </c>
      <c r="C2685" s="9" t="s">
        <v>161</v>
      </c>
      <c r="D2685" s="9" t="s">
        <v>79</v>
      </c>
      <c r="E2685" s="6" t="s">
        <v>3461</v>
      </c>
      <c r="F2685" s="9" t="s">
        <v>6523</v>
      </c>
    </row>
    <row r="2686" ht="33.75" customHeight="1">
      <c r="A2686" s="7">
        <v>90.0</v>
      </c>
      <c r="B2686" s="9" t="s">
        <v>5587</v>
      </c>
      <c r="C2686" s="9" t="s">
        <v>161</v>
      </c>
      <c r="D2686" s="9" t="s">
        <v>81</v>
      </c>
      <c r="E2686" s="6" t="s">
        <v>3475</v>
      </c>
      <c r="F2686" s="9" t="s">
        <v>6523</v>
      </c>
    </row>
    <row r="2687" ht="33.75" customHeight="1">
      <c r="A2687" s="7">
        <v>90.0</v>
      </c>
      <c r="B2687" s="9" t="s">
        <v>5587</v>
      </c>
      <c r="C2687" s="9" t="s">
        <v>161</v>
      </c>
      <c r="D2687" s="9" t="s">
        <v>84</v>
      </c>
      <c r="E2687" s="6" t="s">
        <v>3475</v>
      </c>
      <c r="F2687" s="9" t="s">
        <v>6523</v>
      </c>
    </row>
    <row r="2688" ht="33.75" customHeight="1">
      <c r="A2688" s="7">
        <v>90.0</v>
      </c>
      <c r="B2688" s="9" t="s">
        <v>5587</v>
      </c>
      <c r="C2688" s="9" t="s">
        <v>161</v>
      </c>
      <c r="D2688" s="9" t="s">
        <v>87</v>
      </c>
      <c r="E2688" s="6" t="s">
        <v>3475</v>
      </c>
      <c r="F2688" s="9" t="s">
        <v>6523</v>
      </c>
    </row>
    <row r="2689" ht="33.75" customHeight="1">
      <c r="A2689" s="7">
        <v>90.0</v>
      </c>
      <c r="B2689" s="9" t="s">
        <v>5587</v>
      </c>
      <c r="C2689" s="9" t="s">
        <v>161</v>
      </c>
      <c r="D2689" s="9" t="s">
        <v>89</v>
      </c>
      <c r="E2689" s="6" t="s">
        <v>3476</v>
      </c>
      <c r="F2689" s="9" t="s">
        <v>6523</v>
      </c>
    </row>
    <row r="2690" ht="33.75" customHeight="1">
      <c r="A2690" s="7">
        <v>90.0</v>
      </c>
      <c r="B2690" s="9" t="s">
        <v>5587</v>
      </c>
      <c r="C2690" s="9" t="s">
        <v>161</v>
      </c>
      <c r="D2690" s="9" t="s">
        <v>91</v>
      </c>
      <c r="E2690" s="6" t="s">
        <v>3465</v>
      </c>
      <c r="F2690" s="9" t="s">
        <v>6523</v>
      </c>
    </row>
    <row r="2691" ht="33.75" customHeight="1">
      <c r="A2691" s="7">
        <v>90.0</v>
      </c>
      <c r="B2691" s="9" t="s">
        <v>5587</v>
      </c>
      <c r="C2691" s="9" t="s">
        <v>161</v>
      </c>
      <c r="D2691" s="9" t="s">
        <v>93</v>
      </c>
      <c r="E2691" s="6" t="s">
        <v>3475</v>
      </c>
      <c r="F2691" s="9" t="s">
        <v>6523</v>
      </c>
    </row>
    <row r="2692" ht="33.75" customHeight="1">
      <c r="A2692" s="7">
        <v>90.0</v>
      </c>
      <c r="B2692" s="9" t="s">
        <v>5587</v>
      </c>
      <c r="C2692" s="9" t="s">
        <v>161</v>
      </c>
      <c r="D2692" s="9" t="s">
        <v>95</v>
      </c>
      <c r="E2692" s="6" t="s">
        <v>3475</v>
      </c>
      <c r="F2692" s="9" t="s">
        <v>6523</v>
      </c>
    </row>
    <row r="2693" ht="33.75" customHeight="1">
      <c r="A2693" s="7">
        <v>90.0</v>
      </c>
      <c r="B2693" s="9" t="s">
        <v>5587</v>
      </c>
      <c r="C2693" s="9" t="s">
        <v>161</v>
      </c>
      <c r="D2693" s="9" t="s">
        <v>98</v>
      </c>
      <c r="E2693" s="6" t="s">
        <v>3475</v>
      </c>
      <c r="F2693" s="9" t="s">
        <v>6523</v>
      </c>
    </row>
    <row r="2694" ht="33.75" customHeight="1">
      <c r="A2694" s="7">
        <v>90.0</v>
      </c>
      <c r="B2694" s="9" t="s">
        <v>5587</v>
      </c>
      <c r="C2694" s="9" t="s">
        <v>161</v>
      </c>
      <c r="D2694" s="9" t="s">
        <v>99</v>
      </c>
      <c r="E2694" s="6" t="s">
        <v>3475</v>
      </c>
      <c r="F2694" s="9" t="s">
        <v>6523</v>
      </c>
    </row>
    <row r="2695" ht="33.75" customHeight="1">
      <c r="A2695" s="7">
        <v>90.0</v>
      </c>
      <c r="B2695" s="9" t="s">
        <v>5587</v>
      </c>
      <c r="C2695" s="9" t="s">
        <v>161</v>
      </c>
      <c r="D2695" s="9" t="s">
        <v>101</v>
      </c>
      <c r="E2695" s="6" t="s">
        <v>3461</v>
      </c>
      <c r="F2695" s="9" t="s">
        <v>6523</v>
      </c>
    </row>
    <row r="2696" ht="33.75" customHeight="1">
      <c r="A2696" s="7">
        <v>90.0</v>
      </c>
      <c r="B2696" s="9" t="s">
        <v>5587</v>
      </c>
      <c r="C2696" s="9" t="s">
        <v>161</v>
      </c>
      <c r="D2696" s="9" t="s">
        <v>105</v>
      </c>
      <c r="E2696" s="6" t="s">
        <v>3467</v>
      </c>
      <c r="F2696" s="9" t="s">
        <v>6523</v>
      </c>
    </row>
    <row r="2697" ht="33.75" customHeight="1">
      <c r="A2697" s="7">
        <v>90.0</v>
      </c>
      <c r="B2697" s="9" t="s">
        <v>5587</v>
      </c>
      <c r="C2697" s="9" t="s">
        <v>161</v>
      </c>
      <c r="D2697" s="9" t="s">
        <v>107</v>
      </c>
      <c r="E2697" s="6" t="s">
        <v>3477</v>
      </c>
      <c r="F2697" s="9" t="s">
        <v>6523</v>
      </c>
    </row>
    <row r="2698" ht="33.75" customHeight="1">
      <c r="A2698" s="7">
        <v>90.0</v>
      </c>
      <c r="B2698" s="9" t="s">
        <v>5587</v>
      </c>
      <c r="C2698" s="9" t="s">
        <v>161</v>
      </c>
      <c r="D2698" s="9" t="s">
        <v>109</v>
      </c>
      <c r="E2698" s="6" t="s">
        <v>3477</v>
      </c>
      <c r="F2698" s="9" t="s">
        <v>6523</v>
      </c>
    </row>
    <row r="2699" ht="33.75" customHeight="1">
      <c r="A2699" s="7">
        <v>90.0</v>
      </c>
      <c r="B2699" s="9" t="s">
        <v>5587</v>
      </c>
      <c r="C2699" s="9" t="s">
        <v>161</v>
      </c>
      <c r="D2699" s="9" t="s">
        <v>637</v>
      </c>
      <c r="E2699" s="6" t="s">
        <v>3479</v>
      </c>
      <c r="F2699" s="9" t="s">
        <v>6523</v>
      </c>
    </row>
    <row r="2700" ht="33.75" customHeight="1">
      <c r="A2700" s="7">
        <v>90.0</v>
      </c>
      <c r="B2700" s="9" t="s">
        <v>5587</v>
      </c>
      <c r="C2700" s="9" t="s">
        <v>161</v>
      </c>
      <c r="D2700" s="9" t="s">
        <v>642</v>
      </c>
      <c r="E2700" s="6" t="s">
        <v>3481</v>
      </c>
      <c r="F2700" s="9" t="s">
        <v>6523</v>
      </c>
    </row>
    <row r="2701" ht="33.75" customHeight="1">
      <c r="A2701" s="7">
        <v>90.0</v>
      </c>
      <c r="B2701" s="9" t="s">
        <v>5587</v>
      </c>
      <c r="C2701" s="9" t="s">
        <v>161</v>
      </c>
      <c r="D2701" s="9" t="s">
        <v>647</v>
      </c>
      <c r="E2701" s="6" t="s">
        <v>3482</v>
      </c>
      <c r="F2701" s="9" t="s">
        <v>6523</v>
      </c>
    </row>
    <row r="2702" ht="33.75" customHeight="1">
      <c r="A2702" s="7">
        <v>90.0</v>
      </c>
      <c r="B2702" s="9" t="s">
        <v>5587</v>
      </c>
      <c r="C2702" s="9" t="s">
        <v>161</v>
      </c>
      <c r="D2702" s="9" t="s">
        <v>652</v>
      </c>
      <c r="E2702" s="6" t="s">
        <v>3483</v>
      </c>
      <c r="F2702" s="9" t="s">
        <v>6523</v>
      </c>
    </row>
    <row r="2703" ht="33.75" customHeight="1">
      <c r="A2703" s="7">
        <v>90.0</v>
      </c>
      <c r="B2703" s="9" t="s">
        <v>5587</v>
      </c>
      <c r="C2703" s="9" t="s">
        <v>161</v>
      </c>
      <c r="D2703" s="9" t="s">
        <v>111</v>
      </c>
      <c r="E2703" s="6" t="s">
        <v>3462</v>
      </c>
      <c r="F2703" s="9" t="s">
        <v>6523</v>
      </c>
    </row>
    <row r="2704" ht="33.75" customHeight="1">
      <c r="A2704" s="7">
        <v>90.0</v>
      </c>
      <c r="B2704" s="9" t="s">
        <v>5587</v>
      </c>
      <c r="C2704" s="9" t="s">
        <v>161</v>
      </c>
      <c r="D2704" s="9" t="s">
        <v>113</v>
      </c>
      <c r="E2704" s="6" t="s">
        <v>3462</v>
      </c>
      <c r="F2704" s="9" t="s">
        <v>6523</v>
      </c>
    </row>
    <row r="2705" ht="33.75" customHeight="1">
      <c r="A2705" s="7">
        <v>90.0</v>
      </c>
      <c r="B2705" s="9" t="s">
        <v>5587</v>
      </c>
      <c r="C2705" s="9" t="s">
        <v>161</v>
      </c>
      <c r="D2705" s="9" t="s">
        <v>114</v>
      </c>
      <c r="E2705" s="6" t="s">
        <v>3476</v>
      </c>
      <c r="F2705" s="9" t="s">
        <v>6523</v>
      </c>
    </row>
    <row r="2706" ht="33.75" customHeight="1">
      <c r="A2706" s="7">
        <v>90.0</v>
      </c>
      <c r="B2706" s="9" t="s">
        <v>5587</v>
      </c>
      <c r="C2706" s="9" t="s">
        <v>161</v>
      </c>
      <c r="D2706" s="9" t="s">
        <v>117</v>
      </c>
      <c r="E2706" s="6" t="s">
        <v>3461</v>
      </c>
      <c r="F2706" s="9" t="s">
        <v>6523</v>
      </c>
    </row>
    <row r="2707" ht="33.75" customHeight="1">
      <c r="A2707" s="7">
        <v>91.0</v>
      </c>
      <c r="B2707" s="9" t="s">
        <v>5656</v>
      </c>
      <c r="C2707" s="9" t="s">
        <v>161</v>
      </c>
      <c r="D2707" s="9" t="s">
        <v>24</v>
      </c>
      <c r="E2707" s="6" t="s">
        <v>3485</v>
      </c>
      <c r="F2707" s="9" t="s">
        <v>6617</v>
      </c>
      <c r="G2707" t="inlineStr" s="6">
        <is>
          <t xml:space="preserve">When attacked, it launches Cloyster's horns in quick volleys. Its innards have never been seen. For protection, it uses its harder- than-diamonds shell. It also shoots spikes from the shell. Once it slams its shell shut, it is impossible to open, even by those with superior strength. CLOYSTER that live in seas with harsh tidal currents grow large, sharp spikes on their shells. Even a missile can't break the spikes it uses to stab opponents. They're even hard er than its shell. CLOYSTER is capable of swimming in the sea. It does so by swallowing water, then jetting it out toward the rear. This POKéMON shoots spikes from its shell using the same system. It swims in the sea by swallowing water, then jetting it out toward the rear. The CLOYSTER shoots spikes from its shell using the same system. Its shell is extremely hard. It cannot be shattered, even with a bomb. The shell opens only when it is attacking. It fights by keeping its shell tightly shut for protection and by shooting spikes to repel foes. Its hard shell cannot be shattered—not even by a bomb. The contents of the shell remain unknown. Excavation of the tombs of ancient hunting tribes has turned up many spears tipped with spikes that had fallen off this Pokémon’s shell. If areas of Cloyster’s very hard shell get damaged, those areas swell, gradually growing into large sharp spikes. Slowpoke tails are its favorite food. It has even been known to come up on land to look for Slowpoke from time to time. For protection, it uses its harder-than-diamond shell.</t>
        </is>
      </c>
    </row>
    <row r="2708" ht="33.75" customHeight="1">
      <c r="A2708" s="7">
        <v>91.0</v>
      </c>
      <c r="B2708" s="9" t="s">
        <v>5656</v>
      </c>
      <c r="C2708" s="9" t="s">
        <v>161</v>
      </c>
      <c r="D2708" s="9" t="s">
        <v>35</v>
      </c>
      <c r="E2708" s="6" t="s">
        <v>3485</v>
      </c>
      <c r="F2708" s="9" t="s">
        <v>6617</v>
      </c>
    </row>
    <row r="2709" ht="33.75" customHeight="1">
      <c r="A2709" s="7">
        <v>91.0</v>
      </c>
      <c r="B2709" s="9" t="s">
        <v>5656</v>
      </c>
      <c r="C2709" s="9" t="s">
        <v>161</v>
      </c>
      <c r="D2709" s="9" t="s">
        <v>42</v>
      </c>
      <c r="E2709" s="6" t="s">
        <v>3486</v>
      </c>
      <c r="F2709" s="9" t="s">
        <v>6617</v>
      </c>
    </row>
    <row r="2710" ht="33.75" customHeight="1">
      <c r="A2710" s="7">
        <v>91.0</v>
      </c>
      <c r="B2710" s="9" t="s">
        <v>5656</v>
      </c>
      <c r="C2710" s="9" t="s">
        <v>161</v>
      </c>
      <c r="D2710" s="9" t="s">
        <v>52</v>
      </c>
      <c r="E2710" s="6" t="s">
        <v>3487</v>
      </c>
      <c r="F2710" s="9" t="s">
        <v>6617</v>
      </c>
    </row>
    <row r="2711" ht="33.75" customHeight="1">
      <c r="A2711" s="7">
        <v>91.0</v>
      </c>
      <c r="B2711" s="9" t="s">
        <v>5656</v>
      </c>
      <c r="C2711" s="9" t="s">
        <v>161</v>
      </c>
      <c r="D2711" s="9" t="s">
        <v>59</v>
      </c>
      <c r="E2711" s="6" t="s">
        <v>3488</v>
      </c>
      <c r="F2711" s="9" t="s">
        <v>6617</v>
      </c>
    </row>
    <row r="2712" ht="33.75" customHeight="1">
      <c r="A2712" s="7">
        <v>91.0</v>
      </c>
      <c r="B2712" s="9" t="s">
        <v>5656</v>
      </c>
      <c r="C2712" s="9" t="s">
        <v>161</v>
      </c>
      <c r="D2712" s="9" t="s">
        <v>64</v>
      </c>
      <c r="E2712" s="6" t="s">
        <v>3489</v>
      </c>
      <c r="F2712" s="9" t="s">
        <v>6617</v>
      </c>
    </row>
    <row r="2713" ht="33.75" customHeight="1">
      <c r="A2713" s="7">
        <v>91.0</v>
      </c>
      <c r="B2713" s="9" t="s">
        <v>5656</v>
      </c>
      <c r="C2713" s="9" t="s">
        <v>161</v>
      </c>
      <c r="D2713" s="9" t="s">
        <v>67</v>
      </c>
      <c r="E2713" s="6" t="s">
        <v>3491</v>
      </c>
      <c r="F2713" s="9" t="s">
        <v>6617</v>
      </c>
    </row>
    <row r="2714" ht="33.75" customHeight="1">
      <c r="A2714" s="7">
        <v>91.0</v>
      </c>
      <c r="B2714" s="9" t="s">
        <v>5656</v>
      </c>
      <c r="C2714" s="9" t="s">
        <v>161</v>
      </c>
      <c r="D2714" s="9" t="s">
        <v>71</v>
      </c>
      <c r="E2714" s="6" t="s">
        <v>3491</v>
      </c>
      <c r="F2714" s="9" t="s">
        <v>6617</v>
      </c>
    </row>
    <row r="2715" ht="33.75" customHeight="1">
      <c r="A2715" s="7">
        <v>91.0</v>
      </c>
      <c r="B2715" s="9" t="s">
        <v>5656</v>
      </c>
      <c r="C2715" s="9" t="s">
        <v>161</v>
      </c>
      <c r="D2715" s="9" t="s">
        <v>73</v>
      </c>
      <c r="E2715" s="6" t="s">
        <v>3492</v>
      </c>
      <c r="F2715" s="9" t="s">
        <v>6617</v>
      </c>
    </row>
    <row r="2716" ht="33.75" customHeight="1">
      <c r="A2716" s="7">
        <v>91.0</v>
      </c>
      <c r="B2716" s="9" t="s">
        <v>5656</v>
      </c>
      <c r="C2716" s="9" t="s">
        <v>161</v>
      </c>
      <c r="D2716" s="9" t="s">
        <v>75</v>
      </c>
      <c r="E2716" s="6" t="s">
        <v>3493</v>
      </c>
      <c r="F2716" s="9" t="s">
        <v>6617</v>
      </c>
    </row>
    <row r="2717" ht="33.75" customHeight="1">
      <c r="A2717" s="7">
        <v>91.0</v>
      </c>
      <c r="B2717" s="9" t="s">
        <v>5656</v>
      </c>
      <c r="C2717" s="9" t="s">
        <v>161</v>
      </c>
      <c r="D2717" s="9" t="s">
        <v>79</v>
      </c>
      <c r="E2717" s="6" t="s">
        <v>3485</v>
      </c>
      <c r="F2717" s="9" t="s">
        <v>6617</v>
      </c>
    </row>
    <row r="2718" ht="33.75" customHeight="1">
      <c r="A2718" s="7">
        <v>91.0</v>
      </c>
      <c r="B2718" s="9" t="s">
        <v>5656</v>
      </c>
      <c r="C2718" s="9" t="s">
        <v>161</v>
      </c>
      <c r="D2718" s="9" t="s">
        <v>81</v>
      </c>
      <c r="E2718" s="6" t="s">
        <v>3495</v>
      </c>
      <c r="F2718" s="9" t="s">
        <v>6617</v>
      </c>
    </row>
    <row r="2719" ht="33.75" customHeight="1">
      <c r="A2719" s="7">
        <v>91.0</v>
      </c>
      <c r="B2719" s="9" t="s">
        <v>5656</v>
      </c>
      <c r="C2719" s="9" t="s">
        <v>161</v>
      </c>
      <c r="D2719" s="9" t="s">
        <v>84</v>
      </c>
      <c r="E2719" s="6" t="s">
        <v>3495</v>
      </c>
      <c r="F2719" s="9" t="s">
        <v>6617</v>
      </c>
    </row>
    <row r="2720" ht="33.75" customHeight="1">
      <c r="A2720" s="7">
        <v>91.0</v>
      </c>
      <c r="B2720" s="9" t="s">
        <v>5656</v>
      </c>
      <c r="C2720" s="9" t="s">
        <v>161</v>
      </c>
      <c r="D2720" s="9" t="s">
        <v>87</v>
      </c>
      <c r="E2720" s="6" t="s">
        <v>3495</v>
      </c>
      <c r="F2720" s="9" t="s">
        <v>6617</v>
      </c>
    </row>
    <row r="2721" ht="33.75" customHeight="1">
      <c r="A2721" s="7">
        <v>91.0</v>
      </c>
      <c r="B2721" s="9" t="s">
        <v>5656</v>
      </c>
      <c r="C2721" s="9" t="s">
        <v>161</v>
      </c>
      <c r="D2721" s="9" t="s">
        <v>89</v>
      </c>
      <c r="E2721" s="6" t="s">
        <v>3496</v>
      </c>
      <c r="F2721" s="9" t="s">
        <v>6617</v>
      </c>
    </row>
    <row r="2722" ht="33.75" customHeight="1">
      <c r="A2722" s="7">
        <v>91.0</v>
      </c>
      <c r="B2722" s="9" t="s">
        <v>5656</v>
      </c>
      <c r="C2722" s="9" t="s">
        <v>161</v>
      </c>
      <c r="D2722" s="9" t="s">
        <v>91</v>
      </c>
      <c r="E2722" s="6" t="s">
        <v>3488</v>
      </c>
      <c r="F2722" s="9" t="s">
        <v>6617</v>
      </c>
    </row>
    <row r="2723" ht="33.75" customHeight="1">
      <c r="A2723" s="7">
        <v>91.0</v>
      </c>
      <c r="B2723" s="9" t="s">
        <v>5656</v>
      </c>
      <c r="C2723" s="9" t="s">
        <v>161</v>
      </c>
      <c r="D2723" s="9" t="s">
        <v>93</v>
      </c>
      <c r="E2723" s="6" t="s">
        <v>3495</v>
      </c>
      <c r="F2723" s="9" t="s">
        <v>6617</v>
      </c>
    </row>
    <row r="2724" ht="33.75" customHeight="1">
      <c r="A2724" s="7">
        <v>91.0</v>
      </c>
      <c r="B2724" s="9" t="s">
        <v>5656</v>
      </c>
      <c r="C2724" s="9" t="s">
        <v>161</v>
      </c>
      <c r="D2724" s="9" t="s">
        <v>95</v>
      </c>
      <c r="E2724" s="6" t="s">
        <v>3495</v>
      </c>
      <c r="F2724" s="9" t="s">
        <v>6617</v>
      </c>
    </row>
    <row r="2725" ht="33.75" customHeight="1">
      <c r="A2725" s="7">
        <v>91.0</v>
      </c>
      <c r="B2725" s="9" t="s">
        <v>5656</v>
      </c>
      <c r="C2725" s="9" t="s">
        <v>161</v>
      </c>
      <c r="D2725" s="9" t="s">
        <v>98</v>
      </c>
      <c r="E2725" s="6" t="s">
        <v>3495</v>
      </c>
      <c r="F2725" s="9" t="s">
        <v>6617</v>
      </c>
    </row>
    <row r="2726" ht="33.75" customHeight="1">
      <c r="A2726" s="7">
        <v>91.0</v>
      </c>
      <c r="B2726" s="9" t="s">
        <v>5656</v>
      </c>
      <c r="C2726" s="9" t="s">
        <v>161</v>
      </c>
      <c r="D2726" s="9" t="s">
        <v>99</v>
      </c>
      <c r="E2726" s="6" t="s">
        <v>3495</v>
      </c>
      <c r="F2726" s="9" t="s">
        <v>6617</v>
      </c>
    </row>
    <row r="2727" ht="33.75" customHeight="1">
      <c r="A2727" s="7">
        <v>91.0</v>
      </c>
      <c r="B2727" s="9" t="s">
        <v>5656</v>
      </c>
      <c r="C2727" s="9" t="s">
        <v>161</v>
      </c>
      <c r="D2727" s="9" t="s">
        <v>101</v>
      </c>
      <c r="E2727" s="6" t="s">
        <v>3497</v>
      </c>
      <c r="F2727" s="9" t="s">
        <v>6617</v>
      </c>
    </row>
    <row r="2728" ht="33.75" customHeight="1">
      <c r="A2728" s="7">
        <v>91.0</v>
      </c>
      <c r="B2728" s="9" t="s">
        <v>5656</v>
      </c>
      <c r="C2728" s="9" t="s">
        <v>161</v>
      </c>
      <c r="D2728" s="9" t="s">
        <v>105</v>
      </c>
      <c r="E2728" s="6" t="s">
        <v>3493</v>
      </c>
      <c r="F2728" s="9" t="s">
        <v>6617</v>
      </c>
    </row>
    <row r="2729" ht="33.75" customHeight="1">
      <c r="A2729" s="7">
        <v>91.0</v>
      </c>
      <c r="B2729" s="9" t="s">
        <v>5656</v>
      </c>
      <c r="C2729" s="9" t="s">
        <v>161</v>
      </c>
      <c r="D2729" s="9" t="s">
        <v>107</v>
      </c>
      <c r="E2729" s="6" t="s">
        <v>3498</v>
      </c>
      <c r="F2729" s="9" t="s">
        <v>6617</v>
      </c>
    </row>
    <row r="2730" ht="33.75" customHeight="1">
      <c r="A2730" s="7">
        <v>91.0</v>
      </c>
      <c r="B2730" s="9" t="s">
        <v>5656</v>
      </c>
      <c r="C2730" s="9" t="s">
        <v>161</v>
      </c>
      <c r="D2730" s="9" t="s">
        <v>109</v>
      </c>
      <c r="E2730" s="6" t="s">
        <v>3498</v>
      </c>
      <c r="F2730" s="9" t="s">
        <v>6617</v>
      </c>
    </row>
    <row r="2731" ht="33.75" customHeight="1">
      <c r="A2731" s="7">
        <v>91.0</v>
      </c>
      <c r="B2731" s="9" t="s">
        <v>5656</v>
      </c>
      <c r="C2731" s="9" t="s">
        <v>161</v>
      </c>
      <c r="D2731" s="9" t="s">
        <v>637</v>
      </c>
      <c r="E2731" s="6" t="s">
        <v>3499</v>
      </c>
      <c r="F2731" s="9" t="s">
        <v>6617</v>
      </c>
    </row>
    <row r="2732" ht="33.75" customHeight="1">
      <c r="A2732" s="7">
        <v>91.0</v>
      </c>
      <c r="B2732" s="9" t="s">
        <v>5656</v>
      </c>
      <c r="C2732" s="9" t="s">
        <v>161</v>
      </c>
      <c r="D2732" s="9" t="s">
        <v>642</v>
      </c>
      <c r="E2732" s="6" t="s">
        <v>3500</v>
      </c>
      <c r="F2732" s="9" t="s">
        <v>6617</v>
      </c>
    </row>
    <row r="2733" ht="33.75" customHeight="1">
      <c r="A2733" s="7">
        <v>91.0</v>
      </c>
      <c r="B2733" s="9" t="s">
        <v>5656</v>
      </c>
      <c r="C2733" s="9" t="s">
        <v>161</v>
      </c>
      <c r="D2733" s="9" t="s">
        <v>647</v>
      </c>
      <c r="E2733" s="6" t="s">
        <v>3502</v>
      </c>
      <c r="F2733" s="9" t="s">
        <v>6617</v>
      </c>
    </row>
    <row r="2734" ht="33.75" customHeight="1">
      <c r="A2734" s="7">
        <v>91.0</v>
      </c>
      <c r="B2734" s="9" t="s">
        <v>5656</v>
      </c>
      <c r="C2734" s="9" t="s">
        <v>161</v>
      </c>
      <c r="D2734" s="9" t="s">
        <v>652</v>
      </c>
      <c r="E2734" s="6" t="s">
        <v>3503</v>
      </c>
      <c r="F2734" s="9" t="s">
        <v>6617</v>
      </c>
    </row>
    <row r="2735" ht="33.75" customHeight="1">
      <c r="A2735" s="7">
        <v>91.0</v>
      </c>
      <c r="B2735" s="9" t="s">
        <v>5656</v>
      </c>
      <c r="C2735" s="9" t="s">
        <v>161</v>
      </c>
      <c r="D2735" s="9" t="s">
        <v>111</v>
      </c>
      <c r="E2735" s="6" t="s">
        <v>3504</v>
      </c>
      <c r="F2735" s="9" t="s">
        <v>6617</v>
      </c>
    </row>
    <row r="2736" ht="33.75" customHeight="1">
      <c r="A2736" s="7">
        <v>91.0</v>
      </c>
      <c r="B2736" s="9" t="s">
        <v>5656</v>
      </c>
      <c r="C2736" s="9" t="s">
        <v>161</v>
      </c>
      <c r="D2736" s="9" t="s">
        <v>113</v>
      </c>
      <c r="E2736" s="6" t="s">
        <v>3504</v>
      </c>
      <c r="F2736" s="9" t="s">
        <v>6617</v>
      </c>
    </row>
    <row r="2737" ht="33.75" customHeight="1">
      <c r="A2737" s="7">
        <v>91.0</v>
      </c>
      <c r="B2737" s="9" t="s">
        <v>5656</v>
      </c>
      <c r="C2737" s="9" t="s">
        <v>161</v>
      </c>
      <c r="D2737" s="9" t="s">
        <v>114</v>
      </c>
      <c r="E2737" s="6" t="s">
        <v>3493</v>
      </c>
      <c r="F2737" s="9" t="s">
        <v>6617</v>
      </c>
    </row>
    <row r="2738" ht="33.75" customHeight="1">
      <c r="A2738" s="7">
        <v>91.0</v>
      </c>
      <c r="B2738" s="9" t="s">
        <v>5656</v>
      </c>
      <c r="C2738" s="9" t="s">
        <v>161</v>
      </c>
      <c r="D2738" s="9" t="s">
        <v>117</v>
      </c>
      <c r="E2738" s="6" t="s">
        <v>3496</v>
      </c>
      <c r="F2738" s="9" t="s">
        <v>6617</v>
      </c>
    </row>
    <row r="2739" ht="33.75" customHeight="1">
      <c r="A2739" s="7">
        <v>92.0</v>
      </c>
      <c r="B2739" s="9" t="s">
        <v>5727</v>
      </c>
      <c r="C2739" s="9" t="s">
        <v>162</v>
      </c>
      <c r="D2739" s="9" t="s">
        <v>24</v>
      </c>
      <c r="E2739" s="6" t="s">
        <v>3506</v>
      </c>
      <c r="F2739" s="9" t="s">
        <v>6726</v>
      </c>
      <c r="G2739" t="inlineStr" s="6">
        <is>
          <t xml:space="preserve">Almost invisible, this gaseous POKéMON cloaks the target and puts it to sleep without notice. Said to appear in decrepit, deserted buildings. It has no real shape as it appears to be made of a gas. With its gas-like body, it can sneak into any place it desires. However, it can be blown away by wind. Its thin body is made of gas. It can envelop an opponent of any size and cause suffocation. It wraps its opponent in its gas- like body, slowly weakening its prey by poisoning it through the skin. GASTLY is largely composed of gaseous matter. When exposed to a strong wind, the gaseous body quickly dwindles away. Groups of this POKéMON cluster under the eaves of houses to escape the ravages of wind. When exposed to a strong wind, a GASTLY’s gaseous body quickly dwindles away. They cluster under the eaves of houses to escape the ravages of wind. A being that exists as a thin gas. It can topple an Indian elephant by enveloping the prey in two seconds. This Pokémon’s body is 95% made up of gases, which are blown away by strong gusts of wind. A Pokémon born from poison gases. It defeats even the largest foes by enveloping them in gas. Born from gases, anyone would faint if engulfed by its gaseous body, which contains poison. Its body is made of gas. Despite lacking substance, it can envelop an opponent of any size and cause suffocation. Should a strange light be seen flickering in an abandoned building, Gastly is lurking there. Although Gastly is barely visible, when it’s near, a faint sweet smell lingers. It’s said that gas emanating from a graveyard was possessed by the grievances of the deceased and thus became a Pokémon. Poisonous gas comprises 95% of its body. It’s said that the remaining 5% is made up of the souls of those who died from the gas. It has no real shape, as it appears to be made of a gas. Gaseous and completely impalpable. Also highly dangerous— inhaling part of its poisonous body will cause one to faint instantly.</t>
        </is>
      </c>
    </row>
    <row r="2740" ht="33.75" customHeight="1">
      <c r="A2740" s="7">
        <v>92.0</v>
      </c>
      <c r="B2740" s="9" t="s">
        <v>5727</v>
      </c>
      <c r="C2740" s="9" t="s">
        <v>162</v>
      </c>
      <c r="D2740" s="9" t="s">
        <v>35</v>
      </c>
      <c r="E2740" s="6" t="s">
        <v>3506</v>
      </c>
      <c r="F2740" s="9" t="s">
        <v>6726</v>
      </c>
    </row>
    <row r="2741" ht="33.75" customHeight="1">
      <c r="A2741" s="7">
        <v>92.0</v>
      </c>
      <c r="B2741" s="9" t="s">
        <v>5727</v>
      </c>
      <c r="C2741" s="9" t="s">
        <v>162</v>
      </c>
      <c r="D2741" s="9" t="s">
        <v>42</v>
      </c>
      <c r="E2741" s="6" t="s">
        <v>3508</v>
      </c>
      <c r="F2741" s="9" t="s">
        <v>6726</v>
      </c>
    </row>
    <row r="2742" ht="33.75" customHeight="1">
      <c r="A2742" s="7">
        <v>92.0</v>
      </c>
      <c r="B2742" s="9" t="s">
        <v>5727</v>
      </c>
      <c r="C2742" s="9" t="s">
        <v>162</v>
      </c>
      <c r="D2742" s="9" t="s">
        <v>52</v>
      </c>
      <c r="E2742" s="6" t="s">
        <v>3509</v>
      </c>
      <c r="F2742" s="9" t="s">
        <v>6726</v>
      </c>
    </row>
    <row r="2743" ht="33.75" customHeight="1">
      <c r="A2743" s="7">
        <v>92.0</v>
      </c>
      <c r="B2743" s="9" t="s">
        <v>5727</v>
      </c>
      <c r="C2743" s="9" t="s">
        <v>162</v>
      </c>
      <c r="D2743" s="9" t="s">
        <v>59</v>
      </c>
      <c r="E2743" s="6" t="s">
        <v>3511</v>
      </c>
      <c r="F2743" s="9" t="s">
        <v>6726</v>
      </c>
    </row>
    <row r="2744" ht="33.75" customHeight="1">
      <c r="A2744" s="7">
        <v>92.0</v>
      </c>
      <c r="B2744" s="9" t="s">
        <v>5727</v>
      </c>
      <c r="C2744" s="9" t="s">
        <v>162</v>
      </c>
      <c r="D2744" s="9" t="s">
        <v>64</v>
      </c>
      <c r="E2744" s="6" t="s">
        <v>3513</v>
      </c>
      <c r="F2744" s="9" t="s">
        <v>6726</v>
      </c>
    </row>
    <row r="2745" ht="33.75" customHeight="1">
      <c r="A2745" s="7">
        <v>92.0</v>
      </c>
      <c r="B2745" s="9" t="s">
        <v>5727</v>
      </c>
      <c r="C2745" s="9" t="s">
        <v>162</v>
      </c>
      <c r="D2745" s="9" t="s">
        <v>67</v>
      </c>
      <c r="E2745" s="6" t="s">
        <v>3515</v>
      </c>
      <c r="F2745" s="9" t="s">
        <v>6726</v>
      </c>
    </row>
    <row r="2746" ht="33.75" customHeight="1">
      <c r="A2746" s="7">
        <v>92.0</v>
      </c>
      <c r="B2746" s="9" t="s">
        <v>5727</v>
      </c>
      <c r="C2746" s="9" t="s">
        <v>162</v>
      </c>
      <c r="D2746" s="9" t="s">
        <v>71</v>
      </c>
      <c r="E2746" s="6" t="s">
        <v>3515</v>
      </c>
      <c r="F2746" s="9" t="s">
        <v>6726</v>
      </c>
    </row>
    <row r="2747" ht="33.75" customHeight="1">
      <c r="A2747" s="7">
        <v>92.0</v>
      </c>
      <c r="B2747" s="9" t="s">
        <v>5727</v>
      </c>
      <c r="C2747" s="9" t="s">
        <v>162</v>
      </c>
      <c r="D2747" s="9" t="s">
        <v>73</v>
      </c>
      <c r="E2747" s="6" t="s">
        <v>3516</v>
      </c>
      <c r="F2747" s="9" t="s">
        <v>6726</v>
      </c>
    </row>
    <row r="2748" ht="33.75" customHeight="1">
      <c r="A2748" s="7">
        <v>92.0</v>
      </c>
      <c r="B2748" s="9" t="s">
        <v>5727</v>
      </c>
      <c r="C2748" s="9" t="s">
        <v>162</v>
      </c>
      <c r="D2748" s="9" t="s">
        <v>75</v>
      </c>
      <c r="E2748" s="6" t="s">
        <v>3517</v>
      </c>
      <c r="F2748" s="9" t="s">
        <v>6726</v>
      </c>
    </row>
    <row r="2749" ht="33.75" customHeight="1">
      <c r="A2749" s="7">
        <v>92.0</v>
      </c>
      <c r="B2749" s="9" t="s">
        <v>5727</v>
      </c>
      <c r="C2749" s="9" t="s">
        <v>162</v>
      </c>
      <c r="D2749" s="9" t="s">
        <v>79</v>
      </c>
      <c r="E2749" s="6" t="s">
        <v>3506</v>
      </c>
      <c r="F2749" s="9" t="s">
        <v>6726</v>
      </c>
    </row>
    <row r="2750" ht="33.75" customHeight="1">
      <c r="A2750" s="7">
        <v>92.0</v>
      </c>
      <c r="B2750" s="9" t="s">
        <v>5727</v>
      </c>
      <c r="C2750" s="9" t="s">
        <v>162</v>
      </c>
      <c r="D2750" s="9" t="s">
        <v>81</v>
      </c>
      <c r="E2750" s="6" t="s">
        <v>3518</v>
      </c>
      <c r="F2750" s="9" t="s">
        <v>6726</v>
      </c>
    </row>
    <row r="2751" ht="33.75" customHeight="1">
      <c r="A2751" s="7">
        <v>92.0</v>
      </c>
      <c r="B2751" s="9" t="s">
        <v>5727</v>
      </c>
      <c r="C2751" s="9" t="s">
        <v>162</v>
      </c>
      <c r="D2751" s="9" t="s">
        <v>84</v>
      </c>
      <c r="E2751" s="6" t="s">
        <v>3520</v>
      </c>
      <c r="F2751" s="9" t="s">
        <v>6726</v>
      </c>
    </row>
    <row r="2752" ht="33.75" customHeight="1">
      <c r="A2752" s="7">
        <v>92.0</v>
      </c>
      <c r="B2752" s="9" t="s">
        <v>5727</v>
      </c>
      <c r="C2752" s="9" t="s">
        <v>162</v>
      </c>
      <c r="D2752" s="9" t="s">
        <v>87</v>
      </c>
      <c r="E2752" s="6" t="s">
        <v>3523</v>
      </c>
      <c r="F2752" s="9" t="s">
        <v>6726</v>
      </c>
    </row>
    <row r="2753" ht="33.75" customHeight="1">
      <c r="A2753" s="7">
        <v>92.0</v>
      </c>
      <c r="B2753" s="9" t="s">
        <v>5727</v>
      </c>
      <c r="C2753" s="9" t="s">
        <v>162</v>
      </c>
      <c r="D2753" s="9" t="s">
        <v>89</v>
      </c>
      <c r="E2753" s="6" t="s">
        <v>3509</v>
      </c>
      <c r="F2753" s="9" t="s">
        <v>6726</v>
      </c>
    </row>
    <row r="2754" ht="33.75" customHeight="1">
      <c r="A2754" s="7">
        <v>92.0</v>
      </c>
      <c r="B2754" s="9" t="s">
        <v>5727</v>
      </c>
      <c r="C2754" s="9" t="s">
        <v>162</v>
      </c>
      <c r="D2754" s="9" t="s">
        <v>91</v>
      </c>
      <c r="E2754" s="6" t="s">
        <v>3525</v>
      </c>
      <c r="F2754" s="9" t="s">
        <v>6726</v>
      </c>
    </row>
    <row r="2755" ht="33.75" customHeight="1">
      <c r="A2755" s="7">
        <v>92.0</v>
      </c>
      <c r="B2755" s="9" t="s">
        <v>5727</v>
      </c>
      <c r="C2755" s="9" t="s">
        <v>162</v>
      </c>
      <c r="D2755" s="9" t="s">
        <v>93</v>
      </c>
      <c r="E2755" s="6" t="s">
        <v>3523</v>
      </c>
      <c r="F2755" s="9" t="s">
        <v>6726</v>
      </c>
    </row>
    <row r="2756" ht="33.75" customHeight="1">
      <c r="A2756" s="7">
        <v>92.0</v>
      </c>
      <c r="B2756" s="9" t="s">
        <v>5727</v>
      </c>
      <c r="C2756" s="9" t="s">
        <v>162</v>
      </c>
      <c r="D2756" s="9" t="s">
        <v>95</v>
      </c>
      <c r="E2756" s="6" t="s">
        <v>3523</v>
      </c>
      <c r="F2756" s="9" t="s">
        <v>6726</v>
      </c>
    </row>
    <row r="2757" ht="33.75" customHeight="1">
      <c r="A2757" s="7">
        <v>92.0</v>
      </c>
      <c r="B2757" s="9" t="s">
        <v>5727</v>
      </c>
      <c r="C2757" s="9" t="s">
        <v>162</v>
      </c>
      <c r="D2757" s="9" t="s">
        <v>98</v>
      </c>
      <c r="E2757" s="6" t="s">
        <v>3523</v>
      </c>
      <c r="F2757" s="9" t="s">
        <v>6726</v>
      </c>
    </row>
    <row r="2758" ht="33.75" customHeight="1">
      <c r="A2758" s="7">
        <v>92.0</v>
      </c>
      <c r="B2758" s="9" t="s">
        <v>5727</v>
      </c>
      <c r="C2758" s="9" t="s">
        <v>162</v>
      </c>
      <c r="D2758" s="9" t="s">
        <v>99</v>
      </c>
      <c r="E2758" s="6" t="s">
        <v>3523</v>
      </c>
      <c r="F2758" s="9" t="s">
        <v>6726</v>
      </c>
    </row>
    <row r="2759" ht="33.75" customHeight="1">
      <c r="A2759" s="7">
        <v>92.0</v>
      </c>
      <c r="B2759" s="9" t="s">
        <v>5727</v>
      </c>
      <c r="C2759" s="9" t="s">
        <v>162</v>
      </c>
      <c r="D2759" s="9" t="s">
        <v>101</v>
      </c>
      <c r="E2759" s="6" t="s">
        <v>3525</v>
      </c>
      <c r="F2759" s="9" t="s">
        <v>6726</v>
      </c>
    </row>
    <row r="2760" ht="33.75" customHeight="1">
      <c r="A2760" s="7">
        <v>92.0</v>
      </c>
      <c r="B2760" s="9" t="s">
        <v>5727</v>
      </c>
      <c r="C2760" s="9" t="s">
        <v>162</v>
      </c>
      <c r="D2760" s="9" t="s">
        <v>105</v>
      </c>
      <c r="E2760" s="6" t="s">
        <v>3523</v>
      </c>
      <c r="F2760" s="9" t="s">
        <v>6726</v>
      </c>
    </row>
    <row r="2761" ht="33.75" customHeight="1">
      <c r="A2761" s="7">
        <v>92.0</v>
      </c>
      <c r="B2761" s="9" t="s">
        <v>5727</v>
      </c>
      <c r="C2761" s="9" t="s">
        <v>162</v>
      </c>
      <c r="D2761" s="9" t="s">
        <v>107</v>
      </c>
      <c r="E2761" s="6" t="s">
        <v>3526</v>
      </c>
      <c r="F2761" s="9" t="s">
        <v>6726</v>
      </c>
    </row>
    <row r="2762" ht="33.75" customHeight="1">
      <c r="A2762" s="7">
        <v>92.0</v>
      </c>
      <c r="B2762" s="9" t="s">
        <v>5727</v>
      </c>
      <c r="C2762" s="9" t="s">
        <v>162</v>
      </c>
      <c r="D2762" s="9" t="s">
        <v>109</v>
      </c>
      <c r="E2762" s="6" t="s">
        <v>3526</v>
      </c>
      <c r="F2762" s="9" t="s">
        <v>6726</v>
      </c>
    </row>
    <row r="2763" ht="33.75" customHeight="1">
      <c r="A2763" s="7">
        <v>92.0</v>
      </c>
      <c r="B2763" s="9" t="s">
        <v>5727</v>
      </c>
      <c r="C2763" s="9" t="s">
        <v>162</v>
      </c>
      <c r="D2763" s="9" t="s">
        <v>637</v>
      </c>
      <c r="E2763" s="6" t="s">
        <v>3528</v>
      </c>
      <c r="F2763" s="9" t="s">
        <v>6726</v>
      </c>
    </row>
    <row r="2764" ht="33.75" customHeight="1">
      <c r="A2764" s="7">
        <v>92.0</v>
      </c>
      <c r="B2764" s="9" t="s">
        <v>5727</v>
      </c>
      <c r="C2764" s="9" t="s">
        <v>162</v>
      </c>
      <c r="D2764" s="9" t="s">
        <v>642</v>
      </c>
      <c r="E2764" s="6" t="s">
        <v>3529</v>
      </c>
      <c r="F2764" s="9" t="s">
        <v>6726</v>
      </c>
    </row>
    <row r="2765" ht="33.75" customHeight="1">
      <c r="A2765" s="7">
        <v>92.0</v>
      </c>
      <c r="B2765" s="9" t="s">
        <v>5727</v>
      </c>
      <c r="C2765" s="9" t="s">
        <v>162</v>
      </c>
      <c r="D2765" s="9" t="s">
        <v>647</v>
      </c>
      <c r="E2765" s="6" t="s">
        <v>3531</v>
      </c>
      <c r="F2765" s="9" t="s">
        <v>6726</v>
      </c>
    </row>
    <row r="2766" ht="33.75" customHeight="1">
      <c r="A2766" s="7">
        <v>92.0</v>
      </c>
      <c r="B2766" s="9" t="s">
        <v>5727</v>
      </c>
      <c r="C2766" s="9" t="s">
        <v>162</v>
      </c>
      <c r="D2766" s="9" t="s">
        <v>652</v>
      </c>
      <c r="E2766" s="6" t="s">
        <v>3533</v>
      </c>
      <c r="F2766" s="9" t="s">
        <v>6726</v>
      </c>
    </row>
    <row r="2767" ht="33.75" customHeight="1">
      <c r="A2767" s="7">
        <v>92.0</v>
      </c>
      <c r="B2767" s="9" t="s">
        <v>5727</v>
      </c>
      <c r="C2767" s="9" t="s">
        <v>162</v>
      </c>
      <c r="D2767" s="9" t="s">
        <v>111</v>
      </c>
      <c r="E2767" s="6" t="s">
        <v>3535</v>
      </c>
      <c r="F2767" s="9" t="s">
        <v>6726</v>
      </c>
    </row>
    <row r="2768" ht="33.75" customHeight="1">
      <c r="A2768" s="7">
        <v>92.0</v>
      </c>
      <c r="B2768" s="9" t="s">
        <v>5727</v>
      </c>
      <c r="C2768" s="9" t="s">
        <v>162</v>
      </c>
      <c r="D2768" s="9" t="s">
        <v>113</v>
      </c>
      <c r="E2768" s="6" t="s">
        <v>3535</v>
      </c>
      <c r="F2768" s="9" t="s">
        <v>6726</v>
      </c>
    </row>
    <row r="2769" ht="33.75" customHeight="1">
      <c r="A2769" s="7">
        <v>92.0</v>
      </c>
      <c r="B2769" s="9" t="s">
        <v>5727</v>
      </c>
      <c r="C2769" s="9" t="s">
        <v>162</v>
      </c>
      <c r="D2769" s="9" t="s">
        <v>114</v>
      </c>
      <c r="E2769" s="6" t="s">
        <v>3523</v>
      </c>
      <c r="F2769" s="9" t="s">
        <v>6726</v>
      </c>
    </row>
    <row r="2770" ht="33.75" customHeight="1">
      <c r="A2770" s="7">
        <v>92.0</v>
      </c>
      <c r="B2770" s="9" t="s">
        <v>5727</v>
      </c>
      <c r="C2770" s="9" t="s">
        <v>162</v>
      </c>
      <c r="D2770" s="9" t="s">
        <v>117</v>
      </c>
      <c r="E2770" s="6" t="s">
        <v>3509</v>
      </c>
      <c r="F2770" s="9" t="s">
        <v>6726</v>
      </c>
    </row>
    <row r="2771" ht="33.75" customHeight="1">
      <c r="A2771" s="7">
        <v>92.0</v>
      </c>
      <c r="B2771" s="9" t="s">
        <v>5727</v>
      </c>
      <c r="C2771" s="9" t="s">
        <v>162</v>
      </c>
      <c r="D2771" s="9" t="s">
        <v>1577</v>
      </c>
      <c r="E2771" s="6" t="s">
        <v>3536</v>
      </c>
      <c r="F2771" s="9" t="s">
        <v>6726</v>
      </c>
    </row>
    <row r="2772" ht="33.75" customHeight="1">
      <c r="A2772" s="7">
        <v>93.0</v>
      </c>
      <c r="B2772" s="9" t="s">
        <v>5800</v>
      </c>
      <c r="C2772" s="9" t="s">
        <v>162</v>
      </c>
      <c r="D2772" s="9" t="s">
        <v>24</v>
      </c>
      <c r="E2772" s="6" t="s">
        <v>3538</v>
      </c>
      <c r="F2772" s="9" t="s">
        <v>6809</v>
      </c>
      <c r="G2772" t="inlineStr" s="6">
        <is>
          <t xml:space="preserve">Because of Haunter's ability to slip through block walls, it is said to be from an other dimension. By licking, it saps the victim's life. It causes shaking that won't stop until the victim's demise. In total darkness, where nothing is visible, HAUNTER lurks, silently stalking its next victim. Its tongue is made of gas. If licked, its victim starts shaking constantly until death eventually comes. It hides in the dark, planning to take the life of the next living thing that wanders close by. HAUNTER is a dangerous POKéMON. If one beckons you while floating in darkness, you must never approach it. This POKéMON will try to lick you with its tongue and steal your life away. If a HAUNTER beckons you while it is floating in darkness, don’t approach it. If you get the feeling of being watched in darkness when nobody is around, HAUNTER is there. Because of its ability to slip through block walls, it is said to be from another dimension. It can slip through any obstacle. It lurks inside walls to keep an eye on its foes. It licks with its gaseous tongue to steal the victim’s life force. It lurks in darkness for prey. It likes to lurk in the dark and tap shoulders with a gaseous hand. Its touch causes endless shuddering. It strikes at humans from total darkness. Those licked by its cold tongue grow weaker with each passing day until they die. It fears the light and revels in the dark. It may be on the verge of extinction in cities that stay brightly lit at night. On moonless nights, Haunter searches for someone to curse, so it’s best not to go out walking around. It’s dangerous to go outside alone on nights when you’re feeling sad. Haunter will catch you, and you won’t be able to go back home. This frightful, malevolent spirit can glide through walls, appearing wherever it likes. According to rumor, victims of a Haunter's lick will wither to death day by day.</t>
        </is>
      </c>
    </row>
    <row r="2773" ht="33.75" customHeight="1">
      <c r="A2773" s="7">
        <v>93.0</v>
      </c>
      <c r="B2773" s="9" t="s">
        <v>5800</v>
      </c>
      <c r="C2773" s="9" t="s">
        <v>162</v>
      </c>
      <c r="D2773" s="9" t="s">
        <v>35</v>
      </c>
      <c r="E2773" s="6" t="s">
        <v>3538</v>
      </c>
      <c r="F2773" s="9" t="s">
        <v>6809</v>
      </c>
    </row>
    <row r="2774" ht="33.75" customHeight="1">
      <c r="A2774" s="7">
        <v>93.0</v>
      </c>
      <c r="B2774" s="9" t="s">
        <v>5800</v>
      </c>
      <c r="C2774" s="9" t="s">
        <v>162</v>
      </c>
      <c r="D2774" s="9" t="s">
        <v>42</v>
      </c>
      <c r="E2774" s="6" t="s">
        <v>3539</v>
      </c>
      <c r="F2774" s="9" t="s">
        <v>6809</v>
      </c>
    </row>
    <row r="2775" ht="33.75" customHeight="1">
      <c r="A2775" s="7">
        <v>93.0</v>
      </c>
      <c r="B2775" s="9" t="s">
        <v>5800</v>
      </c>
      <c r="C2775" s="9" t="s">
        <v>162</v>
      </c>
      <c r="D2775" s="9" t="s">
        <v>52</v>
      </c>
      <c r="E2775" s="6" t="s">
        <v>3540</v>
      </c>
      <c r="F2775" s="9" t="s">
        <v>6809</v>
      </c>
    </row>
    <row r="2776" ht="33.75" customHeight="1">
      <c r="A2776" s="7">
        <v>93.0</v>
      </c>
      <c r="B2776" s="9" t="s">
        <v>5800</v>
      </c>
      <c r="C2776" s="9" t="s">
        <v>162</v>
      </c>
      <c r="D2776" s="9" t="s">
        <v>59</v>
      </c>
      <c r="E2776" s="6" t="s">
        <v>3542</v>
      </c>
      <c r="F2776" s="9" t="s">
        <v>6809</v>
      </c>
    </row>
    <row r="2777" ht="33.75" customHeight="1">
      <c r="A2777" s="7">
        <v>93.0</v>
      </c>
      <c r="B2777" s="9" t="s">
        <v>5800</v>
      </c>
      <c r="C2777" s="9" t="s">
        <v>162</v>
      </c>
      <c r="D2777" s="9" t="s">
        <v>64</v>
      </c>
      <c r="E2777" s="6" t="s">
        <v>3545</v>
      </c>
      <c r="F2777" s="9" t="s">
        <v>6809</v>
      </c>
    </row>
    <row r="2778" ht="33.75" customHeight="1">
      <c r="A2778" s="7">
        <v>93.0</v>
      </c>
      <c r="B2778" s="9" t="s">
        <v>5800</v>
      </c>
      <c r="C2778" s="9" t="s">
        <v>162</v>
      </c>
      <c r="D2778" s="9" t="s">
        <v>67</v>
      </c>
      <c r="E2778" s="6" t="s">
        <v>3547</v>
      </c>
      <c r="F2778" s="9" t="s">
        <v>6809</v>
      </c>
    </row>
    <row r="2779" ht="33.75" customHeight="1">
      <c r="A2779" s="7">
        <v>93.0</v>
      </c>
      <c r="B2779" s="9" t="s">
        <v>5800</v>
      </c>
      <c r="C2779" s="9" t="s">
        <v>162</v>
      </c>
      <c r="D2779" s="9" t="s">
        <v>71</v>
      </c>
      <c r="E2779" s="6" t="s">
        <v>3547</v>
      </c>
      <c r="F2779" s="9" t="s">
        <v>6809</v>
      </c>
    </row>
    <row r="2780" ht="33.75" customHeight="1">
      <c r="A2780" s="7">
        <v>93.0</v>
      </c>
      <c r="B2780" s="9" t="s">
        <v>5800</v>
      </c>
      <c r="C2780" s="9" t="s">
        <v>162</v>
      </c>
      <c r="D2780" s="9" t="s">
        <v>73</v>
      </c>
      <c r="E2780" s="6" t="s">
        <v>3549</v>
      </c>
      <c r="F2780" s="9" t="s">
        <v>6809</v>
      </c>
    </row>
    <row r="2781" ht="33.75" customHeight="1">
      <c r="A2781" s="7">
        <v>93.0</v>
      </c>
      <c r="B2781" s="9" t="s">
        <v>5800</v>
      </c>
      <c r="C2781" s="9" t="s">
        <v>162</v>
      </c>
      <c r="D2781" s="9" t="s">
        <v>75</v>
      </c>
      <c r="E2781" s="6" t="s">
        <v>3550</v>
      </c>
      <c r="F2781" s="9" t="s">
        <v>6809</v>
      </c>
    </row>
    <row r="2782" ht="33.75" customHeight="1">
      <c r="A2782" s="7">
        <v>93.0</v>
      </c>
      <c r="B2782" s="9" t="s">
        <v>5800</v>
      </c>
      <c r="C2782" s="9" t="s">
        <v>162</v>
      </c>
      <c r="D2782" s="9" t="s">
        <v>79</v>
      </c>
      <c r="E2782" s="6" t="s">
        <v>3551</v>
      </c>
      <c r="F2782" s="9" t="s">
        <v>6809</v>
      </c>
    </row>
    <row r="2783" ht="33.75" customHeight="1">
      <c r="A2783" s="7">
        <v>93.0</v>
      </c>
      <c r="B2783" s="9" t="s">
        <v>5800</v>
      </c>
      <c r="C2783" s="9" t="s">
        <v>162</v>
      </c>
      <c r="D2783" s="9" t="s">
        <v>81</v>
      </c>
      <c r="E2783" s="6" t="s">
        <v>3552</v>
      </c>
      <c r="F2783" s="9" t="s">
        <v>6809</v>
      </c>
    </row>
    <row r="2784" ht="33.75" customHeight="1">
      <c r="A2784" s="7">
        <v>93.0</v>
      </c>
      <c r="B2784" s="9" t="s">
        <v>5800</v>
      </c>
      <c r="C2784" s="9" t="s">
        <v>162</v>
      </c>
      <c r="D2784" s="9" t="s">
        <v>84</v>
      </c>
      <c r="E2784" s="6" t="s">
        <v>3554</v>
      </c>
      <c r="F2784" s="9" t="s">
        <v>6809</v>
      </c>
    </row>
    <row r="2785" ht="33.75" customHeight="1">
      <c r="A2785" s="7">
        <v>93.0</v>
      </c>
      <c r="B2785" s="9" t="s">
        <v>5800</v>
      </c>
      <c r="C2785" s="9" t="s">
        <v>162</v>
      </c>
      <c r="D2785" s="9" t="s">
        <v>87</v>
      </c>
      <c r="E2785" s="6" t="s">
        <v>3555</v>
      </c>
      <c r="F2785" s="9" t="s">
        <v>6809</v>
      </c>
    </row>
    <row r="2786" ht="33.75" customHeight="1">
      <c r="A2786" s="7">
        <v>93.0</v>
      </c>
      <c r="B2786" s="9" t="s">
        <v>5800</v>
      </c>
      <c r="C2786" s="9" t="s">
        <v>162</v>
      </c>
      <c r="D2786" s="9" t="s">
        <v>89</v>
      </c>
      <c r="E2786" s="6" t="s">
        <v>3540</v>
      </c>
      <c r="F2786" s="9" t="s">
        <v>6809</v>
      </c>
    </row>
    <row r="2787" ht="33.75" customHeight="1">
      <c r="A2787" s="7">
        <v>93.0</v>
      </c>
      <c r="B2787" s="9" t="s">
        <v>5800</v>
      </c>
      <c r="C2787" s="9" t="s">
        <v>162</v>
      </c>
      <c r="D2787" s="9" t="s">
        <v>91</v>
      </c>
      <c r="E2787" s="6" t="s">
        <v>3556</v>
      </c>
      <c r="F2787" s="9" t="s">
        <v>6809</v>
      </c>
    </row>
    <row r="2788" ht="33.75" customHeight="1">
      <c r="A2788" s="7">
        <v>93.0</v>
      </c>
      <c r="B2788" s="9" t="s">
        <v>5800</v>
      </c>
      <c r="C2788" s="9" t="s">
        <v>162</v>
      </c>
      <c r="D2788" s="9" t="s">
        <v>93</v>
      </c>
      <c r="E2788" s="6" t="s">
        <v>3555</v>
      </c>
      <c r="F2788" s="9" t="s">
        <v>6809</v>
      </c>
    </row>
    <row r="2789" ht="33.75" customHeight="1">
      <c r="A2789" s="7">
        <v>93.0</v>
      </c>
      <c r="B2789" s="9" t="s">
        <v>5800</v>
      </c>
      <c r="C2789" s="9" t="s">
        <v>162</v>
      </c>
      <c r="D2789" s="9" t="s">
        <v>95</v>
      </c>
      <c r="E2789" s="6" t="s">
        <v>3555</v>
      </c>
      <c r="F2789" s="9" t="s">
        <v>6809</v>
      </c>
    </row>
    <row r="2790" ht="33.75" customHeight="1">
      <c r="A2790" s="7">
        <v>93.0</v>
      </c>
      <c r="B2790" s="9" t="s">
        <v>5800</v>
      </c>
      <c r="C2790" s="9" t="s">
        <v>162</v>
      </c>
      <c r="D2790" s="9" t="s">
        <v>98</v>
      </c>
      <c r="E2790" s="6" t="s">
        <v>3555</v>
      </c>
      <c r="F2790" s="9" t="s">
        <v>6809</v>
      </c>
    </row>
    <row r="2791" ht="33.75" customHeight="1">
      <c r="A2791" s="7">
        <v>93.0</v>
      </c>
      <c r="B2791" s="9" t="s">
        <v>5800</v>
      </c>
      <c r="C2791" s="9" t="s">
        <v>162</v>
      </c>
      <c r="D2791" s="9" t="s">
        <v>99</v>
      </c>
      <c r="E2791" s="6" t="s">
        <v>3555</v>
      </c>
      <c r="F2791" s="9" t="s">
        <v>6809</v>
      </c>
    </row>
    <row r="2792" ht="33.75" customHeight="1">
      <c r="A2792" s="7">
        <v>93.0</v>
      </c>
      <c r="B2792" s="9" t="s">
        <v>5800</v>
      </c>
      <c r="C2792" s="9" t="s">
        <v>162</v>
      </c>
      <c r="D2792" s="9" t="s">
        <v>101</v>
      </c>
      <c r="E2792" s="6" t="s">
        <v>3557</v>
      </c>
      <c r="F2792" s="9" t="s">
        <v>6809</v>
      </c>
    </row>
    <row r="2793" ht="33.75" customHeight="1">
      <c r="A2793" s="7">
        <v>93.0</v>
      </c>
      <c r="B2793" s="9" t="s">
        <v>5800</v>
      </c>
      <c r="C2793" s="9" t="s">
        <v>162</v>
      </c>
      <c r="D2793" s="9" t="s">
        <v>105</v>
      </c>
      <c r="E2793" s="6" t="s">
        <v>3554</v>
      </c>
      <c r="F2793" s="9" t="s">
        <v>6809</v>
      </c>
    </row>
    <row r="2794" ht="33.75" customHeight="1">
      <c r="A2794" s="7">
        <v>93.0</v>
      </c>
      <c r="B2794" s="9" t="s">
        <v>5800</v>
      </c>
      <c r="C2794" s="9" t="s">
        <v>162</v>
      </c>
      <c r="D2794" s="9" t="s">
        <v>107</v>
      </c>
      <c r="E2794" s="6" t="s">
        <v>3559</v>
      </c>
      <c r="F2794" s="9" t="s">
        <v>6809</v>
      </c>
    </row>
    <row r="2795" ht="33.75" customHeight="1">
      <c r="A2795" s="7">
        <v>93.0</v>
      </c>
      <c r="B2795" s="9" t="s">
        <v>5800</v>
      </c>
      <c r="C2795" s="9" t="s">
        <v>162</v>
      </c>
      <c r="D2795" s="9" t="s">
        <v>109</v>
      </c>
      <c r="E2795" s="6" t="s">
        <v>3559</v>
      </c>
      <c r="F2795" s="9" t="s">
        <v>6809</v>
      </c>
    </row>
    <row r="2796" ht="33.75" customHeight="1">
      <c r="A2796" s="7">
        <v>93.0</v>
      </c>
      <c r="B2796" s="9" t="s">
        <v>5800</v>
      </c>
      <c r="C2796" s="9" t="s">
        <v>162</v>
      </c>
      <c r="D2796" s="9" t="s">
        <v>637</v>
      </c>
      <c r="E2796" s="6" t="s">
        <v>3560</v>
      </c>
      <c r="F2796" s="9" t="s">
        <v>6809</v>
      </c>
    </row>
    <row r="2797" ht="33.75" customHeight="1">
      <c r="A2797" s="7">
        <v>93.0</v>
      </c>
      <c r="B2797" s="9" t="s">
        <v>5800</v>
      </c>
      <c r="C2797" s="9" t="s">
        <v>162</v>
      </c>
      <c r="D2797" s="9" t="s">
        <v>642</v>
      </c>
      <c r="E2797" s="6" t="s">
        <v>3561</v>
      </c>
      <c r="F2797" s="9" t="s">
        <v>6809</v>
      </c>
    </row>
    <row r="2798" ht="33.75" customHeight="1">
      <c r="A2798" s="7">
        <v>93.0</v>
      </c>
      <c r="B2798" s="9" t="s">
        <v>5800</v>
      </c>
      <c r="C2798" s="9" t="s">
        <v>162</v>
      </c>
      <c r="D2798" s="9" t="s">
        <v>647</v>
      </c>
      <c r="E2798" s="6" t="s">
        <v>3563</v>
      </c>
      <c r="F2798" s="9" t="s">
        <v>6809</v>
      </c>
    </row>
    <row r="2799" ht="33.75" customHeight="1">
      <c r="A2799" s="7">
        <v>93.0</v>
      </c>
      <c r="B2799" s="9" t="s">
        <v>5800</v>
      </c>
      <c r="C2799" s="9" t="s">
        <v>162</v>
      </c>
      <c r="D2799" s="9" t="s">
        <v>652</v>
      </c>
      <c r="E2799" s="6" t="s">
        <v>3564</v>
      </c>
      <c r="F2799" s="9" t="s">
        <v>6809</v>
      </c>
    </row>
    <row r="2800" ht="33.75" customHeight="1">
      <c r="A2800" s="7">
        <v>93.0</v>
      </c>
      <c r="B2800" s="9" t="s">
        <v>5800</v>
      </c>
      <c r="C2800" s="9" t="s">
        <v>162</v>
      </c>
      <c r="D2800" s="9" t="s">
        <v>111</v>
      </c>
      <c r="E2800" s="6" t="s">
        <v>3566</v>
      </c>
      <c r="F2800" s="9" t="s">
        <v>6809</v>
      </c>
    </row>
    <row r="2801" ht="33.75" customHeight="1">
      <c r="A2801" s="7">
        <v>93.0</v>
      </c>
      <c r="B2801" s="9" t="s">
        <v>5800</v>
      </c>
      <c r="C2801" s="9" t="s">
        <v>162</v>
      </c>
      <c r="D2801" s="9" t="s">
        <v>113</v>
      </c>
      <c r="E2801" s="6" t="s">
        <v>3566</v>
      </c>
      <c r="F2801" s="9" t="s">
        <v>6809</v>
      </c>
    </row>
    <row r="2802" ht="33.75" customHeight="1">
      <c r="A2802" s="7">
        <v>93.0</v>
      </c>
      <c r="B2802" s="9" t="s">
        <v>5800</v>
      </c>
      <c r="C2802" s="9" t="s">
        <v>162</v>
      </c>
      <c r="D2802" s="9" t="s">
        <v>114</v>
      </c>
      <c r="E2802" s="6" t="s">
        <v>3556</v>
      </c>
      <c r="F2802" s="9" t="s">
        <v>6809</v>
      </c>
    </row>
    <row r="2803" ht="33.75" customHeight="1">
      <c r="A2803" s="7">
        <v>93.0</v>
      </c>
      <c r="B2803" s="9" t="s">
        <v>5800</v>
      </c>
      <c r="C2803" s="9" t="s">
        <v>162</v>
      </c>
      <c r="D2803" s="9" t="s">
        <v>117</v>
      </c>
      <c r="E2803" s="6" t="s">
        <v>3557</v>
      </c>
      <c r="F2803" s="9" t="s">
        <v>6809</v>
      </c>
    </row>
    <row r="2804" ht="33.75" customHeight="1">
      <c r="A2804" s="7">
        <v>93.0</v>
      </c>
      <c r="B2804" s="9" t="s">
        <v>5800</v>
      </c>
      <c r="C2804" s="9" t="s">
        <v>162</v>
      </c>
      <c r="D2804" s="9" t="s">
        <v>1577</v>
      </c>
      <c r="E2804" s="6" t="s">
        <v>3567</v>
      </c>
      <c r="F2804" s="9" t="s">
        <v>6809</v>
      </c>
    </row>
    <row r="2805" ht="33.75" customHeight="1">
      <c r="A2805" s="7">
        <v>94.0</v>
      </c>
      <c r="B2805" s="9" t="s">
        <v>5878</v>
      </c>
      <c r="C2805" s="9" t="s">
        <v>164</v>
      </c>
      <c r="D2805" s="9" t="s">
        <v>24</v>
      </c>
      <c r="E2805" s="6" t="s">
        <v>3568</v>
      </c>
      <c r="F2805" s="9" t="s">
        <v>6886</v>
      </c>
      <c r="G2805" t="inlineStr" s="6">
        <is>
          <t xml:space="preserve">Under a full moon, this POKéMON likes to mimic the shadows of people and laugh at their fright. A GENGAR is close by if you feel a sudden chill. It may be trying to lay a curse on you. It steals heat from its surroundings. If you feel a sudden chill, it is certain that a GENGAR appeared. To steal the life of its target, it slips into the prey's shadow and silently waits for an opportunity. Hiding in people's shadows at night, it absorbs their heat. The chill it causes makes the victims shake. Sometimes, on a dark night, your shadow thrown by a streetlight will suddenly and startlingly overtake you. It is actually a GENGAR running past you, pretending to be your shadow. Deep in the night, your shadow cast by a streetlight may suddenly overtake you. It is said to emerge from darkness to steal the lives of those who become lost in mountains. On the night of a full moon, if shadows move on their own and laugh, it must be GENGAR’s doing. It hides in shadows. It is said that if GENGAR is hiding, it cools the area by nearly 10 degrees F. Lurking in the shadowy corners of rooms, it awaits chances to steal its prey’s life force. The leer that floats in darkness belongs to a GENGAR delighting in casting curses on people. It is said that if Gengar is hiding, it cools the area by nearly 10 degrees Fahrenheit. Should you feel yourself attacked by a sudden chill, it is evidence of an approaching Gengar. There is no escaping it. Give up. It apparently wishes for a traveling companion. Since it was once human itself, it tries to create one by taking the lives of other humans. You can hear tales told all over the world about how Gengar will pay a visit to children who are naughty. Even your home isn’t safe. Gengar will lurk in whatever dark corner of a room it can find and wait for its chance to catch its prey. Possesses potential victims' shadows in an effort to steal away the victims' lives. If your shadow begins to laugh, you must take hold of a protective charm posthaste!</t>
        </is>
      </c>
    </row>
    <row r="2806" ht="33.75" customHeight="1">
      <c r="A2806" s="7">
        <v>94.0</v>
      </c>
      <c r="B2806" s="9" t="s">
        <v>5878</v>
      </c>
      <c r="C2806" s="9" t="s">
        <v>164</v>
      </c>
      <c r="D2806" s="9" t="s">
        <v>35</v>
      </c>
      <c r="E2806" s="6" t="s">
        <v>3568</v>
      </c>
      <c r="F2806" s="9" t="s">
        <v>6886</v>
      </c>
    </row>
    <row r="2807" ht="33.75" customHeight="1">
      <c r="A2807" s="7">
        <v>94.0</v>
      </c>
      <c r="B2807" s="9" t="s">
        <v>5878</v>
      </c>
      <c r="C2807" s="9" t="s">
        <v>164</v>
      </c>
      <c r="D2807" s="9" t="s">
        <v>42</v>
      </c>
      <c r="E2807" s="6" t="s">
        <v>3570</v>
      </c>
      <c r="F2807" s="9" t="s">
        <v>6886</v>
      </c>
    </row>
    <row r="2808" ht="33.75" customHeight="1">
      <c r="A2808" s="7">
        <v>94.0</v>
      </c>
      <c r="B2808" s="9" t="s">
        <v>5878</v>
      </c>
      <c r="C2808" s="9" t="s">
        <v>164</v>
      </c>
      <c r="D2808" s="9" t="s">
        <v>52</v>
      </c>
      <c r="E2808" s="6" t="s">
        <v>3572</v>
      </c>
      <c r="F2808" s="9" t="s">
        <v>6886</v>
      </c>
    </row>
    <row r="2809" ht="33.75" customHeight="1">
      <c r="A2809" s="7">
        <v>94.0</v>
      </c>
      <c r="B2809" s="9" t="s">
        <v>5878</v>
      </c>
      <c r="C2809" s="9" t="s">
        <v>164</v>
      </c>
      <c r="D2809" s="9" t="s">
        <v>59</v>
      </c>
      <c r="E2809" s="6" t="s">
        <v>3574</v>
      </c>
      <c r="F2809" s="9" t="s">
        <v>6886</v>
      </c>
    </row>
    <row r="2810" ht="33.75" customHeight="1">
      <c r="A2810" s="7">
        <v>94.0</v>
      </c>
      <c r="B2810" s="9" t="s">
        <v>5878</v>
      </c>
      <c r="C2810" s="9" t="s">
        <v>164</v>
      </c>
      <c r="D2810" s="9" t="s">
        <v>64</v>
      </c>
      <c r="E2810" s="6" t="s">
        <v>3576</v>
      </c>
      <c r="F2810" s="9" t="s">
        <v>6886</v>
      </c>
    </row>
    <row r="2811" ht="33.75" customHeight="1">
      <c r="A2811" s="7">
        <v>94.0</v>
      </c>
      <c r="B2811" s="9" t="s">
        <v>5878</v>
      </c>
      <c r="C2811" s="9" t="s">
        <v>164</v>
      </c>
      <c r="D2811" s="9" t="s">
        <v>67</v>
      </c>
      <c r="E2811" s="6" t="s">
        <v>3577</v>
      </c>
      <c r="F2811" s="9" t="s">
        <v>6886</v>
      </c>
    </row>
    <row r="2812" ht="33.75" customHeight="1">
      <c r="A2812" s="7">
        <v>94.0</v>
      </c>
      <c r="B2812" s="9" t="s">
        <v>5878</v>
      </c>
      <c r="C2812" s="9" t="s">
        <v>164</v>
      </c>
      <c r="D2812" s="9" t="s">
        <v>71</v>
      </c>
      <c r="E2812" s="6" t="s">
        <v>3577</v>
      </c>
      <c r="F2812" s="9" t="s">
        <v>6886</v>
      </c>
    </row>
    <row r="2813" ht="33.75" customHeight="1">
      <c r="A2813" s="7">
        <v>94.0</v>
      </c>
      <c r="B2813" s="9" t="s">
        <v>5878</v>
      </c>
      <c r="C2813" s="9" t="s">
        <v>164</v>
      </c>
      <c r="D2813" s="9" t="s">
        <v>73</v>
      </c>
      <c r="E2813" s="6" t="s">
        <v>3579</v>
      </c>
      <c r="F2813" s="9" t="s">
        <v>6886</v>
      </c>
    </row>
    <row r="2814" ht="33.75" customHeight="1">
      <c r="A2814" s="7">
        <v>94.0</v>
      </c>
      <c r="B2814" s="9" t="s">
        <v>5878</v>
      </c>
      <c r="C2814" s="9" t="s">
        <v>164</v>
      </c>
      <c r="D2814" s="9" t="s">
        <v>75</v>
      </c>
      <c r="E2814" s="6" t="s">
        <v>3580</v>
      </c>
      <c r="F2814" s="9" t="s">
        <v>6886</v>
      </c>
    </row>
    <row r="2815" ht="33.75" customHeight="1">
      <c r="A2815" s="7">
        <v>94.0</v>
      </c>
      <c r="B2815" s="9" t="s">
        <v>5878</v>
      </c>
      <c r="C2815" s="9" t="s">
        <v>164</v>
      </c>
      <c r="D2815" s="9" t="s">
        <v>79</v>
      </c>
      <c r="E2815" s="6" t="s">
        <v>3581</v>
      </c>
      <c r="F2815" s="9" t="s">
        <v>6886</v>
      </c>
    </row>
    <row r="2816" ht="33.75" customHeight="1">
      <c r="A2816" s="7">
        <v>94.0</v>
      </c>
      <c r="B2816" s="9" t="s">
        <v>5878</v>
      </c>
      <c r="C2816" s="9" t="s">
        <v>164</v>
      </c>
      <c r="D2816" s="9" t="s">
        <v>81</v>
      </c>
      <c r="E2816" s="6" t="s">
        <v>3582</v>
      </c>
      <c r="F2816" s="9" t="s">
        <v>6886</v>
      </c>
    </row>
    <row r="2817" ht="33.75" customHeight="1">
      <c r="A2817" s="7">
        <v>94.0</v>
      </c>
      <c r="B2817" s="9" t="s">
        <v>5878</v>
      </c>
      <c r="C2817" s="9" t="s">
        <v>164</v>
      </c>
      <c r="D2817" s="9" t="s">
        <v>84</v>
      </c>
      <c r="E2817" s="6" t="s">
        <v>3583</v>
      </c>
      <c r="F2817" s="9" t="s">
        <v>6886</v>
      </c>
    </row>
    <row r="2818" ht="33.75" customHeight="1">
      <c r="A2818" s="7">
        <v>94.0</v>
      </c>
      <c r="B2818" s="9" t="s">
        <v>5878</v>
      </c>
      <c r="C2818" s="9" t="s">
        <v>164</v>
      </c>
      <c r="D2818" s="9" t="s">
        <v>87</v>
      </c>
      <c r="E2818" s="6" t="s">
        <v>3585</v>
      </c>
      <c r="F2818" s="9" t="s">
        <v>6886</v>
      </c>
    </row>
    <row r="2819" ht="33.75" customHeight="1">
      <c r="A2819" s="7">
        <v>94.0</v>
      </c>
      <c r="B2819" s="9" t="s">
        <v>5878</v>
      </c>
      <c r="C2819" s="9" t="s">
        <v>164</v>
      </c>
      <c r="D2819" s="9" t="s">
        <v>89</v>
      </c>
      <c r="E2819" s="6" t="s">
        <v>3589</v>
      </c>
      <c r="F2819" s="9" t="s">
        <v>6886</v>
      </c>
    </row>
    <row r="2820" ht="33.75" customHeight="1">
      <c r="A2820" s="7">
        <v>94.0</v>
      </c>
      <c r="B2820" s="9" t="s">
        <v>5878</v>
      </c>
      <c r="C2820" s="9" t="s">
        <v>164</v>
      </c>
      <c r="D2820" s="9" t="s">
        <v>91</v>
      </c>
      <c r="E2820" s="6" t="s">
        <v>3590</v>
      </c>
      <c r="F2820" s="9" t="s">
        <v>6886</v>
      </c>
    </row>
    <row r="2821" ht="33.75" customHeight="1">
      <c r="A2821" s="7">
        <v>94.0</v>
      </c>
      <c r="B2821" s="9" t="s">
        <v>5878</v>
      </c>
      <c r="C2821" s="9" t="s">
        <v>164</v>
      </c>
      <c r="D2821" s="9" t="s">
        <v>93</v>
      </c>
      <c r="E2821" s="6" t="s">
        <v>3591</v>
      </c>
      <c r="F2821" s="9" t="s">
        <v>6886</v>
      </c>
    </row>
    <row r="2822" ht="33.75" customHeight="1">
      <c r="A2822" s="7">
        <v>94.0</v>
      </c>
      <c r="B2822" s="9" t="s">
        <v>5878</v>
      </c>
      <c r="C2822" s="9" t="s">
        <v>164</v>
      </c>
      <c r="D2822" s="9" t="s">
        <v>95</v>
      </c>
      <c r="E2822" s="6" t="s">
        <v>3591</v>
      </c>
      <c r="F2822" s="9" t="s">
        <v>6886</v>
      </c>
    </row>
    <row r="2823" ht="33.75" customHeight="1">
      <c r="A2823" s="7">
        <v>94.0</v>
      </c>
      <c r="B2823" s="9" t="s">
        <v>5878</v>
      </c>
      <c r="C2823" s="9" t="s">
        <v>164</v>
      </c>
      <c r="D2823" s="9" t="s">
        <v>98</v>
      </c>
      <c r="E2823" s="6" t="s">
        <v>3591</v>
      </c>
      <c r="F2823" s="9" t="s">
        <v>6886</v>
      </c>
    </row>
    <row r="2824" ht="33.75" customHeight="1">
      <c r="A2824" s="7">
        <v>94.0</v>
      </c>
      <c r="B2824" s="9" t="s">
        <v>5878</v>
      </c>
      <c r="C2824" s="9" t="s">
        <v>164</v>
      </c>
      <c r="D2824" s="9" t="s">
        <v>99</v>
      </c>
      <c r="E2824" s="6" t="s">
        <v>3591</v>
      </c>
      <c r="F2824" s="9" t="s">
        <v>6886</v>
      </c>
    </row>
    <row r="2825" ht="33.75" customHeight="1">
      <c r="A2825" s="7">
        <v>94.0</v>
      </c>
      <c r="B2825" s="9" t="s">
        <v>5878</v>
      </c>
      <c r="C2825" s="9" t="s">
        <v>164</v>
      </c>
      <c r="D2825" s="9" t="s">
        <v>101</v>
      </c>
      <c r="E2825" s="6" t="s">
        <v>3593</v>
      </c>
      <c r="F2825" s="9" t="s">
        <v>6886</v>
      </c>
    </row>
    <row r="2826" ht="33.75" customHeight="1">
      <c r="A2826" s="7">
        <v>94.0</v>
      </c>
      <c r="B2826" s="9" t="s">
        <v>5878</v>
      </c>
      <c r="C2826" s="9" t="s">
        <v>164</v>
      </c>
      <c r="D2826" s="9" t="s">
        <v>105</v>
      </c>
      <c r="E2826" s="6" t="s">
        <v>3595</v>
      </c>
      <c r="F2826" s="9" t="s">
        <v>6886</v>
      </c>
    </row>
    <row r="2827" ht="33.75" customHeight="1">
      <c r="A2827" s="7">
        <v>94.0</v>
      </c>
      <c r="B2827" s="9" t="s">
        <v>5878</v>
      </c>
      <c r="C2827" s="9" t="s">
        <v>164</v>
      </c>
      <c r="D2827" s="9" t="s">
        <v>107</v>
      </c>
      <c r="E2827" s="6" t="s">
        <v>3597</v>
      </c>
      <c r="F2827" s="9" t="s">
        <v>6886</v>
      </c>
    </row>
    <row r="2828" ht="33.75" customHeight="1">
      <c r="A2828" s="7">
        <v>94.0</v>
      </c>
      <c r="B2828" s="9" t="s">
        <v>5878</v>
      </c>
      <c r="C2828" s="9" t="s">
        <v>164</v>
      </c>
      <c r="D2828" s="9" t="s">
        <v>109</v>
      </c>
      <c r="E2828" s="6" t="s">
        <v>3597</v>
      </c>
      <c r="F2828" s="9" t="s">
        <v>6886</v>
      </c>
    </row>
    <row r="2829" ht="33.75" customHeight="1">
      <c r="A2829" s="7">
        <v>94.0</v>
      </c>
      <c r="B2829" s="9" t="s">
        <v>5878</v>
      </c>
      <c r="C2829" s="9" t="s">
        <v>164</v>
      </c>
      <c r="D2829" s="9" t="s">
        <v>637</v>
      </c>
      <c r="E2829" s="6" t="s">
        <v>3599</v>
      </c>
      <c r="F2829" s="9" t="s">
        <v>6886</v>
      </c>
    </row>
    <row r="2830" ht="33.75" customHeight="1">
      <c r="A2830" s="7">
        <v>94.0</v>
      </c>
      <c r="B2830" s="9" t="s">
        <v>5878</v>
      </c>
      <c r="C2830" s="9" t="s">
        <v>164</v>
      </c>
      <c r="D2830" s="9" t="s">
        <v>642</v>
      </c>
      <c r="E2830" s="6" t="s">
        <v>3600</v>
      </c>
      <c r="F2830" s="9" t="s">
        <v>6886</v>
      </c>
    </row>
    <row r="2831" ht="33.75" customHeight="1">
      <c r="A2831" s="7">
        <v>94.0</v>
      </c>
      <c r="B2831" s="9" t="s">
        <v>5878</v>
      </c>
      <c r="C2831" s="9" t="s">
        <v>164</v>
      </c>
      <c r="D2831" s="9" t="s">
        <v>647</v>
      </c>
      <c r="E2831" s="6" t="s">
        <v>3602</v>
      </c>
      <c r="F2831" s="9" t="s">
        <v>6886</v>
      </c>
    </row>
    <row r="2832" ht="33.75" customHeight="1">
      <c r="A2832" s="7">
        <v>94.0</v>
      </c>
      <c r="B2832" s="9" t="s">
        <v>5878</v>
      </c>
      <c r="C2832" s="9" t="s">
        <v>164</v>
      </c>
      <c r="D2832" s="9" t="s">
        <v>652</v>
      </c>
      <c r="E2832" s="6" t="s">
        <v>3603</v>
      </c>
      <c r="F2832" s="9" t="s">
        <v>6886</v>
      </c>
    </row>
    <row r="2833" ht="33.75" customHeight="1">
      <c r="A2833" s="7">
        <v>94.0</v>
      </c>
      <c r="B2833" s="9" t="s">
        <v>5878</v>
      </c>
      <c r="C2833" s="9" t="s">
        <v>164</v>
      </c>
      <c r="D2833" s="9" t="s">
        <v>111</v>
      </c>
      <c r="E2833" s="6" t="s">
        <v>3605</v>
      </c>
      <c r="F2833" s="9" t="s">
        <v>6886</v>
      </c>
    </row>
    <row r="2834" ht="33.75" customHeight="1">
      <c r="A2834" s="7">
        <v>94.0</v>
      </c>
      <c r="B2834" s="9" t="s">
        <v>5878</v>
      </c>
      <c r="C2834" s="9" t="s">
        <v>164</v>
      </c>
      <c r="D2834" s="9" t="s">
        <v>113</v>
      </c>
      <c r="E2834" s="6" t="s">
        <v>3605</v>
      </c>
      <c r="F2834" s="9" t="s">
        <v>6886</v>
      </c>
    </row>
    <row r="2835" ht="33.75" customHeight="1">
      <c r="A2835" s="7">
        <v>94.0</v>
      </c>
      <c r="B2835" s="9" t="s">
        <v>5878</v>
      </c>
      <c r="C2835" s="9" t="s">
        <v>164</v>
      </c>
      <c r="D2835" s="9" t="s">
        <v>114</v>
      </c>
      <c r="E2835" s="6" t="s">
        <v>3606</v>
      </c>
      <c r="F2835" s="9" t="s">
        <v>6886</v>
      </c>
    </row>
    <row r="2836" ht="33.75" customHeight="1">
      <c r="A2836" s="7">
        <v>94.0</v>
      </c>
      <c r="B2836" s="9" t="s">
        <v>5878</v>
      </c>
      <c r="C2836" s="9" t="s">
        <v>164</v>
      </c>
      <c r="D2836" s="9" t="s">
        <v>117</v>
      </c>
      <c r="E2836" s="6" t="s">
        <v>3580</v>
      </c>
      <c r="F2836" s="9" t="s">
        <v>6886</v>
      </c>
    </row>
    <row r="2837" ht="33.75" customHeight="1">
      <c r="A2837" s="7">
        <v>94.0</v>
      </c>
      <c r="B2837" s="9" t="s">
        <v>5878</v>
      </c>
      <c r="C2837" s="9" t="s">
        <v>164</v>
      </c>
      <c r="D2837" s="9" t="s">
        <v>1577</v>
      </c>
      <c r="E2837" s="6" t="s">
        <v>3607</v>
      </c>
      <c r="F2837" s="9" t="s">
        <v>6886</v>
      </c>
    </row>
    <row r="2838" ht="33.75" customHeight="1">
      <c r="A2838" s="7">
        <v>95.0</v>
      </c>
      <c r="B2838" s="9" t="s">
        <v>5964</v>
      </c>
      <c r="C2838" s="9" t="s">
        <v>166</v>
      </c>
      <c r="D2838" s="9" t="s">
        <v>24</v>
      </c>
      <c r="E2838" s="6" t="s">
        <v>3608</v>
      </c>
      <c r="F2838" s="9" t="s">
        <v>6980</v>
      </c>
      <c r="G2838" t="inlineStr" s="6">
        <is>
          <t xml:space="preserve">As it grows, the stone portions of Onix's body harden to become similar to a diamond, but colored black. Burrows at high speed in search of food. The tunnels it leaves are used as homes by DIGLETTs. It twists and squirms through the ground. The thunderous roar of its tunneling echoes a long way. It rapidly bores through the ground at 50 mph by squirming and twisting its massive, rugged body. As it digs through the ground, it absorbs many hard objects. This is what makes its body so solid. ONIX has a magnet in its brain. It acts as a compass so that this POKéMON does not lose direction while it is tunneling. As it grows older, its body becomes increasingly rounder and smoother. There is a magnet in its brain that prevents an ONIX from losing direction while tunneling. As it grows older, its body becomes steadily rounder and smoother. It usually lives underground. It searches for food while boring its way through the ground at 50 miles per hour. As it grows, the stone portions of its body harden to become similar to black-colored diamonds. When it travels underground, it causes rumbling and tremors. It can move at 50 mph. It squirms through the ground using its long and rugged body. It always eats while burrowing. It burrows through the ground at a speed of 50 mph while feeding on large boulders. Opening its large mouth, it ingests massive amounts of soil and creates long tunnels. The tunnels it leaves are used as homes by Diglett. This chain of immense stones resembles a giant serpent. Tremors shake the earth above as it burrows deep beneath the ground, feeding on boulders as it goes.</t>
        </is>
      </c>
    </row>
    <row r="2839" ht="33.75" customHeight="1">
      <c r="A2839" s="7">
        <v>95.0</v>
      </c>
      <c r="B2839" s="9" t="s">
        <v>5964</v>
      </c>
      <c r="C2839" s="9" t="s">
        <v>166</v>
      </c>
      <c r="D2839" s="9" t="s">
        <v>35</v>
      </c>
      <c r="E2839" s="6" t="s">
        <v>3608</v>
      </c>
      <c r="F2839" s="9" t="s">
        <v>6980</v>
      </c>
    </row>
    <row r="2840" ht="33.75" customHeight="1">
      <c r="A2840" s="7">
        <v>95.0</v>
      </c>
      <c r="B2840" s="9" t="s">
        <v>5964</v>
      </c>
      <c r="C2840" s="9" t="s">
        <v>166</v>
      </c>
      <c r="D2840" s="9" t="s">
        <v>42</v>
      </c>
      <c r="E2840" s="6" t="s">
        <v>3610</v>
      </c>
      <c r="F2840" s="9" t="s">
        <v>6980</v>
      </c>
    </row>
    <row r="2841" ht="33.75" customHeight="1">
      <c r="A2841" s="7">
        <v>95.0</v>
      </c>
      <c r="B2841" s="9" t="s">
        <v>5964</v>
      </c>
      <c r="C2841" s="9" t="s">
        <v>166</v>
      </c>
      <c r="D2841" s="9" t="s">
        <v>52</v>
      </c>
      <c r="E2841" s="6" t="s">
        <v>3611</v>
      </c>
      <c r="F2841" s="9" t="s">
        <v>6980</v>
      </c>
    </row>
    <row r="2842" ht="33.75" customHeight="1">
      <c r="A2842" s="7">
        <v>95.0</v>
      </c>
      <c r="B2842" s="9" t="s">
        <v>5964</v>
      </c>
      <c r="C2842" s="9" t="s">
        <v>166</v>
      </c>
      <c r="D2842" s="9" t="s">
        <v>59</v>
      </c>
      <c r="E2842" s="6" t="s">
        <v>3613</v>
      </c>
      <c r="F2842" s="9" t="s">
        <v>6980</v>
      </c>
    </row>
    <row r="2843" ht="33.75" customHeight="1">
      <c r="A2843" s="7">
        <v>95.0</v>
      </c>
      <c r="B2843" s="9" t="s">
        <v>5964</v>
      </c>
      <c r="C2843" s="9" t="s">
        <v>166</v>
      </c>
      <c r="D2843" s="9" t="s">
        <v>64</v>
      </c>
      <c r="E2843" s="6" t="s">
        <v>3615</v>
      </c>
      <c r="F2843" s="9" t="s">
        <v>6980</v>
      </c>
    </row>
    <row r="2844" ht="33.75" customHeight="1">
      <c r="A2844" s="7">
        <v>95.0</v>
      </c>
      <c r="B2844" s="9" t="s">
        <v>5964</v>
      </c>
      <c r="C2844" s="9" t="s">
        <v>166</v>
      </c>
      <c r="D2844" s="9" t="s">
        <v>67</v>
      </c>
      <c r="E2844" s="6" t="s">
        <v>3616</v>
      </c>
      <c r="F2844" s="9" t="s">
        <v>6980</v>
      </c>
    </row>
    <row r="2845" ht="33.75" customHeight="1">
      <c r="A2845" s="7">
        <v>95.0</v>
      </c>
      <c r="B2845" s="9" t="s">
        <v>5964</v>
      </c>
      <c r="C2845" s="9" t="s">
        <v>166</v>
      </c>
      <c r="D2845" s="9" t="s">
        <v>71</v>
      </c>
      <c r="E2845" s="6" t="s">
        <v>3616</v>
      </c>
      <c r="F2845" s="9" t="s">
        <v>6980</v>
      </c>
    </row>
    <row r="2846" ht="33.75" customHeight="1">
      <c r="A2846" s="7">
        <v>95.0</v>
      </c>
      <c r="B2846" s="9" t="s">
        <v>5964</v>
      </c>
      <c r="C2846" s="9" t="s">
        <v>166</v>
      </c>
      <c r="D2846" s="9" t="s">
        <v>73</v>
      </c>
      <c r="E2846" s="6" t="s">
        <v>3618</v>
      </c>
      <c r="F2846" s="9" t="s">
        <v>6980</v>
      </c>
    </row>
    <row r="2847" ht="33.75" customHeight="1">
      <c r="A2847" s="7">
        <v>95.0</v>
      </c>
      <c r="B2847" s="9" t="s">
        <v>5964</v>
      </c>
      <c r="C2847" s="9" t="s">
        <v>166</v>
      </c>
      <c r="D2847" s="9" t="s">
        <v>75</v>
      </c>
      <c r="E2847" s="6" t="s">
        <v>3619</v>
      </c>
      <c r="F2847" s="9" t="s">
        <v>6980</v>
      </c>
    </row>
    <row r="2848" ht="33.75" customHeight="1">
      <c r="A2848" s="7">
        <v>95.0</v>
      </c>
      <c r="B2848" s="9" t="s">
        <v>5964</v>
      </c>
      <c r="C2848" s="9" t="s">
        <v>166</v>
      </c>
      <c r="D2848" s="9" t="s">
        <v>79</v>
      </c>
      <c r="E2848" s="6" t="s">
        <v>3620</v>
      </c>
      <c r="F2848" s="9" t="s">
        <v>6980</v>
      </c>
    </row>
    <row r="2849" ht="33.75" customHeight="1">
      <c r="A2849" s="7">
        <v>95.0</v>
      </c>
      <c r="B2849" s="9" t="s">
        <v>5964</v>
      </c>
      <c r="C2849" s="9" t="s">
        <v>166</v>
      </c>
      <c r="D2849" s="9" t="s">
        <v>81</v>
      </c>
      <c r="E2849" s="6" t="s">
        <v>3621</v>
      </c>
      <c r="F2849" s="9" t="s">
        <v>6980</v>
      </c>
    </row>
    <row r="2850" ht="33.75" customHeight="1">
      <c r="A2850" s="7">
        <v>95.0</v>
      </c>
      <c r="B2850" s="9" t="s">
        <v>5964</v>
      </c>
      <c r="C2850" s="9" t="s">
        <v>166</v>
      </c>
      <c r="D2850" s="9" t="s">
        <v>84</v>
      </c>
      <c r="E2850" s="6" t="s">
        <v>3622</v>
      </c>
      <c r="F2850" s="9" t="s">
        <v>6980</v>
      </c>
    </row>
    <row r="2851" ht="33.75" customHeight="1">
      <c r="A2851" s="7">
        <v>95.0</v>
      </c>
      <c r="B2851" s="9" t="s">
        <v>5964</v>
      </c>
      <c r="C2851" s="9" t="s">
        <v>166</v>
      </c>
      <c r="D2851" s="9" t="s">
        <v>87</v>
      </c>
      <c r="E2851" s="6" t="s">
        <v>3624</v>
      </c>
      <c r="F2851" s="9" t="s">
        <v>6980</v>
      </c>
    </row>
    <row r="2852" ht="33.75" customHeight="1">
      <c r="A2852" s="7">
        <v>95.0</v>
      </c>
      <c r="B2852" s="9" t="s">
        <v>5964</v>
      </c>
      <c r="C2852" s="9" t="s">
        <v>166</v>
      </c>
      <c r="D2852" s="9" t="s">
        <v>89</v>
      </c>
      <c r="E2852" s="6" t="s">
        <v>3611</v>
      </c>
      <c r="F2852" s="9" t="s">
        <v>6980</v>
      </c>
    </row>
    <row r="2853" ht="33.75" customHeight="1">
      <c r="A2853" s="7">
        <v>95.0</v>
      </c>
      <c r="B2853" s="9" t="s">
        <v>5964</v>
      </c>
      <c r="C2853" s="9" t="s">
        <v>166</v>
      </c>
      <c r="D2853" s="9" t="s">
        <v>91</v>
      </c>
      <c r="E2853" s="6" t="s">
        <v>3625</v>
      </c>
      <c r="F2853" s="9" t="s">
        <v>6980</v>
      </c>
    </row>
    <row r="2854" ht="33.75" customHeight="1">
      <c r="A2854" s="7">
        <v>95.0</v>
      </c>
      <c r="B2854" s="9" t="s">
        <v>5964</v>
      </c>
      <c r="C2854" s="9" t="s">
        <v>166</v>
      </c>
      <c r="D2854" s="9" t="s">
        <v>93</v>
      </c>
      <c r="E2854" s="6" t="s">
        <v>3624</v>
      </c>
      <c r="F2854" s="9" t="s">
        <v>6980</v>
      </c>
    </row>
    <row r="2855" ht="33.75" customHeight="1">
      <c r="A2855" s="7">
        <v>95.0</v>
      </c>
      <c r="B2855" s="9" t="s">
        <v>5964</v>
      </c>
      <c r="C2855" s="9" t="s">
        <v>166</v>
      </c>
      <c r="D2855" s="9" t="s">
        <v>95</v>
      </c>
      <c r="E2855" s="6" t="s">
        <v>3624</v>
      </c>
      <c r="F2855" s="9" t="s">
        <v>6980</v>
      </c>
    </row>
    <row r="2856" ht="33.75" customHeight="1">
      <c r="A2856" s="7">
        <v>95.0</v>
      </c>
      <c r="B2856" s="9" t="s">
        <v>5964</v>
      </c>
      <c r="C2856" s="9" t="s">
        <v>166</v>
      </c>
      <c r="D2856" s="9" t="s">
        <v>98</v>
      </c>
      <c r="E2856" s="6" t="s">
        <v>3626</v>
      </c>
      <c r="F2856" s="9" t="s">
        <v>6980</v>
      </c>
    </row>
    <row r="2857" ht="33.75" customHeight="1">
      <c r="A2857" s="7">
        <v>95.0</v>
      </c>
      <c r="B2857" s="9" t="s">
        <v>5964</v>
      </c>
      <c r="C2857" s="9" t="s">
        <v>166</v>
      </c>
      <c r="D2857" s="9" t="s">
        <v>99</v>
      </c>
      <c r="E2857" s="6" t="s">
        <v>3626</v>
      </c>
      <c r="F2857" s="9" t="s">
        <v>6980</v>
      </c>
    </row>
    <row r="2858" ht="33.75" customHeight="1">
      <c r="A2858" s="7">
        <v>95.0</v>
      </c>
      <c r="B2858" s="9" t="s">
        <v>5964</v>
      </c>
      <c r="C2858" s="9" t="s">
        <v>166</v>
      </c>
      <c r="D2858" s="9" t="s">
        <v>101</v>
      </c>
      <c r="E2858" s="6" t="s">
        <v>3627</v>
      </c>
      <c r="F2858" s="9" t="s">
        <v>6980</v>
      </c>
    </row>
    <row r="2859" ht="33.75" customHeight="1">
      <c r="A2859" s="7">
        <v>95.0</v>
      </c>
      <c r="B2859" s="9" t="s">
        <v>5964</v>
      </c>
      <c r="C2859" s="9" t="s">
        <v>166</v>
      </c>
      <c r="D2859" s="9" t="s">
        <v>105</v>
      </c>
      <c r="E2859" s="6" t="s">
        <v>3619</v>
      </c>
      <c r="F2859" s="9" t="s">
        <v>6980</v>
      </c>
    </row>
    <row r="2860" ht="33.75" customHeight="1">
      <c r="A2860" s="7">
        <v>95.0</v>
      </c>
      <c r="B2860" s="9" t="s">
        <v>5964</v>
      </c>
      <c r="C2860" s="9" t="s">
        <v>166</v>
      </c>
      <c r="D2860" s="9" t="s">
        <v>107</v>
      </c>
      <c r="E2860" s="6" t="s">
        <v>3628</v>
      </c>
      <c r="F2860" s="9" t="s">
        <v>6980</v>
      </c>
    </row>
    <row r="2861" ht="33.75" customHeight="1">
      <c r="A2861" s="7">
        <v>95.0</v>
      </c>
      <c r="B2861" s="9" t="s">
        <v>5964</v>
      </c>
      <c r="C2861" s="9" t="s">
        <v>166</v>
      </c>
      <c r="D2861" s="9" t="s">
        <v>109</v>
      </c>
      <c r="E2861" s="6" t="s">
        <v>3628</v>
      </c>
      <c r="F2861" s="9" t="s">
        <v>6980</v>
      </c>
    </row>
    <row r="2862" ht="33.75" customHeight="1">
      <c r="A2862" s="7">
        <v>95.0</v>
      </c>
      <c r="B2862" s="9" t="s">
        <v>5964</v>
      </c>
      <c r="C2862" s="9" t="s">
        <v>166</v>
      </c>
      <c r="D2862" s="9" t="s">
        <v>111</v>
      </c>
      <c r="E2862" s="6" t="s">
        <v>3627</v>
      </c>
      <c r="F2862" s="9" t="s">
        <v>6980</v>
      </c>
    </row>
    <row r="2863" ht="33.75" customHeight="1">
      <c r="A2863" s="7">
        <v>95.0</v>
      </c>
      <c r="B2863" s="9" t="s">
        <v>5964</v>
      </c>
      <c r="C2863" s="9" t="s">
        <v>166</v>
      </c>
      <c r="D2863" s="9" t="s">
        <v>113</v>
      </c>
      <c r="E2863" s="6" t="s">
        <v>3627</v>
      </c>
      <c r="F2863" s="9" t="s">
        <v>6980</v>
      </c>
    </row>
    <row r="2864" ht="33.75" customHeight="1">
      <c r="A2864" s="7">
        <v>95.0</v>
      </c>
      <c r="B2864" s="9" t="s">
        <v>5964</v>
      </c>
      <c r="C2864" s="9" t="s">
        <v>166</v>
      </c>
      <c r="D2864" s="9" t="s">
        <v>114</v>
      </c>
      <c r="E2864" s="6" t="s">
        <v>3615</v>
      </c>
      <c r="F2864" s="9" t="s">
        <v>6980</v>
      </c>
    </row>
    <row r="2865" ht="33.75" customHeight="1">
      <c r="A2865" s="7">
        <v>95.0</v>
      </c>
      <c r="B2865" s="9" t="s">
        <v>5964</v>
      </c>
      <c r="C2865" s="9" t="s">
        <v>166</v>
      </c>
      <c r="D2865" s="9" t="s">
        <v>117</v>
      </c>
      <c r="E2865" s="6" t="s">
        <v>3625</v>
      </c>
      <c r="F2865" s="9" t="s">
        <v>6980</v>
      </c>
    </row>
    <row r="2866" ht="33.75" customHeight="1">
      <c r="A2866" s="7">
        <v>95.0</v>
      </c>
      <c r="B2866" s="9" t="s">
        <v>5964</v>
      </c>
      <c r="C2866" s="9" t="s">
        <v>166</v>
      </c>
      <c r="D2866" s="9" t="s">
        <v>1577</v>
      </c>
      <c r="E2866" s="6" t="s">
        <v>3629</v>
      </c>
      <c r="F2866" s="9" t="s">
        <v>6980</v>
      </c>
    </row>
    <row r="2867" ht="33.75" customHeight="1">
      <c r="A2867" s="7">
        <v>96.0</v>
      </c>
      <c r="B2867" s="9" t="s">
        <v>6026</v>
      </c>
      <c r="C2867" s="9" t="s">
        <v>168</v>
      </c>
      <c r="D2867" s="9" t="s">
        <v>24</v>
      </c>
      <c r="E2867" s="6" t="s">
        <v>3630</v>
      </c>
      <c r="F2867" s="9" t="s">
        <v>7053</v>
      </c>
      <c r="G2867" t="inlineStr" s="6">
        <is>
          <t xml:space="preserve">Puts enemies to sleep then eats their dreams. Occasionally gets sick from eating bad dreams. If you sleep by it all the time, it will sometimes show you dreams it has eaten in the past. If you think that you had a good dream, but you can't remember it, a DROWZEE has probably eaten it. It remembers every dream it eats. It rarely eats the dreams of adults because children's are much tastier. When it twitches its nose, it can tell where someone is sleeping and what that person is dreaming about. If your nose becomes itchy while you are sleeping, it’s a sure sign that one of these POKéMON is standing above your pillow and trying to eat your dream through your nostrils. If your nose becomes itchy while you are sleeping, it’s a sure sign that a DROWZEE is standing above your pillow and trying to eat your dream through your nostrils. A descendent of the legendary animal baku, which is said to eat dreams. It is skilled at hypnotism. Puts enemies to sleep, then eats their dreams. Occasionally gets sick from eating only bad dreams. It can tell what people are dreaming by sniffing with its big nose. It loves fun dreams. If you think that you had a good dream but you can’t remember it, a DROWZEE has probably eaten it. A Pokémon that nourishes itself by eating dreams, it is thought to share common ancestry with Munna and Musharna. It finds really fun dreams tasty. When it makes friends with people, it may show them the most delicious dreams it’s ever eaten. It can be spotted near recreational facilities, intending to eat the pleasant dreams of children who enjoyed themselves there that day. It puts its prey to sleep and devours their dreams. It seems that bad dreams taste sour, so Drowzee doesn’t particularly like eating them. If you sleep by it all the time, it will sometimes show you dreams it had eaten in the past.</t>
        </is>
      </c>
    </row>
    <row r="2868" ht="33.75" customHeight="1">
      <c r="A2868" s="7">
        <v>96.0</v>
      </c>
      <c r="B2868" s="9" t="s">
        <v>6026</v>
      </c>
      <c r="C2868" s="9" t="s">
        <v>168</v>
      </c>
      <c r="D2868" s="9" t="s">
        <v>35</v>
      </c>
      <c r="E2868" s="6" t="s">
        <v>3630</v>
      </c>
      <c r="F2868" s="9" t="s">
        <v>7053</v>
      </c>
    </row>
    <row r="2869" ht="33.75" customHeight="1">
      <c r="A2869" s="7">
        <v>96.0</v>
      </c>
      <c r="B2869" s="9" t="s">
        <v>6026</v>
      </c>
      <c r="C2869" s="9" t="s">
        <v>168</v>
      </c>
      <c r="D2869" s="9" t="s">
        <v>42</v>
      </c>
      <c r="E2869" s="6" t="s">
        <v>3631</v>
      </c>
      <c r="F2869" s="9" t="s">
        <v>7053</v>
      </c>
    </row>
    <row r="2870" ht="33.75" customHeight="1">
      <c r="A2870" s="7">
        <v>96.0</v>
      </c>
      <c r="B2870" s="9" t="s">
        <v>6026</v>
      </c>
      <c r="C2870" s="9" t="s">
        <v>168</v>
      </c>
      <c r="D2870" s="9" t="s">
        <v>52</v>
      </c>
      <c r="E2870" s="6" t="s">
        <v>3632</v>
      </c>
      <c r="F2870" s="9" t="s">
        <v>7053</v>
      </c>
    </row>
    <row r="2871" ht="33.75" customHeight="1">
      <c r="A2871" s="7">
        <v>96.0</v>
      </c>
      <c r="B2871" s="9" t="s">
        <v>6026</v>
      </c>
      <c r="C2871" s="9" t="s">
        <v>168</v>
      </c>
      <c r="D2871" s="9" t="s">
        <v>59</v>
      </c>
      <c r="E2871" s="6" t="s">
        <v>3633</v>
      </c>
      <c r="F2871" s="9" t="s">
        <v>7053</v>
      </c>
    </row>
    <row r="2872" ht="33.75" customHeight="1">
      <c r="A2872" s="7">
        <v>96.0</v>
      </c>
      <c r="B2872" s="9" t="s">
        <v>6026</v>
      </c>
      <c r="C2872" s="9" t="s">
        <v>168</v>
      </c>
      <c r="D2872" s="9" t="s">
        <v>64</v>
      </c>
      <c r="E2872" s="6" t="s">
        <v>3634</v>
      </c>
      <c r="F2872" s="9" t="s">
        <v>7053</v>
      </c>
    </row>
    <row r="2873" ht="33.75" customHeight="1">
      <c r="A2873" s="7">
        <v>96.0</v>
      </c>
      <c r="B2873" s="9" t="s">
        <v>6026</v>
      </c>
      <c r="C2873" s="9" t="s">
        <v>168</v>
      </c>
      <c r="D2873" s="9" t="s">
        <v>67</v>
      </c>
      <c r="E2873" s="6" t="s">
        <v>3635</v>
      </c>
      <c r="F2873" s="9" t="s">
        <v>7053</v>
      </c>
    </row>
    <row r="2874" ht="33.75" customHeight="1">
      <c r="A2874" s="7">
        <v>96.0</v>
      </c>
      <c r="B2874" s="9" t="s">
        <v>6026</v>
      </c>
      <c r="C2874" s="9" t="s">
        <v>168</v>
      </c>
      <c r="D2874" s="9" t="s">
        <v>71</v>
      </c>
      <c r="E2874" s="6" t="s">
        <v>3635</v>
      </c>
      <c r="F2874" s="9" t="s">
        <v>7053</v>
      </c>
    </row>
    <row r="2875" ht="33.75" customHeight="1">
      <c r="A2875" s="7">
        <v>96.0</v>
      </c>
      <c r="B2875" s="9" t="s">
        <v>6026</v>
      </c>
      <c r="C2875" s="9" t="s">
        <v>168</v>
      </c>
      <c r="D2875" s="9" t="s">
        <v>73</v>
      </c>
      <c r="E2875" s="6" t="s">
        <v>3636</v>
      </c>
      <c r="F2875" s="9" t="s">
        <v>7053</v>
      </c>
    </row>
    <row r="2876" ht="33.75" customHeight="1">
      <c r="A2876" s="7">
        <v>96.0</v>
      </c>
      <c r="B2876" s="9" t="s">
        <v>6026</v>
      </c>
      <c r="C2876" s="9" t="s">
        <v>168</v>
      </c>
      <c r="D2876" s="9" t="s">
        <v>75</v>
      </c>
      <c r="E2876" s="6" t="s">
        <v>3637</v>
      </c>
      <c r="F2876" s="9" t="s">
        <v>7053</v>
      </c>
    </row>
    <row r="2877" ht="33.75" customHeight="1">
      <c r="A2877" s="7">
        <v>96.0</v>
      </c>
      <c r="B2877" s="9" t="s">
        <v>6026</v>
      </c>
      <c r="C2877" s="9" t="s">
        <v>168</v>
      </c>
      <c r="D2877" s="9" t="s">
        <v>79</v>
      </c>
      <c r="E2877" s="6" t="s">
        <v>3639</v>
      </c>
      <c r="F2877" s="9" t="s">
        <v>7053</v>
      </c>
    </row>
    <row r="2878" ht="33.75" customHeight="1">
      <c r="A2878" s="7">
        <v>96.0</v>
      </c>
      <c r="B2878" s="9" t="s">
        <v>6026</v>
      </c>
      <c r="C2878" s="9" t="s">
        <v>168</v>
      </c>
      <c r="D2878" s="9" t="s">
        <v>81</v>
      </c>
      <c r="E2878" s="6" t="s">
        <v>3640</v>
      </c>
      <c r="F2878" s="9" t="s">
        <v>7053</v>
      </c>
    </row>
    <row r="2879" ht="33.75" customHeight="1">
      <c r="A2879" s="7">
        <v>96.0</v>
      </c>
      <c r="B2879" s="9" t="s">
        <v>6026</v>
      </c>
      <c r="C2879" s="9" t="s">
        <v>168</v>
      </c>
      <c r="D2879" s="9" t="s">
        <v>84</v>
      </c>
      <c r="E2879" s="6" t="s">
        <v>3640</v>
      </c>
      <c r="F2879" s="9" t="s">
        <v>7053</v>
      </c>
    </row>
    <row r="2880" ht="33.75" customHeight="1">
      <c r="A2880" s="7">
        <v>96.0</v>
      </c>
      <c r="B2880" s="9" t="s">
        <v>6026</v>
      </c>
      <c r="C2880" s="9" t="s">
        <v>168</v>
      </c>
      <c r="D2880" s="9" t="s">
        <v>87</v>
      </c>
      <c r="E2880" s="6" t="s">
        <v>3640</v>
      </c>
      <c r="F2880" s="9" t="s">
        <v>7053</v>
      </c>
    </row>
    <row r="2881" ht="33.75" customHeight="1">
      <c r="A2881" s="7">
        <v>96.0</v>
      </c>
      <c r="B2881" s="9" t="s">
        <v>6026</v>
      </c>
      <c r="C2881" s="9" t="s">
        <v>168</v>
      </c>
      <c r="D2881" s="9" t="s">
        <v>89</v>
      </c>
      <c r="E2881" s="6" t="s">
        <v>3641</v>
      </c>
      <c r="F2881" s="9" t="s">
        <v>7053</v>
      </c>
    </row>
    <row r="2882" ht="33.75" customHeight="1">
      <c r="A2882" s="7">
        <v>96.0</v>
      </c>
      <c r="B2882" s="9" t="s">
        <v>6026</v>
      </c>
      <c r="C2882" s="9" t="s">
        <v>168</v>
      </c>
      <c r="D2882" s="9" t="s">
        <v>91</v>
      </c>
      <c r="E2882" s="6" t="s">
        <v>3642</v>
      </c>
      <c r="F2882" s="9" t="s">
        <v>7053</v>
      </c>
    </row>
    <row r="2883" ht="33.75" customHeight="1">
      <c r="A2883" s="7">
        <v>96.0</v>
      </c>
      <c r="B2883" s="9" t="s">
        <v>6026</v>
      </c>
      <c r="C2883" s="9" t="s">
        <v>168</v>
      </c>
      <c r="D2883" s="9" t="s">
        <v>93</v>
      </c>
      <c r="E2883" s="6" t="s">
        <v>3640</v>
      </c>
      <c r="F2883" s="9" t="s">
        <v>7053</v>
      </c>
    </row>
    <row r="2884" ht="33.75" customHeight="1">
      <c r="A2884" s="7">
        <v>96.0</v>
      </c>
      <c r="B2884" s="9" t="s">
        <v>6026</v>
      </c>
      <c r="C2884" s="9" t="s">
        <v>168</v>
      </c>
      <c r="D2884" s="9" t="s">
        <v>95</v>
      </c>
      <c r="E2884" s="6" t="s">
        <v>3640</v>
      </c>
      <c r="F2884" s="9" t="s">
        <v>7053</v>
      </c>
    </row>
    <row r="2885" ht="33.75" customHeight="1">
      <c r="A2885" s="7">
        <v>96.0</v>
      </c>
      <c r="B2885" s="9" t="s">
        <v>6026</v>
      </c>
      <c r="C2885" s="9" t="s">
        <v>168</v>
      </c>
      <c r="D2885" s="9" t="s">
        <v>98</v>
      </c>
      <c r="E2885" s="6" t="s">
        <v>3640</v>
      </c>
      <c r="F2885" s="9" t="s">
        <v>7053</v>
      </c>
    </row>
    <row r="2886" ht="33.75" customHeight="1">
      <c r="A2886" s="7">
        <v>96.0</v>
      </c>
      <c r="B2886" s="9" t="s">
        <v>6026</v>
      </c>
      <c r="C2886" s="9" t="s">
        <v>168</v>
      </c>
      <c r="D2886" s="9" t="s">
        <v>99</v>
      </c>
      <c r="E2886" s="6" t="s">
        <v>3640</v>
      </c>
      <c r="F2886" s="9" t="s">
        <v>7053</v>
      </c>
    </row>
    <row r="2887" ht="33.75" customHeight="1">
      <c r="A2887" s="7">
        <v>96.0</v>
      </c>
      <c r="B2887" s="9" t="s">
        <v>6026</v>
      </c>
      <c r="C2887" s="9" t="s">
        <v>168</v>
      </c>
      <c r="D2887" s="9" t="s">
        <v>101</v>
      </c>
      <c r="E2887" s="6" t="s">
        <v>3639</v>
      </c>
      <c r="F2887" s="9" t="s">
        <v>7053</v>
      </c>
    </row>
    <row r="2888" ht="33.75" customHeight="1">
      <c r="A2888" s="7">
        <v>96.0</v>
      </c>
      <c r="B2888" s="9" t="s">
        <v>6026</v>
      </c>
      <c r="C2888" s="9" t="s">
        <v>168</v>
      </c>
      <c r="D2888" s="9" t="s">
        <v>105</v>
      </c>
      <c r="E2888" s="6" t="s">
        <v>3643</v>
      </c>
      <c r="F2888" s="9" t="s">
        <v>7053</v>
      </c>
    </row>
    <row r="2889" ht="33.75" customHeight="1">
      <c r="A2889" s="7">
        <v>96.0</v>
      </c>
      <c r="B2889" s="9" t="s">
        <v>6026</v>
      </c>
      <c r="C2889" s="9" t="s">
        <v>168</v>
      </c>
      <c r="D2889" s="9" t="s">
        <v>107</v>
      </c>
      <c r="E2889" s="6" t="s">
        <v>3644</v>
      </c>
      <c r="F2889" s="9" t="s">
        <v>7053</v>
      </c>
    </row>
    <row r="2890" ht="33.75" customHeight="1">
      <c r="A2890" s="7">
        <v>96.0</v>
      </c>
      <c r="B2890" s="9" t="s">
        <v>6026</v>
      </c>
      <c r="C2890" s="9" t="s">
        <v>168</v>
      </c>
      <c r="D2890" s="9" t="s">
        <v>109</v>
      </c>
      <c r="E2890" s="6" t="s">
        <v>3644</v>
      </c>
      <c r="F2890" s="9" t="s">
        <v>7053</v>
      </c>
    </row>
    <row r="2891" ht="33.75" customHeight="1">
      <c r="A2891" s="7">
        <v>96.0</v>
      </c>
      <c r="B2891" s="9" t="s">
        <v>6026</v>
      </c>
      <c r="C2891" s="9" t="s">
        <v>168</v>
      </c>
      <c r="D2891" s="9" t="s">
        <v>637</v>
      </c>
      <c r="E2891" s="6" t="s">
        <v>3646</v>
      </c>
      <c r="F2891" s="9" t="s">
        <v>7053</v>
      </c>
    </row>
    <row r="2892" ht="33.75" customHeight="1">
      <c r="A2892" s="7">
        <v>96.0</v>
      </c>
      <c r="B2892" s="9" t="s">
        <v>6026</v>
      </c>
      <c r="C2892" s="9" t="s">
        <v>168</v>
      </c>
      <c r="D2892" s="9" t="s">
        <v>642</v>
      </c>
      <c r="E2892" s="6" t="s">
        <v>3647</v>
      </c>
      <c r="F2892" s="9" t="s">
        <v>7053</v>
      </c>
    </row>
    <row r="2893" ht="33.75" customHeight="1">
      <c r="A2893" s="7">
        <v>96.0</v>
      </c>
      <c r="B2893" s="9" t="s">
        <v>6026</v>
      </c>
      <c r="C2893" s="9" t="s">
        <v>168</v>
      </c>
      <c r="D2893" s="9" t="s">
        <v>647</v>
      </c>
      <c r="E2893" s="6" t="s">
        <v>3648</v>
      </c>
      <c r="F2893" s="9" t="s">
        <v>7053</v>
      </c>
    </row>
    <row r="2894" ht="33.75" customHeight="1">
      <c r="A2894" s="7">
        <v>96.0</v>
      </c>
      <c r="B2894" s="9" t="s">
        <v>6026</v>
      </c>
      <c r="C2894" s="9" t="s">
        <v>168</v>
      </c>
      <c r="D2894" s="9" t="s">
        <v>652</v>
      </c>
      <c r="E2894" s="6" t="s">
        <v>3650</v>
      </c>
      <c r="F2894" s="9" t="s">
        <v>7053</v>
      </c>
    </row>
    <row r="2895" ht="33.75" customHeight="1">
      <c r="A2895" s="7">
        <v>96.0</v>
      </c>
      <c r="B2895" s="9" t="s">
        <v>6026</v>
      </c>
      <c r="C2895" s="9" t="s">
        <v>168</v>
      </c>
      <c r="D2895" s="9" t="s">
        <v>111</v>
      </c>
      <c r="E2895" s="6" t="s">
        <v>3651</v>
      </c>
      <c r="F2895" s="9" t="s">
        <v>7053</v>
      </c>
    </row>
    <row r="2896" ht="33.75" customHeight="1">
      <c r="A2896" s="7">
        <v>96.0</v>
      </c>
      <c r="B2896" s="9" t="s">
        <v>6026</v>
      </c>
      <c r="C2896" s="9" t="s">
        <v>168</v>
      </c>
      <c r="D2896" s="9" t="s">
        <v>113</v>
      </c>
      <c r="E2896" s="6" t="s">
        <v>3651</v>
      </c>
      <c r="F2896" s="9" t="s">
        <v>7053</v>
      </c>
    </row>
    <row r="2897" ht="33.75" customHeight="1">
      <c r="A2897" s="7">
        <v>97.0</v>
      </c>
      <c r="B2897" s="9" t="s">
        <v>6099</v>
      </c>
      <c r="C2897" s="9" t="s">
        <v>168</v>
      </c>
      <c r="D2897" s="9" t="s">
        <v>24</v>
      </c>
      <c r="E2897" s="6" t="s">
        <v>3653</v>
      </c>
      <c r="F2897" s="9" t="s">
        <v>7123</v>
      </c>
      <c r="G2897" t="inlineStr" s="6">
        <is>
          <t xml:space="preserve">When Hypno locks eyes with an enemy, it will use a mix of PSI moves such as HYPNOSIS and CONFUSION. Avoid eye contact if you come across one. It will try to put you to sleep by using its pendulum. When it is very hungry, it puts humans it meets to sleep, then it feasts on their dreams. Always holding a pendulum that it rocks at a steady rhythm, it causes drowsiness in any one nearby. The longer it swings its pendulum, the longer the effects of its hypnosis last. HYPNO holds a pendulum in its hand. The arcing movement and glitter of the pendulum lull the foe into a deep state of hypnosis. While this POKéMON searches for prey, it polishes the pendulum. The arcing movement and glitter of the pendulum in a HYPNO’s hand lull the foe into deep hypnosis. While searching for prey, it polishes the pendulum. It carries a pendulum-like device. There once was an incident in which it took away a child it hypnotized. Seeing its swinging pendulum can induce sleep in three seconds, even in someone who just woke up. Always holding a pendulum that it swings at a steady rhythm, it causes drowsiness in anyone nearby. While it is an extremely dangerous Pokémon, people who are in need of a good, sound sleep call it their savior. As a matter of course, it makes anyone it meets fall asleep and has a taste of their dreams. Anyone having a good dream, it carries off. In Alola, Komala is Hypno’s main target. It rarely harms people. There are some Hypno that assist doctors with patients who can’t sleep at night in hospitals.</t>
        </is>
      </c>
    </row>
    <row r="2898" ht="33.75" customHeight="1">
      <c r="A2898" s="7">
        <v>97.0</v>
      </c>
      <c r="B2898" s="9" t="s">
        <v>6099</v>
      </c>
      <c r="C2898" s="9" t="s">
        <v>168</v>
      </c>
      <c r="D2898" s="9" t="s">
        <v>35</v>
      </c>
      <c r="E2898" s="6" t="s">
        <v>3653</v>
      </c>
      <c r="F2898" s="9" t="s">
        <v>7123</v>
      </c>
    </row>
    <row r="2899" ht="33.75" customHeight="1">
      <c r="A2899" s="7">
        <v>97.0</v>
      </c>
      <c r="B2899" s="9" t="s">
        <v>6099</v>
      </c>
      <c r="C2899" s="9" t="s">
        <v>168</v>
      </c>
      <c r="D2899" s="9" t="s">
        <v>42</v>
      </c>
      <c r="E2899" s="6" t="s">
        <v>3654</v>
      </c>
      <c r="F2899" s="9" t="s">
        <v>7123</v>
      </c>
    </row>
    <row r="2900" ht="33.75" customHeight="1">
      <c r="A2900" s="7">
        <v>97.0</v>
      </c>
      <c r="B2900" s="9" t="s">
        <v>6099</v>
      </c>
      <c r="C2900" s="9" t="s">
        <v>168</v>
      </c>
      <c r="D2900" s="9" t="s">
        <v>52</v>
      </c>
      <c r="E2900" s="6" t="s">
        <v>3656</v>
      </c>
      <c r="F2900" s="9" t="s">
        <v>7123</v>
      </c>
    </row>
    <row r="2901" ht="33.75" customHeight="1">
      <c r="A2901" s="7">
        <v>97.0</v>
      </c>
      <c r="B2901" s="9" t="s">
        <v>6099</v>
      </c>
      <c r="C2901" s="9" t="s">
        <v>168</v>
      </c>
      <c r="D2901" s="9" t="s">
        <v>59</v>
      </c>
      <c r="E2901" s="6" t="s">
        <v>3658</v>
      </c>
      <c r="F2901" s="9" t="s">
        <v>7123</v>
      </c>
    </row>
    <row r="2902" ht="33.75" customHeight="1">
      <c r="A2902" s="7">
        <v>97.0</v>
      </c>
      <c r="B2902" s="9" t="s">
        <v>6099</v>
      </c>
      <c r="C2902" s="9" t="s">
        <v>168</v>
      </c>
      <c r="D2902" s="9" t="s">
        <v>64</v>
      </c>
      <c r="E2902" s="6" t="s">
        <v>3659</v>
      </c>
      <c r="F2902" s="9" t="s">
        <v>7123</v>
      </c>
    </row>
    <row r="2903" ht="33.75" customHeight="1">
      <c r="A2903" s="7">
        <v>97.0</v>
      </c>
      <c r="B2903" s="9" t="s">
        <v>6099</v>
      </c>
      <c r="C2903" s="9" t="s">
        <v>168</v>
      </c>
      <c r="D2903" s="9" t="s">
        <v>67</v>
      </c>
      <c r="E2903" s="6" t="s">
        <v>3660</v>
      </c>
      <c r="F2903" s="9" t="s">
        <v>7123</v>
      </c>
    </row>
    <row r="2904" ht="33.75" customHeight="1">
      <c r="A2904" s="7">
        <v>97.0</v>
      </c>
      <c r="B2904" s="9" t="s">
        <v>6099</v>
      </c>
      <c r="C2904" s="9" t="s">
        <v>168</v>
      </c>
      <c r="D2904" s="9" t="s">
        <v>71</v>
      </c>
      <c r="E2904" s="6" t="s">
        <v>3660</v>
      </c>
      <c r="F2904" s="9" t="s">
        <v>7123</v>
      </c>
    </row>
    <row r="2905" ht="33.75" customHeight="1">
      <c r="A2905" s="7">
        <v>97.0</v>
      </c>
      <c r="B2905" s="9" t="s">
        <v>6099</v>
      </c>
      <c r="C2905" s="9" t="s">
        <v>168</v>
      </c>
      <c r="D2905" s="9" t="s">
        <v>73</v>
      </c>
      <c r="E2905" s="6" t="s">
        <v>3661</v>
      </c>
      <c r="F2905" s="9" t="s">
        <v>7123</v>
      </c>
    </row>
    <row r="2906" ht="33.75" customHeight="1">
      <c r="A2906" s="7">
        <v>97.0</v>
      </c>
      <c r="B2906" s="9" t="s">
        <v>6099</v>
      </c>
      <c r="C2906" s="9" t="s">
        <v>168</v>
      </c>
      <c r="D2906" s="9" t="s">
        <v>75</v>
      </c>
      <c r="E2906" s="6" t="s">
        <v>3662</v>
      </c>
      <c r="F2906" s="9" t="s">
        <v>7123</v>
      </c>
    </row>
    <row r="2907" ht="33.75" customHeight="1">
      <c r="A2907" s="7">
        <v>97.0</v>
      </c>
      <c r="B2907" s="9" t="s">
        <v>6099</v>
      </c>
      <c r="C2907" s="9" t="s">
        <v>168</v>
      </c>
      <c r="D2907" s="9" t="s">
        <v>79</v>
      </c>
      <c r="E2907" s="6" t="s">
        <v>3653</v>
      </c>
      <c r="F2907" s="9" t="s">
        <v>7123</v>
      </c>
    </row>
    <row r="2908" ht="33.75" customHeight="1">
      <c r="A2908" s="7">
        <v>97.0</v>
      </c>
      <c r="B2908" s="9" t="s">
        <v>6099</v>
      </c>
      <c r="C2908" s="9" t="s">
        <v>168</v>
      </c>
      <c r="D2908" s="9" t="s">
        <v>81</v>
      </c>
      <c r="E2908" s="6" t="s">
        <v>3663</v>
      </c>
      <c r="F2908" s="9" t="s">
        <v>7123</v>
      </c>
    </row>
    <row r="2909" ht="33.75" customHeight="1">
      <c r="A2909" s="7">
        <v>97.0</v>
      </c>
      <c r="B2909" s="9" t="s">
        <v>6099</v>
      </c>
      <c r="C2909" s="9" t="s">
        <v>168</v>
      </c>
      <c r="D2909" s="9" t="s">
        <v>84</v>
      </c>
      <c r="E2909" s="6" t="s">
        <v>3663</v>
      </c>
      <c r="F2909" s="9" t="s">
        <v>7123</v>
      </c>
    </row>
    <row r="2910" ht="33.75" customHeight="1">
      <c r="A2910" s="7">
        <v>97.0</v>
      </c>
      <c r="B2910" s="9" t="s">
        <v>6099</v>
      </c>
      <c r="C2910" s="9" t="s">
        <v>168</v>
      </c>
      <c r="D2910" s="9" t="s">
        <v>87</v>
      </c>
      <c r="E2910" s="6" t="s">
        <v>3663</v>
      </c>
      <c r="F2910" s="9" t="s">
        <v>7123</v>
      </c>
    </row>
    <row r="2911" ht="33.75" customHeight="1">
      <c r="A2911" s="7">
        <v>97.0</v>
      </c>
      <c r="B2911" s="9" t="s">
        <v>6099</v>
      </c>
      <c r="C2911" s="9" t="s">
        <v>168</v>
      </c>
      <c r="D2911" s="9" t="s">
        <v>89</v>
      </c>
      <c r="E2911" s="6" t="s">
        <v>3656</v>
      </c>
      <c r="F2911" s="9" t="s">
        <v>7123</v>
      </c>
    </row>
    <row r="2912" ht="33.75" customHeight="1">
      <c r="A2912" s="7">
        <v>97.0</v>
      </c>
      <c r="B2912" s="9" t="s">
        <v>6099</v>
      </c>
      <c r="C2912" s="9" t="s">
        <v>168</v>
      </c>
      <c r="D2912" s="9" t="s">
        <v>91</v>
      </c>
      <c r="E2912" s="6" t="s">
        <v>3665</v>
      </c>
      <c r="F2912" s="9" t="s">
        <v>7123</v>
      </c>
    </row>
    <row r="2913" ht="33.75" customHeight="1">
      <c r="A2913" s="7">
        <v>97.0</v>
      </c>
      <c r="B2913" s="9" t="s">
        <v>6099</v>
      </c>
      <c r="C2913" s="9" t="s">
        <v>168</v>
      </c>
      <c r="D2913" s="9" t="s">
        <v>93</v>
      </c>
      <c r="E2913" s="6" t="s">
        <v>3663</v>
      </c>
      <c r="F2913" s="9" t="s">
        <v>7123</v>
      </c>
    </row>
    <row r="2914" ht="33.75" customHeight="1">
      <c r="A2914" s="7">
        <v>97.0</v>
      </c>
      <c r="B2914" s="9" t="s">
        <v>6099</v>
      </c>
      <c r="C2914" s="9" t="s">
        <v>168</v>
      </c>
      <c r="D2914" s="9" t="s">
        <v>95</v>
      </c>
      <c r="E2914" s="6" t="s">
        <v>3663</v>
      </c>
      <c r="F2914" s="9" t="s">
        <v>7123</v>
      </c>
    </row>
    <row r="2915" ht="33.75" customHeight="1">
      <c r="A2915" s="7">
        <v>97.0</v>
      </c>
      <c r="B2915" s="9" t="s">
        <v>6099</v>
      </c>
      <c r="C2915" s="9" t="s">
        <v>168</v>
      </c>
      <c r="D2915" s="9" t="s">
        <v>98</v>
      </c>
      <c r="E2915" s="6" t="s">
        <v>3663</v>
      </c>
      <c r="F2915" s="9" t="s">
        <v>7123</v>
      </c>
    </row>
    <row r="2916" ht="33.75" customHeight="1">
      <c r="A2916" s="7">
        <v>97.0</v>
      </c>
      <c r="B2916" s="9" t="s">
        <v>6099</v>
      </c>
      <c r="C2916" s="9" t="s">
        <v>168</v>
      </c>
      <c r="D2916" s="9" t="s">
        <v>99</v>
      </c>
      <c r="E2916" s="6" t="s">
        <v>3663</v>
      </c>
      <c r="F2916" s="9" t="s">
        <v>7123</v>
      </c>
    </row>
    <row r="2917" ht="33.75" customHeight="1">
      <c r="A2917" s="7">
        <v>97.0</v>
      </c>
      <c r="B2917" s="9" t="s">
        <v>6099</v>
      </c>
      <c r="C2917" s="9" t="s">
        <v>168</v>
      </c>
      <c r="D2917" s="9" t="s">
        <v>101</v>
      </c>
      <c r="E2917" s="6" t="s">
        <v>3662</v>
      </c>
      <c r="F2917" s="9" t="s">
        <v>7123</v>
      </c>
    </row>
    <row r="2918" ht="33.75" customHeight="1">
      <c r="A2918" s="7">
        <v>97.0</v>
      </c>
      <c r="B2918" s="9" t="s">
        <v>6099</v>
      </c>
      <c r="C2918" s="9" t="s">
        <v>168</v>
      </c>
      <c r="D2918" s="9" t="s">
        <v>105</v>
      </c>
      <c r="E2918" s="6" t="s">
        <v>3663</v>
      </c>
      <c r="F2918" s="9" t="s">
        <v>7123</v>
      </c>
    </row>
    <row r="2919" ht="33.75" customHeight="1">
      <c r="A2919" s="7">
        <v>97.0</v>
      </c>
      <c r="B2919" s="9" t="s">
        <v>6099</v>
      </c>
      <c r="C2919" s="9" t="s">
        <v>168</v>
      </c>
      <c r="D2919" s="9" t="s">
        <v>107</v>
      </c>
      <c r="E2919" s="6" t="s">
        <v>3666</v>
      </c>
      <c r="F2919" s="9" t="s">
        <v>7123</v>
      </c>
    </row>
    <row r="2920" ht="33.75" customHeight="1">
      <c r="A2920" s="7">
        <v>97.0</v>
      </c>
      <c r="B2920" s="9" t="s">
        <v>6099</v>
      </c>
      <c r="C2920" s="9" t="s">
        <v>168</v>
      </c>
      <c r="D2920" s="9" t="s">
        <v>109</v>
      </c>
      <c r="E2920" s="6" t="s">
        <v>3666</v>
      </c>
      <c r="F2920" s="9" t="s">
        <v>7123</v>
      </c>
    </row>
    <row r="2921" ht="33.75" customHeight="1">
      <c r="A2921" s="7">
        <v>97.0</v>
      </c>
      <c r="B2921" s="9" t="s">
        <v>6099</v>
      </c>
      <c r="C2921" s="9" t="s">
        <v>168</v>
      </c>
      <c r="D2921" s="9" t="s">
        <v>637</v>
      </c>
      <c r="E2921" s="6" t="s">
        <v>3669</v>
      </c>
      <c r="F2921" s="9" t="s">
        <v>7123</v>
      </c>
    </row>
    <row r="2922" ht="33.75" customHeight="1">
      <c r="A2922" s="7">
        <v>97.0</v>
      </c>
      <c r="B2922" s="9" t="s">
        <v>6099</v>
      </c>
      <c r="C2922" s="9" t="s">
        <v>168</v>
      </c>
      <c r="D2922" s="9" t="s">
        <v>642</v>
      </c>
      <c r="E2922" s="6" t="s">
        <v>3671</v>
      </c>
      <c r="F2922" s="9" t="s">
        <v>7123</v>
      </c>
    </row>
    <row r="2923" ht="33.75" customHeight="1">
      <c r="A2923" s="7">
        <v>97.0</v>
      </c>
      <c r="B2923" s="9" t="s">
        <v>6099</v>
      </c>
      <c r="C2923" s="9" t="s">
        <v>168</v>
      </c>
      <c r="D2923" s="9" t="s">
        <v>647</v>
      </c>
      <c r="E2923" s="6" t="s">
        <v>3672</v>
      </c>
      <c r="F2923" s="9" t="s">
        <v>7123</v>
      </c>
    </row>
    <row r="2924" ht="33.75" customHeight="1">
      <c r="A2924" s="7">
        <v>97.0</v>
      </c>
      <c r="B2924" s="9" t="s">
        <v>6099</v>
      </c>
      <c r="C2924" s="9" t="s">
        <v>168</v>
      </c>
      <c r="D2924" s="9" t="s">
        <v>652</v>
      </c>
      <c r="E2924" s="6" t="s">
        <v>3674</v>
      </c>
      <c r="F2924" s="9" t="s">
        <v>7123</v>
      </c>
    </row>
    <row r="2925" ht="33.75" customHeight="1">
      <c r="A2925" s="7">
        <v>97.0</v>
      </c>
      <c r="B2925" s="9" t="s">
        <v>6099</v>
      </c>
      <c r="C2925" s="9" t="s">
        <v>168</v>
      </c>
      <c r="D2925" s="9" t="s">
        <v>111</v>
      </c>
      <c r="E2925" s="6" t="s">
        <v>3654</v>
      </c>
      <c r="F2925" s="9" t="s">
        <v>7123</v>
      </c>
    </row>
    <row r="2926" ht="33.75" customHeight="1">
      <c r="A2926" s="7">
        <v>97.0</v>
      </c>
      <c r="B2926" s="9" t="s">
        <v>6099</v>
      </c>
      <c r="C2926" s="9" t="s">
        <v>168</v>
      </c>
      <c r="D2926" s="9" t="s">
        <v>113</v>
      </c>
      <c r="E2926" s="6" t="s">
        <v>3654</v>
      </c>
      <c r="F2926" s="9" t="s">
        <v>7123</v>
      </c>
    </row>
    <row r="2927" ht="33.75" customHeight="1">
      <c r="A2927" s="7">
        <v>98.0</v>
      </c>
      <c r="B2927" s="9" t="s">
        <v>6168</v>
      </c>
      <c r="C2927" s="9" t="s">
        <v>169</v>
      </c>
      <c r="D2927" s="9" t="s">
        <v>24</v>
      </c>
      <c r="E2927" s="6" t="s">
        <v>3676</v>
      </c>
      <c r="F2927" s="9" t="s">
        <v>7220</v>
      </c>
      <c r="G2927" t="inlineStr" s="6">
        <is>
          <t xml:space="preserve">Krabby's pincers are not only powerful weapons, they are used for balance when walking sideways. Its pincers are superb weapons. They sometimes break off during battle, but they grow back fast. If it senses danger approaching, it cloaks itself with bubbles from its mouth so it will look bigger. The pincers break off easily. If it loses a pincer, it somehow becomes incapable of walk ing sideways. If it is unable to find food, it will absorb nutrients by swallowing a mouthful of sand. KRABBY live on beaches, burrowed inside holes dug into the sand. On sandy beaches with little in the way of food, these POKéMON can be seen squabbling with each other over territory. KRABBY live in holes dug into beaches. On sandy shores with little in the way of food, they can be seen squabbling with each other over territory. It can be found near the sea. The large pincers grow back if they are torn out of their sockets. It lives in burrows dug on sandy beaches. Its pincers fully grow back if they are broken in battle. If it loses a pincer, it somehow becomes incapable of walking sideways.</t>
        </is>
      </c>
    </row>
    <row r="2928" ht="33.75" customHeight="1">
      <c r="A2928" s="7">
        <v>98.0</v>
      </c>
      <c r="B2928" s="9" t="s">
        <v>6168</v>
      </c>
      <c r="C2928" s="9" t="s">
        <v>169</v>
      </c>
      <c r="D2928" s="9" t="s">
        <v>35</v>
      </c>
      <c r="E2928" s="6" t="s">
        <v>3676</v>
      </c>
      <c r="F2928" s="9" t="s">
        <v>7220</v>
      </c>
    </row>
    <row r="2929" ht="33.75" customHeight="1">
      <c r="A2929" s="7">
        <v>98.0</v>
      </c>
      <c r="B2929" s="9" t="s">
        <v>6168</v>
      </c>
      <c r="C2929" s="9" t="s">
        <v>169</v>
      </c>
      <c r="D2929" s="9" t="s">
        <v>42</v>
      </c>
      <c r="E2929" s="6" t="s">
        <v>3677</v>
      </c>
      <c r="F2929" s="9" t="s">
        <v>7220</v>
      </c>
    </row>
    <row r="2930" ht="33.75" customHeight="1">
      <c r="A2930" s="7">
        <v>98.0</v>
      </c>
      <c r="B2930" s="9" t="s">
        <v>6168</v>
      </c>
      <c r="C2930" s="9" t="s">
        <v>169</v>
      </c>
      <c r="D2930" s="9" t="s">
        <v>52</v>
      </c>
      <c r="E2930" s="6" t="s">
        <v>3679</v>
      </c>
      <c r="F2930" s="9" t="s">
        <v>7220</v>
      </c>
    </row>
    <row r="2931" ht="33.75" customHeight="1">
      <c r="A2931" s="7">
        <v>98.0</v>
      </c>
      <c r="B2931" s="9" t="s">
        <v>6168</v>
      </c>
      <c r="C2931" s="9" t="s">
        <v>169</v>
      </c>
      <c r="D2931" s="9" t="s">
        <v>59</v>
      </c>
      <c r="E2931" s="6" t="s">
        <v>3680</v>
      </c>
      <c r="F2931" s="9" t="s">
        <v>7220</v>
      </c>
    </row>
    <row r="2932" ht="33.75" customHeight="1">
      <c r="A2932" s="7">
        <v>98.0</v>
      </c>
      <c r="B2932" s="9" t="s">
        <v>6168</v>
      </c>
      <c r="C2932" s="9" t="s">
        <v>169</v>
      </c>
      <c r="D2932" s="9" t="s">
        <v>64</v>
      </c>
      <c r="E2932" s="6" t="s">
        <v>3682</v>
      </c>
      <c r="F2932" s="9" t="s">
        <v>7220</v>
      </c>
    </row>
    <row r="2933" ht="33.75" customHeight="1">
      <c r="A2933" s="7">
        <v>98.0</v>
      </c>
      <c r="B2933" s="9" t="s">
        <v>6168</v>
      </c>
      <c r="C2933" s="9" t="s">
        <v>169</v>
      </c>
      <c r="D2933" s="9" t="s">
        <v>67</v>
      </c>
      <c r="E2933" s="6" t="s">
        <v>3684</v>
      </c>
      <c r="F2933" s="9" t="s">
        <v>7220</v>
      </c>
    </row>
    <row r="2934" ht="33.75" customHeight="1">
      <c r="A2934" s="7">
        <v>98.0</v>
      </c>
      <c r="B2934" s="9" t="s">
        <v>6168</v>
      </c>
      <c r="C2934" s="9" t="s">
        <v>169</v>
      </c>
      <c r="D2934" s="9" t="s">
        <v>71</v>
      </c>
      <c r="E2934" s="6" t="s">
        <v>3684</v>
      </c>
      <c r="F2934" s="9" t="s">
        <v>7220</v>
      </c>
    </row>
    <row r="2935" ht="33.75" customHeight="1">
      <c r="A2935" s="7">
        <v>98.0</v>
      </c>
      <c r="B2935" s="9" t="s">
        <v>6168</v>
      </c>
      <c r="C2935" s="9" t="s">
        <v>169</v>
      </c>
      <c r="D2935" s="9" t="s">
        <v>73</v>
      </c>
      <c r="E2935" s="6" t="s">
        <v>3685</v>
      </c>
      <c r="F2935" s="9" t="s">
        <v>7220</v>
      </c>
    </row>
    <row r="2936" ht="33.75" customHeight="1">
      <c r="A2936" s="7">
        <v>98.0</v>
      </c>
      <c r="B2936" s="9" t="s">
        <v>6168</v>
      </c>
      <c r="C2936" s="9" t="s">
        <v>169</v>
      </c>
      <c r="D2936" s="9" t="s">
        <v>75</v>
      </c>
      <c r="E2936" s="6" t="s">
        <v>3686</v>
      </c>
      <c r="F2936" s="9" t="s">
        <v>7220</v>
      </c>
    </row>
    <row r="2937" ht="33.75" customHeight="1">
      <c r="A2937" s="7">
        <v>98.0</v>
      </c>
      <c r="B2937" s="9" t="s">
        <v>6168</v>
      </c>
      <c r="C2937" s="9" t="s">
        <v>169</v>
      </c>
      <c r="D2937" s="9" t="s">
        <v>79</v>
      </c>
      <c r="E2937" s="6" t="s">
        <v>3676</v>
      </c>
      <c r="F2937" s="9" t="s">
        <v>7220</v>
      </c>
    </row>
    <row r="2938" ht="33.75" customHeight="1">
      <c r="A2938" s="7">
        <v>98.0</v>
      </c>
      <c r="B2938" s="9" t="s">
        <v>6168</v>
      </c>
      <c r="C2938" s="9" t="s">
        <v>169</v>
      </c>
      <c r="D2938" s="9" t="s">
        <v>81</v>
      </c>
      <c r="E2938" s="6" t="s">
        <v>3687</v>
      </c>
      <c r="F2938" s="9" t="s">
        <v>7220</v>
      </c>
    </row>
    <row r="2939" ht="33.75" customHeight="1">
      <c r="A2939" s="7">
        <v>98.0</v>
      </c>
      <c r="B2939" s="9" t="s">
        <v>6168</v>
      </c>
      <c r="C2939" s="9" t="s">
        <v>169</v>
      </c>
      <c r="D2939" s="9" t="s">
        <v>84</v>
      </c>
      <c r="E2939" s="6" t="s">
        <v>3687</v>
      </c>
      <c r="F2939" s="9" t="s">
        <v>7220</v>
      </c>
    </row>
    <row r="2940" ht="33.75" customHeight="1">
      <c r="A2940" s="7">
        <v>98.0</v>
      </c>
      <c r="B2940" s="9" t="s">
        <v>6168</v>
      </c>
      <c r="C2940" s="9" t="s">
        <v>169</v>
      </c>
      <c r="D2940" s="9" t="s">
        <v>87</v>
      </c>
      <c r="E2940" s="6" t="s">
        <v>3687</v>
      </c>
      <c r="F2940" s="9" t="s">
        <v>7220</v>
      </c>
    </row>
    <row r="2941" ht="33.75" customHeight="1">
      <c r="A2941" s="7">
        <v>98.0</v>
      </c>
      <c r="B2941" s="9" t="s">
        <v>6168</v>
      </c>
      <c r="C2941" s="9" t="s">
        <v>169</v>
      </c>
      <c r="D2941" s="9" t="s">
        <v>89</v>
      </c>
      <c r="E2941" s="6" t="s">
        <v>3689</v>
      </c>
      <c r="F2941" s="9" t="s">
        <v>7220</v>
      </c>
    </row>
    <row r="2942" ht="33.75" customHeight="1">
      <c r="A2942" s="7">
        <v>98.0</v>
      </c>
      <c r="B2942" s="9" t="s">
        <v>6168</v>
      </c>
      <c r="C2942" s="9" t="s">
        <v>169</v>
      </c>
      <c r="D2942" s="9" t="s">
        <v>91</v>
      </c>
      <c r="E2942" s="6" t="s">
        <v>3690</v>
      </c>
      <c r="F2942" s="9" t="s">
        <v>7220</v>
      </c>
    </row>
    <row r="2943" ht="33.75" customHeight="1">
      <c r="A2943" s="7">
        <v>98.0</v>
      </c>
      <c r="B2943" s="9" t="s">
        <v>6168</v>
      </c>
      <c r="C2943" s="9" t="s">
        <v>169</v>
      </c>
      <c r="D2943" s="9" t="s">
        <v>93</v>
      </c>
      <c r="E2943" s="6" t="s">
        <v>3687</v>
      </c>
      <c r="F2943" s="9" t="s">
        <v>7220</v>
      </c>
    </row>
    <row r="2944" ht="33.75" customHeight="1">
      <c r="A2944" s="7">
        <v>98.0</v>
      </c>
      <c r="B2944" s="9" t="s">
        <v>6168</v>
      </c>
      <c r="C2944" s="9" t="s">
        <v>169</v>
      </c>
      <c r="D2944" s="9" t="s">
        <v>95</v>
      </c>
      <c r="E2944" s="6" t="s">
        <v>3687</v>
      </c>
      <c r="F2944" s="9" t="s">
        <v>7220</v>
      </c>
    </row>
    <row r="2945" ht="33.75" customHeight="1">
      <c r="A2945" s="7">
        <v>98.0</v>
      </c>
      <c r="B2945" s="9" t="s">
        <v>6168</v>
      </c>
      <c r="C2945" s="9" t="s">
        <v>169</v>
      </c>
      <c r="D2945" s="9" t="s">
        <v>98</v>
      </c>
      <c r="E2945" s="6" t="s">
        <v>3687</v>
      </c>
      <c r="F2945" s="9" t="s">
        <v>7220</v>
      </c>
    </row>
    <row r="2946" ht="33.75" customHeight="1">
      <c r="A2946" s="7">
        <v>98.0</v>
      </c>
      <c r="B2946" s="9" t="s">
        <v>6168</v>
      </c>
      <c r="C2946" s="9" t="s">
        <v>169</v>
      </c>
      <c r="D2946" s="9" t="s">
        <v>99</v>
      </c>
      <c r="E2946" s="6" t="s">
        <v>3687</v>
      </c>
      <c r="F2946" s="9" t="s">
        <v>7220</v>
      </c>
    </row>
    <row r="2947" ht="33.75" customHeight="1">
      <c r="A2947" s="7">
        <v>98.0</v>
      </c>
      <c r="B2947" s="9" t="s">
        <v>6168</v>
      </c>
      <c r="C2947" s="9" t="s">
        <v>169</v>
      </c>
      <c r="D2947" s="9" t="s">
        <v>101</v>
      </c>
      <c r="E2947" s="6" t="s">
        <v>3689</v>
      </c>
      <c r="F2947" s="9" t="s">
        <v>7220</v>
      </c>
    </row>
    <row r="2948" ht="33.75" customHeight="1">
      <c r="A2948" s="7">
        <v>98.0</v>
      </c>
      <c r="B2948" s="9" t="s">
        <v>6168</v>
      </c>
      <c r="C2948" s="9" t="s">
        <v>169</v>
      </c>
      <c r="D2948" s="9" t="s">
        <v>105</v>
      </c>
      <c r="E2948" s="6" t="s">
        <v>3686</v>
      </c>
      <c r="F2948" s="9" t="s">
        <v>7220</v>
      </c>
    </row>
    <row r="2949" ht="33.75" customHeight="1">
      <c r="A2949" s="7">
        <v>98.0</v>
      </c>
      <c r="B2949" s="9" t="s">
        <v>6168</v>
      </c>
      <c r="C2949" s="9" t="s">
        <v>169</v>
      </c>
      <c r="D2949" s="9" t="s">
        <v>107</v>
      </c>
      <c r="E2949" s="6" t="s">
        <v>3692</v>
      </c>
      <c r="F2949" s="9" t="s">
        <v>7220</v>
      </c>
    </row>
    <row r="2950" ht="33.75" customHeight="1">
      <c r="A2950" s="7">
        <v>98.0</v>
      </c>
      <c r="B2950" s="9" t="s">
        <v>6168</v>
      </c>
      <c r="C2950" s="9" t="s">
        <v>169</v>
      </c>
      <c r="D2950" s="9" t="s">
        <v>109</v>
      </c>
      <c r="E2950" s="6" t="s">
        <v>3692</v>
      </c>
      <c r="F2950" s="9" t="s">
        <v>7220</v>
      </c>
    </row>
    <row r="2951" ht="33.75" customHeight="1">
      <c r="A2951" s="7">
        <v>98.0</v>
      </c>
      <c r="B2951" s="9" t="s">
        <v>6168</v>
      </c>
      <c r="C2951" s="9" t="s">
        <v>169</v>
      </c>
      <c r="D2951" s="9" t="s">
        <v>111</v>
      </c>
      <c r="E2951" s="6" t="s">
        <v>3677</v>
      </c>
      <c r="F2951" s="9" t="s">
        <v>7220</v>
      </c>
    </row>
    <row r="2952" ht="33.75" customHeight="1">
      <c r="A2952" s="7">
        <v>98.0</v>
      </c>
      <c r="B2952" s="9" t="s">
        <v>6168</v>
      </c>
      <c r="C2952" s="9" t="s">
        <v>169</v>
      </c>
      <c r="D2952" s="9" t="s">
        <v>113</v>
      </c>
      <c r="E2952" s="6" t="s">
        <v>3677</v>
      </c>
      <c r="F2952" s="9" t="s">
        <v>7220</v>
      </c>
    </row>
    <row r="2953" ht="33.75" customHeight="1">
      <c r="A2953" s="7">
        <v>98.0</v>
      </c>
      <c r="B2953" s="9" t="s">
        <v>6168</v>
      </c>
      <c r="C2953" s="9" t="s">
        <v>169</v>
      </c>
      <c r="D2953" s="9" t="s">
        <v>114</v>
      </c>
      <c r="E2953" s="6" t="s">
        <v>3686</v>
      </c>
      <c r="F2953" s="9" t="s">
        <v>7220</v>
      </c>
    </row>
    <row r="2954" ht="33.75" customHeight="1">
      <c r="A2954" s="7">
        <v>98.0</v>
      </c>
      <c r="B2954" s="9" t="s">
        <v>6168</v>
      </c>
      <c r="C2954" s="9" t="s">
        <v>169</v>
      </c>
      <c r="D2954" s="9" t="s">
        <v>117</v>
      </c>
      <c r="E2954" s="6" t="s">
        <v>3689</v>
      </c>
      <c r="F2954" s="9" t="s">
        <v>7220</v>
      </c>
    </row>
    <row r="2955" ht="33.75" customHeight="1">
      <c r="A2955" s="7">
        <v>99.0</v>
      </c>
      <c r="B2955" s="9" t="s">
        <v>6233</v>
      </c>
      <c r="C2955" s="9" t="s">
        <v>171</v>
      </c>
      <c r="D2955" s="9" t="s">
        <v>24</v>
      </c>
      <c r="E2955" s="6" t="s">
        <v>3693</v>
      </c>
      <c r="F2955" s="9" t="s">
        <v>7309</v>
      </c>
      <c r="G2955" t="inlineStr" s="6">
        <is>
          <t xml:space="preserve">The large pincer has 10000 hp of crushing power. However, its huge size makes it unwieldy to use. One claw grew massively and as hard as steel. It has 10,000-HP strength. However, it is too heavy. It can hardly lift its massive, overgrown pincer. The pincer's size makes it difficult to aim properly. Its pincers grow peculiarly large. If it lifts the pincers too fast, it loses its balance and staggers. Its oversized claw is very powerful, but when it's not in battle, the claw just gets in the way. KINGLER has an enormous, oversized claw. It waves this huge claw in the air to communicate with others. However, because the claw is so heavy, the POKéMON quickly tires. It waves its huge, oversized claw in the air to communicate with others. But since the claw is so heavy, this POKéMON quickly tires. Its large and hard pincer has 10,000- horsepower strength. However, being so big, it is unwieldy to move. The large pincer has 10,000-horsepower crushing force. The larger pincer has 10,000- horsepower strength. However, it is so heavy, it is difficult to aim. Its large and hard pincer has 10,000-horsepower strength. One claw grew massively and is as hard as steel. It has 10,000-horsepower strength.</t>
        </is>
      </c>
    </row>
    <row r="2956" ht="33.75" customHeight="1">
      <c r="A2956" s="7">
        <v>99.0</v>
      </c>
      <c r="B2956" s="9" t="s">
        <v>6233</v>
      </c>
      <c r="C2956" s="9" t="s">
        <v>171</v>
      </c>
      <c r="D2956" s="9" t="s">
        <v>35</v>
      </c>
      <c r="E2956" s="6" t="s">
        <v>3693</v>
      </c>
      <c r="F2956" s="9" t="s">
        <v>7309</v>
      </c>
    </row>
    <row r="2957" ht="33.75" customHeight="1">
      <c r="A2957" s="7">
        <v>99.0</v>
      </c>
      <c r="B2957" s="9" t="s">
        <v>6233</v>
      </c>
      <c r="C2957" s="9" t="s">
        <v>171</v>
      </c>
      <c r="D2957" s="9" t="s">
        <v>42</v>
      </c>
      <c r="E2957" s="6" t="s">
        <v>3695</v>
      </c>
      <c r="F2957" s="9" t="s">
        <v>7309</v>
      </c>
    </row>
    <row r="2958" ht="33.75" customHeight="1">
      <c r="A2958" s="7">
        <v>99.0</v>
      </c>
      <c r="B2958" s="9" t="s">
        <v>6233</v>
      </c>
      <c r="C2958" s="9" t="s">
        <v>171</v>
      </c>
      <c r="D2958" s="9" t="s">
        <v>52</v>
      </c>
      <c r="E2958" s="6" t="s">
        <v>3696</v>
      </c>
      <c r="F2958" s="9" t="s">
        <v>7309</v>
      </c>
    </row>
    <row r="2959" ht="33.75" customHeight="1">
      <c r="A2959" s="7">
        <v>99.0</v>
      </c>
      <c r="B2959" s="9" t="s">
        <v>6233</v>
      </c>
      <c r="C2959" s="9" t="s">
        <v>171</v>
      </c>
      <c r="D2959" s="9" t="s">
        <v>59</v>
      </c>
      <c r="E2959" s="6" t="s">
        <v>3698</v>
      </c>
      <c r="F2959" s="9" t="s">
        <v>7309</v>
      </c>
    </row>
    <row r="2960" ht="33.75" customHeight="1">
      <c r="A2960" s="7">
        <v>99.0</v>
      </c>
      <c r="B2960" s="9" t="s">
        <v>6233</v>
      </c>
      <c r="C2960" s="9" t="s">
        <v>171</v>
      </c>
      <c r="D2960" s="9" t="s">
        <v>64</v>
      </c>
      <c r="E2960" s="6" t="s">
        <v>3699</v>
      </c>
      <c r="F2960" s="9" t="s">
        <v>7309</v>
      </c>
    </row>
    <row r="2961" ht="33.75" customHeight="1">
      <c r="A2961" s="7">
        <v>99.0</v>
      </c>
      <c r="B2961" s="9" t="s">
        <v>6233</v>
      </c>
      <c r="C2961" s="9" t="s">
        <v>171</v>
      </c>
      <c r="D2961" s="9" t="s">
        <v>67</v>
      </c>
      <c r="E2961" s="6" t="s">
        <v>3700</v>
      </c>
      <c r="F2961" s="9" t="s">
        <v>7309</v>
      </c>
    </row>
    <row r="2962" ht="33.75" customHeight="1">
      <c r="A2962" s="7">
        <v>99.0</v>
      </c>
      <c r="B2962" s="9" t="s">
        <v>6233</v>
      </c>
      <c r="C2962" s="9" t="s">
        <v>171</v>
      </c>
      <c r="D2962" s="9" t="s">
        <v>71</v>
      </c>
      <c r="E2962" s="6" t="s">
        <v>3700</v>
      </c>
      <c r="F2962" s="9" t="s">
        <v>7309</v>
      </c>
    </row>
    <row r="2963" ht="33.75" customHeight="1">
      <c r="A2963" s="7">
        <v>99.0</v>
      </c>
      <c r="B2963" s="9" t="s">
        <v>6233</v>
      </c>
      <c r="C2963" s="9" t="s">
        <v>171</v>
      </c>
      <c r="D2963" s="9" t="s">
        <v>73</v>
      </c>
      <c r="E2963" s="6" t="s">
        <v>3701</v>
      </c>
      <c r="F2963" s="9" t="s">
        <v>7309</v>
      </c>
    </row>
    <row r="2964" ht="33.75" customHeight="1">
      <c r="A2964" s="7">
        <v>99.0</v>
      </c>
      <c r="B2964" s="9" t="s">
        <v>6233</v>
      </c>
      <c r="C2964" s="9" t="s">
        <v>171</v>
      </c>
      <c r="D2964" s="9" t="s">
        <v>75</v>
      </c>
      <c r="E2964" s="6" t="s">
        <v>3702</v>
      </c>
      <c r="F2964" s="9" t="s">
        <v>7309</v>
      </c>
    </row>
    <row r="2965" ht="33.75" customHeight="1">
      <c r="A2965" s="7">
        <v>99.0</v>
      </c>
      <c r="B2965" s="9" t="s">
        <v>6233</v>
      </c>
      <c r="C2965" s="9" t="s">
        <v>171</v>
      </c>
      <c r="D2965" s="9" t="s">
        <v>79</v>
      </c>
      <c r="E2965" s="6" t="s">
        <v>3703</v>
      </c>
      <c r="F2965" s="9" t="s">
        <v>7309</v>
      </c>
    </row>
    <row r="2966" ht="33.75" customHeight="1">
      <c r="A2966" s="7">
        <v>99.0</v>
      </c>
      <c r="B2966" s="9" t="s">
        <v>6233</v>
      </c>
      <c r="C2966" s="9" t="s">
        <v>171</v>
      </c>
      <c r="D2966" s="9" t="s">
        <v>81</v>
      </c>
      <c r="E2966" s="6" t="s">
        <v>3704</v>
      </c>
      <c r="F2966" s="9" t="s">
        <v>7309</v>
      </c>
    </row>
    <row r="2967" ht="33.75" customHeight="1">
      <c r="A2967" s="7">
        <v>99.0</v>
      </c>
      <c r="B2967" s="9" t="s">
        <v>6233</v>
      </c>
      <c r="C2967" s="9" t="s">
        <v>171</v>
      </c>
      <c r="D2967" s="9" t="s">
        <v>84</v>
      </c>
      <c r="E2967" s="6" t="s">
        <v>3704</v>
      </c>
      <c r="F2967" s="9" t="s">
        <v>7309</v>
      </c>
    </row>
    <row r="2968" ht="33.75" customHeight="1">
      <c r="A2968" s="7">
        <v>99.0</v>
      </c>
      <c r="B2968" s="9" t="s">
        <v>6233</v>
      </c>
      <c r="C2968" s="9" t="s">
        <v>171</v>
      </c>
      <c r="D2968" s="9" t="s">
        <v>87</v>
      </c>
      <c r="E2968" s="6" t="s">
        <v>3704</v>
      </c>
      <c r="F2968" s="9" t="s">
        <v>7309</v>
      </c>
    </row>
    <row r="2969" ht="33.75" customHeight="1">
      <c r="A2969" s="7">
        <v>99.0</v>
      </c>
      <c r="B2969" s="9" t="s">
        <v>6233</v>
      </c>
      <c r="C2969" s="9" t="s">
        <v>171</v>
      </c>
      <c r="D2969" s="9" t="s">
        <v>89</v>
      </c>
      <c r="E2969" s="6" t="s">
        <v>3705</v>
      </c>
      <c r="F2969" s="9" t="s">
        <v>7309</v>
      </c>
    </row>
    <row r="2970" ht="33.75" customHeight="1">
      <c r="A2970" s="7">
        <v>99.0</v>
      </c>
      <c r="B2970" s="9" t="s">
        <v>6233</v>
      </c>
      <c r="C2970" s="9" t="s">
        <v>171</v>
      </c>
      <c r="D2970" s="9" t="s">
        <v>91</v>
      </c>
      <c r="E2970" s="6" t="s">
        <v>3706</v>
      </c>
      <c r="F2970" s="9" t="s">
        <v>7309</v>
      </c>
    </row>
    <row r="2971" ht="33.75" customHeight="1">
      <c r="A2971" s="7">
        <v>99.0</v>
      </c>
      <c r="B2971" s="9" t="s">
        <v>6233</v>
      </c>
      <c r="C2971" s="9" t="s">
        <v>171</v>
      </c>
      <c r="D2971" s="9" t="s">
        <v>93</v>
      </c>
      <c r="E2971" s="6" t="s">
        <v>3704</v>
      </c>
      <c r="F2971" s="9" t="s">
        <v>7309</v>
      </c>
    </row>
    <row r="2972" ht="33.75" customHeight="1">
      <c r="A2972" s="7">
        <v>99.0</v>
      </c>
      <c r="B2972" s="9" t="s">
        <v>6233</v>
      </c>
      <c r="C2972" s="9" t="s">
        <v>171</v>
      </c>
      <c r="D2972" s="9" t="s">
        <v>95</v>
      </c>
      <c r="E2972" s="6" t="s">
        <v>3704</v>
      </c>
      <c r="F2972" s="9" t="s">
        <v>7309</v>
      </c>
    </row>
    <row r="2973" ht="33.75" customHeight="1">
      <c r="A2973" s="7">
        <v>99.0</v>
      </c>
      <c r="B2973" s="9" t="s">
        <v>6233</v>
      </c>
      <c r="C2973" s="9" t="s">
        <v>171</v>
      </c>
      <c r="D2973" s="9" t="s">
        <v>98</v>
      </c>
      <c r="E2973" s="6" t="s">
        <v>3704</v>
      </c>
      <c r="F2973" s="9" t="s">
        <v>7309</v>
      </c>
    </row>
    <row r="2974" ht="33.75" customHeight="1">
      <c r="A2974" s="7">
        <v>99.0</v>
      </c>
      <c r="B2974" s="9" t="s">
        <v>6233</v>
      </c>
      <c r="C2974" s="9" t="s">
        <v>171</v>
      </c>
      <c r="D2974" s="9" t="s">
        <v>99</v>
      </c>
      <c r="E2974" s="6" t="s">
        <v>3704</v>
      </c>
      <c r="F2974" s="9" t="s">
        <v>7309</v>
      </c>
    </row>
    <row r="2975" ht="33.75" customHeight="1">
      <c r="A2975" s="7">
        <v>99.0</v>
      </c>
      <c r="B2975" s="9" t="s">
        <v>6233</v>
      </c>
      <c r="C2975" s="9" t="s">
        <v>171</v>
      </c>
      <c r="D2975" s="9" t="s">
        <v>101</v>
      </c>
      <c r="E2975" s="6" t="s">
        <v>3707</v>
      </c>
      <c r="F2975" s="9" t="s">
        <v>7309</v>
      </c>
    </row>
    <row r="2976" ht="33.75" customHeight="1">
      <c r="A2976" s="7">
        <v>99.0</v>
      </c>
      <c r="B2976" s="9" t="s">
        <v>6233</v>
      </c>
      <c r="C2976" s="9" t="s">
        <v>171</v>
      </c>
      <c r="D2976" s="9" t="s">
        <v>105</v>
      </c>
      <c r="E2976" s="6" t="s">
        <v>3706</v>
      </c>
      <c r="F2976" s="9" t="s">
        <v>7309</v>
      </c>
    </row>
    <row r="2977" ht="33.75" customHeight="1">
      <c r="A2977" s="7">
        <v>99.0</v>
      </c>
      <c r="B2977" s="9" t="s">
        <v>6233</v>
      </c>
      <c r="C2977" s="9" t="s">
        <v>171</v>
      </c>
      <c r="D2977" s="9" t="s">
        <v>107</v>
      </c>
      <c r="E2977" s="6" t="s">
        <v>3709</v>
      </c>
      <c r="F2977" s="9" t="s">
        <v>7309</v>
      </c>
    </row>
    <row r="2978" ht="33.75" customHeight="1">
      <c r="A2978" s="7">
        <v>99.0</v>
      </c>
      <c r="B2978" s="9" t="s">
        <v>6233</v>
      </c>
      <c r="C2978" s="9" t="s">
        <v>171</v>
      </c>
      <c r="D2978" s="9" t="s">
        <v>109</v>
      </c>
      <c r="E2978" s="6" t="s">
        <v>3709</v>
      </c>
      <c r="F2978" s="9" t="s">
        <v>7309</v>
      </c>
    </row>
    <row r="2979" ht="33.75" customHeight="1">
      <c r="A2979" s="7">
        <v>99.0</v>
      </c>
      <c r="B2979" s="9" t="s">
        <v>6233</v>
      </c>
      <c r="C2979" s="9" t="s">
        <v>171</v>
      </c>
      <c r="D2979" s="9" t="s">
        <v>111</v>
      </c>
      <c r="E2979" s="6" t="s">
        <v>3710</v>
      </c>
      <c r="F2979" s="9" t="s">
        <v>7309</v>
      </c>
    </row>
    <row r="2980" ht="33.75" customHeight="1">
      <c r="A2980" s="7">
        <v>99.0</v>
      </c>
      <c r="B2980" s="9" t="s">
        <v>6233</v>
      </c>
      <c r="C2980" s="9" t="s">
        <v>171</v>
      </c>
      <c r="D2980" s="9" t="s">
        <v>113</v>
      </c>
      <c r="E2980" s="6" t="s">
        <v>3710</v>
      </c>
      <c r="F2980" s="9" t="s">
        <v>7309</v>
      </c>
    </row>
    <row r="2981" ht="33.75" customHeight="1">
      <c r="A2981" s="7">
        <v>99.0</v>
      </c>
      <c r="B2981" s="9" t="s">
        <v>6233</v>
      </c>
      <c r="C2981" s="9" t="s">
        <v>171</v>
      </c>
      <c r="D2981" s="9" t="s">
        <v>114</v>
      </c>
      <c r="E2981" s="6" t="s">
        <v>3707</v>
      </c>
      <c r="F2981" s="9" t="s">
        <v>7309</v>
      </c>
    </row>
    <row r="2982" ht="33.75" customHeight="1">
      <c r="A2982" s="7">
        <v>99.0</v>
      </c>
      <c r="B2982" s="9" t="s">
        <v>6233</v>
      </c>
      <c r="C2982" s="9" t="s">
        <v>171</v>
      </c>
      <c r="D2982" s="9" t="s">
        <v>117</v>
      </c>
      <c r="E2982" s="6" t="s">
        <v>3711</v>
      </c>
      <c r="F2982" s="9" t="s">
        <v>7309</v>
      </c>
    </row>
    <row r="2983" ht="33.75" customHeight="1">
      <c r="A2983" s="7">
        <v>100.0</v>
      </c>
      <c r="B2983" s="9" t="s">
        <v>6296</v>
      </c>
      <c r="C2983" s="9" t="s">
        <v>173</v>
      </c>
      <c r="D2983" s="9" t="s">
        <v>24</v>
      </c>
      <c r="E2983" s="6" t="s">
        <v>3712</v>
      </c>
      <c r="F2983" s="9" t="s">
        <v>7375</v>
      </c>
      <c r="G2983" t="inlineStr" s="6">
        <is>
          <t xml:space="preserve">Usually found in power plants. Easily mistaken for a POKé BALL, they have zapped many people. It is said to camouflage itself as a POKé BALL. It will self-destruct with very little stimulus. It rolls to move. If the ground is uneven, a sudden jolt from hitting a bump can cause it to explode. It was discovered when POKé BALLS were introduced. It is said that there is some connection. During the study of this POKéMON, it was discovered that its components are not found in nature. VOLTORB was first sighted at a company that manufactures POKé BALLS. The link between that sighting and the fact that this POKéMON looks very similar to a POKé BALL remains a mystery. VOLTORB is extremely sensitive - it explodes at the slightest of shocks. It is rumored that it was first created when a POKé BALL was exposed to a powerful pulse of energy. It bears an uncanny and unexplained resemblance to a POKé BALL. Because it explodes at the slightest shock, even veteran TRAINERS treat it with caution. A life-form whose identity is unknown. It is said to SCREECH or suddenly SELFDESTRUCT. Easily mistaken for a POKé BALL, it has zapped many people. It looks just like a Poké Ball. It is dangerous because it may electrocute or explode on touch. It is dangerous because it may electrocute or explode on contact. Voltorb is extremely sensitive—it explodes at the slightest of shocks. An enigmatic Pokémon that happens to bear a resemblance to a Poké Ball. When excited, it discharges the electric current it has stored in its belly, then lets out a great, uproarious laugh.</t>
        </is>
      </c>
    </row>
    <row r="2984" ht="33.75" customHeight="1">
      <c r="A2984" s="7">
        <v>100.0</v>
      </c>
      <c r="B2984" s="9" t="s">
        <v>6296</v>
      </c>
      <c r="C2984" s="9" t="s">
        <v>173</v>
      </c>
      <c r="D2984" s="9" t="s">
        <v>35</v>
      </c>
      <c r="E2984" s="6" t="s">
        <v>3712</v>
      </c>
      <c r="F2984" s="9" t="s">
        <v>7375</v>
      </c>
    </row>
    <row r="2985" ht="33.75" customHeight="1">
      <c r="A2985" s="7">
        <v>100.0</v>
      </c>
      <c r="B2985" s="9" t="s">
        <v>6296</v>
      </c>
      <c r="C2985" s="9" t="s">
        <v>173</v>
      </c>
      <c r="D2985" s="9" t="s">
        <v>42</v>
      </c>
      <c r="E2985" s="6" t="s">
        <v>3713</v>
      </c>
      <c r="F2985" s="9" t="s">
        <v>7375</v>
      </c>
    </row>
    <row r="2986" ht="33.75" customHeight="1">
      <c r="A2986" s="7">
        <v>100.0</v>
      </c>
      <c r="B2986" s="9" t="s">
        <v>6296</v>
      </c>
      <c r="C2986" s="9" t="s">
        <v>173</v>
      </c>
      <c r="D2986" s="9" t="s">
        <v>52</v>
      </c>
      <c r="E2986" s="6" t="s">
        <v>3714</v>
      </c>
      <c r="F2986" s="9" t="s">
        <v>7375</v>
      </c>
    </row>
    <row r="2987" ht="33.75" customHeight="1">
      <c r="A2987" s="7">
        <v>100.0</v>
      </c>
      <c r="B2987" s="9" t="s">
        <v>6296</v>
      </c>
      <c r="C2987" s="9" t="s">
        <v>173</v>
      </c>
      <c r="D2987" s="9" t="s">
        <v>59</v>
      </c>
      <c r="E2987" s="6" t="s">
        <v>3715</v>
      </c>
      <c r="F2987" s="9" t="s">
        <v>7375</v>
      </c>
    </row>
    <row r="2988" ht="33.75" customHeight="1">
      <c r="A2988" s="7">
        <v>100.0</v>
      </c>
      <c r="B2988" s="9" t="s">
        <v>6296</v>
      </c>
      <c r="C2988" s="9" t="s">
        <v>173</v>
      </c>
      <c r="D2988" s="9" t="s">
        <v>64</v>
      </c>
      <c r="E2988" s="6" t="s">
        <v>3716</v>
      </c>
      <c r="F2988" s="9" t="s">
        <v>7375</v>
      </c>
    </row>
    <row r="2989" ht="33.75" customHeight="1">
      <c r="A2989" s="7">
        <v>100.0</v>
      </c>
      <c r="B2989" s="9" t="s">
        <v>6296</v>
      </c>
      <c r="C2989" s="9" t="s">
        <v>173</v>
      </c>
      <c r="D2989" s="9" t="s">
        <v>67</v>
      </c>
      <c r="E2989" s="6" t="s">
        <v>3717</v>
      </c>
      <c r="F2989" s="9" t="s">
        <v>7375</v>
      </c>
    </row>
    <row r="2990" ht="33.75" customHeight="1">
      <c r="A2990" s="7">
        <v>100.0</v>
      </c>
      <c r="B2990" s="9" t="s">
        <v>6296</v>
      </c>
      <c r="C2990" s="9" t="s">
        <v>173</v>
      </c>
      <c r="D2990" s="9" t="s">
        <v>71</v>
      </c>
      <c r="E2990" s="6" t="s">
        <v>3719</v>
      </c>
      <c r="F2990" s="9" t="s">
        <v>7375</v>
      </c>
    </row>
    <row r="2991" ht="33.75" customHeight="1">
      <c r="A2991" s="7">
        <v>100.0</v>
      </c>
      <c r="B2991" s="9" t="s">
        <v>6296</v>
      </c>
      <c r="C2991" s="9" t="s">
        <v>173</v>
      </c>
      <c r="D2991" s="9" t="s">
        <v>73</v>
      </c>
      <c r="E2991" s="6" t="s">
        <v>3720</v>
      </c>
      <c r="F2991" s="9" t="s">
        <v>7375</v>
      </c>
    </row>
    <row r="2992" ht="33.75" customHeight="1">
      <c r="A2992" s="7">
        <v>100.0</v>
      </c>
      <c r="B2992" s="9" t="s">
        <v>6296</v>
      </c>
      <c r="C2992" s="9" t="s">
        <v>173</v>
      </c>
      <c r="D2992" s="9" t="s">
        <v>75</v>
      </c>
      <c r="E2992" s="6" t="s">
        <v>3723</v>
      </c>
      <c r="F2992" s="9" t="s">
        <v>7375</v>
      </c>
    </row>
    <row r="2993" ht="33.75" customHeight="1">
      <c r="A2993" s="7">
        <v>100.0</v>
      </c>
      <c r="B2993" s="9" t="s">
        <v>6296</v>
      </c>
      <c r="C2993" s="9" t="s">
        <v>173</v>
      </c>
      <c r="D2993" s="9" t="s">
        <v>79</v>
      </c>
      <c r="E2993" s="6" t="s">
        <v>3725</v>
      </c>
      <c r="F2993" s="9" t="s">
        <v>7375</v>
      </c>
    </row>
    <row r="2994" ht="33.75" customHeight="1">
      <c r="A2994" s="7">
        <v>100.0</v>
      </c>
      <c r="B2994" s="9" t="s">
        <v>6296</v>
      </c>
      <c r="C2994" s="9" t="s">
        <v>173</v>
      </c>
      <c r="D2994" s="9" t="s">
        <v>81</v>
      </c>
      <c r="E2994" s="6" t="s">
        <v>3726</v>
      </c>
      <c r="F2994" s="9" t="s">
        <v>7375</v>
      </c>
    </row>
    <row r="2995" ht="33.75" customHeight="1">
      <c r="A2995" s="7">
        <v>100.0</v>
      </c>
      <c r="B2995" s="9" t="s">
        <v>6296</v>
      </c>
      <c r="C2995" s="9" t="s">
        <v>173</v>
      </c>
      <c r="D2995" s="9" t="s">
        <v>84</v>
      </c>
      <c r="E2995" s="6" t="s">
        <v>3726</v>
      </c>
      <c r="F2995" s="9" t="s">
        <v>7375</v>
      </c>
    </row>
    <row r="2996" ht="33.75" customHeight="1">
      <c r="A2996" s="7">
        <v>100.0</v>
      </c>
      <c r="B2996" s="9" t="s">
        <v>6296</v>
      </c>
      <c r="C2996" s="9" t="s">
        <v>173</v>
      </c>
      <c r="D2996" s="9" t="s">
        <v>87</v>
      </c>
      <c r="E2996" s="6" t="s">
        <v>3726</v>
      </c>
      <c r="F2996" s="9" t="s">
        <v>7375</v>
      </c>
    </row>
    <row r="2997" ht="33.75" customHeight="1">
      <c r="A2997" s="7">
        <v>100.0</v>
      </c>
      <c r="B2997" s="9" t="s">
        <v>6296</v>
      </c>
      <c r="C2997" s="9" t="s">
        <v>173</v>
      </c>
      <c r="D2997" s="9" t="s">
        <v>89</v>
      </c>
      <c r="E2997" s="6" t="s">
        <v>3714</v>
      </c>
      <c r="F2997" s="9" t="s">
        <v>7375</v>
      </c>
    </row>
    <row r="2998" ht="33.75" customHeight="1">
      <c r="A2998" s="7">
        <v>100.0</v>
      </c>
      <c r="B2998" s="9" t="s">
        <v>6296</v>
      </c>
      <c r="C2998" s="9" t="s">
        <v>173</v>
      </c>
      <c r="D2998" s="9" t="s">
        <v>91</v>
      </c>
      <c r="E2998" s="6" t="s">
        <v>3728</v>
      </c>
      <c r="F2998" s="9" t="s">
        <v>7375</v>
      </c>
    </row>
    <row r="2999" ht="33.75" customHeight="1">
      <c r="A2999" s="7">
        <v>100.0</v>
      </c>
      <c r="B2999" s="9" t="s">
        <v>6296</v>
      </c>
      <c r="C2999" s="9" t="s">
        <v>173</v>
      </c>
      <c r="D2999" s="9" t="s">
        <v>93</v>
      </c>
      <c r="E2999" s="6" t="s">
        <v>3726</v>
      </c>
      <c r="F2999" s="9" t="s">
        <v>7375</v>
      </c>
    </row>
    <row r="3000" ht="33.75" customHeight="1">
      <c r="A3000" s="7">
        <v>100.0</v>
      </c>
      <c r="B3000" s="9" t="s">
        <v>6296</v>
      </c>
      <c r="C3000" s="9" t="s">
        <v>173</v>
      </c>
      <c r="D3000" s="9" t="s">
        <v>95</v>
      </c>
      <c r="E3000" s="6" t="s">
        <v>3726</v>
      </c>
      <c r="F3000" s="9" t="s">
        <v>7375</v>
      </c>
    </row>
    <row r="3001" ht="33.75" customHeight="1">
      <c r="A3001" s="7">
        <v>100.0</v>
      </c>
      <c r="B3001" s="9" t="s">
        <v>6296</v>
      </c>
      <c r="C3001" s="9" t="s">
        <v>173</v>
      </c>
      <c r="D3001" s="9" t="s">
        <v>98</v>
      </c>
      <c r="E3001" s="6" t="s">
        <v>3729</v>
      </c>
      <c r="F3001" s="9" t="s">
        <v>7375</v>
      </c>
    </row>
    <row r="3002" ht="33.75" customHeight="1">
      <c r="A3002" s="7">
        <v>100.0</v>
      </c>
      <c r="B3002" s="9" t="s">
        <v>6296</v>
      </c>
      <c r="C3002" s="9" t="s">
        <v>173</v>
      </c>
      <c r="D3002" s="9" t="s">
        <v>99</v>
      </c>
      <c r="E3002" s="6" t="s">
        <v>3729</v>
      </c>
      <c r="F3002" s="9" t="s">
        <v>7375</v>
      </c>
    </row>
    <row r="3003" ht="33.75" customHeight="1">
      <c r="A3003" s="7">
        <v>100.0</v>
      </c>
      <c r="B3003" s="9" t="s">
        <v>6296</v>
      </c>
      <c r="C3003" s="9" t="s">
        <v>173</v>
      </c>
      <c r="D3003" s="9" t="s">
        <v>101</v>
      </c>
      <c r="E3003" s="6" t="s">
        <v>3728</v>
      </c>
      <c r="F3003" s="9" t="s">
        <v>7375</v>
      </c>
    </row>
    <row r="3004" ht="33.75" customHeight="1">
      <c r="A3004" s="7">
        <v>100.0</v>
      </c>
      <c r="B3004" s="9" t="s">
        <v>6296</v>
      </c>
      <c r="C3004" s="9" t="s">
        <v>173</v>
      </c>
      <c r="D3004" s="9" t="s">
        <v>105</v>
      </c>
      <c r="E3004" s="6" t="s">
        <v>3730</v>
      </c>
      <c r="F3004" s="9" t="s">
        <v>7375</v>
      </c>
    </row>
    <row r="3005" ht="33.75" customHeight="1">
      <c r="A3005" s="7">
        <v>100.0</v>
      </c>
      <c r="B3005" s="9" t="s">
        <v>6296</v>
      </c>
      <c r="C3005" s="9" t="s">
        <v>173</v>
      </c>
      <c r="D3005" s="9" t="s">
        <v>107</v>
      </c>
      <c r="E3005" s="6" t="s">
        <v>3731</v>
      </c>
      <c r="F3005" s="9" t="s">
        <v>7375</v>
      </c>
    </row>
    <row r="3006" ht="33.75" customHeight="1">
      <c r="A3006" s="7">
        <v>100.0</v>
      </c>
      <c r="B3006" s="9" t="s">
        <v>6296</v>
      </c>
      <c r="C3006" s="9" t="s">
        <v>173</v>
      </c>
      <c r="D3006" s="9" t="s">
        <v>109</v>
      </c>
      <c r="E3006" s="6" t="s">
        <v>3733</v>
      </c>
      <c r="F3006" s="9" t="s">
        <v>7375</v>
      </c>
    </row>
    <row r="3007" ht="33.75" customHeight="1">
      <c r="A3007" s="7">
        <v>100.0</v>
      </c>
      <c r="B3007" s="9" t="s">
        <v>6296</v>
      </c>
      <c r="C3007" s="9" t="s">
        <v>173</v>
      </c>
      <c r="D3007" s="9" t="s">
        <v>111</v>
      </c>
      <c r="E3007" s="6" t="s">
        <v>3736</v>
      </c>
      <c r="F3007" s="9" t="s">
        <v>7375</v>
      </c>
    </row>
    <row r="3008" ht="33.75" customHeight="1">
      <c r="A3008" s="7">
        <v>100.0</v>
      </c>
      <c r="B3008" s="9" t="s">
        <v>6296</v>
      </c>
      <c r="C3008" s="9" t="s">
        <v>173</v>
      </c>
      <c r="D3008" s="9" t="s">
        <v>113</v>
      </c>
      <c r="E3008" s="6" t="s">
        <v>3736</v>
      </c>
      <c r="F3008" s="9" t="s">
        <v>7375</v>
      </c>
    </row>
    <row r="3009" ht="33.75" customHeight="1">
      <c r="A3009" s="7">
        <v>100.0</v>
      </c>
      <c r="B3009" s="9" t="s">
        <v>6296</v>
      </c>
      <c r="C3009" s="9" t="s">
        <v>173</v>
      </c>
      <c r="D3009" s="9" t="s">
        <v>1577</v>
      </c>
      <c r="E3009" s="6" t="s">
        <v>3738</v>
      </c>
      <c r="F3009" s="9" t="s">
        <v>7375</v>
      </c>
    </row>
    <row r="3010" ht="33.75" customHeight="1">
      <c r="A3010" s="7">
        <v>101.0</v>
      </c>
      <c r="B3010" s="9" t="s">
        <v>6361</v>
      </c>
      <c r="C3010" s="9" t="s">
        <v>173</v>
      </c>
      <c r="D3010" s="9" t="s">
        <v>24</v>
      </c>
      <c r="E3010" s="6" t="s">
        <v>3740</v>
      </c>
      <c r="F3010" s="9" t="s">
        <v>7430</v>
      </c>
      <c r="G3010" t="inlineStr" s="6">
        <is>
          <t xml:space="preserve">It stores electric energy under very high pressure. It often explodes with little or no provocation. Stores electrical energy inside its body. Even the slightest shock could trigger a huge explosion. It is dangerous. If it has too much electricity and has nothing to do, it amuses itself by exploding. It stores an over flowing amount of electric energy inside its body. Even a small shock makes it explode. The more energy it charges up, the faster it gets. But this also makes it more likely to explode. ELECTRODE eats electricity in the atmosphere. On days when lightning strikes, you can see this POKéMON exploding all over the place from eating too much electricity. One of ELECTRODE’s characteristics is its attraction to electricity. It is a problematical POKéMON that congregates mostly at electrical power plants to feed on electricity that has just been generated. They appear in great numbers at electric power plants. Because they feed on electricity, they cause massive and chaotic blackouts in nearby cities. It explodes in response to even minor stimuli. It is feared, with the nickname of “The Bomb Ball. It is known to drift on winds if it is bloated to bursting with stored electricity. It stores an overflowing amount of electric energy inside its body. The tissue on the surface of its body is curiously similar in composition to an Apricorn. When irritated, this Pokémon lets loose an electric current equal to 20 lightning bolts.</t>
        </is>
      </c>
    </row>
    <row r="3011" ht="33.75" customHeight="1">
      <c r="A3011" s="7">
        <v>101.0</v>
      </c>
      <c r="B3011" s="9" t="s">
        <v>6361</v>
      </c>
      <c r="C3011" s="9" t="s">
        <v>173</v>
      </c>
      <c r="D3011" s="9" t="s">
        <v>35</v>
      </c>
      <c r="E3011" s="6" t="s">
        <v>3740</v>
      </c>
      <c r="F3011" s="9" t="s">
        <v>7430</v>
      </c>
    </row>
    <row r="3012" ht="33.75" customHeight="1">
      <c r="A3012" s="7">
        <v>101.0</v>
      </c>
      <c r="B3012" s="9" t="s">
        <v>6361</v>
      </c>
      <c r="C3012" s="9" t="s">
        <v>173</v>
      </c>
      <c r="D3012" s="9" t="s">
        <v>42</v>
      </c>
      <c r="E3012" s="6" t="s">
        <v>3742</v>
      </c>
      <c r="F3012" s="9" t="s">
        <v>7430</v>
      </c>
    </row>
    <row r="3013" ht="33.75" customHeight="1">
      <c r="A3013" s="7">
        <v>101.0</v>
      </c>
      <c r="B3013" s="9" t="s">
        <v>6361</v>
      </c>
      <c r="C3013" s="9" t="s">
        <v>173</v>
      </c>
      <c r="D3013" s="9" t="s">
        <v>52</v>
      </c>
      <c r="E3013" s="6" t="s">
        <v>3743</v>
      </c>
      <c r="F3013" s="9" t="s">
        <v>7430</v>
      </c>
    </row>
    <row r="3014" ht="33.75" customHeight="1">
      <c r="A3014" s="7">
        <v>101.0</v>
      </c>
      <c r="B3014" s="9" t="s">
        <v>6361</v>
      </c>
      <c r="C3014" s="9" t="s">
        <v>173</v>
      </c>
      <c r="D3014" s="9" t="s">
        <v>59</v>
      </c>
      <c r="E3014" s="6" t="s">
        <v>3745</v>
      </c>
      <c r="F3014" s="9" t="s">
        <v>7430</v>
      </c>
    </row>
    <row r="3015" ht="33.75" customHeight="1">
      <c r="A3015" s="7">
        <v>101.0</v>
      </c>
      <c r="B3015" s="9" t="s">
        <v>6361</v>
      </c>
      <c r="C3015" s="9" t="s">
        <v>173</v>
      </c>
      <c r="D3015" s="9" t="s">
        <v>64</v>
      </c>
      <c r="E3015" s="6" t="s">
        <v>3747</v>
      </c>
      <c r="F3015" s="9" t="s">
        <v>7430</v>
      </c>
    </row>
    <row r="3016" ht="33.75" customHeight="1">
      <c r="A3016" s="7">
        <v>101.0</v>
      </c>
      <c r="B3016" s="9" t="s">
        <v>6361</v>
      </c>
      <c r="C3016" s="9" t="s">
        <v>173</v>
      </c>
      <c r="D3016" s="9" t="s">
        <v>67</v>
      </c>
      <c r="E3016" s="6" t="s">
        <v>3750</v>
      </c>
      <c r="F3016" s="9" t="s">
        <v>7430</v>
      </c>
    </row>
    <row r="3017" ht="33.75" customHeight="1">
      <c r="A3017" s="7">
        <v>101.0</v>
      </c>
      <c r="B3017" s="9" t="s">
        <v>6361</v>
      </c>
      <c r="C3017" s="9" t="s">
        <v>173</v>
      </c>
      <c r="D3017" s="9" t="s">
        <v>71</v>
      </c>
      <c r="E3017" s="6" t="s">
        <v>3751</v>
      </c>
      <c r="F3017" s="9" t="s">
        <v>7430</v>
      </c>
    </row>
    <row r="3018" ht="33.75" customHeight="1">
      <c r="A3018" s="7">
        <v>101.0</v>
      </c>
      <c r="B3018" s="9" t="s">
        <v>6361</v>
      </c>
      <c r="C3018" s="9" t="s">
        <v>173</v>
      </c>
      <c r="D3018" s="9" t="s">
        <v>73</v>
      </c>
      <c r="E3018" s="6" t="s">
        <v>3753</v>
      </c>
      <c r="F3018" s="9" t="s">
        <v>7430</v>
      </c>
    </row>
    <row r="3019" ht="33.75" customHeight="1">
      <c r="A3019" s="7">
        <v>101.0</v>
      </c>
      <c r="B3019" s="9" t="s">
        <v>6361</v>
      </c>
      <c r="C3019" s="9" t="s">
        <v>173</v>
      </c>
      <c r="D3019" s="9" t="s">
        <v>75</v>
      </c>
      <c r="E3019" s="6" t="s">
        <v>3755</v>
      </c>
      <c r="F3019" s="9" t="s">
        <v>7430</v>
      </c>
    </row>
    <row r="3020" ht="33.75" customHeight="1">
      <c r="A3020" s="7">
        <v>101.0</v>
      </c>
      <c r="B3020" s="9" t="s">
        <v>6361</v>
      </c>
      <c r="C3020" s="9" t="s">
        <v>173</v>
      </c>
      <c r="D3020" s="9" t="s">
        <v>79</v>
      </c>
      <c r="E3020" s="6" t="s">
        <v>3740</v>
      </c>
      <c r="F3020" s="9" t="s">
        <v>7430</v>
      </c>
    </row>
    <row r="3021" ht="33.75" customHeight="1">
      <c r="A3021" s="7">
        <v>101.0</v>
      </c>
      <c r="B3021" s="9" t="s">
        <v>6361</v>
      </c>
      <c r="C3021" s="9" t="s">
        <v>173</v>
      </c>
      <c r="D3021" s="9" t="s">
        <v>81</v>
      </c>
      <c r="E3021" s="6" t="s">
        <v>3757</v>
      </c>
      <c r="F3021" s="9" t="s">
        <v>7430</v>
      </c>
    </row>
    <row r="3022" ht="33.75" customHeight="1">
      <c r="A3022" s="7">
        <v>101.0</v>
      </c>
      <c r="B3022" s="9" t="s">
        <v>6361</v>
      </c>
      <c r="C3022" s="9" t="s">
        <v>173</v>
      </c>
      <c r="D3022" s="9" t="s">
        <v>84</v>
      </c>
      <c r="E3022" s="6" t="s">
        <v>3757</v>
      </c>
      <c r="F3022" s="9" t="s">
        <v>7430</v>
      </c>
    </row>
    <row r="3023" ht="33.75" customHeight="1">
      <c r="A3023" s="7">
        <v>101.0</v>
      </c>
      <c r="B3023" s="9" t="s">
        <v>6361</v>
      </c>
      <c r="C3023" s="9" t="s">
        <v>173</v>
      </c>
      <c r="D3023" s="9" t="s">
        <v>87</v>
      </c>
      <c r="E3023" s="6" t="s">
        <v>3757</v>
      </c>
      <c r="F3023" s="9" t="s">
        <v>7430</v>
      </c>
    </row>
    <row r="3024" ht="33.75" customHeight="1">
      <c r="A3024" s="7">
        <v>101.0</v>
      </c>
      <c r="B3024" s="9" t="s">
        <v>6361</v>
      </c>
      <c r="C3024" s="9" t="s">
        <v>173</v>
      </c>
      <c r="D3024" s="9" t="s">
        <v>89</v>
      </c>
      <c r="E3024" s="6" t="s">
        <v>3743</v>
      </c>
      <c r="F3024" s="9" t="s">
        <v>7430</v>
      </c>
    </row>
    <row r="3025" ht="33.75" customHeight="1">
      <c r="A3025" s="7">
        <v>101.0</v>
      </c>
      <c r="B3025" s="9" t="s">
        <v>6361</v>
      </c>
      <c r="C3025" s="9" t="s">
        <v>173</v>
      </c>
      <c r="D3025" s="9" t="s">
        <v>91</v>
      </c>
      <c r="E3025" s="6" t="s">
        <v>3758</v>
      </c>
      <c r="F3025" s="9" t="s">
        <v>7430</v>
      </c>
    </row>
    <row r="3026" ht="33.75" customHeight="1">
      <c r="A3026" s="7">
        <v>101.0</v>
      </c>
      <c r="B3026" s="9" t="s">
        <v>6361</v>
      </c>
      <c r="C3026" s="9" t="s">
        <v>173</v>
      </c>
      <c r="D3026" s="9" t="s">
        <v>93</v>
      </c>
      <c r="E3026" s="6" t="s">
        <v>3757</v>
      </c>
      <c r="F3026" s="9" t="s">
        <v>7430</v>
      </c>
    </row>
    <row r="3027" ht="33.75" customHeight="1">
      <c r="A3027" s="7">
        <v>101.0</v>
      </c>
      <c r="B3027" s="9" t="s">
        <v>6361</v>
      </c>
      <c r="C3027" s="9" t="s">
        <v>173</v>
      </c>
      <c r="D3027" s="9" t="s">
        <v>95</v>
      </c>
      <c r="E3027" s="6" t="s">
        <v>3757</v>
      </c>
      <c r="F3027" s="9" t="s">
        <v>7430</v>
      </c>
    </row>
    <row r="3028" ht="33.75" customHeight="1">
      <c r="A3028" s="7">
        <v>101.0</v>
      </c>
      <c r="B3028" s="9" t="s">
        <v>6361</v>
      </c>
      <c r="C3028" s="9" t="s">
        <v>173</v>
      </c>
      <c r="D3028" s="9" t="s">
        <v>98</v>
      </c>
      <c r="E3028" s="6" t="s">
        <v>3757</v>
      </c>
      <c r="F3028" s="9" t="s">
        <v>7430</v>
      </c>
    </row>
    <row r="3029" ht="33.75" customHeight="1">
      <c r="A3029" s="7">
        <v>101.0</v>
      </c>
      <c r="B3029" s="9" t="s">
        <v>6361</v>
      </c>
      <c r="C3029" s="9" t="s">
        <v>173</v>
      </c>
      <c r="D3029" s="9" t="s">
        <v>99</v>
      </c>
      <c r="E3029" s="6" t="s">
        <v>3757</v>
      </c>
      <c r="F3029" s="9" t="s">
        <v>7430</v>
      </c>
    </row>
    <row r="3030" ht="33.75" customHeight="1">
      <c r="A3030" s="7">
        <v>101.0</v>
      </c>
      <c r="B3030" s="9" t="s">
        <v>6361</v>
      </c>
      <c r="C3030" s="9" t="s">
        <v>173</v>
      </c>
      <c r="D3030" s="9" t="s">
        <v>101</v>
      </c>
      <c r="E3030" s="6" t="s">
        <v>3755</v>
      </c>
      <c r="F3030" s="9" t="s">
        <v>7430</v>
      </c>
    </row>
    <row r="3031" ht="33.75" customHeight="1">
      <c r="A3031" s="7">
        <v>101.0</v>
      </c>
      <c r="B3031" s="9" t="s">
        <v>6361</v>
      </c>
      <c r="C3031" s="9" t="s">
        <v>173</v>
      </c>
      <c r="D3031" s="9" t="s">
        <v>105</v>
      </c>
      <c r="E3031" s="6" t="s">
        <v>3758</v>
      </c>
      <c r="F3031" s="9" t="s">
        <v>7430</v>
      </c>
    </row>
    <row r="3032" ht="33.75" customHeight="1">
      <c r="A3032" s="7">
        <v>101.0</v>
      </c>
      <c r="B3032" s="9" t="s">
        <v>6361</v>
      </c>
      <c r="C3032" s="9" t="s">
        <v>173</v>
      </c>
      <c r="D3032" s="9" t="s">
        <v>107</v>
      </c>
      <c r="E3032" s="6" t="s">
        <v>3759</v>
      </c>
      <c r="F3032" s="9" t="s">
        <v>7430</v>
      </c>
    </row>
    <row r="3033" ht="33.75" customHeight="1">
      <c r="A3033" s="7">
        <v>101.0</v>
      </c>
      <c r="B3033" s="9" t="s">
        <v>6361</v>
      </c>
      <c r="C3033" s="9" t="s">
        <v>173</v>
      </c>
      <c r="D3033" s="9" t="s">
        <v>109</v>
      </c>
      <c r="E3033" s="6" t="s">
        <v>3760</v>
      </c>
      <c r="F3033" s="9" t="s">
        <v>7430</v>
      </c>
    </row>
    <row r="3034" ht="33.75" customHeight="1">
      <c r="A3034" s="7">
        <v>101.0</v>
      </c>
      <c r="B3034" s="9" t="s">
        <v>6361</v>
      </c>
      <c r="C3034" s="9" t="s">
        <v>173</v>
      </c>
      <c r="D3034" s="9" t="s">
        <v>111</v>
      </c>
      <c r="E3034" s="6" t="s">
        <v>3742</v>
      </c>
      <c r="F3034" s="9" t="s">
        <v>7430</v>
      </c>
    </row>
    <row r="3035" ht="33.75" customHeight="1">
      <c r="A3035" s="7">
        <v>101.0</v>
      </c>
      <c r="B3035" s="9" t="s">
        <v>6361</v>
      </c>
      <c r="C3035" s="9" t="s">
        <v>173</v>
      </c>
      <c r="D3035" s="9" t="s">
        <v>113</v>
      </c>
      <c r="E3035" s="6" t="s">
        <v>3742</v>
      </c>
      <c r="F3035" s="9" t="s">
        <v>7430</v>
      </c>
    </row>
    <row r="3036" ht="33.75" customHeight="1">
      <c r="A3036" s="7">
        <v>101.0</v>
      </c>
      <c r="B3036" s="9" t="s">
        <v>6361</v>
      </c>
      <c r="C3036" s="9" t="s">
        <v>173</v>
      </c>
      <c r="D3036" s="9" t="s">
        <v>1577</v>
      </c>
      <c r="E3036" s="6" t="s">
        <v>3761</v>
      </c>
      <c r="F3036" s="9" t="s">
        <v>7430</v>
      </c>
    </row>
    <row r="3037" ht="33.75" customHeight="1">
      <c r="A3037" s="7">
        <v>102.0</v>
      </c>
      <c r="B3037" s="9" t="s">
        <v>6414</v>
      </c>
      <c r="C3037" s="9" t="s">
        <v>175</v>
      </c>
      <c r="D3037" s="9" t="s">
        <v>24</v>
      </c>
      <c r="E3037" s="6" t="s">
        <v>3762</v>
      </c>
      <c r="F3037" s="9" t="s">
        <v>7504</v>
      </c>
      <c r="G3037" t="inlineStr" s="6">
        <is>
          <t xml:space="preserve">Often mistaken for eggs. When disturbed, they quickly gather and attack in swarms. The heads attract each other and spin around. There must be 6 heads for it to maintain balance. The shell is very durable. Even if it cracks, it can survive without spilling the contents. Using telepathy only they can receive, they always form a cluster of six EXEGGCUTE. If even one is separated from the group, the energy bond between the six will make them rejoin instantly. This POKéMON consists of six eggs that form a closely knit cluster. The six eggs attract each other and spin around. When cracks increasingly appear on the eggs, EXEGGCUTE is close to evolution. It consists of six eggs that care for each other. The eggs attract each other and spin around. When cracks increasingly appear, it is close to evolution. Even though it appears to be eggs of some sort, it was discovered to be a life- form more like plant seeds. It is often mistaken for eggs. Its six eggs converse using telepathy. They can quickly gather if they become separated. Their shells are very durable. Even if they crack, they can survive without spilling their contents. Using telepathy only they can employ, they always form a cluster of six EXEGGCUTE. Even though it appears to be eggs of some sort, it was discovered to be a life-form more like plant seeds. Its six eggs use telepathy to communicate among themselves. It is believed to carry plant genes and the genes of other species. Six of them together form a full-fledged Pokémon. It’s often hunted by Crabrawler, but uses psychokinesis to drive it off. Six of them form a single Pokémon. Should one of the six be lost, the next morning there will once more be six. Although they are the same size as other Exeggcute, the ones produced in Alola are quite heavy. Their shells are packed full. There must be six heads for it to maintain balance. Though it may look like it’s just a bunch of eggs, it’s a proper Pokémon. Exeggcute communicates with others of its kind via telepathy, apparently. These Pokémon get nervous when they’re not in a group of six. The minute even one member of the group goes missing, Exeggcute become cowardly.</t>
        </is>
      </c>
    </row>
    <row r="3038" ht="33.75" customHeight="1">
      <c r="A3038" s="7">
        <v>102.0</v>
      </c>
      <c r="B3038" s="9" t="s">
        <v>6414</v>
      </c>
      <c r="C3038" s="9" t="s">
        <v>175</v>
      </c>
      <c r="D3038" s="9" t="s">
        <v>35</v>
      </c>
      <c r="E3038" s="6" t="s">
        <v>3762</v>
      </c>
      <c r="F3038" s="9" t="s">
        <v>7504</v>
      </c>
    </row>
    <row r="3039" ht="33.75" customHeight="1">
      <c r="A3039" s="7">
        <v>102.0</v>
      </c>
      <c r="B3039" s="9" t="s">
        <v>6414</v>
      </c>
      <c r="C3039" s="9" t="s">
        <v>175</v>
      </c>
      <c r="D3039" s="9" t="s">
        <v>42</v>
      </c>
      <c r="E3039" s="6" t="s">
        <v>3763</v>
      </c>
      <c r="F3039" s="9" t="s">
        <v>7504</v>
      </c>
    </row>
    <row r="3040" ht="33.75" customHeight="1">
      <c r="A3040" s="7">
        <v>102.0</v>
      </c>
      <c r="B3040" s="9" t="s">
        <v>6414</v>
      </c>
      <c r="C3040" s="9" t="s">
        <v>175</v>
      </c>
      <c r="D3040" s="9" t="s">
        <v>52</v>
      </c>
      <c r="E3040" s="6" t="s">
        <v>3764</v>
      </c>
      <c r="F3040" s="9" t="s">
        <v>7504</v>
      </c>
    </row>
    <row r="3041" ht="33.75" customHeight="1">
      <c r="A3041" s="7">
        <v>102.0</v>
      </c>
      <c r="B3041" s="9" t="s">
        <v>6414</v>
      </c>
      <c r="C3041" s="9" t="s">
        <v>175</v>
      </c>
      <c r="D3041" s="9" t="s">
        <v>59</v>
      </c>
      <c r="E3041" s="6" t="s">
        <v>3765</v>
      </c>
      <c r="F3041" s="9" t="s">
        <v>7504</v>
      </c>
    </row>
    <row r="3042" ht="33.75" customHeight="1">
      <c r="A3042" s="7">
        <v>102.0</v>
      </c>
      <c r="B3042" s="9" t="s">
        <v>6414</v>
      </c>
      <c r="C3042" s="9" t="s">
        <v>175</v>
      </c>
      <c r="D3042" s="9" t="s">
        <v>64</v>
      </c>
      <c r="E3042" s="6" t="s">
        <v>3766</v>
      </c>
      <c r="F3042" s="9" t="s">
        <v>7504</v>
      </c>
    </row>
    <row r="3043" ht="33.75" customHeight="1">
      <c r="A3043" s="7">
        <v>102.0</v>
      </c>
      <c r="B3043" s="9" t="s">
        <v>6414</v>
      </c>
      <c r="C3043" s="9" t="s">
        <v>175</v>
      </c>
      <c r="D3043" s="9" t="s">
        <v>67</v>
      </c>
      <c r="E3043" s="6" t="s">
        <v>3767</v>
      </c>
      <c r="F3043" s="9" t="s">
        <v>7504</v>
      </c>
    </row>
    <row r="3044" ht="33.75" customHeight="1">
      <c r="A3044" s="7">
        <v>102.0</v>
      </c>
      <c r="B3044" s="9" t="s">
        <v>6414</v>
      </c>
      <c r="C3044" s="9" t="s">
        <v>175</v>
      </c>
      <c r="D3044" s="9" t="s">
        <v>71</v>
      </c>
      <c r="E3044" s="6" t="s">
        <v>3767</v>
      </c>
      <c r="F3044" s="9" t="s">
        <v>7504</v>
      </c>
    </row>
    <row r="3045" ht="33.75" customHeight="1">
      <c r="A3045" s="7">
        <v>102.0</v>
      </c>
      <c r="B3045" s="9" t="s">
        <v>6414</v>
      </c>
      <c r="C3045" s="9" t="s">
        <v>175</v>
      </c>
      <c r="D3045" s="9" t="s">
        <v>73</v>
      </c>
      <c r="E3045" s="6" t="s">
        <v>3768</v>
      </c>
      <c r="F3045" s="9" t="s">
        <v>7504</v>
      </c>
    </row>
    <row r="3046" ht="33.75" customHeight="1">
      <c r="A3046" s="7">
        <v>102.0</v>
      </c>
      <c r="B3046" s="9" t="s">
        <v>6414</v>
      </c>
      <c r="C3046" s="9" t="s">
        <v>175</v>
      </c>
      <c r="D3046" s="9" t="s">
        <v>75</v>
      </c>
      <c r="E3046" s="6" t="s">
        <v>3770</v>
      </c>
      <c r="F3046" s="9" t="s">
        <v>7504</v>
      </c>
    </row>
    <row r="3047" ht="33.75" customHeight="1">
      <c r="A3047" s="7">
        <v>102.0</v>
      </c>
      <c r="B3047" s="9" t="s">
        <v>6414</v>
      </c>
      <c r="C3047" s="9" t="s">
        <v>175</v>
      </c>
      <c r="D3047" s="9" t="s">
        <v>79</v>
      </c>
      <c r="E3047" s="6" t="s">
        <v>3771</v>
      </c>
      <c r="F3047" s="9" t="s">
        <v>7504</v>
      </c>
    </row>
    <row r="3048" ht="33.75" customHeight="1">
      <c r="A3048" s="7">
        <v>102.0</v>
      </c>
      <c r="B3048" s="9" t="s">
        <v>6414</v>
      </c>
      <c r="C3048" s="9" t="s">
        <v>175</v>
      </c>
      <c r="D3048" s="9" t="s">
        <v>81</v>
      </c>
      <c r="E3048" s="6" t="s">
        <v>3772</v>
      </c>
      <c r="F3048" s="9" t="s">
        <v>7504</v>
      </c>
    </row>
    <row r="3049" ht="33.75" customHeight="1">
      <c r="A3049" s="7">
        <v>102.0</v>
      </c>
      <c r="B3049" s="9" t="s">
        <v>6414</v>
      </c>
      <c r="C3049" s="9" t="s">
        <v>175</v>
      </c>
      <c r="D3049" s="9" t="s">
        <v>84</v>
      </c>
      <c r="E3049" s="6" t="s">
        <v>3772</v>
      </c>
      <c r="F3049" s="9" t="s">
        <v>7504</v>
      </c>
    </row>
    <row r="3050" ht="33.75" customHeight="1">
      <c r="A3050" s="7">
        <v>102.0</v>
      </c>
      <c r="B3050" s="9" t="s">
        <v>6414</v>
      </c>
      <c r="C3050" s="9" t="s">
        <v>175</v>
      </c>
      <c r="D3050" s="9" t="s">
        <v>87</v>
      </c>
      <c r="E3050" s="6" t="s">
        <v>3772</v>
      </c>
      <c r="F3050" s="9" t="s">
        <v>7504</v>
      </c>
    </row>
    <row r="3051" ht="33.75" customHeight="1">
      <c r="A3051" s="7">
        <v>102.0</v>
      </c>
      <c r="B3051" s="9" t="s">
        <v>6414</v>
      </c>
      <c r="C3051" s="9" t="s">
        <v>175</v>
      </c>
      <c r="D3051" s="9" t="s">
        <v>89</v>
      </c>
      <c r="E3051" s="6" t="s">
        <v>3774</v>
      </c>
      <c r="F3051" s="9" t="s">
        <v>7504</v>
      </c>
    </row>
    <row r="3052" ht="33.75" customHeight="1">
      <c r="A3052" s="7">
        <v>102.0</v>
      </c>
      <c r="B3052" s="9" t="s">
        <v>6414</v>
      </c>
      <c r="C3052" s="9" t="s">
        <v>175</v>
      </c>
      <c r="D3052" s="9" t="s">
        <v>91</v>
      </c>
      <c r="E3052" s="6" t="s">
        <v>3775</v>
      </c>
      <c r="F3052" s="9" t="s">
        <v>7504</v>
      </c>
    </row>
    <row r="3053" ht="33.75" customHeight="1">
      <c r="A3053" s="7">
        <v>102.0</v>
      </c>
      <c r="B3053" s="9" t="s">
        <v>6414</v>
      </c>
      <c r="C3053" s="9" t="s">
        <v>175</v>
      </c>
      <c r="D3053" s="9" t="s">
        <v>93</v>
      </c>
      <c r="E3053" s="6" t="s">
        <v>3772</v>
      </c>
      <c r="F3053" s="9" t="s">
        <v>7504</v>
      </c>
    </row>
    <row r="3054" ht="33.75" customHeight="1">
      <c r="A3054" s="7">
        <v>102.0</v>
      </c>
      <c r="B3054" s="9" t="s">
        <v>6414</v>
      </c>
      <c r="C3054" s="9" t="s">
        <v>175</v>
      </c>
      <c r="D3054" s="9" t="s">
        <v>95</v>
      </c>
      <c r="E3054" s="6" t="s">
        <v>3772</v>
      </c>
      <c r="F3054" s="9" t="s">
        <v>7504</v>
      </c>
    </row>
    <row r="3055" ht="33.75" customHeight="1">
      <c r="A3055" s="7">
        <v>102.0</v>
      </c>
      <c r="B3055" s="9" t="s">
        <v>6414</v>
      </c>
      <c r="C3055" s="9" t="s">
        <v>175</v>
      </c>
      <c r="D3055" s="9" t="s">
        <v>98</v>
      </c>
      <c r="E3055" s="6" t="s">
        <v>3772</v>
      </c>
      <c r="F3055" s="9" t="s">
        <v>7504</v>
      </c>
    </row>
    <row r="3056" ht="33.75" customHeight="1">
      <c r="A3056" s="7">
        <v>102.0</v>
      </c>
      <c r="B3056" s="9" t="s">
        <v>6414</v>
      </c>
      <c r="C3056" s="9" t="s">
        <v>175</v>
      </c>
      <c r="D3056" s="9" t="s">
        <v>99</v>
      </c>
      <c r="E3056" s="6" t="s">
        <v>3772</v>
      </c>
      <c r="F3056" s="9" t="s">
        <v>7504</v>
      </c>
    </row>
    <row r="3057" ht="33.75" customHeight="1">
      <c r="A3057" s="7">
        <v>102.0</v>
      </c>
      <c r="B3057" s="9" t="s">
        <v>6414</v>
      </c>
      <c r="C3057" s="9" t="s">
        <v>175</v>
      </c>
      <c r="D3057" s="9" t="s">
        <v>101</v>
      </c>
      <c r="E3057" s="6" t="s">
        <v>3772</v>
      </c>
      <c r="F3057" s="9" t="s">
        <v>7504</v>
      </c>
    </row>
    <row r="3058" ht="33.75" customHeight="1">
      <c r="A3058" s="7">
        <v>102.0</v>
      </c>
      <c r="B3058" s="9" t="s">
        <v>6414</v>
      </c>
      <c r="C3058" s="9" t="s">
        <v>175</v>
      </c>
      <c r="D3058" s="9" t="s">
        <v>105</v>
      </c>
      <c r="E3058" s="6" t="s">
        <v>3776</v>
      </c>
      <c r="F3058" s="9" t="s">
        <v>7504</v>
      </c>
    </row>
    <row r="3059" ht="33.75" customHeight="1">
      <c r="A3059" s="7">
        <v>102.0</v>
      </c>
      <c r="B3059" s="9" t="s">
        <v>6414</v>
      </c>
      <c r="C3059" s="9" t="s">
        <v>175</v>
      </c>
      <c r="D3059" s="9" t="s">
        <v>107</v>
      </c>
      <c r="E3059" s="6" t="s">
        <v>3778</v>
      </c>
      <c r="F3059" s="9" t="s">
        <v>7504</v>
      </c>
    </row>
    <row r="3060" ht="33.75" customHeight="1">
      <c r="A3060" s="7">
        <v>102.0</v>
      </c>
      <c r="B3060" s="9" t="s">
        <v>6414</v>
      </c>
      <c r="C3060" s="9" t="s">
        <v>175</v>
      </c>
      <c r="D3060" s="9" t="s">
        <v>109</v>
      </c>
      <c r="E3060" s="6" t="s">
        <v>3778</v>
      </c>
      <c r="F3060" s="9" t="s">
        <v>7504</v>
      </c>
    </row>
    <row r="3061" ht="33.75" customHeight="1">
      <c r="A3061" s="7">
        <v>102.0</v>
      </c>
      <c r="B3061" s="9" t="s">
        <v>6414</v>
      </c>
      <c r="C3061" s="9" t="s">
        <v>175</v>
      </c>
      <c r="D3061" s="9" t="s">
        <v>637</v>
      </c>
      <c r="E3061" s="6" t="s">
        <v>3780</v>
      </c>
      <c r="F3061" s="9" t="s">
        <v>7504</v>
      </c>
    </row>
    <row r="3062" ht="33.75" customHeight="1">
      <c r="A3062" s="7">
        <v>102.0</v>
      </c>
      <c r="B3062" s="9" t="s">
        <v>6414</v>
      </c>
      <c r="C3062" s="9" t="s">
        <v>175</v>
      </c>
      <c r="D3062" s="9" t="s">
        <v>642</v>
      </c>
      <c r="E3062" s="6" t="s">
        <v>3781</v>
      </c>
      <c r="F3062" s="9" t="s">
        <v>7504</v>
      </c>
    </row>
    <row r="3063" ht="33.75" customHeight="1">
      <c r="A3063" s="7">
        <v>102.0</v>
      </c>
      <c r="B3063" s="9" t="s">
        <v>6414</v>
      </c>
      <c r="C3063" s="9" t="s">
        <v>175</v>
      </c>
      <c r="D3063" s="9" t="s">
        <v>647</v>
      </c>
      <c r="E3063" s="6" t="s">
        <v>3783</v>
      </c>
      <c r="F3063" s="9" t="s">
        <v>7504</v>
      </c>
    </row>
    <row r="3064" ht="33.75" customHeight="1">
      <c r="A3064" s="7">
        <v>102.0</v>
      </c>
      <c r="B3064" s="9" t="s">
        <v>6414</v>
      </c>
      <c r="C3064" s="9" t="s">
        <v>175</v>
      </c>
      <c r="D3064" s="9" t="s">
        <v>652</v>
      </c>
      <c r="E3064" s="6" t="s">
        <v>3785</v>
      </c>
      <c r="F3064" s="9" t="s">
        <v>7504</v>
      </c>
    </row>
    <row r="3065" ht="33.75" customHeight="1">
      <c r="A3065" s="7">
        <v>102.0</v>
      </c>
      <c r="B3065" s="9" t="s">
        <v>6414</v>
      </c>
      <c r="C3065" s="9" t="s">
        <v>175</v>
      </c>
      <c r="D3065" s="9" t="s">
        <v>111</v>
      </c>
      <c r="E3065" s="6" t="s">
        <v>3787</v>
      </c>
      <c r="F3065" s="9" t="s">
        <v>7504</v>
      </c>
    </row>
    <row r="3066" ht="33.75" customHeight="1">
      <c r="A3066" s="7">
        <v>102.0</v>
      </c>
      <c r="B3066" s="9" t="s">
        <v>6414</v>
      </c>
      <c r="C3066" s="9" t="s">
        <v>175</v>
      </c>
      <c r="D3066" s="9" t="s">
        <v>113</v>
      </c>
      <c r="E3066" s="6" t="s">
        <v>3787</v>
      </c>
      <c r="F3066" s="9" t="s">
        <v>7504</v>
      </c>
    </row>
    <row r="3067" ht="33.75" customHeight="1">
      <c r="A3067" s="7">
        <v>102.0</v>
      </c>
      <c r="B3067" s="9" t="s">
        <v>6414</v>
      </c>
      <c r="C3067" s="9" t="s">
        <v>175</v>
      </c>
      <c r="D3067" s="9" t="s">
        <v>114</v>
      </c>
      <c r="E3067" s="6" t="s">
        <v>3788</v>
      </c>
      <c r="F3067" s="9" t="s">
        <v>7504</v>
      </c>
    </row>
    <row r="3068" ht="33.75" customHeight="1">
      <c r="A3068" s="7">
        <v>102.0</v>
      </c>
      <c r="B3068" s="9" t="s">
        <v>6414</v>
      </c>
      <c r="C3068" s="9" t="s">
        <v>175</v>
      </c>
      <c r="D3068" s="9" t="s">
        <v>117</v>
      </c>
      <c r="E3068" s="6" t="s">
        <v>3789</v>
      </c>
      <c r="F3068" s="9" t="s">
        <v>7504</v>
      </c>
    </row>
    <row r="3069" ht="33.75" customHeight="1">
      <c r="A3069" s="7">
        <v>103.0</v>
      </c>
      <c r="B3069" s="9" t="s">
        <v>6493</v>
      </c>
      <c r="C3069" s="9" t="s">
        <v>176</v>
      </c>
      <c r="D3069" s="9" t="s">
        <v>24</v>
      </c>
      <c r="E3069" s="6" t="s">
        <v>3791</v>
      </c>
      <c r="F3069" s="9" t="s">
        <v>7612</v>
      </c>
      <c r="G3069" t="inlineStr" s="6">
        <is>
          <t xml:space="preserve">Legend has it that on rare occasions, one of Exeggutor's heads will drop off and continue on as an EXEGGCUTE. Its cries are very noisy. This is because each of the 3 heads thinks about whatever it likes. Its three heads think independently. However, they are friendly and never appear to squabble. If a head drops off, it emits a telepathic call in search of others to form an EXEGGCUTE cluster. Living in a good environment makes it grow lots of heads. A head that drops off becomes an EXEGGCUTE. EXEGGUTOR originally came from the tropics. Its heads steadily grow larger from exposure to strong sunlight. It is said that when the heads fall off, they group together to form EXEGGCUTE. Originally from the tropics, EXEGGUTOR’s heads grow larger from exposure to strong sunlight. It is said that when the heads fall, they group to form an EXEGGCUTE. It is called “The Walking Tropical Rainforest. Each of the nuts has a face and a will of its own. It is said that on rare occasions, one of its heads will drop off and continue on as an EXEGGCUTE. It is called “The Walking Jungle. If a head grows too big, it falls off and becomes an EXEGGCUTE. Each of its heads has its own will. They use telepathy to discuss their plans before coming to a joint decision. When the time comes, one of its three heads falls off. Before long, the fallen head grows into an Exeggcute. It engages its enemies using psychic powers. Each of its three heads fires off psychokinetic energy, tripling its power. Each of its three heads has its own thoughts. When they want to go in different directions, Exeggutor becomes unable to move. This is because each of the three heads thinks about whatever it likes. Each of Exeggutor’s three heads is thinking different thoughts. The three don’t seem to be very interested in one another. When they work together, Exeggutor’s three heads can put out powerful psychic energy. Cloudy days make this Pokémon sluggish.</t>
        </is>
      </c>
    </row>
    <row r="3070" ht="33.75" customHeight="1">
      <c r="A3070" s="7">
        <v>103.0</v>
      </c>
      <c r="B3070" s="9" t="s">
        <v>6493</v>
      </c>
      <c r="C3070" s="9" t="s">
        <v>176</v>
      </c>
      <c r="D3070" s="9" t="s">
        <v>35</v>
      </c>
      <c r="E3070" s="6" t="s">
        <v>3791</v>
      </c>
      <c r="F3070" s="9" t="s">
        <v>7612</v>
      </c>
    </row>
    <row r="3071" ht="33.75" customHeight="1">
      <c r="A3071" s="7">
        <v>103.0</v>
      </c>
      <c r="B3071" s="9" t="s">
        <v>6493</v>
      </c>
      <c r="C3071" s="9" t="s">
        <v>176</v>
      </c>
      <c r="D3071" s="9" t="s">
        <v>42</v>
      </c>
      <c r="E3071" s="6" t="s">
        <v>3792</v>
      </c>
      <c r="F3071" s="9" t="s">
        <v>7612</v>
      </c>
    </row>
    <row r="3072" ht="33.75" customHeight="1">
      <c r="A3072" s="7">
        <v>103.0</v>
      </c>
      <c r="B3072" s="9" t="s">
        <v>6493</v>
      </c>
      <c r="C3072" s="9" t="s">
        <v>176</v>
      </c>
      <c r="D3072" s="9" t="s">
        <v>52</v>
      </c>
      <c r="E3072" s="6" t="s">
        <v>3794</v>
      </c>
      <c r="F3072" s="9" t="s">
        <v>7612</v>
      </c>
    </row>
    <row r="3073" ht="33.75" customHeight="1">
      <c r="A3073" s="7">
        <v>103.0</v>
      </c>
      <c r="B3073" s="9" t="s">
        <v>6493</v>
      </c>
      <c r="C3073" s="9" t="s">
        <v>176</v>
      </c>
      <c r="D3073" s="9" t="s">
        <v>59</v>
      </c>
      <c r="E3073" s="6" t="s">
        <v>3798</v>
      </c>
      <c r="F3073" s="9" t="s">
        <v>7612</v>
      </c>
    </row>
    <row r="3074" ht="33.75" customHeight="1">
      <c r="A3074" s="7">
        <v>103.0</v>
      </c>
      <c r="B3074" s="9" t="s">
        <v>6493</v>
      </c>
      <c r="C3074" s="9" t="s">
        <v>176</v>
      </c>
      <c r="D3074" s="9" t="s">
        <v>64</v>
      </c>
      <c r="E3074" s="6" t="s">
        <v>3799</v>
      </c>
      <c r="F3074" s="9" t="s">
        <v>7612</v>
      </c>
    </row>
    <row r="3075" ht="33.75" customHeight="1">
      <c r="A3075" s="7">
        <v>103.0</v>
      </c>
      <c r="B3075" s="9" t="s">
        <v>6493</v>
      </c>
      <c r="C3075" s="9" t="s">
        <v>176</v>
      </c>
      <c r="D3075" s="9" t="s">
        <v>67</v>
      </c>
      <c r="E3075" s="6" t="s">
        <v>3800</v>
      </c>
      <c r="F3075" s="9" t="s">
        <v>7612</v>
      </c>
    </row>
    <row r="3076" ht="33.75" customHeight="1">
      <c r="A3076" s="7">
        <v>103.0</v>
      </c>
      <c r="B3076" s="9" t="s">
        <v>6493</v>
      </c>
      <c r="C3076" s="9" t="s">
        <v>176</v>
      </c>
      <c r="D3076" s="9" t="s">
        <v>71</v>
      </c>
      <c r="E3076" s="6" t="s">
        <v>3800</v>
      </c>
      <c r="F3076" s="9" t="s">
        <v>7612</v>
      </c>
    </row>
    <row r="3077" ht="33.75" customHeight="1">
      <c r="A3077" s="7">
        <v>103.0</v>
      </c>
      <c r="B3077" s="9" t="s">
        <v>6493</v>
      </c>
      <c r="C3077" s="9" t="s">
        <v>176</v>
      </c>
      <c r="D3077" s="9" t="s">
        <v>73</v>
      </c>
      <c r="E3077" s="6" t="s">
        <v>3802</v>
      </c>
      <c r="F3077" s="9" t="s">
        <v>7612</v>
      </c>
    </row>
    <row r="3078" ht="33.75" customHeight="1">
      <c r="A3078" s="7">
        <v>103.0</v>
      </c>
      <c r="B3078" s="9" t="s">
        <v>6493</v>
      </c>
      <c r="C3078" s="9" t="s">
        <v>176</v>
      </c>
      <c r="D3078" s="9" t="s">
        <v>75</v>
      </c>
      <c r="E3078" s="6" t="s">
        <v>3804</v>
      </c>
      <c r="F3078" s="9" t="s">
        <v>7612</v>
      </c>
    </row>
    <row r="3079" ht="33.75" customHeight="1">
      <c r="A3079" s="7">
        <v>103.0</v>
      </c>
      <c r="B3079" s="9" t="s">
        <v>6493</v>
      </c>
      <c r="C3079" s="9" t="s">
        <v>176</v>
      </c>
      <c r="D3079" s="9" t="s">
        <v>79</v>
      </c>
      <c r="E3079" s="6" t="s">
        <v>3805</v>
      </c>
      <c r="F3079" s="9" t="s">
        <v>7612</v>
      </c>
    </row>
    <row r="3080" ht="33.75" customHeight="1">
      <c r="A3080" s="7">
        <v>103.0</v>
      </c>
      <c r="B3080" s="9" t="s">
        <v>6493</v>
      </c>
      <c r="C3080" s="9" t="s">
        <v>176</v>
      </c>
      <c r="D3080" s="9" t="s">
        <v>81</v>
      </c>
      <c r="E3080" s="6" t="s">
        <v>3807</v>
      </c>
      <c r="F3080" s="9" t="s">
        <v>7612</v>
      </c>
    </row>
    <row r="3081" ht="33.75" customHeight="1">
      <c r="A3081" s="7">
        <v>103.0</v>
      </c>
      <c r="B3081" s="9" t="s">
        <v>6493</v>
      </c>
      <c r="C3081" s="9" t="s">
        <v>176</v>
      </c>
      <c r="D3081" s="9" t="s">
        <v>84</v>
      </c>
      <c r="E3081" s="6" t="s">
        <v>3807</v>
      </c>
      <c r="F3081" s="9" t="s">
        <v>7612</v>
      </c>
    </row>
    <row r="3082" ht="33.75" customHeight="1">
      <c r="A3082" s="7">
        <v>103.0</v>
      </c>
      <c r="B3082" s="9" t="s">
        <v>6493</v>
      </c>
      <c r="C3082" s="9" t="s">
        <v>176</v>
      </c>
      <c r="D3082" s="9" t="s">
        <v>87</v>
      </c>
      <c r="E3082" s="6" t="s">
        <v>3807</v>
      </c>
      <c r="F3082" s="9" t="s">
        <v>7612</v>
      </c>
    </row>
    <row r="3083" ht="33.75" customHeight="1">
      <c r="A3083" s="7">
        <v>103.0</v>
      </c>
      <c r="B3083" s="9" t="s">
        <v>6493</v>
      </c>
      <c r="C3083" s="9" t="s">
        <v>176</v>
      </c>
      <c r="D3083" s="9" t="s">
        <v>89</v>
      </c>
      <c r="E3083" s="6" t="s">
        <v>3809</v>
      </c>
      <c r="F3083" s="9" t="s">
        <v>7612</v>
      </c>
    </row>
    <row r="3084" ht="33.75" customHeight="1">
      <c r="A3084" s="7">
        <v>103.0</v>
      </c>
      <c r="B3084" s="9" t="s">
        <v>6493</v>
      </c>
      <c r="C3084" s="9" t="s">
        <v>176</v>
      </c>
      <c r="D3084" s="9" t="s">
        <v>91</v>
      </c>
      <c r="E3084" s="6" t="s">
        <v>3798</v>
      </c>
      <c r="F3084" s="9" t="s">
        <v>7612</v>
      </c>
    </row>
    <row r="3085" ht="33.75" customHeight="1">
      <c r="A3085" s="7">
        <v>103.0</v>
      </c>
      <c r="B3085" s="9" t="s">
        <v>6493</v>
      </c>
      <c r="C3085" s="9" t="s">
        <v>176</v>
      </c>
      <c r="D3085" s="9" t="s">
        <v>93</v>
      </c>
      <c r="E3085" s="6" t="s">
        <v>3811</v>
      </c>
      <c r="F3085" s="9" t="s">
        <v>7612</v>
      </c>
    </row>
    <row r="3086" ht="33.75" customHeight="1">
      <c r="A3086" s="7">
        <v>103.0</v>
      </c>
      <c r="B3086" s="9" t="s">
        <v>6493</v>
      </c>
      <c r="C3086" s="9" t="s">
        <v>176</v>
      </c>
      <c r="D3086" s="9" t="s">
        <v>95</v>
      </c>
      <c r="E3086" s="6" t="s">
        <v>3811</v>
      </c>
      <c r="F3086" s="9" t="s">
        <v>7612</v>
      </c>
    </row>
    <row r="3087" ht="33.75" customHeight="1">
      <c r="A3087" s="7">
        <v>103.0</v>
      </c>
      <c r="B3087" s="9" t="s">
        <v>6493</v>
      </c>
      <c r="C3087" s="9" t="s">
        <v>176</v>
      </c>
      <c r="D3087" s="9" t="s">
        <v>98</v>
      </c>
      <c r="E3087" s="6" t="s">
        <v>3811</v>
      </c>
      <c r="F3087" s="9" t="s">
        <v>7612</v>
      </c>
    </row>
    <row r="3088" ht="33.75" customHeight="1">
      <c r="A3088" s="7">
        <v>103.0</v>
      </c>
      <c r="B3088" s="9" t="s">
        <v>6493</v>
      </c>
      <c r="C3088" s="9" t="s">
        <v>176</v>
      </c>
      <c r="D3088" s="9" t="s">
        <v>99</v>
      </c>
      <c r="E3088" s="6" t="s">
        <v>3811</v>
      </c>
      <c r="F3088" s="9" t="s">
        <v>7612</v>
      </c>
    </row>
    <row r="3089" ht="33.75" customHeight="1">
      <c r="A3089" s="7">
        <v>103.0</v>
      </c>
      <c r="B3089" s="9" t="s">
        <v>6493</v>
      </c>
      <c r="C3089" s="9" t="s">
        <v>176</v>
      </c>
      <c r="D3089" s="9" t="s">
        <v>101</v>
      </c>
      <c r="E3089" s="6" t="s">
        <v>3809</v>
      </c>
      <c r="F3089" s="9" t="s">
        <v>7612</v>
      </c>
    </row>
    <row r="3090" ht="33.75" customHeight="1">
      <c r="A3090" s="7">
        <v>103.0</v>
      </c>
      <c r="B3090" s="9" t="s">
        <v>6493</v>
      </c>
      <c r="C3090" s="9" t="s">
        <v>176</v>
      </c>
      <c r="D3090" s="9" t="s">
        <v>105</v>
      </c>
      <c r="E3090" s="6" t="s">
        <v>3811</v>
      </c>
      <c r="F3090" s="9" t="s">
        <v>7612</v>
      </c>
    </row>
    <row r="3091" ht="33.75" customHeight="1">
      <c r="A3091" s="7">
        <v>103.0</v>
      </c>
      <c r="B3091" s="9" t="s">
        <v>6493</v>
      </c>
      <c r="C3091" s="9" t="s">
        <v>176</v>
      </c>
      <c r="D3091" s="9" t="s">
        <v>107</v>
      </c>
      <c r="E3091" s="6" t="s">
        <v>3812</v>
      </c>
      <c r="F3091" s="9" t="s">
        <v>7612</v>
      </c>
    </row>
    <row r="3092" ht="33.75" customHeight="1">
      <c r="A3092" s="7">
        <v>103.0</v>
      </c>
      <c r="B3092" s="9" t="s">
        <v>6493</v>
      </c>
      <c r="C3092" s="9" t="s">
        <v>176</v>
      </c>
      <c r="D3092" s="9" t="s">
        <v>109</v>
      </c>
      <c r="E3092" s="6" t="s">
        <v>3812</v>
      </c>
      <c r="F3092" s="9" t="s">
        <v>7612</v>
      </c>
    </row>
    <row r="3093" ht="33.75" customHeight="1">
      <c r="A3093" s="7">
        <v>103.0</v>
      </c>
      <c r="B3093" s="9" t="s">
        <v>6493</v>
      </c>
      <c r="C3093" s="9" t="s">
        <v>176</v>
      </c>
      <c r="D3093" s="9" t="s">
        <v>637</v>
      </c>
      <c r="E3093" s="6" t="s">
        <v>3814</v>
      </c>
      <c r="F3093" s="9" t="s">
        <v>7612</v>
      </c>
    </row>
    <row r="3094" ht="33.75" customHeight="1">
      <c r="A3094" s="7">
        <v>103.0</v>
      </c>
      <c r="B3094" s="9" t="s">
        <v>6493</v>
      </c>
      <c r="C3094" s="9" t="s">
        <v>176</v>
      </c>
      <c r="D3094" s="9" t="s">
        <v>642</v>
      </c>
      <c r="E3094" s="6" t="s">
        <v>3815</v>
      </c>
      <c r="F3094" s="9" t="s">
        <v>7612</v>
      </c>
    </row>
    <row r="3095" ht="33.75" customHeight="1">
      <c r="A3095" s="7">
        <v>103.0</v>
      </c>
      <c r="B3095" s="9" t="s">
        <v>6493</v>
      </c>
      <c r="C3095" s="9" t="s">
        <v>176</v>
      </c>
      <c r="D3095" s="9" t="s">
        <v>647</v>
      </c>
      <c r="E3095" s="6" t="s">
        <v>3817</v>
      </c>
      <c r="F3095" s="9" t="s">
        <v>7612</v>
      </c>
    </row>
    <row r="3096" ht="33.75" customHeight="1">
      <c r="A3096" s="7">
        <v>103.0</v>
      </c>
      <c r="B3096" s="9" t="s">
        <v>6493</v>
      </c>
      <c r="C3096" s="9" t="s">
        <v>176</v>
      </c>
      <c r="D3096" s="9" t="s">
        <v>652</v>
      </c>
      <c r="E3096" s="6" t="s">
        <v>3819</v>
      </c>
      <c r="F3096" s="9" t="s">
        <v>7612</v>
      </c>
    </row>
    <row r="3097" ht="33.75" customHeight="1">
      <c r="A3097" s="7">
        <v>103.0</v>
      </c>
      <c r="B3097" s="9" t="s">
        <v>6493</v>
      </c>
      <c r="C3097" s="9" t="s">
        <v>176</v>
      </c>
      <c r="D3097" s="9" t="s">
        <v>111</v>
      </c>
      <c r="E3097" s="6" t="s">
        <v>3820</v>
      </c>
      <c r="F3097" s="9" t="s">
        <v>7612</v>
      </c>
    </row>
    <row r="3098" ht="33.75" customHeight="1">
      <c r="A3098" s="7">
        <v>103.0</v>
      </c>
      <c r="B3098" s="9" t="s">
        <v>6493</v>
      </c>
      <c r="C3098" s="9" t="s">
        <v>176</v>
      </c>
      <c r="D3098" s="9" t="s">
        <v>113</v>
      </c>
      <c r="E3098" s="6" t="s">
        <v>3820</v>
      </c>
      <c r="F3098" s="9" t="s">
        <v>7612</v>
      </c>
    </row>
    <row r="3099" ht="33.75" customHeight="1">
      <c r="A3099" s="7">
        <v>103.0</v>
      </c>
      <c r="B3099" s="9" t="s">
        <v>6493</v>
      </c>
      <c r="C3099" s="9" t="s">
        <v>176</v>
      </c>
      <c r="D3099" s="9" t="s">
        <v>114</v>
      </c>
      <c r="E3099" s="6" t="s">
        <v>3822</v>
      </c>
      <c r="F3099" s="9" t="s">
        <v>7612</v>
      </c>
    </row>
    <row r="3100" ht="33.75" customHeight="1">
      <c r="A3100" s="7">
        <v>103.0</v>
      </c>
      <c r="B3100" s="9" t="s">
        <v>6493</v>
      </c>
      <c r="C3100" s="9" t="s">
        <v>176</v>
      </c>
      <c r="D3100" s="9" t="s">
        <v>117</v>
      </c>
      <c r="E3100" s="6" t="s">
        <v>3824</v>
      </c>
      <c r="F3100" s="9" t="s">
        <v>7612</v>
      </c>
    </row>
    <row r="3101" ht="33.75" customHeight="1">
      <c r="A3101" s="7">
        <v>104.0</v>
      </c>
      <c r="B3101" s="9" t="s">
        <v>6583</v>
      </c>
      <c r="C3101" s="9" t="s">
        <v>178</v>
      </c>
      <c r="D3101" s="9" t="s">
        <v>24</v>
      </c>
      <c r="E3101" s="6" t="s">
        <v>3826</v>
      </c>
      <c r="F3101" s="9" t="s">
        <v>7721</v>
      </c>
      <c r="G3101" t="inlineStr" s="6">
        <is>
          <t xml:space="preserve">Because it never removes Cubone's skull helmet, no one has ever seen this POKéMON's real face. Wears the skull of its deceased mother. Its cries echo inside the skull and come out as a sad melody. If it is sad or lonely, the skull it wears shakes, and emits a plaintive and mournful sound. It always wears the skull of its dead mother, so no one has any idea what its hidden face looks like. It lost its mother after its birth. It wears its mother's skull, never revealing its true face. CUBONE pines for the mother it will never see again. Seeing a likeness of its mother in the full moon, it cries. The stains on the skull the POKéMON wears are made by the tears it sheds. It pines for the mother it will never see again. The stains on the skull it wears are from its tears. It wears the skull of its dead mother on its head. When it becomes lonesome, it is said to cry loudly. When it thinks of its dead mother, it cries. Its crying makes the skull it wears rattle hollowly. If it is sad or lonely, the skull it wears shakes and emits a plaintive and mournful sound. When it thinks of its deceased mother, it weeps loudly. Mandibuzz that hear its cries will attack it from the air. The skull it wears on its head is that of its dead mother. According to some, it will evolve when it comes to terms with the pain of her death. At night, it weeps loudly for its dead mother, but those cries only attract its natural enemy—Mandibuzz. It wears its mother’s skull on its head, so no one knows what its bare face looks like. However, it’s clear that it’s always crying. When the memory of its departed mother brings it to tears, its cries echo mournfully within the skull it wears on its head. This Pokémon wears the skull of its deceased mother. Sometimes Cubone’s dreams make it cry, but each tear Cubone sheds makes it stronger.</t>
        </is>
      </c>
    </row>
    <row r="3102" ht="33.75" customHeight="1">
      <c r="A3102" s="7">
        <v>104.0</v>
      </c>
      <c r="B3102" s="9" t="s">
        <v>6583</v>
      </c>
      <c r="C3102" s="9" t="s">
        <v>178</v>
      </c>
      <c r="D3102" s="9" t="s">
        <v>35</v>
      </c>
      <c r="E3102" s="6" t="s">
        <v>3826</v>
      </c>
      <c r="F3102" s="9" t="s">
        <v>7721</v>
      </c>
    </row>
    <row r="3103" ht="33.75" customHeight="1">
      <c r="A3103" s="7">
        <v>104.0</v>
      </c>
      <c r="B3103" s="9" t="s">
        <v>6583</v>
      </c>
      <c r="C3103" s="9" t="s">
        <v>178</v>
      </c>
      <c r="D3103" s="9" t="s">
        <v>42</v>
      </c>
      <c r="E3103" s="6" t="s">
        <v>3828</v>
      </c>
      <c r="F3103" s="9" t="s">
        <v>7721</v>
      </c>
    </row>
    <row r="3104" ht="33.75" customHeight="1">
      <c r="A3104" s="7">
        <v>104.0</v>
      </c>
      <c r="B3104" s="9" t="s">
        <v>6583</v>
      </c>
      <c r="C3104" s="9" t="s">
        <v>178</v>
      </c>
      <c r="D3104" s="9" t="s">
        <v>52</v>
      </c>
      <c r="E3104" s="6" t="s">
        <v>3829</v>
      </c>
      <c r="F3104" s="9" t="s">
        <v>7721</v>
      </c>
    </row>
    <row r="3105" ht="33.75" customHeight="1">
      <c r="A3105" s="7">
        <v>104.0</v>
      </c>
      <c r="B3105" s="9" t="s">
        <v>6583</v>
      </c>
      <c r="C3105" s="9" t="s">
        <v>178</v>
      </c>
      <c r="D3105" s="9" t="s">
        <v>59</v>
      </c>
      <c r="E3105" s="6" t="s">
        <v>3831</v>
      </c>
      <c r="F3105" s="9" t="s">
        <v>7721</v>
      </c>
    </row>
    <row r="3106" ht="33.75" customHeight="1">
      <c r="A3106" s="7">
        <v>104.0</v>
      </c>
      <c r="B3106" s="9" t="s">
        <v>6583</v>
      </c>
      <c r="C3106" s="9" t="s">
        <v>178</v>
      </c>
      <c r="D3106" s="9" t="s">
        <v>64</v>
      </c>
      <c r="E3106" s="6" t="s">
        <v>3833</v>
      </c>
      <c r="F3106" s="9" t="s">
        <v>7721</v>
      </c>
    </row>
    <row r="3107" ht="33.75" customHeight="1">
      <c r="A3107" s="7">
        <v>104.0</v>
      </c>
      <c r="B3107" s="9" t="s">
        <v>6583</v>
      </c>
      <c r="C3107" s="9" t="s">
        <v>178</v>
      </c>
      <c r="D3107" s="9" t="s">
        <v>67</v>
      </c>
      <c r="E3107" s="6" t="s">
        <v>3834</v>
      </c>
      <c r="F3107" s="9" t="s">
        <v>7721</v>
      </c>
    </row>
    <row r="3108" ht="33.75" customHeight="1">
      <c r="A3108" s="7">
        <v>104.0</v>
      </c>
      <c r="B3108" s="9" t="s">
        <v>6583</v>
      </c>
      <c r="C3108" s="9" t="s">
        <v>178</v>
      </c>
      <c r="D3108" s="9" t="s">
        <v>71</v>
      </c>
      <c r="E3108" s="6" t="s">
        <v>3834</v>
      </c>
      <c r="F3108" s="9" t="s">
        <v>7721</v>
      </c>
    </row>
    <row r="3109" ht="33.75" customHeight="1">
      <c r="A3109" s="7">
        <v>104.0</v>
      </c>
      <c r="B3109" s="9" t="s">
        <v>6583</v>
      </c>
      <c r="C3109" s="9" t="s">
        <v>178</v>
      </c>
      <c r="D3109" s="9" t="s">
        <v>73</v>
      </c>
      <c r="E3109" s="6" t="s">
        <v>3835</v>
      </c>
      <c r="F3109" s="9" t="s">
        <v>7721</v>
      </c>
    </row>
    <row r="3110" ht="33.75" customHeight="1">
      <c r="A3110" s="7">
        <v>104.0</v>
      </c>
      <c r="B3110" s="9" t="s">
        <v>6583</v>
      </c>
      <c r="C3110" s="9" t="s">
        <v>178</v>
      </c>
      <c r="D3110" s="9" t="s">
        <v>75</v>
      </c>
      <c r="E3110" s="6" t="s">
        <v>3837</v>
      </c>
      <c r="F3110" s="9" t="s">
        <v>7721</v>
      </c>
    </row>
    <row r="3111" ht="33.75" customHeight="1">
      <c r="A3111" s="7">
        <v>104.0</v>
      </c>
      <c r="B3111" s="9" t="s">
        <v>6583</v>
      </c>
      <c r="C3111" s="9" t="s">
        <v>178</v>
      </c>
      <c r="D3111" s="9" t="s">
        <v>79</v>
      </c>
      <c r="E3111" s="6" t="s">
        <v>3838</v>
      </c>
      <c r="F3111" s="9" t="s">
        <v>7721</v>
      </c>
    </row>
    <row r="3112" ht="33.75" customHeight="1">
      <c r="A3112" s="7">
        <v>104.0</v>
      </c>
      <c r="B3112" s="9" t="s">
        <v>6583</v>
      </c>
      <c r="C3112" s="9" t="s">
        <v>178</v>
      </c>
      <c r="D3112" s="9" t="s">
        <v>81</v>
      </c>
      <c r="E3112" s="6" t="s">
        <v>3839</v>
      </c>
      <c r="F3112" s="9" t="s">
        <v>7721</v>
      </c>
    </row>
    <row r="3113" ht="33.75" customHeight="1">
      <c r="A3113" s="7">
        <v>104.0</v>
      </c>
      <c r="B3113" s="9" t="s">
        <v>6583</v>
      </c>
      <c r="C3113" s="9" t="s">
        <v>178</v>
      </c>
      <c r="D3113" s="9" t="s">
        <v>84</v>
      </c>
      <c r="E3113" s="6" t="s">
        <v>3839</v>
      </c>
      <c r="F3113" s="9" t="s">
        <v>7721</v>
      </c>
    </row>
    <row r="3114" ht="33.75" customHeight="1">
      <c r="A3114" s="7">
        <v>104.0</v>
      </c>
      <c r="B3114" s="9" t="s">
        <v>6583</v>
      </c>
      <c r="C3114" s="9" t="s">
        <v>178</v>
      </c>
      <c r="D3114" s="9" t="s">
        <v>87</v>
      </c>
      <c r="E3114" s="6" t="s">
        <v>3839</v>
      </c>
      <c r="F3114" s="9" t="s">
        <v>7721</v>
      </c>
    </row>
    <row r="3115" ht="33.75" customHeight="1">
      <c r="A3115" s="7">
        <v>104.0</v>
      </c>
      <c r="B3115" s="9" t="s">
        <v>6583</v>
      </c>
      <c r="C3115" s="9" t="s">
        <v>178</v>
      </c>
      <c r="D3115" s="9" t="s">
        <v>89</v>
      </c>
      <c r="E3115" s="6" t="s">
        <v>3840</v>
      </c>
      <c r="F3115" s="9" t="s">
        <v>7721</v>
      </c>
    </row>
    <row r="3116" ht="33.75" customHeight="1">
      <c r="A3116" s="7">
        <v>104.0</v>
      </c>
      <c r="B3116" s="9" t="s">
        <v>6583</v>
      </c>
      <c r="C3116" s="9" t="s">
        <v>178</v>
      </c>
      <c r="D3116" s="9" t="s">
        <v>91</v>
      </c>
      <c r="E3116" s="6" t="s">
        <v>3831</v>
      </c>
      <c r="F3116" s="9" t="s">
        <v>7721</v>
      </c>
    </row>
    <row r="3117" ht="33.75" customHeight="1">
      <c r="A3117" s="7">
        <v>104.0</v>
      </c>
      <c r="B3117" s="9" t="s">
        <v>6583</v>
      </c>
      <c r="C3117" s="9" t="s">
        <v>178</v>
      </c>
      <c r="D3117" s="9" t="s">
        <v>93</v>
      </c>
      <c r="E3117" s="6" t="s">
        <v>3839</v>
      </c>
      <c r="F3117" s="9" t="s">
        <v>7721</v>
      </c>
    </row>
    <row r="3118" ht="33.75" customHeight="1">
      <c r="A3118" s="7">
        <v>104.0</v>
      </c>
      <c r="B3118" s="9" t="s">
        <v>6583</v>
      </c>
      <c r="C3118" s="9" t="s">
        <v>178</v>
      </c>
      <c r="D3118" s="9" t="s">
        <v>95</v>
      </c>
      <c r="E3118" s="6" t="s">
        <v>3839</v>
      </c>
      <c r="F3118" s="9" t="s">
        <v>7721</v>
      </c>
    </row>
    <row r="3119" ht="33.75" customHeight="1">
      <c r="A3119" s="7">
        <v>104.0</v>
      </c>
      <c r="B3119" s="9" t="s">
        <v>6583</v>
      </c>
      <c r="C3119" s="9" t="s">
        <v>178</v>
      </c>
      <c r="D3119" s="9" t="s">
        <v>98</v>
      </c>
      <c r="E3119" s="6" t="s">
        <v>3839</v>
      </c>
      <c r="F3119" s="9" t="s">
        <v>7721</v>
      </c>
    </row>
    <row r="3120" ht="33.75" customHeight="1">
      <c r="A3120" s="7">
        <v>104.0</v>
      </c>
      <c r="B3120" s="9" t="s">
        <v>6583</v>
      </c>
      <c r="C3120" s="9" t="s">
        <v>178</v>
      </c>
      <c r="D3120" s="9" t="s">
        <v>99</v>
      </c>
      <c r="E3120" s="6" t="s">
        <v>3839</v>
      </c>
      <c r="F3120" s="9" t="s">
        <v>7721</v>
      </c>
    </row>
    <row r="3121" ht="33.75" customHeight="1">
      <c r="A3121" s="7">
        <v>104.0</v>
      </c>
      <c r="B3121" s="9" t="s">
        <v>6583</v>
      </c>
      <c r="C3121" s="9" t="s">
        <v>178</v>
      </c>
      <c r="D3121" s="9" t="s">
        <v>101</v>
      </c>
      <c r="E3121" s="6" t="s">
        <v>3837</v>
      </c>
      <c r="F3121" s="9" t="s">
        <v>7721</v>
      </c>
    </row>
    <row r="3122" ht="33.75" customHeight="1">
      <c r="A3122" s="7">
        <v>104.0</v>
      </c>
      <c r="B3122" s="9" t="s">
        <v>6583</v>
      </c>
      <c r="C3122" s="9" t="s">
        <v>178</v>
      </c>
      <c r="D3122" s="9" t="s">
        <v>105</v>
      </c>
      <c r="E3122" s="6" t="s">
        <v>3831</v>
      </c>
      <c r="F3122" s="9" t="s">
        <v>7721</v>
      </c>
    </row>
    <row r="3123" ht="33.75" customHeight="1">
      <c r="A3123" s="7">
        <v>104.0</v>
      </c>
      <c r="B3123" s="9" t="s">
        <v>6583</v>
      </c>
      <c r="C3123" s="9" t="s">
        <v>178</v>
      </c>
      <c r="D3123" s="9" t="s">
        <v>107</v>
      </c>
      <c r="E3123" s="6" t="s">
        <v>3841</v>
      </c>
      <c r="F3123" s="9" t="s">
        <v>7721</v>
      </c>
    </row>
    <row r="3124" ht="33.75" customHeight="1">
      <c r="A3124" s="7">
        <v>104.0</v>
      </c>
      <c r="B3124" s="9" t="s">
        <v>6583</v>
      </c>
      <c r="C3124" s="9" t="s">
        <v>178</v>
      </c>
      <c r="D3124" s="9" t="s">
        <v>109</v>
      </c>
      <c r="E3124" s="6" t="s">
        <v>3841</v>
      </c>
      <c r="F3124" s="9" t="s">
        <v>7721</v>
      </c>
    </row>
    <row r="3125" ht="33.75" customHeight="1">
      <c r="A3125" s="7">
        <v>104.0</v>
      </c>
      <c r="B3125" s="9" t="s">
        <v>6583</v>
      </c>
      <c r="C3125" s="9" t="s">
        <v>178</v>
      </c>
      <c r="D3125" s="9" t="s">
        <v>637</v>
      </c>
      <c r="E3125" s="6" t="s">
        <v>3842</v>
      </c>
      <c r="F3125" s="9" t="s">
        <v>7721</v>
      </c>
    </row>
    <row r="3126" ht="33.75" customHeight="1">
      <c r="A3126" s="7">
        <v>104.0</v>
      </c>
      <c r="B3126" s="9" t="s">
        <v>6583</v>
      </c>
      <c r="C3126" s="9" t="s">
        <v>178</v>
      </c>
      <c r="D3126" s="9" t="s">
        <v>642</v>
      </c>
      <c r="E3126" s="6" t="s">
        <v>3843</v>
      </c>
      <c r="F3126" s="9" t="s">
        <v>7721</v>
      </c>
    </row>
    <row r="3127" ht="33.75" customHeight="1">
      <c r="A3127" s="7">
        <v>104.0</v>
      </c>
      <c r="B3127" s="9" t="s">
        <v>6583</v>
      </c>
      <c r="C3127" s="9" t="s">
        <v>178</v>
      </c>
      <c r="D3127" s="9" t="s">
        <v>647</v>
      </c>
      <c r="E3127" s="6" t="s">
        <v>3845</v>
      </c>
      <c r="F3127" s="9" t="s">
        <v>7721</v>
      </c>
    </row>
    <row r="3128" ht="33.75" customHeight="1">
      <c r="A3128" s="7">
        <v>104.0</v>
      </c>
      <c r="B3128" s="9" t="s">
        <v>6583</v>
      </c>
      <c r="C3128" s="9" t="s">
        <v>178</v>
      </c>
      <c r="D3128" s="9" t="s">
        <v>652</v>
      </c>
      <c r="E3128" s="6" t="s">
        <v>3846</v>
      </c>
      <c r="F3128" s="9" t="s">
        <v>7721</v>
      </c>
    </row>
    <row r="3129" ht="33.75" customHeight="1">
      <c r="A3129" s="7">
        <v>104.0</v>
      </c>
      <c r="B3129" s="9" t="s">
        <v>6583</v>
      </c>
      <c r="C3129" s="9" t="s">
        <v>178</v>
      </c>
      <c r="D3129" s="9" t="s">
        <v>111</v>
      </c>
      <c r="E3129" s="6" t="s">
        <v>3828</v>
      </c>
      <c r="F3129" s="9" t="s">
        <v>7721</v>
      </c>
    </row>
    <row r="3130" ht="33.75" customHeight="1">
      <c r="A3130" s="7">
        <v>104.0</v>
      </c>
      <c r="B3130" s="9" t="s">
        <v>6583</v>
      </c>
      <c r="C3130" s="9" t="s">
        <v>178</v>
      </c>
      <c r="D3130" s="9" t="s">
        <v>113</v>
      </c>
      <c r="E3130" s="6" t="s">
        <v>3828</v>
      </c>
      <c r="F3130" s="9" t="s">
        <v>7721</v>
      </c>
    </row>
    <row r="3131" ht="33.75" customHeight="1">
      <c r="A3131" s="7">
        <v>104.0</v>
      </c>
      <c r="B3131" s="9" t="s">
        <v>6583</v>
      </c>
      <c r="C3131" s="9" t="s">
        <v>178</v>
      </c>
      <c r="D3131" s="9" t="s">
        <v>114</v>
      </c>
      <c r="E3131" s="6" t="s">
        <v>3848</v>
      </c>
      <c r="F3131" s="9" t="s">
        <v>7721</v>
      </c>
    </row>
    <row r="3132" ht="33.75" customHeight="1">
      <c r="A3132" s="7">
        <v>104.0</v>
      </c>
      <c r="B3132" s="9" t="s">
        <v>6583</v>
      </c>
      <c r="C3132" s="9" t="s">
        <v>178</v>
      </c>
      <c r="D3132" s="9" t="s">
        <v>117</v>
      </c>
      <c r="E3132" s="6" t="s">
        <v>3850</v>
      </c>
      <c r="F3132" s="9" t="s">
        <v>7721</v>
      </c>
    </row>
    <row r="3133" ht="33.75" customHeight="1">
      <c r="A3133" s="7">
        <v>105.0</v>
      </c>
      <c r="B3133" s="9" t="s">
        <v>6661</v>
      </c>
      <c r="C3133" s="9" t="s">
        <v>179</v>
      </c>
      <c r="D3133" s="9" t="s">
        <v>24</v>
      </c>
      <c r="E3133" s="6" t="s">
        <v>3851</v>
      </c>
      <c r="F3133" s="9" t="s">
        <v>7858</v>
      </c>
      <c r="G3133" t="inlineStr" s="6">
        <is>
          <t xml:space="preserve">The bone it holds is Marowak's key weapon. It throws the bone skillfully like a boomerang to KO targets. Small and weak, this POKéMON is adept with its bone club. It has grown more vicious over the ages. It has been seen pounding boulders with the bone it carries in order to tap out messages to others. It collects bones from an unknown place. A MAROWAK graveyard exists somewhere in the world, rumors say. Somewhere in the world is a cemetery just for MAROWAK. It gets its bones from those graves. MAROWAK is the evolved form of a CUBONE that has overcome its sadness at the loss of its mother and grown tough. This POKéMON’s tempered and hardened spirit is not easily broken. A MAROWAK is the evolved form of a CUBONE that has grown tough by overcoming the grief of losing its mother. Its tempered and hardened spirit is not easily broken. It is small and was originally very weak. Its temperament turned ferocious when it began using bones. From its birth, this savage Pokémon constantly holds bones. It is skilled in using them as weapons. Some whisper that a MAROWAK graveyard exists somewhere in the world. Originally, it was weak and timid. After evolution, its temperament becomes violent, and it begins to wield bones as weapons. This Pokémon is out for vengeance on its natural enemy, Mandibuzz. It throws bones like boomerangs to try to take it down. It throws bones at Mandibuzz to knock it down. It’s thought that Marowak is trying to avenge its parent. They thump their bones rhythmically to communicate among themselves. There are nearly 50 different rhythmic patterns. This Pokémon overcame its sorrow to evolve a sturdy new body. Marowak faces its opponents bravely, using a bone as a weapon. When this Pokémon evolved, the skull of its mother fused to it. Marowak’s temperament also turned vicious at the same time.</t>
        </is>
      </c>
    </row>
    <row r="3134" ht="33.75" customHeight="1">
      <c r="A3134" s="7">
        <v>105.0</v>
      </c>
      <c r="B3134" s="9" t="s">
        <v>6661</v>
      </c>
      <c r="C3134" s="9" t="s">
        <v>179</v>
      </c>
      <c r="D3134" s="9" t="s">
        <v>35</v>
      </c>
      <c r="E3134" s="6" t="s">
        <v>3851</v>
      </c>
      <c r="F3134" s="9" t="s">
        <v>7858</v>
      </c>
    </row>
    <row r="3135" ht="33.75" customHeight="1">
      <c r="A3135" s="7">
        <v>105.0</v>
      </c>
      <c r="B3135" s="9" t="s">
        <v>6661</v>
      </c>
      <c r="C3135" s="9" t="s">
        <v>179</v>
      </c>
      <c r="D3135" s="9" t="s">
        <v>42</v>
      </c>
      <c r="E3135" s="6" t="s">
        <v>3853</v>
      </c>
      <c r="F3135" s="9" t="s">
        <v>7858</v>
      </c>
    </row>
    <row r="3136" ht="33.75" customHeight="1">
      <c r="A3136" s="7">
        <v>105.0</v>
      </c>
      <c r="B3136" s="9" t="s">
        <v>6661</v>
      </c>
      <c r="C3136" s="9" t="s">
        <v>179</v>
      </c>
      <c r="D3136" s="9" t="s">
        <v>52</v>
      </c>
      <c r="E3136" s="6" t="s">
        <v>3855</v>
      </c>
      <c r="F3136" s="9" t="s">
        <v>7858</v>
      </c>
    </row>
    <row r="3137" ht="33.75" customHeight="1">
      <c r="A3137" s="7">
        <v>105.0</v>
      </c>
      <c r="B3137" s="9" t="s">
        <v>6661</v>
      </c>
      <c r="C3137" s="9" t="s">
        <v>179</v>
      </c>
      <c r="D3137" s="9" t="s">
        <v>59</v>
      </c>
      <c r="E3137" s="6" t="s">
        <v>3857</v>
      </c>
      <c r="F3137" s="9" t="s">
        <v>7858</v>
      </c>
    </row>
    <row r="3138" ht="33.75" customHeight="1">
      <c r="A3138" s="7">
        <v>105.0</v>
      </c>
      <c r="B3138" s="9" t="s">
        <v>6661</v>
      </c>
      <c r="C3138" s="9" t="s">
        <v>179</v>
      </c>
      <c r="D3138" s="9" t="s">
        <v>64</v>
      </c>
      <c r="E3138" s="6" t="s">
        <v>3858</v>
      </c>
      <c r="F3138" s="9" t="s">
        <v>7858</v>
      </c>
    </row>
    <row r="3139" ht="33.75" customHeight="1">
      <c r="A3139" s="7">
        <v>105.0</v>
      </c>
      <c r="B3139" s="9" t="s">
        <v>6661</v>
      </c>
      <c r="C3139" s="9" t="s">
        <v>179</v>
      </c>
      <c r="D3139" s="9" t="s">
        <v>67</v>
      </c>
      <c r="E3139" s="6" t="s">
        <v>3859</v>
      </c>
      <c r="F3139" s="9" t="s">
        <v>7858</v>
      </c>
    </row>
    <row r="3140" ht="33.75" customHeight="1">
      <c r="A3140" s="7">
        <v>105.0</v>
      </c>
      <c r="B3140" s="9" t="s">
        <v>6661</v>
      </c>
      <c r="C3140" s="9" t="s">
        <v>179</v>
      </c>
      <c r="D3140" s="9" t="s">
        <v>71</v>
      </c>
      <c r="E3140" s="6" t="s">
        <v>3859</v>
      </c>
      <c r="F3140" s="9" t="s">
        <v>7858</v>
      </c>
    </row>
    <row r="3141" ht="33.75" customHeight="1">
      <c r="A3141" s="7">
        <v>105.0</v>
      </c>
      <c r="B3141" s="9" t="s">
        <v>6661</v>
      </c>
      <c r="C3141" s="9" t="s">
        <v>179</v>
      </c>
      <c r="D3141" s="9" t="s">
        <v>73</v>
      </c>
      <c r="E3141" s="6" t="s">
        <v>3860</v>
      </c>
      <c r="F3141" s="9" t="s">
        <v>7858</v>
      </c>
    </row>
    <row r="3142" ht="33.75" customHeight="1">
      <c r="A3142" s="7">
        <v>105.0</v>
      </c>
      <c r="B3142" s="9" t="s">
        <v>6661</v>
      </c>
      <c r="C3142" s="9" t="s">
        <v>179</v>
      </c>
      <c r="D3142" s="9" t="s">
        <v>75</v>
      </c>
      <c r="E3142" s="6" t="s">
        <v>3862</v>
      </c>
      <c r="F3142" s="9" t="s">
        <v>7858</v>
      </c>
    </row>
    <row r="3143" ht="33.75" customHeight="1">
      <c r="A3143" s="7">
        <v>105.0</v>
      </c>
      <c r="B3143" s="9" t="s">
        <v>6661</v>
      </c>
      <c r="C3143" s="9" t="s">
        <v>179</v>
      </c>
      <c r="D3143" s="9" t="s">
        <v>79</v>
      </c>
      <c r="E3143" s="6" t="s">
        <v>3851</v>
      </c>
      <c r="F3143" s="9" t="s">
        <v>7858</v>
      </c>
    </row>
    <row r="3144" ht="33.75" customHeight="1">
      <c r="A3144" s="7">
        <v>105.0</v>
      </c>
      <c r="B3144" s="9" t="s">
        <v>6661</v>
      </c>
      <c r="C3144" s="9" t="s">
        <v>179</v>
      </c>
      <c r="D3144" s="9" t="s">
        <v>81</v>
      </c>
      <c r="E3144" s="6" t="s">
        <v>3863</v>
      </c>
      <c r="F3144" s="9" t="s">
        <v>7858</v>
      </c>
    </row>
    <row r="3145" ht="33.75" customHeight="1">
      <c r="A3145" s="7">
        <v>105.0</v>
      </c>
      <c r="B3145" s="9" t="s">
        <v>6661</v>
      </c>
      <c r="C3145" s="9" t="s">
        <v>179</v>
      </c>
      <c r="D3145" s="9" t="s">
        <v>84</v>
      </c>
      <c r="E3145" s="6" t="s">
        <v>3863</v>
      </c>
      <c r="F3145" s="9" t="s">
        <v>7858</v>
      </c>
    </row>
    <row r="3146" ht="33.75" customHeight="1">
      <c r="A3146" s="7">
        <v>105.0</v>
      </c>
      <c r="B3146" s="9" t="s">
        <v>6661</v>
      </c>
      <c r="C3146" s="9" t="s">
        <v>179</v>
      </c>
      <c r="D3146" s="9" t="s">
        <v>87</v>
      </c>
      <c r="E3146" s="6" t="s">
        <v>3863</v>
      </c>
      <c r="F3146" s="9" t="s">
        <v>7858</v>
      </c>
    </row>
    <row r="3147" ht="33.75" customHeight="1">
      <c r="A3147" s="7">
        <v>105.0</v>
      </c>
      <c r="B3147" s="9" t="s">
        <v>6661</v>
      </c>
      <c r="C3147" s="9" t="s">
        <v>179</v>
      </c>
      <c r="D3147" s="9" t="s">
        <v>89</v>
      </c>
      <c r="E3147" s="6" t="s">
        <v>3865</v>
      </c>
      <c r="F3147" s="9" t="s">
        <v>7858</v>
      </c>
    </row>
    <row r="3148" ht="33.75" customHeight="1">
      <c r="A3148" s="7">
        <v>105.0</v>
      </c>
      <c r="B3148" s="9" t="s">
        <v>6661</v>
      </c>
      <c r="C3148" s="9" t="s">
        <v>179</v>
      </c>
      <c r="D3148" s="9" t="s">
        <v>91</v>
      </c>
      <c r="E3148" s="6" t="s">
        <v>3867</v>
      </c>
      <c r="F3148" s="9" t="s">
        <v>7858</v>
      </c>
    </row>
    <row r="3149" ht="33.75" customHeight="1">
      <c r="A3149" s="7">
        <v>105.0</v>
      </c>
      <c r="B3149" s="9" t="s">
        <v>6661</v>
      </c>
      <c r="C3149" s="9" t="s">
        <v>179</v>
      </c>
      <c r="D3149" s="9" t="s">
        <v>93</v>
      </c>
      <c r="E3149" s="6" t="s">
        <v>3863</v>
      </c>
      <c r="F3149" s="9" t="s">
        <v>7858</v>
      </c>
    </row>
    <row r="3150" ht="33.75" customHeight="1">
      <c r="A3150" s="7">
        <v>105.0</v>
      </c>
      <c r="B3150" s="9" t="s">
        <v>6661</v>
      </c>
      <c r="C3150" s="9" t="s">
        <v>179</v>
      </c>
      <c r="D3150" s="9" t="s">
        <v>95</v>
      </c>
      <c r="E3150" s="6" t="s">
        <v>3863</v>
      </c>
      <c r="F3150" s="9" t="s">
        <v>7858</v>
      </c>
    </row>
    <row r="3151" ht="33.75" customHeight="1">
      <c r="A3151" s="7">
        <v>105.0</v>
      </c>
      <c r="B3151" s="9" t="s">
        <v>6661</v>
      </c>
      <c r="C3151" s="9" t="s">
        <v>179</v>
      </c>
      <c r="D3151" s="9" t="s">
        <v>98</v>
      </c>
      <c r="E3151" s="6" t="s">
        <v>3863</v>
      </c>
      <c r="F3151" s="9" t="s">
        <v>7858</v>
      </c>
    </row>
    <row r="3152" ht="33.75" customHeight="1">
      <c r="A3152" s="7">
        <v>105.0</v>
      </c>
      <c r="B3152" s="9" t="s">
        <v>6661</v>
      </c>
      <c r="C3152" s="9" t="s">
        <v>179</v>
      </c>
      <c r="D3152" s="9" t="s">
        <v>99</v>
      </c>
      <c r="E3152" s="6" t="s">
        <v>3863</v>
      </c>
      <c r="F3152" s="9" t="s">
        <v>7858</v>
      </c>
    </row>
    <row r="3153" ht="33.75" customHeight="1">
      <c r="A3153" s="7">
        <v>105.0</v>
      </c>
      <c r="B3153" s="9" t="s">
        <v>6661</v>
      </c>
      <c r="C3153" s="9" t="s">
        <v>179</v>
      </c>
      <c r="D3153" s="9" t="s">
        <v>101</v>
      </c>
      <c r="E3153" s="6" t="s">
        <v>3862</v>
      </c>
      <c r="F3153" s="9" t="s">
        <v>7858</v>
      </c>
    </row>
    <row r="3154" ht="33.75" customHeight="1">
      <c r="A3154" s="7">
        <v>105.0</v>
      </c>
      <c r="B3154" s="9" t="s">
        <v>6661</v>
      </c>
      <c r="C3154" s="9" t="s">
        <v>179</v>
      </c>
      <c r="D3154" s="9" t="s">
        <v>105</v>
      </c>
      <c r="E3154" s="6" t="s">
        <v>3851</v>
      </c>
      <c r="F3154" s="9" t="s">
        <v>7858</v>
      </c>
    </row>
    <row r="3155" ht="33.75" customHeight="1">
      <c r="A3155" s="7">
        <v>105.0</v>
      </c>
      <c r="B3155" s="9" t="s">
        <v>6661</v>
      </c>
      <c r="C3155" s="9" t="s">
        <v>179</v>
      </c>
      <c r="D3155" s="9" t="s">
        <v>107</v>
      </c>
      <c r="E3155" s="6" t="s">
        <v>3870</v>
      </c>
      <c r="F3155" s="9" t="s">
        <v>7858</v>
      </c>
    </row>
    <row r="3156" ht="33.75" customHeight="1">
      <c r="A3156" s="7">
        <v>105.0</v>
      </c>
      <c r="B3156" s="9" t="s">
        <v>6661</v>
      </c>
      <c r="C3156" s="9" t="s">
        <v>179</v>
      </c>
      <c r="D3156" s="9" t="s">
        <v>109</v>
      </c>
      <c r="E3156" s="6" t="s">
        <v>3870</v>
      </c>
      <c r="F3156" s="9" t="s">
        <v>7858</v>
      </c>
    </row>
    <row r="3157" ht="33.75" customHeight="1">
      <c r="A3157" s="7">
        <v>105.0</v>
      </c>
      <c r="B3157" s="9" t="s">
        <v>6661</v>
      </c>
      <c r="C3157" s="9" t="s">
        <v>179</v>
      </c>
      <c r="D3157" s="9" t="s">
        <v>637</v>
      </c>
      <c r="E3157" s="6" t="s">
        <v>3872</v>
      </c>
      <c r="F3157" s="9" t="s">
        <v>7858</v>
      </c>
    </row>
    <row r="3158" ht="33.75" customHeight="1">
      <c r="A3158" s="7">
        <v>105.0</v>
      </c>
      <c r="B3158" s="9" t="s">
        <v>6661</v>
      </c>
      <c r="C3158" s="9" t="s">
        <v>179</v>
      </c>
      <c r="D3158" s="9" t="s">
        <v>642</v>
      </c>
      <c r="E3158" s="6" t="s">
        <v>3873</v>
      </c>
      <c r="F3158" s="9" t="s">
        <v>7858</v>
      </c>
    </row>
    <row r="3159" ht="33.75" customHeight="1">
      <c r="A3159" s="7">
        <v>105.0</v>
      </c>
      <c r="B3159" s="9" t="s">
        <v>6661</v>
      </c>
      <c r="C3159" s="9" t="s">
        <v>179</v>
      </c>
      <c r="D3159" s="9" t="s">
        <v>647</v>
      </c>
      <c r="E3159" s="6" t="s">
        <v>3875</v>
      </c>
      <c r="F3159" s="9" t="s">
        <v>7858</v>
      </c>
    </row>
    <row r="3160" ht="33.75" customHeight="1">
      <c r="A3160" s="7">
        <v>105.0</v>
      </c>
      <c r="B3160" s="9" t="s">
        <v>6661</v>
      </c>
      <c r="C3160" s="9" t="s">
        <v>179</v>
      </c>
      <c r="D3160" s="9" t="s">
        <v>652</v>
      </c>
      <c r="E3160" s="6" t="s">
        <v>3877</v>
      </c>
      <c r="F3160" s="9" t="s">
        <v>7858</v>
      </c>
    </row>
    <row r="3161" ht="33.75" customHeight="1">
      <c r="A3161" s="7">
        <v>105.0</v>
      </c>
      <c r="B3161" s="9" t="s">
        <v>6661</v>
      </c>
      <c r="C3161" s="9" t="s">
        <v>179</v>
      </c>
      <c r="D3161" s="9" t="s">
        <v>111</v>
      </c>
      <c r="E3161" s="6" t="s">
        <v>3878</v>
      </c>
      <c r="F3161" s="9" t="s">
        <v>7858</v>
      </c>
    </row>
    <row r="3162" ht="33.75" customHeight="1">
      <c r="A3162" s="7">
        <v>105.0</v>
      </c>
      <c r="B3162" s="9" t="s">
        <v>6661</v>
      </c>
      <c r="C3162" s="9" t="s">
        <v>179</v>
      </c>
      <c r="D3162" s="9" t="s">
        <v>113</v>
      </c>
      <c r="E3162" s="6" t="s">
        <v>3878</v>
      </c>
      <c r="F3162" s="9" t="s">
        <v>7858</v>
      </c>
    </row>
    <row r="3163" ht="33.75" customHeight="1">
      <c r="A3163" s="7">
        <v>105.0</v>
      </c>
      <c r="B3163" s="9" t="s">
        <v>6661</v>
      </c>
      <c r="C3163" s="9" t="s">
        <v>179</v>
      </c>
      <c r="D3163" s="9" t="s">
        <v>114</v>
      </c>
      <c r="E3163" s="6" t="s">
        <v>3880</v>
      </c>
      <c r="F3163" s="9" t="s">
        <v>7858</v>
      </c>
    </row>
    <row r="3164" ht="33.75" customHeight="1">
      <c r="A3164" s="7">
        <v>105.0</v>
      </c>
      <c r="B3164" s="9" t="s">
        <v>6661</v>
      </c>
      <c r="C3164" s="9" t="s">
        <v>179</v>
      </c>
      <c r="D3164" s="9" t="s">
        <v>117</v>
      </c>
      <c r="E3164" s="6" t="s">
        <v>3882</v>
      </c>
      <c r="F3164" s="9" t="s">
        <v>7858</v>
      </c>
    </row>
    <row r="3165" ht="33.75" customHeight="1">
      <c r="A3165" s="7">
        <v>106.0</v>
      </c>
      <c r="B3165" s="9" t="s">
        <v>6731</v>
      </c>
      <c r="C3165" s="9" t="s">
        <v>181</v>
      </c>
      <c r="D3165" s="9" t="s">
        <v>24</v>
      </c>
      <c r="E3165" s="6" t="s">
        <v>3884</v>
      </c>
      <c r="F3165" s="9" t="s">
        <v>7972</v>
      </c>
      <c r="G3165" t="inlineStr" s="6">
        <is>
          <t xml:space="preserve">When in a hurry, Hitmonlee's legs lengthen progressively. It runs smoothly with extra long, loping strides. When kicking, the sole of its foot turns as hard as a diamond on impact and destroys its enemy. This amazing POKé MON has an awesome sense of balance. It can kick in succession from any position. If it starts kick ing repeatedly, both legs will stretch even long er to strike a fleeing foe. It is also called the Kick Master. It uses its elastic legs to execute every known kick. HITMONLEE’s legs freely contract and stretch. Using these springlike legs, it bowls over foes with devastating kicks. After battle, it rubs down its legs and loosens the muscles to overcome fatigue. Its legs freely stretch and contract. Using these springlike limbs, it bowls over foes with devastating kicks. After battle, it rubs down its tired legs. The legs freely contract and stretch. The stretchy legs allow it to hit a distant foe with a rising kick. It runs smoothly with extra-long, loping strides. Its legs can stretch double. First-time foes are startled by its extensible reach. This amazing Pokémon has an awesome sense of balance. If it starts kicking repeatedly, both legs will stretch even longer to strike a fleeing foe.</t>
        </is>
      </c>
    </row>
    <row r="3166" ht="33.75" customHeight="1">
      <c r="A3166" s="7">
        <v>106.0</v>
      </c>
      <c r="B3166" s="9" t="s">
        <v>6731</v>
      </c>
      <c r="C3166" s="9" t="s">
        <v>181</v>
      </c>
      <c r="D3166" s="9" t="s">
        <v>35</v>
      </c>
      <c r="E3166" s="6" t="s">
        <v>3884</v>
      </c>
      <c r="F3166" s="9" t="s">
        <v>7972</v>
      </c>
    </row>
    <row r="3167" ht="33.75" customHeight="1">
      <c r="A3167" s="7">
        <v>106.0</v>
      </c>
      <c r="B3167" s="9" t="s">
        <v>6731</v>
      </c>
      <c r="C3167" s="9" t="s">
        <v>181</v>
      </c>
      <c r="D3167" s="9" t="s">
        <v>42</v>
      </c>
      <c r="E3167" s="6" t="s">
        <v>3887</v>
      </c>
      <c r="F3167" s="9" t="s">
        <v>7972</v>
      </c>
    </row>
    <row r="3168" ht="33.75" customHeight="1">
      <c r="A3168" s="7">
        <v>106.0</v>
      </c>
      <c r="B3168" s="9" t="s">
        <v>6731</v>
      </c>
      <c r="C3168" s="9" t="s">
        <v>181</v>
      </c>
      <c r="D3168" s="9" t="s">
        <v>52</v>
      </c>
      <c r="E3168" s="6" t="s">
        <v>3888</v>
      </c>
      <c r="F3168" s="9" t="s">
        <v>7972</v>
      </c>
    </row>
    <row r="3169" ht="33.75" customHeight="1">
      <c r="A3169" s="7">
        <v>106.0</v>
      </c>
      <c r="B3169" s="9" t="s">
        <v>6731</v>
      </c>
      <c r="C3169" s="9" t="s">
        <v>181</v>
      </c>
      <c r="D3169" s="9" t="s">
        <v>59</v>
      </c>
      <c r="E3169" s="6" t="s">
        <v>3890</v>
      </c>
      <c r="F3169" s="9" t="s">
        <v>7972</v>
      </c>
    </row>
    <row r="3170" ht="33.75" customHeight="1">
      <c r="A3170" s="7">
        <v>106.0</v>
      </c>
      <c r="B3170" s="9" t="s">
        <v>6731</v>
      </c>
      <c r="C3170" s="9" t="s">
        <v>181</v>
      </c>
      <c r="D3170" s="9" t="s">
        <v>64</v>
      </c>
      <c r="E3170" s="6" t="s">
        <v>3892</v>
      </c>
      <c r="F3170" s="9" t="s">
        <v>7972</v>
      </c>
    </row>
    <row r="3171" ht="33.75" customHeight="1">
      <c r="A3171" s="7">
        <v>106.0</v>
      </c>
      <c r="B3171" s="9" t="s">
        <v>6731</v>
      </c>
      <c r="C3171" s="9" t="s">
        <v>181</v>
      </c>
      <c r="D3171" s="9" t="s">
        <v>67</v>
      </c>
      <c r="E3171" s="6" t="s">
        <v>3893</v>
      </c>
      <c r="F3171" s="9" t="s">
        <v>7972</v>
      </c>
    </row>
    <row r="3172" ht="33.75" customHeight="1">
      <c r="A3172" s="7">
        <v>106.0</v>
      </c>
      <c r="B3172" s="9" t="s">
        <v>6731</v>
      </c>
      <c r="C3172" s="9" t="s">
        <v>181</v>
      </c>
      <c r="D3172" s="9" t="s">
        <v>71</v>
      </c>
      <c r="E3172" s="6" t="s">
        <v>3893</v>
      </c>
      <c r="F3172" s="9" t="s">
        <v>7972</v>
      </c>
    </row>
    <row r="3173" ht="33.75" customHeight="1">
      <c r="A3173" s="7">
        <v>106.0</v>
      </c>
      <c r="B3173" s="9" t="s">
        <v>6731</v>
      </c>
      <c r="C3173" s="9" t="s">
        <v>181</v>
      </c>
      <c r="D3173" s="9" t="s">
        <v>73</v>
      </c>
      <c r="E3173" s="6" t="s">
        <v>3895</v>
      </c>
      <c r="F3173" s="9" t="s">
        <v>7972</v>
      </c>
    </row>
    <row r="3174" ht="33.75" customHeight="1">
      <c r="A3174" s="7">
        <v>106.0</v>
      </c>
      <c r="B3174" s="9" t="s">
        <v>6731</v>
      </c>
      <c r="C3174" s="9" t="s">
        <v>181</v>
      </c>
      <c r="D3174" s="9" t="s">
        <v>75</v>
      </c>
      <c r="E3174" s="6" t="s">
        <v>3897</v>
      </c>
      <c r="F3174" s="9" t="s">
        <v>7972</v>
      </c>
    </row>
    <row r="3175" ht="33.75" customHeight="1">
      <c r="A3175" s="7">
        <v>106.0</v>
      </c>
      <c r="B3175" s="9" t="s">
        <v>6731</v>
      </c>
      <c r="C3175" s="9" t="s">
        <v>181</v>
      </c>
      <c r="D3175" s="9" t="s">
        <v>79</v>
      </c>
      <c r="E3175" s="6" t="s">
        <v>3898</v>
      </c>
      <c r="F3175" s="9" t="s">
        <v>7972</v>
      </c>
    </row>
    <row r="3176" ht="33.75" customHeight="1">
      <c r="A3176" s="7">
        <v>106.0</v>
      </c>
      <c r="B3176" s="9" t="s">
        <v>6731</v>
      </c>
      <c r="C3176" s="9" t="s">
        <v>181</v>
      </c>
      <c r="D3176" s="9" t="s">
        <v>81</v>
      </c>
      <c r="E3176" s="6" t="s">
        <v>3899</v>
      </c>
      <c r="F3176" s="9" t="s">
        <v>7972</v>
      </c>
    </row>
    <row r="3177" ht="33.75" customHeight="1">
      <c r="A3177" s="7">
        <v>106.0</v>
      </c>
      <c r="B3177" s="9" t="s">
        <v>6731</v>
      </c>
      <c r="C3177" s="9" t="s">
        <v>181</v>
      </c>
      <c r="D3177" s="9" t="s">
        <v>84</v>
      </c>
      <c r="E3177" s="6" t="s">
        <v>3899</v>
      </c>
      <c r="F3177" s="9" t="s">
        <v>7972</v>
      </c>
    </row>
    <row r="3178" ht="33.75" customHeight="1">
      <c r="A3178" s="7">
        <v>106.0</v>
      </c>
      <c r="B3178" s="9" t="s">
        <v>6731</v>
      </c>
      <c r="C3178" s="9" t="s">
        <v>181</v>
      </c>
      <c r="D3178" s="9" t="s">
        <v>87</v>
      </c>
      <c r="E3178" s="6" t="s">
        <v>3899</v>
      </c>
      <c r="F3178" s="9" t="s">
        <v>7972</v>
      </c>
    </row>
    <row r="3179" ht="33.75" customHeight="1">
      <c r="A3179" s="7">
        <v>106.0</v>
      </c>
      <c r="B3179" s="9" t="s">
        <v>6731</v>
      </c>
      <c r="C3179" s="9" t="s">
        <v>181</v>
      </c>
      <c r="D3179" s="9" t="s">
        <v>89</v>
      </c>
      <c r="E3179" s="6" t="s">
        <v>3900</v>
      </c>
      <c r="F3179" s="9" t="s">
        <v>7972</v>
      </c>
    </row>
    <row r="3180" ht="33.75" customHeight="1">
      <c r="A3180" s="7">
        <v>106.0</v>
      </c>
      <c r="B3180" s="9" t="s">
        <v>6731</v>
      </c>
      <c r="C3180" s="9" t="s">
        <v>181</v>
      </c>
      <c r="D3180" s="9" t="s">
        <v>91</v>
      </c>
      <c r="E3180" s="6" t="s">
        <v>3901</v>
      </c>
      <c r="F3180" s="9" t="s">
        <v>7972</v>
      </c>
    </row>
    <row r="3181" ht="33.75" customHeight="1">
      <c r="A3181" s="7">
        <v>106.0</v>
      </c>
      <c r="B3181" s="9" t="s">
        <v>6731</v>
      </c>
      <c r="C3181" s="9" t="s">
        <v>181</v>
      </c>
      <c r="D3181" s="9" t="s">
        <v>93</v>
      </c>
      <c r="E3181" s="6" t="s">
        <v>3899</v>
      </c>
      <c r="F3181" s="9" t="s">
        <v>7972</v>
      </c>
    </row>
    <row r="3182" ht="33.75" customHeight="1">
      <c r="A3182" s="7">
        <v>106.0</v>
      </c>
      <c r="B3182" s="9" t="s">
        <v>6731</v>
      </c>
      <c r="C3182" s="9" t="s">
        <v>181</v>
      </c>
      <c r="D3182" s="9" t="s">
        <v>95</v>
      </c>
      <c r="E3182" s="6" t="s">
        <v>3899</v>
      </c>
      <c r="F3182" s="9" t="s">
        <v>7972</v>
      </c>
    </row>
    <row r="3183" ht="33.75" customHeight="1">
      <c r="A3183" s="7">
        <v>106.0</v>
      </c>
      <c r="B3183" s="9" t="s">
        <v>6731</v>
      </c>
      <c r="C3183" s="9" t="s">
        <v>181</v>
      </c>
      <c r="D3183" s="9" t="s">
        <v>98</v>
      </c>
      <c r="E3183" s="6" t="s">
        <v>3899</v>
      </c>
      <c r="F3183" s="9" t="s">
        <v>7972</v>
      </c>
    </row>
    <row r="3184" ht="33.75" customHeight="1">
      <c r="A3184" s="7">
        <v>106.0</v>
      </c>
      <c r="B3184" s="9" t="s">
        <v>6731</v>
      </c>
      <c r="C3184" s="9" t="s">
        <v>181</v>
      </c>
      <c r="D3184" s="9" t="s">
        <v>99</v>
      </c>
      <c r="E3184" s="6" t="s">
        <v>3899</v>
      </c>
      <c r="F3184" s="9" t="s">
        <v>7972</v>
      </c>
    </row>
    <row r="3185" ht="33.75" customHeight="1">
      <c r="A3185" s="7">
        <v>106.0</v>
      </c>
      <c r="B3185" s="9" t="s">
        <v>6731</v>
      </c>
      <c r="C3185" s="9" t="s">
        <v>181</v>
      </c>
      <c r="D3185" s="9" t="s">
        <v>101</v>
      </c>
      <c r="E3185" s="6" t="s">
        <v>3897</v>
      </c>
      <c r="F3185" s="9" t="s">
        <v>7972</v>
      </c>
    </row>
    <row r="3186" ht="33.75" customHeight="1">
      <c r="A3186" s="7">
        <v>106.0</v>
      </c>
      <c r="B3186" s="9" t="s">
        <v>6731</v>
      </c>
      <c r="C3186" s="9" t="s">
        <v>181</v>
      </c>
      <c r="D3186" s="9" t="s">
        <v>105</v>
      </c>
      <c r="E3186" s="6" t="s">
        <v>3901</v>
      </c>
      <c r="F3186" s="9" t="s">
        <v>7972</v>
      </c>
    </row>
    <row r="3187" ht="33.75" customHeight="1">
      <c r="A3187" s="7">
        <v>106.0</v>
      </c>
      <c r="B3187" s="9" t="s">
        <v>6731</v>
      </c>
      <c r="C3187" s="9" t="s">
        <v>181</v>
      </c>
      <c r="D3187" s="9" t="s">
        <v>107</v>
      </c>
      <c r="E3187" s="6" t="s">
        <v>3902</v>
      </c>
      <c r="F3187" s="9" t="s">
        <v>7972</v>
      </c>
    </row>
    <row r="3188" ht="33.75" customHeight="1">
      <c r="A3188" s="7">
        <v>106.0</v>
      </c>
      <c r="B3188" s="9" t="s">
        <v>6731</v>
      </c>
      <c r="C3188" s="9" t="s">
        <v>181</v>
      </c>
      <c r="D3188" s="9" t="s">
        <v>109</v>
      </c>
      <c r="E3188" s="6" t="s">
        <v>3902</v>
      </c>
      <c r="F3188" s="9" t="s">
        <v>7972</v>
      </c>
    </row>
    <row r="3189" ht="33.75" customHeight="1">
      <c r="A3189" s="7">
        <v>106.0</v>
      </c>
      <c r="B3189" s="9" t="s">
        <v>6731</v>
      </c>
      <c r="C3189" s="9" t="s">
        <v>181</v>
      </c>
      <c r="D3189" s="9" t="s">
        <v>111</v>
      </c>
      <c r="E3189" s="6" t="s">
        <v>3903</v>
      </c>
      <c r="F3189" s="9" t="s">
        <v>7972</v>
      </c>
    </row>
    <row r="3190" ht="33.75" customHeight="1">
      <c r="A3190" s="7">
        <v>106.0</v>
      </c>
      <c r="B3190" s="9" t="s">
        <v>6731</v>
      </c>
      <c r="C3190" s="9" t="s">
        <v>181</v>
      </c>
      <c r="D3190" s="9" t="s">
        <v>113</v>
      </c>
      <c r="E3190" s="6" t="s">
        <v>3903</v>
      </c>
      <c r="F3190" s="9" t="s">
        <v>7972</v>
      </c>
    </row>
    <row r="3191" ht="33.75" customHeight="1">
      <c r="A3191" s="7">
        <v>106.0</v>
      </c>
      <c r="B3191" s="9" t="s">
        <v>6731</v>
      </c>
      <c r="C3191" s="9" t="s">
        <v>181</v>
      </c>
      <c r="D3191" s="9" t="s">
        <v>114</v>
      </c>
      <c r="E3191" s="6" t="s">
        <v>3900</v>
      </c>
      <c r="F3191" s="9" t="s">
        <v>7972</v>
      </c>
    </row>
    <row r="3192" ht="33.75" customHeight="1">
      <c r="A3192" s="7">
        <v>106.0</v>
      </c>
      <c r="B3192" s="9" t="s">
        <v>6731</v>
      </c>
      <c r="C3192" s="9" t="s">
        <v>181</v>
      </c>
      <c r="D3192" s="9" t="s">
        <v>117</v>
      </c>
      <c r="E3192" s="6" t="s">
        <v>3897</v>
      </c>
      <c r="F3192" s="9" t="s">
        <v>7972</v>
      </c>
    </row>
    <row r="3193" ht="33.75" customHeight="1">
      <c r="A3193" s="7">
        <v>107.0</v>
      </c>
      <c r="B3193" s="9" t="s">
        <v>6773</v>
      </c>
      <c r="C3193" s="9" t="s">
        <v>184</v>
      </c>
      <c r="D3193" s="9" t="s">
        <v>24</v>
      </c>
      <c r="E3193" s="6" t="s">
        <v>3904</v>
      </c>
      <c r="F3193" s="9" t="s">
        <v>8060</v>
      </c>
      <c r="G3193" t="inlineStr" s="6">
        <is>
          <t xml:space="preserve">While apparently doing nothing, it fires punches in lightning fast volleys that are impossible to see. Punches in corkscrew fashion. It can punch its way through a concrete wall in the same way as a drill. Its punches slice the air. However, it seems to need a short break after fighting for three minutes. They are launched at such high speed, even a slight graze could cause a burn. To increase the strength of all its punch moves, it spins its arms just before making contact. HITMONCHAN is said to possess the spirit of a boxer who had been working towards a world championship. This POKéMON has an indomitable spirit and will never give up in the face of adversity. A HITMONCHAN is said to possess the spirit of a boxer who aimed to become the world champion. Having an indomitable spirit means that it will never give up. The spirit of a pro boxer has infused this POKéMON. It throws punches that are faster than a bullet train. While apparently doing nothing, it fires punches in lightning-fast volleys that are impossible to see. The arm-twisting punches it throws pulverize even concrete. It rests after three minutes of fighting. Hitmonchan is said to possess the spirit of a boxer who had been working toward a world championship. It can punch its way through a concrete wall like a drill.</t>
        </is>
      </c>
    </row>
    <row r="3194" ht="33.75" customHeight="1">
      <c r="A3194" s="7">
        <v>107.0</v>
      </c>
      <c r="B3194" s="9" t="s">
        <v>6773</v>
      </c>
      <c r="C3194" s="9" t="s">
        <v>184</v>
      </c>
      <c r="D3194" s="9" t="s">
        <v>35</v>
      </c>
      <c r="E3194" s="6" t="s">
        <v>3904</v>
      </c>
      <c r="F3194" s="9" t="s">
        <v>8060</v>
      </c>
    </row>
    <row r="3195" ht="33.75" customHeight="1">
      <c r="A3195" s="7">
        <v>107.0</v>
      </c>
      <c r="B3195" s="9" t="s">
        <v>6773</v>
      </c>
      <c r="C3195" s="9" t="s">
        <v>184</v>
      </c>
      <c r="D3195" s="9" t="s">
        <v>42</v>
      </c>
      <c r="E3195" s="6" t="s">
        <v>3905</v>
      </c>
      <c r="F3195" s="9" t="s">
        <v>8060</v>
      </c>
    </row>
    <row r="3196" ht="33.75" customHeight="1">
      <c r="A3196" s="7">
        <v>107.0</v>
      </c>
      <c r="B3196" s="9" t="s">
        <v>6773</v>
      </c>
      <c r="C3196" s="9" t="s">
        <v>184</v>
      </c>
      <c r="D3196" s="9" t="s">
        <v>52</v>
      </c>
      <c r="E3196" s="6" t="s">
        <v>3907</v>
      </c>
      <c r="F3196" s="9" t="s">
        <v>8060</v>
      </c>
    </row>
    <row r="3197" ht="33.75" customHeight="1">
      <c r="A3197" s="7">
        <v>107.0</v>
      </c>
      <c r="B3197" s="9" t="s">
        <v>6773</v>
      </c>
      <c r="C3197" s="9" t="s">
        <v>184</v>
      </c>
      <c r="D3197" s="9" t="s">
        <v>59</v>
      </c>
      <c r="E3197" s="6" t="s">
        <v>3908</v>
      </c>
      <c r="F3197" s="9" t="s">
        <v>8060</v>
      </c>
    </row>
    <row r="3198" ht="33.75" customHeight="1">
      <c r="A3198" s="7">
        <v>107.0</v>
      </c>
      <c r="B3198" s="9" t="s">
        <v>6773</v>
      </c>
      <c r="C3198" s="9" t="s">
        <v>184</v>
      </c>
      <c r="D3198" s="9" t="s">
        <v>64</v>
      </c>
      <c r="E3198" s="6" t="s">
        <v>3909</v>
      </c>
      <c r="F3198" s="9" t="s">
        <v>8060</v>
      </c>
    </row>
    <row r="3199" ht="33.75" customHeight="1">
      <c r="A3199" s="7">
        <v>107.0</v>
      </c>
      <c r="B3199" s="9" t="s">
        <v>6773</v>
      </c>
      <c r="C3199" s="9" t="s">
        <v>184</v>
      </c>
      <c r="D3199" s="9" t="s">
        <v>67</v>
      </c>
      <c r="E3199" s="6" t="s">
        <v>3911</v>
      </c>
      <c r="F3199" s="9" t="s">
        <v>8060</v>
      </c>
    </row>
    <row r="3200" ht="33.75" customHeight="1">
      <c r="A3200" s="7">
        <v>107.0</v>
      </c>
      <c r="B3200" s="9" t="s">
        <v>6773</v>
      </c>
      <c r="C3200" s="9" t="s">
        <v>184</v>
      </c>
      <c r="D3200" s="9" t="s">
        <v>71</v>
      </c>
      <c r="E3200" s="6" t="s">
        <v>3911</v>
      </c>
      <c r="F3200" s="9" t="s">
        <v>8060</v>
      </c>
    </row>
    <row r="3201" ht="33.75" customHeight="1">
      <c r="A3201" s="7">
        <v>107.0</v>
      </c>
      <c r="B3201" s="9" t="s">
        <v>6773</v>
      </c>
      <c r="C3201" s="9" t="s">
        <v>184</v>
      </c>
      <c r="D3201" s="9" t="s">
        <v>73</v>
      </c>
      <c r="E3201" s="6" t="s">
        <v>3913</v>
      </c>
      <c r="F3201" s="9" t="s">
        <v>8060</v>
      </c>
    </row>
    <row r="3202" ht="33.75" customHeight="1">
      <c r="A3202" s="7">
        <v>107.0</v>
      </c>
      <c r="B3202" s="9" t="s">
        <v>6773</v>
      </c>
      <c r="C3202" s="9" t="s">
        <v>184</v>
      </c>
      <c r="D3202" s="9" t="s">
        <v>75</v>
      </c>
      <c r="E3202" s="6" t="s">
        <v>3914</v>
      </c>
      <c r="F3202" s="9" t="s">
        <v>8060</v>
      </c>
    </row>
    <row r="3203" ht="33.75" customHeight="1">
      <c r="A3203" s="7">
        <v>107.0</v>
      </c>
      <c r="B3203" s="9" t="s">
        <v>6773</v>
      </c>
      <c r="C3203" s="9" t="s">
        <v>184</v>
      </c>
      <c r="D3203" s="9" t="s">
        <v>79</v>
      </c>
      <c r="E3203" s="6" t="s">
        <v>3917</v>
      </c>
      <c r="F3203" s="9" t="s">
        <v>8060</v>
      </c>
    </row>
    <row r="3204" ht="33.75" customHeight="1">
      <c r="A3204" s="7">
        <v>107.0</v>
      </c>
      <c r="B3204" s="9" t="s">
        <v>6773</v>
      </c>
      <c r="C3204" s="9" t="s">
        <v>184</v>
      </c>
      <c r="D3204" s="9" t="s">
        <v>81</v>
      </c>
      <c r="E3204" s="6" t="s">
        <v>3919</v>
      </c>
      <c r="F3204" s="9" t="s">
        <v>8060</v>
      </c>
    </row>
    <row r="3205" ht="33.75" customHeight="1">
      <c r="A3205" s="7">
        <v>107.0</v>
      </c>
      <c r="B3205" s="9" t="s">
        <v>6773</v>
      </c>
      <c r="C3205" s="9" t="s">
        <v>184</v>
      </c>
      <c r="D3205" s="9" t="s">
        <v>84</v>
      </c>
      <c r="E3205" s="6" t="s">
        <v>3919</v>
      </c>
      <c r="F3205" s="9" t="s">
        <v>8060</v>
      </c>
    </row>
    <row r="3206" ht="33.75" customHeight="1">
      <c r="A3206" s="7">
        <v>107.0</v>
      </c>
      <c r="B3206" s="9" t="s">
        <v>6773</v>
      </c>
      <c r="C3206" s="9" t="s">
        <v>184</v>
      </c>
      <c r="D3206" s="9" t="s">
        <v>87</v>
      </c>
      <c r="E3206" s="6" t="s">
        <v>3919</v>
      </c>
      <c r="F3206" s="9" t="s">
        <v>8060</v>
      </c>
    </row>
    <row r="3207" ht="33.75" customHeight="1">
      <c r="A3207" s="7">
        <v>107.0</v>
      </c>
      <c r="B3207" s="9" t="s">
        <v>6773</v>
      </c>
      <c r="C3207" s="9" t="s">
        <v>184</v>
      </c>
      <c r="D3207" s="9" t="s">
        <v>89</v>
      </c>
      <c r="E3207" s="6" t="s">
        <v>3907</v>
      </c>
      <c r="F3207" s="9" t="s">
        <v>8060</v>
      </c>
    </row>
    <row r="3208" ht="33.75" customHeight="1">
      <c r="A3208" s="7">
        <v>107.0</v>
      </c>
      <c r="B3208" s="9" t="s">
        <v>6773</v>
      </c>
      <c r="C3208" s="9" t="s">
        <v>184</v>
      </c>
      <c r="D3208" s="9" t="s">
        <v>91</v>
      </c>
      <c r="E3208" s="6" t="s">
        <v>3908</v>
      </c>
      <c r="F3208" s="9" t="s">
        <v>8060</v>
      </c>
    </row>
    <row r="3209" ht="33.75" customHeight="1">
      <c r="A3209" s="7">
        <v>107.0</v>
      </c>
      <c r="B3209" s="9" t="s">
        <v>6773</v>
      </c>
      <c r="C3209" s="9" t="s">
        <v>184</v>
      </c>
      <c r="D3209" s="9" t="s">
        <v>93</v>
      </c>
      <c r="E3209" s="6" t="s">
        <v>3919</v>
      </c>
      <c r="F3209" s="9" t="s">
        <v>8060</v>
      </c>
    </row>
    <row r="3210" ht="33.75" customHeight="1">
      <c r="A3210" s="7">
        <v>107.0</v>
      </c>
      <c r="B3210" s="9" t="s">
        <v>6773</v>
      </c>
      <c r="C3210" s="9" t="s">
        <v>184</v>
      </c>
      <c r="D3210" s="9" t="s">
        <v>95</v>
      </c>
      <c r="E3210" s="6" t="s">
        <v>3919</v>
      </c>
      <c r="F3210" s="9" t="s">
        <v>8060</v>
      </c>
    </row>
    <row r="3211" ht="33.75" customHeight="1">
      <c r="A3211" s="7">
        <v>107.0</v>
      </c>
      <c r="B3211" s="9" t="s">
        <v>6773</v>
      </c>
      <c r="C3211" s="9" t="s">
        <v>184</v>
      </c>
      <c r="D3211" s="9" t="s">
        <v>98</v>
      </c>
      <c r="E3211" s="6" t="s">
        <v>3919</v>
      </c>
      <c r="F3211" s="9" t="s">
        <v>8060</v>
      </c>
    </row>
    <row r="3212" ht="33.75" customHeight="1">
      <c r="A3212" s="7">
        <v>107.0</v>
      </c>
      <c r="B3212" s="9" t="s">
        <v>6773</v>
      </c>
      <c r="C3212" s="9" t="s">
        <v>184</v>
      </c>
      <c r="D3212" s="9" t="s">
        <v>99</v>
      </c>
      <c r="E3212" s="6" t="s">
        <v>3919</v>
      </c>
      <c r="F3212" s="9" t="s">
        <v>8060</v>
      </c>
    </row>
    <row r="3213" ht="33.75" customHeight="1">
      <c r="A3213" s="7">
        <v>107.0</v>
      </c>
      <c r="B3213" s="9" t="s">
        <v>6773</v>
      </c>
      <c r="C3213" s="9" t="s">
        <v>184</v>
      </c>
      <c r="D3213" s="9" t="s">
        <v>101</v>
      </c>
      <c r="E3213" s="6" t="s">
        <v>3919</v>
      </c>
      <c r="F3213" s="9" t="s">
        <v>8060</v>
      </c>
    </row>
    <row r="3214" ht="33.75" customHeight="1">
      <c r="A3214" s="7">
        <v>107.0</v>
      </c>
      <c r="B3214" s="9" t="s">
        <v>6773</v>
      </c>
      <c r="C3214" s="9" t="s">
        <v>184</v>
      </c>
      <c r="D3214" s="9" t="s">
        <v>105</v>
      </c>
      <c r="E3214" s="6" t="s">
        <v>3921</v>
      </c>
      <c r="F3214" s="9" t="s">
        <v>8060</v>
      </c>
    </row>
    <row r="3215" ht="33.75" customHeight="1">
      <c r="A3215" s="7">
        <v>107.0</v>
      </c>
      <c r="B3215" s="9" t="s">
        <v>6773</v>
      </c>
      <c r="C3215" s="9" t="s">
        <v>184</v>
      </c>
      <c r="D3215" s="9" t="s">
        <v>107</v>
      </c>
      <c r="E3215" s="6" t="s">
        <v>3922</v>
      </c>
      <c r="F3215" s="9" t="s">
        <v>8060</v>
      </c>
    </row>
    <row r="3216" ht="33.75" customHeight="1">
      <c r="A3216" s="7">
        <v>107.0</v>
      </c>
      <c r="B3216" s="9" t="s">
        <v>6773</v>
      </c>
      <c r="C3216" s="9" t="s">
        <v>184</v>
      </c>
      <c r="D3216" s="9" t="s">
        <v>109</v>
      </c>
      <c r="E3216" s="6" t="s">
        <v>3922</v>
      </c>
      <c r="F3216" s="9" t="s">
        <v>8060</v>
      </c>
    </row>
    <row r="3217" ht="33.75" customHeight="1">
      <c r="A3217" s="7">
        <v>107.0</v>
      </c>
      <c r="B3217" s="9" t="s">
        <v>6773</v>
      </c>
      <c r="C3217" s="9" t="s">
        <v>184</v>
      </c>
      <c r="D3217" s="9" t="s">
        <v>111</v>
      </c>
      <c r="E3217" s="6" t="s">
        <v>3924</v>
      </c>
      <c r="F3217" s="9" t="s">
        <v>8060</v>
      </c>
    </row>
    <row r="3218" ht="33.75" customHeight="1">
      <c r="A3218" s="7">
        <v>107.0</v>
      </c>
      <c r="B3218" s="9" t="s">
        <v>6773</v>
      </c>
      <c r="C3218" s="9" t="s">
        <v>184</v>
      </c>
      <c r="D3218" s="9" t="s">
        <v>113</v>
      </c>
      <c r="E3218" s="6" t="s">
        <v>3924</v>
      </c>
      <c r="F3218" s="9" t="s">
        <v>8060</v>
      </c>
    </row>
    <row r="3219" ht="33.75" customHeight="1">
      <c r="A3219" s="7">
        <v>107.0</v>
      </c>
      <c r="B3219" s="9" t="s">
        <v>6773</v>
      </c>
      <c r="C3219" s="9" t="s">
        <v>184</v>
      </c>
      <c r="D3219" s="9" t="s">
        <v>114</v>
      </c>
      <c r="E3219" s="6" t="s">
        <v>3908</v>
      </c>
      <c r="F3219" s="9" t="s">
        <v>8060</v>
      </c>
    </row>
    <row r="3220" ht="33.75" customHeight="1">
      <c r="A3220" s="7">
        <v>107.0</v>
      </c>
      <c r="B3220" s="9" t="s">
        <v>6773</v>
      </c>
      <c r="C3220" s="9" t="s">
        <v>184</v>
      </c>
      <c r="D3220" s="9" t="s">
        <v>117</v>
      </c>
      <c r="E3220" s="6" t="s">
        <v>3907</v>
      </c>
      <c r="F3220" s="9" t="s">
        <v>8060</v>
      </c>
    </row>
    <row r="3221" ht="33.75" customHeight="1">
      <c r="A3221" s="7">
        <v>108.0</v>
      </c>
      <c r="B3221" s="9" t="s">
        <v>6826</v>
      </c>
      <c r="C3221" s="9" t="s">
        <v>187</v>
      </c>
      <c r="D3221" s="9" t="s">
        <v>24</v>
      </c>
      <c r="E3221" s="6" t="s">
        <v>3926</v>
      </c>
      <c r="F3221" s="9" t="s">
        <v>8141</v>
      </c>
      <c r="G3221" t="inlineStr" s="6">
        <is>
          <t xml:space="preserve">Lickitung's tongue can be extended like a chameleon's. It leaves a tingling sensation when it licks enemies. Its tongue spans almost 7 feet and moves more freely than its forelegs. Its licks can cause paralysis. Its tongue has well-developed nerves that run to the very tip, so it can be deft ly manipulated. Its long tongue, slathered with a gooey saliva, sticks to any thing, so it is very useful. It has a tongue that is over 6’6’’ long. It uses this long tongue to lick its body clean. Whenever LICKITUNG comes across something new, it will unfailingly give it a lick. It does so because it memorizes things by texture and by taste. It is somewhat put off by sour things. Whenever it sees something unfamiliar, it always licks the object because it memorizes things by texture and taste. Its tongue is twice the length of its body. It can be moved like an arm for grabbing food and attacking. Instead of hands, it uses its tongue, which is twice its height. Its sticky saliva grips anything. When it extends its over-six-foot- long tongue, its tail quivers. There is a possibility they are connected. Its tongue has well-developed nerves that run to the very tip, so it can be deftly manipulated. Its long tongue, slathered with a gooey saliva, sticks to anything, so it is very useful. Being licked by its long, saliva-covered tongue leaves a tingling sensation. Extending its tongue retracts its tail. It checks out whatever’s around it by licking everything. If you don’t clean off a spot where it’s licked you, you’ll break out in a rash! It licks filth clean with its tongue. Whatever it licks always stinks afterward, so whether it’s really clean is...questionable. Its tongue spans almost seven feet and moves more freely than its forelegs. If this Pokémon’s sticky saliva gets on you and you don’t clean it off, an intense itch will set in. The itch won’t go away, either. Bug Pokémon are Lickitung’s main food source. This Pokémon paralyzes its prey with a lick from its long tongue, then swallows the prey whole. Wields its long tongue deftly, as though it were an arm. The Pokémon's viscous saliva, once it has been collected and boiled down, yields a strong and highly useful adhesive.</t>
        </is>
      </c>
    </row>
    <row r="3222" ht="33.75" customHeight="1">
      <c r="A3222" s="7">
        <v>108.0</v>
      </c>
      <c r="B3222" s="9" t="s">
        <v>6826</v>
      </c>
      <c r="C3222" s="9" t="s">
        <v>187</v>
      </c>
      <c r="D3222" s="9" t="s">
        <v>35</v>
      </c>
      <c r="E3222" s="6" t="s">
        <v>3926</v>
      </c>
      <c r="F3222" s="9" t="s">
        <v>8141</v>
      </c>
    </row>
    <row r="3223" ht="33.75" customHeight="1">
      <c r="A3223" s="7">
        <v>108.0</v>
      </c>
      <c r="B3223" s="9" t="s">
        <v>6826</v>
      </c>
      <c r="C3223" s="9" t="s">
        <v>187</v>
      </c>
      <c r="D3223" s="9" t="s">
        <v>42</v>
      </c>
      <c r="E3223" s="6" t="s">
        <v>3927</v>
      </c>
      <c r="F3223" s="9" t="s">
        <v>8141</v>
      </c>
    </row>
    <row r="3224" ht="33.75" customHeight="1">
      <c r="A3224" s="7">
        <v>108.0</v>
      </c>
      <c r="B3224" s="9" t="s">
        <v>6826</v>
      </c>
      <c r="C3224" s="9" t="s">
        <v>187</v>
      </c>
      <c r="D3224" s="9" t="s">
        <v>52</v>
      </c>
      <c r="E3224" s="6" t="s">
        <v>3928</v>
      </c>
      <c r="F3224" s="9" t="s">
        <v>8141</v>
      </c>
    </row>
    <row r="3225" ht="33.75" customHeight="1">
      <c r="A3225" s="7">
        <v>108.0</v>
      </c>
      <c r="B3225" s="9" t="s">
        <v>6826</v>
      </c>
      <c r="C3225" s="9" t="s">
        <v>187</v>
      </c>
      <c r="D3225" s="9" t="s">
        <v>59</v>
      </c>
      <c r="E3225" s="6" t="s">
        <v>3930</v>
      </c>
      <c r="F3225" s="9" t="s">
        <v>8141</v>
      </c>
    </row>
    <row r="3226" ht="33.75" customHeight="1">
      <c r="A3226" s="7">
        <v>108.0</v>
      </c>
      <c r="B3226" s="9" t="s">
        <v>6826</v>
      </c>
      <c r="C3226" s="9" t="s">
        <v>187</v>
      </c>
      <c r="D3226" s="9" t="s">
        <v>64</v>
      </c>
      <c r="E3226" s="6" t="s">
        <v>3932</v>
      </c>
      <c r="F3226" s="9" t="s">
        <v>8141</v>
      </c>
    </row>
    <row r="3227" ht="33.75" customHeight="1">
      <c r="A3227" s="7">
        <v>108.0</v>
      </c>
      <c r="B3227" s="9" t="s">
        <v>6826</v>
      </c>
      <c r="C3227" s="9" t="s">
        <v>187</v>
      </c>
      <c r="D3227" s="9" t="s">
        <v>67</v>
      </c>
      <c r="E3227" s="6" t="s">
        <v>3933</v>
      </c>
      <c r="F3227" s="9" t="s">
        <v>8141</v>
      </c>
    </row>
    <row r="3228" ht="33.75" customHeight="1">
      <c r="A3228" s="7">
        <v>108.0</v>
      </c>
      <c r="B3228" s="9" t="s">
        <v>6826</v>
      </c>
      <c r="C3228" s="9" t="s">
        <v>187</v>
      </c>
      <c r="D3228" s="9" t="s">
        <v>71</v>
      </c>
      <c r="E3228" s="6" t="s">
        <v>3933</v>
      </c>
      <c r="F3228" s="9" t="s">
        <v>8141</v>
      </c>
    </row>
    <row r="3229" ht="33.75" customHeight="1">
      <c r="A3229" s="7">
        <v>108.0</v>
      </c>
      <c r="B3229" s="9" t="s">
        <v>6826</v>
      </c>
      <c r="C3229" s="9" t="s">
        <v>187</v>
      </c>
      <c r="D3229" s="9" t="s">
        <v>73</v>
      </c>
      <c r="E3229" s="6" t="s">
        <v>3936</v>
      </c>
      <c r="F3229" s="9" t="s">
        <v>8141</v>
      </c>
    </row>
    <row r="3230" ht="33.75" customHeight="1">
      <c r="A3230" s="7">
        <v>108.0</v>
      </c>
      <c r="B3230" s="9" t="s">
        <v>6826</v>
      </c>
      <c r="C3230" s="9" t="s">
        <v>187</v>
      </c>
      <c r="D3230" s="9" t="s">
        <v>75</v>
      </c>
      <c r="E3230" s="6" t="s">
        <v>3938</v>
      </c>
      <c r="F3230" s="9" t="s">
        <v>8141</v>
      </c>
    </row>
    <row r="3231" ht="33.75" customHeight="1">
      <c r="A3231" s="7">
        <v>108.0</v>
      </c>
      <c r="B3231" s="9" t="s">
        <v>6826</v>
      </c>
      <c r="C3231" s="9" t="s">
        <v>187</v>
      </c>
      <c r="D3231" s="9" t="s">
        <v>79</v>
      </c>
      <c r="E3231" s="6" t="s">
        <v>3939</v>
      </c>
      <c r="F3231" s="9" t="s">
        <v>8141</v>
      </c>
    </row>
    <row r="3232" ht="33.75" customHeight="1">
      <c r="A3232" s="7">
        <v>108.0</v>
      </c>
      <c r="B3232" s="9" t="s">
        <v>6826</v>
      </c>
      <c r="C3232" s="9" t="s">
        <v>187</v>
      </c>
      <c r="D3232" s="9" t="s">
        <v>81</v>
      </c>
      <c r="E3232" s="6" t="s">
        <v>3940</v>
      </c>
      <c r="F3232" s="9" t="s">
        <v>8141</v>
      </c>
    </row>
    <row r="3233" ht="33.75" customHeight="1">
      <c r="A3233" s="7">
        <v>108.0</v>
      </c>
      <c r="B3233" s="9" t="s">
        <v>6826</v>
      </c>
      <c r="C3233" s="9" t="s">
        <v>187</v>
      </c>
      <c r="D3233" s="9" t="s">
        <v>84</v>
      </c>
      <c r="E3233" s="6" t="s">
        <v>3940</v>
      </c>
      <c r="F3233" s="9" t="s">
        <v>8141</v>
      </c>
    </row>
    <row r="3234" ht="33.75" customHeight="1">
      <c r="A3234" s="7">
        <v>108.0</v>
      </c>
      <c r="B3234" s="9" t="s">
        <v>6826</v>
      </c>
      <c r="C3234" s="9" t="s">
        <v>187</v>
      </c>
      <c r="D3234" s="9" t="s">
        <v>87</v>
      </c>
      <c r="E3234" s="6" t="s">
        <v>3942</v>
      </c>
      <c r="F3234" s="9" t="s">
        <v>8141</v>
      </c>
    </row>
    <row r="3235" ht="33.75" customHeight="1">
      <c r="A3235" s="7">
        <v>108.0</v>
      </c>
      <c r="B3235" s="9" t="s">
        <v>6826</v>
      </c>
      <c r="C3235" s="9" t="s">
        <v>187</v>
      </c>
      <c r="D3235" s="9" t="s">
        <v>89</v>
      </c>
      <c r="E3235" s="6" t="s">
        <v>3943</v>
      </c>
      <c r="F3235" s="9" t="s">
        <v>8141</v>
      </c>
    </row>
    <row r="3236" ht="33.75" customHeight="1">
      <c r="A3236" s="7">
        <v>108.0</v>
      </c>
      <c r="B3236" s="9" t="s">
        <v>6826</v>
      </c>
      <c r="C3236" s="9" t="s">
        <v>187</v>
      </c>
      <c r="D3236" s="9" t="s">
        <v>91</v>
      </c>
      <c r="E3236" s="6" t="s">
        <v>3945</v>
      </c>
      <c r="F3236" s="9" t="s">
        <v>8141</v>
      </c>
    </row>
    <row r="3237" ht="33.75" customHeight="1">
      <c r="A3237" s="7">
        <v>108.0</v>
      </c>
      <c r="B3237" s="9" t="s">
        <v>6826</v>
      </c>
      <c r="C3237" s="9" t="s">
        <v>187</v>
      </c>
      <c r="D3237" s="9" t="s">
        <v>93</v>
      </c>
      <c r="E3237" s="6" t="s">
        <v>3942</v>
      </c>
      <c r="F3237" s="9" t="s">
        <v>8141</v>
      </c>
    </row>
    <row r="3238" ht="33.75" customHeight="1">
      <c r="A3238" s="7">
        <v>108.0</v>
      </c>
      <c r="B3238" s="9" t="s">
        <v>6826</v>
      </c>
      <c r="C3238" s="9" t="s">
        <v>187</v>
      </c>
      <c r="D3238" s="9" t="s">
        <v>95</v>
      </c>
      <c r="E3238" s="6" t="s">
        <v>3942</v>
      </c>
      <c r="F3238" s="9" t="s">
        <v>8141</v>
      </c>
    </row>
    <row r="3239" ht="33.75" customHeight="1">
      <c r="A3239" s="7">
        <v>108.0</v>
      </c>
      <c r="B3239" s="9" t="s">
        <v>6826</v>
      </c>
      <c r="C3239" s="9" t="s">
        <v>187</v>
      </c>
      <c r="D3239" s="9" t="s">
        <v>98</v>
      </c>
      <c r="E3239" s="6" t="s">
        <v>3947</v>
      </c>
      <c r="F3239" s="9" t="s">
        <v>8141</v>
      </c>
    </row>
    <row r="3240" ht="33.75" customHeight="1">
      <c r="A3240" s="7">
        <v>108.0</v>
      </c>
      <c r="B3240" s="9" t="s">
        <v>6826</v>
      </c>
      <c r="C3240" s="9" t="s">
        <v>187</v>
      </c>
      <c r="D3240" s="9" t="s">
        <v>99</v>
      </c>
      <c r="E3240" s="6" t="s">
        <v>3947</v>
      </c>
      <c r="F3240" s="9" t="s">
        <v>8141</v>
      </c>
    </row>
    <row r="3241" ht="33.75" customHeight="1">
      <c r="A3241" s="7">
        <v>108.0</v>
      </c>
      <c r="B3241" s="9" t="s">
        <v>6826</v>
      </c>
      <c r="C3241" s="9" t="s">
        <v>187</v>
      </c>
      <c r="D3241" s="9" t="s">
        <v>101</v>
      </c>
      <c r="E3241" s="6" t="s">
        <v>3945</v>
      </c>
      <c r="F3241" s="9" t="s">
        <v>8141</v>
      </c>
    </row>
    <row r="3242" ht="33.75" customHeight="1">
      <c r="A3242" s="7">
        <v>108.0</v>
      </c>
      <c r="B3242" s="9" t="s">
        <v>6826</v>
      </c>
      <c r="C3242" s="9" t="s">
        <v>187</v>
      </c>
      <c r="D3242" s="9" t="s">
        <v>105</v>
      </c>
      <c r="E3242" s="6" t="s">
        <v>3938</v>
      </c>
      <c r="F3242" s="9" t="s">
        <v>8141</v>
      </c>
    </row>
    <row r="3243" ht="33.75" customHeight="1">
      <c r="A3243" s="7">
        <v>108.0</v>
      </c>
      <c r="B3243" s="9" t="s">
        <v>6826</v>
      </c>
      <c r="C3243" s="9" t="s">
        <v>187</v>
      </c>
      <c r="D3243" s="9" t="s">
        <v>107</v>
      </c>
      <c r="E3243" s="6" t="s">
        <v>3949</v>
      </c>
      <c r="F3243" s="9" t="s">
        <v>8141</v>
      </c>
    </row>
    <row r="3244" ht="33.75" customHeight="1">
      <c r="A3244" s="7">
        <v>108.0</v>
      </c>
      <c r="B3244" s="9" t="s">
        <v>6826</v>
      </c>
      <c r="C3244" s="9" t="s">
        <v>187</v>
      </c>
      <c r="D3244" s="9" t="s">
        <v>109</v>
      </c>
      <c r="E3244" s="6" t="s">
        <v>3949</v>
      </c>
      <c r="F3244" s="9" t="s">
        <v>8141</v>
      </c>
    </row>
    <row r="3245" ht="33.75" customHeight="1">
      <c r="A3245" s="7">
        <v>108.0</v>
      </c>
      <c r="B3245" s="9" t="s">
        <v>6826</v>
      </c>
      <c r="C3245" s="9" t="s">
        <v>187</v>
      </c>
      <c r="D3245" s="9" t="s">
        <v>647</v>
      </c>
      <c r="E3245" s="6" t="s">
        <v>3950</v>
      </c>
      <c r="F3245" s="9" t="s">
        <v>8141</v>
      </c>
    </row>
    <row r="3246" ht="33.75" customHeight="1">
      <c r="A3246" s="7">
        <v>108.0</v>
      </c>
      <c r="B3246" s="9" t="s">
        <v>6826</v>
      </c>
      <c r="C3246" s="9" t="s">
        <v>187</v>
      </c>
      <c r="D3246" s="9" t="s">
        <v>652</v>
      </c>
      <c r="E3246" s="6" t="s">
        <v>3952</v>
      </c>
      <c r="F3246" s="9" t="s">
        <v>8141</v>
      </c>
    </row>
    <row r="3247" ht="33.75" customHeight="1">
      <c r="A3247" s="7">
        <v>108.0</v>
      </c>
      <c r="B3247" s="9" t="s">
        <v>6826</v>
      </c>
      <c r="C3247" s="9" t="s">
        <v>187</v>
      </c>
      <c r="D3247" s="9" t="s">
        <v>111</v>
      </c>
      <c r="E3247" s="6" t="s">
        <v>3953</v>
      </c>
      <c r="F3247" s="9" t="s">
        <v>8141</v>
      </c>
    </row>
    <row r="3248" ht="33.75" customHeight="1">
      <c r="A3248" s="7">
        <v>108.0</v>
      </c>
      <c r="B3248" s="9" t="s">
        <v>6826</v>
      </c>
      <c r="C3248" s="9" t="s">
        <v>187</v>
      </c>
      <c r="D3248" s="9" t="s">
        <v>113</v>
      </c>
      <c r="E3248" s="6" t="s">
        <v>3953</v>
      </c>
      <c r="F3248" s="9" t="s">
        <v>8141</v>
      </c>
    </row>
    <row r="3249" ht="33.75" customHeight="1">
      <c r="A3249" s="7">
        <v>108.0</v>
      </c>
      <c r="B3249" s="9" t="s">
        <v>6826</v>
      </c>
      <c r="C3249" s="9" t="s">
        <v>187</v>
      </c>
      <c r="D3249" s="9" t="s">
        <v>114</v>
      </c>
      <c r="E3249" s="6" t="s">
        <v>3955</v>
      </c>
      <c r="F3249" s="9" t="s">
        <v>8141</v>
      </c>
    </row>
    <row r="3250" ht="33.75" customHeight="1">
      <c r="A3250" s="7">
        <v>108.0</v>
      </c>
      <c r="B3250" s="9" t="s">
        <v>6826</v>
      </c>
      <c r="C3250" s="9" t="s">
        <v>187</v>
      </c>
      <c r="D3250" s="9" t="s">
        <v>117</v>
      </c>
      <c r="E3250" s="6" t="s">
        <v>3957</v>
      </c>
      <c r="F3250" s="9" t="s">
        <v>8141</v>
      </c>
    </row>
    <row r="3251" ht="33.75" customHeight="1">
      <c r="A3251" s="7">
        <v>108.0</v>
      </c>
      <c r="B3251" s="9" t="s">
        <v>6826</v>
      </c>
      <c r="C3251" s="9" t="s">
        <v>187</v>
      </c>
      <c r="D3251" s="9" t="s">
        <v>1577</v>
      </c>
      <c r="E3251" s="6" t="s">
        <v>3958</v>
      </c>
      <c r="F3251" s="9" t="s">
        <v>8141</v>
      </c>
    </row>
    <row r="3252" ht="33.75" customHeight="1">
      <c r="A3252" s="7">
        <v>109.0</v>
      </c>
      <c r="B3252" s="9" t="s">
        <v>6900</v>
      </c>
      <c r="C3252" s="9" t="s">
        <v>188</v>
      </c>
      <c r="D3252" s="9" t="s">
        <v>24</v>
      </c>
      <c r="E3252" s="6" t="s">
        <v>3960</v>
      </c>
      <c r="F3252" s="9" t="s">
        <v>8244</v>
      </c>
      <c r="G3252" t="inlineStr" s="6">
        <is>
          <t xml:space="preserve">Because it stores several kinds of toxic gases in Koffing's body, it is prone to exploding without warning. In hot places, its internal gases could expand and explode without any warning. Be very careful! Its thin, filmy body is filled with gases that cause constant sniffles, coughs and teary eyes. The poisonous gases it contains are a little bit lighter than air, keeping it slight ly airborne. If one gets close enough to it when it expels poisonous gas, the gas swirling inside it can be seen. If KOFFING becomes agitated, it raises the toxicity of its internal gases and jets them out from all over its body. This POKéMON may also overinflate its round body, then explode. KOFFING embodies toxic substances. It mixes the toxins with raw garbage to set off a chemical reaction that results in a terribly powerful poison gas. The higher the temperature, the more gas is concocted by this POKéMON. Getting up close to a KOFFING will give you a chance to observe, through its thin skin, the toxic gases swirling inside. It blows up at the slightest stimulation. Its thin, balloon-like body is inflated by horribly toxic gases. It reeks when it is nearby. Lighter-than-air gases in its body keep it aloft. The gases not only smell, they are also explosive. The poisonous gases it contains are a little bit lighter than air, keeping it slightly airborne. Toxic gas is held within its thin, balloon-shaped body, so it can cause massive explosions. Its body is full of poisonous gas. It floats into garbage dumps, seeking out the fumes of raw, rotting trash. It adores polluted air. Some claim that Koffing used to be more plentiful in the Galar region than they are now.</t>
        </is>
      </c>
    </row>
    <row r="3253" ht="33.75" customHeight="1">
      <c r="A3253" s="7">
        <v>109.0</v>
      </c>
      <c r="B3253" s="9" t="s">
        <v>6900</v>
      </c>
      <c r="C3253" s="9" t="s">
        <v>188</v>
      </c>
      <c r="D3253" s="9" t="s">
        <v>35</v>
      </c>
      <c r="E3253" s="6" t="s">
        <v>3960</v>
      </c>
      <c r="F3253" s="9" t="s">
        <v>8244</v>
      </c>
    </row>
    <row r="3254" ht="33.75" customHeight="1">
      <c r="A3254" s="7">
        <v>109.0</v>
      </c>
      <c r="B3254" s="9" t="s">
        <v>6900</v>
      </c>
      <c r="C3254" s="9" t="s">
        <v>188</v>
      </c>
      <c r="D3254" s="9" t="s">
        <v>42</v>
      </c>
      <c r="E3254" s="6" t="s">
        <v>3962</v>
      </c>
      <c r="F3254" s="9" t="s">
        <v>8244</v>
      </c>
    </row>
    <row r="3255" ht="33.75" customHeight="1">
      <c r="A3255" s="7">
        <v>109.0</v>
      </c>
      <c r="B3255" s="9" t="s">
        <v>6900</v>
      </c>
      <c r="C3255" s="9" t="s">
        <v>188</v>
      </c>
      <c r="D3255" s="9" t="s">
        <v>52</v>
      </c>
      <c r="E3255" s="6" t="s">
        <v>3964</v>
      </c>
      <c r="F3255" s="9" t="s">
        <v>8244</v>
      </c>
    </row>
    <row r="3256" ht="33.75" customHeight="1">
      <c r="A3256" s="7">
        <v>109.0</v>
      </c>
      <c r="B3256" s="9" t="s">
        <v>6900</v>
      </c>
      <c r="C3256" s="9" t="s">
        <v>188</v>
      </c>
      <c r="D3256" s="9" t="s">
        <v>59</v>
      </c>
      <c r="E3256" s="6" t="s">
        <v>3965</v>
      </c>
      <c r="F3256" s="9" t="s">
        <v>8244</v>
      </c>
    </row>
    <row r="3257" ht="33.75" customHeight="1">
      <c r="A3257" s="7">
        <v>109.0</v>
      </c>
      <c r="B3257" s="9" t="s">
        <v>6900</v>
      </c>
      <c r="C3257" s="9" t="s">
        <v>188</v>
      </c>
      <c r="D3257" s="9" t="s">
        <v>64</v>
      </c>
      <c r="E3257" s="6" t="s">
        <v>3967</v>
      </c>
      <c r="F3257" s="9" t="s">
        <v>8244</v>
      </c>
    </row>
    <row r="3258" ht="33.75" customHeight="1">
      <c r="A3258" s="7">
        <v>109.0</v>
      </c>
      <c r="B3258" s="9" t="s">
        <v>6900</v>
      </c>
      <c r="C3258" s="9" t="s">
        <v>188</v>
      </c>
      <c r="D3258" s="9" t="s">
        <v>67</v>
      </c>
      <c r="E3258" s="6" t="s">
        <v>3968</v>
      </c>
      <c r="F3258" s="9" t="s">
        <v>8244</v>
      </c>
    </row>
    <row r="3259" ht="33.75" customHeight="1">
      <c r="A3259" s="7">
        <v>109.0</v>
      </c>
      <c r="B3259" s="9" t="s">
        <v>6900</v>
      </c>
      <c r="C3259" s="9" t="s">
        <v>188</v>
      </c>
      <c r="D3259" s="9" t="s">
        <v>71</v>
      </c>
      <c r="E3259" s="6" t="s">
        <v>3970</v>
      </c>
      <c r="F3259" s="9" t="s">
        <v>8244</v>
      </c>
    </row>
    <row r="3260" ht="33.75" customHeight="1">
      <c r="A3260" s="7">
        <v>109.0</v>
      </c>
      <c r="B3260" s="9" t="s">
        <v>6900</v>
      </c>
      <c r="C3260" s="9" t="s">
        <v>188</v>
      </c>
      <c r="D3260" s="9" t="s">
        <v>73</v>
      </c>
      <c r="E3260" s="6" t="s">
        <v>3971</v>
      </c>
      <c r="F3260" s="9" t="s">
        <v>8244</v>
      </c>
    </row>
    <row r="3261" ht="33.75" customHeight="1">
      <c r="A3261" s="7">
        <v>109.0</v>
      </c>
      <c r="B3261" s="9" t="s">
        <v>6900</v>
      </c>
      <c r="C3261" s="9" t="s">
        <v>188</v>
      </c>
      <c r="D3261" s="9" t="s">
        <v>75</v>
      </c>
      <c r="E3261" s="6" t="s">
        <v>3972</v>
      </c>
      <c r="F3261" s="9" t="s">
        <v>8244</v>
      </c>
    </row>
    <row r="3262" ht="33.75" customHeight="1">
      <c r="A3262" s="7">
        <v>109.0</v>
      </c>
      <c r="B3262" s="9" t="s">
        <v>6900</v>
      </c>
      <c r="C3262" s="9" t="s">
        <v>188</v>
      </c>
      <c r="D3262" s="9" t="s">
        <v>79</v>
      </c>
      <c r="E3262" s="6" t="s">
        <v>3960</v>
      </c>
      <c r="F3262" s="9" t="s">
        <v>8244</v>
      </c>
    </row>
    <row r="3263" ht="33.75" customHeight="1">
      <c r="A3263" s="7">
        <v>109.0</v>
      </c>
      <c r="B3263" s="9" t="s">
        <v>6900</v>
      </c>
      <c r="C3263" s="9" t="s">
        <v>188</v>
      </c>
      <c r="D3263" s="9" t="s">
        <v>81</v>
      </c>
      <c r="E3263" s="6" t="s">
        <v>3973</v>
      </c>
      <c r="F3263" s="9" t="s">
        <v>8244</v>
      </c>
    </row>
    <row r="3264" ht="33.75" customHeight="1">
      <c r="A3264" s="7">
        <v>109.0</v>
      </c>
      <c r="B3264" s="9" t="s">
        <v>6900</v>
      </c>
      <c r="C3264" s="9" t="s">
        <v>188</v>
      </c>
      <c r="D3264" s="9" t="s">
        <v>84</v>
      </c>
      <c r="E3264" s="6" t="s">
        <v>3973</v>
      </c>
      <c r="F3264" s="9" t="s">
        <v>8244</v>
      </c>
    </row>
    <row r="3265" ht="33.75" customHeight="1">
      <c r="A3265" s="7">
        <v>109.0</v>
      </c>
      <c r="B3265" s="9" t="s">
        <v>6900</v>
      </c>
      <c r="C3265" s="9" t="s">
        <v>188</v>
      </c>
      <c r="D3265" s="9" t="s">
        <v>87</v>
      </c>
      <c r="E3265" s="6" t="s">
        <v>3973</v>
      </c>
      <c r="F3265" s="9" t="s">
        <v>8244</v>
      </c>
    </row>
    <row r="3266" ht="33.75" customHeight="1">
      <c r="A3266" s="7">
        <v>109.0</v>
      </c>
      <c r="B3266" s="9" t="s">
        <v>6900</v>
      </c>
      <c r="C3266" s="9" t="s">
        <v>188</v>
      </c>
      <c r="D3266" s="9" t="s">
        <v>89</v>
      </c>
      <c r="E3266" s="6" t="s">
        <v>3964</v>
      </c>
      <c r="F3266" s="9" t="s">
        <v>8244</v>
      </c>
    </row>
    <row r="3267" ht="33.75" customHeight="1">
      <c r="A3267" s="7">
        <v>109.0</v>
      </c>
      <c r="B3267" s="9" t="s">
        <v>6900</v>
      </c>
      <c r="C3267" s="9" t="s">
        <v>188</v>
      </c>
      <c r="D3267" s="9" t="s">
        <v>91</v>
      </c>
      <c r="E3267" s="6" t="s">
        <v>3974</v>
      </c>
      <c r="F3267" s="9" t="s">
        <v>8244</v>
      </c>
    </row>
    <row r="3268" ht="33.75" customHeight="1">
      <c r="A3268" s="7">
        <v>109.0</v>
      </c>
      <c r="B3268" s="9" t="s">
        <v>6900</v>
      </c>
      <c r="C3268" s="9" t="s">
        <v>188</v>
      </c>
      <c r="D3268" s="9" t="s">
        <v>93</v>
      </c>
      <c r="E3268" s="6" t="s">
        <v>3973</v>
      </c>
      <c r="F3268" s="9" t="s">
        <v>8244</v>
      </c>
    </row>
    <row r="3269" ht="33.75" customHeight="1">
      <c r="A3269" s="7">
        <v>109.0</v>
      </c>
      <c r="B3269" s="9" t="s">
        <v>6900</v>
      </c>
      <c r="C3269" s="9" t="s">
        <v>188</v>
      </c>
      <c r="D3269" s="9" t="s">
        <v>95</v>
      </c>
      <c r="E3269" s="6" t="s">
        <v>3973</v>
      </c>
      <c r="F3269" s="9" t="s">
        <v>8244</v>
      </c>
    </row>
    <row r="3270" ht="33.75" customHeight="1">
      <c r="A3270" s="7">
        <v>109.0</v>
      </c>
      <c r="B3270" s="9" t="s">
        <v>6900</v>
      </c>
      <c r="C3270" s="9" t="s">
        <v>188</v>
      </c>
      <c r="D3270" s="9" t="s">
        <v>98</v>
      </c>
      <c r="E3270" s="6" t="s">
        <v>3975</v>
      </c>
      <c r="F3270" s="9" t="s">
        <v>8244</v>
      </c>
    </row>
    <row r="3271" ht="33.75" customHeight="1">
      <c r="A3271" s="7">
        <v>109.0</v>
      </c>
      <c r="B3271" s="9" t="s">
        <v>6900</v>
      </c>
      <c r="C3271" s="9" t="s">
        <v>188</v>
      </c>
      <c r="D3271" s="9" t="s">
        <v>99</v>
      </c>
      <c r="E3271" s="6" t="s">
        <v>3975</v>
      </c>
      <c r="F3271" s="9" t="s">
        <v>8244</v>
      </c>
    </row>
    <row r="3272" ht="33.75" customHeight="1">
      <c r="A3272" s="7">
        <v>109.0</v>
      </c>
      <c r="B3272" s="9" t="s">
        <v>6900</v>
      </c>
      <c r="C3272" s="9" t="s">
        <v>188</v>
      </c>
      <c r="D3272" s="9" t="s">
        <v>101</v>
      </c>
      <c r="E3272" s="6" t="s">
        <v>3972</v>
      </c>
      <c r="F3272" s="9" t="s">
        <v>8244</v>
      </c>
    </row>
    <row r="3273" ht="33.75" customHeight="1">
      <c r="A3273" s="7">
        <v>109.0</v>
      </c>
      <c r="B3273" s="9" t="s">
        <v>6900</v>
      </c>
      <c r="C3273" s="9" t="s">
        <v>188</v>
      </c>
      <c r="D3273" s="9" t="s">
        <v>105</v>
      </c>
      <c r="E3273" s="6" t="s">
        <v>3973</v>
      </c>
      <c r="F3273" s="9" t="s">
        <v>8244</v>
      </c>
    </row>
    <row r="3274" ht="33.75" customHeight="1">
      <c r="A3274" s="7">
        <v>109.0</v>
      </c>
      <c r="B3274" s="9" t="s">
        <v>6900</v>
      </c>
      <c r="C3274" s="9" t="s">
        <v>188</v>
      </c>
      <c r="D3274" s="9" t="s">
        <v>107</v>
      </c>
      <c r="E3274" s="6" t="s">
        <v>3976</v>
      </c>
      <c r="F3274" s="9" t="s">
        <v>8244</v>
      </c>
    </row>
    <row r="3275" ht="33.75" customHeight="1">
      <c r="A3275" s="7">
        <v>109.0</v>
      </c>
      <c r="B3275" s="9" t="s">
        <v>6900</v>
      </c>
      <c r="C3275" s="9" t="s">
        <v>188</v>
      </c>
      <c r="D3275" s="9" t="s">
        <v>109</v>
      </c>
      <c r="E3275" s="6" t="s">
        <v>3977</v>
      </c>
      <c r="F3275" s="9" t="s">
        <v>8244</v>
      </c>
    </row>
    <row r="3276" ht="33.75" customHeight="1">
      <c r="A3276" s="7">
        <v>109.0</v>
      </c>
      <c r="B3276" s="9" t="s">
        <v>6900</v>
      </c>
      <c r="C3276" s="9" t="s">
        <v>188</v>
      </c>
      <c r="D3276" s="9" t="s">
        <v>111</v>
      </c>
      <c r="E3276" s="6" t="s">
        <v>3962</v>
      </c>
      <c r="F3276" s="9" t="s">
        <v>8244</v>
      </c>
    </row>
    <row r="3277" ht="33.75" customHeight="1">
      <c r="A3277" s="7">
        <v>109.0</v>
      </c>
      <c r="B3277" s="9" t="s">
        <v>6900</v>
      </c>
      <c r="C3277" s="9" t="s">
        <v>188</v>
      </c>
      <c r="D3277" s="9" t="s">
        <v>113</v>
      </c>
      <c r="E3277" s="6" t="s">
        <v>3962</v>
      </c>
      <c r="F3277" s="9" t="s">
        <v>8244</v>
      </c>
    </row>
    <row r="3278" ht="33.75" customHeight="1">
      <c r="A3278" s="7">
        <v>109.0</v>
      </c>
      <c r="B3278" s="9" t="s">
        <v>6900</v>
      </c>
      <c r="C3278" s="9" t="s">
        <v>188</v>
      </c>
      <c r="D3278" s="9" t="s">
        <v>114</v>
      </c>
      <c r="E3278" s="6" t="s">
        <v>3978</v>
      </c>
      <c r="F3278" s="9" t="s">
        <v>8244</v>
      </c>
    </row>
    <row r="3279" ht="33.75" customHeight="1">
      <c r="A3279" s="7">
        <v>109.0</v>
      </c>
      <c r="B3279" s="9" t="s">
        <v>6900</v>
      </c>
      <c r="C3279" s="9" t="s">
        <v>188</v>
      </c>
      <c r="D3279" s="9" t="s">
        <v>117</v>
      </c>
      <c r="E3279" s="6" t="s">
        <v>3979</v>
      </c>
      <c r="F3279" s="9" t="s">
        <v>8244</v>
      </c>
    </row>
    <row r="3280" ht="33.75" customHeight="1">
      <c r="A3280" s="7">
        <v>110.0</v>
      </c>
      <c r="B3280" s="9" t="s">
        <v>6978</v>
      </c>
      <c r="C3280" s="9" t="s">
        <v>188</v>
      </c>
      <c r="D3280" s="9" t="s">
        <v>24</v>
      </c>
      <c r="E3280" s="6" t="s">
        <v>3980</v>
      </c>
      <c r="F3280" s="9" t="s">
        <v>8326</v>
      </c>
      <c r="G3280" t="inlineStr" s="6">
        <is>
          <t xml:space="preserve">Where two kinds of poison gases meet, 2 KOFFINGs can fuse into a WEEZING over many years. It lives and grows by absorbing dust, germs and poison gases that are contained in toxic waste and garbage. If one of the twin KOFFING inflates, the other one deflates. It constantly mixes its poisonous gases. Top-grade perfume is made using its internal poison gases by diluting them to the highest level. When it inhales poisonous gases from garbage, its body expands, and its insides smell much worse. WEEZING loves the gases given off by rotted kitchen garbage. This POKéMON will find a dirty, unkempt house and make it its home. At night, when the people in the house are asleep, it will go through the trash. WEEZING alternately shrinks and inflates its twin bodies to mix together toxic gases inside. The more the gases are mixed, the more powerful the toxins become. The POKéMON also becomes more putrid. By diluting its toxic gases with a special process, the highest grade of perfume can be extracted. To WEEZING, gases emanating from garbage are the ultimate feast. Very rarely, a sudden mutation can result in two small KOFFING twins becoming conjoined as a WEEZING. Where two kinds of poison gases meet, two KOFFING can fuse into a WEEZING over many years. It grows by feeding on gases released by garbage. Though very rare, triplets have been found. Inhaling toxic fumes from trash and mixing them inside its body lets it spread an even fouler stench. This Pokémon lives and grows by absorbing poison gas, dust, and germs that exist inside garbage. It mixes gases between its two bodies. It’s said that these Pokémon were seen all over the Galar region back in the day. It can’t suck in air quite as well as a Galarian Weezing, but the toxins it creates are more potent than those of its counterpart.</t>
        </is>
      </c>
    </row>
    <row r="3281" ht="33.75" customHeight="1">
      <c r="A3281" s="7">
        <v>110.0</v>
      </c>
      <c r="B3281" s="9" t="s">
        <v>6978</v>
      </c>
      <c r="C3281" s="9" t="s">
        <v>188</v>
      </c>
      <c r="D3281" s="9" t="s">
        <v>35</v>
      </c>
      <c r="E3281" s="6" t="s">
        <v>3980</v>
      </c>
      <c r="F3281" s="9" t="s">
        <v>8326</v>
      </c>
    </row>
    <row r="3282" ht="33.75" customHeight="1">
      <c r="A3282" s="7">
        <v>110.0</v>
      </c>
      <c r="B3282" s="9" t="s">
        <v>6978</v>
      </c>
      <c r="C3282" s="9" t="s">
        <v>188</v>
      </c>
      <c r="D3282" s="9" t="s">
        <v>42</v>
      </c>
      <c r="E3282" s="6" t="s">
        <v>3981</v>
      </c>
      <c r="F3282" s="9" t="s">
        <v>8326</v>
      </c>
    </row>
    <row r="3283" ht="33.75" customHeight="1">
      <c r="A3283" s="7">
        <v>110.0</v>
      </c>
      <c r="B3283" s="9" t="s">
        <v>6978</v>
      </c>
      <c r="C3283" s="9" t="s">
        <v>188</v>
      </c>
      <c r="D3283" s="9" t="s">
        <v>52</v>
      </c>
      <c r="E3283" s="6" t="s">
        <v>3983</v>
      </c>
      <c r="F3283" s="9" t="s">
        <v>8326</v>
      </c>
    </row>
    <row r="3284" ht="33.75" customHeight="1">
      <c r="A3284" s="7">
        <v>110.0</v>
      </c>
      <c r="B3284" s="9" t="s">
        <v>6978</v>
      </c>
      <c r="C3284" s="9" t="s">
        <v>188</v>
      </c>
      <c r="D3284" s="9" t="s">
        <v>59</v>
      </c>
      <c r="E3284" s="6" t="s">
        <v>3984</v>
      </c>
      <c r="F3284" s="9" t="s">
        <v>8326</v>
      </c>
    </row>
    <row r="3285" ht="33.75" customHeight="1">
      <c r="A3285" s="7">
        <v>110.0</v>
      </c>
      <c r="B3285" s="9" t="s">
        <v>6978</v>
      </c>
      <c r="C3285" s="9" t="s">
        <v>188</v>
      </c>
      <c r="D3285" s="9" t="s">
        <v>64</v>
      </c>
      <c r="E3285" s="6" t="s">
        <v>3986</v>
      </c>
      <c r="F3285" s="9" t="s">
        <v>8326</v>
      </c>
    </row>
    <row r="3286" ht="33.75" customHeight="1">
      <c r="A3286" s="7">
        <v>110.0</v>
      </c>
      <c r="B3286" s="9" t="s">
        <v>6978</v>
      </c>
      <c r="C3286" s="9" t="s">
        <v>188</v>
      </c>
      <c r="D3286" s="9" t="s">
        <v>67</v>
      </c>
      <c r="E3286" s="6" t="s">
        <v>3987</v>
      </c>
      <c r="F3286" s="9" t="s">
        <v>8326</v>
      </c>
    </row>
    <row r="3287" ht="33.75" customHeight="1">
      <c r="A3287" s="7">
        <v>110.0</v>
      </c>
      <c r="B3287" s="9" t="s">
        <v>6978</v>
      </c>
      <c r="C3287" s="9" t="s">
        <v>188</v>
      </c>
      <c r="D3287" s="9" t="s">
        <v>71</v>
      </c>
      <c r="E3287" s="6" t="s">
        <v>3990</v>
      </c>
      <c r="F3287" s="9" t="s">
        <v>8326</v>
      </c>
    </row>
    <row r="3288" ht="33.75" customHeight="1">
      <c r="A3288" s="7">
        <v>110.0</v>
      </c>
      <c r="B3288" s="9" t="s">
        <v>6978</v>
      </c>
      <c r="C3288" s="9" t="s">
        <v>188</v>
      </c>
      <c r="D3288" s="9" t="s">
        <v>73</v>
      </c>
      <c r="E3288" s="6" t="s">
        <v>3992</v>
      </c>
      <c r="F3288" s="9" t="s">
        <v>8326</v>
      </c>
    </row>
    <row r="3289" ht="33.75" customHeight="1">
      <c r="A3289" s="7">
        <v>110.0</v>
      </c>
      <c r="B3289" s="9" t="s">
        <v>6978</v>
      </c>
      <c r="C3289" s="9" t="s">
        <v>188</v>
      </c>
      <c r="D3289" s="9" t="s">
        <v>75</v>
      </c>
      <c r="E3289" s="6" t="s">
        <v>3995</v>
      </c>
      <c r="F3289" s="9" t="s">
        <v>8326</v>
      </c>
    </row>
    <row r="3290" ht="33.75" customHeight="1">
      <c r="A3290" s="7">
        <v>110.0</v>
      </c>
      <c r="B3290" s="9" t="s">
        <v>6978</v>
      </c>
      <c r="C3290" s="9" t="s">
        <v>188</v>
      </c>
      <c r="D3290" s="9" t="s">
        <v>79</v>
      </c>
      <c r="E3290" s="6" t="s">
        <v>3997</v>
      </c>
      <c r="F3290" s="9" t="s">
        <v>8326</v>
      </c>
    </row>
    <row r="3291" ht="33.75" customHeight="1">
      <c r="A3291" s="7">
        <v>110.0</v>
      </c>
      <c r="B3291" s="9" t="s">
        <v>6978</v>
      </c>
      <c r="C3291" s="9" t="s">
        <v>188</v>
      </c>
      <c r="D3291" s="9" t="s">
        <v>81</v>
      </c>
      <c r="E3291" s="6" t="s">
        <v>3998</v>
      </c>
      <c r="F3291" s="9" t="s">
        <v>8326</v>
      </c>
    </row>
    <row r="3292" ht="33.75" customHeight="1">
      <c r="A3292" s="7">
        <v>110.0</v>
      </c>
      <c r="B3292" s="9" t="s">
        <v>6978</v>
      </c>
      <c r="C3292" s="9" t="s">
        <v>188</v>
      </c>
      <c r="D3292" s="9" t="s">
        <v>84</v>
      </c>
      <c r="E3292" s="6" t="s">
        <v>3998</v>
      </c>
      <c r="F3292" s="9" t="s">
        <v>8326</v>
      </c>
    </row>
    <row r="3293" ht="33.75" customHeight="1">
      <c r="A3293" s="7">
        <v>110.0</v>
      </c>
      <c r="B3293" s="9" t="s">
        <v>6978</v>
      </c>
      <c r="C3293" s="9" t="s">
        <v>188</v>
      </c>
      <c r="D3293" s="9" t="s">
        <v>87</v>
      </c>
      <c r="E3293" s="6" t="s">
        <v>3998</v>
      </c>
      <c r="F3293" s="9" t="s">
        <v>8326</v>
      </c>
    </row>
    <row r="3294" ht="33.75" customHeight="1">
      <c r="A3294" s="7">
        <v>110.0</v>
      </c>
      <c r="B3294" s="9" t="s">
        <v>6978</v>
      </c>
      <c r="C3294" s="9" t="s">
        <v>188</v>
      </c>
      <c r="D3294" s="9" t="s">
        <v>89</v>
      </c>
      <c r="E3294" s="6" t="s">
        <v>4001</v>
      </c>
      <c r="F3294" s="9" t="s">
        <v>8326</v>
      </c>
    </row>
    <row r="3295" ht="33.75" customHeight="1">
      <c r="A3295" s="7">
        <v>110.0</v>
      </c>
      <c r="B3295" s="9" t="s">
        <v>6978</v>
      </c>
      <c r="C3295" s="9" t="s">
        <v>188</v>
      </c>
      <c r="D3295" s="9" t="s">
        <v>91</v>
      </c>
      <c r="E3295" s="6" t="s">
        <v>4004</v>
      </c>
      <c r="F3295" s="9" t="s">
        <v>8326</v>
      </c>
    </row>
    <row r="3296" ht="33.75" customHeight="1">
      <c r="A3296" s="7">
        <v>110.0</v>
      </c>
      <c r="B3296" s="9" t="s">
        <v>6978</v>
      </c>
      <c r="C3296" s="9" t="s">
        <v>188</v>
      </c>
      <c r="D3296" s="9" t="s">
        <v>93</v>
      </c>
      <c r="E3296" s="6" t="s">
        <v>3998</v>
      </c>
      <c r="F3296" s="9" t="s">
        <v>8326</v>
      </c>
    </row>
    <row r="3297" ht="33.75" customHeight="1">
      <c r="A3297" s="7">
        <v>110.0</v>
      </c>
      <c r="B3297" s="9" t="s">
        <v>6978</v>
      </c>
      <c r="C3297" s="9" t="s">
        <v>188</v>
      </c>
      <c r="D3297" s="9" t="s">
        <v>95</v>
      </c>
      <c r="E3297" s="6" t="s">
        <v>3998</v>
      </c>
      <c r="F3297" s="9" t="s">
        <v>8326</v>
      </c>
    </row>
    <row r="3298" ht="33.75" customHeight="1">
      <c r="A3298" s="7">
        <v>110.0</v>
      </c>
      <c r="B3298" s="9" t="s">
        <v>6978</v>
      </c>
      <c r="C3298" s="9" t="s">
        <v>188</v>
      </c>
      <c r="D3298" s="9" t="s">
        <v>98</v>
      </c>
      <c r="E3298" s="6" t="s">
        <v>4007</v>
      </c>
      <c r="F3298" s="9" t="s">
        <v>8326</v>
      </c>
    </row>
    <row r="3299" ht="33.75" customHeight="1">
      <c r="A3299" s="7">
        <v>110.0</v>
      </c>
      <c r="B3299" s="9" t="s">
        <v>6978</v>
      </c>
      <c r="C3299" s="9" t="s">
        <v>188</v>
      </c>
      <c r="D3299" s="9" t="s">
        <v>99</v>
      </c>
      <c r="E3299" s="6" t="s">
        <v>4007</v>
      </c>
      <c r="F3299" s="9" t="s">
        <v>8326</v>
      </c>
    </row>
    <row r="3300" ht="33.75" customHeight="1">
      <c r="A3300" s="7">
        <v>110.0</v>
      </c>
      <c r="B3300" s="9" t="s">
        <v>6978</v>
      </c>
      <c r="C3300" s="9" t="s">
        <v>188</v>
      </c>
      <c r="D3300" s="9" t="s">
        <v>101</v>
      </c>
      <c r="E3300" s="6" t="s">
        <v>4009</v>
      </c>
      <c r="F3300" s="9" t="s">
        <v>8326</v>
      </c>
    </row>
    <row r="3301" ht="33.75" customHeight="1">
      <c r="A3301" s="7">
        <v>110.0</v>
      </c>
      <c r="B3301" s="9" t="s">
        <v>6978</v>
      </c>
      <c r="C3301" s="9" t="s">
        <v>188</v>
      </c>
      <c r="D3301" s="9" t="s">
        <v>105</v>
      </c>
      <c r="E3301" s="6" t="s">
        <v>4010</v>
      </c>
      <c r="F3301" s="9" t="s">
        <v>8326</v>
      </c>
    </row>
    <row r="3302" ht="33.75" customHeight="1">
      <c r="A3302" s="7">
        <v>110.0</v>
      </c>
      <c r="B3302" s="9" t="s">
        <v>6978</v>
      </c>
      <c r="C3302" s="9" t="s">
        <v>188</v>
      </c>
      <c r="D3302" s="9" t="s">
        <v>107</v>
      </c>
      <c r="E3302" s="6" t="s">
        <v>4012</v>
      </c>
      <c r="F3302" s="9" t="s">
        <v>8326</v>
      </c>
    </row>
    <row r="3303" ht="33.75" customHeight="1">
      <c r="A3303" s="7">
        <v>110.0</v>
      </c>
      <c r="B3303" s="9" t="s">
        <v>6978</v>
      </c>
      <c r="C3303" s="9" t="s">
        <v>188</v>
      </c>
      <c r="D3303" s="9" t="s">
        <v>109</v>
      </c>
      <c r="E3303" s="6" t="s">
        <v>4014</v>
      </c>
      <c r="F3303" s="9" t="s">
        <v>8326</v>
      </c>
    </row>
    <row r="3304" ht="33.75" customHeight="1">
      <c r="A3304" s="7">
        <v>110.0</v>
      </c>
      <c r="B3304" s="9" t="s">
        <v>6978</v>
      </c>
      <c r="C3304" s="9" t="s">
        <v>188</v>
      </c>
      <c r="D3304" s="9" t="s">
        <v>111</v>
      </c>
      <c r="E3304" s="6" t="s">
        <v>4016</v>
      </c>
      <c r="F3304" s="9" t="s">
        <v>8326</v>
      </c>
    </row>
    <row r="3305" ht="33.75" customHeight="1">
      <c r="A3305" s="7">
        <v>110.0</v>
      </c>
      <c r="B3305" s="9" t="s">
        <v>6978</v>
      </c>
      <c r="C3305" s="9" t="s">
        <v>188</v>
      </c>
      <c r="D3305" s="9" t="s">
        <v>113</v>
      </c>
      <c r="E3305" s="6" t="s">
        <v>4016</v>
      </c>
      <c r="F3305" s="9" t="s">
        <v>8326</v>
      </c>
    </row>
    <row r="3306" ht="33.75" customHeight="1">
      <c r="A3306" s="7">
        <v>110.0</v>
      </c>
      <c r="B3306" s="9" t="s">
        <v>6978</v>
      </c>
      <c r="C3306" s="9" t="s">
        <v>188</v>
      </c>
      <c r="D3306" s="9" t="s">
        <v>114</v>
      </c>
      <c r="E3306" s="6" t="s">
        <v>4017</v>
      </c>
      <c r="F3306" s="9" t="s">
        <v>8326</v>
      </c>
    </row>
    <row r="3307" ht="33.75" customHeight="1">
      <c r="A3307" s="7">
        <v>110.0</v>
      </c>
      <c r="B3307" s="9" t="s">
        <v>6978</v>
      </c>
      <c r="C3307" s="9" t="s">
        <v>188</v>
      </c>
      <c r="D3307" s="9" t="s">
        <v>117</v>
      </c>
      <c r="E3307" s="6" t="s">
        <v>4019</v>
      </c>
      <c r="F3307" s="9" t="s">
        <v>8326</v>
      </c>
    </row>
    <row r="3308" ht="33.75" customHeight="1">
      <c r="A3308" s="7">
        <v>111.0</v>
      </c>
      <c r="B3308" s="9" t="s">
        <v>7046</v>
      </c>
      <c r="C3308" s="9" t="s">
        <v>189</v>
      </c>
      <c r="D3308" s="9" t="s">
        <v>24</v>
      </c>
      <c r="E3308" s="6" t="s">
        <v>4021</v>
      </c>
      <c r="F3308" s="9" t="s">
        <v>8400</v>
      </c>
      <c r="G3308" t="inlineStr" s="6">
        <is>
          <t xml:space="preserve">Rhyhorn's massive bones are 1000 times harder than human bones. It can easily knock a trailer flying. A POKéMON with a one-track mind. Once it charges, it won't stop running until it falls asleep. It is inept at turning because of its four short legs. It can only charge and run in one direction. It doesn't care if there is anything in its way. It just charges and destroys all obstacles. It can remember only one thing at a time. Once it starts rushing, it forgets why it started. RHYHORN runs in a straight line, smashing everything in its path. It is not bothered even if it rushes headlong into a block of steel. This POKéMON may feel some pain from the collision the next day, however. RHYHORN’s brain is very small. It is so dense, while on a run it forgets why it started running in the first place. It apparently remembers sometimes if it demolishes something. Once it starts running, it doesn’t stop. Its tiny brain makes it so stupid that it can’t remember why it started running in the first place. Strong, but not too bright, this POKéMON can shatter even a skyscraper with its charging TACKLES. Its massive bones are 1,000 times harder than human bones. Its TACKLE can knock a semitrailer flying. Its body is clad in a thick hide, and its tackles topple buildings. Unfortunately, it is not smart. Its powerful tackles can destroy anything. However, it is too slow witted to help people work. Ludicrously strong—when it butts heads with a mountain, it is the mountain that shatters. But its short legs struggle with turns, and it is incapable of stopping unless it collides with something.</t>
        </is>
      </c>
    </row>
    <row r="3309" ht="33.75" customHeight="1">
      <c r="A3309" s="7">
        <v>111.0</v>
      </c>
      <c r="B3309" s="9" t="s">
        <v>7046</v>
      </c>
      <c r="C3309" s="9" t="s">
        <v>189</v>
      </c>
      <c r="D3309" s="9" t="s">
        <v>35</v>
      </c>
      <c r="E3309" s="6" t="s">
        <v>4021</v>
      </c>
      <c r="F3309" s="9" t="s">
        <v>8400</v>
      </c>
    </row>
    <row r="3310" ht="33.75" customHeight="1">
      <c r="A3310" s="7">
        <v>111.0</v>
      </c>
      <c r="B3310" s="9" t="s">
        <v>7046</v>
      </c>
      <c r="C3310" s="9" t="s">
        <v>189</v>
      </c>
      <c r="D3310" s="9" t="s">
        <v>42</v>
      </c>
      <c r="E3310" s="6" t="s">
        <v>4023</v>
      </c>
      <c r="F3310" s="9" t="s">
        <v>8400</v>
      </c>
    </row>
    <row r="3311" ht="33.75" customHeight="1">
      <c r="A3311" s="7">
        <v>111.0</v>
      </c>
      <c r="B3311" s="9" t="s">
        <v>7046</v>
      </c>
      <c r="C3311" s="9" t="s">
        <v>189</v>
      </c>
      <c r="D3311" s="9" t="s">
        <v>52</v>
      </c>
      <c r="E3311" s="6" t="s">
        <v>4024</v>
      </c>
      <c r="F3311" s="9" t="s">
        <v>8400</v>
      </c>
    </row>
    <row r="3312" ht="33.75" customHeight="1">
      <c r="A3312" s="7">
        <v>111.0</v>
      </c>
      <c r="B3312" s="9" t="s">
        <v>7046</v>
      </c>
      <c r="C3312" s="9" t="s">
        <v>189</v>
      </c>
      <c r="D3312" s="9" t="s">
        <v>59</v>
      </c>
      <c r="E3312" s="6" t="s">
        <v>4026</v>
      </c>
      <c r="F3312" s="9" t="s">
        <v>8400</v>
      </c>
    </row>
    <row r="3313" ht="33.75" customHeight="1">
      <c r="A3313" s="7">
        <v>111.0</v>
      </c>
      <c r="B3313" s="9" t="s">
        <v>7046</v>
      </c>
      <c r="C3313" s="9" t="s">
        <v>189</v>
      </c>
      <c r="D3313" s="9" t="s">
        <v>64</v>
      </c>
      <c r="E3313" s="6" t="s">
        <v>4027</v>
      </c>
      <c r="F3313" s="9" t="s">
        <v>8400</v>
      </c>
    </row>
    <row r="3314" ht="33.75" customHeight="1">
      <c r="A3314" s="7">
        <v>111.0</v>
      </c>
      <c r="B3314" s="9" t="s">
        <v>7046</v>
      </c>
      <c r="C3314" s="9" t="s">
        <v>189</v>
      </c>
      <c r="D3314" s="9" t="s">
        <v>67</v>
      </c>
      <c r="E3314" s="6" t="s">
        <v>4028</v>
      </c>
      <c r="F3314" s="9" t="s">
        <v>8400</v>
      </c>
    </row>
    <row r="3315" ht="33.75" customHeight="1">
      <c r="A3315" s="7">
        <v>111.0</v>
      </c>
      <c r="B3315" s="9" t="s">
        <v>7046</v>
      </c>
      <c r="C3315" s="9" t="s">
        <v>189</v>
      </c>
      <c r="D3315" s="9" t="s">
        <v>71</v>
      </c>
      <c r="E3315" s="6" t="s">
        <v>4030</v>
      </c>
      <c r="F3315" s="9" t="s">
        <v>8400</v>
      </c>
    </row>
    <row r="3316" ht="33.75" customHeight="1">
      <c r="A3316" s="7">
        <v>111.0</v>
      </c>
      <c r="B3316" s="9" t="s">
        <v>7046</v>
      </c>
      <c r="C3316" s="9" t="s">
        <v>189</v>
      </c>
      <c r="D3316" s="9" t="s">
        <v>73</v>
      </c>
      <c r="E3316" s="6" t="s">
        <v>4031</v>
      </c>
      <c r="F3316" s="9" t="s">
        <v>8400</v>
      </c>
    </row>
    <row r="3317" ht="33.75" customHeight="1">
      <c r="A3317" s="7">
        <v>111.0</v>
      </c>
      <c r="B3317" s="9" t="s">
        <v>7046</v>
      </c>
      <c r="C3317" s="9" t="s">
        <v>189</v>
      </c>
      <c r="D3317" s="9" t="s">
        <v>75</v>
      </c>
      <c r="E3317" s="6" t="s">
        <v>4033</v>
      </c>
      <c r="F3317" s="9" t="s">
        <v>8400</v>
      </c>
    </row>
    <row r="3318" ht="33.75" customHeight="1">
      <c r="A3318" s="7">
        <v>111.0</v>
      </c>
      <c r="B3318" s="9" t="s">
        <v>7046</v>
      </c>
      <c r="C3318" s="9" t="s">
        <v>189</v>
      </c>
      <c r="D3318" s="9" t="s">
        <v>79</v>
      </c>
      <c r="E3318" s="6" t="s">
        <v>4035</v>
      </c>
      <c r="F3318" s="9" t="s">
        <v>8400</v>
      </c>
    </row>
    <row r="3319" ht="33.75" customHeight="1">
      <c r="A3319" s="7">
        <v>111.0</v>
      </c>
      <c r="B3319" s="9" t="s">
        <v>7046</v>
      </c>
      <c r="C3319" s="9" t="s">
        <v>189</v>
      </c>
      <c r="D3319" s="9" t="s">
        <v>81</v>
      </c>
      <c r="E3319" s="6" t="s">
        <v>4036</v>
      </c>
      <c r="F3319" s="9" t="s">
        <v>8400</v>
      </c>
    </row>
    <row r="3320" ht="33.75" customHeight="1">
      <c r="A3320" s="7">
        <v>111.0</v>
      </c>
      <c r="B3320" s="9" t="s">
        <v>7046</v>
      </c>
      <c r="C3320" s="9" t="s">
        <v>189</v>
      </c>
      <c r="D3320" s="9" t="s">
        <v>84</v>
      </c>
      <c r="E3320" s="6" t="s">
        <v>4036</v>
      </c>
      <c r="F3320" s="9" t="s">
        <v>8400</v>
      </c>
    </row>
    <row r="3321" ht="33.75" customHeight="1">
      <c r="A3321" s="7">
        <v>111.0</v>
      </c>
      <c r="B3321" s="9" t="s">
        <v>7046</v>
      </c>
      <c r="C3321" s="9" t="s">
        <v>189</v>
      </c>
      <c r="D3321" s="9" t="s">
        <v>87</v>
      </c>
      <c r="E3321" s="6" t="s">
        <v>4037</v>
      </c>
      <c r="F3321" s="9" t="s">
        <v>8400</v>
      </c>
    </row>
    <row r="3322" ht="33.75" customHeight="1">
      <c r="A3322" s="7">
        <v>111.0</v>
      </c>
      <c r="B3322" s="9" t="s">
        <v>7046</v>
      </c>
      <c r="C3322" s="9" t="s">
        <v>189</v>
      </c>
      <c r="D3322" s="9" t="s">
        <v>89</v>
      </c>
      <c r="E3322" s="6" t="s">
        <v>4024</v>
      </c>
      <c r="F3322" s="9" t="s">
        <v>8400</v>
      </c>
    </row>
    <row r="3323" ht="33.75" customHeight="1">
      <c r="A3323" s="7">
        <v>111.0</v>
      </c>
      <c r="B3323" s="9" t="s">
        <v>7046</v>
      </c>
      <c r="C3323" s="9" t="s">
        <v>189</v>
      </c>
      <c r="D3323" s="9" t="s">
        <v>91</v>
      </c>
      <c r="E3323" s="6" t="s">
        <v>4038</v>
      </c>
      <c r="F3323" s="9" t="s">
        <v>8400</v>
      </c>
    </row>
    <row r="3324" ht="33.75" customHeight="1">
      <c r="A3324" s="7">
        <v>111.0</v>
      </c>
      <c r="B3324" s="9" t="s">
        <v>7046</v>
      </c>
      <c r="C3324" s="9" t="s">
        <v>189</v>
      </c>
      <c r="D3324" s="9" t="s">
        <v>93</v>
      </c>
      <c r="E3324" s="6" t="s">
        <v>4037</v>
      </c>
      <c r="F3324" s="9" t="s">
        <v>8400</v>
      </c>
    </row>
    <row r="3325" ht="33.75" customHeight="1">
      <c r="A3325" s="7">
        <v>111.0</v>
      </c>
      <c r="B3325" s="9" t="s">
        <v>7046</v>
      </c>
      <c r="C3325" s="9" t="s">
        <v>189</v>
      </c>
      <c r="D3325" s="9" t="s">
        <v>95</v>
      </c>
      <c r="E3325" s="6" t="s">
        <v>4037</v>
      </c>
      <c r="F3325" s="9" t="s">
        <v>8400</v>
      </c>
    </row>
    <row r="3326" ht="33.75" customHeight="1">
      <c r="A3326" s="7">
        <v>111.0</v>
      </c>
      <c r="B3326" s="9" t="s">
        <v>7046</v>
      </c>
      <c r="C3326" s="9" t="s">
        <v>189</v>
      </c>
      <c r="D3326" s="9" t="s">
        <v>98</v>
      </c>
      <c r="E3326" s="6" t="s">
        <v>4037</v>
      </c>
      <c r="F3326" s="9" t="s">
        <v>8400</v>
      </c>
    </row>
    <row r="3327" ht="33.75" customHeight="1">
      <c r="A3327" s="7">
        <v>111.0</v>
      </c>
      <c r="B3327" s="9" t="s">
        <v>7046</v>
      </c>
      <c r="C3327" s="9" t="s">
        <v>189</v>
      </c>
      <c r="D3327" s="9" t="s">
        <v>99</v>
      </c>
      <c r="E3327" s="6" t="s">
        <v>4037</v>
      </c>
      <c r="F3327" s="9" t="s">
        <v>8400</v>
      </c>
    </row>
    <row r="3328" ht="33.75" customHeight="1">
      <c r="A3328" s="7">
        <v>111.0</v>
      </c>
      <c r="B3328" s="9" t="s">
        <v>7046</v>
      </c>
      <c r="C3328" s="9" t="s">
        <v>189</v>
      </c>
      <c r="D3328" s="9" t="s">
        <v>101</v>
      </c>
      <c r="E3328" s="6" t="s">
        <v>4040</v>
      </c>
      <c r="F3328" s="9" t="s">
        <v>8400</v>
      </c>
    </row>
    <row r="3329" ht="33.75" customHeight="1">
      <c r="A3329" s="7">
        <v>111.0</v>
      </c>
      <c r="B3329" s="9" t="s">
        <v>7046</v>
      </c>
      <c r="C3329" s="9" t="s">
        <v>189</v>
      </c>
      <c r="D3329" s="9" t="s">
        <v>105</v>
      </c>
      <c r="E3329" s="6" t="s">
        <v>4024</v>
      </c>
      <c r="F3329" s="9" t="s">
        <v>8400</v>
      </c>
    </row>
    <row r="3330" ht="33.75" customHeight="1">
      <c r="A3330" s="7">
        <v>111.0</v>
      </c>
      <c r="B3330" s="9" t="s">
        <v>7046</v>
      </c>
      <c r="C3330" s="9" t="s">
        <v>189</v>
      </c>
      <c r="D3330" s="9" t="s">
        <v>107</v>
      </c>
      <c r="E3330" s="6" t="s">
        <v>4041</v>
      </c>
      <c r="F3330" s="9" t="s">
        <v>8400</v>
      </c>
    </row>
    <row r="3331" ht="33.75" customHeight="1">
      <c r="A3331" s="7">
        <v>111.0</v>
      </c>
      <c r="B3331" s="9" t="s">
        <v>7046</v>
      </c>
      <c r="C3331" s="9" t="s">
        <v>189</v>
      </c>
      <c r="D3331" s="9" t="s">
        <v>109</v>
      </c>
      <c r="E3331" s="6" t="s">
        <v>4042</v>
      </c>
      <c r="F3331" s="9" t="s">
        <v>8400</v>
      </c>
    </row>
    <row r="3332" ht="33.75" customHeight="1">
      <c r="A3332" s="7">
        <v>111.0</v>
      </c>
      <c r="B3332" s="9" t="s">
        <v>7046</v>
      </c>
      <c r="C3332" s="9" t="s">
        <v>189</v>
      </c>
      <c r="D3332" s="9" t="s">
        <v>111</v>
      </c>
      <c r="E3332" s="6" t="s">
        <v>4043</v>
      </c>
      <c r="F3332" s="9" t="s">
        <v>8400</v>
      </c>
    </row>
    <row r="3333" ht="33.75" customHeight="1">
      <c r="A3333" s="7">
        <v>111.0</v>
      </c>
      <c r="B3333" s="9" t="s">
        <v>7046</v>
      </c>
      <c r="C3333" s="9" t="s">
        <v>189</v>
      </c>
      <c r="D3333" s="9" t="s">
        <v>113</v>
      </c>
      <c r="E3333" s="6" t="s">
        <v>4043</v>
      </c>
      <c r="F3333" s="9" t="s">
        <v>8400</v>
      </c>
    </row>
    <row r="3334" ht="33.75" customHeight="1">
      <c r="A3334" s="7">
        <v>111.0</v>
      </c>
      <c r="B3334" s="9" t="s">
        <v>7046</v>
      </c>
      <c r="C3334" s="9" t="s">
        <v>189</v>
      </c>
      <c r="D3334" s="9" t="s">
        <v>114</v>
      </c>
      <c r="E3334" s="6" t="s">
        <v>4044</v>
      </c>
      <c r="F3334" s="9" t="s">
        <v>8400</v>
      </c>
    </row>
    <row r="3335" ht="33.75" customHeight="1">
      <c r="A3335" s="7">
        <v>111.0</v>
      </c>
      <c r="B3335" s="9" t="s">
        <v>7046</v>
      </c>
      <c r="C3335" s="9" t="s">
        <v>189</v>
      </c>
      <c r="D3335" s="9" t="s">
        <v>117</v>
      </c>
      <c r="E3335" s="6" t="s">
        <v>4027</v>
      </c>
      <c r="F3335" s="9" t="s">
        <v>8400</v>
      </c>
    </row>
    <row r="3336" ht="33.75" customHeight="1">
      <c r="A3336" s="7">
        <v>111.0</v>
      </c>
      <c r="B3336" s="9" t="s">
        <v>7046</v>
      </c>
      <c r="C3336" s="9" t="s">
        <v>189</v>
      </c>
      <c r="D3336" s="9" t="s">
        <v>1577</v>
      </c>
      <c r="E3336" s="6" t="s">
        <v>4045</v>
      </c>
      <c r="F3336" s="9" t="s">
        <v>8400</v>
      </c>
    </row>
    <row r="3337" ht="33.75" customHeight="1">
      <c r="A3337" s="7">
        <v>112.0</v>
      </c>
      <c r="B3337" s="9" t="s">
        <v>7113</v>
      </c>
      <c r="C3337" s="9" t="s">
        <v>100</v>
      </c>
      <c r="D3337" s="9" t="s">
        <v>24</v>
      </c>
      <c r="E3337" s="6" t="s">
        <v>4047</v>
      </c>
      <c r="F3337" s="9" t="s">
        <v>8493</v>
      </c>
      <c r="G3337" t="inlineStr" s="6">
        <is>
          <t xml:space="preserve">Protected by an armor-like hide, Rhydon is capable of living in molten lava of 3,600 degrees. Walks on its hind legs. Shows signs of intelligence. Its armor-like hide even repels molten lava. Its rugged hide protects it from even the heat of lava. However, the hide also makes it insensitive. Its brain developed when it began walking on hind legs. Its thick hide protects it even in magma. By lightly spinning its drill- like horn, it can easily shatter even a diamond in the rough. RHYDON’s horn can crush even uncut diamonds. One sweeping blow of its tail can topple a building. This POKéMON’s hide is extremely tough. Even direct cannon hits don’t leave a scratch. RHYDON has a horn that serves as a drill. It is used for destroying rocks and boulders. This POKéMON occasionally rams into streams of magma, but the armor-like hide prevents it from feeling the heat. Its horn, which rotates like a drill, destroys tall buildings with one strike. It stands on its hind legs, and its brain is well developed. It begins walking on its hind legs after evolution. It can punch holes through boulders with its horn. Protected by an armor-like hide, it is capable of living in molten lava of 3,600 degrees Fahrenheit. Its brain developed after it stood up on its hind legs. Its drill horn bores tunnels through solid rock. Standing on its hind legs freed its forelegs and made it smarter. It is very forgetful, however. Its brain developed when it began walking on its hind legs. Rapidly rotates its horn to bore through bedrock. It swaggers around volcanic regions, protected from the lava's heat by its tough, armorlike hide.</t>
        </is>
      </c>
    </row>
    <row r="3338" ht="33.75" customHeight="1">
      <c r="A3338" s="7">
        <v>112.0</v>
      </c>
      <c r="B3338" s="9" t="s">
        <v>7113</v>
      </c>
      <c r="C3338" s="9" t="s">
        <v>100</v>
      </c>
      <c r="D3338" s="9" t="s">
        <v>35</v>
      </c>
      <c r="E3338" s="6" t="s">
        <v>4047</v>
      </c>
      <c r="F3338" s="9" t="s">
        <v>8493</v>
      </c>
    </row>
    <row r="3339" ht="33.75" customHeight="1">
      <c r="A3339" s="7">
        <v>112.0</v>
      </c>
      <c r="B3339" s="9" t="s">
        <v>7113</v>
      </c>
      <c r="C3339" s="9" t="s">
        <v>100</v>
      </c>
      <c r="D3339" s="9" t="s">
        <v>42</v>
      </c>
      <c r="E3339" s="6" t="s">
        <v>4048</v>
      </c>
      <c r="F3339" s="9" t="s">
        <v>8493</v>
      </c>
    </row>
    <row r="3340" ht="33.75" customHeight="1">
      <c r="A3340" s="7">
        <v>112.0</v>
      </c>
      <c r="B3340" s="9" t="s">
        <v>7113</v>
      </c>
      <c r="C3340" s="9" t="s">
        <v>100</v>
      </c>
      <c r="D3340" s="9" t="s">
        <v>52</v>
      </c>
      <c r="E3340" s="6" t="s">
        <v>4049</v>
      </c>
      <c r="F3340" s="9" t="s">
        <v>8493</v>
      </c>
    </row>
    <row r="3341" ht="33.75" customHeight="1">
      <c r="A3341" s="7">
        <v>112.0</v>
      </c>
      <c r="B3341" s="9" t="s">
        <v>7113</v>
      </c>
      <c r="C3341" s="9" t="s">
        <v>100</v>
      </c>
      <c r="D3341" s="9" t="s">
        <v>59</v>
      </c>
      <c r="E3341" s="6" t="s">
        <v>4050</v>
      </c>
      <c r="F3341" s="9" t="s">
        <v>8493</v>
      </c>
    </row>
    <row r="3342" ht="33.75" customHeight="1">
      <c r="A3342" s="7">
        <v>112.0</v>
      </c>
      <c r="B3342" s="9" t="s">
        <v>7113</v>
      </c>
      <c r="C3342" s="9" t="s">
        <v>100</v>
      </c>
      <c r="D3342" s="9" t="s">
        <v>64</v>
      </c>
      <c r="E3342" s="6" t="s">
        <v>4052</v>
      </c>
      <c r="F3342" s="9" t="s">
        <v>8493</v>
      </c>
    </row>
    <row r="3343" ht="33.75" customHeight="1">
      <c r="A3343" s="7">
        <v>112.0</v>
      </c>
      <c r="B3343" s="9" t="s">
        <v>7113</v>
      </c>
      <c r="C3343" s="9" t="s">
        <v>100</v>
      </c>
      <c r="D3343" s="9" t="s">
        <v>67</v>
      </c>
      <c r="E3343" s="6" t="s">
        <v>4053</v>
      </c>
      <c r="F3343" s="9" t="s">
        <v>8493</v>
      </c>
    </row>
    <row r="3344" ht="33.75" customHeight="1">
      <c r="A3344" s="7">
        <v>112.0</v>
      </c>
      <c r="B3344" s="9" t="s">
        <v>7113</v>
      </c>
      <c r="C3344" s="9" t="s">
        <v>100</v>
      </c>
      <c r="D3344" s="9" t="s">
        <v>71</v>
      </c>
      <c r="E3344" s="6" t="s">
        <v>4055</v>
      </c>
      <c r="F3344" s="9" t="s">
        <v>8493</v>
      </c>
    </row>
    <row r="3345" ht="33.75" customHeight="1">
      <c r="A3345" s="7">
        <v>112.0</v>
      </c>
      <c r="B3345" s="9" t="s">
        <v>7113</v>
      </c>
      <c r="C3345" s="9" t="s">
        <v>100</v>
      </c>
      <c r="D3345" s="9" t="s">
        <v>73</v>
      </c>
      <c r="E3345" s="6" t="s">
        <v>4056</v>
      </c>
      <c r="F3345" s="9" t="s">
        <v>8493</v>
      </c>
    </row>
    <row r="3346" ht="33.75" customHeight="1">
      <c r="A3346" s="7">
        <v>112.0</v>
      </c>
      <c r="B3346" s="9" t="s">
        <v>7113</v>
      </c>
      <c r="C3346" s="9" t="s">
        <v>100</v>
      </c>
      <c r="D3346" s="9" t="s">
        <v>75</v>
      </c>
      <c r="E3346" s="6" t="s">
        <v>4058</v>
      </c>
      <c r="F3346" s="9" t="s">
        <v>8493</v>
      </c>
    </row>
    <row r="3347" ht="33.75" customHeight="1">
      <c r="A3347" s="7">
        <v>112.0</v>
      </c>
      <c r="B3347" s="9" t="s">
        <v>7113</v>
      </c>
      <c r="C3347" s="9" t="s">
        <v>100</v>
      </c>
      <c r="D3347" s="9" t="s">
        <v>79</v>
      </c>
      <c r="E3347" s="6" t="s">
        <v>4060</v>
      </c>
      <c r="F3347" s="9" t="s">
        <v>8493</v>
      </c>
    </row>
    <row r="3348" ht="33.75" customHeight="1">
      <c r="A3348" s="7">
        <v>112.0</v>
      </c>
      <c r="B3348" s="9" t="s">
        <v>7113</v>
      </c>
      <c r="C3348" s="9" t="s">
        <v>100</v>
      </c>
      <c r="D3348" s="9" t="s">
        <v>81</v>
      </c>
      <c r="E3348" s="6" t="s">
        <v>4062</v>
      </c>
      <c r="F3348" s="9" t="s">
        <v>8493</v>
      </c>
    </row>
    <row r="3349" ht="33.75" customHeight="1">
      <c r="A3349" s="7">
        <v>112.0</v>
      </c>
      <c r="B3349" s="9" t="s">
        <v>7113</v>
      </c>
      <c r="C3349" s="9" t="s">
        <v>100</v>
      </c>
      <c r="D3349" s="9" t="s">
        <v>84</v>
      </c>
      <c r="E3349" s="6" t="s">
        <v>4062</v>
      </c>
      <c r="F3349" s="9" t="s">
        <v>8493</v>
      </c>
    </row>
    <row r="3350" ht="33.75" customHeight="1">
      <c r="A3350" s="7">
        <v>112.0</v>
      </c>
      <c r="B3350" s="9" t="s">
        <v>7113</v>
      </c>
      <c r="C3350" s="9" t="s">
        <v>100</v>
      </c>
      <c r="D3350" s="9" t="s">
        <v>87</v>
      </c>
      <c r="E3350" s="6" t="s">
        <v>4065</v>
      </c>
      <c r="F3350" s="9" t="s">
        <v>8493</v>
      </c>
    </row>
    <row r="3351" ht="33.75" customHeight="1">
      <c r="A3351" s="7">
        <v>112.0</v>
      </c>
      <c r="B3351" s="9" t="s">
        <v>7113</v>
      </c>
      <c r="C3351" s="9" t="s">
        <v>100</v>
      </c>
      <c r="D3351" s="9" t="s">
        <v>89</v>
      </c>
      <c r="E3351" s="6" t="s">
        <v>4049</v>
      </c>
      <c r="F3351" s="9" t="s">
        <v>8493</v>
      </c>
    </row>
    <row r="3352" ht="33.75" customHeight="1">
      <c r="A3352" s="7">
        <v>112.0</v>
      </c>
      <c r="B3352" s="9" t="s">
        <v>7113</v>
      </c>
      <c r="C3352" s="9" t="s">
        <v>100</v>
      </c>
      <c r="D3352" s="9" t="s">
        <v>91</v>
      </c>
      <c r="E3352" s="6" t="s">
        <v>4066</v>
      </c>
      <c r="F3352" s="9" t="s">
        <v>8493</v>
      </c>
    </row>
    <row r="3353" ht="33.75" customHeight="1">
      <c r="A3353" s="7">
        <v>112.0</v>
      </c>
      <c r="B3353" s="9" t="s">
        <v>7113</v>
      </c>
      <c r="C3353" s="9" t="s">
        <v>100</v>
      </c>
      <c r="D3353" s="9" t="s">
        <v>93</v>
      </c>
      <c r="E3353" s="6" t="s">
        <v>4065</v>
      </c>
      <c r="F3353" s="9" t="s">
        <v>8493</v>
      </c>
    </row>
    <row r="3354" ht="33.75" customHeight="1">
      <c r="A3354" s="7">
        <v>112.0</v>
      </c>
      <c r="B3354" s="9" t="s">
        <v>7113</v>
      </c>
      <c r="C3354" s="9" t="s">
        <v>100</v>
      </c>
      <c r="D3354" s="9" t="s">
        <v>95</v>
      </c>
      <c r="E3354" s="6" t="s">
        <v>4065</v>
      </c>
      <c r="F3354" s="9" t="s">
        <v>8493</v>
      </c>
    </row>
    <row r="3355" ht="33.75" customHeight="1">
      <c r="A3355" s="7">
        <v>112.0</v>
      </c>
      <c r="B3355" s="9" t="s">
        <v>7113</v>
      </c>
      <c r="C3355" s="9" t="s">
        <v>100</v>
      </c>
      <c r="D3355" s="9" t="s">
        <v>98</v>
      </c>
      <c r="E3355" s="6" t="s">
        <v>4065</v>
      </c>
      <c r="F3355" s="9" t="s">
        <v>8493</v>
      </c>
    </row>
    <row r="3356" ht="33.75" customHeight="1">
      <c r="A3356" s="7">
        <v>112.0</v>
      </c>
      <c r="B3356" s="9" t="s">
        <v>7113</v>
      </c>
      <c r="C3356" s="9" t="s">
        <v>100</v>
      </c>
      <c r="D3356" s="9" t="s">
        <v>99</v>
      </c>
      <c r="E3356" s="6" t="s">
        <v>4065</v>
      </c>
      <c r="F3356" s="9" t="s">
        <v>8493</v>
      </c>
    </row>
    <row r="3357" ht="33.75" customHeight="1">
      <c r="A3357" s="7">
        <v>112.0</v>
      </c>
      <c r="B3357" s="9" t="s">
        <v>7113</v>
      </c>
      <c r="C3357" s="9" t="s">
        <v>100</v>
      </c>
      <c r="D3357" s="9" t="s">
        <v>101</v>
      </c>
      <c r="E3357" s="6" t="s">
        <v>4060</v>
      </c>
      <c r="F3357" s="9" t="s">
        <v>8493</v>
      </c>
    </row>
    <row r="3358" ht="33.75" customHeight="1">
      <c r="A3358" s="7">
        <v>112.0</v>
      </c>
      <c r="B3358" s="9" t="s">
        <v>7113</v>
      </c>
      <c r="C3358" s="9" t="s">
        <v>100</v>
      </c>
      <c r="D3358" s="9" t="s">
        <v>105</v>
      </c>
      <c r="E3358" s="6" t="s">
        <v>4058</v>
      </c>
      <c r="F3358" s="9" t="s">
        <v>8493</v>
      </c>
    </row>
    <row r="3359" ht="33.75" customHeight="1">
      <c r="A3359" s="7">
        <v>112.0</v>
      </c>
      <c r="B3359" s="9" t="s">
        <v>7113</v>
      </c>
      <c r="C3359" s="9" t="s">
        <v>100</v>
      </c>
      <c r="D3359" s="9" t="s">
        <v>107</v>
      </c>
      <c r="E3359" s="6" t="s">
        <v>4067</v>
      </c>
      <c r="F3359" s="9" t="s">
        <v>8493</v>
      </c>
    </row>
    <row r="3360" ht="33.75" customHeight="1">
      <c r="A3360" s="7">
        <v>112.0</v>
      </c>
      <c r="B3360" s="9" t="s">
        <v>7113</v>
      </c>
      <c r="C3360" s="9" t="s">
        <v>100</v>
      </c>
      <c r="D3360" s="9" t="s">
        <v>109</v>
      </c>
      <c r="E3360" s="6" t="s">
        <v>4068</v>
      </c>
      <c r="F3360" s="9" t="s">
        <v>8493</v>
      </c>
    </row>
    <row r="3361" ht="33.75" customHeight="1">
      <c r="A3361" s="7">
        <v>112.0</v>
      </c>
      <c r="B3361" s="9" t="s">
        <v>7113</v>
      </c>
      <c r="C3361" s="9" t="s">
        <v>100</v>
      </c>
      <c r="D3361" s="9" t="s">
        <v>111</v>
      </c>
      <c r="E3361" s="6" t="s">
        <v>4069</v>
      </c>
      <c r="F3361" s="9" t="s">
        <v>8493</v>
      </c>
    </row>
    <row r="3362" ht="33.75" customHeight="1">
      <c r="A3362" s="7">
        <v>112.0</v>
      </c>
      <c r="B3362" s="9" t="s">
        <v>7113</v>
      </c>
      <c r="C3362" s="9" t="s">
        <v>100</v>
      </c>
      <c r="D3362" s="9" t="s">
        <v>113</v>
      </c>
      <c r="E3362" s="6" t="s">
        <v>4069</v>
      </c>
      <c r="F3362" s="9" t="s">
        <v>8493</v>
      </c>
    </row>
    <row r="3363" ht="33.75" customHeight="1">
      <c r="A3363" s="7">
        <v>112.0</v>
      </c>
      <c r="B3363" s="9" t="s">
        <v>7113</v>
      </c>
      <c r="C3363" s="9" t="s">
        <v>100</v>
      </c>
      <c r="D3363" s="9" t="s">
        <v>114</v>
      </c>
      <c r="E3363" s="6" t="s">
        <v>4058</v>
      </c>
      <c r="F3363" s="9" t="s">
        <v>8493</v>
      </c>
    </row>
    <row r="3364" ht="33.75" customHeight="1">
      <c r="A3364" s="7">
        <v>112.0</v>
      </c>
      <c r="B3364" s="9" t="s">
        <v>7113</v>
      </c>
      <c r="C3364" s="9" t="s">
        <v>100</v>
      </c>
      <c r="D3364" s="9" t="s">
        <v>117</v>
      </c>
      <c r="E3364" s="6" t="s">
        <v>4060</v>
      </c>
      <c r="F3364" s="9" t="s">
        <v>8493</v>
      </c>
    </row>
    <row r="3365" ht="33.75" customHeight="1">
      <c r="A3365" s="7">
        <v>112.0</v>
      </c>
      <c r="B3365" s="9" t="s">
        <v>7113</v>
      </c>
      <c r="C3365" s="9" t="s">
        <v>100</v>
      </c>
      <c r="D3365" s="9" t="s">
        <v>1577</v>
      </c>
      <c r="E3365" s="6" t="s">
        <v>4070</v>
      </c>
      <c r="F3365" s="9" t="s">
        <v>8493</v>
      </c>
    </row>
    <row r="3366" ht="33.75" customHeight="1">
      <c r="A3366" s="7">
        <v>113.0</v>
      </c>
      <c r="B3366" s="9" t="s">
        <v>7172</v>
      </c>
      <c r="C3366" s="9" t="s">
        <v>175</v>
      </c>
      <c r="D3366" s="9" t="s">
        <v>24</v>
      </c>
      <c r="E3366" s="6" t="s">
        <v>4072</v>
      </c>
      <c r="F3366" s="9" t="s">
        <v>8578</v>
      </c>
      <c r="G3366" t="inlineStr" s="6">
        <is>
          <t xml:space="preserve">A rare and elusive POKéMON that is said to bring happiness to those who manage to get it. A gentle and kind hearted POKéMON that shares its nutritious eggs if it sees an injured POKéMON. It walks carefully to prevent its egg from breaking. However, it is extremely fast at running away. Few in number and difficult to cap ture, it is said to bring happiness to the trainer who catches it. People try to catch it for its extremely nutritious eggs, but it rarely can be found. CHANSEY lays nutritionally excellent eggs on an everyday basis. The eggs are so delicious, they are easily and eagerly devoured by even those people who have lost their appetite. CHANSEY lay nutritionally excellent eggs every day. The eggs are so delicious, they are eagerly devoured by even those people who have lost their appetite. It lays several eggs a day. The eggs are apparently rich in nutrients and extremely delicious. A rare and elusive POKéMON that is said to bring happiness to those who manage to catch one. It is said to deliver happiness. Being compassionate, it shares its eggs with injured people. It lays several eggs a day and won’t share them with those who have evil in their hearts. A kindly Pokémon that lays highly nutritious eggs and shares them with injured Pokémon or people. Being few in number and difficult to capture, it is said to bring happiness to the Trainer who catches it. The eggs laid by Chansey are rich in nutrients and a favorite food of many Pokémon. Not only are these Pokémon fast runners, they’re also few in number, so anyone who finds one must be lucky indeed. It seems that other Pokémon’s efforts to take its delicious, nutritious egg away from it caused Chansey to get faster at fleeing. Because the eggs on their bellies have been overharvested by people in the past, the Chansey population remains very small. A gentle and kindhearted Pokémon that shares its nutritious eggs if it sees an injured Pokémon. The egg Chansey carries is not only delicious but also packed with nutrition. It’s used as a high-class cooking ingredient. This species was once very slow. To protect their eggs from other creatures, these Pokémon became able to flee quickly. This purehearted Pokémon shares its eggs with the injured.</t>
        </is>
      </c>
    </row>
    <row r="3367" ht="33.75" customHeight="1">
      <c r="A3367" s="7">
        <v>113.0</v>
      </c>
      <c r="B3367" s="9" t="s">
        <v>7172</v>
      </c>
      <c r="C3367" s="9" t="s">
        <v>175</v>
      </c>
      <c r="D3367" s="9" t="s">
        <v>35</v>
      </c>
      <c r="E3367" s="6" t="s">
        <v>4072</v>
      </c>
      <c r="F3367" s="9" t="s">
        <v>8578</v>
      </c>
    </row>
    <row r="3368" ht="33.75" customHeight="1">
      <c r="A3368" s="7">
        <v>113.0</v>
      </c>
      <c r="B3368" s="9" t="s">
        <v>7172</v>
      </c>
      <c r="C3368" s="9" t="s">
        <v>175</v>
      </c>
      <c r="D3368" s="9" t="s">
        <v>42</v>
      </c>
      <c r="E3368" s="6" t="s">
        <v>4075</v>
      </c>
      <c r="F3368" s="9" t="s">
        <v>8578</v>
      </c>
    </row>
    <row r="3369" ht="33.75" customHeight="1">
      <c r="A3369" s="7">
        <v>113.0</v>
      </c>
      <c r="B3369" s="9" t="s">
        <v>7172</v>
      </c>
      <c r="C3369" s="9" t="s">
        <v>175</v>
      </c>
      <c r="D3369" s="9" t="s">
        <v>52</v>
      </c>
      <c r="E3369" s="6" t="s">
        <v>4076</v>
      </c>
      <c r="F3369" s="9" t="s">
        <v>8578</v>
      </c>
    </row>
    <row r="3370" ht="33.75" customHeight="1">
      <c r="A3370" s="7">
        <v>113.0</v>
      </c>
      <c r="B3370" s="9" t="s">
        <v>7172</v>
      </c>
      <c r="C3370" s="9" t="s">
        <v>175</v>
      </c>
      <c r="D3370" s="9" t="s">
        <v>59</v>
      </c>
      <c r="E3370" s="6" t="s">
        <v>4078</v>
      </c>
      <c r="F3370" s="9" t="s">
        <v>8578</v>
      </c>
    </row>
    <row r="3371" ht="33.75" customHeight="1">
      <c r="A3371" s="7">
        <v>113.0</v>
      </c>
      <c r="B3371" s="9" t="s">
        <v>7172</v>
      </c>
      <c r="C3371" s="9" t="s">
        <v>175</v>
      </c>
      <c r="D3371" s="9" t="s">
        <v>64</v>
      </c>
      <c r="E3371" s="6" t="s">
        <v>4079</v>
      </c>
      <c r="F3371" s="9" t="s">
        <v>8578</v>
      </c>
    </row>
    <row r="3372" ht="33.75" customHeight="1">
      <c r="A3372" s="7">
        <v>113.0</v>
      </c>
      <c r="B3372" s="9" t="s">
        <v>7172</v>
      </c>
      <c r="C3372" s="9" t="s">
        <v>175</v>
      </c>
      <c r="D3372" s="9" t="s">
        <v>67</v>
      </c>
      <c r="E3372" s="6" t="s">
        <v>4081</v>
      </c>
      <c r="F3372" s="9" t="s">
        <v>8578</v>
      </c>
    </row>
    <row r="3373" ht="33.75" customHeight="1">
      <c r="A3373" s="7">
        <v>113.0</v>
      </c>
      <c r="B3373" s="9" t="s">
        <v>7172</v>
      </c>
      <c r="C3373" s="9" t="s">
        <v>175</v>
      </c>
      <c r="D3373" s="9" t="s">
        <v>71</v>
      </c>
      <c r="E3373" s="6" t="s">
        <v>4081</v>
      </c>
      <c r="F3373" s="9" t="s">
        <v>8578</v>
      </c>
    </row>
    <row r="3374" ht="33.75" customHeight="1">
      <c r="A3374" s="7">
        <v>113.0</v>
      </c>
      <c r="B3374" s="9" t="s">
        <v>7172</v>
      </c>
      <c r="C3374" s="9" t="s">
        <v>175</v>
      </c>
      <c r="D3374" s="9" t="s">
        <v>73</v>
      </c>
      <c r="E3374" s="6" t="s">
        <v>4083</v>
      </c>
      <c r="F3374" s="9" t="s">
        <v>8578</v>
      </c>
    </row>
    <row r="3375" ht="33.75" customHeight="1">
      <c r="A3375" s="7">
        <v>113.0</v>
      </c>
      <c r="B3375" s="9" t="s">
        <v>7172</v>
      </c>
      <c r="C3375" s="9" t="s">
        <v>175</v>
      </c>
      <c r="D3375" s="9" t="s">
        <v>75</v>
      </c>
      <c r="E3375" s="6" t="s">
        <v>4085</v>
      </c>
      <c r="F3375" s="9" t="s">
        <v>8578</v>
      </c>
    </row>
    <row r="3376" ht="33.75" customHeight="1">
      <c r="A3376" s="7">
        <v>113.0</v>
      </c>
      <c r="B3376" s="9" t="s">
        <v>7172</v>
      </c>
      <c r="C3376" s="9" t="s">
        <v>175</v>
      </c>
      <c r="D3376" s="9" t="s">
        <v>79</v>
      </c>
      <c r="E3376" s="6" t="s">
        <v>4086</v>
      </c>
      <c r="F3376" s="9" t="s">
        <v>8578</v>
      </c>
    </row>
    <row r="3377" ht="33.75" customHeight="1">
      <c r="A3377" s="7">
        <v>113.0</v>
      </c>
      <c r="B3377" s="9" t="s">
        <v>7172</v>
      </c>
      <c r="C3377" s="9" t="s">
        <v>175</v>
      </c>
      <c r="D3377" s="9" t="s">
        <v>81</v>
      </c>
      <c r="E3377" s="6" t="s">
        <v>4088</v>
      </c>
      <c r="F3377" s="9" t="s">
        <v>8578</v>
      </c>
    </row>
    <row r="3378" ht="33.75" customHeight="1">
      <c r="A3378" s="7">
        <v>113.0</v>
      </c>
      <c r="B3378" s="9" t="s">
        <v>7172</v>
      </c>
      <c r="C3378" s="9" t="s">
        <v>175</v>
      </c>
      <c r="D3378" s="9" t="s">
        <v>84</v>
      </c>
      <c r="E3378" s="6" t="s">
        <v>4090</v>
      </c>
      <c r="F3378" s="9" t="s">
        <v>8578</v>
      </c>
    </row>
    <row r="3379" ht="33.75" customHeight="1">
      <c r="A3379" s="7">
        <v>113.0</v>
      </c>
      <c r="B3379" s="9" t="s">
        <v>7172</v>
      </c>
      <c r="C3379" s="9" t="s">
        <v>175</v>
      </c>
      <c r="D3379" s="9" t="s">
        <v>87</v>
      </c>
      <c r="E3379" s="6" t="s">
        <v>4092</v>
      </c>
      <c r="F3379" s="9" t="s">
        <v>8578</v>
      </c>
    </row>
    <row r="3380" ht="33.75" customHeight="1">
      <c r="A3380" s="7">
        <v>113.0</v>
      </c>
      <c r="B3380" s="9" t="s">
        <v>7172</v>
      </c>
      <c r="C3380" s="9" t="s">
        <v>175</v>
      </c>
      <c r="D3380" s="9" t="s">
        <v>89</v>
      </c>
      <c r="E3380" s="6" t="s">
        <v>4076</v>
      </c>
      <c r="F3380" s="9" t="s">
        <v>8578</v>
      </c>
    </row>
    <row r="3381" ht="33.75" customHeight="1">
      <c r="A3381" s="7">
        <v>113.0</v>
      </c>
      <c r="B3381" s="9" t="s">
        <v>7172</v>
      </c>
      <c r="C3381" s="9" t="s">
        <v>175</v>
      </c>
      <c r="D3381" s="9" t="s">
        <v>91</v>
      </c>
      <c r="E3381" s="6" t="s">
        <v>4093</v>
      </c>
      <c r="F3381" s="9" t="s">
        <v>8578</v>
      </c>
    </row>
    <row r="3382" ht="33.75" customHeight="1">
      <c r="A3382" s="7">
        <v>113.0</v>
      </c>
      <c r="B3382" s="9" t="s">
        <v>7172</v>
      </c>
      <c r="C3382" s="9" t="s">
        <v>175</v>
      </c>
      <c r="D3382" s="9" t="s">
        <v>93</v>
      </c>
      <c r="E3382" s="6" t="s">
        <v>4092</v>
      </c>
      <c r="F3382" s="9" t="s">
        <v>8578</v>
      </c>
    </row>
    <row r="3383" ht="33.75" customHeight="1">
      <c r="A3383" s="7">
        <v>113.0</v>
      </c>
      <c r="B3383" s="9" t="s">
        <v>7172</v>
      </c>
      <c r="C3383" s="9" t="s">
        <v>175</v>
      </c>
      <c r="D3383" s="9" t="s">
        <v>95</v>
      </c>
      <c r="E3383" s="6" t="s">
        <v>4092</v>
      </c>
      <c r="F3383" s="9" t="s">
        <v>8578</v>
      </c>
    </row>
    <row r="3384" ht="33.75" customHeight="1">
      <c r="A3384" s="7">
        <v>113.0</v>
      </c>
      <c r="B3384" s="9" t="s">
        <v>7172</v>
      </c>
      <c r="C3384" s="9" t="s">
        <v>175</v>
      </c>
      <c r="D3384" s="9" t="s">
        <v>98</v>
      </c>
      <c r="E3384" s="6" t="s">
        <v>4092</v>
      </c>
      <c r="F3384" s="9" t="s">
        <v>8578</v>
      </c>
    </row>
    <row r="3385" ht="33.75" customHeight="1">
      <c r="A3385" s="7">
        <v>113.0</v>
      </c>
      <c r="B3385" s="9" t="s">
        <v>7172</v>
      </c>
      <c r="C3385" s="9" t="s">
        <v>175</v>
      </c>
      <c r="D3385" s="9" t="s">
        <v>99</v>
      </c>
      <c r="E3385" s="6" t="s">
        <v>4092</v>
      </c>
      <c r="F3385" s="9" t="s">
        <v>8578</v>
      </c>
    </row>
    <row r="3386" ht="33.75" customHeight="1">
      <c r="A3386" s="7">
        <v>113.0</v>
      </c>
      <c r="B3386" s="9" t="s">
        <v>7172</v>
      </c>
      <c r="C3386" s="9" t="s">
        <v>175</v>
      </c>
      <c r="D3386" s="9" t="s">
        <v>101</v>
      </c>
      <c r="E3386" s="6" t="s">
        <v>4088</v>
      </c>
      <c r="F3386" s="9" t="s">
        <v>8578</v>
      </c>
    </row>
    <row r="3387" ht="33.75" customHeight="1">
      <c r="A3387" s="7">
        <v>113.0</v>
      </c>
      <c r="B3387" s="9" t="s">
        <v>7172</v>
      </c>
      <c r="C3387" s="9" t="s">
        <v>175</v>
      </c>
      <c r="D3387" s="9" t="s">
        <v>105</v>
      </c>
      <c r="E3387" s="6" t="s">
        <v>4085</v>
      </c>
      <c r="F3387" s="9" t="s">
        <v>8578</v>
      </c>
    </row>
    <row r="3388" ht="33.75" customHeight="1">
      <c r="A3388" s="7">
        <v>113.0</v>
      </c>
      <c r="B3388" s="9" t="s">
        <v>7172</v>
      </c>
      <c r="C3388" s="9" t="s">
        <v>175</v>
      </c>
      <c r="D3388" s="9" t="s">
        <v>107</v>
      </c>
      <c r="E3388" s="6" t="s">
        <v>4095</v>
      </c>
      <c r="F3388" s="9" t="s">
        <v>8578</v>
      </c>
    </row>
    <row r="3389" ht="33.75" customHeight="1">
      <c r="A3389" s="7">
        <v>113.0</v>
      </c>
      <c r="B3389" s="9" t="s">
        <v>7172</v>
      </c>
      <c r="C3389" s="9" t="s">
        <v>175</v>
      </c>
      <c r="D3389" s="9" t="s">
        <v>109</v>
      </c>
      <c r="E3389" s="6" t="s">
        <v>4095</v>
      </c>
      <c r="F3389" s="9" t="s">
        <v>8578</v>
      </c>
    </row>
    <row r="3390" ht="33.75" customHeight="1">
      <c r="A3390" s="7">
        <v>113.0</v>
      </c>
      <c r="B3390" s="9" t="s">
        <v>7172</v>
      </c>
      <c r="C3390" s="9" t="s">
        <v>175</v>
      </c>
      <c r="D3390" s="9" t="s">
        <v>637</v>
      </c>
      <c r="E3390" s="6" t="s">
        <v>4096</v>
      </c>
      <c r="F3390" s="9" t="s">
        <v>8578</v>
      </c>
    </row>
    <row r="3391" ht="33.75" customHeight="1">
      <c r="A3391" s="7">
        <v>113.0</v>
      </c>
      <c r="B3391" s="9" t="s">
        <v>7172</v>
      </c>
      <c r="C3391" s="9" t="s">
        <v>175</v>
      </c>
      <c r="D3391" s="9" t="s">
        <v>642</v>
      </c>
      <c r="E3391" s="6" t="s">
        <v>4098</v>
      </c>
      <c r="F3391" s="9" t="s">
        <v>8578</v>
      </c>
    </row>
    <row r="3392" ht="33.75" customHeight="1">
      <c r="A3392" s="7">
        <v>113.0</v>
      </c>
      <c r="B3392" s="9" t="s">
        <v>7172</v>
      </c>
      <c r="C3392" s="9" t="s">
        <v>175</v>
      </c>
      <c r="D3392" s="9" t="s">
        <v>647</v>
      </c>
      <c r="E3392" s="6" t="s">
        <v>4100</v>
      </c>
      <c r="F3392" s="9" t="s">
        <v>8578</v>
      </c>
    </row>
    <row r="3393" ht="33.75" customHeight="1">
      <c r="A3393" s="7">
        <v>113.0</v>
      </c>
      <c r="B3393" s="9" t="s">
        <v>7172</v>
      </c>
      <c r="C3393" s="9" t="s">
        <v>175</v>
      </c>
      <c r="D3393" s="9" t="s">
        <v>652</v>
      </c>
      <c r="E3393" s="6" t="s">
        <v>4101</v>
      </c>
      <c r="F3393" s="9" t="s">
        <v>8578</v>
      </c>
    </row>
    <row r="3394" ht="33.75" customHeight="1">
      <c r="A3394" s="7">
        <v>113.0</v>
      </c>
      <c r="B3394" s="9" t="s">
        <v>7172</v>
      </c>
      <c r="C3394" s="9" t="s">
        <v>175</v>
      </c>
      <c r="D3394" s="9" t="s">
        <v>111</v>
      </c>
      <c r="E3394" s="6" t="s">
        <v>4103</v>
      </c>
      <c r="F3394" s="9" t="s">
        <v>8578</v>
      </c>
    </row>
    <row r="3395" ht="33.75" customHeight="1">
      <c r="A3395" s="7">
        <v>113.0</v>
      </c>
      <c r="B3395" s="9" t="s">
        <v>7172</v>
      </c>
      <c r="C3395" s="9" t="s">
        <v>175</v>
      </c>
      <c r="D3395" s="9" t="s">
        <v>113</v>
      </c>
      <c r="E3395" s="6" t="s">
        <v>4103</v>
      </c>
      <c r="F3395" s="9" t="s">
        <v>8578</v>
      </c>
    </row>
    <row r="3396" ht="33.75" customHeight="1">
      <c r="A3396" s="7">
        <v>113.0</v>
      </c>
      <c r="B3396" s="9" t="s">
        <v>7172</v>
      </c>
      <c r="C3396" s="9" t="s">
        <v>175</v>
      </c>
      <c r="D3396" s="9" t="s">
        <v>114</v>
      </c>
      <c r="E3396" s="6" t="s">
        <v>4104</v>
      </c>
      <c r="F3396" s="9" t="s">
        <v>8578</v>
      </c>
    </row>
    <row r="3397" ht="33.75" customHeight="1">
      <c r="A3397" s="7">
        <v>113.0</v>
      </c>
      <c r="B3397" s="9" t="s">
        <v>7172</v>
      </c>
      <c r="C3397" s="9" t="s">
        <v>175</v>
      </c>
      <c r="D3397" s="9" t="s">
        <v>117</v>
      </c>
      <c r="E3397" s="6" t="s">
        <v>4106</v>
      </c>
      <c r="F3397" s="9" t="s">
        <v>8578</v>
      </c>
    </row>
    <row r="3398" ht="33.75" customHeight="1">
      <c r="A3398" s="7">
        <v>113.0</v>
      </c>
      <c r="B3398" s="9" t="s">
        <v>7172</v>
      </c>
      <c r="C3398" s="9" t="s">
        <v>175</v>
      </c>
      <c r="D3398" s="9" t="s">
        <v>1577</v>
      </c>
      <c r="E3398" s="6" t="s">
        <v>4107</v>
      </c>
      <c r="F3398" s="9" t="s">
        <v>8578</v>
      </c>
    </row>
    <row r="3399" ht="33.75" customHeight="1">
      <c r="A3399" s="7">
        <v>114.0</v>
      </c>
      <c r="B3399" s="9" t="s">
        <v>7229</v>
      </c>
      <c r="C3399" s="9" t="s">
        <v>191</v>
      </c>
      <c r="D3399" s="9" t="s">
        <v>24</v>
      </c>
      <c r="E3399" s="6" t="s">
        <v>4109</v>
      </c>
      <c r="F3399" s="9" t="s">
        <v>8671</v>
      </c>
      <c r="G3399" t="inlineStr" s="6">
        <is>
          <t xml:space="preserve">The whole body is swathed with wide vines that are similar to sea weed. Its vines shake as it walks. Its identity is obscured by masses of thick, blue vines. The vines are said to never stop growing. The vines that cloak its entire body are always jiggling. They effectively unnerve its foes. It tangles any moving thing with its vines. Their subtle shaking is ticklish if you get ensnared. During battle, it constantly moves the vines that cover its body in order to annoy its opponent. TANGELA’s vines snap off easily if they are grabbed. This happens without pain, allowing it to make a quick getaway. The lost vines are replaced by newly grown vines the very next day. Its vines snap off easily and painlessly if they are grabbed, allowing it to make a quick getaway. The lost vines are replaced by new growth the very next day. Blue plant vines cloak the POKéMON’s identity in a tangled mass. It entangles anything that gets close. The whole body is swathed with wide vines that are similar to seaweed. The vines sway as it walks. It is shrouded by blue vines. No one has seen the face hidden behind this growth of vines. The blue vines shrouding its body are covered in a growth of fine hair. It is known to be ticklish. Many writhing vines cover it, so its true identity remains unknown. The blue vines grow its whole life long. Its identity is obscured by masses of thick blue vines. Hidden beneath a tangle of vines that grows nonstop even if the vines are torn off, this Pokémon’s true appearance remains a mystery. The vines of a Tangela have a distinct scent. In some parts of Galar, Tangela vines are used as herbs. It is cloaked entirely in blue vines, preventing any glimpse of its true identity. The vines impart a refreshing sensation when chewed—they're useful as a spice.</t>
        </is>
      </c>
    </row>
    <row r="3400" ht="33.75" customHeight="1">
      <c r="A3400" s="7">
        <v>114.0</v>
      </c>
      <c r="B3400" s="9" t="s">
        <v>7229</v>
      </c>
      <c r="C3400" s="9" t="s">
        <v>191</v>
      </c>
      <c r="D3400" s="9" t="s">
        <v>35</v>
      </c>
      <c r="E3400" s="6" t="s">
        <v>4109</v>
      </c>
      <c r="F3400" s="9" t="s">
        <v>8671</v>
      </c>
    </row>
    <row r="3401" ht="33.75" customHeight="1">
      <c r="A3401" s="7">
        <v>114.0</v>
      </c>
      <c r="B3401" s="9" t="s">
        <v>7229</v>
      </c>
      <c r="C3401" s="9" t="s">
        <v>191</v>
      </c>
      <c r="D3401" s="9" t="s">
        <v>42</v>
      </c>
      <c r="E3401" s="6" t="s">
        <v>4110</v>
      </c>
      <c r="F3401" s="9" t="s">
        <v>8671</v>
      </c>
    </row>
    <row r="3402" ht="33.75" customHeight="1">
      <c r="A3402" s="7">
        <v>114.0</v>
      </c>
      <c r="B3402" s="9" t="s">
        <v>7229</v>
      </c>
      <c r="C3402" s="9" t="s">
        <v>191</v>
      </c>
      <c r="D3402" s="9" t="s">
        <v>52</v>
      </c>
      <c r="E3402" s="6" t="s">
        <v>4112</v>
      </c>
      <c r="F3402" s="9" t="s">
        <v>8671</v>
      </c>
    </row>
    <row r="3403" ht="33.75" customHeight="1">
      <c r="A3403" s="7">
        <v>114.0</v>
      </c>
      <c r="B3403" s="9" t="s">
        <v>7229</v>
      </c>
      <c r="C3403" s="9" t="s">
        <v>191</v>
      </c>
      <c r="D3403" s="9" t="s">
        <v>59</v>
      </c>
      <c r="E3403" s="6" t="s">
        <v>4114</v>
      </c>
      <c r="F3403" s="9" t="s">
        <v>8671</v>
      </c>
    </row>
    <row r="3404" ht="33.75" customHeight="1">
      <c r="A3404" s="7">
        <v>114.0</v>
      </c>
      <c r="B3404" s="9" t="s">
        <v>7229</v>
      </c>
      <c r="C3404" s="9" t="s">
        <v>191</v>
      </c>
      <c r="D3404" s="9" t="s">
        <v>64</v>
      </c>
      <c r="E3404" s="6" t="s">
        <v>4115</v>
      </c>
      <c r="F3404" s="9" t="s">
        <v>8671</v>
      </c>
    </row>
    <row r="3405" ht="33.75" customHeight="1">
      <c r="A3405" s="7">
        <v>114.0</v>
      </c>
      <c r="B3405" s="9" t="s">
        <v>7229</v>
      </c>
      <c r="C3405" s="9" t="s">
        <v>191</v>
      </c>
      <c r="D3405" s="9" t="s">
        <v>67</v>
      </c>
      <c r="E3405" s="6" t="s">
        <v>4116</v>
      </c>
      <c r="F3405" s="9" t="s">
        <v>8671</v>
      </c>
    </row>
    <row r="3406" ht="33.75" customHeight="1">
      <c r="A3406" s="7">
        <v>114.0</v>
      </c>
      <c r="B3406" s="9" t="s">
        <v>7229</v>
      </c>
      <c r="C3406" s="9" t="s">
        <v>191</v>
      </c>
      <c r="D3406" s="9" t="s">
        <v>71</v>
      </c>
      <c r="E3406" s="6" t="s">
        <v>4116</v>
      </c>
      <c r="F3406" s="9" t="s">
        <v>8671</v>
      </c>
    </row>
    <row r="3407" ht="33.75" customHeight="1">
      <c r="A3407" s="7">
        <v>114.0</v>
      </c>
      <c r="B3407" s="9" t="s">
        <v>7229</v>
      </c>
      <c r="C3407" s="9" t="s">
        <v>191</v>
      </c>
      <c r="D3407" s="9" t="s">
        <v>73</v>
      </c>
      <c r="E3407" s="6" t="s">
        <v>4117</v>
      </c>
      <c r="F3407" s="9" t="s">
        <v>8671</v>
      </c>
    </row>
    <row r="3408" ht="33.75" customHeight="1">
      <c r="A3408" s="7">
        <v>114.0</v>
      </c>
      <c r="B3408" s="9" t="s">
        <v>7229</v>
      </c>
      <c r="C3408" s="9" t="s">
        <v>191</v>
      </c>
      <c r="D3408" s="9" t="s">
        <v>75</v>
      </c>
      <c r="E3408" s="6" t="s">
        <v>4118</v>
      </c>
      <c r="F3408" s="9" t="s">
        <v>8671</v>
      </c>
    </row>
    <row r="3409" ht="33.75" customHeight="1">
      <c r="A3409" s="7">
        <v>114.0</v>
      </c>
      <c r="B3409" s="9" t="s">
        <v>7229</v>
      </c>
      <c r="C3409" s="9" t="s">
        <v>191</v>
      </c>
      <c r="D3409" s="9" t="s">
        <v>79</v>
      </c>
      <c r="E3409" s="6" t="s">
        <v>4119</v>
      </c>
      <c r="F3409" s="9" t="s">
        <v>8671</v>
      </c>
    </row>
    <row r="3410" ht="33.75" customHeight="1">
      <c r="A3410" s="7">
        <v>114.0</v>
      </c>
      <c r="B3410" s="9" t="s">
        <v>7229</v>
      </c>
      <c r="C3410" s="9" t="s">
        <v>191</v>
      </c>
      <c r="D3410" s="9" t="s">
        <v>81</v>
      </c>
      <c r="E3410" s="6" t="s">
        <v>4120</v>
      </c>
      <c r="F3410" s="9" t="s">
        <v>8671</v>
      </c>
    </row>
    <row r="3411" ht="33.75" customHeight="1">
      <c r="A3411" s="7">
        <v>114.0</v>
      </c>
      <c r="B3411" s="9" t="s">
        <v>7229</v>
      </c>
      <c r="C3411" s="9" t="s">
        <v>191</v>
      </c>
      <c r="D3411" s="9" t="s">
        <v>84</v>
      </c>
      <c r="E3411" s="6" t="s">
        <v>4120</v>
      </c>
      <c r="F3411" s="9" t="s">
        <v>8671</v>
      </c>
    </row>
    <row r="3412" ht="33.75" customHeight="1">
      <c r="A3412" s="7">
        <v>114.0</v>
      </c>
      <c r="B3412" s="9" t="s">
        <v>7229</v>
      </c>
      <c r="C3412" s="9" t="s">
        <v>191</v>
      </c>
      <c r="D3412" s="9" t="s">
        <v>87</v>
      </c>
      <c r="E3412" s="6" t="s">
        <v>4121</v>
      </c>
      <c r="F3412" s="9" t="s">
        <v>8671</v>
      </c>
    </row>
    <row r="3413" ht="33.75" customHeight="1">
      <c r="A3413" s="7">
        <v>114.0</v>
      </c>
      <c r="B3413" s="9" t="s">
        <v>7229</v>
      </c>
      <c r="C3413" s="9" t="s">
        <v>191</v>
      </c>
      <c r="D3413" s="9" t="s">
        <v>89</v>
      </c>
      <c r="E3413" s="6" t="s">
        <v>4122</v>
      </c>
      <c r="F3413" s="9" t="s">
        <v>8671</v>
      </c>
    </row>
    <row r="3414" ht="33.75" customHeight="1">
      <c r="A3414" s="7">
        <v>114.0</v>
      </c>
      <c r="B3414" s="9" t="s">
        <v>7229</v>
      </c>
      <c r="C3414" s="9" t="s">
        <v>191</v>
      </c>
      <c r="D3414" s="9" t="s">
        <v>91</v>
      </c>
      <c r="E3414" s="6" t="s">
        <v>4114</v>
      </c>
      <c r="F3414" s="9" t="s">
        <v>8671</v>
      </c>
    </row>
    <row r="3415" ht="33.75" customHeight="1">
      <c r="A3415" s="7">
        <v>114.0</v>
      </c>
      <c r="B3415" s="9" t="s">
        <v>7229</v>
      </c>
      <c r="C3415" s="9" t="s">
        <v>191</v>
      </c>
      <c r="D3415" s="9" t="s">
        <v>93</v>
      </c>
      <c r="E3415" s="6" t="s">
        <v>4121</v>
      </c>
      <c r="F3415" s="9" t="s">
        <v>8671</v>
      </c>
    </row>
    <row r="3416" ht="33.75" customHeight="1">
      <c r="A3416" s="7">
        <v>114.0</v>
      </c>
      <c r="B3416" s="9" t="s">
        <v>7229</v>
      </c>
      <c r="C3416" s="9" t="s">
        <v>191</v>
      </c>
      <c r="D3416" s="9" t="s">
        <v>95</v>
      </c>
      <c r="E3416" s="6" t="s">
        <v>4121</v>
      </c>
      <c r="F3416" s="9" t="s">
        <v>8671</v>
      </c>
    </row>
    <row r="3417" ht="33.75" customHeight="1">
      <c r="A3417" s="7">
        <v>114.0</v>
      </c>
      <c r="B3417" s="9" t="s">
        <v>7229</v>
      </c>
      <c r="C3417" s="9" t="s">
        <v>191</v>
      </c>
      <c r="D3417" s="9" t="s">
        <v>98</v>
      </c>
      <c r="E3417" s="6" t="s">
        <v>4123</v>
      </c>
      <c r="F3417" s="9" t="s">
        <v>8671</v>
      </c>
    </row>
    <row r="3418" ht="33.75" customHeight="1">
      <c r="A3418" s="7">
        <v>114.0</v>
      </c>
      <c r="B3418" s="9" t="s">
        <v>7229</v>
      </c>
      <c r="C3418" s="9" t="s">
        <v>191</v>
      </c>
      <c r="D3418" s="9" t="s">
        <v>99</v>
      </c>
      <c r="E3418" s="6" t="s">
        <v>4123</v>
      </c>
      <c r="F3418" s="9" t="s">
        <v>8671</v>
      </c>
    </row>
    <row r="3419" ht="33.75" customHeight="1">
      <c r="A3419" s="7">
        <v>114.0</v>
      </c>
      <c r="B3419" s="9" t="s">
        <v>7229</v>
      </c>
      <c r="C3419" s="9" t="s">
        <v>191</v>
      </c>
      <c r="D3419" s="9" t="s">
        <v>101</v>
      </c>
      <c r="E3419" s="6" t="s">
        <v>4123</v>
      </c>
      <c r="F3419" s="9" t="s">
        <v>8671</v>
      </c>
    </row>
    <row r="3420" ht="33.75" customHeight="1">
      <c r="A3420" s="7">
        <v>114.0</v>
      </c>
      <c r="B3420" s="9" t="s">
        <v>7229</v>
      </c>
      <c r="C3420" s="9" t="s">
        <v>191</v>
      </c>
      <c r="D3420" s="9" t="s">
        <v>105</v>
      </c>
      <c r="E3420" s="6" t="s">
        <v>4114</v>
      </c>
      <c r="F3420" s="9" t="s">
        <v>8671</v>
      </c>
    </row>
    <row r="3421" ht="33.75" customHeight="1">
      <c r="A3421" s="7">
        <v>114.0</v>
      </c>
      <c r="B3421" s="9" t="s">
        <v>7229</v>
      </c>
      <c r="C3421" s="9" t="s">
        <v>191</v>
      </c>
      <c r="D3421" s="9" t="s">
        <v>107</v>
      </c>
      <c r="E3421" s="6" t="s">
        <v>4124</v>
      </c>
      <c r="F3421" s="9" t="s">
        <v>8671</v>
      </c>
    </row>
    <row r="3422" ht="33.75" customHeight="1">
      <c r="A3422" s="7">
        <v>114.0</v>
      </c>
      <c r="B3422" s="9" t="s">
        <v>7229</v>
      </c>
      <c r="C3422" s="9" t="s">
        <v>191</v>
      </c>
      <c r="D3422" s="9" t="s">
        <v>109</v>
      </c>
      <c r="E3422" s="6" t="s">
        <v>4124</v>
      </c>
      <c r="F3422" s="9" t="s">
        <v>8671</v>
      </c>
    </row>
    <row r="3423" ht="33.75" customHeight="1">
      <c r="A3423" s="7">
        <v>114.0</v>
      </c>
      <c r="B3423" s="9" t="s">
        <v>7229</v>
      </c>
      <c r="C3423" s="9" t="s">
        <v>191</v>
      </c>
      <c r="D3423" s="9" t="s">
        <v>111</v>
      </c>
      <c r="E3423" s="6" t="s">
        <v>4126</v>
      </c>
      <c r="F3423" s="9" t="s">
        <v>8671</v>
      </c>
    </row>
    <row r="3424" ht="33.75" customHeight="1">
      <c r="A3424" s="7">
        <v>114.0</v>
      </c>
      <c r="B3424" s="9" t="s">
        <v>7229</v>
      </c>
      <c r="C3424" s="9" t="s">
        <v>191</v>
      </c>
      <c r="D3424" s="9" t="s">
        <v>113</v>
      </c>
      <c r="E3424" s="6" t="s">
        <v>4126</v>
      </c>
      <c r="F3424" s="9" t="s">
        <v>8671</v>
      </c>
    </row>
    <row r="3425" ht="33.75" customHeight="1">
      <c r="A3425" s="7">
        <v>114.0</v>
      </c>
      <c r="B3425" s="9" t="s">
        <v>7229</v>
      </c>
      <c r="C3425" s="9" t="s">
        <v>191</v>
      </c>
      <c r="D3425" s="9" t="s">
        <v>114</v>
      </c>
      <c r="E3425" s="6" t="s">
        <v>4127</v>
      </c>
      <c r="F3425" s="9" t="s">
        <v>8671</v>
      </c>
    </row>
    <row r="3426" ht="33.75" customHeight="1">
      <c r="A3426" s="7">
        <v>114.0</v>
      </c>
      <c r="B3426" s="9" t="s">
        <v>7229</v>
      </c>
      <c r="C3426" s="9" t="s">
        <v>191</v>
      </c>
      <c r="D3426" s="9" t="s">
        <v>117</v>
      </c>
      <c r="E3426" s="6" t="s">
        <v>4129</v>
      </c>
      <c r="F3426" s="9" t="s">
        <v>8671</v>
      </c>
    </row>
    <row r="3427" ht="33.75" customHeight="1">
      <c r="A3427" s="7">
        <v>114.0</v>
      </c>
      <c r="B3427" s="9" t="s">
        <v>7229</v>
      </c>
      <c r="C3427" s="9" t="s">
        <v>191</v>
      </c>
      <c r="D3427" s="9" t="s">
        <v>1577</v>
      </c>
      <c r="E3427" s="6" t="s">
        <v>4130</v>
      </c>
      <c r="F3427" s="9" t="s">
        <v>8671</v>
      </c>
    </row>
    <row r="3428" ht="33.75" customHeight="1">
      <c r="A3428" s="7">
        <v>115.0</v>
      </c>
      <c r="B3428" s="9" t="s">
        <v>7281</v>
      </c>
      <c r="C3428" s="9" t="s">
        <v>193</v>
      </c>
      <c r="D3428" s="9" t="s">
        <v>24</v>
      </c>
      <c r="E3428" s="6" t="s">
        <v>4132</v>
      </c>
      <c r="F3428" s="9" t="s">
        <v>8754</v>
      </c>
      <c r="G3428" t="inlineStr" s="6">
        <is>
          <t xml:space="preserve">The infant rarely ventures out of Kangaskhan's mother's protective pouch until it is 3 years old. Raises its young in its belly pouch. Won't run from any fight to keep its young protected. If it is safe, the young gets out of the belly pouch to play. The adult keeps a close eye on the youngster. To protect its young, it will never give up during battle, no matter how badly wounded it is. To avoid crushing the baby it carries in its pouch, it always sleeps standing up. If you come across a young KANGASKHAN playing by itself, you must never disturb it or attempt to catch it. The baby POKéMON’s parent is sure to be in the area, and it will become violently enraged at you. If you come across a young KANGASKHAN playing by itself, never try to catch it. The baby’s parent is sure to be in the area, and it will become violently enraged. The female raises its offspring in a pouch on its belly. It is skilled at attacking using COMET PUNCH. The infant rarely ventures out of its mother’s protective pouch until it is three years old. It raises its offspring in its belly pouch. It lets the baby out to play only when it feels safe. Kangaskhan’s maternal love is so deep that it will brave death to protect its offspring. The child in its pouch leaves home after roughly three years. That is the only time the mother is heard to cry wildly. Kangaskhan protects its child by keeping it in its pouch. It has zero forgiveness for those who harm its child and will beat them down. You shouldn’t get close to the child when it’s playing outside its mother’s pouch. Its mother is always nearby watching over it. Although it’s carrying its baby in a pouch on its belly, Kangaskhan is swift on its feet. It intimidates its opponents with quick jabs. There are records of a lost human child being raised by a childless Kangaskhan.</t>
        </is>
      </c>
    </row>
    <row r="3429" ht="33.75" customHeight="1">
      <c r="A3429" s="7">
        <v>115.0</v>
      </c>
      <c r="B3429" s="9" t="s">
        <v>7281</v>
      </c>
      <c r="C3429" s="9" t="s">
        <v>193</v>
      </c>
      <c r="D3429" s="9" t="s">
        <v>35</v>
      </c>
      <c r="E3429" s="6" t="s">
        <v>4132</v>
      </c>
      <c r="F3429" s="9" t="s">
        <v>8754</v>
      </c>
    </row>
    <row r="3430" ht="33.75" customHeight="1">
      <c r="A3430" s="7">
        <v>115.0</v>
      </c>
      <c r="B3430" s="9" t="s">
        <v>7281</v>
      </c>
      <c r="C3430" s="9" t="s">
        <v>193</v>
      </c>
      <c r="D3430" s="9" t="s">
        <v>42</v>
      </c>
      <c r="E3430" s="6" t="s">
        <v>4133</v>
      </c>
      <c r="F3430" s="9" t="s">
        <v>8754</v>
      </c>
    </row>
    <row r="3431" ht="33.75" customHeight="1">
      <c r="A3431" s="7">
        <v>115.0</v>
      </c>
      <c r="B3431" s="9" t="s">
        <v>7281</v>
      </c>
      <c r="C3431" s="9" t="s">
        <v>193</v>
      </c>
      <c r="D3431" s="9" t="s">
        <v>52</v>
      </c>
      <c r="E3431" s="6" t="s">
        <v>4135</v>
      </c>
      <c r="F3431" s="9" t="s">
        <v>8754</v>
      </c>
    </row>
    <row r="3432" ht="33.75" customHeight="1">
      <c r="A3432" s="7">
        <v>115.0</v>
      </c>
      <c r="B3432" s="9" t="s">
        <v>7281</v>
      </c>
      <c r="C3432" s="9" t="s">
        <v>193</v>
      </c>
      <c r="D3432" s="9" t="s">
        <v>59</v>
      </c>
      <c r="E3432" s="6" t="s">
        <v>4138</v>
      </c>
      <c r="F3432" s="9" t="s">
        <v>8754</v>
      </c>
    </row>
    <row r="3433" ht="33.75" customHeight="1">
      <c r="A3433" s="7">
        <v>115.0</v>
      </c>
      <c r="B3433" s="9" t="s">
        <v>7281</v>
      </c>
      <c r="C3433" s="9" t="s">
        <v>193</v>
      </c>
      <c r="D3433" s="9" t="s">
        <v>64</v>
      </c>
      <c r="E3433" s="6" t="s">
        <v>4140</v>
      </c>
      <c r="F3433" s="9" t="s">
        <v>8754</v>
      </c>
    </row>
    <row r="3434" ht="33.75" customHeight="1">
      <c r="A3434" s="7">
        <v>115.0</v>
      </c>
      <c r="B3434" s="9" t="s">
        <v>7281</v>
      </c>
      <c r="C3434" s="9" t="s">
        <v>193</v>
      </c>
      <c r="D3434" s="9" t="s">
        <v>67</v>
      </c>
      <c r="E3434" s="6" t="s">
        <v>4141</v>
      </c>
      <c r="F3434" s="9" t="s">
        <v>8754</v>
      </c>
    </row>
    <row r="3435" ht="33.75" customHeight="1">
      <c r="A3435" s="7">
        <v>115.0</v>
      </c>
      <c r="B3435" s="9" t="s">
        <v>7281</v>
      </c>
      <c r="C3435" s="9" t="s">
        <v>193</v>
      </c>
      <c r="D3435" s="9" t="s">
        <v>71</v>
      </c>
      <c r="E3435" s="6" t="s">
        <v>4141</v>
      </c>
      <c r="F3435" s="9" t="s">
        <v>8754</v>
      </c>
    </row>
    <row r="3436" ht="33.75" customHeight="1">
      <c r="A3436" s="7">
        <v>115.0</v>
      </c>
      <c r="B3436" s="9" t="s">
        <v>7281</v>
      </c>
      <c r="C3436" s="9" t="s">
        <v>193</v>
      </c>
      <c r="D3436" s="9" t="s">
        <v>73</v>
      </c>
      <c r="E3436" s="6" t="s">
        <v>4142</v>
      </c>
      <c r="F3436" s="9" t="s">
        <v>8754</v>
      </c>
    </row>
    <row r="3437" ht="33.75" customHeight="1">
      <c r="A3437" s="7">
        <v>115.0</v>
      </c>
      <c r="B3437" s="9" t="s">
        <v>7281</v>
      </c>
      <c r="C3437" s="9" t="s">
        <v>193</v>
      </c>
      <c r="D3437" s="9" t="s">
        <v>75</v>
      </c>
      <c r="E3437" s="6" t="s">
        <v>4143</v>
      </c>
      <c r="F3437" s="9" t="s">
        <v>8754</v>
      </c>
    </row>
    <row r="3438" ht="33.75" customHeight="1">
      <c r="A3438" s="7">
        <v>115.0</v>
      </c>
      <c r="B3438" s="9" t="s">
        <v>7281</v>
      </c>
      <c r="C3438" s="9" t="s">
        <v>193</v>
      </c>
      <c r="D3438" s="9" t="s">
        <v>79</v>
      </c>
      <c r="E3438" s="6" t="s">
        <v>4144</v>
      </c>
      <c r="F3438" s="9" t="s">
        <v>8754</v>
      </c>
    </row>
    <row r="3439" ht="33.75" customHeight="1">
      <c r="A3439" s="7">
        <v>115.0</v>
      </c>
      <c r="B3439" s="9" t="s">
        <v>7281</v>
      </c>
      <c r="C3439" s="9" t="s">
        <v>193</v>
      </c>
      <c r="D3439" s="9" t="s">
        <v>81</v>
      </c>
      <c r="E3439" s="6" t="s">
        <v>4145</v>
      </c>
      <c r="F3439" s="9" t="s">
        <v>8754</v>
      </c>
    </row>
    <row r="3440" ht="33.75" customHeight="1">
      <c r="A3440" s="7">
        <v>115.0</v>
      </c>
      <c r="B3440" s="9" t="s">
        <v>7281</v>
      </c>
      <c r="C3440" s="9" t="s">
        <v>193</v>
      </c>
      <c r="D3440" s="9" t="s">
        <v>84</v>
      </c>
      <c r="E3440" s="6" t="s">
        <v>4145</v>
      </c>
      <c r="F3440" s="9" t="s">
        <v>8754</v>
      </c>
    </row>
    <row r="3441" ht="33.75" customHeight="1">
      <c r="A3441" s="7">
        <v>115.0</v>
      </c>
      <c r="B3441" s="9" t="s">
        <v>7281</v>
      </c>
      <c r="C3441" s="9" t="s">
        <v>193</v>
      </c>
      <c r="D3441" s="9" t="s">
        <v>87</v>
      </c>
      <c r="E3441" s="6" t="s">
        <v>4145</v>
      </c>
      <c r="F3441" s="9" t="s">
        <v>8754</v>
      </c>
    </row>
    <row r="3442" ht="33.75" customHeight="1">
      <c r="A3442" s="7">
        <v>115.0</v>
      </c>
      <c r="B3442" s="9" t="s">
        <v>7281</v>
      </c>
      <c r="C3442" s="9" t="s">
        <v>193</v>
      </c>
      <c r="D3442" s="9" t="s">
        <v>89</v>
      </c>
      <c r="E3442" s="6" t="s">
        <v>4135</v>
      </c>
      <c r="F3442" s="9" t="s">
        <v>8754</v>
      </c>
    </row>
    <row r="3443" ht="33.75" customHeight="1">
      <c r="A3443" s="7">
        <v>115.0</v>
      </c>
      <c r="B3443" s="9" t="s">
        <v>7281</v>
      </c>
      <c r="C3443" s="9" t="s">
        <v>193</v>
      </c>
      <c r="D3443" s="9" t="s">
        <v>91</v>
      </c>
      <c r="E3443" s="6" t="s">
        <v>4138</v>
      </c>
      <c r="F3443" s="9" t="s">
        <v>8754</v>
      </c>
    </row>
    <row r="3444" ht="33.75" customHeight="1">
      <c r="A3444" s="7">
        <v>115.0</v>
      </c>
      <c r="B3444" s="9" t="s">
        <v>7281</v>
      </c>
      <c r="C3444" s="9" t="s">
        <v>193</v>
      </c>
      <c r="D3444" s="9" t="s">
        <v>93</v>
      </c>
      <c r="E3444" s="6" t="s">
        <v>4145</v>
      </c>
      <c r="F3444" s="9" t="s">
        <v>8754</v>
      </c>
    </row>
    <row r="3445" ht="33.75" customHeight="1">
      <c r="A3445" s="7">
        <v>115.0</v>
      </c>
      <c r="B3445" s="9" t="s">
        <v>7281</v>
      </c>
      <c r="C3445" s="9" t="s">
        <v>193</v>
      </c>
      <c r="D3445" s="9" t="s">
        <v>95</v>
      </c>
      <c r="E3445" s="6" t="s">
        <v>4145</v>
      </c>
      <c r="F3445" s="9" t="s">
        <v>8754</v>
      </c>
    </row>
    <row r="3446" ht="33.75" customHeight="1">
      <c r="A3446" s="7">
        <v>115.0</v>
      </c>
      <c r="B3446" s="9" t="s">
        <v>7281</v>
      </c>
      <c r="C3446" s="9" t="s">
        <v>193</v>
      </c>
      <c r="D3446" s="9" t="s">
        <v>98</v>
      </c>
      <c r="E3446" s="6" t="s">
        <v>4145</v>
      </c>
      <c r="F3446" s="9" t="s">
        <v>8754</v>
      </c>
    </row>
    <row r="3447" ht="33.75" customHeight="1">
      <c r="A3447" s="7">
        <v>115.0</v>
      </c>
      <c r="B3447" s="9" t="s">
        <v>7281</v>
      </c>
      <c r="C3447" s="9" t="s">
        <v>193</v>
      </c>
      <c r="D3447" s="9" t="s">
        <v>99</v>
      </c>
      <c r="E3447" s="6" t="s">
        <v>4145</v>
      </c>
      <c r="F3447" s="9" t="s">
        <v>8754</v>
      </c>
    </row>
    <row r="3448" ht="33.75" customHeight="1">
      <c r="A3448" s="7">
        <v>115.0</v>
      </c>
      <c r="B3448" s="9" t="s">
        <v>7281</v>
      </c>
      <c r="C3448" s="9" t="s">
        <v>193</v>
      </c>
      <c r="D3448" s="9" t="s">
        <v>101</v>
      </c>
      <c r="E3448" s="6" t="s">
        <v>4145</v>
      </c>
      <c r="F3448" s="9" t="s">
        <v>8754</v>
      </c>
    </row>
    <row r="3449" ht="33.75" customHeight="1">
      <c r="A3449" s="7">
        <v>115.0</v>
      </c>
      <c r="B3449" s="9" t="s">
        <v>7281</v>
      </c>
      <c r="C3449" s="9" t="s">
        <v>193</v>
      </c>
      <c r="D3449" s="9" t="s">
        <v>105</v>
      </c>
      <c r="E3449" s="6" t="s">
        <v>4135</v>
      </c>
      <c r="F3449" s="9" t="s">
        <v>8754</v>
      </c>
    </row>
    <row r="3450" ht="33.75" customHeight="1">
      <c r="A3450" s="7">
        <v>115.0</v>
      </c>
      <c r="B3450" s="9" t="s">
        <v>7281</v>
      </c>
      <c r="C3450" s="9" t="s">
        <v>193</v>
      </c>
      <c r="D3450" s="9" t="s">
        <v>107</v>
      </c>
      <c r="E3450" s="6" t="s">
        <v>4146</v>
      </c>
      <c r="F3450" s="9" t="s">
        <v>8754</v>
      </c>
    </row>
    <row r="3451" ht="33.75" customHeight="1">
      <c r="A3451" s="7">
        <v>115.0</v>
      </c>
      <c r="B3451" s="9" t="s">
        <v>7281</v>
      </c>
      <c r="C3451" s="9" t="s">
        <v>193</v>
      </c>
      <c r="D3451" s="9" t="s">
        <v>109</v>
      </c>
      <c r="E3451" s="6" t="s">
        <v>4146</v>
      </c>
      <c r="F3451" s="9" t="s">
        <v>8754</v>
      </c>
    </row>
    <row r="3452" ht="33.75" customHeight="1">
      <c r="A3452" s="7">
        <v>115.0</v>
      </c>
      <c r="B3452" s="9" t="s">
        <v>7281</v>
      </c>
      <c r="C3452" s="9" t="s">
        <v>193</v>
      </c>
      <c r="D3452" s="9" t="s">
        <v>637</v>
      </c>
      <c r="E3452" s="6" t="s">
        <v>4148</v>
      </c>
      <c r="F3452" s="9" t="s">
        <v>8754</v>
      </c>
    </row>
    <row r="3453" ht="33.75" customHeight="1">
      <c r="A3453" s="7">
        <v>115.0</v>
      </c>
      <c r="B3453" s="9" t="s">
        <v>7281</v>
      </c>
      <c r="C3453" s="9" t="s">
        <v>193</v>
      </c>
      <c r="D3453" s="9" t="s">
        <v>642</v>
      </c>
      <c r="E3453" s="6" t="s">
        <v>4151</v>
      </c>
      <c r="F3453" s="9" t="s">
        <v>8754</v>
      </c>
    </row>
    <row r="3454" ht="33.75" customHeight="1">
      <c r="A3454" s="7">
        <v>115.0</v>
      </c>
      <c r="B3454" s="9" t="s">
        <v>7281</v>
      </c>
      <c r="C3454" s="9" t="s">
        <v>193</v>
      </c>
      <c r="D3454" s="9" t="s">
        <v>647</v>
      </c>
      <c r="E3454" s="6" t="s">
        <v>4153</v>
      </c>
      <c r="F3454" s="9" t="s">
        <v>8754</v>
      </c>
    </row>
    <row r="3455" ht="33.75" customHeight="1">
      <c r="A3455" s="7">
        <v>115.0</v>
      </c>
      <c r="B3455" s="9" t="s">
        <v>7281</v>
      </c>
      <c r="C3455" s="9" t="s">
        <v>193</v>
      </c>
      <c r="D3455" s="9" t="s">
        <v>652</v>
      </c>
      <c r="E3455" s="6" t="s">
        <v>4155</v>
      </c>
      <c r="F3455" s="9" t="s">
        <v>8754</v>
      </c>
    </row>
    <row r="3456" ht="33.75" customHeight="1">
      <c r="A3456" s="7">
        <v>115.0</v>
      </c>
      <c r="B3456" s="9" t="s">
        <v>7281</v>
      </c>
      <c r="C3456" s="9" t="s">
        <v>193</v>
      </c>
      <c r="D3456" s="9" t="s">
        <v>111</v>
      </c>
      <c r="E3456" s="6" t="s">
        <v>4157</v>
      </c>
      <c r="F3456" s="9" t="s">
        <v>8754</v>
      </c>
    </row>
    <row r="3457" ht="33.75" customHeight="1">
      <c r="A3457" s="7">
        <v>115.0</v>
      </c>
      <c r="B3457" s="9" t="s">
        <v>7281</v>
      </c>
      <c r="C3457" s="9" t="s">
        <v>193</v>
      </c>
      <c r="D3457" s="9" t="s">
        <v>113</v>
      </c>
      <c r="E3457" s="6" t="s">
        <v>4157</v>
      </c>
      <c r="F3457" s="9" t="s">
        <v>8754</v>
      </c>
    </row>
    <row r="3458" ht="33.75" customHeight="1">
      <c r="A3458" s="7">
        <v>115.0</v>
      </c>
      <c r="B3458" s="9" t="s">
        <v>7281</v>
      </c>
      <c r="C3458" s="9" t="s">
        <v>193</v>
      </c>
      <c r="D3458" s="9" t="s">
        <v>114</v>
      </c>
      <c r="E3458" s="6" t="s">
        <v>4159</v>
      </c>
      <c r="F3458" s="9" t="s">
        <v>8754</v>
      </c>
    </row>
    <row r="3459" ht="33.75" customHeight="1">
      <c r="A3459" s="7">
        <v>115.0</v>
      </c>
      <c r="B3459" s="9" t="s">
        <v>7281</v>
      </c>
      <c r="C3459" s="9" t="s">
        <v>193</v>
      </c>
      <c r="D3459" s="9" t="s">
        <v>117</v>
      </c>
      <c r="E3459" s="6" t="s">
        <v>4161</v>
      </c>
      <c r="F3459" s="9" t="s">
        <v>8754</v>
      </c>
    </row>
    <row r="3460" ht="33.75" customHeight="1">
      <c r="A3460" s="7">
        <v>116.0</v>
      </c>
      <c r="B3460" s="9" t="s">
        <v>7341</v>
      </c>
      <c r="C3460" s="9" t="s">
        <v>195</v>
      </c>
      <c r="D3460" s="9" t="s">
        <v>24</v>
      </c>
      <c r="E3460" s="6" t="s">
        <v>4163</v>
      </c>
      <c r="F3460" s="9" t="s">
        <v>8855</v>
      </c>
      <c r="G3460" t="inlineStr" s="6">
        <is>
          <t xml:space="preserve">Known to shoot down flying bugs with precision blasts of ink from the surface of the water. If it senses any danger, it will vigorously spray water or a special type of ink from its mouth. If attacked by a larger enemy, it quickly swims to safety by adeptly controlling its dorsal fin. Its big, developed fins move rapidly, allowing it to swim backward while still facing forward. When they're in a safe location, they can be seen playfully tangling their tails together. HORSEA eats small insects and moss off of rocks. If the ocean current turns fast, this POKéMON anchors itself by wrapping its tail around rocks or coral to prevent being washed away. If HORSEA senses danger, it will reflexively spray a dense black ink from its mouth and try to escape. This POKéMON swims by cleverly flapping the fins on its back. By cleverly flicking the fins on its back side to side, it moves in any direction while facing forward. It spits ink to escape if it senses danger. It maintains balance using its tail, which is wound up like a coil. It may spray ink from its mouth. It makes its nest in the shade of corals. If it senses danger, it spits murky ink and flees. If attacked by a larger enemy, it quickly swims to safety by adeptly controlling its well-developed dorsal fin. This Pokémon swims by cleverly flapping the fin on its back. Horsea makes its home in oceans with gentle currents. If this Pokémon is under attack, it spits out pitch-black ink and escapes. They swim with dance-like motions and cause whirlpools to form. Horsea compete to see which of them can generate the biggest whirlpool.</t>
        </is>
      </c>
    </row>
    <row r="3461" ht="33.75" customHeight="1">
      <c r="A3461" s="7">
        <v>116.0</v>
      </c>
      <c r="B3461" s="9" t="s">
        <v>7341</v>
      </c>
      <c r="C3461" s="9" t="s">
        <v>195</v>
      </c>
      <c r="D3461" s="9" t="s">
        <v>35</v>
      </c>
      <c r="E3461" s="6" t="s">
        <v>4163</v>
      </c>
      <c r="F3461" s="9" t="s">
        <v>8855</v>
      </c>
    </row>
    <row r="3462" ht="33.75" customHeight="1">
      <c r="A3462" s="7">
        <v>116.0</v>
      </c>
      <c r="B3462" s="9" t="s">
        <v>7341</v>
      </c>
      <c r="C3462" s="9" t="s">
        <v>195</v>
      </c>
      <c r="D3462" s="9" t="s">
        <v>42</v>
      </c>
      <c r="E3462" s="6" t="s">
        <v>4164</v>
      </c>
      <c r="F3462" s="9" t="s">
        <v>8855</v>
      </c>
    </row>
    <row r="3463" ht="33.75" customHeight="1">
      <c r="A3463" s="7">
        <v>116.0</v>
      </c>
      <c r="B3463" s="9" t="s">
        <v>7341</v>
      </c>
      <c r="C3463" s="9" t="s">
        <v>195</v>
      </c>
      <c r="D3463" s="9" t="s">
        <v>52</v>
      </c>
      <c r="E3463" s="6" t="s">
        <v>4166</v>
      </c>
      <c r="F3463" s="9" t="s">
        <v>8855</v>
      </c>
    </row>
    <row r="3464" ht="33.75" customHeight="1">
      <c r="A3464" s="7">
        <v>116.0</v>
      </c>
      <c r="B3464" s="9" t="s">
        <v>7341</v>
      </c>
      <c r="C3464" s="9" t="s">
        <v>195</v>
      </c>
      <c r="D3464" s="9" t="s">
        <v>59</v>
      </c>
      <c r="E3464" s="6" t="s">
        <v>4168</v>
      </c>
      <c r="F3464" s="9" t="s">
        <v>8855</v>
      </c>
    </row>
    <row r="3465" ht="33.75" customHeight="1">
      <c r="A3465" s="7">
        <v>116.0</v>
      </c>
      <c r="B3465" s="9" t="s">
        <v>7341</v>
      </c>
      <c r="C3465" s="9" t="s">
        <v>195</v>
      </c>
      <c r="D3465" s="9" t="s">
        <v>64</v>
      </c>
      <c r="E3465" s="6" t="s">
        <v>4170</v>
      </c>
      <c r="F3465" s="9" t="s">
        <v>8855</v>
      </c>
    </row>
    <row r="3466" ht="33.75" customHeight="1">
      <c r="A3466" s="7">
        <v>116.0</v>
      </c>
      <c r="B3466" s="9" t="s">
        <v>7341</v>
      </c>
      <c r="C3466" s="9" t="s">
        <v>195</v>
      </c>
      <c r="D3466" s="9" t="s">
        <v>67</v>
      </c>
      <c r="E3466" s="6" t="s">
        <v>4172</v>
      </c>
      <c r="F3466" s="9" t="s">
        <v>8855</v>
      </c>
    </row>
    <row r="3467" ht="33.75" customHeight="1">
      <c r="A3467" s="7">
        <v>116.0</v>
      </c>
      <c r="B3467" s="9" t="s">
        <v>7341</v>
      </c>
      <c r="C3467" s="9" t="s">
        <v>195</v>
      </c>
      <c r="D3467" s="9" t="s">
        <v>71</v>
      </c>
      <c r="E3467" s="6" t="s">
        <v>4173</v>
      </c>
      <c r="F3467" s="9" t="s">
        <v>8855</v>
      </c>
    </row>
    <row r="3468" ht="33.75" customHeight="1">
      <c r="A3468" s="7">
        <v>116.0</v>
      </c>
      <c r="B3468" s="9" t="s">
        <v>7341</v>
      </c>
      <c r="C3468" s="9" t="s">
        <v>195</v>
      </c>
      <c r="D3468" s="9" t="s">
        <v>73</v>
      </c>
      <c r="E3468" s="6" t="s">
        <v>4175</v>
      </c>
      <c r="F3468" s="9" t="s">
        <v>8855</v>
      </c>
    </row>
    <row r="3469" ht="33.75" customHeight="1">
      <c r="A3469" s="7">
        <v>116.0</v>
      </c>
      <c r="B3469" s="9" t="s">
        <v>7341</v>
      </c>
      <c r="C3469" s="9" t="s">
        <v>195</v>
      </c>
      <c r="D3469" s="9" t="s">
        <v>75</v>
      </c>
      <c r="E3469" s="6" t="s">
        <v>4177</v>
      </c>
      <c r="F3469" s="9" t="s">
        <v>8855</v>
      </c>
    </row>
    <row r="3470" ht="33.75" customHeight="1">
      <c r="A3470" s="7">
        <v>116.0</v>
      </c>
      <c r="B3470" s="9" t="s">
        <v>7341</v>
      </c>
      <c r="C3470" s="9" t="s">
        <v>195</v>
      </c>
      <c r="D3470" s="9" t="s">
        <v>79</v>
      </c>
      <c r="E3470" s="6" t="s">
        <v>4163</v>
      </c>
      <c r="F3470" s="9" t="s">
        <v>8855</v>
      </c>
    </row>
    <row r="3471" ht="33.75" customHeight="1">
      <c r="A3471" s="7">
        <v>116.0</v>
      </c>
      <c r="B3471" s="9" t="s">
        <v>7341</v>
      </c>
      <c r="C3471" s="9" t="s">
        <v>195</v>
      </c>
      <c r="D3471" s="9" t="s">
        <v>81</v>
      </c>
      <c r="E3471" s="6" t="s">
        <v>4178</v>
      </c>
      <c r="F3471" s="9" t="s">
        <v>8855</v>
      </c>
    </row>
    <row r="3472" ht="33.75" customHeight="1">
      <c r="A3472" s="7">
        <v>116.0</v>
      </c>
      <c r="B3472" s="9" t="s">
        <v>7341</v>
      </c>
      <c r="C3472" s="9" t="s">
        <v>195</v>
      </c>
      <c r="D3472" s="9" t="s">
        <v>84</v>
      </c>
      <c r="E3472" s="6" t="s">
        <v>4178</v>
      </c>
      <c r="F3472" s="9" t="s">
        <v>8855</v>
      </c>
    </row>
    <row r="3473" ht="33.75" customHeight="1">
      <c r="A3473" s="7">
        <v>116.0</v>
      </c>
      <c r="B3473" s="9" t="s">
        <v>7341</v>
      </c>
      <c r="C3473" s="9" t="s">
        <v>195</v>
      </c>
      <c r="D3473" s="9" t="s">
        <v>87</v>
      </c>
      <c r="E3473" s="6" t="s">
        <v>4178</v>
      </c>
      <c r="F3473" s="9" t="s">
        <v>8855</v>
      </c>
    </row>
    <row r="3474" ht="33.75" customHeight="1">
      <c r="A3474" s="7">
        <v>116.0</v>
      </c>
      <c r="B3474" s="9" t="s">
        <v>7341</v>
      </c>
      <c r="C3474" s="9" t="s">
        <v>195</v>
      </c>
      <c r="D3474" s="9" t="s">
        <v>89</v>
      </c>
      <c r="E3474" s="6" t="s">
        <v>4180</v>
      </c>
      <c r="F3474" s="9" t="s">
        <v>8855</v>
      </c>
    </row>
    <row r="3475" ht="33.75" customHeight="1">
      <c r="A3475" s="7">
        <v>116.0</v>
      </c>
      <c r="B3475" s="9" t="s">
        <v>7341</v>
      </c>
      <c r="C3475" s="9" t="s">
        <v>195</v>
      </c>
      <c r="D3475" s="9" t="s">
        <v>91</v>
      </c>
      <c r="E3475" s="6" t="s">
        <v>4168</v>
      </c>
      <c r="F3475" s="9" t="s">
        <v>8855</v>
      </c>
    </row>
    <row r="3476" ht="33.75" customHeight="1">
      <c r="A3476" s="7">
        <v>116.0</v>
      </c>
      <c r="B3476" s="9" t="s">
        <v>7341</v>
      </c>
      <c r="C3476" s="9" t="s">
        <v>195</v>
      </c>
      <c r="D3476" s="9" t="s">
        <v>93</v>
      </c>
      <c r="E3476" s="6" t="s">
        <v>4178</v>
      </c>
      <c r="F3476" s="9" t="s">
        <v>8855</v>
      </c>
    </row>
    <row r="3477" ht="33.75" customHeight="1">
      <c r="A3477" s="7">
        <v>116.0</v>
      </c>
      <c r="B3477" s="9" t="s">
        <v>7341</v>
      </c>
      <c r="C3477" s="9" t="s">
        <v>195</v>
      </c>
      <c r="D3477" s="9" t="s">
        <v>95</v>
      </c>
      <c r="E3477" s="6" t="s">
        <v>4178</v>
      </c>
      <c r="F3477" s="9" t="s">
        <v>8855</v>
      </c>
    </row>
    <row r="3478" ht="33.75" customHeight="1">
      <c r="A3478" s="7">
        <v>116.0</v>
      </c>
      <c r="B3478" s="9" t="s">
        <v>7341</v>
      </c>
      <c r="C3478" s="9" t="s">
        <v>195</v>
      </c>
      <c r="D3478" s="9" t="s">
        <v>98</v>
      </c>
      <c r="E3478" s="6" t="s">
        <v>4178</v>
      </c>
      <c r="F3478" s="9" t="s">
        <v>8855</v>
      </c>
    </row>
    <row r="3479" ht="33.75" customHeight="1">
      <c r="A3479" s="7">
        <v>116.0</v>
      </c>
      <c r="B3479" s="9" t="s">
        <v>7341</v>
      </c>
      <c r="C3479" s="9" t="s">
        <v>195</v>
      </c>
      <c r="D3479" s="9" t="s">
        <v>99</v>
      </c>
      <c r="E3479" s="6" t="s">
        <v>4178</v>
      </c>
      <c r="F3479" s="9" t="s">
        <v>8855</v>
      </c>
    </row>
    <row r="3480" ht="33.75" customHeight="1">
      <c r="A3480" s="7">
        <v>116.0</v>
      </c>
      <c r="B3480" s="9" t="s">
        <v>7341</v>
      </c>
      <c r="C3480" s="9" t="s">
        <v>195</v>
      </c>
      <c r="D3480" s="9" t="s">
        <v>101</v>
      </c>
      <c r="E3480" s="6" t="s">
        <v>4163</v>
      </c>
      <c r="F3480" s="9" t="s">
        <v>8855</v>
      </c>
    </row>
    <row r="3481" ht="33.75" customHeight="1">
      <c r="A3481" s="7">
        <v>116.0</v>
      </c>
      <c r="B3481" s="9" t="s">
        <v>7341</v>
      </c>
      <c r="C3481" s="9" t="s">
        <v>195</v>
      </c>
      <c r="D3481" s="9" t="s">
        <v>105</v>
      </c>
      <c r="E3481" s="6" t="s">
        <v>4178</v>
      </c>
      <c r="F3481" s="9" t="s">
        <v>8855</v>
      </c>
    </row>
    <row r="3482" ht="33.75" customHeight="1">
      <c r="A3482" s="7">
        <v>116.0</v>
      </c>
      <c r="B3482" s="9" t="s">
        <v>7341</v>
      </c>
      <c r="C3482" s="9" t="s">
        <v>195</v>
      </c>
      <c r="D3482" s="9" t="s">
        <v>107</v>
      </c>
      <c r="E3482" s="6" t="s">
        <v>4181</v>
      </c>
      <c r="F3482" s="9" t="s">
        <v>8855</v>
      </c>
    </row>
    <row r="3483" ht="33.75" customHeight="1">
      <c r="A3483" s="7">
        <v>116.0</v>
      </c>
      <c r="B3483" s="9" t="s">
        <v>7341</v>
      </c>
      <c r="C3483" s="9" t="s">
        <v>195</v>
      </c>
      <c r="D3483" s="9" t="s">
        <v>109</v>
      </c>
      <c r="E3483" s="6" t="s">
        <v>4182</v>
      </c>
      <c r="F3483" s="9" t="s">
        <v>8855</v>
      </c>
    </row>
    <row r="3484" ht="33.75" customHeight="1">
      <c r="A3484" s="7">
        <v>116.0</v>
      </c>
      <c r="B3484" s="9" t="s">
        <v>7341</v>
      </c>
      <c r="C3484" s="9" t="s">
        <v>195</v>
      </c>
      <c r="D3484" s="9" t="s">
        <v>111</v>
      </c>
      <c r="E3484" s="6" t="s">
        <v>4164</v>
      </c>
      <c r="F3484" s="9" t="s">
        <v>8855</v>
      </c>
    </row>
    <row r="3485" ht="33.75" customHeight="1">
      <c r="A3485" s="7">
        <v>116.0</v>
      </c>
      <c r="B3485" s="9" t="s">
        <v>7341</v>
      </c>
      <c r="C3485" s="9" t="s">
        <v>195</v>
      </c>
      <c r="D3485" s="9" t="s">
        <v>113</v>
      </c>
      <c r="E3485" s="6" t="s">
        <v>4164</v>
      </c>
      <c r="F3485" s="9" t="s">
        <v>8855</v>
      </c>
    </row>
    <row r="3486" ht="33.75" customHeight="1">
      <c r="A3486" s="7">
        <v>116.0</v>
      </c>
      <c r="B3486" s="9" t="s">
        <v>7341</v>
      </c>
      <c r="C3486" s="9" t="s">
        <v>195</v>
      </c>
      <c r="D3486" s="9" t="s">
        <v>114</v>
      </c>
      <c r="E3486" s="6" t="s">
        <v>4183</v>
      </c>
      <c r="F3486" s="9" t="s">
        <v>8855</v>
      </c>
    </row>
    <row r="3487" ht="33.75" customHeight="1">
      <c r="A3487" s="7">
        <v>116.0</v>
      </c>
      <c r="B3487" s="9" t="s">
        <v>7341</v>
      </c>
      <c r="C3487" s="9" t="s">
        <v>195</v>
      </c>
      <c r="D3487" s="9" t="s">
        <v>117</v>
      </c>
      <c r="E3487" s="6" t="s">
        <v>4184</v>
      </c>
      <c r="F3487" s="9" t="s">
        <v>8855</v>
      </c>
    </row>
    <row r="3488" ht="33.75" customHeight="1">
      <c r="A3488" s="7">
        <v>117.0</v>
      </c>
      <c r="B3488" s="9" t="s">
        <v>7391</v>
      </c>
      <c r="C3488" s="9" t="s">
        <v>195</v>
      </c>
      <c r="D3488" s="9" t="s">
        <v>24</v>
      </c>
      <c r="E3488" s="6" t="s">
        <v>4185</v>
      </c>
      <c r="F3488" s="9" t="s">
        <v>8924</v>
      </c>
      <c r="G3488" t="inlineStr" s="6">
        <is>
          <t xml:space="preserve">Capable of swim ming backwards by rapidly flapping Seadra's wing-like pectoral fins and stout tail. Touching the back fin causes numbness. It hooks its tail to coral to stay in place while sleeping. An examination of its cells revealed the presence of a gene not found in HORSEA. It became a hot topic. Its fin-tips leak poison. Its fins and bones are highly valued as ingredients in herbal medicine. The male raises the young. If it is approached, it uses its toxic spikes to fend off the intruder. SEADRA sleeps after wriggling itself between the branches of coral. Those trying to harvest coral are occasionally stung by this POKéMON’s poison barbs if they fail to notice it. SEADRA generates whirlpools by spinning its body. The whirlpools are strong enough to swallow even fishing boats. This POKéMON weakens prey with these currents, then swallows it whole. The poisonous barbs all over its body are highly valued as ingredients for making traditional herbal medicine. It shows no mercy to anything approaching its nest. Its body bristles with sharp spikes. Carelessly trying to touch it could cause fainting from the spikes. It is capable of swimming backwards by rapidly flapping its winglike pectoral fins and stout tail. Its spines provide protection. Its fins and bones are prized as traditional medicine ingredients. Its fins and bones are prized as traditional-medicine ingredients. It’s the males that raise the offspring. While Seadra are raising young, the spines on their backs secrete thicker and stronger poison. Seadra’s mouth is slender, but its suction power is strong. In an instant, Seadra can suck in food that’s larger than the opening of its mouth.</t>
        </is>
      </c>
    </row>
    <row r="3489" ht="33.75" customHeight="1">
      <c r="A3489" s="7">
        <v>117.0</v>
      </c>
      <c r="B3489" s="9" t="s">
        <v>7391</v>
      </c>
      <c r="C3489" s="9" t="s">
        <v>195</v>
      </c>
      <c r="D3489" s="9" t="s">
        <v>35</v>
      </c>
      <c r="E3489" s="6" t="s">
        <v>4185</v>
      </c>
      <c r="F3489" s="9" t="s">
        <v>8924</v>
      </c>
    </row>
    <row r="3490" ht="33.75" customHeight="1">
      <c r="A3490" s="7">
        <v>117.0</v>
      </c>
      <c r="B3490" s="9" t="s">
        <v>7391</v>
      </c>
      <c r="C3490" s="9" t="s">
        <v>195</v>
      </c>
      <c r="D3490" s="9" t="s">
        <v>42</v>
      </c>
      <c r="E3490" s="6" t="s">
        <v>4186</v>
      </c>
      <c r="F3490" s="9" t="s">
        <v>8924</v>
      </c>
    </row>
    <row r="3491" ht="33.75" customHeight="1">
      <c r="A3491" s="7">
        <v>117.0</v>
      </c>
      <c r="B3491" s="9" t="s">
        <v>7391</v>
      </c>
      <c r="C3491" s="9" t="s">
        <v>195</v>
      </c>
      <c r="D3491" s="9" t="s">
        <v>52</v>
      </c>
      <c r="E3491" s="6" t="s">
        <v>4187</v>
      </c>
      <c r="F3491" s="9" t="s">
        <v>8924</v>
      </c>
    </row>
    <row r="3492" ht="33.75" customHeight="1">
      <c r="A3492" s="7">
        <v>117.0</v>
      </c>
      <c r="B3492" s="9" t="s">
        <v>7391</v>
      </c>
      <c r="C3492" s="9" t="s">
        <v>195</v>
      </c>
      <c r="D3492" s="9" t="s">
        <v>59</v>
      </c>
      <c r="E3492" s="6" t="s">
        <v>4188</v>
      </c>
      <c r="F3492" s="9" t="s">
        <v>8924</v>
      </c>
    </row>
    <row r="3493" ht="33.75" customHeight="1">
      <c r="A3493" s="7">
        <v>117.0</v>
      </c>
      <c r="B3493" s="9" t="s">
        <v>7391</v>
      </c>
      <c r="C3493" s="9" t="s">
        <v>195</v>
      </c>
      <c r="D3493" s="9" t="s">
        <v>64</v>
      </c>
      <c r="E3493" s="6" t="s">
        <v>4189</v>
      </c>
      <c r="F3493" s="9" t="s">
        <v>8924</v>
      </c>
    </row>
    <row r="3494" ht="33.75" customHeight="1">
      <c r="A3494" s="7">
        <v>117.0</v>
      </c>
      <c r="B3494" s="9" t="s">
        <v>7391</v>
      </c>
      <c r="C3494" s="9" t="s">
        <v>195</v>
      </c>
      <c r="D3494" s="9" t="s">
        <v>67</v>
      </c>
      <c r="E3494" s="6" t="s">
        <v>4190</v>
      </c>
      <c r="F3494" s="9" t="s">
        <v>8924</v>
      </c>
    </row>
    <row r="3495" ht="33.75" customHeight="1">
      <c r="A3495" s="7">
        <v>117.0</v>
      </c>
      <c r="B3495" s="9" t="s">
        <v>7391</v>
      </c>
      <c r="C3495" s="9" t="s">
        <v>195</v>
      </c>
      <c r="D3495" s="9" t="s">
        <v>71</v>
      </c>
      <c r="E3495" s="6" t="s">
        <v>4191</v>
      </c>
      <c r="F3495" s="9" t="s">
        <v>8924</v>
      </c>
    </row>
    <row r="3496" ht="33.75" customHeight="1">
      <c r="A3496" s="7">
        <v>117.0</v>
      </c>
      <c r="B3496" s="9" t="s">
        <v>7391</v>
      </c>
      <c r="C3496" s="9" t="s">
        <v>195</v>
      </c>
      <c r="D3496" s="9" t="s">
        <v>73</v>
      </c>
      <c r="E3496" s="6" t="s">
        <v>4192</v>
      </c>
      <c r="F3496" s="9" t="s">
        <v>8924</v>
      </c>
    </row>
    <row r="3497" ht="33.75" customHeight="1">
      <c r="A3497" s="7">
        <v>117.0</v>
      </c>
      <c r="B3497" s="9" t="s">
        <v>7391</v>
      </c>
      <c r="C3497" s="9" t="s">
        <v>195</v>
      </c>
      <c r="D3497" s="9" t="s">
        <v>75</v>
      </c>
      <c r="E3497" s="6" t="s">
        <v>4193</v>
      </c>
      <c r="F3497" s="9" t="s">
        <v>8924</v>
      </c>
    </row>
    <row r="3498" ht="33.75" customHeight="1">
      <c r="A3498" s="7">
        <v>117.0</v>
      </c>
      <c r="B3498" s="9" t="s">
        <v>7391</v>
      </c>
      <c r="C3498" s="9" t="s">
        <v>195</v>
      </c>
      <c r="D3498" s="9" t="s">
        <v>79</v>
      </c>
      <c r="E3498" s="6" t="s">
        <v>4195</v>
      </c>
      <c r="F3498" s="9" t="s">
        <v>8924</v>
      </c>
    </row>
    <row r="3499" ht="33.75" customHeight="1">
      <c r="A3499" s="7">
        <v>117.0</v>
      </c>
      <c r="B3499" s="9" t="s">
        <v>7391</v>
      </c>
      <c r="C3499" s="9" t="s">
        <v>195</v>
      </c>
      <c r="D3499" s="9" t="s">
        <v>81</v>
      </c>
      <c r="E3499" s="6" t="s">
        <v>4197</v>
      </c>
      <c r="F3499" s="9" t="s">
        <v>8924</v>
      </c>
    </row>
    <row r="3500" ht="33.75" customHeight="1">
      <c r="A3500" s="7">
        <v>117.0</v>
      </c>
      <c r="B3500" s="9" t="s">
        <v>7391</v>
      </c>
      <c r="C3500" s="9" t="s">
        <v>195</v>
      </c>
      <c r="D3500" s="9" t="s">
        <v>84</v>
      </c>
      <c r="E3500" s="6" t="s">
        <v>4197</v>
      </c>
      <c r="F3500" s="9" t="s">
        <v>8924</v>
      </c>
    </row>
    <row r="3501" ht="33.75" customHeight="1">
      <c r="A3501" s="7">
        <v>117.0</v>
      </c>
      <c r="B3501" s="9" t="s">
        <v>7391</v>
      </c>
      <c r="C3501" s="9" t="s">
        <v>195</v>
      </c>
      <c r="D3501" s="9" t="s">
        <v>87</v>
      </c>
      <c r="E3501" s="6" t="s">
        <v>4197</v>
      </c>
      <c r="F3501" s="9" t="s">
        <v>8924</v>
      </c>
    </row>
    <row r="3502" ht="33.75" customHeight="1">
      <c r="A3502" s="7">
        <v>117.0</v>
      </c>
      <c r="B3502" s="9" t="s">
        <v>7391</v>
      </c>
      <c r="C3502" s="9" t="s">
        <v>195</v>
      </c>
      <c r="D3502" s="9" t="s">
        <v>89</v>
      </c>
      <c r="E3502" s="6" t="s">
        <v>4187</v>
      </c>
      <c r="F3502" s="9" t="s">
        <v>8924</v>
      </c>
    </row>
    <row r="3503" ht="33.75" customHeight="1">
      <c r="A3503" s="7">
        <v>117.0</v>
      </c>
      <c r="B3503" s="9" t="s">
        <v>7391</v>
      </c>
      <c r="C3503" s="9" t="s">
        <v>195</v>
      </c>
      <c r="D3503" s="9" t="s">
        <v>91</v>
      </c>
      <c r="E3503" s="6" t="s">
        <v>4188</v>
      </c>
      <c r="F3503" s="9" t="s">
        <v>8924</v>
      </c>
    </row>
    <row r="3504" ht="33.75" customHeight="1">
      <c r="A3504" s="7">
        <v>117.0</v>
      </c>
      <c r="B3504" s="9" t="s">
        <v>7391</v>
      </c>
      <c r="C3504" s="9" t="s">
        <v>195</v>
      </c>
      <c r="D3504" s="9" t="s">
        <v>93</v>
      </c>
      <c r="E3504" s="6" t="s">
        <v>4197</v>
      </c>
      <c r="F3504" s="9" t="s">
        <v>8924</v>
      </c>
    </row>
    <row r="3505" ht="33.75" customHeight="1">
      <c r="A3505" s="7">
        <v>117.0</v>
      </c>
      <c r="B3505" s="9" t="s">
        <v>7391</v>
      </c>
      <c r="C3505" s="9" t="s">
        <v>195</v>
      </c>
      <c r="D3505" s="9" t="s">
        <v>95</v>
      </c>
      <c r="E3505" s="6" t="s">
        <v>4197</v>
      </c>
      <c r="F3505" s="9" t="s">
        <v>8924</v>
      </c>
    </row>
    <row r="3506" ht="33.75" customHeight="1">
      <c r="A3506" s="7">
        <v>117.0</v>
      </c>
      <c r="B3506" s="9" t="s">
        <v>7391</v>
      </c>
      <c r="C3506" s="9" t="s">
        <v>195</v>
      </c>
      <c r="D3506" s="9" t="s">
        <v>98</v>
      </c>
      <c r="E3506" s="6" t="s">
        <v>4199</v>
      </c>
      <c r="F3506" s="9" t="s">
        <v>8924</v>
      </c>
    </row>
    <row r="3507" ht="33.75" customHeight="1">
      <c r="A3507" s="7">
        <v>117.0</v>
      </c>
      <c r="B3507" s="9" t="s">
        <v>7391</v>
      </c>
      <c r="C3507" s="9" t="s">
        <v>195</v>
      </c>
      <c r="D3507" s="9" t="s">
        <v>99</v>
      </c>
      <c r="E3507" s="6" t="s">
        <v>4199</v>
      </c>
      <c r="F3507" s="9" t="s">
        <v>8924</v>
      </c>
    </row>
    <row r="3508" ht="33.75" customHeight="1">
      <c r="A3508" s="7">
        <v>117.0</v>
      </c>
      <c r="B3508" s="9" t="s">
        <v>7391</v>
      </c>
      <c r="C3508" s="9" t="s">
        <v>195</v>
      </c>
      <c r="D3508" s="9" t="s">
        <v>101</v>
      </c>
      <c r="E3508" s="6" t="s">
        <v>4193</v>
      </c>
      <c r="F3508" s="9" t="s">
        <v>8924</v>
      </c>
    </row>
    <row r="3509" ht="33.75" customHeight="1">
      <c r="A3509" s="7">
        <v>117.0</v>
      </c>
      <c r="B3509" s="9" t="s">
        <v>7391</v>
      </c>
      <c r="C3509" s="9" t="s">
        <v>195</v>
      </c>
      <c r="D3509" s="9" t="s">
        <v>105</v>
      </c>
      <c r="E3509" s="6" t="s">
        <v>4195</v>
      </c>
      <c r="F3509" s="9" t="s">
        <v>8924</v>
      </c>
    </row>
    <row r="3510" ht="33.75" customHeight="1">
      <c r="A3510" s="7">
        <v>117.0</v>
      </c>
      <c r="B3510" s="9" t="s">
        <v>7391</v>
      </c>
      <c r="C3510" s="9" t="s">
        <v>195</v>
      </c>
      <c r="D3510" s="9" t="s">
        <v>107</v>
      </c>
      <c r="E3510" s="6" t="s">
        <v>4201</v>
      </c>
      <c r="F3510" s="9" t="s">
        <v>8924</v>
      </c>
    </row>
    <row r="3511" ht="33.75" customHeight="1">
      <c r="A3511" s="7">
        <v>117.0</v>
      </c>
      <c r="B3511" s="9" t="s">
        <v>7391</v>
      </c>
      <c r="C3511" s="9" t="s">
        <v>195</v>
      </c>
      <c r="D3511" s="9" t="s">
        <v>109</v>
      </c>
      <c r="E3511" s="6" t="s">
        <v>4203</v>
      </c>
      <c r="F3511" s="9" t="s">
        <v>8924</v>
      </c>
    </row>
    <row r="3512" ht="33.75" customHeight="1">
      <c r="A3512" s="7">
        <v>117.0</v>
      </c>
      <c r="B3512" s="9" t="s">
        <v>7391</v>
      </c>
      <c r="C3512" s="9" t="s">
        <v>195</v>
      </c>
      <c r="D3512" s="9" t="s">
        <v>111</v>
      </c>
      <c r="E3512" s="6" t="s">
        <v>4205</v>
      </c>
      <c r="F3512" s="9" t="s">
        <v>8924</v>
      </c>
    </row>
    <row r="3513" ht="33.75" customHeight="1">
      <c r="A3513" s="7">
        <v>117.0</v>
      </c>
      <c r="B3513" s="9" t="s">
        <v>7391</v>
      </c>
      <c r="C3513" s="9" t="s">
        <v>195</v>
      </c>
      <c r="D3513" s="9" t="s">
        <v>113</v>
      </c>
      <c r="E3513" s="6" t="s">
        <v>4205</v>
      </c>
      <c r="F3513" s="9" t="s">
        <v>8924</v>
      </c>
    </row>
    <row r="3514" ht="33.75" customHeight="1">
      <c r="A3514" s="7">
        <v>117.0</v>
      </c>
      <c r="B3514" s="9" t="s">
        <v>7391</v>
      </c>
      <c r="C3514" s="9" t="s">
        <v>195</v>
      </c>
      <c r="D3514" s="9" t="s">
        <v>114</v>
      </c>
      <c r="E3514" s="6" t="s">
        <v>4207</v>
      </c>
      <c r="F3514" s="9" t="s">
        <v>8924</v>
      </c>
    </row>
    <row r="3515" ht="33.75" customHeight="1">
      <c r="A3515" s="7">
        <v>117.0</v>
      </c>
      <c r="B3515" s="9" t="s">
        <v>7391</v>
      </c>
      <c r="C3515" s="9" t="s">
        <v>195</v>
      </c>
      <c r="D3515" s="9" t="s">
        <v>117</v>
      </c>
      <c r="E3515" s="6" t="s">
        <v>4208</v>
      </c>
      <c r="F3515" s="9" t="s">
        <v>8924</v>
      </c>
    </row>
    <row r="3516" ht="33.75" customHeight="1">
      <c r="A3516" s="7">
        <v>118.0</v>
      </c>
      <c r="B3516" s="9" t="s">
        <v>7449</v>
      </c>
      <c r="C3516" s="9" t="s">
        <v>198</v>
      </c>
      <c r="D3516" s="9" t="s">
        <v>24</v>
      </c>
      <c r="E3516" s="6" t="s">
        <v>4209</v>
      </c>
      <c r="F3516" s="9" t="s">
        <v>9002</v>
      </c>
      <c r="G3516" t="inlineStr" s="6">
        <is>
          <t xml:space="preserve">Goldeen's tail fin billows like an elegant ballroom dress, giving it the nickname of the Water Queen. When it is time for them to lay eggs, they can be seen swimming up rivers and falls in large groups. Its dorsal, pectoral and tail fins wave elegantly in water. That is why it is known as the water dancer. A strong swimmer, it is capable of swimming nonstop up fast streams at a steady speed of five knots. During spawning season, they swim gracefully in the water, searching for their perfect mate. GOLDEEN is a very beautiful POKéMON with fins that billow elegantly in water. However, don’t let your guard down around this POKéMON - it could ram you powerfully with its horn. GOLDEEN loves swimming wild and free in rivers and ponds. If one of these POKéMON is placed in an aquarium, it will shatter even the thickest glass with one ram of its horn and make its escape. In the springtime, schools of GOLDEEN can be seen swimming up falls and rivers. It metes out staggering damage with its single horn. Its dorsal and pectoral fins are strongly developed like muscles. It can swim at a speed of five knots. Its tail fin billows like an elegant ballroom dress, giving it the nickname of “The Water Queen. It swims elegantly by flittering its tail fin as if it were a dress. It has the look of a queen. It swims at a steady 5 knots. If it senses danger, it will strike back with its sharp horn. Though it appears very elegant when swimming with fins unfurled, it can jab powerfully with its horn. A strong swimmer, it is capable of swimming nonstop up fast streams at a steady speed of five knots per hour. Its dorsal, pectoral, and tail fins wave elegantly in water. However, don’t let your guard down around this Pokémon—it could ram you powerfully with its horn. When the weather grows warm, they form groups and swim upriver. This sight serves as a poetic reminder that spring has arrived. Spellbound by the length of its horn and the beauty of its fins, many strange Trainers raise Goldeen and nothing but Goldeen. Although known for their splendid tail fins, Goldeen apparently compete among themselves to see whose horn is thickest and sharpest. The way it swims along fluttering its dress-like fins has earned it the name “princess of the water.”</t>
        </is>
      </c>
    </row>
    <row r="3517" ht="33.75" customHeight="1">
      <c r="A3517" s="7">
        <v>118.0</v>
      </c>
      <c r="B3517" s="9" t="s">
        <v>7449</v>
      </c>
      <c r="C3517" s="9" t="s">
        <v>198</v>
      </c>
      <c r="D3517" s="9" t="s">
        <v>35</v>
      </c>
      <c r="E3517" s="6" t="s">
        <v>4209</v>
      </c>
      <c r="F3517" s="9" t="s">
        <v>9002</v>
      </c>
    </row>
    <row r="3518" ht="33.75" customHeight="1">
      <c r="A3518" s="7">
        <v>118.0</v>
      </c>
      <c r="B3518" s="9" t="s">
        <v>7449</v>
      </c>
      <c r="C3518" s="9" t="s">
        <v>198</v>
      </c>
      <c r="D3518" s="9" t="s">
        <v>42</v>
      </c>
      <c r="E3518" s="6" t="s">
        <v>4211</v>
      </c>
      <c r="F3518" s="9" t="s">
        <v>9002</v>
      </c>
    </row>
    <row r="3519" ht="33.75" customHeight="1">
      <c r="A3519" s="7">
        <v>118.0</v>
      </c>
      <c r="B3519" s="9" t="s">
        <v>7449</v>
      </c>
      <c r="C3519" s="9" t="s">
        <v>198</v>
      </c>
      <c r="D3519" s="9" t="s">
        <v>52</v>
      </c>
      <c r="E3519" s="6" t="s">
        <v>4214</v>
      </c>
      <c r="F3519" s="9" t="s">
        <v>9002</v>
      </c>
    </row>
    <row r="3520" ht="33.75" customHeight="1">
      <c r="A3520" s="7">
        <v>118.0</v>
      </c>
      <c r="B3520" s="9" t="s">
        <v>7449</v>
      </c>
      <c r="C3520" s="9" t="s">
        <v>198</v>
      </c>
      <c r="D3520" s="9" t="s">
        <v>59</v>
      </c>
      <c r="E3520" s="6" t="s">
        <v>4215</v>
      </c>
      <c r="F3520" s="9" t="s">
        <v>9002</v>
      </c>
    </row>
    <row r="3521" ht="33.75" customHeight="1">
      <c r="A3521" s="7">
        <v>118.0</v>
      </c>
      <c r="B3521" s="9" t="s">
        <v>7449</v>
      </c>
      <c r="C3521" s="9" t="s">
        <v>198</v>
      </c>
      <c r="D3521" s="9" t="s">
        <v>64</v>
      </c>
      <c r="E3521" s="6" t="s">
        <v>4217</v>
      </c>
      <c r="F3521" s="9" t="s">
        <v>9002</v>
      </c>
    </row>
    <row r="3522" ht="33.75" customHeight="1">
      <c r="A3522" s="7">
        <v>118.0</v>
      </c>
      <c r="B3522" s="9" t="s">
        <v>7449</v>
      </c>
      <c r="C3522" s="9" t="s">
        <v>198</v>
      </c>
      <c r="D3522" s="9" t="s">
        <v>67</v>
      </c>
      <c r="E3522" s="6" t="s">
        <v>4219</v>
      </c>
      <c r="F3522" s="9" t="s">
        <v>9002</v>
      </c>
    </row>
    <row r="3523" ht="33.75" customHeight="1">
      <c r="A3523" s="7">
        <v>118.0</v>
      </c>
      <c r="B3523" s="9" t="s">
        <v>7449</v>
      </c>
      <c r="C3523" s="9" t="s">
        <v>198</v>
      </c>
      <c r="D3523" s="9" t="s">
        <v>71</v>
      </c>
      <c r="E3523" s="6" t="s">
        <v>4222</v>
      </c>
      <c r="F3523" s="9" t="s">
        <v>9002</v>
      </c>
    </row>
    <row r="3524" ht="33.75" customHeight="1">
      <c r="A3524" s="7">
        <v>118.0</v>
      </c>
      <c r="B3524" s="9" t="s">
        <v>7449</v>
      </c>
      <c r="C3524" s="9" t="s">
        <v>198</v>
      </c>
      <c r="D3524" s="9" t="s">
        <v>73</v>
      </c>
      <c r="E3524" s="6" t="s">
        <v>4223</v>
      </c>
      <c r="F3524" s="9" t="s">
        <v>9002</v>
      </c>
    </row>
    <row r="3525" ht="33.75" customHeight="1">
      <c r="A3525" s="7">
        <v>118.0</v>
      </c>
      <c r="B3525" s="9" t="s">
        <v>7449</v>
      </c>
      <c r="C3525" s="9" t="s">
        <v>198</v>
      </c>
      <c r="D3525" s="9" t="s">
        <v>75</v>
      </c>
      <c r="E3525" s="6" t="s">
        <v>4225</v>
      </c>
      <c r="F3525" s="9" t="s">
        <v>9002</v>
      </c>
    </row>
    <row r="3526" ht="33.75" customHeight="1">
      <c r="A3526" s="7">
        <v>118.0</v>
      </c>
      <c r="B3526" s="9" t="s">
        <v>7449</v>
      </c>
      <c r="C3526" s="9" t="s">
        <v>198</v>
      </c>
      <c r="D3526" s="9" t="s">
        <v>79</v>
      </c>
      <c r="E3526" s="6" t="s">
        <v>4226</v>
      </c>
      <c r="F3526" s="9" t="s">
        <v>9002</v>
      </c>
    </row>
    <row r="3527" ht="33.75" customHeight="1">
      <c r="A3527" s="7">
        <v>118.0</v>
      </c>
      <c r="B3527" s="9" t="s">
        <v>7449</v>
      </c>
      <c r="C3527" s="9" t="s">
        <v>198</v>
      </c>
      <c r="D3527" s="9" t="s">
        <v>81</v>
      </c>
      <c r="E3527" s="6" t="s">
        <v>4228</v>
      </c>
      <c r="F3527" s="9" t="s">
        <v>9002</v>
      </c>
    </row>
    <row r="3528" ht="33.75" customHeight="1">
      <c r="A3528" s="7">
        <v>118.0</v>
      </c>
      <c r="B3528" s="9" t="s">
        <v>7449</v>
      </c>
      <c r="C3528" s="9" t="s">
        <v>198</v>
      </c>
      <c r="D3528" s="9" t="s">
        <v>84</v>
      </c>
      <c r="E3528" s="6" t="s">
        <v>4229</v>
      </c>
      <c r="F3528" s="9" t="s">
        <v>9002</v>
      </c>
    </row>
    <row r="3529" ht="33.75" customHeight="1">
      <c r="A3529" s="7">
        <v>118.0</v>
      </c>
      <c r="B3529" s="9" t="s">
        <v>7449</v>
      </c>
      <c r="C3529" s="9" t="s">
        <v>198</v>
      </c>
      <c r="D3529" s="9" t="s">
        <v>87</v>
      </c>
      <c r="E3529" s="6" t="s">
        <v>4230</v>
      </c>
      <c r="F3529" s="9" t="s">
        <v>9002</v>
      </c>
    </row>
    <row r="3530" ht="33.75" customHeight="1">
      <c r="A3530" s="7">
        <v>118.0</v>
      </c>
      <c r="B3530" s="9" t="s">
        <v>7449</v>
      </c>
      <c r="C3530" s="9" t="s">
        <v>198</v>
      </c>
      <c r="D3530" s="9" t="s">
        <v>89</v>
      </c>
      <c r="E3530" s="6" t="s">
        <v>4231</v>
      </c>
      <c r="F3530" s="9" t="s">
        <v>9002</v>
      </c>
    </row>
    <row r="3531" ht="33.75" customHeight="1">
      <c r="A3531" s="7">
        <v>118.0</v>
      </c>
      <c r="B3531" s="9" t="s">
        <v>7449</v>
      </c>
      <c r="C3531" s="9" t="s">
        <v>198</v>
      </c>
      <c r="D3531" s="9" t="s">
        <v>91</v>
      </c>
      <c r="E3531" s="6" t="s">
        <v>4233</v>
      </c>
      <c r="F3531" s="9" t="s">
        <v>9002</v>
      </c>
    </row>
    <row r="3532" ht="33.75" customHeight="1">
      <c r="A3532" s="7">
        <v>118.0</v>
      </c>
      <c r="B3532" s="9" t="s">
        <v>7449</v>
      </c>
      <c r="C3532" s="9" t="s">
        <v>198</v>
      </c>
      <c r="D3532" s="9" t="s">
        <v>93</v>
      </c>
      <c r="E3532" s="6" t="s">
        <v>4230</v>
      </c>
      <c r="F3532" s="9" t="s">
        <v>9002</v>
      </c>
    </row>
    <row r="3533" ht="33.75" customHeight="1">
      <c r="A3533" s="7">
        <v>118.0</v>
      </c>
      <c r="B3533" s="9" t="s">
        <v>7449</v>
      </c>
      <c r="C3533" s="9" t="s">
        <v>198</v>
      </c>
      <c r="D3533" s="9" t="s">
        <v>95</v>
      </c>
      <c r="E3533" s="6" t="s">
        <v>4230</v>
      </c>
      <c r="F3533" s="9" t="s">
        <v>9002</v>
      </c>
    </row>
    <row r="3534" ht="33.75" customHeight="1">
      <c r="A3534" s="7">
        <v>118.0</v>
      </c>
      <c r="B3534" s="9" t="s">
        <v>7449</v>
      </c>
      <c r="C3534" s="9" t="s">
        <v>198</v>
      </c>
      <c r="D3534" s="9" t="s">
        <v>98</v>
      </c>
      <c r="E3534" s="6" t="s">
        <v>4230</v>
      </c>
      <c r="F3534" s="9" t="s">
        <v>9002</v>
      </c>
    </row>
    <row r="3535" ht="33.75" customHeight="1">
      <c r="A3535" s="7">
        <v>118.0</v>
      </c>
      <c r="B3535" s="9" t="s">
        <v>7449</v>
      </c>
      <c r="C3535" s="9" t="s">
        <v>198</v>
      </c>
      <c r="D3535" s="9" t="s">
        <v>99</v>
      </c>
      <c r="E3535" s="6" t="s">
        <v>4230</v>
      </c>
      <c r="F3535" s="9" t="s">
        <v>9002</v>
      </c>
    </row>
    <row r="3536" ht="33.75" customHeight="1">
      <c r="A3536" s="7">
        <v>118.0</v>
      </c>
      <c r="B3536" s="9" t="s">
        <v>7449</v>
      </c>
      <c r="C3536" s="9" t="s">
        <v>198</v>
      </c>
      <c r="D3536" s="9" t="s">
        <v>101</v>
      </c>
      <c r="E3536" s="6" t="s">
        <v>4229</v>
      </c>
      <c r="F3536" s="9" t="s">
        <v>9002</v>
      </c>
    </row>
    <row r="3537" ht="33.75" customHeight="1">
      <c r="A3537" s="7">
        <v>118.0</v>
      </c>
      <c r="B3537" s="9" t="s">
        <v>7449</v>
      </c>
      <c r="C3537" s="9" t="s">
        <v>198</v>
      </c>
      <c r="D3537" s="9" t="s">
        <v>105</v>
      </c>
      <c r="E3537" s="6" t="s">
        <v>4235</v>
      </c>
      <c r="F3537" s="9" t="s">
        <v>9002</v>
      </c>
    </row>
    <row r="3538" ht="33.75" customHeight="1">
      <c r="A3538" s="7">
        <v>118.0</v>
      </c>
      <c r="B3538" s="9" t="s">
        <v>7449</v>
      </c>
      <c r="C3538" s="9" t="s">
        <v>198</v>
      </c>
      <c r="D3538" s="9" t="s">
        <v>107</v>
      </c>
      <c r="E3538" s="6" t="s">
        <v>4236</v>
      </c>
      <c r="F3538" s="9" t="s">
        <v>9002</v>
      </c>
    </row>
    <row r="3539" ht="33.75" customHeight="1">
      <c r="A3539" s="7">
        <v>118.0</v>
      </c>
      <c r="B3539" s="9" t="s">
        <v>7449</v>
      </c>
      <c r="C3539" s="9" t="s">
        <v>198</v>
      </c>
      <c r="D3539" s="9" t="s">
        <v>109</v>
      </c>
      <c r="E3539" s="6" t="s">
        <v>4238</v>
      </c>
      <c r="F3539" s="9" t="s">
        <v>9002</v>
      </c>
    </row>
    <row r="3540" ht="33.75" customHeight="1">
      <c r="A3540" s="7">
        <v>118.0</v>
      </c>
      <c r="B3540" s="9" t="s">
        <v>7449</v>
      </c>
      <c r="C3540" s="9" t="s">
        <v>198</v>
      </c>
      <c r="D3540" s="9" t="s">
        <v>637</v>
      </c>
      <c r="E3540" s="6" t="s">
        <v>4240</v>
      </c>
      <c r="F3540" s="9" t="s">
        <v>9002</v>
      </c>
    </row>
    <row r="3541" ht="33.75" customHeight="1">
      <c r="A3541" s="7">
        <v>118.0</v>
      </c>
      <c r="B3541" s="9" t="s">
        <v>7449</v>
      </c>
      <c r="C3541" s="9" t="s">
        <v>198</v>
      </c>
      <c r="D3541" s="9" t="s">
        <v>642</v>
      </c>
      <c r="E3541" s="6" t="s">
        <v>4241</v>
      </c>
      <c r="F3541" s="9" t="s">
        <v>9002</v>
      </c>
    </row>
    <row r="3542" ht="33.75" customHeight="1">
      <c r="A3542" s="7">
        <v>118.0</v>
      </c>
      <c r="B3542" s="9" t="s">
        <v>7449</v>
      </c>
      <c r="C3542" s="9" t="s">
        <v>198</v>
      </c>
      <c r="D3542" s="9" t="s">
        <v>647</v>
      </c>
      <c r="E3542" s="6" t="s">
        <v>4242</v>
      </c>
      <c r="F3542" s="9" t="s">
        <v>9002</v>
      </c>
    </row>
    <row r="3543" ht="33.75" customHeight="1">
      <c r="A3543" s="7">
        <v>118.0</v>
      </c>
      <c r="B3543" s="9" t="s">
        <v>7449</v>
      </c>
      <c r="C3543" s="9" t="s">
        <v>198</v>
      </c>
      <c r="D3543" s="9" t="s">
        <v>652</v>
      </c>
      <c r="E3543" s="6" t="s">
        <v>4243</v>
      </c>
      <c r="F3543" s="9" t="s">
        <v>9002</v>
      </c>
    </row>
    <row r="3544" ht="33.75" customHeight="1">
      <c r="A3544" s="7">
        <v>118.0</v>
      </c>
      <c r="B3544" s="9" t="s">
        <v>7449</v>
      </c>
      <c r="C3544" s="9" t="s">
        <v>198</v>
      </c>
      <c r="D3544" s="9" t="s">
        <v>111</v>
      </c>
      <c r="E3544" s="6" t="s">
        <v>4211</v>
      </c>
      <c r="F3544" s="9" t="s">
        <v>9002</v>
      </c>
    </row>
    <row r="3545" ht="33.75" customHeight="1">
      <c r="A3545" s="7">
        <v>118.0</v>
      </c>
      <c r="B3545" s="9" t="s">
        <v>7449</v>
      </c>
      <c r="C3545" s="9" t="s">
        <v>198</v>
      </c>
      <c r="D3545" s="9" t="s">
        <v>113</v>
      </c>
      <c r="E3545" s="6" t="s">
        <v>4211</v>
      </c>
      <c r="F3545" s="9" t="s">
        <v>9002</v>
      </c>
    </row>
    <row r="3546" ht="33.75" customHeight="1">
      <c r="A3546" s="7">
        <v>118.0</v>
      </c>
      <c r="B3546" s="9" t="s">
        <v>7449</v>
      </c>
      <c r="C3546" s="9" t="s">
        <v>198</v>
      </c>
      <c r="D3546" s="9" t="s">
        <v>114</v>
      </c>
      <c r="E3546" s="6" t="s">
        <v>4245</v>
      </c>
      <c r="F3546" s="9" t="s">
        <v>9002</v>
      </c>
    </row>
    <row r="3547" ht="33.75" customHeight="1">
      <c r="A3547" s="7">
        <v>118.0</v>
      </c>
      <c r="B3547" s="9" t="s">
        <v>7449</v>
      </c>
      <c r="C3547" s="9" t="s">
        <v>198</v>
      </c>
      <c r="D3547" s="9" t="s">
        <v>117</v>
      </c>
      <c r="E3547" s="6" t="s">
        <v>4225</v>
      </c>
      <c r="F3547" s="9" t="s">
        <v>9002</v>
      </c>
    </row>
    <row r="3548" ht="33.75" customHeight="1">
      <c r="A3548" s="7">
        <v>119.0</v>
      </c>
      <c r="B3548" s="9" t="s">
        <v>7493</v>
      </c>
      <c r="C3548" s="9" t="s">
        <v>198</v>
      </c>
      <c r="D3548" s="9" t="s">
        <v>24</v>
      </c>
      <c r="E3548" s="6" t="s">
        <v>4246</v>
      </c>
      <c r="F3548" s="9" t="s">
        <v>9070</v>
      </c>
      <c r="G3548" t="inlineStr" s="6">
        <is>
          <t xml:space="preserve">In the autumn spawning season, they can be seen swimming power fully up rivers and creeks. It is the male's job to make a nest by carving out boulders in a stream using the horn on its head. During spawning season, SEAKING gather from all over, coloring the rivers a brilliant red. Using its horn, it bores holes in riverbed boulders, making nests to prevent its eggs from washing away. When autumn comes, the males patrol the area around their nests in order to protect their offspring. In the autumn, SEAKING males can be seen performing courtship dances in riverbeds to woo females. During this season, this POKéMON’s body coloration is at its most beautiful. SEAKING is very protective of its eggs. The male and female will take turns patrolling around their nest and eggs. The guarding of eggs by these POKéMON goes on for over a month. It punches holes in boulders on stream beds. This is a clever innovation that prevents its eggs from being attacked or washed away by the current. The horn on its head is sharp like a drill. It bores a hole in a boulder to make its nest. In the autumn spawning season, they can be seen swimming powerfully up rivers and creeks. It makes its nest by hollowing out boulders in streams with its horn. It defends its eggs with its life. To protect its family, it will fight with its drill-sharp horn. It lives in hollowed rocks in streams. In autumn, its body becomes more fatty in preparing to propose to a mate. It takes on beautiful colors. During spawning season, SEAKING gather from all over, causing rivers to appear a brilliant red. When the weather grows cold, its whole body flushes a deep red. This sight serves as a poetic reminder that autumn has arrived. Trainers who are crazy for Seaking are divided into horn enthusiasts and fin enthusiasts. The two groups do not get along well. Its horn spins like a drill to steadily hollow out rocks—even harder ones. The coloration of the male is more vivid. To attract females, males dance on the river’s floor. The females gather around the male that dances most gracefully.</t>
        </is>
      </c>
    </row>
    <row r="3549" ht="33.75" customHeight="1">
      <c r="A3549" s="7">
        <v>119.0</v>
      </c>
      <c r="B3549" s="9" t="s">
        <v>7493</v>
      </c>
      <c r="C3549" s="9" t="s">
        <v>198</v>
      </c>
      <c r="D3549" s="9" t="s">
        <v>35</v>
      </c>
      <c r="E3549" s="6" t="s">
        <v>4246</v>
      </c>
      <c r="F3549" s="9" t="s">
        <v>9070</v>
      </c>
    </row>
    <row r="3550" ht="33.75" customHeight="1">
      <c r="A3550" s="7">
        <v>119.0</v>
      </c>
      <c r="B3550" s="9" t="s">
        <v>7493</v>
      </c>
      <c r="C3550" s="9" t="s">
        <v>198</v>
      </c>
      <c r="D3550" s="9" t="s">
        <v>42</v>
      </c>
      <c r="E3550" s="6" t="s">
        <v>4247</v>
      </c>
      <c r="F3550" s="9" t="s">
        <v>9070</v>
      </c>
    </row>
    <row r="3551" ht="33.75" customHeight="1">
      <c r="A3551" s="7">
        <v>119.0</v>
      </c>
      <c r="B3551" s="9" t="s">
        <v>7493</v>
      </c>
      <c r="C3551" s="9" t="s">
        <v>198</v>
      </c>
      <c r="D3551" s="9" t="s">
        <v>52</v>
      </c>
      <c r="E3551" s="6" t="s">
        <v>4248</v>
      </c>
      <c r="F3551" s="9" t="s">
        <v>9070</v>
      </c>
    </row>
    <row r="3552" ht="33.75" customHeight="1">
      <c r="A3552" s="7">
        <v>119.0</v>
      </c>
      <c r="B3552" s="9" t="s">
        <v>7493</v>
      </c>
      <c r="C3552" s="9" t="s">
        <v>198</v>
      </c>
      <c r="D3552" s="9" t="s">
        <v>59</v>
      </c>
      <c r="E3552" s="6" t="s">
        <v>4249</v>
      </c>
      <c r="F3552" s="9" t="s">
        <v>9070</v>
      </c>
    </row>
    <row r="3553" ht="33.75" customHeight="1">
      <c r="A3553" s="7">
        <v>119.0</v>
      </c>
      <c r="B3553" s="9" t="s">
        <v>7493</v>
      </c>
      <c r="C3553" s="9" t="s">
        <v>198</v>
      </c>
      <c r="D3553" s="9" t="s">
        <v>64</v>
      </c>
      <c r="E3553" s="6" t="s">
        <v>4250</v>
      </c>
      <c r="F3553" s="9" t="s">
        <v>9070</v>
      </c>
    </row>
    <row r="3554" ht="33.75" customHeight="1">
      <c r="A3554" s="7">
        <v>119.0</v>
      </c>
      <c r="B3554" s="9" t="s">
        <v>7493</v>
      </c>
      <c r="C3554" s="9" t="s">
        <v>198</v>
      </c>
      <c r="D3554" s="9" t="s">
        <v>67</v>
      </c>
      <c r="E3554" s="6" t="s">
        <v>4251</v>
      </c>
      <c r="F3554" s="9" t="s">
        <v>9070</v>
      </c>
    </row>
    <row r="3555" ht="33.75" customHeight="1">
      <c r="A3555" s="7">
        <v>119.0</v>
      </c>
      <c r="B3555" s="9" t="s">
        <v>7493</v>
      </c>
      <c r="C3555" s="9" t="s">
        <v>198</v>
      </c>
      <c r="D3555" s="9" t="s">
        <v>71</v>
      </c>
      <c r="E3555" s="6" t="s">
        <v>4252</v>
      </c>
      <c r="F3555" s="9" t="s">
        <v>9070</v>
      </c>
    </row>
    <row r="3556" ht="33.75" customHeight="1">
      <c r="A3556" s="7">
        <v>119.0</v>
      </c>
      <c r="B3556" s="9" t="s">
        <v>7493</v>
      </c>
      <c r="C3556" s="9" t="s">
        <v>198</v>
      </c>
      <c r="D3556" s="9" t="s">
        <v>73</v>
      </c>
      <c r="E3556" s="6" t="s">
        <v>4253</v>
      </c>
      <c r="F3556" s="9" t="s">
        <v>9070</v>
      </c>
    </row>
    <row r="3557" ht="33.75" customHeight="1">
      <c r="A3557" s="7">
        <v>119.0</v>
      </c>
      <c r="B3557" s="9" t="s">
        <v>7493</v>
      </c>
      <c r="C3557" s="9" t="s">
        <v>198</v>
      </c>
      <c r="D3557" s="9" t="s">
        <v>75</v>
      </c>
      <c r="E3557" s="6" t="s">
        <v>4254</v>
      </c>
      <c r="F3557" s="9" t="s">
        <v>9070</v>
      </c>
    </row>
    <row r="3558" ht="33.75" customHeight="1">
      <c r="A3558" s="7">
        <v>119.0</v>
      </c>
      <c r="B3558" s="9" t="s">
        <v>7493</v>
      </c>
      <c r="C3558" s="9" t="s">
        <v>198</v>
      </c>
      <c r="D3558" s="9" t="s">
        <v>79</v>
      </c>
      <c r="E3558" s="6" t="s">
        <v>4255</v>
      </c>
      <c r="F3558" s="9" t="s">
        <v>9070</v>
      </c>
    </row>
    <row r="3559" ht="33.75" customHeight="1">
      <c r="A3559" s="7">
        <v>119.0</v>
      </c>
      <c r="B3559" s="9" t="s">
        <v>7493</v>
      </c>
      <c r="C3559" s="9" t="s">
        <v>198</v>
      </c>
      <c r="D3559" s="9" t="s">
        <v>81</v>
      </c>
      <c r="E3559" s="6" t="s">
        <v>4257</v>
      </c>
      <c r="F3559" s="9" t="s">
        <v>9070</v>
      </c>
    </row>
    <row r="3560" ht="33.75" customHeight="1">
      <c r="A3560" s="7">
        <v>119.0</v>
      </c>
      <c r="B3560" s="9" t="s">
        <v>7493</v>
      </c>
      <c r="C3560" s="9" t="s">
        <v>198</v>
      </c>
      <c r="D3560" s="9" t="s">
        <v>84</v>
      </c>
      <c r="E3560" s="6" t="s">
        <v>4258</v>
      </c>
      <c r="F3560" s="9" t="s">
        <v>9070</v>
      </c>
    </row>
    <row r="3561" ht="33.75" customHeight="1">
      <c r="A3561" s="7">
        <v>119.0</v>
      </c>
      <c r="B3561" s="9" t="s">
        <v>7493</v>
      </c>
      <c r="C3561" s="9" t="s">
        <v>198</v>
      </c>
      <c r="D3561" s="9" t="s">
        <v>87</v>
      </c>
      <c r="E3561" s="6" t="s">
        <v>4259</v>
      </c>
      <c r="F3561" s="9" t="s">
        <v>9070</v>
      </c>
    </row>
    <row r="3562" ht="33.75" customHeight="1">
      <c r="A3562" s="7">
        <v>119.0</v>
      </c>
      <c r="B3562" s="9" t="s">
        <v>7493</v>
      </c>
      <c r="C3562" s="9" t="s">
        <v>198</v>
      </c>
      <c r="D3562" s="9" t="s">
        <v>89</v>
      </c>
      <c r="E3562" s="6" t="s">
        <v>4261</v>
      </c>
      <c r="F3562" s="9" t="s">
        <v>9070</v>
      </c>
    </row>
    <row r="3563" ht="33.75" customHeight="1">
      <c r="A3563" s="7">
        <v>119.0</v>
      </c>
      <c r="B3563" s="9" t="s">
        <v>7493</v>
      </c>
      <c r="C3563" s="9" t="s">
        <v>198</v>
      </c>
      <c r="D3563" s="9" t="s">
        <v>91</v>
      </c>
      <c r="E3563" s="6" t="s">
        <v>4249</v>
      </c>
      <c r="F3563" s="9" t="s">
        <v>9070</v>
      </c>
    </row>
    <row r="3564" ht="33.75" customHeight="1">
      <c r="A3564" s="7">
        <v>119.0</v>
      </c>
      <c r="B3564" s="9" t="s">
        <v>7493</v>
      </c>
      <c r="C3564" s="9" t="s">
        <v>198</v>
      </c>
      <c r="D3564" s="9" t="s">
        <v>93</v>
      </c>
      <c r="E3564" s="6" t="s">
        <v>4259</v>
      </c>
      <c r="F3564" s="9" t="s">
        <v>9070</v>
      </c>
    </row>
    <row r="3565" ht="33.75" customHeight="1">
      <c r="A3565" s="7">
        <v>119.0</v>
      </c>
      <c r="B3565" s="9" t="s">
        <v>7493</v>
      </c>
      <c r="C3565" s="9" t="s">
        <v>198</v>
      </c>
      <c r="D3565" s="9" t="s">
        <v>95</v>
      </c>
      <c r="E3565" s="6" t="s">
        <v>4259</v>
      </c>
      <c r="F3565" s="9" t="s">
        <v>9070</v>
      </c>
    </row>
    <row r="3566" ht="33.75" customHeight="1">
      <c r="A3566" s="7">
        <v>119.0</v>
      </c>
      <c r="B3566" s="9" t="s">
        <v>7493</v>
      </c>
      <c r="C3566" s="9" t="s">
        <v>198</v>
      </c>
      <c r="D3566" s="9" t="s">
        <v>98</v>
      </c>
      <c r="E3566" s="6" t="s">
        <v>4259</v>
      </c>
      <c r="F3566" s="9" t="s">
        <v>9070</v>
      </c>
    </row>
    <row r="3567" ht="33.75" customHeight="1">
      <c r="A3567" s="7">
        <v>119.0</v>
      </c>
      <c r="B3567" s="9" t="s">
        <v>7493</v>
      </c>
      <c r="C3567" s="9" t="s">
        <v>198</v>
      </c>
      <c r="D3567" s="9" t="s">
        <v>99</v>
      </c>
      <c r="E3567" s="6" t="s">
        <v>4259</v>
      </c>
      <c r="F3567" s="9" t="s">
        <v>9070</v>
      </c>
    </row>
    <row r="3568" ht="33.75" customHeight="1">
      <c r="A3568" s="7">
        <v>119.0</v>
      </c>
      <c r="B3568" s="9" t="s">
        <v>7493</v>
      </c>
      <c r="C3568" s="9" t="s">
        <v>198</v>
      </c>
      <c r="D3568" s="9" t="s">
        <v>101</v>
      </c>
      <c r="E3568" s="6" t="s">
        <v>4255</v>
      </c>
      <c r="F3568" s="9" t="s">
        <v>9070</v>
      </c>
    </row>
    <row r="3569" ht="33.75" customHeight="1">
      <c r="A3569" s="7">
        <v>119.0</v>
      </c>
      <c r="B3569" s="9" t="s">
        <v>7493</v>
      </c>
      <c r="C3569" s="9" t="s">
        <v>198</v>
      </c>
      <c r="D3569" s="9" t="s">
        <v>105</v>
      </c>
      <c r="E3569" s="6" t="s">
        <v>4257</v>
      </c>
      <c r="F3569" s="9" t="s">
        <v>9070</v>
      </c>
    </row>
    <row r="3570" ht="33.75" customHeight="1">
      <c r="A3570" s="7">
        <v>119.0</v>
      </c>
      <c r="B3570" s="9" t="s">
        <v>7493</v>
      </c>
      <c r="C3570" s="9" t="s">
        <v>198</v>
      </c>
      <c r="D3570" s="9" t="s">
        <v>107</v>
      </c>
      <c r="E3570" s="6" t="s">
        <v>4262</v>
      </c>
      <c r="F3570" s="9" t="s">
        <v>9070</v>
      </c>
    </row>
    <row r="3571" ht="33.75" customHeight="1">
      <c r="A3571" s="7">
        <v>119.0</v>
      </c>
      <c r="B3571" s="9" t="s">
        <v>7493</v>
      </c>
      <c r="C3571" s="9" t="s">
        <v>198</v>
      </c>
      <c r="D3571" s="9" t="s">
        <v>109</v>
      </c>
      <c r="E3571" s="6" t="s">
        <v>4265</v>
      </c>
      <c r="F3571" s="9" t="s">
        <v>9070</v>
      </c>
    </row>
    <row r="3572" ht="33.75" customHeight="1">
      <c r="A3572" s="7">
        <v>119.0</v>
      </c>
      <c r="B3572" s="9" t="s">
        <v>7493</v>
      </c>
      <c r="C3572" s="9" t="s">
        <v>198</v>
      </c>
      <c r="D3572" s="9" t="s">
        <v>637</v>
      </c>
      <c r="E3572" s="6" t="s">
        <v>4267</v>
      </c>
      <c r="F3572" s="9" t="s">
        <v>9070</v>
      </c>
    </row>
    <row r="3573" ht="33.75" customHeight="1">
      <c r="A3573" s="7">
        <v>119.0</v>
      </c>
      <c r="B3573" s="9" t="s">
        <v>7493</v>
      </c>
      <c r="C3573" s="9" t="s">
        <v>198</v>
      </c>
      <c r="D3573" s="9" t="s">
        <v>642</v>
      </c>
      <c r="E3573" s="6" t="s">
        <v>4268</v>
      </c>
      <c r="F3573" s="9" t="s">
        <v>9070</v>
      </c>
    </row>
    <row r="3574" ht="33.75" customHeight="1">
      <c r="A3574" s="7">
        <v>119.0</v>
      </c>
      <c r="B3574" s="9" t="s">
        <v>7493</v>
      </c>
      <c r="C3574" s="9" t="s">
        <v>198</v>
      </c>
      <c r="D3574" s="9" t="s">
        <v>647</v>
      </c>
      <c r="E3574" s="6" t="s">
        <v>4270</v>
      </c>
      <c r="F3574" s="9" t="s">
        <v>9070</v>
      </c>
    </row>
    <row r="3575" ht="33.75" customHeight="1">
      <c r="A3575" s="7">
        <v>119.0</v>
      </c>
      <c r="B3575" s="9" t="s">
        <v>7493</v>
      </c>
      <c r="C3575" s="9" t="s">
        <v>198</v>
      </c>
      <c r="D3575" s="9" t="s">
        <v>652</v>
      </c>
      <c r="E3575" s="6" t="s">
        <v>4271</v>
      </c>
      <c r="F3575" s="9" t="s">
        <v>9070</v>
      </c>
    </row>
    <row r="3576" ht="33.75" customHeight="1">
      <c r="A3576" s="7">
        <v>119.0</v>
      </c>
      <c r="B3576" s="9" t="s">
        <v>7493</v>
      </c>
      <c r="C3576" s="9" t="s">
        <v>198</v>
      </c>
      <c r="D3576" s="9" t="s">
        <v>111</v>
      </c>
      <c r="E3576" s="6" t="s">
        <v>4273</v>
      </c>
      <c r="F3576" s="9" t="s">
        <v>9070</v>
      </c>
    </row>
    <row r="3577" ht="33.75" customHeight="1">
      <c r="A3577" s="7">
        <v>119.0</v>
      </c>
      <c r="B3577" s="9" t="s">
        <v>7493</v>
      </c>
      <c r="C3577" s="9" t="s">
        <v>198</v>
      </c>
      <c r="D3577" s="9" t="s">
        <v>113</v>
      </c>
      <c r="E3577" s="6" t="s">
        <v>4273</v>
      </c>
      <c r="F3577" s="9" t="s">
        <v>9070</v>
      </c>
    </row>
    <row r="3578" ht="33.75" customHeight="1">
      <c r="A3578" s="7">
        <v>119.0</v>
      </c>
      <c r="B3578" s="9" t="s">
        <v>7493</v>
      </c>
      <c r="C3578" s="9" t="s">
        <v>198</v>
      </c>
      <c r="D3578" s="9" t="s">
        <v>114</v>
      </c>
      <c r="E3578" s="6" t="s">
        <v>4259</v>
      </c>
      <c r="F3578" s="9" t="s">
        <v>9070</v>
      </c>
    </row>
    <row r="3579" ht="33.75" customHeight="1">
      <c r="A3579" s="7">
        <v>119.0</v>
      </c>
      <c r="B3579" s="9" t="s">
        <v>7493</v>
      </c>
      <c r="C3579" s="9" t="s">
        <v>198</v>
      </c>
      <c r="D3579" s="9" t="s">
        <v>117</v>
      </c>
      <c r="E3579" s="6" t="s">
        <v>4249</v>
      </c>
      <c r="F3579" s="9" t="s">
        <v>9070</v>
      </c>
    </row>
    <row r="3580" ht="33.75" customHeight="1">
      <c r="A3580" s="7">
        <v>120.0</v>
      </c>
      <c r="B3580" s="9" t="s">
        <v>7567</v>
      </c>
      <c r="C3580" s="9" t="s">
        <v>200</v>
      </c>
      <c r="D3580" s="9" t="s">
        <v>24</v>
      </c>
      <c r="E3580" s="6" t="s">
        <v>4274</v>
      </c>
      <c r="F3580" s="9" t="s">
        <v>9156</v>
      </c>
      <c r="G3580" t="inlineStr" s="6">
        <is>
          <t xml:space="preserve">An enigmatic POKéMON that can effortlessly regenerate any appendage it loses in battle. As long as the center section is unharmed, it can grow back fully even if it is chopped to bits. At night, the center of its body slowly flickers with the same rhythm as a human heartbeat. Even if its body is torn, it can regenerate as long as the glowing central core remains intact. When the stars twinkle at night, it floats up from the sea floor, and its body's center core flickers. STARYU’s center section has an organ called the core that shines bright red. If you go to a beach toward the end of summer, the glowing cores of these POKéMON look like the stars in the sky. STARYU apparently communicates with the stars in the night sky by flashing the red core at the center of its body. If parts of its body are torn, this POKéMON simply regenerates the missing pieces and limbs. It gathers with others in the night and makes its red core glow on and off with the twinkling stars. It can regenerate limbs if they are severed from its body. It appears in large numbers by seashores. At night, its central core flashes with a red light. If its body is torn, it can grow back if the red core remains. The core flashes at midnight. At night, the middle of its body slowly flickers with the same rhythm as a human heartbeat. As long as its red core remains, it can regenerate its body instantly, even if it’s torn apart. Large numbers of these Pokémon make their home at the seaside. At night, a strange red glow radiates from the center of their bodies. This Pokémon gets nibbled on by Lumineon and others. Thanks to its red core, it regenerates fast, so it’s unconcerned by their snack attacks. In many places, there are folktales of stardust falling into the ocean and becoming Staryu. No number of injuries can bother Staryu. Its amazing regenerative powers return it to its previous state in half a day! As long as the center section is unharmed, this Pokémon can grow back fully even if it is chopped to bits. If you visit a beach at the end of summer, you’ll be able to see groups of Staryu lighting up in a steady rhythm. Fish Pokémon nibble at it, but Staryu isn’t bothered. Its body regenerates quickly, even if part of it is completely torn off.</t>
        </is>
      </c>
    </row>
    <row r="3581" ht="33.75" customHeight="1">
      <c r="A3581" s="7">
        <v>120.0</v>
      </c>
      <c r="B3581" s="9" t="s">
        <v>7567</v>
      </c>
      <c r="C3581" s="9" t="s">
        <v>200</v>
      </c>
      <c r="D3581" s="9" t="s">
        <v>35</v>
      </c>
      <c r="E3581" s="6" t="s">
        <v>4274</v>
      </c>
      <c r="F3581" s="9" t="s">
        <v>9156</v>
      </c>
    </row>
    <row r="3582" ht="33.75" customHeight="1">
      <c r="A3582" s="7">
        <v>120.0</v>
      </c>
      <c r="B3582" s="9" t="s">
        <v>7567</v>
      </c>
      <c r="C3582" s="9" t="s">
        <v>200</v>
      </c>
      <c r="D3582" s="9" t="s">
        <v>42</v>
      </c>
      <c r="E3582" s="6" t="s">
        <v>4276</v>
      </c>
      <c r="F3582" s="9" t="s">
        <v>9156</v>
      </c>
    </row>
    <row r="3583" ht="33.75" customHeight="1">
      <c r="A3583" s="7">
        <v>120.0</v>
      </c>
      <c r="B3583" s="9" t="s">
        <v>7567</v>
      </c>
      <c r="C3583" s="9" t="s">
        <v>200</v>
      </c>
      <c r="D3583" s="9" t="s">
        <v>52</v>
      </c>
      <c r="E3583" s="6" t="s">
        <v>4278</v>
      </c>
      <c r="F3583" s="9" t="s">
        <v>9156</v>
      </c>
    </row>
    <row r="3584" ht="33.75" customHeight="1">
      <c r="A3584" s="7">
        <v>120.0</v>
      </c>
      <c r="B3584" s="9" t="s">
        <v>7567</v>
      </c>
      <c r="C3584" s="9" t="s">
        <v>200</v>
      </c>
      <c r="D3584" s="9" t="s">
        <v>59</v>
      </c>
      <c r="E3584" s="6" t="s">
        <v>4279</v>
      </c>
      <c r="F3584" s="9" t="s">
        <v>9156</v>
      </c>
    </row>
    <row r="3585" ht="33.75" customHeight="1">
      <c r="A3585" s="7">
        <v>120.0</v>
      </c>
      <c r="B3585" s="9" t="s">
        <v>7567</v>
      </c>
      <c r="C3585" s="9" t="s">
        <v>200</v>
      </c>
      <c r="D3585" s="9" t="s">
        <v>64</v>
      </c>
      <c r="E3585" s="6" t="s">
        <v>4281</v>
      </c>
      <c r="F3585" s="9" t="s">
        <v>9156</v>
      </c>
    </row>
    <row r="3586" ht="33.75" customHeight="1">
      <c r="A3586" s="7">
        <v>120.0</v>
      </c>
      <c r="B3586" s="9" t="s">
        <v>7567</v>
      </c>
      <c r="C3586" s="9" t="s">
        <v>200</v>
      </c>
      <c r="D3586" s="9" t="s">
        <v>67</v>
      </c>
      <c r="E3586" s="6" t="s">
        <v>4282</v>
      </c>
      <c r="F3586" s="9" t="s">
        <v>9156</v>
      </c>
    </row>
    <row r="3587" ht="33.75" customHeight="1">
      <c r="A3587" s="7">
        <v>120.0</v>
      </c>
      <c r="B3587" s="9" t="s">
        <v>7567</v>
      </c>
      <c r="C3587" s="9" t="s">
        <v>200</v>
      </c>
      <c r="D3587" s="9" t="s">
        <v>71</v>
      </c>
      <c r="E3587" s="6" t="s">
        <v>4284</v>
      </c>
      <c r="F3587" s="9" t="s">
        <v>9156</v>
      </c>
    </row>
    <row r="3588" ht="33.75" customHeight="1">
      <c r="A3588" s="7">
        <v>120.0</v>
      </c>
      <c r="B3588" s="9" t="s">
        <v>7567</v>
      </c>
      <c r="C3588" s="9" t="s">
        <v>200</v>
      </c>
      <c r="D3588" s="9" t="s">
        <v>73</v>
      </c>
      <c r="E3588" s="6" t="s">
        <v>4285</v>
      </c>
      <c r="F3588" s="9" t="s">
        <v>9156</v>
      </c>
    </row>
    <row r="3589" ht="33.75" customHeight="1">
      <c r="A3589" s="7">
        <v>120.0</v>
      </c>
      <c r="B3589" s="9" t="s">
        <v>7567</v>
      </c>
      <c r="C3589" s="9" t="s">
        <v>200</v>
      </c>
      <c r="D3589" s="9" t="s">
        <v>75</v>
      </c>
      <c r="E3589" s="6" t="s">
        <v>4287</v>
      </c>
      <c r="F3589" s="9" t="s">
        <v>9156</v>
      </c>
    </row>
    <row r="3590" ht="33.75" customHeight="1">
      <c r="A3590" s="7">
        <v>120.0</v>
      </c>
      <c r="B3590" s="9" t="s">
        <v>7567</v>
      </c>
      <c r="C3590" s="9" t="s">
        <v>200</v>
      </c>
      <c r="D3590" s="9" t="s">
        <v>79</v>
      </c>
      <c r="E3590" s="6" t="s">
        <v>4274</v>
      </c>
      <c r="F3590" s="9" t="s">
        <v>9156</v>
      </c>
    </row>
    <row r="3591" ht="33.75" customHeight="1">
      <c r="A3591" s="7">
        <v>120.0</v>
      </c>
      <c r="B3591" s="9" t="s">
        <v>7567</v>
      </c>
      <c r="C3591" s="9" t="s">
        <v>200</v>
      </c>
      <c r="D3591" s="9" t="s">
        <v>81</v>
      </c>
      <c r="E3591" s="6" t="s">
        <v>4288</v>
      </c>
      <c r="F3591" s="9" t="s">
        <v>9156</v>
      </c>
    </row>
    <row r="3592" ht="33.75" customHeight="1">
      <c r="A3592" s="7">
        <v>120.0</v>
      </c>
      <c r="B3592" s="9" t="s">
        <v>7567</v>
      </c>
      <c r="C3592" s="9" t="s">
        <v>200</v>
      </c>
      <c r="D3592" s="9" t="s">
        <v>84</v>
      </c>
      <c r="E3592" s="6" t="s">
        <v>4288</v>
      </c>
      <c r="F3592" s="9" t="s">
        <v>9156</v>
      </c>
    </row>
    <row r="3593" ht="33.75" customHeight="1">
      <c r="A3593" s="7">
        <v>120.0</v>
      </c>
      <c r="B3593" s="9" t="s">
        <v>7567</v>
      </c>
      <c r="C3593" s="9" t="s">
        <v>200</v>
      </c>
      <c r="D3593" s="9" t="s">
        <v>87</v>
      </c>
      <c r="E3593" s="6" t="s">
        <v>4288</v>
      </c>
      <c r="F3593" s="9" t="s">
        <v>9156</v>
      </c>
    </row>
    <row r="3594" ht="33.75" customHeight="1">
      <c r="A3594" s="7">
        <v>120.0</v>
      </c>
      <c r="B3594" s="9" t="s">
        <v>7567</v>
      </c>
      <c r="C3594" s="9" t="s">
        <v>200</v>
      </c>
      <c r="D3594" s="9" t="s">
        <v>89</v>
      </c>
      <c r="E3594" s="6" t="s">
        <v>4289</v>
      </c>
      <c r="F3594" s="9" t="s">
        <v>9156</v>
      </c>
    </row>
    <row r="3595" ht="33.75" customHeight="1">
      <c r="A3595" s="7">
        <v>120.0</v>
      </c>
      <c r="B3595" s="9" t="s">
        <v>7567</v>
      </c>
      <c r="C3595" s="9" t="s">
        <v>200</v>
      </c>
      <c r="D3595" s="9" t="s">
        <v>91</v>
      </c>
      <c r="E3595" s="6" t="s">
        <v>4291</v>
      </c>
      <c r="F3595" s="9" t="s">
        <v>9156</v>
      </c>
    </row>
    <row r="3596" ht="33.75" customHeight="1">
      <c r="A3596" s="7">
        <v>120.0</v>
      </c>
      <c r="B3596" s="9" t="s">
        <v>7567</v>
      </c>
      <c r="C3596" s="9" t="s">
        <v>200</v>
      </c>
      <c r="D3596" s="9" t="s">
        <v>93</v>
      </c>
      <c r="E3596" s="6" t="s">
        <v>4288</v>
      </c>
      <c r="F3596" s="9" t="s">
        <v>9156</v>
      </c>
    </row>
    <row r="3597" ht="33.75" customHeight="1">
      <c r="A3597" s="7">
        <v>120.0</v>
      </c>
      <c r="B3597" s="9" t="s">
        <v>7567</v>
      </c>
      <c r="C3597" s="9" t="s">
        <v>200</v>
      </c>
      <c r="D3597" s="9" t="s">
        <v>95</v>
      </c>
      <c r="E3597" s="6" t="s">
        <v>4288</v>
      </c>
      <c r="F3597" s="9" t="s">
        <v>9156</v>
      </c>
    </row>
    <row r="3598" ht="33.75" customHeight="1">
      <c r="A3598" s="7">
        <v>120.0</v>
      </c>
      <c r="B3598" s="9" t="s">
        <v>7567</v>
      </c>
      <c r="C3598" s="9" t="s">
        <v>200</v>
      </c>
      <c r="D3598" s="9" t="s">
        <v>98</v>
      </c>
      <c r="E3598" s="6" t="s">
        <v>4293</v>
      </c>
      <c r="F3598" s="9" t="s">
        <v>9156</v>
      </c>
    </row>
    <row r="3599" ht="33.75" customHeight="1">
      <c r="A3599" s="7">
        <v>120.0</v>
      </c>
      <c r="B3599" s="9" t="s">
        <v>7567</v>
      </c>
      <c r="C3599" s="9" t="s">
        <v>200</v>
      </c>
      <c r="D3599" s="9" t="s">
        <v>99</v>
      </c>
      <c r="E3599" s="6" t="s">
        <v>4293</v>
      </c>
      <c r="F3599" s="9" t="s">
        <v>9156</v>
      </c>
    </row>
    <row r="3600" ht="33.75" customHeight="1">
      <c r="A3600" s="7">
        <v>120.0</v>
      </c>
      <c r="B3600" s="9" t="s">
        <v>7567</v>
      </c>
      <c r="C3600" s="9" t="s">
        <v>200</v>
      </c>
      <c r="D3600" s="9" t="s">
        <v>101</v>
      </c>
      <c r="E3600" s="6" t="s">
        <v>4291</v>
      </c>
      <c r="F3600" s="9" t="s">
        <v>9156</v>
      </c>
    </row>
    <row r="3601" ht="33.75" customHeight="1">
      <c r="A3601" s="7">
        <v>120.0</v>
      </c>
      <c r="B3601" s="9" t="s">
        <v>7567</v>
      </c>
      <c r="C3601" s="9" t="s">
        <v>200</v>
      </c>
      <c r="D3601" s="9" t="s">
        <v>105</v>
      </c>
      <c r="E3601" s="6" t="s">
        <v>4287</v>
      </c>
      <c r="F3601" s="9" t="s">
        <v>9156</v>
      </c>
    </row>
    <row r="3602" ht="33.75" customHeight="1">
      <c r="A3602" s="7">
        <v>120.0</v>
      </c>
      <c r="B3602" s="9" t="s">
        <v>7567</v>
      </c>
      <c r="C3602" s="9" t="s">
        <v>200</v>
      </c>
      <c r="D3602" s="9" t="s">
        <v>107</v>
      </c>
      <c r="E3602" s="6" t="s">
        <v>4294</v>
      </c>
      <c r="F3602" s="9" t="s">
        <v>9156</v>
      </c>
    </row>
    <row r="3603" ht="33.75" customHeight="1">
      <c r="A3603" s="7">
        <v>120.0</v>
      </c>
      <c r="B3603" s="9" t="s">
        <v>7567</v>
      </c>
      <c r="C3603" s="9" t="s">
        <v>200</v>
      </c>
      <c r="D3603" s="9" t="s">
        <v>109</v>
      </c>
      <c r="E3603" s="6" t="s">
        <v>4295</v>
      </c>
      <c r="F3603" s="9" t="s">
        <v>9156</v>
      </c>
    </row>
    <row r="3604" ht="33.75" customHeight="1">
      <c r="A3604" s="7">
        <v>120.0</v>
      </c>
      <c r="B3604" s="9" t="s">
        <v>7567</v>
      </c>
      <c r="C3604" s="9" t="s">
        <v>200</v>
      </c>
      <c r="D3604" s="9" t="s">
        <v>637</v>
      </c>
      <c r="E3604" s="6" t="s">
        <v>4297</v>
      </c>
      <c r="F3604" s="9" t="s">
        <v>9156</v>
      </c>
    </row>
    <row r="3605" ht="33.75" customHeight="1">
      <c r="A3605" s="7">
        <v>120.0</v>
      </c>
      <c r="B3605" s="9" t="s">
        <v>7567</v>
      </c>
      <c r="C3605" s="9" t="s">
        <v>200</v>
      </c>
      <c r="D3605" s="9" t="s">
        <v>642</v>
      </c>
      <c r="E3605" s="6" t="s">
        <v>4298</v>
      </c>
      <c r="F3605" s="9" t="s">
        <v>9156</v>
      </c>
    </row>
    <row r="3606" ht="33.75" customHeight="1">
      <c r="A3606" s="7">
        <v>120.0</v>
      </c>
      <c r="B3606" s="9" t="s">
        <v>7567</v>
      </c>
      <c r="C3606" s="9" t="s">
        <v>200</v>
      </c>
      <c r="D3606" s="9" t="s">
        <v>647</v>
      </c>
      <c r="E3606" s="6" t="s">
        <v>4299</v>
      </c>
      <c r="F3606" s="9" t="s">
        <v>9156</v>
      </c>
    </row>
    <row r="3607" ht="33.75" customHeight="1">
      <c r="A3607" s="7">
        <v>120.0</v>
      </c>
      <c r="B3607" s="9" t="s">
        <v>7567</v>
      </c>
      <c r="C3607" s="9" t="s">
        <v>200</v>
      </c>
      <c r="D3607" s="9" t="s">
        <v>652</v>
      </c>
      <c r="E3607" s="6" t="s">
        <v>4300</v>
      </c>
      <c r="F3607" s="9" t="s">
        <v>9156</v>
      </c>
    </row>
    <row r="3608" ht="33.75" customHeight="1">
      <c r="A3608" s="7">
        <v>120.0</v>
      </c>
      <c r="B3608" s="9" t="s">
        <v>7567</v>
      </c>
      <c r="C3608" s="9" t="s">
        <v>200</v>
      </c>
      <c r="D3608" s="9" t="s">
        <v>111</v>
      </c>
      <c r="E3608" s="6" t="s">
        <v>4301</v>
      </c>
      <c r="F3608" s="9" t="s">
        <v>9156</v>
      </c>
    </row>
    <row r="3609" ht="33.75" customHeight="1">
      <c r="A3609" s="7">
        <v>120.0</v>
      </c>
      <c r="B3609" s="9" t="s">
        <v>7567</v>
      </c>
      <c r="C3609" s="9" t="s">
        <v>200</v>
      </c>
      <c r="D3609" s="9" t="s">
        <v>113</v>
      </c>
      <c r="E3609" s="6" t="s">
        <v>4301</v>
      </c>
      <c r="F3609" s="9" t="s">
        <v>9156</v>
      </c>
    </row>
    <row r="3610" ht="33.75" customHeight="1">
      <c r="A3610" s="7">
        <v>120.0</v>
      </c>
      <c r="B3610" s="9" t="s">
        <v>7567</v>
      </c>
      <c r="C3610" s="9" t="s">
        <v>200</v>
      </c>
      <c r="D3610" s="9" t="s">
        <v>114</v>
      </c>
      <c r="E3610" s="6" t="s">
        <v>4302</v>
      </c>
      <c r="F3610" s="9" t="s">
        <v>9156</v>
      </c>
    </row>
    <row r="3611" ht="33.75" customHeight="1">
      <c r="A3611" s="7">
        <v>120.0</v>
      </c>
      <c r="B3611" s="9" t="s">
        <v>7567</v>
      </c>
      <c r="C3611" s="9" t="s">
        <v>200</v>
      </c>
      <c r="D3611" s="9" t="s">
        <v>117</v>
      </c>
      <c r="E3611" s="6" t="s">
        <v>4303</v>
      </c>
      <c r="F3611" s="9" t="s">
        <v>9156</v>
      </c>
    </row>
    <row r="3612" ht="33.75" customHeight="1">
      <c r="A3612" s="7">
        <v>121.0</v>
      </c>
      <c r="B3612" s="9" t="s">
        <v>7619</v>
      </c>
      <c r="C3612" s="9" t="s">
        <v>202</v>
      </c>
      <c r="D3612" s="9" t="s">
        <v>24</v>
      </c>
      <c r="E3612" s="6" t="s">
        <v>4304</v>
      </c>
      <c r="F3612" s="9" t="s">
        <v>9257</v>
      </c>
      <c r="G3612" t="inlineStr" s="6">
        <is>
          <t xml:space="preserve">Starmie's central core glows with the seven colors of the rainbow. Some people value the core as a gem. The center section is named the core. People think it is communicating when it glows in 7 colors. The center section of its body is called the core. It glows in a different color each time it is seen. Regardless of the environment it lives in, its body grows to form a symmetrical geometric shape. It is said that it uses the seven- colored core of its body to send electric waves into outer space. STARMIE’s center section - the core - glows brightly in seven colors. Because of its luminous nature, this POKéMON has been given the nickname “the gem of the sea. STARMIE swims through water by spinning its star-shaped body as if it were a propeller on a ship. The core at the center of this POKéMON’s body glows in seven colors. People in ancient times imagined that STARMIE were transformed from the reflections of stars that twinkled on gentle waves at night. This POKéMON has a geometric body. Because of its body, the locals suspect that it is an alien creature. At the center of its body is a red core, which sends mysterious radio signals into the night sky. The middle section of its body is called the core. Its core shines in many colors and sends radio signals into space to communicate with something. Starmie’s center section—the core—glows brightly in seven colors. Its shining core is thought to receive and transmit enigmatic signals. It has been known to cause headaches in those who approach it. Its unusual body shape, reminiscent of abstract art, led local people to spread rumors that this Pokémon may be an invader from outer space. Its sparkling core is called “the gem of the sea. This core can be made into high-priced accessories that are traded in secret. It rotates its geometrically shaped body to swim through the water. It always seems to be sending out mysterious radio waves. People think it is communicating when it glows in seven colors. This Pokémon has an organ known as its core. The organ glows in seven colors when Starmie is unleashing its potent psychic powers. Starmie swims by spinning its body at high speed. As this Pokémon cruises through the ocean, it absorbs tiny plankton.</t>
        </is>
      </c>
    </row>
    <row r="3613" ht="33.75" customHeight="1">
      <c r="A3613" s="7">
        <v>121.0</v>
      </c>
      <c r="B3613" s="9" t="s">
        <v>7619</v>
      </c>
      <c r="C3613" s="9" t="s">
        <v>202</v>
      </c>
      <c r="D3613" s="9" t="s">
        <v>35</v>
      </c>
      <c r="E3613" s="6" t="s">
        <v>4304</v>
      </c>
      <c r="F3613" s="9" t="s">
        <v>9257</v>
      </c>
    </row>
    <row r="3614" ht="33.75" customHeight="1">
      <c r="A3614" s="7">
        <v>121.0</v>
      </c>
      <c r="B3614" s="9" t="s">
        <v>7619</v>
      </c>
      <c r="C3614" s="9" t="s">
        <v>202</v>
      </c>
      <c r="D3614" s="9" t="s">
        <v>42</v>
      </c>
      <c r="E3614" s="6" t="s">
        <v>4305</v>
      </c>
      <c r="F3614" s="9" t="s">
        <v>9257</v>
      </c>
    </row>
    <row r="3615" ht="33.75" customHeight="1">
      <c r="A3615" s="7">
        <v>121.0</v>
      </c>
      <c r="B3615" s="9" t="s">
        <v>7619</v>
      </c>
      <c r="C3615" s="9" t="s">
        <v>202</v>
      </c>
      <c r="D3615" s="9" t="s">
        <v>52</v>
      </c>
      <c r="E3615" s="6" t="s">
        <v>4306</v>
      </c>
      <c r="F3615" s="9" t="s">
        <v>9257</v>
      </c>
    </row>
    <row r="3616" ht="33.75" customHeight="1">
      <c r="A3616" s="7">
        <v>121.0</v>
      </c>
      <c r="B3616" s="9" t="s">
        <v>7619</v>
      </c>
      <c r="C3616" s="9" t="s">
        <v>202</v>
      </c>
      <c r="D3616" s="9" t="s">
        <v>59</v>
      </c>
      <c r="E3616" s="6" t="s">
        <v>4307</v>
      </c>
      <c r="F3616" s="9" t="s">
        <v>9257</v>
      </c>
    </row>
    <row r="3617" ht="33.75" customHeight="1">
      <c r="A3617" s="7">
        <v>121.0</v>
      </c>
      <c r="B3617" s="9" t="s">
        <v>7619</v>
      </c>
      <c r="C3617" s="9" t="s">
        <v>202</v>
      </c>
      <c r="D3617" s="9" t="s">
        <v>64</v>
      </c>
      <c r="E3617" s="6" t="s">
        <v>4308</v>
      </c>
      <c r="F3617" s="9" t="s">
        <v>9257</v>
      </c>
    </row>
    <row r="3618" ht="33.75" customHeight="1">
      <c r="A3618" s="7">
        <v>121.0</v>
      </c>
      <c r="B3618" s="9" t="s">
        <v>7619</v>
      </c>
      <c r="C3618" s="9" t="s">
        <v>202</v>
      </c>
      <c r="D3618" s="9" t="s">
        <v>67</v>
      </c>
      <c r="E3618" s="6" t="s">
        <v>4310</v>
      </c>
      <c r="F3618" s="9" t="s">
        <v>9257</v>
      </c>
    </row>
    <row r="3619" ht="33.75" customHeight="1">
      <c r="A3619" s="7">
        <v>121.0</v>
      </c>
      <c r="B3619" s="9" t="s">
        <v>7619</v>
      </c>
      <c r="C3619" s="9" t="s">
        <v>202</v>
      </c>
      <c r="D3619" s="9" t="s">
        <v>71</v>
      </c>
      <c r="E3619" s="6" t="s">
        <v>4312</v>
      </c>
      <c r="F3619" s="9" t="s">
        <v>9257</v>
      </c>
    </row>
    <row r="3620" ht="33.75" customHeight="1">
      <c r="A3620" s="7">
        <v>121.0</v>
      </c>
      <c r="B3620" s="9" t="s">
        <v>7619</v>
      </c>
      <c r="C3620" s="9" t="s">
        <v>202</v>
      </c>
      <c r="D3620" s="9" t="s">
        <v>73</v>
      </c>
      <c r="E3620" s="6" t="s">
        <v>4313</v>
      </c>
      <c r="F3620" s="9" t="s">
        <v>9257</v>
      </c>
    </row>
    <row r="3621" ht="33.75" customHeight="1">
      <c r="A3621" s="7">
        <v>121.0</v>
      </c>
      <c r="B3621" s="9" t="s">
        <v>7619</v>
      </c>
      <c r="C3621" s="9" t="s">
        <v>202</v>
      </c>
      <c r="D3621" s="9" t="s">
        <v>75</v>
      </c>
      <c r="E3621" s="6" t="s">
        <v>4315</v>
      </c>
      <c r="F3621" s="9" t="s">
        <v>9257</v>
      </c>
    </row>
    <row r="3622" ht="33.75" customHeight="1">
      <c r="A3622" s="7">
        <v>121.0</v>
      </c>
      <c r="B3622" s="9" t="s">
        <v>7619</v>
      </c>
      <c r="C3622" s="9" t="s">
        <v>202</v>
      </c>
      <c r="D3622" s="9" t="s">
        <v>79</v>
      </c>
      <c r="E3622" s="6" t="s">
        <v>4304</v>
      </c>
      <c r="F3622" s="9" t="s">
        <v>9257</v>
      </c>
    </row>
    <row r="3623" ht="33.75" customHeight="1">
      <c r="A3623" s="7">
        <v>121.0</v>
      </c>
      <c r="B3623" s="9" t="s">
        <v>7619</v>
      </c>
      <c r="C3623" s="9" t="s">
        <v>202</v>
      </c>
      <c r="D3623" s="9" t="s">
        <v>81</v>
      </c>
      <c r="E3623" s="6" t="s">
        <v>4316</v>
      </c>
      <c r="F3623" s="9" t="s">
        <v>9257</v>
      </c>
    </row>
    <row r="3624" ht="33.75" customHeight="1">
      <c r="A3624" s="7">
        <v>121.0</v>
      </c>
      <c r="B3624" s="9" t="s">
        <v>7619</v>
      </c>
      <c r="C3624" s="9" t="s">
        <v>202</v>
      </c>
      <c r="D3624" s="9" t="s">
        <v>84</v>
      </c>
      <c r="E3624" s="6" t="s">
        <v>4316</v>
      </c>
      <c r="F3624" s="9" t="s">
        <v>9257</v>
      </c>
    </row>
    <row r="3625" ht="33.75" customHeight="1">
      <c r="A3625" s="7">
        <v>121.0</v>
      </c>
      <c r="B3625" s="9" t="s">
        <v>7619</v>
      </c>
      <c r="C3625" s="9" t="s">
        <v>202</v>
      </c>
      <c r="D3625" s="9" t="s">
        <v>87</v>
      </c>
      <c r="E3625" s="6" t="s">
        <v>4316</v>
      </c>
      <c r="F3625" s="9" t="s">
        <v>9257</v>
      </c>
    </row>
    <row r="3626" ht="33.75" customHeight="1">
      <c r="A3626" s="7">
        <v>121.0</v>
      </c>
      <c r="B3626" s="9" t="s">
        <v>7619</v>
      </c>
      <c r="C3626" s="9" t="s">
        <v>202</v>
      </c>
      <c r="D3626" s="9" t="s">
        <v>89</v>
      </c>
      <c r="E3626" s="6" t="s">
        <v>4320</v>
      </c>
      <c r="F3626" s="9" t="s">
        <v>9257</v>
      </c>
    </row>
    <row r="3627" ht="33.75" customHeight="1">
      <c r="A3627" s="7">
        <v>121.0</v>
      </c>
      <c r="B3627" s="9" t="s">
        <v>7619</v>
      </c>
      <c r="C3627" s="9" t="s">
        <v>202</v>
      </c>
      <c r="D3627" s="9" t="s">
        <v>91</v>
      </c>
      <c r="E3627" s="6" t="s">
        <v>4324</v>
      </c>
      <c r="F3627" s="9" t="s">
        <v>9257</v>
      </c>
    </row>
    <row r="3628" ht="33.75" customHeight="1">
      <c r="A3628" s="7">
        <v>121.0</v>
      </c>
      <c r="B3628" s="9" t="s">
        <v>7619</v>
      </c>
      <c r="C3628" s="9" t="s">
        <v>202</v>
      </c>
      <c r="D3628" s="9" t="s">
        <v>93</v>
      </c>
      <c r="E3628" s="6" t="s">
        <v>4316</v>
      </c>
      <c r="F3628" s="9" t="s">
        <v>9257</v>
      </c>
    </row>
    <row r="3629" ht="33.75" customHeight="1">
      <c r="A3629" s="7">
        <v>121.0</v>
      </c>
      <c r="B3629" s="9" t="s">
        <v>7619</v>
      </c>
      <c r="C3629" s="9" t="s">
        <v>202</v>
      </c>
      <c r="D3629" s="9" t="s">
        <v>95</v>
      </c>
      <c r="E3629" s="6" t="s">
        <v>4316</v>
      </c>
      <c r="F3629" s="9" t="s">
        <v>9257</v>
      </c>
    </row>
    <row r="3630" ht="33.75" customHeight="1">
      <c r="A3630" s="7">
        <v>121.0</v>
      </c>
      <c r="B3630" s="9" t="s">
        <v>7619</v>
      </c>
      <c r="C3630" s="9" t="s">
        <v>202</v>
      </c>
      <c r="D3630" s="9" t="s">
        <v>98</v>
      </c>
      <c r="E3630" s="6" t="s">
        <v>4326</v>
      </c>
      <c r="F3630" s="9" t="s">
        <v>9257</v>
      </c>
    </row>
    <row r="3631" ht="33.75" customHeight="1">
      <c r="A3631" s="7">
        <v>121.0</v>
      </c>
      <c r="B3631" s="9" t="s">
        <v>7619</v>
      </c>
      <c r="C3631" s="9" t="s">
        <v>202</v>
      </c>
      <c r="D3631" s="9" t="s">
        <v>99</v>
      </c>
      <c r="E3631" s="6" t="s">
        <v>4326</v>
      </c>
      <c r="F3631" s="9" t="s">
        <v>9257</v>
      </c>
    </row>
    <row r="3632" ht="33.75" customHeight="1">
      <c r="A3632" s="7">
        <v>121.0</v>
      </c>
      <c r="B3632" s="9" t="s">
        <v>7619</v>
      </c>
      <c r="C3632" s="9" t="s">
        <v>202</v>
      </c>
      <c r="D3632" s="9" t="s">
        <v>101</v>
      </c>
      <c r="E3632" s="6" t="s">
        <v>4304</v>
      </c>
      <c r="F3632" s="9" t="s">
        <v>9257</v>
      </c>
    </row>
    <row r="3633" ht="33.75" customHeight="1">
      <c r="A3633" s="7">
        <v>121.0</v>
      </c>
      <c r="B3633" s="9" t="s">
        <v>7619</v>
      </c>
      <c r="C3633" s="9" t="s">
        <v>202</v>
      </c>
      <c r="D3633" s="9" t="s">
        <v>105</v>
      </c>
      <c r="E3633" s="6" t="s">
        <v>4316</v>
      </c>
      <c r="F3633" s="9" t="s">
        <v>9257</v>
      </c>
    </row>
    <row r="3634" ht="33.75" customHeight="1">
      <c r="A3634" s="7">
        <v>121.0</v>
      </c>
      <c r="B3634" s="9" t="s">
        <v>7619</v>
      </c>
      <c r="C3634" s="9" t="s">
        <v>202</v>
      </c>
      <c r="D3634" s="9" t="s">
        <v>107</v>
      </c>
      <c r="E3634" s="6" t="s">
        <v>4327</v>
      </c>
      <c r="F3634" s="9" t="s">
        <v>9257</v>
      </c>
    </row>
    <row r="3635" ht="33.75" customHeight="1">
      <c r="A3635" s="7">
        <v>121.0</v>
      </c>
      <c r="B3635" s="9" t="s">
        <v>7619</v>
      </c>
      <c r="C3635" s="9" t="s">
        <v>202</v>
      </c>
      <c r="D3635" s="9" t="s">
        <v>109</v>
      </c>
      <c r="E3635" s="6" t="s">
        <v>4329</v>
      </c>
      <c r="F3635" s="9" t="s">
        <v>9257</v>
      </c>
    </row>
    <row r="3636" ht="33.75" customHeight="1">
      <c r="A3636" s="7">
        <v>121.0</v>
      </c>
      <c r="B3636" s="9" t="s">
        <v>7619</v>
      </c>
      <c r="C3636" s="9" t="s">
        <v>202</v>
      </c>
      <c r="D3636" s="9" t="s">
        <v>637</v>
      </c>
      <c r="E3636" s="6" t="s">
        <v>4331</v>
      </c>
      <c r="F3636" s="9" t="s">
        <v>9257</v>
      </c>
    </row>
    <row r="3637" ht="33.75" customHeight="1">
      <c r="A3637" s="7">
        <v>121.0</v>
      </c>
      <c r="B3637" s="9" t="s">
        <v>7619</v>
      </c>
      <c r="C3637" s="9" t="s">
        <v>202</v>
      </c>
      <c r="D3637" s="9" t="s">
        <v>642</v>
      </c>
      <c r="E3637" s="6" t="s">
        <v>4332</v>
      </c>
      <c r="F3637" s="9" t="s">
        <v>9257</v>
      </c>
    </row>
    <row r="3638" ht="33.75" customHeight="1">
      <c r="A3638" s="7">
        <v>121.0</v>
      </c>
      <c r="B3638" s="9" t="s">
        <v>7619</v>
      </c>
      <c r="C3638" s="9" t="s">
        <v>202</v>
      </c>
      <c r="D3638" s="9" t="s">
        <v>647</v>
      </c>
      <c r="E3638" s="6" t="s">
        <v>4333</v>
      </c>
      <c r="F3638" s="9" t="s">
        <v>9257</v>
      </c>
    </row>
    <row r="3639" ht="33.75" customHeight="1">
      <c r="A3639" s="7">
        <v>121.0</v>
      </c>
      <c r="B3639" s="9" t="s">
        <v>7619</v>
      </c>
      <c r="C3639" s="9" t="s">
        <v>202</v>
      </c>
      <c r="D3639" s="9" t="s">
        <v>652</v>
      </c>
      <c r="E3639" s="6" t="s">
        <v>4335</v>
      </c>
      <c r="F3639" s="9" t="s">
        <v>9257</v>
      </c>
    </row>
    <row r="3640" ht="33.75" customHeight="1">
      <c r="A3640" s="7">
        <v>121.0</v>
      </c>
      <c r="B3640" s="9" t="s">
        <v>7619</v>
      </c>
      <c r="C3640" s="9" t="s">
        <v>202</v>
      </c>
      <c r="D3640" s="9" t="s">
        <v>111</v>
      </c>
      <c r="E3640" s="6" t="s">
        <v>4336</v>
      </c>
      <c r="F3640" s="9" t="s">
        <v>9257</v>
      </c>
    </row>
    <row r="3641" ht="33.75" customHeight="1">
      <c r="A3641" s="7">
        <v>121.0</v>
      </c>
      <c r="B3641" s="9" t="s">
        <v>7619</v>
      </c>
      <c r="C3641" s="9" t="s">
        <v>202</v>
      </c>
      <c r="D3641" s="9" t="s">
        <v>113</v>
      </c>
      <c r="E3641" s="6" t="s">
        <v>4336</v>
      </c>
      <c r="F3641" s="9" t="s">
        <v>9257</v>
      </c>
    </row>
    <row r="3642" ht="33.75" customHeight="1">
      <c r="A3642" s="7">
        <v>121.0</v>
      </c>
      <c r="B3642" s="9" t="s">
        <v>7619</v>
      </c>
      <c r="C3642" s="9" t="s">
        <v>202</v>
      </c>
      <c r="D3642" s="9" t="s">
        <v>114</v>
      </c>
      <c r="E3642" s="6" t="s">
        <v>4338</v>
      </c>
      <c r="F3642" s="9" t="s">
        <v>9257</v>
      </c>
    </row>
    <row r="3643" ht="33.75" customHeight="1">
      <c r="A3643" s="7">
        <v>121.0</v>
      </c>
      <c r="B3643" s="9" t="s">
        <v>7619</v>
      </c>
      <c r="C3643" s="9" t="s">
        <v>202</v>
      </c>
      <c r="D3643" s="9" t="s">
        <v>117</v>
      </c>
      <c r="E3643" s="6" t="s">
        <v>4340</v>
      </c>
      <c r="F3643" s="9" t="s">
        <v>9257</v>
      </c>
    </row>
    <row r="3644" ht="33.75" customHeight="1">
      <c r="A3644" s="7">
        <v>122.0</v>
      </c>
      <c r="B3644" s="9" t="s">
        <v>7669</v>
      </c>
      <c r="C3644" s="9" t="s">
        <v>203</v>
      </c>
      <c r="D3644" s="9" t="s">
        <v>24</v>
      </c>
      <c r="E3644" s="6" t="s">
        <v>4342</v>
      </c>
      <c r="F3644" s="9" t="s">
        <v>9341</v>
      </c>
      <c r="G3644" t="inlineStr" s="6">
        <is>
          <t xml:space="preserve">If interrupted while it is miming, it will slap around the offender with Mr. Mime's broad hands. Always practices its pantomime act. It makes enemies believe something exists that really doesn't. A skilled mime from birth, it gains the ability to create invisible objects as it matures. Its fingertips emit a peculiar force field that hardens air to create an actual wall. It uses the mysterious power it has in its fingers to solidify air into an invisible wall. MR. MIME is a master of pantomime. Its gestures and motions convince watchers that something unseeable actually exists. Once it is believed, it will exist as if it were a real thing. A MR. It can convince others that something unseeable actually exists. Once believed, the imaginary object does become real. It is adept at conning people. It is said to be able to create walls out of thin air by miming. If interrupted while it is miming, it will suddenly DOUBLESLAP the offender with its broad hands. It is a pantomime expert that can create invisible but solid walls using miming gestures. Emanations from its fingertips solidify the air into invisible walls that repel even harsh attacks. It shapes an invisible wall in midair by minutely vibrating its fingertips to stop molecules in the air. Once the watchers are convinced, the unseeable thing exists as if it were real. Its pantomime skills are wonderful. You may become enraptured while watching it, but next thing you know, Mr. Mime has made a real wall. It creates invisible walls with its pantomiming. If you don’t act impressed, it will attack you with a double slap! Always practicing its pantomime act. The broadness of its hands may be no coincidence—many scientists believe its palms became enlarged specifically for pantomiming. It’s known for its top-notch pantomime skills. It protects itself from all sorts of attacks by emitting auras from its fingers to create walls. The behavior of this clown-like Pokémon reminds one of pantomime. It creates invisible walls using a force emitted from its fingertips.</t>
        </is>
      </c>
    </row>
    <row r="3645" ht="33.75" customHeight="1">
      <c r="A3645" s="7">
        <v>122.0</v>
      </c>
      <c r="B3645" s="9" t="s">
        <v>7669</v>
      </c>
      <c r="C3645" s="9" t="s">
        <v>203</v>
      </c>
      <c r="D3645" s="9" t="s">
        <v>35</v>
      </c>
      <c r="E3645" s="6" t="s">
        <v>4342</v>
      </c>
      <c r="F3645" s="9" t="s">
        <v>9341</v>
      </c>
    </row>
    <row r="3646" ht="33.75" customHeight="1">
      <c r="A3646" s="7">
        <v>122.0</v>
      </c>
      <c r="B3646" s="9" t="s">
        <v>7669</v>
      </c>
      <c r="C3646" s="9" t="s">
        <v>203</v>
      </c>
      <c r="D3646" s="9" t="s">
        <v>42</v>
      </c>
      <c r="E3646" s="6" t="s">
        <v>4343</v>
      </c>
      <c r="F3646" s="9" t="s">
        <v>9341</v>
      </c>
    </row>
    <row r="3647" ht="33.75" customHeight="1">
      <c r="A3647" s="7">
        <v>122.0</v>
      </c>
      <c r="B3647" s="9" t="s">
        <v>7669</v>
      </c>
      <c r="C3647" s="9" t="s">
        <v>203</v>
      </c>
      <c r="D3647" s="9" t="s">
        <v>52</v>
      </c>
      <c r="E3647" s="6" t="s">
        <v>4344</v>
      </c>
      <c r="F3647" s="9" t="s">
        <v>9341</v>
      </c>
    </row>
    <row r="3648" ht="33.75" customHeight="1">
      <c r="A3648" s="7">
        <v>122.0</v>
      </c>
      <c r="B3648" s="9" t="s">
        <v>7669</v>
      </c>
      <c r="C3648" s="9" t="s">
        <v>203</v>
      </c>
      <c r="D3648" s="9" t="s">
        <v>59</v>
      </c>
      <c r="E3648" s="6" t="s">
        <v>4345</v>
      </c>
      <c r="F3648" s="9" t="s">
        <v>9341</v>
      </c>
    </row>
    <row r="3649" ht="33.75" customHeight="1">
      <c r="A3649" s="7">
        <v>122.0</v>
      </c>
      <c r="B3649" s="9" t="s">
        <v>7669</v>
      </c>
      <c r="C3649" s="9" t="s">
        <v>203</v>
      </c>
      <c r="D3649" s="9" t="s">
        <v>64</v>
      </c>
      <c r="E3649" s="6" t="s">
        <v>4346</v>
      </c>
      <c r="F3649" s="9" t="s">
        <v>9341</v>
      </c>
    </row>
    <row r="3650" ht="33.75" customHeight="1">
      <c r="A3650" s="7">
        <v>122.0</v>
      </c>
      <c r="B3650" s="9" t="s">
        <v>7669</v>
      </c>
      <c r="C3650" s="9" t="s">
        <v>203</v>
      </c>
      <c r="D3650" s="9" t="s">
        <v>67</v>
      </c>
      <c r="E3650" s="6" t="s">
        <v>4347</v>
      </c>
      <c r="F3650" s="9" t="s">
        <v>9341</v>
      </c>
    </row>
    <row r="3651" ht="33.75" customHeight="1">
      <c r="A3651" s="7">
        <v>122.0</v>
      </c>
      <c r="B3651" s="9" t="s">
        <v>7669</v>
      </c>
      <c r="C3651" s="9" t="s">
        <v>203</v>
      </c>
      <c r="D3651" s="9" t="s">
        <v>71</v>
      </c>
      <c r="E3651" s="6" t="s">
        <v>4347</v>
      </c>
      <c r="F3651" s="9" t="s">
        <v>9341</v>
      </c>
    </row>
    <row r="3652" ht="33.75" customHeight="1">
      <c r="A3652" s="7">
        <v>122.0</v>
      </c>
      <c r="B3652" s="9" t="s">
        <v>7669</v>
      </c>
      <c r="C3652" s="9" t="s">
        <v>203</v>
      </c>
      <c r="D3652" s="9" t="s">
        <v>73</v>
      </c>
      <c r="E3652" s="6" t="s">
        <v>4348</v>
      </c>
      <c r="F3652" s="9" t="s">
        <v>9341</v>
      </c>
    </row>
    <row r="3653" ht="33.75" customHeight="1">
      <c r="A3653" s="7">
        <v>122.0</v>
      </c>
      <c r="B3653" s="9" t="s">
        <v>7669</v>
      </c>
      <c r="C3653" s="9" t="s">
        <v>203</v>
      </c>
      <c r="D3653" s="9" t="s">
        <v>75</v>
      </c>
      <c r="E3653" s="6" t="s">
        <v>4350</v>
      </c>
      <c r="F3653" s="9" t="s">
        <v>9341</v>
      </c>
    </row>
    <row r="3654" ht="33.75" customHeight="1">
      <c r="A3654" s="7">
        <v>122.0</v>
      </c>
      <c r="B3654" s="9" t="s">
        <v>7669</v>
      </c>
      <c r="C3654" s="9" t="s">
        <v>203</v>
      </c>
      <c r="D3654" s="9" t="s">
        <v>79</v>
      </c>
      <c r="E3654" s="6" t="s">
        <v>4352</v>
      </c>
      <c r="F3654" s="9" t="s">
        <v>9341</v>
      </c>
    </row>
    <row r="3655" ht="33.75" customHeight="1">
      <c r="A3655" s="7">
        <v>122.0</v>
      </c>
      <c r="B3655" s="9" t="s">
        <v>7669</v>
      </c>
      <c r="C3655" s="9" t="s">
        <v>203</v>
      </c>
      <c r="D3655" s="9" t="s">
        <v>81</v>
      </c>
      <c r="E3655" s="6" t="s">
        <v>4353</v>
      </c>
      <c r="F3655" s="9" t="s">
        <v>9341</v>
      </c>
    </row>
    <row r="3656" ht="33.75" customHeight="1">
      <c r="A3656" s="7">
        <v>122.0</v>
      </c>
      <c r="B3656" s="9" t="s">
        <v>7669</v>
      </c>
      <c r="C3656" s="9" t="s">
        <v>203</v>
      </c>
      <c r="D3656" s="9" t="s">
        <v>84</v>
      </c>
      <c r="E3656" s="6" t="s">
        <v>4354</v>
      </c>
      <c r="F3656" s="9" t="s">
        <v>9341</v>
      </c>
    </row>
    <row r="3657" ht="33.75" customHeight="1">
      <c r="A3657" s="7">
        <v>122.0</v>
      </c>
      <c r="B3657" s="9" t="s">
        <v>7669</v>
      </c>
      <c r="C3657" s="9" t="s">
        <v>203</v>
      </c>
      <c r="D3657" s="9" t="s">
        <v>87</v>
      </c>
      <c r="E3657" s="6" t="s">
        <v>4356</v>
      </c>
      <c r="F3657" s="9" t="s">
        <v>9341</v>
      </c>
    </row>
    <row r="3658" ht="33.75" customHeight="1">
      <c r="A3658" s="7">
        <v>122.0</v>
      </c>
      <c r="B3658" s="9" t="s">
        <v>7669</v>
      </c>
      <c r="C3658" s="9" t="s">
        <v>203</v>
      </c>
      <c r="D3658" s="9" t="s">
        <v>89</v>
      </c>
      <c r="E3658" s="6" t="s">
        <v>4357</v>
      </c>
      <c r="F3658" s="9" t="s">
        <v>9341</v>
      </c>
    </row>
    <row r="3659" ht="33.75" customHeight="1">
      <c r="A3659" s="7">
        <v>122.0</v>
      </c>
      <c r="B3659" s="9" t="s">
        <v>7669</v>
      </c>
      <c r="C3659" s="9" t="s">
        <v>203</v>
      </c>
      <c r="D3659" s="9" t="s">
        <v>91</v>
      </c>
      <c r="E3659" s="6" t="s">
        <v>4345</v>
      </c>
      <c r="F3659" s="9" t="s">
        <v>9341</v>
      </c>
    </row>
    <row r="3660" ht="33.75" customHeight="1">
      <c r="A3660" s="7">
        <v>122.0</v>
      </c>
      <c r="B3660" s="9" t="s">
        <v>7669</v>
      </c>
      <c r="C3660" s="9" t="s">
        <v>203</v>
      </c>
      <c r="D3660" s="9" t="s">
        <v>93</v>
      </c>
      <c r="E3660" s="6" t="s">
        <v>4356</v>
      </c>
      <c r="F3660" s="9" t="s">
        <v>9341</v>
      </c>
    </row>
    <row r="3661" ht="33.75" customHeight="1">
      <c r="A3661" s="7">
        <v>122.0</v>
      </c>
      <c r="B3661" s="9" t="s">
        <v>7669</v>
      </c>
      <c r="C3661" s="9" t="s">
        <v>203</v>
      </c>
      <c r="D3661" s="9" t="s">
        <v>95</v>
      </c>
      <c r="E3661" s="6" t="s">
        <v>4356</v>
      </c>
      <c r="F3661" s="9" t="s">
        <v>9341</v>
      </c>
    </row>
    <row r="3662" ht="33.75" customHeight="1">
      <c r="A3662" s="7">
        <v>122.0</v>
      </c>
      <c r="B3662" s="9" t="s">
        <v>7669</v>
      </c>
      <c r="C3662" s="9" t="s">
        <v>203</v>
      </c>
      <c r="D3662" s="9" t="s">
        <v>98</v>
      </c>
      <c r="E3662" s="6" t="s">
        <v>4356</v>
      </c>
      <c r="F3662" s="9" t="s">
        <v>9341</v>
      </c>
    </row>
    <row r="3663" ht="33.75" customHeight="1">
      <c r="A3663" s="7">
        <v>122.0</v>
      </c>
      <c r="B3663" s="9" t="s">
        <v>7669</v>
      </c>
      <c r="C3663" s="9" t="s">
        <v>203</v>
      </c>
      <c r="D3663" s="9" t="s">
        <v>99</v>
      </c>
      <c r="E3663" s="6" t="s">
        <v>4356</v>
      </c>
      <c r="F3663" s="9" t="s">
        <v>9341</v>
      </c>
    </row>
    <row r="3664" ht="33.75" customHeight="1">
      <c r="A3664" s="7">
        <v>122.0</v>
      </c>
      <c r="B3664" s="9" t="s">
        <v>7669</v>
      </c>
      <c r="C3664" s="9" t="s">
        <v>203</v>
      </c>
      <c r="D3664" s="9" t="s">
        <v>101</v>
      </c>
      <c r="E3664" s="6" t="s">
        <v>4354</v>
      </c>
      <c r="F3664" s="9" t="s">
        <v>9341</v>
      </c>
    </row>
    <row r="3665" ht="33.75" customHeight="1">
      <c r="A3665" s="7">
        <v>122.0</v>
      </c>
      <c r="B3665" s="9" t="s">
        <v>7669</v>
      </c>
      <c r="C3665" s="9" t="s">
        <v>203</v>
      </c>
      <c r="D3665" s="9" t="s">
        <v>105</v>
      </c>
      <c r="E3665" s="6" t="s">
        <v>4350</v>
      </c>
      <c r="F3665" s="9" t="s">
        <v>9341</v>
      </c>
    </row>
    <row r="3666" ht="33.75" customHeight="1">
      <c r="A3666" s="7">
        <v>122.0</v>
      </c>
      <c r="B3666" s="9" t="s">
        <v>7669</v>
      </c>
      <c r="C3666" s="9" t="s">
        <v>203</v>
      </c>
      <c r="D3666" s="9" t="s">
        <v>107</v>
      </c>
      <c r="E3666" s="6" t="s">
        <v>4358</v>
      </c>
      <c r="F3666" s="9" t="s">
        <v>9341</v>
      </c>
    </row>
    <row r="3667" ht="33.75" customHeight="1">
      <c r="A3667" s="7">
        <v>122.0</v>
      </c>
      <c r="B3667" s="9" t="s">
        <v>7669</v>
      </c>
      <c r="C3667" s="9" t="s">
        <v>203</v>
      </c>
      <c r="D3667" s="9" t="s">
        <v>109</v>
      </c>
      <c r="E3667" s="6" t="s">
        <v>4358</v>
      </c>
      <c r="F3667" s="9" t="s">
        <v>9341</v>
      </c>
    </row>
    <row r="3668" ht="33.75" customHeight="1">
      <c r="A3668" s="7">
        <v>122.0</v>
      </c>
      <c r="B3668" s="9" t="s">
        <v>7669</v>
      </c>
      <c r="C3668" s="9" t="s">
        <v>203</v>
      </c>
      <c r="D3668" s="9" t="s">
        <v>647</v>
      </c>
      <c r="E3668" s="6" t="s">
        <v>4362</v>
      </c>
      <c r="F3668" s="9" t="s">
        <v>9341</v>
      </c>
    </row>
    <row r="3669" ht="33.75" customHeight="1">
      <c r="A3669" s="7">
        <v>122.0</v>
      </c>
      <c r="B3669" s="9" t="s">
        <v>7669</v>
      </c>
      <c r="C3669" s="9" t="s">
        <v>203</v>
      </c>
      <c r="D3669" s="9" t="s">
        <v>652</v>
      </c>
      <c r="E3669" s="6" t="s">
        <v>4363</v>
      </c>
      <c r="F3669" s="9" t="s">
        <v>9341</v>
      </c>
    </row>
    <row r="3670" ht="33.75" customHeight="1">
      <c r="A3670" s="7">
        <v>122.0</v>
      </c>
      <c r="B3670" s="9" t="s">
        <v>7669</v>
      </c>
      <c r="C3670" s="9" t="s">
        <v>203</v>
      </c>
      <c r="D3670" s="9" t="s">
        <v>111</v>
      </c>
      <c r="E3670" s="6" t="s">
        <v>4364</v>
      </c>
      <c r="F3670" s="9" t="s">
        <v>9341</v>
      </c>
    </row>
    <row r="3671" ht="33.75" customHeight="1">
      <c r="A3671" s="7">
        <v>122.0</v>
      </c>
      <c r="B3671" s="9" t="s">
        <v>7669</v>
      </c>
      <c r="C3671" s="9" t="s">
        <v>203</v>
      </c>
      <c r="D3671" s="9" t="s">
        <v>113</v>
      </c>
      <c r="E3671" s="6" t="s">
        <v>4364</v>
      </c>
      <c r="F3671" s="9" t="s">
        <v>9341</v>
      </c>
    </row>
    <row r="3672" ht="33.75" customHeight="1">
      <c r="A3672" s="7">
        <v>122.0</v>
      </c>
      <c r="B3672" s="9" t="s">
        <v>7669</v>
      </c>
      <c r="C3672" s="9" t="s">
        <v>203</v>
      </c>
      <c r="D3672" s="9" t="s">
        <v>114</v>
      </c>
      <c r="E3672" s="6" t="s">
        <v>4366</v>
      </c>
      <c r="F3672" s="9" t="s">
        <v>9341</v>
      </c>
    </row>
    <row r="3673" ht="33.75" customHeight="1">
      <c r="A3673" s="7">
        <v>122.0</v>
      </c>
      <c r="B3673" s="9" t="s">
        <v>7669</v>
      </c>
      <c r="C3673" s="9" t="s">
        <v>203</v>
      </c>
      <c r="D3673" s="9" t="s">
        <v>117</v>
      </c>
      <c r="E3673" s="6" t="s">
        <v>4367</v>
      </c>
      <c r="F3673" s="9" t="s">
        <v>9341</v>
      </c>
    </row>
    <row r="3674" ht="33.75" customHeight="1">
      <c r="A3674" s="7">
        <v>122.0</v>
      </c>
      <c r="B3674" s="9" t="s">
        <v>7669</v>
      </c>
      <c r="C3674" s="9" t="s">
        <v>203</v>
      </c>
      <c r="D3674" s="9" t="s">
        <v>1577</v>
      </c>
      <c r="E3674" s="6" t="s">
        <v>4368</v>
      </c>
      <c r="F3674" s="9" t="s">
        <v>9341</v>
      </c>
    </row>
    <row r="3675" ht="33.75" customHeight="1">
      <c r="A3675" s="7">
        <v>123.0</v>
      </c>
      <c r="B3675" s="9" t="s">
        <v>7729</v>
      </c>
      <c r="C3675" s="9" t="s">
        <v>206</v>
      </c>
      <c r="D3675" s="9" t="s">
        <v>24</v>
      </c>
      <c r="E3675" s="6" t="s">
        <v>4369</v>
      </c>
      <c r="F3675" s="9" t="s">
        <v>9466</v>
      </c>
      <c r="G3675" t="inlineStr" s="6">
        <is>
          <t xml:space="preserve">With ninja-like agility and speed, Scyther can create the illusion that there is more than one. Leaps out of tall grass and slices prey with its scythes. The movement looks like that of a ninja. It slashes through grass with its sharp scythes, moving too fast for the human eye to track. When it moves, it leaves only a blur. If it hides in grass, its protective colors make it invisible. It's very proud of its speed. It moves so fast that its opponent does not even know what knocked it down. SCYTHER is blindingly fast. Its blazing speed enhances the effectiveness of the twin scythes on its forearms. This POKéMON’s scythes are so effective, they can slice through thick logs in one wicked stroke. Its blindingly fast speed adds to the sharpness of its twin forearm scythes. The scythes can slice through thick logs in one wicked stroke. It tears and shreds prey with its wickedly sharp scythes. It very rarely spreads its wings to fly. With ninja-like agility and speed, it can create the illusion that there is more than one of itself. It is nearly impossible to parry its attacking scythes. Its movements are like a ninja’s. The sharp scythes on its forearms become increasingly sharp by cutting through hard objects. If it hides in grass, its protective coloration makes it invisible. It confuses its prey with its quick, ninja-like movements. Then, in an instant, it cleaves them with its scythes. While young, they live together deep in the mountains, training themselves in how to fight with their scythes and move at high speeds. Its two sharp scythes are more than just weapons. It uses them with dexterity to dress its prey before eating. Some call it a ninja. Its movements— imperceptibly quick—are sufficient to cleave the air in two. It’s very popular in Alola. As Scyther fights more and more battles, its scythes become sharper and sharper. With a single slice, Scyther can fell a massive tree. If you come across an area in a forest where a lot of the trees have been cut down, what you’ve found is a Scyther’s territory. The large, wickedly sharp scythes on its forearms are truly fearsome weapons. Prey's attempts to flee are unfailingly thwarted by this Pokémon's nimble motions.</t>
        </is>
      </c>
    </row>
    <row r="3676" ht="33.75" customHeight="1">
      <c r="A3676" s="7">
        <v>123.0</v>
      </c>
      <c r="B3676" s="9" t="s">
        <v>7729</v>
      </c>
      <c r="C3676" s="9" t="s">
        <v>206</v>
      </c>
      <c r="D3676" s="9" t="s">
        <v>35</v>
      </c>
      <c r="E3676" s="6" t="s">
        <v>4369</v>
      </c>
      <c r="F3676" s="9" t="s">
        <v>9466</v>
      </c>
    </row>
    <row r="3677" ht="33.75" customHeight="1">
      <c r="A3677" s="7">
        <v>123.0</v>
      </c>
      <c r="B3677" s="9" t="s">
        <v>7729</v>
      </c>
      <c r="C3677" s="9" t="s">
        <v>206</v>
      </c>
      <c r="D3677" s="9" t="s">
        <v>42</v>
      </c>
      <c r="E3677" s="6" t="s">
        <v>4370</v>
      </c>
      <c r="F3677" s="9" t="s">
        <v>9466</v>
      </c>
    </row>
    <row r="3678" ht="33.75" customHeight="1">
      <c r="A3678" s="7">
        <v>123.0</v>
      </c>
      <c r="B3678" s="9" t="s">
        <v>7729</v>
      </c>
      <c r="C3678" s="9" t="s">
        <v>206</v>
      </c>
      <c r="D3678" s="9" t="s">
        <v>52</v>
      </c>
      <c r="E3678" s="6" t="s">
        <v>4371</v>
      </c>
      <c r="F3678" s="9" t="s">
        <v>9466</v>
      </c>
    </row>
    <row r="3679" ht="33.75" customHeight="1">
      <c r="A3679" s="7">
        <v>123.0</v>
      </c>
      <c r="B3679" s="9" t="s">
        <v>7729</v>
      </c>
      <c r="C3679" s="9" t="s">
        <v>206</v>
      </c>
      <c r="D3679" s="9" t="s">
        <v>59</v>
      </c>
      <c r="E3679" s="6" t="s">
        <v>4372</v>
      </c>
      <c r="F3679" s="9" t="s">
        <v>9466</v>
      </c>
    </row>
    <row r="3680" ht="33.75" customHeight="1">
      <c r="A3680" s="7">
        <v>123.0</v>
      </c>
      <c r="B3680" s="9" t="s">
        <v>7729</v>
      </c>
      <c r="C3680" s="9" t="s">
        <v>206</v>
      </c>
      <c r="D3680" s="9" t="s">
        <v>64</v>
      </c>
      <c r="E3680" s="6" t="s">
        <v>4373</v>
      </c>
      <c r="F3680" s="9" t="s">
        <v>9466</v>
      </c>
    </row>
    <row r="3681" ht="33.75" customHeight="1">
      <c r="A3681" s="7">
        <v>123.0</v>
      </c>
      <c r="B3681" s="9" t="s">
        <v>7729</v>
      </c>
      <c r="C3681" s="9" t="s">
        <v>206</v>
      </c>
      <c r="D3681" s="9" t="s">
        <v>67</v>
      </c>
      <c r="E3681" s="6" t="s">
        <v>4374</v>
      </c>
      <c r="F3681" s="9" t="s">
        <v>9466</v>
      </c>
    </row>
    <row r="3682" ht="33.75" customHeight="1">
      <c r="A3682" s="7">
        <v>123.0</v>
      </c>
      <c r="B3682" s="9" t="s">
        <v>7729</v>
      </c>
      <c r="C3682" s="9" t="s">
        <v>206</v>
      </c>
      <c r="D3682" s="9" t="s">
        <v>71</v>
      </c>
      <c r="E3682" s="6" t="s">
        <v>4374</v>
      </c>
      <c r="F3682" s="9" t="s">
        <v>9466</v>
      </c>
    </row>
    <row r="3683" ht="33.75" customHeight="1">
      <c r="A3683" s="7">
        <v>123.0</v>
      </c>
      <c r="B3683" s="9" t="s">
        <v>7729</v>
      </c>
      <c r="C3683" s="9" t="s">
        <v>206</v>
      </c>
      <c r="D3683" s="9" t="s">
        <v>73</v>
      </c>
      <c r="E3683" s="6" t="s">
        <v>4375</v>
      </c>
      <c r="F3683" s="9" t="s">
        <v>9466</v>
      </c>
    </row>
    <row r="3684" ht="33.75" customHeight="1">
      <c r="A3684" s="7">
        <v>123.0</v>
      </c>
      <c r="B3684" s="9" t="s">
        <v>7729</v>
      </c>
      <c r="C3684" s="9" t="s">
        <v>206</v>
      </c>
      <c r="D3684" s="9" t="s">
        <v>75</v>
      </c>
      <c r="E3684" s="6" t="s">
        <v>4376</v>
      </c>
      <c r="F3684" s="9" t="s">
        <v>9466</v>
      </c>
    </row>
    <row r="3685" ht="33.75" customHeight="1">
      <c r="A3685" s="7">
        <v>123.0</v>
      </c>
      <c r="B3685" s="9" t="s">
        <v>7729</v>
      </c>
      <c r="C3685" s="9" t="s">
        <v>206</v>
      </c>
      <c r="D3685" s="9" t="s">
        <v>79</v>
      </c>
      <c r="E3685" s="6" t="s">
        <v>4377</v>
      </c>
      <c r="F3685" s="9" t="s">
        <v>9466</v>
      </c>
    </row>
    <row r="3686" ht="33.75" customHeight="1">
      <c r="A3686" s="7">
        <v>123.0</v>
      </c>
      <c r="B3686" s="9" t="s">
        <v>7729</v>
      </c>
      <c r="C3686" s="9" t="s">
        <v>206</v>
      </c>
      <c r="D3686" s="9" t="s">
        <v>81</v>
      </c>
      <c r="E3686" s="6" t="s">
        <v>4379</v>
      </c>
      <c r="F3686" s="9" t="s">
        <v>9466</v>
      </c>
    </row>
    <row r="3687" ht="33.75" customHeight="1">
      <c r="A3687" s="7">
        <v>123.0</v>
      </c>
      <c r="B3687" s="9" t="s">
        <v>7729</v>
      </c>
      <c r="C3687" s="9" t="s">
        <v>206</v>
      </c>
      <c r="D3687" s="9" t="s">
        <v>84</v>
      </c>
      <c r="E3687" s="6" t="s">
        <v>4379</v>
      </c>
      <c r="F3687" s="9" t="s">
        <v>9466</v>
      </c>
    </row>
    <row r="3688" ht="33.75" customHeight="1">
      <c r="A3688" s="7">
        <v>123.0</v>
      </c>
      <c r="B3688" s="9" t="s">
        <v>7729</v>
      </c>
      <c r="C3688" s="9" t="s">
        <v>206</v>
      </c>
      <c r="D3688" s="9" t="s">
        <v>87</v>
      </c>
      <c r="E3688" s="6" t="s">
        <v>4380</v>
      </c>
      <c r="F3688" s="9" t="s">
        <v>9466</v>
      </c>
    </row>
    <row r="3689" ht="33.75" customHeight="1">
      <c r="A3689" s="7">
        <v>123.0</v>
      </c>
      <c r="B3689" s="9" t="s">
        <v>7729</v>
      </c>
      <c r="C3689" s="9" t="s">
        <v>206</v>
      </c>
      <c r="D3689" s="9" t="s">
        <v>89</v>
      </c>
      <c r="E3689" s="6" t="s">
        <v>4371</v>
      </c>
      <c r="F3689" s="9" t="s">
        <v>9466</v>
      </c>
    </row>
    <row r="3690" ht="33.75" customHeight="1">
      <c r="A3690" s="7">
        <v>123.0</v>
      </c>
      <c r="B3690" s="9" t="s">
        <v>7729</v>
      </c>
      <c r="C3690" s="9" t="s">
        <v>206</v>
      </c>
      <c r="D3690" s="9" t="s">
        <v>91</v>
      </c>
      <c r="E3690" s="6" t="s">
        <v>4382</v>
      </c>
      <c r="F3690" s="9" t="s">
        <v>9466</v>
      </c>
    </row>
    <row r="3691" ht="33.75" customHeight="1">
      <c r="A3691" s="7">
        <v>123.0</v>
      </c>
      <c r="B3691" s="9" t="s">
        <v>7729</v>
      </c>
      <c r="C3691" s="9" t="s">
        <v>206</v>
      </c>
      <c r="D3691" s="9" t="s">
        <v>93</v>
      </c>
      <c r="E3691" s="6" t="s">
        <v>4380</v>
      </c>
      <c r="F3691" s="9" t="s">
        <v>9466</v>
      </c>
    </row>
    <row r="3692" ht="33.75" customHeight="1">
      <c r="A3692" s="7">
        <v>123.0</v>
      </c>
      <c r="B3692" s="9" t="s">
        <v>7729</v>
      </c>
      <c r="C3692" s="9" t="s">
        <v>206</v>
      </c>
      <c r="D3692" s="9" t="s">
        <v>95</v>
      </c>
      <c r="E3692" s="6" t="s">
        <v>4380</v>
      </c>
      <c r="F3692" s="9" t="s">
        <v>9466</v>
      </c>
    </row>
    <row r="3693" ht="33.75" customHeight="1">
      <c r="A3693" s="7">
        <v>123.0</v>
      </c>
      <c r="B3693" s="9" t="s">
        <v>7729</v>
      </c>
      <c r="C3693" s="9" t="s">
        <v>206</v>
      </c>
      <c r="D3693" s="9" t="s">
        <v>98</v>
      </c>
      <c r="E3693" s="6" t="s">
        <v>4380</v>
      </c>
      <c r="F3693" s="9" t="s">
        <v>9466</v>
      </c>
    </row>
    <row r="3694" ht="33.75" customHeight="1">
      <c r="A3694" s="7">
        <v>123.0</v>
      </c>
      <c r="B3694" s="9" t="s">
        <v>7729</v>
      </c>
      <c r="C3694" s="9" t="s">
        <v>206</v>
      </c>
      <c r="D3694" s="9" t="s">
        <v>99</v>
      </c>
      <c r="E3694" s="6" t="s">
        <v>4380</v>
      </c>
      <c r="F3694" s="9" t="s">
        <v>9466</v>
      </c>
    </row>
    <row r="3695" ht="33.75" customHeight="1">
      <c r="A3695" s="7">
        <v>123.0</v>
      </c>
      <c r="B3695" s="9" t="s">
        <v>7729</v>
      </c>
      <c r="C3695" s="9" t="s">
        <v>206</v>
      </c>
      <c r="D3695" s="9" t="s">
        <v>101</v>
      </c>
      <c r="E3695" s="6" t="s">
        <v>4376</v>
      </c>
      <c r="F3695" s="9" t="s">
        <v>9466</v>
      </c>
    </row>
    <row r="3696" ht="33.75" customHeight="1">
      <c r="A3696" s="7">
        <v>123.0</v>
      </c>
      <c r="B3696" s="9" t="s">
        <v>7729</v>
      </c>
      <c r="C3696" s="9" t="s">
        <v>206</v>
      </c>
      <c r="D3696" s="9" t="s">
        <v>105</v>
      </c>
      <c r="E3696" s="6" t="s">
        <v>4371</v>
      </c>
      <c r="F3696" s="9" t="s">
        <v>9466</v>
      </c>
    </row>
    <row r="3697" ht="33.75" customHeight="1">
      <c r="A3697" s="7">
        <v>123.0</v>
      </c>
      <c r="B3697" s="9" t="s">
        <v>7729</v>
      </c>
      <c r="C3697" s="9" t="s">
        <v>206</v>
      </c>
      <c r="D3697" s="9" t="s">
        <v>107</v>
      </c>
      <c r="E3697" s="6" t="s">
        <v>4383</v>
      </c>
      <c r="F3697" s="9" t="s">
        <v>9466</v>
      </c>
    </row>
    <row r="3698" ht="33.75" customHeight="1">
      <c r="A3698" s="7">
        <v>123.0</v>
      </c>
      <c r="B3698" s="9" t="s">
        <v>7729</v>
      </c>
      <c r="C3698" s="9" t="s">
        <v>206</v>
      </c>
      <c r="D3698" s="9" t="s">
        <v>109</v>
      </c>
      <c r="E3698" s="6" t="s">
        <v>4383</v>
      </c>
      <c r="F3698" s="9" t="s">
        <v>9466</v>
      </c>
    </row>
    <row r="3699" ht="33.75" customHeight="1">
      <c r="A3699" s="7">
        <v>123.0</v>
      </c>
      <c r="B3699" s="9" t="s">
        <v>7729</v>
      </c>
      <c r="C3699" s="9" t="s">
        <v>206</v>
      </c>
      <c r="D3699" s="9" t="s">
        <v>637</v>
      </c>
      <c r="E3699" s="6" t="s">
        <v>4385</v>
      </c>
      <c r="F3699" s="9" t="s">
        <v>9466</v>
      </c>
    </row>
    <row r="3700" ht="33.75" customHeight="1">
      <c r="A3700" s="7">
        <v>123.0</v>
      </c>
      <c r="B3700" s="9" t="s">
        <v>7729</v>
      </c>
      <c r="C3700" s="9" t="s">
        <v>206</v>
      </c>
      <c r="D3700" s="9" t="s">
        <v>642</v>
      </c>
      <c r="E3700" s="6" t="s">
        <v>4388</v>
      </c>
      <c r="F3700" s="9" t="s">
        <v>9466</v>
      </c>
    </row>
    <row r="3701" ht="33.75" customHeight="1">
      <c r="A3701" s="7">
        <v>123.0</v>
      </c>
      <c r="B3701" s="9" t="s">
        <v>7729</v>
      </c>
      <c r="C3701" s="9" t="s">
        <v>206</v>
      </c>
      <c r="D3701" s="9" t="s">
        <v>647</v>
      </c>
      <c r="E3701" s="6" t="s">
        <v>4390</v>
      </c>
      <c r="F3701" s="9" t="s">
        <v>9466</v>
      </c>
    </row>
    <row r="3702" ht="33.75" customHeight="1">
      <c r="A3702" s="7">
        <v>123.0</v>
      </c>
      <c r="B3702" s="9" t="s">
        <v>7729</v>
      </c>
      <c r="C3702" s="9" t="s">
        <v>206</v>
      </c>
      <c r="D3702" s="9" t="s">
        <v>652</v>
      </c>
      <c r="E3702" s="6" t="s">
        <v>4393</v>
      </c>
      <c r="F3702" s="9" t="s">
        <v>9466</v>
      </c>
    </row>
    <row r="3703" ht="33.75" customHeight="1">
      <c r="A3703" s="7">
        <v>123.0</v>
      </c>
      <c r="B3703" s="9" t="s">
        <v>7729</v>
      </c>
      <c r="C3703" s="9" t="s">
        <v>206</v>
      </c>
      <c r="D3703" s="9" t="s">
        <v>111</v>
      </c>
      <c r="E3703" s="6" t="s">
        <v>4395</v>
      </c>
      <c r="F3703" s="9" t="s">
        <v>9466</v>
      </c>
    </row>
    <row r="3704" ht="33.75" customHeight="1">
      <c r="A3704" s="7">
        <v>123.0</v>
      </c>
      <c r="B3704" s="9" t="s">
        <v>7729</v>
      </c>
      <c r="C3704" s="9" t="s">
        <v>206</v>
      </c>
      <c r="D3704" s="9" t="s">
        <v>113</v>
      </c>
      <c r="E3704" s="6" t="s">
        <v>4395</v>
      </c>
      <c r="F3704" s="9" t="s">
        <v>9466</v>
      </c>
    </row>
    <row r="3705" ht="33.75" customHeight="1">
      <c r="A3705" s="7">
        <v>123.0</v>
      </c>
      <c r="B3705" s="9" t="s">
        <v>7729</v>
      </c>
      <c r="C3705" s="9" t="s">
        <v>206</v>
      </c>
      <c r="D3705" s="9" t="s">
        <v>114</v>
      </c>
      <c r="E3705" s="6" t="s">
        <v>4396</v>
      </c>
      <c r="F3705" s="9" t="s">
        <v>9466</v>
      </c>
    </row>
    <row r="3706" ht="33.75" customHeight="1">
      <c r="A3706" s="7">
        <v>123.0</v>
      </c>
      <c r="B3706" s="9" t="s">
        <v>7729</v>
      </c>
      <c r="C3706" s="9" t="s">
        <v>206</v>
      </c>
      <c r="D3706" s="9" t="s">
        <v>117</v>
      </c>
      <c r="E3706" s="6" t="s">
        <v>4397</v>
      </c>
      <c r="F3706" s="9" t="s">
        <v>9466</v>
      </c>
    </row>
    <row r="3707" ht="33.75" customHeight="1">
      <c r="A3707" s="7">
        <v>123.0</v>
      </c>
      <c r="B3707" s="9" t="s">
        <v>7729</v>
      </c>
      <c r="C3707" s="9" t="s">
        <v>206</v>
      </c>
      <c r="D3707" s="9" t="s">
        <v>1577</v>
      </c>
      <c r="E3707" s="6" t="s">
        <v>4399</v>
      </c>
      <c r="F3707" s="9" t="s">
        <v>9466</v>
      </c>
    </row>
    <row r="3708" ht="33.75" customHeight="1">
      <c r="A3708" s="7">
        <v>124.0</v>
      </c>
      <c r="B3708" s="9" t="s">
        <v>7797</v>
      </c>
      <c r="C3708" s="9" t="s">
        <v>208</v>
      </c>
      <c r="D3708" s="9" t="s">
        <v>24</v>
      </c>
      <c r="E3708" s="6" t="s">
        <v>4400</v>
      </c>
      <c r="F3708" s="9" t="s">
        <v>9564</v>
      </c>
      <c r="G3708" t="inlineStr" s="6">
        <is>
          <t xml:space="preserve">It seductively wiggles Jynx's hips as it walks. It can cause people to dance in unison with it. Appears to move to a rhythm of its own, as if it were dancing. It wiggles its hips as it walks. It rocks its body rhythmically. It appears to alter the rhythm depend ing on how it is feeling. It speaks a language similar to that of humans. However, it seems to use dancing to communicate. It has several different cry patterns, each of which seems to have its own meaning. JYNX walks rhythmically, swaying and shaking its hips as if it were dancing. Its motions are so bouncingly alluring, people seeing it are compelled to shake their hips without giving any thought to what they are doing. A JYNX sashays rhythmically as if it were dancing. Its motions are so bouncingly alluring, people seeing it are compelled to shake their hips without noticing. It speaks using a language that sounds human. Research is under way to determine what is being said. Its cries sound like human speech. However, it is impossible to tell what it is trying to say. It appears to alter the rhythm depending on how it is feeling. It sways its hips to a rhythm all its own. The precise movements of Jynx living in Alola are truly wonderful. Its strange cries sound like human language. There are some musicians who compose songs for Jynx to sing. In certain parts of Galar, Jynx was once feared and worshiped as the Queen of Ice. The Jynx of Galar often have beautiful and delicate voices. Some of these Pokémon have even gathered a fan base.</t>
        </is>
      </c>
    </row>
    <row r="3709" ht="33.75" customHeight="1">
      <c r="A3709" s="7">
        <v>124.0</v>
      </c>
      <c r="B3709" s="9" t="s">
        <v>7797</v>
      </c>
      <c r="C3709" s="9" t="s">
        <v>208</v>
      </c>
      <c r="D3709" s="9" t="s">
        <v>35</v>
      </c>
      <c r="E3709" s="6" t="s">
        <v>4400</v>
      </c>
      <c r="F3709" s="9" t="s">
        <v>9564</v>
      </c>
    </row>
    <row r="3710" ht="33.75" customHeight="1">
      <c r="A3710" s="7">
        <v>124.0</v>
      </c>
      <c r="B3710" s="9" t="s">
        <v>7797</v>
      </c>
      <c r="C3710" s="9" t="s">
        <v>208</v>
      </c>
      <c r="D3710" s="9" t="s">
        <v>42</v>
      </c>
      <c r="E3710" s="6" t="s">
        <v>4402</v>
      </c>
      <c r="F3710" s="9" t="s">
        <v>9564</v>
      </c>
    </row>
    <row r="3711" ht="33.75" customHeight="1">
      <c r="A3711" s="7">
        <v>124.0</v>
      </c>
      <c r="B3711" s="9" t="s">
        <v>7797</v>
      </c>
      <c r="C3711" s="9" t="s">
        <v>208</v>
      </c>
      <c r="D3711" s="9" t="s">
        <v>52</v>
      </c>
      <c r="E3711" s="6" t="s">
        <v>4403</v>
      </c>
      <c r="F3711" s="9" t="s">
        <v>9564</v>
      </c>
    </row>
    <row r="3712" ht="33.75" customHeight="1">
      <c r="A3712" s="7">
        <v>124.0</v>
      </c>
      <c r="B3712" s="9" t="s">
        <v>7797</v>
      </c>
      <c r="C3712" s="9" t="s">
        <v>208</v>
      </c>
      <c r="D3712" s="9" t="s">
        <v>59</v>
      </c>
      <c r="E3712" s="6" t="s">
        <v>4404</v>
      </c>
      <c r="F3712" s="9" t="s">
        <v>9564</v>
      </c>
    </row>
    <row r="3713" ht="33.75" customHeight="1">
      <c r="A3713" s="7">
        <v>124.0</v>
      </c>
      <c r="B3713" s="9" t="s">
        <v>7797</v>
      </c>
      <c r="C3713" s="9" t="s">
        <v>208</v>
      </c>
      <c r="D3713" s="9" t="s">
        <v>64</v>
      </c>
      <c r="E3713" s="6" t="s">
        <v>4406</v>
      </c>
      <c r="F3713" s="9" t="s">
        <v>9564</v>
      </c>
    </row>
    <row r="3714" ht="33.75" customHeight="1">
      <c r="A3714" s="7">
        <v>124.0</v>
      </c>
      <c r="B3714" s="9" t="s">
        <v>7797</v>
      </c>
      <c r="C3714" s="9" t="s">
        <v>208</v>
      </c>
      <c r="D3714" s="9" t="s">
        <v>67</v>
      </c>
      <c r="E3714" s="6" t="s">
        <v>4407</v>
      </c>
      <c r="F3714" s="9" t="s">
        <v>9564</v>
      </c>
    </row>
    <row r="3715" ht="33.75" customHeight="1">
      <c r="A3715" s="7">
        <v>124.0</v>
      </c>
      <c r="B3715" s="9" t="s">
        <v>7797</v>
      </c>
      <c r="C3715" s="9" t="s">
        <v>208</v>
      </c>
      <c r="D3715" s="9" t="s">
        <v>71</v>
      </c>
      <c r="E3715" s="6" t="s">
        <v>4407</v>
      </c>
      <c r="F3715" s="9" t="s">
        <v>9564</v>
      </c>
    </row>
    <row r="3716" ht="33.75" customHeight="1">
      <c r="A3716" s="7">
        <v>124.0</v>
      </c>
      <c r="B3716" s="9" t="s">
        <v>7797</v>
      </c>
      <c r="C3716" s="9" t="s">
        <v>208</v>
      </c>
      <c r="D3716" s="9" t="s">
        <v>73</v>
      </c>
      <c r="E3716" s="6" t="s">
        <v>4408</v>
      </c>
      <c r="F3716" s="9" t="s">
        <v>9564</v>
      </c>
    </row>
    <row r="3717" ht="33.75" customHeight="1">
      <c r="A3717" s="7">
        <v>124.0</v>
      </c>
      <c r="B3717" s="9" t="s">
        <v>7797</v>
      </c>
      <c r="C3717" s="9" t="s">
        <v>208</v>
      </c>
      <c r="D3717" s="9" t="s">
        <v>75</v>
      </c>
      <c r="E3717" s="6" t="s">
        <v>4409</v>
      </c>
      <c r="F3717" s="9" t="s">
        <v>9564</v>
      </c>
    </row>
    <row r="3718" ht="33.75" customHeight="1">
      <c r="A3718" s="7">
        <v>124.0</v>
      </c>
      <c r="B3718" s="9" t="s">
        <v>7797</v>
      </c>
      <c r="C3718" s="9" t="s">
        <v>208</v>
      </c>
      <c r="D3718" s="9" t="s">
        <v>79</v>
      </c>
      <c r="E3718" s="6" t="s">
        <v>4400</v>
      </c>
      <c r="F3718" s="9" t="s">
        <v>9564</v>
      </c>
    </row>
    <row r="3719" ht="33.75" customHeight="1">
      <c r="A3719" s="7">
        <v>124.0</v>
      </c>
      <c r="B3719" s="9" t="s">
        <v>7797</v>
      </c>
      <c r="C3719" s="9" t="s">
        <v>208</v>
      </c>
      <c r="D3719" s="9" t="s">
        <v>81</v>
      </c>
      <c r="E3719" s="6" t="s">
        <v>4410</v>
      </c>
      <c r="F3719" s="9" t="s">
        <v>9564</v>
      </c>
    </row>
    <row r="3720" ht="33.75" customHeight="1">
      <c r="A3720" s="7">
        <v>124.0</v>
      </c>
      <c r="B3720" s="9" t="s">
        <v>7797</v>
      </c>
      <c r="C3720" s="9" t="s">
        <v>208</v>
      </c>
      <c r="D3720" s="9" t="s">
        <v>84</v>
      </c>
      <c r="E3720" s="6" t="s">
        <v>4410</v>
      </c>
      <c r="F3720" s="9" t="s">
        <v>9564</v>
      </c>
    </row>
    <row r="3721" ht="33.75" customHeight="1">
      <c r="A3721" s="7">
        <v>124.0</v>
      </c>
      <c r="B3721" s="9" t="s">
        <v>7797</v>
      </c>
      <c r="C3721" s="9" t="s">
        <v>208</v>
      </c>
      <c r="D3721" s="9" t="s">
        <v>87</v>
      </c>
      <c r="E3721" s="6" t="s">
        <v>4410</v>
      </c>
      <c r="F3721" s="9" t="s">
        <v>9564</v>
      </c>
    </row>
    <row r="3722" ht="33.75" customHeight="1">
      <c r="A3722" s="7">
        <v>124.0</v>
      </c>
      <c r="B3722" s="9" t="s">
        <v>7797</v>
      </c>
      <c r="C3722" s="9" t="s">
        <v>208</v>
      </c>
      <c r="D3722" s="9" t="s">
        <v>89</v>
      </c>
      <c r="E3722" s="6" t="s">
        <v>4411</v>
      </c>
      <c r="F3722" s="9" t="s">
        <v>9564</v>
      </c>
    </row>
    <row r="3723" ht="33.75" customHeight="1">
      <c r="A3723" s="7">
        <v>124.0</v>
      </c>
      <c r="B3723" s="9" t="s">
        <v>7797</v>
      </c>
      <c r="C3723" s="9" t="s">
        <v>208</v>
      </c>
      <c r="D3723" s="9" t="s">
        <v>91</v>
      </c>
      <c r="E3723" s="6" t="s">
        <v>4412</v>
      </c>
      <c r="F3723" s="9" t="s">
        <v>9564</v>
      </c>
    </row>
    <row r="3724" ht="33.75" customHeight="1">
      <c r="A3724" s="7">
        <v>124.0</v>
      </c>
      <c r="B3724" s="9" t="s">
        <v>7797</v>
      </c>
      <c r="C3724" s="9" t="s">
        <v>208</v>
      </c>
      <c r="D3724" s="9" t="s">
        <v>93</v>
      </c>
      <c r="E3724" s="6" t="s">
        <v>4410</v>
      </c>
      <c r="F3724" s="9" t="s">
        <v>9564</v>
      </c>
    </row>
    <row r="3725" ht="33.75" customHeight="1">
      <c r="A3725" s="7">
        <v>124.0</v>
      </c>
      <c r="B3725" s="9" t="s">
        <v>7797</v>
      </c>
      <c r="C3725" s="9" t="s">
        <v>208</v>
      </c>
      <c r="D3725" s="9" t="s">
        <v>95</v>
      </c>
      <c r="E3725" s="6" t="s">
        <v>4410</v>
      </c>
      <c r="F3725" s="9" t="s">
        <v>9564</v>
      </c>
    </row>
    <row r="3726" ht="33.75" customHeight="1">
      <c r="A3726" s="7">
        <v>124.0</v>
      </c>
      <c r="B3726" s="9" t="s">
        <v>7797</v>
      </c>
      <c r="C3726" s="9" t="s">
        <v>208</v>
      </c>
      <c r="D3726" s="9" t="s">
        <v>98</v>
      </c>
      <c r="E3726" s="6" t="s">
        <v>4410</v>
      </c>
      <c r="F3726" s="9" t="s">
        <v>9564</v>
      </c>
    </row>
    <row r="3727" ht="33.75" customHeight="1">
      <c r="A3727" s="7">
        <v>124.0</v>
      </c>
      <c r="B3727" s="9" t="s">
        <v>7797</v>
      </c>
      <c r="C3727" s="9" t="s">
        <v>208</v>
      </c>
      <c r="D3727" s="9" t="s">
        <v>99</v>
      </c>
      <c r="E3727" s="6" t="s">
        <v>4410</v>
      </c>
      <c r="F3727" s="9" t="s">
        <v>9564</v>
      </c>
    </row>
    <row r="3728" ht="33.75" customHeight="1">
      <c r="A3728" s="7">
        <v>124.0</v>
      </c>
      <c r="B3728" s="9" t="s">
        <v>7797</v>
      </c>
      <c r="C3728" s="9" t="s">
        <v>208</v>
      </c>
      <c r="D3728" s="9" t="s">
        <v>101</v>
      </c>
      <c r="E3728" s="6" t="s">
        <v>4413</v>
      </c>
      <c r="F3728" s="9" t="s">
        <v>9564</v>
      </c>
    </row>
    <row r="3729" ht="33.75" customHeight="1">
      <c r="A3729" s="7">
        <v>124.0</v>
      </c>
      <c r="B3729" s="9" t="s">
        <v>7797</v>
      </c>
      <c r="C3729" s="9" t="s">
        <v>208</v>
      </c>
      <c r="D3729" s="9" t="s">
        <v>105</v>
      </c>
      <c r="E3729" s="6" t="s">
        <v>4409</v>
      </c>
      <c r="F3729" s="9" t="s">
        <v>9564</v>
      </c>
    </row>
    <row r="3730" ht="33.75" customHeight="1">
      <c r="A3730" s="7">
        <v>124.0</v>
      </c>
      <c r="B3730" s="9" t="s">
        <v>7797</v>
      </c>
      <c r="C3730" s="9" t="s">
        <v>208</v>
      </c>
      <c r="D3730" s="9" t="s">
        <v>107</v>
      </c>
      <c r="E3730" s="6" t="s">
        <v>4414</v>
      </c>
      <c r="F3730" s="9" t="s">
        <v>9564</v>
      </c>
    </row>
    <row r="3731" ht="33.75" customHeight="1">
      <c r="A3731" s="7">
        <v>124.0</v>
      </c>
      <c r="B3731" s="9" t="s">
        <v>7797</v>
      </c>
      <c r="C3731" s="9" t="s">
        <v>208</v>
      </c>
      <c r="D3731" s="9" t="s">
        <v>109</v>
      </c>
      <c r="E3731" s="6" t="s">
        <v>4414</v>
      </c>
      <c r="F3731" s="9" t="s">
        <v>9564</v>
      </c>
    </row>
    <row r="3732" ht="33.75" customHeight="1">
      <c r="A3732" s="7">
        <v>124.0</v>
      </c>
      <c r="B3732" s="9" t="s">
        <v>7797</v>
      </c>
      <c r="C3732" s="9" t="s">
        <v>208</v>
      </c>
      <c r="D3732" s="9" t="s">
        <v>647</v>
      </c>
      <c r="E3732" s="6" t="s">
        <v>4416</v>
      </c>
      <c r="F3732" s="9" t="s">
        <v>9564</v>
      </c>
    </row>
    <row r="3733" ht="33.75" customHeight="1">
      <c r="A3733" s="7">
        <v>124.0</v>
      </c>
      <c r="B3733" s="9" t="s">
        <v>7797</v>
      </c>
      <c r="C3733" s="9" t="s">
        <v>208</v>
      </c>
      <c r="D3733" s="9" t="s">
        <v>652</v>
      </c>
      <c r="E3733" s="6" t="s">
        <v>4418</v>
      </c>
      <c r="F3733" s="9" t="s">
        <v>9564</v>
      </c>
    </row>
    <row r="3734" ht="33.75" customHeight="1">
      <c r="A3734" s="7">
        <v>124.0</v>
      </c>
      <c r="B3734" s="9" t="s">
        <v>7797</v>
      </c>
      <c r="C3734" s="9" t="s">
        <v>208</v>
      </c>
      <c r="D3734" s="9" t="s">
        <v>111</v>
      </c>
      <c r="E3734" s="6" t="s">
        <v>4402</v>
      </c>
      <c r="F3734" s="9" t="s">
        <v>9564</v>
      </c>
    </row>
    <row r="3735" ht="33.75" customHeight="1">
      <c r="A3735" s="7">
        <v>124.0</v>
      </c>
      <c r="B3735" s="9" t="s">
        <v>7797</v>
      </c>
      <c r="C3735" s="9" t="s">
        <v>208</v>
      </c>
      <c r="D3735" s="9" t="s">
        <v>113</v>
      </c>
      <c r="E3735" s="6" t="s">
        <v>4402</v>
      </c>
      <c r="F3735" s="9" t="s">
        <v>9564</v>
      </c>
    </row>
    <row r="3736" ht="33.75" customHeight="1">
      <c r="A3736" s="7">
        <v>124.0</v>
      </c>
      <c r="B3736" s="9" t="s">
        <v>7797</v>
      </c>
      <c r="C3736" s="9" t="s">
        <v>208</v>
      </c>
      <c r="D3736" s="9" t="s">
        <v>114</v>
      </c>
      <c r="E3736" s="6" t="s">
        <v>4419</v>
      </c>
      <c r="F3736" s="9" t="s">
        <v>9564</v>
      </c>
    </row>
    <row r="3737" ht="33.75" customHeight="1">
      <c r="A3737" s="7">
        <v>124.0</v>
      </c>
      <c r="B3737" s="9" t="s">
        <v>7797</v>
      </c>
      <c r="C3737" s="9" t="s">
        <v>208</v>
      </c>
      <c r="D3737" s="9" t="s">
        <v>117</v>
      </c>
      <c r="E3737" s="6" t="s">
        <v>4421</v>
      </c>
      <c r="F3737" s="9" t="s">
        <v>9564</v>
      </c>
    </row>
    <row r="3738" ht="33.75" customHeight="1">
      <c r="A3738" s="7">
        <v>125.0</v>
      </c>
      <c r="B3738" s="9" t="s">
        <v>7865</v>
      </c>
      <c r="C3738" s="9" t="s">
        <v>210</v>
      </c>
      <c r="D3738" s="9" t="s">
        <v>24</v>
      </c>
      <c r="E3738" s="6" t="s">
        <v>4423</v>
      </c>
      <c r="F3738" s="9" t="s">
        <v>9644</v>
      </c>
      <c r="G3738" t="inlineStr" s="6">
        <is>
          <t xml:space="preserve">Normally found near power plants, they can wander away and cause major blackouts in cities. If a major power outage occurs, it is certain that this POKéMON has eaten electricity at a power plant. Electricity runs across the surface of its body. In darkness, its en tire body glows a whitish-blue. Its body constant ly discharges electricity. Getting close to it will make your hair stand on end. When two ELECTABUZZ touch, they control the electric currents to communicate their feelings. When a storm arrives, gangs of this POKéMON compete with each other to scale heights that are likely to be stricken by lightning bolts. Some towns use ELECTABUZZ in place of lightning rods. When a storm approaches, it competes with others to scale heights that are likely to be stricken by lightning. It loves to feed on strong electricity. It occasionally appears around large power plants and so on. Half of all blackouts occur when this Pokémon appears at power plants and eats electricity. It windmills its arms to slightly boost its punches. Foes have been known to escape in the meantime. In darkness, its entire body glows a whitish-blue. Its body constantly discharges electricity. Research is progressing on storing lightning in Electabuzz so this energy can be used at any time. In darkness, its entire body glows a whitish blue. Half of all sudden blackouts are caused by Electabuzz gathering at electric power plants and gobbling up electricity. Electricity leaks from it in amounts far greater than the amount of electricity it eats. Electricity permeates its body. It swings its arms round and round to charge up electricity before unleashing a punch. While it’s often blamed for power outages, the truth is the cause of outages is more often an error on the part of the electric company. Many power plants keep Ground-type Pokémon around as a defense against Electabuzz that come seeking electricity. With the coming of a storm, many of these Pokémon will gather under tall trees and sit there waiting for lightning to strike. Feeds on electrical energy. During sudden showers beneath looming thunderclouds, one can observe Electabuzz scaling tall trees, where the Pokémon will then wait for lightning to strike.</t>
        </is>
      </c>
    </row>
    <row r="3739" ht="33.75" customHeight="1">
      <c r="A3739" s="7">
        <v>125.0</v>
      </c>
      <c r="B3739" s="9" t="s">
        <v>7865</v>
      </c>
      <c r="C3739" s="9" t="s">
        <v>210</v>
      </c>
      <c r="D3739" s="9" t="s">
        <v>35</v>
      </c>
      <c r="E3739" s="6" t="s">
        <v>4423</v>
      </c>
      <c r="F3739" s="9" t="s">
        <v>9644</v>
      </c>
    </row>
    <row r="3740" ht="33.75" customHeight="1">
      <c r="A3740" s="7">
        <v>125.0</v>
      </c>
      <c r="B3740" s="9" t="s">
        <v>7865</v>
      </c>
      <c r="C3740" s="9" t="s">
        <v>210</v>
      </c>
      <c r="D3740" s="9" t="s">
        <v>42</v>
      </c>
      <c r="E3740" s="6" t="s">
        <v>4425</v>
      </c>
      <c r="F3740" s="9" t="s">
        <v>9644</v>
      </c>
    </row>
    <row r="3741" ht="33.75" customHeight="1">
      <c r="A3741" s="7">
        <v>125.0</v>
      </c>
      <c r="B3741" s="9" t="s">
        <v>7865</v>
      </c>
      <c r="C3741" s="9" t="s">
        <v>210</v>
      </c>
      <c r="D3741" s="9" t="s">
        <v>52</v>
      </c>
      <c r="E3741" s="6" t="s">
        <v>4426</v>
      </c>
      <c r="F3741" s="9" t="s">
        <v>9644</v>
      </c>
    </row>
    <row r="3742" ht="33.75" customHeight="1">
      <c r="A3742" s="7">
        <v>125.0</v>
      </c>
      <c r="B3742" s="9" t="s">
        <v>7865</v>
      </c>
      <c r="C3742" s="9" t="s">
        <v>210</v>
      </c>
      <c r="D3742" s="9" t="s">
        <v>59</v>
      </c>
      <c r="E3742" s="6" t="s">
        <v>4427</v>
      </c>
      <c r="F3742" s="9" t="s">
        <v>9644</v>
      </c>
    </row>
    <row r="3743" ht="33.75" customHeight="1">
      <c r="A3743" s="7">
        <v>125.0</v>
      </c>
      <c r="B3743" s="9" t="s">
        <v>7865</v>
      </c>
      <c r="C3743" s="9" t="s">
        <v>210</v>
      </c>
      <c r="D3743" s="9" t="s">
        <v>64</v>
      </c>
      <c r="E3743" s="6" t="s">
        <v>4429</v>
      </c>
      <c r="F3743" s="9" t="s">
        <v>9644</v>
      </c>
    </row>
    <row r="3744" ht="33.75" customHeight="1">
      <c r="A3744" s="7">
        <v>125.0</v>
      </c>
      <c r="B3744" s="9" t="s">
        <v>7865</v>
      </c>
      <c r="C3744" s="9" t="s">
        <v>210</v>
      </c>
      <c r="D3744" s="9" t="s">
        <v>67</v>
      </c>
      <c r="E3744" s="6" t="s">
        <v>4431</v>
      </c>
      <c r="F3744" s="9" t="s">
        <v>9644</v>
      </c>
    </row>
    <row r="3745" ht="33.75" customHeight="1">
      <c r="A3745" s="7">
        <v>125.0</v>
      </c>
      <c r="B3745" s="9" t="s">
        <v>7865</v>
      </c>
      <c r="C3745" s="9" t="s">
        <v>210</v>
      </c>
      <c r="D3745" s="9" t="s">
        <v>71</v>
      </c>
      <c r="E3745" s="6" t="s">
        <v>4431</v>
      </c>
      <c r="F3745" s="9" t="s">
        <v>9644</v>
      </c>
    </row>
    <row r="3746" ht="33.75" customHeight="1">
      <c r="A3746" s="7">
        <v>125.0</v>
      </c>
      <c r="B3746" s="9" t="s">
        <v>7865</v>
      </c>
      <c r="C3746" s="9" t="s">
        <v>210</v>
      </c>
      <c r="D3746" s="9" t="s">
        <v>73</v>
      </c>
      <c r="E3746" s="6" t="s">
        <v>4432</v>
      </c>
      <c r="F3746" s="9" t="s">
        <v>9644</v>
      </c>
    </row>
    <row r="3747" ht="33.75" customHeight="1">
      <c r="A3747" s="7">
        <v>125.0</v>
      </c>
      <c r="B3747" s="9" t="s">
        <v>7865</v>
      </c>
      <c r="C3747" s="9" t="s">
        <v>210</v>
      </c>
      <c r="D3747" s="9" t="s">
        <v>75</v>
      </c>
      <c r="E3747" s="6" t="s">
        <v>4433</v>
      </c>
      <c r="F3747" s="9" t="s">
        <v>9644</v>
      </c>
    </row>
    <row r="3748" ht="33.75" customHeight="1">
      <c r="A3748" s="7">
        <v>125.0</v>
      </c>
      <c r="B3748" s="9" t="s">
        <v>7865</v>
      </c>
      <c r="C3748" s="9" t="s">
        <v>210</v>
      </c>
      <c r="D3748" s="9" t="s">
        <v>79</v>
      </c>
      <c r="E3748" s="6" t="s">
        <v>4423</v>
      </c>
      <c r="F3748" s="9" t="s">
        <v>9644</v>
      </c>
    </row>
    <row r="3749" ht="33.75" customHeight="1">
      <c r="A3749" s="7">
        <v>125.0</v>
      </c>
      <c r="B3749" s="9" t="s">
        <v>7865</v>
      </c>
      <c r="C3749" s="9" t="s">
        <v>210</v>
      </c>
      <c r="D3749" s="9" t="s">
        <v>81</v>
      </c>
      <c r="E3749" s="6" t="s">
        <v>4434</v>
      </c>
      <c r="F3749" s="9" t="s">
        <v>9644</v>
      </c>
    </row>
    <row r="3750" ht="33.75" customHeight="1">
      <c r="A3750" s="7">
        <v>125.0</v>
      </c>
      <c r="B3750" s="9" t="s">
        <v>7865</v>
      </c>
      <c r="C3750" s="9" t="s">
        <v>210</v>
      </c>
      <c r="D3750" s="9" t="s">
        <v>84</v>
      </c>
      <c r="E3750" s="6" t="s">
        <v>4434</v>
      </c>
      <c r="F3750" s="9" t="s">
        <v>9644</v>
      </c>
    </row>
    <row r="3751" ht="33.75" customHeight="1">
      <c r="A3751" s="7">
        <v>125.0</v>
      </c>
      <c r="B3751" s="9" t="s">
        <v>7865</v>
      </c>
      <c r="C3751" s="9" t="s">
        <v>210</v>
      </c>
      <c r="D3751" s="9" t="s">
        <v>87</v>
      </c>
      <c r="E3751" s="6" t="s">
        <v>4435</v>
      </c>
      <c r="F3751" s="9" t="s">
        <v>9644</v>
      </c>
    </row>
    <row r="3752" ht="33.75" customHeight="1">
      <c r="A3752" s="7">
        <v>125.0</v>
      </c>
      <c r="B3752" s="9" t="s">
        <v>7865</v>
      </c>
      <c r="C3752" s="9" t="s">
        <v>210</v>
      </c>
      <c r="D3752" s="9" t="s">
        <v>89</v>
      </c>
      <c r="E3752" s="6" t="s">
        <v>4437</v>
      </c>
      <c r="F3752" s="9" t="s">
        <v>9644</v>
      </c>
    </row>
    <row r="3753" ht="33.75" customHeight="1">
      <c r="A3753" s="7">
        <v>125.0</v>
      </c>
      <c r="B3753" s="9" t="s">
        <v>7865</v>
      </c>
      <c r="C3753" s="9" t="s">
        <v>210</v>
      </c>
      <c r="D3753" s="9" t="s">
        <v>91</v>
      </c>
      <c r="E3753" s="6" t="s">
        <v>4439</v>
      </c>
      <c r="F3753" s="9" t="s">
        <v>9644</v>
      </c>
    </row>
    <row r="3754" ht="33.75" customHeight="1">
      <c r="A3754" s="7">
        <v>125.0</v>
      </c>
      <c r="B3754" s="9" t="s">
        <v>7865</v>
      </c>
      <c r="C3754" s="9" t="s">
        <v>210</v>
      </c>
      <c r="D3754" s="9" t="s">
        <v>93</v>
      </c>
      <c r="E3754" s="6" t="s">
        <v>4435</v>
      </c>
      <c r="F3754" s="9" t="s">
        <v>9644</v>
      </c>
    </row>
    <row r="3755" ht="33.75" customHeight="1">
      <c r="A3755" s="7">
        <v>125.0</v>
      </c>
      <c r="B3755" s="9" t="s">
        <v>7865</v>
      </c>
      <c r="C3755" s="9" t="s">
        <v>210</v>
      </c>
      <c r="D3755" s="9" t="s">
        <v>95</v>
      </c>
      <c r="E3755" s="6" t="s">
        <v>4435</v>
      </c>
      <c r="F3755" s="9" t="s">
        <v>9644</v>
      </c>
    </row>
    <row r="3756" ht="33.75" customHeight="1">
      <c r="A3756" s="7">
        <v>125.0</v>
      </c>
      <c r="B3756" s="9" t="s">
        <v>7865</v>
      </c>
      <c r="C3756" s="9" t="s">
        <v>210</v>
      </c>
      <c r="D3756" s="9" t="s">
        <v>98</v>
      </c>
      <c r="E3756" s="6" t="s">
        <v>4442</v>
      </c>
      <c r="F3756" s="9" t="s">
        <v>9644</v>
      </c>
    </row>
    <row r="3757" ht="33.75" customHeight="1">
      <c r="A3757" s="7">
        <v>125.0</v>
      </c>
      <c r="B3757" s="9" t="s">
        <v>7865</v>
      </c>
      <c r="C3757" s="9" t="s">
        <v>210</v>
      </c>
      <c r="D3757" s="9" t="s">
        <v>99</v>
      </c>
      <c r="E3757" s="6" t="s">
        <v>4442</v>
      </c>
      <c r="F3757" s="9" t="s">
        <v>9644</v>
      </c>
    </row>
    <row r="3758" ht="33.75" customHeight="1">
      <c r="A3758" s="7">
        <v>125.0</v>
      </c>
      <c r="B3758" s="9" t="s">
        <v>7865</v>
      </c>
      <c r="C3758" s="9" t="s">
        <v>210</v>
      </c>
      <c r="D3758" s="9" t="s">
        <v>101</v>
      </c>
      <c r="E3758" s="6" t="s">
        <v>4444</v>
      </c>
      <c r="F3758" s="9" t="s">
        <v>9644</v>
      </c>
    </row>
    <row r="3759" ht="33.75" customHeight="1">
      <c r="A3759" s="7">
        <v>125.0</v>
      </c>
      <c r="B3759" s="9" t="s">
        <v>7865</v>
      </c>
      <c r="C3759" s="9" t="s">
        <v>210</v>
      </c>
      <c r="D3759" s="9" t="s">
        <v>105</v>
      </c>
      <c r="E3759" s="6" t="s">
        <v>4433</v>
      </c>
      <c r="F3759" s="9" t="s">
        <v>9644</v>
      </c>
    </row>
    <row r="3760" ht="33.75" customHeight="1">
      <c r="A3760" s="7">
        <v>125.0</v>
      </c>
      <c r="B3760" s="9" t="s">
        <v>7865</v>
      </c>
      <c r="C3760" s="9" t="s">
        <v>210</v>
      </c>
      <c r="D3760" s="9" t="s">
        <v>107</v>
      </c>
      <c r="E3760" s="6" t="s">
        <v>4445</v>
      </c>
      <c r="F3760" s="9" t="s">
        <v>9644</v>
      </c>
    </row>
    <row r="3761" ht="33.75" customHeight="1">
      <c r="A3761" s="7">
        <v>125.0</v>
      </c>
      <c r="B3761" s="9" t="s">
        <v>7865</v>
      </c>
      <c r="C3761" s="9" t="s">
        <v>210</v>
      </c>
      <c r="D3761" s="9" t="s">
        <v>109</v>
      </c>
      <c r="E3761" s="6" t="s">
        <v>4445</v>
      </c>
      <c r="F3761" s="9" t="s">
        <v>9644</v>
      </c>
    </row>
    <row r="3762" ht="33.75" customHeight="1">
      <c r="A3762" s="7">
        <v>125.0</v>
      </c>
      <c r="B3762" s="9" t="s">
        <v>7865</v>
      </c>
      <c r="C3762" s="9" t="s">
        <v>210</v>
      </c>
      <c r="D3762" s="9" t="s">
        <v>637</v>
      </c>
      <c r="E3762" s="6" t="s">
        <v>4446</v>
      </c>
      <c r="F3762" s="9" t="s">
        <v>9644</v>
      </c>
    </row>
    <row r="3763" ht="33.75" customHeight="1">
      <c r="A3763" s="7">
        <v>125.0</v>
      </c>
      <c r="B3763" s="9" t="s">
        <v>7865</v>
      </c>
      <c r="C3763" s="9" t="s">
        <v>210</v>
      </c>
      <c r="D3763" s="9" t="s">
        <v>642</v>
      </c>
      <c r="E3763" s="6" t="s">
        <v>4448</v>
      </c>
      <c r="F3763" s="9" t="s">
        <v>9644</v>
      </c>
    </row>
    <row r="3764" ht="33.75" customHeight="1">
      <c r="A3764" s="7">
        <v>125.0</v>
      </c>
      <c r="B3764" s="9" t="s">
        <v>7865</v>
      </c>
      <c r="C3764" s="9" t="s">
        <v>210</v>
      </c>
      <c r="D3764" s="9" t="s">
        <v>647</v>
      </c>
      <c r="E3764" s="6" t="s">
        <v>4450</v>
      </c>
      <c r="F3764" s="9" t="s">
        <v>9644</v>
      </c>
    </row>
    <row r="3765" ht="33.75" customHeight="1">
      <c r="A3765" s="7">
        <v>125.0</v>
      </c>
      <c r="B3765" s="9" t="s">
        <v>7865</v>
      </c>
      <c r="C3765" s="9" t="s">
        <v>210</v>
      </c>
      <c r="D3765" s="9" t="s">
        <v>652</v>
      </c>
      <c r="E3765" s="6" t="s">
        <v>4452</v>
      </c>
      <c r="F3765" s="9" t="s">
        <v>9644</v>
      </c>
    </row>
    <row r="3766" ht="33.75" customHeight="1">
      <c r="A3766" s="7">
        <v>125.0</v>
      </c>
      <c r="B3766" s="9" t="s">
        <v>7865</v>
      </c>
      <c r="C3766" s="9" t="s">
        <v>210</v>
      </c>
      <c r="D3766" s="9" t="s">
        <v>111</v>
      </c>
      <c r="E3766" s="6" t="s">
        <v>4454</v>
      </c>
      <c r="F3766" s="9" t="s">
        <v>9644</v>
      </c>
    </row>
    <row r="3767" ht="33.75" customHeight="1">
      <c r="A3767" s="7">
        <v>125.0</v>
      </c>
      <c r="B3767" s="9" t="s">
        <v>7865</v>
      </c>
      <c r="C3767" s="9" t="s">
        <v>210</v>
      </c>
      <c r="D3767" s="9" t="s">
        <v>113</v>
      </c>
      <c r="E3767" s="6" t="s">
        <v>4454</v>
      </c>
      <c r="F3767" s="9" t="s">
        <v>9644</v>
      </c>
    </row>
    <row r="3768" ht="33.75" customHeight="1">
      <c r="A3768" s="7">
        <v>125.0</v>
      </c>
      <c r="B3768" s="9" t="s">
        <v>7865</v>
      </c>
      <c r="C3768" s="9" t="s">
        <v>210</v>
      </c>
      <c r="D3768" s="9" t="s">
        <v>114</v>
      </c>
      <c r="E3768" s="6" t="s">
        <v>4456</v>
      </c>
      <c r="F3768" s="9" t="s">
        <v>9644</v>
      </c>
    </row>
    <row r="3769" ht="33.75" customHeight="1">
      <c r="A3769" s="7">
        <v>125.0</v>
      </c>
      <c r="B3769" s="9" t="s">
        <v>7865</v>
      </c>
      <c r="C3769" s="9" t="s">
        <v>210</v>
      </c>
      <c r="D3769" s="9" t="s">
        <v>117</v>
      </c>
      <c r="E3769" s="6" t="s">
        <v>4457</v>
      </c>
      <c r="F3769" s="9" t="s">
        <v>9644</v>
      </c>
    </row>
    <row r="3770" ht="33.75" customHeight="1">
      <c r="A3770" s="7">
        <v>125.0</v>
      </c>
      <c r="B3770" s="9" t="s">
        <v>7865</v>
      </c>
      <c r="C3770" s="9" t="s">
        <v>210</v>
      </c>
      <c r="D3770" s="9" t="s">
        <v>1577</v>
      </c>
      <c r="E3770" s="6" t="s">
        <v>4459</v>
      </c>
      <c r="F3770" s="9" t="s">
        <v>9644</v>
      </c>
    </row>
    <row r="3771" ht="33.75" customHeight="1">
      <c r="A3771" s="7">
        <v>126.0</v>
      </c>
      <c r="B3771" s="9" t="s">
        <v>7930</v>
      </c>
      <c r="C3771" s="9" t="s">
        <v>212</v>
      </c>
      <c r="D3771" s="9" t="s">
        <v>24</v>
      </c>
      <c r="E3771" s="6" t="s">
        <v>4461</v>
      </c>
      <c r="F3771" s="9" t="s">
        <v>9722</v>
      </c>
      <c r="G3771" t="inlineStr" s="6">
        <is>
          <t xml:space="preserve">Magmar's body always burns with an orange glow that enables it to hide perfectly among flames. Born in an active volcano. Its body is always cloaked in flames, so it looks like a big ball of fire. It dislikes cold places, so it blows scorching flames to make the environment suit able for itself. The fiery surface of its body gives off a wavering, rippling glare that is similar to the sun. It moves more frequently in hot areas. It can heal itself by dipping its wound into lava. In battle, MAGMAR blows out intensely hot flames from all over its body to intimidate its opponent. This POKéMON’s fiery bursts create heat waves that ignite grass and trees in its surroundings. In battle, it blows out intense flames from all over its body to intimidate its foe. These fiery bursts create heat waves that ignite grass and trees in the area. Found near the mouth of a volcano. This fire-breather’s body temperature is nearly 2,200 degrees Fahrenheit. Its body always burns with an orange glow that enables it to hide perfectly amidst flames. Born in the spout of a volcano, its body is covered by flames that shimmer like the sun. When it breathes deeply, heat waves form around its body, making it hard to see clearly. It dislikes cold places, so it blows scorching flames to make the environment suitable for itself. The scorching fire exhaled by Magmar forms heat waves around its body, making it hard to see the Pokémon clearly. When it’s tired, it leaps into the mouth of a volcano and soaks its body in magma to ease its weariness. Its body burns at 2,192 degrees F. When angered, it spouts brilliant fire from all over its body. It doesn’t calm down until its opponent has burned to ash. Its entire body is burning. When it breathes, the temperature rises. When it sneezes, flames shoot out! The hotter the place, the better they feel. Magmar in Alola are said to be hardier than those in other areas. Magmar dispatches its prey with fire. But it regrets this habit once it realizes that it has burned its intended prey to a charred crisp. These Pokémon’s bodies are constantly burning. Magmar are feared as one of the causes behind fires. Legend has it that this Pokémon was born from the crater of a volcano. When wounded, it bathes in lava to heal its body, much as one would soak in a hot spring.</t>
        </is>
      </c>
    </row>
    <row r="3772" ht="33.75" customHeight="1">
      <c r="A3772" s="7">
        <v>126.0</v>
      </c>
      <c r="B3772" s="9" t="s">
        <v>7930</v>
      </c>
      <c r="C3772" s="9" t="s">
        <v>212</v>
      </c>
      <c r="D3772" s="9" t="s">
        <v>35</v>
      </c>
      <c r="E3772" s="6" t="s">
        <v>4461</v>
      </c>
      <c r="F3772" s="9" t="s">
        <v>9722</v>
      </c>
    </row>
    <row r="3773" ht="33.75" customHeight="1">
      <c r="A3773" s="7">
        <v>126.0</v>
      </c>
      <c r="B3773" s="9" t="s">
        <v>7930</v>
      </c>
      <c r="C3773" s="9" t="s">
        <v>212</v>
      </c>
      <c r="D3773" s="9" t="s">
        <v>42</v>
      </c>
      <c r="E3773" s="6" t="s">
        <v>4462</v>
      </c>
      <c r="F3773" s="9" t="s">
        <v>9722</v>
      </c>
    </row>
    <row r="3774" ht="33.75" customHeight="1">
      <c r="A3774" s="7">
        <v>126.0</v>
      </c>
      <c r="B3774" s="9" t="s">
        <v>7930</v>
      </c>
      <c r="C3774" s="9" t="s">
        <v>212</v>
      </c>
      <c r="D3774" s="9" t="s">
        <v>52</v>
      </c>
      <c r="E3774" s="6" t="s">
        <v>4464</v>
      </c>
      <c r="F3774" s="9" t="s">
        <v>9722</v>
      </c>
    </row>
    <row r="3775" ht="33.75" customHeight="1">
      <c r="A3775" s="7">
        <v>126.0</v>
      </c>
      <c r="B3775" s="9" t="s">
        <v>7930</v>
      </c>
      <c r="C3775" s="9" t="s">
        <v>212</v>
      </c>
      <c r="D3775" s="9" t="s">
        <v>59</v>
      </c>
      <c r="E3775" s="6" t="s">
        <v>4465</v>
      </c>
      <c r="F3775" s="9" t="s">
        <v>9722</v>
      </c>
    </row>
    <row r="3776" ht="33.75" customHeight="1">
      <c r="A3776" s="7">
        <v>126.0</v>
      </c>
      <c r="B3776" s="9" t="s">
        <v>7930</v>
      </c>
      <c r="C3776" s="9" t="s">
        <v>212</v>
      </c>
      <c r="D3776" s="9" t="s">
        <v>64</v>
      </c>
      <c r="E3776" s="6" t="s">
        <v>4467</v>
      </c>
      <c r="F3776" s="9" t="s">
        <v>9722</v>
      </c>
    </row>
    <row r="3777" ht="33.75" customHeight="1">
      <c r="A3777" s="7">
        <v>126.0</v>
      </c>
      <c r="B3777" s="9" t="s">
        <v>7930</v>
      </c>
      <c r="C3777" s="9" t="s">
        <v>212</v>
      </c>
      <c r="D3777" s="9" t="s">
        <v>67</v>
      </c>
      <c r="E3777" s="6" t="s">
        <v>4469</v>
      </c>
      <c r="F3777" s="9" t="s">
        <v>9722</v>
      </c>
    </row>
    <row r="3778" ht="33.75" customHeight="1">
      <c r="A3778" s="7">
        <v>126.0</v>
      </c>
      <c r="B3778" s="9" t="s">
        <v>7930</v>
      </c>
      <c r="C3778" s="9" t="s">
        <v>212</v>
      </c>
      <c r="D3778" s="9" t="s">
        <v>71</v>
      </c>
      <c r="E3778" s="6" t="s">
        <v>4469</v>
      </c>
      <c r="F3778" s="9" t="s">
        <v>9722</v>
      </c>
    </row>
    <row r="3779" ht="33.75" customHeight="1">
      <c r="A3779" s="7">
        <v>126.0</v>
      </c>
      <c r="B3779" s="9" t="s">
        <v>7930</v>
      </c>
      <c r="C3779" s="9" t="s">
        <v>212</v>
      </c>
      <c r="D3779" s="9" t="s">
        <v>73</v>
      </c>
      <c r="E3779" s="6" t="s">
        <v>4470</v>
      </c>
      <c r="F3779" s="9" t="s">
        <v>9722</v>
      </c>
    </row>
    <row r="3780" ht="33.75" customHeight="1">
      <c r="A3780" s="7">
        <v>126.0</v>
      </c>
      <c r="B3780" s="9" t="s">
        <v>7930</v>
      </c>
      <c r="C3780" s="9" t="s">
        <v>212</v>
      </c>
      <c r="D3780" s="9" t="s">
        <v>75</v>
      </c>
      <c r="E3780" s="6" t="s">
        <v>4471</v>
      </c>
      <c r="F3780" s="9" t="s">
        <v>9722</v>
      </c>
    </row>
    <row r="3781" ht="33.75" customHeight="1">
      <c r="A3781" s="7">
        <v>126.0</v>
      </c>
      <c r="B3781" s="9" t="s">
        <v>7930</v>
      </c>
      <c r="C3781" s="9" t="s">
        <v>212</v>
      </c>
      <c r="D3781" s="9" t="s">
        <v>79</v>
      </c>
      <c r="E3781" s="6" t="s">
        <v>4472</v>
      </c>
      <c r="F3781" s="9" t="s">
        <v>9722</v>
      </c>
    </row>
    <row r="3782" ht="33.75" customHeight="1">
      <c r="A3782" s="7">
        <v>126.0</v>
      </c>
      <c r="B3782" s="9" t="s">
        <v>7930</v>
      </c>
      <c r="C3782" s="9" t="s">
        <v>212</v>
      </c>
      <c r="D3782" s="9" t="s">
        <v>81</v>
      </c>
      <c r="E3782" s="6" t="s">
        <v>4473</v>
      </c>
      <c r="F3782" s="9" t="s">
        <v>9722</v>
      </c>
    </row>
    <row r="3783" ht="33.75" customHeight="1">
      <c r="A3783" s="7">
        <v>126.0</v>
      </c>
      <c r="B3783" s="9" t="s">
        <v>7930</v>
      </c>
      <c r="C3783" s="9" t="s">
        <v>212</v>
      </c>
      <c r="D3783" s="9" t="s">
        <v>84</v>
      </c>
      <c r="E3783" s="6" t="s">
        <v>4473</v>
      </c>
      <c r="F3783" s="9" t="s">
        <v>9722</v>
      </c>
    </row>
    <row r="3784" ht="33.75" customHeight="1">
      <c r="A3784" s="7">
        <v>126.0</v>
      </c>
      <c r="B3784" s="9" t="s">
        <v>7930</v>
      </c>
      <c r="C3784" s="9" t="s">
        <v>212</v>
      </c>
      <c r="D3784" s="9" t="s">
        <v>87</v>
      </c>
      <c r="E3784" s="6" t="s">
        <v>4475</v>
      </c>
      <c r="F3784" s="9" t="s">
        <v>9722</v>
      </c>
    </row>
    <row r="3785" ht="33.75" customHeight="1">
      <c r="A3785" s="7">
        <v>126.0</v>
      </c>
      <c r="B3785" s="9" t="s">
        <v>7930</v>
      </c>
      <c r="C3785" s="9" t="s">
        <v>212</v>
      </c>
      <c r="D3785" s="9" t="s">
        <v>89</v>
      </c>
      <c r="E3785" s="6" t="s">
        <v>4476</v>
      </c>
      <c r="F3785" s="9" t="s">
        <v>9722</v>
      </c>
    </row>
    <row r="3786" ht="33.75" customHeight="1">
      <c r="A3786" s="7">
        <v>126.0</v>
      </c>
      <c r="B3786" s="9" t="s">
        <v>7930</v>
      </c>
      <c r="C3786" s="9" t="s">
        <v>212</v>
      </c>
      <c r="D3786" s="9" t="s">
        <v>91</v>
      </c>
      <c r="E3786" s="6" t="s">
        <v>4465</v>
      </c>
      <c r="F3786" s="9" t="s">
        <v>9722</v>
      </c>
    </row>
    <row r="3787" ht="33.75" customHeight="1">
      <c r="A3787" s="7">
        <v>126.0</v>
      </c>
      <c r="B3787" s="9" t="s">
        <v>7930</v>
      </c>
      <c r="C3787" s="9" t="s">
        <v>212</v>
      </c>
      <c r="D3787" s="9" t="s">
        <v>93</v>
      </c>
      <c r="E3787" s="6" t="s">
        <v>4475</v>
      </c>
      <c r="F3787" s="9" t="s">
        <v>9722</v>
      </c>
    </row>
    <row r="3788" ht="33.75" customHeight="1">
      <c r="A3788" s="7">
        <v>126.0</v>
      </c>
      <c r="B3788" s="9" t="s">
        <v>7930</v>
      </c>
      <c r="C3788" s="9" t="s">
        <v>212</v>
      </c>
      <c r="D3788" s="9" t="s">
        <v>95</v>
      </c>
      <c r="E3788" s="6" t="s">
        <v>4475</v>
      </c>
      <c r="F3788" s="9" t="s">
        <v>9722</v>
      </c>
    </row>
    <row r="3789" ht="33.75" customHeight="1">
      <c r="A3789" s="7">
        <v>126.0</v>
      </c>
      <c r="B3789" s="9" t="s">
        <v>7930</v>
      </c>
      <c r="C3789" s="9" t="s">
        <v>212</v>
      </c>
      <c r="D3789" s="9" t="s">
        <v>98</v>
      </c>
      <c r="E3789" s="6" t="s">
        <v>4477</v>
      </c>
      <c r="F3789" s="9" t="s">
        <v>9722</v>
      </c>
    </row>
    <row r="3790" ht="33.75" customHeight="1">
      <c r="A3790" s="7">
        <v>126.0</v>
      </c>
      <c r="B3790" s="9" t="s">
        <v>7930</v>
      </c>
      <c r="C3790" s="9" t="s">
        <v>212</v>
      </c>
      <c r="D3790" s="9" t="s">
        <v>99</v>
      </c>
      <c r="E3790" s="6" t="s">
        <v>4477</v>
      </c>
      <c r="F3790" s="9" t="s">
        <v>9722</v>
      </c>
    </row>
    <row r="3791" ht="33.75" customHeight="1">
      <c r="A3791" s="7">
        <v>126.0</v>
      </c>
      <c r="B3791" s="9" t="s">
        <v>7930</v>
      </c>
      <c r="C3791" s="9" t="s">
        <v>212</v>
      </c>
      <c r="D3791" s="9" t="s">
        <v>101</v>
      </c>
      <c r="E3791" s="6" t="s">
        <v>4471</v>
      </c>
      <c r="F3791" s="9" t="s">
        <v>9722</v>
      </c>
    </row>
    <row r="3792" ht="33.75" customHeight="1">
      <c r="A3792" s="7">
        <v>126.0</v>
      </c>
      <c r="B3792" s="9" t="s">
        <v>7930</v>
      </c>
      <c r="C3792" s="9" t="s">
        <v>212</v>
      </c>
      <c r="D3792" s="9" t="s">
        <v>105</v>
      </c>
      <c r="E3792" s="6" t="s">
        <v>4473</v>
      </c>
      <c r="F3792" s="9" t="s">
        <v>9722</v>
      </c>
    </row>
    <row r="3793" ht="33.75" customHeight="1">
      <c r="A3793" s="7">
        <v>126.0</v>
      </c>
      <c r="B3793" s="9" t="s">
        <v>7930</v>
      </c>
      <c r="C3793" s="9" t="s">
        <v>212</v>
      </c>
      <c r="D3793" s="9" t="s">
        <v>107</v>
      </c>
      <c r="E3793" s="6" t="s">
        <v>4479</v>
      </c>
      <c r="F3793" s="9" t="s">
        <v>9722</v>
      </c>
    </row>
    <row r="3794" ht="33.75" customHeight="1">
      <c r="A3794" s="7">
        <v>126.0</v>
      </c>
      <c r="B3794" s="9" t="s">
        <v>7930</v>
      </c>
      <c r="C3794" s="9" t="s">
        <v>212</v>
      </c>
      <c r="D3794" s="9" t="s">
        <v>109</v>
      </c>
      <c r="E3794" s="6" t="s">
        <v>4479</v>
      </c>
      <c r="F3794" s="9" t="s">
        <v>9722</v>
      </c>
    </row>
    <row r="3795" ht="33.75" customHeight="1">
      <c r="A3795" s="7">
        <v>126.0</v>
      </c>
      <c r="B3795" s="9" t="s">
        <v>7930</v>
      </c>
      <c r="C3795" s="9" t="s">
        <v>212</v>
      </c>
      <c r="D3795" s="9" t="s">
        <v>637</v>
      </c>
      <c r="E3795" s="6" t="s">
        <v>4480</v>
      </c>
      <c r="F3795" s="9" t="s">
        <v>9722</v>
      </c>
    </row>
    <row r="3796" ht="33.75" customHeight="1">
      <c r="A3796" s="7">
        <v>126.0</v>
      </c>
      <c r="B3796" s="9" t="s">
        <v>7930</v>
      </c>
      <c r="C3796" s="9" t="s">
        <v>212</v>
      </c>
      <c r="D3796" s="9" t="s">
        <v>642</v>
      </c>
      <c r="E3796" s="6" t="s">
        <v>4481</v>
      </c>
      <c r="F3796" s="9" t="s">
        <v>9722</v>
      </c>
    </row>
    <row r="3797" ht="33.75" customHeight="1">
      <c r="A3797" s="7">
        <v>126.0</v>
      </c>
      <c r="B3797" s="9" t="s">
        <v>7930</v>
      </c>
      <c r="C3797" s="9" t="s">
        <v>212</v>
      </c>
      <c r="D3797" s="9" t="s">
        <v>647</v>
      </c>
      <c r="E3797" s="6" t="s">
        <v>4483</v>
      </c>
      <c r="F3797" s="9" t="s">
        <v>9722</v>
      </c>
    </row>
    <row r="3798" ht="33.75" customHeight="1">
      <c r="A3798" s="7">
        <v>126.0</v>
      </c>
      <c r="B3798" s="9" t="s">
        <v>7930</v>
      </c>
      <c r="C3798" s="9" t="s">
        <v>212</v>
      </c>
      <c r="D3798" s="9" t="s">
        <v>652</v>
      </c>
      <c r="E3798" s="6" t="s">
        <v>4484</v>
      </c>
      <c r="F3798" s="9" t="s">
        <v>9722</v>
      </c>
    </row>
    <row r="3799" ht="33.75" customHeight="1">
      <c r="A3799" s="7">
        <v>126.0</v>
      </c>
      <c r="B3799" s="9" t="s">
        <v>7930</v>
      </c>
      <c r="C3799" s="9" t="s">
        <v>212</v>
      </c>
      <c r="D3799" s="9" t="s">
        <v>111</v>
      </c>
      <c r="E3799" s="6" t="s">
        <v>4462</v>
      </c>
      <c r="F3799" s="9" t="s">
        <v>9722</v>
      </c>
    </row>
    <row r="3800" ht="33.75" customHeight="1">
      <c r="A3800" s="7">
        <v>126.0</v>
      </c>
      <c r="B3800" s="9" t="s">
        <v>7930</v>
      </c>
      <c r="C3800" s="9" t="s">
        <v>212</v>
      </c>
      <c r="D3800" s="9" t="s">
        <v>113</v>
      </c>
      <c r="E3800" s="6" t="s">
        <v>4462</v>
      </c>
      <c r="F3800" s="9" t="s">
        <v>9722</v>
      </c>
    </row>
    <row r="3801" ht="33.75" customHeight="1">
      <c r="A3801" s="7">
        <v>126.0</v>
      </c>
      <c r="B3801" s="9" t="s">
        <v>7930</v>
      </c>
      <c r="C3801" s="9" t="s">
        <v>212</v>
      </c>
      <c r="D3801" s="9" t="s">
        <v>114</v>
      </c>
      <c r="E3801" s="6" t="s">
        <v>4485</v>
      </c>
      <c r="F3801" s="9" t="s">
        <v>9722</v>
      </c>
    </row>
    <row r="3802" ht="33.75" customHeight="1">
      <c r="A3802" s="7">
        <v>126.0</v>
      </c>
      <c r="B3802" s="9" t="s">
        <v>7930</v>
      </c>
      <c r="C3802" s="9" t="s">
        <v>212</v>
      </c>
      <c r="D3802" s="9" t="s">
        <v>117</v>
      </c>
      <c r="E3802" s="6" t="s">
        <v>4487</v>
      </c>
      <c r="F3802" s="9" t="s">
        <v>9722</v>
      </c>
    </row>
    <row r="3803" ht="33.75" customHeight="1">
      <c r="A3803" s="7">
        <v>126.0</v>
      </c>
      <c r="B3803" s="9" t="s">
        <v>7930</v>
      </c>
      <c r="C3803" s="9" t="s">
        <v>212</v>
      </c>
      <c r="D3803" s="9" t="s">
        <v>1577</v>
      </c>
      <c r="E3803" s="6" t="s">
        <v>4488</v>
      </c>
      <c r="F3803" s="9" t="s">
        <v>9722</v>
      </c>
    </row>
    <row r="3804" ht="33.75" customHeight="1">
      <c r="A3804" s="7">
        <v>127.0</v>
      </c>
      <c r="B3804" s="9" t="s">
        <v>7991</v>
      </c>
      <c r="C3804" s="9" t="s">
        <v>214</v>
      </c>
      <c r="D3804" s="9" t="s">
        <v>24</v>
      </c>
      <c r="E3804" s="6" t="s">
        <v>4490</v>
      </c>
      <c r="F3804" s="9" t="s">
        <v>9794</v>
      </c>
      <c r="G3804" t="inlineStr" s="6">
        <is>
          <t xml:space="preserve">If it fails to crush the victim in Pinsir's pincers, it will swing it around and toss it hard. Grips its prey in its pincers and squeezes hard! It can't move if it's cold, so it lives in warm places. With its horns, it digs burrows to sleep in at night. In the morning, damp soil clings to its body. Swings its long antlers wildly to attack. During cold periods, it hides deep in forests. When the temperature drops at night, it sleeps on treetops or among roots where it is well hidden. PINSIR is astoundingly strong. It can grip a foe weighing twice its weight in its horns and easily lift it. This POKéMON’s movements turn sluggish in cold places. PINSIR has a pair of massive horns Protruding from the surface of these horns are thorns. These thorns are driven deeply into the foe’s body when the pincer closes, making it tough for the foe to escape. Their pincers are strong enough to shatter thick logs. Because they dislike cold, PINSIR burrow and sleep under the ground on chilly nights. Its two long pincer horns are powerful. Once they grip an enemy, they won’t release until the foe is torn. If it fails to crush the foe in its pincers, it will swing around and toss the opponent. It grips prey with its pincers until the prey is torn in half. What it can’t tear, it tosses far. With its pincer horns, it digs burrows to sleep in at night. It swings its long pincer horns wildly to attack. It grips prey with its powerful pincers and will not let go until the prey is torn in half. Pinsir has a pair of massive horns. Protruding from the surface of these horns are thorns. It grips its prey in its pincers and splits them apart. Although it is a powerful Pokémon, it can’t deal with the cold. One solid blow from its horns is enough to split apart a large tree. Its greatest rival in Alola is Vikavolt. It gets into territorial disputes with Vikavolt. For some reason, it apparently gets along well with Heracross in Alola. Although it’s tough, it can’t handle cold well. When night falls, it buries itself in leafage and sleeps. It can’t move if it’s cold out, so it lives in warm places. These Pokémon judge one another based on pincers. Thicker, more impressive pincers make for more popularity with the opposite gender. This Pokémon clamps its pincers down on its prey and then either splits the prey in half or flings it away.</t>
        </is>
      </c>
    </row>
    <row r="3805" ht="33.75" customHeight="1">
      <c r="A3805" s="7">
        <v>127.0</v>
      </c>
      <c r="B3805" s="9" t="s">
        <v>7991</v>
      </c>
      <c r="C3805" s="9" t="s">
        <v>214</v>
      </c>
      <c r="D3805" s="9" t="s">
        <v>35</v>
      </c>
      <c r="E3805" s="6" t="s">
        <v>4490</v>
      </c>
      <c r="F3805" s="9" t="s">
        <v>9794</v>
      </c>
    </row>
    <row r="3806" ht="33.75" customHeight="1">
      <c r="A3806" s="7">
        <v>127.0</v>
      </c>
      <c r="B3806" s="9" t="s">
        <v>7991</v>
      </c>
      <c r="C3806" s="9" t="s">
        <v>214</v>
      </c>
      <c r="D3806" s="9" t="s">
        <v>42</v>
      </c>
      <c r="E3806" s="6" t="s">
        <v>4492</v>
      </c>
      <c r="F3806" s="9" t="s">
        <v>9794</v>
      </c>
    </row>
    <row r="3807" ht="33.75" customHeight="1">
      <c r="A3807" s="7">
        <v>127.0</v>
      </c>
      <c r="B3807" s="9" t="s">
        <v>7991</v>
      </c>
      <c r="C3807" s="9" t="s">
        <v>214</v>
      </c>
      <c r="D3807" s="9" t="s">
        <v>52</v>
      </c>
      <c r="E3807" s="6" t="s">
        <v>4494</v>
      </c>
      <c r="F3807" s="9" t="s">
        <v>9794</v>
      </c>
    </row>
    <row r="3808" ht="33.75" customHeight="1">
      <c r="A3808" s="7">
        <v>127.0</v>
      </c>
      <c r="B3808" s="9" t="s">
        <v>7991</v>
      </c>
      <c r="C3808" s="9" t="s">
        <v>214</v>
      </c>
      <c r="D3808" s="9" t="s">
        <v>59</v>
      </c>
      <c r="E3808" s="6" t="s">
        <v>4495</v>
      </c>
      <c r="F3808" s="9" t="s">
        <v>9794</v>
      </c>
    </row>
    <row r="3809" ht="33.75" customHeight="1">
      <c r="A3809" s="7">
        <v>127.0</v>
      </c>
      <c r="B3809" s="9" t="s">
        <v>7991</v>
      </c>
      <c r="C3809" s="9" t="s">
        <v>214</v>
      </c>
      <c r="D3809" s="9" t="s">
        <v>64</v>
      </c>
      <c r="E3809" s="6" t="s">
        <v>4497</v>
      </c>
      <c r="F3809" s="9" t="s">
        <v>9794</v>
      </c>
    </row>
    <row r="3810" ht="33.75" customHeight="1">
      <c r="A3810" s="7">
        <v>127.0</v>
      </c>
      <c r="B3810" s="9" t="s">
        <v>7991</v>
      </c>
      <c r="C3810" s="9" t="s">
        <v>214</v>
      </c>
      <c r="D3810" s="9" t="s">
        <v>67</v>
      </c>
      <c r="E3810" s="6" t="s">
        <v>4499</v>
      </c>
      <c r="F3810" s="9" t="s">
        <v>9794</v>
      </c>
    </row>
    <row r="3811" ht="33.75" customHeight="1">
      <c r="A3811" s="7">
        <v>127.0</v>
      </c>
      <c r="B3811" s="9" t="s">
        <v>7991</v>
      </c>
      <c r="C3811" s="9" t="s">
        <v>214</v>
      </c>
      <c r="D3811" s="9" t="s">
        <v>71</v>
      </c>
      <c r="E3811" s="6" t="s">
        <v>4500</v>
      </c>
      <c r="F3811" s="9" t="s">
        <v>9794</v>
      </c>
    </row>
    <row r="3812" ht="33.75" customHeight="1">
      <c r="A3812" s="7">
        <v>127.0</v>
      </c>
      <c r="B3812" s="9" t="s">
        <v>7991</v>
      </c>
      <c r="C3812" s="9" t="s">
        <v>214</v>
      </c>
      <c r="D3812" s="9" t="s">
        <v>73</v>
      </c>
      <c r="E3812" s="6" t="s">
        <v>4501</v>
      </c>
      <c r="F3812" s="9" t="s">
        <v>9794</v>
      </c>
    </row>
    <row r="3813" ht="33.75" customHeight="1">
      <c r="A3813" s="7">
        <v>127.0</v>
      </c>
      <c r="B3813" s="9" t="s">
        <v>7991</v>
      </c>
      <c r="C3813" s="9" t="s">
        <v>214</v>
      </c>
      <c r="D3813" s="9" t="s">
        <v>75</v>
      </c>
      <c r="E3813" s="6" t="s">
        <v>4502</v>
      </c>
      <c r="F3813" s="9" t="s">
        <v>9794</v>
      </c>
    </row>
    <row r="3814" ht="33.75" customHeight="1">
      <c r="A3814" s="7">
        <v>127.0</v>
      </c>
      <c r="B3814" s="9" t="s">
        <v>7991</v>
      </c>
      <c r="C3814" s="9" t="s">
        <v>214</v>
      </c>
      <c r="D3814" s="9" t="s">
        <v>79</v>
      </c>
      <c r="E3814" s="6" t="s">
        <v>4504</v>
      </c>
      <c r="F3814" s="9" t="s">
        <v>9794</v>
      </c>
    </row>
    <row r="3815" ht="33.75" customHeight="1">
      <c r="A3815" s="7">
        <v>127.0</v>
      </c>
      <c r="B3815" s="9" t="s">
        <v>7991</v>
      </c>
      <c r="C3815" s="9" t="s">
        <v>214</v>
      </c>
      <c r="D3815" s="9" t="s">
        <v>81</v>
      </c>
      <c r="E3815" s="6" t="s">
        <v>4506</v>
      </c>
      <c r="F3815" s="9" t="s">
        <v>9794</v>
      </c>
    </row>
    <row r="3816" ht="33.75" customHeight="1">
      <c r="A3816" s="7">
        <v>127.0</v>
      </c>
      <c r="B3816" s="9" t="s">
        <v>7991</v>
      </c>
      <c r="C3816" s="9" t="s">
        <v>214</v>
      </c>
      <c r="D3816" s="9" t="s">
        <v>84</v>
      </c>
      <c r="E3816" s="6" t="s">
        <v>4506</v>
      </c>
      <c r="F3816" s="9" t="s">
        <v>9794</v>
      </c>
    </row>
    <row r="3817" ht="33.75" customHeight="1">
      <c r="A3817" s="7">
        <v>127.0</v>
      </c>
      <c r="B3817" s="9" t="s">
        <v>7991</v>
      </c>
      <c r="C3817" s="9" t="s">
        <v>214</v>
      </c>
      <c r="D3817" s="9" t="s">
        <v>87</v>
      </c>
      <c r="E3817" s="6" t="s">
        <v>4506</v>
      </c>
      <c r="F3817" s="9" t="s">
        <v>9794</v>
      </c>
    </row>
    <row r="3818" ht="33.75" customHeight="1">
      <c r="A3818" s="7">
        <v>127.0</v>
      </c>
      <c r="B3818" s="9" t="s">
        <v>7991</v>
      </c>
      <c r="C3818" s="9" t="s">
        <v>214</v>
      </c>
      <c r="D3818" s="9" t="s">
        <v>89</v>
      </c>
      <c r="E3818" s="6" t="s">
        <v>4508</v>
      </c>
      <c r="F3818" s="9" t="s">
        <v>9794</v>
      </c>
    </row>
    <row r="3819" ht="33.75" customHeight="1">
      <c r="A3819" s="7">
        <v>127.0</v>
      </c>
      <c r="B3819" s="9" t="s">
        <v>7991</v>
      </c>
      <c r="C3819" s="9" t="s">
        <v>214</v>
      </c>
      <c r="D3819" s="9" t="s">
        <v>91</v>
      </c>
      <c r="E3819" s="6" t="s">
        <v>4511</v>
      </c>
      <c r="F3819" s="9" t="s">
        <v>9794</v>
      </c>
    </row>
    <row r="3820" ht="33.75" customHeight="1">
      <c r="A3820" s="7">
        <v>127.0</v>
      </c>
      <c r="B3820" s="9" t="s">
        <v>7991</v>
      </c>
      <c r="C3820" s="9" t="s">
        <v>214</v>
      </c>
      <c r="D3820" s="9" t="s">
        <v>93</v>
      </c>
      <c r="E3820" s="6" t="s">
        <v>4506</v>
      </c>
      <c r="F3820" s="9" t="s">
        <v>9794</v>
      </c>
    </row>
    <row r="3821" ht="33.75" customHeight="1">
      <c r="A3821" s="7">
        <v>127.0</v>
      </c>
      <c r="B3821" s="9" t="s">
        <v>7991</v>
      </c>
      <c r="C3821" s="9" t="s">
        <v>214</v>
      </c>
      <c r="D3821" s="9" t="s">
        <v>95</v>
      </c>
      <c r="E3821" s="6" t="s">
        <v>4506</v>
      </c>
      <c r="F3821" s="9" t="s">
        <v>9794</v>
      </c>
    </row>
    <row r="3822" ht="33.75" customHeight="1">
      <c r="A3822" s="7">
        <v>127.0</v>
      </c>
      <c r="B3822" s="9" t="s">
        <v>7991</v>
      </c>
      <c r="C3822" s="9" t="s">
        <v>214</v>
      </c>
      <c r="D3822" s="9" t="s">
        <v>98</v>
      </c>
      <c r="E3822" s="6" t="s">
        <v>4513</v>
      </c>
      <c r="F3822" s="9" t="s">
        <v>9794</v>
      </c>
    </row>
    <row r="3823" ht="33.75" customHeight="1">
      <c r="A3823" s="7">
        <v>127.0</v>
      </c>
      <c r="B3823" s="9" t="s">
        <v>7991</v>
      </c>
      <c r="C3823" s="9" t="s">
        <v>214</v>
      </c>
      <c r="D3823" s="9" t="s">
        <v>99</v>
      </c>
      <c r="E3823" s="6" t="s">
        <v>4513</v>
      </c>
      <c r="F3823" s="9" t="s">
        <v>9794</v>
      </c>
    </row>
    <row r="3824" ht="33.75" customHeight="1">
      <c r="A3824" s="7">
        <v>127.0</v>
      </c>
      <c r="B3824" s="9" t="s">
        <v>7991</v>
      </c>
      <c r="C3824" s="9" t="s">
        <v>214</v>
      </c>
      <c r="D3824" s="9" t="s">
        <v>101</v>
      </c>
      <c r="E3824" s="6" t="s">
        <v>4506</v>
      </c>
      <c r="F3824" s="9" t="s">
        <v>9794</v>
      </c>
    </row>
    <row r="3825" ht="33.75" customHeight="1">
      <c r="A3825" s="7">
        <v>127.0</v>
      </c>
      <c r="B3825" s="9" t="s">
        <v>7991</v>
      </c>
      <c r="C3825" s="9" t="s">
        <v>214</v>
      </c>
      <c r="D3825" s="9" t="s">
        <v>105</v>
      </c>
      <c r="E3825" s="6" t="s">
        <v>4511</v>
      </c>
      <c r="F3825" s="9" t="s">
        <v>9794</v>
      </c>
    </row>
    <row r="3826" ht="33.75" customHeight="1">
      <c r="A3826" s="7">
        <v>127.0</v>
      </c>
      <c r="B3826" s="9" t="s">
        <v>7991</v>
      </c>
      <c r="C3826" s="9" t="s">
        <v>214</v>
      </c>
      <c r="D3826" s="9" t="s">
        <v>107</v>
      </c>
      <c r="E3826" s="6" t="s">
        <v>4514</v>
      </c>
      <c r="F3826" s="9" t="s">
        <v>9794</v>
      </c>
    </row>
    <row r="3827" ht="33.75" customHeight="1">
      <c r="A3827" s="7">
        <v>127.0</v>
      </c>
      <c r="B3827" s="9" t="s">
        <v>7991</v>
      </c>
      <c r="C3827" s="9" t="s">
        <v>214</v>
      </c>
      <c r="D3827" s="9" t="s">
        <v>109</v>
      </c>
      <c r="E3827" s="6" t="s">
        <v>4515</v>
      </c>
      <c r="F3827" s="9" t="s">
        <v>9794</v>
      </c>
    </row>
    <row r="3828" ht="33.75" customHeight="1">
      <c r="A3828" s="7">
        <v>127.0</v>
      </c>
      <c r="B3828" s="9" t="s">
        <v>7991</v>
      </c>
      <c r="C3828" s="9" t="s">
        <v>214</v>
      </c>
      <c r="D3828" s="9" t="s">
        <v>637</v>
      </c>
      <c r="E3828" s="6" t="s">
        <v>4517</v>
      </c>
      <c r="F3828" s="9" t="s">
        <v>9794</v>
      </c>
    </row>
    <row r="3829" ht="33.75" customHeight="1">
      <c r="A3829" s="7">
        <v>127.0</v>
      </c>
      <c r="B3829" s="9" t="s">
        <v>7991</v>
      </c>
      <c r="C3829" s="9" t="s">
        <v>214</v>
      </c>
      <c r="D3829" s="9" t="s">
        <v>642</v>
      </c>
      <c r="E3829" s="6" t="s">
        <v>4519</v>
      </c>
      <c r="F3829" s="9" t="s">
        <v>9794</v>
      </c>
    </row>
    <row r="3830" ht="33.75" customHeight="1">
      <c r="A3830" s="7">
        <v>127.0</v>
      </c>
      <c r="B3830" s="9" t="s">
        <v>7991</v>
      </c>
      <c r="C3830" s="9" t="s">
        <v>214</v>
      </c>
      <c r="D3830" s="9" t="s">
        <v>647</v>
      </c>
      <c r="E3830" s="6" t="s">
        <v>4521</v>
      </c>
      <c r="F3830" s="9" t="s">
        <v>9794</v>
      </c>
    </row>
    <row r="3831" ht="33.75" customHeight="1">
      <c r="A3831" s="7">
        <v>127.0</v>
      </c>
      <c r="B3831" s="9" t="s">
        <v>7991</v>
      </c>
      <c r="C3831" s="9" t="s">
        <v>214</v>
      </c>
      <c r="D3831" s="9" t="s">
        <v>652</v>
      </c>
      <c r="E3831" s="6" t="s">
        <v>4524</v>
      </c>
      <c r="F3831" s="9" t="s">
        <v>9794</v>
      </c>
    </row>
    <row r="3832" ht="33.75" customHeight="1">
      <c r="A3832" s="7">
        <v>127.0</v>
      </c>
      <c r="B3832" s="9" t="s">
        <v>7991</v>
      </c>
      <c r="C3832" s="9" t="s">
        <v>214</v>
      </c>
      <c r="D3832" s="9" t="s">
        <v>111</v>
      </c>
      <c r="E3832" s="6" t="s">
        <v>4526</v>
      </c>
      <c r="F3832" s="9" t="s">
        <v>9794</v>
      </c>
    </row>
    <row r="3833" ht="33.75" customHeight="1">
      <c r="A3833" s="7">
        <v>127.0</v>
      </c>
      <c r="B3833" s="9" t="s">
        <v>7991</v>
      </c>
      <c r="C3833" s="9" t="s">
        <v>214</v>
      </c>
      <c r="D3833" s="9" t="s">
        <v>113</v>
      </c>
      <c r="E3833" s="6" t="s">
        <v>4526</v>
      </c>
      <c r="F3833" s="9" t="s">
        <v>9794</v>
      </c>
    </row>
    <row r="3834" ht="33.75" customHeight="1">
      <c r="A3834" s="7">
        <v>127.0</v>
      </c>
      <c r="B3834" s="9" t="s">
        <v>7991</v>
      </c>
      <c r="C3834" s="9" t="s">
        <v>214</v>
      </c>
      <c r="D3834" s="9" t="s">
        <v>114</v>
      </c>
      <c r="E3834" s="6" t="s">
        <v>4527</v>
      </c>
      <c r="F3834" s="9" t="s">
        <v>9794</v>
      </c>
    </row>
    <row r="3835" ht="33.75" customHeight="1">
      <c r="A3835" s="7">
        <v>127.0</v>
      </c>
      <c r="B3835" s="9" t="s">
        <v>7991</v>
      </c>
      <c r="C3835" s="9" t="s">
        <v>214</v>
      </c>
      <c r="D3835" s="9" t="s">
        <v>117</v>
      </c>
      <c r="E3835" s="6" t="s">
        <v>4528</v>
      </c>
      <c r="F3835" s="9" t="s">
        <v>9794</v>
      </c>
    </row>
    <row r="3836" ht="33.75" customHeight="1">
      <c r="A3836" s="7">
        <v>128.0</v>
      </c>
      <c r="B3836" s="9" t="s">
        <v>8045</v>
      </c>
      <c r="C3836" s="9" t="s">
        <v>215</v>
      </c>
      <c r="D3836" s="9" t="s">
        <v>24</v>
      </c>
      <c r="E3836" s="6" t="s">
        <v>4530</v>
      </c>
      <c r="F3836" s="9" t="s">
        <v>9846</v>
      </c>
      <c r="G3836" t="inlineStr" s="6">
        <is>
          <t xml:space="preserve">When it targets an enemy, it charges furiously while whipping Tauros's body with its long tails. A rowdy POKéMON with a lot of stamina. Once running, it won't stop until it hits something. They fight each other by locking horns. The herd's protector takes pride in its battle-scarred horns. After heightening its will to fight by whipping itself with its three tails, it charges at full speed. These violent POKéMON fight with other members of their herd in order to prove their strength. This POKéMON is not satisfied unless it is rampaging at all times. If there is no opponent for TAUROS to battle, it will charge at thick trees and knock them down to calm itself. It is not satisfied unless it is rampaging at all times. When it is about to TACKLE, it whips its body repeatedly with its three long tails. Once it takes aim at its foe, it makes a headlong charge. It is famous for its violent nature. Historically, people in areas all over the world have ridden Tauros, but the practice is said to have started in Alola. Although it’s known to be a fierce Pokémon, Tauros in the Alola region are said to possess a measure of calmness. They live in groups. The one with the longest, thickest, and most-scarred horns is the boss of the herd. The climate seems to be related to the reason Tauros in Alola are a little calmer than those in other regions. When Tauros begins whipping itself with its tails, it’s a warning that the Pokémon is about to charge with astounding speed. The Tauros of the Galar region are volatile in nature, and they won’t allow people to ride on their backs.</t>
        </is>
      </c>
    </row>
    <row r="3837" ht="33.75" customHeight="1">
      <c r="A3837" s="7">
        <v>128.0</v>
      </c>
      <c r="B3837" s="9" t="s">
        <v>8045</v>
      </c>
      <c r="C3837" s="9" t="s">
        <v>215</v>
      </c>
      <c r="D3837" s="9" t="s">
        <v>35</v>
      </c>
      <c r="E3837" s="6" t="s">
        <v>4530</v>
      </c>
      <c r="F3837" s="9" t="s">
        <v>9846</v>
      </c>
    </row>
    <row r="3838" ht="33.75" customHeight="1">
      <c r="A3838" s="7">
        <v>128.0</v>
      </c>
      <c r="B3838" s="9" t="s">
        <v>8045</v>
      </c>
      <c r="C3838" s="9" t="s">
        <v>215</v>
      </c>
      <c r="D3838" s="9" t="s">
        <v>42</v>
      </c>
      <c r="E3838" s="6" t="s">
        <v>4531</v>
      </c>
      <c r="F3838" s="9" t="s">
        <v>9846</v>
      </c>
    </row>
    <row r="3839" ht="33.75" customHeight="1">
      <c r="A3839" s="7">
        <v>128.0</v>
      </c>
      <c r="B3839" s="9" t="s">
        <v>8045</v>
      </c>
      <c r="C3839" s="9" t="s">
        <v>215</v>
      </c>
      <c r="D3839" s="9" t="s">
        <v>52</v>
      </c>
      <c r="E3839" s="6" t="s">
        <v>4533</v>
      </c>
      <c r="F3839" s="9" t="s">
        <v>9846</v>
      </c>
    </row>
    <row r="3840" ht="33.75" customHeight="1">
      <c r="A3840" s="7">
        <v>128.0</v>
      </c>
      <c r="B3840" s="9" t="s">
        <v>8045</v>
      </c>
      <c r="C3840" s="9" t="s">
        <v>215</v>
      </c>
      <c r="D3840" s="9" t="s">
        <v>59</v>
      </c>
      <c r="E3840" s="6" t="s">
        <v>4535</v>
      </c>
      <c r="F3840" s="9" t="s">
        <v>9846</v>
      </c>
    </row>
    <row r="3841" ht="33.75" customHeight="1">
      <c r="A3841" s="7">
        <v>128.0</v>
      </c>
      <c r="B3841" s="9" t="s">
        <v>8045</v>
      </c>
      <c r="C3841" s="9" t="s">
        <v>215</v>
      </c>
      <c r="D3841" s="9" t="s">
        <v>64</v>
      </c>
      <c r="E3841" s="6" t="s">
        <v>4536</v>
      </c>
      <c r="F3841" s="9" t="s">
        <v>9846</v>
      </c>
    </row>
    <row r="3842" ht="33.75" customHeight="1">
      <c r="A3842" s="7">
        <v>128.0</v>
      </c>
      <c r="B3842" s="9" t="s">
        <v>8045</v>
      </c>
      <c r="C3842" s="9" t="s">
        <v>215</v>
      </c>
      <c r="D3842" s="9" t="s">
        <v>67</v>
      </c>
      <c r="E3842" s="6" t="s">
        <v>4538</v>
      </c>
      <c r="F3842" s="9" t="s">
        <v>9846</v>
      </c>
    </row>
    <row r="3843" ht="33.75" customHeight="1">
      <c r="A3843" s="7">
        <v>128.0</v>
      </c>
      <c r="B3843" s="9" t="s">
        <v>8045</v>
      </c>
      <c r="C3843" s="9" t="s">
        <v>215</v>
      </c>
      <c r="D3843" s="9" t="s">
        <v>71</v>
      </c>
      <c r="E3843" s="6" t="s">
        <v>4538</v>
      </c>
      <c r="F3843" s="9" t="s">
        <v>9846</v>
      </c>
    </row>
    <row r="3844" ht="33.75" customHeight="1">
      <c r="A3844" s="7">
        <v>128.0</v>
      </c>
      <c r="B3844" s="9" t="s">
        <v>8045</v>
      </c>
      <c r="C3844" s="9" t="s">
        <v>215</v>
      </c>
      <c r="D3844" s="9" t="s">
        <v>73</v>
      </c>
      <c r="E3844" s="6" t="s">
        <v>4539</v>
      </c>
      <c r="F3844" s="9" t="s">
        <v>9846</v>
      </c>
    </row>
    <row r="3845" ht="33.75" customHeight="1">
      <c r="A3845" s="7">
        <v>128.0</v>
      </c>
      <c r="B3845" s="9" t="s">
        <v>8045</v>
      </c>
      <c r="C3845" s="9" t="s">
        <v>215</v>
      </c>
      <c r="D3845" s="9" t="s">
        <v>75</v>
      </c>
      <c r="E3845" s="6" t="s">
        <v>4542</v>
      </c>
      <c r="F3845" s="9" t="s">
        <v>9846</v>
      </c>
    </row>
    <row r="3846" ht="33.75" customHeight="1">
      <c r="A3846" s="7">
        <v>128.0</v>
      </c>
      <c r="B3846" s="9" t="s">
        <v>8045</v>
      </c>
      <c r="C3846" s="9" t="s">
        <v>215</v>
      </c>
      <c r="D3846" s="9" t="s">
        <v>79</v>
      </c>
      <c r="E3846" s="6" t="s">
        <v>4530</v>
      </c>
      <c r="F3846" s="9" t="s">
        <v>9846</v>
      </c>
    </row>
    <row r="3847" ht="33.75" customHeight="1">
      <c r="A3847" s="7">
        <v>128.0</v>
      </c>
      <c r="B3847" s="9" t="s">
        <v>8045</v>
      </c>
      <c r="C3847" s="9" t="s">
        <v>215</v>
      </c>
      <c r="D3847" s="9" t="s">
        <v>81</v>
      </c>
      <c r="E3847" s="6" t="s">
        <v>4543</v>
      </c>
      <c r="F3847" s="9" t="s">
        <v>9846</v>
      </c>
    </row>
    <row r="3848" ht="33.75" customHeight="1">
      <c r="A3848" s="7">
        <v>128.0</v>
      </c>
      <c r="B3848" s="9" t="s">
        <v>8045</v>
      </c>
      <c r="C3848" s="9" t="s">
        <v>215</v>
      </c>
      <c r="D3848" s="9" t="s">
        <v>84</v>
      </c>
      <c r="E3848" s="6" t="s">
        <v>4543</v>
      </c>
      <c r="F3848" s="9" t="s">
        <v>9846</v>
      </c>
    </row>
    <row r="3849" ht="33.75" customHeight="1">
      <c r="A3849" s="7">
        <v>128.0</v>
      </c>
      <c r="B3849" s="9" t="s">
        <v>8045</v>
      </c>
      <c r="C3849" s="9" t="s">
        <v>215</v>
      </c>
      <c r="D3849" s="9" t="s">
        <v>87</v>
      </c>
      <c r="E3849" s="6" t="s">
        <v>4543</v>
      </c>
      <c r="F3849" s="9" t="s">
        <v>9846</v>
      </c>
    </row>
    <row r="3850" ht="33.75" customHeight="1">
      <c r="A3850" s="7">
        <v>128.0</v>
      </c>
      <c r="B3850" s="9" t="s">
        <v>8045</v>
      </c>
      <c r="C3850" s="9" t="s">
        <v>215</v>
      </c>
      <c r="D3850" s="9" t="s">
        <v>89</v>
      </c>
      <c r="E3850" s="6" t="s">
        <v>4544</v>
      </c>
      <c r="F3850" s="9" t="s">
        <v>9846</v>
      </c>
    </row>
    <row r="3851" ht="33.75" customHeight="1">
      <c r="A3851" s="7">
        <v>128.0</v>
      </c>
      <c r="B3851" s="9" t="s">
        <v>8045</v>
      </c>
      <c r="C3851" s="9" t="s">
        <v>215</v>
      </c>
      <c r="D3851" s="9" t="s">
        <v>91</v>
      </c>
      <c r="E3851" s="6" t="s">
        <v>4535</v>
      </c>
      <c r="F3851" s="9" t="s">
        <v>9846</v>
      </c>
    </row>
    <row r="3852" ht="33.75" customHeight="1">
      <c r="A3852" s="7">
        <v>128.0</v>
      </c>
      <c r="B3852" s="9" t="s">
        <v>8045</v>
      </c>
      <c r="C3852" s="9" t="s">
        <v>215</v>
      </c>
      <c r="D3852" s="9" t="s">
        <v>93</v>
      </c>
      <c r="E3852" s="6" t="s">
        <v>4543</v>
      </c>
      <c r="F3852" s="9" t="s">
        <v>9846</v>
      </c>
    </row>
    <row r="3853" ht="33.75" customHeight="1">
      <c r="A3853" s="7">
        <v>128.0</v>
      </c>
      <c r="B3853" s="9" t="s">
        <v>8045</v>
      </c>
      <c r="C3853" s="9" t="s">
        <v>215</v>
      </c>
      <c r="D3853" s="9" t="s">
        <v>95</v>
      </c>
      <c r="E3853" s="6" t="s">
        <v>4543</v>
      </c>
      <c r="F3853" s="9" t="s">
        <v>9846</v>
      </c>
    </row>
    <row r="3854" ht="33.75" customHeight="1">
      <c r="A3854" s="7">
        <v>128.0</v>
      </c>
      <c r="B3854" s="9" t="s">
        <v>8045</v>
      </c>
      <c r="C3854" s="9" t="s">
        <v>215</v>
      </c>
      <c r="D3854" s="9" t="s">
        <v>98</v>
      </c>
      <c r="E3854" s="6" t="s">
        <v>4543</v>
      </c>
      <c r="F3854" s="9" t="s">
        <v>9846</v>
      </c>
    </row>
    <row r="3855" ht="33.75" customHeight="1">
      <c r="A3855" s="7">
        <v>128.0</v>
      </c>
      <c r="B3855" s="9" t="s">
        <v>8045</v>
      </c>
      <c r="C3855" s="9" t="s">
        <v>215</v>
      </c>
      <c r="D3855" s="9" t="s">
        <v>99</v>
      </c>
      <c r="E3855" s="6" t="s">
        <v>4543</v>
      </c>
      <c r="F3855" s="9" t="s">
        <v>9846</v>
      </c>
    </row>
    <row r="3856" ht="33.75" customHeight="1">
      <c r="A3856" s="7">
        <v>128.0</v>
      </c>
      <c r="B3856" s="9" t="s">
        <v>8045</v>
      </c>
      <c r="C3856" s="9" t="s">
        <v>215</v>
      </c>
      <c r="D3856" s="9" t="s">
        <v>101</v>
      </c>
      <c r="E3856" s="6" t="s">
        <v>4535</v>
      </c>
      <c r="F3856" s="9" t="s">
        <v>9846</v>
      </c>
    </row>
    <row r="3857" ht="33.75" customHeight="1">
      <c r="A3857" s="7">
        <v>128.0</v>
      </c>
      <c r="B3857" s="9" t="s">
        <v>8045</v>
      </c>
      <c r="C3857" s="9" t="s">
        <v>215</v>
      </c>
      <c r="D3857" s="9" t="s">
        <v>105</v>
      </c>
      <c r="E3857" s="6" t="s">
        <v>4545</v>
      </c>
      <c r="F3857" s="9" t="s">
        <v>9846</v>
      </c>
    </row>
    <row r="3858" ht="33.75" customHeight="1">
      <c r="A3858" s="7">
        <v>128.0</v>
      </c>
      <c r="B3858" s="9" t="s">
        <v>8045</v>
      </c>
      <c r="C3858" s="9" t="s">
        <v>215</v>
      </c>
      <c r="D3858" s="9" t="s">
        <v>107</v>
      </c>
      <c r="E3858" s="6" t="s">
        <v>4546</v>
      </c>
      <c r="F3858" s="9" t="s">
        <v>9846</v>
      </c>
    </row>
    <row r="3859" ht="33.75" customHeight="1">
      <c r="A3859" s="7">
        <v>128.0</v>
      </c>
      <c r="B3859" s="9" t="s">
        <v>8045</v>
      </c>
      <c r="C3859" s="9" t="s">
        <v>215</v>
      </c>
      <c r="D3859" s="9" t="s">
        <v>109</v>
      </c>
      <c r="E3859" s="6" t="s">
        <v>4546</v>
      </c>
      <c r="F3859" s="9" t="s">
        <v>9846</v>
      </c>
    </row>
    <row r="3860" ht="33.75" customHeight="1">
      <c r="A3860" s="7">
        <v>128.0</v>
      </c>
      <c r="B3860" s="9" t="s">
        <v>8045</v>
      </c>
      <c r="C3860" s="9" t="s">
        <v>215</v>
      </c>
      <c r="D3860" s="9" t="s">
        <v>637</v>
      </c>
      <c r="E3860" s="6" t="s">
        <v>4547</v>
      </c>
      <c r="F3860" s="9" t="s">
        <v>9846</v>
      </c>
    </row>
    <row r="3861" ht="33.75" customHeight="1">
      <c r="A3861" s="7">
        <v>128.0</v>
      </c>
      <c r="B3861" s="9" t="s">
        <v>8045</v>
      </c>
      <c r="C3861" s="9" t="s">
        <v>215</v>
      </c>
      <c r="D3861" s="9" t="s">
        <v>642</v>
      </c>
      <c r="E3861" s="6" t="s">
        <v>4548</v>
      </c>
      <c r="F3861" s="9" t="s">
        <v>9846</v>
      </c>
    </row>
    <row r="3862" ht="33.75" customHeight="1">
      <c r="A3862" s="7">
        <v>128.0</v>
      </c>
      <c r="B3862" s="9" t="s">
        <v>8045</v>
      </c>
      <c r="C3862" s="9" t="s">
        <v>215</v>
      </c>
      <c r="D3862" s="9" t="s">
        <v>647</v>
      </c>
      <c r="E3862" s="6" t="s">
        <v>4549</v>
      </c>
      <c r="F3862" s="9" t="s">
        <v>9846</v>
      </c>
    </row>
    <row r="3863" ht="33.75" customHeight="1">
      <c r="A3863" s="7">
        <v>128.0</v>
      </c>
      <c r="B3863" s="9" t="s">
        <v>8045</v>
      </c>
      <c r="C3863" s="9" t="s">
        <v>215</v>
      </c>
      <c r="D3863" s="9" t="s">
        <v>652</v>
      </c>
      <c r="E3863" s="6" t="s">
        <v>4550</v>
      </c>
      <c r="F3863" s="9" t="s">
        <v>9846</v>
      </c>
    </row>
    <row r="3864" ht="33.75" customHeight="1">
      <c r="A3864" s="7">
        <v>128.0</v>
      </c>
      <c r="B3864" s="9" t="s">
        <v>8045</v>
      </c>
      <c r="C3864" s="9" t="s">
        <v>215</v>
      </c>
      <c r="D3864" s="9" t="s">
        <v>111</v>
      </c>
      <c r="E3864" s="6" t="s">
        <v>4551</v>
      </c>
      <c r="F3864" s="9" t="s">
        <v>9846</v>
      </c>
    </row>
    <row r="3865" ht="33.75" customHeight="1">
      <c r="A3865" s="7">
        <v>128.0</v>
      </c>
      <c r="B3865" s="9" t="s">
        <v>8045</v>
      </c>
      <c r="C3865" s="9" t="s">
        <v>215</v>
      </c>
      <c r="D3865" s="9" t="s">
        <v>113</v>
      </c>
      <c r="E3865" s="6" t="s">
        <v>4551</v>
      </c>
      <c r="F3865" s="9" t="s">
        <v>9846</v>
      </c>
    </row>
    <row r="3866" ht="33.75" customHeight="1">
      <c r="A3866" s="7">
        <v>128.0</v>
      </c>
      <c r="B3866" s="9" t="s">
        <v>8045</v>
      </c>
      <c r="C3866" s="9" t="s">
        <v>215</v>
      </c>
      <c r="D3866" s="9" t="s">
        <v>114</v>
      </c>
      <c r="E3866" s="6" t="s">
        <v>4553</v>
      </c>
      <c r="F3866" s="9" t="s">
        <v>9846</v>
      </c>
    </row>
    <row r="3867" ht="33.75" customHeight="1">
      <c r="A3867" s="7">
        <v>128.0</v>
      </c>
      <c r="B3867" s="9" t="s">
        <v>8045</v>
      </c>
      <c r="C3867" s="9" t="s">
        <v>215</v>
      </c>
      <c r="D3867" s="9" t="s">
        <v>117</v>
      </c>
      <c r="E3867" s="6" t="s">
        <v>4555</v>
      </c>
      <c r="F3867" s="9" t="s">
        <v>9846</v>
      </c>
    </row>
    <row r="3868" ht="33.75" customHeight="1">
      <c r="A3868" s="7">
        <v>129.0</v>
      </c>
      <c r="B3868" s="9" t="s">
        <v>8107</v>
      </c>
      <c r="C3868" s="9" t="s">
        <v>217</v>
      </c>
      <c r="D3868" s="9" t="s">
        <v>24</v>
      </c>
      <c r="E3868" s="6" t="s">
        <v>4557</v>
      </c>
      <c r="F3868" s="9" t="s">
        <v>9936</v>
      </c>
      <c r="G3868" t="inlineStr" s="6">
        <is>
          <t xml:space="preserve">In the distant past, Magikarp was somewhat stronger than the horribly weak descendants that exist today. Famous for being very unreliable. It can be found swimming in seas, lakes, rivers and shallow puddles. An underpowered, pathetic POKéMON. It may jump high on rare occasions, but never more than seven feet. For no reason, it jumps and splashes about, making it easy for predators like PIDGEOTTO to catch it mid-jump. This weak and pathetic POKéMON gets easily pushed along rivers when there are strong currents. MAGIKARP is a pathetic excuse for a POKéMON that is only capable of flopping and splashing. This behavior prompted scientists to undertake research into it. MAGIKARP is virtually useless in battle as it can only splash around. As a result, it is considered to be weak. However, it is actually a very hardy POKéMON that can survive in any body of water no matter how polluted it is. Its swimming muscles are weak, so it is easily washed away by currents. In places where water pools, you can see many MAGIKARP deposited there by the flow. It is virtually worthless in terms of both power and speed. It is the most weak and pathetic POKéMON in the world. It is said to be the world’s weakest Pokémon. No one knows why it has managed to survive. It is unable to swim against even slow-moving currents. It always splashes about for some reason. A MAGIKARP living for many years can leap a mountain using Splash. The move remains useless, though. It may jump high on rare occasions, but usually not more than seven feet. Although weak and helpless, this Pokémon is incredibly fertile. They exist in such multitudes, you’ll soon grow tired of seeing them. Its reckless leaps make it easy pickings for predators. On the bright side, many Pokémon enjoy longer life spans, thanks to Magikarp. In the distant past, they were fairly strong, but they have become gradually weaker over time. Thanks to their strong hold on life, dirty water doesn’t bother them at all. They live in waters all over the world! It can be found swimming in seas, lakes, rivers, and shallow puddles. A feeble, pitiful imbecile of a Pokémon that is nonetheless very hardy. Unperturbed by turbid water, it can be found living in all sorts of places.</t>
        </is>
      </c>
    </row>
    <row r="3869" ht="33.75" customHeight="1">
      <c r="A3869" s="7">
        <v>129.0</v>
      </c>
      <c r="B3869" s="9" t="s">
        <v>8107</v>
      </c>
      <c r="C3869" s="9" t="s">
        <v>217</v>
      </c>
      <c r="D3869" s="9" t="s">
        <v>35</v>
      </c>
      <c r="E3869" s="6" t="s">
        <v>4557</v>
      </c>
      <c r="F3869" s="9" t="s">
        <v>9936</v>
      </c>
    </row>
    <row r="3870" ht="33.75" customHeight="1">
      <c r="A3870" s="7">
        <v>129.0</v>
      </c>
      <c r="B3870" s="9" t="s">
        <v>8107</v>
      </c>
      <c r="C3870" s="9" t="s">
        <v>217</v>
      </c>
      <c r="D3870" s="9" t="s">
        <v>42</v>
      </c>
      <c r="E3870" s="6" t="s">
        <v>4559</v>
      </c>
      <c r="F3870" s="9" t="s">
        <v>9936</v>
      </c>
    </row>
    <row r="3871" ht="33.75" customHeight="1">
      <c r="A3871" s="7">
        <v>129.0</v>
      </c>
      <c r="B3871" s="9" t="s">
        <v>8107</v>
      </c>
      <c r="C3871" s="9" t="s">
        <v>217</v>
      </c>
      <c r="D3871" s="9" t="s">
        <v>52</v>
      </c>
      <c r="E3871" s="6" t="s">
        <v>4561</v>
      </c>
      <c r="F3871" s="9" t="s">
        <v>9936</v>
      </c>
    </row>
    <row r="3872" ht="33.75" customHeight="1">
      <c r="A3872" s="7">
        <v>129.0</v>
      </c>
      <c r="B3872" s="9" t="s">
        <v>8107</v>
      </c>
      <c r="C3872" s="9" t="s">
        <v>217</v>
      </c>
      <c r="D3872" s="9" t="s">
        <v>59</v>
      </c>
      <c r="E3872" s="6" t="s">
        <v>4563</v>
      </c>
      <c r="F3872" s="9" t="s">
        <v>9936</v>
      </c>
    </row>
    <row r="3873" ht="33.75" customHeight="1">
      <c r="A3873" s="7">
        <v>129.0</v>
      </c>
      <c r="B3873" s="9" t="s">
        <v>8107</v>
      </c>
      <c r="C3873" s="9" t="s">
        <v>217</v>
      </c>
      <c r="D3873" s="9" t="s">
        <v>64</v>
      </c>
      <c r="E3873" s="6" t="s">
        <v>4565</v>
      </c>
      <c r="F3873" s="9" t="s">
        <v>9936</v>
      </c>
    </row>
    <row r="3874" ht="33.75" customHeight="1">
      <c r="A3874" s="7">
        <v>129.0</v>
      </c>
      <c r="B3874" s="9" t="s">
        <v>8107</v>
      </c>
      <c r="C3874" s="9" t="s">
        <v>217</v>
      </c>
      <c r="D3874" s="9" t="s">
        <v>67</v>
      </c>
      <c r="E3874" s="6" t="s">
        <v>4566</v>
      </c>
      <c r="F3874" s="9" t="s">
        <v>9936</v>
      </c>
    </row>
    <row r="3875" ht="33.75" customHeight="1">
      <c r="A3875" s="7">
        <v>129.0</v>
      </c>
      <c r="B3875" s="9" t="s">
        <v>8107</v>
      </c>
      <c r="C3875" s="9" t="s">
        <v>217</v>
      </c>
      <c r="D3875" s="9" t="s">
        <v>71</v>
      </c>
      <c r="E3875" s="6" t="s">
        <v>4567</v>
      </c>
      <c r="F3875" s="9" t="s">
        <v>9936</v>
      </c>
    </row>
    <row r="3876" ht="33.75" customHeight="1">
      <c r="A3876" s="7">
        <v>129.0</v>
      </c>
      <c r="B3876" s="9" t="s">
        <v>8107</v>
      </c>
      <c r="C3876" s="9" t="s">
        <v>217</v>
      </c>
      <c r="D3876" s="9" t="s">
        <v>73</v>
      </c>
      <c r="E3876" s="6" t="s">
        <v>4570</v>
      </c>
      <c r="F3876" s="9" t="s">
        <v>9936</v>
      </c>
    </row>
    <row r="3877" ht="33.75" customHeight="1">
      <c r="A3877" s="7">
        <v>129.0</v>
      </c>
      <c r="B3877" s="9" t="s">
        <v>8107</v>
      </c>
      <c r="C3877" s="9" t="s">
        <v>217</v>
      </c>
      <c r="D3877" s="9" t="s">
        <v>75</v>
      </c>
      <c r="E3877" s="6" t="s">
        <v>4572</v>
      </c>
      <c r="F3877" s="9" t="s">
        <v>9936</v>
      </c>
    </row>
    <row r="3878" ht="33.75" customHeight="1">
      <c r="A3878" s="7">
        <v>129.0</v>
      </c>
      <c r="B3878" s="9" t="s">
        <v>8107</v>
      </c>
      <c r="C3878" s="9" t="s">
        <v>217</v>
      </c>
      <c r="D3878" s="9" t="s">
        <v>79</v>
      </c>
      <c r="E3878" s="6" t="s">
        <v>4557</v>
      </c>
      <c r="F3878" s="9" t="s">
        <v>9936</v>
      </c>
    </row>
    <row r="3879" ht="33.75" customHeight="1">
      <c r="A3879" s="7">
        <v>129.0</v>
      </c>
      <c r="B3879" s="9" t="s">
        <v>8107</v>
      </c>
      <c r="C3879" s="9" t="s">
        <v>217</v>
      </c>
      <c r="D3879" s="9" t="s">
        <v>81</v>
      </c>
      <c r="E3879" s="6" t="s">
        <v>4573</v>
      </c>
      <c r="F3879" s="9" t="s">
        <v>9936</v>
      </c>
    </row>
    <row r="3880" ht="33.75" customHeight="1">
      <c r="A3880" s="7">
        <v>129.0</v>
      </c>
      <c r="B3880" s="9" t="s">
        <v>8107</v>
      </c>
      <c r="C3880" s="9" t="s">
        <v>217</v>
      </c>
      <c r="D3880" s="9" t="s">
        <v>84</v>
      </c>
      <c r="E3880" s="6" t="s">
        <v>4574</v>
      </c>
      <c r="F3880" s="9" t="s">
        <v>9936</v>
      </c>
    </row>
    <row r="3881" ht="33.75" customHeight="1">
      <c r="A3881" s="7">
        <v>129.0</v>
      </c>
      <c r="B3881" s="9" t="s">
        <v>8107</v>
      </c>
      <c r="C3881" s="9" t="s">
        <v>217</v>
      </c>
      <c r="D3881" s="9" t="s">
        <v>87</v>
      </c>
      <c r="E3881" s="6" t="s">
        <v>4576</v>
      </c>
      <c r="F3881" s="9" t="s">
        <v>9936</v>
      </c>
    </row>
    <row r="3882" ht="33.75" customHeight="1">
      <c r="A3882" s="7">
        <v>129.0</v>
      </c>
      <c r="B3882" s="9" t="s">
        <v>8107</v>
      </c>
      <c r="C3882" s="9" t="s">
        <v>217</v>
      </c>
      <c r="D3882" s="9" t="s">
        <v>89</v>
      </c>
      <c r="E3882" s="6" t="s">
        <v>4578</v>
      </c>
      <c r="F3882" s="9" t="s">
        <v>9936</v>
      </c>
    </row>
    <row r="3883" ht="33.75" customHeight="1">
      <c r="A3883" s="7">
        <v>129.0</v>
      </c>
      <c r="B3883" s="9" t="s">
        <v>8107</v>
      </c>
      <c r="C3883" s="9" t="s">
        <v>217</v>
      </c>
      <c r="D3883" s="9" t="s">
        <v>91</v>
      </c>
      <c r="E3883" s="6" t="s">
        <v>4563</v>
      </c>
      <c r="F3883" s="9" t="s">
        <v>9936</v>
      </c>
    </row>
    <row r="3884" ht="33.75" customHeight="1">
      <c r="A3884" s="7">
        <v>129.0</v>
      </c>
      <c r="B3884" s="9" t="s">
        <v>8107</v>
      </c>
      <c r="C3884" s="9" t="s">
        <v>217</v>
      </c>
      <c r="D3884" s="9" t="s">
        <v>93</v>
      </c>
      <c r="E3884" s="6" t="s">
        <v>4580</v>
      </c>
      <c r="F3884" s="9" t="s">
        <v>9936</v>
      </c>
    </row>
    <row r="3885" ht="33.75" customHeight="1">
      <c r="A3885" s="7">
        <v>129.0</v>
      </c>
      <c r="B3885" s="9" t="s">
        <v>8107</v>
      </c>
      <c r="C3885" s="9" t="s">
        <v>217</v>
      </c>
      <c r="D3885" s="9" t="s">
        <v>95</v>
      </c>
      <c r="E3885" s="6" t="s">
        <v>4580</v>
      </c>
      <c r="F3885" s="9" t="s">
        <v>9936</v>
      </c>
    </row>
    <row r="3886" ht="33.75" customHeight="1">
      <c r="A3886" s="7">
        <v>129.0</v>
      </c>
      <c r="B3886" s="9" t="s">
        <v>8107</v>
      </c>
      <c r="C3886" s="9" t="s">
        <v>217</v>
      </c>
      <c r="D3886" s="9" t="s">
        <v>98</v>
      </c>
      <c r="E3886" s="6" t="s">
        <v>4580</v>
      </c>
      <c r="F3886" s="9" t="s">
        <v>9936</v>
      </c>
    </row>
    <row r="3887" ht="33.75" customHeight="1">
      <c r="A3887" s="7">
        <v>129.0</v>
      </c>
      <c r="B3887" s="9" t="s">
        <v>8107</v>
      </c>
      <c r="C3887" s="9" t="s">
        <v>217</v>
      </c>
      <c r="D3887" s="9" t="s">
        <v>99</v>
      </c>
      <c r="E3887" s="6" t="s">
        <v>4580</v>
      </c>
      <c r="F3887" s="9" t="s">
        <v>9936</v>
      </c>
    </row>
    <row r="3888" ht="33.75" customHeight="1">
      <c r="A3888" s="7">
        <v>129.0</v>
      </c>
      <c r="B3888" s="9" t="s">
        <v>8107</v>
      </c>
      <c r="C3888" s="9" t="s">
        <v>217</v>
      </c>
      <c r="D3888" s="9" t="s">
        <v>101</v>
      </c>
      <c r="E3888" s="6" t="s">
        <v>4581</v>
      </c>
      <c r="F3888" s="9" t="s">
        <v>9936</v>
      </c>
    </row>
    <row r="3889" ht="33.75" customHeight="1">
      <c r="A3889" s="7">
        <v>129.0</v>
      </c>
      <c r="B3889" s="9" t="s">
        <v>8107</v>
      </c>
      <c r="C3889" s="9" t="s">
        <v>217</v>
      </c>
      <c r="D3889" s="9" t="s">
        <v>105</v>
      </c>
      <c r="E3889" s="6" t="s">
        <v>4557</v>
      </c>
      <c r="F3889" s="9" t="s">
        <v>9936</v>
      </c>
    </row>
    <row r="3890" ht="33.75" customHeight="1">
      <c r="A3890" s="7">
        <v>129.0</v>
      </c>
      <c r="B3890" s="9" t="s">
        <v>8107</v>
      </c>
      <c r="C3890" s="9" t="s">
        <v>217</v>
      </c>
      <c r="D3890" s="9" t="s">
        <v>107</v>
      </c>
      <c r="E3890" s="6" t="s">
        <v>4583</v>
      </c>
      <c r="F3890" s="9" t="s">
        <v>9936</v>
      </c>
    </row>
    <row r="3891" ht="33.75" customHeight="1">
      <c r="A3891" s="7">
        <v>129.0</v>
      </c>
      <c r="B3891" s="9" t="s">
        <v>8107</v>
      </c>
      <c r="C3891" s="9" t="s">
        <v>217</v>
      </c>
      <c r="D3891" s="9" t="s">
        <v>109</v>
      </c>
      <c r="E3891" s="6" t="s">
        <v>4585</v>
      </c>
      <c r="F3891" s="9" t="s">
        <v>9936</v>
      </c>
    </row>
    <row r="3892" ht="33.75" customHeight="1">
      <c r="A3892" s="7">
        <v>129.0</v>
      </c>
      <c r="B3892" s="9" t="s">
        <v>8107</v>
      </c>
      <c r="C3892" s="9" t="s">
        <v>217</v>
      </c>
      <c r="D3892" s="9" t="s">
        <v>637</v>
      </c>
      <c r="E3892" s="6" t="s">
        <v>4587</v>
      </c>
      <c r="F3892" s="9" t="s">
        <v>9936</v>
      </c>
    </row>
    <row r="3893" ht="33.75" customHeight="1">
      <c r="A3893" s="7">
        <v>129.0</v>
      </c>
      <c r="B3893" s="9" t="s">
        <v>8107</v>
      </c>
      <c r="C3893" s="9" t="s">
        <v>217</v>
      </c>
      <c r="D3893" s="9" t="s">
        <v>642</v>
      </c>
      <c r="E3893" s="6" t="s">
        <v>4590</v>
      </c>
      <c r="F3893" s="9" t="s">
        <v>9936</v>
      </c>
    </row>
    <row r="3894" ht="33.75" customHeight="1">
      <c r="A3894" s="7">
        <v>129.0</v>
      </c>
      <c r="B3894" s="9" t="s">
        <v>8107</v>
      </c>
      <c r="C3894" s="9" t="s">
        <v>217</v>
      </c>
      <c r="D3894" s="9" t="s">
        <v>647</v>
      </c>
      <c r="E3894" s="6" t="s">
        <v>4591</v>
      </c>
      <c r="F3894" s="9" t="s">
        <v>9936</v>
      </c>
    </row>
    <row r="3895" ht="33.75" customHeight="1">
      <c r="A3895" s="7">
        <v>129.0</v>
      </c>
      <c r="B3895" s="9" t="s">
        <v>8107</v>
      </c>
      <c r="C3895" s="9" t="s">
        <v>217</v>
      </c>
      <c r="D3895" s="9" t="s">
        <v>652</v>
      </c>
      <c r="E3895" s="6" t="s">
        <v>4593</v>
      </c>
      <c r="F3895" s="9" t="s">
        <v>9936</v>
      </c>
    </row>
    <row r="3896" ht="33.75" customHeight="1">
      <c r="A3896" s="7">
        <v>129.0</v>
      </c>
      <c r="B3896" s="9" t="s">
        <v>8107</v>
      </c>
      <c r="C3896" s="9" t="s">
        <v>217</v>
      </c>
      <c r="D3896" s="9" t="s">
        <v>111</v>
      </c>
      <c r="E3896" s="6" t="s">
        <v>4595</v>
      </c>
      <c r="F3896" s="9" t="s">
        <v>9936</v>
      </c>
    </row>
    <row r="3897" ht="33.75" customHeight="1">
      <c r="A3897" s="7">
        <v>129.0</v>
      </c>
      <c r="B3897" s="9" t="s">
        <v>8107</v>
      </c>
      <c r="C3897" s="9" t="s">
        <v>217</v>
      </c>
      <c r="D3897" s="9" t="s">
        <v>113</v>
      </c>
      <c r="E3897" s="6" t="s">
        <v>4595</v>
      </c>
      <c r="F3897" s="9" t="s">
        <v>9936</v>
      </c>
    </row>
    <row r="3898" ht="33.75" customHeight="1">
      <c r="A3898" s="7">
        <v>129.0</v>
      </c>
      <c r="B3898" s="9" t="s">
        <v>8107</v>
      </c>
      <c r="C3898" s="9" t="s">
        <v>217</v>
      </c>
      <c r="D3898" s="9" t="s">
        <v>114</v>
      </c>
      <c r="E3898" s="6" t="s">
        <v>4581</v>
      </c>
      <c r="F3898" s="9" t="s">
        <v>9936</v>
      </c>
    </row>
    <row r="3899" ht="33.75" customHeight="1">
      <c r="A3899" s="7">
        <v>129.0</v>
      </c>
      <c r="B3899" s="9" t="s">
        <v>8107</v>
      </c>
      <c r="C3899" s="9" t="s">
        <v>217</v>
      </c>
      <c r="D3899" s="9" t="s">
        <v>117</v>
      </c>
      <c r="E3899" s="6" t="s">
        <v>4597</v>
      </c>
      <c r="F3899" s="9" t="s">
        <v>9936</v>
      </c>
    </row>
    <row r="3900" ht="33.75" customHeight="1">
      <c r="A3900" s="7">
        <v>129.0</v>
      </c>
      <c r="B3900" s="9" t="s">
        <v>8107</v>
      </c>
      <c r="C3900" s="9" t="s">
        <v>217</v>
      </c>
      <c r="D3900" s="9" t="s">
        <v>1577</v>
      </c>
      <c r="E3900" s="6" t="s">
        <v>4598</v>
      </c>
      <c r="F3900" s="9" t="s">
        <v>9936</v>
      </c>
    </row>
    <row r="3901" ht="33.75" customHeight="1">
      <c r="A3901" s="7">
        <v>130.0</v>
      </c>
      <c r="B3901" s="9" t="s">
        <v>8160</v>
      </c>
      <c r="C3901" s="9" t="s">
        <v>218</v>
      </c>
      <c r="D3901" s="9" t="s">
        <v>24</v>
      </c>
      <c r="E3901" s="6" t="s">
        <v>4599</v>
      </c>
      <c r="F3901" s="9" t="s">
        <v>10001</v>
      </c>
      <c r="G3901" t="inlineStr" s="6">
        <is>
          <t xml:space="preserve">Rarely seen in the wild. Huge and vicious, it is capable of destroying entire cities in a rage. Brutally vicious and enormously destructive. Known for totally destroying cities in ancient times. They say that during past wars, GYARADOS would appear and leave blazing ruins in its wake. Once it appears, it goes on a rampage. It remains enraged until it demolishes every thing around it. It appears when ever there is world conflict, burning down any place it travels through. When MAGIKARP evolves into GYARADOS, its brain cells undergo a structural transformation. It is said that this transformation is to blame for this POKéMON’s wildly violent nature. Once GYARADOS goes on a rampage, its ferociously violent blood doesn’t calm until it has burned everything down. There are records of this POKéMON’s rampages lasting a whole month. It is an extremely vicious and violent POKéMON. When humans begin to fight, it will appear and burn everything to the ground with intensely hot flames. It has an extremely aggressive nature. The HYPER BEAM it shoots from its mouth totally incinerates all targets. Once it appears, its rage never settles until it has razed the fields and mountains around it. In ancient literature, there is a record of a GYARADOS that razed a village when violence flared. Once it begins to rampage, a GYARADOS will burn everything down, even in a harsh storm. They say that during past strife, GYARADOS would appear and leave blazing ruins in its wake. It remains enraged until it demolishes everything around it. A tale is told of a town that angered Gyarados. Before the sun rose the next day, flames utterly consumed the town, leaving not a trace behind. There are people who swear that any place Gyarados appears is fated for destruction. It fires hyper beams in all directions, burning the surrounding area to ash. There are some regions where it’s called “the deity of destruction. The energy from evolution stimulated its brain cells strongly, causing it to become very ferocious. I suspect this Pokémon to be the true identity of a dragon written of in ancient texts, which claimed that it razed an entire village with white-hot beams from its maw.</t>
        </is>
      </c>
    </row>
    <row r="3902" ht="33.75" customHeight="1">
      <c r="A3902" s="7">
        <v>130.0</v>
      </c>
      <c r="B3902" s="9" t="s">
        <v>8160</v>
      </c>
      <c r="C3902" s="9" t="s">
        <v>218</v>
      </c>
      <c r="D3902" s="9" t="s">
        <v>35</v>
      </c>
      <c r="E3902" s="6" t="s">
        <v>4599</v>
      </c>
      <c r="F3902" s="9" t="s">
        <v>10001</v>
      </c>
    </row>
    <row r="3903" ht="33.75" customHeight="1">
      <c r="A3903" s="7">
        <v>130.0</v>
      </c>
      <c r="B3903" s="9" t="s">
        <v>8160</v>
      </c>
      <c r="C3903" s="9" t="s">
        <v>218</v>
      </c>
      <c r="D3903" s="9" t="s">
        <v>42</v>
      </c>
      <c r="E3903" s="6" t="s">
        <v>4600</v>
      </c>
      <c r="F3903" s="9" t="s">
        <v>10001</v>
      </c>
    </row>
    <row r="3904" ht="33.75" customHeight="1">
      <c r="A3904" s="7">
        <v>130.0</v>
      </c>
      <c r="B3904" s="9" t="s">
        <v>8160</v>
      </c>
      <c r="C3904" s="9" t="s">
        <v>218</v>
      </c>
      <c r="D3904" s="9" t="s">
        <v>52</v>
      </c>
      <c r="E3904" s="6" t="s">
        <v>4601</v>
      </c>
      <c r="F3904" s="9" t="s">
        <v>10001</v>
      </c>
    </row>
    <row r="3905" ht="33.75" customHeight="1">
      <c r="A3905" s="7">
        <v>130.0</v>
      </c>
      <c r="B3905" s="9" t="s">
        <v>8160</v>
      </c>
      <c r="C3905" s="9" t="s">
        <v>218</v>
      </c>
      <c r="D3905" s="9" t="s">
        <v>59</v>
      </c>
      <c r="E3905" s="6" t="s">
        <v>4602</v>
      </c>
      <c r="F3905" s="9" t="s">
        <v>10001</v>
      </c>
    </row>
    <row r="3906" ht="33.75" customHeight="1">
      <c r="A3906" s="7">
        <v>130.0</v>
      </c>
      <c r="B3906" s="9" t="s">
        <v>8160</v>
      </c>
      <c r="C3906" s="9" t="s">
        <v>218</v>
      </c>
      <c r="D3906" s="9" t="s">
        <v>64</v>
      </c>
      <c r="E3906" s="6" t="s">
        <v>4603</v>
      </c>
      <c r="F3906" s="9" t="s">
        <v>10001</v>
      </c>
    </row>
    <row r="3907" ht="33.75" customHeight="1">
      <c r="A3907" s="7">
        <v>130.0</v>
      </c>
      <c r="B3907" s="9" t="s">
        <v>8160</v>
      </c>
      <c r="C3907" s="9" t="s">
        <v>218</v>
      </c>
      <c r="D3907" s="9" t="s">
        <v>67</v>
      </c>
      <c r="E3907" s="6" t="s">
        <v>4604</v>
      </c>
      <c r="F3907" s="9" t="s">
        <v>10001</v>
      </c>
    </row>
    <row r="3908" ht="33.75" customHeight="1">
      <c r="A3908" s="7">
        <v>130.0</v>
      </c>
      <c r="B3908" s="9" t="s">
        <v>8160</v>
      </c>
      <c r="C3908" s="9" t="s">
        <v>218</v>
      </c>
      <c r="D3908" s="9" t="s">
        <v>71</v>
      </c>
      <c r="E3908" s="6" t="s">
        <v>4605</v>
      </c>
      <c r="F3908" s="9" t="s">
        <v>10001</v>
      </c>
    </row>
    <row r="3909" ht="33.75" customHeight="1">
      <c r="A3909" s="7">
        <v>130.0</v>
      </c>
      <c r="B3909" s="9" t="s">
        <v>8160</v>
      </c>
      <c r="C3909" s="9" t="s">
        <v>218</v>
      </c>
      <c r="D3909" s="9" t="s">
        <v>73</v>
      </c>
      <c r="E3909" s="6" t="s">
        <v>4607</v>
      </c>
      <c r="F3909" s="9" t="s">
        <v>10001</v>
      </c>
    </row>
    <row r="3910" ht="33.75" customHeight="1">
      <c r="A3910" s="7">
        <v>130.0</v>
      </c>
      <c r="B3910" s="9" t="s">
        <v>8160</v>
      </c>
      <c r="C3910" s="9" t="s">
        <v>218</v>
      </c>
      <c r="D3910" s="9" t="s">
        <v>75</v>
      </c>
      <c r="E3910" s="6" t="s">
        <v>4609</v>
      </c>
      <c r="F3910" s="9" t="s">
        <v>10001</v>
      </c>
    </row>
    <row r="3911" ht="33.75" customHeight="1">
      <c r="A3911" s="7">
        <v>130.0</v>
      </c>
      <c r="B3911" s="9" t="s">
        <v>8160</v>
      </c>
      <c r="C3911" s="9" t="s">
        <v>218</v>
      </c>
      <c r="D3911" s="9" t="s">
        <v>79</v>
      </c>
      <c r="E3911" s="6" t="s">
        <v>4599</v>
      </c>
      <c r="F3911" s="9" t="s">
        <v>10001</v>
      </c>
    </row>
    <row r="3912" ht="33.75" customHeight="1">
      <c r="A3912" s="7">
        <v>130.0</v>
      </c>
      <c r="B3912" s="9" t="s">
        <v>8160</v>
      </c>
      <c r="C3912" s="9" t="s">
        <v>218</v>
      </c>
      <c r="D3912" s="9" t="s">
        <v>81</v>
      </c>
      <c r="E3912" s="6" t="s">
        <v>4612</v>
      </c>
      <c r="F3912" s="9" t="s">
        <v>10001</v>
      </c>
    </row>
    <row r="3913" ht="33.75" customHeight="1">
      <c r="A3913" s="7">
        <v>130.0</v>
      </c>
      <c r="B3913" s="9" t="s">
        <v>8160</v>
      </c>
      <c r="C3913" s="9" t="s">
        <v>218</v>
      </c>
      <c r="D3913" s="9" t="s">
        <v>84</v>
      </c>
      <c r="E3913" s="6" t="s">
        <v>4614</v>
      </c>
      <c r="F3913" s="9" t="s">
        <v>10001</v>
      </c>
    </row>
    <row r="3914" ht="33.75" customHeight="1">
      <c r="A3914" s="7">
        <v>130.0</v>
      </c>
      <c r="B3914" s="9" t="s">
        <v>8160</v>
      </c>
      <c r="C3914" s="9" t="s">
        <v>218</v>
      </c>
      <c r="D3914" s="9" t="s">
        <v>87</v>
      </c>
      <c r="E3914" s="6" t="s">
        <v>4616</v>
      </c>
      <c r="F3914" s="9" t="s">
        <v>10001</v>
      </c>
    </row>
    <row r="3915" ht="33.75" customHeight="1">
      <c r="A3915" s="7">
        <v>130.0</v>
      </c>
      <c r="B3915" s="9" t="s">
        <v>8160</v>
      </c>
      <c r="C3915" s="9" t="s">
        <v>218</v>
      </c>
      <c r="D3915" s="9" t="s">
        <v>89</v>
      </c>
      <c r="E3915" s="6" t="s">
        <v>4617</v>
      </c>
      <c r="F3915" s="9" t="s">
        <v>10001</v>
      </c>
    </row>
    <row r="3916" ht="33.75" customHeight="1">
      <c r="A3916" s="7">
        <v>130.0</v>
      </c>
      <c r="B3916" s="9" t="s">
        <v>8160</v>
      </c>
      <c r="C3916" s="9" t="s">
        <v>218</v>
      </c>
      <c r="D3916" s="9" t="s">
        <v>91</v>
      </c>
      <c r="E3916" s="6" t="s">
        <v>4618</v>
      </c>
      <c r="F3916" s="9" t="s">
        <v>10001</v>
      </c>
    </row>
    <row r="3917" ht="33.75" customHeight="1">
      <c r="A3917" s="7">
        <v>130.0</v>
      </c>
      <c r="B3917" s="9" t="s">
        <v>8160</v>
      </c>
      <c r="C3917" s="9" t="s">
        <v>218</v>
      </c>
      <c r="D3917" s="9" t="s">
        <v>93</v>
      </c>
      <c r="E3917" s="6" t="s">
        <v>4619</v>
      </c>
      <c r="F3917" s="9" t="s">
        <v>10001</v>
      </c>
    </row>
    <row r="3918" ht="33.75" customHeight="1">
      <c r="A3918" s="7">
        <v>130.0</v>
      </c>
      <c r="B3918" s="9" t="s">
        <v>8160</v>
      </c>
      <c r="C3918" s="9" t="s">
        <v>218</v>
      </c>
      <c r="D3918" s="9" t="s">
        <v>95</v>
      </c>
      <c r="E3918" s="6" t="s">
        <v>4619</v>
      </c>
      <c r="F3918" s="9" t="s">
        <v>10001</v>
      </c>
    </row>
    <row r="3919" ht="33.75" customHeight="1">
      <c r="A3919" s="7">
        <v>130.0</v>
      </c>
      <c r="B3919" s="9" t="s">
        <v>8160</v>
      </c>
      <c r="C3919" s="9" t="s">
        <v>218</v>
      </c>
      <c r="D3919" s="9" t="s">
        <v>98</v>
      </c>
      <c r="E3919" s="6" t="s">
        <v>4619</v>
      </c>
      <c r="F3919" s="9" t="s">
        <v>10001</v>
      </c>
    </row>
    <row r="3920" ht="33.75" customHeight="1">
      <c r="A3920" s="7">
        <v>130.0</v>
      </c>
      <c r="B3920" s="9" t="s">
        <v>8160</v>
      </c>
      <c r="C3920" s="9" t="s">
        <v>218</v>
      </c>
      <c r="D3920" s="9" t="s">
        <v>99</v>
      </c>
      <c r="E3920" s="6" t="s">
        <v>4619</v>
      </c>
      <c r="F3920" s="9" t="s">
        <v>10001</v>
      </c>
    </row>
    <row r="3921" ht="33.75" customHeight="1">
      <c r="A3921" s="7">
        <v>130.0</v>
      </c>
      <c r="B3921" s="9" t="s">
        <v>8160</v>
      </c>
      <c r="C3921" s="9" t="s">
        <v>218</v>
      </c>
      <c r="D3921" s="9" t="s">
        <v>101</v>
      </c>
      <c r="E3921" s="6" t="s">
        <v>4623</v>
      </c>
      <c r="F3921" s="9" t="s">
        <v>10001</v>
      </c>
    </row>
    <row r="3922" ht="33.75" customHeight="1">
      <c r="A3922" s="7">
        <v>130.0</v>
      </c>
      <c r="B3922" s="9" t="s">
        <v>8160</v>
      </c>
      <c r="C3922" s="9" t="s">
        <v>218</v>
      </c>
      <c r="D3922" s="9" t="s">
        <v>105</v>
      </c>
      <c r="E3922" s="6" t="s">
        <v>4599</v>
      </c>
      <c r="F3922" s="9" t="s">
        <v>10001</v>
      </c>
    </row>
    <row r="3923" ht="33.75" customHeight="1">
      <c r="A3923" s="7">
        <v>130.0</v>
      </c>
      <c r="B3923" s="9" t="s">
        <v>8160</v>
      </c>
      <c r="C3923" s="9" t="s">
        <v>218</v>
      </c>
      <c r="D3923" s="9" t="s">
        <v>107</v>
      </c>
      <c r="E3923" s="6" t="s">
        <v>4625</v>
      </c>
      <c r="F3923" s="9" t="s">
        <v>10001</v>
      </c>
    </row>
    <row r="3924" ht="33.75" customHeight="1">
      <c r="A3924" s="7">
        <v>130.0</v>
      </c>
      <c r="B3924" s="9" t="s">
        <v>8160</v>
      </c>
      <c r="C3924" s="9" t="s">
        <v>218</v>
      </c>
      <c r="D3924" s="9" t="s">
        <v>109</v>
      </c>
      <c r="E3924" s="6" t="s">
        <v>4627</v>
      </c>
      <c r="F3924" s="9" t="s">
        <v>10001</v>
      </c>
    </row>
    <row r="3925" ht="33.75" customHeight="1">
      <c r="A3925" s="7">
        <v>130.0</v>
      </c>
      <c r="B3925" s="9" t="s">
        <v>8160</v>
      </c>
      <c r="C3925" s="9" t="s">
        <v>218</v>
      </c>
      <c r="D3925" s="9" t="s">
        <v>637</v>
      </c>
      <c r="E3925" s="6" t="s">
        <v>4629</v>
      </c>
      <c r="F3925" s="9" t="s">
        <v>10001</v>
      </c>
    </row>
    <row r="3926" ht="33.75" customHeight="1">
      <c r="A3926" s="7">
        <v>130.0</v>
      </c>
      <c r="B3926" s="9" t="s">
        <v>8160</v>
      </c>
      <c r="C3926" s="9" t="s">
        <v>218</v>
      </c>
      <c r="D3926" s="9" t="s">
        <v>642</v>
      </c>
      <c r="E3926" s="6" t="s">
        <v>4631</v>
      </c>
      <c r="F3926" s="9" t="s">
        <v>10001</v>
      </c>
    </row>
    <row r="3927" ht="33.75" customHeight="1">
      <c r="A3927" s="7">
        <v>130.0</v>
      </c>
      <c r="B3927" s="9" t="s">
        <v>8160</v>
      </c>
      <c r="C3927" s="9" t="s">
        <v>218</v>
      </c>
      <c r="D3927" s="9" t="s">
        <v>647</v>
      </c>
      <c r="E3927" s="6" t="s">
        <v>4633</v>
      </c>
      <c r="F3927" s="9" t="s">
        <v>10001</v>
      </c>
    </row>
    <row r="3928" ht="33.75" customHeight="1">
      <c r="A3928" s="7">
        <v>130.0</v>
      </c>
      <c r="B3928" s="9" t="s">
        <v>8160</v>
      </c>
      <c r="C3928" s="9" t="s">
        <v>218</v>
      </c>
      <c r="D3928" s="9" t="s">
        <v>652</v>
      </c>
      <c r="E3928" s="6" t="s">
        <v>4635</v>
      </c>
      <c r="F3928" s="9" t="s">
        <v>10001</v>
      </c>
    </row>
    <row r="3929" ht="33.75" customHeight="1">
      <c r="A3929" s="7">
        <v>130.0</v>
      </c>
      <c r="B3929" s="9" t="s">
        <v>8160</v>
      </c>
      <c r="C3929" s="9" t="s">
        <v>218</v>
      </c>
      <c r="D3929" s="9" t="s">
        <v>111</v>
      </c>
      <c r="E3929" s="6" t="s">
        <v>4600</v>
      </c>
      <c r="F3929" s="9" t="s">
        <v>10001</v>
      </c>
    </row>
    <row r="3930" ht="33.75" customHeight="1">
      <c r="A3930" s="7">
        <v>130.0</v>
      </c>
      <c r="B3930" s="9" t="s">
        <v>8160</v>
      </c>
      <c r="C3930" s="9" t="s">
        <v>218</v>
      </c>
      <c r="D3930" s="9" t="s">
        <v>113</v>
      </c>
      <c r="E3930" s="6" t="s">
        <v>4600</v>
      </c>
      <c r="F3930" s="9" t="s">
        <v>10001</v>
      </c>
    </row>
    <row r="3931" ht="33.75" customHeight="1">
      <c r="A3931" s="7">
        <v>130.0</v>
      </c>
      <c r="B3931" s="9" t="s">
        <v>8160</v>
      </c>
      <c r="C3931" s="9" t="s">
        <v>218</v>
      </c>
      <c r="D3931" s="9" t="s">
        <v>114</v>
      </c>
      <c r="E3931" s="6" t="s">
        <v>4636</v>
      </c>
      <c r="F3931" s="9" t="s">
        <v>10001</v>
      </c>
    </row>
    <row r="3932" ht="33.75" customHeight="1">
      <c r="A3932" s="7">
        <v>130.0</v>
      </c>
      <c r="B3932" s="9" t="s">
        <v>8160</v>
      </c>
      <c r="C3932" s="9" t="s">
        <v>218</v>
      </c>
      <c r="D3932" s="9" t="s">
        <v>117</v>
      </c>
      <c r="E3932" s="6" t="s">
        <v>4619</v>
      </c>
      <c r="F3932" s="9" t="s">
        <v>10001</v>
      </c>
    </row>
    <row r="3933" ht="33.75" customHeight="1">
      <c r="A3933" s="7">
        <v>130.0</v>
      </c>
      <c r="B3933" s="9" t="s">
        <v>8160</v>
      </c>
      <c r="C3933" s="9" t="s">
        <v>218</v>
      </c>
      <c r="D3933" s="9" t="s">
        <v>1577</v>
      </c>
      <c r="E3933" s="6" t="s">
        <v>4638</v>
      </c>
      <c r="F3933" s="9" t="s">
        <v>10001</v>
      </c>
    </row>
    <row r="3934" ht="33.75" customHeight="1">
      <c r="A3934" s="7">
        <v>131.0</v>
      </c>
      <c r="B3934" s="9" t="s">
        <v>8221</v>
      </c>
      <c r="C3934" s="9" t="s">
        <v>219</v>
      </c>
      <c r="D3934" s="9" t="s">
        <v>24</v>
      </c>
      <c r="E3934" s="6" t="s">
        <v>4640</v>
      </c>
      <c r="F3934" s="9" t="s">
        <v>10075</v>
      </c>
      <c r="G3934" t="inlineStr" s="6">
        <is>
          <t xml:space="preserve">A POKéMON that has been over hunted almost to extinction. It can ferry people across the water. A gentle soul that can read the minds of people. It can ferry people across the sea on its back. They have gentle hearts. Because they rarely fight, many have been caught. Their number has dwindled. It ferries people across the sea on its back. It may sing an enchanting cry if it is in a good mood. This gentle POKéMON loves to give people rides and provides a very comfortable way to get around. People have driven LAPRAS almost to the point of extinction. In the evenings, this POKéMON is said to sing plaintively as it seeks what few others of its kind still remain. In the evenings, it is said to sing plaintively as it seeks what few others of its kind still remain. Its high intelligence enables it to understand human speech. It likes to ferry people on its back. A POKéMON that has been overhunted almost to extinction. It can ferry people on its back. It loves crossing the sea with people and Pokémon on its back. It understands human speech. Able to understand human speech and very intelligent, it loves to swim in the sea with people on its back. Its high intelligence enables it to comprehend human speech. When it’s in a good mood, it sings in its beautiful voice. These Pokémon were once near extinction due to poaching. Following protective regulations, there is now an overabundance of them. It likes swimming around with people on its back. In the Alola region, it’s an important means of transportation over water. They’ve been so cherished that there’s now an overabundance. The fish Pokémon population has declined in waters with too many Lapras. A gentle soul that can understand human speech. A smart and kindhearted Pokémon, it glides across the surface of the sea while its beautiful song echoes around it. Crossing icy seas is no issue for this cold-resistant Pokémon. Its smooth skin is a little cool to the touch.</t>
        </is>
      </c>
    </row>
    <row r="3935" ht="33.75" customHeight="1">
      <c r="A3935" s="7">
        <v>131.0</v>
      </c>
      <c r="B3935" s="9" t="s">
        <v>8221</v>
      </c>
      <c r="C3935" s="9" t="s">
        <v>219</v>
      </c>
      <c r="D3935" s="9" t="s">
        <v>35</v>
      </c>
      <c r="E3935" s="6" t="s">
        <v>4640</v>
      </c>
      <c r="F3935" s="9" t="s">
        <v>10075</v>
      </c>
    </row>
    <row r="3936" ht="33.75" customHeight="1">
      <c r="A3936" s="7">
        <v>131.0</v>
      </c>
      <c r="B3936" s="9" t="s">
        <v>8221</v>
      </c>
      <c r="C3936" s="9" t="s">
        <v>219</v>
      </c>
      <c r="D3936" s="9" t="s">
        <v>42</v>
      </c>
      <c r="E3936" s="6" t="s">
        <v>4642</v>
      </c>
      <c r="F3936" s="9" t="s">
        <v>10075</v>
      </c>
    </row>
    <row r="3937" ht="33.75" customHeight="1">
      <c r="A3937" s="7">
        <v>131.0</v>
      </c>
      <c r="B3937" s="9" t="s">
        <v>8221</v>
      </c>
      <c r="C3937" s="9" t="s">
        <v>219</v>
      </c>
      <c r="D3937" s="9" t="s">
        <v>52</v>
      </c>
      <c r="E3937" s="6" t="s">
        <v>4644</v>
      </c>
      <c r="F3937" s="9" t="s">
        <v>10075</v>
      </c>
    </row>
    <row r="3938" ht="33.75" customHeight="1">
      <c r="A3938" s="7">
        <v>131.0</v>
      </c>
      <c r="B3938" s="9" t="s">
        <v>8221</v>
      </c>
      <c r="C3938" s="9" t="s">
        <v>219</v>
      </c>
      <c r="D3938" s="9" t="s">
        <v>59</v>
      </c>
      <c r="E3938" s="6" t="s">
        <v>4646</v>
      </c>
      <c r="F3938" s="9" t="s">
        <v>10075</v>
      </c>
    </row>
    <row r="3939" ht="33.75" customHeight="1">
      <c r="A3939" s="7">
        <v>131.0</v>
      </c>
      <c r="B3939" s="9" t="s">
        <v>8221</v>
      </c>
      <c r="C3939" s="9" t="s">
        <v>219</v>
      </c>
      <c r="D3939" s="9" t="s">
        <v>64</v>
      </c>
      <c r="E3939" s="6" t="s">
        <v>4648</v>
      </c>
      <c r="F3939" s="9" t="s">
        <v>10075</v>
      </c>
    </row>
    <row r="3940" ht="33.75" customHeight="1">
      <c r="A3940" s="7">
        <v>131.0</v>
      </c>
      <c r="B3940" s="9" t="s">
        <v>8221</v>
      </c>
      <c r="C3940" s="9" t="s">
        <v>219</v>
      </c>
      <c r="D3940" s="9" t="s">
        <v>67</v>
      </c>
      <c r="E3940" s="6" t="s">
        <v>4649</v>
      </c>
      <c r="F3940" s="9" t="s">
        <v>10075</v>
      </c>
    </row>
    <row r="3941" ht="33.75" customHeight="1">
      <c r="A3941" s="7">
        <v>131.0</v>
      </c>
      <c r="B3941" s="9" t="s">
        <v>8221</v>
      </c>
      <c r="C3941" s="9" t="s">
        <v>219</v>
      </c>
      <c r="D3941" s="9" t="s">
        <v>71</v>
      </c>
      <c r="E3941" s="6" t="s">
        <v>4649</v>
      </c>
      <c r="F3941" s="9" t="s">
        <v>10075</v>
      </c>
    </row>
    <row r="3942" ht="33.75" customHeight="1">
      <c r="A3942" s="7">
        <v>131.0</v>
      </c>
      <c r="B3942" s="9" t="s">
        <v>8221</v>
      </c>
      <c r="C3942" s="9" t="s">
        <v>219</v>
      </c>
      <c r="D3942" s="9" t="s">
        <v>73</v>
      </c>
      <c r="E3942" s="6" t="s">
        <v>4651</v>
      </c>
      <c r="F3942" s="9" t="s">
        <v>10075</v>
      </c>
    </row>
    <row r="3943" ht="33.75" customHeight="1">
      <c r="A3943" s="7">
        <v>131.0</v>
      </c>
      <c r="B3943" s="9" t="s">
        <v>8221</v>
      </c>
      <c r="C3943" s="9" t="s">
        <v>219</v>
      </c>
      <c r="D3943" s="9" t="s">
        <v>75</v>
      </c>
      <c r="E3943" s="6" t="s">
        <v>4653</v>
      </c>
      <c r="F3943" s="9" t="s">
        <v>10075</v>
      </c>
    </row>
    <row r="3944" ht="33.75" customHeight="1">
      <c r="A3944" s="7">
        <v>131.0</v>
      </c>
      <c r="B3944" s="9" t="s">
        <v>8221</v>
      </c>
      <c r="C3944" s="9" t="s">
        <v>219</v>
      </c>
      <c r="D3944" s="9" t="s">
        <v>79</v>
      </c>
      <c r="E3944" s="6" t="s">
        <v>4654</v>
      </c>
      <c r="F3944" s="9" t="s">
        <v>10075</v>
      </c>
    </row>
    <row r="3945" ht="33.75" customHeight="1">
      <c r="A3945" s="7">
        <v>131.0</v>
      </c>
      <c r="B3945" s="9" t="s">
        <v>8221</v>
      </c>
      <c r="C3945" s="9" t="s">
        <v>219</v>
      </c>
      <c r="D3945" s="9" t="s">
        <v>81</v>
      </c>
      <c r="E3945" s="6" t="s">
        <v>4655</v>
      </c>
      <c r="F3945" s="9" t="s">
        <v>10075</v>
      </c>
    </row>
    <row r="3946" ht="33.75" customHeight="1">
      <c r="A3946" s="7">
        <v>131.0</v>
      </c>
      <c r="B3946" s="9" t="s">
        <v>8221</v>
      </c>
      <c r="C3946" s="9" t="s">
        <v>219</v>
      </c>
      <c r="D3946" s="9" t="s">
        <v>84</v>
      </c>
      <c r="E3946" s="6" t="s">
        <v>4655</v>
      </c>
      <c r="F3946" s="9" t="s">
        <v>10075</v>
      </c>
    </row>
    <row r="3947" ht="33.75" customHeight="1">
      <c r="A3947" s="7">
        <v>131.0</v>
      </c>
      <c r="B3947" s="9" t="s">
        <v>8221</v>
      </c>
      <c r="C3947" s="9" t="s">
        <v>219</v>
      </c>
      <c r="D3947" s="9" t="s">
        <v>87</v>
      </c>
      <c r="E3947" s="6" t="s">
        <v>4655</v>
      </c>
      <c r="F3947" s="9" t="s">
        <v>10075</v>
      </c>
    </row>
    <row r="3948" ht="33.75" customHeight="1">
      <c r="A3948" s="7">
        <v>131.0</v>
      </c>
      <c r="B3948" s="9" t="s">
        <v>8221</v>
      </c>
      <c r="C3948" s="9" t="s">
        <v>219</v>
      </c>
      <c r="D3948" s="9" t="s">
        <v>89</v>
      </c>
      <c r="E3948" s="6" t="s">
        <v>4656</v>
      </c>
      <c r="F3948" s="9" t="s">
        <v>10075</v>
      </c>
    </row>
    <row r="3949" ht="33.75" customHeight="1">
      <c r="A3949" s="7">
        <v>131.0</v>
      </c>
      <c r="B3949" s="9" t="s">
        <v>8221</v>
      </c>
      <c r="C3949" s="9" t="s">
        <v>219</v>
      </c>
      <c r="D3949" s="9" t="s">
        <v>91</v>
      </c>
      <c r="E3949" s="6" t="s">
        <v>4646</v>
      </c>
      <c r="F3949" s="9" t="s">
        <v>10075</v>
      </c>
    </row>
    <row r="3950" ht="33.75" customHeight="1">
      <c r="A3950" s="7">
        <v>131.0</v>
      </c>
      <c r="B3950" s="9" t="s">
        <v>8221</v>
      </c>
      <c r="C3950" s="9" t="s">
        <v>219</v>
      </c>
      <c r="D3950" s="9" t="s">
        <v>93</v>
      </c>
      <c r="E3950" s="6" t="s">
        <v>4655</v>
      </c>
      <c r="F3950" s="9" t="s">
        <v>10075</v>
      </c>
    </row>
    <row r="3951" ht="33.75" customHeight="1">
      <c r="A3951" s="7">
        <v>131.0</v>
      </c>
      <c r="B3951" s="9" t="s">
        <v>8221</v>
      </c>
      <c r="C3951" s="9" t="s">
        <v>219</v>
      </c>
      <c r="D3951" s="9" t="s">
        <v>95</v>
      </c>
      <c r="E3951" s="6" t="s">
        <v>4655</v>
      </c>
      <c r="F3951" s="9" t="s">
        <v>10075</v>
      </c>
    </row>
    <row r="3952" ht="33.75" customHeight="1">
      <c r="A3952" s="7">
        <v>131.0</v>
      </c>
      <c r="B3952" s="9" t="s">
        <v>8221</v>
      </c>
      <c r="C3952" s="9" t="s">
        <v>219</v>
      </c>
      <c r="D3952" s="9" t="s">
        <v>98</v>
      </c>
      <c r="E3952" s="6" t="s">
        <v>4657</v>
      </c>
      <c r="F3952" s="9" t="s">
        <v>10075</v>
      </c>
    </row>
    <row r="3953" ht="33.75" customHeight="1">
      <c r="A3953" s="7">
        <v>131.0</v>
      </c>
      <c r="B3953" s="9" t="s">
        <v>8221</v>
      </c>
      <c r="C3953" s="9" t="s">
        <v>219</v>
      </c>
      <c r="D3953" s="9" t="s">
        <v>99</v>
      </c>
      <c r="E3953" s="6" t="s">
        <v>4657</v>
      </c>
      <c r="F3953" s="9" t="s">
        <v>10075</v>
      </c>
    </row>
    <row r="3954" ht="33.75" customHeight="1">
      <c r="A3954" s="7">
        <v>131.0</v>
      </c>
      <c r="B3954" s="9" t="s">
        <v>8221</v>
      </c>
      <c r="C3954" s="9" t="s">
        <v>219</v>
      </c>
      <c r="D3954" s="9" t="s">
        <v>101</v>
      </c>
      <c r="E3954" s="6" t="s">
        <v>4656</v>
      </c>
      <c r="F3954" s="9" t="s">
        <v>10075</v>
      </c>
    </row>
    <row r="3955" ht="33.75" customHeight="1">
      <c r="A3955" s="7">
        <v>131.0</v>
      </c>
      <c r="B3955" s="9" t="s">
        <v>8221</v>
      </c>
      <c r="C3955" s="9" t="s">
        <v>219</v>
      </c>
      <c r="D3955" s="9" t="s">
        <v>105</v>
      </c>
      <c r="E3955" s="6" t="s">
        <v>4653</v>
      </c>
      <c r="F3955" s="9" t="s">
        <v>10075</v>
      </c>
    </row>
    <row r="3956" ht="33.75" customHeight="1">
      <c r="A3956" s="7">
        <v>131.0</v>
      </c>
      <c r="B3956" s="9" t="s">
        <v>8221</v>
      </c>
      <c r="C3956" s="9" t="s">
        <v>219</v>
      </c>
      <c r="D3956" s="9" t="s">
        <v>107</v>
      </c>
      <c r="E3956" s="6" t="s">
        <v>4659</v>
      </c>
      <c r="F3956" s="9" t="s">
        <v>10075</v>
      </c>
    </row>
    <row r="3957" ht="33.75" customHeight="1">
      <c r="A3957" s="7">
        <v>131.0</v>
      </c>
      <c r="B3957" s="9" t="s">
        <v>8221</v>
      </c>
      <c r="C3957" s="9" t="s">
        <v>219</v>
      </c>
      <c r="D3957" s="9" t="s">
        <v>109</v>
      </c>
      <c r="E3957" s="6" t="s">
        <v>4659</v>
      </c>
      <c r="F3957" s="9" t="s">
        <v>10075</v>
      </c>
    </row>
    <row r="3958" ht="33.75" customHeight="1">
      <c r="A3958" s="7">
        <v>131.0</v>
      </c>
      <c r="B3958" s="9" t="s">
        <v>8221</v>
      </c>
      <c r="C3958" s="9" t="s">
        <v>219</v>
      </c>
      <c r="D3958" s="9" t="s">
        <v>637</v>
      </c>
      <c r="E3958" s="6" t="s">
        <v>4660</v>
      </c>
      <c r="F3958" s="9" t="s">
        <v>10075</v>
      </c>
    </row>
    <row r="3959" ht="33.75" customHeight="1">
      <c r="A3959" s="7">
        <v>131.0</v>
      </c>
      <c r="B3959" s="9" t="s">
        <v>8221</v>
      </c>
      <c r="C3959" s="9" t="s">
        <v>219</v>
      </c>
      <c r="D3959" s="9" t="s">
        <v>642</v>
      </c>
      <c r="E3959" s="6" t="s">
        <v>4661</v>
      </c>
      <c r="F3959" s="9" t="s">
        <v>10075</v>
      </c>
    </row>
    <row r="3960" ht="33.75" customHeight="1">
      <c r="A3960" s="7">
        <v>131.0</v>
      </c>
      <c r="B3960" s="9" t="s">
        <v>8221</v>
      </c>
      <c r="C3960" s="9" t="s">
        <v>219</v>
      </c>
      <c r="D3960" s="9" t="s">
        <v>647</v>
      </c>
      <c r="E3960" s="6" t="s">
        <v>4663</v>
      </c>
      <c r="F3960" s="9" t="s">
        <v>10075</v>
      </c>
    </row>
    <row r="3961" ht="33.75" customHeight="1">
      <c r="A3961" s="7">
        <v>131.0</v>
      </c>
      <c r="B3961" s="9" t="s">
        <v>8221</v>
      </c>
      <c r="C3961" s="9" t="s">
        <v>219</v>
      </c>
      <c r="D3961" s="9" t="s">
        <v>652</v>
      </c>
      <c r="E3961" s="6" t="s">
        <v>4666</v>
      </c>
      <c r="F3961" s="9" t="s">
        <v>10075</v>
      </c>
    </row>
    <row r="3962" ht="33.75" customHeight="1">
      <c r="A3962" s="7">
        <v>131.0</v>
      </c>
      <c r="B3962" s="9" t="s">
        <v>8221</v>
      </c>
      <c r="C3962" s="9" t="s">
        <v>219</v>
      </c>
      <c r="D3962" s="9" t="s">
        <v>111</v>
      </c>
      <c r="E3962" s="6" t="s">
        <v>4668</v>
      </c>
      <c r="F3962" s="9" t="s">
        <v>10075</v>
      </c>
    </row>
    <row r="3963" ht="33.75" customHeight="1">
      <c r="A3963" s="7">
        <v>131.0</v>
      </c>
      <c r="B3963" s="9" t="s">
        <v>8221</v>
      </c>
      <c r="C3963" s="9" t="s">
        <v>219</v>
      </c>
      <c r="D3963" s="9" t="s">
        <v>113</v>
      </c>
      <c r="E3963" s="6" t="s">
        <v>4668</v>
      </c>
      <c r="F3963" s="9" t="s">
        <v>10075</v>
      </c>
    </row>
    <row r="3964" ht="33.75" customHeight="1">
      <c r="A3964" s="7">
        <v>131.0</v>
      </c>
      <c r="B3964" s="9" t="s">
        <v>8221</v>
      </c>
      <c r="C3964" s="9" t="s">
        <v>219</v>
      </c>
      <c r="D3964" s="9" t="s">
        <v>114</v>
      </c>
      <c r="E3964" s="6" t="s">
        <v>4670</v>
      </c>
      <c r="F3964" s="9" t="s">
        <v>10075</v>
      </c>
    </row>
    <row r="3965" ht="33.75" customHeight="1">
      <c r="A3965" s="7">
        <v>131.0</v>
      </c>
      <c r="B3965" s="9" t="s">
        <v>8221</v>
      </c>
      <c r="C3965" s="9" t="s">
        <v>219</v>
      </c>
      <c r="D3965" s="9" t="s">
        <v>117</v>
      </c>
      <c r="E3965" s="6" t="s">
        <v>4671</v>
      </c>
      <c r="F3965" s="9" t="s">
        <v>10075</v>
      </c>
    </row>
    <row r="3966" ht="33.75" customHeight="1">
      <c r="A3966" s="7">
        <v>132.0</v>
      </c>
      <c r="B3966" s="9" t="s">
        <v>8292</v>
      </c>
      <c r="C3966" s="9" t="s">
        <v>220</v>
      </c>
      <c r="D3966" s="9" t="s">
        <v>24</v>
      </c>
      <c r="E3966" s="6" t="s">
        <v>4674</v>
      </c>
      <c r="F3966" s="9" t="s">
        <v>10132</v>
      </c>
      <c r="G3966" t="inlineStr" s="6">
        <is>
          <t xml:space="preserve">Capable of copying an enemy's genetic code to instantly transform itself into a duplicate of the enemy. When it spots an enemy, its body transfigures into an almost perfect copy of its oppo nent. It can transform into anything. When it sleeps, it changes into a stone to avoid being attacked. Its transformation ability is perfect. However, if made to laugh, it can't maintain its disguise. When it encounters another DITTO, it will move faster than normal to duplicate that opponent exactly. DITTO rearranges its cell structure to transform itself into other shapes. However, if it tries to transform itself into something by relying on its memory, this POKéMON manages to get details wrong. A DITTO rearranges its cell structure to transform itself. However, if it tries to change based on its memory, it will get details wrong. It can freely recombine its own cellular structure to transform into other life- forms. Capable of copying an opponent’s genetic code to instantly transform itself into a duplicate of the enemy. It has the ability to reconstitute its entire cellular structure to transform into whatever it sees. It can reconstitute its entire cellular structure to change into what it sees, but it returns to normal when it relaxes. It can freely recombine its own cellular structure to transform into other life-forms. It can reorganize its cells to make itself into a duplicate of anything it sees. The quality of the duplicate depends on the individual. With its astonishing capacity for metamorphosis, it can get along with anything. It does not get along well with its fellow Ditto. While it can transform into anything, each Ditto apparently has its own strengths and weaknesses when it comes to transformations. It transforms into whatever it sees. If the thing it’s transforming into isn’t right in front of it, Ditto relies on its memory—so sometimes it fails. When it spots an enemy, its body transfigures into an almost-perfect copy of its opponent.</t>
        </is>
      </c>
    </row>
    <row r="3967" ht="33.75" customHeight="1">
      <c r="A3967" s="7">
        <v>132.0</v>
      </c>
      <c r="B3967" s="9" t="s">
        <v>8292</v>
      </c>
      <c r="C3967" s="9" t="s">
        <v>220</v>
      </c>
      <c r="D3967" s="9" t="s">
        <v>35</v>
      </c>
      <c r="E3967" s="6" t="s">
        <v>4674</v>
      </c>
      <c r="F3967" s="9" t="s">
        <v>10132</v>
      </c>
    </row>
    <row r="3968" ht="33.75" customHeight="1">
      <c r="A3968" s="7">
        <v>132.0</v>
      </c>
      <c r="B3968" s="9" t="s">
        <v>8292</v>
      </c>
      <c r="C3968" s="9" t="s">
        <v>220</v>
      </c>
      <c r="D3968" s="9" t="s">
        <v>42</v>
      </c>
      <c r="E3968" s="6" t="s">
        <v>4675</v>
      </c>
      <c r="F3968" s="9" t="s">
        <v>10132</v>
      </c>
    </row>
    <row r="3969" ht="33.75" customHeight="1">
      <c r="A3969" s="7">
        <v>132.0</v>
      </c>
      <c r="B3969" s="9" t="s">
        <v>8292</v>
      </c>
      <c r="C3969" s="9" t="s">
        <v>220</v>
      </c>
      <c r="D3969" s="9" t="s">
        <v>52</v>
      </c>
      <c r="E3969" s="6" t="s">
        <v>4676</v>
      </c>
      <c r="F3969" s="9" t="s">
        <v>10132</v>
      </c>
    </row>
    <row r="3970" ht="33.75" customHeight="1">
      <c r="A3970" s="7">
        <v>132.0</v>
      </c>
      <c r="B3970" s="9" t="s">
        <v>8292</v>
      </c>
      <c r="C3970" s="9" t="s">
        <v>220</v>
      </c>
      <c r="D3970" s="9" t="s">
        <v>59</v>
      </c>
      <c r="E3970" s="6" t="s">
        <v>4677</v>
      </c>
      <c r="F3970" s="9" t="s">
        <v>10132</v>
      </c>
    </row>
    <row r="3971" ht="33.75" customHeight="1">
      <c r="A3971" s="7">
        <v>132.0</v>
      </c>
      <c r="B3971" s="9" t="s">
        <v>8292</v>
      </c>
      <c r="C3971" s="9" t="s">
        <v>220</v>
      </c>
      <c r="D3971" s="9" t="s">
        <v>64</v>
      </c>
      <c r="E3971" s="6" t="s">
        <v>4680</v>
      </c>
      <c r="F3971" s="9" t="s">
        <v>10132</v>
      </c>
    </row>
    <row r="3972" ht="33.75" customHeight="1">
      <c r="A3972" s="7">
        <v>132.0</v>
      </c>
      <c r="B3972" s="9" t="s">
        <v>8292</v>
      </c>
      <c r="C3972" s="9" t="s">
        <v>220</v>
      </c>
      <c r="D3972" s="9" t="s">
        <v>67</v>
      </c>
      <c r="E3972" s="6" t="s">
        <v>4683</v>
      </c>
      <c r="F3972" s="9" t="s">
        <v>10132</v>
      </c>
    </row>
    <row r="3973" ht="33.75" customHeight="1">
      <c r="A3973" s="7">
        <v>132.0</v>
      </c>
      <c r="B3973" s="9" t="s">
        <v>8292</v>
      </c>
      <c r="C3973" s="9" t="s">
        <v>220</v>
      </c>
      <c r="D3973" s="9" t="s">
        <v>71</v>
      </c>
      <c r="E3973" s="6" t="s">
        <v>4683</v>
      </c>
      <c r="F3973" s="9" t="s">
        <v>10132</v>
      </c>
    </row>
    <row r="3974" ht="33.75" customHeight="1">
      <c r="A3974" s="7">
        <v>132.0</v>
      </c>
      <c r="B3974" s="9" t="s">
        <v>8292</v>
      </c>
      <c r="C3974" s="9" t="s">
        <v>220</v>
      </c>
      <c r="D3974" s="9" t="s">
        <v>73</v>
      </c>
      <c r="E3974" s="6" t="s">
        <v>4685</v>
      </c>
      <c r="F3974" s="9" t="s">
        <v>10132</v>
      </c>
    </row>
    <row r="3975" ht="33.75" customHeight="1">
      <c r="A3975" s="7">
        <v>132.0</v>
      </c>
      <c r="B3975" s="9" t="s">
        <v>8292</v>
      </c>
      <c r="C3975" s="9" t="s">
        <v>220</v>
      </c>
      <c r="D3975" s="9" t="s">
        <v>75</v>
      </c>
      <c r="E3975" s="6" t="s">
        <v>4686</v>
      </c>
      <c r="F3975" s="9" t="s">
        <v>10132</v>
      </c>
    </row>
    <row r="3976" ht="33.75" customHeight="1">
      <c r="A3976" s="7">
        <v>132.0</v>
      </c>
      <c r="B3976" s="9" t="s">
        <v>8292</v>
      </c>
      <c r="C3976" s="9" t="s">
        <v>220</v>
      </c>
      <c r="D3976" s="9" t="s">
        <v>79</v>
      </c>
      <c r="E3976" s="6" t="s">
        <v>4688</v>
      </c>
      <c r="F3976" s="9" t="s">
        <v>10132</v>
      </c>
    </row>
    <row r="3977" ht="33.75" customHeight="1">
      <c r="A3977" s="7">
        <v>132.0</v>
      </c>
      <c r="B3977" s="9" t="s">
        <v>8292</v>
      </c>
      <c r="C3977" s="9" t="s">
        <v>220</v>
      </c>
      <c r="D3977" s="9" t="s">
        <v>81</v>
      </c>
      <c r="E3977" s="6" t="s">
        <v>4690</v>
      </c>
      <c r="F3977" s="9" t="s">
        <v>10132</v>
      </c>
    </row>
    <row r="3978" ht="33.75" customHeight="1">
      <c r="A3978" s="7">
        <v>132.0</v>
      </c>
      <c r="B3978" s="9" t="s">
        <v>8292</v>
      </c>
      <c r="C3978" s="9" t="s">
        <v>220</v>
      </c>
      <c r="D3978" s="9" t="s">
        <v>84</v>
      </c>
      <c r="E3978" s="6" t="s">
        <v>4690</v>
      </c>
      <c r="F3978" s="9" t="s">
        <v>10132</v>
      </c>
    </row>
    <row r="3979" ht="33.75" customHeight="1">
      <c r="A3979" s="7">
        <v>132.0</v>
      </c>
      <c r="B3979" s="9" t="s">
        <v>8292</v>
      </c>
      <c r="C3979" s="9" t="s">
        <v>220</v>
      </c>
      <c r="D3979" s="9" t="s">
        <v>87</v>
      </c>
      <c r="E3979" s="6" t="s">
        <v>4690</v>
      </c>
      <c r="F3979" s="9" t="s">
        <v>10132</v>
      </c>
    </row>
    <row r="3980" ht="33.75" customHeight="1">
      <c r="A3980" s="7">
        <v>132.0</v>
      </c>
      <c r="B3980" s="9" t="s">
        <v>8292</v>
      </c>
      <c r="C3980" s="9" t="s">
        <v>220</v>
      </c>
      <c r="D3980" s="9" t="s">
        <v>89</v>
      </c>
      <c r="E3980" s="6" t="s">
        <v>4676</v>
      </c>
      <c r="F3980" s="9" t="s">
        <v>10132</v>
      </c>
    </row>
    <row r="3981" ht="33.75" customHeight="1">
      <c r="A3981" s="7">
        <v>132.0</v>
      </c>
      <c r="B3981" s="9" t="s">
        <v>8292</v>
      </c>
      <c r="C3981" s="9" t="s">
        <v>220</v>
      </c>
      <c r="D3981" s="9" t="s">
        <v>91</v>
      </c>
      <c r="E3981" s="6" t="s">
        <v>4692</v>
      </c>
      <c r="F3981" s="9" t="s">
        <v>10132</v>
      </c>
    </row>
    <row r="3982" ht="33.75" customHeight="1">
      <c r="A3982" s="7">
        <v>132.0</v>
      </c>
      <c r="B3982" s="9" t="s">
        <v>8292</v>
      </c>
      <c r="C3982" s="9" t="s">
        <v>220</v>
      </c>
      <c r="D3982" s="9" t="s">
        <v>93</v>
      </c>
      <c r="E3982" s="6" t="s">
        <v>4690</v>
      </c>
      <c r="F3982" s="9" t="s">
        <v>10132</v>
      </c>
    </row>
    <row r="3983" ht="33.75" customHeight="1">
      <c r="A3983" s="7">
        <v>132.0</v>
      </c>
      <c r="B3983" s="9" t="s">
        <v>8292</v>
      </c>
      <c r="C3983" s="9" t="s">
        <v>220</v>
      </c>
      <c r="D3983" s="9" t="s">
        <v>95</v>
      </c>
      <c r="E3983" s="6" t="s">
        <v>4690</v>
      </c>
      <c r="F3983" s="9" t="s">
        <v>10132</v>
      </c>
    </row>
    <row r="3984" ht="33.75" customHeight="1">
      <c r="A3984" s="7">
        <v>132.0</v>
      </c>
      <c r="B3984" s="9" t="s">
        <v>8292</v>
      </c>
      <c r="C3984" s="9" t="s">
        <v>220</v>
      </c>
      <c r="D3984" s="9" t="s">
        <v>98</v>
      </c>
      <c r="E3984" s="6" t="s">
        <v>4694</v>
      </c>
      <c r="F3984" s="9" t="s">
        <v>10132</v>
      </c>
    </row>
    <row r="3985" ht="33.75" customHeight="1">
      <c r="A3985" s="7">
        <v>132.0</v>
      </c>
      <c r="B3985" s="9" t="s">
        <v>8292</v>
      </c>
      <c r="C3985" s="9" t="s">
        <v>220</v>
      </c>
      <c r="D3985" s="9" t="s">
        <v>99</v>
      </c>
      <c r="E3985" s="6" t="s">
        <v>4694</v>
      </c>
      <c r="F3985" s="9" t="s">
        <v>10132</v>
      </c>
    </row>
    <row r="3986" ht="33.75" customHeight="1">
      <c r="A3986" s="7">
        <v>132.0</v>
      </c>
      <c r="B3986" s="9" t="s">
        <v>8292</v>
      </c>
      <c r="C3986" s="9" t="s">
        <v>220</v>
      </c>
      <c r="D3986" s="9" t="s">
        <v>101</v>
      </c>
      <c r="E3986" s="6" t="s">
        <v>4690</v>
      </c>
      <c r="F3986" s="9" t="s">
        <v>10132</v>
      </c>
    </row>
    <row r="3987" ht="33.75" customHeight="1">
      <c r="A3987" s="7">
        <v>132.0</v>
      </c>
      <c r="B3987" s="9" t="s">
        <v>8292</v>
      </c>
      <c r="C3987" s="9" t="s">
        <v>220</v>
      </c>
      <c r="D3987" s="9" t="s">
        <v>105</v>
      </c>
      <c r="E3987" s="6" t="s">
        <v>4695</v>
      </c>
      <c r="F3987" s="9" t="s">
        <v>10132</v>
      </c>
    </row>
    <row r="3988" ht="33.75" customHeight="1">
      <c r="A3988" s="7">
        <v>132.0</v>
      </c>
      <c r="B3988" s="9" t="s">
        <v>8292</v>
      </c>
      <c r="C3988" s="9" t="s">
        <v>220</v>
      </c>
      <c r="D3988" s="9" t="s">
        <v>107</v>
      </c>
      <c r="E3988" s="6" t="s">
        <v>4697</v>
      </c>
      <c r="F3988" s="9" t="s">
        <v>10132</v>
      </c>
    </row>
    <row r="3989" ht="33.75" customHeight="1">
      <c r="A3989" s="7">
        <v>132.0</v>
      </c>
      <c r="B3989" s="9" t="s">
        <v>8292</v>
      </c>
      <c r="C3989" s="9" t="s">
        <v>220</v>
      </c>
      <c r="D3989" s="9" t="s">
        <v>109</v>
      </c>
      <c r="E3989" s="6" t="s">
        <v>4697</v>
      </c>
      <c r="F3989" s="9" t="s">
        <v>10132</v>
      </c>
    </row>
    <row r="3990" ht="33.75" customHeight="1">
      <c r="A3990" s="7">
        <v>132.0</v>
      </c>
      <c r="B3990" s="9" t="s">
        <v>8292</v>
      </c>
      <c r="C3990" s="9" t="s">
        <v>220</v>
      </c>
      <c r="D3990" s="9" t="s">
        <v>637</v>
      </c>
      <c r="E3990" s="6" t="s">
        <v>4699</v>
      </c>
      <c r="F3990" s="9" t="s">
        <v>10132</v>
      </c>
    </row>
    <row r="3991" ht="33.75" customHeight="1">
      <c r="A3991" s="7">
        <v>132.0</v>
      </c>
      <c r="B3991" s="9" t="s">
        <v>8292</v>
      </c>
      <c r="C3991" s="9" t="s">
        <v>220</v>
      </c>
      <c r="D3991" s="9" t="s">
        <v>642</v>
      </c>
      <c r="E3991" s="6" t="s">
        <v>4701</v>
      </c>
      <c r="F3991" s="9" t="s">
        <v>10132</v>
      </c>
    </row>
    <row r="3992" ht="33.75" customHeight="1">
      <c r="A3992" s="7">
        <v>132.0</v>
      </c>
      <c r="B3992" s="9" t="s">
        <v>8292</v>
      </c>
      <c r="C3992" s="9" t="s">
        <v>220</v>
      </c>
      <c r="D3992" s="9" t="s">
        <v>647</v>
      </c>
      <c r="E3992" s="6" t="s">
        <v>4702</v>
      </c>
      <c r="F3992" s="9" t="s">
        <v>10132</v>
      </c>
    </row>
    <row r="3993" ht="33.75" customHeight="1">
      <c r="A3993" s="7">
        <v>132.0</v>
      </c>
      <c r="B3993" s="9" t="s">
        <v>8292</v>
      </c>
      <c r="C3993" s="9" t="s">
        <v>220</v>
      </c>
      <c r="D3993" s="9" t="s">
        <v>652</v>
      </c>
      <c r="E3993" s="6" t="s">
        <v>4705</v>
      </c>
      <c r="F3993" s="9" t="s">
        <v>10132</v>
      </c>
    </row>
    <row r="3994" ht="33.75" customHeight="1">
      <c r="A3994" s="7">
        <v>132.0</v>
      </c>
      <c r="B3994" s="9" t="s">
        <v>8292</v>
      </c>
      <c r="C3994" s="9" t="s">
        <v>220</v>
      </c>
      <c r="D3994" s="9" t="s">
        <v>111</v>
      </c>
      <c r="E3994" s="6" t="s">
        <v>4707</v>
      </c>
      <c r="F3994" s="9" t="s">
        <v>10132</v>
      </c>
    </row>
    <row r="3995" ht="33.75" customHeight="1">
      <c r="A3995" s="7">
        <v>132.0</v>
      </c>
      <c r="B3995" s="9" t="s">
        <v>8292</v>
      </c>
      <c r="C3995" s="9" t="s">
        <v>220</v>
      </c>
      <c r="D3995" s="9" t="s">
        <v>113</v>
      </c>
      <c r="E3995" s="6" t="s">
        <v>4707</v>
      </c>
      <c r="F3995" s="9" t="s">
        <v>10132</v>
      </c>
    </row>
    <row r="3996" ht="33.75" customHeight="1">
      <c r="A3996" s="7">
        <v>132.0</v>
      </c>
      <c r="B3996" s="9" t="s">
        <v>8292</v>
      </c>
      <c r="C3996" s="9" t="s">
        <v>220</v>
      </c>
      <c r="D3996" s="9" t="s">
        <v>114</v>
      </c>
      <c r="E3996" s="6" t="s">
        <v>4694</v>
      </c>
      <c r="F3996" s="9" t="s">
        <v>10132</v>
      </c>
    </row>
    <row r="3997" ht="33.75" customHeight="1">
      <c r="A3997" s="7">
        <v>132.0</v>
      </c>
      <c r="B3997" s="9" t="s">
        <v>8292</v>
      </c>
      <c r="C3997" s="9" t="s">
        <v>220</v>
      </c>
      <c r="D3997" s="9" t="s">
        <v>117</v>
      </c>
      <c r="E3997" s="6" t="s">
        <v>4709</v>
      </c>
      <c r="F3997" s="9" t="s">
        <v>10132</v>
      </c>
    </row>
    <row r="3998" ht="33.75" customHeight="1">
      <c r="A3998" s="7">
        <v>133.0</v>
      </c>
      <c r="B3998" s="9" t="s">
        <v>8355</v>
      </c>
      <c r="C3998" s="9" t="s">
        <v>221</v>
      </c>
      <c r="D3998" s="9" t="s">
        <v>24</v>
      </c>
      <c r="E3998" s="6" t="s">
        <v>4710</v>
      </c>
      <c r="F3998" s="9" t="s">
        <v>10191</v>
      </c>
      <c r="G3998" t="inlineStr" s="6">
        <is>
          <t xml:space="preserve">Eevee's genetic code is irregular. It may mutate if it is exposed to radiation from element STONEs. Its genetic code is unstable, so it could evolve in a variety of ways. There are only a few alive. It has the ability to alter the com position of its body to suit its surrounding environment. Its irregularly configured DNA is affected by its surroundings. It evolves if its environment changes. Its ability to evolve into many forms allows it to adapt smoothly and perfectly to any environment. EEVEE has an unstable genetic makeup that suddenly mutates due to the environment in which it lives. Radiation from various STONES causes this POKéMON to evolve. An EEVEE has an unstable genetic makeup that suddenly mutates due to its environment. An extremely rare POKéMON that may evolve in a number of different ways depending on stimuli. A rare Pokémon that adapts to harsh environments by taking on different evolutionary forms. Because its genetic makeup is irregular, it quickly changes its form due to a variety of causes. It has the ability to alter the composition of its body to suit its surrounding environment. Thanks to its unstable genetic makeup, this special Pokémon conceals many different possible evolutions. Possessing an unbalanced and unstable genetic makeup, it conceals many possible evolutions. Current studies show it can evolve into an incredible eight different species of Pokémon. The question of why only Eevee has such unstable genes has still not been solved. Its genes are easily influenced by its surroundings. Even its face starts to look like that of its Trainer. It can evolve into a variety of forms. Eevee’s genes are the key to solving the mysteries of Pokémon evolution. Harbors the potential to evolve into manifold forms. Within Eevee lies the key to the mysteries of Pokémon evolution—I'm certain of it.</t>
        </is>
      </c>
    </row>
    <row r="3999" ht="33.75" customHeight="1">
      <c r="A3999" s="7">
        <v>133.0</v>
      </c>
      <c r="B3999" s="9" t="s">
        <v>8355</v>
      </c>
      <c r="C3999" s="9" t="s">
        <v>221</v>
      </c>
      <c r="D3999" s="9" t="s">
        <v>35</v>
      </c>
      <c r="E3999" s="6" t="s">
        <v>4710</v>
      </c>
      <c r="F3999" s="9" t="s">
        <v>10191</v>
      </c>
    </row>
    <row r="4000" ht="33.75" customHeight="1">
      <c r="A4000" s="7">
        <v>133.0</v>
      </c>
      <c r="B4000" s="9" t="s">
        <v>8355</v>
      </c>
      <c r="C4000" s="9" t="s">
        <v>221</v>
      </c>
      <c r="D4000" s="9" t="s">
        <v>42</v>
      </c>
      <c r="E4000" s="6" t="s">
        <v>4712</v>
      </c>
      <c r="F4000" s="9" t="s">
        <v>10191</v>
      </c>
    </row>
    <row r="4001" ht="33.75" customHeight="1">
      <c r="A4001" s="7">
        <v>133.0</v>
      </c>
      <c r="B4001" s="9" t="s">
        <v>8355</v>
      </c>
      <c r="C4001" s="9" t="s">
        <v>221</v>
      </c>
      <c r="D4001" s="9" t="s">
        <v>52</v>
      </c>
      <c r="E4001" s="6" t="s">
        <v>4713</v>
      </c>
      <c r="F4001" s="9" t="s">
        <v>10191</v>
      </c>
    </row>
    <row r="4002" ht="33.75" customHeight="1">
      <c r="A4002" s="7">
        <v>133.0</v>
      </c>
      <c r="B4002" s="9" t="s">
        <v>8355</v>
      </c>
      <c r="C4002" s="9" t="s">
        <v>221</v>
      </c>
      <c r="D4002" s="9" t="s">
        <v>59</v>
      </c>
      <c r="E4002" s="6" t="s">
        <v>4714</v>
      </c>
      <c r="F4002" s="9" t="s">
        <v>10191</v>
      </c>
    </row>
    <row r="4003" ht="33.75" customHeight="1">
      <c r="A4003" s="7">
        <v>133.0</v>
      </c>
      <c r="B4003" s="9" t="s">
        <v>8355</v>
      </c>
      <c r="C4003" s="9" t="s">
        <v>221</v>
      </c>
      <c r="D4003" s="9" t="s">
        <v>64</v>
      </c>
      <c r="E4003" s="6" t="s">
        <v>4715</v>
      </c>
      <c r="F4003" s="9" t="s">
        <v>10191</v>
      </c>
    </row>
    <row r="4004" ht="33.75" customHeight="1">
      <c r="A4004" s="7">
        <v>133.0</v>
      </c>
      <c r="B4004" s="9" t="s">
        <v>8355</v>
      </c>
      <c r="C4004" s="9" t="s">
        <v>221</v>
      </c>
      <c r="D4004" s="9" t="s">
        <v>67</v>
      </c>
      <c r="E4004" s="6" t="s">
        <v>4716</v>
      </c>
      <c r="F4004" s="9" t="s">
        <v>10191</v>
      </c>
    </row>
    <row r="4005" ht="33.75" customHeight="1">
      <c r="A4005" s="7">
        <v>133.0</v>
      </c>
      <c r="B4005" s="9" t="s">
        <v>8355</v>
      </c>
      <c r="C4005" s="9" t="s">
        <v>221</v>
      </c>
      <c r="D4005" s="9" t="s">
        <v>71</v>
      </c>
      <c r="E4005" s="6" t="s">
        <v>4716</v>
      </c>
      <c r="F4005" s="9" t="s">
        <v>10191</v>
      </c>
    </row>
    <row r="4006" ht="33.75" customHeight="1">
      <c r="A4006" s="7">
        <v>133.0</v>
      </c>
      <c r="B4006" s="9" t="s">
        <v>8355</v>
      </c>
      <c r="C4006" s="9" t="s">
        <v>221</v>
      </c>
      <c r="D4006" s="9" t="s">
        <v>73</v>
      </c>
      <c r="E4006" s="6" t="s">
        <v>4718</v>
      </c>
      <c r="F4006" s="9" t="s">
        <v>10191</v>
      </c>
    </row>
    <row r="4007" ht="33.75" customHeight="1">
      <c r="A4007" s="7">
        <v>133.0</v>
      </c>
      <c r="B4007" s="9" t="s">
        <v>8355</v>
      </c>
      <c r="C4007" s="9" t="s">
        <v>221</v>
      </c>
      <c r="D4007" s="9" t="s">
        <v>75</v>
      </c>
      <c r="E4007" s="6" t="s">
        <v>4719</v>
      </c>
      <c r="F4007" s="9" t="s">
        <v>10191</v>
      </c>
    </row>
    <row r="4008" ht="33.75" customHeight="1">
      <c r="A4008" s="7">
        <v>133.0</v>
      </c>
      <c r="B4008" s="9" t="s">
        <v>8355</v>
      </c>
      <c r="C4008" s="9" t="s">
        <v>221</v>
      </c>
      <c r="D4008" s="9" t="s">
        <v>79</v>
      </c>
      <c r="E4008" s="6" t="s">
        <v>4720</v>
      </c>
      <c r="F4008" s="9" t="s">
        <v>10191</v>
      </c>
    </row>
    <row r="4009" ht="33.75" customHeight="1">
      <c r="A4009" s="7">
        <v>133.0</v>
      </c>
      <c r="B4009" s="9" t="s">
        <v>8355</v>
      </c>
      <c r="C4009" s="9" t="s">
        <v>221</v>
      </c>
      <c r="D4009" s="9" t="s">
        <v>81</v>
      </c>
      <c r="E4009" s="6" t="s">
        <v>4722</v>
      </c>
      <c r="F4009" s="9" t="s">
        <v>10191</v>
      </c>
    </row>
    <row r="4010" ht="33.75" customHeight="1">
      <c r="A4010" s="7">
        <v>133.0</v>
      </c>
      <c r="B4010" s="9" t="s">
        <v>8355</v>
      </c>
      <c r="C4010" s="9" t="s">
        <v>221</v>
      </c>
      <c r="D4010" s="9" t="s">
        <v>84</v>
      </c>
      <c r="E4010" s="6" t="s">
        <v>4722</v>
      </c>
      <c r="F4010" s="9" t="s">
        <v>10191</v>
      </c>
    </row>
    <row r="4011" ht="33.75" customHeight="1">
      <c r="A4011" s="7">
        <v>133.0</v>
      </c>
      <c r="B4011" s="9" t="s">
        <v>8355</v>
      </c>
      <c r="C4011" s="9" t="s">
        <v>221</v>
      </c>
      <c r="D4011" s="9" t="s">
        <v>87</v>
      </c>
      <c r="E4011" s="6" t="s">
        <v>4724</v>
      </c>
      <c r="F4011" s="9" t="s">
        <v>10191</v>
      </c>
    </row>
    <row r="4012" ht="33.75" customHeight="1">
      <c r="A4012" s="7">
        <v>133.0</v>
      </c>
      <c r="B4012" s="9" t="s">
        <v>8355</v>
      </c>
      <c r="C4012" s="9" t="s">
        <v>221</v>
      </c>
      <c r="D4012" s="9" t="s">
        <v>89</v>
      </c>
      <c r="E4012" s="6" t="s">
        <v>4727</v>
      </c>
      <c r="F4012" s="9" t="s">
        <v>10191</v>
      </c>
    </row>
    <row r="4013" ht="33.75" customHeight="1">
      <c r="A4013" s="7">
        <v>133.0</v>
      </c>
      <c r="B4013" s="9" t="s">
        <v>8355</v>
      </c>
      <c r="C4013" s="9" t="s">
        <v>221</v>
      </c>
      <c r="D4013" s="9" t="s">
        <v>91</v>
      </c>
      <c r="E4013" s="6" t="s">
        <v>4729</v>
      </c>
      <c r="F4013" s="9" t="s">
        <v>10191</v>
      </c>
    </row>
    <row r="4014" ht="33.75" customHeight="1">
      <c r="A4014" s="7">
        <v>133.0</v>
      </c>
      <c r="B4014" s="9" t="s">
        <v>8355</v>
      </c>
      <c r="C4014" s="9" t="s">
        <v>221</v>
      </c>
      <c r="D4014" s="9" t="s">
        <v>93</v>
      </c>
      <c r="E4014" s="6" t="s">
        <v>4724</v>
      </c>
      <c r="F4014" s="9" t="s">
        <v>10191</v>
      </c>
    </row>
    <row r="4015" ht="33.75" customHeight="1">
      <c r="A4015" s="7">
        <v>133.0</v>
      </c>
      <c r="B4015" s="9" t="s">
        <v>8355</v>
      </c>
      <c r="C4015" s="9" t="s">
        <v>221</v>
      </c>
      <c r="D4015" s="9" t="s">
        <v>95</v>
      </c>
      <c r="E4015" s="6" t="s">
        <v>4724</v>
      </c>
      <c r="F4015" s="9" t="s">
        <v>10191</v>
      </c>
    </row>
    <row r="4016" ht="33.75" customHeight="1">
      <c r="A4016" s="7">
        <v>133.0</v>
      </c>
      <c r="B4016" s="9" t="s">
        <v>8355</v>
      </c>
      <c r="C4016" s="9" t="s">
        <v>221</v>
      </c>
      <c r="D4016" s="9" t="s">
        <v>98</v>
      </c>
      <c r="E4016" s="6" t="s">
        <v>4730</v>
      </c>
      <c r="F4016" s="9" t="s">
        <v>10191</v>
      </c>
    </row>
    <row r="4017" ht="33.75" customHeight="1">
      <c r="A4017" s="7">
        <v>133.0</v>
      </c>
      <c r="B4017" s="9" t="s">
        <v>8355</v>
      </c>
      <c r="C4017" s="9" t="s">
        <v>221</v>
      </c>
      <c r="D4017" s="9" t="s">
        <v>99</v>
      </c>
      <c r="E4017" s="6" t="s">
        <v>4730</v>
      </c>
      <c r="F4017" s="9" t="s">
        <v>10191</v>
      </c>
    </row>
    <row r="4018" ht="33.75" customHeight="1">
      <c r="A4018" s="7">
        <v>133.0</v>
      </c>
      <c r="B4018" s="9" t="s">
        <v>8355</v>
      </c>
      <c r="C4018" s="9" t="s">
        <v>221</v>
      </c>
      <c r="D4018" s="9" t="s">
        <v>101</v>
      </c>
      <c r="E4018" s="6" t="s">
        <v>4722</v>
      </c>
      <c r="F4018" s="9" t="s">
        <v>10191</v>
      </c>
    </row>
    <row r="4019" ht="33.75" customHeight="1">
      <c r="A4019" s="7">
        <v>133.0</v>
      </c>
      <c r="B4019" s="9" t="s">
        <v>8355</v>
      </c>
      <c r="C4019" s="9" t="s">
        <v>221</v>
      </c>
      <c r="D4019" s="9" t="s">
        <v>105</v>
      </c>
      <c r="E4019" s="6" t="s">
        <v>4730</v>
      </c>
      <c r="F4019" s="9" t="s">
        <v>10191</v>
      </c>
    </row>
    <row r="4020" ht="33.75" customHeight="1">
      <c r="A4020" s="7">
        <v>133.0</v>
      </c>
      <c r="B4020" s="9" t="s">
        <v>8355</v>
      </c>
      <c r="C4020" s="9" t="s">
        <v>221</v>
      </c>
      <c r="D4020" s="9" t="s">
        <v>107</v>
      </c>
      <c r="E4020" s="6" t="s">
        <v>4732</v>
      </c>
      <c r="F4020" s="9" t="s">
        <v>10191</v>
      </c>
    </row>
    <row r="4021" ht="33.75" customHeight="1">
      <c r="A4021" s="7">
        <v>133.0</v>
      </c>
      <c r="B4021" s="9" t="s">
        <v>8355</v>
      </c>
      <c r="C4021" s="9" t="s">
        <v>221</v>
      </c>
      <c r="D4021" s="9" t="s">
        <v>109</v>
      </c>
      <c r="E4021" s="6" t="s">
        <v>4732</v>
      </c>
      <c r="F4021" s="9" t="s">
        <v>10191</v>
      </c>
    </row>
    <row r="4022" ht="33.75" customHeight="1">
      <c r="A4022" s="7">
        <v>133.0</v>
      </c>
      <c r="B4022" s="9" t="s">
        <v>8355</v>
      </c>
      <c r="C4022" s="9" t="s">
        <v>221</v>
      </c>
      <c r="D4022" s="9" t="s">
        <v>637</v>
      </c>
      <c r="E4022" s="6" t="s">
        <v>4733</v>
      </c>
      <c r="F4022" s="9" t="s">
        <v>10191</v>
      </c>
    </row>
    <row r="4023" ht="33.75" customHeight="1">
      <c r="A4023" s="7">
        <v>133.0</v>
      </c>
      <c r="B4023" s="9" t="s">
        <v>8355</v>
      </c>
      <c r="C4023" s="9" t="s">
        <v>221</v>
      </c>
      <c r="D4023" s="9" t="s">
        <v>642</v>
      </c>
      <c r="E4023" s="6" t="s">
        <v>4736</v>
      </c>
      <c r="F4023" s="9" t="s">
        <v>10191</v>
      </c>
    </row>
    <row r="4024" ht="33.75" customHeight="1">
      <c r="A4024" s="7">
        <v>133.0</v>
      </c>
      <c r="B4024" s="9" t="s">
        <v>8355</v>
      </c>
      <c r="C4024" s="9" t="s">
        <v>221</v>
      </c>
      <c r="D4024" s="9" t="s">
        <v>647</v>
      </c>
      <c r="E4024" s="6" t="s">
        <v>4738</v>
      </c>
      <c r="F4024" s="9" t="s">
        <v>10191</v>
      </c>
    </row>
    <row r="4025" ht="33.75" customHeight="1">
      <c r="A4025" s="7">
        <v>133.0</v>
      </c>
      <c r="B4025" s="9" t="s">
        <v>8355</v>
      </c>
      <c r="C4025" s="9" t="s">
        <v>221</v>
      </c>
      <c r="D4025" s="9" t="s">
        <v>652</v>
      </c>
      <c r="E4025" s="6" t="s">
        <v>4741</v>
      </c>
      <c r="F4025" s="9" t="s">
        <v>10191</v>
      </c>
    </row>
    <row r="4026" ht="33.75" customHeight="1">
      <c r="A4026" s="7">
        <v>133.0</v>
      </c>
      <c r="B4026" s="9" t="s">
        <v>8355</v>
      </c>
      <c r="C4026" s="9" t="s">
        <v>221</v>
      </c>
      <c r="D4026" s="9" t="s">
        <v>111</v>
      </c>
      <c r="E4026" s="6" t="s">
        <v>4742</v>
      </c>
      <c r="F4026" s="9" t="s">
        <v>10191</v>
      </c>
    </row>
    <row r="4027" ht="33.75" customHeight="1">
      <c r="A4027" s="7">
        <v>133.0</v>
      </c>
      <c r="B4027" s="9" t="s">
        <v>8355</v>
      </c>
      <c r="C4027" s="9" t="s">
        <v>221</v>
      </c>
      <c r="D4027" s="9" t="s">
        <v>113</v>
      </c>
      <c r="E4027" s="6" t="s">
        <v>4742</v>
      </c>
      <c r="F4027" s="9" t="s">
        <v>10191</v>
      </c>
    </row>
    <row r="4028" ht="33.75" customHeight="1">
      <c r="A4028" s="7">
        <v>133.0</v>
      </c>
      <c r="B4028" s="9" t="s">
        <v>8355</v>
      </c>
      <c r="C4028" s="9" t="s">
        <v>221</v>
      </c>
      <c r="D4028" s="9" t="s">
        <v>114</v>
      </c>
      <c r="E4028" s="6" t="s">
        <v>4727</v>
      </c>
      <c r="F4028" s="9" t="s">
        <v>10191</v>
      </c>
    </row>
    <row r="4029" ht="33.75" customHeight="1">
      <c r="A4029" s="7">
        <v>133.0</v>
      </c>
      <c r="B4029" s="9" t="s">
        <v>8355</v>
      </c>
      <c r="C4029" s="9" t="s">
        <v>221</v>
      </c>
      <c r="D4029" s="9" t="s">
        <v>117</v>
      </c>
      <c r="E4029" s="6" t="s">
        <v>4730</v>
      </c>
      <c r="F4029" s="9" t="s">
        <v>10191</v>
      </c>
    </row>
    <row r="4030" ht="33.75" customHeight="1">
      <c r="A4030" s="7">
        <v>133.0</v>
      </c>
      <c r="B4030" s="9" t="s">
        <v>8355</v>
      </c>
      <c r="C4030" s="9" t="s">
        <v>221</v>
      </c>
      <c r="D4030" s="9" t="s">
        <v>1577</v>
      </c>
      <c r="E4030" s="6" t="s">
        <v>4745</v>
      </c>
      <c r="F4030" s="9" t="s">
        <v>10191</v>
      </c>
    </row>
    <row r="4031" ht="33.75" customHeight="1">
      <c r="A4031" s="7">
        <v>134.0</v>
      </c>
      <c r="B4031" s="9" t="s">
        <v>8417</v>
      </c>
      <c r="C4031" s="9" t="s">
        <v>222</v>
      </c>
      <c r="D4031" s="9" t="s">
        <v>24</v>
      </c>
      <c r="E4031" s="6" t="s">
        <v>4746</v>
      </c>
      <c r="F4031" s="9" t="s">
        <v>10255</v>
      </c>
      <c r="G4031" t="inlineStr" s="6">
        <is>
          <t xml:space="preserve">Lives close to water. Its long tail is ridged with a fin which is often mistaken for a mermaid's. Its cell structure is similar to water molecules. It will melt away and become invisible in water. When VAPOREON's fins begin to vibrate, it is a sign that rain will come within a few hours. It prefers beautiful shores. With cells similar to water molecules, it could melt in water. As it uses the fins on the tip of its tail to swim, it blends with the water perfectly. VAPOREON underwent a spontaneous mutation and grew fins and gills that allow it to live underwater. This POKéMON has the ability to freely control water. VAPOREON underwent a spontaneous mutation and grew fins and gills that allow them to live underwater. They have the ability to freely control water. Its body’s cellular structure is similar to the molecular composition of water. It can melt invisibly in water. It has evolved to be suitable for an aquatic life. It can invisibly melt away into water. Its cell composition is similar to water molecules. As a result, it can melt away into water. As a result, it can’t be seen when it melts away into water. Its cells are composed of units much like water molecules. It lives close to water and is often mistaken for a mermaid. Blending in with the water and erasing all signs of its presence, it patiently waits for its prey, fish Pokémon. Clean, clear waters are its usual habitat. When it’s about to be attacked by an invading enemy, it dives into the water to hide. It detects nearby moisture with its fin. When its fin begins trembling rapidly, that means rain will fall in a few hours. It melts into the water and becomes invisible. Tests show that its cells closely resemble water molecules, which perhaps explains its ability to conceal its form while submerged. I believe the origins of mermaid folklore lie with this Pokémon.</t>
        </is>
      </c>
    </row>
    <row r="4032" ht="33.75" customHeight="1">
      <c r="A4032" s="7">
        <v>134.0</v>
      </c>
      <c r="B4032" s="9" t="s">
        <v>8417</v>
      </c>
      <c r="C4032" s="9" t="s">
        <v>222</v>
      </c>
      <c r="D4032" s="9" t="s">
        <v>35</v>
      </c>
      <c r="E4032" s="6" t="s">
        <v>4746</v>
      </c>
      <c r="F4032" s="9" t="s">
        <v>10255</v>
      </c>
    </row>
    <row r="4033" ht="33.75" customHeight="1">
      <c r="A4033" s="7">
        <v>134.0</v>
      </c>
      <c r="B4033" s="9" t="s">
        <v>8417</v>
      </c>
      <c r="C4033" s="9" t="s">
        <v>222</v>
      </c>
      <c r="D4033" s="9" t="s">
        <v>42</v>
      </c>
      <c r="E4033" s="6" t="s">
        <v>4748</v>
      </c>
      <c r="F4033" s="9" t="s">
        <v>10255</v>
      </c>
    </row>
    <row r="4034" ht="33.75" customHeight="1">
      <c r="A4034" s="7">
        <v>134.0</v>
      </c>
      <c r="B4034" s="9" t="s">
        <v>8417</v>
      </c>
      <c r="C4034" s="9" t="s">
        <v>222</v>
      </c>
      <c r="D4034" s="9" t="s">
        <v>52</v>
      </c>
      <c r="E4034" s="6" t="s">
        <v>4750</v>
      </c>
      <c r="F4034" s="9" t="s">
        <v>10255</v>
      </c>
    </row>
    <row r="4035" ht="33.75" customHeight="1">
      <c r="A4035" s="7">
        <v>134.0</v>
      </c>
      <c r="B4035" s="9" t="s">
        <v>8417</v>
      </c>
      <c r="C4035" s="9" t="s">
        <v>222</v>
      </c>
      <c r="D4035" s="9" t="s">
        <v>59</v>
      </c>
      <c r="E4035" s="6" t="s">
        <v>4752</v>
      </c>
      <c r="F4035" s="9" t="s">
        <v>10255</v>
      </c>
    </row>
    <row r="4036" ht="33.75" customHeight="1">
      <c r="A4036" s="7">
        <v>134.0</v>
      </c>
      <c r="B4036" s="9" t="s">
        <v>8417</v>
      </c>
      <c r="C4036" s="9" t="s">
        <v>222</v>
      </c>
      <c r="D4036" s="9" t="s">
        <v>64</v>
      </c>
      <c r="E4036" s="6" t="s">
        <v>4753</v>
      </c>
      <c r="F4036" s="9" t="s">
        <v>10255</v>
      </c>
    </row>
    <row r="4037" ht="33.75" customHeight="1">
      <c r="A4037" s="7">
        <v>134.0</v>
      </c>
      <c r="B4037" s="9" t="s">
        <v>8417</v>
      </c>
      <c r="C4037" s="9" t="s">
        <v>222</v>
      </c>
      <c r="D4037" s="9" t="s">
        <v>67</v>
      </c>
      <c r="E4037" s="6" t="s">
        <v>4755</v>
      </c>
      <c r="F4037" s="9" t="s">
        <v>10255</v>
      </c>
    </row>
    <row r="4038" ht="33.75" customHeight="1">
      <c r="A4038" s="7">
        <v>134.0</v>
      </c>
      <c r="B4038" s="9" t="s">
        <v>8417</v>
      </c>
      <c r="C4038" s="9" t="s">
        <v>222</v>
      </c>
      <c r="D4038" s="9" t="s">
        <v>71</v>
      </c>
      <c r="E4038" s="6" t="s">
        <v>4755</v>
      </c>
      <c r="F4038" s="9" t="s">
        <v>10255</v>
      </c>
    </row>
    <row r="4039" ht="33.75" customHeight="1">
      <c r="A4039" s="7">
        <v>134.0</v>
      </c>
      <c r="B4039" s="9" t="s">
        <v>8417</v>
      </c>
      <c r="C4039" s="9" t="s">
        <v>222</v>
      </c>
      <c r="D4039" s="9" t="s">
        <v>73</v>
      </c>
      <c r="E4039" s="6" t="s">
        <v>4756</v>
      </c>
      <c r="F4039" s="9" t="s">
        <v>10255</v>
      </c>
    </row>
    <row r="4040" ht="33.75" customHeight="1">
      <c r="A4040" s="7">
        <v>134.0</v>
      </c>
      <c r="B4040" s="9" t="s">
        <v>8417</v>
      </c>
      <c r="C4040" s="9" t="s">
        <v>222</v>
      </c>
      <c r="D4040" s="9" t="s">
        <v>75</v>
      </c>
      <c r="E4040" s="6" t="s">
        <v>4757</v>
      </c>
      <c r="F4040" s="9" t="s">
        <v>10255</v>
      </c>
    </row>
    <row r="4041" ht="33.75" customHeight="1">
      <c r="A4041" s="7">
        <v>134.0</v>
      </c>
      <c r="B4041" s="9" t="s">
        <v>8417</v>
      </c>
      <c r="C4041" s="9" t="s">
        <v>222</v>
      </c>
      <c r="D4041" s="9" t="s">
        <v>79</v>
      </c>
      <c r="E4041" s="6" t="s">
        <v>4758</v>
      </c>
      <c r="F4041" s="9" t="s">
        <v>10255</v>
      </c>
    </row>
    <row r="4042" ht="33.75" customHeight="1">
      <c r="A4042" s="7">
        <v>134.0</v>
      </c>
      <c r="B4042" s="9" t="s">
        <v>8417</v>
      </c>
      <c r="C4042" s="9" t="s">
        <v>222</v>
      </c>
      <c r="D4042" s="9" t="s">
        <v>81</v>
      </c>
      <c r="E4042" s="6" t="s">
        <v>4759</v>
      </c>
      <c r="F4042" s="9" t="s">
        <v>10255</v>
      </c>
    </row>
    <row r="4043" ht="33.75" customHeight="1">
      <c r="A4043" s="7">
        <v>134.0</v>
      </c>
      <c r="B4043" s="9" t="s">
        <v>8417</v>
      </c>
      <c r="C4043" s="9" t="s">
        <v>222</v>
      </c>
      <c r="D4043" s="9" t="s">
        <v>84</v>
      </c>
      <c r="E4043" s="6" t="s">
        <v>4759</v>
      </c>
      <c r="F4043" s="9" t="s">
        <v>10255</v>
      </c>
    </row>
    <row r="4044" ht="33.75" customHeight="1">
      <c r="A4044" s="7">
        <v>134.0</v>
      </c>
      <c r="B4044" s="9" t="s">
        <v>8417</v>
      </c>
      <c r="C4044" s="9" t="s">
        <v>222</v>
      </c>
      <c r="D4044" s="9" t="s">
        <v>87</v>
      </c>
      <c r="E4044" s="6" t="s">
        <v>4761</v>
      </c>
      <c r="F4044" s="9" t="s">
        <v>10255</v>
      </c>
    </row>
    <row r="4045" ht="33.75" customHeight="1">
      <c r="A4045" s="7">
        <v>134.0</v>
      </c>
      <c r="B4045" s="9" t="s">
        <v>8417</v>
      </c>
      <c r="C4045" s="9" t="s">
        <v>222</v>
      </c>
      <c r="D4045" s="9" t="s">
        <v>89</v>
      </c>
      <c r="E4045" s="6" t="s">
        <v>4762</v>
      </c>
      <c r="F4045" s="9" t="s">
        <v>10255</v>
      </c>
    </row>
    <row r="4046" ht="33.75" customHeight="1">
      <c r="A4046" s="7">
        <v>134.0</v>
      </c>
      <c r="B4046" s="9" t="s">
        <v>8417</v>
      </c>
      <c r="C4046" s="9" t="s">
        <v>222</v>
      </c>
      <c r="D4046" s="9" t="s">
        <v>91</v>
      </c>
      <c r="E4046" s="6" t="s">
        <v>4764</v>
      </c>
      <c r="F4046" s="9" t="s">
        <v>10255</v>
      </c>
    </row>
    <row r="4047" ht="33.75" customHeight="1">
      <c r="A4047" s="7">
        <v>134.0</v>
      </c>
      <c r="B4047" s="9" t="s">
        <v>8417</v>
      </c>
      <c r="C4047" s="9" t="s">
        <v>222</v>
      </c>
      <c r="D4047" s="9" t="s">
        <v>93</v>
      </c>
      <c r="E4047" s="6" t="s">
        <v>4761</v>
      </c>
      <c r="F4047" s="9" t="s">
        <v>10255</v>
      </c>
    </row>
    <row r="4048" ht="33.75" customHeight="1">
      <c r="A4048" s="7">
        <v>134.0</v>
      </c>
      <c r="B4048" s="9" t="s">
        <v>8417</v>
      </c>
      <c r="C4048" s="9" t="s">
        <v>222</v>
      </c>
      <c r="D4048" s="9" t="s">
        <v>95</v>
      </c>
      <c r="E4048" s="6" t="s">
        <v>4761</v>
      </c>
      <c r="F4048" s="9" t="s">
        <v>10255</v>
      </c>
    </row>
    <row r="4049" ht="33.75" customHeight="1">
      <c r="A4049" s="7">
        <v>134.0</v>
      </c>
      <c r="B4049" s="9" t="s">
        <v>8417</v>
      </c>
      <c r="C4049" s="9" t="s">
        <v>222</v>
      </c>
      <c r="D4049" s="9" t="s">
        <v>98</v>
      </c>
      <c r="E4049" s="6" t="s">
        <v>4765</v>
      </c>
      <c r="F4049" s="9" t="s">
        <v>10255</v>
      </c>
    </row>
    <row r="4050" ht="33.75" customHeight="1">
      <c r="A4050" s="7">
        <v>134.0</v>
      </c>
      <c r="B4050" s="9" t="s">
        <v>8417</v>
      </c>
      <c r="C4050" s="9" t="s">
        <v>222</v>
      </c>
      <c r="D4050" s="9" t="s">
        <v>99</v>
      </c>
      <c r="E4050" s="6" t="s">
        <v>4765</v>
      </c>
      <c r="F4050" s="9" t="s">
        <v>10255</v>
      </c>
    </row>
    <row r="4051" ht="33.75" customHeight="1">
      <c r="A4051" s="7">
        <v>134.0</v>
      </c>
      <c r="B4051" s="9" t="s">
        <v>8417</v>
      </c>
      <c r="C4051" s="9" t="s">
        <v>222</v>
      </c>
      <c r="D4051" s="9" t="s">
        <v>101</v>
      </c>
      <c r="E4051" s="6" t="s">
        <v>4764</v>
      </c>
      <c r="F4051" s="9" t="s">
        <v>10255</v>
      </c>
    </row>
    <row r="4052" ht="33.75" customHeight="1">
      <c r="A4052" s="7">
        <v>134.0</v>
      </c>
      <c r="B4052" s="9" t="s">
        <v>8417</v>
      </c>
      <c r="C4052" s="9" t="s">
        <v>222</v>
      </c>
      <c r="D4052" s="9" t="s">
        <v>105</v>
      </c>
      <c r="E4052" s="6" t="s">
        <v>4759</v>
      </c>
      <c r="F4052" s="9" t="s">
        <v>10255</v>
      </c>
    </row>
    <row r="4053" ht="33.75" customHeight="1">
      <c r="A4053" s="7">
        <v>134.0</v>
      </c>
      <c r="B4053" s="9" t="s">
        <v>8417</v>
      </c>
      <c r="C4053" s="9" t="s">
        <v>222</v>
      </c>
      <c r="D4053" s="9" t="s">
        <v>107</v>
      </c>
      <c r="E4053" s="6" t="s">
        <v>4767</v>
      </c>
      <c r="F4053" s="9" t="s">
        <v>10255</v>
      </c>
    </row>
    <row r="4054" ht="33.75" customHeight="1">
      <c r="A4054" s="7">
        <v>134.0</v>
      </c>
      <c r="B4054" s="9" t="s">
        <v>8417</v>
      </c>
      <c r="C4054" s="9" t="s">
        <v>222</v>
      </c>
      <c r="D4054" s="9" t="s">
        <v>109</v>
      </c>
      <c r="E4054" s="6" t="s">
        <v>4767</v>
      </c>
      <c r="F4054" s="9" t="s">
        <v>10255</v>
      </c>
    </row>
    <row r="4055" ht="33.75" customHeight="1">
      <c r="A4055" s="7">
        <v>134.0</v>
      </c>
      <c r="B4055" s="9" t="s">
        <v>8417</v>
      </c>
      <c r="C4055" s="9" t="s">
        <v>222</v>
      </c>
      <c r="D4055" s="9" t="s">
        <v>637</v>
      </c>
      <c r="E4055" s="6" t="s">
        <v>4768</v>
      </c>
      <c r="F4055" s="9" t="s">
        <v>10255</v>
      </c>
    </row>
    <row r="4056" ht="33.75" customHeight="1">
      <c r="A4056" s="7">
        <v>134.0</v>
      </c>
      <c r="B4056" s="9" t="s">
        <v>8417</v>
      </c>
      <c r="C4056" s="9" t="s">
        <v>222</v>
      </c>
      <c r="D4056" s="9" t="s">
        <v>642</v>
      </c>
      <c r="E4056" s="6" t="s">
        <v>4770</v>
      </c>
      <c r="F4056" s="9" t="s">
        <v>10255</v>
      </c>
    </row>
    <row r="4057" ht="33.75" customHeight="1">
      <c r="A4057" s="7">
        <v>134.0</v>
      </c>
      <c r="B4057" s="9" t="s">
        <v>8417</v>
      </c>
      <c r="C4057" s="9" t="s">
        <v>222</v>
      </c>
      <c r="D4057" s="9" t="s">
        <v>647</v>
      </c>
      <c r="E4057" s="6" t="s">
        <v>4773</v>
      </c>
      <c r="F4057" s="9" t="s">
        <v>10255</v>
      </c>
    </row>
    <row r="4058" ht="33.75" customHeight="1">
      <c r="A4058" s="7">
        <v>134.0</v>
      </c>
      <c r="B4058" s="9" t="s">
        <v>8417</v>
      </c>
      <c r="C4058" s="9" t="s">
        <v>222</v>
      </c>
      <c r="D4058" s="9" t="s">
        <v>652</v>
      </c>
      <c r="E4058" s="6" t="s">
        <v>4777</v>
      </c>
      <c r="F4058" s="9" t="s">
        <v>10255</v>
      </c>
    </row>
    <row r="4059" ht="33.75" customHeight="1">
      <c r="A4059" s="7">
        <v>134.0</v>
      </c>
      <c r="B4059" s="9" t="s">
        <v>8417</v>
      </c>
      <c r="C4059" s="9" t="s">
        <v>222</v>
      </c>
      <c r="D4059" s="9" t="s">
        <v>111</v>
      </c>
      <c r="E4059" s="6" t="s">
        <v>4779</v>
      </c>
      <c r="F4059" s="9" t="s">
        <v>10255</v>
      </c>
    </row>
    <row r="4060" ht="33.75" customHeight="1">
      <c r="A4060" s="7">
        <v>134.0</v>
      </c>
      <c r="B4060" s="9" t="s">
        <v>8417</v>
      </c>
      <c r="C4060" s="9" t="s">
        <v>222</v>
      </c>
      <c r="D4060" s="9" t="s">
        <v>113</v>
      </c>
      <c r="E4060" s="6" t="s">
        <v>4779</v>
      </c>
      <c r="F4060" s="9" t="s">
        <v>10255</v>
      </c>
    </row>
    <row r="4061" ht="33.75" customHeight="1">
      <c r="A4061" s="7">
        <v>134.0</v>
      </c>
      <c r="B4061" s="9" t="s">
        <v>8417</v>
      </c>
      <c r="C4061" s="9" t="s">
        <v>222</v>
      </c>
      <c r="D4061" s="9" t="s">
        <v>114</v>
      </c>
      <c r="E4061" s="6" t="s">
        <v>4781</v>
      </c>
      <c r="F4061" s="9" t="s">
        <v>10255</v>
      </c>
    </row>
    <row r="4062" ht="33.75" customHeight="1">
      <c r="A4062" s="7">
        <v>134.0</v>
      </c>
      <c r="B4062" s="9" t="s">
        <v>8417</v>
      </c>
      <c r="C4062" s="9" t="s">
        <v>222</v>
      </c>
      <c r="D4062" s="9" t="s">
        <v>117</v>
      </c>
      <c r="E4062" s="6" t="s">
        <v>4757</v>
      </c>
      <c r="F4062" s="9" t="s">
        <v>10255</v>
      </c>
    </row>
    <row r="4063" ht="33.75" customHeight="1">
      <c r="A4063" s="7">
        <v>134.0</v>
      </c>
      <c r="B4063" s="9" t="s">
        <v>8417</v>
      </c>
      <c r="C4063" s="9" t="s">
        <v>222</v>
      </c>
      <c r="D4063" s="9" t="s">
        <v>1577</v>
      </c>
      <c r="E4063" s="6" t="s">
        <v>4783</v>
      </c>
      <c r="F4063" s="9" t="s">
        <v>10255</v>
      </c>
    </row>
    <row r="4064" ht="33.75" customHeight="1">
      <c r="A4064" s="7">
        <v>135.0</v>
      </c>
      <c r="B4064" s="9" t="s">
        <v>8486</v>
      </c>
      <c r="C4064" s="9" t="s">
        <v>223</v>
      </c>
      <c r="D4064" s="9" t="s">
        <v>24</v>
      </c>
      <c r="E4064" s="6" t="s">
        <v>4786</v>
      </c>
      <c r="F4064" s="9" t="s">
        <v>10330</v>
      </c>
      <c r="G4064" t="inlineStr" s="6">
        <is>
          <t xml:space="preserve">It accumulates negative ions in the atmosphere to blast out 10000- volt lightning bolts. A sensitive POKé MON that easily becomes sad or angry. Every time its mood changes, it charges power. It concentrates the weak electric charges emitted by its cells and launches wicked lightning bolts. Every hair on its body starts to stand sharply on end if it becomes charged with electricity. The negatively charged ions generated in its fur create a constant sparking noise. JOLTEON’s cells generate a low level of electricity. This power is amplified by the static electricity of its fur, enabling the POKéMON to drop thunderbolts. The bristling fur is made of electrically charged needles. Its cells generate weak power that is amplified by its fur’s static electricity to drop thunderbolts. If it is angered or startled, the fur all over its body bristles like sharp needles that pierce foes. It accumulates negative ions in the atmosphere to blast out 10,000-volt lightning bolts. It controls 10,000-volt power and can raise all the fur on its body as if it were sharp needles. If agitated, it uses electricity to straighten out its fur and launch it in small bunches. By storing electricity in its body, it can shoot its bristlelike fur like a barrage of missiles. They send out electrical charges of about 10,000 volts. Because they are high-strung, it can be difficult to grow close to them. When its fur stands on end, that’s a sign it’s about to give off a jolt of electricity. Take care, as sometimes lightning strikes next to it, too. Its lungs contain an organ that creates electricity. The crackling sound of electricity can be heard when it exhales. Its fur stands on end, becoming like needles it fires at enemies. Once they’re weakened, it finishes them off with a 10,000 volt shock. A sensitive Pokémon that easily becomes sad or angry. Bristles its fur into sharp, needlelike points when enraged. One can hear electricity crackle in its breath when it exhales.</t>
        </is>
      </c>
    </row>
    <row r="4065" ht="33.75" customHeight="1">
      <c r="A4065" s="7">
        <v>135.0</v>
      </c>
      <c r="B4065" s="9" t="s">
        <v>8486</v>
      </c>
      <c r="C4065" s="9" t="s">
        <v>223</v>
      </c>
      <c r="D4065" s="9" t="s">
        <v>35</v>
      </c>
      <c r="E4065" s="6" t="s">
        <v>4786</v>
      </c>
      <c r="F4065" s="9" t="s">
        <v>10330</v>
      </c>
    </row>
    <row r="4066" ht="33.75" customHeight="1">
      <c r="A4066" s="7">
        <v>135.0</v>
      </c>
      <c r="B4066" s="9" t="s">
        <v>8486</v>
      </c>
      <c r="C4066" s="9" t="s">
        <v>223</v>
      </c>
      <c r="D4066" s="9" t="s">
        <v>42</v>
      </c>
      <c r="E4066" s="6" t="s">
        <v>4787</v>
      </c>
      <c r="F4066" s="9" t="s">
        <v>10330</v>
      </c>
    </row>
    <row r="4067" ht="33.75" customHeight="1">
      <c r="A4067" s="7">
        <v>135.0</v>
      </c>
      <c r="B4067" s="9" t="s">
        <v>8486</v>
      </c>
      <c r="C4067" s="9" t="s">
        <v>223</v>
      </c>
      <c r="D4067" s="9" t="s">
        <v>52</v>
      </c>
      <c r="E4067" s="6" t="s">
        <v>4789</v>
      </c>
      <c r="F4067" s="9" t="s">
        <v>10330</v>
      </c>
    </row>
    <row r="4068" ht="33.75" customHeight="1">
      <c r="A4068" s="7">
        <v>135.0</v>
      </c>
      <c r="B4068" s="9" t="s">
        <v>8486</v>
      </c>
      <c r="C4068" s="9" t="s">
        <v>223</v>
      </c>
      <c r="D4068" s="9" t="s">
        <v>59</v>
      </c>
      <c r="E4068" s="6" t="s">
        <v>4791</v>
      </c>
      <c r="F4068" s="9" t="s">
        <v>10330</v>
      </c>
    </row>
    <row r="4069" ht="33.75" customHeight="1">
      <c r="A4069" s="7">
        <v>135.0</v>
      </c>
      <c r="B4069" s="9" t="s">
        <v>8486</v>
      </c>
      <c r="C4069" s="9" t="s">
        <v>223</v>
      </c>
      <c r="D4069" s="9" t="s">
        <v>64</v>
      </c>
      <c r="E4069" s="6" t="s">
        <v>4793</v>
      </c>
      <c r="F4069" s="9" t="s">
        <v>10330</v>
      </c>
    </row>
    <row r="4070" ht="33.75" customHeight="1">
      <c r="A4070" s="7">
        <v>135.0</v>
      </c>
      <c r="B4070" s="9" t="s">
        <v>8486</v>
      </c>
      <c r="C4070" s="9" t="s">
        <v>223</v>
      </c>
      <c r="D4070" s="9" t="s">
        <v>67</v>
      </c>
      <c r="E4070" s="6" t="s">
        <v>4794</v>
      </c>
      <c r="F4070" s="9" t="s">
        <v>10330</v>
      </c>
    </row>
    <row r="4071" ht="33.75" customHeight="1">
      <c r="A4071" s="7">
        <v>135.0</v>
      </c>
      <c r="B4071" s="9" t="s">
        <v>8486</v>
      </c>
      <c r="C4071" s="9" t="s">
        <v>223</v>
      </c>
      <c r="D4071" s="9" t="s">
        <v>71</v>
      </c>
      <c r="E4071" s="6" t="s">
        <v>4794</v>
      </c>
      <c r="F4071" s="9" t="s">
        <v>10330</v>
      </c>
    </row>
    <row r="4072" ht="33.75" customHeight="1">
      <c r="A4072" s="7">
        <v>135.0</v>
      </c>
      <c r="B4072" s="9" t="s">
        <v>8486</v>
      </c>
      <c r="C4072" s="9" t="s">
        <v>223</v>
      </c>
      <c r="D4072" s="9" t="s">
        <v>73</v>
      </c>
      <c r="E4072" s="6" t="s">
        <v>4796</v>
      </c>
      <c r="F4072" s="9" t="s">
        <v>10330</v>
      </c>
    </row>
    <row r="4073" ht="33.75" customHeight="1">
      <c r="A4073" s="7">
        <v>135.0</v>
      </c>
      <c r="B4073" s="9" t="s">
        <v>8486</v>
      </c>
      <c r="C4073" s="9" t="s">
        <v>223</v>
      </c>
      <c r="D4073" s="9" t="s">
        <v>75</v>
      </c>
      <c r="E4073" s="6" t="s">
        <v>4797</v>
      </c>
      <c r="F4073" s="9" t="s">
        <v>10330</v>
      </c>
    </row>
    <row r="4074" ht="33.75" customHeight="1">
      <c r="A4074" s="7">
        <v>135.0</v>
      </c>
      <c r="B4074" s="9" t="s">
        <v>8486</v>
      </c>
      <c r="C4074" s="9" t="s">
        <v>223</v>
      </c>
      <c r="D4074" s="9" t="s">
        <v>79</v>
      </c>
      <c r="E4074" s="6" t="s">
        <v>4798</v>
      </c>
      <c r="F4074" s="9" t="s">
        <v>10330</v>
      </c>
    </row>
    <row r="4075" ht="33.75" customHeight="1">
      <c r="A4075" s="7">
        <v>135.0</v>
      </c>
      <c r="B4075" s="9" t="s">
        <v>8486</v>
      </c>
      <c r="C4075" s="9" t="s">
        <v>223</v>
      </c>
      <c r="D4075" s="9" t="s">
        <v>81</v>
      </c>
      <c r="E4075" s="6" t="s">
        <v>4799</v>
      </c>
      <c r="F4075" s="9" t="s">
        <v>10330</v>
      </c>
    </row>
    <row r="4076" ht="33.75" customHeight="1">
      <c r="A4076" s="7">
        <v>135.0</v>
      </c>
      <c r="B4076" s="9" t="s">
        <v>8486</v>
      </c>
      <c r="C4076" s="9" t="s">
        <v>223</v>
      </c>
      <c r="D4076" s="9" t="s">
        <v>84</v>
      </c>
      <c r="E4076" s="6" t="s">
        <v>4799</v>
      </c>
      <c r="F4076" s="9" t="s">
        <v>10330</v>
      </c>
    </row>
    <row r="4077" ht="33.75" customHeight="1">
      <c r="A4077" s="7">
        <v>135.0</v>
      </c>
      <c r="B4077" s="9" t="s">
        <v>8486</v>
      </c>
      <c r="C4077" s="9" t="s">
        <v>223</v>
      </c>
      <c r="D4077" s="9" t="s">
        <v>87</v>
      </c>
      <c r="E4077" s="6" t="s">
        <v>4800</v>
      </c>
      <c r="F4077" s="9" t="s">
        <v>10330</v>
      </c>
    </row>
    <row r="4078" ht="33.75" customHeight="1">
      <c r="A4078" s="7">
        <v>135.0</v>
      </c>
      <c r="B4078" s="9" t="s">
        <v>8486</v>
      </c>
      <c r="C4078" s="9" t="s">
        <v>223</v>
      </c>
      <c r="D4078" s="9" t="s">
        <v>89</v>
      </c>
      <c r="E4078" s="6" t="s">
        <v>4789</v>
      </c>
      <c r="F4078" s="9" t="s">
        <v>10330</v>
      </c>
    </row>
    <row r="4079" ht="33.75" customHeight="1">
      <c r="A4079" s="7">
        <v>135.0</v>
      </c>
      <c r="B4079" s="9" t="s">
        <v>8486</v>
      </c>
      <c r="C4079" s="9" t="s">
        <v>223</v>
      </c>
      <c r="D4079" s="9" t="s">
        <v>91</v>
      </c>
      <c r="E4079" s="6" t="s">
        <v>4791</v>
      </c>
      <c r="F4079" s="9" t="s">
        <v>10330</v>
      </c>
    </row>
    <row r="4080" ht="33.75" customHeight="1">
      <c r="A4080" s="7">
        <v>135.0</v>
      </c>
      <c r="B4080" s="9" t="s">
        <v>8486</v>
      </c>
      <c r="C4080" s="9" t="s">
        <v>223</v>
      </c>
      <c r="D4080" s="9" t="s">
        <v>93</v>
      </c>
      <c r="E4080" s="6" t="s">
        <v>4800</v>
      </c>
      <c r="F4080" s="9" t="s">
        <v>10330</v>
      </c>
    </row>
    <row r="4081" ht="33.75" customHeight="1">
      <c r="A4081" s="7">
        <v>135.0</v>
      </c>
      <c r="B4081" s="9" t="s">
        <v>8486</v>
      </c>
      <c r="C4081" s="9" t="s">
        <v>223</v>
      </c>
      <c r="D4081" s="9" t="s">
        <v>95</v>
      </c>
      <c r="E4081" s="6" t="s">
        <v>4800</v>
      </c>
      <c r="F4081" s="9" t="s">
        <v>10330</v>
      </c>
    </row>
    <row r="4082" ht="33.75" customHeight="1">
      <c r="A4082" s="7">
        <v>135.0</v>
      </c>
      <c r="B4082" s="9" t="s">
        <v>8486</v>
      </c>
      <c r="C4082" s="9" t="s">
        <v>223</v>
      </c>
      <c r="D4082" s="9" t="s">
        <v>98</v>
      </c>
      <c r="E4082" s="6" t="s">
        <v>4801</v>
      </c>
      <c r="F4082" s="9" t="s">
        <v>10330</v>
      </c>
    </row>
    <row r="4083" ht="33.75" customHeight="1">
      <c r="A4083" s="7">
        <v>135.0</v>
      </c>
      <c r="B4083" s="9" t="s">
        <v>8486</v>
      </c>
      <c r="C4083" s="9" t="s">
        <v>223</v>
      </c>
      <c r="D4083" s="9" t="s">
        <v>99</v>
      </c>
      <c r="E4083" s="6" t="s">
        <v>4801</v>
      </c>
      <c r="F4083" s="9" t="s">
        <v>10330</v>
      </c>
    </row>
    <row r="4084" ht="33.75" customHeight="1">
      <c r="A4084" s="7">
        <v>135.0</v>
      </c>
      <c r="B4084" s="9" t="s">
        <v>8486</v>
      </c>
      <c r="C4084" s="9" t="s">
        <v>223</v>
      </c>
      <c r="D4084" s="9" t="s">
        <v>101</v>
      </c>
      <c r="E4084" s="6" t="s">
        <v>4791</v>
      </c>
      <c r="F4084" s="9" t="s">
        <v>10330</v>
      </c>
    </row>
    <row r="4085" ht="33.75" customHeight="1">
      <c r="A4085" s="7">
        <v>135.0</v>
      </c>
      <c r="B4085" s="9" t="s">
        <v>8486</v>
      </c>
      <c r="C4085" s="9" t="s">
        <v>223</v>
      </c>
      <c r="D4085" s="9" t="s">
        <v>105</v>
      </c>
      <c r="E4085" s="6" t="s">
        <v>4798</v>
      </c>
      <c r="F4085" s="9" t="s">
        <v>10330</v>
      </c>
    </row>
    <row r="4086" ht="33.75" customHeight="1">
      <c r="A4086" s="7">
        <v>135.0</v>
      </c>
      <c r="B4086" s="9" t="s">
        <v>8486</v>
      </c>
      <c r="C4086" s="9" t="s">
        <v>223</v>
      </c>
      <c r="D4086" s="9" t="s">
        <v>107</v>
      </c>
      <c r="E4086" s="6" t="s">
        <v>4802</v>
      </c>
      <c r="F4086" s="9" t="s">
        <v>10330</v>
      </c>
    </row>
    <row r="4087" ht="33.75" customHeight="1">
      <c r="A4087" s="7">
        <v>135.0</v>
      </c>
      <c r="B4087" s="9" t="s">
        <v>8486</v>
      </c>
      <c r="C4087" s="9" t="s">
        <v>223</v>
      </c>
      <c r="D4087" s="9" t="s">
        <v>109</v>
      </c>
      <c r="E4087" s="6" t="s">
        <v>4802</v>
      </c>
      <c r="F4087" s="9" t="s">
        <v>10330</v>
      </c>
    </row>
    <row r="4088" ht="33.75" customHeight="1">
      <c r="A4088" s="7">
        <v>135.0</v>
      </c>
      <c r="B4088" s="9" t="s">
        <v>8486</v>
      </c>
      <c r="C4088" s="9" t="s">
        <v>223</v>
      </c>
      <c r="D4088" s="9" t="s">
        <v>637</v>
      </c>
      <c r="E4088" s="6" t="s">
        <v>4804</v>
      </c>
      <c r="F4088" s="9" t="s">
        <v>10330</v>
      </c>
    </row>
    <row r="4089" ht="33.75" customHeight="1">
      <c r="A4089" s="7">
        <v>135.0</v>
      </c>
      <c r="B4089" s="9" t="s">
        <v>8486</v>
      </c>
      <c r="C4089" s="9" t="s">
        <v>223</v>
      </c>
      <c r="D4089" s="9" t="s">
        <v>642</v>
      </c>
      <c r="E4089" s="6" t="s">
        <v>4806</v>
      </c>
      <c r="F4089" s="9" t="s">
        <v>10330</v>
      </c>
    </row>
    <row r="4090" ht="33.75" customHeight="1">
      <c r="A4090" s="7">
        <v>135.0</v>
      </c>
      <c r="B4090" s="9" t="s">
        <v>8486</v>
      </c>
      <c r="C4090" s="9" t="s">
        <v>223</v>
      </c>
      <c r="D4090" s="9" t="s">
        <v>647</v>
      </c>
      <c r="E4090" s="6" t="s">
        <v>4807</v>
      </c>
      <c r="F4090" s="9" t="s">
        <v>10330</v>
      </c>
    </row>
    <row r="4091" ht="33.75" customHeight="1">
      <c r="A4091" s="7">
        <v>135.0</v>
      </c>
      <c r="B4091" s="9" t="s">
        <v>8486</v>
      </c>
      <c r="C4091" s="9" t="s">
        <v>223</v>
      </c>
      <c r="D4091" s="9" t="s">
        <v>652</v>
      </c>
      <c r="E4091" s="6" t="s">
        <v>4808</v>
      </c>
      <c r="F4091" s="9" t="s">
        <v>10330</v>
      </c>
    </row>
    <row r="4092" ht="33.75" customHeight="1">
      <c r="A4092" s="7">
        <v>135.0</v>
      </c>
      <c r="B4092" s="9" t="s">
        <v>8486</v>
      </c>
      <c r="C4092" s="9" t="s">
        <v>223</v>
      </c>
      <c r="D4092" s="9" t="s">
        <v>111</v>
      </c>
      <c r="E4092" s="6" t="s">
        <v>4809</v>
      </c>
      <c r="F4092" s="9" t="s">
        <v>10330</v>
      </c>
    </row>
    <row r="4093" ht="33.75" customHeight="1">
      <c r="A4093" s="7">
        <v>135.0</v>
      </c>
      <c r="B4093" s="9" t="s">
        <v>8486</v>
      </c>
      <c r="C4093" s="9" t="s">
        <v>223</v>
      </c>
      <c r="D4093" s="9" t="s">
        <v>113</v>
      </c>
      <c r="E4093" s="6" t="s">
        <v>4809</v>
      </c>
      <c r="F4093" s="9" t="s">
        <v>10330</v>
      </c>
    </row>
    <row r="4094" ht="33.75" customHeight="1">
      <c r="A4094" s="7">
        <v>135.0</v>
      </c>
      <c r="B4094" s="9" t="s">
        <v>8486</v>
      </c>
      <c r="C4094" s="9" t="s">
        <v>223</v>
      </c>
      <c r="D4094" s="9" t="s">
        <v>114</v>
      </c>
      <c r="E4094" s="6" t="s">
        <v>4797</v>
      </c>
      <c r="F4094" s="9" t="s">
        <v>10330</v>
      </c>
    </row>
    <row r="4095" ht="33.75" customHeight="1">
      <c r="A4095" s="7">
        <v>135.0</v>
      </c>
      <c r="B4095" s="9" t="s">
        <v>8486</v>
      </c>
      <c r="C4095" s="9" t="s">
        <v>223</v>
      </c>
      <c r="D4095" s="9" t="s">
        <v>117</v>
      </c>
      <c r="E4095" s="6" t="s">
        <v>4798</v>
      </c>
      <c r="F4095" s="9" t="s">
        <v>10330</v>
      </c>
    </row>
    <row r="4096" ht="33.75" customHeight="1">
      <c r="A4096" s="7">
        <v>135.0</v>
      </c>
      <c r="B4096" s="9" t="s">
        <v>8486</v>
      </c>
      <c r="C4096" s="9" t="s">
        <v>223</v>
      </c>
      <c r="D4096" s="9" t="s">
        <v>1577</v>
      </c>
      <c r="E4096" s="6" t="s">
        <v>4811</v>
      </c>
      <c r="F4096" s="9" t="s">
        <v>10330</v>
      </c>
    </row>
    <row r="4097" ht="33.75" customHeight="1">
      <c r="A4097" s="7">
        <v>136.0</v>
      </c>
      <c r="B4097" s="9" t="s">
        <v>8582</v>
      </c>
      <c r="C4097" s="9" t="s">
        <v>41</v>
      </c>
      <c r="D4097" s="9" t="s">
        <v>24</v>
      </c>
      <c r="E4097" s="6" t="s">
        <v>4812</v>
      </c>
      <c r="F4097" s="9" t="s">
        <v>10467</v>
      </c>
      <c r="G4097" t="inlineStr" s="6">
        <is>
          <t xml:space="preserve">When storing thermal energy in Flareon's body, its temperature could soar to over 1600 degrees. It has a flame chamber inside its body. It inhales, then blows out fire that is over 3,000F degrees. It stores some of the air it inhales in its internal flame pouch, which heats it to over 3,000 degrees. It fluffs out its fur collar to cool down its body temperature, which can reach 1,650 degrees. Once it has stored up enough heat, this POKéMON's body temperature can reach up to 1700 degrees. FLAREON’s fluffy fur has a functional purpose - it releases heat into the air so that its body does not get excessively hot. This POKéMON’s body temperature can rise to a maximum of 1,650 degrees F. FLAREON’s fluffy fur releases heat into the air so that its body does not get excessively hot. Its body temperature can rise to a maximum of 1,650 degrees F. It has a flame bag inside its body. After inhaling deeply, it blows out flames of nearly 3,100 degrees Fahrenheit. When storing thermal energy in its body, its temperature can soar to over 1,600 degrees Fahrenheit. It has a flame sac in its body. Its body temperature tops 1,650 degrees Fahrenheit before battle. Inhaled air is heated in the flame sac in its body to an intense fire over 3,000 degrees Fahrenheit. It stores some of the air it inhales in its internal flame pouch, which heats it to over 3,000 degrees Fahrenheit. It fluffs out its fur collar to cool down its body temperature, which can reach 1,650 degrees Fahrenheit. Inhaled air is carried to its flame sac, heated, and exhaled as fire that reaches over 3,000 degrees F. After inhaling deeply, it blows out flames of nearly 3,000 degrees Fahrenheit. Flareon’s fluffy fur has a functional purpose—it releases heat into the air so that its body does not get excessively hot. This Pokémon’s body temperature can rise to a maximum of 1,650 degrees Fahrenheit. When it catches prey or finds berries, it breathes fire on them until they’re well done, and then it gobbles them up. Its average body temperature is between 1,300 and 1,500 degrees Fahrenheit. In its internal flame sac, temperatures reach 3,000 degrees. If it inhales deeply, that’s a sign it’s about to attack. Prepare to be hit by flames of over 3,000 degrees Fahrenheit! The flame chamber inside its body ignites when Flareon gets agitated, reaching temperatures of up to 1,650 degrees Fahrenheit. It inhales, then breathes out fire that is over 3,000 degrees Fahrenheit. Once it has stored up enough heat, this Pokémon’s body temperature can reach up to 1,700 degrees Fahrenheit. Flames burn within a saclike organ inside this Pokémon. When Flareon inhales, these flames grow in intensity, reaching a mighty 3,000 degrees Fahrenheit.</t>
        </is>
      </c>
    </row>
    <row r="4098" ht="33.75" customHeight="1">
      <c r="A4098" s="7">
        <v>136.0</v>
      </c>
      <c r="B4098" s="9" t="s">
        <v>8582</v>
      </c>
      <c r="C4098" s="9" t="s">
        <v>41</v>
      </c>
      <c r="D4098" s="9" t="s">
        <v>35</v>
      </c>
      <c r="E4098" s="6" t="s">
        <v>4812</v>
      </c>
      <c r="F4098" s="9" t="s">
        <v>10467</v>
      </c>
    </row>
    <row r="4099" ht="33.75" customHeight="1">
      <c r="A4099" s="7">
        <v>136.0</v>
      </c>
      <c r="B4099" s="9" t="s">
        <v>8582</v>
      </c>
      <c r="C4099" s="9" t="s">
        <v>41</v>
      </c>
      <c r="D4099" s="9" t="s">
        <v>42</v>
      </c>
      <c r="E4099" s="6" t="s">
        <v>4814</v>
      </c>
      <c r="F4099" s="9" t="s">
        <v>10467</v>
      </c>
    </row>
    <row r="4100" ht="33.75" customHeight="1">
      <c r="A4100" s="7">
        <v>136.0</v>
      </c>
      <c r="B4100" s="9" t="s">
        <v>8582</v>
      </c>
      <c r="C4100" s="9" t="s">
        <v>41</v>
      </c>
      <c r="D4100" s="9" t="s">
        <v>52</v>
      </c>
      <c r="E4100" s="6" t="s">
        <v>4816</v>
      </c>
      <c r="F4100" s="9" t="s">
        <v>10467</v>
      </c>
    </row>
    <row r="4101" ht="33.75" customHeight="1">
      <c r="A4101" s="7">
        <v>136.0</v>
      </c>
      <c r="B4101" s="9" t="s">
        <v>8582</v>
      </c>
      <c r="C4101" s="9" t="s">
        <v>41</v>
      </c>
      <c r="D4101" s="9" t="s">
        <v>59</v>
      </c>
      <c r="E4101" s="6" t="s">
        <v>4817</v>
      </c>
      <c r="F4101" s="9" t="s">
        <v>10467</v>
      </c>
    </row>
    <row r="4102" ht="33.75" customHeight="1">
      <c r="A4102" s="7">
        <v>136.0</v>
      </c>
      <c r="B4102" s="9" t="s">
        <v>8582</v>
      </c>
      <c r="C4102" s="9" t="s">
        <v>41</v>
      </c>
      <c r="D4102" s="9" t="s">
        <v>64</v>
      </c>
      <c r="E4102" s="6" t="s">
        <v>4819</v>
      </c>
      <c r="F4102" s="9" t="s">
        <v>10467</v>
      </c>
    </row>
    <row r="4103" ht="33.75" customHeight="1">
      <c r="A4103" s="7">
        <v>136.0</v>
      </c>
      <c r="B4103" s="9" t="s">
        <v>8582</v>
      </c>
      <c r="C4103" s="9" t="s">
        <v>41</v>
      </c>
      <c r="D4103" s="9" t="s">
        <v>67</v>
      </c>
      <c r="E4103" s="6" t="s">
        <v>4820</v>
      </c>
      <c r="F4103" s="9" t="s">
        <v>10467</v>
      </c>
    </row>
    <row r="4104" ht="33.75" customHeight="1">
      <c r="A4104" s="7">
        <v>136.0</v>
      </c>
      <c r="B4104" s="9" t="s">
        <v>8582</v>
      </c>
      <c r="C4104" s="9" t="s">
        <v>41</v>
      </c>
      <c r="D4104" s="9" t="s">
        <v>71</v>
      </c>
      <c r="E4104" s="6" t="s">
        <v>4820</v>
      </c>
      <c r="F4104" s="9" t="s">
        <v>10467</v>
      </c>
    </row>
    <row r="4105" ht="33.75" customHeight="1">
      <c r="A4105" s="7">
        <v>136.0</v>
      </c>
      <c r="B4105" s="9" t="s">
        <v>8582</v>
      </c>
      <c r="C4105" s="9" t="s">
        <v>41</v>
      </c>
      <c r="D4105" s="9" t="s">
        <v>73</v>
      </c>
      <c r="E4105" s="6" t="s">
        <v>4821</v>
      </c>
      <c r="F4105" s="9" t="s">
        <v>10467</v>
      </c>
    </row>
    <row r="4106" ht="33.75" customHeight="1">
      <c r="A4106" s="7">
        <v>136.0</v>
      </c>
      <c r="B4106" s="9" t="s">
        <v>8582</v>
      </c>
      <c r="C4106" s="9" t="s">
        <v>41</v>
      </c>
      <c r="D4106" s="9" t="s">
        <v>75</v>
      </c>
      <c r="E4106" s="6" t="s">
        <v>4823</v>
      </c>
      <c r="F4106" s="9" t="s">
        <v>10467</v>
      </c>
    </row>
    <row r="4107" ht="33.75" customHeight="1">
      <c r="A4107" s="7">
        <v>136.0</v>
      </c>
      <c r="B4107" s="9" t="s">
        <v>8582</v>
      </c>
      <c r="C4107" s="9" t="s">
        <v>41</v>
      </c>
      <c r="D4107" s="9" t="s">
        <v>79</v>
      </c>
      <c r="E4107" s="6" t="s">
        <v>4825</v>
      </c>
      <c r="F4107" s="9" t="s">
        <v>10467</v>
      </c>
    </row>
    <row r="4108" ht="33.75" customHeight="1">
      <c r="A4108" s="7">
        <v>136.0</v>
      </c>
      <c r="B4108" s="9" t="s">
        <v>8582</v>
      </c>
      <c r="C4108" s="9" t="s">
        <v>41</v>
      </c>
      <c r="D4108" s="9" t="s">
        <v>81</v>
      </c>
      <c r="E4108" s="6" t="s">
        <v>4829</v>
      </c>
      <c r="F4108" s="9" t="s">
        <v>10467</v>
      </c>
    </row>
    <row r="4109" ht="33.75" customHeight="1">
      <c r="A4109" s="7">
        <v>136.0</v>
      </c>
      <c r="B4109" s="9" t="s">
        <v>8582</v>
      </c>
      <c r="C4109" s="9" t="s">
        <v>41</v>
      </c>
      <c r="D4109" s="9" t="s">
        <v>84</v>
      </c>
      <c r="E4109" s="6" t="s">
        <v>4829</v>
      </c>
      <c r="F4109" s="9" t="s">
        <v>10467</v>
      </c>
    </row>
    <row r="4110" ht="33.75" customHeight="1">
      <c r="A4110" s="7">
        <v>136.0</v>
      </c>
      <c r="B4110" s="9" t="s">
        <v>8582</v>
      </c>
      <c r="C4110" s="9" t="s">
        <v>41</v>
      </c>
      <c r="D4110" s="9" t="s">
        <v>87</v>
      </c>
      <c r="E4110" s="6" t="s">
        <v>4830</v>
      </c>
      <c r="F4110" s="9" t="s">
        <v>10467</v>
      </c>
    </row>
    <row r="4111" ht="33.75" customHeight="1">
      <c r="A4111" s="7">
        <v>136.0</v>
      </c>
      <c r="B4111" s="9" t="s">
        <v>8582</v>
      </c>
      <c r="C4111" s="9" t="s">
        <v>41</v>
      </c>
      <c r="D4111" s="9" t="s">
        <v>89</v>
      </c>
      <c r="E4111" s="6" t="s">
        <v>4832</v>
      </c>
      <c r="F4111" s="9" t="s">
        <v>10467</v>
      </c>
    </row>
    <row r="4112" ht="33.75" customHeight="1">
      <c r="A4112" s="7">
        <v>136.0</v>
      </c>
      <c r="B4112" s="9" t="s">
        <v>8582</v>
      </c>
      <c r="C4112" s="9" t="s">
        <v>41</v>
      </c>
      <c r="D4112" s="9" t="s">
        <v>91</v>
      </c>
      <c r="E4112" s="6" t="s">
        <v>4834</v>
      </c>
      <c r="F4112" s="9" t="s">
        <v>10467</v>
      </c>
    </row>
    <row r="4113" ht="33.75" customHeight="1">
      <c r="A4113" s="7">
        <v>136.0</v>
      </c>
      <c r="B4113" s="9" t="s">
        <v>8582</v>
      </c>
      <c r="C4113" s="9" t="s">
        <v>41</v>
      </c>
      <c r="D4113" s="9" t="s">
        <v>93</v>
      </c>
      <c r="E4113" s="6" t="s">
        <v>4830</v>
      </c>
      <c r="F4113" s="9" t="s">
        <v>10467</v>
      </c>
    </row>
    <row r="4114" ht="33.75" customHeight="1">
      <c r="A4114" s="7">
        <v>136.0</v>
      </c>
      <c r="B4114" s="9" t="s">
        <v>8582</v>
      </c>
      <c r="C4114" s="9" t="s">
        <v>41</v>
      </c>
      <c r="D4114" s="9" t="s">
        <v>95</v>
      </c>
      <c r="E4114" s="6" t="s">
        <v>4830</v>
      </c>
      <c r="F4114" s="9" t="s">
        <v>10467</v>
      </c>
    </row>
    <row r="4115" ht="33.75" customHeight="1">
      <c r="A4115" s="7">
        <v>136.0</v>
      </c>
      <c r="B4115" s="9" t="s">
        <v>8582</v>
      </c>
      <c r="C4115" s="9" t="s">
        <v>41</v>
      </c>
      <c r="D4115" s="9" t="s">
        <v>98</v>
      </c>
      <c r="E4115" s="6" t="s">
        <v>4836</v>
      </c>
      <c r="F4115" s="9" t="s">
        <v>10467</v>
      </c>
    </row>
    <row r="4116" ht="33.75" customHeight="1">
      <c r="A4116" s="7">
        <v>136.0</v>
      </c>
      <c r="B4116" s="9" t="s">
        <v>8582</v>
      </c>
      <c r="C4116" s="9" t="s">
        <v>41</v>
      </c>
      <c r="D4116" s="9" t="s">
        <v>99</v>
      </c>
      <c r="E4116" s="6" t="s">
        <v>4836</v>
      </c>
      <c r="F4116" s="9" t="s">
        <v>10467</v>
      </c>
    </row>
    <row r="4117" ht="33.75" customHeight="1">
      <c r="A4117" s="7">
        <v>136.0</v>
      </c>
      <c r="B4117" s="9" t="s">
        <v>8582</v>
      </c>
      <c r="C4117" s="9" t="s">
        <v>41</v>
      </c>
      <c r="D4117" s="9" t="s">
        <v>101</v>
      </c>
      <c r="E4117" s="6" t="s">
        <v>4829</v>
      </c>
      <c r="F4117" s="9" t="s">
        <v>10467</v>
      </c>
    </row>
    <row r="4118" ht="33.75" customHeight="1">
      <c r="A4118" s="7">
        <v>136.0</v>
      </c>
      <c r="B4118" s="9" t="s">
        <v>8582</v>
      </c>
      <c r="C4118" s="9" t="s">
        <v>41</v>
      </c>
      <c r="D4118" s="9" t="s">
        <v>105</v>
      </c>
      <c r="E4118" s="6" t="s">
        <v>4839</v>
      </c>
      <c r="F4118" s="9" t="s">
        <v>10467</v>
      </c>
    </row>
    <row r="4119" ht="33.75" customHeight="1">
      <c r="A4119" s="7">
        <v>136.0</v>
      </c>
      <c r="B4119" s="9" t="s">
        <v>8582</v>
      </c>
      <c r="C4119" s="9" t="s">
        <v>41</v>
      </c>
      <c r="D4119" s="9" t="s">
        <v>107</v>
      </c>
      <c r="E4119" s="6" t="s">
        <v>4840</v>
      </c>
      <c r="F4119" s="9" t="s">
        <v>10467</v>
      </c>
    </row>
    <row r="4120" ht="33.75" customHeight="1">
      <c r="A4120" s="7">
        <v>136.0</v>
      </c>
      <c r="B4120" s="9" t="s">
        <v>8582</v>
      </c>
      <c r="C4120" s="9" t="s">
        <v>41</v>
      </c>
      <c r="D4120" s="9" t="s">
        <v>109</v>
      </c>
      <c r="E4120" s="6" t="s">
        <v>4840</v>
      </c>
      <c r="F4120" s="9" t="s">
        <v>10467</v>
      </c>
    </row>
    <row r="4121" ht="33.75" customHeight="1">
      <c r="A4121" s="7">
        <v>136.0</v>
      </c>
      <c r="B4121" s="9" t="s">
        <v>8582</v>
      </c>
      <c r="C4121" s="9" t="s">
        <v>41</v>
      </c>
      <c r="D4121" s="9" t="s">
        <v>637</v>
      </c>
      <c r="E4121" s="6" t="s">
        <v>4842</v>
      </c>
      <c r="F4121" s="9" t="s">
        <v>10467</v>
      </c>
    </row>
    <row r="4122" ht="33.75" customHeight="1">
      <c r="A4122" s="7">
        <v>136.0</v>
      </c>
      <c r="B4122" s="9" t="s">
        <v>8582</v>
      </c>
      <c r="C4122" s="9" t="s">
        <v>41</v>
      </c>
      <c r="D4122" s="9" t="s">
        <v>642</v>
      </c>
      <c r="E4122" s="6" t="s">
        <v>4845</v>
      </c>
      <c r="F4122" s="9" t="s">
        <v>10467</v>
      </c>
    </row>
    <row r="4123" ht="33.75" customHeight="1">
      <c r="A4123" s="7">
        <v>136.0</v>
      </c>
      <c r="B4123" s="9" t="s">
        <v>8582</v>
      </c>
      <c r="C4123" s="9" t="s">
        <v>41</v>
      </c>
      <c r="D4123" s="9" t="s">
        <v>647</v>
      </c>
      <c r="E4123" s="6" t="s">
        <v>4847</v>
      </c>
      <c r="F4123" s="9" t="s">
        <v>10467</v>
      </c>
    </row>
    <row r="4124" ht="33.75" customHeight="1">
      <c r="A4124" s="7">
        <v>136.0</v>
      </c>
      <c r="B4124" s="9" t="s">
        <v>8582</v>
      </c>
      <c r="C4124" s="9" t="s">
        <v>41</v>
      </c>
      <c r="D4124" s="9" t="s">
        <v>652</v>
      </c>
      <c r="E4124" s="6" t="s">
        <v>4848</v>
      </c>
      <c r="F4124" s="9" t="s">
        <v>10467</v>
      </c>
    </row>
    <row r="4125" ht="33.75" customHeight="1">
      <c r="A4125" s="7">
        <v>136.0</v>
      </c>
      <c r="B4125" s="9" t="s">
        <v>8582</v>
      </c>
      <c r="C4125" s="9" t="s">
        <v>41</v>
      </c>
      <c r="D4125" s="9" t="s">
        <v>111</v>
      </c>
      <c r="E4125" s="6" t="s">
        <v>4849</v>
      </c>
      <c r="F4125" s="9" t="s">
        <v>10467</v>
      </c>
    </row>
    <row r="4126" ht="33.75" customHeight="1">
      <c r="A4126" s="7">
        <v>136.0</v>
      </c>
      <c r="B4126" s="9" t="s">
        <v>8582</v>
      </c>
      <c r="C4126" s="9" t="s">
        <v>41</v>
      </c>
      <c r="D4126" s="9" t="s">
        <v>113</v>
      </c>
      <c r="E4126" s="6" t="s">
        <v>4849</v>
      </c>
      <c r="F4126" s="9" t="s">
        <v>10467</v>
      </c>
    </row>
    <row r="4127" ht="33.75" customHeight="1">
      <c r="A4127" s="7">
        <v>136.0</v>
      </c>
      <c r="B4127" s="9" t="s">
        <v>8582</v>
      </c>
      <c r="C4127" s="9" t="s">
        <v>41</v>
      </c>
      <c r="D4127" s="9" t="s">
        <v>114</v>
      </c>
      <c r="E4127" s="6" t="s">
        <v>4850</v>
      </c>
      <c r="F4127" s="9" t="s">
        <v>10467</v>
      </c>
    </row>
    <row r="4128" ht="33.75" customHeight="1">
      <c r="A4128" s="7">
        <v>136.0</v>
      </c>
      <c r="B4128" s="9" t="s">
        <v>8582</v>
      </c>
      <c r="C4128" s="9" t="s">
        <v>41</v>
      </c>
      <c r="D4128" s="9" t="s">
        <v>117</v>
      </c>
      <c r="E4128" s="6" t="s">
        <v>4832</v>
      </c>
      <c r="F4128" s="9" t="s">
        <v>10467</v>
      </c>
    </row>
    <row r="4129" ht="33.75" customHeight="1">
      <c r="A4129" s="7">
        <v>136.0</v>
      </c>
      <c r="B4129" s="9" t="s">
        <v>8582</v>
      </c>
      <c r="C4129" s="9" t="s">
        <v>41</v>
      </c>
      <c r="D4129" s="9" t="s">
        <v>1577</v>
      </c>
      <c r="E4129" s="6" t="s">
        <v>4852</v>
      </c>
      <c r="F4129" s="9" t="s">
        <v>10467</v>
      </c>
    </row>
    <row r="4130" ht="33.75" customHeight="1">
      <c r="A4130" s="7">
        <v>137.0</v>
      </c>
      <c r="B4130" s="9" t="s">
        <v>8647</v>
      </c>
      <c r="C4130" s="9" t="s">
        <v>224</v>
      </c>
      <c r="D4130" s="9" t="s">
        <v>24</v>
      </c>
      <c r="E4130" s="6" t="s">
        <v>4853</v>
      </c>
      <c r="F4130" s="9" t="s">
        <v>10553</v>
      </c>
      <c r="G4130" t="inlineStr" s="6">
        <is>
          <t xml:space="preserve">A POKéMON that consists entirely of programming code. Capable of moving freely in cyberspace. The only POKéMON people anticipate can fly into space. None has managed the feat yet, however. It is a manmade POKéMON. Since it doesn't breathe, people are eager to try it in any environment. A manmade POKéMON that came about as a result of re search. It is programmed with only basic motions. An artificial POKéMON created due to extensive research, it can perform only what is in its program. PORYGON is capable of reverting itself entirely back to program data and entering cyberspace. This POKéMON is copy-protected so it cannot be duplicated by copying. It is capable of reverting itself entirely back to program data in order to enter cyberspace. A PORYGON is copy- protected so it cannot be duplicated. Using the most advanced technologies, scientists finally succeeded in making the first artificial POKéMON. It is capable of moving freely in cyberspace. The world’s first artificially created Pokémon. It can travel through electronic space. A man-made Pokémon created using advanced scientific means. It can move freely in cyberspace. A manmade Pokémon that came about as a result of research. A man-made Pokémon that came about as a result of research. This Pokémon is copy protected so it cannot be duplicated by copying. Roughly 20 years ago, it was artificially created, utilizing the latest technology of the time. It can convert its body into digital data, which enables it to enter cyberspace. This Pokémon was created using the cutting-edge science of 20 years ago, so many parts of it have since become obsolete. It was built 20 years ago by scientists who dreamed of exploring space. Their dreams have yet to come true. The only Pokémon that people anticipate can fly into space. State-of-the-art technology was used to create Porygon. It was the first artificial Pokémon to be created via computer programming. In recent years, this species has been very helpful in cyberspace. These Pokémon will go around checking to make sure no suspicious data exists. It has no discernible heartbeat and does not seem to draw breath, and yet it appears to function without issue. I cannot even begin to explain this utterly bizarre anomaly.</t>
        </is>
      </c>
    </row>
    <row r="4131" ht="33.75" customHeight="1">
      <c r="A4131" s="7">
        <v>137.0</v>
      </c>
      <c r="B4131" s="9" t="s">
        <v>8647</v>
      </c>
      <c r="C4131" s="9" t="s">
        <v>224</v>
      </c>
      <c r="D4131" s="9" t="s">
        <v>35</v>
      </c>
      <c r="E4131" s="6" t="s">
        <v>4853</v>
      </c>
      <c r="F4131" s="9" t="s">
        <v>10553</v>
      </c>
    </row>
    <row r="4132" ht="33.75" customHeight="1">
      <c r="A4132" s="7">
        <v>137.0</v>
      </c>
      <c r="B4132" s="9" t="s">
        <v>8647</v>
      </c>
      <c r="C4132" s="9" t="s">
        <v>224</v>
      </c>
      <c r="D4132" s="9" t="s">
        <v>42</v>
      </c>
      <c r="E4132" s="6" t="s">
        <v>4855</v>
      </c>
      <c r="F4132" s="9" t="s">
        <v>10553</v>
      </c>
    </row>
    <row r="4133" ht="33.75" customHeight="1">
      <c r="A4133" s="7">
        <v>137.0</v>
      </c>
      <c r="B4133" s="9" t="s">
        <v>8647</v>
      </c>
      <c r="C4133" s="9" t="s">
        <v>224</v>
      </c>
      <c r="D4133" s="9" t="s">
        <v>52</v>
      </c>
      <c r="E4133" s="6" t="s">
        <v>4856</v>
      </c>
      <c r="F4133" s="9" t="s">
        <v>10553</v>
      </c>
    </row>
    <row r="4134" ht="33.75" customHeight="1">
      <c r="A4134" s="7">
        <v>137.0</v>
      </c>
      <c r="B4134" s="9" t="s">
        <v>8647</v>
      </c>
      <c r="C4134" s="9" t="s">
        <v>224</v>
      </c>
      <c r="D4134" s="9" t="s">
        <v>59</v>
      </c>
      <c r="E4134" s="6" t="s">
        <v>4858</v>
      </c>
      <c r="F4134" s="9" t="s">
        <v>10553</v>
      </c>
    </row>
    <row r="4135" ht="33.75" customHeight="1">
      <c r="A4135" s="7">
        <v>137.0</v>
      </c>
      <c r="B4135" s="9" t="s">
        <v>8647</v>
      </c>
      <c r="C4135" s="9" t="s">
        <v>224</v>
      </c>
      <c r="D4135" s="9" t="s">
        <v>64</v>
      </c>
      <c r="E4135" s="6" t="s">
        <v>4859</v>
      </c>
      <c r="F4135" s="9" t="s">
        <v>10553</v>
      </c>
    </row>
    <row r="4136" ht="33.75" customHeight="1">
      <c r="A4136" s="7">
        <v>137.0</v>
      </c>
      <c r="B4136" s="9" t="s">
        <v>8647</v>
      </c>
      <c r="C4136" s="9" t="s">
        <v>224</v>
      </c>
      <c r="D4136" s="9" t="s">
        <v>67</v>
      </c>
      <c r="E4136" s="6" t="s">
        <v>4862</v>
      </c>
      <c r="F4136" s="9" t="s">
        <v>10553</v>
      </c>
    </row>
    <row r="4137" ht="33.75" customHeight="1">
      <c r="A4137" s="7">
        <v>137.0</v>
      </c>
      <c r="B4137" s="9" t="s">
        <v>8647</v>
      </c>
      <c r="C4137" s="9" t="s">
        <v>224</v>
      </c>
      <c r="D4137" s="9" t="s">
        <v>71</v>
      </c>
      <c r="E4137" s="6" t="s">
        <v>4862</v>
      </c>
      <c r="F4137" s="9" t="s">
        <v>10553</v>
      </c>
    </row>
    <row r="4138" ht="33.75" customHeight="1">
      <c r="A4138" s="7">
        <v>137.0</v>
      </c>
      <c r="B4138" s="9" t="s">
        <v>8647</v>
      </c>
      <c r="C4138" s="9" t="s">
        <v>224</v>
      </c>
      <c r="D4138" s="9" t="s">
        <v>73</v>
      </c>
      <c r="E4138" s="6" t="s">
        <v>4863</v>
      </c>
      <c r="F4138" s="9" t="s">
        <v>10553</v>
      </c>
    </row>
    <row r="4139" ht="33.75" customHeight="1">
      <c r="A4139" s="7">
        <v>137.0</v>
      </c>
      <c r="B4139" s="9" t="s">
        <v>8647</v>
      </c>
      <c r="C4139" s="9" t="s">
        <v>224</v>
      </c>
      <c r="D4139" s="9" t="s">
        <v>75</v>
      </c>
      <c r="E4139" s="6" t="s">
        <v>4867</v>
      </c>
      <c r="F4139" s="9" t="s">
        <v>10553</v>
      </c>
    </row>
    <row r="4140" ht="33.75" customHeight="1">
      <c r="A4140" s="7">
        <v>137.0</v>
      </c>
      <c r="B4140" s="9" t="s">
        <v>8647</v>
      </c>
      <c r="C4140" s="9" t="s">
        <v>224</v>
      </c>
      <c r="D4140" s="9" t="s">
        <v>79</v>
      </c>
      <c r="E4140" s="6" t="s">
        <v>4870</v>
      </c>
      <c r="F4140" s="9" t="s">
        <v>10553</v>
      </c>
    </row>
    <row r="4141" ht="33.75" customHeight="1">
      <c r="A4141" s="7">
        <v>137.0</v>
      </c>
      <c r="B4141" s="9" t="s">
        <v>8647</v>
      </c>
      <c r="C4141" s="9" t="s">
        <v>224</v>
      </c>
      <c r="D4141" s="9" t="s">
        <v>81</v>
      </c>
      <c r="E4141" s="6" t="s">
        <v>4871</v>
      </c>
      <c r="F4141" s="9" t="s">
        <v>10553</v>
      </c>
    </row>
    <row r="4142" ht="33.75" customHeight="1">
      <c r="A4142" s="7">
        <v>137.0</v>
      </c>
      <c r="B4142" s="9" t="s">
        <v>8647</v>
      </c>
      <c r="C4142" s="9" t="s">
        <v>224</v>
      </c>
      <c r="D4142" s="9" t="s">
        <v>84</v>
      </c>
      <c r="E4142" s="6" t="s">
        <v>4871</v>
      </c>
      <c r="F4142" s="9" t="s">
        <v>10553</v>
      </c>
    </row>
    <row r="4143" ht="33.75" customHeight="1">
      <c r="A4143" s="7">
        <v>137.0</v>
      </c>
      <c r="B4143" s="9" t="s">
        <v>8647</v>
      </c>
      <c r="C4143" s="9" t="s">
        <v>224</v>
      </c>
      <c r="D4143" s="9" t="s">
        <v>87</v>
      </c>
      <c r="E4143" s="6" t="s">
        <v>4873</v>
      </c>
      <c r="F4143" s="9" t="s">
        <v>10553</v>
      </c>
    </row>
    <row r="4144" ht="33.75" customHeight="1">
      <c r="A4144" s="7">
        <v>137.0</v>
      </c>
      <c r="B4144" s="9" t="s">
        <v>8647</v>
      </c>
      <c r="C4144" s="9" t="s">
        <v>224</v>
      </c>
      <c r="D4144" s="9" t="s">
        <v>89</v>
      </c>
      <c r="E4144" s="6" t="s">
        <v>4874</v>
      </c>
      <c r="F4144" s="9" t="s">
        <v>10553</v>
      </c>
    </row>
    <row r="4145" ht="33.75" customHeight="1">
      <c r="A4145" s="7">
        <v>137.0</v>
      </c>
      <c r="B4145" s="9" t="s">
        <v>8647</v>
      </c>
      <c r="C4145" s="9" t="s">
        <v>224</v>
      </c>
      <c r="D4145" s="9" t="s">
        <v>91</v>
      </c>
      <c r="E4145" s="6" t="s">
        <v>4875</v>
      </c>
      <c r="F4145" s="9" t="s">
        <v>10553</v>
      </c>
    </row>
    <row r="4146" ht="33.75" customHeight="1">
      <c r="A4146" s="7">
        <v>137.0</v>
      </c>
      <c r="B4146" s="9" t="s">
        <v>8647</v>
      </c>
      <c r="C4146" s="9" t="s">
        <v>224</v>
      </c>
      <c r="D4146" s="9" t="s">
        <v>93</v>
      </c>
      <c r="E4146" s="6" t="s">
        <v>4873</v>
      </c>
      <c r="F4146" s="9" t="s">
        <v>10553</v>
      </c>
    </row>
    <row r="4147" ht="33.75" customHeight="1">
      <c r="A4147" s="7">
        <v>137.0</v>
      </c>
      <c r="B4147" s="9" t="s">
        <v>8647</v>
      </c>
      <c r="C4147" s="9" t="s">
        <v>224</v>
      </c>
      <c r="D4147" s="9" t="s">
        <v>95</v>
      </c>
      <c r="E4147" s="6" t="s">
        <v>4873</v>
      </c>
      <c r="F4147" s="9" t="s">
        <v>10553</v>
      </c>
    </row>
    <row r="4148" ht="33.75" customHeight="1">
      <c r="A4148" s="7">
        <v>137.0</v>
      </c>
      <c r="B4148" s="9" t="s">
        <v>8647</v>
      </c>
      <c r="C4148" s="9" t="s">
        <v>224</v>
      </c>
      <c r="D4148" s="9" t="s">
        <v>98</v>
      </c>
      <c r="E4148" s="6" t="s">
        <v>4873</v>
      </c>
      <c r="F4148" s="9" t="s">
        <v>10553</v>
      </c>
    </row>
    <row r="4149" ht="33.75" customHeight="1">
      <c r="A4149" s="7">
        <v>137.0</v>
      </c>
      <c r="B4149" s="9" t="s">
        <v>8647</v>
      </c>
      <c r="C4149" s="9" t="s">
        <v>224</v>
      </c>
      <c r="D4149" s="9" t="s">
        <v>99</v>
      </c>
      <c r="E4149" s="6" t="s">
        <v>4873</v>
      </c>
      <c r="F4149" s="9" t="s">
        <v>10553</v>
      </c>
    </row>
    <row r="4150" ht="33.75" customHeight="1">
      <c r="A4150" s="7">
        <v>137.0</v>
      </c>
      <c r="B4150" s="9" t="s">
        <v>8647</v>
      </c>
      <c r="C4150" s="9" t="s">
        <v>224</v>
      </c>
      <c r="D4150" s="9" t="s">
        <v>101</v>
      </c>
      <c r="E4150" s="6" t="s">
        <v>4876</v>
      </c>
      <c r="F4150" s="9" t="s">
        <v>10553</v>
      </c>
    </row>
    <row r="4151" ht="33.75" customHeight="1">
      <c r="A4151" s="7">
        <v>137.0</v>
      </c>
      <c r="B4151" s="9" t="s">
        <v>8647</v>
      </c>
      <c r="C4151" s="9" t="s">
        <v>224</v>
      </c>
      <c r="D4151" s="9" t="s">
        <v>105</v>
      </c>
      <c r="E4151" s="6" t="s">
        <v>4878</v>
      </c>
      <c r="F4151" s="9" t="s">
        <v>10553</v>
      </c>
    </row>
    <row r="4152" ht="33.75" customHeight="1">
      <c r="A4152" s="7">
        <v>137.0</v>
      </c>
      <c r="B4152" s="9" t="s">
        <v>8647</v>
      </c>
      <c r="C4152" s="9" t="s">
        <v>224</v>
      </c>
      <c r="D4152" s="9" t="s">
        <v>107</v>
      </c>
      <c r="E4152" s="6" t="s">
        <v>4880</v>
      </c>
      <c r="F4152" s="9" t="s">
        <v>10553</v>
      </c>
    </row>
    <row r="4153" ht="33.75" customHeight="1">
      <c r="A4153" s="7">
        <v>137.0</v>
      </c>
      <c r="B4153" s="9" t="s">
        <v>8647</v>
      </c>
      <c r="C4153" s="9" t="s">
        <v>224</v>
      </c>
      <c r="D4153" s="9" t="s">
        <v>109</v>
      </c>
      <c r="E4153" s="6" t="s">
        <v>4880</v>
      </c>
      <c r="F4153" s="9" t="s">
        <v>10553</v>
      </c>
    </row>
    <row r="4154" ht="33.75" customHeight="1">
      <c r="A4154" s="7">
        <v>137.0</v>
      </c>
      <c r="B4154" s="9" t="s">
        <v>8647</v>
      </c>
      <c r="C4154" s="9" t="s">
        <v>224</v>
      </c>
      <c r="D4154" s="9" t="s">
        <v>637</v>
      </c>
      <c r="E4154" s="6" t="s">
        <v>4883</v>
      </c>
      <c r="F4154" s="9" t="s">
        <v>10553</v>
      </c>
    </row>
    <row r="4155" ht="33.75" customHeight="1">
      <c r="A4155" s="7">
        <v>137.0</v>
      </c>
      <c r="B4155" s="9" t="s">
        <v>8647</v>
      </c>
      <c r="C4155" s="9" t="s">
        <v>224</v>
      </c>
      <c r="D4155" s="9" t="s">
        <v>642</v>
      </c>
      <c r="E4155" s="6" t="s">
        <v>4885</v>
      </c>
      <c r="F4155" s="9" t="s">
        <v>10553</v>
      </c>
    </row>
    <row r="4156" ht="33.75" customHeight="1">
      <c r="A4156" s="7">
        <v>137.0</v>
      </c>
      <c r="B4156" s="9" t="s">
        <v>8647</v>
      </c>
      <c r="C4156" s="9" t="s">
        <v>224</v>
      </c>
      <c r="D4156" s="9" t="s">
        <v>647</v>
      </c>
      <c r="E4156" s="6" t="s">
        <v>4886</v>
      </c>
      <c r="F4156" s="9" t="s">
        <v>10553</v>
      </c>
    </row>
    <row r="4157" ht="33.75" customHeight="1">
      <c r="A4157" s="7">
        <v>137.0</v>
      </c>
      <c r="B4157" s="9" t="s">
        <v>8647</v>
      </c>
      <c r="C4157" s="9" t="s">
        <v>224</v>
      </c>
      <c r="D4157" s="9" t="s">
        <v>652</v>
      </c>
      <c r="E4157" s="6" t="s">
        <v>4887</v>
      </c>
      <c r="F4157" s="9" t="s">
        <v>10553</v>
      </c>
    </row>
    <row r="4158" ht="33.75" customHeight="1">
      <c r="A4158" s="7">
        <v>137.0</v>
      </c>
      <c r="B4158" s="9" t="s">
        <v>8647</v>
      </c>
      <c r="C4158" s="9" t="s">
        <v>224</v>
      </c>
      <c r="D4158" s="9" t="s">
        <v>111</v>
      </c>
      <c r="E4158" s="6" t="s">
        <v>4889</v>
      </c>
      <c r="F4158" s="9" t="s">
        <v>10553</v>
      </c>
    </row>
    <row r="4159" ht="33.75" customHeight="1">
      <c r="A4159" s="7">
        <v>137.0</v>
      </c>
      <c r="B4159" s="9" t="s">
        <v>8647</v>
      </c>
      <c r="C4159" s="9" t="s">
        <v>224</v>
      </c>
      <c r="D4159" s="9" t="s">
        <v>113</v>
      </c>
      <c r="E4159" s="6" t="s">
        <v>4889</v>
      </c>
      <c r="F4159" s="9" t="s">
        <v>10553</v>
      </c>
    </row>
    <row r="4160" ht="33.75" customHeight="1">
      <c r="A4160" s="7">
        <v>137.0</v>
      </c>
      <c r="B4160" s="9" t="s">
        <v>8647</v>
      </c>
      <c r="C4160" s="9" t="s">
        <v>224</v>
      </c>
      <c r="D4160" s="9" t="s">
        <v>114</v>
      </c>
      <c r="E4160" s="6" t="s">
        <v>4890</v>
      </c>
      <c r="F4160" s="9" t="s">
        <v>10553</v>
      </c>
    </row>
    <row r="4161" ht="33.75" customHeight="1">
      <c r="A4161" s="7">
        <v>137.0</v>
      </c>
      <c r="B4161" s="9" t="s">
        <v>8647</v>
      </c>
      <c r="C4161" s="9" t="s">
        <v>224</v>
      </c>
      <c r="D4161" s="9" t="s">
        <v>117</v>
      </c>
      <c r="E4161" s="6" t="s">
        <v>4892</v>
      </c>
      <c r="F4161" s="9" t="s">
        <v>10553</v>
      </c>
    </row>
    <row r="4162" ht="33.75" customHeight="1">
      <c r="A4162" s="7">
        <v>137.0</v>
      </c>
      <c r="B4162" s="9" t="s">
        <v>8647</v>
      </c>
      <c r="C4162" s="9" t="s">
        <v>224</v>
      </c>
      <c r="D4162" s="9" t="s">
        <v>1577</v>
      </c>
      <c r="E4162" s="6" t="s">
        <v>4893</v>
      </c>
      <c r="F4162" s="9" t="s">
        <v>10553</v>
      </c>
    </row>
    <row r="4163" ht="33.75" customHeight="1">
      <c r="A4163" s="7">
        <v>138.0</v>
      </c>
      <c r="B4163" s="9" t="s">
        <v>8708</v>
      </c>
      <c r="C4163" s="9" t="s">
        <v>225</v>
      </c>
      <c r="D4163" s="9" t="s">
        <v>24</v>
      </c>
      <c r="E4163" s="6" t="s">
        <v>4895</v>
      </c>
      <c r="F4163" s="9" t="s">
        <v>10646</v>
      </c>
      <c r="G4163" t="inlineStr" s="6">
        <is>
          <t xml:space="preserve">Although long extinct, in rare cases, Omanyte can be genetically resurrected from fossils. An ancient POKéMON that was recovered from a fossil. It swims by cleverly twisting its 10 tentacles about. Revived from an ancient fossil, this POKéMON uses air stored in its shell to sink and rise in water. This POKéMON from ancient times is said to have navigated the sea by adeptly twisting its 10 tentacles. In prehistoric times, it swam on the sea floor, eating plankton. Its fossils are sometimes found. OMANYTE is one of the ancient and long- since-extinct POKéMON that have been regenerated from fossils by people. If attacked by an enemy, it withdraws itself inside its hard shell. One of the ancient and long-since-extinct POKéMON that have been regenerated from fossils by humans. If attacked, it withdraws into its hard shell. A prehistoric POKéMON that lived in the primordial sea, it swims by twisting its 10 tentacles about. Although long extinct, in rare cases, it can be genetically regenerated from fossils. A Pokémon that was resurrected from a fossil using modern science. It swam in ancient seas. Omanyte is one of the ancient and long-since-extinct Pokémon that have been regenerated from fossils by people. Omanyte lived in the seas of antiquity. Its fossils have been found bearing bite marks from Archeops, so apparently Archeops preyed on it. It was restored from an ancient fossil. Those Helix Fossils are excavated from areas that were once oceans long, long ago. It swam by cleverly twisting its 10 tentacles about. Because some Omanyte manage to escape after being restored or are released into the wild by people, this species is becoming a problem. This Pokémon is a member of an ancient, extinct species. Omanyte paddles through water with its 10 tentacles, looking like it’s just drifting along.</t>
        </is>
      </c>
    </row>
    <row r="4164" ht="33.75" customHeight="1">
      <c r="A4164" s="7">
        <v>138.0</v>
      </c>
      <c r="B4164" s="9" t="s">
        <v>8708</v>
      </c>
      <c r="C4164" s="9" t="s">
        <v>225</v>
      </c>
      <c r="D4164" s="9" t="s">
        <v>35</v>
      </c>
      <c r="E4164" s="6" t="s">
        <v>4895</v>
      </c>
      <c r="F4164" s="9" t="s">
        <v>10646</v>
      </c>
    </row>
    <row r="4165" ht="33.75" customHeight="1">
      <c r="A4165" s="7">
        <v>138.0</v>
      </c>
      <c r="B4165" s="9" t="s">
        <v>8708</v>
      </c>
      <c r="C4165" s="9" t="s">
        <v>225</v>
      </c>
      <c r="D4165" s="9" t="s">
        <v>42</v>
      </c>
      <c r="E4165" s="6" t="s">
        <v>4897</v>
      </c>
      <c r="F4165" s="9" t="s">
        <v>10646</v>
      </c>
    </row>
    <row r="4166" ht="33.75" customHeight="1">
      <c r="A4166" s="7">
        <v>138.0</v>
      </c>
      <c r="B4166" s="9" t="s">
        <v>8708</v>
      </c>
      <c r="C4166" s="9" t="s">
        <v>225</v>
      </c>
      <c r="D4166" s="9" t="s">
        <v>52</v>
      </c>
      <c r="E4166" s="6" t="s">
        <v>4898</v>
      </c>
      <c r="F4166" s="9" t="s">
        <v>10646</v>
      </c>
    </row>
    <row r="4167" ht="33.75" customHeight="1">
      <c r="A4167" s="7">
        <v>138.0</v>
      </c>
      <c r="B4167" s="9" t="s">
        <v>8708</v>
      </c>
      <c r="C4167" s="9" t="s">
        <v>225</v>
      </c>
      <c r="D4167" s="9" t="s">
        <v>59</v>
      </c>
      <c r="E4167" s="6" t="s">
        <v>4900</v>
      </c>
      <c r="F4167" s="9" t="s">
        <v>10646</v>
      </c>
    </row>
    <row r="4168" ht="33.75" customHeight="1">
      <c r="A4168" s="7">
        <v>138.0</v>
      </c>
      <c r="B4168" s="9" t="s">
        <v>8708</v>
      </c>
      <c r="C4168" s="9" t="s">
        <v>225</v>
      </c>
      <c r="D4168" s="9" t="s">
        <v>64</v>
      </c>
      <c r="E4168" s="6" t="s">
        <v>4902</v>
      </c>
      <c r="F4168" s="9" t="s">
        <v>10646</v>
      </c>
    </row>
    <row r="4169" ht="33.75" customHeight="1">
      <c r="A4169" s="7">
        <v>138.0</v>
      </c>
      <c r="B4169" s="9" t="s">
        <v>8708</v>
      </c>
      <c r="C4169" s="9" t="s">
        <v>225</v>
      </c>
      <c r="D4169" s="9" t="s">
        <v>67</v>
      </c>
      <c r="E4169" s="6" t="s">
        <v>4904</v>
      </c>
      <c r="F4169" s="9" t="s">
        <v>10646</v>
      </c>
    </row>
    <row r="4170" ht="33.75" customHeight="1">
      <c r="A4170" s="7">
        <v>138.0</v>
      </c>
      <c r="B4170" s="9" t="s">
        <v>8708</v>
      </c>
      <c r="C4170" s="9" t="s">
        <v>225</v>
      </c>
      <c r="D4170" s="9" t="s">
        <v>71</v>
      </c>
      <c r="E4170" s="6" t="s">
        <v>4904</v>
      </c>
      <c r="F4170" s="9" t="s">
        <v>10646</v>
      </c>
    </row>
    <row r="4171" ht="33.75" customHeight="1">
      <c r="A4171" s="7">
        <v>138.0</v>
      </c>
      <c r="B4171" s="9" t="s">
        <v>8708</v>
      </c>
      <c r="C4171" s="9" t="s">
        <v>225</v>
      </c>
      <c r="D4171" s="9" t="s">
        <v>73</v>
      </c>
      <c r="E4171" s="6" t="s">
        <v>4907</v>
      </c>
      <c r="F4171" s="9" t="s">
        <v>10646</v>
      </c>
    </row>
    <row r="4172" ht="33.75" customHeight="1">
      <c r="A4172" s="7">
        <v>138.0</v>
      </c>
      <c r="B4172" s="9" t="s">
        <v>8708</v>
      </c>
      <c r="C4172" s="9" t="s">
        <v>225</v>
      </c>
      <c r="D4172" s="9" t="s">
        <v>75</v>
      </c>
      <c r="E4172" s="6" t="s">
        <v>4908</v>
      </c>
      <c r="F4172" s="9" t="s">
        <v>10646</v>
      </c>
    </row>
    <row r="4173" ht="33.75" customHeight="1">
      <c r="A4173" s="7">
        <v>138.0</v>
      </c>
      <c r="B4173" s="9" t="s">
        <v>8708</v>
      </c>
      <c r="C4173" s="9" t="s">
        <v>225</v>
      </c>
      <c r="D4173" s="9" t="s">
        <v>79</v>
      </c>
      <c r="E4173" s="6" t="s">
        <v>4910</v>
      </c>
      <c r="F4173" s="9" t="s">
        <v>10646</v>
      </c>
    </row>
    <row r="4174" ht="33.75" customHeight="1">
      <c r="A4174" s="7">
        <v>138.0</v>
      </c>
      <c r="B4174" s="9" t="s">
        <v>8708</v>
      </c>
      <c r="C4174" s="9" t="s">
        <v>225</v>
      </c>
      <c r="D4174" s="9" t="s">
        <v>81</v>
      </c>
      <c r="E4174" s="6" t="s">
        <v>4911</v>
      </c>
      <c r="F4174" s="9" t="s">
        <v>10646</v>
      </c>
    </row>
    <row r="4175" ht="33.75" customHeight="1">
      <c r="A4175" s="7">
        <v>138.0</v>
      </c>
      <c r="B4175" s="9" t="s">
        <v>8708</v>
      </c>
      <c r="C4175" s="9" t="s">
        <v>225</v>
      </c>
      <c r="D4175" s="9" t="s">
        <v>84</v>
      </c>
      <c r="E4175" s="6" t="s">
        <v>4911</v>
      </c>
      <c r="F4175" s="9" t="s">
        <v>10646</v>
      </c>
    </row>
    <row r="4176" ht="33.75" customHeight="1">
      <c r="A4176" s="7">
        <v>138.0</v>
      </c>
      <c r="B4176" s="9" t="s">
        <v>8708</v>
      </c>
      <c r="C4176" s="9" t="s">
        <v>225</v>
      </c>
      <c r="D4176" s="9" t="s">
        <v>87</v>
      </c>
      <c r="E4176" s="6" t="s">
        <v>4911</v>
      </c>
      <c r="F4176" s="9" t="s">
        <v>10646</v>
      </c>
    </row>
    <row r="4177" ht="33.75" customHeight="1">
      <c r="A4177" s="7">
        <v>138.0</v>
      </c>
      <c r="B4177" s="9" t="s">
        <v>8708</v>
      </c>
      <c r="C4177" s="9" t="s">
        <v>225</v>
      </c>
      <c r="D4177" s="9" t="s">
        <v>89</v>
      </c>
      <c r="E4177" s="6" t="s">
        <v>4912</v>
      </c>
      <c r="F4177" s="9" t="s">
        <v>10646</v>
      </c>
    </row>
    <row r="4178" ht="33.75" customHeight="1">
      <c r="A4178" s="7">
        <v>138.0</v>
      </c>
      <c r="B4178" s="9" t="s">
        <v>8708</v>
      </c>
      <c r="C4178" s="9" t="s">
        <v>225</v>
      </c>
      <c r="D4178" s="9" t="s">
        <v>91</v>
      </c>
      <c r="E4178" s="6" t="s">
        <v>4913</v>
      </c>
      <c r="F4178" s="9" t="s">
        <v>10646</v>
      </c>
    </row>
    <row r="4179" ht="33.75" customHeight="1">
      <c r="A4179" s="7">
        <v>138.0</v>
      </c>
      <c r="B4179" s="9" t="s">
        <v>8708</v>
      </c>
      <c r="C4179" s="9" t="s">
        <v>225</v>
      </c>
      <c r="D4179" s="9" t="s">
        <v>93</v>
      </c>
      <c r="E4179" s="6" t="s">
        <v>4911</v>
      </c>
      <c r="F4179" s="9" t="s">
        <v>10646</v>
      </c>
    </row>
    <row r="4180" ht="33.75" customHeight="1">
      <c r="A4180" s="7">
        <v>138.0</v>
      </c>
      <c r="B4180" s="9" t="s">
        <v>8708</v>
      </c>
      <c r="C4180" s="9" t="s">
        <v>225</v>
      </c>
      <c r="D4180" s="9" t="s">
        <v>95</v>
      </c>
      <c r="E4180" s="6" t="s">
        <v>4911</v>
      </c>
      <c r="F4180" s="9" t="s">
        <v>10646</v>
      </c>
    </row>
    <row r="4181" ht="33.75" customHeight="1">
      <c r="A4181" s="7">
        <v>138.0</v>
      </c>
      <c r="B4181" s="9" t="s">
        <v>8708</v>
      </c>
      <c r="C4181" s="9" t="s">
        <v>225</v>
      </c>
      <c r="D4181" s="9" t="s">
        <v>98</v>
      </c>
      <c r="E4181" s="6" t="s">
        <v>4911</v>
      </c>
      <c r="F4181" s="9" t="s">
        <v>10646</v>
      </c>
    </row>
    <row r="4182" ht="33.75" customHeight="1">
      <c r="A4182" s="7">
        <v>138.0</v>
      </c>
      <c r="B4182" s="9" t="s">
        <v>8708</v>
      </c>
      <c r="C4182" s="9" t="s">
        <v>225</v>
      </c>
      <c r="D4182" s="9" t="s">
        <v>99</v>
      </c>
      <c r="E4182" s="6" t="s">
        <v>4911</v>
      </c>
      <c r="F4182" s="9" t="s">
        <v>10646</v>
      </c>
    </row>
    <row r="4183" ht="33.75" customHeight="1">
      <c r="A4183" s="7">
        <v>138.0</v>
      </c>
      <c r="B4183" s="9" t="s">
        <v>8708</v>
      </c>
      <c r="C4183" s="9" t="s">
        <v>225</v>
      </c>
      <c r="D4183" s="9" t="s">
        <v>101</v>
      </c>
      <c r="E4183" s="6" t="s">
        <v>4915</v>
      </c>
      <c r="F4183" s="9" t="s">
        <v>10646</v>
      </c>
    </row>
    <row r="4184" ht="33.75" customHeight="1">
      <c r="A4184" s="7">
        <v>138.0</v>
      </c>
      <c r="B4184" s="9" t="s">
        <v>8708</v>
      </c>
      <c r="C4184" s="9" t="s">
        <v>225</v>
      </c>
      <c r="D4184" s="9" t="s">
        <v>105</v>
      </c>
      <c r="E4184" s="6" t="s">
        <v>4912</v>
      </c>
      <c r="F4184" s="9" t="s">
        <v>10646</v>
      </c>
    </row>
    <row r="4185" ht="33.75" customHeight="1">
      <c r="A4185" s="7">
        <v>138.0</v>
      </c>
      <c r="B4185" s="9" t="s">
        <v>8708</v>
      </c>
      <c r="C4185" s="9" t="s">
        <v>225</v>
      </c>
      <c r="D4185" s="9" t="s">
        <v>107</v>
      </c>
      <c r="E4185" s="6" t="s">
        <v>4917</v>
      </c>
      <c r="F4185" s="9" t="s">
        <v>10646</v>
      </c>
    </row>
    <row r="4186" ht="33.75" customHeight="1">
      <c r="A4186" s="7">
        <v>138.0</v>
      </c>
      <c r="B4186" s="9" t="s">
        <v>8708</v>
      </c>
      <c r="C4186" s="9" t="s">
        <v>225</v>
      </c>
      <c r="D4186" s="9" t="s">
        <v>109</v>
      </c>
      <c r="E4186" s="6" t="s">
        <v>4917</v>
      </c>
      <c r="F4186" s="9" t="s">
        <v>10646</v>
      </c>
    </row>
    <row r="4187" ht="33.75" customHeight="1">
      <c r="A4187" s="7">
        <v>138.0</v>
      </c>
      <c r="B4187" s="9" t="s">
        <v>8708</v>
      </c>
      <c r="C4187" s="9" t="s">
        <v>225</v>
      </c>
      <c r="D4187" s="9" t="s">
        <v>647</v>
      </c>
      <c r="E4187" s="6" t="s">
        <v>4918</v>
      </c>
      <c r="F4187" s="9" t="s">
        <v>10646</v>
      </c>
    </row>
    <row r="4188" ht="33.75" customHeight="1">
      <c r="A4188" s="7">
        <v>138.0</v>
      </c>
      <c r="B4188" s="9" t="s">
        <v>8708</v>
      </c>
      <c r="C4188" s="9" t="s">
        <v>225</v>
      </c>
      <c r="D4188" s="9" t="s">
        <v>652</v>
      </c>
      <c r="E4188" s="6" t="s">
        <v>4919</v>
      </c>
      <c r="F4188" s="9" t="s">
        <v>10646</v>
      </c>
    </row>
    <row r="4189" ht="33.75" customHeight="1">
      <c r="A4189" s="7">
        <v>138.0</v>
      </c>
      <c r="B4189" s="9" t="s">
        <v>8708</v>
      </c>
      <c r="C4189" s="9" t="s">
        <v>225</v>
      </c>
      <c r="D4189" s="9" t="s">
        <v>111</v>
      </c>
      <c r="E4189" s="6" t="s">
        <v>4920</v>
      </c>
      <c r="F4189" s="9" t="s">
        <v>10646</v>
      </c>
    </row>
    <row r="4190" ht="33.75" customHeight="1">
      <c r="A4190" s="7">
        <v>138.0</v>
      </c>
      <c r="B4190" s="9" t="s">
        <v>8708</v>
      </c>
      <c r="C4190" s="9" t="s">
        <v>225</v>
      </c>
      <c r="D4190" s="9" t="s">
        <v>113</v>
      </c>
      <c r="E4190" s="6" t="s">
        <v>4920</v>
      </c>
      <c r="F4190" s="9" t="s">
        <v>10646</v>
      </c>
    </row>
    <row r="4191" ht="33.75" customHeight="1">
      <c r="A4191" s="7">
        <v>138.0</v>
      </c>
      <c r="B4191" s="9" t="s">
        <v>8708</v>
      </c>
      <c r="C4191" s="9" t="s">
        <v>225</v>
      </c>
      <c r="D4191" s="9" t="s">
        <v>114</v>
      </c>
      <c r="E4191" s="6" t="s">
        <v>4921</v>
      </c>
      <c r="F4191" s="9" t="s">
        <v>10646</v>
      </c>
    </row>
    <row r="4192" ht="33.75" customHeight="1">
      <c r="A4192" s="7">
        <v>138.0</v>
      </c>
      <c r="B4192" s="9" t="s">
        <v>8708</v>
      </c>
      <c r="C4192" s="9" t="s">
        <v>225</v>
      </c>
      <c r="D4192" s="9" t="s">
        <v>117</v>
      </c>
      <c r="E4192" s="6" t="s">
        <v>4922</v>
      </c>
      <c r="F4192" s="9" t="s">
        <v>10646</v>
      </c>
    </row>
    <row r="4193" ht="33.75" customHeight="1">
      <c r="A4193" s="7">
        <v>139.0</v>
      </c>
      <c r="B4193" s="9" t="s">
        <v>8770</v>
      </c>
      <c r="C4193" s="9" t="s">
        <v>225</v>
      </c>
      <c r="D4193" s="9" t="s">
        <v>24</v>
      </c>
      <c r="E4193" s="6" t="s">
        <v>4924</v>
      </c>
      <c r="F4193" s="9" t="s">
        <v>10751</v>
      </c>
      <c r="G4193" t="inlineStr" s="6">
        <is>
          <t xml:space="preserve">A prehistoric POKéMON that died out when Omastar's heavy shell made it impossible to catch prey. Sharp beaks ring its mouth. Its shell was too big for it to move freely, so it became extinct. Apparently, it cracked SHELLDER's shell with its sharp fangs and sucked out the insides. Once wrapped around its prey, it never lets go. It eats the prey by tearing at it with sharp fangs. Its heavy shell allowed it to reach only nearby food. This could be the reason it is extinct. OMASTAR uses its tentacles to capture its prey. It is believed to have become extinct because its shell grew too large and heavy, causing its movements to become too slow and ponderous. An OMASTAR uses its tentacles to capture its prey. It is believed to have become extinct because its shell grew too large, making its movements slow and ponderous. Its tentacles are highly developed as if they are hands and feet. As soon as it ensnares prey, it bites. Despite having strong fangs and tentacles, it went extinct when its heavy shell made it unable to catch prey. It is thought that this Pokémon became extinct because its spiral shell grew too large. Its heavy shell is thought to be the reason this ancient Pokémon died out. It’s apparently a distant ancestor of Octillery. It wraps its prey in its tentacles to immobilize them and then finishes them off with its sharp fangs. Its sharp beak rings its mouth. Weighed down by a large and heavy shell, Omastar couldn’t move very fast. Some say it went extinct because it was unable to catch food. Omastar’s sharp fangs could crush rock, but the Pokémon can attack only the prey that come within reach of its tentacles.</t>
        </is>
      </c>
    </row>
    <row r="4194" ht="33.75" customHeight="1">
      <c r="A4194" s="7">
        <v>139.0</v>
      </c>
      <c r="B4194" s="9" t="s">
        <v>8770</v>
      </c>
      <c r="C4194" s="9" t="s">
        <v>225</v>
      </c>
      <c r="D4194" s="9" t="s">
        <v>35</v>
      </c>
      <c r="E4194" s="6" t="s">
        <v>4924</v>
      </c>
      <c r="F4194" s="9" t="s">
        <v>10751</v>
      </c>
    </row>
    <row r="4195" ht="33.75" customHeight="1">
      <c r="A4195" s="7">
        <v>139.0</v>
      </c>
      <c r="B4195" s="9" t="s">
        <v>8770</v>
      </c>
      <c r="C4195" s="9" t="s">
        <v>225</v>
      </c>
      <c r="D4195" s="9" t="s">
        <v>42</v>
      </c>
      <c r="E4195" s="6" t="s">
        <v>4925</v>
      </c>
      <c r="F4195" s="9" t="s">
        <v>10751</v>
      </c>
    </row>
    <row r="4196" ht="33.75" customHeight="1">
      <c r="A4196" s="7">
        <v>139.0</v>
      </c>
      <c r="B4196" s="9" t="s">
        <v>8770</v>
      </c>
      <c r="C4196" s="9" t="s">
        <v>225</v>
      </c>
      <c r="D4196" s="9" t="s">
        <v>52</v>
      </c>
      <c r="E4196" s="6" t="s">
        <v>4927</v>
      </c>
      <c r="F4196" s="9" t="s">
        <v>10751</v>
      </c>
    </row>
    <row r="4197" ht="33.75" customHeight="1">
      <c r="A4197" s="7">
        <v>139.0</v>
      </c>
      <c r="B4197" s="9" t="s">
        <v>8770</v>
      </c>
      <c r="C4197" s="9" t="s">
        <v>225</v>
      </c>
      <c r="D4197" s="9" t="s">
        <v>59</v>
      </c>
      <c r="E4197" s="6" t="s">
        <v>4929</v>
      </c>
      <c r="F4197" s="9" t="s">
        <v>10751</v>
      </c>
    </row>
    <row r="4198" ht="33.75" customHeight="1">
      <c r="A4198" s="7">
        <v>139.0</v>
      </c>
      <c r="B4198" s="9" t="s">
        <v>8770</v>
      </c>
      <c r="C4198" s="9" t="s">
        <v>225</v>
      </c>
      <c r="D4198" s="9" t="s">
        <v>64</v>
      </c>
      <c r="E4198" s="6" t="s">
        <v>4931</v>
      </c>
      <c r="F4198" s="9" t="s">
        <v>10751</v>
      </c>
    </row>
    <row r="4199" ht="33.75" customHeight="1">
      <c r="A4199" s="7">
        <v>139.0</v>
      </c>
      <c r="B4199" s="9" t="s">
        <v>8770</v>
      </c>
      <c r="C4199" s="9" t="s">
        <v>225</v>
      </c>
      <c r="D4199" s="9" t="s">
        <v>67</v>
      </c>
      <c r="E4199" s="6" t="s">
        <v>4933</v>
      </c>
      <c r="F4199" s="9" t="s">
        <v>10751</v>
      </c>
    </row>
    <row r="4200" ht="33.75" customHeight="1">
      <c r="A4200" s="7">
        <v>139.0</v>
      </c>
      <c r="B4200" s="9" t="s">
        <v>8770</v>
      </c>
      <c r="C4200" s="9" t="s">
        <v>225</v>
      </c>
      <c r="D4200" s="9" t="s">
        <v>71</v>
      </c>
      <c r="E4200" s="6" t="s">
        <v>4933</v>
      </c>
      <c r="F4200" s="9" t="s">
        <v>10751</v>
      </c>
    </row>
    <row r="4201" ht="33.75" customHeight="1">
      <c r="A4201" s="7">
        <v>139.0</v>
      </c>
      <c r="B4201" s="9" t="s">
        <v>8770</v>
      </c>
      <c r="C4201" s="9" t="s">
        <v>225</v>
      </c>
      <c r="D4201" s="9" t="s">
        <v>73</v>
      </c>
      <c r="E4201" s="6" t="s">
        <v>4935</v>
      </c>
      <c r="F4201" s="9" t="s">
        <v>10751</v>
      </c>
    </row>
    <row r="4202" ht="33.75" customHeight="1">
      <c r="A4202" s="7">
        <v>139.0</v>
      </c>
      <c r="B4202" s="9" t="s">
        <v>8770</v>
      </c>
      <c r="C4202" s="9" t="s">
        <v>225</v>
      </c>
      <c r="D4202" s="9" t="s">
        <v>75</v>
      </c>
      <c r="E4202" s="6" t="s">
        <v>4937</v>
      </c>
      <c r="F4202" s="9" t="s">
        <v>10751</v>
      </c>
    </row>
    <row r="4203" ht="33.75" customHeight="1">
      <c r="A4203" s="7">
        <v>139.0</v>
      </c>
      <c r="B4203" s="9" t="s">
        <v>8770</v>
      </c>
      <c r="C4203" s="9" t="s">
        <v>225</v>
      </c>
      <c r="D4203" s="9" t="s">
        <v>79</v>
      </c>
      <c r="E4203" s="6" t="s">
        <v>4939</v>
      </c>
      <c r="F4203" s="9" t="s">
        <v>10751</v>
      </c>
    </row>
    <row r="4204" ht="33.75" customHeight="1">
      <c r="A4204" s="7">
        <v>139.0</v>
      </c>
      <c r="B4204" s="9" t="s">
        <v>8770</v>
      </c>
      <c r="C4204" s="9" t="s">
        <v>225</v>
      </c>
      <c r="D4204" s="9" t="s">
        <v>81</v>
      </c>
      <c r="E4204" s="6" t="s">
        <v>4943</v>
      </c>
      <c r="F4204" s="9" t="s">
        <v>10751</v>
      </c>
    </row>
    <row r="4205" ht="33.75" customHeight="1">
      <c r="A4205" s="7">
        <v>139.0</v>
      </c>
      <c r="B4205" s="9" t="s">
        <v>8770</v>
      </c>
      <c r="C4205" s="9" t="s">
        <v>225</v>
      </c>
      <c r="D4205" s="9" t="s">
        <v>84</v>
      </c>
      <c r="E4205" s="6" t="s">
        <v>4943</v>
      </c>
      <c r="F4205" s="9" t="s">
        <v>10751</v>
      </c>
    </row>
    <row r="4206" ht="33.75" customHeight="1">
      <c r="A4206" s="7">
        <v>139.0</v>
      </c>
      <c r="B4206" s="9" t="s">
        <v>8770</v>
      </c>
      <c r="C4206" s="9" t="s">
        <v>225</v>
      </c>
      <c r="D4206" s="9" t="s">
        <v>87</v>
      </c>
      <c r="E4206" s="6" t="s">
        <v>4943</v>
      </c>
      <c r="F4206" s="9" t="s">
        <v>10751</v>
      </c>
    </row>
    <row r="4207" ht="33.75" customHeight="1">
      <c r="A4207" s="7">
        <v>139.0</v>
      </c>
      <c r="B4207" s="9" t="s">
        <v>8770</v>
      </c>
      <c r="C4207" s="9" t="s">
        <v>225</v>
      </c>
      <c r="D4207" s="9" t="s">
        <v>89</v>
      </c>
      <c r="E4207" s="6" t="s">
        <v>4945</v>
      </c>
      <c r="F4207" s="9" t="s">
        <v>10751</v>
      </c>
    </row>
    <row r="4208" ht="33.75" customHeight="1">
      <c r="A4208" s="7">
        <v>139.0</v>
      </c>
      <c r="B4208" s="9" t="s">
        <v>8770</v>
      </c>
      <c r="C4208" s="9" t="s">
        <v>225</v>
      </c>
      <c r="D4208" s="9" t="s">
        <v>91</v>
      </c>
      <c r="E4208" s="6" t="s">
        <v>4929</v>
      </c>
      <c r="F4208" s="9" t="s">
        <v>10751</v>
      </c>
    </row>
    <row r="4209" ht="33.75" customHeight="1">
      <c r="A4209" s="7">
        <v>139.0</v>
      </c>
      <c r="B4209" s="9" t="s">
        <v>8770</v>
      </c>
      <c r="C4209" s="9" t="s">
        <v>225</v>
      </c>
      <c r="D4209" s="9" t="s">
        <v>93</v>
      </c>
      <c r="E4209" s="6" t="s">
        <v>4943</v>
      </c>
      <c r="F4209" s="9" t="s">
        <v>10751</v>
      </c>
    </row>
    <row r="4210" ht="33.75" customHeight="1">
      <c r="A4210" s="7">
        <v>139.0</v>
      </c>
      <c r="B4210" s="9" t="s">
        <v>8770</v>
      </c>
      <c r="C4210" s="9" t="s">
        <v>225</v>
      </c>
      <c r="D4210" s="9" t="s">
        <v>95</v>
      </c>
      <c r="E4210" s="6" t="s">
        <v>4943</v>
      </c>
      <c r="F4210" s="9" t="s">
        <v>10751</v>
      </c>
    </row>
    <row r="4211" ht="33.75" customHeight="1">
      <c r="A4211" s="7">
        <v>139.0</v>
      </c>
      <c r="B4211" s="9" t="s">
        <v>8770</v>
      </c>
      <c r="C4211" s="9" t="s">
        <v>225</v>
      </c>
      <c r="D4211" s="9" t="s">
        <v>98</v>
      </c>
      <c r="E4211" s="6" t="s">
        <v>4943</v>
      </c>
      <c r="F4211" s="9" t="s">
        <v>10751</v>
      </c>
    </row>
    <row r="4212" ht="33.75" customHeight="1">
      <c r="A4212" s="7">
        <v>139.0</v>
      </c>
      <c r="B4212" s="9" t="s">
        <v>8770</v>
      </c>
      <c r="C4212" s="9" t="s">
        <v>225</v>
      </c>
      <c r="D4212" s="9" t="s">
        <v>99</v>
      </c>
      <c r="E4212" s="6" t="s">
        <v>4943</v>
      </c>
      <c r="F4212" s="9" t="s">
        <v>10751</v>
      </c>
    </row>
    <row r="4213" ht="33.75" customHeight="1">
      <c r="A4213" s="7">
        <v>139.0</v>
      </c>
      <c r="B4213" s="9" t="s">
        <v>8770</v>
      </c>
      <c r="C4213" s="9" t="s">
        <v>225</v>
      </c>
      <c r="D4213" s="9" t="s">
        <v>101</v>
      </c>
      <c r="E4213" s="6" t="s">
        <v>4937</v>
      </c>
      <c r="F4213" s="9" t="s">
        <v>10751</v>
      </c>
    </row>
    <row r="4214" ht="33.75" customHeight="1">
      <c r="A4214" s="7">
        <v>139.0</v>
      </c>
      <c r="B4214" s="9" t="s">
        <v>8770</v>
      </c>
      <c r="C4214" s="9" t="s">
        <v>225</v>
      </c>
      <c r="D4214" s="9" t="s">
        <v>105</v>
      </c>
      <c r="E4214" s="6" t="s">
        <v>4929</v>
      </c>
      <c r="F4214" s="9" t="s">
        <v>10751</v>
      </c>
    </row>
    <row r="4215" ht="33.75" customHeight="1">
      <c r="A4215" s="7">
        <v>139.0</v>
      </c>
      <c r="B4215" s="9" t="s">
        <v>8770</v>
      </c>
      <c r="C4215" s="9" t="s">
        <v>225</v>
      </c>
      <c r="D4215" s="9" t="s">
        <v>107</v>
      </c>
      <c r="E4215" s="6" t="s">
        <v>4947</v>
      </c>
      <c r="F4215" s="9" t="s">
        <v>10751</v>
      </c>
    </row>
    <row r="4216" ht="33.75" customHeight="1">
      <c r="A4216" s="7">
        <v>139.0</v>
      </c>
      <c r="B4216" s="9" t="s">
        <v>8770</v>
      </c>
      <c r="C4216" s="9" t="s">
        <v>225</v>
      </c>
      <c r="D4216" s="9" t="s">
        <v>109</v>
      </c>
      <c r="E4216" s="6" t="s">
        <v>4947</v>
      </c>
      <c r="F4216" s="9" t="s">
        <v>10751</v>
      </c>
    </row>
    <row r="4217" ht="33.75" customHeight="1">
      <c r="A4217" s="7">
        <v>139.0</v>
      </c>
      <c r="B4217" s="9" t="s">
        <v>8770</v>
      </c>
      <c r="C4217" s="9" t="s">
        <v>225</v>
      </c>
      <c r="D4217" s="9" t="s">
        <v>647</v>
      </c>
      <c r="E4217" s="6" t="s">
        <v>4949</v>
      </c>
      <c r="F4217" s="9" t="s">
        <v>10751</v>
      </c>
    </row>
    <row r="4218" ht="33.75" customHeight="1">
      <c r="A4218" s="7">
        <v>139.0</v>
      </c>
      <c r="B4218" s="9" t="s">
        <v>8770</v>
      </c>
      <c r="C4218" s="9" t="s">
        <v>225</v>
      </c>
      <c r="D4218" s="9" t="s">
        <v>652</v>
      </c>
      <c r="E4218" s="6" t="s">
        <v>4951</v>
      </c>
      <c r="F4218" s="9" t="s">
        <v>10751</v>
      </c>
    </row>
    <row r="4219" ht="33.75" customHeight="1">
      <c r="A4219" s="7">
        <v>139.0</v>
      </c>
      <c r="B4219" s="9" t="s">
        <v>8770</v>
      </c>
      <c r="C4219" s="9" t="s">
        <v>225</v>
      </c>
      <c r="D4219" s="9" t="s">
        <v>111</v>
      </c>
      <c r="E4219" s="6" t="s">
        <v>4952</v>
      </c>
      <c r="F4219" s="9" t="s">
        <v>10751</v>
      </c>
    </row>
    <row r="4220" ht="33.75" customHeight="1">
      <c r="A4220" s="7">
        <v>139.0</v>
      </c>
      <c r="B4220" s="9" t="s">
        <v>8770</v>
      </c>
      <c r="C4220" s="9" t="s">
        <v>225</v>
      </c>
      <c r="D4220" s="9" t="s">
        <v>113</v>
      </c>
      <c r="E4220" s="6" t="s">
        <v>4952</v>
      </c>
      <c r="F4220" s="9" t="s">
        <v>10751</v>
      </c>
    </row>
    <row r="4221" ht="33.75" customHeight="1">
      <c r="A4221" s="7">
        <v>139.0</v>
      </c>
      <c r="B4221" s="9" t="s">
        <v>8770</v>
      </c>
      <c r="C4221" s="9" t="s">
        <v>225</v>
      </c>
      <c r="D4221" s="9" t="s">
        <v>114</v>
      </c>
      <c r="E4221" s="6" t="s">
        <v>4953</v>
      </c>
      <c r="F4221" s="9" t="s">
        <v>10751</v>
      </c>
    </row>
    <row r="4222" ht="33.75" customHeight="1">
      <c r="A4222" s="7">
        <v>139.0</v>
      </c>
      <c r="B4222" s="9" t="s">
        <v>8770</v>
      </c>
      <c r="C4222" s="9" t="s">
        <v>225</v>
      </c>
      <c r="D4222" s="9" t="s">
        <v>117</v>
      </c>
      <c r="E4222" s="6" t="s">
        <v>4954</v>
      </c>
      <c r="F4222" s="9" t="s">
        <v>10751</v>
      </c>
    </row>
    <row r="4223" ht="33.75" customHeight="1">
      <c r="A4223" s="7">
        <v>140.0</v>
      </c>
      <c r="B4223" s="9" t="s">
        <v>8827</v>
      </c>
      <c r="C4223" s="9" t="s">
        <v>62</v>
      </c>
      <c r="D4223" s="9" t="s">
        <v>24</v>
      </c>
      <c r="E4223" s="6" t="s">
        <v>4956</v>
      </c>
      <c r="F4223" s="9" t="s">
        <v>10819</v>
      </c>
      <c r="G4223" t="inlineStr" s="6">
        <is>
          <t xml:space="preserve">A POKéMON that was resurrected from a fossil found in what was once the ocean floor eons ago. A POKéMON that was recovered from a fossil. It uses the eyes on its back while hiding on the sea floor. On rare occasions, some have been found as fossils which they became while hiding on the ocean floor. This POKéMON lived in ancient times. On rare occasions, it has been discovered as a living fossil. Three hundred million years ago, it hid on the sea floor. It also has eyes on its back that glow. KABUTO is a POKéMON that has been regenerated from a fossil. However, in extremely rare cases, living examples have been discovered. The POKéMON has not changed at all for 300 million years. It is a POKéMON that has been regenerated from a fossil. However, in rare cases, living examples have been discovered. KABUTO have not changed for 300 million years. This POKéMON was regenerated from the fossil of an ancient creature. It protects itself with a hard shell. A POKéMON that was regenerated from a fossil found in what was once the ocean floor long ago. It is thought to have inhabited beaches 300 million years ago. It is protected by a stiff shell. This Pokémon thrived 300 million years ago. It’s said that living specimens can still be seen in a certain region—a rare sight. This Pokémon became extinct everywhere, except in a few areas. It protects itself with its hard shell. It used the eyes on its back while hiding on the seafloor. This species is almost entirely extinct. Kabuto molt every three days, making their shells harder and harder. While some say this species has gone extinct, Kabuto sightings are apparently fairly common in some places.</t>
        </is>
      </c>
    </row>
    <row r="4224" ht="33.75" customHeight="1">
      <c r="A4224" s="7">
        <v>140.0</v>
      </c>
      <c r="B4224" s="9" t="s">
        <v>8827</v>
      </c>
      <c r="C4224" s="9" t="s">
        <v>62</v>
      </c>
      <c r="D4224" s="9" t="s">
        <v>35</v>
      </c>
      <c r="E4224" s="6" t="s">
        <v>4956</v>
      </c>
      <c r="F4224" s="9" t="s">
        <v>10819</v>
      </c>
    </row>
    <row r="4225" ht="33.75" customHeight="1">
      <c r="A4225" s="7">
        <v>140.0</v>
      </c>
      <c r="B4225" s="9" t="s">
        <v>8827</v>
      </c>
      <c r="C4225" s="9" t="s">
        <v>62</v>
      </c>
      <c r="D4225" s="9" t="s">
        <v>42</v>
      </c>
      <c r="E4225" s="6" t="s">
        <v>4957</v>
      </c>
      <c r="F4225" s="9" t="s">
        <v>10819</v>
      </c>
    </row>
    <row r="4226" ht="33.75" customHeight="1">
      <c r="A4226" s="7">
        <v>140.0</v>
      </c>
      <c r="B4226" s="9" t="s">
        <v>8827</v>
      </c>
      <c r="C4226" s="9" t="s">
        <v>62</v>
      </c>
      <c r="D4226" s="9" t="s">
        <v>52</v>
      </c>
      <c r="E4226" s="6" t="s">
        <v>4959</v>
      </c>
      <c r="F4226" s="9" t="s">
        <v>10819</v>
      </c>
    </row>
    <row r="4227" ht="33.75" customHeight="1">
      <c r="A4227" s="7">
        <v>140.0</v>
      </c>
      <c r="B4227" s="9" t="s">
        <v>8827</v>
      </c>
      <c r="C4227" s="9" t="s">
        <v>62</v>
      </c>
      <c r="D4227" s="9" t="s">
        <v>59</v>
      </c>
      <c r="E4227" s="6" t="s">
        <v>4960</v>
      </c>
      <c r="F4227" s="9" t="s">
        <v>10819</v>
      </c>
    </row>
    <row r="4228" ht="33.75" customHeight="1">
      <c r="A4228" s="7">
        <v>140.0</v>
      </c>
      <c r="B4228" s="9" t="s">
        <v>8827</v>
      </c>
      <c r="C4228" s="9" t="s">
        <v>62</v>
      </c>
      <c r="D4228" s="9" t="s">
        <v>64</v>
      </c>
      <c r="E4228" s="6" t="s">
        <v>4962</v>
      </c>
      <c r="F4228" s="9" t="s">
        <v>10819</v>
      </c>
    </row>
    <row r="4229" ht="33.75" customHeight="1">
      <c r="A4229" s="7">
        <v>140.0</v>
      </c>
      <c r="B4229" s="9" t="s">
        <v>8827</v>
      </c>
      <c r="C4229" s="9" t="s">
        <v>62</v>
      </c>
      <c r="D4229" s="9" t="s">
        <v>67</v>
      </c>
      <c r="E4229" s="6" t="s">
        <v>4963</v>
      </c>
      <c r="F4229" s="9" t="s">
        <v>10819</v>
      </c>
    </row>
    <row r="4230" ht="33.75" customHeight="1">
      <c r="A4230" s="7">
        <v>140.0</v>
      </c>
      <c r="B4230" s="9" t="s">
        <v>8827</v>
      </c>
      <c r="C4230" s="9" t="s">
        <v>62</v>
      </c>
      <c r="D4230" s="9" t="s">
        <v>71</v>
      </c>
      <c r="E4230" s="6" t="s">
        <v>4963</v>
      </c>
      <c r="F4230" s="9" t="s">
        <v>10819</v>
      </c>
    </row>
    <row r="4231" ht="33.75" customHeight="1">
      <c r="A4231" s="7">
        <v>140.0</v>
      </c>
      <c r="B4231" s="9" t="s">
        <v>8827</v>
      </c>
      <c r="C4231" s="9" t="s">
        <v>62</v>
      </c>
      <c r="D4231" s="9" t="s">
        <v>73</v>
      </c>
      <c r="E4231" s="6" t="s">
        <v>4965</v>
      </c>
      <c r="F4231" s="9" t="s">
        <v>10819</v>
      </c>
    </row>
    <row r="4232" ht="33.75" customHeight="1">
      <c r="A4232" s="7">
        <v>140.0</v>
      </c>
      <c r="B4232" s="9" t="s">
        <v>8827</v>
      </c>
      <c r="C4232" s="9" t="s">
        <v>62</v>
      </c>
      <c r="D4232" s="9" t="s">
        <v>75</v>
      </c>
      <c r="E4232" s="6" t="s">
        <v>4966</v>
      </c>
      <c r="F4232" s="9" t="s">
        <v>10819</v>
      </c>
    </row>
    <row r="4233" ht="33.75" customHeight="1">
      <c r="A4233" s="7">
        <v>140.0</v>
      </c>
      <c r="B4233" s="9" t="s">
        <v>8827</v>
      </c>
      <c r="C4233" s="9" t="s">
        <v>62</v>
      </c>
      <c r="D4233" s="9" t="s">
        <v>79</v>
      </c>
      <c r="E4233" s="6" t="s">
        <v>4968</v>
      </c>
      <c r="F4233" s="9" t="s">
        <v>10819</v>
      </c>
    </row>
    <row r="4234" ht="33.75" customHeight="1">
      <c r="A4234" s="7">
        <v>140.0</v>
      </c>
      <c r="B4234" s="9" t="s">
        <v>8827</v>
      </c>
      <c r="C4234" s="9" t="s">
        <v>62</v>
      </c>
      <c r="D4234" s="9" t="s">
        <v>81</v>
      </c>
      <c r="E4234" s="6" t="s">
        <v>4969</v>
      </c>
      <c r="F4234" s="9" t="s">
        <v>10819</v>
      </c>
    </row>
    <row r="4235" ht="33.75" customHeight="1">
      <c r="A4235" s="7">
        <v>140.0</v>
      </c>
      <c r="B4235" s="9" t="s">
        <v>8827</v>
      </c>
      <c r="C4235" s="9" t="s">
        <v>62</v>
      </c>
      <c r="D4235" s="9" t="s">
        <v>84</v>
      </c>
      <c r="E4235" s="6" t="s">
        <v>4969</v>
      </c>
      <c r="F4235" s="9" t="s">
        <v>10819</v>
      </c>
    </row>
    <row r="4236" ht="33.75" customHeight="1">
      <c r="A4236" s="7">
        <v>140.0</v>
      </c>
      <c r="B4236" s="9" t="s">
        <v>8827</v>
      </c>
      <c r="C4236" s="9" t="s">
        <v>62</v>
      </c>
      <c r="D4236" s="9" t="s">
        <v>87</v>
      </c>
      <c r="E4236" s="6" t="s">
        <v>4969</v>
      </c>
      <c r="F4236" s="9" t="s">
        <v>10819</v>
      </c>
    </row>
    <row r="4237" ht="33.75" customHeight="1">
      <c r="A4237" s="7">
        <v>140.0</v>
      </c>
      <c r="B4237" s="9" t="s">
        <v>8827</v>
      </c>
      <c r="C4237" s="9" t="s">
        <v>62</v>
      </c>
      <c r="D4237" s="9" t="s">
        <v>89</v>
      </c>
      <c r="E4237" s="6" t="s">
        <v>4959</v>
      </c>
      <c r="F4237" s="9" t="s">
        <v>10819</v>
      </c>
    </row>
    <row r="4238" ht="33.75" customHeight="1">
      <c r="A4238" s="7">
        <v>140.0</v>
      </c>
      <c r="B4238" s="9" t="s">
        <v>8827</v>
      </c>
      <c r="C4238" s="9" t="s">
        <v>62</v>
      </c>
      <c r="D4238" s="9" t="s">
        <v>91</v>
      </c>
      <c r="E4238" s="6" t="s">
        <v>4971</v>
      </c>
      <c r="F4238" s="9" t="s">
        <v>10819</v>
      </c>
    </row>
    <row r="4239" ht="33.75" customHeight="1">
      <c r="A4239" s="7">
        <v>140.0</v>
      </c>
      <c r="B4239" s="9" t="s">
        <v>8827</v>
      </c>
      <c r="C4239" s="9" t="s">
        <v>62</v>
      </c>
      <c r="D4239" s="9" t="s">
        <v>93</v>
      </c>
      <c r="E4239" s="6" t="s">
        <v>4969</v>
      </c>
      <c r="F4239" s="9" t="s">
        <v>10819</v>
      </c>
    </row>
    <row r="4240" ht="33.75" customHeight="1">
      <c r="A4240" s="7">
        <v>140.0</v>
      </c>
      <c r="B4240" s="9" t="s">
        <v>8827</v>
      </c>
      <c r="C4240" s="9" t="s">
        <v>62</v>
      </c>
      <c r="D4240" s="9" t="s">
        <v>95</v>
      </c>
      <c r="E4240" s="6" t="s">
        <v>4969</v>
      </c>
      <c r="F4240" s="9" t="s">
        <v>10819</v>
      </c>
    </row>
    <row r="4241" ht="33.75" customHeight="1">
      <c r="A4241" s="7">
        <v>140.0</v>
      </c>
      <c r="B4241" s="9" t="s">
        <v>8827</v>
      </c>
      <c r="C4241" s="9" t="s">
        <v>62</v>
      </c>
      <c r="D4241" s="9" t="s">
        <v>98</v>
      </c>
      <c r="E4241" s="6" t="s">
        <v>4969</v>
      </c>
      <c r="F4241" s="9" t="s">
        <v>10819</v>
      </c>
    </row>
    <row r="4242" ht="33.75" customHeight="1">
      <c r="A4242" s="7">
        <v>140.0</v>
      </c>
      <c r="B4242" s="9" t="s">
        <v>8827</v>
      </c>
      <c r="C4242" s="9" t="s">
        <v>62</v>
      </c>
      <c r="D4242" s="9" t="s">
        <v>99</v>
      </c>
      <c r="E4242" s="6" t="s">
        <v>4969</v>
      </c>
      <c r="F4242" s="9" t="s">
        <v>10819</v>
      </c>
    </row>
    <row r="4243" ht="33.75" customHeight="1">
      <c r="A4243" s="7">
        <v>140.0</v>
      </c>
      <c r="B4243" s="9" t="s">
        <v>8827</v>
      </c>
      <c r="C4243" s="9" t="s">
        <v>62</v>
      </c>
      <c r="D4243" s="9" t="s">
        <v>101</v>
      </c>
      <c r="E4243" s="6" t="s">
        <v>4969</v>
      </c>
      <c r="F4243" s="9" t="s">
        <v>10819</v>
      </c>
    </row>
    <row r="4244" ht="33.75" customHeight="1">
      <c r="A4244" s="7">
        <v>140.0</v>
      </c>
      <c r="B4244" s="9" t="s">
        <v>8827</v>
      </c>
      <c r="C4244" s="9" t="s">
        <v>62</v>
      </c>
      <c r="D4244" s="9" t="s">
        <v>105</v>
      </c>
      <c r="E4244" s="6" t="s">
        <v>4972</v>
      </c>
      <c r="F4244" s="9" t="s">
        <v>10819</v>
      </c>
    </row>
    <row r="4245" ht="33.75" customHeight="1">
      <c r="A4245" s="7">
        <v>140.0</v>
      </c>
      <c r="B4245" s="9" t="s">
        <v>8827</v>
      </c>
      <c r="C4245" s="9" t="s">
        <v>62</v>
      </c>
      <c r="D4245" s="9" t="s">
        <v>107</v>
      </c>
      <c r="E4245" s="6" t="s">
        <v>4973</v>
      </c>
      <c r="F4245" s="9" t="s">
        <v>10819</v>
      </c>
    </row>
    <row r="4246" ht="33.75" customHeight="1">
      <c r="A4246" s="7">
        <v>140.0</v>
      </c>
      <c r="B4246" s="9" t="s">
        <v>8827</v>
      </c>
      <c r="C4246" s="9" t="s">
        <v>62</v>
      </c>
      <c r="D4246" s="9" t="s">
        <v>109</v>
      </c>
      <c r="E4246" s="6" t="s">
        <v>4973</v>
      </c>
      <c r="F4246" s="9" t="s">
        <v>10819</v>
      </c>
    </row>
    <row r="4247" ht="33.75" customHeight="1">
      <c r="A4247" s="7">
        <v>140.0</v>
      </c>
      <c r="B4247" s="9" t="s">
        <v>8827</v>
      </c>
      <c r="C4247" s="9" t="s">
        <v>62</v>
      </c>
      <c r="D4247" s="9" t="s">
        <v>647</v>
      </c>
      <c r="E4247" s="6" t="s">
        <v>4975</v>
      </c>
      <c r="F4247" s="9" t="s">
        <v>10819</v>
      </c>
    </row>
    <row r="4248" ht="33.75" customHeight="1">
      <c r="A4248" s="7">
        <v>140.0</v>
      </c>
      <c r="B4248" s="9" t="s">
        <v>8827</v>
      </c>
      <c r="C4248" s="9" t="s">
        <v>62</v>
      </c>
      <c r="D4248" s="9" t="s">
        <v>652</v>
      </c>
      <c r="E4248" s="6" t="s">
        <v>4977</v>
      </c>
      <c r="F4248" s="9" t="s">
        <v>10819</v>
      </c>
    </row>
    <row r="4249" ht="33.75" customHeight="1">
      <c r="A4249" s="7">
        <v>140.0</v>
      </c>
      <c r="B4249" s="9" t="s">
        <v>8827</v>
      </c>
      <c r="C4249" s="9" t="s">
        <v>62</v>
      </c>
      <c r="D4249" s="9" t="s">
        <v>111</v>
      </c>
      <c r="E4249" s="6" t="s">
        <v>4978</v>
      </c>
      <c r="F4249" s="9" t="s">
        <v>10819</v>
      </c>
    </row>
    <row r="4250" ht="33.75" customHeight="1">
      <c r="A4250" s="7">
        <v>140.0</v>
      </c>
      <c r="B4250" s="9" t="s">
        <v>8827</v>
      </c>
      <c r="C4250" s="9" t="s">
        <v>62</v>
      </c>
      <c r="D4250" s="9" t="s">
        <v>113</v>
      </c>
      <c r="E4250" s="6" t="s">
        <v>4978</v>
      </c>
      <c r="F4250" s="9" t="s">
        <v>10819</v>
      </c>
    </row>
    <row r="4251" ht="33.75" customHeight="1">
      <c r="A4251" s="7">
        <v>140.0</v>
      </c>
      <c r="B4251" s="9" t="s">
        <v>8827</v>
      </c>
      <c r="C4251" s="9" t="s">
        <v>62</v>
      </c>
      <c r="D4251" s="9" t="s">
        <v>114</v>
      </c>
      <c r="E4251" s="6" t="s">
        <v>4980</v>
      </c>
      <c r="F4251" s="9" t="s">
        <v>10819</v>
      </c>
    </row>
    <row r="4252" ht="33.75" customHeight="1">
      <c r="A4252" s="7">
        <v>140.0</v>
      </c>
      <c r="B4252" s="9" t="s">
        <v>8827</v>
      </c>
      <c r="C4252" s="9" t="s">
        <v>62</v>
      </c>
      <c r="D4252" s="9" t="s">
        <v>117</v>
      </c>
      <c r="E4252" s="6" t="s">
        <v>4981</v>
      </c>
      <c r="F4252" s="9" t="s">
        <v>10819</v>
      </c>
    </row>
    <row r="4253" ht="33.75" customHeight="1">
      <c r="A4253" s="7">
        <v>141.0</v>
      </c>
      <c r="B4253" s="9" t="s">
        <v>8886</v>
      </c>
      <c r="C4253" s="9" t="s">
        <v>62</v>
      </c>
      <c r="D4253" s="9" t="s">
        <v>24</v>
      </c>
      <c r="E4253" s="6" t="s">
        <v>4982</v>
      </c>
      <c r="F4253" s="9" t="s">
        <v>10876</v>
      </c>
      <c r="G4253" t="inlineStr" s="6">
        <is>
          <t xml:space="preserve">Kabutops's sleek shape is perfect for swim ming. It slashes prey with its claws and drains the body fluids. A slim and fast swimmer. It slices its prey with its sharp sickles and drinks the body fluids. In the water, it tucks in its limbs to become more compact, then it wiggles its shell to swim fast. With sharp claws, this ferocious, ancient POKéMON rips apart prey and sucks their body fluids. It was able to swim quickly through the water by compactly folding up its razor-sharp sickles. KABUTOPS swam underwater to hunt for its prey in ancient times. The POKéMON was apparently evolving from being a water-dweller to living on land as evident from the beginnings of change in its gills and legs. KABUTOPS once swam underwater to hunt for prey. It was apparently evolving from being a water dweller to living on land as evident from changes in its gills and legs. It swims freely through water. It catches prey with its scythe-like arms and drains the victim’s fluids. Its sleek shape is perfect for swimming. It slashes prey with its claws and drains their fluids. It is thought that this Pokémon came onto land because its prey adapted to life on land. The Pokémon was apparently evolving from being a water dweller to living on land as evident from the beginnings of change in its gills and legs. Its body had begun to change so it could function on land. But it didn’t adapt in time and went extinct. It swims at speeds of roughly 29 knots, quickly closing in on its prey and slashing into them with its scythes to finish them off. It sliced its prey with its sharp sickles and drank the body fluids. Kabutops slices its prey apart and sucks out the fluids. The discarded body parts become food for other Pokémon. The cause behind the extinction of this species is unknown. Kabutops were aggressive Pokémon that inhabited warm seas.</t>
        </is>
      </c>
    </row>
    <row r="4254" ht="33.75" customHeight="1">
      <c r="A4254" s="7">
        <v>141.0</v>
      </c>
      <c r="B4254" s="9" t="s">
        <v>8886</v>
      </c>
      <c r="C4254" s="9" t="s">
        <v>62</v>
      </c>
      <c r="D4254" s="9" t="s">
        <v>35</v>
      </c>
      <c r="E4254" s="6" t="s">
        <v>4982</v>
      </c>
      <c r="F4254" s="9" t="s">
        <v>10876</v>
      </c>
    </row>
    <row r="4255" ht="33.75" customHeight="1">
      <c r="A4255" s="7">
        <v>141.0</v>
      </c>
      <c r="B4255" s="9" t="s">
        <v>8886</v>
      </c>
      <c r="C4255" s="9" t="s">
        <v>62</v>
      </c>
      <c r="D4255" s="9" t="s">
        <v>42</v>
      </c>
      <c r="E4255" s="6" t="s">
        <v>4984</v>
      </c>
      <c r="F4255" s="9" t="s">
        <v>10876</v>
      </c>
    </row>
    <row r="4256" ht="33.75" customHeight="1">
      <c r="A4256" s="7">
        <v>141.0</v>
      </c>
      <c r="B4256" s="9" t="s">
        <v>8886</v>
      </c>
      <c r="C4256" s="9" t="s">
        <v>62</v>
      </c>
      <c r="D4256" s="9" t="s">
        <v>52</v>
      </c>
      <c r="E4256" s="6" t="s">
        <v>4985</v>
      </c>
      <c r="F4256" s="9" t="s">
        <v>10876</v>
      </c>
    </row>
    <row r="4257" ht="33.75" customHeight="1">
      <c r="A4257" s="7">
        <v>141.0</v>
      </c>
      <c r="B4257" s="9" t="s">
        <v>8886</v>
      </c>
      <c r="C4257" s="9" t="s">
        <v>62</v>
      </c>
      <c r="D4257" s="9" t="s">
        <v>59</v>
      </c>
      <c r="E4257" s="6" t="s">
        <v>4986</v>
      </c>
      <c r="F4257" s="9" t="s">
        <v>10876</v>
      </c>
    </row>
    <row r="4258" ht="33.75" customHeight="1">
      <c r="A4258" s="7">
        <v>141.0</v>
      </c>
      <c r="B4258" s="9" t="s">
        <v>8886</v>
      </c>
      <c r="C4258" s="9" t="s">
        <v>62</v>
      </c>
      <c r="D4258" s="9" t="s">
        <v>64</v>
      </c>
      <c r="E4258" s="6" t="s">
        <v>4987</v>
      </c>
      <c r="F4258" s="9" t="s">
        <v>10876</v>
      </c>
    </row>
    <row r="4259" ht="33.75" customHeight="1">
      <c r="A4259" s="7">
        <v>141.0</v>
      </c>
      <c r="B4259" s="9" t="s">
        <v>8886</v>
      </c>
      <c r="C4259" s="9" t="s">
        <v>62</v>
      </c>
      <c r="D4259" s="9" t="s">
        <v>67</v>
      </c>
      <c r="E4259" s="6" t="s">
        <v>4989</v>
      </c>
      <c r="F4259" s="9" t="s">
        <v>10876</v>
      </c>
    </row>
    <row r="4260" ht="33.75" customHeight="1">
      <c r="A4260" s="7">
        <v>141.0</v>
      </c>
      <c r="B4260" s="9" t="s">
        <v>8886</v>
      </c>
      <c r="C4260" s="9" t="s">
        <v>62</v>
      </c>
      <c r="D4260" s="9" t="s">
        <v>71</v>
      </c>
      <c r="E4260" s="6" t="s">
        <v>4989</v>
      </c>
      <c r="F4260" s="9" t="s">
        <v>10876</v>
      </c>
    </row>
    <row r="4261" ht="33.75" customHeight="1">
      <c r="A4261" s="7">
        <v>141.0</v>
      </c>
      <c r="B4261" s="9" t="s">
        <v>8886</v>
      </c>
      <c r="C4261" s="9" t="s">
        <v>62</v>
      </c>
      <c r="D4261" s="9" t="s">
        <v>73</v>
      </c>
      <c r="E4261" s="6" t="s">
        <v>4990</v>
      </c>
      <c r="F4261" s="9" t="s">
        <v>10876</v>
      </c>
    </row>
    <row r="4262" ht="33.75" customHeight="1">
      <c r="A4262" s="7">
        <v>141.0</v>
      </c>
      <c r="B4262" s="9" t="s">
        <v>8886</v>
      </c>
      <c r="C4262" s="9" t="s">
        <v>62</v>
      </c>
      <c r="D4262" s="9" t="s">
        <v>75</v>
      </c>
      <c r="E4262" s="6" t="s">
        <v>4991</v>
      </c>
      <c r="F4262" s="9" t="s">
        <v>10876</v>
      </c>
    </row>
    <row r="4263" ht="33.75" customHeight="1">
      <c r="A4263" s="7">
        <v>141.0</v>
      </c>
      <c r="B4263" s="9" t="s">
        <v>8886</v>
      </c>
      <c r="C4263" s="9" t="s">
        <v>62</v>
      </c>
      <c r="D4263" s="9" t="s">
        <v>79</v>
      </c>
      <c r="E4263" s="6" t="s">
        <v>4992</v>
      </c>
      <c r="F4263" s="9" t="s">
        <v>10876</v>
      </c>
    </row>
    <row r="4264" ht="33.75" customHeight="1">
      <c r="A4264" s="7">
        <v>141.0</v>
      </c>
      <c r="B4264" s="9" t="s">
        <v>8886</v>
      </c>
      <c r="C4264" s="9" t="s">
        <v>62</v>
      </c>
      <c r="D4264" s="9" t="s">
        <v>81</v>
      </c>
      <c r="E4264" s="6" t="s">
        <v>4993</v>
      </c>
      <c r="F4264" s="9" t="s">
        <v>10876</v>
      </c>
    </row>
    <row r="4265" ht="33.75" customHeight="1">
      <c r="A4265" s="7">
        <v>141.0</v>
      </c>
      <c r="B4265" s="9" t="s">
        <v>8886</v>
      </c>
      <c r="C4265" s="9" t="s">
        <v>62</v>
      </c>
      <c r="D4265" s="9" t="s">
        <v>84</v>
      </c>
      <c r="E4265" s="6" t="s">
        <v>4993</v>
      </c>
      <c r="F4265" s="9" t="s">
        <v>10876</v>
      </c>
    </row>
    <row r="4266" ht="33.75" customHeight="1">
      <c r="A4266" s="7">
        <v>141.0</v>
      </c>
      <c r="B4266" s="9" t="s">
        <v>8886</v>
      </c>
      <c r="C4266" s="9" t="s">
        <v>62</v>
      </c>
      <c r="D4266" s="9" t="s">
        <v>87</v>
      </c>
      <c r="E4266" s="6" t="s">
        <v>4993</v>
      </c>
      <c r="F4266" s="9" t="s">
        <v>10876</v>
      </c>
    </row>
    <row r="4267" ht="33.75" customHeight="1">
      <c r="A4267" s="7">
        <v>141.0</v>
      </c>
      <c r="B4267" s="9" t="s">
        <v>8886</v>
      </c>
      <c r="C4267" s="9" t="s">
        <v>62</v>
      </c>
      <c r="D4267" s="9" t="s">
        <v>89</v>
      </c>
      <c r="E4267" s="6" t="s">
        <v>4985</v>
      </c>
      <c r="F4267" s="9" t="s">
        <v>10876</v>
      </c>
    </row>
    <row r="4268" ht="33.75" customHeight="1">
      <c r="A4268" s="7">
        <v>141.0</v>
      </c>
      <c r="B4268" s="9" t="s">
        <v>8886</v>
      </c>
      <c r="C4268" s="9" t="s">
        <v>62</v>
      </c>
      <c r="D4268" s="9" t="s">
        <v>91</v>
      </c>
      <c r="E4268" s="6" t="s">
        <v>4995</v>
      </c>
      <c r="F4268" s="9" t="s">
        <v>10876</v>
      </c>
    </row>
    <row r="4269" ht="33.75" customHeight="1">
      <c r="A4269" s="7">
        <v>141.0</v>
      </c>
      <c r="B4269" s="9" t="s">
        <v>8886</v>
      </c>
      <c r="C4269" s="9" t="s">
        <v>62</v>
      </c>
      <c r="D4269" s="9" t="s">
        <v>93</v>
      </c>
      <c r="E4269" s="6" t="s">
        <v>4993</v>
      </c>
      <c r="F4269" s="9" t="s">
        <v>10876</v>
      </c>
    </row>
    <row r="4270" ht="33.75" customHeight="1">
      <c r="A4270" s="7">
        <v>141.0</v>
      </c>
      <c r="B4270" s="9" t="s">
        <v>8886</v>
      </c>
      <c r="C4270" s="9" t="s">
        <v>62</v>
      </c>
      <c r="D4270" s="9" t="s">
        <v>95</v>
      </c>
      <c r="E4270" s="6" t="s">
        <v>4993</v>
      </c>
      <c r="F4270" s="9" t="s">
        <v>10876</v>
      </c>
    </row>
    <row r="4271" ht="33.75" customHeight="1">
      <c r="A4271" s="7">
        <v>141.0</v>
      </c>
      <c r="B4271" s="9" t="s">
        <v>8886</v>
      </c>
      <c r="C4271" s="9" t="s">
        <v>62</v>
      </c>
      <c r="D4271" s="9" t="s">
        <v>98</v>
      </c>
      <c r="E4271" s="6" t="s">
        <v>4993</v>
      </c>
      <c r="F4271" s="9" t="s">
        <v>10876</v>
      </c>
    </row>
    <row r="4272" ht="33.75" customHeight="1">
      <c r="A4272" s="7">
        <v>141.0</v>
      </c>
      <c r="B4272" s="9" t="s">
        <v>8886</v>
      </c>
      <c r="C4272" s="9" t="s">
        <v>62</v>
      </c>
      <c r="D4272" s="9" t="s">
        <v>99</v>
      </c>
      <c r="E4272" s="6" t="s">
        <v>4993</v>
      </c>
      <c r="F4272" s="9" t="s">
        <v>10876</v>
      </c>
    </row>
    <row r="4273" ht="33.75" customHeight="1">
      <c r="A4273" s="7">
        <v>141.0</v>
      </c>
      <c r="B4273" s="9" t="s">
        <v>8886</v>
      </c>
      <c r="C4273" s="9" t="s">
        <v>62</v>
      </c>
      <c r="D4273" s="9" t="s">
        <v>101</v>
      </c>
      <c r="E4273" s="6" t="s">
        <v>4985</v>
      </c>
      <c r="F4273" s="9" t="s">
        <v>10876</v>
      </c>
    </row>
    <row r="4274" ht="33.75" customHeight="1">
      <c r="A4274" s="7">
        <v>141.0</v>
      </c>
      <c r="B4274" s="9" t="s">
        <v>8886</v>
      </c>
      <c r="C4274" s="9" t="s">
        <v>62</v>
      </c>
      <c r="D4274" s="9" t="s">
        <v>105</v>
      </c>
      <c r="E4274" s="6" t="s">
        <v>4984</v>
      </c>
      <c r="F4274" s="9" t="s">
        <v>10876</v>
      </c>
    </row>
    <row r="4275" ht="33.75" customHeight="1">
      <c r="A4275" s="7">
        <v>141.0</v>
      </c>
      <c r="B4275" s="9" t="s">
        <v>8886</v>
      </c>
      <c r="C4275" s="9" t="s">
        <v>62</v>
      </c>
      <c r="D4275" s="9" t="s">
        <v>107</v>
      </c>
      <c r="E4275" s="6" t="s">
        <v>4996</v>
      </c>
      <c r="F4275" s="9" t="s">
        <v>10876</v>
      </c>
    </row>
    <row r="4276" ht="33.75" customHeight="1">
      <c r="A4276" s="7">
        <v>141.0</v>
      </c>
      <c r="B4276" s="9" t="s">
        <v>8886</v>
      </c>
      <c r="C4276" s="9" t="s">
        <v>62</v>
      </c>
      <c r="D4276" s="9" t="s">
        <v>109</v>
      </c>
      <c r="E4276" s="6" t="s">
        <v>4996</v>
      </c>
      <c r="F4276" s="9" t="s">
        <v>10876</v>
      </c>
    </row>
    <row r="4277" ht="33.75" customHeight="1">
      <c r="A4277" s="7">
        <v>141.0</v>
      </c>
      <c r="B4277" s="9" t="s">
        <v>8886</v>
      </c>
      <c r="C4277" s="9" t="s">
        <v>62</v>
      </c>
      <c r="D4277" s="9" t="s">
        <v>647</v>
      </c>
      <c r="E4277" s="6" t="s">
        <v>4997</v>
      </c>
      <c r="F4277" s="9" t="s">
        <v>10876</v>
      </c>
    </row>
    <row r="4278" ht="33.75" customHeight="1">
      <c r="A4278" s="7">
        <v>141.0</v>
      </c>
      <c r="B4278" s="9" t="s">
        <v>8886</v>
      </c>
      <c r="C4278" s="9" t="s">
        <v>62</v>
      </c>
      <c r="D4278" s="9" t="s">
        <v>652</v>
      </c>
      <c r="E4278" s="6" t="s">
        <v>4998</v>
      </c>
      <c r="F4278" s="9" t="s">
        <v>10876</v>
      </c>
    </row>
    <row r="4279" ht="33.75" customHeight="1">
      <c r="A4279" s="7">
        <v>141.0</v>
      </c>
      <c r="B4279" s="9" t="s">
        <v>8886</v>
      </c>
      <c r="C4279" s="9" t="s">
        <v>62</v>
      </c>
      <c r="D4279" s="9" t="s">
        <v>111</v>
      </c>
      <c r="E4279" s="6" t="s">
        <v>4999</v>
      </c>
      <c r="F4279" s="9" t="s">
        <v>10876</v>
      </c>
    </row>
    <row r="4280" ht="33.75" customHeight="1">
      <c r="A4280" s="7">
        <v>141.0</v>
      </c>
      <c r="B4280" s="9" t="s">
        <v>8886</v>
      </c>
      <c r="C4280" s="9" t="s">
        <v>62</v>
      </c>
      <c r="D4280" s="9" t="s">
        <v>113</v>
      </c>
      <c r="E4280" s="6" t="s">
        <v>4999</v>
      </c>
      <c r="F4280" s="9" t="s">
        <v>10876</v>
      </c>
    </row>
    <row r="4281" ht="33.75" customHeight="1">
      <c r="A4281" s="7">
        <v>141.0</v>
      </c>
      <c r="B4281" s="9" t="s">
        <v>8886</v>
      </c>
      <c r="C4281" s="9" t="s">
        <v>62</v>
      </c>
      <c r="D4281" s="9" t="s">
        <v>114</v>
      </c>
      <c r="E4281" s="6" t="s">
        <v>5000</v>
      </c>
      <c r="F4281" s="9" t="s">
        <v>10876</v>
      </c>
    </row>
    <row r="4282" ht="33.75" customHeight="1">
      <c r="A4282" s="7">
        <v>141.0</v>
      </c>
      <c r="B4282" s="9" t="s">
        <v>8886</v>
      </c>
      <c r="C4282" s="9" t="s">
        <v>62</v>
      </c>
      <c r="D4282" s="9" t="s">
        <v>117</v>
      </c>
      <c r="E4282" s="6" t="s">
        <v>5001</v>
      </c>
      <c r="F4282" s="9" t="s">
        <v>10876</v>
      </c>
    </row>
    <row r="4283" ht="33.75" customHeight="1">
      <c r="A4283" s="7">
        <v>142.0</v>
      </c>
      <c r="B4283" s="9" t="s">
        <v>8938</v>
      </c>
      <c r="C4283" s="9" t="s">
        <v>227</v>
      </c>
      <c r="D4283" s="9" t="s">
        <v>24</v>
      </c>
      <c r="E4283" s="6" t="s">
        <v>5002</v>
      </c>
      <c r="F4283" s="9" t="s">
        <v>10956</v>
      </c>
      <c r="G4283" t="inlineStr" s="6">
        <is>
          <t xml:space="preserve">A ferocious, prehistoric POKéMON that goes for the enemy's throat with Aerodactyl's serrated saw-like fangs. A savage POKéMON that died out in ancient times. It was resurrected using DNA taken from amber. A vicious POKéMON from the distant past, it appears to have flown by spreading its wings and gliding. This vicious POKé MON is said to have flown in ancient skies while shrieking high- pitched cries. In prehistoric times, this POKéMON flew freely and fearlessly through the skies. AERODACTYL is a POKéMON from the age of dinosaurs. It was regenerated from genetic material extracted from amber. It is imagined to have been the king of the skies in ancient times. It was regenerated from DNA extracted from amber. It is imagined to have been the king of the skies. It was regenerated from a dinosaur’s genetic matter that was found in amber. It flies with high-pitched cries. A ferocious, prehistoric POKéMON that goes for the enemy’s throat with its serrated, sawlike fangs. A Pokémon that roamed the skies in the dinosaur era. Its teeth are like saw blades. This vicious Pokémon is said to have flown in ancient skies while shrieking high-pitched cries. A Pokémon from the age of the dinosaurs. It used its sawlike fangs to shred its prey before eating them. In ancient times, it ruled the skies. A widely accepted theory is that it went extinct due to a large meteor impact. Restored from DNA found in amber, this Pokémon exhibited ferocity that was greater than expected. Some casualties resulted. It flew through the open skies over the ancient continent as if they were its own. When it touched ground, its walk was weak and slow. This is a ferocious Pokémon from ancient times. Apparently even modern technology is incapable of producing a perfectly restored specimen. Aerodactyl’s sawlike fangs can shred skin to tatters—even the skin of Steel-type Pokémon.</t>
        </is>
      </c>
    </row>
    <row r="4284" ht="33.75" customHeight="1">
      <c r="A4284" s="7">
        <v>142.0</v>
      </c>
      <c r="B4284" s="9" t="s">
        <v>8938</v>
      </c>
      <c r="C4284" s="9" t="s">
        <v>227</v>
      </c>
      <c r="D4284" s="9" t="s">
        <v>35</v>
      </c>
      <c r="E4284" s="6" t="s">
        <v>5002</v>
      </c>
      <c r="F4284" s="9" t="s">
        <v>10956</v>
      </c>
    </row>
    <row r="4285" ht="33.75" customHeight="1">
      <c r="A4285" s="7">
        <v>142.0</v>
      </c>
      <c r="B4285" s="9" t="s">
        <v>8938</v>
      </c>
      <c r="C4285" s="9" t="s">
        <v>227</v>
      </c>
      <c r="D4285" s="9" t="s">
        <v>42</v>
      </c>
      <c r="E4285" s="6" t="s">
        <v>5004</v>
      </c>
      <c r="F4285" s="9" t="s">
        <v>10956</v>
      </c>
    </row>
    <row r="4286" ht="33.75" customHeight="1">
      <c r="A4286" s="7">
        <v>142.0</v>
      </c>
      <c r="B4286" s="9" t="s">
        <v>8938</v>
      </c>
      <c r="C4286" s="9" t="s">
        <v>227</v>
      </c>
      <c r="D4286" s="9" t="s">
        <v>52</v>
      </c>
      <c r="E4286" s="6" t="s">
        <v>5005</v>
      </c>
      <c r="F4286" s="9" t="s">
        <v>10956</v>
      </c>
    </row>
    <row r="4287" ht="33.75" customHeight="1">
      <c r="A4287" s="7">
        <v>142.0</v>
      </c>
      <c r="B4287" s="9" t="s">
        <v>8938</v>
      </c>
      <c r="C4287" s="9" t="s">
        <v>227</v>
      </c>
      <c r="D4287" s="9" t="s">
        <v>59</v>
      </c>
      <c r="E4287" s="6" t="s">
        <v>5006</v>
      </c>
      <c r="F4287" s="9" t="s">
        <v>10956</v>
      </c>
    </row>
    <row r="4288" ht="33.75" customHeight="1">
      <c r="A4288" s="7">
        <v>142.0</v>
      </c>
      <c r="B4288" s="9" t="s">
        <v>8938</v>
      </c>
      <c r="C4288" s="9" t="s">
        <v>227</v>
      </c>
      <c r="D4288" s="9" t="s">
        <v>64</v>
      </c>
      <c r="E4288" s="6" t="s">
        <v>5007</v>
      </c>
      <c r="F4288" s="9" t="s">
        <v>10956</v>
      </c>
    </row>
    <row r="4289" ht="33.75" customHeight="1">
      <c r="A4289" s="7">
        <v>142.0</v>
      </c>
      <c r="B4289" s="9" t="s">
        <v>8938</v>
      </c>
      <c r="C4289" s="9" t="s">
        <v>227</v>
      </c>
      <c r="D4289" s="9" t="s">
        <v>67</v>
      </c>
      <c r="E4289" s="6" t="s">
        <v>5009</v>
      </c>
      <c r="F4289" s="9" t="s">
        <v>10956</v>
      </c>
    </row>
    <row r="4290" ht="33.75" customHeight="1">
      <c r="A4290" s="7">
        <v>142.0</v>
      </c>
      <c r="B4290" s="9" t="s">
        <v>8938</v>
      </c>
      <c r="C4290" s="9" t="s">
        <v>227</v>
      </c>
      <c r="D4290" s="9" t="s">
        <v>71</v>
      </c>
      <c r="E4290" s="6" t="s">
        <v>5009</v>
      </c>
      <c r="F4290" s="9" t="s">
        <v>10956</v>
      </c>
    </row>
    <row r="4291" ht="33.75" customHeight="1">
      <c r="A4291" s="7">
        <v>142.0</v>
      </c>
      <c r="B4291" s="9" t="s">
        <v>8938</v>
      </c>
      <c r="C4291" s="9" t="s">
        <v>227</v>
      </c>
      <c r="D4291" s="9" t="s">
        <v>73</v>
      </c>
      <c r="E4291" s="6" t="s">
        <v>5010</v>
      </c>
      <c r="F4291" s="9" t="s">
        <v>10956</v>
      </c>
    </row>
    <row r="4292" ht="33.75" customHeight="1">
      <c r="A4292" s="7">
        <v>142.0</v>
      </c>
      <c r="B4292" s="9" t="s">
        <v>8938</v>
      </c>
      <c r="C4292" s="9" t="s">
        <v>227</v>
      </c>
      <c r="D4292" s="9" t="s">
        <v>75</v>
      </c>
      <c r="E4292" s="6" t="s">
        <v>5012</v>
      </c>
      <c r="F4292" s="9" t="s">
        <v>10956</v>
      </c>
    </row>
    <row r="4293" ht="33.75" customHeight="1">
      <c r="A4293" s="7">
        <v>142.0</v>
      </c>
      <c r="B4293" s="9" t="s">
        <v>8938</v>
      </c>
      <c r="C4293" s="9" t="s">
        <v>227</v>
      </c>
      <c r="D4293" s="9" t="s">
        <v>79</v>
      </c>
      <c r="E4293" s="6" t="s">
        <v>5013</v>
      </c>
      <c r="F4293" s="9" t="s">
        <v>10956</v>
      </c>
    </row>
    <row r="4294" ht="33.75" customHeight="1">
      <c r="A4294" s="7">
        <v>142.0</v>
      </c>
      <c r="B4294" s="9" t="s">
        <v>8938</v>
      </c>
      <c r="C4294" s="9" t="s">
        <v>227</v>
      </c>
      <c r="D4294" s="9" t="s">
        <v>81</v>
      </c>
      <c r="E4294" s="6" t="s">
        <v>5015</v>
      </c>
      <c r="F4294" s="9" t="s">
        <v>10956</v>
      </c>
    </row>
    <row r="4295" ht="33.75" customHeight="1">
      <c r="A4295" s="7">
        <v>142.0</v>
      </c>
      <c r="B4295" s="9" t="s">
        <v>8938</v>
      </c>
      <c r="C4295" s="9" t="s">
        <v>227</v>
      </c>
      <c r="D4295" s="9" t="s">
        <v>84</v>
      </c>
      <c r="E4295" s="6" t="s">
        <v>5015</v>
      </c>
      <c r="F4295" s="9" t="s">
        <v>10956</v>
      </c>
    </row>
    <row r="4296" ht="33.75" customHeight="1">
      <c r="A4296" s="7">
        <v>142.0</v>
      </c>
      <c r="B4296" s="9" t="s">
        <v>8938</v>
      </c>
      <c r="C4296" s="9" t="s">
        <v>227</v>
      </c>
      <c r="D4296" s="9" t="s">
        <v>87</v>
      </c>
      <c r="E4296" s="6" t="s">
        <v>5015</v>
      </c>
      <c r="F4296" s="9" t="s">
        <v>10956</v>
      </c>
    </row>
    <row r="4297" ht="33.75" customHeight="1">
      <c r="A4297" s="7">
        <v>142.0</v>
      </c>
      <c r="B4297" s="9" t="s">
        <v>8938</v>
      </c>
      <c r="C4297" s="9" t="s">
        <v>227</v>
      </c>
      <c r="D4297" s="9" t="s">
        <v>89</v>
      </c>
      <c r="E4297" s="6" t="s">
        <v>5016</v>
      </c>
      <c r="F4297" s="9" t="s">
        <v>10956</v>
      </c>
    </row>
    <row r="4298" ht="33.75" customHeight="1">
      <c r="A4298" s="7">
        <v>142.0</v>
      </c>
      <c r="B4298" s="9" t="s">
        <v>8938</v>
      </c>
      <c r="C4298" s="9" t="s">
        <v>227</v>
      </c>
      <c r="D4298" s="9" t="s">
        <v>91</v>
      </c>
      <c r="E4298" s="6" t="s">
        <v>5017</v>
      </c>
      <c r="F4298" s="9" t="s">
        <v>10956</v>
      </c>
    </row>
    <row r="4299" ht="33.75" customHeight="1">
      <c r="A4299" s="7">
        <v>142.0</v>
      </c>
      <c r="B4299" s="9" t="s">
        <v>8938</v>
      </c>
      <c r="C4299" s="9" t="s">
        <v>227</v>
      </c>
      <c r="D4299" s="9" t="s">
        <v>93</v>
      </c>
      <c r="E4299" s="6" t="s">
        <v>5015</v>
      </c>
      <c r="F4299" s="9" t="s">
        <v>10956</v>
      </c>
    </row>
    <row r="4300" ht="33.75" customHeight="1">
      <c r="A4300" s="7">
        <v>142.0</v>
      </c>
      <c r="B4300" s="9" t="s">
        <v>8938</v>
      </c>
      <c r="C4300" s="9" t="s">
        <v>227</v>
      </c>
      <c r="D4300" s="9" t="s">
        <v>95</v>
      </c>
      <c r="E4300" s="6" t="s">
        <v>5015</v>
      </c>
      <c r="F4300" s="9" t="s">
        <v>10956</v>
      </c>
    </row>
    <row r="4301" ht="33.75" customHeight="1">
      <c r="A4301" s="7">
        <v>142.0</v>
      </c>
      <c r="B4301" s="9" t="s">
        <v>8938</v>
      </c>
      <c r="C4301" s="9" t="s">
        <v>227</v>
      </c>
      <c r="D4301" s="9" t="s">
        <v>98</v>
      </c>
      <c r="E4301" s="6" t="s">
        <v>5015</v>
      </c>
      <c r="F4301" s="9" t="s">
        <v>10956</v>
      </c>
    </row>
    <row r="4302" ht="33.75" customHeight="1">
      <c r="A4302" s="7">
        <v>142.0</v>
      </c>
      <c r="B4302" s="9" t="s">
        <v>8938</v>
      </c>
      <c r="C4302" s="9" t="s">
        <v>227</v>
      </c>
      <c r="D4302" s="9" t="s">
        <v>99</v>
      </c>
      <c r="E4302" s="6" t="s">
        <v>5015</v>
      </c>
      <c r="F4302" s="9" t="s">
        <v>10956</v>
      </c>
    </row>
    <row r="4303" ht="33.75" customHeight="1">
      <c r="A4303" s="7">
        <v>142.0</v>
      </c>
      <c r="B4303" s="9" t="s">
        <v>8938</v>
      </c>
      <c r="C4303" s="9" t="s">
        <v>227</v>
      </c>
      <c r="D4303" s="9" t="s">
        <v>101</v>
      </c>
      <c r="E4303" s="6" t="s">
        <v>5012</v>
      </c>
      <c r="F4303" s="9" t="s">
        <v>10956</v>
      </c>
    </row>
    <row r="4304" ht="33.75" customHeight="1">
      <c r="A4304" s="7">
        <v>142.0</v>
      </c>
      <c r="B4304" s="9" t="s">
        <v>8938</v>
      </c>
      <c r="C4304" s="9" t="s">
        <v>227</v>
      </c>
      <c r="D4304" s="9" t="s">
        <v>105</v>
      </c>
      <c r="E4304" s="6" t="s">
        <v>5017</v>
      </c>
      <c r="F4304" s="9" t="s">
        <v>10956</v>
      </c>
    </row>
    <row r="4305" ht="33.75" customHeight="1">
      <c r="A4305" s="7">
        <v>142.0</v>
      </c>
      <c r="B4305" s="9" t="s">
        <v>8938</v>
      </c>
      <c r="C4305" s="9" t="s">
        <v>227</v>
      </c>
      <c r="D4305" s="9" t="s">
        <v>107</v>
      </c>
      <c r="E4305" s="6" t="s">
        <v>5018</v>
      </c>
      <c r="F4305" s="9" t="s">
        <v>10956</v>
      </c>
    </row>
    <row r="4306" ht="33.75" customHeight="1">
      <c r="A4306" s="7">
        <v>142.0</v>
      </c>
      <c r="B4306" s="9" t="s">
        <v>8938</v>
      </c>
      <c r="C4306" s="9" t="s">
        <v>227</v>
      </c>
      <c r="D4306" s="9" t="s">
        <v>109</v>
      </c>
      <c r="E4306" s="6" t="s">
        <v>5018</v>
      </c>
      <c r="F4306" s="9" t="s">
        <v>10956</v>
      </c>
    </row>
    <row r="4307" ht="33.75" customHeight="1">
      <c r="A4307" s="7">
        <v>142.0</v>
      </c>
      <c r="B4307" s="9" t="s">
        <v>8938</v>
      </c>
      <c r="C4307" s="9" t="s">
        <v>227</v>
      </c>
      <c r="D4307" s="9" t="s">
        <v>637</v>
      </c>
      <c r="E4307" s="6" t="s">
        <v>5020</v>
      </c>
      <c r="F4307" s="9" t="s">
        <v>10956</v>
      </c>
    </row>
    <row r="4308" ht="33.75" customHeight="1">
      <c r="A4308" s="7">
        <v>142.0</v>
      </c>
      <c r="B4308" s="9" t="s">
        <v>8938</v>
      </c>
      <c r="C4308" s="9" t="s">
        <v>227</v>
      </c>
      <c r="D4308" s="9" t="s">
        <v>642</v>
      </c>
      <c r="E4308" s="6" t="s">
        <v>5022</v>
      </c>
      <c r="F4308" s="9" t="s">
        <v>10956</v>
      </c>
    </row>
    <row r="4309" ht="33.75" customHeight="1">
      <c r="A4309" s="7">
        <v>142.0</v>
      </c>
      <c r="B4309" s="9" t="s">
        <v>8938</v>
      </c>
      <c r="C4309" s="9" t="s">
        <v>227</v>
      </c>
      <c r="D4309" s="9" t="s">
        <v>647</v>
      </c>
      <c r="E4309" s="6" t="s">
        <v>5023</v>
      </c>
      <c r="F4309" s="9" t="s">
        <v>10956</v>
      </c>
    </row>
    <row r="4310" ht="33.75" customHeight="1">
      <c r="A4310" s="7">
        <v>142.0</v>
      </c>
      <c r="B4310" s="9" t="s">
        <v>8938</v>
      </c>
      <c r="C4310" s="9" t="s">
        <v>227</v>
      </c>
      <c r="D4310" s="9" t="s">
        <v>652</v>
      </c>
      <c r="E4310" s="6" t="s">
        <v>5024</v>
      </c>
      <c r="F4310" s="9" t="s">
        <v>10956</v>
      </c>
    </row>
    <row r="4311" ht="33.75" customHeight="1">
      <c r="A4311" s="7">
        <v>142.0</v>
      </c>
      <c r="B4311" s="9" t="s">
        <v>8938</v>
      </c>
      <c r="C4311" s="9" t="s">
        <v>227</v>
      </c>
      <c r="D4311" s="9" t="s">
        <v>111</v>
      </c>
      <c r="E4311" s="6" t="s">
        <v>5026</v>
      </c>
      <c r="F4311" s="9" t="s">
        <v>10956</v>
      </c>
    </row>
    <row r="4312" ht="33.75" customHeight="1">
      <c r="A4312" s="7">
        <v>142.0</v>
      </c>
      <c r="B4312" s="9" t="s">
        <v>8938</v>
      </c>
      <c r="C4312" s="9" t="s">
        <v>227</v>
      </c>
      <c r="D4312" s="9" t="s">
        <v>113</v>
      </c>
      <c r="E4312" s="6" t="s">
        <v>5026</v>
      </c>
      <c r="F4312" s="9" t="s">
        <v>10956</v>
      </c>
    </row>
    <row r="4313" ht="33.75" customHeight="1">
      <c r="A4313" s="7">
        <v>142.0</v>
      </c>
      <c r="B4313" s="9" t="s">
        <v>8938</v>
      </c>
      <c r="C4313" s="9" t="s">
        <v>227</v>
      </c>
      <c r="D4313" s="9" t="s">
        <v>114</v>
      </c>
      <c r="E4313" s="6" t="s">
        <v>5027</v>
      </c>
      <c r="F4313" s="9" t="s">
        <v>10956</v>
      </c>
    </row>
    <row r="4314" ht="33.75" customHeight="1">
      <c r="A4314" s="7">
        <v>142.0</v>
      </c>
      <c r="B4314" s="9" t="s">
        <v>8938</v>
      </c>
      <c r="C4314" s="9" t="s">
        <v>227</v>
      </c>
      <c r="D4314" s="9" t="s">
        <v>117</v>
      </c>
      <c r="E4314" s="6" t="s">
        <v>5028</v>
      </c>
      <c r="F4314" s="9" t="s">
        <v>10956</v>
      </c>
    </row>
    <row r="4315" ht="33.75" customHeight="1">
      <c r="A4315" s="7">
        <v>143.0</v>
      </c>
      <c r="B4315" s="9" t="s">
        <v>8996</v>
      </c>
      <c r="C4315" s="9" t="s">
        <v>228</v>
      </c>
      <c r="D4315" s="9" t="s">
        <v>24</v>
      </c>
      <c r="E4315" s="6" t="s">
        <v>5029</v>
      </c>
      <c r="F4315" s="9" t="s">
        <v>11046</v>
      </c>
      <c r="G4315" t="inlineStr" s="6">
        <is>
          <t xml:space="preserve">Very lazy. Just eats and sleeps. As its rotund bulk builds, it becomes steadily more slothful. Will eat anything, even if the food happens to be a little moldy. It never gets an upset stomach. What sounds like its cry may actually be its snores or the rumblings of its hungry belly. Its stomach's digestive juices can dissolve any kind of poison. It can even eat things off the ground. This POKéMON's stomach is so strong, even eating moldy or rotten food will not affect it. SNORLAX’s typical day consists of nothing more than eating and sleeping. It is such a docile POKéMON that there are children who use its expansive belly as a place to play. It is such a docile POKéMON that there are children who use its big belly as a place to play. It is not satisfied unless it eats over 880 pounds of food every day. When it is done eating, it goes promptly to sleep. Its stomach can digest any kind of food, even if it happens to be moldy or rotten. It stops eating only to sleep. It doesn’t feel full unless it eats nearly 900 pounds a day. When its belly is full, it becomes too lethargic to even lift a finger, so it is safe to bounce on its belly. Its stomach is said to be incomparably strong. Even Muk’s poison is nothing more than a hint of spice on Snorlax’s tongue. It eats nearly 900 pounds of food every day. It starts nodding off while eating—and continues to eat even while it’s asleep. It doesn’t do anything other than eat and sleep. When prompted to make a serious effort, though, it apparently displays awesome power. It has no interest in anything other than eating. Even if you climb up on its stomach while it’s napping, it doesn’t seem to mind at all! This glutton appears in villages without warning and devours the entirety of their rice granaries—such occurrences have long been counted among the gravest of disasters.</t>
        </is>
      </c>
    </row>
    <row r="4316" ht="33.75" customHeight="1">
      <c r="A4316" s="7">
        <v>143.0</v>
      </c>
      <c r="B4316" s="9" t="s">
        <v>8996</v>
      </c>
      <c r="C4316" s="9" t="s">
        <v>228</v>
      </c>
      <c r="D4316" s="9" t="s">
        <v>35</v>
      </c>
      <c r="E4316" s="6" t="s">
        <v>5029</v>
      </c>
      <c r="F4316" s="9" t="s">
        <v>11046</v>
      </c>
    </row>
    <row r="4317" ht="33.75" customHeight="1">
      <c r="A4317" s="7">
        <v>143.0</v>
      </c>
      <c r="B4317" s="9" t="s">
        <v>8996</v>
      </c>
      <c r="C4317" s="9" t="s">
        <v>228</v>
      </c>
      <c r="D4317" s="9" t="s">
        <v>42</v>
      </c>
      <c r="E4317" s="6" t="s">
        <v>5031</v>
      </c>
      <c r="F4317" s="9" t="s">
        <v>11046</v>
      </c>
    </row>
    <row r="4318" ht="33.75" customHeight="1">
      <c r="A4318" s="7">
        <v>143.0</v>
      </c>
      <c r="B4318" s="9" t="s">
        <v>8996</v>
      </c>
      <c r="C4318" s="9" t="s">
        <v>228</v>
      </c>
      <c r="D4318" s="9" t="s">
        <v>52</v>
      </c>
      <c r="E4318" s="6" t="s">
        <v>5032</v>
      </c>
      <c r="F4318" s="9" t="s">
        <v>11046</v>
      </c>
    </row>
    <row r="4319" ht="33.75" customHeight="1">
      <c r="A4319" s="7">
        <v>143.0</v>
      </c>
      <c r="B4319" s="9" t="s">
        <v>8996</v>
      </c>
      <c r="C4319" s="9" t="s">
        <v>228</v>
      </c>
      <c r="D4319" s="9" t="s">
        <v>59</v>
      </c>
      <c r="E4319" s="6" t="s">
        <v>5033</v>
      </c>
      <c r="F4319" s="9" t="s">
        <v>11046</v>
      </c>
    </row>
    <row r="4320" ht="33.75" customHeight="1">
      <c r="A4320" s="7">
        <v>143.0</v>
      </c>
      <c r="B4320" s="9" t="s">
        <v>8996</v>
      </c>
      <c r="C4320" s="9" t="s">
        <v>228</v>
      </c>
      <c r="D4320" s="9" t="s">
        <v>64</v>
      </c>
      <c r="E4320" s="6" t="s">
        <v>5035</v>
      </c>
      <c r="F4320" s="9" t="s">
        <v>11046</v>
      </c>
    </row>
    <row r="4321" ht="33.75" customHeight="1">
      <c r="A4321" s="7">
        <v>143.0</v>
      </c>
      <c r="B4321" s="9" t="s">
        <v>8996</v>
      </c>
      <c r="C4321" s="9" t="s">
        <v>228</v>
      </c>
      <c r="D4321" s="9" t="s">
        <v>67</v>
      </c>
      <c r="E4321" s="6" t="s">
        <v>5036</v>
      </c>
      <c r="F4321" s="9" t="s">
        <v>11046</v>
      </c>
    </row>
    <row r="4322" ht="33.75" customHeight="1">
      <c r="A4322" s="7">
        <v>143.0</v>
      </c>
      <c r="B4322" s="9" t="s">
        <v>8996</v>
      </c>
      <c r="C4322" s="9" t="s">
        <v>228</v>
      </c>
      <c r="D4322" s="9" t="s">
        <v>71</v>
      </c>
      <c r="E4322" s="6" t="s">
        <v>5036</v>
      </c>
      <c r="F4322" s="9" t="s">
        <v>11046</v>
      </c>
    </row>
    <row r="4323" ht="33.75" customHeight="1">
      <c r="A4323" s="7">
        <v>143.0</v>
      </c>
      <c r="B4323" s="9" t="s">
        <v>8996</v>
      </c>
      <c r="C4323" s="9" t="s">
        <v>228</v>
      </c>
      <c r="D4323" s="9" t="s">
        <v>73</v>
      </c>
      <c r="E4323" s="6" t="s">
        <v>5037</v>
      </c>
      <c r="F4323" s="9" t="s">
        <v>11046</v>
      </c>
    </row>
    <row r="4324" ht="33.75" customHeight="1">
      <c r="A4324" s="7">
        <v>143.0</v>
      </c>
      <c r="B4324" s="9" t="s">
        <v>8996</v>
      </c>
      <c r="C4324" s="9" t="s">
        <v>228</v>
      </c>
      <c r="D4324" s="9" t="s">
        <v>75</v>
      </c>
      <c r="E4324" s="6" t="s">
        <v>5038</v>
      </c>
      <c r="F4324" s="9" t="s">
        <v>11046</v>
      </c>
    </row>
    <row r="4325" ht="33.75" customHeight="1">
      <c r="A4325" s="7">
        <v>143.0</v>
      </c>
      <c r="B4325" s="9" t="s">
        <v>8996</v>
      </c>
      <c r="C4325" s="9" t="s">
        <v>228</v>
      </c>
      <c r="D4325" s="9" t="s">
        <v>79</v>
      </c>
      <c r="E4325" s="6" t="s">
        <v>5029</v>
      </c>
      <c r="F4325" s="9" t="s">
        <v>11046</v>
      </c>
    </row>
    <row r="4326" ht="33.75" customHeight="1">
      <c r="A4326" s="7">
        <v>143.0</v>
      </c>
      <c r="B4326" s="9" t="s">
        <v>8996</v>
      </c>
      <c r="C4326" s="9" t="s">
        <v>228</v>
      </c>
      <c r="D4326" s="9" t="s">
        <v>81</v>
      </c>
      <c r="E4326" s="6" t="s">
        <v>5040</v>
      </c>
      <c r="F4326" s="9" t="s">
        <v>11046</v>
      </c>
    </row>
    <row r="4327" ht="33.75" customHeight="1">
      <c r="A4327" s="7">
        <v>143.0</v>
      </c>
      <c r="B4327" s="9" t="s">
        <v>8996</v>
      </c>
      <c r="C4327" s="9" t="s">
        <v>228</v>
      </c>
      <c r="D4327" s="9" t="s">
        <v>84</v>
      </c>
      <c r="E4327" s="6" t="s">
        <v>5041</v>
      </c>
      <c r="F4327" s="9" t="s">
        <v>11046</v>
      </c>
    </row>
    <row r="4328" ht="33.75" customHeight="1">
      <c r="A4328" s="7">
        <v>143.0</v>
      </c>
      <c r="B4328" s="9" t="s">
        <v>8996</v>
      </c>
      <c r="C4328" s="9" t="s">
        <v>228</v>
      </c>
      <c r="D4328" s="9" t="s">
        <v>87</v>
      </c>
      <c r="E4328" s="6" t="s">
        <v>5042</v>
      </c>
      <c r="F4328" s="9" t="s">
        <v>11046</v>
      </c>
    </row>
    <row r="4329" ht="33.75" customHeight="1">
      <c r="A4329" s="7">
        <v>143.0</v>
      </c>
      <c r="B4329" s="9" t="s">
        <v>8996</v>
      </c>
      <c r="C4329" s="9" t="s">
        <v>228</v>
      </c>
      <c r="D4329" s="9" t="s">
        <v>89</v>
      </c>
      <c r="E4329" s="6" t="s">
        <v>5043</v>
      </c>
      <c r="F4329" s="9" t="s">
        <v>11046</v>
      </c>
    </row>
    <row r="4330" ht="33.75" customHeight="1">
      <c r="A4330" s="7">
        <v>143.0</v>
      </c>
      <c r="B4330" s="9" t="s">
        <v>8996</v>
      </c>
      <c r="C4330" s="9" t="s">
        <v>228</v>
      </c>
      <c r="D4330" s="9" t="s">
        <v>91</v>
      </c>
      <c r="E4330" s="6" t="s">
        <v>5044</v>
      </c>
      <c r="F4330" s="9" t="s">
        <v>11046</v>
      </c>
    </row>
    <row r="4331" ht="33.75" customHeight="1">
      <c r="A4331" s="7">
        <v>143.0</v>
      </c>
      <c r="B4331" s="9" t="s">
        <v>8996</v>
      </c>
      <c r="C4331" s="9" t="s">
        <v>228</v>
      </c>
      <c r="D4331" s="9" t="s">
        <v>93</v>
      </c>
      <c r="E4331" s="6" t="s">
        <v>5042</v>
      </c>
      <c r="F4331" s="9" t="s">
        <v>11046</v>
      </c>
    </row>
    <row r="4332" ht="33.75" customHeight="1">
      <c r="A4332" s="7">
        <v>143.0</v>
      </c>
      <c r="B4332" s="9" t="s">
        <v>8996</v>
      </c>
      <c r="C4332" s="9" t="s">
        <v>228</v>
      </c>
      <c r="D4332" s="9" t="s">
        <v>95</v>
      </c>
      <c r="E4332" s="6" t="s">
        <v>5042</v>
      </c>
      <c r="F4332" s="9" t="s">
        <v>11046</v>
      </c>
    </row>
    <row r="4333" ht="33.75" customHeight="1">
      <c r="A4333" s="7">
        <v>143.0</v>
      </c>
      <c r="B4333" s="9" t="s">
        <v>8996</v>
      </c>
      <c r="C4333" s="9" t="s">
        <v>228</v>
      </c>
      <c r="D4333" s="9" t="s">
        <v>98</v>
      </c>
      <c r="E4333" s="6" t="s">
        <v>5042</v>
      </c>
      <c r="F4333" s="9" t="s">
        <v>11046</v>
      </c>
    </row>
    <row r="4334" ht="33.75" customHeight="1">
      <c r="A4334" s="7">
        <v>143.0</v>
      </c>
      <c r="B4334" s="9" t="s">
        <v>8996</v>
      </c>
      <c r="C4334" s="9" t="s">
        <v>228</v>
      </c>
      <c r="D4334" s="9" t="s">
        <v>99</v>
      </c>
      <c r="E4334" s="6" t="s">
        <v>5042</v>
      </c>
      <c r="F4334" s="9" t="s">
        <v>11046</v>
      </c>
    </row>
    <row r="4335" ht="33.75" customHeight="1">
      <c r="A4335" s="7">
        <v>143.0</v>
      </c>
      <c r="B4335" s="9" t="s">
        <v>8996</v>
      </c>
      <c r="C4335" s="9" t="s">
        <v>228</v>
      </c>
      <c r="D4335" s="9" t="s">
        <v>101</v>
      </c>
      <c r="E4335" s="6" t="s">
        <v>5038</v>
      </c>
      <c r="F4335" s="9" t="s">
        <v>11046</v>
      </c>
    </row>
    <row r="4336" ht="33.75" customHeight="1">
      <c r="A4336" s="7">
        <v>143.0</v>
      </c>
      <c r="B4336" s="9" t="s">
        <v>8996</v>
      </c>
      <c r="C4336" s="9" t="s">
        <v>228</v>
      </c>
      <c r="D4336" s="9" t="s">
        <v>105</v>
      </c>
      <c r="E4336" s="6" t="s">
        <v>5040</v>
      </c>
      <c r="F4336" s="9" t="s">
        <v>11046</v>
      </c>
    </row>
    <row r="4337" ht="33.75" customHeight="1">
      <c r="A4337" s="7">
        <v>143.0</v>
      </c>
      <c r="B4337" s="9" t="s">
        <v>8996</v>
      </c>
      <c r="C4337" s="9" t="s">
        <v>228</v>
      </c>
      <c r="D4337" s="9" t="s">
        <v>107</v>
      </c>
      <c r="E4337" s="6" t="s">
        <v>5045</v>
      </c>
      <c r="F4337" s="9" t="s">
        <v>11046</v>
      </c>
    </row>
    <row r="4338" ht="33.75" customHeight="1">
      <c r="A4338" s="7">
        <v>143.0</v>
      </c>
      <c r="B4338" s="9" t="s">
        <v>8996</v>
      </c>
      <c r="C4338" s="9" t="s">
        <v>228</v>
      </c>
      <c r="D4338" s="9" t="s">
        <v>109</v>
      </c>
      <c r="E4338" s="6" t="s">
        <v>5045</v>
      </c>
      <c r="F4338" s="9" t="s">
        <v>11046</v>
      </c>
    </row>
    <row r="4339" ht="33.75" customHeight="1">
      <c r="A4339" s="7">
        <v>143.0</v>
      </c>
      <c r="B4339" s="9" t="s">
        <v>8996</v>
      </c>
      <c r="C4339" s="9" t="s">
        <v>228</v>
      </c>
      <c r="D4339" s="9" t="s">
        <v>637</v>
      </c>
      <c r="E4339" s="6" t="s">
        <v>5047</v>
      </c>
      <c r="F4339" s="9" t="s">
        <v>11046</v>
      </c>
    </row>
    <row r="4340" ht="33.75" customHeight="1">
      <c r="A4340" s="7">
        <v>143.0</v>
      </c>
      <c r="B4340" s="9" t="s">
        <v>8996</v>
      </c>
      <c r="C4340" s="9" t="s">
        <v>228</v>
      </c>
      <c r="D4340" s="9" t="s">
        <v>642</v>
      </c>
      <c r="E4340" s="6" t="s">
        <v>5048</v>
      </c>
      <c r="F4340" s="9" t="s">
        <v>11046</v>
      </c>
    </row>
    <row r="4341" ht="33.75" customHeight="1">
      <c r="A4341" s="7">
        <v>143.0</v>
      </c>
      <c r="B4341" s="9" t="s">
        <v>8996</v>
      </c>
      <c r="C4341" s="9" t="s">
        <v>228</v>
      </c>
      <c r="D4341" s="9" t="s">
        <v>647</v>
      </c>
      <c r="E4341" s="6" t="s">
        <v>5049</v>
      </c>
      <c r="F4341" s="9" t="s">
        <v>11046</v>
      </c>
    </row>
    <row r="4342" ht="33.75" customHeight="1">
      <c r="A4342" s="7">
        <v>143.0</v>
      </c>
      <c r="B4342" s="9" t="s">
        <v>8996</v>
      </c>
      <c r="C4342" s="9" t="s">
        <v>228</v>
      </c>
      <c r="D4342" s="9" t="s">
        <v>652</v>
      </c>
      <c r="E4342" s="6" t="s">
        <v>5050</v>
      </c>
      <c r="F4342" s="9" t="s">
        <v>11046</v>
      </c>
    </row>
    <row r="4343" ht="33.75" customHeight="1">
      <c r="A4343" s="7">
        <v>143.0</v>
      </c>
      <c r="B4343" s="9" t="s">
        <v>8996</v>
      </c>
      <c r="C4343" s="9" t="s">
        <v>228</v>
      </c>
      <c r="D4343" s="9" t="s">
        <v>111</v>
      </c>
      <c r="E4343" s="6" t="s">
        <v>5031</v>
      </c>
      <c r="F4343" s="9" t="s">
        <v>11046</v>
      </c>
    </row>
    <row r="4344" ht="33.75" customHeight="1">
      <c r="A4344" s="7">
        <v>143.0</v>
      </c>
      <c r="B4344" s="9" t="s">
        <v>8996</v>
      </c>
      <c r="C4344" s="9" t="s">
        <v>228</v>
      </c>
      <c r="D4344" s="9" t="s">
        <v>113</v>
      </c>
      <c r="E4344" s="6" t="s">
        <v>5031</v>
      </c>
      <c r="F4344" s="9" t="s">
        <v>11046</v>
      </c>
    </row>
    <row r="4345" ht="33.75" customHeight="1">
      <c r="A4345" s="7">
        <v>143.0</v>
      </c>
      <c r="B4345" s="9" t="s">
        <v>8996</v>
      </c>
      <c r="C4345" s="9" t="s">
        <v>228</v>
      </c>
      <c r="D4345" s="9" t="s">
        <v>114</v>
      </c>
      <c r="E4345" s="6" t="s">
        <v>5038</v>
      </c>
      <c r="F4345" s="9" t="s">
        <v>11046</v>
      </c>
    </row>
    <row r="4346" ht="33.75" customHeight="1">
      <c r="A4346" s="7">
        <v>143.0</v>
      </c>
      <c r="B4346" s="9" t="s">
        <v>8996</v>
      </c>
      <c r="C4346" s="9" t="s">
        <v>228</v>
      </c>
      <c r="D4346" s="9" t="s">
        <v>117</v>
      </c>
      <c r="E4346" s="6" t="s">
        <v>5052</v>
      </c>
      <c r="F4346" s="9" t="s">
        <v>11046</v>
      </c>
    </row>
    <row r="4347" ht="33.75" customHeight="1">
      <c r="A4347" s="7">
        <v>143.0</v>
      </c>
      <c r="B4347" s="9" t="s">
        <v>8996</v>
      </c>
      <c r="C4347" s="9" t="s">
        <v>228</v>
      </c>
      <c r="D4347" s="9" t="s">
        <v>1577</v>
      </c>
      <c r="E4347" s="6" t="s">
        <v>5053</v>
      </c>
      <c r="F4347" s="9" t="s">
        <v>11046</v>
      </c>
    </row>
    <row r="4348" ht="33.75" customHeight="1">
      <c r="A4348" s="7">
        <v>144.0</v>
      </c>
      <c r="B4348" s="9" t="s">
        <v>9048</v>
      </c>
      <c r="C4348" s="9" t="s">
        <v>230</v>
      </c>
      <c r="D4348" s="9" t="s">
        <v>24</v>
      </c>
      <c r="E4348" s="6" t="s">
        <v>5055</v>
      </c>
      <c r="F4348" s="9" t="s">
        <v>11131</v>
      </c>
      <c r="G4348" t="inlineStr" s="6">
        <is>
          <t xml:space="preserve">A legendary bird POKéMON that is said to appear to doomed people who are lost in icy mountains. A legendary bird POKéMON. It freezes water that is contained in winter air and makes it snow. The magnificent, seemingly translucent wings of this legendary bird POKéMON are said to be made of ice. One of the legendary bird POKéMON, it chills moisture in the atmosphere to create snow while flying. Legendary bird POKéMON. As it flies through the sky, it cools the air, causing snow to fall. ARTICUNO is a legendary bird POKéMON that can control ice. The flapping of its wings chills the air. As a result, it is said that when this POKéMON flies, snow will fall. One of the legendary bird POKéMON. With its long tail trailing behind, its flying form is magnificent. It can create blizzards by freezing moisture in the air. It’s said that this Pokémon’s beautiful blue wings are made of ice. Articuno flies over snowy mountains, its long tail fluttering along behind it. This Pokémon can control ice at will. Articuno is said to live in snowy mountains riddled with permafrost.</t>
        </is>
      </c>
    </row>
    <row r="4349" ht="33.75" customHeight="1">
      <c r="A4349" s="7">
        <v>144.0</v>
      </c>
      <c r="B4349" s="9" t="s">
        <v>9048</v>
      </c>
      <c r="C4349" s="9" t="s">
        <v>230</v>
      </c>
      <c r="D4349" s="9" t="s">
        <v>35</v>
      </c>
      <c r="E4349" s="6" t="s">
        <v>5055</v>
      </c>
      <c r="F4349" s="9" t="s">
        <v>11131</v>
      </c>
    </row>
    <row r="4350" ht="33.75" customHeight="1">
      <c r="A4350" s="7">
        <v>144.0</v>
      </c>
      <c r="B4350" s="9" t="s">
        <v>9048</v>
      </c>
      <c r="C4350" s="9" t="s">
        <v>230</v>
      </c>
      <c r="D4350" s="9" t="s">
        <v>42</v>
      </c>
      <c r="E4350" s="6" t="s">
        <v>5056</v>
      </c>
      <c r="F4350" s="9" t="s">
        <v>11131</v>
      </c>
    </row>
    <row r="4351" ht="33.75" customHeight="1">
      <c r="A4351" s="7">
        <v>144.0</v>
      </c>
      <c r="B4351" s="9" t="s">
        <v>9048</v>
      </c>
      <c r="C4351" s="9" t="s">
        <v>230</v>
      </c>
      <c r="D4351" s="9" t="s">
        <v>52</v>
      </c>
      <c r="E4351" s="6" t="s">
        <v>5059</v>
      </c>
      <c r="F4351" s="9" t="s">
        <v>11131</v>
      </c>
    </row>
    <row r="4352" ht="33.75" customHeight="1">
      <c r="A4352" s="7">
        <v>144.0</v>
      </c>
      <c r="B4352" s="9" t="s">
        <v>9048</v>
      </c>
      <c r="C4352" s="9" t="s">
        <v>230</v>
      </c>
      <c r="D4352" s="9" t="s">
        <v>59</v>
      </c>
      <c r="E4352" s="6" t="s">
        <v>5061</v>
      </c>
      <c r="F4352" s="9" t="s">
        <v>11131</v>
      </c>
    </row>
    <row r="4353" ht="33.75" customHeight="1">
      <c r="A4353" s="7">
        <v>144.0</v>
      </c>
      <c r="B4353" s="9" t="s">
        <v>9048</v>
      </c>
      <c r="C4353" s="9" t="s">
        <v>230</v>
      </c>
      <c r="D4353" s="9" t="s">
        <v>64</v>
      </c>
      <c r="E4353" s="6" t="s">
        <v>5062</v>
      </c>
      <c r="F4353" s="9" t="s">
        <v>11131</v>
      </c>
    </row>
    <row r="4354" ht="33.75" customHeight="1">
      <c r="A4354" s="7">
        <v>144.0</v>
      </c>
      <c r="B4354" s="9" t="s">
        <v>9048</v>
      </c>
      <c r="C4354" s="9" t="s">
        <v>230</v>
      </c>
      <c r="D4354" s="9" t="s">
        <v>67</v>
      </c>
      <c r="E4354" s="6" t="s">
        <v>5063</v>
      </c>
      <c r="F4354" s="9" t="s">
        <v>11131</v>
      </c>
    </row>
    <row r="4355" ht="33.75" customHeight="1">
      <c r="A4355" s="7">
        <v>144.0</v>
      </c>
      <c r="B4355" s="9" t="s">
        <v>9048</v>
      </c>
      <c r="C4355" s="9" t="s">
        <v>230</v>
      </c>
      <c r="D4355" s="9" t="s">
        <v>71</v>
      </c>
      <c r="E4355" s="6" t="s">
        <v>5063</v>
      </c>
      <c r="F4355" s="9" t="s">
        <v>11131</v>
      </c>
    </row>
    <row r="4356" ht="33.75" customHeight="1">
      <c r="A4356" s="7">
        <v>144.0</v>
      </c>
      <c r="B4356" s="9" t="s">
        <v>9048</v>
      </c>
      <c r="C4356" s="9" t="s">
        <v>230</v>
      </c>
      <c r="D4356" s="9" t="s">
        <v>73</v>
      </c>
      <c r="E4356" s="6" t="s">
        <v>5063</v>
      </c>
      <c r="F4356" s="9" t="s">
        <v>11131</v>
      </c>
    </row>
    <row r="4357" ht="33.75" customHeight="1">
      <c r="A4357" s="7">
        <v>144.0</v>
      </c>
      <c r="B4357" s="9" t="s">
        <v>9048</v>
      </c>
      <c r="C4357" s="9" t="s">
        <v>230</v>
      </c>
      <c r="D4357" s="9" t="s">
        <v>75</v>
      </c>
      <c r="E4357" s="6" t="s">
        <v>5064</v>
      </c>
      <c r="F4357" s="9" t="s">
        <v>11131</v>
      </c>
    </row>
    <row r="4358" ht="33.75" customHeight="1">
      <c r="A4358" s="7">
        <v>144.0</v>
      </c>
      <c r="B4358" s="9" t="s">
        <v>9048</v>
      </c>
      <c r="C4358" s="9" t="s">
        <v>230</v>
      </c>
      <c r="D4358" s="9" t="s">
        <v>79</v>
      </c>
      <c r="E4358" s="6" t="s">
        <v>5055</v>
      </c>
      <c r="F4358" s="9" t="s">
        <v>11131</v>
      </c>
    </row>
    <row r="4359" ht="33.75" customHeight="1">
      <c r="A4359" s="7">
        <v>144.0</v>
      </c>
      <c r="B4359" s="9" t="s">
        <v>9048</v>
      </c>
      <c r="C4359" s="9" t="s">
        <v>230</v>
      </c>
      <c r="D4359" s="9" t="s">
        <v>81</v>
      </c>
      <c r="E4359" s="6" t="s">
        <v>5066</v>
      </c>
      <c r="F4359" s="9" t="s">
        <v>11131</v>
      </c>
    </row>
    <row r="4360" ht="33.75" customHeight="1">
      <c r="A4360" s="7">
        <v>144.0</v>
      </c>
      <c r="B4360" s="9" t="s">
        <v>9048</v>
      </c>
      <c r="C4360" s="9" t="s">
        <v>230</v>
      </c>
      <c r="D4360" s="9" t="s">
        <v>84</v>
      </c>
      <c r="E4360" s="6" t="s">
        <v>5066</v>
      </c>
      <c r="F4360" s="9" t="s">
        <v>11131</v>
      </c>
    </row>
    <row r="4361" ht="33.75" customHeight="1">
      <c r="A4361" s="7">
        <v>144.0</v>
      </c>
      <c r="B4361" s="9" t="s">
        <v>9048</v>
      </c>
      <c r="C4361" s="9" t="s">
        <v>230</v>
      </c>
      <c r="D4361" s="9" t="s">
        <v>87</v>
      </c>
      <c r="E4361" s="6" t="s">
        <v>5066</v>
      </c>
      <c r="F4361" s="9" t="s">
        <v>11131</v>
      </c>
    </row>
    <row r="4362" ht="33.75" customHeight="1">
      <c r="A4362" s="7">
        <v>144.0</v>
      </c>
      <c r="B4362" s="9" t="s">
        <v>9048</v>
      </c>
      <c r="C4362" s="9" t="s">
        <v>230</v>
      </c>
      <c r="D4362" s="9" t="s">
        <v>89</v>
      </c>
      <c r="E4362" s="6" t="s">
        <v>5067</v>
      </c>
      <c r="F4362" s="9" t="s">
        <v>11131</v>
      </c>
    </row>
    <row r="4363" ht="33.75" customHeight="1">
      <c r="A4363" s="7">
        <v>144.0</v>
      </c>
      <c r="B4363" s="9" t="s">
        <v>9048</v>
      </c>
      <c r="C4363" s="9" t="s">
        <v>230</v>
      </c>
      <c r="D4363" s="9" t="s">
        <v>91</v>
      </c>
      <c r="E4363" s="6" t="s">
        <v>5069</v>
      </c>
      <c r="F4363" s="9" t="s">
        <v>11131</v>
      </c>
    </row>
    <row r="4364" ht="33.75" customHeight="1">
      <c r="A4364" s="7">
        <v>144.0</v>
      </c>
      <c r="B4364" s="9" t="s">
        <v>9048</v>
      </c>
      <c r="C4364" s="9" t="s">
        <v>230</v>
      </c>
      <c r="D4364" s="9" t="s">
        <v>93</v>
      </c>
      <c r="E4364" s="6" t="s">
        <v>5066</v>
      </c>
      <c r="F4364" s="9" t="s">
        <v>11131</v>
      </c>
    </row>
    <row r="4365" ht="33.75" customHeight="1">
      <c r="A4365" s="7">
        <v>144.0</v>
      </c>
      <c r="B4365" s="9" t="s">
        <v>9048</v>
      </c>
      <c r="C4365" s="9" t="s">
        <v>230</v>
      </c>
      <c r="D4365" s="9" t="s">
        <v>95</v>
      </c>
      <c r="E4365" s="6" t="s">
        <v>5066</v>
      </c>
      <c r="F4365" s="9" t="s">
        <v>11131</v>
      </c>
    </row>
    <row r="4366" ht="33.75" customHeight="1">
      <c r="A4366" s="7">
        <v>144.0</v>
      </c>
      <c r="B4366" s="9" t="s">
        <v>9048</v>
      </c>
      <c r="C4366" s="9" t="s">
        <v>230</v>
      </c>
      <c r="D4366" s="9" t="s">
        <v>98</v>
      </c>
      <c r="E4366" s="6" t="s">
        <v>5066</v>
      </c>
      <c r="F4366" s="9" t="s">
        <v>11131</v>
      </c>
    </row>
    <row r="4367" ht="33.75" customHeight="1">
      <c r="A4367" s="7">
        <v>144.0</v>
      </c>
      <c r="B4367" s="9" t="s">
        <v>9048</v>
      </c>
      <c r="C4367" s="9" t="s">
        <v>230</v>
      </c>
      <c r="D4367" s="9" t="s">
        <v>99</v>
      </c>
      <c r="E4367" s="6" t="s">
        <v>5066</v>
      </c>
      <c r="F4367" s="9" t="s">
        <v>11131</v>
      </c>
    </row>
    <row r="4368" ht="33.75" customHeight="1">
      <c r="A4368" s="7">
        <v>144.0</v>
      </c>
      <c r="B4368" s="9" t="s">
        <v>9048</v>
      </c>
      <c r="C4368" s="9" t="s">
        <v>230</v>
      </c>
      <c r="D4368" s="9" t="s">
        <v>101</v>
      </c>
      <c r="E4368" s="6" t="s">
        <v>5066</v>
      </c>
      <c r="F4368" s="9" t="s">
        <v>11131</v>
      </c>
    </row>
    <row r="4369" ht="33.75" customHeight="1">
      <c r="A4369" s="7">
        <v>144.0</v>
      </c>
      <c r="B4369" s="9" t="s">
        <v>9048</v>
      </c>
      <c r="C4369" s="9" t="s">
        <v>230</v>
      </c>
      <c r="D4369" s="9" t="s">
        <v>105</v>
      </c>
      <c r="E4369" s="6" t="s">
        <v>5071</v>
      </c>
      <c r="F4369" s="9" t="s">
        <v>11131</v>
      </c>
    </row>
    <row r="4370" ht="33.75" customHeight="1">
      <c r="A4370" s="7">
        <v>144.0</v>
      </c>
      <c r="B4370" s="9" t="s">
        <v>9048</v>
      </c>
      <c r="C4370" s="9" t="s">
        <v>230</v>
      </c>
      <c r="D4370" s="9" t="s">
        <v>107</v>
      </c>
      <c r="E4370" s="6" t="s">
        <v>5073</v>
      </c>
      <c r="F4370" s="9" t="s">
        <v>11131</v>
      </c>
    </row>
    <row r="4371" ht="33.75" customHeight="1">
      <c r="A4371" s="7">
        <v>144.0</v>
      </c>
      <c r="B4371" s="9" t="s">
        <v>9048</v>
      </c>
      <c r="C4371" s="9" t="s">
        <v>230</v>
      </c>
      <c r="D4371" s="9" t="s">
        <v>109</v>
      </c>
      <c r="E4371" s="6" t="s">
        <v>5073</v>
      </c>
      <c r="F4371" s="9" t="s">
        <v>11131</v>
      </c>
    </row>
    <row r="4372" ht="33.75" customHeight="1">
      <c r="A4372" s="7">
        <v>144.0</v>
      </c>
      <c r="B4372" s="9" t="s">
        <v>9048</v>
      </c>
      <c r="C4372" s="9" t="s">
        <v>230</v>
      </c>
      <c r="D4372" s="9" t="s">
        <v>111</v>
      </c>
      <c r="E4372" s="6" t="s">
        <v>5075</v>
      </c>
      <c r="F4372" s="9" t="s">
        <v>11131</v>
      </c>
    </row>
    <row r="4373" ht="33.75" customHeight="1">
      <c r="A4373" s="7">
        <v>144.0</v>
      </c>
      <c r="B4373" s="9" t="s">
        <v>9048</v>
      </c>
      <c r="C4373" s="9" t="s">
        <v>230</v>
      </c>
      <c r="D4373" s="9" t="s">
        <v>113</v>
      </c>
      <c r="E4373" s="6" t="s">
        <v>5075</v>
      </c>
      <c r="F4373" s="9" t="s">
        <v>11131</v>
      </c>
    </row>
    <row r="4374" ht="33.75" customHeight="1">
      <c r="A4374" s="7">
        <v>144.0</v>
      </c>
      <c r="B4374" s="9" t="s">
        <v>9048</v>
      </c>
      <c r="C4374" s="9" t="s">
        <v>230</v>
      </c>
      <c r="D4374" s="9" t="s">
        <v>114</v>
      </c>
      <c r="E4374" s="6" t="s">
        <v>5076</v>
      </c>
      <c r="F4374" s="9" t="s">
        <v>11131</v>
      </c>
    </row>
    <row r="4375" ht="33.75" customHeight="1">
      <c r="A4375" s="7">
        <v>144.0</v>
      </c>
      <c r="B4375" s="9" t="s">
        <v>9048</v>
      </c>
      <c r="C4375" s="9" t="s">
        <v>230</v>
      </c>
      <c r="D4375" s="9" t="s">
        <v>117</v>
      </c>
      <c r="E4375" s="6" t="s">
        <v>5077</v>
      </c>
      <c r="F4375" s="9" t="s">
        <v>11131</v>
      </c>
    </row>
    <row r="4376" ht="33.75" customHeight="1">
      <c r="A4376" s="7">
        <v>145.0</v>
      </c>
      <c r="B4376" s="9" t="s">
        <v>9084</v>
      </c>
      <c r="C4376" s="9" t="s">
        <v>210</v>
      </c>
      <c r="D4376" s="9" t="s">
        <v>24</v>
      </c>
      <c r="E4376" s="6" t="s">
        <v>5078</v>
      </c>
      <c r="F4376" s="9" t="s">
        <v>11217</v>
      </c>
      <c r="G4376" t="inlineStr" s="6">
        <is>
          <t xml:space="preserve">A legendary bird POKéMON that is said to appear from clouds while dropping enormous lightning bolts. This legendary bird POKéMON is said to appear when the sky turns dark and lightning showers down. This legendary bird POKéMON causes savage thunderstorms by flapping its glittering wings. This legendary bird POKéMON is said to appear only when a thundercloud parts into two halves. Legendary bird POKéMON. They say lightning caused by the flapping of its wings causes summer storms. ZAPDOS is a legendary bird POKéMON that has the ability to control electricity. It usually lives in thunderclouds. The POKéMON gains power if it is stricken by lightning bolts. It gains power if it is stricken by lightning bolts. One of the legendary bird POKéMON. While it is flying, it makes crackling and snapping sounds. A legendary Pokémon that is said to live in thunderclouds. It freely controls lightning bolts. This Pokémon has complete control over electricity. There are tales of Zapdos nesting in the dark depths of pitch-black thunderclouds. Zapdos is a legendary bird Pokémon. It’s said that when Zapdos rubs its feathers together, lightning will fall immediately after.</t>
        </is>
      </c>
    </row>
    <row r="4377" ht="33.75" customHeight="1">
      <c r="A4377" s="7">
        <v>145.0</v>
      </c>
      <c r="B4377" s="9" t="s">
        <v>9084</v>
      </c>
      <c r="C4377" s="9" t="s">
        <v>210</v>
      </c>
      <c r="D4377" s="9" t="s">
        <v>35</v>
      </c>
      <c r="E4377" s="6" t="s">
        <v>5078</v>
      </c>
      <c r="F4377" s="9" t="s">
        <v>11217</v>
      </c>
    </row>
    <row r="4378" ht="33.75" customHeight="1">
      <c r="A4378" s="7">
        <v>145.0</v>
      </c>
      <c r="B4378" s="9" t="s">
        <v>9084</v>
      </c>
      <c r="C4378" s="9" t="s">
        <v>210</v>
      </c>
      <c r="D4378" s="9" t="s">
        <v>42</v>
      </c>
      <c r="E4378" s="6" t="s">
        <v>5080</v>
      </c>
      <c r="F4378" s="9" t="s">
        <v>11217</v>
      </c>
    </row>
    <row r="4379" ht="33.75" customHeight="1">
      <c r="A4379" s="7">
        <v>145.0</v>
      </c>
      <c r="B4379" s="9" t="s">
        <v>9084</v>
      </c>
      <c r="C4379" s="9" t="s">
        <v>210</v>
      </c>
      <c r="D4379" s="9" t="s">
        <v>52</v>
      </c>
      <c r="E4379" s="6" t="s">
        <v>5081</v>
      </c>
      <c r="F4379" s="9" t="s">
        <v>11217</v>
      </c>
    </row>
    <row r="4380" ht="33.75" customHeight="1">
      <c r="A4380" s="7">
        <v>145.0</v>
      </c>
      <c r="B4380" s="9" t="s">
        <v>9084</v>
      </c>
      <c r="C4380" s="9" t="s">
        <v>210</v>
      </c>
      <c r="D4380" s="9" t="s">
        <v>59</v>
      </c>
      <c r="E4380" s="6" t="s">
        <v>5083</v>
      </c>
      <c r="F4380" s="9" t="s">
        <v>11217</v>
      </c>
    </row>
    <row r="4381" ht="33.75" customHeight="1">
      <c r="A4381" s="7">
        <v>145.0</v>
      </c>
      <c r="B4381" s="9" t="s">
        <v>9084</v>
      </c>
      <c r="C4381" s="9" t="s">
        <v>210</v>
      </c>
      <c r="D4381" s="9" t="s">
        <v>64</v>
      </c>
      <c r="E4381" s="6" t="s">
        <v>5084</v>
      </c>
      <c r="F4381" s="9" t="s">
        <v>11217</v>
      </c>
    </row>
    <row r="4382" ht="33.75" customHeight="1">
      <c r="A4382" s="7">
        <v>145.0</v>
      </c>
      <c r="B4382" s="9" t="s">
        <v>9084</v>
      </c>
      <c r="C4382" s="9" t="s">
        <v>210</v>
      </c>
      <c r="D4382" s="9" t="s">
        <v>67</v>
      </c>
      <c r="E4382" s="6" t="s">
        <v>5085</v>
      </c>
      <c r="F4382" s="9" t="s">
        <v>11217</v>
      </c>
    </row>
    <row r="4383" ht="33.75" customHeight="1">
      <c r="A4383" s="7">
        <v>145.0</v>
      </c>
      <c r="B4383" s="9" t="s">
        <v>9084</v>
      </c>
      <c r="C4383" s="9" t="s">
        <v>210</v>
      </c>
      <c r="D4383" s="9" t="s">
        <v>71</v>
      </c>
      <c r="E4383" s="6" t="s">
        <v>5085</v>
      </c>
      <c r="F4383" s="9" t="s">
        <v>11217</v>
      </c>
    </row>
    <row r="4384" ht="33.75" customHeight="1">
      <c r="A4384" s="7">
        <v>145.0</v>
      </c>
      <c r="B4384" s="9" t="s">
        <v>9084</v>
      </c>
      <c r="C4384" s="9" t="s">
        <v>210</v>
      </c>
      <c r="D4384" s="9" t="s">
        <v>73</v>
      </c>
      <c r="E4384" s="6" t="s">
        <v>5086</v>
      </c>
      <c r="F4384" s="9" t="s">
        <v>11217</v>
      </c>
    </row>
    <row r="4385" ht="33.75" customHeight="1">
      <c r="A4385" s="7">
        <v>145.0</v>
      </c>
      <c r="B4385" s="9" t="s">
        <v>9084</v>
      </c>
      <c r="C4385" s="9" t="s">
        <v>210</v>
      </c>
      <c r="D4385" s="9" t="s">
        <v>75</v>
      </c>
      <c r="E4385" s="6" t="s">
        <v>5087</v>
      </c>
      <c r="F4385" s="9" t="s">
        <v>11217</v>
      </c>
    </row>
    <row r="4386" ht="33.75" customHeight="1">
      <c r="A4386" s="7">
        <v>145.0</v>
      </c>
      <c r="B4386" s="9" t="s">
        <v>9084</v>
      </c>
      <c r="C4386" s="9" t="s">
        <v>210</v>
      </c>
      <c r="D4386" s="9" t="s">
        <v>79</v>
      </c>
      <c r="E4386" s="6" t="s">
        <v>5078</v>
      </c>
      <c r="F4386" s="9" t="s">
        <v>11217</v>
      </c>
    </row>
    <row r="4387" ht="33.75" customHeight="1">
      <c r="A4387" s="7">
        <v>145.0</v>
      </c>
      <c r="B4387" s="9" t="s">
        <v>9084</v>
      </c>
      <c r="C4387" s="9" t="s">
        <v>210</v>
      </c>
      <c r="D4387" s="9" t="s">
        <v>81</v>
      </c>
      <c r="E4387" s="6" t="s">
        <v>5089</v>
      </c>
      <c r="F4387" s="9" t="s">
        <v>11217</v>
      </c>
    </row>
    <row r="4388" ht="33.75" customHeight="1">
      <c r="A4388" s="7">
        <v>145.0</v>
      </c>
      <c r="B4388" s="9" t="s">
        <v>9084</v>
      </c>
      <c r="C4388" s="9" t="s">
        <v>210</v>
      </c>
      <c r="D4388" s="9" t="s">
        <v>84</v>
      </c>
      <c r="E4388" s="6" t="s">
        <v>5089</v>
      </c>
      <c r="F4388" s="9" t="s">
        <v>11217</v>
      </c>
    </row>
    <row r="4389" ht="33.75" customHeight="1">
      <c r="A4389" s="7">
        <v>145.0</v>
      </c>
      <c r="B4389" s="9" t="s">
        <v>9084</v>
      </c>
      <c r="C4389" s="9" t="s">
        <v>210</v>
      </c>
      <c r="D4389" s="9" t="s">
        <v>87</v>
      </c>
      <c r="E4389" s="6" t="s">
        <v>5089</v>
      </c>
      <c r="F4389" s="9" t="s">
        <v>11217</v>
      </c>
    </row>
    <row r="4390" ht="33.75" customHeight="1">
      <c r="A4390" s="7">
        <v>145.0</v>
      </c>
      <c r="B4390" s="9" t="s">
        <v>9084</v>
      </c>
      <c r="C4390" s="9" t="s">
        <v>210</v>
      </c>
      <c r="D4390" s="9" t="s">
        <v>89</v>
      </c>
      <c r="E4390" s="6" t="s">
        <v>5090</v>
      </c>
      <c r="F4390" s="9" t="s">
        <v>11217</v>
      </c>
    </row>
    <row r="4391" ht="33.75" customHeight="1">
      <c r="A4391" s="7">
        <v>145.0</v>
      </c>
      <c r="B4391" s="9" t="s">
        <v>9084</v>
      </c>
      <c r="C4391" s="9" t="s">
        <v>210</v>
      </c>
      <c r="D4391" s="9" t="s">
        <v>91</v>
      </c>
      <c r="E4391" s="6" t="s">
        <v>5092</v>
      </c>
      <c r="F4391" s="9" t="s">
        <v>11217</v>
      </c>
    </row>
    <row r="4392" ht="33.75" customHeight="1">
      <c r="A4392" s="7">
        <v>145.0</v>
      </c>
      <c r="B4392" s="9" t="s">
        <v>9084</v>
      </c>
      <c r="C4392" s="9" t="s">
        <v>210</v>
      </c>
      <c r="D4392" s="9" t="s">
        <v>93</v>
      </c>
      <c r="E4392" s="6" t="s">
        <v>5089</v>
      </c>
      <c r="F4392" s="9" t="s">
        <v>11217</v>
      </c>
    </row>
    <row r="4393" ht="33.75" customHeight="1">
      <c r="A4393" s="7">
        <v>145.0</v>
      </c>
      <c r="B4393" s="9" t="s">
        <v>9084</v>
      </c>
      <c r="C4393" s="9" t="s">
        <v>210</v>
      </c>
      <c r="D4393" s="9" t="s">
        <v>95</v>
      </c>
      <c r="E4393" s="6" t="s">
        <v>5089</v>
      </c>
      <c r="F4393" s="9" t="s">
        <v>11217</v>
      </c>
    </row>
    <row r="4394" ht="33.75" customHeight="1">
      <c r="A4394" s="7">
        <v>145.0</v>
      </c>
      <c r="B4394" s="9" t="s">
        <v>9084</v>
      </c>
      <c r="C4394" s="9" t="s">
        <v>210</v>
      </c>
      <c r="D4394" s="9" t="s">
        <v>98</v>
      </c>
      <c r="E4394" s="6" t="s">
        <v>5089</v>
      </c>
      <c r="F4394" s="9" t="s">
        <v>11217</v>
      </c>
    </row>
    <row r="4395" ht="33.75" customHeight="1">
      <c r="A4395" s="7">
        <v>145.0</v>
      </c>
      <c r="B4395" s="9" t="s">
        <v>9084</v>
      </c>
      <c r="C4395" s="9" t="s">
        <v>210</v>
      </c>
      <c r="D4395" s="9" t="s">
        <v>99</v>
      </c>
      <c r="E4395" s="6" t="s">
        <v>5089</v>
      </c>
      <c r="F4395" s="9" t="s">
        <v>11217</v>
      </c>
    </row>
    <row r="4396" ht="33.75" customHeight="1">
      <c r="A4396" s="7">
        <v>145.0</v>
      </c>
      <c r="B4396" s="9" t="s">
        <v>9084</v>
      </c>
      <c r="C4396" s="9" t="s">
        <v>210</v>
      </c>
      <c r="D4396" s="9" t="s">
        <v>101</v>
      </c>
      <c r="E4396" s="6" t="s">
        <v>5093</v>
      </c>
      <c r="F4396" s="9" t="s">
        <v>11217</v>
      </c>
    </row>
    <row r="4397" ht="33.75" customHeight="1">
      <c r="A4397" s="7">
        <v>145.0</v>
      </c>
      <c r="B4397" s="9" t="s">
        <v>9084</v>
      </c>
      <c r="C4397" s="9" t="s">
        <v>210</v>
      </c>
      <c r="D4397" s="9" t="s">
        <v>105</v>
      </c>
      <c r="E4397" s="6" t="s">
        <v>5089</v>
      </c>
      <c r="F4397" s="9" t="s">
        <v>11217</v>
      </c>
    </row>
    <row r="4398" ht="33.75" customHeight="1">
      <c r="A4398" s="7">
        <v>145.0</v>
      </c>
      <c r="B4398" s="9" t="s">
        <v>9084</v>
      </c>
      <c r="C4398" s="9" t="s">
        <v>210</v>
      </c>
      <c r="D4398" s="9" t="s">
        <v>107</v>
      </c>
      <c r="E4398" s="6" t="s">
        <v>5095</v>
      </c>
      <c r="F4398" s="9" t="s">
        <v>11217</v>
      </c>
    </row>
    <row r="4399" ht="33.75" customHeight="1">
      <c r="A4399" s="7">
        <v>145.0</v>
      </c>
      <c r="B4399" s="9" t="s">
        <v>9084</v>
      </c>
      <c r="C4399" s="9" t="s">
        <v>210</v>
      </c>
      <c r="D4399" s="9" t="s">
        <v>109</v>
      </c>
      <c r="E4399" s="6" t="s">
        <v>5095</v>
      </c>
      <c r="F4399" s="9" t="s">
        <v>11217</v>
      </c>
    </row>
    <row r="4400" ht="33.75" customHeight="1">
      <c r="A4400" s="7">
        <v>145.0</v>
      </c>
      <c r="B4400" s="9" t="s">
        <v>9084</v>
      </c>
      <c r="C4400" s="9" t="s">
        <v>210</v>
      </c>
      <c r="D4400" s="9" t="s">
        <v>111</v>
      </c>
      <c r="E4400" s="6" t="s">
        <v>5097</v>
      </c>
      <c r="F4400" s="9" t="s">
        <v>11217</v>
      </c>
    </row>
    <row r="4401" ht="33.75" customHeight="1">
      <c r="A4401" s="7">
        <v>145.0</v>
      </c>
      <c r="B4401" s="9" t="s">
        <v>9084</v>
      </c>
      <c r="C4401" s="9" t="s">
        <v>210</v>
      </c>
      <c r="D4401" s="9" t="s">
        <v>113</v>
      </c>
      <c r="E4401" s="6" t="s">
        <v>5097</v>
      </c>
      <c r="F4401" s="9" t="s">
        <v>11217</v>
      </c>
    </row>
    <row r="4402" ht="33.75" customHeight="1">
      <c r="A4402" s="7">
        <v>145.0</v>
      </c>
      <c r="B4402" s="9" t="s">
        <v>9084</v>
      </c>
      <c r="C4402" s="9" t="s">
        <v>210</v>
      </c>
      <c r="D4402" s="9" t="s">
        <v>114</v>
      </c>
      <c r="E4402" s="6" t="s">
        <v>5099</v>
      </c>
      <c r="F4402" s="9" t="s">
        <v>11217</v>
      </c>
    </row>
    <row r="4403" ht="33.75" customHeight="1">
      <c r="A4403" s="7">
        <v>145.0</v>
      </c>
      <c r="B4403" s="9" t="s">
        <v>9084</v>
      </c>
      <c r="C4403" s="9" t="s">
        <v>210</v>
      </c>
      <c r="D4403" s="9" t="s">
        <v>117</v>
      </c>
      <c r="E4403" s="6" t="s">
        <v>5100</v>
      </c>
      <c r="F4403" s="9" t="s">
        <v>11217</v>
      </c>
    </row>
    <row r="4404" ht="33.75" customHeight="1">
      <c r="A4404" s="7">
        <v>146.0</v>
      </c>
      <c r="B4404" s="9" t="s">
        <v>9142</v>
      </c>
      <c r="C4404" s="9" t="s">
        <v>41</v>
      </c>
      <c r="D4404" s="9" t="s">
        <v>24</v>
      </c>
      <c r="E4404" s="6" t="s">
        <v>5101</v>
      </c>
      <c r="F4404" s="9" t="s">
        <v>11278</v>
      </c>
      <c r="G4404" t="inlineStr" s="6">
        <is>
          <t xml:space="preserve">Known as the legendary bird of fire. Every flap of its wings creates a dazzling flash of flames. A legendary bird POKéMON. As it flaps its flaming wings, even the night sky will turn red. This legendary POKéMON scatters embers with every flap of its wings. It is a thrilling sight to behold. This legendary bird POKéMON is said to bring early spring to the wintry lands it visits. Legendary bird POKéMON. It is said to migrate from the south along with the spring. MOLTRES is a legendary bird POKéMON that has the ability to control fire. If this POKéMON is injured, it is said to dip its body in the molten magma of a volcano to burn and heal itself. MOLTRES is a legendary bird POKéMON that can control fire. If injured, it is said to dip its body in the molten magma of a volcano to burn and heal itself. One of the legendary bird POKéMON. Those seeing it are overwhelmed by its orange wings that seem to be on fire. It is said to be the legendary bird POKéMON of fire. Every flap of its wings creates a dazzling flare of flames. It is said that its appearance indicates the coming of spring. It’s one of the legendary bird Pokémon. When Moltres flaps its flaming wings, they glimmer with a dazzling red glow. There are stories of this Pokémon using its radiant, flame-cloaked wings to light up paths for those lost in the mountains.</t>
        </is>
      </c>
    </row>
    <row r="4405" ht="33.75" customHeight="1">
      <c r="A4405" s="7">
        <v>146.0</v>
      </c>
      <c r="B4405" s="9" t="s">
        <v>9142</v>
      </c>
      <c r="C4405" s="9" t="s">
        <v>41</v>
      </c>
      <c r="D4405" s="9" t="s">
        <v>35</v>
      </c>
      <c r="E4405" s="6" t="s">
        <v>5101</v>
      </c>
      <c r="F4405" s="9" t="s">
        <v>11278</v>
      </c>
    </row>
    <row r="4406" ht="33.75" customHeight="1">
      <c r="A4406" s="7">
        <v>146.0</v>
      </c>
      <c r="B4406" s="9" t="s">
        <v>9142</v>
      </c>
      <c r="C4406" s="9" t="s">
        <v>41</v>
      </c>
      <c r="D4406" s="9" t="s">
        <v>42</v>
      </c>
      <c r="E4406" s="6" t="s">
        <v>5102</v>
      </c>
      <c r="F4406" s="9" t="s">
        <v>11278</v>
      </c>
    </row>
    <row r="4407" ht="33.75" customHeight="1">
      <c r="A4407" s="7">
        <v>146.0</v>
      </c>
      <c r="B4407" s="9" t="s">
        <v>9142</v>
      </c>
      <c r="C4407" s="9" t="s">
        <v>41</v>
      </c>
      <c r="D4407" s="9" t="s">
        <v>52</v>
      </c>
      <c r="E4407" s="6" t="s">
        <v>5103</v>
      </c>
      <c r="F4407" s="9" t="s">
        <v>11278</v>
      </c>
    </row>
    <row r="4408" ht="33.75" customHeight="1">
      <c r="A4408" s="7">
        <v>146.0</v>
      </c>
      <c r="B4408" s="9" t="s">
        <v>9142</v>
      </c>
      <c r="C4408" s="9" t="s">
        <v>41</v>
      </c>
      <c r="D4408" s="9" t="s">
        <v>59</v>
      </c>
      <c r="E4408" s="6" t="s">
        <v>5104</v>
      </c>
      <c r="F4408" s="9" t="s">
        <v>11278</v>
      </c>
    </row>
    <row r="4409" ht="33.75" customHeight="1">
      <c r="A4409" s="7">
        <v>146.0</v>
      </c>
      <c r="B4409" s="9" t="s">
        <v>9142</v>
      </c>
      <c r="C4409" s="9" t="s">
        <v>41</v>
      </c>
      <c r="D4409" s="9" t="s">
        <v>64</v>
      </c>
      <c r="E4409" s="6" t="s">
        <v>5105</v>
      </c>
      <c r="F4409" s="9" t="s">
        <v>11278</v>
      </c>
    </row>
    <row r="4410" ht="33.75" customHeight="1">
      <c r="A4410" s="7">
        <v>146.0</v>
      </c>
      <c r="B4410" s="9" t="s">
        <v>9142</v>
      </c>
      <c r="C4410" s="9" t="s">
        <v>41</v>
      </c>
      <c r="D4410" s="9" t="s">
        <v>67</v>
      </c>
      <c r="E4410" s="6" t="s">
        <v>5106</v>
      </c>
      <c r="F4410" s="9" t="s">
        <v>11278</v>
      </c>
    </row>
    <row r="4411" ht="33.75" customHeight="1">
      <c r="A4411" s="7">
        <v>146.0</v>
      </c>
      <c r="B4411" s="9" t="s">
        <v>9142</v>
      </c>
      <c r="C4411" s="9" t="s">
        <v>41</v>
      </c>
      <c r="D4411" s="9" t="s">
        <v>71</v>
      </c>
      <c r="E4411" s="6" t="s">
        <v>5106</v>
      </c>
      <c r="F4411" s="9" t="s">
        <v>11278</v>
      </c>
    </row>
    <row r="4412" ht="33.75" customHeight="1">
      <c r="A4412" s="7">
        <v>146.0</v>
      </c>
      <c r="B4412" s="9" t="s">
        <v>9142</v>
      </c>
      <c r="C4412" s="9" t="s">
        <v>41</v>
      </c>
      <c r="D4412" s="9" t="s">
        <v>73</v>
      </c>
      <c r="E4412" s="6" t="s">
        <v>5107</v>
      </c>
      <c r="F4412" s="9" t="s">
        <v>11278</v>
      </c>
    </row>
    <row r="4413" ht="33.75" customHeight="1">
      <c r="A4413" s="7">
        <v>146.0</v>
      </c>
      <c r="B4413" s="9" t="s">
        <v>9142</v>
      </c>
      <c r="C4413" s="9" t="s">
        <v>41</v>
      </c>
      <c r="D4413" s="9" t="s">
        <v>75</v>
      </c>
      <c r="E4413" s="6" t="s">
        <v>5108</v>
      </c>
      <c r="F4413" s="9" t="s">
        <v>11278</v>
      </c>
    </row>
    <row r="4414" ht="33.75" customHeight="1">
      <c r="A4414" s="7">
        <v>146.0</v>
      </c>
      <c r="B4414" s="9" t="s">
        <v>9142</v>
      </c>
      <c r="C4414" s="9" t="s">
        <v>41</v>
      </c>
      <c r="D4414" s="9" t="s">
        <v>79</v>
      </c>
      <c r="E4414" s="6" t="s">
        <v>5109</v>
      </c>
      <c r="F4414" s="9" t="s">
        <v>11278</v>
      </c>
    </row>
    <row r="4415" ht="33.75" customHeight="1">
      <c r="A4415" s="7">
        <v>146.0</v>
      </c>
      <c r="B4415" s="9" t="s">
        <v>9142</v>
      </c>
      <c r="C4415" s="9" t="s">
        <v>41</v>
      </c>
      <c r="D4415" s="9" t="s">
        <v>81</v>
      </c>
      <c r="E4415" s="6" t="s">
        <v>5110</v>
      </c>
      <c r="F4415" s="9" t="s">
        <v>11278</v>
      </c>
    </row>
    <row r="4416" ht="33.75" customHeight="1">
      <c r="A4416" s="7">
        <v>146.0</v>
      </c>
      <c r="B4416" s="9" t="s">
        <v>9142</v>
      </c>
      <c r="C4416" s="9" t="s">
        <v>41</v>
      </c>
      <c r="D4416" s="9" t="s">
        <v>84</v>
      </c>
      <c r="E4416" s="6" t="s">
        <v>5110</v>
      </c>
      <c r="F4416" s="9" t="s">
        <v>11278</v>
      </c>
    </row>
    <row r="4417" ht="33.75" customHeight="1">
      <c r="A4417" s="7">
        <v>146.0</v>
      </c>
      <c r="B4417" s="9" t="s">
        <v>9142</v>
      </c>
      <c r="C4417" s="9" t="s">
        <v>41</v>
      </c>
      <c r="D4417" s="9" t="s">
        <v>87</v>
      </c>
      <c r="E4417" s="6" t="s">
        <v>5110</v>
      </c>
      <c r="F4417" s="9" t="s">
        <v>11278</v>
      </c>
    </row>
    <row r="4418" ht="33.75" customHeight="1">
      <c r="A4418" s="7">
        <v>146.0</v>
      </c>
      <c r="B4418" s="9" t="s">
        <v>9142</v>
      </c>
      <c r="C4418" s="9" t="s">
        <v>41</v>
      </c>
      <c r="D4418" s="9" t="s">
        <v>89</v>
      </c>
      <c r="E4418" s="6" t="s">
        <v>5112</v>
      </c>
      <c r="F4418" s="9" t="s">
        <v>11278</v>
      </c>
    </row>
    <row r="4419" ht="33.75" customHeight="1">
      <c r="A4419" s="7">
        <v>146.0</v>
      </c>
      <c r="B4419" s="9" t="s">
        <v>9142</v>
      </c>
      <c r="C4419" s="9" t="s">
        <v>41</v>
      </c>
      <c r="D4419" s="9" t="s">
        <v>91</v>
      </c>
      <c r="E4419" s="6" t="s">
        <v>5113</v>
      </c>
      <c r="F4419" s="9" t="s">
        <v>11278</v>
      </c>
    </row>
    <row r="4420" ht="33.75" customHeight="1">
      <c r="A4420" s="7">
        <v>146.0</v>
      </c>
      <c r="B4420" s="9" t="s">
        <v>9142</v>
      </c>
      <c r="C4420" s="9" t="s">
        <v>41</v>
      </c>
      <c r="D4420" s="9" t="s">
        <v>93</v>
      </c>
      <c r="E4420" s="6" t="s">
        <v>5110</v>
      </c>
      <c r="F4420" s="9" t="s">
        <v>11278</v>
      </c>
    </row>
    <row r="4421" ht="33.75" customHeight="1">
      <c r="A4421" s="7">
        <v>146.0</v>
      </c>
      <c r="B4421" s="9" t="s">
        <v>9142</v>
      </c>
      <c r="C4421" s="9" t="s">
        <v>41</v>
      </c>
      <c r="D4421" s="9" t="s">
        <v>95</v>
      </c>
      <c r="E4421" s="6" t="s">
        <v>5110</v>
      </c>
      <c r="F4421" s="9" t="s">
        <v>11278</v>
      </c>
    </row>
    <row r="4422" ht="33.75" customHeight="1">
      <c r="A4422" s="7">
        <v>146.0</v>
      </c>
      <c r="B4422" s="9" t="s">
        <v>9142</v>
      </c>
      <c r="C4422" s="9" t="s">
        <v>41</v>
      </c>
      <c r="D4422" s="9" t="s">
        <v>98</v>
      </c>
      <c r="E4422" s="6" t="s">
        <v>5110</v>
      </c>
      <c r="F4422" s="9" t="s">
        <v>11278</v>
      </c>
    </row>
    <row r="4423" ht="33.75" customHeight="1">
      <c r="A4423" s="7">
        <v>146.0</v>
      </c>
      <c r="B4423" s="9" t="s">
        <v>9142</v>
      </c>
      <c r="C4423" s="9" t="s">
        <v>41</v>
      </c>
      <c r="D4423" s="9" t="s">
        <v>99</v>
      </c>
      <c r="E4423" s="6" t="s">
        <v>5110</v>
      </c>
      <c r="F4423" s="9" t="s">
        <v>11278</v>
      </c>
    </row>
    <row r="4424" ht="33.75" customHeight="1">
      <c r="A4424" s="7">
        <v>146.0</v>
      </c>
      <c r="B4424" s="9" t="s">
        <v>9142</v>
      </c>
      <c r="C4424" s="9" t="s">
        <v>41</v>
      </c>
      <c r="D4424" s="9" t="s">
        <v>101</v>
      </c>
      <c r="E4424" s="6" t="s">
        <v>5114</v>
      </c>
      <c r="F4424" s="9" t="s">
        <v>11278</v>
      </c>
    </row>
    <row r="4425" ht="33.75" customHeight="1">
      <c r="A4425" s="7">
        <v>146.0</v>
      </c>
      <c r="B4425" s="9" t="s">
        <v>9142</v>
      </c>
      <c r="C4425" s="9" t="s">
        <v>41</v>
      </c>
      <c r="D4425" s="9" t="s">
        <v>105</v>
      </c>
      <c r="E4425" s="6" t="s">
        <v>5110</v>
      </c>
      <c r="F4425" s="9" t="s">
        <v>11278</v>
      </c>
    </row>
    <row r="4426" ht="33.75" customHeight="1">
      <c r="A4426" s="7">
        <v>146.0</v>
      </c>
      <c r="B4426" s="9" t="s">
        <v>9142</v>
      </c>
      <c r="C4426" s="9" t="s">
        <v>41</v>
      </c>
      <c r="D4426" s="9" t="s">
        <v>107</v>
      </c>
      <c r="E4426" s="6" t="s">
        <v>5115</v>
      </c>
      <c r="F4426" s="9" t="s">
        <v>11278</v>
      </c>
    </row>
    <row r="4427" ht="33.75" customHeight="1">
      <c r="A4427" s="7">
        <v>146.0</v>
      </c>
      <c r="B4427" s="9" t="s">
        <v>9142</v>
      </c>
      <c r="C4427" s="9" t="s">
        <v>41</v>
      </c>
      <c r="D4427" s="9" t="s">
        <v>109</v>
      </c>
      <c r="E4427" s="6" t="s">
        <v>5115</v>
      </c>
      <c r="F4427" s="9" t="s">
        <v>11278</v>
      </c>
    </row>
    <row r="4428" ht="33.75" customHeight="1">
      <c r="A4428" s="7">
        <v>146.0</v>
      </c>
      <c r="B4428" s="9" t="s">
        <v>9142</v>
      </c>
      <c r="C4428" s="9" t="s">
        <v>41</v>
      </c>
      <c r="D4428" s="9" t="s">
        <v>111</v>
      </c>
      <c r="E4428" s="6" t="s">
        <v>5116</v>
      </c>
      <c r="F4428" s="9" t="s">
        <v>11278</v>
      </c>
    </row>
    <row r="4429" ht="33.75" customHeight="1">
      <c r="A4429" s="7">
        <v>146.0</v>
      </c>
      <c r="B4429" s="9" t="s">
        <v>9142</v>
      </c>
      <c r="C4429" s="9" t="s">
        <v>41</v>
      </c>
      <c r="D4429" s="9" t="s">
        <v>113</v>
      </c>
      <c r="E4429" s="6" t="s">
        <v>5116</v>
      </c>
      <c r="F4429" s="9" t="s">
        <v>11278</v>
      </c>
    </row>
    <row r="4430" ht="33.75" customHeight="1">
      <c r="A4430" s="7">
        <v>146.0</v>
      </c>
      <c r="B4430" s="9" t="s">
        <v>9142</v>
      </c>
      <c r="C4430" s="9" t="s">
        <v>41</v>
      </c>
      <c r="D4430" s="9" t="s">
        <v>114</v>
      </c>
      <c r="E4430" s="6" t="s">
        <v>5117</v>
      </c>
      <c r="F4430" s="9" t="s">
        <v>11278</v>
      </c>
    </row>
    <row r="4431" ht="33.75" customHeight="1">
      <c r="A4431" s="7">
        <v>146.0</v>
      </c>
      <c r="B4431" s="9" t="s">
        <v>9142</v>
      </c>
      <c r="C4431" s="9" t="s">
        <v>41</v>
      </c>
      <c r="D4431" s="9" t="s">
        <v>117</v>
      </c>
      <c r="E4431" s="6" t="s">
        <v>5118</v>
      </c>
      <c r="F4431" s="9" t="s">
        <v>11278</v>
      </c>
    </row>
    <row r="4432" ht="33.75" customHeight="1">
      <c r="A4432" s="7">
        <v>147.0</v>
      </c>
      <c r="B4432" s="9" t="s">
        <v>9217</v>
      </c>
      <c r="C4432" s="9" t="s">
        <v>195</v>
      </c>
      <c r="D4432" s="9" t="s">
        <v>24</v>
      </c>
      <c r="E4432" s="6" t="s">
        <v>5120</v>
      </c>
      <c r="F4432" s="9" t="s">
        <v>11362</v>
      </c>
      <c r="G4432" t="inlineStr" s="6">
        <is>
          <t xml:space="preserve">Long considered a mythical POKéMON until recently when a small colony was found living underwater. The existence of this mythical POKéMON was only recently confirmed by a fisherman who caught one. It is born large to start with. It repeatedly sheds its skin as it steadily grows longer. This POKéMON is full of life energy. It continually sheds its skin and grows steadily larger. It sheds many lay ers of skin as it grows larger. During this process, it is protected by a rapid waterfall. DRATINI continually molts and sloughs off its old skin. It does so because the life energy within its body steadily builds to reach uncontrollable levels. A DRATINI continually molts and sloughs off its old skin. Even the young can exceed 6.5 feet in length. It grows larger by repeatedly shedding skin. Long considered a mythical POKéMON until recently, when a small colony was found living underwater. It is called the “Mirage Pokémon” because so few have seen it. Its shed skin has been found. It grows by molting repeatedly. Boots made from the tanned cast-off skin are a super luxury item. After a 10-hour struggle, a fisherman was able to pull one up and confirm its existence. It’s still weak, so it lurks on the floor of bodies of water, eating whatever food sinks down and living a quiet life. It sheds its skin—almost on a daily basis—and grows larger. Its skin is soft just after it’s been shed. Long thought to be a myth, this Pokémon’s existence was only recently confirmed by a fisherman who caught one. Dratini dwells near bodies of rapidly flowing water, such as the plunge pools of waterfalls. As it grows, Dratini will shed its skin many times. This Pokémon was long considered to be no more than a myth. The small lump on a Dratini’s forehead is actually a horn that’s still coming in.</t>
        </is>
      </c>
    </row>
    <row r="4433" ht="33.75" customHeight="1">
      <c r="A4433" s="7">
        <v>147.0</v>
      </c>
      <c r="B4433" s="9" t="s">
        <v>9217</v>
      </c>
      <c r="C4433" s="9" t="s">
        <v>195</v>
      </c>
      <c r="D4433" s="9" t="s">
        <v>35</v>
      </c>
      <c r="E4433" s="6" t="s">
        <v>5120</v>
      </c>
      <c r="F4433" s="9" t="s">
        <v>11362</v>
      </c>
    </row>
    <row r="4434" ht="33.75" customHeight="1">
      <c r="A4434" s="7">
        <v>147.0</v>
      </c>
      <c r="B4434" s="9" t="s">
        <v>9217</v>
      </c>
      <c r="C4434" s="9" t="s">
        <v>195</v>
      </c>
      <c r="D4434" s="9" t="s">
        <v>42</v>
      </c>
      <c r="E4434" s="6" t="s">
        <v>5121</v>
      </c>
      <c r="F4434" s="9" t="s">
        <v>11362</v>
      </c>
    </row>
    <row r="4435" ht="33.75" customHeight="1">
      <c r="A4435" s="7">
        <v>147.0</v>
      </c>
      <c r="B4435" s="9" t="s">
        <v>9217</v>
      </c>
      <c r="C4435" s="9" t="s">
        <v>195</v>
      </c>
      <c r="D4435" s="9" t="s">
        <v>52</v>
      </c>
      <c r="E4435" s="6" t="s">
        <v>5122</v>
      </c>
      <c r="F4435" s="9" t="s">
        <v>11362</v>
      </c>
    </row>
    <row r="4436" ht="33.75" customHeight="1">
      <c r="A4436" s="7">
        <v>147.0</v>
      </c>
      <c r="B4436" s="9" t="s">
        <v>9217</v>
      </c>
      <c r="C4436" s="9" t="s">
        <v>195</v>
      </c>
      <c r="D4436" s="9" t="s">
        <v>59</v>
      </c>
      <c r="E4436" s="6" t="s">
        <v>5123</v>
      </c>
      <c r="F4436" s="9" t="s">
        <v>11362</v>
      </c>
    </row>
    <row r="4437" ht="33.75" customHeight="1">
      <c r="A4437" s="7">
        <v>147.0</v>
      </c>
      <c r="B4437" s="9" t="s">
        <v>9217</v>
      </c>
      <c r="C4437" s="9" t="s">
        <v>195</v>
      </c>
      <c r="D4437" s="9" t="s">
        <v>64</v>
      </c>
      <c r="E4437" s="6" t="s">
        <v>5124</v>
      </c>
      <c r="F4437" s="9" t="s">
        <v>11362</v>
      </c>
    </row>
    <row r="4438" ht="33.75" customHeight="1">
      <c r="A4438" s="7">
        <v>147.0</v>
      </c>
      <c r="B4438" s="9" t="s">
        <v>9217</v>
      </c>
      <c r="C4438" s="9" t="s">
        <v>195</v>
      </c>
      <c r="D4438" s="9" t="s">
        <v>67</v>
      </c>
      <c r="E4438" s="6" t="s">
        <v>5126</v>
      </c>
      <c r="F4438" s="9" t="s">
        <v>11362</v>
      </c>
    </row>
    <row r="4439" ht="33.75" customHeight="1">
      <c r="A4439" s="7">
        <v>147.0</v>
      </c>
      <c r="B4439" s="9" t="s">
        <v>9217</v>
      </c>
      <c r="C4439" s="9" t="s">
        <v>195</v>
      </c>
      <c r="D4439" s="9" t="s">
        <v>71</v>
      </c>
      <c r="E4439" s="6" t="s">
        <v>5126</v>
      </c>
      <c r="F4439" s="9" t="s">
        <v>11362</v>
      </c>
    </row>
    <row r="4440" ht="33.75" customHeight="1">
      <c r="A4440" s="7">
        <v>147.0</v>
      </c>
      <c r="B4440" s="9" t="s">
        <v>9217</v>
      </c>
      <c r="C4440" s="9" t="s">
        <v>195</v>
      </c>
      <c r="D4440" s="9" t="s">
        <v>73</v>
      </c>
      <c r="E4440" s="6" t="s">
        <v>5127</v>
      </c>
      <c r="F4440" s="9" t="s">
        <v>11362</v>
      </c>
    </row>
    <row r="4441" ht="33.75" customHeight="1">
      <c r="A4441" s="7">
        <v>147.0</v>
      </c>
      <c r="B4441" s="9" t="s">
        <v>9217</v>
      </c>
      <c r="C4441" s="9" t="s">
        <v>195</v>
      </c>
      <c r="D4441" s="9" t="s">
        <v>75</v>
      </c>
      <c r="E4441" s="6" t="s">
        <v>5128</v>
      </c>
      <c r="F4441" s="9" t="s">
        <v>11362</v>
      </c>
    </row>
    <row r="4442" ht="33.75" customHeight="1">
      <c r="A4442" s="7">
        <v>147.0</v>
      </c>
      <c r="B4442" s="9" t="s">
        <v>9217</v>
      </c>
      <c r="C4442" s="9" t="s">
        <v>195</v>
      </c>
      <c r="D4442" s="9" t="s">
        <v>79</v>
      </c>
      <c r="E4442" s="6" t="s">
        <v>5129</v>
      </c>
      <c r="F4442" s="9" t="s">
        <v>11362</v>
      </c>
    </row>
    <row r="4443" ht="33.75" customHeight="1">
      <c r="A4443" s="7">
        <v>147.0</v>
      </c>
      <c r="B4443" s="9" t="s">
        <v>9217</v>
      </c>
      <c r="C4443" s="9" t="s">
        <v>195</v>
      </c>
      <c r="D4443" s="9" t="s">
        <v>81</v>
      </c>
      <c r="E4443" s="6" t="s">
        <v>5131</v>
      </c>
      <c r="F4443" s="9" t="s">
        <v>11362</v>
      </c>
    </row>
    <row r="4444" ht="33.75" customHeight="1">
      <c r="A4444" s="7">
        <v>147.0</v>
      </c>
      <c r="B4444" s="9" t="s">
        <v>9217</v>
      </c>
      <c r="C4444" s="9" t="s">
        <v>195</v>
      </c>
      <c r="D4444" s="9" t="s">
        <v>84</v>
      </c>
      <c r="E4444" s="6" t="s">
        <v>5131</v>
      </c>
      <c r="F4444" s="9" t="s">
        <v>11362</v>
      </c>
    </row>
    <row r="4445" ht="33.75" customHeight="1">
      <c r="A4445" s="7">
        <v>147.0</v>
      </c>
      <c r="B4445" s="9" t="s">
        <v>9217</v>
      </c>
      <c r="C4445" s="9" t="s">
        <v>195</v>
      </c>
      <c r="D4445" s="9" t="s">
        <v>87</v>
      </c>
      <c r="E4445" s="6" t="s">
        <v>5131</v>
      </c>
      <c r="F4445" s="9" t="s">
        <v>11362</v>
      </c>
    </row>
    <row r="4446" ht="33.75" customHeight="1">
      <c r="A4446" s="7">
        <v>147.0</v>
      </c>
      <c r="B4446" s="9" t="s">
        <v>9217</v>
      </c>
      <c r="C4446" s="9" t="s">
        <v>195</v>
      </c>
      <c r="D4446" s="9" t="s">
        <v>89</v>
      </c>
      <c r="E4446" s="6" t="s">
        <v>5122</v>
      </c>
      <c r="F4446" s="9" t="s">
        <v>11362</v>
      </c>
    </row>
    <row r="4447" ht="33.75" customHeight="1">
      <c r="A4447" s="7">
        <v>147.0</v>
      </c>
      <c r="B4447" s="9" t="s">
        <v>9217</v>
      </c>
      <c r="C4447" s="9" t="s">
        <v>195</v>
      </c>
      <c r="D4447" s="9" t="s">
        <v>91</v>
      </c>
      <c r="E4447" s="6" t="s">
        <v>5133</v>
      </c>
      <c r="F4447" s="9" t="s">
        <v>11362</v>
      </c>
    </row>
    <row r="4448" ht="33.75" customHeight="1">
      <c r="A4448" s="7">
        <v>147.0</v>
      </c>
      <c r="B4448" s="9" t="s">
        <v>9217</v>
      </c>
      <c r="C4448" s="9" t="s">
        <v>195</v>
      </c>
      <c r="D4448" s="9" t="s">
        <v>93</v>
      </c>
      <c r="E4448" s="6" t="s">
        <v>5131</v>
      </c>
      <c r="F4448" s="9" t="s">
        <v>11362</v>
      </c>
    </row>
    <row r="4449" ht="33.75" customHeight="1">
      <c r="A4449" s="7">
        <v>147.0</v>
      </c>
      <c r="B4449" s="9" t="s">
        <v>9217</v>
      </c>
      <c r="C4449" s="9" t="s">
        <v>195</v>
      </c>
      <c r="D4449" s="9" t="s">
        <v>95</v>
      </c>
      <c r="E4449" s="6" t="s">
        <v>5131</v>
      </c>
      <c r="F4449" s="9" t="s">
        <v>11362</v>
      </c>
    </row>
    <row r="4450" ht="33.75" customHeight="1">
      <c r="A4450" s="7">
        <v>147.0</v>
      </c>
      <c r="B4450" s="9" t="s">
        <v>9217</v>
      </c>
      <c r="C4450" s="9" t="s">
        <v>195</v>
      </c>
      <c r="D4450" s="9" t="s">
        <v>98</v>
      </c>
      <c r="E4450" s="6" t="s">
        <v>5131</v>
      </c>
      <c r="F4450" s="9" t="s">
        <v>11362</v>
      </c>
    </row>
    <row r="4451" ht="33.75" customHeight="1">
      <c r="A4451" s="7">
        <v>147.0</v>
      </c>
      <c r="B4451" s="9" t="s">
        <v>9217</v>
      </c>
      <c r="C4451" s="9" t="s">
        <v>195</v>
      </c>
      <c r="D4451" s="9" t="s">
        <v>99</v>
      </c>
      <c r="E4451" s="6" t="s">
        <v>5131</v>
      </c>
      <c r="F4451" s="9" t="s">
        <v>11362</v>
      </c>
    </row>
    <row r="4452" ht="33.75" customHeight="1">
      <c r="A4452" s="7">
        <v>147.0</v>
      </c>
      <c r="B4452" s="9" t="s">
        <v>9217</v>
      </c>
      <c r="C4452" s="9" t="s">
        <v>195</v>
      </c>
      <c r="D4452" s="9" t="s">
        <v>101</v>
      </c>
      <c r="E4452" s="6" t="s">
        <v>5131</v>
      </c>
      <c r="F4452" s="9" t="s">
        <v>11362</v>
      </c>
    </row>
    <row r="4453" ht="33.75" customHeight="1">
      <c r="A4453" s="7">
        <v>147.0</v>
      </c>
      <c r="B4453" s="9" t="s">
        <v>9217</v>
      </c>
      <c r="C4453" s="9" t="s">
        <v>195</v>
      </c>
      <c r="D4453" s="9" t="s">
        <v>105</v>
      </c>
      <c r="E4453" s="6" t="s">
        <v>5133</v>
      </c>
      <c r="F4453" s="9" t="s">
        <v>11362</v>
      </c>
    </row>
    <row r="4454" ht="33.75" customHeight="1">
      <c r="A4454" s="7">
        <v>147.0</v>
      </c>
      <c r="B4454" s="9" t="s">
        <v>9217</v>
      </c>
      <c r="C4454" s="9" t="s">
        <v>195</v>
      </c>
      <c r="D4454" s="9" t="s">
        <v>107</v>
      </c>
      <c r="E4454" s="6" t="s">
        <v>5136</v>
      </c>
      <c r="F4454" s="9" t="s">
        <v>11362</v>
      </c>
    </row>
    <row r="4455" ht="33.75" customHeight="1">
      <c r="A4455" s="7">
        <v>147.0</v>
      </c>
      <c r="B4455" s="9" t="s">
        <v>9217</v>
      </c>
      <c r="C4455" s="9" t="s">
        <v>195</v>
      </c>
      <c r="D4455" s="9" t="s">
        <v>109</v>
      </c>
      <c r="E4455" s="6" t="s">
        <v>5136</v>
      </c>
      <c r="F4455" s="9" t="s">
        <v>11362</v>
      </c>
    </row>
    <row r="4456" ht="33.75" customHeight="1">
      <c r="A4456" s="7">
        <v>147.0</v>
      </c>
      <c r="B4456" s="9" t="s">
        <v>9217</v>
      </c>
      <c r="C4456" s="9" t="s">
        <v>195</v>
      </c>
      <c r="D4456" s="9" t="s">
        <v>637</v>
      </c>
      <c r="E4456" s="6" t="s">
        <v>5137</v>
      </c>
      <c r="F4456" s="9" t="s">
        <v>11362</v>
      </c>
    </row>
    <row r="4457" ht="33.75" customHeight="1">
      <c r="A4457" s="7">
        <v>147.0</v>
      </c>
      <c r="B4457" s="9" t="s">
        <v>9217</v>
      </c>
      <c r="C4457" s="9" t="s">
        <v>195</v>
      </c>
      <c r="D4457" s="9" t="s">
        <v>642</v>
      </c>
      <c r="E4457" s="6" t="s">
        <v>5138</v>
      </c>
      <c r="F4457" s="9" t="s">
        <v>11362</v>
      </c>
    </row>
    <row r="4458" ht="33.75" customHeight="1">
      <c r="A4458" s="7">
        <v>147.0</v>
      </c>
      <c r="B4458" s="9" t="s">
        <v>9217</v>
      </c>
      <c r="C4458" s="9" t="s">
        <v>195</v>
      </c>
      <c r="D4458" s="9" t="s">
        <v>647</v>
      </c>
      <c r="E4458" s="6" t="s">
        <v>5140</v>
      </c>
      <c r="F4458" s="9" t="s">
        <v>11362</v>
      </c>
    </row>
    <row r="4459" ht="33.75" customHeight="1">
      <c r="A4459" s="7">
        <v>147.0</v>
      </c>
      <c r="B4459" s="9" t="s">
        <v>9217</v>
      </c>
      <c r="C4459" s="9" t="s">
        <v>195</v>
      </c>
      <c r="D4459" s="9" t="s">
        <v>652</v>
      </c>
      <c r="E4459" s="6" t="s">
        <v>5141</v>
      </c>
      <c r="F4459" s="9" t="s">
        <v>11362</v>
      </c>
    </row>
    <row r="4460" ht="33.75" customHeight="1">
      <c r="A4460" s="7">
        <v>147.0</v>
      </c>
      <c r="B4460" s="9" t="s">
        <v>9217</v>
      </c>
      <c r="C4460" s="9" t="s">
        <v>195</v>
      </c>
      <c r="D4460" s="9" t="s">
        <v>111</v>
      </c>
      <c r="E4460" s="6" t="s">
        <v>5143</v>
      </c>
      <c r="F4460" s="9" t="s">
        <v>11362</v>
      </c>
    </row>
    <row r="4461" ht="33.75" customHeight="1">
      <c r="A4461" s="7">
        <v>147.0</v>
      </c>
      <c r="B4461" s="9" t="s">
        <v>9217</v>
      </c>
      <c r="C4461" s="9" t="s">
        <v>195</v>
      </c>
      <c r="D4461" s="9" t="s">
        <v>113</v>
      </c>
      <c r="E4461" s="6" t="s">
        <v>5143</v>
      </c>
      <c r="F4461" s="9" t="s">
        <v>11362</v>
      </c>
    </row>
    <row r="4462" ht="33.75" customHeight="1">
      <c r="A4462" s="7">
        <v>147.0</v>
      </c>
      <c r="B4462" s="9" t="s">
        <v>9217</v>
      </c>
      <c r="C4462" s="9" t="s">
        <v>195</v>
      </c>
      <c r="D4462" s="9" t="s">
        <v>114</v>
      </c>
      <c r="E4462" s="6" t="s">
        <v>5144</v>
      </c>
      <c r="F4462" s="9" t="s">
        <v>11362</v>
      </c>
    </row>
    <row r="4463" ht="33.75" customHeight="1">
      <c r="A4463" s="7">
        <v>147.0</v>
      </c>
      <c r="B4463" s="9" t="s">
        <v>9217</v>
      </c>
      <c r="C4463" s="9" t="s">
        <v>195</v>
      </c>
      <c r="D4463" s="9" t="s">
        <v>117</v>
      </c>
      <c r="E4463" s="6" t="s">
        <v>5146</v>
      </c>
      <c r="F4463" s="9" t="s">
        <v>11362</v>
      </c>
    </row>
    <row r="4464" ht="33.75" customHeight="1">
      <c r="A4464" s="7">
        <v>148.0</v>
      </c>
      <c r="B4464" s="9" t="s">
        <v>9280</v>
      </c>
      <c r="C4464" s="9" t="s">
        <v>195</v>
      </c>
      <c r="D4464" s="9" t="s">
        <v>24</v>
      </c>
      <c r="E4464" s="6" t="s">
        <v>5148</v>
      </c>
      <c r="F4464" s="9" t="s">
        <v>11451</v>
      </c>
      <c r="G4464" t="inlineStr" s="6">
        <is>
          <t xml:space="preserve">A mystical POKéMON that exudes a gentle aura. Has the ability to change climate conditions. According to a witness, its body was surrounded by a strange aura that gave it a mystical look. They say that if it emits an aura from its whole body, the weather will begin to change instantly. Its crystalline orbs appear to give this POKéMON the power to freely control the weather. It is called the divine POKéMON. When its entire body brightens slightly, the weather changes. DRAGONAIR stores an enormous amount of energy inside its body. It is said to alter weather conditions in its vicinity by discharging energy from the crystals on its neck and tail. A DRAGONAIR stores an enormous amount of energy inside its body. It is said to alter the weather around it by loosing energy from the crystals on its neck and tail. It is said to live in seas and lakes. Even though it has no wings, it has been seen flying occasionally. It is said to have the ability to change the weather. If its body takes on an aura, the weather changes instantly. It has long been thought that its crystalline orbs are imbued with the power to control the weather. From time immemorial, it has been venerated by agricultural peoples as an entity able to control the weather. Lakes where Dragonair live are filled with offerings from people, because they believe this Pokémon is able to control the weather. Some say that if you see it at the start of the year, flying through the sky and twisting its body, you’ll be healthy all year long. This Pokémon lives in pristine oceans and lakes. It can control the weather, and it uses this power to fly into the sky, riding on the wind. This Pokémon gathers power in the orbs on its tail and controls the weather. When enshrouded by an aura, Dragonair has a mystical appearance.</t>
        </is>
      </c>
    </row>
    <row r="4465" ht="33.75" customHeight="1">
      <c r="A4465" s="7">
        <v>148.0</v>
      </c>
      <c r="B4465" s="9" t="s">
        <v>9280</v>
      </c>
      <c r="C4465" s="9" t="s">
        <v>195</v>
      </c>
      <c r="D4465" s="9" t="s">
        <v>35</v>
      </c>
      <c r="E4465" s="6" t="s">
        <v>5148</v>
      </c>
      <c r="F4465" s="9" t="s">
        <v>11451</v>
      </c>
    </row>
    <row r="4466" ht="33.75" customHeight="1">
      <c r="A4466" s="7">
        <v>148.0</v>
      </c>
      <c r="B4466" s="9" t="s">
        <v>9280</v>
      </c>
      <c r="C4466" s="9" t="s">
        <v>195</v>
      </c>
      <c r="D4466" s="9" t="s">
        <v>42</v>
      </c>
      <c r="E4466" s="6" t="s">
        <v>5149</v>
      </c>
      <c r="F4466" s="9" t="s">
        <v>11451</v>
      </c>
    </row>
    <row r="4467" ht="33.75" customHeight="1">
      <c r="A4467" s="7">
        <v>148.0</v>
      </c>
      <c r="B4467" s="9" t="s">
        <v>9280</v>
      </c>
      <c r="C4467" s="9" t="s">
        <v>195</v>
      </c>
      <c r="D4467" s="9" t="s">
        <v>52</v>
      </c>
      <c r="E4467" s="6" t="s">
        <v>5150</v>
      </c>
      <c r="F4467" s="9" t="s">
        <v>11451</v>
      </c>
    </row>
    <row r="4468" ht="33.75" customHeight="1">
      <c r="A4468" s="7">
        <v>148.0</v>
      </c>
      <c r="B4468" s="9" t="s">
        <v>9280</v>
      </c>
      <c r="C4468" s="9" t="s">
        <v>195</v>
      </c>
      <c r="D4468" s="9" t="s">
        <v>59</v>
      </c>
      <c r="E4468" s="6" t="s">
        <v>5152</v>
      </c>
      <c r="F4468" s="9" t="s">
        <v>11451</v>
      </c>
    </row>
    <row r="4469" ht="33.75" customHeight="1">
      <c r="A4469" s="7">
        <v>148.0</v>
      </c>
      <c r="B4469" s="9" t="s">
        <v>9280</v>
      </c>
      <c r="C4469" s="9" t="s">
        <v>195</v>
      </c>
      <c r="D4469" s="9" t="s">
        <v>64</v>
      </c>
      <c r="E4469" s="6" t="s">
        <v>5153</v>
      </c>
      <c r="F4469" s="9" t="s">
        <v>11451</v>
      </c>
    </row>
    <row r="4470" ht="33.75" customHeight="1">
      <c r="A4470" s="7">
        <v>148.0</v>
      </c>
      <c r="B4470" s="9" t="s">
        <v>9280</v>
      </c>
      <c r="C4470" s="9" t="s">
        <v>195</v>
      </c>
      <c r="D4470" s="9" t="s">
        <v>67</v>
      </c>
      <c r="E4470" s="6" t="s">
        <v>5154</v>
      </c>
      <c r="F4470" s="9" t="s">
        <v>11451</v>
      </c>
    </row>
    <row r="4471" ht="33.75" customHeight="1">
      <c r="A4471" s="7">
        <v>148.0</v>
      </c>
      <c r="B4471" s="9" t="s">
        <v>9280</v>
      </c>
      <c r="C4471" s="9" t="s">
        <v>195</v>
      </c>
      <c r="D4471" s="9" t="s">
        <v>71</v>
      </c>
      <c r="E4471" s="6" t="s">
        <v>5154</v>
      </c>
      <c r="F4471" s="9" t="s">
        <v>11451</v>
      </c>
    </row>
    <row r="4472" ht="33.75" customHeight="1">
      <c r="A4472" s="7">
        <v>148.0</v>
      </c>
      <c r="B4472" s="9" t="s">
        <v>9280</v>
      </c>
      <c r="C4472" s="9" t="s">
        <v>195</v>
      </c>
      <c r="D4472" s="9" t="s">
        <v>73</v>
      </c>
      <c r="E4472" s="6" t="s">
        <v>5156</v>
      </c>
      <c r="F4472" s="9" t="s">
        <v>11451</v>
      </c>
    </row>
    <row r="4473" ht="33.75" customHeight="1">
      <c r="A4473" s="7">
        <v>148.0</v>
      </c>
      <c r="B4473" s="9" t="s">
        <v>9280</v>
      </c>
      <c r="C4473" s="9" t="s">
        <v>195</v>
      </c>
      <c r="D4473" s="9" t="s">
        <v>75</v>
      </c>
      <c r="E4473" s="6" t="s">
        <v>5157</v>
      </c>
      <c r="F4473" s="9" t="s">
        <v>11451</v>
      </c>
    </row>
    <row r="4474" ht="33.75" customHeight="1">
      <c r="A4474" s="7">
        <v>148.0</v>
      </c>
      <c r="B4474" s="9" t="s">
        <v>9280</v>
      </c>
      <c r="C4474" s="9" t="s">
        <v>195</v>
      </c>
      <c r="D4474" s="9" t="s">
        <v>79</v>
      </c>
      <c r="E4474" s="6" t="s">
        <v>5159</v>
      </c>
      <c r="F4474" s="9" t="s">
        <v>11451</v>
      </c>
    </row>
    <row r="4475" ht="33.75" customHeight="1">
      <c r="A4475" s="7">
        <v>148.0</v>
      </c>
      <c r="B4475" s="9" t="s">
        <v>9280</v>
      </c>
      <c r="C4475" s="9" t="s">
        <v>195</v>
      </c>
      <c r="D4475" s="9" t="s">
        <v>81</v>
      </c>
      <c r="E4475" s="6" t="s">
        <v>5160</v>
      </c>
      <c r="F4475" s="9" t="s">
        <v>11451</v>
      </c>
    </row>
    <row r="4476" ht="33.75" customHeight="1">
      <c r="A4476" s="7">
        <v>148.0</v>
      </c>
      <c r="B4476" s="9" t="s">
        <v>9280</v>
      </c>
      <c r="C4476" s="9" t="s">
        <v>195</v>
      </c>
      <c r="D4476" s="9" t="s">
        <v>84</v>
      </c>
      <c r="E4476" s="6" t="s">
        <v>5160</v>
      </c>
      <c r="F4476" s="9" t="s">
        <v>11451</v>
      </c>
    </row>
    <row r="4477" ht="33.75" customHeight="1">
      <c r="A4477" s="7">
        <v>148.0</v>
      </c>
      <c r="B4477" s="9" t="s">
        <v>9280</v>
      </c>
      <c r="C4477" s="9" t="s">
        <v>195</v>
      </c>
      <c r="D4477" s="9" t="s">
        <v>87</v>
      </c>
      <c r="E4477" s="6" t="s">
        <v>5160</v>
      </c>
      <c r="F4477" s="9" t="s">
        <v>11451</v>
      </c>
    </row>
    <row r="4478" ht="33.75" customHeight="1">
      <c r="A4478" s="7">
        <v>148.0</v>
      </c>
      <c r="B4478" s="9" t="s">
        <v>9280</v>
      </c>
      <c r="C4478" s="9" t="s">
        <v>195</v>
      </c>
      <c r="D4478" s="9" t="s">
        <v>89</v>
      </c>
      <c r="E4478" s="6" t="s">
        <v>5150</v>
      </c>
      <c r="F4478" s="9" t="s">
        <v>11451</v>
      </c>
    </row>
    <row r="4479" ht="33.75" customHeight="1">
      <c r="A4479" s="7">
        <v>148.0</v>
      </c>
      <c r="B4479" s="9" t="s">
        <v>9280</v>
      </c>
      <c r="C4479" s="9" t="s">
        <v>195</v>
      </c>
      <c r="D4479" s="9" t="s">
        <v>91</v>
      </c>
      <c r="E4479" s="6" t="s">
        <v>5161</v>
      </c>
      <c r="F4479" s="9" t="s">
        <v>11451</v>
      </c>
    </row>
    <row r="4480" ht="33.75" customHeight="1">
      <c r="A4480" s="7">
        <v>148.0</v>
      </c>
      <c r="B4480" s="9" t="s">
        <v>9280</v>
      </c>
      <c r="C4480" s="9" t="s">
        <v>195</v>
      </c>
      <c r="D4480" s="9" t="s">
        <v>93</v>
      </c>
      <c r="E4480" s="6" t="s">
        <v>5160</v>
      </c>
      <c r="F4480" s="9" t="s">
        <v>11451</v>
      </c>
    </row>
    <row r="4481" ht="33.75" customHeight="1">
      <c r="A4481" s="7">
        <v>148.0</v>
      </c>
      <c r="B4481" s="9" t="s">
        <v>9280</v>
      </c>
      <c r="C4481" s="9" t="s">
        <v>195</v>
      </c>
      <c r="D4481" s="9" t="s">
        <v>95</v>
      </c>
      <c r="E4481" s="6" t="s">
        <v>5160</v>
      </c>
      <c r="F4481" s="9" t="s">
        <v>11451</v>
      </c>
    </row>
    <row r="4482" ht="33.75" customHeight="1">
      <c r="A4482" s="7">
        <v>148.0</v>
      </c>
      <c r="B4482" s="9" t="s">
        <v>9280</v>
      </c>
      <c r="C4482" s="9" t="s">
        <v>195</v>
      </c>
      <c r="D4482" s="9" t="s">
        <v>98</v>
      </c>
      <c r="E4482" s="6" t="s">
        <v>5160</v>
      </c>
      <c r="F4482" s="9" t="s">
        <v>11451</v>
      </c>
    </row>
    <row r="4483" ht="33.75" customHeight="1">
      <c r="A4483" s="7">
        <v>148.0</v>
      </c>
      <c r="B4483" s="9" t="s">
        <v>9280</v>
      </c>
      <c r="C4483" s="9" t="s">
        <v>195</v>
      </c>
      <c r="D4483" s="9" t="s">
        <v>99</v>
      </c>
      <c r="E4483" s="6" t="s">
        <v>5160</v>
      </c>
      <c r="F4483" s="9" t="s">
        <v>11451</v>
      </c>
    </row>
    <row r="4484" ht="33.75" customHeight="1">
      <c r="A4484" s="7">
        <v>148.0</v>
      </c>
      <c r="B4484" s="9" t="s">
        <v>9280</v>
      </c>
      <c r="C4484" s="9" t="s">
        <v>195</v>
      </c>
      <c r="D4484" s="9" t="s">
        <v>101</v>
      </c>
      <c r="E4484" s="6" t="s">
        <v>5161</v>
      </c>
      <c r="F4484" s="9" t="s">
        <v>11451</v>
      </c>
    </row>
    <row r="4485" ht="33.75" customHeight="1">
      <c r="A4485" s="7">
        <v>148.0</v>
      </c>
      <c r="B4485" s="9" t="s">
        <v>9280</v>
      </c>
      <c r="C4485" s="9" t="s">
        <v>195</v>
      </c>
      <c r="D4485" s="9" t="s">
        <v>105</v>
      </c>
      <c r="E4485" s="6" t="s">
        <v>5163</v>
      </c>
      <c r="F4485" s="9" t="s">
        <v>11451</v>
      </c>
    </row>
    <row r="4486" ht="33.75" customHeight="1">
      <c r="A4486" s="7">
        <v>148.0</v>
      </c>
      <c r="B4486" s="9" t="s">
        <v>9280</v>
      </c>
      <c r="C4486" s="9" t="s">
        <v>195</v>
      </c>
      <c r="D4486" s="9" t="s">
        <v>107</v>
      </c>
      <c r="E4486" s="6" t="s">
        <v>5164</v>
      </c>
      <c r="F4486" s="9" t="s">
        <v>11451</v>
      </c>
    </row>
    <row r="4487" ht="33.75" customHeight="1">
      <c r="A4487" s="7">
        <v>148.0</v>
      </c>
      <c r="B4487" s="9" t="s">
        <v>9280</v>
      </c>
      <c r="C4487" s="9" t="s">
        <v>195</v>
      </c>
      <c r="D4487" s="9" t="s">
        <v>109</v>
      </c>
      <c r="E4487" s="6" t="s">
        <v>5164</v>
      </c>
      <c r="F4487" s="9" t="s">
        <v>11451</v>
      </c>
    </row>
    <row r="4488" ht="33.75" customHeight="1">
      <c r="A4488" s="7">
        <v>148.0</v>
      </c>
      <c r="B4488" s="9" t="s">
        <v>9280</v>
      </c>
      <c r="C4488" s="9" t="s">
        <v>195</v>
      </c>
      <c r="D4488" s="9" t="s">
        <v>637</v>
      </c>
      <c r="E4488" s="6" t="s">
        <v>5165</v>
      </c>
      <c r="F4488" s="9" t="s">
        <v>11451</v>
      </c>
    </row>
    <row r="4489" ht="33.75" customHeight="1">
      <c r="A4489" s="7">
        <v>148.0</v>
      </c>
      <c r="B4489" s="9" t="s">
        <v>9280</v>
      </c>
      <c r="C4489" s="9" t="s">
        <v>195</v>
      </c>
      <c r="D4489" s="9" t="s">
        <v>642</v>
      </c>
      <c r="E4489" s="6" t="s">
        <v>5167</v>
      </c>
      <c r="F4489" s="9" t="s">
        <v>11451</v>
      </c>
    </row>
    <row r="4490" ht="33.75" customHeight="1">
      <c r="A4490" s="7">
        <v>148.0</v>
      </c>
      <c r="B4490" s="9" t="s">
        <v>9280</v>
      </c>
      <c r="C4490" s="9" t="s">
        <v>195</v>
      </c>
      <c r="D4490" s="9" t="s">
        <v>647</v>
      </c>
      <c r="E4490" s="6" t="s">
        <v>5168</v>
      </c>
      <c r="F4490" s="9" t="s">
        <v>11451</v>
      </c>
    </row>
    <row r="4491" ht="33.75" customHeight="1">
      <c r="A4491" s="7">
        <v>148.0</v>
      </c>
      <c r="B4491" s="9" t="s">
        <v>9280</v>
      </c>
      <c r="C4491" s="9" t="s">
        <v>195</v>
      </c>
      <c r="D4491" s="9" t="s">
        <v>652</v>
      </c>
      <c r="E4491" s="6" t="s">
        <v>5169</v>
      </c>
      <c r="F4491" s="9" t="s">
        <v>11451</v>
      </c>
    </row>
    <row r="4492" ht="33.75" customHeight="1">
      <c r="A4492" s="7">
        <v>148.0</v>
      </c>
      <c r="B4492" s="9" t="s">
        <v>9280</v>
      </c>
      <c r="C4492" s="9" t="s">
        <v>195</v>
      </c>
      <c r="D4492" s="9" t="s">
        <v>111</v>
      </c>
      <c r="E4492" s="6" t="s">
        <v>5149</v>
      </c>
      <c r="F4492" s="9" t="s">
        <v>11451</v>
      </c>
    </row>
    <row r="4493" ht="33.75" customHeight="1">
      <c r="A4493" s="7">
        <v>148.0</v>
      </c>
      <c r="B4493" s="9" t="s">
        <v>9280</v>
      </c>
      <c r="C4493" s="9" t="s">
        <v>195</v>
      </c>
      <c r="D4493" s="9" t="s">
        <v>113</v>
      </c>
      <c r="E4493" s="6" t="s">
        <v>5149</v>
      </c>
      <c r="F4493" s="9" t="s">
        <v>11451</v>
      </c>
    </row>
    <row r="4494" ht="33.75" customHeight="1">
      <c r="A4494" s="7">
        <v>148.0</v>
      </c>
      <c r="B4494" s="9" t="s">
        <v>9280</v>
      </c>
      <c r="C4494" s="9" t="s">
        <v>195</v>
      </c>
      <c r="D4494" s="9" t="s">
        <v>114</v>
      </c>
      <c r="E4494" s="6" t="s">
        <v>5170</v>
      </c>
      <c r="F4494" s="9" t="s">
        <v>11451</v>
      </c>
    </row>
    <row r="4495" ht="33.75" customHeight="1">
      <c r="A4495" s="7">
        <v>148.0</v>
      </c>
      <c r="B4495" s="9" t="s">
        <v>9280</v>
      </c>
      <c r="C4495" s="9" t="s">
        <v>195</v>
      </c>
      <c r="D4495" s="9" t="s">
        <v>117</v>
      </c>
      <c r="E4495" s="6" t="s">
        <v>5171</v>
      </c>
      <c r="F4495" s="9" t="s">
        <v>11451</v>
      </c>
    </row>
    <row r="4496" ht="33.75" customHeight="1">
      <c r="A4496" s="7">
        <v>149.0</v>
      </c>
      <c r="B4496" s="9" t="s">
        <v>9337</v>
      </c>
      <c r="C4496" s="9" t="s">
        <v>195</v>
      </c>
      <c r="D4496" s="9" t="s">
        <v>24</v>
      </c>
      <c r="E4496" s="6" t="s">
        <v>5172</v>
      </c>
      <c r="F4496" s="9" t="s">
        <v>11506</v>
      </c>
      <c r="G4496" t="inlineStr" s="6">
        <is>
          <t xml:space="preserve">An extremely rarely seen marine POKéMON. Its intelligence is said to match that of humans. It is said that this POKéMON lives somewhere in the sea and that it flies. However, it is only a rumor. It is said that this POKéMON constantly flies over the immense seas and rescues drown ing people. This marine POKé MON has an impressive build that lets it freely fly over raging seas without trouble. It is said that somewhere in the ocean lies an island where these gather. Only they live there. DRAGONITE is capable of circling the globe in just sixteen hours. It is a kindhearted POKéMON that leads lost and foundering ships in a storm to the safety of land. It can circle the globe in just 16 hours. It can fly in spite of its big and bulky physique. It circles the globe in just 16 hours. Only a very few people ever see this POKéMON. It is said to make its home somewhere in the sea. It guides crews of shipwrecks to shore. It is said that this Pokémon constantly flies over the immense seas and rescues drowning people. This marine Pokémon has an impressive build that lets it freely fly over raging seas without trouble. Dragonite is capable of circling the globe in just 16 hours. This Pokémon saved a shipwrecked man, taking him to a remote island—a paradise occupied solely by Dragonite. Incur the wrath of this normally calm Pokémon at your peril, because it will smash everything to smithereens before it’s satisfied. It flies over raging seas as if they were nothing. Observing this, a ship’s captain dubbed this Pokémon “the sea incarnate. You’ll often hear tales of this kindhearted Pokémon rescuing people or Pokémon that are drowning. However, these are only rumors. It’s a kindhearted Pokémon. If it spots a drowning person or Pokémon, Dragonite simply must help them. This Pokémon is known as the Sea Incarnate. Figureheads that resemble Dragonite decorate the bows of many ships.</t>
        </is>
      </c>
    </row>
    <row r="4497" ht="33.75" customHeight="1">
      <c r="A4497" s="7">
        <v>149.0</v>
      </c>
      <c r="B4497" s="9" t="s">
        <v>9337</v>
      </c>
      <c r="C4497" s="9" t="s">
        <v>195</v>
      </c>
      <c r="D4497" s="9" t="s">
        <v>35</v>
      </c>
      <c r="E4497" s="6" t="s">
        <v>5172</v>
      </c>
      <c r="F4497" s="9" t="s">
        <v>11506</v>
      </c>
    </row>
    <row r="4498" ht="33.75" customHeight="1">
      <c r="A4498" s="7">
        <v>149.0</v>
      </c>
      <c r="B4498" s="9" t="s">
        <v>9337</v>
      </c>
      <c r="C4498" s="9" t="s">
        <v>195</v>
      </c>
      <c r="D4498" s="9" t="s">
        <v>42</v>
      </c>
      <c r="E4498" s="6" t="s">
        <v>5173</v>
      </c>
      <c r="F4498" s="9" t="s">
        <v>11506</v>
      </c>
    </row>
    <row r="4499" ht="33.75" customHeight="1">
      <c r="A4499" s="7">
        <v>149.0</v>
      </c>
      <c r="B4499" s="9" t="s">
        <v>9337</v>
      </c>
      <c r="C4499" s="9" t="s">
        <v>195</v>
      </c>
      <c r="D4499" s="9" t="s">
        <v>52</v>
      </c>
      <c r="E4499" s="6" t="s">
        <v>5174</v>
      </c>
      <c r="F4499" s="9" t="s">
        <v>11506</v>
      </c>
    </row>
    <row r="4500" ht="33.75" customHeight="1">
      <c r="A4500" s="7">
        <v>149.0</v>
      </c>
      <c r="B4500" s="9" t="s">
        <v>9337</v>
      </c>
      <c r="C4500" s="9" t="s">
        <v>195</v>
      </c>
      <c r="D4500" s="9" t="s">
        <v>59</v>
      </c>
      <c r="E4500" s="6" t="s">
        <v>5175</v>
      </c>
      <c r="F4500" s="9" t="s">
        <v>11506</v>
      </c>
    </row>
    <row r="4501" ht="33.75" customHeight="1">
      <c r="A4501" s="7">
        <v>149.0</v>
      </c>
      <c r="B4501" s="9" t="s">
        <v>9337</v>
      </c>
      <c r="C4501" s="9" t="s">
        <v>195</v>
      </c>
      <c r="D4501" s="9" t="s">
        <v>64</v>
      </c>
      <c r="E4501" s="6" t="s">
        <v>5176</v>
      </c>
      <c r="F4501" s="9" t="s">
        <v>11506</v>
      </c>
    </row>
    <row r="4502" ht="33.75" customHeight="1">
      <c r="A4502" s="7">
        <v>149.0</v>
      </c>
      <c r="B4502" s="9" t="s">
        <v>9337</v>
      </c>
      <c r="C4502" s="9" t="s">
        <v>195</v>
      </c>
      <c r="D4502" s="9" t="s">
        <v>67</v>
      </c>
      <c r="E4502" s="6" t="s">
        <v>5177</v>
      </c>
      <c r="F4502" s="9" t="s">
        <v>11506</v>
      </c>
    </row>
    <row r="4503" ht="33.75" customHeight="1">
      <c r="A4503" s="7">
        <v>149.0</v>
      </c>
      <c r="B4503" s="9" t="s">
        <v>9337</v>
      </c>
      <c r="C4503" s="9" t="s">
        <v>195</v>
      </c>
      <c r="D4503" s="9" t="s">
        <v>71</v>
      </c>
      <c r="E4503" s="6" t="s">
        <v>5177</v>
      </c>
      <c r="F4503" s="9" t="s">
        <v>11506</v>
      </c>
    </row>
    <row r="4504" ht="33.75" customHeight="1">
      <c r="A4504" s="7">
        <v>149.0</v>
      </c>
      <c r="B4504" s="9" t="s">
        <v>9337</v>
      </c>
      <c r="C4504" s="9" t="s">
        <v>195</v>
      </c>
      <c r="D4504" s="9" t="s">
        <v>73</v>
      </c>
      <c r="E4504" s="6" t="s">
        <v>5178</v>
      </c>
      <c r="F4504" s="9" t="s">
        <v>11506</v>
      </c>
    </row>
    <row r="4505" ht="33.75" customHeight="1">
      <c r="A4505" s="7">
        <v>149.0</v>
      </c>
      <c r="B4505" s="9" t="s">
        <v>9337</v>
      </c>
      <c r="C4505" s="9" t="s">
        <v>195</v>
      </c>
      <c r="D4505" s="9" t="s">
        <v>75</v>
      </c>
      <c r="E4505" s="6" t="s">
        <v>5179</v>
      </c>
      <c r="F4505" s="9" t="s">
        <v>11506</v>
      </c>
    </row>
    <row r="4506" ht="33.75" customHeight="1">
      <c r="A4506" s="7">
        <v>149.0</v>
      </c>
      <c r="B4506" s="9" t="s">
        <v>9337</v>
      </c>
      <c r="C4506" s="9" t="s">
        <v>195</v>
      </c>
      <c r="D4506" s="9" t="s">
        <v>79</v>
      </c>
      <c r="E4506" s="6" t="s">
        <v>5180</v>
      </c>
      <c r="F4506" s="9" t="s">
        <v>11506</v>
      </c>
    </row>
    <row r="4507" ht="33.75" customHeight="1">
      <c r="A4507" s="7">
        <v>149.0</v>
      </c>
      <c r="B4507" s="9" t="s">
        <v>9337</v>
      </c>
      <c r="C4507" s="9" t="s">
        <v>195</v>
      </c>
      <c r="D4507" s="9" t="s">
        <v>81</v>
      </c>
      <c r="E4507" s="6" t="s">
        <v>5181</v>
      </c>
      <c r="F4507" s="9" t="s">
        <v>11506</v>
      </c>
    </row>
    <row r="4508" ht="33.75" customHeight="1">
      <c r="A4508" s="7">
        <v>149.0</v>
      </c>
      <c r="B4508" s="9" t="s">
        <v>9337</v>
      </c>
      <c r="C4508" s="9" t="s">
        <v>195</v>
      </c>
      <c r="D4508" s="9" t="s">
        <v>84</v>
      </c>
      <c r="E4508" s="6" t="s">
        <v>5181</v>
      </c>
      <c r="F4508" s="9" t="s">
        <v>11506</v>
      </c>
    </row>
    <row r="4509" ht="33.75" customHeight="1">
      <c r="A4509" s="7">
        <v>149.0</v>
      </c>
      <c r="B4509" s="9" t="s">
        <v>9337</v>
      </c>
      <c r="C4509" s="9" t="s">
        <v>195</v>
      </c>
      <c r="D4509" s="9" t="s">
        <v>87</v>
      </c>
      <c r="E4509" s="6" t="s">
        <v>5181</v>
      </c>
      <c r="F4509" s="9" t="s">
        <v>11506</v>
      </c>
    </row>
    <row r="4510" ht="33.75" customHeight="1">
      <c r="A4510" s="7">
        <v>149.0</v>
      </c>
      <c r="B4510" s="9" t="s">
        <v>9337</v>
      </c>
      <c r="C4510" s="9" t="s">
        <v>195</v>
      </c>
      <c r="D4510" s="9" t="s">
        <v>89</v>
      </c>
      <c r="E4510" s="6" t="s">
        <v>5182</v>
      </c>
      <c r="F4510" s="9" t="s">
        <v>11506</v>
      </c>
    </row>
    <row r="4511" ht="33.75" customHeight="1">
      <c r="A4511" s="7">
        <v>149.0</v>
      </c>
      <c r="B4511" s="9" t="s">
        <v>9337</v>
      </c>
      <c r="C4511" s="9" t="s">
        <v>195</v>
      </c>
      <c r="D4511" s="9" t="s">
        <v>91</v>
      </c>
      <c r="E4511" s="6" t="s">
        <v>5183</v>
      </c>
      <c r="F4511" s="9" t="s">
        <v>11506</v>
      </c>
    </row>
    <row r="4512" ht="33.75" customHeight="1">
      <c r="A4512" s="7">
        <v>149.0</v>
      </c>
      <c r="B4512" s="9" t="s">
        <v>9337</v>
      </c>
      <c r="C4512" s="9" t="s">
        <v>195</v>
      </c>
      <c r="D4512" s="9" t="s">
        <v>93</v>
      </c>
      <c r="E4512" s="6" t="s">
        <v>5181</v>
      </c>
      <c r="F4512" s="9" t="s">
        <v>11506</v>
      </c>
    </row>
    <row r="4513" ht="33.75" customHeight="1">
      <c r="A4513" s="7">
        <v>149.0</v>
      </c>
      <c r="B4513" s="9" t="s">
        <v>9337</v>
      </c>
      <c r="C4513" s="9" t="s">
        <v>195</v>
      </c>
      <c r="D4513" s="9" t="s">
        <v>95</v>
      </c>
      <c r="E4513" s="6" t="s">
        <v>5181</v>
      </c>
      <c r="F4513" s="9" t="s">
        <v>11506</v>
      </c>
    </row>
    <row r="4514" ht="33.75" customHeight="1">
      <c r="A4514" s="7">
        <v>149.0</v>
      </c>
      <c r="B4514" s="9" t="s">
        <v>9337</v>
      </c>
      <c r="C4514" s="9" t="s">
        <v>195</v>
      </c>
      <c r="D4514" s="9" t="s">
        <v>98</v>
      </c>
      <c r="E4514" s="6" t="s">
        <v>5181</v>
      </c>
      <c r="F4514" s="9" t="s">
        <v>11506</v>
      </c>
    </row>
    <row r="4515" ht="33.75" customHeight="1">
      <c r="A4515" s="7">
        <v>149.0</v>
      </c>
      <c r="B4515" s="9" t="s">
        <v>9337</v>
      </c>
      <c r="C4515" s="9" t="s">
        <v>195</v>
      </c>
      <c r="D4515" s="9" t="s">
        <v>99</v>
      </c>
      <c r="E4515" s="6" t="s">
        <v>5181</v>
      </c>
      <c r="F4515" s="9" t="s">
        <v>11506</v>
      </c>
    </row>
    <row r="4516" ht="33.75" customHeight="1">
      <c r="A4516" s="7">
        <v>149.0</v>
      </c>
      <c r="B4516" s="9" t="s">
        <v>9337</v>
      </c>
      <c r="C4516" s="9" t="s">
        <v>195</v>
      </c>
      <c r="D4516" s="9" t="s">
        <v>101</v>
      </c>
      <c r="E4516" s="6" t="s">
        <v>5179</v>
      </c>
      <c r="F4516" s="9" t="s">
        <v>11506</v>
      </c>
    </row>
    <row r="4517" ht="33.75" customHeight="1">
      <c r="A4517" s="7">
        <v>149.0</v>
      </c>
      <c r="B4517" s="9" t="s">
        <v>9337</v>
      </c>
      <c r="C4517" s="9" t="s">
        <v>195</v>
      </c>
      <c r="D4517" s="9" t="s">
        <v>105</v>
      </c>
      <c r="E4517" s="6" t="s">
        <v>5181</v>
      </c>
      <c r="F4517" s="9" t="s">
        <v>11506</v>
      </c>
    </row>
    <row r="4518" ht="33.75" customHeight="1">
      <c r="A4518" s="7">
        <v>149.0</v>
      </c>
      <c r="B4518" s="9" t="s">
        <v>9337</v>
      </c>
      <c r="C4518" s="9" t="s">
        <v>195</v>
      </c>
      <c r="D4518" s="9" t="s">
        <v>107</v>
      </c>
      <c r="E4518" s="6" t="s">
        <v>5184</v>
      </c>
      <c r="F4518" s="9" t="s">
        <v>11506</v>
      </c>
    </row>
    <row r="4519" ht="33.75" customHeight="1">
      <c r="A4519" s="7">
        <v>149.0</v>
      </c>
      <c r="B4519" s="9" t="s">
        <v>9337</v>
      </c>
      <c r="C4519" s="9" t="s">
        <v>195</v>
      </c>
      <c r="D4519" s="9" t="s">
        <v>109</v>
      </c>
      <c r="E4519" s="6" t="s">
        <v>5184</v>
      </c>
      <c r="F4519" s="9" t="s">
        <v>11506</v>
      </c>
    </row>
    <row r="4520" ht="33.75" customHeight="1">
      <c r="A4520" s="7">
        <v>149.0</v>
      </c>
      <c r="B4520" s="9" t="s">
        <v>9337</v>
      </c>
      <c r="C4520" s="9" t="s">
        <v>195</v>
      </c>
      <c r="D4520" s="9" t="s">
        <v>637</v>
      </c>
      <c r="E4520" s="6" t="s">
        <v>5186</v>
      </c>
      <c r="F4520" s="9" t="s">
        <v>11506</v>
      </c>
    </row>
    <row r="4521" ht="33.75" customHeight="1">
      <c r="A4521" s="7">
        <v>149.0</v>
      </c>
      <c r="B4521" s="9" t="s">
        <v>9337</v>
      </c>
      <c r="C4521" s="9" t="s">
        <v>195</v>
      </c>
      <c r="D4521" s="9" t="s">
        <v>642</v>
      </c>
      <c r="E4521" s="6" t="s">
        <v>5187</v>
      </c>
      <c r="F4521" s="9" t="s">
        <v>11506</v>
      </c>
    </row>
    <row r="4522" ht="33.75" customHeight="1">
      <c r="A4522" s="7">
        <v>149.0</v>
      </c>
      <c r="B4522" s="9" t="s">
        <v>9337</v>
      </c>
      <c r="C4522" s="9" t="s">
        <v>195</v>
      </c>
      <c r="D4522" s="9" t="s">
        <v>647</v>
      </c>
      <c r="E4522" s="6" t="s">
        <v>5188</v>
      </c>
      <c r="F4522" s="9" t="s">
        <v>11506</v>
      </c>
    </row>
    <row r="4523" ht="33.75" customHeight="1">
      <c r="A4523" s="7">
        <v>149.0</v>
      </c>
      <c r="B4523" s="9" t="s">
        <v>9337</v>
      </c>
      <c r="C4523" s="9" t="s">
        <v>195</v>
      </c>
      <c r="D4523" s="9" t="s">
        <v>652</v>
      </c>
      <c r="E4523" s="6" t="s">
        <v>5189</v>
      </c>
      <c r="F4523" s="9" t="s">
        <v>11506</v>
      </c>
    </row>
    <row r="4524" ht="33.75" customHeight="1">
      <c r="A4524" s="7">
        <v>149.0</v>
      </c>
      <c r="B4524" s="9" t="s">
        <v>9337</v>
      </c>
      <c r="C4524" s="9" t="s">
        <v>195</v>
      </c>
      <c r="D4524" s="9" t="s">
        <v>111</v>
      </c>
      <c r="E4524" s="6" t="s">
        <v>5190</v>
      </c>
      <c r="F4524" s="9" t="s">
        <v>11506</v>
      </c>
    </row>
    <row r="4525" ht="33.75" customHeight="1">
      <c r="A4525" s="7">
        <v>149.0</v>
      </c>
      <c r="B4525" s="9" t="s">
        <v>9337</v>
      </c>
      <c r="C4525" s="9" t="s">
        <v>195</v>
      </c>
      <c r="D4525" s="9" t="s">
        <v>113</v>
      </c>
      <c r="E4525" s="6" t="s">
        <v>5190</v>
      </c>
      <c r="F4525" s="9" t="s">
        <v>11506</v>
      </c>
    </row>
    <row r="4526" ht="33.75" customHeight="1">
      <c r="A4526" s="7">
        <v>149.0</v>
      </c>
      <c r="B4526" s="9" t="s">
        <v>9337</v>
      </c>
      <c r="C4526" s="9" t="s">
        <v>195</v>
      </c>
      <c r="D4526" s="9" t="s">
        <v>114</v>
      </c>
      <c r="E4526" s="6" t="s">
        <v>5192</v>
      </c>
      <c r="F4526" s="9" t="s">
        <v>11506</v>
      </c>
    </row>
    <row r="4527" ht="33.75" customHeight="1">
      <c r="A4527" s="7">
        <v>149.0</v>
      </c>
      <c r="B4527" s="9" t="s">
        <v>9337</v>
      </c>
      <c r="C4527" s="9" t="s">
        <v>195</v>
      </c>
      <c r="D4527" s="9" t="s">
        <v>117</v>
      </c>
      <c r="E4527" s="6" t="s">
        <v>5194</v>
      </c>
      <c r="F4527" s="9" t="s">
        <v>11506</v>
      </c>
    </row>
    <row r="4528" ht="33.75" customHeight="1">
      <c r="A4528" s="7">
        <v>150.0</v>
      </c>
      <c r="B4528" s="9" t="s">
        <v>9402</v>
      </c>
      <c r="C4528" s="9" t="s">
        <v>232</v>
      </c>
      <c r="D4528" s="9" t="s">
        <v>24</v>
      </c>
      <c r="E4528" s="6" t="s">
        <v>5195</v>
      </c>
      <c r="F4528" s="9" t="s">
        <v>11589</v>
      </c>
      <c r="G4528" t="inlineStr" s="6">
        <is>
          <t xml:space="preserve">Mewtwo was created by a scientist after years of horrific gene splicing and DNA engineering experiments. Its DNA is almost the same as MEW's. However, its size and disposition are vastly different. Because its battle abilities were raised to the ultimate level, it thinks only of defeating its foes. It usually remains motionless to conserve energy, so that it may unleash its full power in battle. Said to rest quietly in an undiscovered cave, this POKéMON was created solely for battling. MEWTWO is a POKéMON that was created by genetic manipulation. However, even though the scientific power of humans created this POKéMON’s body, they failed to endow MEWTWO with a compassionate heart. A POKéMON that was created by genetic manipulation. However, even though the scientific power of humans made its body, they failed to give it a warm heart. A POKéMON whose genetic code was repeatedly recombined for research. It turned vicious as a result. It was created by a scientist after years of horrific gene-splicing and DNA- engineering experiments. A Pokémon created by recombining MEW’s genes. It’s said to have the most savage heart among Pokémon. It was created by a scientist after years of horrific gene-splicing and DNA-engineering experiments.</t>
        </is>
      </c>
    </row>
    <row r="4529" ht="33.75" customHeight="1">
      <c r="A4529" s="7">
        <v>150.0</v>
      </c>
      <c r="B4529" s="9" t="s">
        <v>9402</v>
      </c>
      <c r="C4529" s="9" t="s">
        <v>232</v>
      </c>
      <c r="D4529" s="9" t="s">
        <v>35</v>
      </c>
      <c r="E4529" s="6" t="s">
        <v>5195</v>
      </c>
      <c r="F4529" s="9" t="s">
        <v>11589</v>
      </c>
    </row>
    <row r="4530" ht="33.75" customHeight="1">
      <c r="A4530" s="7">
        <v>150.0</v>
      </c>
      <c r="B4530" s="9" t="s">
        <v>9402</v>
      </c>
      <c r="C4530" s="9" t="s">
        <v>232</v>
      </c>
      <c r="D4530" s="9" t="s">
        <v>42</v>
      </c>
      <c r="E4530" s="6" t="s">
        <v>5196</v>
      </c>
      <c r="F4530" s="9" t="s">
        <v>11589</v>
      </c>
    </row>
    <row r="4531" ht="33.75" customHeight="1">
      <c r="A4531" s="7">
        <v>150.0</v>
      </c>
      <c r="B4531" s="9" t="s">
        <v>9402</v>
      </c>
      <c r="C4531" s="9" t="s">
        <v>232</v>
      </c>
      <c r="D4531" s="9" t="s">
        <v>52</v>
      </c>
      <c r="E4531" s="6" t="s">
        <v>5198</v>
      </c>
      <c r="F4531" s="9" t="s">
        <v>11589</v>
      </c>
    </row>
    <row r="4532" ht="33.75" customHeight="1">
      <c r="A4532" s="7">
        <v>150.0</v>
      </c>
      <c r="B4532" s="9" t="s">
        <v>9402</v>
      </c>
      <c r="C4532" s="9" t="s">
        <v>232</v>
      </c>
      <c r="D4532" s="9" t="s">
        <v>59</v>
      </c>
      <c r="E4532" s="6" t="s">
        <v>5199</v>
      </c>
      <c r="F4532" s="9" t="s">
        <v>11589</v>
      </c>
    </row>
    <row r="4533" ht="33.75" customHeight="1">
      <c r="A4533" s="7">
        <v>150.0</v>
      </c>
      <c r="B4533" s="9" t="s">
        <v>9402</v>
      </c>
      <c r="C4533" s="9" t="s">
        <v>232</v>
      </c>
      <c r="D4533" s="9" t="s">
        <v>64</v>
      </c>
      <c r="E4533" s="6" t="s">
        <v>5200</v>
      </c>
      <c r="F4533" s="9" t="s">
        <v>11589</v>
      </c>
    </row>
    <row r="4534" ht="33.75" customHeight="1">
      <c r="A4534" s="7">
        <v>150.0</v>
      </c>
      <c r="B4534" s="9" t="s">
        <v>9402</v>
      </c>
      <c r="C4534" s="9" t="s">
        <v>232</v>
      </c>
      <c r="D4534" s="9" t="s">
        <v>67</v>
      </c>
      <c r="E4534" s="6" t="s">
        <v>5202</v>
      </c>
      <c r="F4534" s="9" t="s">
        <v>11589</v>
      </c>
    </row>
    <row r="4535" ht="33.75" customHeight="1">
      <c r="A4535" s="7">
        <v>150.0</v>
      </c>
      <c r="B4535" s="9" t="s">
        <v>9402</v>
      </c>
      <c r="C4535" s="9" t="s">
        <v>232</v>
      </c>
      <c r="D4535" s="9" t="s">
        <v>71</v>
      </c>
      <c r="E4535" s="6" t="s">
        <v>5202</v>
      </c>
      <c r="F4535" s="9" t="s">
        <v>11589</v>
      </c>
    </row>
    <row r="4536" ht="33.75" customHeight="1">
      <c r="A4536" s="7">
        <v>150.0</v>
      </c>
      <c r="B4536" s="9" t="s">
        <v>9402</v>
      </c>
      <c r="C4536" s="9" t="s">
        <v>232</v>
      </c>
      <c r="D4536" s="9" t="s">
        <v>73</v>
      </c>
      <c r="E4536" s="6" t="s">
        <v>5203</v>
      </c>
      <c r="F4536" s="9" t="s">
        <v>11589</v>
      </c>
    </row>
    <row r="4537" ht="33.75" customHeight="1">
      <c r="A4537" s="7">
        <v>150.0</v>
      </c>
      <c r="B4537" s="9" t="s">
        <v>9402</v>
      </c>
      <c r="C4537" s="9" t="s">
        <v>232</v>
      </c>
      <c r="D4537" s="9" t="s">
        <v>75</v>
      </c>
      <c r="E4537" s="6" t="s">
        <v>5206</v>
      </c>
      <c r="F4537" s="9" t="s">
        <v>11589</v>
      </c>
    </row>
    <row r="4538" ht="33.75" customHeight="1">
      <c r="A4538" s="7">
        <v>150.0</v>
      </c>
      <c r="B4538" s="9" t="s">
        <v>9402</v>
      </c>
      <c r="C4538" s="9" t="s">
        <v>232</v>
      </c>
      <c r="D4538" s="9" t="s">
        <v>79</v>
      </c>
      <c r="E4538" s="6" t="s">
        <v>5208</v>
      </c>
      <c r="F4538" s="9" t="s">
        <v>11589</v>
      </c>
    </row>
    <row r="4539" ht="33.75" customHeight="1">
      <c r="A4539" s="7">
        <v>150.0</v>
      </c>
      <c r="B4539" s="9" t="s">
        <v>9402</v>
      </c>
      <c r="C4539" s="9" t="s">
        <v>232</v>
      </c>
      <c r="D4539" s="9" t="s">
        <v>81</v>
      </c>
      <c r="E4539" s="6" t="s">
        <v>5209</v>
      </c>
      <c r="F4539" s="9" t="s">
        <v>11589</v>
      </c>
    </row>
    <row r="4540" ht="33.75" customHeight="1">
      <c r="A4540" s="7">
        <v>150.0</v>
      </c>
      <c r="B4540" s="9" t="s">
        <v>9402</v>
      </c>
      <c r="C4540" s="9" t="s">
        <v>232</v>
      </c>
      <c r="D4540" s="9" t="s">
        <v>84</v>
      </c>
      <c r="E4540" s="6" t="s">
        <v>5209</v>
      </c>
      <c r="F4540" s="9" t="s">
        <v>11589</v>
      </c>
    </row>
    <row r="4541" ht="33.75" customHeight="1">
      <c r="A4541" s="7">
        <v>150.0</v>
      </c>
      <c r="B4541" s="9" t="s">
        <v>9402</v>
      </c>
      <c r="C4541" s="9" t="s">
        <v>232</v>
      </c>
      <c r="D4541" s="9" t="s">
        <v>87</v>
      </c>
      <c r="E4541" s="6" t="s">
        <v>5209</v>
      </c>
      <c r="F4541" s="9" t="s">
        <v>11589</v>
      </c>
    </row>
    <row r="4542" ht="33.75" customHeight="1">
      <c r="A4542" s="7">
        <v>150.0</v>
      </c>
      <c r="B4542" s="9" t="s">
        <v>9402</v>
      </c>
      <c r="C4542" s="9" t="s">
        <v>232</v>
      </c>
      <c r="D4542" s="9" t="s">
        <v>89</v>
      </c>
      <c r="E4542" s="6" t="s">
        <v>5210</v>
      </c>
      <c r="F4542" s="9" t="s">
        <v>11589</v>
      </c>
    </row>
    <row r="4543" ht="33.75" customHeight="1">
      <c r="A4543" s="7">
        <v>150.0</v>
      </c>
      <c r="B4543" s="9" t="s">
        <v>9402</v>
      </c>
      <c r="C4543" s="9" t="s">
        <v>232</v>
      </c>
      <c r="D4543" s="9" t="s">
        <v>91</v>
      </c>
      <c r="E4543" s="6" t="s">
        <v>5212</v>
      </c>
      <c r="F4543" s="9" t="s">
        <v>11589</v>
      </c>
    </row>
    <row r="4544" ht="33.75" customHeight="1">
      <c r="A4544" s="7">
        <v>150.0</v>
      </c>
      <c r="B4544" s="9" t="s">
        <v>9402</v>
      </c>
      <c r="C4544" s="9" t="s">
        <v>232</v>
      </c>
      <c r="D4544" s="9" t="s">
        <v>93</v>
      </c>
      <c r="E4544" s="6" t="s">
        <v>5213</v>
      </c>
      <c r="F4544" s="9" t="s">
        <v>11589</v>
      </c>
    </row>
    <row r="4545" ht="33.75" customHeight="1">
      <c r="A4545" s="7">
        <v>150.0</v>
      </c>
      <c r="B4545" s="9" t="s">
        <v>9402</v>
      </c>
      <c r="C4545" s="9" t="s">
        <v>232</v>
      </c>
      <c r="D4545" s="9" t="s">
        <v>95</v>
      </c>
      <c r="E4545" s="6" t="s">
        <v>5213</v>
      </c>
      <c r="F4545" s="9" t="s">
        <v>11589</v>
      </c>
    </row>
    <row r="4546" ht="33.75" customHeight="1">
      <c r="A4546" s="7">
        <v>150.0</v>
      </c>
      <c r="B4546" s="9" t="s">
        <v>9402</v>
      </c>
      <c r="C4546" s="9" t="s">
        <v>232</v>
      </c>
      <c r="D4546" s="9" t="s">
        <v>98</v>
      </c>
      <c r="E4546" s="6" t="s">
        <v>5213</v>
      </c>
      <c r="F4546" s="9" t="s">
        <v>11589</v>
      </c>
    </row>
    <row r="4547" ht="33.75" customHeight="1">
      <c r="A4547" s="7">
        <v>150.0</v>
      </c>
      <c r="B4547" s="9" t="s">
        <v>9402</v>
      </c>
      <c r="C4547" s="9" t="s">
        <v>232</v>
      </c>
      <c r="D4547" s="9" t="s">
        <v>99</v>
      </c>
      <c r="E4547" s="6" t="s">
        <v>5213</v>
      </c>
      <c r="F4547" s="9" t="s">
        <v>11589</v>
      </c>
    </row>
    <row r="4548" ht="33.75" customHeight="1">
      <c r="A4548" s="7">
        <v>150.0</v>
      </c>
      <c r="B4548" s="9" t="s">
        <v>9402</v>
      </c>
      <c r="C4548" s="9" t="s">
        <v>232</v>
      </c>
      <c r="D4548" s="9" t="s">
        <v>101</v>
      </c>
      <c r="E4548" s="6" t="s">
        <v>5215</v>
      </c>
      <c r="F4548" s="9" t="s">
        <v>11589</v>
      </c>
    </row>
    <row r="4549" ht="33.75" customHeight="1">
      <c r="A4549" s="7">
        <v>150.0</v>
      </c>
      <c r="B4549" s="9" t="s">
        <v>9402</v>
      </c>
      <c r="C4549" s="9" t="s">
        <v>232</v>
      </c>
      <c r="D4549" s="9" t="s">
        <v>105</v>
      </c>
      <c r="E4549" s="6" t="s">
        <v>5213</v>
      </c>
      <c r="F4549" s="9" t="s">
        <v>11589</v>
      </c>
    </row>
    <row r="4550" ht="33.75" customHeight="1">
      <c r="A4550" s="7">
        <v>150.0</v>
      </c>
      <c r="B4550" s="9" t="s">
        <v>9402</v>
      </c>
      <c r="C4550" s="9" t="s">
        <v>232</v>
      </c>
      <c r="D4550" s="9" t="s">
        <v>107</v>
      </c>
      <c r="E4550" s="6" t="s">
        <v>5217</v>
      </c>
      <c r="F4550" s="9" t="s">
        <v>11589</v>
      </c>
    </row>
    <row r="4551" ht="33.75" customHeight="1">
      <c r="A4551" s="7">
        <v>150.0</v>
      </c>
      <c r="B4551" s="9" t="s">
        <v>9402</v>
      </c>
      <c r="C4551" s="9" t="s">
        <v>232</v>
      </c>
      <c r="D4551" s="9" t="s">
        <v>109</v>
      </c>
      <c r="E4551" s="6" t="s">
        <v>5217</v>
      </c>
      <c r="F4551" s="9" t="s">
        <v>11589</v>
      </c>
    </row>
    <row r="4552" ht="33.75" customHeight="1">
      <c r="A4552" s="7">
        <v>150.0</v>
      </c>
      <c r="B4552" s="9" t="s">
        <v>9402</v>
      </c>
      <c r="C4552" s="9" t="s">
        <v>232</v>
      </c>
      <c r="D4552" s="9" t="s">
        <v>111</v>
      </c>
      <c r="E4552" s="6" t="s">
        <v>5219</v>
      </c>
      <c r="F4552" s="9" t="s">
        <v>11589</v>
      </c>
    </row>
    <row r="4553" ht="33.75" customHeight="1">
      <c r="A4553" s="7">
        <v>150.0</v>
      </c>
      <c r="B4553" s="9" t="s">
        <v>9402</v>
      </c>
      <c r="C4553" s="9" t="s">
        <v>232</v>
      </c>
      <c r="D4553" s="9" t="s">
        <v>113</v>
      </c>
      <c r="E4553" s="6" t="s">
        <v>5219</v>
      </c>
      <c r="F4553" s="9" t="s">
        <v>11589</v>
      </c>
    </row>
    <row r="4554" ht="33.75" customHeight="1">
      <c r="A4554" s="7">
        <v>151.0</v>
      </c>
      <c r="B4554" s="9" t="s">
        <v>9450</v>
      </c>
      <c r="C4554" s="9" t="s">
        <v>233</v>
      </c>
      <c r="D4554" s="9" t="s">
        <v>24</v>
      </c>
      <c r="E4554" s="6" t="s">
        <v>5220</v>
      </c>
      <c r="F4554" s="9" t="s">
        <v>11683</v>
      </c>
      <c r="G4554" t="inlineStr" s="6">
        <is>
          <t xml:space="preserve">So rare that Mew is still said to be a mirage by many experts. Only a few people have seen it worldwide. When viewed through a microscope, this POKéMON's short, fine, delicate hair can be seen. Apparently, it appears only to those people who are pure of heart and have a strong desire to see it. Its DNA is said to contain the genetic codes of all POKéMON, so it can use all kinds of techniques. Because it can learn any move, some people began research to see if it is the ancestor of all POKéMON. MEW is said to possess the genetic composition of all POKéMON. It is capable of making itself invisible at will, so it entirely avoids notice even if it approaches people. A MEW is said to possess the genes of all POKéMON. A POKéMON of South America that was thought to have been extinct. It is very intelligent and learns any move. Because it can use all kinds of moves, many scientists believe MEW to be the ancestor of Pokémon.</t>
        </is>
      </c>
    </row>
    <row r="4555" ht="33.75" customHeight="1">
      <c r="A4555" s="7">
        <v>151.0</v>
      </c>
      <c r="B4555" s="9" t="s">
        <v>9450</v>
      </c>
      <c r="C4555" s="9" t="s">
        <v>233</v>
      </c>
      <c r="D4555" s="9" t="s">
        <v>35</v>
      </c>
      <c r="E4555" s="6" t="s">
        <v>5220</v>
      </c>
      <c r="F4555" s="9" t="s">
        <v>11683</v>
      </c>
    </row>
    <row r="4556" ht="33.75" customHeight="1">
      <c r="A4556" s="7">
        <v>151.0</v>
      </c>
      <c r="B4556" s="9" t="s">
        <v>9450</v>
      </c>
      <c r="C4556" s="9" t="s">
        <v>233</v>
      </c>
      <c r="D4556" s="9" t="s">
        <v>42</v>
      </c>
      <c r="E4556" s="6" t="s">
        <v>5221</v>
      </c>
      <c r="F4556" s="9" t="s">
        <v>11683</v>
      </c>
    </row>
    <row r="4557" ht="33.75" customHeight="1">
      <c r="A4557" s="7">
        <v>151.0</v>
      </c>
      <c r="B4557" s="9" t="s">
        <v>9450</v>
      </c>
      <c r="C4557" s="9" t="s">
        <v>233</v>
      </c>
      <c r="D4557" s="9" t="s">
        <v>52</v>
      </c>
      <c r="E4557" s="6" t="s">
        <v>5223</v>
      </c>
      <c r="F4557" s="9" t="s">
        <v>11683</v>
      </c>
    </row>
    <row r="4558" ht="33.75" customHeight="1">
      <c r="A4558" s="7">
        <v>151.0</v>
      </c>
      <c r="B4558" s="9" t="s">
        <v>9450</v>
      </c>
      <c r="C4558" s="9" t="s">
        <v>233</v>
      </c>
      <c r="D4558" s="9" t="s">
        <v>59</v>
      </c>
      <c r="E4558" s="6" t="s">
        <v>5225</v>
      </c>
      <c r="F4558" s="9" t="s">
        <v>11683</v>
      </c>
    </row>
    <row r="4559" ht="33.75" customHeight="1">
      <c r="A4559" s="7">
        <v>151.0</v>
      </c>
      <c r="B4559" s="9" t="s">
        <v>9450</v>
      </c>
      <c r="C4559" s="9" t="s">
        <v>233</v>
      </c>
      <c r="D4559" s="9" t="s">
        <v>64</v>
      </c>
      <c r="E4559" s="6" t="s">
        <v>5226</v>
      </c>
      <c r="F4559" s="9" t="s">
        <v>11683</v>
      </c>
    </row>
    <row r="4560" ht="33.75" customHeight="1">
      <c r="A4560" s="7">
        <v>151.0</v>
      </c>
      <c r="B4560" s="9" t="s">
        <v>9450</v>
      </c>
      <c r="C4560" s="9" t="s">
        <v>233</v>
      </c>
      <c r="D4560" s="9" t="s">
        <v>67</v>
      </c>
      <c r="E4560" s="6" t="s">
        <v>5228</v>
      </c>
      <c r="F4560" s="9" t="s">
        <v>11683</v>
      </c>
    </row>
    <row r="4561" ht="33.75" customHeight="1">
      <c r="A4561" s="7">
        <v>151.0</v>
      </c>
      <c r="B4561" s="9" t="s">
        <v>9450</v>
      </c>
      <c r="C4561" s="9" t="s">
        <v>233</v>
      </c>
      <c r="D4561" s="9" t="s">
        <v>71</v>
      </c>
      <c r="E4561" s="6" t="s">
        <v>5228</v>
      </c>
      <c r="F4561" s="9" t="s">
        <v>11683</v>
      </c>
    </row>
    <row r="4562" ht="33.75" customHeight="1">
      <c r="A4562" s="7">
        <v>151.0</v>
      </c>
      <c r="B4562" s="9" t="s">
        <v>9450</v>
      </c>
      <c r="C4562" s="9" t="s">
        <v>233</v>
      </c>
      <c r="D4562" s="9" t="s">
        <v>73</v>
      </c>
      <c r="E4562" s="6" t="s">
        <v>5230</v>
      </c>
      <c r="F4562" s="9" t="s">
        <v>11683</v>
      </c>
    </row>
    <row r="4563" ht="33.75" customHeight="1">
      <c r="A4563" s="7">
        <v>151.0</v>
      </c>
      <c r="B4563" s="9" t="s">
        <v>9450</v>
      </c>
      <c r="C4563" s="9" t="s">
        <v>233</v>
      </c>
      <c r="D4563" s="9" t="s">
        <v>75</v>
      </c>
      <c r="E4563" s="6" t="s">
        <v>5231</v>
      </c>
      <c r="F4563" s="9" t="s">
        <v>11683</v>
      </c>
    </row>
    <row r="4564" ht="33.75" customHeight="1">
      <c r="A4564" s="7">
        <v>151.0</v>
      </c>
      <c r="B4564" s="9" t="s">
        <v>9450</v>
      </c>
      <c r="C4564" s="9" t="s">
        <v>233</v>
      </c>
      <c r="D4564" s="9" t="s">
        <v>79</v>
      </c>
      <c r="E4564" s="6" t="s">
        <v>5220</v>
      </c>
      <c r="F4564" s="9" t="s">
        <v>11683</v>
      </c>
    </row>
    <row r="4565" ht="33.75" customHeight="1">
      <c r="A4565" s="7">
        <v>151.0</v>
      </c>
      <c r="B4565" s="9" t="s">
        <v>9450</v>
      </c>
      <c r="C4565" s="9" t="s">
        <v>233</v>
      </c>
      <c r="D4565" s="9" t="s">
        <v>81</v>
      </c>
      <c r="E4565" s="6" t="s">
        <v>5233</v>
      </c>
      <c r="F4565" s="9" t="s">
        <v>11683</v>
      </c>
    </row>
    <row r="4566" ht="33.75" customHeight="1">
      <c r="A4566" s="7">
        <v>151.0</v>
      </c>
      <c r="B4566" s="9" t="s">
        <v>9450</v>
      </c>
      <c r="C4566" s="9" t="s">
        <v>233</v>
      </c>
      <c r="D4566" s="9" t="s">
        <v>84</v>
      </c>
      <c r="E4566" s="6" t="s">
        <v>5233</v>
      </c>
      <c r="F4566" s="9" t="s">
        <v>11683</v>
      </c>
    </row>
    <row r="4567" ht="33.75" customHeight="1">
      <c r="A4567" s="7">
        <v>151.0</v>
      </c>
      <c r="B4567" s="9" t="s">
        <v>9450</v>
      </c>
      <c r="C4567" s="9" t="s">
        <v>233</v>
      </c>
      <c r="D4567" s="9" t="s">
        <v>87</v>
      </c>
      <c r="E4567" s="6" t="s">
        <v>5233</v>
      </c>
      <c r="F4567" s="9" t="s">
        <v>11683</v>
      </c>
    </row>
    <row r="4568" ht="33.75" customHeight="1">
      <c r="A4568" s="7">
        <v>151.0</v>
      </c>
      <c r="B4568" s="9" t="s">
        <v>9450</v>
      </c>
      <c r="C4568" s="9" t="s">
        <v>233</v>
      </c>
      <c r="D4568" s="9" t="s">
        <v>89</v>
      </c>
      <c r="E4568" s="6" t="s">
        <v>5223</v>
      </c>
      <c r="F4568" s="9" t="s">
        <v>11683</v>
      </c>
    </row>
    <row r="4569" ht="33.75" customHeight="1">
      <c r="A4569" s="7">
        <v>151.0</v>
      </c>
      <c r="B4569" s="9" t="s">
        <v>9450</v>
      </c>
      <c r="C4569" s="9" t="s">
        <v>233</v>
      </c>
      <c r="D4569" s="9" t="s">
        <v>91</v>
      </c>
      <c r="E4569" s="6" t="s">
        <v>5234</v>
      </c>
      <c r="F4569" s="9" t="s">
        <v>11683</v>
      </c>
    </row>
    <row r="4570" ht="33.75" customHeight="1">
      <c r="A4570" s="7">
        <v>151.0</v>
      </c>
      <c r="B4570" s="9" t="s">
        <v>9450</v>
      </c>
      <c r="C4570" s="9" t="s">
        <v>233</v>
      </c>
      <c r="D4570" s="9" t="s">
        <v>93</v>
      </c>
      <c r="E4570" s="6" t="s">
        <v>5236</v>
      </c>
      <c r="F4570" s="9" t="s">
        <v>11683</v>
      </c>
    </row>
    <row r="4571" ht="33.75" customHeight="1">
      <c r="A4571" s="7">
        <v>151.0</v>
      </c>
      <c r="B4571" s="9" t="s">
        <v>9450</v>
      </c>
      <c r="C4571" s="9" t="s">
        <v>233</v>
      </c>
      <c r="D4571" s="9" t="s">
        <v>95</v>
      </c>
      <c r="E4571" s="6" t="s">
        <v>5236</v>
      </c>
      <c r="F4571" s="9" t="s">
        <v>11683</v>
      </c>
    </row>
    <row r="4572" ht="33.75" customHeight="1">
      <c r="A4572" s="7">
        <v>151.0</v>
      </c>
      <c r="B4572" s="9" t="s">
        <v>9450</v>
      </c>
      <c r="C4572" s="9" t="s">
        <v>233</v>
      </c>
      <c r="D4572" s="9" t="s">
        <v>98</v>
      </c>
      <c r="E4572" s="6" t="s">
        <v>5236</v>
      </c>
      <c r="F4572" s="9" t="s">
        <v>11683</v>
      </c>
    </row>
    <row r="4573" ht="33.75" customHeight="1">
      <c r="A4573" s="7">
        <v>151.0</v>
      </c>
      <c r="B4573" s="9" t="s">
        <v>9450</v>
      </c>
      <c r="C4573" s="9" t="s">
        <v>233</v>
      </c>
      <c r="D4573" s="9" t="s">
        <v>99</v>
      </c>
      <c r="E4573" s="6" t="s">
        <v>5236</v>
      </c>
      <c r="F4573" s="9" t="s">
        <v>11683</v>
      </c>
    </row>
    <row r="4574" ht="33.75" customHeight="1">
      <c r="A4574" s="7">
        <v>151.0</v>
      </c>
      <c r="B4574" s="9" t="s">
        <v>9450</v>
      </c>
      <c r="C4574" s="9" t="s">
        <v>233</v>
      </c>
      <c r="D4574" s="9" t="s">
        <v>101</v>
      </c>
      <c r="E4574" s="6" t="s">
        <v>5236</v>
      </c>
      <c r="F4574" s="9" t="s">
        <v>11683</v>
      </c>
    </row>
    <row r="4575" ht="33.75" customHeight="1">
      <c r="A4575" s="7">
        <v>151.0</v>
      </c>
      <c r="B4575" s="9" t="s">
        <v>9450</v>
      </c>
      <c r="C4575" s="9" t="s">
        <v>233</v>
      </c>
      <c r="D4575" s="9" t="s">
        <v>105</v>
      </c>
      <c r="E4575" s="6" t="s">
        <v>5234</v>
      </c>
      <c r="F4575" s="9" t="s">
        <v>11683</v>
      </c>
    </row>
    <row r="4576" ht="33.75" customHeight="1">
      <c r="A4576" s="7">
        <v>151.0</v>
      </c>
      <c r="B4576" s="9" t="s">
        <v>9450</v>
      </c>
      <c r="C4576" s="9" t="s">
        <v>233</v>
      </c>
      <c r="D4576" s="9" t="s">
        <v>107</v>
      </c>
      <c r="E4576" s="6" t="s">
        <v>5237</v>
      </c>
      <c r="F4576" s="9" t="s">
        <v>11683</v>
      </c>
    </row>
    <row r="4577" ht="33.75" customHeight="1">
      <c r="A4577" s="7">
        <v>151.0</v>
      </c>
      <c r="B4577" s="9" t="s">
        <v>9450</v>
      </c>
      <c r="C4577" s="9" t="s">
        <v>233</v>
      </c>
      <c r="D4577" s="9" t="s">
        <v>109</v>
      </c>
      <c r="E4577" s="6" t="s">
        <v>5237</v>
      </c>
      <c r="F4577" s="9" t="s">
        <v>11683</v>
      </c>
    </row>
    <row r="4578" ht="33.75" customHeight="1">
      <c r="A4578" s="7">
        <v>151.0</v>
      </c>
      <c r="B4578" s="9" t="s">
        <v>9450</v>
      </c>
      <c r="C4578" s="9" t="s">
        <v>233</v>
      </c>
      <c r="D4578" s="9" t="s">
        <v>111</v>
      </c>
      <c r="E4578" s="6" t="s">
        <v>5238</v>
      </c>
      <c r="F4578" s="9" t="s">
        <v>11683</v>
      </c>
    </row>
    <row r="4579" ht="33.75" customHeight="1">
      <c r="A4579" s="7">
        <v>151.0</v>
      </c>
      <c r="B4579" s="9" t="s">
        <v>9450</v>
      </c>
      <c r="C4579" s="9" t="s">
        <v>233</v>
      </c>
      <c r="D4579" s="9" t="s">
        <v>113</v>
      </c>
      <c r="E4579" s="6" t="s">
        <v>5238</v>
      </c>
      <c r="F4579" s="9" t="s">
        <v>11683</v>
      </c>
    </row>
    <row r="4580" ht="33.75" customHeight="1">
      <c r="A4580" s="7">
        <v>152.0</v>
      </c>
      <c r="B4580" s="9" t="s">
        <v>9502</v>
      </c>
      <c r="C4580" s="9" t="s">
        <v>234</v>
      </c>
      <c r="D4580" s="9" t="s">
        <v>52</v>
      </c>
      <c r="E4580" s="6" t="s">
        <v>5239</v>
      </c>
      <c r="F4580" s="9" t="s">
        <v>11772</v>
      </c>
      <c r="G4580" t="inlineStr" s="6">
        <is>
          <t xml:space="preserve">A sweet aroma gently wafts from the leaf on Chikorita's head. It is docile and loves to soak up the sun's rays. Its pleasantly aromatic leaves have the ability to check the humidity and temperature. It loves to bask in the sunlight. It uses the leaf on its head to seek out warm places. In battle, CHIKORITA waves its leaf around to keep the foe at bay. However, a sweet fragrance also wafts from the leaf, becalming the battling POKéMON and creating a cozy, friendly atmosphere all around. It waves its leaf around to keep foes at bay. However, a sweet fragrance also wafts from the leaf, creating a friendly atmosphere that becalms the battlers. It uses the leaf on its head to determine the temperature and humidity. It loves to sunbathe. It is docile and loves to soak up sunrays. Its pleasantly aromatic leaf has the ability to check humidity and temperature. It is docile and loves to soak up sun rays.</t>
        </is>
      </c>
    </row>
    <row r="4581" ht="33.75" customHeight="1">
      <c r="A4581" s="7">
        <v>152.0</v>
      </c>
      <c r="B4581" s="9" t="s">
        <v>9502</v>
      </c>
      <c r="C4581" s="9" t="s">
        <v>234</v>
      </c>
      <c r="D4581" s="9" t="s">
        <v>59</v>
      </c>
      <c r="E4581" s="6" t="s">
        <v>5240</v>
      </c>
      <c r="F4581" s="9" t="s">
        <v>11772</v>
      </c>
    </row>
    <row r="4582" ht="33.75" customHeight="1">
      <c r="A4582" s="7">
        <v>152.0</v>
      </c>
      <c r="B4582" s="9" t="s">
        <v>9502</v>
      </c>
      <c r="C4582" s="9" t="s">
        <v>234</v>
      </c>
      <c r="D4582" s="9" t="s">
        <v>64</v>
      </c>
      <c r="E4582" s="6" t="s">
        <v>5241</v>
      </c>
      <c r="F4582" s="9" t="s">
        <v>11772</v>
      </c>
    </row>
    <row r="4583" ht="33.75" customHeight="1">
      <c r="A4583" s="7">
        <v>152.0</v>
      </c>
      <c r="B4583" s="9" t="s">
        <v>9502</v>
      </c>
      <c r="C4583" s="9" t="s">
        <v>234</v>
      </c>
      <c r="D4583" s="9" t="s">
        <v>67</v>
      </c>
      <c r="E4583" s="6" t="s">
        <v>5242</v>
      </c>
      <c r="F4583" s="9" t="s">
        <v>11772</v>
      </c>
    </row>
    <row r="4584" ht="33.75" customHeight="1">
      <c r="A4584" s="7">
        <v>152.0</v>
      </c>
      <c r="B4584" s="9" t="s">
        <v>9502</v>
      </c>
      <c r="C4584" s="9" t="s">
        <v>234</v>
      </c>
      <c r="D4584" s="9" t="s">
        <v>71</v>
      </c>
      <c r="E4584" s="6" t="s">
        <v>5242</v>
      </c>
      <c r="F4584" s="9" t="s">
        <v>11772</v>
      </c>
    </row>
    <row r="4585" ht="33.75" customHeight="1">
      <c r="A4585" s="7">
        <v>152.0</v>
      </c>
      <c r="B4585" s="9" t="s">
        <v>9502</v>
      </c>
      <c r="C4585" s="9" t="s">
        <v>234</v>
      </c>
      <c r="D4585" s="9" t="s">
        <v>73</v>
      </c>
      <c r="E4585" s="6" t="s">
        <v>5243</v>
      </c>
      <c r="F4585" s="9" t="s">
        <v>11772</v>
      </c>
    </row>
    <row r="4586" ht="33.75" customHeight="1">
      <c r="A4586" s="7">
        <v>152.0</v>
      </c>
      <c r="B4586" s="9" t="s">
        <v>9502</v>
      </c>
      <c r="C4586" s="9" t="s">
        <v>234</v>
      </c>
      <c r="D4586" s="9" t="s">
        <v>75</v>
      </c>
      <c r="E4586" s="6" t="s">
        <v>5245</v>
      </c>
      <c r="F4586" s="9" t="s">
        <v>11772</v>
      </c>
    </row>
    <row r="4587" ht="33.75" customHeight="1">
      <c r="A4587" s="7">
        <v>152.0</v>
      </c>
      <c r="B4587" s="9" t="s">
        <v>9502</v>
      </c>
      <c r="C4587" s="9" t="s">
        <v>234</v>
      </c>
      <c r="D4587" s="9" t="s">
        <v>79</v>
      </c>
      <c r="E4587" s="6" t="s">
        <v>5246</v>
      </c>
      <c r="F4587" s="9" t="s">
        <v>11772</v>
      </c>
    </row>
    <row r="4588" ht="33.75" customHeight="1">
      <c r="A4588" s="7">
        <v>152.0</v>
      </c>
      <c r="B4588" s="9" t="s">
        <v>9502</v>
      </c>
      <c r="C4588" s="9" t="s">
        <v>234</v>
      </c>
      <c r="D4588" s="9" t="s">
        <v>81</v>
      </c>
      <c r="E4588" s="6" t="s">
        <v>5247</v>
      </c>
      <c r="F4588" s="9" t="s">
        <v>11772</v>
      </c>
    </row>
    <row r="4589" ht="33.75" customHeight="1">
      <c r="A4589" s="7">
        <v>152.0</v>
      </c>
      <c r="B4589" s="9" t="s">
        <v>9502</v>
      </c>
      <c r="C4589" s="9" t="s">
        <v>234</v>
      </c>
      <c r="D4589" s="9" t="s">
        <v>84</v>
      </c>
      <c r="E4589" s="6" t="s">
        <v>5247</v>
      </c>
      <c r="F4589" s="9" t="s">
        <v>11772</v>
      </c>
    </row>
    <row r="4590" ht="33.75" customHeight="1">
      <c r="A4590" s="7">
        <v>152.0</v>
      </c>
      <c r="B4590" s="9" t="s">
        <v>9502</v>
      </c>
      <c r="C4590" s="9" t="s">
        <v>234</v>
      </c>
      <c r="D4590" s="9" t="s">
        <v>87</v>
      </c>
      <c r="E4590" s="6" t="s">
        <v>5247</v>
      </c>
      <c r="F4590" s="9" t="s">
        <v>11772</v>
      </c>
    </row>
    <row r="4591" ht="33.75" customHeight="1">
      <c r="A4591" s="7">
        <v>152.0</v>
      </c>
      <c r="B4591" s="9" t="s">
        <v>9502</v>
      </c>
      <c r="C4591" s="9" t="s">
        <v>234</v>
      </c>
      <c r="D4591" s="9" t="s">
        <v>89</v>
      </c>
      <c r="E4591" s="6" t="s">
        <v>5248</v>
      </c>
      <c r="F4591" s="9" t="s">
        <v>11772</v>
      </c>
    </row>
    <row r="4592" ht="33.75" customHeight="1">
      <c r="A4592" s="7">
        <v>152.0</v>
      </c>
      <c r="B4592" s="9" t="s">
        <v>9502</v>
      </c>
      <c r="C4592" s="9" t="s">
        <v>234</v>
      </c>
      <c r="D4592" s="9" t="s">
        <v>91</v>
      </c>
      <c r="E4592" s="6" t="s">
        <v>5249</v>
      </c>
      <c r="F4592" s="9" t="s">
        <v>11772</v>
      </c>
    </row>
    <row r="4593" ht="33.75" customHeight="1">
      <c r="A4593" s="7">
        <v>152.0</v>
      </c>
      <c r="B4593" s="9" t="s">
        <v>9502</v>
      </c>
      <c r="C4593" s="9" t="s">
        <v>234</v>
      </c>
      <c r="D4593" s="9" t="s">
        <v>93</v>
      </c>
      <c r="E4593" s="6" t="s">
        <v>5247</v>
      </c>
      <c r="F4593" s="9" t="s">
        <v>11772</v>
      </c>
    </row>
    <row r="4594" ht="33.75" customHeight="1">
      <c r="A4594" s="7">
        <v>152.0</v>
      </c>
      <c r="B4594" s="9" t="s">
        <v>9502</v>
      </c>
      <c r="C4594" s="9" t="s">
        <v>234</v>
      </c>
      <c r="D4594" s="9" t="s">
        <v>95</v>
      </c>
      <c r="E4594" s="6" t="s">
        <v>5247</v>
      </c>
      <c r="F4594" s="9" t="s">
        <v>11772</v>
      </c>
    </row>
    <row r="4595" ht="33.75" customHeight="1">
      <c r="A4595" s="7">
        <v>152.0</v>
      </c>
      <c r="B4595" s="9" t="s">
        <v>9502</v>
      </c>
      <c r="C4595" s="9" t="s">
        <v>234</v>
      </c>
      <c r="D4595" s="9" t="s">
        <v>98</v>
      </c>
      <c r="E4595" s="6" t="s">
        <v>5247</v>
      </c>
      <c r="F4595" s="9" t="s">
        <v>11772</v>
      </c>
    </row>
    <row r="4596" ht="33.75" customHeight="1">
      <c r="A4596" s="7">
        <v>152.0</v>
      </c>
      <c r="B4596" s="9" t="s">
        <v>9502</v>
      </c>
      <c r="C4596" s="9" t="s">
        <v>234</v>
      </c>
      <c r="D4596" s="9" t="s">
        <v>99</v>
      </c>
      <c r="E4596" s="6" t="s">
        <v>5247</v>
      </c>
      <c r="F4596" s="9" t="s">
        <v>11772</v>
      </c>
    </row>
    <row r="4597" ht="33.75" customHeight="1">
      <c r="A4597" s="7">
        <v>152.0</v>
      </c>
      <c r="B4597" s="9" t="s">
        <v>9502</v>
      </c>
      <c r="C4597" s="9" t="s">
        <v>234</v>
      </c>
      <c r="D4597" s="9" t="s">
        <v>101</v>
      </c>
      <c r="E4597" s="6" t="s">
        <v>5251</v>
      </c>
      <c r="F4597" s="9" t="s">
        <v>11772</v>
      </c>
    </row>
    <row r="4598" ht="33.75" customHeight="1">
      <c r="A4598" s="7">
        <v>152.0</v>
      </c>
      <c r="B4598" s="9" t="s">
        <v>9502</v>
      </c>
      <c r="C4598" s="9" t="s">
        <v>234</v>
      </c>
      <c r="D4598" s="9" t="s">
        <v>105</v>
      </c>
      <c r="E4598" s="6" t="s">
        <v>5247</v>
      </c>
      <c r="F4598" s="9" t="s">
        <v>11772</v>
      </c>
    </row>
    <row r="4599" ht="33.75" customHeight="1">
      <c r="A4599" s="7">
        <v>152.0</v>
      </c>
      <c r="B4599" s="9" t="s">
        <v>9502</v>
      </c>
      <c r="C4599" s="9" t="s">
        <v>234</v>
      </c>
      <c r="D4599" s="9" t="s">
        <v>107</v>
      </c>
      <c r="E4599" s="6" t="s">
        <v>5252</v>
      </c>
      <c r="F4599" s="9" t="s">
        <v>11772</v>
      </c>
    </row>
    <row r="4600" ht="33.75" customHeight="1">
      <c r="A4600" s="7">
        <v>152.0</v>
      </c>
      <c r="B4600" s="9" t="s">
        <v>9502</v>
      </c>
      <c r="C4600" s="9" t="s">
        <v>234</v>
      </c>
      <c r="D4600" s="9" t="s">
        <v>109</v>
      </c>
      <c r="E4600" s="6" t="s">
        <v>5252</v>
      </c>
      <c r="F4600" s="9" t="s">
        <v>11772</v>
      </c>
    </row>
    <row r="4601" ht="33.75" customHeight="1">
      <c r="A4601" s="7">
        <v>153.0</v>
      </c>
      <c r="B4601" s="9" t="s">
        <v>9544</v>
      </c>
      <c r="C4601" s="9" t="s">
        <v>234</v>
      </c>
      <c r="D4601" s="9" t="s">
        <v>52</v>
      </c>
      <c r="E4601" s="6" t="s">
        <v>5253</v>
      </c>
      <c r="F4601" s="9" t="s">
        <v>11826</v>
      </c>
      <c r="G4601" t="inlineStr" s="6">
        <is>
          <t xml:space="preserve">The scent of spices comes from around Bayleef's neck. Somehow, sniffing it makes you want to fight. A spicy aroma emanates from around its neck. The aroma acts as a stimulant to re store health. The scent that wafts from the leaves on its neck causes anyone who smells it to become energetic. BAYLEEF’s neck is ringed by curled-up leaves. Inside each tubular leaf is a small shoot of a tree. The fragrance of this shoot makes people peppy. A BAYLEEF’s neck is ringed by curled-up leaves. Inside each leaf is a small tree shoot. The aroma acts as a stimulant to restore health. The buds that ring its neck give off a spicy aroma that perks people up.</t>
        </is>
      </c>
    </row>
    <row r="4602" ht="33.75" customHeight="1">
      <c r="A4602" s="7">
        <v>153.0</v>
      </c>
      <c r="B4602" s="9" t="s">
        <v>9544</v>
      </c>
      <c r="C4602" s="9" t="s">
        <v>234</v>
      </c>
      <c r="D4602" s="9" t="s">
        <v>59</v>
      </c>
      <c r="E4602" s="6" t="s">
        <v>5254</v>
      </c>
      <c r="F4602" s="9" t="s">
        <v>11826</v>
      </c>
    </row>
    <row r="4603" ht="33.75" customHeight="1">
      <c r="A4603" s="7">
        <v>153.0</v>
      </c>
      <c r="B4603" s="9" t="s">
        <v>9544</v>
      </c>
      <c r="C4603" s="9" t="s">
        <v>234</v>
      </c>
      <c r="D4603" s="9" t="s">
        <v>64</v>
      </c>
      <c r="E4603" s="6" t="s">
        <v>5255</v>
      </c>
      <c r="F4603" s="9" t="s">
        <v>11826</v>
      </c>
    </row>
    <row r="4604" ht="33.75" customHeight="1">
      <c r="A4604" s="7">
        <v>153.0</v>
      </c>
      <c r="B4604" s="9" t="s">
        <v>9544</v>
      </c>
      <c r="C4604" s="9" t="s">
        <v>234</v>
      </c>
      <c r="D4604" s="9" t="s">
        <v>67</v>
      </c>
      <c r="E4604" s="6" t="s">
        <v>5256</v>
      </c>
      <c r="F4604" s="9" t="s">
        <v>11826</v>
      </c>
    </row>
    <row r="4605" ht="33.75" customHeight="1">
      <c r="A4605" s="7">
        <v>153.0</v>
      </c>
      <c r="B4605" s="9" t="s">
        <v>9544</v>
      </c>
      <c r="C4605" s="9" t="s">
        <v>234</v>
      </c>
      <c r="D4605" s="9" t="s">
        <v>71</v>
      </c>
      <c r="E4605" s="6" t="s">
        <v>5256</v>
      </c>
      <c r="F4605" s="9" t="s">
        <v>11826</v>
      </c>
    </row>
    <row r="4606" ht="33.75" customHeight="1">
      <c r="A4606" s="7">
        <v>153.0</v>
      </c>
      <c r="B4606" s="9" t="s">
        <v>9544</v>
      </c>
      <c r="C4606" s="9" t="s">
        <v>234</v>
      </c>
      <c r="D4606" s="9" t="s">
        <v>73</v>
      </c>
      <c r="E4606" s="6" t="s">
        <v>5257</v>
      </c>
      <c r="F4606" s="9" t="s">
        <v>11826</v>
      </c>
    </row>
    <row r="4607" ht="33.75" customHeight="1">
      <c r="A4607" s="7">
        <v>153.0</v>
      </c>
      <c r="B4607" s="9" t="s">
        <v>9544</v>
      </c>
      <c r="C4607" s="9" t="s">
        <v>234</v>
      </c>
      <c r="D4607" s="9" t="s">
        <v>75</v>
      </c>
      <c r="E4607" s="6" t="s">
        <v>5258</v>
      </c>
      <c r="F4607" s="9" t="s">
        <v>11826</v>
      </c>
    </row>
    <row r="4608" ht="33.75" customHeight="1">
      <c r="A4608" s="7">
        <v>153.0</v>
      </c>
      <c r="B4608" s="9" t="s">
        <v>9544</v>
      </c>
      <c r="C4608" s="9" t="s">
        <v>234</v>
      </c>
      <c r="D4608" s="9" t="s">
        <v>79</v>
      </c>
      <c r="E4608" s="6" t="s">
        <v>5253</v>
      </c>
      <c r="F4608" s="9" t="s">
        <v>11826</v>
      </c>
    </row>
    <row r="4609" ht="33.75" customHeight="1">
      <c r="A4609" s="7">
        <v>153.0</v>
      </c>
      <c r="B4609" s="9" t="s">
        <v>9544</v>
      </c>
      <c r="C4609" s="9" t="s">
        <v>234</v>
      </c>
      <c r="D4609" s="9" t="s">
        <v>81</v>
      </c>
      <c r="E4609" s="6" t="s">
        <v>5259</v>
      </c>
      <c r="F4609" s="9" t="s">
        <v>11826</v>
      </c>
    </row>
    <row r="4610" ht="33.75" customHeight="1">
      <c r="A4610" s="7">
        <v>153.0</v>
      </c>
      <c r="B4610" s="9" t="s">
        <v>9544</v>
      </c>
      <c r="C4610" s="9" t="s">
        <v>234</v>
      </c>
      <c r="D4610" s="9" t="s">
        <v>84</v>
      </c>
      <c r="E4610" s="6" t="s">
        <v>5259</v>
      </c>
      <c r="F4610" s="9" t="s">
        <v>11826</v>
      </c>
    </row>
    <row r="4611" ht="33.75" customHeight="1">
      <c r="A4611" s="7">
        <v>153.0</v>
      </c>
      <c r="B4611" s="9" t="s">
        <v>9544</v>
      </c>
      <c r="C4611" s="9" t="s">
        <v>234</v>
      </c>
      <c r="D4611" s="9" t="s">
        <v>87</v>
      </c>
      <c r="E4611" s="6" t="s">
        <v>5259</v>
      </c>
      <c r="F4611" s="9" t="s">
        <v>11826</v>
      </c>
    </row>
    <row r="4612" ht="33.75" customHeight="1">
      <c r="A4612" s="7">
        <v>153.0</v>
      </c>
      <c r="B4612" s="9" t="s">
        <v>9544</v>
      </c>
      <c r="C4612" s="9" t="s">
        <v>234</v>
      </c>
      <c r="D4612" s="9" t="s">
        <v>89</v>
      </c>
      <c r="E4612" s="6" t="s">
        <v>5253</v>
      </c>
      <c r="F4612" s="9" t="s">
        <v>11826</v>
      </c>
    </row>
    <row r="4613" ht="33.75" customHeight="1">
      <c r="A4613" s="7">
        <v>153.0</v>
      </c>
      <c r="B4613" s="9" t="s">
        <v>9544</v>
      </c>
      <c r="C4613" s="9" t="s">
        <v>234</v>
      </c>
      <c r="D4613" s="9" t="s">
        <v>91</v>
      </c>
      <c r="E4613" s="6" t="s">
        <v>5258</v>
      </c>
      <c r="F4613" s="9" t="s">
        <v>11826</v>
      </c>
    </row>
    <row r="4614" ht="33.75" customHeight="1">
      <c r="A4614" s="7">
        <v>153.0</v>
      </c>
      <c r="B4614" s="9" t="s">
        <v>9544</v>
      </c>
      <c r="C4614" s="9" t="s">
        <v>234</v>
      </c>
      <c r="D4614" s="9" t="s">
        <v>93</v>
      </c>
      <c r="E4614" s="6" t="s">
        <v>5259</v>
      </c>
      <c r="F4614" s="9" t="s">
        <v>11826</v>
      </c>
    </row>
    <row r="4615" ht="33.75" customHeight="1">
      <c r="A4615" s="7">
        <v>153.0</v>
      </c>
      <c r="B4615" s="9" t="s">
        <v>9544</v>
      </c>
      <c r="C4615" s="9" t="s">
        <v>234</v>
      </c>
      <c r="D4615" s="9" t="s">
        <v>95</v>
      </c>
      <c r="E4615" s="6" t="s">
        <v>5259</v>
      </c>
      <c r="F4615" s="9" t="s">
        <v>11826</v>
      </c>
    </row>
    <row r="4616" ht="33.75" customHeight="1">
      <c r="A4616" s="7">
        <v>153.0</v>
      </c>
      <c r="B4616" s="9" t="s">
        <v>9544</v>
      </c>
      <c r="C4616" s="9" t="s">
        <v>234</v>
      </c>
      <c r="D4616" s="9" t="s">
        <v>98</v>
      </c>
      <c r="E4616" s="6" t="s">
        <v>5259</v>
      </c>
      <c r="F4616" s="9" t="s">
        <v>11826</v>
      </c>
    </row>
    <row r="4617" ht="33.75" customHeight="1">
      <c r="A4617" s="7">
        <v>153.0</v>
      </c>
      <c r="B4617" s="9" t="s">
        <v>9544</v>
      </c>
      <c r="C4617" s="9" t="s">
        <v>234</v>
      </c>
      <c r="D4617" s="9" t="s">
        <v>99</v>
      </c>
      <c r="E4617" s="6" t="s">
        <v>5259</v>
      </c>
      <c r="F4617" s="9" t="s">
        <v>11826</v>
      </c>
    </row>
    <row r="4618" ht="33.75" customHeight="1">
      <c r="A4618" s="7">
        <v>153.0</v>
      </c>
      <c r="B4618" s="9" t="s">
        <v>9544</v>
      </c>
      <c r="C4618" s="9" t="s">
        <v>234</v>
      </c>
      <c r="D4618" s="9" t="s">
        <v>101</v>
      </c>
      <c r="E4618" s="6" t="s">
        <v>5258</v>
      </c>
      <c r="F4618" s="9" t="s">
        <v>11826</v>
      </c>
    </row>
    <row r="4619" ht="33.75" customHeight="1">
      <c r="A4619" s="7">
        <v>153.0</v>
      </c>
      <c r="B4619" s="9" t="s">
        <v>9544</v>
      </c>
      <c r="C4619" s="9" t="s">
        <v>234</v>
      </c>
      <c r="D4619" s="9" t="s">
        <v>105</v>
      </c>
      <c r="E4619" s="6" t="s">
        <v>5259</v>
      </c>
      <c r="F4619" s="9" t="s">
        <v>11826</v>
      </c>
    </row>
    <row r="4620" ht="33.75" customHeight="1">
      <c r="A4620" s="7">
        <v>153.0</v>
      </c>
      <c r="B4620" s="9" t="s">
        <v>9544</v>
      </c>
      <c r="C4620" s="9" t="s">
        <v>234</v>
      </c>
      <c r="D4620" s="9" t="s">
        <v>107</v>
      </c>
      <c r="E4620" s="6" t="s">
        <v>5260</v>
      </c>
      <c r="F4620" s="9" t="s">
        <v>11826</v>
      </c>
    </row>
    <row r="4621" ht="33.75" customHeight="1">
      <c r="A4621" s="7">
        <v>153.0</v>
      </c>
      <c r="B4621" s="9" t="s">
        <v>9544</v>
      </c>
      <c r="C4621" s="9" t="s">
        <v>234</v>
      </c>
      <c r="D4621" s="9" t="s">
        <v>109</v>
      </c>
      <c r="E4621" s="6" t="s">
        <v>5260</v>
      </c>
      <c r="F4621" s="9" t="s">
        <v>11826</v>
      </c>
    </row>
    <row r="4622" ht="33.75" customHeight="1">
      <c r="A4622" s="7">
        <v>154.0</v>
      </c>
      <c r="B4622" s="9" t="s">
        <v>9581</v>
      </c>
      <c r="C4622" s="9" t="s">
        <v>235</v>
      </c>
      <c r="D4622" s="9" t="s">
        <v>52</v>
      </c>
      <c r="E4622" s="6" t="s">
        <v>5261</v>
      </c>
      <c r="F4622" s="9" t="s">
        <v>11908</v>
      </c>
      <c r="G4622" t="inlineStr" s="6">
        <is>
          <t xml:space="preserve">The aroma that rises from Meganium's petals contains a substance that calms aggressive feelings. MEGANIUM's breath has the power to revive dead grass and plants. It can make them healthy again. Anyone who stands beside it becomes refreshed, just as if they were relaxing in a sunny forest. The fragrance of MEGANIUM’s flower soothes and calms emotions. In battle, this POKéMON gives off more of its becalming scent to blunt the foe’s fighting spirit. The fragrance of a MEGANIUM’s flower soothes and calms emotions. In battle, it gives off more of its becalming scent to blunt the foe’s fighting spirit. Its breath has the fantastic ability to revive dead plants and flowers.</t>
        </is>
      </c>
    </row>
    <row r="4623" ht="33.75" customHeight="1">
      <c r="A4623" s="7">
        <v>154.0</v>
      </c>
      <c r="B4623" s="9" t="s">
        <v>9581</v>
      </c>
      <c r="C4623" s="9" t="s">
        <v>235</v>
      </c>
      <c r="D4623" s="9" t="s">
        <v>59</v>
      </c>
      <c r="E4623" s="6" t="s">
        <v>5263</v>
      </c>
      <c r="F4623" s="9" t="s">
        <v>11908</v>
      </c>
    </row>
    <row r="4624" ht="33.75" customHeight="1">
      <c r="A4624" s="7">
        <v>154.0</v>
      </c>
      <c r="B4624" s="9" t="s">
        <v>9581</v>
      </c>
      <c r="C4624" s="9" t="s">
        <v>235</v>
      </c>
      <c r="D4624" s="9" t="s">
        <v>64</v>
      </c>
      <c r="E4624" s="6" t="s">
        <v>5265</v>
      </c>
      <c r="F4624" s="9" t="s">
        <v>11908</v>
      </c>
    </row>
    <row r="4625" ht="33.75" customHeight="1">
      <c r="A4625" s="7">
        <v>154.0</v>
      </c>
      <c r="B4625" s="9" t="s">
        <v>9581</v>
      </c>
      <c r="C4625" s="9" t="s">
        <v>235</v>
      </c>
      <c r="D4625" s="9" t="s">
        <v>67</v>
      </c>
      <c r="E4625" s="6" t="s">
        <v>5266</v>
      </c>
      <c r="F4625" s="9" t="s">
        <v>11908</v>
      </c>
    </row>
    <row r="4626" ht="33.75" customHeight="1">
      <c r="A4626" s="7">
        <v>154.0</v>
      </c>
      <c r="B4626" s="9" t="s">
        <v>9581</v>
      </c>
      <c r="C4626" s="9" t="s">
        <v>235</v>
      </c>
      <c r="D4626" s="9" t="s">
        <v>71</v>
      </c>
      <c r="E4626" s="6" t="s">
        <v>5266</v>
      </c>
      <c r="F4626" s="9" t="s">
        <v>11908</v>
      </c>
    </row>
    <row r="4627" ht="33.75" customHeight="1">
      <c r="A4627" s="7">
        <v>154.0</v>
      </c>
      <c r="B4627" s="9" t="s">
        <v>9581</v>
      </c>
      <c r="C4627" s="9" t="s">
        <v>235</v>
      </c>
      <c r="D4627" s="9" t="s">
        <v>73</v>
      </c>
      <c r="E4627" s="6" t="s">
        <v>5268</v>
      </c>
      <c r="F4627" s="9" t="s">
        <v>11908</v>
      </c>
    </row>
    <row r="4628" ht="33.75" customHeight="1">
      <c r="A4628" s="7">
        <v>154.0</v>
      </c>
      <c r="B4628" s="9" t="s">
        <v>9581</v>
      </c>
      <c r="C4628" s="9" t="s">
        <v>235</v>
      </c>
      <c r="D4628" s="9" t="s">
        <v>75</v>
      </c>
      <c r="E4628" s="6" t="s">
        <v>5269</v>
      </c>
      <c r="F4628" s="9" t="s">
        <v>11908</v>
      </c>
    </row>
    <row r="4629" ht="33.75" customHeight="1">
      <c r="A4629" s="7">
        <v>154.0</v>
      </c>
      <c r="B4629" s="9" t="s">
        <v>9581</v>
      </c>
      <c r="C4629" s="9" t="s">
        <v>235</v>
      </c>
      <c r="D4629" s="9" t="s">
        <v>79</v>
      </c>
      <c r="E4629" s="6" t="s">
        <v>5261</v>
      </c>
      <c r="F4629" s="9" t="s">
        <v>11908</v>
      </c>
    </row>
    <row r="4630" ht="33.75" customHeight="1">
      <c r="A4630" s="7">
        <v>154.0</v>
      </c>
      <c r="B4630" s="9" t="s">
        <v>9581</v>
      </c>
      <c r="C4630" s="9" t="s">
        <v>235</v>
      </c>
      <c r="D4630" s="9" t="s">
        <v>81</v>
      </c>
      <c r="E4630" s="6" t="s">
        <v>5270</v>
      </c>
      <c r="F4630" s="9" t="s">
        <v>11908</v>
      </c>
    </row>
    <row r="4631" ht="33.75" customHeight="1">
      <c r="A4631" s="7">
        <v>154.0</v>
      </c>
      <c r="B4631" s="9" t="s">
        <v>9581</v>
      </c>
      <c r="C4631" s="9" t="s">
        <v>235</v>
      </c>
      <c r="D4631" s="9" t="s">
        <v>84</v>
      </c>
      <c r="E4631" s="6" t="s">
        <v>5270</v>
      </c>
      <c r="F4631" s="9" t="s">
        <v>11908</v>
      </c>
    </row>
    <row r="4632" ht="33.75" customHeight="1">
      <c r="A4632" s="7">
        <v>154.0</v>
      </c>
      <c r="B4632" s="9" t="s">
        <v>9581</v>
      </c>
      <c r="C4632" s="9" t="s">
        <v>235</v>
      </c>
      <c r="D4632" s="9" t="s">
        <v>87</v>
      </c>
      <c r="E4632" s="6" t="s">
        <v>5270</v>
      </c>
      <c r="F4632" s="9" t="s">
        <v>11908</v>
      </c>
    </row>
    <row r="4633" ht="33.75" customHeight="1">
      <c r="A4633" s="7">
        <v>154.0</v>
      </c>
      <c r="B4633" s="9" t="s">
        <v>9581</v>
      </c>
      <c r="C4633" s="9" t="s">
        <v>235</v>
      </c>
      <c r="D4633" s="9" t="s">
        <v>89</v>
      </c>
      <c r="E4633" s="6" t="s">
        <v>5261</v>
      </c>
      <c r="F4633" s="9" t="s">
        <v>11908</v>
      </c>
    </row>
    <row r="4634" ht="33.75" customHeight="1">
      <c r="A4634" s="7">
        <v>154.0</v>
      </c>
      <c r="B4634" s="9" t="s">
        <v>9581</v>
      </c>
      <c r="C4634" s="9" t="s">
        <v>235</v>
      </c>
      <c r="D4634" s="9" t="s">
        <v>91</v>
      </c>
      <c r="E4634" s="6" t="s">
        <v>5269</v>
      </c>
      <c r="F4634" s="9" t="s">
        <v>11908</v>
      </c>
    </row>
    <row r="4635" ht="33.75" customHeight="1">
      <c r="A4635" s="7">
        <v>154.0</v>
      </c>
      <c r="B4635" s="9" t="s">
        <v>9581</v>
      </c>
      <c r="C4635" s="9" t="s">
        <v>235</v>
      </c>
      <c r="D4635" s="9" t="s">
        <v>93</v>
      </c>
      <c r="E4635" s="6" t="s">
        <v>5270</v>
      </c>
      <c r="F4635" s="9" t="s">
        <v>11908</v>
      </c>
    </row>
    <row r="4636" ht="33.75" customHeight="1">
      <c r="A4636" s="7">
        <v>154.0</v>
      </c>
      <c r="B4636" s="9" t="s">
        <v>9581</v>
      </c>
      <c r="C4636" s="9" t="s">
        <v>235</v>
      </c>
      <c r="D4636" s="9" t="s">
        <v>95</v>
      </c>
      <c r="E4636" s="6" t="s">
        <v>5270</v>
      </c>
      <c r="F4636" s="9" t="s">
        <v>11908</v>
      </c>
    </row>
    <row r="4637" ht="33.75" customHeight="1">
      <c r="A4637" s="7">
        <v>154.0</v>
      </c>
      <c r="B4637" s="9" t="s">
        <v>9581</v>
      </c>
      <c r="C4637" s="9" t="s">
        <v>235</v>
      </c>
      <c r="D4637" s="9" t="s">
        <v>98</v>
      </c>
      <c r="E4637" s="6" t="s">
        <v>5270</v>
      </c>
      <c r="F4637" s="9" t="s">
        <v>11908</v>
      </c>
    </row>
    <row r="4638" ht="33.75" customHeight="1">
      <c r="A4638" s="7">
        <v>154.0</v>
      </c>
      <c r="B4638" s="9" t="s">
        <v>9581</v>
      </c>
      <c r="C4638" s="9" t="s">
        <v>235</v>
      </c>
      <c r="D4638" s="9" t="s">
        <v>99</v>
      </c>
      <c r="E4638" s="6" t="s">
        <v>5270</v>
      </c>
      <c r="F4638" s="9" t="s">
        <v>11908</v>
      </c>
    </row>
    <row r="4639" ht="33.75" customHeight="1">
      <c r="A4639" s="7">
        <v>154.0</v>
      </c>
      <c r="B4639" s="9" t="s">
        <v>9581</v>
      </c>
      <c r="C4639" s="9" t="s">
        <v>235</v>
      </c>
      <c r="D4639" s="9" t="s">
        <v>101</v>
      </c>
      <c r="E4639" s="6" t="s">
        <v>5261</v>
      </c>
      <c r="F4639" s="9" t="s">
        <v>11908</v>
      </c>
    </row>
    <row r="4640" ht="33.75" customHeight="1">
      <c r="A4640" s="7">
        <v>154.0</v>
      </c>
      <c r="B4640" s="9" t="s">
        <v>9581</v>
      </c>
      <c r="C4640" s="9" t="s">
        <v>235</v>
      </c>
      <c r="D4640" s="9" t="s">
        <v>105</v>
      </c>
      <c r="E4640" s="6" t="s">
        <v>5271</v>
      </c>
      <c r="F4640" s="9" t="s">
        <v>11908</v>
      </c>
    </row>
    <row r="4641" ht="33.75" customHeight="1">
      <c r="A4641" s="7">
        <v>154.0</v>
      </c>
      <c r="B4641" s="9" t="s">
        <v>9581</v>
      </c>
      <c r="C4641" s="9" t="s">
        <v>235</v>
      </c>
      <c r="D4641" s="9" t="s">
        <v>107</v>
      </c>
      <c r="E4641" s="6" t="s">
        <v>5274</v>
      </c>
      <c r="F4641" s="9" t="s">
        <v>11908</v>
      </c>
    </row>
    <row r="4642" ht="33.75" customHeight="1">
      <c r="A4642" s="7">
        <v>154.0</v>
      </c>
      <c r="B4642" s="9" t="s">
        <v>9581</v>
      </c>
      <c r="C4642" s="9" t="s">
        <v>235</v>
      </c>
      <c r="D4642" s="9" t="s">
        <v>109</v>
      </c>
      <c r="E4642" s="6" t="s">
        <v>5274</v>
      </c>
      <c r="F4642" s="9" t="s">
        <v>11908</v>
      </c>
    </row>
    <row r="4643" ht="33.75" customHeight="1">
      <c r="A4643" s="7">
        <v>155.0</v>
      </c>
      <c r="B4643" s="9" t="s">
        <v>9616</v>
      </c>
      <c r="C4643" s="9" t="s">
        <v>236</v>
      </c>
      <c r="D4643" s="9" t="s">
        <v>52</v>
      </c>
      <c r="E4643" s="6" t="s">
        <v>5276</v>
      </c>
      <c r="F4643" s="9" t="s">
        <v>11987</v>
      </c>
      <c r="G4643" t="inlineStr" s="6">
        <is>
          <t xml:space="preserve">Cyndaquil is timid, and always curls it self up in a ball. If attacked, it flares up its back for protection. It usually stays hunched over. If it is angry or surprised, it shoots flames out of its back. The fire that spouts from its back burns hottest when it is angry. The flaring flames intimidate foes. CYNDAQUIL protects itself by flaring up the flames on its back. The flames are vigorous if the POKéMON is angry. However, if it is tired, the flames splutter fitfully with incomplete combustion. It flares flames from its back to protect itself. The fire burns vigorously if the POKéMON is angry. When it is tired, it sputters with incomplete combustion. It is timid and always curls itself up in a ball. It has a timid nature. If it is startled, the flames on its back burn more vigorously. It is timid, and always curls itself up in a ball. Hails from the Johto region. Though usually curled into a ball due to its timid disposition, it harbors tremendous firepower.</t>
        </is>
      </c>
    </row>
    <row r="4644" ht="33.75" customHeight="1">
      <c r="A4644" s="7">
        <v>155.0</v>
      </c>
      <c r="B4644" s="9" t="s">
        <v>9616</v>
      </c>
      <c r="C4644" s="9" t="s">
        <v>236</v>
      </c>
      <c r="D4644" s="9" t="s">
        <v>59</v>
      </c>
      <c r="E4644" s="6" t="s">
        <v>5277</v>
      </c>
      <c r="F4644" s="9" t="s">
        <v>11987</v>
      </c>
    </row>
    <row r="4645" ht="33.75" customHeight="1">
      <c r="A4645" s="7">
        <v>155.0</v>
      </c>
      <c r="B4645" s="9" t="s">
        <v>9616</v>
      </c>
      <c r="C4645" s="9" t="s">
        <v>236</v>
      </c>
      <c r="D4645" s="9" t="s">
        <v>64</v>
      </c>
      <c r="E4645" s="6" t="s">
        <v>5278</v>
      </c>
      <c r="F4645" s="9" t="s">
        <v>11987</v>
      </c>
    </row>
    <row r="4646" ht="33.75" customHeight="1">
      <c r="A4646" s="7">
        <v>155.0</v>
      </c>
      <c r="B4646" s="9" t="s">
        <v>9616</v>
      </c>
      <c r="C4646" s="9" t="s">
        <v>236</v>
      </c>
      <c r="D4646" s="9" t="s">
        <v>67</v>
      </c>
      <c r="E4646" s="6" t="s">
        <v>5279</v>
      </c>
      <c r="F4646" s="9" t="s">
        <v>11987</v>
      </c>
    </row>
    <row r="4647" ht="33.75" customHeight="1">
      <c r="A4647" s="7">
        <v>155.0</v>
      </c>
      <c r="B4647" s="9" t="s">
        <v>9616</v>
      </c>
      <c r="C4647" s="9" t="s">
        <v>236</v>
      </c>
      <c r="D4647" s="9" t="s">
        <v>71</v>
      </c>
      <c r="E4647" s="6" t="s">
        <v>5279</v>
      </c>
      <c r="F4647" s="9" t="s">
        <v>11987</v>
      </c>
    </row>
    <row r="4648" ht="33.75" customHeight="1">
      <c r="A4648" s="7">
        <v>155.0</v>
      </c>
      <c r="B4648" s="9" t="s">
        <v>9616</v>
      </c>
      <c r="C4648" s="9" t="s">
        <v>236</v>
      </c>
      <c r="D4648" s="9" t="s">
        <v>73</v>
      </c>
      <c r="E4648" s="6" t="s">
        <v>5280</v>
      </c>
      <c r="F4648" s="9" t="s">
        <v>11987</v>
      </c>
    </row>
    <row r="4649" ht="33.75" customHeight="1">
      <c r="A4649" s="7">
        <v>155.0</v>
      </c>
      <c r="B4649" s="9" t="s">
        <v>9616</v>
      </c>
      <c r="C4649" s="9" t="s">
        <v>236</v>
      </c>
      <c r="D4649" s="9" t="s">
        <v>75</v>
      </c>
      <c r="E4649" s="6" t="s">
        <v>5277</v>
      </c>
      <c r="F4649" s="9" t="s">
        <v>11987</v>
      </c>
    </row>
    <row r="4650" ht="33.75" customHeight="1">
      <c r="A4650" s="7">
        <v>155.0</v>
      </c>
      <c r="B4650" s="9" t="s">
        <v>9616</v>
      </c>
      <c r="C4650" s="9" t="s">
        <v>236</v>
      </c>
      <c r="D4650" s="9" t="s">
        <v>79</v>
      </c>
      <c r="E4650" s="6" t="s">
        <v>5281</v>
      </c>
      <c r="F4650" s="9" t="s">
        <v>11987</v>
      </c>
    </row>
    <row r="4651" ht="33.75" customHeight="1">
      <c r="A4651" s="7">
        <v>155.0</v>
      </c>
      <c r="B4651" s="9" t="s">
        <v>9616</v>
      </c>
      <c r="C4651" s="9" t="s">
        <v>236</v>
      </c>
      <c r="D4651" s="9" t="s">
        <v>81</v>
      </c>
      <c r="E4651" s="6" t="s">
        <v>5283</v>
      </c>
      <c r="F4651" s="9" t="s">
        <v>11987</v>
      </c>
    </row>
    <row r="4652" ht="33.75" customHeight="1">
      <c r="A4652" s="7">
        <v>155.0</v>
      </c>
      <c r="B4652" s="9" t="s">
        <v>9616</v>
      </c>
      <c r="C4652" s="9" t="s">
        <v>236</v>
      </c>
      <c r="D4652" s="9" t="s">
        <v>84</v>
      </c>
      <c r="E4652" s="6" t="s">
        <v>5283</v>
      </c>
      <c r="F4652" s="9" t="s">
        <v>11987</v>
      </c>
    </row>
    <row r="4653" ht="33.75" customHeight="1">
      <c r="A4653" s="7">
        <v>155.0</v>
      </c>
      <c r="B4653" s="9" t="s">
        <v>9616</v>
      </c>
      <c r="C4653" s="9" t="s">
        <v>236</v>
      </c>
      <c r="D4653" s="9" t="s">
        <v>87</v>
      </c>
      <c r="E4653" s="6" t="s">
        <v>5283</v>
      </c>
      <c r="F4653" s="9" t="s">
        <v>11987</v>
      </c>
    </row>
    <row r="4654" ht="33.75" customHeight="1">
      <c r="A4654" s="7">
        <v>155.0</v>
      </c>
      <c r="B4654" s="9" t="s">
        <v>9616</v>
      </c>
      <c r="C4654" s="9" t="s">
        <v>236</v>
      </c>
      <c r="D4654" s="9" t="s">
        <v>89</v>
      </c>
      <c r="E4654" s="6" t="s">
        <v>5284</v>
      </c>
      <c r="F4654" s="9" t="s">
        <v>11987</v>
      </c>
    </row>
    <row r="4655" ht="33.75" customHeight="1">
      <c r="A4655" s="7">
        <v>155.0</v>
      </c>
      <c r="B4655" s="9" t="s">
        <v>9616</v>
      </c>
      <c r="C4655" s="9" t="s">
        <v>236</v>
      </c>
      <c r="D4655" s="9" t="s">
        <v>91</v>
      </c>
      <c r="E4655" s="6" t="s">
        <v>5277</v>
      </c>
      <c r="F4655" s="9" t="s">
        <v>11987</v>
      </c>
    </row>
    <row r="4656" ht="33.75" customHeight="1">
      <c r="A4656" s="7">
        <v>155.0</v>
      </c>
      <c r="B4656" s="9" t="s">
        <v>9616</v>
      </c>
      <c r="C4656" s="9" t="s">
        <v>236</v>
      </c>
      <c r="D4656" s="9" t="s">
        <v>93</v>
      </c>
      <c r="E4656" s="6" t="s">
        <v>5283</v>
      </c>
      <c r="F4656" s="9" t="s">
        <v>11987</v>
      </c>
    </row>
    <row r="4657" ht="33.75" customHeight="1">
      <c r="A4657" s="7">
        <v>155.0</v>
      </c>
      <c r="B4657" s="9" t="s">
        <v>9616</v>
      </c>
      <c r="C4657" s="9" t="s">
        <v>236</v>
      </c>
      <c r="D4657" s="9" t="s">
        <v>95</v>
      </c>
      <c r="E4657" s="6" t="s">
        <v>5283</v>
      </c>
      <c r="F4657" s="9" t="s">
        <v>11987</v>
      </c>
    </row>
    <row r="4658" ht="33.75" customHeight="1">
      <c r="A4658" s="7">
        <v>155.0</v>
      </c>
      <c r="B4658" s="9" t="s">
        <v>9616</v>
      </c>
      <c r="C4658" s="9" t="s">
        <v>236</v>
      </c>
      <c r="D4658" s="9" t="s">
        <v>98</v>
      </c>
      <c r="E4658" s="6" t="s">
        <v>5283</v>
      </c>
      <c r="F4658" s="9" t="s">
        <v>11987</v>
      </c>
    </row>
    <row r="4659" ht="33.75" customHeight="1">
      <c r="A4659" s="7">
        <v>155.0</v>
      </c>
      <c r="B4659" s="9" t="s">
        <v>9616</v>
      </c>
      <c r="C4659" s="9" t="s">
        <v>236</v>
      </c>
      <c r="D4659" s="9" t="s">
        <v>99</v>
      </c>
      <c r="E4659" s="6" t="s">
        <v>5283</v>
      </c>
      <c r="F4659" s="9" t="s">
        <v>11987</v>
      </c>
    </row>
    <row r="4660" ht="33.75" customHeight="1">
      <c r="A4660" s="7">
        <v>155.0</v>
      </c>
      <c r="B4660" s="9" t="s">
        <v>9616</v>
      </c>
      <c r="C4660" s="9" t="s">
        <v>236</v>
      </c>
      <c r="D4660" s="9" t="s">
        <v>101</v>
      </c>
      <c r="E4660" s="6" t="s">
        <v>5281</v>
      </c>
      <c r="F4660" s="9" t="s">
        <v>11987</v>
      </c>
    </row>
    <row r="4661" ht="33.75" customHeight="1">
      <c r="A4661" s="7">
        <v>155.0</v>
      </c>
      <c r="B4661" s="9" t="s">
        <v>9616</v>
      </c>
      <c r="C4661" s="9" t="s">
        <v>236</v>
      </c>
      <c r="D4661" s="9" t="s">
        <v>105</v>
      </c>
      <c r="E4661" s="6" t="s">
        <v>5283</v>
      </c>
      <c r="F4661" s="9" t="s">
        <v>11987</v>
      </c>
    </row>
    <row r="4662" ht="33.75" customHeight="1">
      <c r="A4662" s="7">
        <v>155.0</v>
      </c>
      <c r="B4662" s="9" t="s">
        <v>9616</v>
      </c>
      <c r="C4662" s="9" t="s">
        <v>236</v>
      </c>
      <c r="D4662" s="9" t="s">
        <v>107</v>
      </c>
      <c r="E4662" s="6" t="s">
        <v>5285</v>
      </c>
      <c r="F4662" s="9" t="s">
        <v>11987</v>
      </c>
    </row>
    <row r="4663" ht="33.75" customHeight="1">
      <c r="A4663" s="7">
        <v>155.0</v>
      </c>
      <c r="B4663" s="9" t="s">
        <v>9616</v>
      </c>
      <c r="C4663" s="9" t="s">
        <v>236</v>
      </c>
      <c r="D4663" s="9" t="s">
        <v>109</v>
      </c>
      <c r="E4663" s="6" t="s">
        <v>5285</v>
      </c>
      <c r="F4663" s="9" t="s">
        <v>11987</v>
      </c>
    </row>
    <row r="4664" ht="33.75" customHeight="1">
      <c r="A4664" s="7">
        <v>155.0</v>
      </c>
      <c r="B4664" s="9" t="s">
        <v>9616</v>
      </c>
      <c r="C4664" s="9" t="s">
        <v>236</v>
      </c>
      <c r="D4664" s="9" t="s">
        <v>1577</v>
      </c>
      <c r="E4664" s="6" t="s">
        <v>5288</v>
      </c>
      <c r="F4664" s="9" t="s">
        <v>11987</v>
      </c>
    </row>
    <row r="4665" ht="33.75" customHeight="1">
      <c r="A4665" s="7">
        <v>156.0</v>
      </c>
      <c r="B4665" s="9" t="s">
        <v>9653</v>
      </c>
      <c r="C4665" s="9" t="s">
        <v>238</v>
      </c>
      <c r="D4665" s="9" t="s">
        <v>52</v>
      </c>
      <c r="E4665" s="6" t="s">
        <v>5289</v>
      </c>
      <c r="F4665" s="9" t="s">
        <v>12057</v>
      </c>
      <c r="G4665" t="inlineStr" s="6">
        <is>
          <t xml:space="preserve">Be careful if it turns Quilava's back during battle. It means that it will attack with the fire on its back. This POKéMON is fully covered by nonflammable fur. It can withstand any kind of fire attack. Before battle, it turns its back on its opponent to demonstrate how ferociously its fire blazes. QUILAVA keeps its foes at bay with the intensity of its flames and gusts of superheated air. This POKéMON applies its outstanding nimbleness to dodge attacks even while scorching the foe with flames. It intimidates foes with intense gusts of flames and superheated air. Its quick nimbleness lets it dodge attacks even while scorching an enemy. It intimidates foes with the heat of its flames. The fire burns more strongly when it readies to fight. This creature's fur is most mysterious—it is wholly impervious to the burning touch of flame. Should Quilava turn its back to you, take heed! Such a posture indicates a forthcoming attack.</t>
        </is>
      </c>
    </row>
    <row r="4666" ht="33.75" customHeight="1">
      <c r="A4666" s="7">
        <v>156.0</v>
      </c>
      <c r="B4666" s="9" t="s">
        <v>9653</v>
      </c>
      <c r="C4666" s="9" t="s">
        <v>238</v>
      </c>
      <c r="D4666" s="9" t="s">
        <v>59</v>
      </c>
      <c r="E4666" s="6" t="s">
        <v>5291</v>
      </c>
      <c r="F4666" s="9" t="s">
        <v>12057</v>
      </c>
    </row>
    <row r="4667" ht="33.75" customHeight="1">
      <c r="A4667" s="7">
        <v>156.0</v>
      </c>
      <c r="B4667" s="9" t="s">
        <v>9653</v>
      </c>
      <c r="C4667" s="9" t="s">
        <v>238</v>
      </c>
      <c r="D4667" s="9" t="s">
        <v>64</v>
      </c>
      <c r="E4667" s="6" t="s">
        <v>5293</v>
      </c>
      <c r="F4667" s="9" t="s">
        <v>12057</v>
      </c>
    </row>
    <row r="4668" ht="33.75" customHeight="1">
      <c r="A4668" s="7">
        <v>156.0</v>
      </c>
      <c r="B4668" s="9" t="s">
        <v>9653</v>
      </c>
      <c r="C4668" s="9" t="s">
        <v>238</v>
      </c>
      <c r="D4668" s="9" t="s">
        <v>67</v>
      </c>
      <c r="E4668" s="6" t="s">
        <v>5294</v>
      </c>
      <c r="F4668" s="9" t="s">
        <v>12057</v>
      </c>
    </row>
    <row r="4669" ht="33.75" customHeight="1">
      <c r="A4669" s="7">
        <v>156.0</v>
      </c>
      <c r="B4669" s="9" t="s">
        <v>9653</v>
      </c>
      <c r="C4669" s="9" t="s">
        <v>238</v>
      </c>
      <c r="D4669" s="9" t="s">
        <v>71</v>
      </c>
      <c r="E4669" s="6" t="s">
        <v>5294</v>
      </c>
      <c r="F4669" s="9" t="s">
        <v>12057</v>
      </c>
    </row>
    <row r="4670" ht="33.75" customHeight="1">
      <c r="A4670" s="7">
        <v>156.0</v>
      </c>
      <c r="B4670" s="9" t="s">
        <v>9653</v>
      </c>
      <c r="C4670" s="9" t="s">
        <v>238</v>
      </c>
      <c r="D4670" s="9" t="s">
        <v>73</v>
      </c>
      <c r="E4670" s="6" t="s">
        <v>5296</v>
      </c>
      <c r="F4670" s="9" t="s">
        <v>12057</v>
      </c>
    </row>
    <row r="4671" ht="33.75" customHeight="1">
      <c r="A4671" s="7">
        <v>156.0</v>
      </c>
      <c r="B4671" s="9" t="s">
        <v>9653</v>
      </c>
      <c r="C4671" s="9" t="s">
        <v>238</v>
      </c>
      <c r="D4671" s="9" t="s">
        <v>75</v>
      </c>
      <c r="E4671" s="6" t="s">
        <v>5291</v>
      </c>
      <c r="F4671" s="9" t="s">
        <v>12057</v>
      </c>
    </row>
    <row r="4672" ht="33.75" customHeight="1">
      <c r="A4672" s="7">
        <v>156.0</v>
      </c>
      <c r="B4672" s="9" t="s">
        <v>9653</v>
      </c>
      <c r="C4672" s="9" t="s">
        <v>238</v>
      </c>
      <c r="D4672" s="9" t="s">
        <v>79</v>
      </c>
      <c r="E4672" s="6" t="s">
        <v>5289</v>
      </c>
      <c r="F4672" s="9" t="s">
        <v>12057</v>
      </c>
    </row>
    <row r="4673" ht="33.75" customHeight="1">
      <c r="A4673" s="7">
        <v>156.0</v>
      </c>
      <c r="B4673" s="9" t="s">
        <v>9653</v>
      </c>
      <c r="C4673" s="9" t="s">
        <v>238</v>
      </c>
      <c r="D4673" s="9" t="s">
        <v>81</v>
      </c>
      <c r="E4673" s="6" t="s">
        <v>5297</v>
      </c>
      <c r="F4673" s="9" t="s">
        <v>12057</v>
      </c>
    </row>
    <row r="4674" ht="33.75" customHeight="1">
      <c r="A4674" s="7">
        <v>156.0</v>
      </c>
      <c r="B4674" s="9" t="s">
        <v>9653</v>
      </c>
      <c r="C4674" s="9" t="s">
        <v>238</v>
      </c>
      <c r="D4674" s="9" t="s">
        <v>84</v>
      </c>
      <c r="E4674" s="6" t="s">
        <v>5297</v>
      </c>
      <c r="F4674" s="9" t="s">
        <v>12057</v>
      </c>
    </row>
    <row r="4675" ht="33.75" customHeight="1">
      <c r="A4675" s="7">
        <v>156.0</v>
      </c>
      <c r="B4675" s="9" t="s">
        <v>9653</v>
      </c>
      <c r="C4675" s="9" t="s">
        <v>238</v>
      </c>
      <c r="D4675" s="9" t="s">
        <v>87</v>
      </c>
      <c r="E4675" s="6" t="s">
        <v>5297</v>
      </c>
      <c r="F4675" s="9" t="s">
        <v>12057</v>
      </c>
    </row>
    <row r="4676" ht="33.75" customHeight="1">
      <c r="A4676" s="7">
        <v>156.0</v>
      </c>
      <c r="B4676" s="9" t="s">
        <v>9653</v>
      </c>
      <c r="C4676" s="9" t="s">
        <v>238</v>
      </c>
      <c r="D4676" s="9" t="s">
        <v>89</v>
      </c>
      <c r="E4676" s="6" t="s">
        <v>5289</v>
      </c>
      <c r="F4676" s="9" t="s">
        <v>12057</v>
      </c>
    </row>
    <row r="4677" ht="33.75" customHeight="1">
      <c r="A4677" s="7">
        <v>156.0</v>
      </c>
      <c r="B4677" s="9" t="s">
        <v>9653</v>
      </c>
      <c r="C4677" s="9" t="s">
        <v>238</v>
      </c>
      <c r="D4677" s="9" t="s">
        <v>91</v>
      </c>
      <c r="E4677" s="6" t="s">
        <v>5298</v>
      </c>
      <c r="F4677" s="9" t="s">
        <v>12057</v>
      </c>
    </row>
    <row r="4678" ht="33.75" customHeight="1">
      <c r="A4678" s="7">
        <v>156.0</v>
      </c>
      <c r="B4678" s="9" t="s">
        <v>9653</v>
      </c>
      <c r="C4678" s="9" t="s">
        <v>238</v>
      </c>
      <c r="D4678" s="9" t="s">
        <v>93</v>
      </c>
      <c r="E4678" s="6" t="s">
        <v>5297</v>
      </c>
      <c r="F4678" s="9" t="s">
        <v>12057</v>
      </c>
    </row>
    <row r="4679" ht="33.75" customHeight="1">
      <c r="A4679" s="7">
        <v>156.0</v>
      </c>
      <c r="B4679" s="9" t="s">
        <v>9653</v>
      </c>
      <c r="C4679" s="9" t="s">
        <v>238</v>
      </c>
      <c r="D4679" s="9" t="s">
        <v>95</v>
      </c>
      <c r="E4679" s="6" t="s">
        <v>5297</v>
      </c>
      <c r="F4679" s="9" t="s">
        <v>12057</v>
      </c>
    </row>
    <row r="4680" ht="33.75" customHeight="1">
      <c r="A4680" s="7">
        <v>156.0</v>
      </c>
      <c r="B4680" s="9" t="s">
        <v>9653</v>
      </c>
      <c r="C4680" s="9" t="s">
        <v>238</v>
      </c>
      <c r="D4680" s="9" t="s">
        <v>98</v>
      </c>
      <c r="E4680" s="6" t="s">
        <v>5297</v>
      </c>
      <c r="F4680" s="9" t="s">
        <v>12057</v>
      </c>
    </row>
    <row r="4681" ht="33.75" customHeight="1">
      <c r="A4681" s="7">
        <v>156.0</v>
      </c>
      <c r="B4681" s="9" t="s">
        <v>9653</v>
      </c>
      <c r="C4681" s="9" t="s">
        <v>238</v>
      </c>
      <c r="D4681" s="9" t="s">
        <v>99</v>
      </c>
      <c r="E4681" s="6" t="s">
        <v>5297</v>
      </c>
      <c r="F4681" s="9" t="s">
        <v>12057</v>
      </c>
    </row>
    <row r="4682" ht="33.75" customHeight="1">
      <c r="A4682" s="7">
        <v>156.0</v>
      </c>
      <c r="B4682" s="9" t="s">
        <v>9653</v>
      </c>
      <c r="C4682" s="9" t="s">
        <v>238</v>
      </c>
      <c r="D4682" s="9" t="s">
        <v>101</v>
      </c>
      <c r="E4682" s="6" t="s">
        <v>5293</v>
      </c>
      <c r="F4682" s="9" t="s">
        <v>12057</v>
      </c>
    </row>
    <row r="4683" ht="33.75" customHeight="1">
      <c r="A4683" s="7">
        <v>156.0</v>
      </c>
      <c r="B4683" s="9" t="s">
        <v>9653</v>
      </c>
      <c r="C4683" s="9" t="s">
        <v>238</v>
      </c>
      <c r="D4683" s="9" t="s">
        <v>105</v>
      </c>
      <c r="E4683" s="6" t="s">
        <v>5289</v>
      </c>
      <c r="F4683" s="9" t="s">
        <v>12057</v>
      </c>
    </row>
    <row r="4684" ht="33.75" customHeight="1">
      <c r="A4684" s="7">
        <v>156.0</v>
      </c>
      <c r="B4684" s="9" t="s">
        <v>9653</v>
      </c>
      <c r="C4684" s="9" t="s">
        <v>238</v>
      </c>
      <c r="D4684" s="9" t="s">
        <v>107</v>
      </c>
      <c r="E4684" s="6" t="s">
        <v>5299</v>
      </c>
      <c r="F4684" s="9" t="s">
        <v>12057</v>
      </c>
    </row>
    <row r="4685" ht="33.75" customHeight="1">
      <c r="A4685" s="7">
        <v>156.0</v>
      </c>
      <c r="B4685" s="9" t="s">
        <v>9653</v>
      </c>
      <c r="C4685" s="9" t="s">
        <v>238</v>
      </c>
      <c r="D4685" s="9" t="s">
        <v>109</v>
      </c>
      <c r="E4685" s="6" t="s">
        <v>5299</v>
      </c>
      <c r="F4685" s="9" t="s">
        <v>12057</v>
      </c>
    </row>
    <row r="4686" ht="33.75" customHeight="1">
      <c r="A4686" s="7">
        <v>156.0</v>
      </c>
      <c r="B4686" s="9" t="s">
        <v>9653</v>
      </c>
      <c r="C4686" s="9" t="s">
        <v>238</v>
      </c>
      <c r="D4686" s="9" t="s">
        <v>1577</v>
      </c>
      <c r="E4686" s="6" t="s">
        <v>5300</v>
      </c>
      <c r="F4686" s="9" t="s">
        <v>12057</v>
      </c>
    </row>
    <row r="4687" ht="33.75" customHeight="1">
      <c r="A4687" s="7">
        <v>157.0</v>
      </c>
      <c r="B4687" s="9" t="s">
        <v>9683</v>
      </c>
      <c r="C4687" s="9" t="s">
        <v>238</v>
      </c>
      <c r="D4687" s="9" t="s">
        <v>52</v>
      </c>
      <c r="E4687" s="6" t="s">
        <v>5302</v>
      </c>
      <c r="F4687" s="9" t="s">
        <v>12119</v>
      </c>
      <c r="G4687" t="inlineStr" s="6">
        <is>
          <t xml:space="preserve">If Typhlosion's rage peaks, it becomes so hot that anything that touches it will instantly go up in flames. It has a secret, devastating move. It rubs its blazing fur together to cause huge explosions. When heat from its body causes the air around it to shimmer, this is a sign that it is ready to battle. TYPHLOSION obscures itself behind a shimmering heat haze that it creates using its intensely hot flames. This POKéMON creates blazing explosive blasts that burn everything to cinders. It can hide behind a shimmering heat haze that it creates using its intense flames. TYPHLOSION create blazing explosive blasts that burn everything to cinders. It attacks using blasts of fire. It creates heat shimmers with intense fire to hide itself. Said to purify lost, forsaken souls with its flames and guide them to the afterlife. I believe its form has been influenced by the energy of the sacred mountain towering at Hisui's center.</t>
        </is>
      </c>
    </row>
    <row r="4688" ht="33.75" customHeight="1">
      <c r="A4688" s="7">
        <v>157.0</v>
      </c>
      <c r="B4688" s="9" t="s">
        <v>9683</v>
      </c>
      <c r="C4688" s="9" t="s">
        <v>238</v>
      </c>
      <c r="D4688" s="9" t="s">
        <v>59</v>
      </c>
      <c r="E4688" s="6" t="s">
        <v>5304</v>
      </c>
      <c r="F4688" s="9" t="s">
        <v>12119</v>
      </c>
    </row>
    <row r="4689" ht="33.75" customHeight="1">
      <c r="A4689" s="7">
        <v>157.0</v>
      </c>
      <c r="B4689" s="9" t="s">
        <v>9683</v>
      </c>
      <c r="C4689" s="9" t="s">
        <v>238</v>
      </c>
      <c r="D4689" s="9" t="s">
        <v>64</v>
      </c>
      <c r="E4689" s="6" t="s">
        <v>5305</v>
      </c>
      <c r="F4689" s="9" t="s">
        <v>12119</v>
      </c>
    </row>
    <row r="4690" ht="33.75" customHeight="1">
      <c r="A4690" s="7">
        <v>157.0</v>
      </c>
      <c r="B4690" s="9" t="s">
        <v>9683</v>
      </c>
      <c r="C4690" s="9" t="s">
        <v>238</v>
      </c>
      <c r="D4690" s="9" t="s">
        <v>67</v>
      </c>
      <c r="E4690" s="6" t="s">
        <v>5307</v>
      </c>
      <c r="F4690" s="9" t="s">
        <v>12119</v>
      </c>
    </row>
    <row r="4691" ht="33.75" customHeight="1">
      <c r="A4691" s="7">
        <v>157.0</v>
      </c>
      <c r="B4691" s="9" t="s">
        <v>9683</v>
      </c>
      <c r="C4691" s="9" t="s">
        <v>238</v>
      </c>
      <c r="D4691" s="9" t="s">
        <v>71</v>
      </c>
      <c r="E4691" s="6" t="s">
        <v>5307</v>
      </c>
      <c r="F4691" s="9" t="s">
        <v>12119</v>
      </c>
    </row>
    <row r="4692" ht="33.75" customHeight="1">
      <c r="A4692" s="7">
        <v>157.0</v>
      </c>
      <c r="B4692" s="9" t="s">
        <v>9683</v>
      </c>
      <c r="C4692" s="9" t="s">
        <v>238</v>
      </c>
      <c r="D4692" s="9" t="s">
        <v>73</v>
      </c>
      <c r="E4692" s="6" t="s">
        <v>5309</v>
      </c>
      <c r="F4692" s="9" t="s">
        <v>12119</v>
      </c>
    </row>
    <row r="4693" ht="33.75" customHeight="1">
      <c r="A4693" s="7">
        <v>157.0</v>
      </c>
      <c r="B4693" s="9" t="s">
        <v>9683</v>
      </c>
      <c r="C4693" s="9" t="s">
        <v>238</v>
      </c>
      <c r="D4693" s="9" t="s">
        <v>75</v>
      </c>
      <c r="E4693" s="6" t="s">
        <v>5310</v>
      </c>
      <c r="F4693" s="9" t="s">
        <v>12119</v>
      </c>
    </row>
    <row r="4694" ht="33.75" customHeight="1">
      <c r="A4694" s="7">
        <v>157.0</v>
      </c>
      <c r="B4694" s="9" t="s">
        <v>9683</v>
      </c>
      <c r="C4694" s="9" t="s">
        <v>238</v>
      </c>
      <c r="D4694" s="9" t="s">
        <v>79</v>
      </c>
      <c r="E4694" s="6" t="s">
        <v>5302</v>
      </c>
      <c r="F4694" s="9" t="s">
        <v>12119</v>
      </c>
    </row>
    <row r="4695" ht="33.75" customHeight="1">
      <c r="A4695" s="7">
        <v>157.0</v>
      </c>
      <c r="B4695" s="9" t="s">
        <v>9683</v>
      </c>
      <c r="C4695" s="9" t="s">
        <v>238</v>
      </c>
      <c r="D4695" s="9" t="s">
        <v>81</v>
      </c>
      <c r="E4695" s="6" t="s">
        <v>5311</v>
      </c>
      <c r="F4695" s="9" t="s">
        <v>12119</v>
      </c>
    </row>
    <row r="4696" ht="33.75" customHeight="1">
      <c r="A4696" s="7">
        <v>157.0</v>
      </c>
      <c r="B4696" s="9" t="s">
        <v>9683</v>
      </c>
      <c r="C4696" s="9" t="s">
        <v>238</v>
      </c>
      <c r="D4696" s="9" t="s">
        <v>84</v>
      </c>
      <c r="E4696" s="6" t="s">
        <v>5311</v>
      </c>
      <c r="F4696" s="9" t="s">
        <v>12119</v>
      </c>
    </row>
    <row r="4697" ht="33.75" customHeight="1">
      <c r="A4697" s="7">
        <v>157.0</v>
      </c>
      <c r="B4697" s="9" t="s">
        <v>9683</v>
      </c>
      <c r="C4697" s="9" t="s">
        <v>238</v>
      </c>
      <c r="D4697" s="9" t="s">
        <v>87</v>
      </c>
      <c r="E4697" s="6" t="s">
        <v>5311</v>
      </c>
      <c r="F4697" s="9" t="s">
        <v>12119</v>
      </c>
    </row>
    <row r="4698" ht="33.75" customHeight="1">
      <c r="A4698" s="7">
        <v>157.0</v>
      </c>
      <c r="B4698" s="9" t="s">
        <v>9683</v>
      </c>
      <c r="C4698" s="9" t="s">
        <v>238</v>
      </c>
      <c r="D4698" s="9" t="s">
        <v>89</v>
      </c>
      <c r="E4698" s="6" t="s">
        <v>5302</v>
      </c>
      <c r="F4698" s="9" t="s">
        <v>12119</v>
      </c>
    </row>
    <row r="4699" ht="33.75" customHeight="1">
      <c r="A4699" s="7">
        <v>157.0</v>
      </c>
      <c r="B4699" s="9" t="s">
        <v>9683</v>
      </c>
      <c r="C4699" s="9" t="s">
        <v>238</v>
      </c>
      <c r="D4699" s="9" t="s">
        <v>91</v>
      </c>
      <c r="E4699" s="6" t="s">
        <v>5310</v>
      </c>
      <c r="F4699" s="9" t="s">
        <v>12119</v>
      </c>
    </row>
    <row r="4700" ht="33.75" customHeight="1">
      <c r="A4700" s="7">
        <v>157.0</v>
      </c>
      <c r="B4700" s="9" t="s">
        <v>9683</v>
      </c>
      <c r="C4700" s="9" t="s">
        <v>238</v>
      </c>
      <c r="D4700" s="9" t="s">
        <v>93</v>
      </c>
      <c r="E4700" s="6" t="s">
        <v>5311</v>
      </c>
      <c r="F4700" s="9" t="s">
        <v>12119</v>
      </c>
    </row>
    <row r="4701" ht="33.75" customHeight="1">
      <c r="A4701" s="7">
        <v>157.0</v>
      </c>
      <c r="B4701" s="9" t="s">
        <v>9683</v>
      </c>
      <c r="C4701" s="9" t="s">
        <v>238</v>
      </c>
      <c r="D4701" s="9" t="s">
        <v>95</v>
      </c>
      <c r="E4701" s="6" t="s">
        <v>5311</v>
      </c>
      <c r="F4701" s="9" t="s">
        <v>12119</v>
      </c>
    </row>
    <row r="4702" ht="33.75" customHeight="1">
      <c r="A4702" s="7">
        <v>157.0</v>
      </c>
      <c r="B4702" s="9" t="s">
        <v>9683</v>
      </c>
      <c r="C4702" s="9" t="s">
        <v>238</v>
      </c>
      <c r="D4702" s="9" t="s">
        <v>98</v>
      </c>
      <c r="E4702" s="6" t="s">
        <v>5311</v>
      </c>
      <c r="F4702" s="9" t="s">
        <v>12119</v>
      </c>
    </row>
    <row r="4703" ht="33.75" customHeight="1">
      <c r="A4703" s="7">
        <v>157.0</v>
      </c>
      <c r="B4703" s="9" t="s">
        <v>9683</v>
      </c>
      <c r="C4703" s="9" t="s">
        <v>238</v>
      </c>
      <c r="D4703" s="9" t="s">
        <v>99</v>
      </c>
      <c r="E4703" s="6" t="s">
        <v>5311</v>
      </c>
      <c r="F4703" s="9" t="s">
        <v>12119</v>
      </c>
    </row>
    <row r="4704" ht="33.75" customHeight="1">
      <c r="A4704" s="7">
        <v>157.0</v>
      </c>
      <c r="B4704" s="9" t="s">
        <v>9683</v>
      </c>
      <c r="C4704" s="9" t="s">
        <v>238</v>
      </c>
      <c r="D4704" s="9" t="s">
        <v>101</v>
      </c>
      <c r="E4704" s="6" t="s">
        <v>5302</v>
      </c>
      <c r="F4704" s="9" t="s">
        <v>12119</v>
      </c>
    </row>
    <row r="4705" ht="33.75" customHeight="1">
      <c r="A4705" s="7">
        <v>157.0</v>
      </c>
      <c r="B4705" s="9" t="s">
        <v>9683</v>
      </c>
      <c r="C4705" s="9" t="s">
        <v>238</v>
      </c>
      <c r="D4705" s="9" t="s">
        <v>105</v>
      </c>
      <c r="E4705" s="6" t="s">
        <v>5310</v>
      </c>
      <c r="F4705" s="9" t="s">
        <v>12119</v>
      </c>
    </row>
    <row r="4706" ht="33.75" customHeight="1">
      <c r="A4706" s="7">
        <v>157.0</v>
      </c>
      <c r="B4706" s="9" t="s">
        <v>9683</v>
      </c>
      <c r="C4706" s="9" t="s">
        <v>238</v>
      </c>
      <c r="D4706" s="9" t="s">
        <v>107</v>
      </c>
      <c r="E4706" s="6" t="s">
        <v>5312</v>
      </c>
      <c r="F4706" s="9" t="s">
        <v>12119</v>
      </c>
    </row>
    <row r="4707" ht="33.75" customHeight="1">
      <c r="A4707" s="7">
        <v>157.0</v>
      </c>
      <c r="B4707" s="9" t="s">
        <v>9683</v>
      </c>
      <c r="C4707" s="9" t="s">
        <v>238</v>
      </c>
      <c r="D4707" s="9" t="s">
        <v>109</v>
      </c>
      <c r="E4707" s="6" t="s">
        <v>5312</v>
      </c>
      <c r="F4707" s="9" t="s">
        <v>12119</v>
      </c>
    </row>
    <row r="4708" ht="33.75" customHeight="1">
      <c r="A4708" s="7">
        <v>157.0</v>
      </c>
      <c r="B4708" s="9" t="s">
        <v>9683</v>
      </c>
      <c r="C4708" s="9" t="s">
        <v>238</v>
      </c>
      <c r="D4708" s="9" t="s">
        <v>1577</v>
      </c>
      <c r="E4708" s="6" t="s">
        <v>5313</v>
      </c>
      <c r="F4708" s="9" t="s">
        <v>12119</v>
      </c>
    </row>
    <row r="4709" ht="33.75" customHeight="1">
      <c r="A4709" s="7">
        <v>158.0</v>
      </c>
      <c r="B4709" s="9" t="s">
        <v>9723</v>
      </c>
      <c r="C4709" s="9" t="s">
        <v>242</v>
      </c>
      <c r="D4709" s="9" t="s">
        <v>52</v>
      </c>
      <c r="E4709" s="6" t="s">
        <v>5314</v>
      </c>
      <c r="F4709" s="9" t="s">
        <v>12182</v>
      </c>
      <c r="G4709" t="inlineStr" s="6">
        <is>
          <t xml:space="preserve">Totodile's well-developed jaws are powerful and capable of crushing anything. Even its trainer must be careful. It is small but rough and tough. It won't hesitate to take a bite out of anything that moves. This rough critter chomps at any moving object it sees. Turning your back on it is not recommended. Despite the smallness of its body, TOTODILE’s jaws are very powerful. While the POKéMON may think it is just playfully nipping, its bite has enough power to cause serious injury. Despite its small body, TOTODILE’s jaws are very powerful. While it may think it is just playfully nipping, its bite has enough strength to cause serious injury. It has the habit of biting anything with its developed jaws. Even its Trainer needs to be careful. Its powerful, well-developed jaws are capable of crushing anything.</t>
        </is>
      </c>
    </row>
    <row r="4710" ht="33.75" customHeight="1">
      <c r="A4710" s="7">
        <v>158.0</v>
      </c>
      <c r="B4710" s="9" t="s">
        <v>9723</v>
      </c>
      <c r="C4710" s="9" t="s">
        <v>242</v>
      </c>
      <c r="D4710" s="9" t="s">
        <v>59</v>
      </c>
      <c r="E4710" s="6" t="s">
        <v>5315</v>
      </c>
      <c r="F4710" s="9" t="s">
        <v>12182</v>
      </c>
    </row>
    <row r="4711" ht="33.75" customHeight="1">
      <c r="A4711" s="7">
        <v>158.0</v>
      </c>
      <c r="B4711" s="9" t="s">
        <v>9723</v>
      </c>
      <c r="C4711" s="9" t="s">
        <v>242</v>
      </c>
      <c r="D4711" s="9" t="s">
        <v>64</v>
      </c>
      <c r="E4711" s="6" t="s">
        <v>5316</v>
      </c>
      <c r="F4711" s="9" t="s">
        <v>12182</v>
      </c>
    </row>
    <row r="4712" ht="33.75" customHeight="1">
      <c r="A4712" s="7">
        <v>158.0</v>
      </c>
      <c r="B4712" s="9" t="s">
        <v>9723</v>
      </c>
      <c r="C4712" s="9" t="s">
        <v>242</v>
      </c>
      <c r="D4712" s="9" t="s">
        <v>67</v>
      </c>
      <c r="E4712" s="6" t="s">
        <v>5317</v>
      </c>
      <c r="F4712" s="9" t="s">
        <v>12182</v>
      </c>
    </row>
    <row r="4713" ht="33.75" customHeight="1">
      <c r="A4713" s="7">
        <v>158.0</v>
      </c>
      <c r="B4713" s="9" t="s">
        <v>9723</v>
      </c>
      <c r="C4713" s="9" t="s">
        <v>242</v>
      </c>
      <c r="D4713" s="9" t="s">
        <v>71</v>
      </c>
      <c r="E4713" s="6" t="s">
        <v>5317</v>
      </c>
      <c r="F4713" s="9" t="s">
        <v>12182</v>
      </c>
    </row>
    <row r="4714" ht="33.75" customHeight="1">
      <c r="A4714" s="7">
        <v>158.0</v>
      </c>
      <c r="B4714" s="9" t="s">
        <v>9723</v>
      </c>
      <c r="C4714" s="9" t="s">
        <v>242</v>
      </c>
      <c r="D4714" s="9" t="s">
        <v>73</v>
      </c>
      <c r="E4714" s="6" t="s">
        <v>5318</v>
      </c>
      <c r="F4714" s="9" t="s">
        <v>12182</v>
      </c>
    </row>
    <row r="4715" ht="33.75" customHeight="1">
      <c r="A4715" s="7">
        <v>158.0</v>
      </c>
      <c r="B4715" s="9" t="s">
        <v>9723</v>
      </c>
      <c r="C4715" s="9" t="s">
        <v>242</v>
      </c>
      <c r="D4715" s="9" t="s">
        <v>75</v>
      </c>
      <c r="E4715" s="6" t="s">
        <v>5319</v>
      </c>
      <c r="F4715" s="9" t="s">
        <v>12182</v>
      </c>
    </row>
    <row r="4716" ht="33.75" customHeight="1">
      <c r="A4716" s="7">
        <v>158.0</v>
      </c>
      <c r="B4716" s="9" t="s">
        <v>9723</v>
      </c>
      <c r="C4716" s="9" t="s">
        <v>242</v>
      </c>
      <c r="D4716" s="9" t="s">
        <v>79</v>
      </c>
      <c r="E4716" s="6" t="s">
        <v>5320</v>
      </c>
      <c r="F4716" s="9" t="s">
        <v>12182</v>
      </c>
    </row>
    <row r="4717" ht="33.75" customHeight="1">
      <c r="A4717" s="7">
        <v>158.0</v>
      </c>
      <c r="B4717" s="9" t="s">
        <v>9723</v>
      </c>
      <c r="C4717" s="9" t="s">
        <v>242</v>
      </c>
      <c r="D4717" s="9" t="s">
        <v>81</v>
      </c>
      <c r="E4717" s="6" t="s">
        <v>5321</v>
      </c>
      <c r="F4717" s="9" t="s">
        <v>12182</v>
      </c>
    </row>
    <row r="4718" ht="33.75" customHeight="1">
      <c r="A4718" s="7">
        <v>158.0</v>
      </c>
      <c r="B4718" s="9" t="s">
        <v>9723</v>
      </c>
      <c r="C4718" s="9" t="s">
        <v>242</v>
      </c>
      <c r="D4718" s="9" t="s">
        <v>84</v>
      </c>
      <c r="E4718" s="6" t="s">
        <v>5321</v>
      </c>
      <c r="F4718" s="9" t="s">
        <v>12182</v>
      </c>
    </row>
    <row r="4719" ht="33.75" customHeight="1">
      <c r="A4719" s="7">
        <v>158.0</v>
      </c>
      <c r="B4719" s="9" t="s">
        <v>9723</v>
      </c>
      <c r="C4719" s="9" t="s">
        <v>242</v>
      </c>
      <c r="D4719" s="9" t="s">
        <v>87</v>
      </c>
      <c r="E4719" s="6" t="s">
        <v>5321</v>
      </c>
      <c r="F4719" s="9" t="s">
        <v>12182</v>
      </c>
    </row>
    <row r="4720" ht="33.75" customHeight="1">
      <c r="A4720" s="7">
        <v>158.0</v>
      </c>
      <c r="B4720" s="9" t="s">
        <v>9723</v>
      </c>
      <c r="C4720" s="9" t="s">
        <v>242</v>
      </c>
      <c r="D4720" s="9" t="s">
        <v>89</v>
      </c>
      <c r="E4720" s="6" t="s">
        <v>5322</v>
      </c>
      <c r="F4720" s="9" t="s">
        <v>12182</v>
      </c>
    </row>
    <row r="4721" ht="33.75" customHeight="1">
      <c r="A4721" s="7">
        <v>158.0</v>
      </c>
      <c r="B4721" s="9" t="s">
        <v>9723</v>
      </c>
      <c r="C4721" s="9" t="s">
        <v>242</v>
      </c>
      <c r="D4721" s="9" t="s">
        <v>91</v>
      </c>
      <c r="E4721" s="6" t="s">
        <v>5319</v>
      </c>
      <c r="F4721" s="9" t="s">
        <v>12182</v>
      </c>
    </row>
    <row r="4722" ht="33.75" customHeight="1">
      <c r="A4722" s="7">
        <v>158.0</v>
      </c>
      <c r="B4722" s="9" t="s">
        <v>9723</v>
      </c>
      <c r="C4722" s="9" t="s">
        <v>242</v>
      </c>
      <c r="D4722" s="9" t="s">
        <v>93</v>
      </c>
      <c r="E4722" s="6" t="s">
        <v>5321</v>
      </c>
      <c r="F4722" s="9" t="s">
        <v>12182</v>
      </c>
    </row>
    <row r="4723" ht="33.75" customHeight="1">
      <c r="A4723" s="7">
        <v>158.0</v>
      </c>
      <c r="B4723" s="9" t="s">
        <v>9723</v>
      </c>
      <c r="C4723" s="9" t="s">
        <v>242</v>
      </c>
      <c r="D4723" s="9" t="s">
        <v>95</v>
      </c>
      <c r="E4723" s="6" t="s">
        <v>5321</v>
      </c>
      <c r="F4723" s="9" t="s">
        <v>12182</v>
      </c>
    </row>
    <row r="4724" ht="33.75" customHeight="1">
      <c r="A4724" s="7">
        <v>158.0</v>
      </c>
      <c r="B4724" s="9" t="s">
        <v>9723</v>
      </c>
      <c r="C4724" s="9" t="s">
        <v>242</v>
      </c>
      <c r="D4724" s="9" t="s">
        <v>98</v>
      </c>
      <c r="E4724" s="6" t="s">
        <v>5321</v>
      </c>
      <c r="F4724" s="9" t="s">
        <v>12182</v>
      </c>
    </row>
    <row r="4725" ht="33.75" customHeight="1">
      <c r="A4725" s="7">
        <v>158.0</v>
      </c>
      <c r="B4725" s="9" t="s">
        <v>9723</v>
      </c>
      <c r="C4725" s="9" t="s">
        <v>242</v>
      </c>
      <c r="D4725" s="9" t="s">
        <v>99</v>
      </c>
      <c r="E4725" s="6" t="s">
        <v>5321</v>
      </c>
      <c r="F4725" s="9" t="s">
        <v>12182</v>
      </c>
    </row>
    <row r="4726" ht="33.75" customHeight="1">
      <c r="A4726" s="7">
        <v>158.0</v>
      </c>
      <c r="B4726" s="9" t="s">
        <v>9723</v>
      </c>
      <c r="C4726" s="9" t="s">
        <v>242</v>
      </c>
      <c r="D4726" s="9" t="s">
        <v>101</v>
      </c>
      <c r="E4726" s="6" t="s">
        <v>5319</v>
      </c>
      <c r="F4726" s="9" t="s">
        <v>12182</v>
      </c>
    </row>
    <row r="4727" ht="33.75" customHeight="1">
      <c r="A4727" s="7">
        <v>158.0</v>
      </c>
      <c r="B4727" s="9" t="s">
        <v>9723</v>
      </c>
      <c r="C4727" s="9" t="s">
        <v>242</v>
      </c>
      <c r="D4727" s="9" t="s">
        <v>105</v>
      </c>
      <c r="E4727" s="6" t="s">
        <v>5322</v>
      </c>
      <c r="F4727" s="9" t="s">
        <v>12182</v>
      </c>
    </row>
    <row r="4728" ht="33.75" customHeight="1">
      <c r="A4728" s="7">
        <v>158.0</v>
      </c>
      <c r="B4728" s="9" t="s">
        <v>9723</v>
      </c>
      <c r="C4728" s="9" t="s">
        <v>242</v>
      </c>
      <c r="D4728" s="9" t="s">
        <v>107</v>
      </c>
      <c r="E4728" s="6" t="s">
        <v>5324</v>
      </c>
      <c r="F4728" s="9" t="s">
        <v>12182</v>
      </c>
    </row>
    <row r="4729" ht="33.75" customHeight="1">
      <c r="A4729" s="7">
        <v>158.0</v>
      </c>
      <c r="B4729" s="9" t="s">
        <v>9723</v>
      </c>
      <c r="C4729" s="9" t="s">
        <v>242</v>
      </c>
      <c r="D4729" s="9" t="s">
        <v>109</v>
      </c>
      <c r="E4729" s="6" t="s">
        <v>5324</v>
      </c>
      <c r="F4729" s="9" t="s">
        <v>12182</v>
      </c>
    </row>
    <row r="4730" ht="33.75" customHeight="1">
      <c r="A4730" s="7">
        <v>159.0</v>
      </c>
      <c r="B4730" s="9" t="s">
        <v>9762</v>
      </c>
      <c r="C4730" s="9" t="s">
        <v>242</v>
      </c>
      <c r="D4730" s="9" t="s">
        <v>52</v>
      </c>
      <c r="E4730" s="6" t="s">
        <v>5325</v>
      </c>
      <c r="F4730" s="9" t="s">
        <v>12231</v>
      </c>
      <c r="G4730" t="inlineStr" s="6">
        <is>
          <t xml:space="preserve">If it loses a fang, a new one grows back in Croconaw's place. There are always 48 fangs lining its mouth. It opens its huge jaws wide when attacking. If it loses any fangs while biting, they grow back in. The tips of its fangs are slanted backward. Once those fangs clamp down, the prey has no hope of escape. Once CROCONAW has clamped its jaws on its foe, it will absolutely not let go. Because the tips of its fangs are forked back like barbed fishhooks, they become impossible to remove when they have sunk in. Once its jaws clamp down on its foe, it will absolutely not let go. Because the tips of its fangs are forked back like fishhooks, they become irremovably embedded. Once it bites down, it won’t let go until it loses its fangs. New fangs quickly grow into place.</t>
        </is>
      </c>
    </row>
    <row r="4731" ht="33.75" customHeight="1">
      <c r="A4731" s="7">
        <v>159.0</v>
      </c>
      <c r="B4731" s="9" t="s">
        <v>9762</v>
      </c>
      <c r="C4731" s="9" t="s">
        <v>242</v>
      </c>
      <c r="D4731" s="9" t="s">
        <v>59</v>
      </c>
      <c r="E4731" s="6" t="s">
        <v>5326</v>
      </c>
      <c r="F4731" s="9" t="s">
        <v>12231</v>
      </c>
    </row>
    <row r="4732" ht="33.75" customHeight="1">
      <c r="A4732" s="7">
        <v>159.0</v>
      </c>
      <c r="B4732" s="9" t="s">
        <v>9762</v>
      </c>
      <c r="C4732" s="9" t="s">
        <v>242</v>
      </c>
      <c r="D4732" s="9" t="s">
        <v>64</v>
      </c>
      <c r="E4732" s="6" t="s">
        <v>5327</v>
      </c>
      <c r="F4732" s="9" t="s">
        <v>12231</v>
      </c>
    </row>
    <row r="4733" ht="33.75" customHeight="1">
      <c r="A4733" s="7">
        <v>159.0</v>
      </c>
      <c r="B4733" s="9" t="s">
        <v>9762</v>
      </c>
      <c r="C4733" s="9" t="s">
        <v>242</v>
      </c>
      <c r="D4733" s="9" t="s">
        <v>67</v>
      </c>
      <c r="E4733" s="6" t="s">
        <v>5328</v>
      </c>
      <c r="F4733" s="9" t="s">
        <v>12231</v>
      </c>
    </row>
    <row r="4734" ht="33.75" customHeight="1">
      <c r="A4734" s="7">
        <v>159.0</v>
      </c>
      <c r="B4734" s="9" t="s">
        <v>9762</v>
      </c>
      <c r="C4734" s="9" t="s">
        <v>242</v>
      </c>
      <c r="D4734" s="9" t="s">
        <v>71</v>
      </c>
      <c r="E4734" s="6" t="s">
        <v>5328</v>
      </c>
      <c r="F4734" s="9" t="s">
        <v>12231</v>
      </c>
    </row>
    <row r="4735" ht="33.75" customHeight="1">
      <c r="A4735" s="7">
        <v>159.0</v>
      </c>
      <c r="B4735" s="9" t="s">
        <v>9762</v>
      </c>
      <c r="C4735" s="9" t="s">
        <v>242</v>
      </c>
      <c r="D4735" s="9" t="s">
        <v>73</v>
      </c>
      <c r="E4735" s="6" t="s">
        <v>5329</v>
      </c>
      <c r="F4735" s="9" t="s">
        <v>12231</v>
      </c>
    </row>
    <row r="4736" ht="33.75" customHeight="1">
      <c r="A4736" s="7">
        <v>159.0</v>
      </c>
      <c r="B4736" s="9" t="s">
        <v>9762</v>
      </c>
      <c r="C4736" s="9" t="s">
        <v>242</v>
      </c>
      <c r="D4736" s="9" t="s">
        <v>75</v>
      </c>
      <c r="E4736" s="6" t="s">
        <v>5326</v>
      </c>
      <c r="F4736" s="9" t="s">
        <v>12231</v>
      </c>
    </row>
    <row r="4737" ht="33.75" customHeight="1">
      <c r="A4737" s="7">
        <v>159.0</v>
      </c>
      <c r="B4737" s="9" t="s">
        <v>9762</v>
      </c>
      <c r="C4737" s="9" t="s">
        <v>242</v>
      </c>
      <c r="D4737" s="9" t="s">
        <v>79</v>
      </c>
      <c r="E4737" s="6" t="s">
        <v>5325</v>
      </c>
      <c r="F4737" s="9" t="s">
        <v>12231</v>
      </c>
    </row>
    <row r="4738" ht="33.75" customHeight="1">
      <c r="A4738" s="7">
        <v>159.0</v>
      </c>
      <c r="B4738" s="9" t="s">
        <v>9762</v>
      </c>
      <c r="C4738" s="9" t="s">
        <v>242</v>
      </c>
      <c r="D4738" s="9" t="s">
        <v>81</v>
      </c>
      <c r="E4738" s="6" t="s">
        <v>5330</v>
      </c>
      <c r="F4738" s="9" t="s">
        <v>12231</v>
      </c>
    </row>
    <row r="4739" ht="33.75" customHeight="1">
      <c r="A4739" s="7">
        <v>159.0</v>
      </c>
      <c r="B4739" s="9" t="s">
        <v>9762</v>
      </c>
      <c r="C4739" s="9" t="s">
        <v>242</v>
      </c>
      <c r="D4739" s="9" t="s">
        <v>84</v>
      </c>
      <c r="E4739" s="6" t="s">
        <v>5330</v>
      </c>
      <c r="F4739" s="9" t="s">
        <v>12231</v>
      </c>
    </row>
    <row r="4740" ht="33.75" customHeight="1">
      <c r="A4740" s="7">
        <v>159.0</v>
      </c>
      <c r="B4740" s="9" t="s">
        <v>9762</v>
      </c>
      <c r="C4740" s="9" t="s">
        <v>242</v>
      </c>
      <c r="D4740" s="9" t="s">
        <v>87</v>
      </c>
      <c r="E4740" s="6" t="s">
        <v>5330</v>
      </c>
      <c r="F4740" s="9" t="s">
        <v>12231</v>
      </c>
    </row>
    <row r="4741" ht="33.75" customHeight="1">
      <c r="A4741" s="7">
        <v>159.0</v>
      </c>
      <c r="B4741" s="9" t="s">
        <v>9762</v>
      </c>
      <c r="C4741" s="9" t="s">
        <v>242</v>
      </c>
      <c r="D4741" s="9" t="s">
        <v>89</v>
      </c>
      <c r="E4741" s="6" t="s">
        <v>5325</v>
      </c>
      <c r="F4741" s="9" t="s">
        <v>12231</v>
      </c>
    </row>
    <row r="4742" ht="33.75" customHeight="1">
      <c r="A4742" s="7">
        <v>159.0</v>
      </c>
      <c r="B4742" s="9" t="s">
        <v>9762</v>
      </c>
      <c r="C4742" s="9" t="s">
        <v>242</v>
      </c>
      <c r="D4742" s="9" t="s">
        <v>91</v>
      </c>
      <c r="E4742" s="6" t="s">
        <v>5326</v>
      </c>
      <c r="F4742" s="9" t="s">
        <v>12231</v>
      </c>
    </row>
    <row r="4743" ht="33.75" customHeight="1">
      <c r="A4743" s="7">
        <v>159.0</v>
      </c>
      <c r="B4743" s="9" t="s">
        <v>9762</v>
      </c>
      <c r="C4743" s="9" t="s">
        <v>242</v>
      </c>
      <c r="D4743" s="9" t="s">
        <v>93</v>
      </c>
      <c r="E4743" s="6" t="s">
        <v>5330</v>
      </c>
      <c r="F4743" s="9" t="s">
        <v>12231</v>
      </c>
    </row>
    <row r="4744" ht="33.75" customHeight="1">
      <c r="A4744" s="7">
        <v>159.0</v>
      </c>
      <c r="B4744" s="9" t="s">
        <v>9762</v>
      </c>
      <c r="C4744" s="9" t="s">
        <v>242</v>
      </c>
      <c r="D4744" s="9" t="s">
        <v>95</v>
      </c>
      <c r="E4744" s="6" t="s">
        <v>5330</v>
      </c>
      <c r="F4744" s="9" t="s">
        <v>12231</v>
      </c>
    </row>
    <row r="4745" ht="33.75" customHeight="1">
      <c r="A4745" s="7">
        <v>159.0</v>
      </c>
      <c r="B4745" s="9" t="s">
        <v>9762</v>
      </c>
      <c r="C4745" s="9" t="s">
        <v>242</v>
      </c>
      <c r="D4745" s="9" t="s">
        <v>98</v>
      </c>
      <c r="E4745" s="6" t="s">
        <v>5330</v>
      </c>
      <c r="F4745" s="9" t="s">
        <v>12231</v>
      </c>
    </row>
    <row r="4746" ht="33.75" customHeight="1">
      <c r="A4746" s="7">
        <v>159.0</v>
      </c>
      <c r="B4746" s="9" t="s">
        <v>9762</v>
      </c>
      <c r="C4746" s="9" t="s">
        <v>242</v>
      </c>
      <c r="D4746" s="9" t="s">
        <v>99</v>
      </c>
      <c r="E4746" s="6" t="s">
        <v>5330</v>
      </c>
      <c r="F4746" s="9" t="s">
        <v>12231</v>
      </c>
    </row>
    <row r="4747" ht="33.75" customHeight="1">
      <c r="A4747" s="7">
        <v>159.0</v>
      </c>
      <c r="B4747" s="9" t="s">
        <v>9762</v>
      </c>
      <c r="C4747" s="9" t="s">
        <v>242</v>
      </c>
      <c r="D4747" s="9" t="s">
        <v>101</v>
      </c>
      <c r="E4747" s="6" t="s">
        <v>5325</v>
      </c>
      <c r="F4747" s="9" t="s">
        <v>12231</v>
      </c>
    </row>
    <row r="4748" ht="33.75" customHeight="1">
      <c r="A4748" s="7">
        <v>159.0</v>
      </c>
      <c r="B4748" s="9" t="s">
        <v>9762</v>
      </c>
      <c r="C4748" s="9" t="s">
        <v>242</v>
      </c>
      <c r="D4748" s="9" t="s">
        <v>105</v>
      </c>
      <c r="E4748" s="6" t="s">
        <v>5330</v>
      </c>
      <c r="F4748" s="9" t="s">
        <v>12231</v>
      </c>
    </row>
    <row r="4749" ht="33.75" customHeight="1">
      <c r="A4749" s="7">
        <v>159.0</v>
      </c>
      <c r="B4749" s="9" t="s">
        <v>9762</v>
      </c>
      <c r="C4749" s="9" t="s">
        <v>242</v>
      </c>
      <c r="D4749" s="9" t="s">
        <v>107</v>
      </c>
      <c r="E4749" s="6" t="s">
        <v>5331</v>
      </c>
      <c r="F4749" s="9" t="s">
        <v>12231</v>
      </c>
    </row>
    <row r="4750" ht="33.75" customHeight="1">
      <c r="A4750" s="7">
        <v>159.0</v>
      </c>
      <c r="B4750" s="9" t="s">
        <v>9762</v>
      </c>
      <c r="C4750" s="9" t="s">
        <v>242</v>
      </c>
      <c r="D4750" s="9" t="s">
        <v>109</v>
      </c>
      <c r="E4750" s="6" t="s">
        <v>5331</v>
      </c>
      <c r="F4750" s="9" t="s">
        <v>12231</v>
      </c>
    </row>
    <row r="4751" ht="33.75" customHeight="1">
      <c r="A4751" s="7">
        <v>160.0</v>
      </c>
      <c r="B4751" s="9" t="s">
        <v>9793</v>
      </c>
      <c r="C4751" s="9" t="s">
        <v>242</v>
      </c>
      <c r="D4751" s="9" t="s">
        <v>52</v>
      </c>
      <c r="E4751" s="6" t="s">
        <v>5333</v>
      </c>
      <c r="F4751" s="9" t="s">
        <v>12286</v>
      </c>
      <c r="G4751" t="inlineStr" s="6">
        <is>
          <t xml:space="preserve">When it bites with Feraligatr's massive and powerful jaws, it shakes its head and savagely tears its victim up. It is hard for it to support its own weight out of water, so it gets down on all fours. But it moves fast. Although it has a massive body, its powerful hind legs enable it to move quickly, even on the ground. FERALIGATR intimidates its foes by opening its huge mouth. In battle, it will kick the ground hard with its thick and powerful hind legs to charge at the foe at an incredible speed. It opens its huge mouth to intimidate enemies. In battle, it runs using its thick and powerful hind legs to charge the foe with incredible speed. When it bites with its massive and powerful jaws, it shakes its head and savagely tears up its victim. It usually moves slowly, but it goes at blinding speed when it attacks and bites prey. It is hard for it to support its weight out of water, so it sometimes gets down on all fours.</t>
        </is>
      </c>
    </row>
    <row r="4752" ht="33.75" customHeight="1">
      <c r="A4752" s="7">
        <v>160.0</v>
      </c>
      <c r="B4752" s="9" t="s">
        <v>9793</v>
      </c>
      <c r="C4752" s="9" t="s">
        <v>242</v>
      </c>
      <c r="D4752" s="9" t="s">
        <v>59</v>
      </c>
      <c r="E4752" s="6" t="s">
        <v>5334</v>
      </c>
      <c r="F4752" s="9" t="s">
        <v>12286</v>
      </c>
    </row>
    <row r="4753" ht="33.75" customHeight="1">
      <c r="A4753" s="7">
        <v>160.0</v>
      </c>
      <c r="B4753" s="9" t="s">
        <v>9793</v>
      </c>
      <c r="C4753" s="9" t="s">
        <v>242</v>
      </c>
      <c r="D4753" s="9" t="s">
        <v>64</v>
      </c>
      <c r="E4753" s="6" t="s">
        <v>5335</v>
      </c>
      <c r="F4753" s="9" t="s">
        <v>12286</v>
      </c>
    </row>
    <row r="4754" ht="33.75" customHeight="1">
      <c r="A4754" s="7">
        <v>160.0</v>
      </c>
      <c r="B4754" s="9" t="s">
        <v>9793</v>
      </c>
      <c r="C4754" s="9" t="s">
        <v>242</v>
      </c>
      <c r="D4754" s="9" t="s">
        <v>67</v>
      </c>
      <c r="E4754" s="6" t="s">
        <v>5336</v>
      </c>
      <c r="F4754" s="9" t="s">
        <v>12286</v>
      </c>
    </row>
    <row r="4755" ht="33.75" customHeight="1">
      <c r="A4755" s="7">
        <v>160.0</v>
      </c>
      <c r="B4755" s="9" t="s">
        <v>9793</v>
      </c>
      <c r="C4755" s="9" t="s">
        <v>242</v>
      </c>
      <c r="D4755" s="9" t="s">
        <v>71</v>
      </c>
      <c r="E4755" s="6" t="s">
        <v>5336</v>
      </c>
      <c r="F4755" s="9" t="s">
        <v>12286</v>
      </c>
    </row>
    <row r="4756" ht="33.75" customHeight="1">
      <c r="A4756" s="7">
        <v>160.0</v>
      </c>
      <c r="B4756" s="9" t="s">
        <v>9793</v>
      </c>
      <c r="C4756" s="9" t="s">
        <v>242</v>
      </c>
      <c r="D4756" s="9" t="s">
        <v>73</v>
      </c>
      <c r="E4756" s="6" t="s">
        <v>5338</v>
      </c>
      <c r="F4756" s="9" t="s">
        <v>12286</v>
      </c>
    </row>
    <row r="4757" ht="33.75" customHeight="1">
      <c r="A4757" s="7">
        <v>160.0</v>
      </c>
      <c r="B4757" s="9" t="s">
        <v>9793</v>
      </c>
      <c r="C4757" s="9" t="s">
        <v>242</v>
      </c>
      <c r="D4757" s="9" t="s">
        <v>75</v>
      </c>
      <c r="E4757" s="6" t="s">
        <v>5334</v>
      </c>
      <c r="F4757" s="9" t="s">
        <v>12286</v>
      </c>
    </row>
    <row r="4758" ht="33.75" customHeight="1">
      <c r="A4758" s="7">
        <v>160.0</v>
      </c>
      <c r="B4758" s="9" t="s">
        <v>9793</v>
      </c>
      <c r="C4758" s="9" t="s">
        <v>242</v>
      </c>
      <c r="D4758" s="9" t="s">
        <v>79</v>
      </c>
      <c r="E4758" s="6" t="s">
        <v>5339</v>
      </c>
      <c r="F4758" s="9" t="s">
        <v>12286</v>
      </c>
    </row>
    <row r="4759" ht="33.75" customHeight="1">
      <c r="A4759" s="7">
        <v>160.0</v>
      </c>
      <c r="B4759" s="9" t="s">
        <v>9793</v>
      </c>
      <c r="C4759" s="9" t="s">
        <v>242</v>
      </c>
      <c r="D4759" s="9" t="s">
        <v>81</v>
      </c>
      <c r="E4759" s="6" t="s">
        <v>5340</v>
      </c>
      <c r="F4759" s="9" t="s">
        <v>12286</v>
      </c>
    </row>
    <row r="4760" ht="33.75" customHeight="1">
      <c r="A4760" s="7">
        <v>160.0</v>
      </c>
      <c r="B4760" s="9" t="s">
        <v>9793</v>
      </c>
      <c r="C4760" s="9" t="s">
        <v>242</v>
      </c>
      <c r="D4760" s="9" t="s">
        <v>84</v>
      </c>
      <c r="E4760" s="6" t="s">
        <v>5340</v>
      </c>
      <c r="F4760" s="9" t="s">
        <v>12286</v>
      </c>
    </row>
    <row r="4761" ht="33.75" customHeight="1">
      <c r="A4761" s="7">
        <v>160.0</v>
      </c>
      <c r="B4761" s="9" t="s">
        <v>9793</v>
      </c>
      <c r="C4761" s="9" t="s">
        <v>242</v>
      </c>
      <c r="D4761" s="9" t="s">
        <v>87</v>
      </c>
      <c r="E4761" s="6" t="s">
        <v>5340</v>
      </c>
      <c r="F4761" s="9" t="s">
        <v>12286</v>
      </c>
    </row>
    <row r="4762" ht="33.75" customHeight="1">
      <c r="A4762" s="7">
        <v>160.0</v>
      </c>
      <c r="B4762" s="9" t="s">
        <v>9793</v>
      </c>
      <c r="C4762" s="9" t="s">
        <v>242</v>
      </c>
      <c r="D4762" s="9" t="s">
        <v>89</v>
      </c>
      <c r="E4762" s="6" t="s">
        <v>5333</v>
      </c>
      <c r="F4762" s="9" t="s">
        <v>12286</v>
      </c>
    </row>
    <row r="4763" ht="33.75" customHeight="1">
      <c r="A4763" s="7">
        <v>160.0</v>
      </c>
      <c r="B4763" s="9" t="s">
        <v>9793</v>
      </c>
      <c r="C4763" s="9" t="s">
        <v>242</v>
      </c>
      <c r="D4763" s="9" t="s">
        <v>91</v>
      </c>
      <c r="E4763" s="6" t="s">
        <v>5341</v>
      </c>
      <c r="F4763" s="9" t="s">
        <v>12286</v>
      </c>
    </row>
    <row r="4764" ht="33.75" customHeight="1">
      <c r="A4764" s="7">
        <v>160.0</v>
      </c>
      <c r="B4764" s="9" t="s">
        <v>9793</v>
      </c>
      <c r="C4764" s="9" t="s">
        <v>242</v>
      </c>
      <c r="D4764" s="9" t="s">
        <v>93</v>
      </c>
      <c r="E4764" s="6" t="s">
        <v>5340</v>
      </c>
      <c r="F4764" s="9" t="s">
        <v>12286</v>
      </c>
    </row>
    <row r="4765" ht="33.75" customHeight="1">
      <c r="A4765" s="7">
        <v>160.0</v>
      </c>
      <c r="B4765" s="9" t="s">
        <v>9793</v>
      </c>
      <c r="C4765" s="9" t="s">
        <v>242</v>
      </c>
      <c r="D4765" s="9" t="s">
        <v>95</v>
      </c>
      <c r="E4765" s="6" t="s">
        <v>5340</v>
      </c>
      <c r="F4765" s="9" t="s">
        <v>12286</v>
      </c>
    </row>
    <row r="4766" ht="33.75" customHeight="1">
      <c r="A4766" s="7">
        <v>160.0</v>
      </c>
      <c r="B4766" s="9" t="s">
        <v>9793</v>
      </c>
      <c r="C4766" s="9" t="s">
        <v>242</v>
      </c>
      <c r="D4766" s="9" t="s">
        <v>98</v>
      </c>
      <c r="E4766" s="6" t="s">
        <v>5340</v>
      </c>
      <c r="F4766" s="9" t="s">
        <v>12286</v>
      </c>
    </row>
    <row r="4767" ht="33.75" customHeight="1">
      <c r="A4767" s="7">
        <v>160.0</v>
      </c>
      <c r="B4767" s="9" t="s">
        <v>9793</v>
      </c>
      <c r="C4767" s="9" t="s">
        <v>242</v>
      </c>
      <c r="D4767" s="9" t="s">
        <v>99</v>
      </c>
      <c r="E4767" s="6" t="s">
        <v>5340</v>
      </c>
      <c r="F4767" s="9" t="s">
        <v>12286</v>
      </c>
    </row>
    <row r="4768" ht="33.75" customHeight="1">
      <c r="A4768" s="7">
        <v>160.0</v>
      </c>
      <c r="B4768" s="9" t="s">
        <v>9793</v>
      </c>
      <c r="C4768" s="9" t="s">
        <v>242</v>
      </c>
      <c r="D4768" s="9" t="s">
        <v>101</v>
      </c>
      <c r="E4768" s="6" t="s">
        <v>5340</v>
      </c>
      <c r="F4768" s="9" t="s">
        <v>12286</v>
      </c>
    </row>
    <row r="4769" ht="33.75" customHeight="1">
      <c r="A4769" s="7">
        <v>160.0</v>
      </c>
      <c r="B4769" s="9" t="s">
        <v>9793</v>
      </c>
      <c r="C4769" s="9" t="s">
        <v>242</v>
      </c>
      <c r="D4769" s="9" t="s">
        <v>105</v>
      </c>
      <c r="E4769" s="6" t="s">
        <v>5333</v>
      </c>
      <c r="F4769" s="9" t="s">
        <v>12286</v>
      </c>
    </row>
    <row r="4770" ht="33.75" customHeight="1">
      <c r="A4770" s="7">
        <v>160.0</v>
      </c>
      <c r="B4770" s="9" t="s">
        <v>9793</v>
      </c>
      <c r="C4770" s="9" t="s">
        <v>242</v>
      </c>
      <c r="D4770" s="9" t="s">
        <v>107</v>
      </c>
      <c r="E4770" s="6" t="s">
        <v>5342</v>
      </c>
      <c r="F4770" s="9" t="s">
        <v>12286</v>
      </c>
    </row>
    <row r="4771" ht="33.75" customHeight="1">
      <c r="A4771" s="7">
        <v>160.0</v>
      </c>
      <c r="B4771" s="9" t="s">
        <v>9793</v>
      </c>
      <c r="C4771" s="9" t="s">
        <v>242</v>
      </c>
      <c r="D4771" s="9" t="s">
        <v>109</v>
      </c>
      <c r="E4771" s="6" t="s">
        <v>5342</v>
      </c>
      <c r="F4771" s="9" t="s">
        <v>12286</v>
      </c>
    </row>
    <row r="4772" ht="33.75" customHeight="1">
      <c r="A4772" s="7">
        <v>161.0</v>
      </c>
      <c r="B4772" s="9" t="s">
        <v>9819</v>
      </c>
      <c r="C4772" s="9" t="s">
        <v>245</v>
      </c>
      <c r="D4772" s="9" t="s">
        <v>52</v>
      </c>
      <c r="E4772" s="6" t="s">
        <v>5343</v>
      </c>
      <c r="F4772" s="9" t="s">
        <v>12314</v>
      </c>
      <c r="G4772" t="inlineStr" s="6">
        <is>
          <t xml:space="preserve">A very cautious POKéMON, it raises itself up using Sentret's tail to get a better view of its surroundings. It stands on its tail so it can see a long way. If it spots an enemy, it cries loudly to warn its kind. When acting as a lookout, it warns others of danger by screeching and hitting the ground with its tail. When SENTRET sleeps, it does so while another stands guard. The sentry wakes the others at the first sign of danger. When this POKéMON becomes separated from its pack, it becomes incapable of sleep due to fear. They take turns standing guard when it is time to sleep. The sentry awakens the others if it senses danger. If one becomes separated, it turns sleepless with fear. It has a very nervous nature. It stands up high on its tail so it can scan wide areas.</t>
        </is>
      </c>
    </row>
    <row r="4773" ht="33.75" customHeight="1">
      <c r="A4773" s="7">
        <v>161.0</v>
      </c>
      <c r="B4773" s="9" t="s">
        <v>9819</v>
      </c>
      <c r="C4773" s="9" t="s">
        <v>245</v>
      </c>
      <c r="D4773" s="9" t="s">
        <v>59</v>
      </c>
      <c r="E4773" s="6" t="s">
        <v>5345</v>
      </c>
      <c r="F4773" s="9" t="s">
        <v>12314</v>
      </c>
    </row>
    <row r="4774" ht="33.75" customHeight="1">
      <c r="A4774" s="7">
        <v>161.0</v>
      </c>
      <c r="B4774" s="9" t="s">
        <v>9819</v>
      </c>
      <c r="C4774" s="9" t="s">
        <v>245</v>
      </c>
      <c r="D4774" s="9" t="s">
        <v>64</v>
      </c>
      <c r="E4774" s="6" t="s">
        <v>5346</v>
      </c>
      <c r="F4774" s="9" t="s">
        <v>12314</v>
      </c>
    </row>
    <row r="4775" ht="33.75" customHeight="1">
      <c r="A4775" s="7">
        <v>161.0</v>
      </c>
      <c r="B4775" s="9" t="s">
        <v>9819</v>
      </c>
      <c r="C4775" s="9" t="s">
        <v>245</v>
      </c>
      <c r="D4775" s="9" t="s">
        <v>67</v>
      </c>
      <c r="E4775" s="6" t="s">
        <v>5347</v>
      </c>
      <c r="F4775" s="9" t="s">
        <v>12314</v>
      </c>
    </row>
    <row r="4776" ht="33.75" customHeight="1">
      <c r="A4776" s="7">
        <v>161.0</v>
      </c>
      <c r="B4776" s="9" t="s">
        <v>9819</v>
      </c>
      <c r="C4776" s="9" t="s">
        <v>245</v>
      </c>
      <c r="D4776" s="9" t="s">
        <v>71</v>
      </c>
      <c r="E4776" s="6" t="s">
        <v>5347</v>
      </c>
      <c r="F4776" s="9" t="s">
        <v>12314</v>
      </c>
    </row>
    <row r="4777" ht="33.75" customHeight="1">
      <c r="A4777" s="7">
        <v>161.0</v>
      </c>
      <c r="B4777" s="9" t="s">
        <v>9819</v>
      </c>
      <c r="C4777" s="9" t="s">
        <v>245</v>
      </c>
      <c r="D4777" s="9" t="s">
        <v>73</v>
      </c>
      <c r="E4777" s="6" t="s">
        <v>5349</v>
      </c>
      <c r="F4777" s="9" t="s">
        <v>12314</v>
      </c>
    </row>
    <row r="4778" ht="33.75" customHeight="1">
      <c r="A4778" s="7">
        <v>161.0</v>
      </c>
      <c r="B4778" s="9" t="s">
        <v>9819</v>
      </c>
      <c r="C4778" s="9" t="s">
        <v>245</v>
      </c>
      <c r="D4778" s="9" t="s">
        <v>75</v>
      </c>
      <c r="E4778" s="6" t="s">
        <v>5345</v>
      </c>
      <c r="F4778" s="9" t="s">
        <v>12314</v>
      </c>
    </row>
    <row r="4779" ht="33.75" customHeight="1">
      <c r="A4779" s="7">
        <v>161.0</v>
      </c>
      <c r="B4779" s="9" t="s">
        <v>9819</v>
      </c>
      <c r="C4779" s="9" t="s">
        <v>245</v>
      </c>
      <c r="D4779" s="9" t="s">
        <v>79</v>
      </c>
      <c r="E4779" s="6" t="s">
        <v>5343</v>
      </c>
      <c r="F4779" s="9" t="s">
        <v>12314</v>
      </c>
    </row>
    <row r="4780" ht="33.75" customHeight="1">
      <c r="A4780" s="7">
        <v>161.0</v>
      </c>
      <c r="B4780" s="9" t="s">
        <v>9819</v>
      </c>
      <c r="C4780" s="9" t="s">
        <v>245</v>
      </c>
      <c r="D4780" s="9" t="s">
        <v>81</v>
      </c>
      <c r="E4780" s="6" t="s">
        <v>5351</v>
      </c>
      <c r="F4780" s="9" t="s">
        <v>12314</v>
      </c>
    </row>
    <row r="4781" ht="33.75" customHeight="1">
      <c r="A4781" s="7">
        <v>161.0</v>
      </c>
      <c r="B4781" s="9" t="s">
        <v>9819</v>
      </c>
      <c r="C4781" s="9" t="s">
        <v>245</v>
      </c>
      <c r="D4781" s="9" t="s">
        <v>84</v>
      </c>
      <c r="E4781" s="6" t="s">
        <v>5351</v>
      </c>
      <c r="F4781" s="9" t="s">
        <v>12314</v>
      </c>
    </row>
    <row r="4782" ht="33.75" customHeight="1">
      <c r="A4782" s="7">
        <v>161.0</v>
      </c>
      <c r="B4782" s="9" t="s">
        <v>9819</v>
      </c>
      <c r="C4782" s="9" t="s">
        <v>245</v>
      </c>
      <c r="D4782" s="9" t="s">
        <v>87</v>
      </c>
      <c r="E4782" s="6" t="s">
        <v>5351</v>
      </c>
      <c r="F4782" s="9" t="s">
        <v>12314</v>
      </c>
    </row>
    <row r="4783" ht="33.75" customHeight="1">
      <c r="A4783" s="7">
        <v>161.0</v>
      </c>
      <c r="B4783" s="9" t="s">
        <v>9819</v>
      </c>
      <c r="C4783" s="9" t="s">
        <v>245</v>
      </c>
      <c r="D4783" s="9" t="s">
        <v>89</v>
      </c>
      <c r="E4783" s="6" t="s">
        <v>5352</v>
      </c>
      <c r="F4783" s="9" t="s">
        <v>12314</v>
      </c>
    </row>
    <row r="4784" ht="33.75" customHeight="1">
      <c r="A4784" s="7">
        <v>161.0</v>
      </c>
      <c r="B4784" s="9" t="s">
        <v>9819</v>
      </c>
      <c r="C4784" s="9" t="s">
        <v>245</v>
      </c>
      <c r="D4784" s="9" t="s">
        <v>91</v>
      </c>
      <c r="E4784" s="6" t="s">
        <v>5345</v>
      </c>
      <c r="F4784" s="9" t="s">
        <v>12314</v>
      </c>
    </row>
    <row r="4785" ht="33.75" customHeight="1">
      <c r="A4785" s="7">
        <v>161.0</v>
      </c>
      <c r="B4785" s="9" t="s">
        <v>9819</v>
      </c>
      <c r="C4785" s="9" t="s">
        <v>245</v>
      </c>
      <c r="D4785" s="9" t="s">
        <v>93</v>
      </c>
      <c r="E4785" s="6" t="s">
        <v>5351</v>
      </c>
      <c r="F4785" s="9" t="s">
        <v>12314</v>
      </c>
    </row>
    <row r="4786" ht="33.75" customHeight="1">
      <c r="A4786" s="7">
        <v>161.0</v>
      </c>
      <c r="B4786" s="9" t="s">
        <v>9819</v>
      </c>
      <c r="C4786" s="9" t="s">
        <v>245</v>
      </c>
      <c r="D4786" s="9" t="s">
        <v>95</v>
      </c>
      <c r="E4786" s="6" t="s">
        <v>5351</v>
      </c>
      <c r="F4786" s="9" t="s">
        <v>12314</v>
      </c>
    </row>
    <row r="4787" ht="33.75" customHeight="1">
      <c r="A4787" s="7">
        <v>161.0</v>
      </c>
      <c r="B4787" s="9" t="s">
        <v>9819</v>
      </c>
      <c r="C4787" s="9" t="s">
        <v>245</v>
      </c>
      <c r="D4787" s="9" t="s">
        <v>98</v>
      </c>
      <c r="E4787" s="6" t="s">
        <v>5351</v>
      </c>
      <c r="F4787" s="9" t="s">
        <v>12314</v>
      </c>
    </row>
    <row r="4788" ht="33.75" customHeight="1">
      <c r="A4788" s="7">
        <v>161.0</v>
      </c>
      <c r="B4788" s="9" t="s">
        <v>9819</v>
      </c>
      <c r="C4788" s="9" t="s">
        <v>245</v>
      </c>
      <c r="D4788" s="9" t="s">
        <v>99</v>
      </c>
      <c r="E4788" s="6" t="s">
        <v>5351</v>
      </c>
      <c r="F4788" s="9" t="s">
        <v>12314</v>
      </c>
    </row>
    <row r="4789" ht="33.75" customHeight="1">
      <c r="A4789" s="7">
        <v>161.0</v>
      </c>
      <c r="B4789" s="9" t="s">
        <v>9819</v>
      </c>
      <c r="C4789" s="9" t="s">
        <v>245</v>
      </c>
      <c r="D4789" s="9" t="s">
        <v>101</v>
      </c>
      <c r="E4789" s="6" t="s">
        <v>5346</v>
      </c>
      <c r="F4789" s="9" t="s">
        <v>12314</v>
      </c>
    </row>
    <row r="4790" ht="33.75" customHeight="1">
      <c r="A4790" s="7">
        <v>161.0</v>
      </c>
      <c r="B4790" s="9" t="s">
        <v>9819</v>
      </c>
      <c r="C4790" s="9" t="s">
        <v>245</v>
      </c>
      <c r="D4790" s="9" t="s">
        <v>105</v>
      </c>
      <c r="E4790" s="6" t="s">
        <v>5345</v>
      </c>
      <c r="F4790" s="9" t="s">
        <v>12314</v>
      </c>
    </row>
    <row r="4791" ht="33.75" customHeight="1">
      <c r="A4791" s="7">
        <v>161.0</v>
      </c>
      <c r="B4791" s="9" t="s">
        <v>9819</v>
      </c>
      <c r="C4791" s="9" t="s">
        <v>245</v>
      </c>
      <c r="D4791" s="9" t="s">
        <v>107</v>
      </c>
      <c r="E4791" s="6" t="s">
        <v>5353</v>
      </c>
      <c r="F4791" s="9" t="s">
        <v>12314</v>
      </c>
    </row>
    <row r="4792" ht="33.75" customHeight="1">
      <c r="A4792" s="7">
        <v>161.0</v>
      </c>
      <c r="B4792" s="9" t="s">
        <v>9819</v>
      </c>
      <c r="C4792" s="9" t="s">
        <v>245</v>
      </c>
      <c r="D4792" s="9" t="s">
        <v>109</v>
      </c>
      <c r="E4792" s="6" t="s">
        <v>5353</v>
      </c>
      <c r="F4792" s="9" t="s">
        <v>12314</v>
      </c>
    </row>
    <row r="4793" ht="33.75" customHeight="1">
      <c r="A4793" s="7">
        <v>162.0</v>
      </c>
      <c r="B4793" s="9" t="s">
        <v>9850</v>
      </c>
      <c r="C4793" s="9" t="s">
        <v>246</v>
      </c>
      <c r="D4793" s="9" t="s">
        <v>52</v>
      </c>
      <c r="E4793" s="6" t="s">
        <v>5355</v>
      </c>
      <c r="F4793" s="9" t="s">
        <v>12333</v>
      </c>
      <c r="G4793" t="inlineStr" s="6">
        <is>
          <t xml:space="preserve">It makes a nest to suit Furret's long and skinny body. The nest is impossible for other POKéMON to enter. There is no tell ing where the tail begins. Despite its short legs, it is quick at hunt ing RATTATA. It lives in narrow burrows that fit its slim body. The deeper the nests go, the more mazelike they become. FURRET has a very slim build. When under attack, it can slickly squirm through narrow spaces and get away. In spite of its short limbs, this POKéMON is very nimble and fleet. A FURRET has a very slim build. When under attack, it can squirm through narrow spaces and get away. In spite of its short limbs, it is very nimble and fleet. There is no telling where its tail begins. Despite its short legs, it is quick at hunting RATTATA. The mother puts its offspring to sleep by curling up around them. It corners foes with speed. There is no telling where the tail begins. Despite its short legs, it is quick and likes to chase RATTATA.</t>
        </is>
      </c>
    </row>
    <row r="4794" ht="33.75" customHeight="1">
      <c r="A4794" s="7">
        <v>162.0</v>
      </c>
      <c r="B4794" s="9" t="s">
        <v>9850</v>
      </c>
      <c r="C4794" s="9" t="s">
        <v>246</v>
      </c>
      <c r="D4794" s="9" t="s">
        <v>59</v>
      </c>
      <c r="E4794" s="6" t="s">
        <v>5357</v>
      </c>
      <c r="F4794" s="9" t="s">
        <v>12333</v>
      </c>
    </row>
    <row r="4795" ht="33.75" customHeight="1">
      <c r="A4795" s="7">
        <v>162.0</v>
      </c>
      <c r="B4795" s="9" t="s">
        <v>9850</v>
      </c>
      <c r="C4795" s="9" t="s">
        <v>246</v>
      </c>
      <c r="D4795" s="9" t="s">
        <v>64</v>
      </c>
      <c r="E4795" s="6" t="s">
        <v>5358</v>
      </c>
      <c r="F4795" s="9" t="s">
        <v>12333</v>
      </c>
    </row>
    <row r="4796" ht="33.75" customHeight="1">
      <c r="A4796" s="7">
        <v>162.0</v>
      </c>
      <c r="B4796" s="9" t="s">
        <v>9850</v>
      </c>
      <c r="C4796" s="9" t="s">
        <v>246</v>
      </c>
      <c r="D4796" s="9" t="s">
        <v>67</v>
      </c>
      <c r="E4796" s="6" t="s">
        <v>5359</v>
      </c>
      <c r="F4796" s="9" t="s">
        <v>12333</v>
      </c>
    </row>
    <row r="4797" ht="33.75" customHeight="1">
      <c r="A4797" s="7">
        <v>162.0</v>
      </c>
      <c r="B4797" s="9" t="s">
        <v>9850</v>
      </c>
      <c r="C4797" s="9" t="s">
        <v>246</v>
      </c>
      <c r="D4797" s="9" t="s">
        <v>71</v>
      </c>
      <c r="E4797" s="6" t="s">
        <v>5359</v>
      </c>
      <c r="F4797" s="9" t="s">
        <v>12333</v>
      </c>
    </row>
    <row r="4798" ht="33.75" customHeight="1">
      <c r="A4798" s="7">
        <v>162.0</v>
      </c>
      <c r="B4798" s="9" t="s">
        <v>9850</v>
      </c>
      <c r="C4798" s="9" t="s">
        <v>246</v>
      </c>
      <c r="D4798" s="9" t="s">
        <v>73</v>
      </c>
      <c r="E4798" s="6" t="s">
        <v>5361</v>
      </c>
      <c r="F4798" s="9" t="s">
        <v>12333</v>
      </c>
    </row>
    <row r="4799" ht="33.75" customHeight="1">
      <c r="A4799" s="7">
        <v>162.0</v>
      </c>
      <c r="B4799" s="9" t="s">
        <v>9850</v>
      </c>
      <c r="C4799" s="9" t="s">
        <v>246</v>
      </c>
      <c r="D4799" s="9" t="s">
        <v>75</v>
      </c>
      <c r="E4799" s="6" t="s">
        <v>5362</v>
      </c>
      <c r="F4799" s="9" t="s">
        <v>12333</v>
      </c>
    </row>
    <row r="4800" ht="33.75" customHeight="1">
      <c r="A4800" s="7">
        <v>162.0</v>
      </c>
      <c r="B4800" s="9" t="s">
        <v>9850</v>
      </c>
      <c r="C4800" s="9" t="s">
        <v>246</v>
      </c>
      <c r="D4800" s="9" t="s">
        <v>79</v>
      </c>
      <c r="E4800" s="6" t="s">
        <v>5355</v>
      </c>
      <c r="F4800" s="9" t="s">
        <v>12333</v>
      </c>
    </row>
    <row r="4801" ht="33.75" customHeight="1">
      <c r="A4801" s="7">
        <v>162.0</v>
      </c>
      <c r="B4801" s="9" t="s">
        <v>9850</v>
      </c>
      <c r="C4801" s="9" t="s">
        <v>246</v>
      </c>
      <c r="D4801" s="9" t="s">
        <v>81</v>
      </c>
      <c r="E4801" s="6" t="s">
        <v>5364</v>
      </c>
      <c r="F4801" s="9" t="s">
        <v>12333</v>
      </c>
    </row>
    <row r="4802" ht="33.75" customHeight="1">
      <c r="A4802" s="7">
        <v>162.0</v>
      </c>
      <c r="B4802" s="9" t="s">
        <v>9850</v>
      </c>
      <c r="C4802" s="9" t="s">
        <v>246</v>
      </c>
      <c r="D4802" s="9" t="s">
        <v>84</v>
      </c>
      <c r="E4802" s="6" t="s">
        <v>5364</v>
      </c>
      <c r="F4802" s="9" t="s">
        <v>12333</v>
      </c>
    </row>
    <row r="4803" ht="33.75" customHeight="1">
      <c r="A4803" s="7">
        <v>162.0</v>
      </c>
      <c r="B4803" s="9" t="s">
        <v>9850</v>
      </c>
      <c r="C4803" s="9" t="s">
        <v>246</v>
      </c>
      <c r="D4803" s="9" t="s">
        <v>87</v>
      </c>
      <c r="E4803" s="6" t="s">
        <v>5364</v>
      </c>
      <c r="F4803" s="9" t="s">
        <v>12333</v>
      </c>
    </row>
    <row r="4804" ht="33.75" customHeight="1">
      <c r="A4804" s="7">
        <v>162.0</v>
      </c>
      <c r="B4804" s="9" t="s">
        <v>9850</v>
      </c>
      <c r="C4804" s="9" t="s">
        <v>246</v>
      </c>
      <c r="D4804" s="9" t="s">
        <v>89</v>
      </c>
      <c r="E4804" s="6" t="s">
        <v>5365</v>
      </c>
      <c r="F4804" s="9" t="s">
        <v>12333</v>
      </c>
    </row>
    <row r="4805" ht="33.75" customHeight="1">
      <c r="A4805" s="7">
        <v>162.0</v>
      </c>
      <c r="B4805" s="9" t="s">
        <v>9850</v>
      </c>
      <c r="C4805" s="9" t="s">
        <v>246</v>
      </c>
      <c r="D4805" s="9" t="s">
        <v>91</v>
      </c>
      <c r="E4805" s="6" t="s">
        <v>5367</v>
      </c>
      <c r="F4805" s="9" t="s">
        <v>12333</v>
      </c>
    </row>
    <row r="4806" ht="33.75" customHeight="1">
      <c r="A4806" s="7">
        <v>162.0</v>
      </c>
      <c r="B4806" s="9" t="s">
        <v>9850</v>
      </c>
      <c r="C4806" s="9" t="s">
        <v>246</v>
      </c>
      <c r="D4806" s="9" t="s">
        <v>93</v>
      </c>
      <c r="E4806" s="6" t="s">
        <v>5364</v>
      </c>
      <c r="F4806" s="9" t="s">
        <v>12333</v>
      </c>
    </row>
    <row r="4807" ht="33.75" customHeight="1">
      <c r="A4807" s="7">
        <v>162.0</v>
      </c>
      <c r="B4807" s="9" t="s">
        <v>9850</v>
      </c>
      <c r="C4807" s="9" t="s">
        <v>246</v>
      </c>
      <c r="D4807" s="9" t="s">
        <v>95</v>
      </c>
      <c r="E4807" s="6" t="s">
        <v>5364</v>
      </c>
      <c r="F4807" s="9" t="s">
        <v>12333</v>
      </c>
    </row>
    <row r="4808" ht="33.75" customHeight="1">
      <c r="A4808" s="7">
        <v>162.0</v>
      </c>
      <c r="B4808" s="9" t="s">
        <v>9850</v>
      </c>
      <c r="C4808" s="9" t="s">
        <v>246</v>
      </c>
      <c r="D4808" s="9" t="s">
        <v>98</v>
      </c>
      <c r="E4808" s="6" t="s">
        <v>5364</v>
      </c>
      <c r="F4808" s="9" t="s">
        <v>12333</v>
      </c>
    </row>
    <row r="4809" ht="33.75" customHeight="1">
      <c r="A4809" s="7">
        <v>162.0</v>
      </c>
      <c r="B4809" s="9" t="s">
        <v>9850</v>
      </c>
      <c r="C4809" s="9" t="s">
        <v>246</v>
      </c>
      <c r="D4809" s="9" t="s">
        <v>99</v>
      </c>
      <c r="E4809" s="6" t="s">
        <v>5364</v>
      </c>
      <c r="F4809" s="9" t="s">
        <v>12333</v>
      </c>
    </row>
    <row r="4810" ht="33.75" customHeight="1">
      <c r="A4810" s="7">
        <v>162.0</v>
      </c>
      <c r="B4810" s="9" t="s">
        <v>9850</v>
      </c>
      <c r="C4810" s="9" t="s">
        <v>246</v>
      </c>
      <c r="D4810" s="9" t="s">
        <v>101</v>
      </c>
      <c r="E4810" s="6" t="s">
        <v>5364</v>
      </c>
      <c r="F4810" s="9" t="s">
        <v>12333</v>
      </c>
    </row>
    <row r="4811" ht="33.75" customHeight="1">
      <c r="A4811" s="7">
        <v>162.0</v>
      </c>
      <c r="B4811" s="9" t="s">
        <v>9850</v>
      </c>
      <c r="C4811" s="9" t="s">
        <v>246</v>
      </c>
      <c r="D4811" s="9" t="s">
        <v>105</v>
      </c>
      <c r="E4811" s="6" t="s">
        <v>5365</v>
      </c>
      <c r="F4811" s="9" t="s">
        <v>12333</v>
      </c>
    </row>
    <row r="4812" ht="33.75" customHeight="1">
      <c r="A4812" s="7">
        <v>162.0</v>
      </c>
      <c r="B4812" s="9" t="s">
        <v>9850</v>
      </c>
      <c r="C4812" s="9" t="s">
        <v>246</v>
      </c>
      <c r="D4812" s="9" t="s">
        <v>107</v>
      </c>
      <c r="E4812" s="6" t="s">
        <v>5368</v>
      </c>
      <c r="F4812" s="9" t="s">
        <v>12333</v>
      </c>
    </row>
    <row r="4813" ht="33.75" customHeight="1">
      <c r="A4813" s="7">
        <v>162.0</v>
      </c>
      <c r="B4813" s="9" t="s">
        <v>9850</v>
      </c>
      <c r="C4813" s="9" t="s">
        <v>246</v>
      </c>
      <c r="D4813" s="9" t="s">
        <v>109</v>
      </c>
      <c r="E4813" s="6" t="s">
        <v>5368</v>
      </c>
      <c r="F4813" s="9" t="s">
        <v>12333</v>
      </c>
    </row>
    <row r="4814" ht="33.75" customHeight="1">
      <c r="A4814" s="7">
        <v>163.0</v>
      </c>
      <c r="B4814" s="9" t="s">
        <v>9878</v>
      </c>
      <c r="C4814" s="9" t="s">
        <v>249</v>
      </c>
      <c r="D4814" s="9" t="s">
        <v>52</v>
      </c>
      <c r="E4814" s="6" t="s">
        <v>5369</v>
      </c>
      <c r="F4814" s="9" t="s">
        <v>12359</v>
      </c>
      <c r="G4814" t="inlineStr" s="6">
        <is>
          <t xml:space="preserve">It always stands on one foot. It changes feet so fast, the movement can rarely be seen. It has a perfect sense of time. Whatever happens, it keeps rhythm by precisely tilting its head in time. It begins to hoot at the same time every day. Some trainers use them in place of clocks. HOOTHOOT has an internal organ that senses and tracks the earth’s rotation. Using this special organ, this POKéMON begins hooting at precisely the same time every day. It has an internal organ that senses the earth’s rotation. Using this special organ, a HOOTHOOT begins hooting at precisely the same time every day. Even when attacked, it does not brace itself using both feet. It switches its standing foot so quickly, it can’t be seen. It cries at the same time every day. It marks time precisely. Some countries consider it to be a wise friend, versed in the world’s ways. Every day, it tilts its head in the same rhythm. A long time ago, people raised these Pokémon to serve as clocks. It cries out at the same time every day. A long time ago, people cherished it and considered it a divine messenger sent to tell the time.</t>
        </is>
      </c>
    </row>
    <row r="4815" ht="33.75" customHeight="1">
      <c r="A4815" s="7">
        <v>163.0</v>
      </c>
      <c r="B4815" s="9" t="s">
        <v>9878</v>
      </c>
      <c r="C4815" s="9" t="s">
        <v>249</v>
      </c>
      <c r="D4815" s="9" t="s">
        <v>59</v>
      </c>
      <c r="E4815" s="6" t="s">
        <v>5371</v>
      </c>
      <c r="F4815" s="9" t="s">
        <v>12359</v>
      </c>
    </row>
    <row r="4816" ht="33.75" customHeight="1">
      <c r="A4816" s="7">
        <v>163.0</v>
      </c>
      <c r="B4816" s="9" t="s">
        <v>9878</v>
      </c>
      <c r="C4816" s="9" t="s">
        <v>249</v>
      </c>
      <c r="D4816" s="9" t="s">
        <v>64</v>
      </c>
      <c r="E4816" s="6" t="s">
        <v>5372</v>
      </c>
      <c r="F4816" s="9" t="s">
        <v>12359</v>
      </c>
    </row>
    <row r="4817" ht="33.75" customHeight="1">
      <c r="A4817" s="7">
        <v>163.0</v>
      </c>
      <c r="B4817" s="9" t="s">
        <v>9878</v>
      </c>
      <c r="C4817" s="9" t="s">
        <v>249</v>
      </c>
      <c r="D4817" s="9" t="s">
        <v>67</v>
      </c>
      <c r="E4817" s="6" t="s">
        <v>5373</v>
      </c>
      <c r="F4817" s="9" t="s">
        <v>12359</v>
      </c>
    </row>
    <row r="4818" ht="33.75" customHeight="1">
      <c r="A4818" s="7">
        <v>163.0</v>
      </c>
      <c r="B4818" s="9" t="s">
        <v>9878</v>
      </c>
      <c r="C4818" s="9" t="s">
        <v>249</v>
      </c>
      <c r="D4818" s="9" t="s">
        <v>71</v>
      </c>
      <c r="E4818" s="6" t="s">
        <v>5373</v>
      </c>
      <c r="F4818" s="9" t="s">
        <v>12359</v>
      </c>
    </row>
    <row r="4819" ht="33.75" customHeight="1">
      <c r="A4819" s="7">
        <v>163.0</v>
      </c>
      <c r="B4819" s="9" t="s">
        <v>9878</v>
      </c>
      <c r="C4819" s="9" t="s">
        <v>249</v>
      </c>
      <c r="D4819" s="9" t="s">
        <v>73</v>
      </c>
      <c r="E4819" s="6" t="s">
        <v>5374</v>
      </c>
      <c r="F4819" s="9" t="s">
        <v>12359</v>
      </c>
    </row>
    <row r="4820" ht="33.75" customHeight="1">
      <c r="A4820" s="7">
        <v>163.0</v>
      </c>
      <c r="B4820" s="9" t="s">
        <v>9878</v>
      </c>
      <c r="C4820" s="9" t="s">
        <v>249</v>
      </c>
      <c r="D4820" s="9" t="s">
        <v>75</v>
      </c>
      <c r="E4820" s="6" t="s">
        <v>5371</v>
      </c>
      <c r="F4820" s="9" t="s">
        <v>12359</v>
      </c>
    </row>
    <row r="4821" ht="33.75" customHeight="1">
      <c r="A4821" s="7">
        <v>163.0</v>
      </c>
      <c r="B4821" s="9" t="s">
        <v>9878</v>
      </c>
      <c r="C4821" s="9" t="s">
        <v>249</v>
      </c>
      <c r="D4821" s="9" t="s">
        <v>79</v>
      </c>
      <c r="E4821" s="6" t="s">
        <v>5369</v>
      </c>
      <c r="F4821" s="9" t="s">
        <v>12359</v>
      </c>
    </row>
    <row r="4822" ht="33.75" customHeight="1">
      <c r="A4822" s="7">
        <v>163.0</v>
      </c>
      <c r="B4822" s="9" t="s">
        <v>9878</v>
      </c>
      <c r="C4822" s="9" t="s">
        <v>249</v>
      </c>
      <c r="D4822" s="9" t="s">
        <v>81</v>
      </c>
      <c r="E4822" s="6" t="s">
        <v>5376</v>
      </c>
      <c r="F4822" s="9" t="s">
        <v>12359</v>
      </c>
    </row>
    <row r="4823" ht="33.75" customHeight="1">
      <c r="A4823" s="7">
        <v>163.0</v>
      </c>
      <c r="B4823" s="9" t="s">
        <v>9878</v>
      </c>
      <c r="C4823" s="9" t="s">
        <v>249</v>
      </c>
      <c r="D4823" s="9" t="s">
        <v>84</v>
      </c>
      <c r="E4823" s="6" t="s">
        <v>5377</v>
      </c>
      <c r="F4823" s="9" t="s">
        <v>12359</v>
      </c>
    </row>
    <row r="4824" ht="33.75" customHeight="1">
      <c r="A4824" s="7">
        <v>163.0</v>
      </c>
      <c r="B4824" s="9" t="s">
        <v>9878</v>
      </c>
      <c r="C4824" s="9" t="s">
        <v>249</v>
      </c>
      <c r="D4824" s="9" t="s">
        <v>87</v>
      </c>
      <c r="E4824" s="6" t="s">
        <v>5378</v>
      </c>
      <c r="F4824" s="9" t="s">
        <v>12359</v>
      </c>
    </row>
    <row r="4825" ht="33.75" customHeight="1">
      <c r="A4825" s="7">
        <v>163.0</v>
      </c>
      <c r="B4825" s="9" t="s">
        <v>9878</v>
      </c>
      <c r="C4825" s="9" t="s">
        <v>249</v>
      </c>
      <c r="D4825" s="9" t="s">
        <v>89</v>
      </c>
      <c r="E4825" s="6" t="s">
        <v>5369</v>
      </c>
      <c r="F4825" s="9" t="s">
        <v>12359</v>
      </c>
    </row>
    <row r="4826" ht="33.75" customHeight="1">
      <c r="A4826" s="7">
        <v>163.0</v>
      </c>
      <c r="B4826" s="9" t="s">
        <v>9878</v>
      </c>
      <c r="C4826" s="9" t="s">
        <v>249</v>
      </c>
      <c r="D4826" s="9" t="s">
        <v>91</v>
      </c>
      <c r="E4826" s="6" t="s">
        <v>5371</v>
      </c>
      <c r="F4826" s="9" t="s">
        <v>12359</v>
      </c>
    </row>
    <row r="4827" ht="33.75" customHeight="1">
      <c r="A4827" s="7">
        <v>163.0</v>
      </c>
      <c r="B4827" s="9" t="s">
        <v>9878</v>
      </c>
      <c r="C4827" s="9" t="s">
        <v>249</v>
      </c>
      <c r="D4827" s="9" t="s">
        <v>93</v>
      </c>
      <c r="E4827" s="6" t="s">
        <v>5378</v>
      </c>
      <c r="F4827" s="9" t="s">
        <v>12359</v>
      </c>
    </row>
    <row r="4828" ht="33.75" customHeight="1">
      <c r="A4828" s="7">
        <v>163.0</v>
      </c>
      <c r="B4828" s="9" t="s">
        <v>9878</v>
      </c>
      <c r="C4828" s="9" t="s">
        <v>249</v>
      </c>
      <c r="D4828" s="9" t="s">
        <v>95</v>
      </c>
      <c r="E4828" s="6" t="s">
        <v>5378</v>
      </c>
      <c r="F4828" s="9" t="s">
        <v>12359</v>
      </c>
    </row>
    <row r="4829" ht="33.75" customHeight="1">
      <c r="A4829" s="7">
        <v>163.0</v>
      </c>
      <c r="B4829" s="9" t="s">
        <v>9878</v>
      </c>
      <c r="C4829" s="9" t="s">
        <v>249</v>
      </c>
      <c r="D4829" s="9" t="s">
        <v>98</v>
      </c>
      <c r="E4829" s="6" t="s">
        <v>5378</v>
      </c>
      <c r="F4829" s="9" t="s">
        <v>12359</v>
      </c>
    </row>
    <row r="4830" ht="33.75" customHeight="1">
      <c r="A4830" s="7">
        <v>163.0</v>
      </c>
      <c r="B4830" s="9" t="s">
        <v>9878</v>
      </c>
      <c r="C4830" s="9" t="s">
        <v>249</v>
      </c>
      <c r="D4830" s="9" t="s">
        <v>99</v>
      </c>
      <c r="E4830" s="6" t="s">
        <v>5378</v>
      </c>
      <c r="F4830" s="9" t="s">
        <v>12359</v>
      </c>
    </row>
    <row r="4831" ht="33.75" customHeight="1">
      <c r="A4831" s="7">
        <v>163.0</v>
      </c>
      <c r="B4831" s="9" t="s">
        <v>9878</v>
      </c>
      <c r="C4831" s="9" t="s">
        <v>249</v>
      </c>
      <c r="D4831" s="9" t="s">
        <v>101</v>
      </c>
      <c r="E4831" s="6" t="s">
        <v>5371</v>
      </c>
      <c r="F4831" s="9" t="s">
        <v>12359</v>
      </c>
    </row>
    <row r="4832" ht="33.75" customHeight="1">
      <c r="A4832" s="7">
        <v>163.0</v>
      </c>
      <c r="B4832" s="9" t="s">
        <v>9878</v>
      </c>
      <c r="C4832" s="9" t="s">
        <v>249</v>
      </c>
      <c r="D4832" s="9" t="s">
        <v>105</v>
      </c>
      <c r="E4832" s="6" t="s">
        <v>5369</v>
      </c>
      <c r="F4832" s="9" t="s">
        <v>12359</v>
      </c>
    </row>
    <row r="4833" ht="33.75" customHeight="1">
      <c r="A4833" s="7">
        <v>163.0</v>
      </c>
      <c r="B4833" s="9" t="s">
        <v>9878</v>
      </c>
      <c r="C4833" s="9" t="s">
        <v>249</v>
      </c>
      <c r="D4833" s="9" t="s">
        <v>107</v>
      </c>
      <c r="E4833" s="6" t="s">
        <v>5379</v>
      </c>
      <c r="F4833" s="9" t="s">
        <v>12359</v>
      </c>
    </row>
    <row r="4834" ht="33.75" customHeight="1">
      <c r="A4834" s="7">
        <v>163.0</v>
      </c>
      <c r="B4834" s="9" t="s">
        <v>9878</v>
      </c>
      <c r="C4834" s="9" t="s">
        <v>249</v>
      </c>
      <c r="D4834" s="9" t="s">
        <v>109</v>
      </c>
      <c r="E4834" s="6" t="s">
        <v>5379</v>
      </c>
      <c r="F4834" s="9" t="s">
        <v>12359</v>
      </c>
    </row>
    <row r="4835" ht="33.75" customHeight="1">
      <c r="A4835" s="7">
        <v>163.0</v>
      </c>
      <c r="B4835" s="9" t="s">
        <v>9878</v>
      </c>
      <c r="C4835" s="9" t="s">
        <v>249</v>
      </c>
      <c r="D4835" s="9" t="s">
        <v>647</v>
      </c>
      <c r="E4835" s="6" t="s">
        <v>5380</v>
      </c>
      <c r="F4835" s="9" t="s">
        <v>12359</v>
      </c>
    </row>
    <row r="4836" ht="33.75" customHeight="1">
      <c r="A4836" s="7">
        <v>163.0</v>
      </c>
      <c r="B4836" s="9" t="s">
        <v>9878</v>
      </c>
      <c r="C4836" s="9" t="s">
        <v>249</v>
      </c>
      <c r="D4836" s="9" t="s">
        <v>652</v>
      </c>
      <c r="E4836" s="6" t="s">
        <v>5381</v>
      </c>
      <c r="F4836" s="9" t="s">
        <v>12359</v>
      </c>
    </row>
    <row r="4837" ht="33.75" customHeight="1">
      <c r="A4837" s="7">
        <v>163.0</v>
      </c>
      <c r="B4837" s="9" t="s">
        <v>9878</v>
      </c>
      <c r="C4837" s="9" t="s">
        <v>249</v>
      </c>
      <c r="D4837" s="9" t="s">
        <v>114</v>
      </c>
      <c r="E4837" s="6" t="s">
        <v>5369</v>
      </c>
      <c r="F4837" s="9" t="s">
        <v>12359</v>
      </c>
    </row>
    <row r="4838" ht="33.75" customHeight="1">
      <c r="A4838" s="7">
        <v>163.0</v>
      </c>
      <c r="B4838" s="9" t="s">
        <v>9878</v>
      </c>
      <c r="C4838" s="9" t="s">
        <v>249</v>
      </c>
      <c r="D4838" s="9" t="s">
        <v>117</v>
      </c>
      <c r="E4838" s="6" t="s">
        <v>5382</v>
      </c>
      <c r="F4838" s="9" t="s">
        <v>12359</v>
      </c>
    </row>
    <row r="4839" ht="33.75" customHeight="1">
      <c r="A4839" s="7">
        <v>164.0</v>
      </c>
      <c r="B4839" s="9" t="s">
        <v>9915</v>
      </c>
      <c r="C4839" s="9" t="s">
        <v>249</v>
      </c>
      <c r="D4839" s="9" t="s">
        <v>52</v>
      </c>
      <c r="E4839" s="6" t="s">
        <v>5383</v>
      </c>
      <c r="F4839" s="9" t="s">
        <v>12404</v>
      </c>
      <c r="G4839" t="inlineStr" s="6">
        <is>
          <t xml:space="preserve">Noctowl's eyes are specially adapted. They concentrate even faint light and enable it to see in the dark. When it needs to think, it rotates its head 180 degrees to sharpen its intellectual power. Its extremely soft feathers make no sound in flight. It silently sneaks up on prey without being detected. NOCTOWL never fails at catching prey in darkness. This POKéMON owes its success to its superior vision that allows it to see in minimal light, and to its soft, supple wings that make no sound in flight. It unfailingly catches prey in darkness. NOCTOWL owe their success to superior vision that allows them to see in minimal light, and to their supple and silent wings. Its eyes are special. They can pick out objects as long as there is the tiniest amount of light. If it flips its head upside down, it’s a sign that it is engaged in very complex thinking. Its eyes are specially developed to enable it to see clearly even in murky darkness and minimal light. With eyes that can see in pitch-darkness, it never lets its prey escape. Some even call it “the emperor of dark nights. When it turns its head entirely upside down, you know it’s troubled by something. If you don’t leave it be, it will peck you.</t>
        </is>
      </c>
    </row>
    <row r="4840" ht="33.75" customHeight="1">
      <c r="A4840" s="7">
        <v>164.0</v>
      </c>
      <c r="B4840" s="9" t="s">
        <v>9915</v>
      </c>
      <c r="C4840" s="9" t="s">
        <v>249</v>
      </c>
      <c r="D4840" s="9" t="s">
        <v>59</v>
      </c>
      <c r="E4840" s="6" t="s">
        <v>5384</v>
      </c>
      <c r="F4840" s="9" t="s">
        <v>12404</v>
      </c>
    </row>
    <row r="4841" ht="33.75" customHeight="1">
      <c r="A4841" s="7">
        <v>164.0</v>
      </c>
      <c r="B4841" s="9" t="s">
        <v>9915</v>
      </c>
      <c r="C4841" s="9" t="s">
        <v>249</v>
      </c>
      <c r="D4841" s="9" t="s">
        <v>64</v>
      </c>
      <c r="E4841" s="6" t="s">
        <v>5385</v>
      </c>
      <c r="F4841" s="9" t="s">
        <v>12404</v>
      </c>
    </row>
    <row r="4842" ht="33.75" customHeight="1">
      <c r="A4842" s="7">
        <v>164.0</v>
      </c>
      <c r="B4842" s="9" t="s">
        <v>9915</v>
      </c>
      <c r="C4842" s="9" t="s">
        <v>249</v>
      </c>
      <c r="D4842" s="9" t="s">
        <v>67</v>
      </c>
      <c r="E4842" s="6" t="s">
        <v>5387</v>
      </c>
      <c r="F4842" s="9" t="s">
        <v>12404</v>
      </c>
    </row>
    <row r="4843" ht="33.75" customHeight="1">
      <c r="A4843" s="7">
        <v>164.0</v>
      </c>
      <c r="B4843" s="9" t="s">
        <v>9915</v>
      </c>
      <c r="C4843" s="9" t="s">
        <v>249</v>
      </c>
      <c r="D4843" s="9" t="s">
        <v>71</v>
      </c>
      <c r="E4843" s="6" t="s">
        <v>5387</v>
      </c>
      <c r="F4843" s="9" t="s">
        <v>12404</v>
      </c>
    </row>
    <row r="4844" ht="33.75" customHeight="1">
      <c r="A4844" s="7">
        <v>164.0</v>
      </c>
      <c r="B4844" s="9" t="s">
        <v>9915</v>
      </c>
      <c r="C4844" s="9" t="s">
        <v>249</v>
      </c>
      <c r="D4844" s="9" t="s">
        <v>73</v>
      </c>
      <c r="E4844" s="6" t="s">
        <v>5391</v>
      </c>
      <c r="F4844" s="9" t="s">
        <v>12404</v>
      </c>
    </row>
    <row r="4845" ht="33.75" customHeight="1">
      <c r="A4845" s="7">
        <v>164.0</v>
      </c>
      <c r="B4845" s="9" t="s">
        <v>9915</v>
      </c>
      <c r="C4845" s="9" t="s">
        <v>249</v>
      </c>
      <c r="D4845" s="9" t="s">
        <v>75</v>
      </c>
      <c r="E4845" s="6" t="s">
        <v>5393</v>
      </c>
      <c r="F4845" s="9" t="s">
        <v>12404</v>
      </c>
    </row>
    <row r="4846" ht="33.75" customHeight="1">
      <c r="A4846" s="7">
        <v>164.0</v>
      </c>
      <c r="B4846" s="9" t="s">
        <v>9915</v>
      </c>
      <c r="C4846" s="9" t="s">
        <v>249</v>
      </c>
      <c r="D4846" s="9" t="s">
        <v>79</v>
      </c>
      <c r="E4846" s="6" t="s">
        <v>5383</v>
      </c>
      <c r="F4846" s="9" t="s">
        <v>12404</v>
      </c>
    </row>
    <row r="4847" ht="33.75" customHeight="1">
      <c r="A4847" s="7">
        <v>164.0</v>
      </c>
      <c r="B4847" s="9" t="s">
        <v>9915</v>
      </c>
      <c r="C4847" s="9" t="s">
        <v>249</v>
      </c>
      <c r="D4847" s="9" t="s">
        <v>81</v>
      </c>
      <c r="E4847" s="6" t="s">
        <v>5394</v>
      </c>
      <c r="F4847" s="9" t="s">
        <v>12404</v>
      </c>
    </row>
    <row r="4848" ht="33.75" customHeight="1">
      <c r="A4848" s="7">
        <v>164.0</v>
      </c>
      <c r="B4848" s="9" t="s">
        <v>9915</v>
      </c>
      <c r="C4848" s="9" t="s">
        <v>249</v>
      </c>
      <c r="D4848" s="9" t="s">
        <v>84</v>
      </c>
      <c r="E4848" s="6" t="s">
        <v>5395</v>
      </c>
      <c r="F4848" s="9" t="s">
        <v>12404</v>
      </c>
    </row>
    <row r="4849" ht="33.75" customHeight="1">
      <c r="A4849" s="7">
        <v>164.0</v>
      </c>
      <c r="B4849" s="9" t="s">
        <v>9915</v>
      </c>
      <c r="C4849" s="9" t="s">
        <v>249</v>
      </c>
      <c r="D4849" s="9" t="s">
        <v>87</v>
      </c>
      <c r="E4849" s="6" t="s">
        <v>5396</v>
      </c>
      <c r="F4849" s="9" t="s">
        <v>12404</v>
      </c>
    </row>
    <row r="4850" ht="33.75" customHeight="1">
      <c r="A4850" s="7">
        <v>164.0</v>
      </c>
      <c r="B4850" s="9" t="s">
        <v>9915</v>
      </c>
      <c r="C4850" s="9" t="s">
        <v>249</v>
      </c>
      <c r="D4850" s="9" t="s">
        <v>89</v>
      </c>
      <c r="E4850" s="6" t="s">
        <v>5383</v>
      </c>
      <c r="F4850" s="9" t="s">
        <v>12404</v>
      </c>
    </row>
    <row r="4851" ht="33.75" customHeight="1">
      <c r="A4851" s="7">
        <v>164.0</v>
      </c>
      <c r="B4851" s="9" t="s">
        <v>9915</v>
      </c>
      <c r="C4851" s="9" t="s">
        <v>249</v>
      </c>
      <c r="D4851" s="9" t="s">
        <v>91</v>
      </c>
      <c r="E4851" s="6" t="s">
        <v>5393</v>
      </c>
      <c r="F4851" s="9" t="s">
        <v>12404</v>
      </c>
    </row>
    <row r="4852" ht="33.75" customHeight="1">
      <c r="A4852" s="7">
        <v>164.0</v>
      </c>
      <c r="B4852" s="9" t="s">
        <v>9915</v>
      </c>
      <c r="C4852" s="9" t="s">
        <v>249</v>
      </c>
      <c r="D4852" s="9" t="s">
        <v>93</v>
      </c>
      <c r="E4852" s="6" t="s">
        <v>5396</v>
      </c>
      <c r="F4852" s="9" t="s">
        <v>12404</v>
      </c>
    </row>
    <row r="4853" ht="33.75" customHeight="1">
      <c r="A4853" s="7">
        <v>164.0</v>
      </c>
      <c r="B4853" s="9" t="s">
        <v>9915</v>
      </c>
      <c r="C4853" s="9" t="s">
        <v>249</v>
      </c>
      <c r="D4853" s="9" t="s">
        <v>95</v>
      </c>
      <c r="E4853" s="6" t="s">
        <v>5396</v>
      </c>
      <c r="F4853" s="9" t="s">
        <v>12404</v>
      </c>
    </row>
    <row r="4854" ht="33.75" customHeight="1">
      <c r="A4854" s="7">
        <v>164.0</v>
      </c>
      <c r="B4854" s="9" t="s">
        <v>9915</v>
      </c>
      <c r="C4854" s="9" t="s">
        <v>249</v>
      </c>
      <c r="D4854" s="9" t="s">
        <v>98</v>
      </c>
      <c r="E4854" s="6" t="s">
        <v>5396</v>
      </c>
      <c r="F4854" s="9" t="s">
        <v>12404</v>
      </c>
    </row>
    <row r="4855" ht="33.75" customHeight="1">
      <c r="A4855" s="7">
        <v>164.0</v>
      </c>
      <c r="B4855" s="9" t="s">
        <v>9915</v>
      </c>
      <c r="C4855" s="9" t="s">
        <v>249</v>
      </c>
      <c r="D4855" s="9" t="s">
        <v>99</v>
      </c>
      <c r="E4855" s="6" t="s">
        <v>5396</v>
      </c>
      <c r="F4855" s="9" t="s">
        <v>12404</v>
      </c>
    </row>
    <row r="4856" ht="33.75" customHeight="1">
      <c r="A4856" s="7">
        <v>164.0</v>
      </c>
      <c r="B4856" s="9" t="s">
        <v>9915</v>
      </c>
      <c r="C4856" s="9" t="s">
        <v>249</v>
      </c>
      <c r="D4856" s="9" t="s">
        <v>101</v>
      </c>
      <c r="E4856" s="6" t="s">
        <v>5383</v>
      </c>
      <c r="F4856" s="9" t="s">
        <v>12404</v>
      </c>
    </row>
    <row r="4857" ht="33.75" customHeight="1">
      <c r="A4857" s="7">
        <v>164.0</v>
      </c>
      <c r="B4857" s="9" t="s">
        <v>9915</v>
      </c>
      <c r="C4857" s="9" t="s">
        <v>249</v>
      </c>
      <c r="D4857" s="9" t="s">
        <v>105</v>
      </c>
      <c r="E4857" s="6" t="s">
        <v>5393</v>
      </c>
      <c r="F4857" s="9" t="s">
        <v>12404</v>
      </c>
    </row>
    <row r="4858" ht="33.75" customHeight="1">
      <c r="A4858" s="7">
        <v>164.0</v>
      </c>
      <c r="B4858" s="9" t="s">
        <v>9915</v>
      </c>
      <c r="C4858" s="9" t="s">
        <v>249</v>
      </c>
      <c r="D4858" s="9" t="s">
        <v>107</v>
      </c>
      <c r="E4858" s="6" t="s">
        <v>5397</v>
      </c>
      <c r="F4858" s="9" t="s">
        <v>12404</v>
      </c>
    </row>
    <row r="4859" ht="33.75" customHeight="1">
      <c r="A4859" s="7">
        <v>164.0</v>
      </c>
      <c r="B4859" s="9" t="s">
        <v>9915</v>
      </c>
      <c r="C4859" s="9" t="s">
        <v>249</v>
      </c>
      <c r="D4859" s="9" t="s">
        <v>109</v>
      </c>
      <c r="E4859" s="6" t="s">
        <v>5397</v>
      </c>
      <c r="F4859" s="9" t="s">
        <v>12404</v>
      </c>
    </row>
    <row r="4860" ht="33.75" customHeight="1">
      <c r="A4860" s="7">
        <v>164.0</v>
      </c>
      <c r="B4860" s="9" t="s">
        <v>9915</v>
      </c>
      <c r="C4860" s="9" t="s">
        <v>249</v>
      </c>
      <c r="D4860" s="9" t="s">
        <v>647</v>
      </c>
      <c r="E4860" s="6" t="s">
        <v>5398</v>
      </c>
      <c r="F4860" s="9" t="s">
        <v>12404</v>
      </c>
    </row>
    <row r="4861" ht="33.75" customHeight="1">
      <c r="A4861" s="7">
        <v>164.0</v>
      </c>
      <c r="B4861" s="9" t="s">
        <v>9915</v>
      </c>
      <c r="C4861" s="9" t="s">
        <v>249</v>
      </c>
      <c r="D4861" s="9" t="s">
        <v>652</v>
      </c>
      <c r="E4861" s="6" t="s">
        <v>5399</v>
      </c>
      <c r="F4861" s="9" t="s">
        <v>12404</v>
      </c>
    </row>
    <row r="4862" ht="33.75" customHeight="1">
      <c r="A4862" s="7">
        <v>164.0</v>
      </c>
      <c r="B4862" s="9" t="s">
        <v>9915</v>
      </c>
      <c r="C4862" s="9" t="s">
        <v>249</v>
      </c>
      <c r="D4862" s="9" t="s">
        <v>114</v>
      </c>
      <c r="E4862" s="6" t="s">
        <v>5396</v>
      </c>
      <c r="F4862" s="9" t="s">
        <v>12404</v>
      </c>
    </row>
    <row r="4863" ht="33.75" customHeight="1">
      <c r="A4863" s="7">
        <v>164.0</v>
      </c>
      <c r="B4863" s="9" t="s">
        <v>9915</v>
      </c>
      <c r="C4863" s="9" t="s">
        <v>249</v>
      </c>
      <c r="D4863" s="9" t="s">
        <v>117</v>
      </c>
      <c r="E4863" s="6" t="s">
        <v>5393</v>
      </c>
      <c r="F4863" s="9" t="s">
        <v>12404</v>
      </c>
    </row>
    <row r="4864" ht="33.75" customHeight="1">
      <c r="A4864" s="7">
        <v>165.0</v>
      </c>
      <c r="B4864" s="9" t="s">
        <v>9960</v>
      </c>
      <c r="C4864" s="9" t="s">
        <v>253</v>
      </c>
      <c r="D4864" s="9" t="s">
        <v>52</v>
      </c>
      <c r="E4864" s="6" t="s">
        <v>5400</v>
      </c>
      <c r="F4864" s="9" t="s">
        <v>12451</v>
      </c>
      <c r="G4864" t="inlineStr" s="6">
        <is>
          <t xml:space="preserve">Ledyba is very timid. It will be afraid to move if it is alone. But it will be active if it is in a group. When the weather turns cold, lots of LEDYBA gather from everywhere to cluster and keep each other warm. It is timid and clusters together with others. The fluid secreted by its feet indicates its location. LEDYBA secretes an aromatic fluid from where its legs join its body. This fluid is used for communicating with others. This POKéMON conveys its feelings to others by altering the fluid’s scent. LEDYBA communicate using a fluid that they secrete from where the legs join the body. They are said to convey feelings to others by altering the fluid’s scent. When the weather turns cold, numerous LEDYBA gather from everywhere to cluster and keep each other warm. It is so timid, it can’t move if it isn’t with a swarm of others. It conveys its feelings with scent. They are timid and grow uneasy when not in a swarm with others of their kind. The pattern on their backs differs slightly from one to another. They communicate with one another using bodily fluids that give off odors. When they’re angry, their odor smells sour. This Pokémon is very sensitive to cold. In the warmth of Alola, it appears quite lively. These very cowardly Pokémon join together and use Reflect to protect their nest.</t>
        </is>
      </c>
    </row>
    <row r="4865" ht="33.75" customHeight="1">
      <c r="A4865" s="7">
        <v>165.0</v>
      </c>
      <c r="B4865" s="9" t="s">
        <v>9960</v>
      </c>
      <c r="C4865" s="9" t="s">
        <v>253</v>
      </c>
      <c r="D4865" s="9" t="s">
        <v>59</v>
      </c>
      <c r="E4865" s="6" t="s">
        <v>5401</v>
      </c>
      <c r="F4865" s="9" t="s">
        <v>12451</v>
      </c>
    </row>
    <row r="4866" ht="33.75" customHeight="1">
      <c r="A4866" s="7">
        <v>165.0</v>
      </c>
      <c r="B4866" s="9" t="s">
        <v>9960</v>
      </c>
      <c r="C4866" s="9" t="s">
        <v>253</v>
      </c>
      <c r="D4866" s="9" t="s">
        <v>64</v>
      </c>
      <c r="E4866" s="6" t="s">
        <v>5402</v>
      </c>
      <c r="F4866" s="9" t="s">
        <v>12451</v>
      </c>
    </row>
    <row r="4867" ht="33.75" customHeight="1">
      <c r="A4867" s="7">
        <v>165.0</v>
      </c>
      <c r="B4867" s="9" t="s">
        <v>9960</v>
      </c>
      <c r="C4867" s="9" t="s">
        <v>253</v>
      </c>
      <c r="D4867" s="9" t="s">
        <v>67</v>
      </c>
      <c r="E4867" s="6" t="s">
        <v>5404</v>
      </c>
      <c r="F4867" s="9" t="s">
        <v>12451</v>
      </c>
    </row>
    <row r="4868" ht="33.75" customHeight="1">
      <c r="A4868" s="7">
        <v>165.0</v>
      </c>
      <c r="B4868" s="9" t="s">
        <v>9960</v>
      </c>
      <c r="C4868" s="9" t="s">
        <v>253</v>
      </c>
      <c r="D4868" s="9" t="s">
        <v>71</v>
      </c>
      <c r="E4868" s="6" t="s">
        <v>5404</v>
      </c>
      <c r="F4868" s="9" t="s">
        <v>12451</v>
      </c>
    </row>
    <row r="4869" ht="33.75" customHeight="1">
      <c r="A4869" s="7">
        <v>165.0</v>
      </c>
      <c r="B4869" s="9" t="s">
        <v>9960</v>
      </c>
      <c r="C4869" s="9" t="s">
        <v>253</v>
      </c>
      <c r="D4869" s="9" t="s">
        <v>73</v>
      </c>
      <c r="E4869" s="6" t="s">
        <v>5405</v>
      </c>
      <c r="F4869" s="9" t="s">
        <v>12451</v>
      </c>
    </row>
    <row r="4870" ht="33.75" customHeight="1">
      <c r="A4870" s="7">
        <v>165.0</v>
      </c>
      <c r="B4870" s="9" t="s">
        <v>9960</v>
      </c>
      <c r="C4870" s="9" t="s">
        <v>253</v>
      </c>
      <c r="D4870" s="9" t="s">
        <v>75</v>
      </c>
      <c r="E4870" s="6" t="s">
        <v>5406</v>
      </c>
      <c r="F4870" s="9" t="s">
        <v>12451</v>
      </c>
    </row>
    <row r="4871" ht="33.75" customHeight="1">
      <c r="A4871" s="7">
        <v>165.0</v>
      </c>
      <c r="B4871" s="9" t="s">
        <v>9960</v>
      </c>
      <c r="C4871" s="9" t="s">
        <v>253</v>
      </c>
      <c r="D4871" s="9" t="s">
        <v>79</v>
      </c>
      <c r="E4871" s="6" t="s">
        <v>5400</v>
      </c>
      <c r="F4871" s="9" t="s">
        <v>12451</v>
      </c>
    </row>
    <row r="4872" ht="33.75" customHeight="1">
      <c r="A4872" s="7">
        <v>165.0</v>
      </c>
      <c r="B4872" s="9" t="s">
        <v>9960</v>
      </c>
      <c r="C4872" s="9" t="s">
        <v>253</v>
      </c>
      <c r="D4872" s="9" t="s">
        <v>81</v>
      </c>
      <c r="E4872" s="6" t="s">
        <v>5407</v>
      </c>
      <c r="F4872" s="9" t="s">
        <v>12451</v>
      </c>
    </row>
    <row r="4873" ht="33.75" customHeight="1">
      <c r="A4873" s="7">
        <v>165.0</v>
      </c>
      <c r="B4873" s="9" t="s">
        <v>9960</v>
      </c>
      <c r="C4873" s="9" t="s">
        <v>253</v>
      </c>
      <c r="D4873" s="9" t="s">
        <v>84</v>
      </c>
      <c r="E4873" s="6" t="s">
        <v>5407</v>
      </c>
      <c r="F4873" s="9" t="s">
        <v>12451</v>
      </c>
    </row>
    <row r="4874" ht="33.75" customHeight="1">
      <c r="A4874" s="7">
        <v>165.0</v>
      </c>
      <c r="B4874" s="9" t="s">
        <v>9960</v>
      </c>
      <c r="C4874" s="9" t="s">
        <v>253</v>
      </c>
      <c r="D4874" s="9" t="s">
        <v>87</v>
      </c>
      <c r="E4874" s="6" t="s">
        <v>5407</v>
      </c>
      <c r="F4874" s="9" t="s">
        <v>12451</v>
      </c>
    </row>
    <row r="4875" ht="33.75" customHeight="1">
      <c r="A4875" s="7">
        <v>165.0</v>
      </c>
      <c r="B4875" s="9" t="s">
        <v>9960</v>
      </c>
      <c r="C4875" s="9" t="s">
        <v>253</v>
      </c>
      <c r="D4875" s="9" t="s">
        <v>89</v>
      </c>
      <c r="E4875" s="6" t="s">
        <v>5400</v>
      </c>
      <c r="F4875" s="9" t="s">
        <v>12451</v>
      </c>
    </row>
    <row r="4876" ht="33.75" customHeight="1">
      <c r="A4876" s="7">
        <v>165.0</v>
      </c>
      <c r="B4876" s="9" t="s">
        <v>9960</v>
      </c>
      <c r="C4876" s="9" t="s">
        <v>253</v>
      </c>
      <c r="D4876" s="9" t="s">
        <v>91</v>
      </c>
      <c r="E4876" s="6" t="s">
        <v>5401</v>
      </c>
      <c r="F4876" s="9" t="s">
        <v>12451</v>
      </c>
    </row>
    <row r="4877" ht="33.75" customHeight="1">
      <c r="A4877" s="7">
        <v>165.0</v>
      </c>
      <c r="B4877" s="9" t="s">
        <v>9960</v>
      </c>
      <c r="C4877" s="9" t="s">
        <v>253</v>
      </c>
      <c r="D4877" s="9" t="s">
        <v>93</v>
      </c>
      <c r="E4877" s="6" t="s">
        <v>5407</v>
      </c>
      <c r="F4877" s="9" t="s">
        <v>12451</v>
      </c>
    </row>
    <row r="4878" ht="33.75" customHeight="1">
      <c r="A4878" s="7">
        <v>165.0</v>
      </c>
      <c r="B4878" s="9" t="s">
        <v>9960</v>
      </c>
      <c r="C4878" s="9" t="s">
        <v>253</v>
      </c>
      <c r="D4878" s="9" t="s">
        <v>95</v>
      </c>
      <c r="E4878" s="6" t="s">
        <v>5407</v>
      </c>
      <c r="F4878" s="9" t="s">
        <v>12451</v>
      </c>
    </row>
    <row r="4879" ht="33.75" customHeight="1">
      <c r="A4879" s="7">
        <v>165.0</v>
      </c>
      <c r="B4879" s="9" t="s">
        <v>9960</v>
      </c>
      <c r="C4879" s="9" t="s">
        <v>253</v>
      </c>
      <c r="D4879" s="9" t="s">
        <v>98</v>
      </c>
      <c r="E4879" s="6" t="s">
        <v>5407</v>
      </c>
      <c r="F4879" s="9" t="s">
        <v>12451</v>
      </c>
    </row>
    <row r="4880" ht="33.75" customHeight="1">
      <c r="A4880" s="7">
        <v>165.0</v>
      </c>
      <c r="B4880" s="9" t="s">
        <v>9960</v>
      </c>
      <c r="C4880" s="9" t="s">
        <v>253</v>
      </c>
      <c r="D4880" s="9" t="s">
        <v>99</v>
      </c>
      <c r="E4880" s="6" t="s">
        <v>5407</v>
      </c>
      <c r="F4880" s="9" t="s">
        <v>12451</v>
      </c>
    </row>
    <row r="4881" ht="33.75" customHeight="1">
      <c r="A4881" s="7">
        <v>165.0</v>
      </c>
      <c r="B4881" s="9" t="s">
        <v>9960</v>
      </c>
      <c r="C4881" s="9" t="s">
        <v>253</v>
      </c>
      <c r="D4881" s="9" t="s">
        <v>101</v>
      </c>
      <c r="E4881" s="6" t="s">
        <v>5408</v>
      </c>
      <c r="F4881" s="9" t="s">
        <v>12451</v>
      </c>
    </row>
    <row r="4882" ht="33.75" customHeight="1">
      <c r="A4882" s="7">
        <v>165.0</v>
      </c>
      <c r="B4882" s="9" t="s">
        <v>9960</v>
      </c>
      <c r="C4882" s="9" t="s">
        <v>253</v>
      </c>
      <c r="D4882" s="9" t="s">
        <v>105</v>
      </c>
      <c r="E4882" s="6" t="s">
        <v>5402</v>
      </c>
      <c r="F4882" s="9" t="s">
        <v>12451</v>
      </c>
    </row>
    <row r="4883" ht="33.75" customHeight="1">
      <c r="A4883" s="7">
        <v>165.0</v>
      </c>
      <c r="B4883" s="9" t="s">
        <v>9960</v>
      </c>
      <c r="C4883" s="9" t="s">
        <v>253</v>
      </c>
      <c r="D4883" s="9" t="s">
        <v>107</v>
      </c>
      <c r="E4883" s="6" t="s">
        <v>5409</v>
      </c>
      <c r="F4883" s="9" t="s">
        <v>12451</v>
      </c>
    </row>
    <row r="4884" ht="33.75" customHeight="1">
      <c r="A4884" s="7">
        <v>165.0</v>
      </c>
      <c r="B4884" s="9" t="s">
        <v>9960</v>
      </c>
      <c r="C4884" s="9" t="s">
        <v>253</v>
      </c>
      <c r="D4884" s="9" t="s">
        <v>109</v>
      </c>
      <c r="E4884" s="6" t="s">
        <v>5409</v>
      </c>
      <c r="F4884" s="9" t="s">
        <v>12451</v>
      </c>
    </row>
    <row r="4885" ht="33.75" customHeight="1">
      <c r="A4885" s="7">
        <v>165.0</v>
      </c>
      <c r="B4885" s="9" t="s">
        <v>9960</v>
      </c>
      <c r="C4885" s="9" t="s">
        <v>253</v>
      </c>
      <c r="D4885" s="9" t="s">
        <v>637</v>
      </c>
      <c r="E4885" s="6" t="s">
        <v>5410</v>
      </c>
      <c r="F4885" s="9" t="s">
        <v>12451</v>
      </c>
    </row>
    <row r="4886" ht="33.75" customHeight="1">
      <c r="A4886" s="7">
        <v>165.0</v>
      </c>
      <c r="B4886" s="9" t="s">
        <v>9960</v>
      </c>
      <c r="C4886" s="9" t="s">
        <v>253</v>
      </c>
      <c r="D4886" s="9" t="s">
        <v>642</v>
      </c>
      <c r="E4886" s="6" t="s">
        <v>5411</v>
      </c>
      <c r="F4886" s="9" t="s">
        <v>12451</v>
      </c>
    </row>
    <row r="4887" ht="33.75" customHeight="1">
      <c r="A4887" s="7">
        <v>165.0</v>
      </c>
      <c r="B4887" s="9" t="s">
        <v>9960</v>
      </c>
      <c r="C4887" s="9" t="s">
        <v>253</v>
      </c>
      <c r="D4887" s="9" t="s">
        <v>647</v>
      </c>
      <c r="E4887" s="6" t="s">
        <v>5412</v>
      </c>
      <c r="F4887" s="9" t="s">
        <v>12451</v>
      </c>
    </row>
    <row r="4888" ht="33.75" customHeight="1">
      <c r="A4888" s="7">
        <v>165.0</v>
      </c>
      <c r="B4888" s="9" t="s">
        <v>9960</v>
      </c>
      <c r="C4888" s="9" t="s">
        <v>253</v>
      </c>
      <c r="D4888" s="9" t="s">
        <v>652</v>
      </c>
      <c r="E4888" s="6" t="s">
        <v>5413</v>
      </c>
      <c r="F4888" s="9" t="s">
        <v>12451</v>
      </c>
    </row>
    <row r="4889" ht="33.75" customHeight="1">
      <c r="A4889" s="7">
        <v>166.0</v>
      </c>
      <c r="B4889" s="9" t="s">
        <v>10004</v>
      </c>
      <c r="C4889" s="9" t="s">
        <v>253</v>
      </c>
      <c r="D4889" s="9" t="s">
        <v>52</v>
      </c>
      <c r="E4889" s="6" t="s">
        <v>5415</v>
      </c>
      <c r="F4889" s="9" t="s">
        <v>12488</v>
      </c>
      <c r="G4889" t="inlineStr" s="6">
        <is>
          <t xml:space="preserve">When the stars flicker in the night sky, it flutters about, scattering a glowing powder. The star patterns on its back grow larger or smaller depending on the number of stars in the night sky. In the daytime when it gets warm, it curls up inside a big leaf and drifts off into a deep slumber. It is said that in lands with clean air, where the stars fill the sky, there live LEDIAN in countless numbers. There is a good reason for this - the POKéMON uses the light of the stars as its energy. It is said that in lands with clean air, where the stars fill the sky, there live many LEDIAN. For good reason, they use the light of the stars as energy. It uses starlight as energy. When more stars appear at night, the patterns on its back grow larger. The spot patterns on its back grow larger or smaller depending on the number of stars in the night sky. There is a good reason for this—the Pokémon uses the light of the stars as its energy. While it’s believed that starlight provides it with energy, this Pokémon also loves to eat berries. In the daytime, it curls up in the grass to sleep. In battle, it throws punches with all four arms. The power of each individual blow is piddly, so it aims to win by quantity rather than quality. It’s said that the patterns on its back are related to the stars in the night sky, but the details of that relationship remain unclear. It flies through the night sky, sprinkling sparkly dust. According to some, if that dust sticks to you, good things will happen to you.</t>
        </is>
      </c>
    </row>
    <row r="4890" ht="33.75" customHeight="1">
      <c r="A4890" s="7">
        <v>166.0</v>
      </c>
      <c r="B4890" s="9" t="s">
        <v>10004</v>
      </c>
      <c r="C4890" s="9" t="s">
        <v>253</v>
      </c>
      <c r="D4890" s="9" t="s">
        <v>59</v>
      </c>
      <c r="E4890" s="6" t="s">
        <v>5416</v>
      </c>
      <c r="F4890" s="9" t="s">
        <v>12488</v>
      </c>
    </row>
    <row r="4891" ht="33.75" customHeight="1">
      <c r="A4891" s="7">
        <v>166.0</v>
      </c>
      <c r="B4891" s="9" t="s">
        <v>10004</v>
      </c>
      <c r="C4891" s="9" t="s">
        <v>253</v>
      </c>
      <c r="D4891" s="9" t="s">
        <v>64</v>
      </c>
      <c r="E4891" s="6" t="s">
        <v>5417</v>
      </c>
      <c r="F4891" s="9" t="s">
        <v>12488</v>
      </c>
    </row>
    <row r="4892" ht="33.75" customHeight="1">
      <c r="A4892" s="7">
        <v>166.0</v>
      </c>
      <c r="B4892" s="9" t="s">
        <v>10004</v>
      </c>
      <c r="C4892" s="9" t="s">
        <v>253</v>
      </c>
      <c r="D4892" s="9" t="s">
        <v>67</v>
      </c>
      <c r="E4892" s="6" t="s">
        <v>5418</v>
      </c>
      <c r="F4892" s="9" t="s">
        <v>12488</v>
      </c>
    </row>
    <row r="4893" ht="33.75" customHeight="1">
      <c r="A4893" s="7">
        <v>166.0</v>
      </c>
      <c r="B4893" s="9" t="s">
        <v>10004</v>
      </c>
      <c r="C4893" s="9" t="s">
        <v>253</v>
      </c>
      <c r="D4893" s="9" t="s">
        <v>71</v>
      </c>
      <c r="E4893" s="6" t="s">
        <v>5418</v>
      </c>
      <c r="F4893" s="9" t="s">
        <v>12488</v>
      </c>
    </row>
    <row r="4894" ht="33.75" customHeight="1">
      <c r="A4894" s="7">
        <v>166.0</v>
      </c>
      <c r="B4894" s="9" t="s">
        <v>10004</v>
      </c>
      <c r="C4894" s="9" t="s">
        <v>253</v>
      </c>
      <c r="D4894" s="9" t="s">
        <v>73</v>
      </c>
      <c r="E4894" s="6" t="s">
        <v>5419</v>
      </c>
      <c r="F4894" s="9" t="s">
        <v>12488</v>
      </c>
    </row>
    <row r="4895" ht="33.75" customHeight="1">
      <c r="A4895" s="7">
        <v>166.0</v>
      </c>
      <c r="B4895" s="9" t="s">
        <v>10004</v>
      </c>
      <c r="C4895" s="9" t="s">
        <v>253</v>
      </c>
      <c r="D4895" s="9" t="s">
        <v>75</v>
      </c>
      <c r="E4895" s="6" t="s">
        <v>5416</v>
      </c>
      <c r="F4895" s="9" t="s">
        <v>12488</v>
      </c>
    </row>
    <row r="4896" ht="33.75" customHeight="1">
      <c r="A4896" s="7">
        <v>166.0</v>
      </c>
      <c r="B4896" s="9" t="s">
        <v>10004</v>
      </c>
      <c r="C4896" s="9" t="s">
        <v>253</v>
      </c>
      <c r="D4896" s="9" t="s">
        <v>79</v>
      </c>
      <c r="E4896" s="6" t="s">
        <v>5415</v>
      </c>
      <c r="F4896" s="9" t="s">
        <v>12488</v>
      </c>
    </row>
    <row r="4897" ht="33.75" customHeight="1">
      <c r="A4897" s="7">
        <v>166.0</v>
      </c>
      <c r="B4897" s="9" t="s">
        <v>10004</v>
      </c>
      <c r="C4897" s="9" t="s">
        <v>253</v>
      </c>
      <c r="D4897" s="9" t="s">
        <v>81</v>
      </c>
      <c r="E4897" s="6" t="s">
        <v>5420</v>
      </c>
      <c r="F4897" s="9" t="s">
        <v>12488</v>
      </c>
    </row>
    <row r="4898" ht="33.75" customHeight="1">
      <c r="A4898" s="7">
        <v>166.0</v>
      </c>
      <c r="B4898" s="9" t="s">
        <v>10004</v>
      </c>
      <c r="C4898" s="9" t="s">
        <v>253</v>
      </c>
      <c r="D4898" s="9" t="s">
        <v>84</v>
      </c>
      <c r="E4898" s="6" t="s">
        <v>5420</v>
      </c>
      <c r="F4898" s="9" t="s">
        <v>12488</v>
      </c>
    </row>
    <row r="4899" ht="33.75" customHeight="1">
      <c r="A4899" s="7">
        <v>166.0</v>
      </c>
      <c r="B4899" s="9" t="s">
        <v>10004</v>
      </c>
      <c r="C4899" s="9" t="s">
        <v>253</v>
      </c>
      <c r="D4899" s="9" t="s">
        <v>87</v>
      </c>
      <c r="E4899" s="6" t="s">
        <v>5420</v>
      </c>
      <c r="F4899" s="9" t="s">
        <v>12488</v>
      </c>
    </row>
    <row r="4900" ht="33.75" customHeight="1">
      <c r="A4900" s="7">
        <v>166.0</v>
      </c>
      <c r="B4900" s="9" t="s">
        <v>10004</v>
      </c>
      <c r="C4900" s="9" t="s">
        <v>253</v>
      </c>
      <c r="D4900" s="9" t="s">
        <v>89</v>
      </c>
      <c r="E4900" s="6" t="s">
        <v>5415</v>
      </c>
      <c r="F4900" s="9" t="s">
        <v>12488</v>
      </c>
    </row>
    <row r="4901" ht="33.75" customHeight="1">
      <c r="A4901" s="7">
        <v>166.0</v>
      </c>
      <c r="B4901" s="9" t="s">
        <v>10004</v>
      </c>
      <c r="C4901" s="9" t="s">
        <v>253</v>
      </c>
      <c r="D4901" s="9" t="s">
        <v>91</v>
      </c>
      <c r="E4901" s="6" t="s">
        <v>5421</v>
      </c>
      <c r="F4901" s="9" t="s">
        <v>12488</v>
      </c>
    </row>
    <row r="4902" ht="33.75" customHeight="1">
      <c r="A4902" s="7">
        <v>166.0</v>
      </c>
      <c r="B4902" s="9" t="s">
        <v>10004</v>
      </c>
      <c r="C4902" s="9" t="s">
        <v>253</v>
      </c>
      <c r="D4902" s="9" t="s">
        <v>93</v>
      </c>
      <c r="E4902" s="6" t="s">
        <v>5420</v>
      </c>
      <c r="F4902" s="9" t="s">
        <v>12488</v>
      </c>
    </row>
    <row r="4903" ht="33.75" customHeight="1">
      <c r="A4903" s="7">
        <v>166.0</v>
      </c>
      <c r="B4903" s="9" t="s">
        <v>10004</v>
      </c>
      <c r="C4903" s="9" t="s">
        <v>253</v>
      </c>
      <c r="D4903" s="9" t="s">
        <v>95</v>
      </c>
      <c r="E4903" s="6" t="s">
        <v>5420</v>
      </c>
      <c r="F4903" s="9" t="s">
        <v>12488</v>
      </c>
    </row>
    <row r="4904" ht="33.75" customHeight="1">
      <c r="A4904" s="7">
        <v>166.0</v>
      </c>
      <c r="B4904" s="9" t="s">
        <v>10004</v>
      </c>
      <c r="C4904" s="9" t="s">
        <v>253</v>
      </c>
      <c r="D4904" s="9" t="s">
        <v>98</v>
      </c>
      <c r="E4904" s="6" t="s">
        <v>5420</v>
      </c>
      <c r="F4904" s="9" t="s">
        <v>12488</v>
      </c>
    </row>
    <row r="4905" ht="33.75" customHeight="1">
      <c r="A4905" s="7">
        <v>166.0</v>
      </c>
      <c r="B4905" s="9" t="s">
        <v>10004</v>
      </c>
      <c r="C4905" s="9" t="s">
        <v>253</v>
      </c>
      <c r="D4905" s="9" t="s">
        <v>99</v>
      </c>
      <c r="E4905" s="6" t="s">
        <v>5420</v>
      </c>
      <c r="F4905" s="9" t="s">
        <v>12488</v>
      </c>
    </row>
    <row r="4906" ht="33.75" customHeight="1">
      <c r="A4906" s="7">
        <v>166.0</v>
      </c>
      <c r="B4906" s="9" t="s">
        <v>10004</v>
      </c>
      <c r="C4906" s="9" t="s">
        <v>253</v>
      </c>
      <c r="D4906" s="9" t="s">
        <v>101</v>
      </c>
      <c r="E4906" s="6" t="s">
        <v>5415</v>
      </c>
      <c r="F4906" s="9" t="s">
        <v>12488</v>
      </c>
    </row>
    <row r="4907" ht="33.75" customHeight="1">
      <c r="A4907" s="7">
        <v>166.0</v>
      </c>
      <c r="B4907" s="9" t="s">
        <v>10004</v>
      </c>
      <c r="C4907" s="9" t="s">
        <v>253</v>
      </c>
      <c r="D4907" s="9" t="s">
        <v>105</v>
      </c>
      <c r="E4907" s="6" t="s">
        <v>5421</v>
      </c>
      <c r="F4907" s="9" t="s">
        <v>12488</v>
      </c>
    </row>
    <row r="4908" ht="33.75" customHeight="1">
      <c r="A4908" s="7">
        <v>166.0</v>
      </c>
      <c r="B4908" s="9" t="s">
        <v>10004</v>
      </c>
      <c r="C4908" s="9" t="s">
        <v>253</v>
      </c>
      <c r="D4908" s="9" t="s">
        <v>107</v>
      </c>
      <c r="E4908" s="6" t="s">
        <v>5422</v>
      </c>
      <c r="F4908" s="9" t="s">
        <v>12488</v>
      </c>
    </row>
    <row r="4909" ht="33.75" customHeight="1">
      <c r="A4909" s="7">
        <v>166.0</v>
      </c>
      <c r="B4909" s="9" t="s">
        <v>10004</v>
      </c>
      <c r="C4909" s="9" t="s">
        <v>253</v>
      </c>
      <c r="D4909" s="9" t="s">
        <v>109</v>
      </c>
      <c r="E4909" s="6" t="s">
        <v>5422</v>
      </c>
      <c r="F4909" s="9" t="s">
        <v>12488</v>
      </c>
    </row>
    <row r="4910" ht="33.75" customHeight="1">
      <c r="A4910" s="7">
        <v>166.0</v>
      </c>
      <c r="B4910" s="9" t="s">
        <v>10004</v>
      </c>
      <c r="C4910" s="9" t="s">
        <v>253</v>
      </c>
      <c r="D4910" s="9" t="s">
        <v>637</v>
      </c>
      <c r="E4910" s="6" t="s">
        <v>5423</v>
      </c>
      <c r="F4910" s="9" t="s">
        <v>12488</v>
      </c>
    </row>
    <row r="4911" ht="33.75" customHeight="1">
      <c r="A4911" s="7">
        <v>166.0</v>
      </c>
      <c r="B4911" s="9" t="s">
        <v>10004</v>
      </c>
      <c r="C4911" s="9" t="s">
        <v>253</v>
      </c>
      <c r="D4911" s="9" t="s">
        <v>642</v>
      </c>
      <c r="E4911" s="6" t="s">
        <v>5424</v>
      </c>
      <c r="F4911" s="9" t="s">
        <v>12488</v>
      </c>
    </row>
    <row r="4912" ht="33.75" customHeight="1">
      <c r="A4912" s="7">
        <v>166.0</v>
      </c>
      <c r="B4912" s="9" t="s">
        <v>10004</v>
      </c>
      <c r="C4912" s="9" t="s">
        <v>253</v>
      </c>
      <c r="D4912" s="9" t="s">
        <v>647</v>
      </c>
      <c r="E4912" s="6" t="s">
        <v>5426</v>
      </c>
      <c r="F4912" s="9" t="s">
        <v>12488</v>
      </c>
    </row>
    <row r="4913" ht="33.75" customHeight="1">
      <c r="A4913" s="7">
        <v>166.0</v>
      </c>
      <c r="B4913" s="9" t="s">
        <v>10004</v>
      </c>
      <c r="C4913" s="9" t="s">
        <v>253</v>
      </c>
      <c r="D4913" s="9" t="s">
        <v>652</v>
      </c>
      <c r="E4913" s="6" t="s">
        <v>5427</v>
      </c>
      <c r="F4913" s="9" t="s">
        <v>12488</v>
      </c>
    </row>
    <row r="4914" ht="33.75" customHeight="1">
      <c r="A4914" s="7">
        <v>167.0</v>
      </c>
      <c r="B4914" s="9" t="s">
        <v>10045</v>
      </c>
      <c r="C4914" s="9" t="s">
        <v>256</v>
      </c>
      <c r="D4914" s="9" t="s">
        <v>52</v>
      </c>
      <c r="E4914" s="6" t="s">
        <v>5428</v>
      </c>
      <c r="F4914" s="9" t="s">
        <v>12537</v>
      </c>
      <c r="G4914" t="inlineStr" s="6">
        <is>
          <t xml:space="preserve">It lies still in the same pose for days in Spinarak's web, waiting for its unsuspecting prey to wander close. It spins a web using fine--but durable--thread. It then waits patiently for prey to be trapped. If prey becomes ensnared in its nest of spun string, it waits motionlessly until it becomes dark. The web spun by SPINARAK can be considered its second nervous system. It is said that this POKéMON can determine what kind of prey is touching its web just by the tiny vibrations it feels through the web’s strands. The web it spins can be considered its second nervous system. It is said that a SPINARAK determines its prey by the tiny vibrations it feels through the web. It spins a web using fine--but durable-- thread. It sets a trap by spinning a web with thin but strong silk. It waits motionlessly for prey to arrive. It waits intently until its preferred prey, Cutiefly, gets caught in its web. In fact, it’s quite a patient Pokémon. Some fishermen weave its sturdy thread into nets to catch fish Pokémon. With threads from its mouth, it fashions sturdy webs that won’t break even if you set a rock on them. Although the poison from its fangs isn’t that strong, it’s potent enough to weaken prey that gets caught in its web.</t>
        </is>
      </c>
    </row>
    <row r="4915" ht="33.75" customHeight="1">
      <c r="A4915" s="7">
        <v>167.0</v>
      </c>
      <c r="B4915" s="9" t="s">
        <v>10045</v>
      </c>
      <c r="C4915" s="9" t="s">
        <v>256</v>
      </c>
      <c r="D4915" s="9" t="s">
        <v>59</v>
      </c>
      <c r="E4915" s="6" t="s">
        <v>5430</v>
      </c>
      <c r="F4915" s="9" t="s">
        <v>12537</v>
      </c>
    </row>
    <row r="4916" ht="33.75" customHeight="1">
      <c r="A4916" s="7">
        <v>167.0</v>
      </c>
      <c r="B4916" s="9" t="s">
        <v>10045</v>
      </c>
      <c r="C4916" s="9" t="s">
        <v>256</v>
      </c>
      <c r="D4916" s="9" t="s">
        <v>64</v>
      </c>
      <c r="E4916" s="6" t="s">
        <v>5431</v>
      </c>
      <c r="F4916" s="9" t="s">
        <v>12537</v>
      </c>
    </row>
    <row r="4917" ht="33.75" customHeight="1">
      <c r="A4917" s="7">
        <v>167.0</v>
      </c>
      <c r="B4917" s="9" t="s">
        <v>10045</v>
      </c>
      <c r="C4917" s="9" t="s">
        <v>256</v>
      </c>
      <c r="D4917" s="9" t="s">
        <v>67</v>
      </c>
      <c r="E4917" s="6" t="s">
        <v>5432</v>
      </c>
      <c r="F4917" s="9" t="s">
        <v>12537</v>
      </c>
    </row>
    <row r="4918" ht="33.75" customHeight="1">
      <c r="A4918" s="7">
        <v>167.0</v>
      </c>
      <c r="B4918" s="9" t="s">
        <v>10045</v>
      </c>
      <c r="C4918" s="9" t="s">
        <v>256</v>
      </c>
      <c r="D4918" s="9" t="s">
        <v>71</v>
      </c>
      <c r="E4918" s="6" t="s">
        <v>5432</v>
      </c>
      <c r="F4918" s="9" t="s">
        <v>12537</v>
      </c>
    </row>
    <row r="4919" ht="33.75" customHeight="1">
      <c r="A4919" s="7">
        <v>167.0</v>
      </c>
      <c r="B4919" s="9" t="s">
        <v>10045</v>
      </c>
      <c r="C4919" s="9" t="s">
        <v>256</v>
      </c>
      <c r="D4919" s="9" t="s">
        <v>73</v>
      </c>
      <c r="E4919" s="6" t="s">
        <v>5433</v>
      </c>
      <c r="F4919" s="9" t="s">
        <v>12537</v>
      </c>
    </row>
    <row r="4920" ht="33.75" customHeight="1">
      <c r="A4920" s="7">
        <v>167.0</v>
      </c>
      <c r="B4920" s="9" t="s">
        <v>10045</v>
      </c>
      <c r="C4920" s="9" t="s">
        <v>256</v>
      </c>
      <c r="D4920" s="9" t="s">
        <v>75</v>
      </c>
      <c r="E4920" s="6" t="s">
        <v>5434</v>
      </c>
      <c r="F4920" s="9" t="s">
        <v>12537</v>
      </c>
    </row>
    <row r="4921" ht="33.75" customHeight="1">
      <c r="A4921" s="7">
        <v>167.0</v>
      </c>
      <c r="B4921" s="9" t="s">
        <v>10045</v>
      </c>
      <c r="C4921" s="9" t="s">
        <v>256</v>
      </c>
      <c r="D4921" s="9" t="s">
        <v>79</v>
      </c>
      <c r="E4921" s="6" t="s">
        <v>5428</v>
      </c>
      <c r="F4921" s="9" t="s">
        <v>12537</v>
      </c>
    </row>
    <row r="4922" ht="33.75" customHeight="1">
      <c r="A4922" s="7">
        <v>167.0</v>
      </c>
      <c r="B4922" s="9" t="s">
        <v>10045</v>
      </c>
      <c r="C4922" s="9" t="s">
        <v>256</v>
      </c>
      <c r="D4922" s="9" t="s">
        <v>81</v>
      </c>
      <c r="E4922" s="6" t="s">
        <v>5435</v>
      </c>
      <c r="F4922" s="9" t="s">
        <v>12537</v>
      </c>
    </row>
    <row r="4923" ht="33.75" customHeight="1">
      <c r="A4923" s="7">
        <v>167.0</v>
      </c>
      <c r="B4923" s="9" t="s">
        <v>10045</v>
      </c>
      <c r="C4923" s="9" t="s">
        <v>256</v>
      </c>
      <c r="D4923" s="9" t="s">
        <v>84</v>
      </c>
      <c r="E4923" s="6" t="s">
        <v>5435</v>
      </c>
      <c r="F4923" s="9" t="s">
        <v>12537</v>
      </c>
    </row>
    <row r="4924" ht="33.75" customHeight="1">
      <c r="A4924" s="7">
        <v>167.0</v>
      </c>
      <c r="B4924" s="9" t="s">
        <v>10045</v>
      </c>
      <c r="C4924" s="9" t="s">
        <v>256</v>
      </c>
      <c r="D4924" s="9" t="s">
        <v>87</v>
      </c>
      <c r="E4924" s="6" t="s">
        <v>5435</v>
      </c>
      <c r="F4924" s="9" t="s">
        <v>12537</v>
      </c>
    </row>
    <row r="4925" ht="33.75" customHeight="1">
      <c r="A4925" s="7">
        <v>167.0</v>
      </c>
      <c r="B4925" s="9" t="s">
        <v>10045</v>
      </c>
      <c r="C4925" s="9" t="s">
        <v>256</v>
      </c>
      <c r="D4925" s="9" t="s">
        <v>89</v>
      </c>
      <c r="E4925" s="6" t="s">
        <v>5428</v>
      </c>
      <c r="F4925" s="9" t="s">
        <v>12537</v>
      </c>
    </row>
    <row r="4926" ht="33.75" customHeight="1">
      <c r="A4926" s="7">
        <v>167.0</v>
      </c>
      <c r="B4926" s="9" t="s">
        <v>10045</v>
      </c>
      <c r="C4926" s="9" t="s">
        <v>256</v>
      </c>
      <c r="D4926" s="9" t="s">
        <v>91</v>
      </c>
      <c r="E4926" s="6" t="s">
        <v>5437</v>
      </c>
      <c r="F4926" s="9" t="s">
        <v>12537</v>
      </c>
    </row>
    <row r="4927" ht="33.75" customHeight="1">
      <c r="A4927" s="7">
        <v>167.0</v>
      </c>
      <c r="B4927" s="9" t="s">
        <v>10045</v>
      </c>
      <c r="C4927" s="9" t="s">
        <v>256</v>
      </c>
      <c r="D4927" s="9" t="s">
        <v>93</v>
      </c>
      <c r="E4927" s="6" t="s">
        <v>5435</v>
      </c>
      <c r="F4927" s="9" t="s">
        <v>12537</v>
      </c>
    </row>
    <row r="4928" ht="33.75" customHeight="1">
      <c r="A4928" s="7">
        <v>167.0</v>
      </c>
      <c r="B4928" s="9" t="s">
        <v>10045</v>
      </c>
      <c r="C4928" s="9" t="s">
        <v>256</v>
      </c>
      <c r="D4928" s="9" t="s">
        <v>95</v>
      </c>
      <c r="E4928" s="6" t="s">
        <v>5435</v>
      </c>
      <c r="F4928" s="9" t="s">
        <v>12537</v>
      </c>
    </row>
    <row r="4929" ht="33.75" customHeight="1">
      <c r="A4929" s="7">
        <v>167.0</v>
      </c>
      <c r="B4929" s="9" t="s">
        <v>10045</v>
      </c>
      <c r="C4929" s="9" t="s">
        <v>256</v>
      </c>
      <c r="D4929" s="9" t="s">
        <v>98</v>
      </c>
      <c r="E4929" s="6" t="s">
        <v>5435</v>
      </c>
      <c r="F4929" s="9" t="s">
        <v>12537</v>
      </c>
    </row>
    <row r="4930" ht="33.75" customHeight="1">
      <c r="A4930" s="7">
        <v>167.0</v>
      </c>
      <c r="B4930" s="9" t="s">
        <v>10045</v>
      </c>
      <c r="C4930" s="9" t="s">
        <v>256</v>
      </c>
      <c r="D4930" s="9" t="s">
        <v>99</v>
      </c>
      <c r="E4930" s="6" t="s">
        <v>5435</v>
      </c>
      <c r="F4930" s="9" t="s">
        <v>12537</v>
      </c>
    </row>
    <row r="4931" ht="33.75" customHeight="1">
      <c r="A4931" s="7">
        <v>167.0</v>
      </c>
      <c r="B4931" s="9" t="s">
        <v>10045</v>
      </c>
      <c r="C4931" s="9" t="s">
        <v>256</v>
      </c>
      <c r="D4931" s="9" t="s">
        <v>101</v>
      </c>
      <c r="E4931" s="6" t="s">
        <v>5437</v>
      </c>
      <c r="F4931" s="9" t="s">
        <v>12537</v>
      </c>
    </row>
    <row r="4932" ht="33.75" customHeight="1">
      <c r="A4932" s="7">
        <v>167.0</v>
      </c>
      <c r="B4932" s="9" t="s">
        <v>10045</v>
      </c>
      <c r="C4932" s="9" t="s">
        <v>256</v>
      </c>
      <c r="D4932" s="9" t="s">
        <v>105</v>
      </c>
      <c r="E4932" s="6" t="s">
        <v>5428</v>
      </c>
      <c r="F4932" s="9" t="s">
        <v>12537</v>
      </c>
    </row>
    <row r="4933" ht="33.75" customHeight="1">
      <c r="A4933" s="7">
        <v>167.0</v>
      </c>
      <c r="B4933" s="9" t="s">
        <v>10045</v>
      </c>
      <c r="C4933" s="9" t="s">
        <v>256</v>
      </c>
      <c r="D4933" s="9" t="s">
        <v>107</v>
      </c>
      <c r="E4933" s="6" t="s">
        <v>5439</v>
      </c>
      <c r="F4933" s="9" t="s">
        <v>12537</v>
      </c>
    </row>
    <row r="4934" ht="33.75" customHeight="1">
      <c r="A4934" s="7">
        <v>167.0</v>
      </c>
      <c r="B4934" s="9" t="s">
        <v>10045</v>
      </c>
      <c r="C4934" s="9" t="s">
        <v>256</v>
      </c>
      <c r="D4934" s="9" t="s">
        <v>109</v>
      </c>
      <c r="E4934" s="6" t="s">
        <v>5439</v>
      </c>
      <c r="F4934" s="9" t="s">
        <v>12537</v>
      </c>
    </row>
    <row r="4935" ht="33.75" customHeight="1">
      <c r="A4935" s="7">
        <v>167.0</v>
      </c>
      <c r="B4935" s="9" t="s">
        <v>10045</v>
      </c>
      <c r="C4935" s="9" t="s">
        <v>256</v>
      </c>
      <c r="D4935" s="9" t="s">
        <v>637</v>
      </c>
      <c r="E4935" s="6" t="s">
        <v>5441</v>
      </c>
      <c r="F4935" s="9" t="s">
        <v>12537</v>
      </c>
    </row>
    <row r="4936" ht="33.75" customHeight="1">
      <c r="A4936" s="7">
        <v>167.0</v>
      </c>
      <c r="B4936" s="9" t="s">
        <v>10045</v>
      </c>
      <c r="C4936" s="9" t="s">
        <v>256</v>
      </c>
      <c r="D4936" s="9" t="s">
        <v>642</v>
      </c>
      <c r="E4936" s="6" t="s">
        <v>5442</v>
      </c>
      <c r="F4936" s="9" t="s">
        <v>12537</v>
      </c>
    </row>
    <row r="4937" ht="33.75" customHeight="1">
      <c r="A4937" s="7">
        <v>167.0</v>
      </c>
      <c r="B4937" s="9" t="s">
        <v>10045</v>
      </c>
      <c r="C4937" s="9" t="s">
        <v>256</v>
      </c>
      <c r="D4937" s="9" t="s">
        <v>647</v>
      </c>
      <c r="E4937" s="6" t="s">
        <v>5443</v>
      </c>
      <c r="F4937" s="9" t="s">
        <v>12537</v>
      </c>
    </row>
    <row r="4938" ht="33.75" customHeight="1">
      <c r="A4938" s="7">
        <v>167.0</v>
      </c>
      <c r="B4938" s="9" t="s">
        <v>10045</v>
      </c>
      <c r="C4938" s="9" t="s">
        <v>256</v>
      </c>
      <c r="D4938" s="9" t="s">
        <v>652</v>
      </c>
      <c r="E4938" s="6" t="s">
        <v>5444</v>
      </c>
      <c r="F4938" s="9" t="s">
        <v>12537</v>
      </c>
    </row>
    <row r="4939" ht="33.75" customHeight="1">
      <c r="A4939" s="7">
        <v>168.0</v>
      </c>
      <c r="B4939" s="9" t="s">
        <v>10089</v>
      </c>
      <c r="C4939" s="9" t="s">
        <v>259</v>
      </c>
      <c r="D4939" s="9" t="s">
        <v>52</v>
      </c>
      <c r="E4939" s="6" t="s">
        <v>5445</v>
      </c>
      <c r="F4939" s="9" t="s">
        <v>12591</v>
      </c>
      <c r="G4939" t="inlineStr" s="6">
        <is>
          <t xml:space="preserve">It spins string not only from Ariados's rear but also from its mouth. It is hard to tell which end is which. A single strand of a special string is endlessly spun out of its rear. The string leads back to its nest. Rather than making a nest in one specific spot, it wanders in search of food after darkness falls. ARIADOS’s feet are tipped with tiny hooked claws that enable it to scuttle on ceilings and vertical walls. This POKéMON constricts the foe with thin and strong silk webbing. Its feet are tipped with tiny hooked claws that enable it to scuttle on ceilings and vertical walls. It constricts its foe with thin and strong silk webbing. It attaches silk to its prey and sets it free. Later, it tracks the silk to the prey and its friends. It’s hard to tell which end is which. There are some areas where people use the string Ariados spins for their own weaving. The resulting cloth is popular for its strength. It spins thread from both its rear and its mouth. Then it wraps its prey up in thread and sips their bodily fluids at its leisure. Every night, it wanders around in search of prey, whose movements it restrains by spewing threads before it bites into them with its fangs. It spews threads from its mouth to catch its prey. When night falls, it leaves its web to go hunt aggressively.</t>
        </is>
      </c>
    </row>
    <row r="4940" ht="33.75" customHeight="1">
      <c r="A4940" s="7">
        <v>168.0</v>
      </c>
      <c r="B4940" s="9" t="s">
        <v>10089</v>
      </c>
      <c r="C4940" s="9" t="s">
        <v>259</v>
      </c>
      <c r="D4940" s="9" t="s">
        <v>59</v>
      </c>
      <c r="E4940" s="6" t="s">
        <v>5446</v>
      </c>
      <c r="F4940" s="9" t="s">
        <v>12591</v>
      </c>
    </row>
    <row r="4941" ht="33.75" customHeight="1">
      <c r="A4941" s="7">
        <v>168.0</v>
      </c>
      <c r="B4941" s="9" t="s">
        <v>10089</v>
      </c>
      <c r="C4941" s="9" t="s">
        <v>259</v>
      </c>
      <c r="D4941" s="9" t="s">
        <v>64</v>
      </c>
      <c r="E4941" s="6" t="s">
        <v>5447</v>
      </c>
      <c r="F4941" s="9" t="s">
        <v>12591</v>
      </c>
    </row>
    <row r="4942" ht="33.75" customHeight="1">
      <c r="A4942" s="7">
        <v>168.0</v>
      </c>
      <c r="B4942" s="9" t="s">
        <v>10089</v>
      </c>
      <c r="C4942" s="9" t="s">
        <v>259</v>
      </c>
      <c r="D4942" s="9" t="s">
        <v>67</v>
      </c>
      <c r="E4942" s="6" t="s">
        <v>5449</v>
      </c>
      <c r="F4942" s="9" t="s">
        <v>12591</v>
      </c>
    </row>
    <row r="4943" ht="33.75" customHeight="1">
      <c r="A4943" s="7">
        <v>168.0</v>
      </c>
      <c r="B4943" s="9" t="s">
        <v>10089</v>
      </c>
      <c r="C4943" s="9" t="s">
        <v>259</v>
      </c>
      <c r="D4943" s="9" t="s">
        <v>71</v>
      </c>
      <c r="E4943" s="6" t="s">
        <v>5449</v>
      </c>
      <c r="F4943" s="9" t="s">
        <v>12591</v>
      </c>
    </row>
    <row r="4944" ht="33.75" customHeight="1">
      <c r="A4944" s="7">
        <v>168.0</v>
      </c>
      <c r="B4944" s="9" t="s">
        <v>10089</v>
      </c>
      <c r="C4944" s="9" t="s">
        <v>259</v>
      </c>
      <c r="D4944" s="9" t="s">
        <v>73</v>
      </c>
      <c r="E4944" s="6" t="s">
        <v>5450</v>
      </c>
      <c r="F4944" s="9" t="s">
        <v>12591</v>
      </c>
    </row>
    <row r="4945" ht="33.75" customHeight="1">
      <c r="A4945" s="7">
        <v>168.0</v>
      </c>
      <c r="B4945" s="9" t="s">
        <v>10089</v>
      </c>
      <c r="C4945" s="9" t="s">
        <v>259</v>
      </c>
      <c r="D4945" s="9" t="s">
        <v>75</v>
      </c>
      <c r="E4945" s="6" t="s">
        <v>5446</v>
      </c>
      <c r="F4945" s="9" t="s">
        <v>12591</v>
      </c>
    </row>
    <row r="4946" ht="33.75" customHeight="1">
      <c r="A4946" s="7">
        <v>168.0</v>
      </c>
      <c r="B4946" s="9" t="s">
        <v>10089</v>
      </c>
      <c r="C4946" s="9" t="s">
        <v>259</v>
      </c>
      <c r="D4946" s="9" t="s">
        <v>79</v>
      </c>
      <c r="E4946" s="6" t="s">
        <v>5445</v>
      </c>
      <c r="F4946" s="9" t="s">
        <v>12591</v>
      </c>
    </row>
    <row r="4947" ht="33.75" customHeight="1">
      <c r="A4947" s="7">
        <v>168.0</v>
      </c>
      <c r="B4947" s="9" t="s">
        <v>10089</v>
      </c>
      <c r="C4947" s="9" t="s">
        <v>259</v>
      </c>
      <c r="D4947" s="9" t="s">
        <v>81</v>
      </c>
      <c r="E4947" s="6" t="s">
        <v>5451</v>
      </c>
      <c r="F4947" s="9" t="s">
        <v>12591</v>
      </c>
    </row>
    <row r="4948" ht="33.75" customHeight="1">
      <c r="A4948" s="7">
        <v>168.0</v>
      </c>
      <c r="B4948" s="9" t="s">
        <v>10089</v>
      </c>
      <c r="C4948" s="9" t="s">
        <v>259</v>
      </c>
      <c r="D4948" s="9" t="s">
        <v>84</v>
      </c>
      <c r="E4948" s="6" t="s">
        <v>5451</v>
      </c>
      <c r="F4948" s="9" t="s">
        <v>12591</v>
      </c>
    </row>
    <row r="4949" ht="33.75" customHeight="1">
      <c r="A4949" s="7">
        <v>168.0</v>
      </c>
      <c r="B4949" s="9" t="s">
        <v>10089</v>
      </c>
      <c r="C4949" s="9" t="s">
        <v>259</v>
      </c>
      <c r="D4949" s="9" t="s">
        <v>87</v>
      </c>
      <c r="E4949" s="6" t="s">
        <v>5451</v>
      </c>
      <c r="F4949" s="9" t="s">
        <v>12591</v>
      </c>
    </row>
    <row r="4950" ht="33.75" customHeight="1">
      <c r="A4950" s="7">
        <v>168.0</v>
      </c>
      <c r="B4950" s="9" t="s">
        <v>10089</v>
      </c>
      <c r="C4950" s="9" t="s">
        <v>259</v>
      </c>
      <c r="D4950" s="9" t="s">
        <v>89</v>
      </c>
      <c r="E4950" s="6" t="s">
        <v>5453</v>
      </c>
      <c r="F4950" s="9" t="s">
        <v>12591</v>
      </c>
    </row>
    <row r="4951" ht="33.75" customHeight="1">
      <c r="A4951" s="7">
        <v>168.0</v>
      </c>
      <c r="B4951" s="9" t="s">
        <v>10089</v>
      </c>
      <c r="C4951" s="9" t="s">
        <v>259</v>
      </c>
      <c r="D4951" s="9" t="s">
        <v>91</v>
      </c>
      <c r="E4951" s="6" t="s">
        <v>5446</v>
      </c>
      <c r="F4951" s="9" t="s">
        <v>12591</v>
      </c>
    </row>
    <row r="4952" ht="33.75" customHeight="1">
      <c r="A4952" s="7">
        <v>168.0</v>
      </c>
      <c r="B4952" s="9" t="s">
        <v>10089</v>
      </c>
      <c r="C4952" s="9" t="s">
        <v>259</v>
      </c>
      <c r="D4952" s="9" t="s">
        <v>93</v>
      </c>
      <c r="E4952" s="6" t="s">
        <v>5451</v>
      </c>
      <c r="F4952" s="9" t="s">
        <v>12591</v>
      </c>
    </row>
    <row r="4953" ht="33.75" customHeight="1">
      <c r="A4953" s="7">
        <v>168.0</v>
      </c>
      <c r="B4953" s="9" t="s">
        <v>10089</v>
      </c>
      <c r="C4953" s="9" t="s">
        <v>259</v>
      </c>
      <c r="D4953" s="9" t="s">
        <v>95</v>
      </c>
      <c r="E4953" s="6" t="s">
        <v>5451</v>
      </c>
      <c r="F4953" s="9" t="s">
        <v>12591</v>
      </c>
    </row>
    <row r="4954" ht="33.75" customHeight="1">
      <c r="A4954" s="7">
        <v>168.0</v>
      </c>
      <c r="B4954" s="9" t="s">
        <v>10089</v>
      </c>
      <c r="C4954" s="9" t="s">
        <v>259</v>
      </c>
      <c r="D4954" s="9" t="s">
        <v>98</v>
      </c>
      <c r="E4954" s="6" t="s">
        <v>5451</v>
      </c>
      <c r="F4954" s="9" t="s">
        <v>12591</v>
      </c>
    </row>
    <row r="4955" ht="33.75" customHeight="1">
      <c r="A4955" s="7">
        <v>168.0</v>
      </c>
      <c r="B4955" s="9" t="s">
        <v>10089</v>
      </c>
      <c r="C4955" s="9" t="s">
        <v>259</v>
      </c>
      <c r="D4955" s="9" t="s">
        <v>99</v>
      </c>
      <c r="E4955" s="6" t="s">
        <v>5451</v>
      </c>
      <c r="F4955" s="9" t="s">
        <v>12591</v>
      </c>
    </row>
    <row r="4956" ht="33.75" customHeight="1">
      <c r="A4956" s="7">
        <v>168.0</v>
      </c>
      <c r="B4956" s="9" t="s">
        <v>10089</v>
      </c>
      <c r="C4956" s="9" t="s">
        <v>259</v>
      </c>
      <c r="D4956" s="9" t="s">
        <v>101</v>
      </c>
      <c r="E4956" s="6" t="s">
        <v>5453</v>
      </c>
      <c r="F4956" s="9" t="s">
        <v>12591</v>
      </c>
    </row>
    <row r="4957" ht="33.75" customHeight="1">
      <c r="A4957" s="7">
        <v>168.0</v>
      </c>
      <c r="B4957" s="9" t="s">
        <v>10089</v>
      </c>
      <c r="C4957" s="9" t="s">
        <v>259</v>
      </c>
      <c r="D4957" s="9" t="s">
        <v>105</v>
      </c>
      <c r="E4957" s="6" t="s">
        <v>5451</v>
      </c>
      <c r="F4957" s="9" t="s">
        <v>12591</v>
      </c>
    </row>
    <row r="4958" ht="33.75" customHeight="1">
      <c r="A4958" s="7">
        <v>168.0</v>
      </c>
      <c r="B4958" s="9" t="s">
        <v>10089</v>
      </c>
      <c r="C4958" s="9" t="s">
        <v>259</v>
      </c>
      <c r="D4958" s="9" t="s">
        <v>107</v>
      </c>
      <c r="E4958" s="6" t="s">
        <v>5454</v>
      </c>
      <c r="F4958" s="9" t="s">
        <v>12591</v>
      </c>
    </row>
    <row r="4959" ht="33.75" customHeight="1">
      <c r="A4959" s="7">
        <v>168.0</v>
      </c>
      <c r="B4959" s="9" t="s">
        <v>10089</v>
      </c>
      <c r="C4959" s="9" t="s">
        <v>259</v>
      </c>
      <c r="D4959" s="9" t="s">
        <v>109</v>
      </c>
      <c r="E4959" s="6" t="s">
        <v>5454</v>
      </c>
      <c r="F4959" s="9" t="s">
        <v>12591</v>
      </c>
    </row>
    <row r="4960" ht="33.75" customHeight="1">
      <c r="A4960" s="7">
        <v>168.0</v>
      </c>
      <c r="B4960" s="9" t="s">
        <v>10089</v>
      </c>
      <c r="C4960" s="9" t="s">
        <v>259</v>
      </c>
      <c r="D4960" s="9" t="s">
        <v>637</v>
      </c>
      <c r="E4960" s="6" t="s">
        <v>5456</v>
      </c>
      <c r="F4960" s="9" t="s">
        <v>12591</v>
      </c>
    </row>
    <row r="4961" ht="33.75" customHeight="1">
      <c r="A4961" s="7">
        <v>168.0</v>
      </c>
      <c r="B4961" s="9" t="s">
        <v>10089</v>
      </c>
      <c r="C4961" s="9" t="s">
        <v>259</v>
      </c>
      <c r="D4961" s="9" t="s">
        <v>642</v>
      </c>
      <c r="E4961" s="6" t="s">
        <v>5458</v>
      </c>
      <c r="F4961" s="9" t="s">
        <v>12591</v>
      </c>
    </row>
    <row r="4962" ht="33.75" customHeight="1">
      <c r="A4962" s="7">
        <v>168.0</v>
      </c>
      <c r="B4962" s="9" t="s">
        <v>10089</v>
      </c>
      <c r="C4962" s="9" t="s">
        <v>259</v>
      </c>
      <c r="D4962" s="9" t="s">
        <v>647</v>
      </c>
      <c r="E4962" s="6" t="s">
        <v>5460</v>
      </c>
      <c r="F4962" s="9" t="s">
        <v>12591</v>
      </c>
    </row>
    <row r="4963" ht="33.75" customHeight="1">
      <c r="A4963" s="7">
        <v>168.0</v>
      </c>
      <c r="B4963" s="9" t="s">
        <v>10089</v>
      </c>
      <c r="C4963" s="9" t="s">
        <v>259</v>
      </c>
      <c r="D4963" s="9" t="s">
        <v>652</v>
      </c>
      <c r="E4963" s="6" t="s">
        <v>5461</v>
      </c>
      <c r="F4963" s="9" t="s">
        <v>12591</v>
      </c>
    </row>
    <row r="4964" ht="33.75" customHeight="1">
      <c r="A4964" s="7">
        <v>169.0</v>
      </c>
      <c r="B4964" s="9" t="s">
        <v>10140</v>
      </c>
      <c r="C4964" s="9" t="s">
        <v>112</v>
      </c>
      <c r="D4964" s="9" t="s">
        <v>52</v>
      </c>
      <c r="E4964" s="6" t="s">
        <v>5463</v>
      </c>
      <c r="F4964" s="9" t="s">
        <v>12642</v>
      </c>
      <c r="G4964" t="inlineStr" s="6">
        <is>
          <t xml:space="preserve">It flies so silently through the dark on Crobat's four wings that it may not be noticed even when nearby. The development of wings on its legs enables it to fly fast but also makes it tough to stop and rest. As a result of its pursuit of faster, yet more silent flight, a new set of wings grew on its hind legs. If this POKéMON is flying by fluttering only a pair of wings on either the forelegs or hind legs, it’s proof that CROBAT has been flying a long distance. It switches the wings it uses if it is tired. CROBAT sneaks up on its intended prey using wings that barely make a sound. This POKéMON rests by hanging on a tree branch with its rear legs that serve as wings. Over the course of evolution, its hind legs turned into wings. By alternately resting its front and rear wings, it can fly all day without having to stop. Having four wings enables it to fly faster and more quietly. It turns active when the night comes. A Pokémon that gained vastly enhanced flying performance by having its legs turn into wings. The transformation of its legs into wings made it better at flying, but more clumsy at walking. Having four wings allows it to fly more quickly and quietly so it can sneak up on prey without its noticing. Both its legs became wings, and as a result, it can’t move well on the ground. All it can do is crawl around. Silent and swift in its four-winged flight, it bites down on its prey before they realize what’s happening. In a heartbeat, it drains their blood. Its fangs are so sharp, if it bites you in the dark and sucks your blood, you won’t notice any pain or realize you’ve been bitten. It feeds on the blood of living people and Pokémon. If it can’t drink any blood for even a short while, it becomes weak and unable to fly. Both of its legs have turned into wings. Without a sound, Crobat flies swiftly toward its prey and sinks its fangs into the nape of its target’s neck. This Pokémon flaps its four wings skillfully. Crobat can fly through cramped caves without needing to slow down. Its hind limbs have become another set of wings. Crobat expertly maneuvers its four wings to dart in exquisite fashion through even the most confined caves without losing any speed.</t>
        </is>
      </c>
    </row>
    <row r="4965" ht="33.75" customHeight="1">
      <c r="A4965" s="7">
        <v>169.0</v>
      </c>
      <c r="B4965" s="9" t="s">
        <v>10140</v>
      </c>
      <c r="C4965" s="9" t="s">
        <v>112</v>
      </c>
      <c r="D4965" s="9" t="s">
        <v>59</v>
      </c>
      <c r="E4965" s="6" t="s">
        <v>5464</v>
      </c>
      <c r="F4965" s="9" t="s">
        <v>12642</v>
      </c>
    </row>
    <row r="4966" ht="33.75" customHeight="1">
      <c r="A4966" s="7">
        <v>169.0</v>
      </c>
      <c r="B4966" s="9" t="s">
        <v>10140</v>
      </c>
      <c r="C4966" s="9" t="s">
        <v>112</v>
      </c>
      <c r="D4966" s="9" t="s">
        <v>64</v>
      </c>
      <c r="E4966" s="6" t="s">
        <v>5465</v>
      </c>
      <c r="F4966" s="9" t="s">
        <v>12642</v>
      </c>
    </row>
    <row r="4967" ht="33.75" customHeight="1">
      <c r="A4967" s="7">
        <v>169.0</v>
      </c>
      <c r="B4967" s="9" t="s">
        <v>10140</v>
      </c>
      <c r="C4967" s="9" t="s">
        <v>112</v>
      </c>
      <c r="D4967" s="9" t="s">
        <v>67</v>
      </c>
      <c r="E4967" s="6" t="s">
        <v>5466</v>
      </c>
      <c r="F4967" s="9" t="s">
        <v>12642</v>
      </c>
    </row>
    <row r="4968" ht="33.75" customHeight="1">
      <c r="A4968" s="7">
        <v>169.0</v>
      </c>
      <c r="B4968" s="9" t="s">
        <v>10140</v>
      </c>
      <c r="C4968" s="9" t="s">
        <v>112</v>
      </c>
      <c r="D4968" s="9" t="s">
        <v>71</v>
      </c>
      <c r="E4968" s="6" t="s">
        <v>5468</v>
      </c>
      <c r="F4968" s="9" t="s">
        <v>12642</v>
      </c>
    </row>
    <row r="4969" ht="33.75" customHeight="1">
      <c r="A4969" s="7">
        <v>169.0</v>
      </c>
      <c r="B4969" s="9" t="s">
        <v>10140</v>
      </c>
      <c r="C4969" s="9" t="s">
        <v>112</v>
      </c>
      <c r="D4969" s="9" t="s">
        <v>73</v>
      </c>
      <c r="E4969" s="6" t="s">
        <v>5470</v>
      </c>
      <c r="F4969" s="9" t="s">
        <v>12642</v>
      </c>
    </row>
    <row r="4970" ht="33.75" customHeight="1">
      <c r="A4970" s="7">
        <v>169.0</v>
      </c>
      <c r="B4970" s="9" t="s">
        <v>10140</v>
      </c>
      <c r="C4970" s="9" t="s">
        <v>112</v>
      </c>
      <c r="D4970" s="9" t="s">
        <v>75</v>
      </c>
      <c r="E4970" s="6" t="s">
        <v>5464</v>
      </c>
      <c r="F4970" s="9" t="s">
        <v>12642</v>
      </c>
    </row>
    <row r="4971" ht="33.75" customHeight="1">
      <c r="A4971" s="7">
        <v>169.0</v>
      </c>
      <c r="B4971" s="9" t="s">
        <v>10140</v>
      </c>
      <c r="C4971" s="9" t="s">
        <v>112</v>
      </c>
      <c r="D4971" s="9" t="s">
        <v>79</v>
      </c>
      <c r="E4971" s="6" t="s">
        <v>5471</v>
      </c>
      <c r="F4971" s="9" t="s">
        <v>12642</v>
      </c>
    </row>
    <row r="4972" ht="33.75" customHeight="1">
      <c r="A4972" s="7">
        <v>169.0</v>
      </c>
      <c r="B4972" s="9" t="s">
        <v>10140</v>
      </c>
      <c r="C4972" s="9" t="s">
        <v>112</v>
      </c>
      <c r="D4972" s="9" t="s">
        <v>81</v>
      </c>
      <c r="E4972" s="6" t="s">
        <v>5473</v>
      </c>
      <c r="F4972" s="9" t="s">
        <v>12642</v>
      </c>
    </row>
    <row r="4973" ht="33.75" customHeight="1">
      <c r="A4973" s="7">
        <v>169.0</v>
      </c>
      <c r="B4973" s="9" t="s">
        <v>10140</v>
      </c>
      <c r="C4973" s="9" t="s">
        <v>112</v>
      </c>
      <c r="D4973" s="9" t="s">
        <v>84</v>
      </c>
      <c r="E4973" s="6" t="s">
        <v>5474</v>
      </c>
      <c r="F4973" s="9" t="s">
        <v>12642</v>
      </c>
    </row>
    <row r="4974" ht="33.75" customHeight="1">
      <c r="A4974" s="7">
        <v>169.0</v>
      </c>
      <c r="B4974" s="9" t="s">
        <v>10140</v>
      </c>
      <c r="C4974" s="9" t="s">
        <v>112</v>
      </c>
      <c r="D4974" s="9" t="s">
        <v>87</v>
      </c>
      <c r="E4974" s="6" t="s">
        <v>5475</v>
      </c>
      <c r="F4974" s="9" t="s">
        <v>12642</v>
      </c>
    </row>
    <row r="4975" ht="33.75" customHeight="1">
      <c r="A4975" s="7">
        <v>169.0</v>
      </c>
      <c r="B4975" s="9" t="s">
        <v>10140</v>
      </c>
      <c r="C4975" s="9" t="s">
        <v>112</v>
      </c>
      <c r="D4975" s="9" t="s">
        <v>89</v>
      </c>
      <c r="E4975" s="6" t="s">
        <v>5471</v>
      </c>
      <c r="F4975" s="9" t="s">
        <v>12642</v>
      </c>
    </row>
    <row r="4976" ht="33.75" customHeight="1">
      <c r="A4976" s="7">
        <v>169.0</v>
      </c>
      <c r="B4976" s="9" t="s">
        <v>10140</v>
      </c>
      <c r="C4976" s="9" t="s">
        <v>112</v>
      </c>
      <c r="D4976" s="9" t="s">
        <v>91</v>
      </c>
      <c r="E4976" s="6" t="s">
        <v>5464</v>
      </c>
      <c r="F4976" s="9" t="s">
        <v>12642</v>
      </c>
    </row>
    <row r="4977" ht="33.75" customHeight="1">
      <c r="A4977" s="7">
        <v>169.0</v>
      </c>
      <c r="B4977" s="9" t="s">
        <v>10140</v>
      </c>
      <c r="C4977" s="9" t="s">
        <v>112</v>
      </c>
      <c r="D4977" s="9" t="s">
        <v>93</v>
      </c>
      <c r="E4977" s="6" t="s">
        <v>5475</v>
      </c>
      <c r="F4977" s="9" t="s">
        <v>12642</v>
      </c>
    </row>
    <row r="4978" ht="33.75" customHeight="1">
      <c r="A4978" s="7">
        <v>169.0</v>
      </c>
      <c r="B4978" s="9" t="s">
        <v>10140</v>
      </c>
      <c r="C4978" s="9" t="s">
        <v>112</v>
      </c>
      <c r="D4978" s="9" t="s">
        <v>95</v>
      </c>
      <c r="E4978" s="6" t="s">
        <v>5475</v>
      </c>
      <c r="F4978" s="9" t="s">
        <v>12642</v>
      </c>
    </row>
    <row r="4979" ht="33.75" customHeight="1">
      <c r="A4979" s="7">
        <v>169.0</v>
      </c>
      <c r="B4979" s="9" t="s">
        <v>10140</v>
      </c>
      <c r="C4979" s="9" t="s">
        <v>112</v>
      </c>
      <c r="D4979" s="9" t="s">
        <v>98</v>
      </c>
      <c r="E4979" s="6" t="s">
        <v>5476</v>
      </c>
      <c r="F4979" s="9" t="s">
        <v>12642</v>
      </c>
    </row>
    <row r="4980" ht="33.75" customHeight="1">
      <c r="A4980" s="7">
        <v>169.0</v>
      </c>
      <c r="B4980" s="9" t="s">
        <v>10140</v>
      </c>
      <c r="C4980" s="9" t="s">
        <v>112</v>
      </c>
      <c r="D4980" s="9" t="s">
        <v>99</v>
      </c>
      <c r="E4980" s="6" t="s">
        <v>5476</v>
      </c>
      <c r="F4980" s="9" t="s">
        <v>12642</v>
      </c>
    </row>
    <row r="4981" ht="33.75" customHeight="1">
      <c r="A4981" s="7">
        <v>169.0</v>
      </c>
      <c r="B4981" s="9" t="s">
        <v>10140</v>
      </c>
      <c r="C4981" s="9" t="s">
        <v>112</v>
      </c>
      <c r="D4981" s="9" t="s">
        <v>101</v>
      </c>
      <c r="E4981" s="6" t="s">
        <v>5471</v>
      </c>
      <c r="F4981" s="9" t="s">
        <v>12642</v>
      </c>
    </row>
    <row r="4982" ht="33.75" customHeight="1">
      <c r="A4982" s="7">
        <v>169.0</v>
      </c>
      <c r="B4982" s="9" t="s">
        <v>10140</v>
      </c>
      <c r="C4982" s="9" t="s">
        <v>112</v>
      </c>
      <c r="D4982" s="9" t="s">
        <v>105</v>
      </c>
      <c r="E4982" s="6" t="s">
        <v>5476</v>
      </c>
      <c r="F4982" s="9" t="s">
        <v>12642</v>
      </c>
    </row>
    <row r="4983" ht="33.75" customHeight="1">
      <c r="A4983" s="7">
        <v>169.0</v>
      </c>
      <c r="B4983" s="9" t="s">
        <v>10140</v>
      </c>
      <c r="C4983" s="9" t="s">
        <v>112</v>
      </c>
      <c r="D4983" s="9" t="s">
        <v>107</v>
      </c>
      <c r="E4983" s="6" t="s">
        <v>5477</v>
      </c>
      <c r="F4983" s="9" t="s">
        <v>12642</v>
      </c>
    </row>
    <row r="4984" ht="33.75" customHeight="1">
      <c r="A4984" s="7">
        <v>169.0</v>
      </c>
      <c r="B4984" s="9" t="s">
        <v>10140</v>
      </c>
      <c r="C4984" s="9" t="s">
        <v>112</v>
      </c>
      <c r="D4984" s="9" t="s">
        <v>109</v>
      </c>
      <c r="E4984" s="6" t="s">
        <v>5479</v>
      </c>
      <c r="F4984" s="9" t="s">
        <v>12642</v>
      </c>
    </row>
    <row r="4985" ht="33.75" customHeight="1">
      <c r="A4985" s="7">
        <v>169.0</v>
      </c>
      <c r="B4985" s="9" t="s">
        <v>10140</v>
      </c>
      <c r="C4985" s="9" t="s">
        <v>112</v>
      </c>
      <c r="D4985" s="9" t="s">
        <v>637</v>
      </c>
      <c r="E4985" s="6" t="s">
        <v>5480</v>
      </c>
      <c r="F4985" s="9" t="s">
        <v>12642</v>
      </c>
    </row>
    <row r="4986" ht="33.75" customHeight="1">
      <c r="A4986" s="7">
        <v>169.0</v>
      </c>
      <c r="B4986" s="9" t="s">
        <v>10140</v>
      </c>
      <c r="C4986" s="9" t="s">
        <v>112</v>
      </c>
      <c r="D4986" s="9" t="s">
        <v>642</v>
      </c>
      <c r="E4986" s="6" t="s">
        <v>5481</v>
      </c>
      <c r="F4986" s="9" t="s">
        <v>12642</v>
      </c>
    </row>
    <row r="4987" ht="33.75" customHeight="1">
      <c r="A4987" s="7">
        <v>169.0</v>
      </c>
      <c r="B4987" s="9" t="s">
        <v>10140</v>
      </c>
      <c r="C4987" s="9" t="s">
        <v>112</v>
      </c>
      <c r="D4987" s="9" t="s">
        <v>647</v>
      </c>
      <c r="E4987" s="6" t="s">
        <v>5482</v>
      </c>
      <c r="F4987" s="9" t="s">
        <v>12642</v>
      </c>
    </row>
    <row r="4988" ht="33.75" customHeight="1">
      <c r="A4988" s="7">
        <v>169.0</v>
      </c>
      <c r="B4988" s="9" t="s">
        <v>10140</v>
      </c>
      <c r="C4988" s="9" t="s">
        <v>112</v>
      </c>
      <c r="D4988" s="9" t="s">
        <v>652</v>
      </c>
      <c r="E4988" s="6" t="s">
        <v>5483</v>
      </c>
      <c r="F4988" s="9" t="s">
        <v>12642</v>
      </c>
    </row>
    <row r="4989" ht="33.75" customHeight="1">
      <c r="A4989" s="7">
        <v>169.0</v>
      </c>
      <c r="B4989" s="9" t="s">
        <v>10140</v>
      </c>
      <c r="C4989" s="9" t="s">
        <v>112</v>
      </c>
      <c r="D4989" s="9" t="s">
        <v>114</v>
      </c>
      <c r="E4989" s="6" t="s">
        <v>5484</v>
      </c>
      <c r="F4989" s="9" t="s">
        <v>12642</v>
      </c>
    </row>
    <row r="4990" ht="33.75" customHeight="1">
      <c r="A4990" s="7">
        <v>169.0</v>
      </c>
      <c r="B4990" s="9" t="s">
        <v>10140</v>
      </c>
      <c r="C4990" s="9" t="s">
        <v>112</v>
      </c>
      <c r="D4990" s="9" t="s">
        <v>117</v>
      </c>
      <c r="E4990" s="6" t="s">
        <v>5487</v>
      </c>
      <c r="F4990" s="9" t="s">
        <v>12642</v>
      </c>
    </row>
    <row r="4991" ht="33.75" customHeight="1">
      <c r="A4991" s="7">
        <v>169.0</v>
      </c>
      <c r="B4991" s="9" t="s">
        <v>10140</v>
      </c>
      <c r="C4991" s="9" t="s">
        <v>112</v>
      </c>
      <c r="D4991" s="9" t="s">
        <v>1577</v>
      </c>
      <c r="E4991" s="6" t="s">
        <v>5488</v>
      </c>
      <c r="F4991" s="9" t="s">
        <v>12642</v>
      </c>
    </row>
    <row r="4992" ht="33.75" customHeight="1">
      <c r="A4992" s="7">
        <v>170.0</v>
      </c>
      <c r="B4992" s="9" t="s">
        <v>10187</v>
      </c>
      <c r="C4992" s="9" t="s">
        <v>262</v>
      </c>
      <c r="D4992" s="9" t="s">
        <v>52</v>
      </c>
      <c r="E4992" s="6" t="s">
        <v>5489</v>
      </c>
      <c r="F4992" s="9" t="s">
        <v>12688</v>
      </c>
      <c r="G4992" t="inlineStr" s="6">
        <is>
          <t xml:space="preserve">It shoots positive and negative electricity between the tips of Chinchou's two antennae and zaps its enemies. On the dark ocean floor, its only means of communication is its constantly flash ing lights. Its antennae, which evolved from a fin, have both positive and negative charges flowing through them. CHINCHOU lets loose positive and negative electrical charges from its two antennas to make its prey faint. This POKéMON flashes its electric lights to exchange signals with others. CHINCHOU’s two antennas are filled with cells that generate strong electricity. This POKéMON’s cells create so much electrical power, it even makes itself tingle slightly. When it senses danger, it discharges positive and negative electricity from its two antennae. It lives in depths beyond sunlight’s reach. On the dark ocean floor, its only means of communication is its constantly flashing lights. It discharges positive and negative electricity from its antenna tips to shock its foes. Its two antennae were originally fins. It discharges electricity to stun its prey before attacking. It lives in the depths beyond the reach of sunlight. It flashes lights on its antennae to communicate with others of its kind. Its two antennae glow softly to lure in prey, making it a useful Pokémon for night fishing. Chinchou blink their shining antennae at one another to claim their respective turf.</t>
        </is>
      </c>
    </row>
    <row r="4993" ht="33.75" customHeight="1">
      <c r="A4993" s="7">
        <v>170.0</v>
      </c>
      <c r="B4993" s="9" t="s">
        <v>10187</v>
      </c>
      <c r="C4993" s="9" t="s">
        <v>262</v>
      </c>
      <c r="D4993" s="9" t="s">
        <v>59</v>
      </c>
      <c r="E4993" s="6" t="s">
        <v>5490</v>
      </c>
      <c r="F4993" s="9" t="s">
        <v>12688</v>
      </c>
    </row>
    <row r="4994" ht="33.75" customHeight="1">
      <c r="A4994" s="7">
        <v>170.0</v>
      </c>
      <c r="B4994" s="9" t="s">
        <v>10187</v>
      </c>
      <c r="C4994" s="9" t="s">
        <v>262</v>
      </c>
      <c r="D4994" s="9" t="s">
        <v>64</v>
      </c>
      <c r="E4994" s="6" t="s">
        <v>5491</v>
      </c>
      <c r="F4994" s="9" t="s">
        <v>12688</v>
      </c>
    </row>
    <row r="4995" ht="33.75" customHeight="1">
      <c r="A4995" s="7">
        <v>170.0</v>
      </c>
      <c r="B4995" s="9" t="s">
        <v>10187</v>
      </c>
      <c r="C4995" s="9" t="s">
        <v>262</v>
      </c>
      <c r="D4995" s="9" t="s">
        <v>67</v>
      </c>
      <c r="E4995" s="6" t="s">
        <v>5492</v>
      </c>
      <c r="F4995" s="9" t="s">
        <v>12688</v>
      </c>
    </row>
    <row r="4996" ht="33.75" customHeight="1">
      <c r="A4996" s="7">
        <v>170.0</v>
      </c>
      <c r="B4996" s="9" t="s">
        <v>10187</v>
      </c>
      <c r="C4996" s="9" t="s">
        <v>262</v>
      </c>
      <c r="D4996" s="9" t="s">
        <v>71</v>
      </c>
      <c r="E4996" s="6" t="s">
        <v>5494</v>
      </c>
      <c r="F4996" s="9" t="s">
        <v>12688</v>
      </c>
    </row>
    <row r="4997" ht="33.75" customHeight="1">
      <c r="A4997" s="7">
        <v>170.0</v>
      </c>
      <c r="B4997" s="9" t="s">
        <v>10187</v>
      </c>
      <c r="C4997" s="9" t="s">
        <v>262</v>
      </c>
      <c r="D4997" s="9" t="s">
        <v>73</v>
      </c>
      <c r="E4997" s="6" t="s">
        <v>5495</v>
      </c>
      <c r="F4997" s="9" t="s">
        <v>12688</v>
      </c>
    </row>
    <row r="4998" ht="33.75" customHeight="1">
      <c r="A4998" s="7">
        <v>170.0</v>
      </c>
      <c r="B4998" s="9" t="s">
        <v>10187</v>
      </c>
      <c r="C4998" s="9" t="s">
        <v>262</v>
      </c>
      <c r="D4998" s="9" t="s">
        <v>75</v>
      </c>
      <c r="E4998" s="6" t="s">
        <v>5496</v>
      </c>
      <c r="F4998" s="9" t="s">
        <v>12688</v>
      </c>
    </row>
    <row r="4999" ht="33.75" customHeight="1">
      <c r="A4999" s="7">
        <v>170.0</v>
      </c>
      <c r="B4999" s="9" t="s">
        <v>10187</v>
      </c>
      <c r="C4999" s="9" t="s">
        <v>262</v>
      </c>
      <c r="D4999" s="9" t="s">
        <v>79</v>
      </c>
      <c r="E4999" s="6" t="s">
        <v>5498</v>
      </c>
      <c r="F4999" s="9" t="s">
        <v>12688</v>
      </c>
    </row>
    <row r="5000" ht="33.75" customHeight="1">
      <c r="A5000" s="7">
        <v>170.0</v>
      </c>
      <c r="B5000" s="9" t="s">
        <v>10187</v>
      </c>
      <c r="C5000" s="9" t="s">
        <v>262</v>
      </c>
      <c r="D5000" s="9" t="s">
        <v>81</v>
      </c>
      <c r="E5000" s="6" t="s">
        <v>5499</v>
      </c>
      <c r="F5000" s="9" t="s">
        <v>12688</v>
      </c>
    </row>
    <row r="5001" ht="33.75" customHeight="1">
      <c r="A5001" s="7">
        <v>170.0</v>
      </c>
      <c r="B5001" s="9" t="s">
        <v>10187</v>
      </c>
      <c r="C5001" s="9" t="s">
        <v>262</v>
      </c>
      <c r="D5001" s="9" t="s">
        <v>84</v>
      </c>
      <c r="E5001" s="6" t="s">
        <v>5499</v>
      </c>
      <c r="F5001" s="9" t="s">
        <v>12688</v>
      </c>
    </row>
    <row r="5002" ht="33.75" customHeight="1">
      <c r="A5002" s="7">
        <v>170.0</v>
      </c>
      <c r="B5002" s="9" t="s">
        <v>10187</v>
      </c>
      <c r="C5002" s="9" t="s">
        <v>262</v>
      </c>
      <c r="D5002" s="9" t="s">
        <v>87</v>
      </c>
      <c r="E5002" s="6" t="s">
        <v>5499</v>
      </c>
      <c r="F5002" s="9" t="s">
        <v>12688</v>
      </c>
    </row>
    <row r="5003" ht="33.75" customHeight="1">
      <c r="A5003" s="7">
        <v>170.0</v>
      </c>
      <c r="B5003" s="9" t="s">
        <v>10187</v>
      </c>
      <c r="C5003" s="9" t="s">
        <v>262</v>
      </c>
      <c r="D5003" s="9" t="s">
        <v>89</v>
      </c>
      <c r="E5003" s="6" t="s">
        <v>5498</v>
      </c>
      <c r="F5003" s="9" t="s">
        <v>12688</v>
      </c>
    </row>
    <row r="5004" ht="33.75" customHeight="1">
      <c r="A5004" s="7">
        <v>170.0</v>
      </c>
      <c r="B5004" s="9" t="s">
        <v>10187</v>
      </c>
      <c r="C5004" s="9" t="s">
        <v>262</v>
      </c>
      <c r="D5004" s="9" t="s">
        <v>91</v>
      </c>
      <c r="E5004" s="6" t="s">
        <v>5496</v>
      </c>
      <c r="F5004" s="9" t="s">
        <v>12688</v>
      </c>
    </row>
    <row r="5005" ht="33.75" customHeight="1">
      <c r="A5005" s="7">
        <v>170.0</v>
      </c>
      <c r="B5005" s="9" t="s">
        <v>10187</v>
      </c>
      <c r="C5005" s="9" t="s">
        <v>262</v>
      </c>
      <c r="D5005" s="9" t="s">
        <v>93</v>
      </c>
      <c r="E5005" s="6" t="s">
        <v>5499</v>
      </c>
      <c r="F5005" s="9" t="s">
        <v>12688</v>
      </c>
    </row>
    <row r="5006" ht="33.75" customHeight="1">
      <c r="A5006" s="7">
        <v>170.0</v>
      </c>
      <c r="B5006" s="9" t="s">
        <v>10187</v>
      </c>
      <c r="C5006" s="9" t="s">
        <v>262</v>
      </c>
      <c r="D5006" s="9" t="s">
        <v>95</v>
      </c>
      <c r="E5006" s="6" t="s">
        <v>5499</v>
      </c>
      <c r="F5006" s="9" t="s">
        <v>12688</v>
      </c>
    </row>
    <row r="5007" ht="33.75" customHeight="1">
      <c r="A5007" s="7">
        <v>170.0</v>
      </c>
      <c r="B5007" s="9" t="s">
        <v>10187</v>
      </c>
      <c r="C5007" s="9" t="s">
        <v>262</v>
      </c>
      <c r="D5007" s="9" t="s">
        <v>98</v>
      </c>
      <c r="E5007" s="6" t="s">
        <v>5499</v>
      </c>
      <c r="F5007" s="9" t="s">
        <v>12688</v>
      </c>
    </row>
    <row r="5008" ht="33.75" customHeight="1">
      <c r="A5008" s="7">
        <v>170.0</v>
      </c>
      <c r="B5008" s="9" t="s">
        <v>10187</v>
      </c>
      <c r="C5008" s="9" t="s">
        <v>262</v>
      </c>
      <c r="D5008" s="9" t="s">
        <v>99</v>
      </c>
      <c r="E5008" s="6" t="s">
        <v>5499</v>
      </c>
      <c r="F5008" s="9" t="s">
        <v>12688</v>
      </c>
    </row>
    <row r="5009" ht="33.75" customHeight="1">
      <c r="A5009" s="7">
        <v>170.0</v>
      </c>
      <c r="B5009" s="9" t="s">
        <v>10187</v>
      </c>
      <c r="C5009" s="9" t="s">
        <v>262</v>
      </c>
      <c r="D5009" s="9" t="s">
        <v>101</v>
      </c>
      <c r="E5009" s="6" t="s">
        <v>5496</v>
      </c>
      <c r="F5009" s="9" t="s">
        <v>12688</v>
      </c>
    </row>
    <row r="5010" ht="33.75" customHeight="1">
      <c r="A5010" s="7">
        <v>170.0</v>
      </c>
      <c r="B5010" s="9" t="s">
        <v>10187</v>
      </c>
      <c r="C5010" s="9" t="s">
        <v>262</v>
      </c>
      <c r="D5010" s="9" t="s">
        <v>105</v>
      </c>
      <c r="E5010" s="6" t="s">
        <v>5498</v>
      </c>
      <c r="F5010" s="9" t="s">
        <v>12688</v>
      </c>
    </row>
    <row r="5011" ht="33.75" customHeight="1">
      <c r="A5011" s="7">
        <v>170.0</v>
      </c>
      <c r="B5011" s="9" t="s">
        <v>10187</v>
      </c>
      <c r="C5011" s="9" t="s">
        <v>262</v>
      </c>
      <c r="D5011" s="9" t="s">
        <v>107</v>
      </c>
      <c r="E5011" s="6" t="s">
        <v>5500</v>
      </c>
      <c r="F5011" s="9" t="s">
        <v>12688</v>
      </c>
    </row>
    <row r="5012" ht="33.75" customHeight="1">
      <c r="A5012" s="7">
        <v>170.0</v>
      </c>
      <c r="B5012" s="9" t="s">
        <v>10187</v>
      </c>
      <c r="C5012" s="9" t="s">
        <v>262</v>
      </c>
      <c r="D5012" s="9" t="s">
        <v>109</v>
      </c>
      <c r="E5012" s="6" t="s">
        <v>5502</v>
      </c>
      <c r="F5012" s="9" t="s">
        <v>12688</v>
      </c>
    </row>
    <row r="5013" ht="33.75" customHeight="1">
      <c r="A5013" s="7">
        <v>170.0</v>
      </c>
      <c r="B5013" s="9" t="s">
        <v>10187</v>
      </c>
      <c r="C5013" s="9" t="s">
        <v>262</v>
      </c>
      <c r="D5013" s="9" t="s">
        <v>637</v>
      </c>
      <c r="E5013" s="6" t="s">
        <v>5504</v>
      </c>
      <c r="F5013" s="9" t="s">
        <v>12688</v>
      </c>
    </row>
    <row r="5014" ht="33.75" customHeight="1">
      <c r="A5014" s="7">
        <v>170.0</v>
      </c>
      <c r="B5014" s="9" t="s">
        <v>10187</v>
      </c>
      <c r="C5014" s="9" t="s">
        <v>262</v>
      </c>
      <c r="D5014" s="9" t="s">
        <v>642</v>
      </c>
      <c r="E5014" s="6" t="s">
        <v>5506</v>
      </c>
      <c r="F5014" s="9" t="s">
        <v>12688</v>
      </c>
    </row>
    <row r="5015" ht="33.75" customHeight="1">
      <c r="A5015" s="7">
        <v>170.0</v>
      </c>
      <c r="B5015" s="9" t="s">
        <v>10187</v>
      </c>
      <c r="C5015" s="9" t="s">
        <v>262</v>
      </c>
      <c r="D5015" s="9" t="s">
        <v>647</v>
      </c>
      <c r="E5015" s="6" t="s">
        <v>5507</v>
      </c>
      <c r="F5015" s="9" t="s">
        <v>12688</v>
      </c>
    </row>
    <row r="5016" ht="33.75" customHeight="1">
      <c r="A5016" s="7">
        <v>170.0</v>
      </c>
      <c r="B5016" s="9" t="s">
        <v>10187</v>
      </c>
      <c r="C5016" s="9" t="s">
        <v>262</v>
      </c>
      <c r="D5016" s="9" t="s">
        <v>652</v>
      </c>
      <c r="E5016" s="6" t="s">
        <v>5509</v>
      </c>
      <c r="F5016" s="9" t="s">
        <v>12688</v>
      </c>
    </row>
    <row r="5017" ht="33.75" customHeight="1">
      <c r="A5017" s="7">
        <v>170.0</v>
      </c>
      <c r="B5017" s="9" t="s">
        <v>10187</v>
      </c>
      <c r="C5017" s="9" t="s">
        <v>262</v>
      </c>
      <c r="D5017" s="9" t="s">
        <v>114</v>
      </c>
      <c r="E5017" s="6" t="s">
        <v>5511</v>
      </c>
      <c r="F5017" s="9" t="s">
        <v>12688</v>
      </c>
    </row>
    <row r="5018" ht="33.75" customHeight="1">
      <c r="A5018" s="7">
        <v>170.0</v>
      </c>
      <c r="B5018" s="9" t="s">
        <v>10187</v>
      </c>
      <c r="C5018" s="9" t="s">
        <v>262</v>
      </c>
      <c r="D5018" s="9" t="s">
        <v>117</v>
      </c>
      <c r="E5018" s="6" t="s">
        <v>5496</v>
      </c>
      <c r="F5018" s="9" t="s">
        <v>12688</v>
      </c>
    </row>
    <row r="5019" ht="33.75" customHeight="1">
      <c r="A5019" s="7">
        <v>171.0</v>
      </c>
      <c r="B5019" s="9" t="s">
        <v>10230</v>
      </c>
      <c r="C5019" s="9" t="s">
        <v>265</v>
      </c>
      <c r="D5019" s="9" t="s">
        <v>52</v>
      </c>
      <c r="E5019" s="6" t="s">
        <v>5513</v>
      </c>
      <c r="F5019" s="9" t="s">
        <v>12725</v>
      </c>
      <c r="G5019" t="inlineStr" s="6">
        <is>
          <t xml:space="preserve">The light Lanturn emits is so bright that it can illuminate the sea's surface from a depth of over three miles. It blinds prey with an intense burst of light, then swallows the immobilized prey in a single gulp. This POKéMON uses the bright part of its body, which changed from a dorsal fin, to lure prey. LANTURN is nicknamed “the deep-sea star” for its illuminated antenna. This POKéMON produces light by causing a chemical reaction between bacteria and its bodily fluids inside the antenna. LANTURN is known to emit light. If you peer down into the dark sea from a ship at night, you can sometimes see this POKéMON’s light rising from the depths where it swims. It gives the sea an appearance of a starlit night. The light-emitting orbs on its back are very bright. They are formed from a part of its dorsal fin. This POKéMON illuminates the inky darkness of deep seas. LANTURN’s light can shine up from great depths. It is nicknamed “The Deep-Sea Star. It blinds prey with an intense burst of light. With the prey incapacitated, the Pokémon swallows it in a single gulp. Should you peer into the ocean at night and see a light shining like the stars, that is Lanturn. This Pokémon flashes a bright light that blinds its prey. This creates an opening for it to deliver an electrical attack. When the bacteria living inside its antennae absorb Lanturn’s bodily fluids, a strong luminescent effect is produced. It lives far down in the depths of the ocean. It blinds its prey with light, using the moment they’re dazzled to swallow them whole.</t>
        </is>
      </c>
    </row>
    <row r="5020" ht="33.75" customHeight="1">
      <c r="A5020" s="7">
        <v>171.0</v>
      </c>
      <c r="B5020" s="9" t="s">
        <v>10230</v>
      </c>
      <c r="C5020" s="9" t="s">
        <v>265</v>
      </c>
      <c r="D5020" s="9" t="s">
        <v>59</v>
      </c>
      <c r="E5020" s="6" t="s">
        <v>5515</v>
      </c>
      <c r="F5020" s="9" t="s">
        <v>12725</v>
      </c>
    </row>
    <row r="5021" ht="33.75" customHeight="1">
      <c r="A5021" s="7">
        <v>171.0</v>
      </c>
      <c r="B5021" s="9" t="s">
        <v>10230</v>
      </c>
      <c r="C5021" s="9" t="s">
        <v>265</v>
      </c>
      <c r="D5021" s="9" t="s">
        <v>64</v>
      </c>
      <c r="E5021" s="6" t="s">
        <v>5516</v>
      </c>
      <c r="F5021" s="9" t="s">
        <v>12725</v>
      </c>
    </row>
    <row r="5022" ht="33.75" customHeight="1">
      <c r="A5022" s="7">
        <v>171.0</v>
      </c>
      <c r="B5022" s="9" t="s">
        <v>10230</v>
      </c>
      <c r="C5022" s="9" t="s">
        <v>265</v>
      </c>
      <c r="D5022" s="9" t="s">
        <v>67</v>
      </c>
      <c r="E5022" s="6" t="s">
        <v>5517</v>
      </c>
      <c r="F5022" s="9" t="s">
        <v>12725</v>
      </c>
    </row>
    <row r="5023" ht="33.75" customHeight="1">
      <c r="A5023" s="7">
        <v>171.0</v>
      </c>
      <c r="B5023" s="9" t="s">
        <v>10230</v>
      </c>
      <c r="C5023" s="9" t="s">
        <v>265</v>
      </c>
      <c r="D5023" s="9" t="s">
        <v>71</v>
      </c>
      <c r="E5023" s="6" t="s">
        <v>5519</v>
      </c>
      <c r="F5023" s="9" t="s">
        <v>12725</v>
      </c>
    </row>
    <row r="5024" ht="33.75" customHeight="1">
      <c r="A5024" s="7">
        <v>171.0</v>
      </c>
      <c r="B5024" s="9" t="s">
        <v>10230</v>
      </c>
      <c r="C5024" s="9" t="s">
        <v>265</v>
      </c>
      <c r="D5024" s="9" t="s">
        <v>73</v>
      </c>
      <c r="E5024" s="6" t="s">
        <v>5521</v>
      </c>
      <c r="F5024" s="9" t="s">
        <v>12725</v>
      </c>
    </row>
    <row r="5025" ht="33.75" customHeight="1">
      <c r="A5025" s="7">
        <v>171.0</v>
      </c>
      <c r="B5025" s="9" t="s">
        <v>10230</v>
      </c>
      <c r="C5025" s="9" t="s">
        <v>265</v>
      </c>
      <c r="D5025" s="9" t="s">
        <v>75</v>
      </c>
      <c r="E5025" s="6" t="s">
        <v>5515</v>
      </c>
      <c r="F5025" s="9" t="s">
        <v>12725</v>
      </c>
    </row>
    <row r="5026" ht="33.75" customHeight="1">
      <c r="A5026" s="7">
        <v>171.0</v>
      </c>
      <c r="B5026" s="9" t="s">
        <v>10230</v>
      </c>
      <c r="C5026" s="9" t="s">
        <v>265</v>
      </c>
      <c r="D5026" s="9" t="s">
        <v>79</v>
      </c>
      <c r="E5026" s="6" t="s">
        <v>5522</v>
      </c>
      <c r="F5026" s="9" t="s">
        <v>12725</v>
      </c>
    </row>
    <row r="5027" ht="33.75" customHeight="1">
      <c r="A5027" s="7">
        <v>171.0</v>
      </c>
      <c r="B5027" s="9" t="s">
        <v>10230</v>
      </c>
      <c r="C5027" s="9" t="s">
        <v>265</v>
      </c>
      <c r="D5027" s="9" t="s">
        <v>81</v>
      </c>
      <c r="E5027" s="6" t="s">
        <v>5523</v>
      </c>
      <c r="F5027" s="9" t="s">
        <v>12725</v>
      </c>
    </row>
    <row r="5028" ht="33.75" customHeight="1">
      <c r="A5028" s="7">
        <v>171.0</v>
      </c>
      <c r="B5028" s="9" t="s">
        <v>10230</v>
      </c>
      <c r="C5028" s="9" t="s">
        <v>265</v>
      </c>
      <c r="D5028" s="9" t="s">
        <v>84</v>
      </c>
      <c r="E5028" s="6" t="s">
        <v>5523</v>
      </c>
      <c r="F5028" s="9" t="s">
        <v>12725</v>
      </c>
    </row>
    <row r="5029" ht="33.75" customHeight="1">
      <c r="A5029" s="7">
        <v>171.0</v>
      </c>
      <c r="B5029" s="9" t="s">
        <v>10230</v>
      </c>
      <c r="C5029" s="9" t="s">
        <v>265</v>
      </c>
      <c r="D5029" s="9" t="s">
        <v>87</v>
      </c>
      <c r="E5029" s="6" t="s">
        <v>5523</v>
      </c>
      <c r="F5029" s="9" t="s">
        <v>12725</v>
      </c>
    </row>
    <row r="5030" ht="33.75" customHeight="1">
      <c r="A5030" s="7">
        <v>171.0</v>
      </c>
      <c r="B5030" s="9" t="s">
        <v>10230</v>
      </c>
      <c r="C5030" s="9" t="s">
        <v>265</v>
      </c>
      <c r="D5030" s="9" t="s">
        <v>89</v>
      </c>
      <c r="E5030" s="6" t="s">
        <v>5522</v>
      </c>
      <c r="F5030" s="9" t="s">
        <v>12725</v>
      </c>
    </row>
    <row r="5031" ht="33.75" customHeight="1">
      <c r="A5031" s="7">
        <v>171.0</v>
      </c>
      <c r="B5031" s="9" t="s">
        <v>10230</v>
      </c>
      <c r="C5031" s="9" t="s">
        <v>265</v>
      </c>
      <c r="D5031" s="9" t="s">
        <v>91</v>
      </c>
      <c r="E5031" s="6" t="s">
        <v>5524</v>
      </c>
      <c r="F5031" s="9" t="s">
        <v>12725</v>
      </c>
    </row>
    <row r="5032" ht="33.75" customHeight="1">
      <c r="A5032" s="7">
        <v>171.0</v>
      </c>
      <c r="B5032" s="9" t="s">
        <v>10230</v>
      </c>
      <c r="C5032" s="9" t="s">
        <v>265</v>
      </c>
      <c r="D5032" s="9" t="s">
        <v>93</v>
      </c>
      <c r="E5032" s="6" t="s">
        <v>5526</v>
      </c>
      <c r="F5032" s="9" t="s">
        <v>12725</v>
      </c>
    </row>
    <row r="5033" ht="33.75" customHeight="1">
      <c r="A5033" s="7">
        <v>171.0</v>
      </c>
      <c r="B5033" s="9" t="s">
        <v>10230</v>
      </c>
      <c r="C5033" s="9" t="s">
        <v>265</v>
      </c>
      <c r="D5033" s="9" t="s">
        <v>95</v>
      </c>
      <c r="E5033" s="6" t="s">
        <v>5526</v>
      </c>
      <c r="F5033" s="9" t="s">
        <v>12725</v>
      </c>
    </row>
    <row r="5034" ht="33.75" customHeight="1">
      <c r="A5034" s="7">
        <v>171.0</v>
      </c>
      <c r="B5034" s="9" t="s">
        <v>10230</v>
      </c>
      <c r="C5034" s="9" t="s">
        <v>265</v>
      </c>
      <c r="D5034" s="9" t="s">
        <v>98</v>
      </c>
      <c r="E5034" s="6" t="s">
        <v>5526</v>
      </c>
      <c r="F5034" s="9" t="s">
        <v>12725</v>
      </c>
    </row>
    <row r="5035" ht="33.75" customHeight="1">
      <c r="A5035" s="7">
        <v>171.0</v>
      </c>
      <c r="B5035" s="9" t="s">
        <v>10230</v>
      </c>
      <c r="C5035" s="9" t="s">
        <v>265</v>
      </c>
      <c r="D5035" s="9" t="s">
        <v>99</v>
      </c>
      <c r="E5035" s="6" t="s">
        <v>5526</v>
      </c>
      <c r="F5035" s="9" t="s">
        <v>12725</v>
      </c>
    </row>
    <row r="5036" ht="33.75" customHeight="1">
      <c r="A5036" s="7">
        <v>171.0</v>
      </c>
      <c r="B5036" s="9" t="s">
        <v>10230</v>
      </c>
      <c r="C5036" s="9" t="s">
        <v>265</v>
      </c>
      <c r="D5036" s="9" t="s">
        <v>101</v>
      </c>
      <c r="E5036" s="6" t="s">
        <v>5526</v>
      </c>
      <c r="F5036" s="9" t="s">
        <v>12725</v>
      </c>
    </row>
    <row r="5037" ht="33.75" customHeight="1">
      <c r="A5037" s="7">
        <v>171.0</v>
      </c>
      <c r="B5037" s="9" t="s">
        <v>10230</v>
      </c>
      <c r="C5037" s="9" t="s">
        <v>265</v>
      </c>
      <c r="D5037" s="9" t="s">
        <v>105</v>
      </c>
      <c r="E5037" s="6" t="s">
        <v>5524</v>
      </c>
      <c r="F5037" s="9" t="s">
        <v>12725</v>
      </c>
    </row>
    <row r="5038" ht="33.75" customHeight="1">
      <c r="A5038" s="7">
        <v>171.0</v>
      </c>
      <c r="B5038" s="9" t="s">
        <v>10230</v>
      </c>
      <c r="C5038" s="9" t="s">
        <v>265</v>
      </c>
      <c r="D5038" s="9" t="s">
        <v>107</v>
      </c>
      <c r="E5038" s="6" t="s">
        <v>5527</v>
      </c>
      <c r="F5038" s="9" t="s">
        <v>12725</v>
      </c>
    </row>
    <row r="5039" ht="33.75" customHeight="1">
      <c r="A5039" s="7">
        <v>171.0</v>
      </c>
      <c r="B5039" s="9" t="s">
        <v>10230</v>
      </c>
      <c r="C5039" s="9" t="s">
        <v>265</v>
      </c>
      <c r="D5039" s="9" t="s">
        <v>109</v>
      </c>
      <c r="E5039" s="6" t="s">
        <v>5529</v>
      </c>
      <c r="F5039" s="9" t="s">
        <v>12725</v>
      </c>
    </row>
    <row r="5040" ht="33.75" customHeight="1">
      <c r="A5040" s="7">
        <v>171.0</v>
      </c>
      <c r="B5040" s="9" t="s">
        <v>10230</v>
      </c>
      <c r="C5040" s="9" t="s">
        <v>265</v>
      </c>
      <c r="D5040" s="9" t="s">
        <v>637</v>
      </c>
      <c r="E5040" s="6" t="s">
        <v>5530</v>
      </c>
      <c r="F5040" s="9" t="s">
        <v>12725</v>
      </c>
    </row>
    <row r="5041" ht="33.75" customHeight="1">
      <c r="A5041" s="7">
        <v>171.0</v>
      </c>
      <c r="B5041" s="9" t="s">
        <v>10230</v>
      </c>
      <c r="C5041" s="9" t="s">
        <v>265</v>
      </c>
      <c r="D5041" s="9" t="s">
        <v>642</v>
      </c>
      <c r="E5041" s="6" t="s">
        <v>5531</v>
      </c>
      <c r="F5041" s="9" t="s">
        <v>12725</v>
      </c>
    </row>
    <row r="5042" ht="33.75" customHeight="1">
      <c r="A5042" s="7">
        <v>171.0</v>
      </c>
      <c r="B5042" s="9" t="s">
        <v>10230</v>
      </c>
      <c r="C5042" s="9" t="s">
        <v>265</v>
      </c>
      <c r="D5042" s="9" t="s">
        <v>647</v>
      </c>
      <c r="E5042" s="6" t="s">
        <v>5533</v>
      </c>
      <c r="F5042" s="9" t="s">
        <v>12725</v>
      </c>
    </row>
    <row r="5043" ht="33.75" customHeight="1">
      <c r="A5043" s="7">
        <v>171.0</v>
      </c>
      <c r="B5043" s="9" t="s">
        <v>10230</v>
      </c>
      <c r="C5043" s="9" t="s">
        <v>265</v>
      </c>
      <c r="D5043" s="9" t="s">
        <v>652</v>
      </c>
      <c r="E5043" s="6" t="s">
        <v>5534</v>
      </c>
      <c r="F5043" s="9" t="s">
        <v>12725</v>
      </c>
    </row>
    <row r="5044" ht="33.75" customHeight="1">
      <c r="A5044" s="7">
        <v>171.0</v>
      </c>
      <c r="B5044" s="9" t="s">
        <v>10230</v>
      </c>
      <c r="C5044" s="9" t="s">
        <v>265</v>
      </c>
      <c r="D5044" s="9" t="s">
        <v>114</v>
      </c>
      <c r="E5044" s="6" t="s">
        <v>5522</v>
      </c>
      <c r="F5044" s="9" t="s">
        <v>12725</v>
      </c>
    </row>
    <row r="5045" ht="33.75" customHeight="1">
      <c r="A5045" s="7">
        <v>171.0</v>
      </c>
      <c r="B5045" s="9" t="s">
        <v>10230</v>
      </c>
      <c r="C5045" s="9" t="s">
        <v>265</v>
      </c>
      <c r="D5045" s="9" t="s">
        <v>117</v>
      </c>
      <c r="E5045" s="6" t="s">
        <v>5531</v>
      </c>
      <c r="F5045" s="9" t="s">
        <v>12725</v>
      </c>
    </row>
    <row r="5046" ht="33.75" customHeight="1">
      <c r="A5046" s="7">
        <v>172.0</v>
      </c>
      <c r="B5046" s="9" t="s">
        <v>10279</v>
      </c>
      <c r="C5046" s="9" t="s">
        <v>268</v>
      </c>
      <c r="D5046" s="9" t="s">
        <v>52</v>
      </c>
      <c r="E5046" s="6" t="s">
        <v>5535</v>
      </c>
      <c r="F5046" s="9" t="s">
        <v>12782</v>
      </c>
      <c r="G5046" t="inlineStr" s="6">
        <is>
          <t xml:space="preserve">Pichu is not yet skilled at storing electricity. It may send out a jolt if amused or startled. Despite its small size, it can zap even adult humans. However, if it does so, it also surprises itself. It is unskilled at storing electric power. Any kind of shock causes it to discharge energy spontaneously. PICHU charges itself with electricity more easily on days with thunderclouds or when the air is very dry. You can hear the crackling of static electricity coming off this POKéMON. When PICHU plays with others, it may short out electricity with another PICHU, creating a shower of sparks. In that event, this POKéMON will begin crying, startled by the flash of sparks. It is still inept at retaining electricity. When it is startled, it discharges power accidentally. It gets better at holding power as it grows older. The electric pouches on its cheeks are still small. They cannot store much electricity yet. It plays with others by touching tails and setting off sparks. This appears to be a test of courage. The electric sacs in its cheeks are small. If even a little electricity leaks, it becomes shocked. It is not yet skilled at controlling electricity. If you take your eyes off it, it may shock itself. Despite this Pokémon’s cute appearance, those who want to live with one should prepare to be on the receiving end of its electric jolts. It still can’t use electricity well. When it’s surprised or excited, it discharges electricity unintentionally. It has electric sacs in its cheeks. When they’re fully charged, Pichu plays very energetically. Pichu stores electricity in the sacs on its cheeks but discharges it inadvertently when agitated or excited. Being yet immature, the Pokémon's handling of electricity is rather inept.</t>
        </is>
      </c>
    </row>
    <row r="5047" ht="33.75" customHeight="1">
      <c r="A5047" s="7">
        <v>172.0</v>
      </c>
      <c r="B5047" s="9" t="s">
        <v>10279</v>
      </c>
      <c r="C5047" s="9" t="s">
        <v>268</v>
      </c>
      <c r="D5047" s="9" t="s">
        <v>59</v>
      </c>
      <c r="E5047" s="6" t="s">
        <v>5537</v>
      </c>
      <c r="F5047" s="9" t="s">
        <v>12782</v>
      </c>
    </row>
    <row r="5048" ht="33.75" customHeight="1">
      <c r="A5048" s="7">
        <v>172.0</v>
      </c>
      <c r="B5048" s="9" t="s">
        <v>10279</v>
      </c>
      <c r="C5048" s="9" t="s">
        <v>268</v>
      </c>
      <c r="D5048" s="9" t="s">
        <v>64</v>
      </c>
      <c r="E5048" s="6" t="s">
        <v>5538</v>
      </c>
      <c r="F5048" s="9" t="s">
        <v>12782</v>
      </c>
    </row>
    <row r="5049" ht="33.75" customHeight="1">
      <c r="A5049" s="7">
        <v>172.0</v>
      </c>
      <c r="B5049" s="9" t="s">
        <v>10279</v>
      </c>
      <c r="C5049" s="9" t="s">
        <v>268</v>
      </c>
      <c r="D5049" s="9" t="s">
        <v>67</v>
      </c>
      <c r="E5049" s="6" t="s">
        <v>5539</v>
      </c>
      <c r="F5049" s="9" t="s">
        <v>12782</v>
      </c>
    </row>
    <row r="5050" ht="33.75" customHeight="1">
      <c r="A5050" s="7">
        <v>172.0</v>
      </c>
      <c r="B5050" s="9" t="s">
        <v>10279</v>
      </c>
      <c r="C5050" s="9" t="s">
        <v>268</v>
      </c>
      <c r="D5050" s="9" t="s">
        <v>71</v>
      </c>
      <c r="E5050" s="6" t="s">
        <v>5541</v>
      </c>
      <c r="F5050" s="9" t="s">
        <v>12782</v>
      </c>
    </row>
    <row r="5051" ht="33.75" customHeight="1">
      <c r="A5051" s="7">
        <v>172.0</v>
      </c>
      <c r="B5051" s="9" t="s">
        <v>10279</v>
      </c>
      <c r="C5051" s="9" t="s">
        <v>268</v>
      </c>
      <c r="D5051" s="9" t="s">
        <v>73</v>
      </c>
      <c r="E5051" s="6" t="s">
        <v>5542</v>
      </c>
      <c r="F5051" s="9" t="s">
        <v>12782</v>
      </c>
    </row>
    <row r="5052" ht="33.75" customHeight="1">
      <c r="A5052" s="7">
        <v>172.0</v>
      </c>
      <c r="B5052" s="9" t="s">
        <v>10279</v>
      </c>
      <c r="C5052" s="9" t="s">
        <v>268</v>
      </c>
      <c r="D5052" s="9" t="s">
        <v>75</v>
      </c>
      <c r="E5052" s="6" t="s">
        <v>5537</v>
      </c>
      <c r="F5052" s="9" t="s">
        <v>12782</v>
      </c>
    </row>
    <row r="5053" ht="33.75" customHeight="1">
      <c r="A5053" s="7">
        <v>172.0</v>
      </c>
      <c r="B5053" s="9" t="s">
        <v>10279</v>
      </c>
      <c r="C5053" s="9" t="s">
        <v>268</v>
      </c>
      <c r="D5053" s="9" t="s">
        <v>79</v>
      </c>
      <c r="E5053" s="6" t="s">
        <v>5535</v>
      </c>
      <c r="F5053" s="9" t="s">
        <v>12782</v>
      </c>
    </row>
    <row r="5054" ht="33.75" customHeight="1">
      <c r="A5054" s="7">
        <v>172.0</v>
      </c>
      <c r="B5054" s="9" t="s">
        <v>10279</v>
      </c>
      <c r="C5054" s="9" t="s">
        <v>268</v>
      </c>
      <c r="D5054" s="9" t="s">
        <v>81</v>
      </c>
      <c r="E5054" s="6" t="s">
        <v>5544</v>
      </c>
      <c r="F5054" s="9" t="s">
        <v>12782</v>
      </c>
    </row>
    <row r="5055" ht="33.75" customHeight="1">
      <c r="A5055" s="7">
        <v>172.0</v>
      </c>
      <c r="B5055" s="9" t="s">
        <v>10279</v>
      </c>
      <c r="C5055" s="9" t="s">
        <v>268</v>
      </c>
      <c r="D5055" s="9" t="s">
        <v>84</v>
      </c>
      <c r="E5055" s="6" t="s">
        <v>5545</v>
      </c>
      <c r="F5055" s="9" t="s">
        <v>12782</v>
      </c>
    </row>
    <row r="5056" ht="33.75" customHeight="1">
      <c r="A5056" s="7">
        <v>172.0</v>
      </c>
      <c r="B5056" s="9" t="s">
        <v>10279</v>
      </c>
      <c r="C5056" s="9" t="s">
        <v>268</v>
      </c>
      <c r="D5056" s="9" t="s">
        <v>87</v>
      </c>
      <c r="E5056" s="6" t="s">
        <v>5547</v>
      </c>
      <c r="F5056" s="9" t="s">
        <v>12782</v>
      </c>
    </row>
    <row r="5057" ht="33.75" customHeight="1">
      <c r="A5057" s="7">
        <v>172.0</v>
      </c>
      <c r="B5057" s="9" t="s">
        <v>10279</v>
      </c>
      <c r="C5057" s="9" t="s">
        <v>268</v>
      </c>
      <c r="D5057" s="9" t="s">
        <v>89</v>
      </c>
      <c r="E5057" s="6" t="s">
        <v>5535</v>
      </c>
      <c r="F5057" s="9" t="s">
        <v>12782</v>
      </c>
    </row>
    <row r="5058" ht="33.75" customHeight="1">
      <c r="A5058" s="7">
        <v>172.0</v>
      </c>
      <c r="B5058" s="9" t="s">
        <v>10279</v>
      </c>
      <c r="C5058" s="9" t="s">
        <v>268</v>
      </c>
      <c r="D5058" s="9" t="s">
        <v>91</v>
      </c>
      <c r="E5058" s="6" t="s">
        <v>5537</v>
      </c>
      <c r="F5058" s="9" t="s">
        <v>12782</v>
      </c>
    </row>
    <row r="5059" ht="33.75" customHeight="1">
      <c r="A5059" s="7">
        <v>172.0</v>
      </c>
      <c r="B5059" s="9" t="s">
        <v>10279</v>
      </c>
      <c r="C5059" s="9" t="s">
        <v>268</v>
      </c>
      <c r="D5059" s="9" t="s">
        <v>93</v>
      </c>
      <c r="E5059" s="6" t="s">
        <v>5547</v>
      </c>
      <c r="F5059" s="9" t="s">
        <v>12782</v>
      </c>
    </row>
    <row r="5060" ht="33.75" customHeight="1">
      <c r="A5060" s="7">
        <v>172.0</v>
      </c>
      <c r="B5060" s="9" t="s">
        <v>10279</v>
      </c>
      <c r="C5060" s="9" t="s">
        <v>268</v>
      </c>
      <c r="D5060" s="9" t="s">
        <v>95</v>
      </c>
      <c r="E5060" s="6" t="s">
        <v>5547</v>
      </c>
      <c r="F5060" s="9" t="s">
        <v>12782</v>
      </c>
    </row>
    <row r="5061" ht="33.75" customHeight="1">
      <c r="A5061" s="7">
        <v>172.0</v>
      </c>
      <c r="B5061" s="9" t="s">
        <v>10279</v>
      </c>
      <c r="C5061" s="9" t="s">
        <v>268</v>
      </c>
      <c r="D5061" s="9" t="s">
        <v>98</v>
      </c>
      <c r="E5061" s="6" t="s">
        <v>5547</v>
      </c>
      <c r="F5061" s="9" t="s">
        <v>12782</v>
      </c>
    </row>
    <row r="5062" ht="33.75" customHeight="1">
      <c r="A5062" s="7">
        <v>172.0</v>
      </c>
      <c r="B5062" s="9" t="s">
        <v>10279</v>
      </c>
      <c r="C5062" s="9" t="s">
        <v>268</v>
      </c>
      <c r="D5062" s="9" t="s">
        <v>99</v>
      </c>
      <c r="E5062" s="6" t="s">
        <v>5547</v>
      </c>
      <c r="F5062" s="9" t="s">
        <v>12782</v>
      </c>
    </row>
    <row r="5063" ht="33.75" customHeight="1">
      <c r="A5063" s="7">
        <v>172.0</v>
      </c>
      <c r="B5063" s="9" t="s">
        <v>10279</v>
      </c>
      <c r="C5063" s="9" t="s">
        <v>268</v>
      </c>
      <c r="D5063" s="9" t="s">
        <v>101</v>
      </c>
      <c r="E5063" s="6" t="s">
        <v>5545</v>
      </c>
      <c r="F5063" s="9" t="s">
        <v>12782</v>
      </c>
    </row>
    <row r="5064" ht="33.75" customHeight="1">
      <c r="A5064" s="7">
        <v>172.0</v>
      </c>
      <c r="B5064" s="9" t="s">
        <v>10279</v>
      </c>
      <c r="C5064" s="9" t="s">
        <v>268</v>
      </c>
      <c r="D5064" s="9" t="s">
        <v>105</v>
      </c>
      <c r="E5064" s="6" t="s">
        <v>5535</v>
      </c>
      <c r="F5064" s="9" t="s">
        <v>12782</v>
      </c>
    </row>
    <row r="5065" ht="33.75" customHeight="1">
      <c r="A5065" s="7">
        <v>172.0</v>
      </c>
      <c r="B5065" s="9" t="s">
        <v>10279</v>
      </c>
      <c r="C5065" s="9" t="s">
        <v>268</v>
      </c>
      <c r="D5065" s="9" t="s">
        <v>107</v>
      </c>
      <c r="E5065" s="6" t="s">
        <v>5548</v>
      </c>
      <c r="F5065" s="9" t="s">
        <v>12782</v>
      </c>
    </row>
    <row r="5066" ht="33.75" customHeight="1">
      <c r="A5066" s="7">
        <v>172.0</v>
      </c>
      <c r="B5066" s="9" t="s">
        <v>10279</v>
      </c>
      <c r="C5066" s="9" t="s">
        <v>268</v>
      </c>
      <c r="D5066" s="9" t="s">
        <v>109</v>
      </c>
      <c r="E5066" s="6" t="s">
        <v>5550</v>
      </c>
      <c r="F5066" s="9" t="s">
        <v>12782</v>
      </c>
    </row>
    <row r="5067" ht="33.75" customHeight="1">
      <c r="A5067" s="7">
        <v>172.0</v>
      </c>
      <c r="B5067" s="9" t="s">
        <v>10279</v>
      </c>
      <c r="C5067" s="9" t="s">
        <v>268</v>
      </c>
      <c r="D5067" s="9" t="s">
        <v>637</v>
      </c>
      <c r="E5067" s="6" t="s">
        <v>5551</v>
      </c>
      <c r="F5067" s="9" t="s">
        <v>12782</v>
      </c>
    </row>
    <row r="5068" ht="33.75" customHeight="1">
      <c r="A5068" s="7">
        <v>172.0</v>
      </c>
      <c r="B5068" s="9" t="s">
        <v>10279</v>
      </c>
      <c r="C5068" s="9" t="s">
        <v>268</v>
      </c>
      <c r="D5068" s="9" t="s">
        <v>642</v>
      </c>
      <c r="E5068" s="6" t="s">
        <v>5553</v>
      </c>
      <c r="F5068" s="9" t="s">
        <v>12782</v>
      </c>
    </row>
    <row r="5069" ht="33.75" customHeight="1">
      <c r="A5069" s="7">
        <v>172.0</v>
      </c>
      <c r="B5069" s="9" t="s">
        <v>10279</v>
      </c>
      <c r="C5069" s="9" t="s">
        <v>268</v>
      </c>
      <c r="D5069" s="9" t="s">
        <v>647</v>
      </c>
      <c r="E5069" s="6" t="s">
        <v>5554</v>
      </c>
      <c r="F5069" s="9" t="s">
        <v>12782</v>
      </c>
    </row>
    <row r="5070" ht="33.75" customHeight="1">
      <c r="A5070" s="7">
        <v>172.0</v>
      </c>
      <c r="B5070" s="9" t="s">
        <v>10279</v>
      </c>
      <c r="C5070" s="9" t="s">
        <v>268</v>
      </c>
      <c r="D5070" s="9" t="s">
        <v>652</v>
      </c>
      <c r="E5070" s="6" t="s">
        <v>5555</v>
      </c>
      <c r="F5070" s="9" t="s">
        <v>12782</v>
      </c>
    </row>
    <row r="5071" ht="33.75" customHeight="1">
      <c r="A5071" s="7">
        <v>172.0</v>
      </c>
      <c r="B5071" s="9" t="s">
        <v>10279</v>
      </c>
      <c r="C5071" s="9" t="s">
        <v>268</v>
      </c>
      <c r="D5071" s="9" t="s">
        <v>114</v>
      </c>
      <c r="E5071" s="6" t="s">
        <v>5537</v>
      </c>
      <c r="F5071" s="9" t="s">
        <v>12782</v>
      </c>
    </row>
    <row r="5072" ht="33.75" customHeight="1">
      <c r="A5072" s="7">
        <v>172.0</v>
      </c>
      <c r="B5072" s="9" t="s">
        <v>10279</v>
      </c>
      <c r="C5072" s="9" t="s">
        <v>268</v>
      </c>
      <c r="D5072" s="9" t="s">
        <v>117</v>
      </c>
      <c r="E5072" s="6" t="s">
        <v>5547</v>
      </c>
      <c r="F5072" s="9" t="s">
        <v>12782</v>
      </c>
    </row>
    <row r="5073" ht="33.75" customHeight="1">
      <c r="A5073" s="7">
        <v>172.0</v>
      </c>
      <c r="B5073" s="9" t="s">
        <v>10279</v>
      </c>
      <c r="C5073" s="9" t="s">
        <v>268</v>
      </c>
      <c r="D5073" s="9" t="s">
        <v>1577</v>
      </c>
      <c r="E5073" s="6" t="s">
        <v>5557</v>
      </c>
      <c r="F5073" s="9" t="s">
        <v>12782</v>
      </c>
    </row>
    <row r="5074" ht="33.75" customHeight="1">
      <c r="A5074" s="7">
        <v>173.0</v>
      </c>
      <c r="B5074" s="9" t="s">
        <v>10339</v>
      </c>
      <c r="C5074" s="9" t="s">
        <v>200</v>
      </c>
      <c r="D5074" s="9" t="s">
        <v>52</v>
      </c>
      <c r="E5074" s="6" t="s">
        <v>5559</v>
      </c>
      <c r="F5074" s="9" t="s">
        <v>12850</v>
      </c>
      <c r="G5074" t="inlineStr" s="6">
        <is>
          <t xml:space="preserve">Because of Cleffa's unusual, star-like silhouette, people believe that it came here on a meteor. When numerous meteors illuminate the night sky, sightings of CLEFFA strangely increase. If the impact site of a meteorite is found, this POKéMON is certain to be within the immediate area. On nights with many shooting stars, CLEFFA can be seen dancing in a ring. They dance through the night and stop only at the break of day, when these POKéMON quench their thirst with the morning dew. They dance until daybreak, when they quench their thirst with the morning dew. Because of its unusual, starlike silhouette, people believe that it came here on a meteor. Its silhouette is like a star. It is believed to arrive riding on shooting stars. Many appear when the night skies are filled with shooting stars. They disappear with sunrise. It is often seen when shooting stars fill the night skies. It’s said to arrive riding on a shooting star. According to local rumors, Cleffa are often seen in places where shooting stars have fallen. On late nights illuminated by shooting stars, it gazes intently skyward, as if thinking of its home. Because of its silhouette, it’s believed to be a star reborn. For some reason, it loves Minior. On nights with many shooting stars, they gather in packs and dance in circles. If you should see them, something good will happen! Said to have ridden here on a shooting star, Cleffa seem to appear in places where meteorites have struck in the past. In silhouette, they resemble twinkling starlight. When shooting stars rain from the night sky, Cleffa gather in numbers and dance as though they are indeed incarnations of the stars.</t>
        </is>
      </c>
    </row>
    <row r="5075" ht="33.75" customHeight="1">
      <c r="A5075" s="7">
        <v>173.0</v>
      </c>
      <c r="B5075" s="9" t="s">
        <v>10339</v>
      </c>
      <c r="C5075" s="9" t="s">
        <v>200</v>
      </c>
      <c r="D5075" s="9" t="s">
        <v>59</v>
      </c>
      <c r="E5075" s="6" t="s">
        <v>5560</v>
      </c>
      <c r="F5075" s="9" t="s">
        <v>12850</v>
      </c>
    </row>
    <row r="5076" ht="33.75" customHeight="1">
      <c r="A5076" s="7">
        <v>173.0</v>
      </c>
      <c r="B5076" s="9" t="s">
        <v>10339</v>
      </c>
      <c r="C5076" s="9" t="s">
        <v>200</v>
      </c>
      <c r="D5076" s="9" t="s">
        <v>64</v>
      </c>
      <c r="E5076" s="6" t="s">
        <v>5561</v>
      </c>
      <c r="F5076" s="9" t="s">
        <v>12850</v>
      </c>
    </row>
    <row r="5077" ht="33.75" customHeight="1">
      <c r="A5077" s="7">
        <v>173.0</v>
      </c>
      <c r="B5077" s="9" t="s">
        <v>10339</v>
      </c>
      <c r="C5077" s="9" t="s">
        <v>200</v>
      </c>
      <c r="D5077" s="9" t="s">
        <v>67</v>
      </c>
      <c r="E5077" s="6" t="s">
        <v>5562</v>
      </c>
      <c r="F5077" s="9" t="s">
        <v>12850</v>
      </c>
    </row>
    <row r="5078" ht="33.75" customHeight="1">
      <c r="A5078" s="7">
        <v>173.0</v>
      </c>
      <c r="B5078" s="9" t="s">
        <v>10339</v>
      </c>
      <c r="C5078" s="9" t="s">
        <v>200</v>
      </c>
      <c r="D5078" s="9" t="s">
        <v>71</v>
      </c>
      <c r="E5078" s="6" t="s">
        <v>5562</v>
      </c>
      <c r="F5078" s="9" t="s">
        <v>12850</v>
      </c>
    </row>
    <row r="5079" ht="33.75" customHeight="1">
      <c r="A5079" s="7">
        <v>173.0</v>
      </c>
      <c r="B5079" s="9" t="s">
        <v>10339</v>
      </c>
      <c r="C5079" s="9" t="s">
        <v>200</v>
      </c>
      <c r="D5079" s="9" t="s">
        <v>73</v>
      </c>
      <c r="E5079" s="6" t="s">
        <v>5563</v>
      </c>
      <c r="F5079" s="9" t="s">
        <v>12850</v>
      </c>
    </row>
    <row r="5080" ht="33.75" customHeight="1">
      <c r="A5080" s="7">
        <v>173.0</v>
      </c>
      <c r="B5080" s="9" t="s">
        <v>10339</v>
      </c>
      <c r="C5080" s="9" t="s">
        <v>200</v>
      </c>
      <c r="D5080" s="9" t="s">
        <v>75</v>
      </c>
      <c r="E5080" s="6" t="s">
        <v>5565</v>
      </c>
      <c r="F5080" s="9" t="s">
        <v>12850</v>
      </c>
    </row>
    <row r="5081" ht="33.75" customHeight="1">
      <c r="A5081" s="7">
        <v>173.0</v>
      </c>
      <c r="B5081" s="9" t="s">
        <v>10339</v>
      </c>
      <c r="C5081" s="9" t="s">
        <v>200</v>
      </c>
      <c r="D5081" s="9" t="s">
        <v>79</v>
      </c>
      <c r="E5081" s="6" t="s">
        <v>5566</v>
      </c>
      <c r="F5081" s="9" t="s">
        <v>12850</v>
      </c>
    </row>
    <row r="5082" ht="33.75" customHeight="1">
      <c r="A5082" s="7">
        <v>173.0</v>
      </c>
      <c r="B5082" s="9" t="s">
        <v>10339</v>
      </c>
      <c r="C5082" s="9" t="s">
        <v>200</v>
      </c>
      <c r="D5082" s="9" t="s">
        <v>81</v>
      </c>
      <c r="E5082" s="6" t="s">
        <v>5567</v>
      </c>
      <c r="F5082" s="9" t="s">
        <v>12850</v>
      </c>
    </row>
    <row r="5083" ht="33.75" customHeight="1">
      <c r="A5083" s="7">
        <v>173.0</v>
      </c>
      <c r="B5083" s="9" t="s">
        <v>10339</v>
      </c>
      <c r="C5083" s="9" t="s">
        <v>200</v>
      </c>
      <c r="D5083" s="9" t="s">
        <v>84</v>
      </c>
      <c r="E5083" s="6" t="s">
        <v>5568</v>
      </c>
      <c r="F5083" s="9" t="s">
        <v>12850</v>
      </c>
    </row>
    <row r="5084" ht="33.75" customHeight="1">
      <c r="A5084" s="7">
        <v>173.0</v>
      </c>
      <c r="B5084" s="9" t="s">
        <v>10339</v>
      </c>
      <c r="C5084" s="9" t="s">
        <v>200</v>
      </c>
      <c r="D5084" s="9" t="s">
        <v>87</v>
      </c>
      <c r="E5084" s="6" t="s">
        <v>5569</v>
      </c>
      <c r="F5084" s="9" t="s">
        <v>12850</v>
      </c>
    </row>
    <row r="5085" ht="33.75" customHeight="1">
      <c r="A5085" s="7">
        <v>173.0</v>
      </c>
      <c r="B5085" s="9" t="s">
        <v>10339</v>
      </c>
      <c r="C5085" s="9" t="s">
        <v>200</v>
      </c>
      <c r="D5085" s="9" t="s">
        <v>89</v>
      </c>
      <c r="E5085" s="6" t="s">
        <v>5566</v>
      </c>
      <c r="F5085" s="9" t="s">
        <v>12850</v>
      </c>
    </row>
    <row r="5086" ht="33.75" customHeight="1">
      <c r="A5086" s="7">
        <v>173.0</v>
      </c>
      <c r="B5086" s="9" t="s">
        <v>10339</v>
      </c>
      <c r="C5086" s="9" t="s">
        <v>200</v>
      </c>
      <c r="D5086" s="9" t="s">
        <v>91</v>
      </c>
      <c r="E5086" s="6" t="s">
        <v>5565</v>
      </c>
      <c r="F5086" s="9" t="s">
        <v>12850</v>
      </c>
    </row>
    <row r="5087" ht="33.75" customHeight="1">
      <c r="A5087" s="7">
        <v>173.0</v>
      </c>
      <c r="B5087" s="9" t="s">
        <v>10339</v>
      </c>
      <c r="C5087" s="9" t="s">
        <v>200</v>
      </c>
      <c r="D5087" s="9" t="s">
        <v>93</v>
      </c>
      <c r="E5087" s="6" t="s">
        <v>5569</v>
      </c>
      <c r="F5087" s="9" t="s">
        <v>12850</v>
      </c>
    </row>
    <row r="5088" ht="33.75" customHeight="1">
      <c r="A5088" s="7">
        <v>173.0</v>
      </c>
      <c r="B5088" s="9" t="s">
        <v>10339</v>
      </c>
      <c r="C5088" s="9" t="s">
        <v>200</v>
      </c>
      <c r="D5088" s="9" t="s">
        <v>95</v>
      </c>
      <c r="E5088" s="6" t="s">
        <v>5569</v>
      </c>
      <c r="F5088" s="9" t="s">
        <v>12850</v>
      </c>
    </row>
    <row r="5089" ht="33.75" customHeight="1">
      <c r="A5089" s="7">
        <v>173.0</v>
      </c>
      <c r="B5089" s="9" t="s">
        <v>10339</v>
      </c>
      <c r="C5089" s="9" t="s">
        <v>200</v>
      </c>
      <c r="D5089" s="9" t="s">
        <v>98</v>
      </c>
      <c r="E5089" s="6" t="s">
        <v>5570</v>
      </c>
      <c r="F5089" s="9" t="s">
        <v>12850</v>
      </c>
    </row>
    <row r="5090" ht="33.75" customHeight="1">
      <c r="A5090" s="7">
        <v>173.0</v>
      </c>
      <c r="B5090" s="9" t="s">
        <v>10339</v>
      </c>
      <c r="C5090" s="9" t="s">
        <v>200</v>
      </c>
      <c r="D5090" s="9" t="s">
        <v>99</v>
      </c>
      <c r="E5090" s="6" t="s">
        <v>5570</v>
      </c>
      <c r="F5090" s="9" t="s">
        <v>12850</v>
      </c>
    </row>
    <row r="5091" ht="33.75" customHeight="1">
      <c r="A5091" s="7">
        <v>173.0</v>
      </c>
      <c r="B5091" s="9" t="s">
        <v>10339</v>
      </c>
      <c r="C5091" s="9" t="s">
        <v>200</v>
      </c>
      <c r="D5091" s="9" t="s">
        <v>101</v>
      </c>
      <c r="E5091" s="6" t="s">
        <v>5566</v>
      </c>
      <c r="F5091" s="9" t="s">
        <v>12850</v>
      </c>
    </row>
    <row r="5092" ht="33.75" customHeight="1">
      <c r="A5092" s="7">
        <v>173.0</v>
      </c>
      <c r="B5092" s="9" t="s">
        <v>10339</v>
      </c>
      <c r="C5092" s="9" t="s">
        <v>200</v>
      </c>
      <c r="D5092" s="9" t="s">
        <v>105</v>
      </c>
      <c r="E5092" s="6" t="s">
        <v>5568</v>
      </c>
      <c r="F5092" s="9" t="s">
        <v>12850</v>
      </c>
    </row>
    <row r="5093" ht="33.75" customHeight="1">
      <c r="A5093" s="7">
        <v>173.0</v>
      </c>
      <c r="B5093" s="9" t="s">
        <v>10339</v>
      </c>
      <c r="C5093" s="9" t="s">
        <v>200</v>
      </c>
      <c r="D5093" s="9" t="s">
        <v>107</v>
      </c>
      <c r="E5093" s="6" t="s">
        <v>5571</v>
      </c>
      <c r="F5093" s="9" t="s">
        <v>12850</v>
      </c>
    </row>
    <row r="5094" ht="33.75" customHeight="1">
      <c r="A5094" s="7">
        <v>173.0</v>
      </c>
      <c r="B5094" s="9" t="s">
        <v>10339</v>
      </c>
      <c r="C5094" s="9" t="s">
        <v>200</v>
      </c>
      <c r="D5094" s="9" t="s">
        <v>109</v>
      </c>
      <c r="E5094" s="6" t="s">
        <v>5571</v>
      </c>
      <c r="F5094" s="9" t="s">
        <v>12850</v>
      </c>
    </row>
    <row r="5095" ht="33.75" customHeight="1">
      <c r="A5095" s="7">
        <v>173.0</v>
      </c>
      <c r="B5095" s="9" t="s">
        <v>10339</v>
      </c>
      <c r="C5095" s="9" t="s">
        <v>200</v>
      </c>
      <c r="D5095" s="9" t="s">
        <v>637</v>
      </c>
      <c r="E5095" s="6" t="s">
        <v>5573</v>
      </c>
      <c r="F5095" s="9" t="s">
        <v>12850</v>
      </c>
    </row>
    <row r="5096" ht="33.75" customHeight="1">
      <c r="A5096" s="7">
        <v>173.0</v>
      </c>
      <c r="B5096" s="9" t="s">
        <v>10339</v>
      </c>
      <c r="C5096" s="9" t="s">
        <v>200</v>
      </c>
      <c r="D5096" s="9" t="s">
        <v>642</v>
      </c>
      <c r="E5096" s="6" t="s">
        <v>5575</v>
      </c>
      <c r="F5096" s="9" t="s">
        <v>12850</v>
      </c>
    </row>
    <row r="5097" ht="33.75" customHeight="1">
      <c r="A5097" s="7">
        <v>173.0</v>
      </c>
      <c r="B5097" s="9" t="s">
        <v>10339</v>
      </c>
      <c r="C5097" s="9" t="s">
        <v>200</v>
      </c>
      <c r="D5097" s="9" t="s">
        <v>647</v>
      </c>
      <c r="E5097" s="6" t="s">
        <v>5576</v>
      </c>
      <c r="F5097" s="9" t="s">
        <v>12850</v>
      </c>
    </row>
    <row r="5098" ht="33.75" customHeight="1">
      <c r="A5098" s="7">
        <v>173.0</v>
      </c>
      <c r="B5098" s="9" t="s">
        <v>10339</v>
      </c>
      <c r="C5098" s="9" t="s">
        <v>200</v>
      </c>
      <c r="D5098" s="9" t="s">
        <v>652</v>
      </c>
      <c r="E5098" s="6" t="s">
        <v>5578</v>
      </c>
      <c r="F5098" s="9" t="s">
        <v>12850</v>
      </c>
    </row>
    <row r="5099" ht="33.75" customHeight="1">
      <c r="A5099" s="7">
        <v>173.0</v>
      </c>
      <c r="B5099" s="9" t="s">
        <v>10339</v>
      </c>
      <c r="C5099" s="9" t="s">
        <v>200</v>
      </c>
      <c r="D5099" s="9" t="s">
        <v>114</v>
      </c>
      <c r="E5099" s="6" t="s">
        <v>5570</v>
      </c>
      <c r="F5099" s="9" t="s">
        <v>12850</v>
      </c>
    </row>
    <row r="5100" ht="33.75" customHeight="1">
      <c r="A5100" s="7">
        <v>173.0</v>
      </c>
      <c r="B5100" s="9" t="s">
        <v>10339</v>
      </c>
      <c r="C5100" s="9" t="s">
        <v>200</v>
      </c>
      <c r="D5100" s="9" t="s">
        <v>117</v>
      </c>
      <c r="E5100" s="6" t="s">
        <v>5566</v>
      </c>
      <c r="F5100" s="9" t="s">
        <v>12850</v>
      </c>
    </row>
    <row r="5101" ht="33.75" customHeight="1">
      <c r="A5101" s="7">
        <v>173.0</v>
      </c>
      <c r="B5101" s="9" t="s">
        <v>10339</v>
      </c>
      <c r="C5101" s="9" t="s">
        <v>200</v>
      </c>
      <c r="D5101" s="9" t="s">
        <v>1577</v>
      </c>
      <c r="E5101" s="6" t="s">
        <v>5580</v>
      </c>
      <c r="F5101" s="9" t="s">
        <v>12850</v>
      </c>
    </row>
    <row r="5102" ht="33.75" customHeight="1">
      <c r="A5102" s="7">
        <v>174.0</v>
      </c>
      <c r="B5102" s="9" t="s">
        <v>10405</v>
      </c>
      <c r="C5102" s="9" t="s">
        <v>110</v>
      </c>
      <c r="D5102" s="9" t="s">
        <v>52</v>
      </c>
      <c r="E5102" s="6" t="s">
        <v>5583</v>
      </c>
      <c r="F5102" s="9" t="s">
        <v>12894</v>
      </c>
      <c r="G5102" t="inlineStr" s="6">
        <is>
          <t xml:space="preserve">Igglybuff has a very soft body. If it starts to roll, it will bounce all over and be impossible to stop. Its extremely flexible and elastic body makes it bounce continuous ly--anytime, any where. Instead of walking with its short legs, it moves around by bouncing on its soft, tender body. IGGLYBUFF’s vocal chords are not sufficiently developed. It would hurt its throat if it were to sing too much. This POKéMON gargles with freshwater from a clean stream. IGGLYBUFF has a soft and plushy body that feels very much like a marshmallow. From this body wafts a gently sweet fragrance that soothes and calms the emotions of its foes. Its soft and pliable body is very bouncy. When it sings continuously with all its might, its body steadily turns a deepening pink color. Its extremely flexible and elastic body makes it bounce continuously--anytime, anywhere. It has a soft and bouncy body. Once it starts bouncing, it becomes impossible to stop. Its body has a faintly sweet scent and is bouncy and soft. If it bounces even once, it cannot stop. Igglybuff’s vocal cords are not sufficiently developed. It likes to sing but is not yet good at it. With praise and encouragement, it will get better little by little. It moves by bouncing along. As it moves a lot, it sweats, and its body gives off a sweet aroma. It’s always practicing its singing because it wants to improve. Even when it’s asleep, it keeps singing in its dreams! Left to its own devices, it will constantly practice singing. You should make it take a break so it doesn’t hurt its throat. Igglybuff loves to sing. Its marshmallow-like body gives off a faint sweet smell. Taking advantage of the softness of its body, Igglybuff moves as if bouncing. Its body turns a deep pink when its temperature rises.</t>
        </is>
      </c>
    </row>
    <row r="5103" ht="33.75" customHeight="1">
      <c r="A5103" s="7">
        <v>174.0</v>
      </c>
      <c r="B5103" s="9" t="s">
        <v>10405</v>
      </c>
      <c r="C5103" s="9" t="s">
        <v>110</v>
      </c>
      <c r="D5103" s="9" t="s">
        <v>59</v>
      </c>
      <c r="E5103" s="6" t="s">
        <v>5585</v>
      </c>
      <c r="F5103" s="9" t="s">
        <v>12894</v>
      </c>
    </row>
    <row r="5104" ht="33.75" customHeight="1">
      <c r="A5104" s="7">
        <v>174.0</v>
      </c>
      <c r="B5104" s="9" t="s">
        <v>10405</v>
      </c>
      <c r="C5104" s="9" t="s">
        <v>110</v>
      </c>
      <c r="D5104" s="9" t="s">
        <v>64</v>
      </c>
      <c r="E5104" s="6" t="s">
        <v>5588</v>
      </c>
      <c r="F5104" s="9" t="s">
        <v>12894</v>
      </c>
    </row>
    <row r="5105" ht="33.75" customHeight="1">
      <c r="A5105" s="7">
        <v>174.0</v>
      </c>
      <c r="B5105" s="9" t="s">
        <v>10405</v>
      </c>
      <c r="C5105" s="9" t="s">
        <v>110</v>
      </c>
      <c r="D5105" s="9" t="s">
        <v>67</v>
      </c>
      <c r="E5105" s="6" t="s">
        <v>5591</v>
      </c>
      <c r="F5105" s="9" t="s">
        <v>12894</v>
      </c>
    </row>
    <row r="5106" ht="33.75" customHeight="1">
      <c r="A5106" s="7">
        <v>174.0</v>
      </c>
      <c r="B5106" s="9" t="s">
        <v>10405</v>
      </c>
      <c r="C5106" s="9" t="s">
        <v>110</v>
      </c>
      <c r="D5106" s="9" t="s">
        <v>71</v>
      </c>
      <c r="E5106" s="6" t="s">
        <v>5592</v>
      </c>
      <c r="F5106" s="9" t="s">
        <v>12894</v>
      </c>
    </row>
    <row r="5107" ht="33.75" customHeight="1">
      <c r="A5107" s="7">
        <v>174.0</v>
      </c>
      <c r="B5107" s="9" t="s">
        <v>10405</v>
      </c>
      <c r="C5107" s="9" t="s">
        <v>110</v>
      </c>
      <c r="D5107" s="9" t="s">
        <v>73</v>
      </c>
      <c r="E5107" s="6" t="s">
        <v>5594</v>
      </c>
      <c r="F5107" s="9" t="s">
        <v>12894</v>
      </c>
    </row>
    <row r="5108" ht="33.75" customHeight="1">
      <c r="A5108" s="7">
        <v>174.0</v>
      </c>
      <c r="B5108" s="9" t="s">
        <v>10405</v>
      </c>
      <c r="C5108" s="9" t="s">
        <v>110</v>
      </c>
      <c r="D5108" s="9" t="s">
        <v>75</v>
      </c>
      <c r="E5108" s="6" t="s">
        <v>5596</v>
      </c>
      <c r="F5108" s="9" t="s">
        <v>12894</v>
      </c>
    </row>
    <row r="5109" ht="33.75" customHeight="1">
      <c r="A5109" s="7">
        <v>174.0</v>
      </c>
      <c r="B5109" s="9" t="s">
        <v>10405</v>
      </c>
      <c r="C5109" s="9" t="s">
        <v>110</v>
      </c>
      <c r="D5109" s="9" t="s">
        <v>79</v>
      </c>
      <c r="E5109" s="6" t="s">
        <v>5583</v>
      </c>
      <c r="F5109" s="9" t="s">
        <v>12894</v>
      </c>
    </row>
    <row r="5110" ht="33.75" customHeight="1">
      <c r="A5110" s="7">
        <v>174.0</v>
      </c>
      <c r="B5110" s="9" t="s">
        <v>10405</v>
      </c>
      <c r="C5110" s="9" t="s">
        <v>110</v>
      </c>
      <c r="D5110" s="9" t="s">
        <v>81</v>
      </c>
      <c r="E5110" s="6" t="s">
        <v>5597</v>
      </c>
      <c r="F5110" s="9" t="s">
        <v>12894</v>
      </c>
    </row>
    <row r="5111" ht="33.75" customHeight="1">
      <c r="A5111" s="7">
        <v>174.0</v>
      </c>
      <c r="B5111" s="9" t="s">
        <v>10405</v>
      </c>
      <c r="C5111" s="9" t="s">
        <v>110</v>
      </c>
      <c r="D5111" s="9" t="s">
        <v>84</v>
      </c>
      <c r="E5111" s="6" t="s">
        <v>5597</v>
      </c>
      <c r="F5111" s="9" t="s">
        <v>12894</v>
      </c>
    </row>
    <row r="5112" ht="33.75" customHeight="1">
      <c r="A5112" s="7">
        <v>174.0</v>
      </c>
      <c r="B5112" s="9" t="s">
        <v>10405</v>
      </c>
      <c r="C5112" s="9" t="s">
        <v>110</v>
      </c>
      <c r="D5112" s="9" t="s">
        <v>87</v>
      </c>
      <c r="E5112" s="6" t="s">
        <v>5597</v>
      </c>
      <c r="F5112" s="9" t="s">
        <v>12894</v>
      </c>
    </row>
    <row r="5113" ht="33.75" customHeight="1">
      <c r="A5113" s="7">
        <v>174.0</v>
      </c>
      <c r="B5113" s="9" t="s">
        <v>10405</v>
      </c>
      <c r="C5113" s="9" t="s">
        <v>110</v>
      </c>
      <c r="D5113" s="9" t="s">
        <v>89</v>
      </c>
      <c r="E5113" s="6" t="s">
        <v>5583</v>
      </c>
      <c r="F5113" s="9" t="s">
        <v>12894</v>
      </c>
    </row>
    <row r="5114" ht="33.75" customHeight="1">
      <c r="A5114" s="7">
        <v>174.0</v>
      </c>
      <c r="B5114" s="9" t="s">
        <v>10405</v>
      </c>
      <c r="C5114" s="9" t="s">
        <v>110</v>
      </c>
      <c r="D5114" s="9" t="s">
        <v>91</v>
      </c>
      <c r="E5114" s="6" t="s">
        <v>5596</v>
      </c>
      <c r="F5114" s="9" t="s">
        <v>12894</v>
      </c>
    </row>
    <row r="5115" ht="33.75" customHeight="1">
      <c r="A5115" s="7">
        <v>174.0</v>
      </c>
      <c r="B5115" s="9" t="s">
        <v>10405</v>
      </c>
      <c r="C5115" s="9" t="s">
        <v>110</v>
      </c>
      <c r="D5115" s="9" t="s">
        <v>93</v>
      </c>
      <c r="E5115" s="6" t="s">
        <v>5597</v>
      </c>
      <c r="F5115" s="9" t="s">
        <v>12894</v>
      </c>
    </row>
    <row r="5116" ht="33.75" customHeight="1">
      <c r="A5116" s="7">
        <v>174.0</v>
      </c>
      <c r="B5116" s="9" t="s">
        <v>10405</v>
      </c>
      <c r="C5116" s="9" t="s">
        <v>110</v>
      </c>
      <c r="D5116" s="9" t="s">
        <v>95</v>
      </c>
      <c r="E5116" s="6" t="s">
        <v>5597</v>
      </c>
      <c r="F5116" s="9" t="s">
        <v>12894</v>
      </c>
    </row>
    <row r="5117" ht="33.75" customHeight="1">
      <c r="A5117" s="7">
        <v>174.0</v>
      </c>
      <c r="B5117" s="9" t="s">
        <v>10405</v>
      </c>
      <c r="C5117" s="9" t="s">
        <v>110</v>
      </c>
      <c r="D5117" s="9" t="s">
        <v>98</v>
      </c>
      <c r="E5117" s="6" t="s">
        <v>5599</v>
      </c>
      <c r="F5117" s="9" t="s">
        <v>12894</v>
      </c>
    </row>
    <row r="5118" ht="33.75" customHeight="1">
      <c r="A5118" s="7">
        <v>174.0</v>
      </c>
      <c r="B5118" s="9" t="s">
        <v>10405</v>
      </c>
      <c r="C5118" s="9" t="s">
        <v>110</v>
      </c>
      <c r="D5118" s="9" t="s">
        <v>99</v>
      </c>
      <c r="E5118" s="6" t="s">
        <v>5599</v>
      </c>
      <c r="F5118" s="9" t="s">
        <v>12894</v>
      </c>
    </row>
    <row r="5119" ht="33.75" customHeight="1">
      <c r="A5119" s="7">
        <v>174.0</v>
      </c>
      <c r="B5119" s="9" t="s">
        <v>10405</v>
      </c>
      <c r="C5119" s="9" t="s">
        <v>110</v>
      </c>
      <c r="D5119" s="9" t="s">
        <v>101</v>
      </c>
      <c r="E5119" s="6" t="s">
        <v>5588</v>
      </c>
      <c r="F5119" s="9" t="s">
        <v>12894</v>
      </c>
    </row>
    <row r="5120" ht="33.75" customHeight="1">
      <c r="A5120" s="7">
        <v>174.0</v>
      </c>
      <c r="B5120" s="9" t="s">
        <v>10405</v>
      </c>
      <c r="C5120" s="9" t="s">
        <v>110</v>
      </c>
      <c r="D5120" s="9" t="s">
        <v>105</v>
      </c>
      <c r="E5120" s="6" t="s">
        <v>5583</v>
      </c>
      <c r="F5120" s="9" t="s">
        <v>12894</v>
      </c>
    </row>
    <row r="5121" ht="33.75" customHeight="1">
      <c r="A5121" s="7">
        <v>174.0</v>
      </c>
      <c r="B5121" s="9" t="s">
        <v>10405</v>
      </c>
      <c r="C5121" s="9" t="s">
        <v>110</v>
      </c>
      <c r="D5121" s="9" t="s">
        <v>107</v>
      </c>
      <c r="E5121" s="6" t="s">
        <v>5600</v>
      </c>
      <c r="F5121" s="9" t="s">
        <v>12894</v>
      </c>
    </row>
    <row r="5122" ht="33.75" customHeight="1">
      <c r="A5122" s="7">
        <v>174.0</v>
      </c>
      <c r="B5122" s="9" t="s">
        <v>10405</v>
      </c>
      <c r="C5122" s="9" t="s">
        <v>110</v>
      </c>
      <c r="D5122" s="9" t="s">
        <v>109</v>
      </c>
      <c r="E5122" s="6" t="s">
        <v>5602</v>
      </c>
      <c r="F5122" s="9" t="s">
        <v>12894</v>
      </c>
    </row>
    <row r="5123" ht="33.75" customHeight="1">
      <c r="A5123" s="7">
        <v>174.0</v>
      </c>
      <c r="B5123" s="9" t="s">
        <v>10405</v>
      </c>
      <c r="C5123" s="9" t="s">
        <v>110</v>
      </c>
      <c r="D5123" s="9" t="s">
        <v>637</v>
      </c>
      <c r="E5123" s="6" t="s">
        <v>5603</v>
      </c>
      <c r="F5123" s="9" t="s">
        <v>12894</v>
      </c>
    </row>
    <row r="5124" ht="33.75" customHeight="1">
      <c r="A5124" s="7">
        <v>174.0</v>
      </c>
      <c r="B5124" s="9" t="s">
        <v>10405</v>
      </c>
      <c r="C5124" s="9" t="s">
        <v>110</v>
      </c>
      <c r="D5124" s="9" t="s">
        <v>642</v>
      </c>
      <c r="E5124" s="6" t="s">
        <v>5605</v>
      </c>
      <c r="F5124" s="9" t="s">
        <v>12894</v>
      </c>
    </row>
    <row r="5125" ht="33.75" customHeight="1">
      <c r="A5125" s="7">
        <v>174.0</v>
      </c>
      <c r="B5125" s="9" t="s">
        <v>10405</v>
      </c>
      <c r="C5125" s="9" t="s">
        <v>110</v>
      </c>
      <c r="D5125" s="9" t="s">
        <v>647</v>
      </c>
      <c r="E5125" s="6" t="s">
        <v>5606</v>
      </c>
      <c r="F5125" s="9" t="s">
        <v>12894</v>
      </c>
    </row>
    <row r="5126" ht="33.75" customHeight="1">
      <c r="A5126" s="7">
        <v>174.0</v>
      </c>
      <c r="B5126" s="9" t="s">
        <v>10405</v>
      </c>
      <c r="C5126" s="9" t="s">
        <v>110</v>
      </c>
      <c r="D5126" s="9" t="s">
        <v>652</v>
      </c>
      <c r="E5126" s="6" t="s">
        <v>5609</v>
      </c>
      <c r="F5126" s="9" t="s">
        <v>12894</v>
      </c>
    </row>
    <row r="5127" ht="33.75" customHeight="1">
      <c r="A5127" s="7">
        <v>174.0</v>
      </c>
      <c r="B5127" s="9" t="s">
        <v>10405</v>
      </c>
      <c r="C5127" s="9" t="s">
        <v>110</v>
      </c>
      <c r="D5127" s="9" t="s">
        <v>114</v>
      </c>
      <c r="E5127" s="6" t="s">
        <v>5610</v>
      </c>
      <c r="F5127" s="9" t="s">
        <v>12894</v>
      </c>
    </row>
    <row r="5128" ht="33.75" customHeight="1">
      <c r="A5128" s="7">
        <v>174.0</v>
      </c>
      <c r="B5128" s="9" t="s">
        <v>10405</v>
      </c>
      <c r="C5128" s="9" t="s">
        <v>110</v>
      </c>
      <c r="D5128" s="9" t="s">
        <v>117</v>
      </c>
      <c r="E5128" s="6" t="s">
        <v>5611</v>
      </c>
      <c r="F5128" s="9" t="s">
        <v>12894</v>
      </c>
    </row>
    <row r="5129" ht="33.75" customHeight="1">
      <c r="A5129" s="7">
        <v>175.0</v>
      </c>
      <c r="B5129" s="9" t="s">
        <v>10479</v>
      </c>
      <c r="C5129" s="9" t="s">
        <v>270</v>
      </c>
      <c r="D5129" s="9" t="s">
        <v>52</v>
      </c>
      <c r="E5129" s="6" t="s">
        <v>5612</v>
      </c>
      <c r="F5129" s="9" t="s">
        <v>12946</v>
      </c>
      <c r="G5129" t="inlineStr" s="6">
        <is>
          <t xml:space="preserve">The shell seems to be filled with joy. It is said that it will share good luck when treated kindly. A proverb claims that happiness will come to any one who can make a sleeping TOGEPI stand up. It is considered to be a symbol of good luck. Its shell is said to be filled with happiness. As its energy, TOGEPI uses the positive emotions of compassion and pleasure exuded by people and POKéMON. This POKéMON stores up feelings of happiness inside its shell, then shares them with others. As its energy, it uses the feelings of compassion and pleasure exuded by people and POKéMON. It stores up happy feelings in its shell, then shares them out. A proverb claims that happiness will come to anyone who can make a sleeping TOGEPI stand up. Its shell is said to be stuffed with happiness that it shares with kindhearted people. It transforms the kindness and joy of others into happiness, which it stores in its shell. This ovate creature is frequently mistaken for a moving egg when encountered out in the fields or in the mountains. Its guileless smile soothes the soul.</t>
        </is>
      </c>
    </row>
    <row r="5130" ht="33.75" customHeight="1">
      <c r="A5130" s="7">
        <v>175.0</v>
      </c>
      <c r="B5130" s="9" t="s">
        <v>10479</v>
      </c>
      <c r="C5130" s="9" t="s">
        <v>270</v>
      </c>
      <c r="D5130" s="9" t="s">
        <v>59</v>
      </c>
      <c r="E5130" s="6" t="s">
        <v>5614</v>
      </c>
      <c r="F5130" s="9" t="s">
        <v>12946</v>
      </c>
    </row>
    <row r="5131" ht="33.75" customHeight="1">
      <c r="A5131" s="7">
        <v>175.0</v>
      </c>
      <c r="B5131" s="9" t="s">
        <v>10479</v>
      </c>
      <c r="C5131" s="9" t="s">
        <v>270</v>
      </c>
      <c r="D5131" s="9" t="s">
        <v>64</v>
      </c>
      <c r="E5131" s="6" t="s">
        <v>5615</v>
      </c>
      <c r="F5131" s="9" t="s">
        <v>12946</v>
      </c>
    </row>
    <row r="5132" ht="33.75" customHeight="1">
      <c r="A5132" s="7">
        <v>175.0</v>
      </c>
      <c r="B5132" s="9" t="s">
        <v>10479</v>
      </c>
      <c r="C5132" s="9" t="s">
        <v>270</v>
      </c>
      <c r="D5132" s="9" t="s">
        <v>67</v>
      </c>
      <c r="E5132" s="6" t="s">
        <v>5616</v>
      </c>
      <c r="F5132" s="9" t="s">
        <v>12946</v>
      </c>
    </row>
    <row r="5133" ht="33.75" customHeight="1">
      <c r="A5133" s="7">
        <v>175.0</v>
      </c>
      <c r="B5133" s="9" t="s">
        <v>10479</v>
      </c>
      <c r="C5133" s="9" t="s">
        <v>270</v>
      </c>
      <c r="D5133" s="9" t="s">
        <v>71</v>
      </c>
      <c r="E5133" s="6" t="s">
        <v>5616</v>
      </c>
      <c r="F5133" s="9" t="s">
        <v>12946</v>
      </c>
    </row>
    <row r="5134" ht="33.75" customHeight="1">
      <c r="A5134" s="7">
        <v>175.0</v>
      </c>
      <c r="B5134" s="9" t="s">
        <v>10479</v>
      </c>
      <c r="C5134" s="9" t="s">
        <v>270</v>
      </c>
      <c r="D5134" s="9" t="s">
        <v>73</v>
      </c>
      <c r="E5134" s="6" t="s">
        <v>5617</v>
      </c>
      <c r="F5134" s="9" t="s">
        <v>12946</v>
      </c>
    </row>
    <row r="5135" ht="33.75" customHeight="1">
      <c r="A5135" s="7">
        <v>175.0</v>
      </c>
      <c r="B5135" s="9" t="s">
        <v>10479</v>
      </c>
      <c r="C5135" s="9" t="s">
        <v>270</v>
      </c>
      <c r="D5135" s="9" t="s">
        <v>75</v>
      </c>
      <c r="E5135" s="6" t="s">
        <v>5618</v>
      </c>
      <c r="F5135" s="9" t="s">
        <v>12946</v>
      </c>
    </row>
    <row r="5136" ht="33.75" customHeight="1">
      <c r="A5136" s="7">
        <v>175.0</v>
      </c>
      <c r="B5136" s="9" t="s">
        <v>10479</v>
      </c>
      <c r="C5136" s="9" t="s">
        <v>270</v>
      </c>
      <c r="D5136" s="9" t="s">
        <v>79</v>
      </c>
      <c r="E5136" s="6" t="s">
        <v>5612</v>
      </c>
      <c r="F5136" s="9" t="s">
        <v>12946</v>
      </c>
    </row>
    <row r="5137" ht="33.75" customHeight="1">
      <c r="A5137" s="7">
        <v>175.0</v>
      </c>
      <c r="B5137" s="9" t="s">
        <v>10479</v>
      </c>
      <c r="C5137" s="9" t="s">
        <v>270</v>
      </c>
      <c r="D5137" s="9" t="s">
        <v>81</v>
      </c>
      <c r="E5137" s="6" t="s">
        <v>5619</v>
      </c>
      <c r="F5137" s="9" t="s">
        <v>12946</v>
      </c>
    </row>
    <row r="5138" ht="33.75" customHeight="1">
      <c r="A5138" s="7">
        <v>175.0</v>
      </c>
      <c r="B5138" s="9" t="s">
        <v>10479</v>
      </c>
      <c r="C5138" s="9" t="s">
        <v>270</v>
      </c>
      <c r="D5138" s="9" t="s">
        <v>84</v>
      </c>
      <c r="E5138" s="6" t="s">
        <v>5619</v>
      </c>
      <c r="F5138" s="9" t="s">
        <v>12946</v>
      </c>
    </row>
    <row r="5139" ht="33.75" customHeight="1">
      <c r="A5139" s="7">
        <v>175.0</v>
      </c>
      <c r="B5139" s="9" t="s">
        <v>10479</v>
      </c>
      <c r="C5139" s="9" t="s">
        <v>270</v>
      </c>
      <c r="D5139" s="9" t="s">
        <v>87</v>
      </c>
      <c r="E5139" s="6" t="s">
        <v>5620</v>
      </c>
      <c r="F5139" s="9" t="s">
        <v>12946</v>
      </c>
    </row>
    <row r="5140" ht="33.75" customHeight="1">
      <c r="A5140" s="7">
        <v>175.0</v>
      </c>
      <c r="B5140" s="9" t="s">
        <v>10479</v>
      </c>
      <c r="C5140" s="9" t="s">
        <v>270</v>
      </c>
      <c r="D5140" s="9" t="s">
        <v>89</v>
      </c>
      <c r="E5140" s="6" t="s">
        <v>5612</v>
      </c>
      <c r="F5140" s="9" t="s">
        <v>12946</v>
      </c>
    </row>
    <row r="5141" ht="33.75" customHeight="1">
      <c r="A5141" s="7">
        <v>175.0</v>
      </c>
      <c r="B5141" s="9" t="s">
        <v>10479</v>
      </c>
      <c r="C5141" s="9" t="s">
        <v>270</v>
      </c>
      <c r="D5141" s="9" t="s">
        <v>91</v>
      </c>
      <c r="E5141" s="6" t="s">
        <v>5618</v>
      </c>
      <c r="F5141" s="9" t="s">
        <v>12946</v>
      </c>
    </row>
    <row r="5142" ht="33.75" customHeight="1">
      <c r="A5142" s="7">
        <v>175.0</v>
      </c>
      <c r="B5142" s="9" t="s">
        <v>10479</v>
      </c>
      <c r="C5142" s="9" t="s">
        <v>270</v>
      </c>
      <c r="D5142" s="9" t="s">
        <v>93</v>
      </c>
      <c r="E5142" s="6" t="s">
        <v>5620</v>
      </c>
      <c r="F5142" s="9" t="s">
        <v>12946</v>
      </c>
    </row>
    <row r="5143" ht="33.75" customHeight="1">
      <c r="A5143" s="7">
        <v>175.0</v>
      </c>
      <c r="B5143" s="9" t="s">
        <v>10479</v>
      </c>
      <c r="C5143" s="9" t="s">
        <v>270</v>
      </c>
      <c r="D5143" s="9" t="s">
        <v>95</v>
      </c>
      <c r="E5143" s="6" t="s">
        <v>5620</v>
      </c>
      <c r="F5143" s="9" t="s">
        <v>12946</v>
      </c>
    </row>
    <row r="5144" ht="33.75" customHeight="1">
      <c r="A5144" s="7">
        <v>175.0</v>
      </c>
      <c r="B5144" s="9" t="s">
        <v>10479</v>
      </c>
      <c r="C5144" s="9" t="s">
        <v>270</v>
      </c>
      <c r="D5144" s="9" t="s">
        <v>98</v>
      </c>
      <c r="E5144" s="6" t="s">
        <v>5620</v>
      </c>
      <c r="F5144" s="9" t="s">
        <v>12946</v>
      </c>
    </row>
    <row r="5145" ht="33.75" customHeight="1">
      <c r="A5145" s="7">
        <v>175.0</v>
      </c>
      <c r="B5145" s="9" t="s">
        <v>10479</v>
      </c>
      <c r="C5145" s="9" t="s">
        <v>270</v>
      </c>
      <c r="D5145" s="9" t="s">
        <v>99</v>
      </c>
      <c r="E5145" s="6" t="s">
        <v>5620</v>
      </c>
      <c r="F5145" s="9" t="s">
        <v>12946</v>
      </c>
    </row>
    <row r="5146" ht="33.75" customHeight="1">
      <c r="A5146" s="7">
        <v>175.0</v>
      </c>
      <c r="B5146" s="9" t="s">
        <v>10479</v>
      </c>
      <c r="C5146" s="9" t="s">
        <v>270</v>
      </c>
      <c r="D5146" s="9" t="s">
        <v>101</v>
      </c>
      <c r="E5146" s="6" t="s">
        <v>5612</v>
      </c>
      <c r="F5146" s="9" t="s">
        <v>12946</v>
      </c>
    </row>
    <row r="5147" ht="33.75" customHeight="1">
      <c r="A5147" s="7">
        <v>175.0</v>
      </c>
      <c r="B5147" s="9" t="s">
        <v>10479</v>
      </c>
      <c r="C5147" s="9" t="s">
        <v>270</v>
      </c>
      <c r="D5147" s="9" t="s">
        <v>105</v>
      </c>
      <c r="E5147" s="6" t="s">
        <v>5621</v>
      </c>
      <c r="F5147" s="9" t="s">
        <v>12946</v>
      </c>
    </row>
    <row r="5148" ht="33.75" customHeight="1">
      <c r="A5148" s="7">
        <v>175.0</v>
      </c>
      <c r="B5148" s="9" t="s">
        <v>10479</v>
      </c>
      <c r="C5148" s="9" t="s">
        <v>270</v>
      </c>
      <c r="D5148" s="9" t="s">
        <v>107</v>
      </c>
      <c r="E5148" s="6" t="s">
        <v>5623</v>
      </c>
      <c r="F5148" s="9" t="s">
        <v>12946</v>
      </c>
    </row>
    <row r="5149" ht="33.75" customHeight="1">
      <c r="A5149" s="7">
        <v>175.0</v>
      </c>
      <c r="B5149" s="9" t="s">
        <v>10479</v>
      </c>
      <c r="C5149" s="9" t="s">
        <v>270</v>
      </c>
      <c r="D5149" s="9" t="s">
        <v>109</v>
      </c>
      <c r="E5149" s="6" t="s">
        <v>5623</v>
      </c>
      <c r="F5149" s="9" t="s">
        <v>12946</v>
      </c>
    </row>
    <row r="5150" ht="33.75" customHeight="1">
      <c r="A5150" s="7">
        <v>175.0</v>
      </c>
      <c r="B5150" s="9" t="s">
        <v>10479</v>
      </c>
      <c r="C5150" s="9" t="s">
        <v>270</v>
      </c>
      <c r="D5150" s="9" t="s">
        <v>114</v>
      </c>
      <c r="E5150" s="6" t="s">
        <v>5612</v>
      </c>
      <c r="F5150" s="9" t="s">
        <v>12946</v>
      </c>
    </row>
    <row r="5151" ht="33.75" customHeight="1">
      <c r="A5151" s="7">
        <v>175.0</v>
      </c>
      <c r="B5151" s="9" t="s">
        <v>10479</v>
      </c>
      <c r="C5151" s="9" t="s">
        <v>270</v>
      </c>
      <c r="D5151" s="9" t="s">
        <v>117</v>
      </c>
      <c r="E5151" s="6" t="s">
        <v>5615</v>
      </c>
      <c r="F5151" s="9" t="s">
        <v>12946</v>
      </c>
    </row>
    <row r="5152" ht="33.75" customHeight="1">
      <c r="A5152" s="7">
        <v>175.0</v>
      </c>
      <c r="B5152" s="9" t="s">
        <v>10479</v>
      </c>
      <c r="C5152" s="9" t="s">
        <v>270</v>
      </c>
      <c r="D5152" s="9" t="s">
        <v>1577</v>
      </c>
      <c r="E5152" s="6" t="s">
        <v>5624</v>
      </c>
      <c r="F5152" s="9" t="s">
        <v>12946</v>
      </c>
    </row>
    <row r="5153" ht="33.75" customHeight="1">
      <c r="A5153" s="7">
        <v>176.0</v>
      </c>
      <c r="B5153" s="9" t="s">
        <v>10522</v>
      </c>
      <c r="C5153" s="9" t="s">
        <v>272</v>
      </c>
      <c r="D5153" s="9" t="s">
        <v>52</v>
      </c>
      <c r="E5153" s="6" t="s">
        <v>5625</v>
      </c>
      <c r="F5153" s="9" t="s">
        <v>12983</v>
      </c>
      <c r="G5153" t="inlineStr" s="6">
        <is>
          <t xml:space="preserve">They say that Togetic will appear before kindhearted, car ing people and shower them with happiness. It grows dispirited if it is not with kind people. It can float in midair without moving its wings. Although it does not flap its wings very much, it can stay up in the air as it tags along after its trainer. TOGETIC is said to be a POKéMON that brings good fortune. When the POKéMON spots someone who is pure of heart, it is said to appear and share its happiness with that person. It is said to be a POKéMON that brings good fortune. When it spots someone who is pure of heart, a TOGETIC appears and shares its happiness with that person. They say that it will appear before kindhearted, caring people and shower them with happiness. It is said to appear in front of kindly people to scatter a glowing down called “joy dust. To share its happiness, it flies around the world seeking kind hearted people. To share its happiness, it flies around the world seeking kind- hearted people. No records exist of Togetic being seen in the wilds. Rumors abound that it evolves under the loving care of a trusted human companion, upon whom the Pokémon then bestows great joy.</t>
        </is>
      </c>
    </row>
    <row r="5154" ht="33.75" customHeight="1">
      <c r="A5154" s="7">
        <v>176.0</v>
      </c>
      <c r="B5154" s="9" t="s">
        <v>10522</v>
      </c>
      <c r="C5154" s="9" t="s">
        <v>272</v>
      </c>
      <c r="D5154" s="9" t="s">
        <v>59</v>
      </c>
      <c r="E5154" s="6" t="s">
        <v>5626</v>
      </c>
      <c r="F5154" s="9" t="s">
        <v>12983</v>
      </c>
    </row>
    <row r="5155" ht="33.75" customHeight="1">
      <c r="A5155" s="7">
        <v>176.0</v>
      </c>
      <c r="B5155" s="9" t="s">
        <v>10522</v>
      </c>
      <c r="C5155" s="9" t="s">
        <v>272</v>
      </c>
      <c r="D5155" s="9" t="s">
        <v>64</v>
      </c>
      <c r="E5155" s="6" t="s">
        <v>5627</v>
      </c>
      <c r="F5155" s="9" t="s">
        <v>12983</v>
      </c>
    </row>
    <row r="5156" ht="33.75" customHeight="1">
      <c r="A5156" s="7">
        <v>176.0</v>
      </c>
      <c r="B5156" s="9" t="s">
        <v>10522</v>
      </c>
      <c r="C5156" s="9" t="s">
        <v>272</v>
      </c>
      <c r="D5156" s="9" t="s">
        <v>67</v>
      </c>
      <c r="E5156" s="6" t="s">
        <v>5628</v>
      </c>
      <c r="F5156" s="9" t="s">
        <v>12983</v>
      </c>
    </row>
    <row r="5157" ht="33.75" customHeight="1">
      <c r="A5157" s="7">
        <v>176.0</v>
      </c>
      <c r="B5157" s="9" t="s">
        <v>10522</v>
      </c>
      <c r="C5157" s="9" t="s">
        <v>272</v>
      </c>
      <c r="D5157" s="9" t="s">
        <v>71</v>
      </c>
      <c r="E5157" s="6" t="s">
        <v>5628</v>
      </c>
      <c r="F5157" s="9" t="s">
        <v>12983</v>
      </c>
    </row>
    <row r="5158" ht="33.75" customHeight="1">
      <c r="A5158" s="7">
        <v>176.0</v>
      </c>
      <c r="B5158" s="9" t="s">
        <v>10522</v>
      </c>
      <c r="C5158" s="9" t="s">
        <v>272</v>
      </c>
      <c r="D5158" s="9" t="s">
        <v>73</v>
      </c>
      <c r="E5158" s="6" t="s">
        <v>5629</v>
      </c>
      <c r="F5158" s="9" t="s">
        <v>12983</v>
      </c>
    </row>
    <row r="5159" ht="33.75" customHeight="1">
      <c r="A5159" s="7">
        <v>176.0</v>
      </c>
      <c r="B5159" s="9" t="s">
        <v>10522</v>
      </c>
      <c r="C5159" s="9" t="s">
        <v>272</v>
      </c>
      <c r="D5159" s="9" t="s">
        <v>75</v>
      </c>
      <c r="E5159" s="6" t="s">
        <v>5630</v>
      </c>
      <c r="F5159" s="9" t="s">
        <v>12983</v>
      </c>
    </row>
    <row r="5160" ht="33.75" customHeight="1">
      <c r="A5160" s="7">
        <v>176.0</v>
      </c>
      <c r="B5160" s="9" t="s">
        <v>10522</v>
      </c>
      <c r="C5160" s="9" t="s">
        <v>272</v>
      </c>
      <c r="D5160" s="9" t="s">
        <v>79</v>
      </c>
      <c r="E5160" s="6" t="s">
        <v>5631</v>
      </c>
      <c r="F5160" s="9" t="s">
        <v>12983</v>
      </c>
    </row>
    <row r="5161" ht="33.75" customHeight="1">
      <c r="A5161" s="7">
        <v>176.0</v>
      </c>
      <c r="B5161" s="9" t="s">
        <v>10522</v>
      </c>
      <c r="C5161" s="9" t="s">
        <v>272</v>
      </c>
      <c r="D5161" s="9" t="s">
        <v>81</v>
      </c>
      <c r="E5161" s="6" t="s">
        <v>5632</v>
      </c>
      <c r="F5161" s="9" t="s">
        <v>12983</v>
      </c>
    </row>
    <row r="5162" ht="33.75" customHeight="1">
      <c r="A5162" s="7">
        <v>176.0</v>
      </c>
      <c r="B5162" s="9" t="s">
        <v>10522</v>
      </c>
      <c r="C5162" s="9" t="s">
        <v>272</v>
      </c>
      <c r="D5162" s="9" t="s">
        <v>84</v>
      </c>
      <c r="E5162" s="6" t="s">
        <v>5632</v>
      </c>
      <c r="F5162" s="9" t="s">
        <v>12983</v>
      </c>
    </row>
    <row r="5163" ht="33.75" customHeight="1">
      <c r="A5163" s="7">
        <v>176.0</v>
      </c>
      <c r="B5163" s="9" t="s">
        <v>10522</v>
      </c>
      <c r="C5163" s="9" t="s">
        <v>272</v>
      </c>
      <c r="D5163" s="9" t="s">
        <v>87</v>
      </c>
      <c r="E5163" s="6" t="s">
        <v>5633</v>
      </c>
      <c r="F5163" s="9" t="s">
        <v>12983</v>
      </c>
    </row>
    <row r="5164" ht="33.75" customHeight="1">
      <c r="A5164" s="7">
        <v>176.0</v>
      </c>
      <c r="B5164" s="9" t="s">
        <v>10522</v>
      </c>
      <c r="C5164" s="9" t="s">
        <v>272</v>
      </c>
      <c r="D5164" s="9" t="s">
        <v>89</v>
      </c>
      <c r="E5164" s="6" t="s">
        <v>5631</v>
      </c>
      <c r="F5164" s="9" t="s">
        <v>12983</v>
      </c>
    </row>
    <row r="5165" ht="33.75" customHeight="1">
      <c r="A5165" s="7">
        <v>176.0</v>
      </c>
      <c r="B5165" s="9" t="s">
        <v>10522</v>
      </c>
      <c r="C5165" s="9" t="s">
        <v>272</v>
      </c>
      <c r="D5165" s="9" t="s">
        <v>91</v>
      </c>
      <c r="E5165" s="6" t="s">
        <v>5630</v>
      </c>
      <c r="F5165" s="9" t="s">
        <v>12983</v>
      </c>
    </row>
    <row r="5166" ht="33.75" customHeight="1">
      <c r="A5166" s="7">
        <v>176.0</v>
      </c>
      <c r="B5166" s="9" t="s">
        <v>10522</v>
      </c>
      <c r="C5166" s="9" t="s">
        <v>272</v>
      </c>
      <c r="D5166" s="9" t="s">
        <v>93</v>
      </c>
      <c r="E5166" s="6" t="s">
        <v>5634</v>
      </c>
      <c r="F5166" s="9" t="s">
        <v>12983</v>
      </c>
    </row>
    <row r="5167" ht="33.75" customHeight="1">
      <c r="A5167" s="7">
        <v>176.0</v>
      </c>
      <c r="B5167" s="9" t="s">
        <v>10522</v>
      </c>
      <c r="C5167" s="9" t="s">
        <v>272</v>
      </c>
      <c r="D5167" s="9" t="s">
        <v>95</v>
      </c>
      <c r="E5167" s="6" t="s">
        <v>5634</v>
      </c>
      <c r="F5167" s="9" t="s">
        <v>12983</v>
      </c>
    </row>
    <row r="5168" ht="33.75" customHeight="1">
      <c r="A5168" s="7">
        <v>176.0</v>
      </c>
      <c r="B5168" s="9" t="s">
        <v>10522</v>
      </c>
      <c r="C5168" s="9" t="s">
        <v>272</v>
      </c>
      <c r="D5168" s="9" t="s">
        <v>98</v>
      </c>
      <c r="E5168" s="6" t="s">
        <v>5634</v>
      </c>
      <c r="F5168" s="9" t="s">
        <v>12983</v>
      </c>
    </row>
    <row r="5169" ht="33.75" customHeight="1">
      <c r="A5169" s="7">
        <v>176.0</v>
      </c>
      <c r="B5169" s="9" t="s">
        <v>10522</v>
      </c>
      <c r="C5169" s="9" t="s">
        <v>272</v>
      </c>
      <c r="D5169" s="9" t="s">
        <v>99</v>
      </c>
      <c r="E5169" s="6" t="s">
        <v>5634</v>
      </c>
      <c r="F5169" s="9" t="s">
        <v>12983</v>
      </c>
    </row>
    <row r="5170" ht="33.75" customHeight="1">
      <c r="A5170" s="7">
        <v>176.0</v>
      </c>
      <c r="B5170" s="9" t="s">
        <v>10522</v>
      </c>
      <c r="C5170" s="9" t="s">
        <v>272</v>
      </c>
      <c r="D5170" s="9" t="s">
        <v>101</v>
      </c>
      <c r="E5170" s="6" t="s">
        <v>5630</v>
      </c>
      <c r="F5170" s="9" t="s">
        <v>12983</v>
      </c>
    </row>
    <row r="5171" ht="33.75" customHeight="1">
      <c r="A5171" s="7">
        <v>176.0</v>
      </c>
      <c r="B5171" s="9" t="s">
        <v>10522</v>
      </c>
      <c r="C5171" s="9" t="s">
        <v>272</v>
      </c>
      <c r="D5171" s="9" t="s">
        <v>105</v>
      </c>
      <c r="E5171" s="6" t="s">
        <v>5631</v>
      </c>
      <c r="F5171" s="9" t="s">
        <v>12983</v>
      </c>
    </row>
    <row r="5172" ht="33.75" customHeight="1">
      <c r="A5172" s="7">
        <v>176.0</v>
      </c>
      <c r="B5172" s="9" t="s">
        <v>10522</v>
      </c>
      <c r="C5172" s="9" t="s">
        <v>272</v>
      </c>
      <c r="D5172" s="9" t="s">
        <v>107</v>
      </c>
      <c r="E5172" s="6" t="s">
        <v>5636</v>
      </c>
      <c r="F5172" s="9" t="s">
        <v>12983</v>
      </c>
    </row>
    <row r="5173" ht="33.75" customHeight="1">
      <c r="A5173" s="7">
        <v>176.0</v>
      </c>
      <c r="B5173" s="9" t="s">
        <v>10522</v>
      </c>
      <c r="C5173" s="9" t="s">
        <v>272</v>
      </c>
      <c r="D5173" s="9" t="s">
        <v>109</v>
      </c>
      <c r="E5173" s="6" t="s">
        <v>5636</v>
      </c>
      <c r="F5173" s="9" t="s">
        <v>12983</v>
      </c>
    </row>
    <row r="5174" ht="33.75" customHeight="1">
      <c r="A5174" s="7">
        <v>176.0</v>
      </c>
      <c r="B5174" s="9" t="s">
        <v>10522</v>
      </c>
      <c r="C5174" s="9" t="s">
        <v>272</v>
      </c>
      <c r="D5174" s="9" t="s">
        <v>114</v>
      </c>
      <c r="E5174" s="6" t="s">
        <v>5631</v>
      </c>
      <c r="F5174" s="9" t="s">
        <v>12983</v>
      </c>
    </row>
    <row r="5175" ht="33.75" customHeight="1">
      <c r="A5175" s="7">
        <v>176.0</v>
      </c>
      <c r="B5175" s="9" t="s">
        <v>10522</v>
      </c>
      <c r="C5175" s="9" t="s">
        <v>272</v>
      </c>
      <c r="D5175" s="9" t="s">
        <v>117</v>
      </c>
      <c r="E5175" s="6" t="s">
        <v>5630</v>
      </c>
      <c r="F5175" s="9" t="s">
        <v>12983</v>
      </c>
    </row>
    <row r="5176" ht="33.75" customHeight="1">
      <c r="A5176" s="7">
        <v>176.0</v>
      </c>
      <c r="B5176" s="9" t="s">
        <v>10522</v>
      </c>
      <c r="C5176" s="9" t="s">
        <v>272</v>
      </c>
      <c r="D5176" s="9" t="s">
        <v>1577</v>
      </c>
      <c r="E5176" s="6" t="s">
        <v>5637</v>
      </c>
      <c r="F5176" s="9" t="s">
        <v>12983</v>
      </c>
    </row>
    <row r="5177" ht="33.75" customHeight="1">
      <c r="A5177" s="7">
        <v>177.0</v>
      </c>
      <c r="B5177" s="9" t="s">
        <v>10575</v>
      </c>
      <c r="C5177" s="9" t="s">
        <v>83</v>
      </c>
      <c r="D5177" s="9" t="s">
        <v>52</v>
      </c>
      <c r="E5177" s="6" t="s">
        <v>5638</v>
      </c>
      <c r="F5177" s="9" t="s">
        <v>13020</v>
      </c>
      <c r="G5177" t="inlineStr" s="6">
        <is>
          <t xml:space="preserve">Because Natu's wings aren't yet fully grown, it has to hop to get around. It is always star ing at something. It usually forages for food on the ground but may, on rare occasions, hop onto branches to peck at shoots. It is extremely good at climbing tree trunks and likes to eat the new sprouts on the trees. NATU cannot fly because its wings are not yet fully grown. If your eyes meet with this POKéMON’s eyes, it will stare back intently at you. But if you move even slightly, it will hop away to safety. NATU has a highly developed jumping ability. The POKéMON flaps and leaps onto tree branches that are taller than grown-up people to pick at the tree’s new shoots. It runs up short trees that grow on the savanna to peck at new shoots. A NATU’s eyes look as if they are always observing something. It is always staring at something. It picks food from cactus plants, deftly avoiding buds and spines. It seems to skip about to move. Although it still can’t fly, its jumping power is outstanding. It jumps way up into trees and plucks the buds from the branches. The look in its eyes gives the impression that it’s carefully observing you. If you approach it, Natu will hop away.</t>
        </is>
      </c>
    </row>
    <row r="5178" ht="33.75" customHeight="1">
      <c r="A5178" s="7">
        <v>177.0</v>
      </c>
      <c r="B5178" s="9" t="s">
        <v>10575</v>
      </c>
      <c r="C5178" s="9" t="s">
        <v>83</v>
      </c>
      <c r="D5178" s="9" t="s">
        <v>59</v>
      </c>
      <c r="E5178" s="6" t="s">
        <v>5640</v>
      </c>
      <c r="F5178" s="9" t="s">
        <v>13020</v>
      </c>
    </row>
    <row r="5179" ht="33.75" customHeight="1">
      <c r="A5179" s="7">
        <v>177.0</v>
      </c>
      <c r="B5179" s="9" t="s">
        <v>10575</v>
      </c>
      <c r="C5179" s="9" t="s">
        <v>83</v>
      </c>
      <c r="D5179" s="9" t="s">
        <v>64</v>
      </c>
      <c r="E5179" s="6" t="s">
        <v>5641</v>
      </c>
      <c r="F5179" s="9" t="s">
        <v>13020</v>
      </c>
    </row>
    <row r="5180" ht="33.75" customHeight="1">
      <c r="A5180" s="7">
        <v>177.0</v>
      </c>
      <c r="B5180" s="9" t="s">
        <v>10575</v>
      </c>
      <c r="C5180" s="9" t="s">
        <v>83</v>
      </c>
      <c r="D5180" s="9" t="s">
        <v>67</v>
      </c>
      <c r="E5180" s="6" t="s">
        <v>5643</v>
      </c>
      <c r="F5180" s="9" t="s">
        <v>13020</v>
      </c>
    </row>
    <row r="5181" ht="33.75" customHeight="1">
      <c r="A5181" s="7">
        <v>177.0</v>
      </c>
      <c r="B5181" s="9" t="s">
        <v>10575</v>
      </c>
      <c r="C5181" s="9" t="s">
        <v>83</v>
      </c>
      <c r="D5181" s="9" t="s">
        <v>71</v>
      </c>
      <c r="E5181" s="6" t="s">
        <v>5645</v>
      </c>
      <c r="F5181" s="9" t="s">
        <v>13020</v>
      </c>
    </row>
    <row r="5182" ht="33.75" customHeight="1">
      <c r="A5182" s="7">
        <v>177.0</v>
      </c>
      <c r="B5182" s="9" t="s">
        <v>10575</v>
      </c>
      <c r="C5182" s="9" t="s">
        <v>83</v>
      </c>
      <c r="D5182" s="9" t="s">
        <v>73</v>
      </c>
      <c r="E5182" s="6" t="s">
        <v>5647</v>
      </c>
      <c r="F5182" s="9" t="s">
        <v>13020</v>
      </c>
    </row>
    <row r="5183" ht="33.75" customHeight="1">
      <c r="A5183" s="7">
        <v>177.0</v>
      </c>
      <c r="B5183" s="9" t="s">
        <v>10575</v>
      </c>
      <c r="C5183" s="9" t="s">
        <v>83</v>
      </c>
      <c r="D5183" s="9" t="s">
        <v>75</v>
      </c>
      <c r="E5183" s="6" t="s">
        <v>5640</v>
      </c>
      <c r="F5183" s="9" t="s">
        <v>13020</v>
      </c>
    </row>
    <row r="5184" ht="33.75" customHeight="1">
      <c r="A5184" s="7">
        <v>177.0</v>
      </c>
      <c r="B5184" s="9" t="s">
        <v>10575</v>
      </c>
      <c r="C5184" s="9" t="s">
        <v>83</v>
      </c>
      <c r="D5184" s="9" t="s">
        <v>79</v>
      </c>
      <c r="E5184" s="6" t="s">
        <v>5648</v>
      </c>
      <c r="F5184" s="9" t="s">
        <v>13020</v>
      </c>
    </row>
    <row r="5185" ht="33.75" customHeight="1">
      <c r="A5185" s="7">
        <v>177.0</v>
      </c>
      <c r="B5185" s="9" t="s">
        <v>10575</v>
      </c>
      <c r="C5185" s="9" t="s">
        <v>83</v>
      </c>
      <c r="D5185" s="9" t="s">
        <v>81</v>
      </c>
      <c r="E5185" s="6" t="s">
        <v>5649</v>
      </c>
      <c r="F5185" s="9" t="s">
        <v>13020</v>
      </c>
    </row>
    <row r="5186" ht="33.75" customHeight="1">
      <c r="A5186" s="7">
        <v>177.0</v>
      </c>
      <c r="B5186" s="9" t="s">
        <v>10575</v>
      </c>
      <c r="C5186" s="9" t="s">
        <v>83</v>
      </c>
      <c r="D5186" s="9" t="s">
        <v>84</v>
      </c>
      <c r="E5186" s="6" t="s">
        <v>5649</v>
      </c>
      <c r="F5186" s="9" t="s">
        <v>13020</v>
      </c>
    </row>
    <row r="5187" ht="33.75" customHeight="1">
      <c r="A5187" s="7">
        <v>177.0</v>
      </c>
      <c r="B5187" s="9" t="s">
        <v>10575</v>
      </c>
      <c r="C5187" s="9" t="s">
        <v>83</v>
      </c>
      <c r="D5187" s="9" t="s">
        <v>87</v>
      </c>
      <c r="E5187" s="6" t="s">
        <v>5649</v>
      </c>
      <c r="F5187" s="9" t="s">
        <v>13020</v>
      </c>
    </row>
    <row r="5188" ht="33.75" customHeight="1">
      <c r="A5188" s="7">
        <v>177.0</v>
      </c>
      <c r="B5188" s="9" t="s">
        <v>10575</v>
      </c>
      <c r="C5188" s="9" t="s">
        <v>83</v>
      </c>
      <c r="D5188" s="9" t="s">
        <v>89</v>
      </c>
      <c r="E5188" s="6" t="s">
        <v>5648</v>
      </c>
      <c r="F5188" s="9" t="s">
        <v>13020</v>
      </c>
    </row>
    <row r="5189" ht="33.75" customHeight="1">
      <c r="A5189" s="7">
        <v>177.0</v>
      </c>
      <c r="B5189" s="9" t="s">
        <v>10575</v>
      </c>
      <c r="C5189" s="9" t="s">
        <v>83</v>
      </c>
      <c r="D5189" s="9" t="s">
        <v>91</v>
      </c>
      <c r="E5189" s="6" t="s">
        <v>5640</v>
      </c>
      <c r="F5189" s="9" t="s">
        <v>13020</v>
      </c>
    </row>
    <row r="5190" ht="33.75" customHeight="1">
      <c r="A5190" s="7">
        <v>177.0</v>
      </c>
      <c r="B5190" s="9" t="s">
        <v>10575</v>
      </c>
      <c r="C5190" s="9" t="s">
        <v>83</v>
      </c>
      <c r="D5190" s="9" t="s">
        <v>93</v>
      </c>
      <c r="E5190" s="6" t="s">
        <v>5649</v>
      </c>
      <c r="F5190" s="9" t="s">
        <v>13020</v>
      </c>
    </row>
    <row r="5191" ht="33.75" customHeight="1">
      <c r="A5191" s="7">
        <v>177.0</v>
      </c>
      <c r="B5191" s="9" t="s">
        <v>10575</v>
      </c>
      <c r="C5191" s="9" t="s">
        <v>83</v>
      </c>
      <c r="D5191" s="9" t="s">
        <v>95</v>
      </c>
      <c r="E5191" s="6" t="s">
        <v>5649</v>
      </c>
      <c r="F5191" s="9" t="s">
        <v>13020</v>
      </c>
    </row>
    <row r="5192" ht="33.75" customHeight="1">
      <c r="A5192" s="7">
        <v>177.0</v>
      </c>
      <c r="B5192" s="9" t="s">
        <v>10575</v>
      </c>
      <c r="C5192" s="9" t="s">
        <v>83</v>
      </c>
      <c r="D5192" s="9" t="s">
        <v>98</v>
      </c>
      <c r="E5192" s="6" t="s">
        <v>5649</v>
      </c>
      <c r="F5192" s="9" t="s">
        <v>13020</v>
      </c>
    </row>
    <row r="5193" ht="33.75" customHeight="1">
      <c r="A5193" s="7">
        <v>177.0</v>
      </c>
      <c r="B5193" s="9" t="s">
        <v>10575</v>
      </c>
      <c r="C5193" s="9" t="s">
        <v>83</v>
      </c>
      <c r="D5193" s="9" t="s">
        <v>99</v>
      </c>
      <c r="E5193" s="6" t="s">
        <v>5649</v>
      </c>
      <c r="F5193" s="9" t="s">
        <v>13020</v>
      </c>
    </row>
    <row r="5194" ht="33.75" customHeight="1">
      <c r="A5194" s="7">
        <v>177.0</v>
      </c>
      <c r="B5194" s="9" t="s">
        <v>10575</v>
      </c>
      <c r="C5194" s="9" t="s">
        <v>83</v>
      </c>
      <c r="D5194" s="9" t="s">
        <v>101</v>
      </c>
      <c r="E5194" s="6" t="s">
        <v>5648</v>
      </c>
      <c r="F5194" s="9" t="s">
        <v>13020</v>
      </c>
    </row>
    <row r="5195" ht="33.75" customHeight="1">
      <c r="A5195" s="7">
        <v>177.0</v>
      </c>
      <c r="B5195" s="9" t="s">
        <v>10575</v>
      </c>
      <c r="C5195" s="9" t="s">
        <v>83</v>
      </c>
      <c r="D5195" s="9" t="s">
        <v>105</v>
      </c>
      <c r="E5195" s="6" t="s">
        <v>5640</v>
      </c>
      <c r="F5195" s="9" t="s">
        <v>13020</v>
      </c>
    </row>
    <row r="5196" ht="33.75" customHeight="1">
      <c r="A5196" s="7">
        <v>177.0</v>
      </c>
      <c r="B5196" s="9" t="s">
        <v>10575</v>
      </c>
      <c r="C5196" s="9" t="s">
        <v>83</v>
      </c>
      <c r="D5196" s="9" t="s">
        <v>107</v>
      </c>
      <c r="E5196" s="6" t="s">
        <v>5650</v>
      </c>
      <c r="F5196" s="9" t="s">
        <v>13020</v>
      </c>
    </row>
    <row r="5197" ht="33.75" customHeight="1">
      <c r="A5197" s="7">
        <v>177.0</v>
      </c>
      <c r="B5197" s="9" t="s">
        <v>10575</v>
      </c>
      <c r="C5197" s="9" t="s">
        <v>83</v>
      </c>
      <c r="D5197" s="9" t="s">
        <v>109</v>
      </c>
      <c r="E5197" s="6" t="s">
        <v>5651</v>
      </c>
      <c r="F5197" s="9" t="s">
        <v>13020</v>
      </c>
    </row>
    <row r="5198" ht="33.75" customHeight="1">
      <c r="A5198" s="7">
        <v>177.0</v>
      </c>
      <c r="B5198" s="9" t="s">
        <v>10575</v>
      </c>
      <c r="C5198" s="9" t="s">
        <v>83</v>
      </c>
      <c r="D5198" s="9" t="s">
        <v>647</v>
      </c>
      <c r="E5198" s="6" t="s">
        <v>5652</v>
      </c>
      <c r="F5198" s="9" t="s">
        <v>13020</v>
      </c>
    </row>
    <row r="5199" ht="33.75" customHeight="1">
      <c r="A5199" s="7">
        <v>177.0</v>
      </c>
      <c r="B5199" s="9" t="s">
        <v>10575</v>
      </c>
      <c r="C5199" s="9" t="s">
        <v>83</v>
      </c>
      <c r="D5199" s="9" t="s">
        <v>652</v>
      </c>
      <c r="E5199" s="6" t="s">
        <v>5653</v>
      </c>
      <c r="F5199" s="9" t="s">
        <v>13020</v>
      </c>
    </row>
    <row r="5200" ht="33.75" customHeight="1">
      <c r="A5200" s="7">
        <v>177.0</v>
      </c>
      <c r="B5200" s="9" t="s">
        <v>10575</v>
      </c>
      <c r="C5200" s="9" t="s">
        <v>83</v>
      </c>
      <c r="D5200" s="9" t="s">
        <v>114</v>
      </c>
      <c r="E5200" s="6" t="s">
        <v>5641</v>
      </c>
      <c r="F5200" s="9" t="s">
        <v>13020</v>
      </c>
    </row>
    <row r="5201" ht="33.75" customHeight="1">
      <c r="A5201" s="7">
        <v>177.0</v>
      </c>
      <c r="B5201" s="9" t="s">
        <v>10575</v>
      </c>
      <c r="C5201" s="9" t="s">
        <v>83</v>
      </c>
      <c r="D5201" s="9" t="s">
        <v>117</v>
      </c>
      <c r="E5201" s="6" t="s">
        <v>5648</v>
      </c>
      <c r="F5201" s="9" t="s">
        <v>13020</v>
      </c>
    </row>
    <row r="5202" ht="33.75" customHeight="1">
      <c r="A5202" s="7">
        <v>178.0</v>
      </c>
      <c r="B5202" s="9" t="s">
        <v>10633</v>
      </c>
      <c r="C5202" s="9" t="s">
        <v>275</v>
      </c>
      <c r="D5202" s="9" t="s">
        <v>52</v>
      </c>
      <c r="E5202" s="6" t="s">
        <v>5654</v>
      </c>
      <c r="F5202" s="9" t="s">
        <v>13067</v>
      </c>
      <c r="G5202" t="inlineStr" s="6">
        <is>
          <t xml:space="preserve">They say that Xatu stays still and quiet because it is seeing both the past and future at the same time. In South America, it is said that its right eye sees the future and its left eye views the past. Once it begins to meditate at sun rise, the entire day will pass before it will move again. XATU stands rooted and still in one spot all day long. People believe that this POKéMON does so out of fear of the terrible things it has foreseen in the future. XATU is known to stand motionless while staring at the sun all day long. Some people revere it as a mystical POKéMON out of their belief that XATU is in possession of the power to see into the future. It has the enigmatic power of foreseeing the future. Some people in different lands have long believed that XATU are emissaries from another world. This odd Pokémon can see both the past and the future. It eyes the sun’s movement all day. Once it begins to meditate at sunrise, the entire day will pass before it will move again. It’s said that while this Pokémon has the power to predict the future, it’s not powerful enough to change the future it sees. While it can see the future, it has no desire to change it, which is probably why it remains motionless at all times.</t>
        </is>
      </c>
    </row>
    <row r="5203" ht="33.75" customHeight="1">
      <c r="A5203" s="7">
        <v>178.0</v>
      </c>
      <c r="B5203" s="9" t="s">
        <v>10633</v>
      </c>
      <c r="C5203" s="9" t="s">
        <v>275</v>
      </c>
      <c r="D5203" s="9" t="s">
        <v>59</v>
      </c>
      <c r="E5203" s="6" t="s">
        <v>5655</v>
      </c>
      <c r="F5203" s="9" t="s">
        <v>13067</v>
      </c>
    </row>
    <row r="5204" ht="33.75" customHeight="1">
      <c r="A5204" s="7">
        <v>178.0</v>
      </c>
      <c r="B5204" s="9" t="s">
        <v>10633</v>
      </c>
      <c r="C5204" s="9" t="s">
        <v>275</v>
      </c>
      <c r="D5204" s="9" t="s">
        <v>64</v>
      </c>
      <c r="E5204" s="6" t="s">
        <v>5657</v>
      </c>
      <c r="F5204" s="9" t="s">
        <v>13067</v>
      </c>
    </row>
    <row r="5205" ht="33.75" customHeight="1">
      <c r="A5205" s="7">
        <v>178.0</v>
      </c>
      <c r="B5205" s="9" t="s">
        <v>10633</v>
      </c>
      <c r="C5205" s="9" t="s">
        <v>275</v>
      </c>
      <c r="D5205" s="9" t="s">
        <v>67</v>
      </c>
      <c r="E5205" s="6" t="s">
        <v>5659</v>
      </c>
      <c r="F5205" s="9" t="s">
        <v>13067</v>
      </c>
    </row>
    <row r="5206" ht="33.75" customHeight="1">
      <c r="A5206" s="7">
        <v>178.0</v>
      </c>
      <c r="B5206" s="9" t="s">
        <v>10633</v>
      </c>
      <c r="C5206" s="9" t="s">
        <v>275</v>
      </c>
      <c r="D5206" s="9" t="s">
        <v>71</v>
      </c>
      <c r="E5206" s="6" t="s">
        <v>5660</v>
      </c>
      <c r="F5206" s="9" t="s">
        <v>13067</v>
      </c>
    </row>
    <row r="5207" ht="33.75" customHeight="1">
      <c r="A5207" s="7">
        <v>178.0</v>
      </c>
      <c r="B5207" s="9" t="s">
        <v>10633</v>
      </c>
      <c r="C5207" s="9" t="s">
        <v>275</v>
      </c>
      <c r="D5207" s="9" t="s">
        <v>73</v>
      </c>
      <c r="E5207" s="6" t="s">
        <v>5661</v>
      </c>
      <c r="F5207" s="9" t="s">
        <v>13067</v>
      </c>
    </row>
    <row r="5208" ht="33.75" customHeight="1">
      <c r="A5208" s="7">
        <v>178.0</v>
      </c>
      <c r="B5208" s="9" t="s">
        <v>10633</v>
      </c>
      <c r="C5208" s="9" t="s">
        <v>275</v>
      </c>
      <c r="D5208" s="9" t="s">
        <v>75</v>
      </c>
      <c r="E5208" s="6" t="s">
        <v>5655</v>
      </c>
      <c r="F5208" s="9" t="s">
        <v>13067</v>
      </c>
    </row>
    <row r="5209" ht="33.75" customHeight="1">
      <c r="A5209" s="7">
        <v>178.0</v>
      </c>
      <c r="B5209" s="9" t="s">
        <v>10633</v>
      </c>
      <c r="C5209" s="9" t="s">
        <v>275</v>
      </c>
      <c r="D5209" s="9" t="s">
        <v>79</v>
      </c>
      <c r="E5209" s="6" t="s">
        <v>5654</v>
      </c>
      <c r="F5209" s="9" t="s">
        <v>13067</v>
      </c>
    </row>
    <row r="5210" ht="33.75" customHeight="1">
      <c r="A5210" s="7">
        <v>178.0</v>
      </c>
      <c r="B5210" s="9" t="s">
        <v>10633</v>
      </c>
      <c r="C5210" s="9" t="s">
        <v>275</v>
      </c>
      <c r="D5210" s="9" t="s">
        <v>81</v>
      </c>
      <c r="E5210" s="6" t="s">
        <v>5662</v>
      </c>
      <c r="F5210" s="9" t="s">
        <v>13067</v>
      </c>
    </row>
    <row r="5211" ht="33.75" customHeight="1">
      <c r="A5211" s="7">
        <v>178.0</v>
      </c>
      <c r="B5211" s="9" t="s">
        <v>10633</v>
      </c>
      <c r="C5211" s="9" t="s">
        <v>275</v>
      </c>
      <c r="D5211" s="9" t="s">
        <v>84</v>
      </c>
      <c r="E5211" s="6" t="s">
        <v>5662</v>
      </c>
      <c r="F5211" s="9" t="s">
        <v>13067</v>
      </c>
    </row>
    <row r="5212" ht="33.75" customHeight="1">
      <c r="A5212" s="7">
        <v>178.0</v>
      </c>
      <c r="B5212" s="9" t="s">
        <v>10633</v>
      </c>
      <c r="C5212" s="9" t="s">
        <v>275</v>
      </c>
      <c r="D5212" s="9" t="s">
        <v>87</v>
      </c>
      <c r="E5212" s="6" t="s">
        <v>5662</v>
      </c>
      <c r="F5212" s="9" t="s">
        <v>13067</v>
      </c>
    </row>
    <row r="5213" ht="33.75" customHeight="1">
      <c r="A5213" s="7">
        <v>178.0</v>
      </c>
      <c r="B5213" s="9" t="s">
        <v>10633</v>
      </c>
      <c r="C5213" s="9" t="s">
        <v>275</v>
      </c>
      <c r="D5213" s="9" t="s">
        <v>89</v>
      </c>
      <c r="E5213" s="6" t="s">
        <v>5654</v>
      </c>
      <c r="F5213" s="9" t="s">
        <v>13067</v>
      </c>
    </row>
    <row r="5214" ht="33.75" customHeight="1">
      <c r="A5214" s="7">
        <v>178.0</v>
      </c>
      <c r="B5214" s="9" t="s">
        <v>10633</v>
      </c>
      <c r="C5214" s="9" t="s">
        <v>275</v>
      </c>
      <c r="D5214" s="9" t="s">
        <v>91</v>
      </c>
      <c r="E5214" s="6" t="s">
        <v>5655</v>
      </c>
      <c r="F5214" s="9" t="s">
        <v>13067</v>
      </c>
    </row>
    <row r="5215" ht="33.75" customHeight="1">
      <c r="A5215" s="7">
        <v>178.0</v>
      </c>
      <c r="B5215" s="9" t="s">
        <v>10633</v>
      </c>
      <c r="C5215" s="9" t="s">
        <v>275</v>
      </c>
      <c r="D5215" s="9" t="s">
        <v>93</v>
      </c>
      <c r="E5215" s="6" t="s">
        <v>5662</v>
      </c>
      <c r="F5215" s="9" t="s">
        <v>13067</v>
      </c>
    </row>
    <row r="5216" ht="33.75" customHeight="1">
      <c r="A5216" s="7">
        <v>178.0</v>
      </c>
      <c r="B5216" s="9" t="s">
        <v>10633</v>
      </c>
      <c r="C5216" s="9" t="s">
        <v>275</v>
      </c>
      <c r="D5216" s="9" t="s">
        <v>95</v>
      </c>
      <c r="E5216" s="6" t="s">
        <v>5662</v>
      </c>
      <c r="F5216" s="9" t="s">
        <v>13067</v>
      </c>
    </row>
    <row r="5217" ht="33.75" customHeight="1">
      <c r="A5217" s="7">
        <v>178.0</v>
      </c>
      <c r="B5217" s="9" t="s">
        <v>10633</v>
      </c>
      <c r="C5217" s="9" t="s">
        <v>275</v>
      </c>
      <c r="D5217" s="9" t="s">
        <v>98</v>
      </c>
      <c r="E5217" s="6" t="s">
        <v>5662</v>
      </c>
      <c r="F5217" s="9" t="s">
        <v>13067</v>
      </c>
    </row>
    <row r="5218" ht="33.75" customHeight="1">
      <c r="A5218" s="7">
        <v>178.0</v>
      </c>
      <c r="B5218" s="9" t="s">
        <v>10633</v>
      </c>
      <c r="C5218" s="9" t="s">
        <v>275</v>
      </c>
      <c r="D5218" s="9" t="s">
        <v>99</v>
      </c>
      <c r="E5218" s="6" t="s">
        <v>5662</v>
      </c>
      <c r="F5218" s="9" t="s">
        <v>13067</v>
      </c>
    </row>
    <row r="5219" ht="33.75" customHeight="1">
      <c r="A5219" s="7">
        <v>178.0</v>
      </c>
      <c r="B5219" s="9" t="s">
        <v>10633</v>
      </c>
      <c r="C5219" s="9" t="s">
        <v>275</v>
      </c>
      <c r="D5219" s="9" t="s">
        <v>101</v>
      </c>
      <c r="E5219" s="6" t="s">
        <v>5664</v>
      </c>
      <c r="F5219" s="9" t="s">
        <v>13067</v>
      </c>
    </row>
    <row r="5220" ht="33.75" customHeight="1">
      <c r="A5220" s="7">
        <v>178.0</v>
      </c>
      <c r="B5220" s="9" t="s">
        <v>10633</v>
      </c>
      <c r="C5220" s="9" t="s">
        <v>275</v>
      </c>
      <c r="D5220" s="9" t="s">
        <v>105</v>
      </c>
      <c r="E5220" s="6" t="s">
        <v>5654</v>
      </c>
      <c r="F5220" s="9" t="s">
        <v>13067</v>
      </c>
    </row>
    <row r="5221" ht="33.75" customHeight="1">
      <c r="A5221" s="7">
        <v>178.0</v>
      </c>
      <c r="B5221" s="9" t="s">
        <v>10633</v>
      </c>
      <c r="C5221" s="9" t="s">
        <v>275</v>
      </c>
      <c r="D5221" s="9" t="s">
        <v>107</v>
      </c>
      <c r="E5221" s="6" t="s">
        <v>5665</v>
      </c>
      <c r="F5221" s="9" t="s">
        <v>13067</v>
      </c>
    </row>
    <row r="5222" ht="33.75" customHeight="1">
      <c r="A5222" s="7">
        <v>178.0</v>
      </c>
      <c r="B5222" s="9" t="s">
        <v>10633</v>
      </c>
      <c r="C5222" s="9" t="s">
        <v>275</v>
      </c>
      <c r="D5222" s="9" t="s">
        <v>109</v>
      </c>
      <c r="E5222" s="6" t="s">
        <v>5667</v>
      </c>
      <c r="F5222" s="9" t="s">
        <v>13067</v>
      </c>
    </row>
    <row r="5223" ht="33.75" customHeight="1">
      <c r="A5223" s="7">
        <v>178.0</v>
      </c>
      <c r="B5223" s="9" t="s">
        <v>10633</v>
      </c>
      <c r="C5223" s="9" t="s">
        <v>275</v>
      </c>
      <c r="D5223" s="9" t="s">
        <v>647</v>
      </c>
      <c r="E5223" s="6" t="s">
        <v>5669</v>
      </c>
      <c r="F5223" s="9" t="s">
        <v>13067</v>
      </c>
    </row>
    <row r="5224" ht="33.75" customHeight="1">
      <c r="A5224" s="7">
        <v>178.0</v>
      </c>
      <c r="B5224" s="9" t="s">
        <v>10633</v>
      </c>
      <c r="C5224" s="9" t="s">
        <v>275</v>
      </c>
      <c r="D5224" s="9" t="s">
        <v>652</v>
      </c>
      <c r="E5224" s="6" t="s">
        <v>5670</v>
      </c>
      <c r="F5224" s="9" t="s">
        <v>13067</v>
      </c>
    </row>
    <row r="5225" ht="33.75" customHeight="1">
      <c r="A5225" s="7">
        <v>178.0</v>
      </c>
      <c r="B5225" s="9" t="s">
        <v>10633</v>
      </c>
      <c r="C5225" s="9" t="s">
        <v>275</v>
      </c>
      <c r="D5225" s="9" t="s">
        <v>114</v>
      </c>
      <c r="E5225" s="6" t="s">
        <v>5654</v>
      </c>
      <c r="F5225" s="9" t="s">
        <v>13067</v>
      </c>
    </row>
    <row r="5226" ht="33.75" customHeight="1">
      <c r="A5226" s="7">
        <v>178.0</v>
      </c>
      <c r="B5226" s="9" t="s">
        <v>10633</v>
      </c>
      <c r="C5226" s="9" t="s">
        <v>275</v>
      </c>
      <c r="D5226" s="9" t="s">
        <v>117</v>
      </c>
      <c r="E5226" s="6" t="s">
        <v>5662</v>
      </c>
      <c r="F5226" s="9" t="s">
        <v>13067</v>
      </c>
    </row>
    <row r="5227" ht="33.75" customHeight="1">
      <c r="A5227" s="7">
        <v>179.0</v>
      </c>
      <c r="B5227" s="9" t="s">
        <v>10687</v>
      </c>
      <c r="C5227" s="9" t="s">
        <v>276</v>
      </c>
      <c r="D5227" s="9" t="s">
        <v>52</v>
      </c>
      <c r="E5227" s="6" t="s">
        <v>5672</v>
      </c>
      <c r="F5227" s="9" t="s">
        <v>13114</v>
      </c>
      <c r="G5227" t="inlineStr" s="6">
        <is>
          <t xml:space="preserve">If static electricity builds in Mareep's body, its fleece doubles in volume. Touching it will shock you. Its fleece grows continually. In the summer, the fleece is fully shed, but it grows back in a week. It stores lots of air in its soft fur, allowing it to stay cool in summer and warm in winter. MAREEP’s fluffy coat of wool rubs together and builds a static charge. The more static electricity is charged, the more brightly the lightbulb at the tip of its tail grows. Its fluffy wool rubs together and builds a static charge. The more energy is charged, the more brightly the lightbulb at the tip of its tail glows. Its fluffy coat swells to double when static electricity builds up. Touching it can be shocking. When cold weather increases static electricity, its wool doubles in size and the tip of its tail glows slightly. The more static electricity is charged, the more brightly the lightbulb at the tip of its tail glows. Clothing made from Mareep’s fleece is easily charged with static electricity, so a special process is used on it. Rubbing its fleece generates electricity. You’ll want to pet it because it’s cute, but if you use your bare hand, you’ll get a painful shock.</t>
        </is>
      </c>
    </row>
    <row r="5228" ht="33.75" customHeight="1">
      <c r="A5228" s="7">
        <v>179.0</v>
      </c>
      <c r="B5228" s="9" t="s">
        <v>10687</v>
      </c>
      <c r="C5228" s="9" t="s">
        <v>276</v>
      </c>
      <c r="D5228" s="9" t="s">
        <v>59</v>
      </c>
      <c r="E5228" s="6" t="s">
        <v>5673</v>
      </c>
      <c r="F5228" s="9" t="s">
        <v>13114</v>
      </c>
    </row>
    <row r="5229" ht="33.75" customHeight="1">
      <c r="A5229" s="7">
        <v>179.0</v>
      </c>
      <c r="B5229" s="9" t="s">
        <v>10687</v>
      </c>
      <c r="C5229" s="9" t="s">
        <v>276</v>
      </c>
      <c r="D5229" s="9" t="s">
        <v>64</v>
      </c>
      <c r="E5229" s="6" t="s">
        <v>5675</v>
      </c>
      <c r="F5229" s="9" t="s">
        <v>13114</v>
      </c>
    </row>
    <row r="5230" ht="33.75" customHeight="1">
      <c r="A5230" s="7">
        <v>179.0</v>
      </c>
      <c r="B5230" s="9" t="s">
        <v>10687</v>
      </c>
      <c r="C5230" s="9" t="s">
        <v>276</v>
      </c>
      <c r="D5230" s="9" t="s">
        <v>67</v>
      </c>
      <c r="E5230" s="6" t="s">
        <v>5676</v>
      </c>
      <c r="F5230" s="9" t="s">
        <v>13114</v>
      </c>
    </row>
    <row r="5231" ht="33.75" customHeight="1">
      <c r="A5231" s="7">
        <v>179.0</v>
      </c>
      <c r="B5231" s="9" t="s">
        <v>10687</v>
      </c>
      <c r="C5231" s="9" t="s">
        <v>276</v>
      </c>
      <c r="D5231" s="9" t="s">
        <v>71</v>
      </c>
      <c r="E5231" s="6" t="s">
        <v>5676</v>
      </c>
      <c r="F5231" s="9" t="s">
        <v>13114</v>
      </c>
    </row>
    <row r="5232" ht="33.75" customHeight="1">
      <c r="A5232" s="7">
        <v>179.0</v>
      </c>
      <c r="B5232" s="9" t="s">
        <v>10687</v>
      </c>
      <c r="C5232" s="9" t="s">
        <v>276</v>
      </c>
      <c r="D5232" s="9" t="s">
        <v>73</v>
      </c>
      <c r="E5232" s="6" t="s">
        <v>5677</v>
      </c>
      <c r="F5232" s="9" t="s">
        <v>13114</v>
      </c>
    </row>
    <row r="5233" ht="33.75" customHeight="1">
      <c r="A5233" s="7">
        <v>179.0</v>
      </c>
      <c r="B5233" s="9" t="s">
        <v>10687</v>
      </c>
      <c r="C5233" s="9" t="s">
        <v>276</v>
      </c>
      <c r="D5233" s="9" t="s">
        <v>75</v>
      </c>
      <c r="E5233" s="6" t="s">
        <v>5673</v>
      </c>
      <c r="F5233" s="9" t="s">
        <v>13114</v>
      </c>
    </row>
    <row r="5234" ht="33.75" customHeight="1">
      <c r="A5234" s="7">
        <v>179.0</v>
      </c>
      <c r="B5234" s="9" t="s">
        <v>10687</v>
      </c>
      <c r="C5234" s="9" t="s">
        <v>276</v>
      </c>
      <c r="D5234" s="9" t="s">
        <v>79</v>
      </c>
      <c r="E5234" s="6" t="s">
        <v>5678</v>
      </c>
      <c r="F5234" s="9" t="s">
        <v>13114</v>
      </c>
    </row>
    <row r="5235" ht="33.75" customHeight="1">
      <c r="A5235" s="7">
        <v>179.0</v>
      </c>
      <c r="B5235" s="9" t="s">
        <v>10687</v>
      </c>
      <c r="C5235" s="9" t="s">
        <v>276</v>
      </c>
      <c r="D5235" s="9" t="s">
        <v>81</v>
      </c>
      <c r="E5235" s="6" t="s">
        <v>5679</v>
      </c>
      <c r="F5235" s="9" t="s">
        <v>13114</v>
      </c>
    </row>
    <row r="5236" ht="33.75" customHeight="1">
      <c r="A5236" s="7">
        <v>179.0</v>
      </c>
      <c r="B5236" s="9" t="s">
        <v>10687</v>
      </c>
      <c r="C5236" s="9" t="s">
        <v>276</v>
      </c>
      <c r="D5236" s="9" t="s">
        <v>84</v>
      </c>
      <c r="E5236" s="6" t="s">
        <v>5679</v>
      </c>
      <c r="F5236" s="9" t="s">
        <v>13114</v>
      </c>
    </row>
    <row r="5237" ht="33.75" customHeight="1">
      <c r="A5237" s="7">
        <v>179.0</v>
      </c>
      <c r="B5237" s="9" t="s">
        <v>10687</v>
      </c>
      <c r="C5237" s="9" t="s">
        <v>276</v>
      </c>
      <c r="D5237" s="9" t="s">
        <v>87</v>
      </c>
      <c r="E5237" s="6" t="s">
        <v>5679</v>
      </c>
      <c r="F5237" s="9" t="s">
        <v>13114</v>
      </c>
    </row>
    <row r="5238" ht="33.75" customHeight="1">
      <c r="A5238" s="7">
        <v>179.0</v>
      </c>
      <c r="B5238" s="9" t="s">
        <v>10687</v>
      </c>
      <c r="C5238" s="9" t="s">
        <v>276</v>
      </c>
      <c r="D5238" s="9" t="s">
        <v>89</v>
      </c>
      <c r="E5238" s="6" t="s">
        <v>5678</v>
      </c>
      <c r="F5238" s="9" t="s">
        <v>13114</v>
      </c>
    </row>
    <row r="5239" ht="33.75" customHeight="1">
      <c r="A5239" s="7">
        <v>179.0</v>
      </c>
      <c r="B5239" s="9" t="s">
        <v>10687</v>
      </c>
      <c r="C5239" s="9" t="s">
        <v>276</v>
      </c>
      <c r="D5239" s="9" t="s">
        <v>91</v>
      </c>
      <c r="E5239" s="6" t="s">
        <v>5673</v>
      </c>
      <c r="F5239" s="9" t="s">
        <v>13114</v>
      </c>
    </row>
    <row r="5240" ht="33.75" customHeight="1">
      <c r="A5240" s="7">
        <v>179.0</v>
      </c>
      <c r="B5240" s="9" t="s">
        <v>10687</v>
      </c>
      <c r="C5240" s="9" t="s">
        <v>276</v>
      </c>
      <c r="D5240" s="9" t="s">
        <v>93</v>
      </c>
      <c r="E5240" s="6" t="s">
        <v>5679</v>
      </c>
      <c r="F5240" s="9" t="s">
        <v>13114</v>
      </c>
    </row>
    <row r="5241" ht="33.75" customHeight="1">
      <c r="A5241" s="7">
        <v>179.0</v>
      </c>
      <c r="B5241" s="9" t="s">
        <v>10687</v>
      </c>
      <c r="C5241" s="9" t="s">
        <v>276</v>
      </c>
      <c r="D5241" s="9" t="s">
        <v>95</v>
      </c>
      <c r="E5241" s="6" t="s">
        <v>5679</v>
      </c>
      <c r="F5241" s="9" t="s">
        <v>13114</v>
      </c>
    </row>
    <row r="5242" ht="33.75" customHeight="1">
      <c r="A5242" s="7">
        <v>179.0</v>
      </c>
      <c r="B5242" s="9" t="s">
        <v>10687</v>
      </c>
      <c r="C5242" s="9" t="s">
        <v>276</v>
      </c>
      <c r="D5242" s="9" t="s">
        <v>98</v>
      </c>
      <c r="E5242" s="6" t="s">
        <v>5681</v>
      </c>
      <c r="F5242" s="9" t="s">
        <v>13114</v>
      </c>
    </row>
    <row r="5243" ht="33.75" customHeight="1">
      <c r="A5243" s="7">
        <v>179.0</v>
      </c>
      <c r="B5243" s="9" t="s">
        <v>10687</v>
      </c>
      <c r="C5243" s="9" t="s">
        <v>276</v>
      </c>
      <c r="D5243" s="9" t="s">
        <v>99</v>
      </c>
      <c r="E5243" s="6" t="s">
        <v>5681</v>
      </c>
      <c r="F5243" s="9" t="s">
        <v>13114</v>
      </c>
    </row>
    <row r="5244" ht="33.75" customHeight="1">
      <c r="A5244" s="7">
        <v>179.0</v>
      </c>
      <c r="B5244" s="9" t="s">
        <v>10687</v>
      </c>
      <c r="C5244" s="9" t="s">
        <v>276</v>
      </c>
      <c r="D5244" s="9" t="s">
        <v>101</v>
      </c>
      <c r="E5244" s="6" t="s">
        <v>5679</v>
      </c>
      <c r="F5244" s="9" t="s">
        <v>13114</v>
      </c>
    </row>
    <row r="5245" ht="33.75" customHeight="1">
      <c r="A5245" s="7">
        <v>179.0</v>
      </c>
      <c r="B5245" s="9" t="s">
        <v>10687</v>
      </c>
      <c r="C5245" s="9" t="s">
        <v>276</v>
      </c>
      <c r="D5245" s="9" t="s">
        <v>105</v>
      </c>
      <c r="E5245" s="6" t="s">
        <v>5675</v>
      </c>
      <c r="F5245" s="9" t="s">
        <v>13114</v>
      </c>
    </row>
    <row r="5246" ht="33.75" customHeight="1">
      <c r="A5246" s="7">
        <v>179.0</v>
      </c>
      <c r="B5246" s="9" t="s">
        <v>10687</v>
      </c>
      <c r="C5246" s="9" t="s">
        <v>276</v>
      </c>
      <c r="D5246" s="9" t="s">
        <v>107</v>
      </c>
      <c r="E5246" s="6" t="s">
        <v>5683</v>
      </c>
      <c r="F5246" s="9" t="s">
        <v>13114</v>
      </c>
    </row>
    <row r="5247" ht="33.75" customHeight="1">
      <c r="A5247" s="7">
        <v>179.0</v>
      </c>
      <c r="B5247" s="9" t="s">
        <v>10687</v>
      </c>
      <c r="C5247" s="9" t="s">
        <v>276</v>
      </c>
      <c r="D5247" s="9" t="s">
        <v>109</v>
      </c>
      <c r="E5247" s="6" t="s">
        <v>5683</v>
      </c>
      <c r="F5247" s="9" t="s">
        <v>13114</v>
      </c>
    </row>
    <row r="5248" ht="33.75" customHeight="1">
      <c r="A5248" s="7">
        <v>179.0</v>
      </c>
      <c r="B5248" s="9" t="s">
        <v>10687</v>
      </c>
      <c r="C5248" s="9" t="s">
        <v>276</v>
      </c>
      <c r="D5248" s="9" t="s">
        <v>647</v>
      </c>
      <c r="E5248" s="6" t="s">
        <v>5684</v>
      </c>
      <c r="F5248" s="9" t="s">
        <v>13114</v>
      </c>
    </row>
    <row r="5249" ht="33.75" customHeight="1">
      <c r="A5249" s="7">
        <v>179.0</v>
      </c>
      <c r="B5249" s="9" t="s">
        <v>10687</v>
      </c>
      <c r="C5249" s="9" t="s">
        <v>276</v>
      </c>
      <c r="D5249" s="9" t="s">
        <v>652</v>
      </c>
      <c r="E5249" s="6" t="s">
        <v>5685</v>
      </c>
      <c r="F5249" s="9" t="s">
        <v>13114</v>
      </c>
    </row>
    <row r="5250" ht="33.75" customHeight="1">
      <c r="A5250" s="7">
        <v>180.0</v>
      </c>
      <c r="B5250" s="9" t="s">
        <v>10747</v>
      </c>
      <c r="C5250" s="9" t="s">
        <v>276</v>
      </c>
      <c r="D5250" s="9" t="s">
        <v>52</v>
      </c>
      <c r="E5250" s="6" t="s">
        <v>5686</v>
      </c>
      <c r="F5250" s="9" t="s">
        <v>13159</v>
      </c>
      <c r="G5250" t="inlineStr" s="6">
        <is>
          <t xml:space="preserve">As a result of storing too much electricity, it developed patches where even downy wool won't grow. Its fluffy fleece easily stores electricity. Its rubbery hide keeps it from being electrocuted. Because of its rubbery, electric ity-resistant skin, it can store lots of electric ity in its fur. FLAAFFY’s wool quality changes so that it can generate a high amount of static electricity with a small amount of wool. The bare and slick parts of its hide are shielded against electricity. Its fleece quality changes to generate strong static electricity with a small amount of wool. The bare, slick parts of its hide are shielded against electricity. If its coat becomes fully charged with electricity, its tail lights up. It fires hair that zaps on impact. Not even downy wool will grow on its rubbery, nonconductive patches of skin that prevent electrical shock. In the places on its body where fleece doesn’t grow, its skin is rubbery and doesn’t conduct electricity. Those spots are safe to touch. It stores electricity in its fluffy fleece. If it stores up too much, it will start to go bald in those patches.</t>
        </is>
      </c>
    </row>
    <row r="5251" ht="33.75" customHeight="1">
      <c r="A5251" s="7">
        <v>180.0</v>
      </c>
      <c r="B5251" s="9" t="s">
        <v>10747</v>
      </c>
      <c r="C5251" s="9" t="s">
        <v>276</v>
      </c>
      <c r="D5251" s="9" t="s">
        <v>59</v>
      </c>
      <c r="E5251" s="6" t="s">
        <v>5688</v>
      </c>
      <c r="F5251" s="9" t="s">
        <v>13159</v>
      </c>
    </row>
    <row r="5252" ht="33.75" customHeight="1">
      <c r="A5252" s="7">
        <v>180.0</v>
      </c>
      <c r="B5252" s="9" t="s">
        <v>10747</v>
      </c>
      <c r="C5252" s="9" t="s">
        <v>276</v>
      </c>
      <c r="D5252" s="9" t="s">
        <v>64</v>
      </c>
      <c r="E5252" s="6" t="s">
        <v>5689</v>
      </c>
      <c r="F5252" s="9" t="s">
        <v>13159</v>
      </c>
    </row>
    <row r="5253" ht="33.75" customHeight="1">
      <c r="A5253" s="7">
        <v>180.0</v>
      </c>
      <c r="B5253" s="9" t="s">
        <v>10747</v>
      </c>
      <c r="C5253" s="9" t="s">
        <v>276</v>
      </c>
      <c r="D5253" s="9" t="s">
        <v>67</v>
      </c>
      <c r="E5253" s="6" t="s">
        <v>5690</v>
      </c>
      <c r="F5253" s="9" t="s">
        <v>13159</v>
      </c>
    </row>
    <row r="5254" ht="33.75" customHeight="1">
      <c r="A5254" s="7">
        <v>180.0</v>
      </c>
      <c r="B5254" s="9" t="s">
        <v>10747</v>
      </c>
      <c r="C5254" s="9" t="s">
        <v>276</v>
      </c>
      <c r="D5254" s="9" t="s">
        <v>71</v>
      </c>
      <c r="E5254" s="6" t="s">
        <v>5690</v>
      </c>
      <c r="F5254" s="9" t="s">
        <v>13159</v>
      </c>
    </row>
    <row r="5255" ht="33.75" customHeight="1">
      <c r="A5255" s="7">
        <v>180.0</v>
      </c>
      <c r="B5255" s="9" t="s">
        <v>10747</v>
      </c>
      <c r="C5255" s="9" t="s">
        <v>276</v>
      </c>
      <c r="D5255" s="9" t="s">
        <v>73</v>
      </c>
      <c r="E5255" s="6" t="s">
        <v>5691</v>
      </c>
      <c r="F5255" s="9" t="s">
        <v>13159</v>
      </c>
    </row>
    <row r="5256" ht="33.75" customHeight="1">
      <c r="A5256" s="7">
        <v>180.0</v>
      </c>
      <c r="B5256" s="9" t="s">
        <v>10747</v>
      </c>
      <c r="C5256" s="9" t="s">
        <v>276</v>
      </c>
      <c r="D5256" s="9" t="s">
        <v>75</v>
      </c>
      <c r="E5256" s="6" t="s">
        <v>5688</v>
      </c>
      <c r="F5256" s="9" t="s">
        <v>13159</v>
      </c>
    </row>
    <row r="5257" ht="33.75" customHeight="1">
      <c r="A5257" s="7">
        <v>180.0</v>
      </c>
      <c r="B5257" s="9" t="s">
        <v>10747</v>
      </c>
      <c r="C5257" s="9" t="s">
        <v>276</v>
      </c>
      <c r="D5257" s="9" t="s">
        <v>79</v>
      </c>
      <c r="E5257" s="6" t="s">
        <v>5692</v>
      </c>
      <c r="F5257" s="9" t="s">
        <v>13159</v>
      </c>
    </row>
    <row r="5258" ht="33.75" customHeight="1">
      <c r="A5258" s="7">
        <v>180.0</v>
      </c>
      <c r="B5258" s="9" t="s">
        <v>10747</v>
      </c>
      <c r="C5258" s="9" t="s">
        <v>276</v>
      </c>
      <c r="D5258" s="9" t="s">
        <v>81</v>
      </c>
      <c r="E5258" s="6" t="s">
        <v>5693</v>
      </c>
      <c r="F5258" s="9" t="s">
        <v>13159</v>
      </c>
    </row>
    <row r="5259" ht="33.75" customHeight="1">
      <c r="A5259" s="7">
        <v>180.0</v>
      </c>
      <c r="B5259" s="9" t="s">
        <v>10747</v>
      </c>
      <c r="C5259" s="9" t="s">
        <v>276</v>
      </c>
      <c r="D5259" s="9" t="s">
        <v>84</v>
      </c>
      <c r="E5259" s="6" t="s">
        <v>5693</v>
      </c>
      <c r="F5259" s="9" t="s">
        <v>13159</v>
      </c>
    </row>
    <row r="5260" ht="33.75" customHeight="1">
      <c r="A5260" s="7">
        <v>180.0</v>
      </c>
      <c r="B5260" s="9" t="s">
        <v>10747</v>
      </c>
      <c r="C5260" s="9" t="s">
        <v>276</v>
      </c>
      <c r="D5260" s="9" t="s">
        <v>87</v>
      </c>
      <c r="E5260" s="6" t="s">
        <v>5693</v>
      </c>
      <c r="F5260" s="9" t="s">
        <v>13159</v>
      </c>
    </row>
    <row r="5261" ht="33.75" customHeight="1">
      <c r="A5261" s="7">
        <v>180.0</v>
      </c>
      <c r="B5261" s="9" t="s">
        <v>10747</v>
      </c>
      <c r="C5261" s="9" t="s">
        <v>276</v>
      </c>
      <c r="D5261" s="9" t="s">
        <v>89</v>
      </c>
      <c r="E5261" s="6" t="s">
        <v>5692</v>
      </c>
      <c r="F5261" s="9" t="s">
        <v>13159</v>
      </c>
    </row>
    <row r="5262" ht="33.75" customHeight="1">
      <c r="A5262" s="7">
        <v>180.0</v>
      </c>
      <c r="B5262" s="9" t="s">
        <v>10747</v>
      </c>
      <c r="C5262" s="9" t="s">
        <v>276</v>
      </c>
      <c r="D5262" s="9" t="s">
        <v>91</v>
      </c>
      <c r="E5262" s="6" t="s">
        <v>5688</v>
      </c>
      <c r="F5262" s="9" t="s">
        <v>13159</v>
      </c>
    </row>
    <row r="5263" ht="33.75" customHeight="1">
      <c r="A5263" s="7">
        <v>180.0</v>
      </c>
      <c r="B5263" s="9" t="s">
        <v>10747</v>
      </c>
      <c r="C5263" s="9" t="s">
        <v>276</v>
      </c>
      <c r="D5263" s="9" t="s">
        <v>93</v>
      </c>
      <c r="E5263" s="6" t="s">
        <v>5693</v>
      </c>
      <c r="F5263" s="9" t="s">
        <v>13159</v>
      </c>
    </row>
    <row r="5264" ht="33.75" customHeight="1">
      <c r="A5264" s="7">
        <v>180.0</v>
      </c>
      <c r="B5264" s="9" t="s">
        <v>10747</v>
      </c>
      <c r="C5264" s="9" t="s">
        <v>276</v>
      </c>
      <c r="D5264" s="9" t="s">
        <v>95</v>
      </c>
      <c r="E5264" s="6" t="s">
        <v>5693</v>
      </c>
      <c r="F5264" s="9" t="s">
        <v>13159</v>
      </c>
    </row>
    <row r="5265" ht="33.75" customHeight="1">
      <c r="A5265" s="7">
        <v>180.0</v>
      </c>
      <c r="B5265" s="9" t="s">
        <v>10747</v>
      </c>
      <c r="C5265" s="9" t="s">
        <v>276</v>
      </c>
      <c r="D5265" s="9" t="s">
        <v>98</v>
      </c>
      <c r="E5265" s="6" t="s">
        <v>5695</v>
      </c>
      <c r="F5265" s="9" t="s">
        <v>13159</v>
      </c>
    </row>
    <row r="5266" ht="33.75" customHeight="1">
      <c r="A5266" s="7">
        <v>180.0</v>
      </c>
      <c r="B5266" s="9" t="s">
        <v>10747</v>
      </c>
      <c r="C5266" s="9" t="s">
        <v>276</v>
      </c>
      <c r="D5266" s="9" t="s">
        <v>99</v>
      </c>
      <c r="E5266" s="6" t="s">
        <v>5695</v>
      </c>
      <c r="F5266" s="9" t="s">
        <v>13159</v>
      </c>
    </row>
    <row r="5267" ht="33.75" customHeight="1">
      <c r="A5267" s="7">
        <v>180.0</v>
      </c>
      <c r="B5267" s="9" t="s">
        <v>10747</v>
      </c>
      <c r="C5267" s="9" t="s">
        <v>276</v>
      </c>
      <c r="D5267" s="9" t="s">
        <v>101</v>
      </c>
      <c r="E5267" s="6" t="s">
        <v>5688</v>
      </c>
      <c r="F5267" s="9" t="s">
        <v>13159</v>
      </c>
    </row>
    <row r="5268" ht="33.75" customHeight="1">
      <c r="A5268" s="7">
        <v>180.0</v>
      </c>
      <c r="B5268" s="9" t="s">
        <v>10747</v>
      </c>
      <c r="C5268" s="9" t="s">
        <v>276</v>
      </c>
      <c r="D5268" s="9" t="s">
        <v>105</v>
      </c>
      <c r="E5268" s="6" t="s">
        <v>5693</v>
      </c>
      <c r="F5268" s="9" t="s">
        <v>13159</v>
      </c>
    </row>
    <row r="5269" ht="33.75" customHeight="1">
      <c r="A5269" s="7">
        <v>180.0</v>
      </c>
      <c r="B5269" s="9" t="s">
        <v>10747</v>
      </c>
      <c r="C5269" s="9" t="s">
        <v>276</v>
      </c>
      <c r="D5269" s="9" t="s">
        <v>107</v>
      </c>
      <c r="E5269" s="6" t="s">
        <v>5696</v>
      </c>
      <c r="F5269" s="9" t="s">
        <v>13159</v>
      </c>
    </row>
    <row r="5270" ht="33.75" customHeight="1">
      <c r="A5270" s="7">
        <v>180.0</v>
      </c>
      <c r="B5270" s="9" t="s">
        <v>10747</v>
      </c>
      <c r="C5270" s="9" t="s">
        <v>276</v>
      </c>
      <c r="D5270" s="9" t="s">
        <v>109</v>
      </c>
      <c r="E5270" s="6" t="s">
        <v>5696</v>
      </c>
      <c r="F5270" s="9" t="s">
        <v>13159</v>
      </c>
    </row>
    <row r="5271" ht="33.75" customHeight="1">
      <c r="A5271" s="7">
        <v>180.0</v>
      </c>
      <c r="B5271" s="9" t="s">
        <v>10747</v>
      </c>
      <c r="C5271" s="9" t="s">
        <v>276</v>
      </c>
      <c r="D5271" s="9" t="s">
        <v>647</v>
      </c>
      <c r="E5271" s="6" t="s">
        <v>5697</v>
      </c>
      <c r="F5271" s="9" t="s">
        <v>13159</v>
      </c>
    </row>
    <row r="5272" ht="33.75" customHeight="1">
      <c r="A5272" s="7">
        <v>180.0</v>
      </c>
      <c r="B5272" s="9" t="s">
        <v>10747</v>
      </c>
      <c r="C5272" s="9" t="s">
        <v>276</v>
      </c>
      <c r="D5272" s="9" t="s">
        <v>652</v>
      </c>
      <c r="E5272" s="6" t="s">
        <v>5698</v>
      </c>
      <c r="F5272" s="9" t="s">
        <v>13159</v>
      </c>
    </row>
    <row r="5273" ht="33.75" customHeight="1">
      <c r="A5273" s="7">
        <v>181.0</v>
      </c>
      <c r="B5273" s="9" t="s">
        <v>10795</v>
      </c>
      <c r="C5273" s="9" t="s">
        <v>265</v>
      </c>
      <c r="D5273" s="9" t="s">
        <v>52</v>
      </c>
      <c r="E5273" s="6" t="s">
        <v>5699</v>
      </c>
      <c r="F5273" s="9" t="s">
        <v>13190</v>
      </c>
      <c r="G5273" t="inlineStr" s="6">
        <is>
          <t xml:space="preserve">The tail's tip shines brightly and can be seen from far away. It acts as a beacon for lost people. The bright light on its tail can be seen far away. It has been treasured since ancient times as a beacon. When it gets dark, the light from its bright, shiny tail can be seen from far away on the ocean's surface. AMPHAROS gives off so much light that it can be seen even from space. People in the old days used the light of this POKéMON to send signals back and forth with others far away. It gives off so much light that it can be seen even from space. People in the old days used its light to send signals back and forth with others far away. The tip of its tail shines brightly. In the olden days, people sent signals using the tail’s light. The tip of its tail shines so brightly it can be used to send sea-navigation beacons to distant foreign shores. The light from its tail can be seen from space. This is why you can always tell exactly where it is, which is why it usually keeps the light off. Its tail shines bright and strong. It has been prized since long ago as a beacon for sailors.</t>
        </is>
      </c>
    </row>
    <row r="5274" ht="33.75" customHeight="1">
      <c r="A5274" s="7">
        <v>181.0</v>
      </c>
      <c r="B5274" s="9" t="s">
        <v>10795</v>
      </c>
      <c r="C5274" s="9" t="s">
        <v>265</v>
      </c>
      <c r="D5274" s="9" t="s">
        <v>59</v>
      </c>
      <c r="E5274" s="6" t="s">
        <v>5700</v>
      </c>
      <c r="F5274" s="9" t="s">
        <v>13190</v>
      </c>
    </row>
    <row r="5275" ht="33.75" customHeight="1">
      <c r="A5275" s="7">
        <v>181.0</v>
      </c>
      <c r="B5275" s="9" t="s">
        <v>10795</v>
      </c>
      <c r="C5275" s="9" t="s">
        <v>265</v>
      </c>
      <c r="D5275" s="9" t="s">
        <v>64</v>
      </c>
      <c r="E5275" s="6" t="s">
        <v>5701</v>
      </c>
      <c r="F5275" s="9" t="s">
        <v>13190</v>
      </c>
    </row>
    <row r="5276" ht="33.75" customHeight="1">
      <c r="A5276" s="7">
        <v>181.0</v>
      </c>
      <c r="B5276" s="9" t="s">
        <v>10795</v>
      </c>
      <c r="C5276" s="9" t="s">
        <v>265</v>
      </c>
      <c r="D5276" s="9" t="s">
        <v>67</v>
      </c>
      <c r="E5276" s="6" t="s">
        <v>5702</v>
      </c>
      <c r="F5276" s="9" t="s">
        <v>13190</v>
      </c>
    </row>
    <row r="5277" ht="33.75" customHeight="1">
      <c r="A5277" s="7">
        <v>181.0</v>
      </c>
      <c r="B5277" s="9" t="s">
        <v>10795</v>
      </c>
      <c r="C5277" s="9" t="s">
        <v>265</v>
      </c>
      <c r="D5277" s="9" t="s">
        <v>71</v>
      </c>
      <c r="E5277" s="6" t="s">
        <v>5702</v>
      </c>
      <c r="F5277" s="9" t="s">
        <v>13190</v>
      </c>
    </row>
    <row r="5278" ht="33.75" customHeight="1">
      <c r="A5278" s="7">
        <v>181.0</v>
      </c>
      <c r="B5278" s="9" t="s">
        <v>10795</v>
      </c>
      <c r="C5278" s="9" t="s">
        <v>265</v>
      </c>
      <c r="D5278" s="9" t="s">
        <v>73</v>
      </c>
      <c r="E5278" s="6" t="s">
        <v>5703</v>
      </c>
      <c r="F5278" s="9" t="s">
        <v>13190</v>
      </c>
    </row>
    <row r="5279" ht="33.75" customHeight="1">
      <c r="A5279" s="7">
        <v>181.0</v>
      </c>
      <c r="B5279" s="9" t="s">
        <v>10795</v>
      </c>
      <c r="C5279" s="9" t="s">
        <v>265</v>
      </c>
      <c r="D5279" s="9" t="s">
        <v>75</v>
      </c>
      <c r="E5279" s="6" t="s">
        <v>5700</v>
      </c>
      <c r="F5279" s="9" t="s">
        <v>13190</v>
      </c>
    </row>
    <row r="5280" ht="33.75" customHeight="1">
      <c r="A5280" s="7">
        <v>181.0</v>
      </c>
      <c r="B5280" s="9" t="s">
        <v>10795</v>
      </c>
      <c r="C5280" s="9" t="s">
        <v>265</v>
      </c>
      <c r="D5280" s="9" t="s">
        <v>79</v>
      </c>
      <c r="E5280" s="6" t="s">
        <v>5705</v>
      </c>
      <c r="F5280" s="9" t="s">
        <v>13190</v>
      </c>
    </row>
    <row r="5281" ht="33.75" customHeight="1">
      <c r="A5281" s="7">
        <v>181.0</v>
      </c>
      <c r="B5281" s="9" t="s">
        <v>10795</v>
      </c>
      <c r="C5281" s="9" t="s">
        <v>265</v>
      </c>
      <c r="D5281" s="9" t="s">
        <v>81</v>
      </c>
      <c r="E5281" s="6" t="s">
        <v>5706</v>
      </c>
      <c r="F5281" s="9" t="s">
        <v>13190</v>
      </c>
    </row>
    <row r="5282" ht="33.75" customHeight="1">
      <c r="A5282" s="7">
        <v>181.0</v>
      </c>
      <c r="B5282" s="9" t="s">
        <v>10795</v>
      </c>
      <c r="C5282" s="9" t="s">
        <v>265</v>
      </c>
      <c r="D5282" s="9" t="s">
        <v>84</v>
      </c>
      <c r="E5282" s="6" t="s">
        <v>5706</v>
      </c>
      <c r="F5282" s="9" t="s">
        <v>13190</v>
      </c>
    </row>
    <row r="5283" ht="33.75" customHeight="1">
      <c r="A5283" s="7">
        <v>181.0</v>
      </c>
      <c r="B5283" s="9" t="s">
        <v>10795</v>
      </c>
      <c r="C5283" s="9" t="s">
        <v>265</v>
      </c>
      <c r="D5283" s="9" t="s">
        <v>87</v>
      </c>
      <c r="E5283" s="6" t="s">
        <v>5706</v>
      </c>
      <c r="F5283" s="9" t="s">
        <v>13190</v>
      </c>
    </row>
    <row r="5284" ht="33.75" customHeight="1">
      <c r="A5284" s="7">
        <v>181.0</v>
      </c>
      <c r="B5284" s="9" t="s">
        <v>10795</v>
      </c>
      <c r="C5284" s="9" t="s">
        <v>265</v>
      </c>
      <c r="D5284" s="9" t="s">
        <v>89</v>
      </c>
      <c r="E5284" s="6" t="s">
        <v>5705</v>
      </c>
      <c r="F5284" s="9" t="s">
        <v>13190</v>
      </c>
    </row>
    <row r="5285" ht="33.75" customHeight="1">
      <c r="A5285" s="7">
        <v>181.0</v>
      </c>
      <c r="B5285" s="9" t="s">
        <v>10795</v>
      </c>
      <c r="C5285" s="9" t="s">
        <v>265</v>
      </c>
      <c r="D5285" s="9" t="s">
        <v>91</v>
      </c>
      <c r="E5285" s="6" t="s">
        <v>5700</v>
      </c>
      <c r="F5285" s="9" t="s">
        <v>13190</v>
      </c>
    </row>
    <row r="5286" ht="33.75" customHeight="1">
      <c r="A5286" s="7">
        <v>181.0</v>
      </c>
      <c r="B5286" s="9" t="s">
        <v>10795</v>
      </c>
      <c r="C5286" s="9" t="s">
        <v>265</v>
      </c>
      <c r="D5286" s="9" t="s">
        <v>93</v>
      </c>
      <c r="E5286" s="6" t="s">
        <v>5706</v>
      </c>
      <c r="F5286" s="9" t="s">
        <v>13190</v>
      </c>
    </row>
    <row r="5287" ht="33.75" customHeight="1">
      <c r="A5287" s="7">
        <v>181.0</v>
      </c>
      <c r="B5287" s="9" t="s">
        <v>10795</v>
      </c>
      <c r="C5287" s="9" t="s">
        <v>265</v>
      </c>
      <c r="D5287" s="9" t="s">
        <v>95</v>
      </c>
      <c r="E5287" s="6" t="s">
        <v>5706</v>
      </c>
      <c r="F5287" s="9" t="s">
        <v>13190</v>
      </c>
    </row>
    <row r="5288" ht="33.75" customHeight="1">
      <c r="A5288" s="7">
        <v>181.0</v>
      </c>
      <c r="B5288" s="9" t="s">
        <v>10795</v>
      </c>
      <c r="C5288" s="9" t="s">
        <v>265</v>
      </c>
      <c r="D5288" s="9" t="s">
        <v>98</v>
      </c>
      <c r="E5288" s="6" t="s">
        <v>5708</v>
      </c>
      <c r="F5288" s="9" t="s">
        <v>13190</v>
      </c>
    </row>
    <row r="5289" ht="33.75" customHeight="1">
      <c r="A5289" s="7">
        <v>181.0</v>
      </c>
      <c r="B5289" s="9" t="s">
        <v>10795</v>
      </c>
      <c r="C5289" s="9" t="s">
        <v>265</v>
      </c>
      <c r="D5289" s="9" t="s">
        <v>99</v>
      </c>
      <c r="E5289" s="6" t="s">
        <v>5708</v>
      </c>
      <c r="F5289" s="9" t="s">
        <v>13190</v>
      </c>
    </row>
    <row r="5290" ht="33.75" customHeight="1">
      <c r="A5290" s="7">
        <v>181.0</v>
      </c>
      <c r="B5290" s="9" t="s">
        <v>10795</v>
      </c>
      <c r="C5290" s="9" t="s">
        <v>265</v>
      </c>
      <c r="D5290" s="9" t="s">
        <v>101</v>
      </c>
      <c r="E5290" s="6" t="s">
        <v>5705</v>
      </c>
      <c r="F5290" s="9" t="s">
        <v>13190</v>
      </c>
    </row>
    <row r="5291" ht="33.75" customHeight="1">
      <c r="A5291" s="7">
        <v>181.0</v>
      </c>
      <c r="B5291" s="9" t="s">
        <v>10795</v>
      </c>
      <c r="C5291" s="9" t="s">
        <v>265</v>
      </c>
      <c r="D5291" s="9" t="s">
        <v>105</v>
      </c>
      <c r="E5291" s="6" t="s">
        <v>5705</v>
      </c>
      <c r="F5291" s="9" t="s">
        <v>13190</v>
      </c>
    </row>
    <row r="5292" ht="33.75" customHeight="1">
      <c r="A5292" s="7">
        <v>181.0</v>
      </c>
      <c r="B5292" s="9" t="s">
        <v>10795</v>
      </c>
      <c r="C5292" s="9" t="s">
        <v>265</v>
      </c>
      <c r="D5292" s="9" t="s">
        <v>107</v>
      </c>
      <c r="E5292" s="6" t="s">
        <v>5709</v>
      </c>
      <c r="F5292" s="9" t="s">
        <v>13190</v>
      </c>
    </row>
    <row r="5293" ht="33.75" customHeight="1">
      <c r="A5293" s="7">
        <v>181.0</v>
      </c>
      <c r="B5293" s="9" t="s">
        <v>10795</v>
      </c>
      <c r="C5293" s="9" t="s">
        <v>265</v>
      </c>
      <c r="D5293" s="9" t="s">
        <v>109</v>
      </c>
      <c r="E5293" s="6" t="s">
        <v>5709</v>
      </c>
      <c r="F5293" s="9" t="s">
        <v>13190</v>
      </c>
    </row>
    <row r="5294" ht="33.75" customHeight="1">
      <c r="A5294" s="7">
        <v>181.0</v>
      </c>
      <c r="B5294" s="9" t="s">
        <v>10795</v>
      </c>
      <c r="C5294" s="9" t="s">
        <v>265</v>
      </c>
      <c r="D5294" s="9" t="s">
        <v>647</v>
      </c>
      <c r="E5294" s="6" t="s">
        <v>5711</v>
      </c>
      <c r="F5294" s="9" t="s">
        <v>13190</v>
      </c>
    </row>
    <row r="5295" ht="33.75" customHeight="1">
      <c r="A5295" s="7">
        <v>181.0</v>
      </c>
      <c r="B5295" s="9" t="s">
        <v>10795</v>
      </c>
      <c r="C5295" s="9" t="s">
        <v>265</v>
      </c>
      <c r="D5295" s="9" t="s">
        <v>652</v>
      </c>
      <c r="E5295" s="6" t="s">
        <v>5713</v>
      </c>
      <c r="F5295" s="9" t="s">
        <v>13190</v>
      </c>
    </row>
    <row r="5296" ht="33.75" customHeight="1">
      <c r="A5296" s="7">
        <v>182.0</v>
      </c>
      <c r="B5296" s="9" t="s">
        <v>10838</v>
      </c>
      <c r="C5296" s="9" t="s">
        <v>119</v>
      </c>
      <c r="D5296" s="9" t="s">
        <v>52</v>
      </c>
      <c r="E5296" s="6" t="s">
        <v>5714</v>
      </c>
      <c r="F5296" s="9" t="s">
        <v>13234</v>
      </c>
      <c r="G5296" t="inlineStr" s="6">
        <is>
          <t xml:space="preserve">BELLOSSOM gather at times and appear to dance. They say that the dance is a ritual to summon the sun. Plentiful in the tropics. When it dances, its petals rub together and make a pleasant ringing sound. When these dance together, their petals rub against each other, making pretty, relaxing sounds. When BELLOSSOM gets exposed to plenty of sunlight, the leaves ringing its body begin to spin around. This POKéMON’s dancing is renowned in the southern lands. A BELLOSSOM grows flowers more beautifully if it has evolved from a smelly GLOOM - the stinkier the better. At night, this POKéMON closes its petals and goes to sleep. Its flower petals deepen in color through exposure to sunlight. When cloudy weather persists, it does a dance that is thought to be a ritual for summoning the sun. When the heavy rainfall season ends, it is drawn out by warm sunlight to dance in the open. BELLOSSOM gather at times and seem to dance. A Bellossom grows flowers more beautifully if it has evolved from a smelly Gloom—the more stinky the better.</t>
        </is>
      </c>
    </row>
    <row r="5297" ht="33.75" customHeight="1">
      <c r="A5297" s="7">
        <v>182.0</v>
      </c>
      <c r="B5297" s="9" t="s">
        <v>10838</v>
      </c>
      <c r="C5297" s="9" t="s">
        <v>119</v>
      </c>
      <c r="D5297" s="9" t="s">
        <v>59</v>
      </c>
      <c r="E5297" s="6" t="s">
        <v>5716</v>
      </c>
      <c r="F5297" s="9" t="s">
        <v>13234</v>
      </c>
    </row>
    <row r="5298" ht="33.75" customHeight="1">
      <c r="A5298" s="7">
        <v>182.0</v>
      </c>
      <c r="B5298" s="9" t="s">
        <v>10838</v>
      </c>
      <c r="C5298" s="9" t="s">
        <v>119</v>
      </c>
      <c r="D5298" s="9" t="s">
        <v>64</v>
      </c>
      <c r="E5298" s="6" t="s">
        <v>5718</v>
      </c>
      <c r="F5298" s="9" t="s">
        <v>13234</v>
      </c>
    </row>
    <row r="5299" ht="33.75" customHeight="1">
      <c r="A5299" s="7">
        <v>182.0</v>
      </c>
      <c r="B5299" s="9" t="s">
        <v>10838</v>
      </c>
      <c r="C5299" s="9" t="s">
        <v>119</v>
      </c>
      <c r="D5299" s="9" t="s">
        <v>67</v>
      </c>
      <c r="E5299" s="6" t="s">
        <v>5720</v>
      </c>
      <c r="F5299" s="9" t="s">
        <v>13234</v>
      </c>
    </row>
    <row r="5300" ht="33.75" customHeight="1">
      <c r="A5300" s="7">
        <v>182.0</v>
      </c>
      <c r="B5300" s="9" t="s">
        <v>10838</v>
      </c>
      <c r="C5300" s="9" t="s">
        <v>119</v>
      </c>
      <c r="D5300" s="9" t="s">
        <v>71</v>
      </c>
      <c r="E5300" s="6" t="s">
        <v>5721</v>
      </c>
      <c r="F5300" s="9" t="s">
        <v>13234</v>
      </c>
    </row>
    <row r="5301" ht="33.75" customHeight="1">
      <c r="A5301" s="7">
        <v>182.0</v>
      </c>
      <c r="B5301" s="9" t="s">
        <v>10838</v>
      </c>
      <c r="C5301" s="9" t="s">
        <v>119</v>
      </c>
      <c r="D5301" s="9" t="s">
        <v>73</v>
      </c>
      <c r="E5301" s="6" t="s">
        <v>5723</v>
      </c>
      <c r="F5301" s="9" t="s">
        <v>13234</v>
      </c>
    </row>
    <row r="5302" ht="33.75" customHeight="1">
      <c r="A5302" s="7">
        <v>182.0</v>
      </c>
      <c r="B5302" s="9" t="s">
        <v>10838</v>
      </c>
      <c r="C5302" s="9" t="s">
        <v>119</v>
      </c>
      <c r="D5302" s="9" t="s">
        <v>75</v>
      </c>
      <c r="E5302" s="6" t="s">
        <v>5716</v>
      </c>
      <c r="F5302" s="9" t="s">
        <v>13234</v>
      </c>
    </row>
    <row r="5303" ht="33.75" customHeight="1">
      <c r="A5303" s="7">
        <v>182.0</v>
      </c>
      <c r="B5303" s="9" t="s">
        <v>10838</v>
      </c>
      <c r="C5303" s="9" t="s">
        <v>119</v>
      </c>
      <c r="D5303" s="9" t="s">
        <v>79</v>
      </c>
      <c r="E5303" s="6" t="s">
        <v>5714</v>
      </c>
      <c r="F5303" s="9" t="s">
        <v>13234</v>
      </c>
    </row>
    <row r="5304" ht="33.75" customHeight="1">
      <c r="A5304" s="7">
        <v>182.0</v>
      </c>
      <c r="B5304" s="9" t="s">
        <v>10838</v>
      </c>
      <c r="C5304" s="9" t="s">
        <v>119</v>
      </c>
      <c r="D5304" s="9" t="s">
        <v>81</v>
      </c>
      <c r="E5304" s="6" t="s">
        <v>5724</v>
      </c>
      <c r="F5304" s="9" t="s">
        <v>13234</v>
      </c>
    </row>
    <row r="5305" ht="33.75" customHeight="1">
      <c r="A5305" s="7">
        <v>182.0</v>
      </c>
      <c r="B5305" s="9" t="s">
        <v>10838</v>
      </c>
      <c r="C5305" s="9" t="s">
        <v>119</v>
      </c>
      <c r="D5305" s="9" t="s">
        <v>84</v>
      </c>
      <c r="E5305" s="6" t="s">
        <v>5724</v>
      </c>
      <c r="F5305" s="9" t="s">
        <v>13234</v>
      </c>
    </row>
    <row r="5306" ht="33.75" customHeight="1">
      <c r="A5306" s="7">
        <v>182.0</v>
      </c>
      <c r="B5306" s="9" t="s">
        <v>10838</v>
      </c>
      <c r="C5306" s="9" t="s">
        <v>119</v>
      </c>
      <c r="D5306" s="9" t="s">
        <v>87</v>
      </c>
      <c r="E5306" s="6" t="s">
        <v>5724</v>
      </c>
      <c r="F5306" s="9" t="s">
        <v>13234</v>
      </c>
    </row>
    <row r="5307" ht="33.75" customHeight="1">
      <c r="A5307" s="7">
        <v>182.0</v>
      </c>
      <c r="B5307" s="9" t="s">
        <v>10838</v>
      </c>
      <c r="C5307" s="9" t="s">
        <v>119</v>
      </c>
      <c r="D5307" s="9" t="s">
        <v>89</v>
      </c>
      <c r="E5307" s="6" t="s">
        <v>5725</v>
      </c>
      <c r="F5307" s="9" t="s">
        <v>13234</v>
      </c>
    </row>
    <row r="5308" ht="33.75" customHeight="1">
      <c r="A5308" s="7">
        <v>182.0</v>
      </c>
      <c r="B5308" s="9" t="s">
        <v>10838</v>
      </c>
      <c r="C5308" s="9" t="s">
        <v>119</v>
      </c>
      <c r="D5308" s="9" t="s">
        <v>91</v>
      </c>
      <c r="E5308" s="6" t="s">
        <v>5716</v>
      </c>
      <c r="F5308" s="9" t="s">
        <v>13234</v>
      </c>
    </row>
    <row r="5309" ht="33.75" customHeight="1">
      <c r="A5309" s="7">
        <v>182.0</v>
      </c>
      <c r="B5309" s="9" t="s">
        <v>10838</v>
      </c>
      <c r="C5309" s="9" t="s">
        <v>119</v>
      </c>
      <c r="D5309" s="9" t="s">
        <v>93</v>
      </c>
      <c r="E5309" s="6" t="s">
        <v>5724</v>
      </c>
      <c r="F5309" s="9" t="s">
        <v>13234</v>
      </c>
    </row>
    <row r="5310" ht="33.75" customHeight="1">
      <c r="A5310" s="7">
        <v>182.0</v>
      </c>
      <c r="B5310" s="9" t="s">
        <v>10838</v>
      </c>
      <c r="C5310" s="9" t="s">
        <v>119</v>
      </c>
      <c r="D5310" s="9" t="s">
        <v>95</v>
      </c>
      <c r="E5310" s="6" t="s">
        <v>5724</v>
      </c>
      <c r="F5310" s="9" t="s">
        <v>13234</v>
      </c>
    </row>
    <row r="5311" ht="33.75" customHeight="1">
      <c r="A5311" s="7">
        <v>182.0</v>
      </c>
      <c r="B5311" s="9" t="s">
        <v>10838</v>
      </c>
      <c r="C5311" s="9" t="s">
        <v>119</v>
      </c>
      <c r="D5311" s="9" t="s">
        <v>98</v>
      </c>
      <c r="E5311" s="6" t="s">
        <v>5724</v>
      </c>
      <c r="F5311" s="9" t="s">
        <v>13234</v>
      </c>
    </row>
    <row r="5312" ht="33.75" customHeight="1">
      <c r="A5312" s="7">
        <v>182.0</v>
      </c>
      <c r="B5312" s="9" t="s">
        <v>10838</v>
      </c>
      <c r="C5312" s="9" t="s">
        <v>119</v>
      </c>
      <c r="D5312" s="9" t="s">
        <v>99</v>
      </c>
      <c r="E5312" s="6" t="s">
        <v>5724</v>
      </c>
      <c r="F5312" s="9" t="s">
        <v>13234</v>
      </c>
    </row>
    <row r="5313" ht="33.75" customHeight="1">
      <c r="A5313" s="7">
        <v>182.0</v>
      </c>
      <c r="B5313" s="9" t="s">
        <v>10838</v>
      </c>
      <c r="C5313" s="9" t="s">
        <v>119</v>
      </c>
      <c r="D5313" s="9" t="s">
        <v>101</v>
      </c>
      <c r="E5313" s="6" t="s">
        <v>5726</v>
      </c>
      <c r="F5313" s="9" t="s">
        <v>13234</v>
      </c>
    </row>
    <row r="5314" ht="33.75" customHeight="1">
      <c r="A5314" s="7">
        <v>182.0</v>
      </c>
      <c r="B5314" s="9" t="s">
        <v>10838</v>
      </c>
      <c r="C5314" s="9" t="s">
        <v>119</v>
      </c>
      <c r="D5314" s="9" t="s">
        <v>105</v>
      </c>
      <c r="E5314" s="6" t="s">
        <v>5724</v>
      </c>
      <c r="F5314" s="9" t="s">
        <v>13234</v>
      </c>
    </row>
    <row r="5315" ht="33.75" customHeight="1">
      <c r="A5315" s="7">
        <v>182.0</v>
      </c>
      <c r="B5315" s="9" t="s">
        <v>10838</v>
      </c>
      <c r="C5315" s="9" t="s">
        <v>119</v>
      </c>
      <c r="D5315" s="9" t="s">
        <v>107</v>
      </c>
      <c r="E5315" s="6" t="s">
        <v>5729</v>
      </c>
      <c r="F5315" s="9" t="s">
        <v>13234</v>
      </c>
    </row>
    <row r="5316" ht="33.75" customHeight="1">
      <c r="A5316" s="7">
        <v>182.0</v>
      </c>
      <c r="B5316" s="9" t="s">
        <v>10838</v>
      </c>
      <c r="C5316" s="9" t="s">
        <v>119</v>
      </c>
      <c r="D5316" s="9" t="s">
        <v>109</v>
      </c>
      <c r="E5316" s="6" t="s">
        <v>5731</v>
      </c>
      <c r="F5316" s="9" t="s">
        <v>13234</v>
      </c>
    </row>
    <row r="5317" ht="33.75" customHeight="1">
      <c r="A5317" s="7">
        <v>182.0</v>
      </c>
      <c r="B5317" s="9" t="s">
        <v>10838</v>
      </c>
      <c r="C5317" s="9" t="s">
        <v>119</v>
      </c>
      <c r="D5317" s="9" t="s">
        <v>114</v>
      </c>
      <c r="E5317" s="6" t="s">
        <v>5716</v>
      </c>
      <c r="F5317" s="9" t="s">
        <v>13234</v>
      </c>
    </row>
    <row r="5318" ht="33.75" customHeight="1">
      <c r="A5318" s="7">
        <v>182.0</v>
      </c>
      <c r="B5318" s="9" t="s">
        <v>10838</v>
      </c>
      <c r="C5318" s="9" t="s">
        <v>119</v>
      </c>
      <c r="D5318" s="9" t="s">
        <v>117</v>
      </c>
      <c r="E5318" s="6" t="s">
        <v>5732</v>
      </c>
      <c r="F5318" s="9" t="s">
        <v>13234</v>
      </c>
    </row>
    <row r="5319" ht="33.75" customHeight="1">
      <c r="A5319" s="7">
        <v>183.0</v>
      </c>
      <c r="B5319" s="9" t="s">
        <v>10903</v>
      </c>
      <c r="C5319" s="9" t="s">
        <v>277</v>
      </c>
      <c r="D5319" s="9" t="s">
        <v>52</v>
      </c>
      <c r="E5319" s="6" t="s">
        <v>5734</v>
      </c>
      <c r="F5319" s="9" t="s">
        <v>13284</v>
      </c>
      <c r="G5319" t="inlineStr" s="6">
        <is>
          <t xml:space="preserve">The tip of Marill's tail, which con tains oil that is lighter than water, lets it swim without drowning. The end of its tail serves as a buoy that keeps it from drowning, even in a vicious current. The fur on its body naturally repels water. It can stay dry, even when it plays in the water. MARILL’s oil-filled tail acts much like a life preserver. If you see just its tail bobbing on the water’s surface, it’s a sure indication that this POKéMON is diving beneath the water to feed on aquatic plants. When fishing for food at the edge of a fast-running stream, MARILL wraps its tail around the trunk of a tree. This POKéMON’s tail is flexible and configured to stretch. Its body is covered with water-repellent fur. Because of the fur, it can swim through water at high speed without being slowed by the water’s resistance. The tip of its tail, which contains oil that is lighter than water, lets it swim without drowning. Using its tail as a float, it dives underwater. It likes eating plants that grow on river bottoms. The tip of its tail is filled with oil that is lighter than water, so it acts as a float. The oil-filled end of its tail floats on water. It keeps MARILL from drowning even in a strong current. The oil-filled tail functions as a buoy, so it’s fine even in rivers with strong currents. This Pokémon uses its round tail as a float. The ball of Marill’s tail is filled with nutrients that have been turned into an oil. Even after Marill swims in a cold sea, its water- repellent fur dries almost as soon as Marill leaves the water. That’s why this Pokémon is never cold.</t>
        </is>
      </c>
    </row>
    <row r="5320" ht="33.75" customHeight="1">
      <c r="A5320" s="7">
        <v>183.0</v>
      </c>
      <c r="B5320" s="9" t="s">
        <v>10903</v>
      </c>
      <c r="C5320" s="9" t="s">
        <v>277</v>
      </c>
      <c r="D5320" s="9" t="s">
        <v>59</v>
      </c>
      <c r="E5320" s="6" t="s">
        <v>5735</v>
      </c>
      <c r="F5320" s="9" t="s">
        <v>13284</v>
      </c>
    </row>
    <row r="5321" ht="33.75" customHeight="1">
      <c r="A5321" s="7">
        <v>183.0</v>
      </c>
      <c r="B5321" s="9" t="s">
        <v>10903</v>
      </c>
      <c r="C5321" s="9" t="s">
        <v>277</v>
      </c>
      <c r="D5321" s="9" t="s">
        <v>64</v>
      </c>
      <c r="E5321" s="6" t="s">
        <v>5737</v>
      </c>
      <c r="F5321" s="9" t="s">
        <v>13284</v>
      </c>
    </row>
    <row r="5322" ht="33.75" customHeight="1">
      <c r="A5322" s="7">
        <v>183.0</v>
      </c>
      <c r="B5322" s="9" t="s">
        <v>10903</v>
      </c>
      <c r="C5322" s="9" t="s">
        <v>277</v>
      </c>
      <c r="D5322" s="9" t="s">
        <v>67</v>
      </c>
      <c r="E5322" s="6" t="s">
        <v>5739</v>
      </c>
      <c r="F5322" s="9" t="s">
        <v>13284</v>
      </c>
    </row>
    <row r="5323" ht="33.75" customHeight="1">
      <c r="A5323" s="7">
        <v>183.0</v>
      </c>
      <c r="B5323" s="9" t="s">
        <v>10903</v>
      </c>
      <c r="C5323" s="9" t="s">
        <v>277</v>
      </c>
      <c r="D5323" s="9" t="s">
        <v>71</v>
      </c>
      <c r="E5323" s="6" t="s">
        <v>5740</v>
      </c>
      <c r="F5323" s="9" t="s">
        <v>13284</v>
      </c>
    </row>
    <row r="5324" ht="33.75" customHeight="1">
      <c r="A5324" s="7">
        <v>183.0</v>
      </c>
      <c r="B5324" s="9" t="s">
        <v>10903</v>
      </c>
      <c r="C5324" s="9" t="s">
        <v>277</v>
      </c>
      <c r="D5324" s="9" t="s">
        <v>73</v>
      </c>
      <c r="E5324" s="6" t="s">
        <v>5742</v>
      </c>
      <c r="F5324" s="9" t="s">
        <v>13284</v>
      </c>
    </row>
    <row r="5325" ht="33.75" customHeight="1">
      <c r="A5325" s="7">
        <v>183.0</v>
      </c>
      <c r="B5325" s="9" t="s">
        <v>10903</v>
      </c>
      <c r="C5325" s="9" t="s">
        <v>277</v>
      </c>
      <c r="D5325" s="9" t="s">
        <v>75</v>
      </c>
      <c r="E5325" s="6" t="s">
        <v>5735</v>
      </c>
      <c r="F5325" s="9" t="s">
        <v>13284</v>
      </c>
    </row>
    <row r="5326" ht="33.75" customHeight="1">
      <c r="A5326" s="7">
        <v>183.0</v>
      </c>
      <c r="B5326" s="9" t="s">
        <v>10903</v>
      </c>
      <c r="C5326" s="9" t="s">
        <v>277</v>
      </c>
      <c r="D5326" s="9" t="s">
        <v>79</v>
      </c>
      <c r="E5326" s="6" t="s">
        <v>5744</v>
      </c>
      <c r="F5326" s="9" t="s">
        <v>13284</v>
      </c>
    </row>
    <row r="5327" ht="33.75" customHeight="1">
      <c r="A5327" s="7">
        <v>183.0</v>
      </c>
      <c r="B5327" s="9" t="s">
        <v>10903</v>
      </c>
      <c r="C5327" s="9" t="s">
        <v>277</v>
      </c>
      <c r="D5327" s="9" t="s">
        <v>81</v>
      </c>
      <c r="E5327" s="6" t="s">
        <v>5745</v>
      </c>
      <c r="F5327" s="9" t="s">
        <v>13284</v>
      </c>
    </row>
    <row r="5328" ht="33.75" customHeight="1">
      <c r="A5328" s="7">
        <v>183.0</v>
      </c>
      <c r="B5328" s="9" t="s">
        <v>10903</v>
      </c>
      <c r="C5328" s="9" t="s">
        <v>277</v>
      </c>
      <c r="D5328" s="9" t="s">
        <v>84</v>
      </c>
      <c r="E5328" s="6" t="s">
        <v>5746</v>
      </c>
      <c r="F5328" s="9" t="s">
        <v>13284</v>
      </c>
    </row>
    <row r="5329" ht="33.75" customHeight="1">
      <c r="A5329" s="7">
        <v>183.0</v>
      </c>
      <c r="B5329" s="9" t="s">
        <v>10903</v>
      </c>
      <c r="C5329" s="9" t="s">
        <v>277</v>
      </c>
      <c r="D5329" s="9" t="s">
        <v>87</v>
      </c>
      <c r="E5329" s="6" t="s">
        <v>5748</v>
      </c>
      <c r="F5329" s="9" t="s">
        <v>13284</v>
      </c>
    </row>
    <row r="5330" ht="33.75" customHeight="1">
      <c r="A5330" s="7">
        <v>183.0</v>
      </c>
      <c r="B5330" s="9" t="s">
        <v>10903</v>
      </c>
      <c r="C5330" s="9" t="s">
        <v>277</v>
      </c>
      <c r="D5330" s="9" t="s">
        <v>89</v>
      </c>
      <c r="E5330" s="6" t="s">
        <v>5744</v>
      </c>
      <c r="F5330" s="9" t="s">
        <v>13284</v>
      </c>
    </row>
    <row r="5331" ht="33.75" customHeight="1">
      <c r="A5331" s="7">
        <v>183.0</v>
      </c>
      <c r="B5331" s="9" t="s">
        <v>10903</v>
      </c>
      <c r="C5331" s="9" t="s">
        <v>277</v>
      </c>
      <c r="D5331" s="9" t="s">
        <v>91</v>
      </c>
      <c r="E5331" s="6" t="s">
        <v>5735</v>
      </c>
      <c r="F5331" s="9" t="s">
        <v>13284</v>
      </c>
    </row>
    <row r="5332" ht="33.75" customHeight="1">
      <c r="A5332" s="7">
        <v>183.0</v>
      </c>
      <c r="B5332" s="9" t="s">
        <v>10903</v>
      </c>
      <c r="C5332" s="9" t="s">
        <v>277</v>
      </c>
      <c r="D5332" s="9" t="s">
        <v>93</v>
      </c>
      <c r="E5332" s="6" t="s">
        <v>5750</v>
      </c>
      <c r="F5332" s="9" t="s">
        <v>13284</v>
      </c>
    </row>
    <row r="5333" ht="33.75" customHeight="1">
      <c r="A5333" s="7">
        <v>183.0</v>
      </c>
      <c r="B5333" s="9" t="s">
        <v>10903</v>
      </c>
      <c r="C5333" s="9" t="s">
        <v>277</v>
      </c>
      <c r="D5333" s="9" t="s">
        <v>95</v>
      </c>
      <c r="E5333" s="6" t="s">
        <v>5750</v>
      </c>
      <c r="F5333" s="9" t="s">
        <v>13284</v>
      </c>
    </row>
    <row r="5334" ht="33.75" customHeight="1">
      <c r="A5334" s="7">
        <v>183.0</v>
      </c>
      <c r="B5334" s="9" t="s">
        <v>10903</v>
      </c>
      <c r="C5334" s="9" t="s">
        <v>277</v>
      </c>
      <c r="D5334" s="9" t="s">
        <v>98</v>
      </c>
      <c r="E5334" s="6" t="s">
        <v>5751</v>
      </c>
      <c r="F5334" s="9" t="s">
        <v>13284</v>
      </c>
    </row>
    <row r="5335" ht="33.75" customHeight="1">
      <c r="A5335" s="7">
        <v>183.0</v>
      </c>
      <c r="B5335" s="9" t="s">
        <v>10903</v>
      </c>
      <c r="C5335" s="9" t="s">
        <v>277</v>
      </c>
      <c r="D5335" s="9" t="s">
        <v>99</v>
      </c>
      <c r="E5335" s="6" t="s">
        <v>5751</v>
      </c>
      <c r="F5335" s="9" t="s">
        <v>13284</v>
      </c>
    </row>
    <row r="5336" ht="33.75" customHeight="1">
      <c r="A5336" s="7">
        <v>183.0</v>
      </c>
      <c r="B5336" s="9" t="s">
        <v>10903</v>
      </c>
      <c r="C5336" s="9" t="s">
        <v>277</v>
      </c>
      <c r="D5336" s="9" t="s">
        <v>101</v>
      </c>
      <c r="E5336" s="6" t="s">
        <v>5737</v>
      </c>
      <c r="F5336" s="9" t="s">
        <v>13284</v>
      </c>
    </row>
    <row r="5337" ht="33.75" customHeight="1">
      <c r="A5337" s="7">
        <v>183.0</v>
      </c>
      <c r="B5337" s="9" t="s">
        <v>10903</v>
      </c>
      <c r="C5337" s="9" t="s">
        <v>277</v>
      </c>
      <c r="D5337" s="9" t="s">
        <v>105</v>
      </c>
      <c r="E5337" s="6" t="s">
        <v>5746</v>
      </c>
      <c r="F5337" s="9" t="s">
        <v>13284</v>
      </c>
    </row>
    <row r="5338" ht="33.75" customHeight="1">
      <c r="A5338" s="7">
        <v>183.0</v>
      </c>
      <c r="B5338" s="9" t="s">
        <v>10903</v>
      </c>
      <c r="C5338" s="9" t="s">
        <v>277</v>
      </c>
      <c r="D5338" s="9" t="s">
        <v>107</v>
      </c>
      <c r="E5338" s="6" t="s">
        <v>5752</v>
      </c>
      <c r="F5338" s="9" t="s">
        <v>13284</v>
      </c>
    </row>
    <row r="5339" ht="33.75" customHeight="1">
      <c r="A5339" s="7">
        <v>183.0</v>
      </c>
      <c r="B5339" s="9" t="s">
        <v>10903</v>
      </c>
      <c r="C5339" s="9" t="s">
        <v>277</v>
      </c>
      <c r="D5339" s="9" t="s">
        <v>109</v>
      </c>
      <c r="E5339" s="6" t="s">
        <v>5754</v>
      </c>
      <c r="F5339" s="9" t="s">
        <v>13284</v>
      </c>
    </row>
    <row r="5340" ht="33.75" customHeight="1">
      <c r="A5340" s="7">
        <v>183.0</v>
      </c>
      <c r="B5340" s="9" t="s">
        <v>10903</v>
      </c>
      <c r="C5340" s="9" t="s">
        <v>277</v>
      </c>
      <c r="D5340" s="9" t="s">
        <v>114</v>
      </c>
      <c r="E5340" s="6" t="s">
        <v>5756</v>
      </c>
      <c r="F5340" s="9" t="s">
        <v>13284</v>
      </c>
    </row>
    <row r="5341" ht="33.75" customHeight="1">
      <c r="A5341" s="7">
        <v>183.0</v>
      </c>
      <c r="B5341" s="9" t="s">
        <v>10903</v>
      </c>
      <c r="C5341" s="9" t="s">
        <v>277</v>
      </c>
      <c r="D5341" s="9" t="s">
        <v>117</v>
      </c>
      <c r="E5341" s="6" t="s">
        <v>5757</v>
      </c>
      <c r="F5341" s="9" t="s">
        <v>13284</v>
      </c>
    </row>
    <row r="5342" ht="33.75" customHeight="1">
      <c r="A5342" s="7">
        <v>184.0</v>
      </c>
      <c r="B5342" s="9" t="s">
        <v>10959</v>
      </c>
      <c r="C5342" s="9" t="s">
        <v>279</v>
      </c>
      <c r="D5342" s="9" t="s">
        <v>52</v>
      </c>
      <c r="E5342" s="6" t="s">
        <v>5759</v>
      </c>
      <c r="F5342" s="9" t="s">
        <v>13341</v>
      </c>
      <c r="G5342" t="inlineStr" s="6">
        <is>
          <t xml:space="preserve">By keeping still and listening intently, Azumarill can tell what is in even wild, fast- moving rivers. When it plays in water, it rolls up its elongated ears to prevent their insides from getting wet. The bubble-like pattern on its stomach helps it camouflage itself when it's in the water. AZUMARILL’s long ears are indispensable sensors. By focusing its hearing, this POKéMON can identify what kinds of prey are around, even in rough and fast-running rivers. AZUMARILL can make balloons out of air. It makes these air balloons if it spots a drowning POKéMON. The air balloons enable the POKéMON in trouble to breathe. It lives in water virtually all day long. Its body color and pattern act as camouflage that makes it tough for enemies to spot in water. By keeping still and listening intently, it can even tell what is in wild, fast-moving rivers. It lives in rivers and lakes. In water, its coloring and patterns trick the vision of foes. Its long ears are superb sensors. It can distinguish the movements of living things on riverbeds. It can spend all day in water, since it can inhale and store a large volume of air. By keeping still and listening intently, it can tell what is in even wild, fast-moving rivers. It can distinguish the movements of things in water and tell what they are. It spends most of its time in the water. On sunny days, Azumarill floats on the surface of the water and sunbathes. These Pokémon create air-filled bubbles. When Azurill play in rivers, Azumarill will cover them with these bubbles.</t>
        </is>
      </c>
    </row>
    <row r="5343" ht="33.75" customHeight="1">
      <c r="A5343" s="7">
        <v>184.0</v>
      </c>
      <c r="B5343" s="9" t="s">
        <v>10959</v>
      </c>
      <c r="C5343" s="9" t="s">
        <v>279</v>
      </c>
      <c r="D5343" s="9" t="s">
        <v>59</v>
      </c>
      <c r="E5343" s="6" t="s">
        <v>5760</v>
      </c>
      <c r="F5343" s="9" t="s">
        <v>13341</v>
      </c>
    </row>
    <row r="5344" ht="33.75" customHeight="1">
      <c r="A5344" s="7">
        <v>184.0</v>
      </c>
      <c r="B5344" s="9" t="s">
        <v>10959</v>
      </c>
      <c r="C5344" s="9" t="s">
        <v>279</v>
      </c>
      <c r="D5344" s="9" t="s">
        <v>64</v>
      </c>
      <c r="E5344" s="6" t="s">
        <v>5761</v>
      </c>
      <c r="F5344" s="9" t="s">
        <v>13341</v>
      </c>
    </row>
    <row r="5345" ht="33.75" customHeight="1">
      <c r="A5345" s="7">
        <v>184.0</v>
      </c>
      <c r="B5345" s="9" t="s">
        <v>10959</v>
      </c>
      <c r="C5345" s="9" t="s">
        <v>279</v>
      </c>
      <c r="D5345" s="9" t="s">
        <v>67</v>
      </c>
      <c r="E5345" s="6" t="s">
        <v>5762</v>
      </c>
      <c r="F5345" s="9" t="s">
        <v>13341</v>
      </c>
    </row>
    <row r="5346" ht="33.75" customHeight="1">
      <c r="A5346" s="7">
        <v>184.0</v>
      </c>
      <c r="B5346" s="9" t="s">
        <v>10959</v>
      </c>
      <c r="C5346" s="9" t="s">
        <v>279</v>
      </c>
      <c r="D5346" s="9" t="s">
        <v>71</v>
      </c>
      <c r="E5346" s="6" t="s">
        <v>5764</v>
      </c>
      <c r="F5346" s="9" t="s">
        <v>13341</v>
      </c>
    </row>
    <row r="5347" ht="33.75" customHeight="1">
      <c r="A5347" s="7">
        <v>184.0</v>
      </c>
      <c r="B5347" s="9" t="s">
        <v>10959</v>
      </c>
      <c r="C5347" s="9" t="s">
        <v>279</v>
      </c>
      <c r="D5347" s="9" t="s">
        <v>73</v>
      </c>
      <c r="E5347" s="6" t="s">
        <v>5765</v>
      </c>
      <c r="F5347" s="9" t="s">
        <v>13341</v>
      </c>
    </row>
    <row r="5348" ht="33.75" customHeight="1">
      <c r="A5348" s="7">
        <v>184.0</v>
      </c>
      <c r="B5348" s="9" t="s">
        <v>10959</v>
      </c>
      <c r="C5348" s="9" t="s">
        <v>279</v>
      </c>
      <c r="D5348" s="9" t="s">
        <v>75</v>
      </c>
      <c r="E5348" s="6" t="s">
        <v>5766</v>
      </c>
      <c r="F5348" s="9" t="s">
        <v>13341</v>
      </c>
    </row>
    <row r="5349" ht="33.75" customHeight="1">
      <c r="A5349" s="7">
        <v>184.0</v>
      </c>
      <c r="B5349" s="9" t="s">
        <v>10959</v>
      </c>
      <c r="C5349" s="9" t="s">
        <v>279</v>
      </c>
      <c r="D5349" s="9" t="s">
        <v>79</v>
      </c>
      <c r="E5349" s="6" t="s">
        <v>5767</v>
      </c>
      <c r="F5349" s="9" t="s">
        <v>13341</v>
      </c>
    </row>
    <row r="5350" ht="33.75" customHeight="1">
      <c r="A5350" s="7">
        <v>184.0</v>
      </c>
      <c r="B5350" s="9" t="s">
        <v>10959</v>
      </c>
      <c r="C5350" s="9" t="s">
        <v>279</v>
      </c>
      <c r="D5350" s="9" t="s">
        <v>81</v>
      </c>
      <c r="E5350" s="6" t="s">
        <v>5768</v>
      </c>
      <c r="F5350" s="9" t="s">
        <v>13341</v>
      </c>
    </row>
    <row r="5351" ht="33.75" customHeight="1">
      <c r="A5351" s="7">
        <v>184.0</v>
      </c>
      <c r="B5351" s="9" t="s">
        <v>10959</v>
      </c>
      <c r="C5351" s="9" t="s">
        <v>279</v>
      </c>
      <c r="D5351" s="9" t="s">
        <v>84</v>
      </c>
      <c r="E5351" s="6" t="s">
        <v>5769</v>
      </c>
      <c r="F5351" s="9" t="s">
        <v>13341</v>
      </c>
    </row>
    <row r="5352" ht="33.75" customHeight="1">
      <c r="A5352" s="7">
        <v>184.0</v>
      </c>
      <c r="B5352" s="9" t="s">
        <v>10959</v>
      </c>
      <c r="C5352" s="9" t="s">
        <v>279</v>
      </c>
      <c r="D5352" s="9" t="s">
        <v>87</v>
      </c>
      <c r="E5352" s="6" t="s">
        <v>5770</v>
      </c>
      <c r="F5352" s="9" t="s">
        <v>13341</v>
      </c>
    </row>
    <row r="5353" ht="33.75" customHeight="1">
      <c r="A5353" s="7">
        <v>184.0</v>
      </c>
      <c r="B5353" s="9" t="s">
        <v>10959</v>
      </c>
      <c r="C5353" s="9" t="s">
        <v>279</v>
      </c>
      <c r="D5353" s="9" t="s">
        <v>89</v>
      </c>
      <c r="E5353" s="6" t="s">
        <v>5771</v>
      </c>
      <c r="F5353" s="9" t="s">
        <v>13341</v>
      </c>
    </row>
    <row r="5354" ht="33.75" customHeight="1">
      <c r="A5354" s="7">
        <v>184.0</v>
      </c>
      <c r="B5354" s="9" t="s">
        <v>10959</v>
      </c>
      <c r="C5354" s="9" t="s">
        <v>279</v>
      </c>
      <c r="D5354" s="9" t="s">
        <v>91</v>
      </c>
      <c r="E5354" s="6" t="s">
        <v>5766</v>
      </c>
      <c r="F5354" s="9" t="s">
        <v>13341</v>
      </c>
    </row>
    <row r="5355" ht="33.75" customHeight="1">
      <c r="A5355" s="7">
        <v>184.0</v>
      </c>
      <c r="B5355" s="9" t="s">
        <v>10959</v>
      </c>
      <c r="C5355" s="9" t="s">
        <v>279</v>
      </c>
      <c r="D5355" s="9" t="s">
        <v>93</v>
      </c>
      <c r="E5355" s="6" t="s">
        <v>5770</v>
      </c>
      <c r="F5355" s="9" t="s">
        <v>13341</v>
      </c>
    </row>
    <row r="5356" ht="33.75" customHeight="1">
      <c r="A5356" s="7">
        <v>184.0</v>
      </c>
      <c r="B5356" s="9" t="s">
        <v>10959</v>
      </c>
      <c r="C5356" s="9" t="s">
        <v>279</v>
      </c>
      <c r="D5356" s="9" t="s">
        <v>95</v>
      </c>
      <c r="E5356" s="6" t="s">
        <v>5770</v>
      </c>
      <c r="F5356" s="9" t="s">
        <v>13341</v>
      </c>
    </row>
    <row r="5357" ht="33.75" customHeight="1">
      <c r="A5357" s="7">
        <v>184.0</v>
      </c>
      <c r="B5357" s="9" t="s">
        <v>10959</v>
      </c>
      <c r="C5357" s="9" t="s">
        <v>279</v>
      </c>
      <c r="D5357" s="9" t="s">
        <v>98</v>
      </c>
      <c r="E5357" s="6" t="s">
        <v>5772</v>
      </c>
      <c r="F5357" s="9" t="s">
        <v>13341</v>
      </c>
    </row>
    <row r="5358" ht="33.75" customHeight="1">
      <c r="A5358" s="7">
        <v>184.0</v>
      </c>
      <c r="B5358" s="9" t="s">
        <v>10959</v>
      </c>
      <c r="C5358" s="9" t="s">
        <v>279</v>
      </c>
      <c r="D5358" s="9" t="s">
        <v>99</v>
      </c>
      <c r="E5358" s="6" t="s">
        <v>5772</v>
      </c>
      <c r="F5358" s="9" t="s">
        <v>13341</v>
      </c>
    </row>
    <row r="5359" ht="33.75" customHeight="1">
      <c r="A5359" s="7">
        <v>184.0</v>
      </c>
      <c r="B5359" s="9" t="s">
        <v>10959</v>
      </c>
      <c r="C5359" s="9" t="s">
        <v>279</v>
      </c>
      <c r="D5359" s="9" t="s">
        <v>101</v>
      </c>
      <c r="E5359" s="6" t="s">
        <v>5769</v>
      </c>
      <c r="F5359" s="9" t="s">
        <v>13341</v>
      </c>
    </row>
    <row r="5360" ht="33.75" customHeight="1">
      <c r="A5360" s="7">
        <v>184.0</v>
      </c>
      <c r="B5360" s="9" t="s">
        <v>10959</v>
      </c>
      <c r="C5360" s="9" t="s">
        <v>279</v>
      </c>
      <c r="D5360" s="9" t="s">
        <v>105</v>
      </c>
      <c r="E5360" s="6" t="s">
        <v>5773</v>
      </c>
      <c r="F5360" s="9" t="s">
        <v>13341</v>
      </c>
    </row>
    <row r="5361" ht="33.75" customHeight="1">
      <c r="A5361" s="7">
        <v>184.0</v>
      </c>
      <c r="B5361" s="9" t="s">
        <v>10959</v>
      </c>
      <c r="C5361" s="9" t="s">
        <v>279</v>
      </c>
      <c r="D5361" s="9" t="s">
        <v>107</v>
      </c>
      <c r="E5361" s="6" t="s">
        <v>5774</v>
      </c>
      <c r="F5361" s="9" t="s">
        <v>13341</v>
      </c>
    </row>
    <row r="5362" ht="33.75" customHeight="1">
      <c r="A5362" s="7">
        <v>184.0</v>
      </c>
      <c r="B5362" s="9" t="s">
        <v>10959</v>
      </c>
      <c r="C5362" s="9" t="s">
        <v>279</v>
      </c>
      <c r="D5362" s="9" t="s">
        <v>109</v>
      </c>
      <c r="E5362" s="6" t="s">
        <v>5775</v>
      </c>
      <c r="F5362" s="9" t="s">
        <v>13341</v>
      </c>
    </row>
    <row r="5363" ht="33.75" customHeight="1">
      <c r="A5363" s="7">
        <v>184.0</v>
      </c>
      <c r="B5363" s="9" t="s">
        <v>10959</v>
      </c>
      <c r="C5363" s="9" t="s">
        <v>279</v>
      </c>
      <c r="D5363" s="9" t="s">
        <v>114</v>
      </c>
      <c r="E5363" s="6" t="s">
        <v>5776</v>
      </c>
      <c r="F5363" s="9" t="s">
        <v>13341</v>
      </c>
    </row>
    <row r="5364" ht="33.75" customHeight="1">
      <c r="A5364" s="7">
        <v>184.0</v>
      </c>
      <c r="B5364" s="9" t="s">
        <v>10959</v>
      </c>
      <c r="C5364" s="9" t="s">
        <v>279</v>
      </c>
      <c r="D5364" s="9" t="s">
        <v>117</v>
      </c>
      <c r="E5364" s="6" t="s">
        <v>5777</v>
      </c>
      <c r="F5364" s="9" t="s">
        <v>13341</v>
      </c>
    </row>
    <row r="5365" ht="33.75" customHeight="1">
      <c r="A5365" s="7">
        <v>185.0</v>
      </c>
      <c r="B5365" s="9" t="s">
        <v>11010</v>
      </c>
      <c r="C5365" s="9" t="s">
        <v>282</v>
      </c>
      <c r="D5365" s="9" t="s">
        <v>52</v>
      </c>
      <c r="E5365" s="6" t="s">
        <v>5778</v>
      </c>
      <c r="F5365" s="9" t="s">
        <v>13388</v>
      </c>
      <c r="G5365" t="inlineStr" s="6">
        <is>
          <t xml:space="preserve">Although it always pretends to be a tree, Sudowoodo's composition appears to be closer to a rock than a plant. It disguises it self as a tree to avoid attack. It hates water, so it will disappear if it starts raining. If a tree branch shakes when there is no wind, it's a SUDOWOODO, not a tree. It hides from the rain. SUDOWOODO camouflages itself as a tree to avoid being attacked by enemies. However, because the forelegs remain green throughout the year, the POKéMON is easily identified as a fake during the winter. It mimics a tree to avoid being attacked by enemies. But since its forelegs remain green throughout the year, it is easily identified as a fake in the winter. It disguises itself as a tree to avoid attack. Despite appearing to be a tree, its body is closer to rocks and stones. It is very weak to water. It stands along paths pretending to be a tree. If it starts raining, it seems to disappear. To avoid being attacked, it does nothing but mimic a tree. It hates water and flees from rain. Although it always pretends to be a tree, its composition appears more similar to rock than to vegetation. However, because its hands remain green throughout the year, the Pokémon is easily identified as a fake during the winter. To avoid attack, it mimics a tree. It will run off if splashed with water, which it hates. Apparently, the larger the green parts of this Pokémon, the more collectors value it. It’s a particular favorite among elderly people. It’s so popular with the elderly that there’s a magazine devoted to this Pokémon. Fans obsess over the particular length and angle of its arms. The result of its holding the same pose all the time is arms that have become supple yet strong. Though it pretends to be a tree, it fails to fool even children. To the touch, its body feels more like rock than tree bark. Sudowoodo's extreme aversion to water merits special note.</t>
        </is>
      </c>
    </row>
    <row r="5366" ht="33.75" customHeight="1">
      <c r="A5366" s="7">
        <v>185.0</v>
      </c>
      <c r="B5366" s="9" t="s">
        <v>11010</v>
      </c>
      <c r="C5366" s="9" t="s">
        <v>282</v>
      </c>
      <c r="D5366" s="9" t="s">
        <v>59</v>
      </c>
      <c r="E5366" s="6" t="s">
        <v>5779</v>
      </c>
      <c r="F5366" s="9" t="s">
        <v>13388</v>
      </c>
    </row>
    <row r="5367" ht="33.75" customHeight="1">
      <c r="A5367" s="7">
        <v>185.0</v>
      </c>
      <c r="B5367" s="9" t="s">
        <v>11010</v>
      </c>
      <c r="C5367" s="9" t="s">
        <v>282</v>
      </c>
      <c r="D5367" s="9" t="s">
        <v>64</v>
      </c>
      <c r="E5367" s="6" t="s">
        <v>5781</v>
      </c>
      <c r="F5367" s="9" t="s">
        <v>13388</v>
      </c>
    </row>
    <row r="5368" ht="33.75" customHeight="1">
      <c r="A5368" s="7">
        <v>185.0</v>
      </c>
      <c r="B5368" s="9" t="s">
        <v>11010</v>
      </c>
      <c r="C5368" s="9" t="s">
        <v>282</v>
      </c>
      <c r="D5368" s="9" t="s">
        <v>67</v>
      </c>
      <c r="E5368" s="6" t="s">
        <v>5782</v>
      </c>
      <c r="F5368" s="9" t="s">
        <v>13388</v>
      </c>
    </row>
    <row r="5369" ht="33.75" customHeight="1">
      <c r="A5369" s="7">
        <v>185.0</v>
      </c>
      <c r="B5369" s="9" t="s">
        <v>11010</v>
      </c>
      <c r="C5369" s="9" t="s">
        <v>282</v>
      </c>
      <c r="D5369" s="9" t="s">
        <v>71</v>
      </c>
      <c r="E5369" s="6" t="s">
        <v>5782</v>
      </c>
      <c r="F5369" s="9" t="s">
        <v>13388</v>
      </c>
    </row>
    <row r="5370" ht="33.75" customHeight="1">
      <c r="A5370" s="7">
        <v>185.0</v>
      </c>
      <c r="B5370" s="9" t="s">
        <v>11010</v>
      </c>
      <c r="C5370" s="9" t="s">
        <v>282</v>
      </c>
      <c r="D5370" s="9" t="s">
        <v>73</v>
      </c>
      <c r="E5370" s="6" t="s">
        <v>5783</v>
      </c>
      <c r="F5370" s="9" t="s">
        <v>13388</v>
      </c>
    </row>
    <row r="5371" ht="33.75" customHeight="1">
      <c r="A5371" s="7">
        <v>185.0</v>
      </c>
      <c r="B5371" s="9" t="s">
        <v>11010</v>
      </c>
      <c r="C5371" s="9" t="s">
        <v>282</v>
      </c>
      <c r="D5371" s="9" t="s">
        <v>75</v>
      </c>
      <c r="E5371" s="6" t="s">
        <v>5785</v>
      </c>
      <c r="F5371" s="9" t="s">
        <v>13388</v>
      </c>
    </row>
    <row r="5372" ht="33.75" customHeight="1">
      <c r="A5372" s="7">
        <v>185.0</v>
      </c>
      <c r="B5372" s="9" t="s">
        <v>11010</v>
      </c>
      <c r="C5372" s="9" t="s">
        <v>282</v>
      </c>
      <c r="D5372" s="9" t="s">
        <v>79</v>
      </c>
      <c r="E5372" s="6" t="s">
        <v>5787</v>
      </c>
      <c r="F5372" s="9" t="s">
        <v>13388</v>
      </c>
    </row>
    <row r="5373" ht="33.75" customHeight="1">
      <c r="A5373" s="7">
        <v>185.0</v>
      </c>
      <c r="B5373" s="9" t="s">
        <v>11010</v>
      </c>
      <c r="C5373" s="9" t="s">
        <v>282</v>
      </c>
      <c r="D5373" s="9" t="s">
        <v>81</v>
      </c>
      <c r="E5373" s="6" t="s">
        <v>5789</v>
      </c>
      <c r="F5373" s="9" t="s">
        <v>13388</v>
      </c>
    </row>
    <row r="5374" ht="33.75" customHeight="1">
      <c r="A5374" s="7">
        <v>185.0</v>
      </c>
      <c r="B5374" s="9" t="s">
        <v>11010</v>
      </c>
      <c r="C5374" s="9" t="s">
        <v>282</v>
      </c>
      <c r="D5374" s="9" t="s">
        <v>84</v>
      </c>
      <c r="E5374" s="6" t="s">
        <v>5791</v>
      </c>
      <c r="F5374" s="9" t="s">
        <v>13388</v>
      </c>
    </row>
    <row r="5375" ht="33.75" customHeight="1">
      <c r="A5375" s="7">
        <v>185.0</v>
      </c>
      <c r="B5375" s="9" t="s">
        <v>11010</v>
      </c>
      <c r="C5375" s="9" t="s">
        <v>282</v>
      </c>
      <c r="D5375" s="9" t="s">
        <v>87</v>
      </c>
      <c r="E5375" s="6" t="s">
        <v>5792</v>
      </c>
      <c r="F5375" s="9" t="s">
        <v>13388</v>
      </c>
    </row>
    <row r="5376" ht="33.75" customHeight="1">
      <c r="A5376" s="7">
        <v>185.0</v>
      </c>
      <c r="B5376" s="9" t="s">
        <v>11010</v>
      </c>
      <c r="C5376" s="9" t="s">
        <v>282</v>
      </c>
      <c r="D5376" s="9" t="s">
        <v>89</v>
      </c>
      <c r="E5376" s="6" t="s">
        <v>5793</v>
      </c>
      <c r="F5376" s="9" t="s">
        <v>13388</v>
      </c>
    </row>
    <row r="5377" ht="33.75" customHeight="1">
      <c r="A5377" s="7">
        <v>185.0</v>
      </c>
      <c r="B5377" s="9" t="s">
        <v>11010</v>
      </c>
      <c r="C5377" s="9" t="s">
        <v>282</v>
      </c>
      <c r="D5377" s="9" t="s">
        <v>91</v>
      </c>
      <c r="E5377" s="6" t="s">
        <v>5785</v>
      </c>
      <c r="F5377" s="9" t="s">
        <v>13388</v>
      </c>
    </row>
    <row r="5378" ht="33.75" customHeight="1">
      <c r="A5378" s="7">
        <v>185.0</v>
      </c>
      <c r="B5378" s="9" t="s">
        <v>11010</v>
      </c>
      <c r="C5378" s="9" t="s">
        <v>282</v>
      </c>
      <c r="D5378" s="9" t="s">
        <v>93</v>
      </c>
      <c r="E5378" s="6" t="s">
        <v>5792</v>
      </c>
      <c r="F5378" s="9" t="s">
        <v>13388</v>
      </c>
    </row>
    <row r="5379" ht="33.75" customHeight="1">
      <c r="A5379" s="7">
        <v>185.0</v>
      </c>
      <c r="B5379" s="9" t="s">
        <v>11010</v>
      </c>
      <c r="C5379" s="9" t="s">
        <v>282</v>
      </c>
      <c r="D5379" s="9" t="s">
        <v>95</v>
      </c>
      <c r="E5379" s="6" t="s">
        <v>5792</v>
      </c>
      <c r="F5379" s="9" t="s">
        <v>13388</v>
      </c>
    </row>
    <row r="5380" ht="33.75" customHeight="1">
      <c r="A5380" s="7">
        <v>185.0</v>
      </c>
      <c r="B5380" s="9" t="s">
        <v>11010</v>
      </c>
      <c r="C5380" s="9" t="s">
        <v>282</v>
      </c>
      <c r="D5380" s="9" t="s">
        <v>98</v>
      </c>
      <c r="E5380" s="6" t="s">
        <v>5792</v>
      </c>
      <c r="F5380" s="9" t="s">
        <v>13388</v>
      </c>
    </row>
    <row r="5381" ht="33.75" customHeight="1">
      <c r="A5381" s="7">
        <v>185.0</v>
      </c>
      <c r="B5381" s="9" t="s">
        <v>11010</v>
      </c>
      <c r="C5381" s="9" t="s">
        <v>282</v>
      </c>
      <c r="D5381" s="9" t="s">
        <v>99</v>
      </c>
      <c r="E5381" s="6" t="s">
        <v>5792</v>
      </c>
      <c r="F5381" s="9" t="s">
        <v>13388</v>
      </c>
    </row>
    <row r="5382" ht="33.75" customHeight="1">
      <c r="A5382" s="7">
        <v>185.0</v>
      </c>
      <c r="B5382" s="9" t="s">
        <v>11010</v>
      </c>
      <c r="C5382" s="9" t="s">
        <v>282</v>
      </c>
      <c r="D5382" s="9" t="s">
        <v>101</v>
      </c>
      <c r="E5382" s="6" t="s">
        <v>5793</v>
      </c>
      <c r="F5382" s="9" t="s">
        <v>13388</v>
      </c>
    </row>
    <row r="5383" ht="33.75" customHeight="1">
      <c r="A5383" s="7">
        <v>185.0</v>
      </c>
      <c r="B5383" s="9" t="s">
        <v>11010</v>
      </c>
      <c r="C5383" s="9" t="s">
        <v>282</v>
      </c>
      <c r="D5383" s="9" t="s">
        <v>105</v>
      </c>
      <c r="E5383" s="6" t="s">
        <v>5785</v>
      </c>
      <c r="F5383" s="9" t="s">
        <v>13388</v>
      </c>
    </row>
    <row r="5384" ht="33.75" customHeight="1">
      <c r="A5384" s="7">
        <v>185.0</v>
      </c>
      <c r="B5384" s="9" t="s">
        <v>11010</v>
      </c>
      <c r="C5384" s="9" t="s">
        <v>282</v>
      </c>
      <c r="D5384" s="9" t="s">
        <v>107</v>
      </c>
      <c r="E5384" s="6" t="s">
        <v>5794</v>
      </c>
      <c r="F5384" s="9" t="s">
        <v>13388</v>
      </c>
    </row>
    <row r="5385" ht="33.75" customHeight="1">
      <c r="A5385" s="7">
        <v>185.0</v>
      </c>
      <c r="B5385" s="9" t="s">
        <v>11010</v>
      </c>
      <c r="C5385" s="9" t="s">
        <v>282</v>
      </c>
      <c r="D5385" s="9" t="s">
        <v>109</v>
      </c>
      <c r="E5385" s="6" t="s">
        <v>5794</v>
      </c>
      <c r="F5385" s="9" t="s">
        <v>13388</v>
      </c>
    </row>
    <row r="5386" ht="33.75" customHeight="1">
      <c r="A5386" s="7">
        <v>185.0</v>
      </c>
      <c r="B5386" s="9" t="s">
        <v>11010</v>
      </c>
      <c r="C5386" s="9" t="s">
        <v>282</v>
      </c>
      <c r="D5386" s="9" t="s">
        <v>637</v>
      </c>
      <c r="E5386" s="6" t="s">
        <v>5795</v>
      </c>
      <c r="F5386" s="9" t="s">
        <v>13388</v>
      </c>
    </row>
    <row r="5387" ht="33.75" customHeight="1">
      <c r="A5387" s="7">
        <v>185.0</v>
      </c>
      <c r="B5387" s="9" t="s">
        <v>11010</v>
      </c>
      <c r="C5387" s="9" t="s">
        <v>282</v>
      </c>
      <c r="D5387" s="9" t="s">
        <v>642</v>
      </c>
      <c r="E5387" s="6" t="s">
        <v>5796</v>
      </c>
      <c r="F5387" s="9" t="s">
        <v>13388</v>
      </c>
    </row>
    <row r="5388" ht="33.75" customHeight="1">
      <c r="A5388" s="7">
        <v>185.0</v>
      </c>
      <c r="B5388" s="9" t="s">
        <v>11010</v>
      </c>
      <c r="C5388" s="9" t="s">
        <v>282</v>
      </c>
      <c r="D5388" s="9" t="s">
        <v>647</v>
      </c>
      <c r="E5388" s="6" t="s">
        <v>5797</v>
      </c>
      <c r="F5388" s="9" t="s">
        <v>13388</v>
      </c>
    </row>
    <row r="5389" ht="33.75" customHeight="1">
      <c r="A5389" s="7">
        <v>185.0</v>
      </c>
      <c r="B5389" s="9" t="s">
        <v>11010</v>
      </c>
      <c r="C5389" s="9" t="s">
        <v>282</v>
      </c>
      <c r="D5389" s="9" t="s">
        <v>652</v>
      </c>
      <c r="E5389" s="6" t="s">
        <v>5799</v>
      </c>
      <c r="F5389" s="9" t="s">
        <v>13388</v>
      </c>
    </row>
    <row r="5390" ht="33.75" customHeight="1">
      <c r="A5390" s="7">
        <v>185.0</v>
      </c>
      <c r="B5390" s="9" t="s">
        <v>11010</v>
      </c>
      <c r="C5390" s="9" t="s">
        <v>282</v>
      </c>
      <c r="D5390" s="9" t="s">
        <v>114</v>
      </c>
      <c r="E5390" s="6" t="s">
        <v>5802</v>
      </c>
      <c r="F5390" s="9" t="s">
        <v>13388</v>
      </c>
    </row>
    <row r="5391" ht="33.75" customHeight="1">
      <c r="A5391" s="7">
        <v>185.0</v>
      </c>
      <c r="B5391" s="9" t="s">
        <v>11010</v>
      </c>
      <c r="C5391" s="9" t="s">
        <v>282</v>
      </c>
      <c r="D5391" s="9" t="s">
        <v>117</v>
      </c>
      <c r="E5391" s="6" t="s">
        <v>5785</v>
      </c>
      <c r="F5391" s="9" t="s">
        <v>13388</v>
      </c>
    </row>
    <row r="5392" ht="33.75" customHeight="1">
      <c r="A5392" s="7">
        <v>185.0</v>
      </c>
      <c r="B5392" s="9" t="s">
        <v>11010</v>
      </c>
      <c r="C5392" s="9" t="s">
        <v>282</v>
      </c>
      <c r="D5392" s="9" t="s">
        <v>1577</v>
      </c>
      <c r="E5392" s="6" t="s">
        <v>5803</v>
      </c>
      <c r="F5392" s="9" t="s">
        <v>13388</v>
      </c>
    </row>
    <row r="5393" ht="33.75" customHeight="1">
      <c r="A5393" s="7">
        <v>186.0</v>
      </c>
      <c r="B5393" s="9" t="s">
        <v>11060</v>
      </c>
      <c r="C5393" s="9" t="s">
        <v>283</v>
      </c>
      <c r="D5393" s="9" t="s">
        <v>52</v>
      </c>
      <c r="E5393" s="6" t="s">
        <v>5804</v>
      </c>
      <c r="F5393" s="9" t="s">
        <v>13436</v>
      </c>
      <c r="G5393" t="inlineStr" s="6">
        <is>
          <t xml:space="preserve">If POLIWAG and POLIWHIRL hear Politoed's echoing cry, they respond by gather ing from far and wide. Whenever three or more of these get together, they sing in a loud voice that sounds like bellowing. When it expands its throat to croak out a tune, nearby POLIWAG and POLIWHIRL gather immediately. The curled hair on POLITOED’s head is proof of its status as a king. It is said that the longer and more curled the hair, the more respect this POKéMON earns from its peers. The curled hair on its head proves its status as a king. It is said that the longer and curlier the hair, the more respect it earns from its peers. If POLIWAG and POLIWHIRL hear its echoing cry, they respond by gathering from far and wide. It gathers groups of others as their leader. Its cries make POLIWAG obey. They gather on moonlit nights to form a large chorus. Their cries sound angry and not at all pleasant, but they are certainly distinctive. It’s the leader of Poliwag and Poliwhirl. When Politoed roars, they all cower in fear. Although its cries sound like screams, a composer created a beautiful ballad that was influenced by the sounds. The longer and more luxurious the curled hair on its head, the greater the number of Poliwag and Poliwhirl that will obey it. At nightfall, these Pokémon appear on the shores of lakes. They announce their territorial claims by letting out cries that sound like shouting. The cry of a male is louder than that of a female. Male Politoed with deep, menacing voices find more popularity with the opposite gender.</t>
        </is>
      </c>
    </row>
    <row r="5394" ht="33.75" customHeight="1">
      <c r="A5394" s="7">
        <v>186.0</v>
      </c>
      <c r="B5394" s="9" t="s">
        <v>11060</v>
      </c>
      <c r="C5394" s="9" t="s">
        <v>283</v>
      </c>
      <c r="D5394" s="9" t="s">
        <v>59</v>
      </c>
      <c r="E5394" s="6" t="s">
        <v>5806</v>
      </c>
      <c r="F5394" s="9" t="s">
        <v>13436</v>
      </c>
    </row>
    <row r="5395" ht="33.75" customHeight="1">
      <c r="A5395" s="7">
        <v>186.0</v>
      </c>
      <c r="B5395" s="9" t="s">
        <v>11060</v>
      </c>
      <c r="C5395" s="9" t="s">
        <v>283</v>
      </c>
      <c r="D5395" s="9" t="s">
        <v>64</v>
      </c>
      <c r="E5395" s="6" t="s">
        <v>5808</v>
      </c>
      <c r="F5395" s="9" t="s">
        <v>13436</v>
      </c>
    </row>
    <row r="5396" ht="33.75" customHeight="1">
      <c r="A5396" s="7">
        <v>186.0</v>
      </c>
      <c r="B5396" s="9" t="s">
        <v>11060</v>
      </c>
      <c r="C5396" s="9" t="s">
        <v>283</v>
      </c>
      <c r="D5396" s="9" t="s">
        <v>67</v>
      </c>
      <c r="E5396" s="6" t="s">
        <v>5809</v>
      </c>
      <c r="F5396" s="9" t="s">
        <v>13436</v>
      </c>
    </row>
    <row r="5397" ht="33.75" customHeight="1">
      <c r="A5397" s="7">
        <v>186.0</v>
      </c>
      <c r="B5397" s="9" t="s">
        <v>11060</v>
      </c>
      <c r="C5397" s="9" t="s">
        <v>283</v>
      </c>
      <c r="D5397" s="9" t="s">
        <v>71</v>
      </c>
      <c r="E5397" s="6" t="s">
        <v>5809</v>
      </c>
      <c r="F5397" s="9" t="s">
        <v>13436</v>
      </c>
    </row>
    <row r="5398" ht="33.75" customHeight="1">
      <c r="A5398" s="7">
        <v>186.0</v>
      </c>
      <c r="B5398" s="9" t="s">
        <v>11060</v>
      </c>
      <c r="C5398" s="9" t="s">
        <v>283</v>
      </c>
      <c r="D5398" s="9" t="s">
        <v>73</v>
      </c>
      <c r="E5398" s="6" t="s">
        <v>5810</v>
      </c>
      <c r="F5398" s="9" t="s">
        <v>13436</v>
      </c>
    </row>
    <row r="5399" ht="33.75" customHeight="1">
      <c r="A5399" s="7">
        <v>186.0</v>
      </c>
      <c r="B5399" s="9" t="s">
        <v>11060</v>
      </c>
      <c r="C5399" s="9" t="s">
        <v>283</v>
      </c>
      <c r="D5399" s="9" t="s">
        <v>75</v>
      </c>
      <c r="E5399" s="6" t="s">
        <v>5806</v>
      </c>
      <c r="F5399" s="9" t="s">
        <v>13436</v>
      </c>
    </row>
    <row r="5400" ht="33.75" customHeight="1">
      <c r="A5400" s="7">
        <v>186.0</v>
      </c>
      <c r="B5400" s="9" t="s">
        <v>11060</v>
      </c>
      <c r="C5400" s="9" t="s">
        <v>283</v>
      </c>
      <c r="D5400" s="9" t="s">
        <v>79</v>
      </c>
      <c r="E5400" s="6" t="s">
        <v>5812</v>
      </c>
      <c r="F5400" s="9" t="s">
        <v>13436</v>
      </c>
    </row>
    <row r="5401" ht="33.75" customHeight="1">
      <c r="A5401" s="7">
        <v>186.0</v>
      </c>
      <c r="B5401" s="9" t="s">
        <v>11060</v>
      </c>
      <c r="C5401" s="9" t="s">
        <v>283</v>
      </c>
      <c r="D5401" s="9" t="s">
        <v>81</v>
      </c>
      <c r="E5401" s="6" t="s">
        <v>5814</v>
      </c>
      <c r="F5401" s="9" t="s">
        <v>13436</v>
      </c>
    </row>
    <row r="5402" ht="33.75" customHeight="1">
      <c r="A5402" s="7">
        <v>186.0</v>
      </c>
      <c r="B5402" s="9" t="s">
        <v>11060</v>
      </c>
      <c r="C5402" s="9" t="s">
        <v>283</v>
      </c>
      <c r="D5402" s="9" t="s">
        <v>84</v>
      </c>
      <c r="E5402" s="6" t="s">
        <v>5814</v>
      </c>
      <c r="F5402" s="9" t="s">
        <v>13436</v>
      </c>
    </row>
    <row r="5403" ht="33.75" customHeight="1">
      <c r="A5403" s="7">
        <v>186.0</v>
      </c>
      <c r="B5403" s="9" t="s">
        <v>11060</v>
      </c>
      <c r="C5403" s="9" t="s">
        <v>283</v>
      </c>
      <c r="D5403" s="9" t="s">
        <v>87</v>
      </c>
      <c r="E5403" s="6" t="s">
        <v>5814</v>
      </c>
      <c r="F5403" s="9" t="s">
        <v>13436</v>
      </c>
    </row>
    <row r="5404" ht="33.75" customHeight="1">
      <c r="A5404" s="7">
        <v>186.0</v>
      </c>
      <c r="B5404" s="9" t="s">
        <v>11060</v>
      </c>
      <c r="C5404" s="9" t="s">
        <v>283</v>
      </c>
      <c r="D5404" s="9" t="s">
        <v>89</v>
      </c>
      <c r="E5404" s="6" t="s">
        <v>5812</v>
      </c>
      <c r="F5404" s="9" t="s">
        <v>13436</v>
      </c>
    </row>
    <row r="5405" ht="33.75" customHeight="1">
      <c r="A5405" s="7">
        <v>186.0</v>
      </c>
      <c r="B5405" s="9" t="s">
        <v>11060</v>
      </c>
      <c r="C5405" s="9" t="s">
        <v>283</v>
      </c>
      <c r="D5405" s="9" t="s">
        <v>91</v>
      </c>
      <c r="E5405" s="6" t="s">
        <v>5806</v>
      </c>
      <c r="F5405" s="9" t="s">
        <v>13436</v>
      </c>
    </row>
    <row r="5406" ht="33.75" customHeight="1">
      <c r="A5406" s="7">
        <v>186.0</v>
      </c>
      <c r="B5406" s="9" t="s">
        <v>11060</v>
      </c>
      <c r="C5406" s="9" t="s">
        <v>283</v>
      </c>
      <c r="D5406" s="9" t="s">
        <v>93</v>
      </c>
      <c r="E5406" s="6" t="s">
        <v>5815</v>
      </c>
      <c r="F5406" s="9" t="s">
        <v>13436</v>
      </c>
    </row>
    <row r="5407" ht="33.75" customHeight="1">
      <c r="A5407" s="7">
        <v>186.0</v>
      </c>
      <c r="B5407" s="9" t="s">
        <v>11060</v>
      </c>
      <c r="C5407" s="9" t="s">
        <v>283</v>
      </c>
      <c r="D5407" s="9" t="s">
        <v>95</v>
      </c>
      <c r="E5407" s="6" t="s">
        <v>5815</v>
      </c>
      <c r="F5407" s="9" t="s">
        <v>13436</v>
      </c>
    </row>
    <row r="5408" ht="33.75" customHeight="1">
      <c r="A5408" s="7">
        <v>186.0</v>
      </c>
      <c r="B5408" s="9" t="s">
        <v>11060</v>
      </c>
      <c r="C5408" s="9" t="s">
        <v>283</v>
      </c>
      <c r="D5408" s="9" t="s">
        <v>98</v>
      </c>
      <c r="E5408" s="6" t="s">
        <v>5815</v>
      </c>
      <c r="F5408" s="9" t="s">
        <v>13436</v>
      </c>
    </row>
    <row r="5409" ht="33.75" customHeight="1">
      <c r="A5409" s="7">
        <v>186.0</v>
      </c>
      <c r="B5409" s="9" t="s">
        <v>11060</v>
      </c>
      <c r="C5409" s="9" t="s">
        <v>283</v>
      </c>
      <c r="D5409" s="9" t="s">
        <v>99</v>
      </c>
      <c r="E5409" s="6" t="s">
        <v>5815</v>
      </c>
      <c r="F5409" s="9" t="s">
        <v>13436</v>
      </c>
    </row>
    <row r="5410" ht="33.75" customHeight="1">
      <c r="A5410" s="7">
        <v>186.0</v>
      </c>
      <c r="B5410" s="9" t="s">
        <v>11060</v>
      </c>
      <c r="C5410" s="9" t="s">
        <v>283</v>
      </c>
      <c r="D5410" s="9" t="s">
        <v>101</v>
      </c>
      <c r="E5410" s="6" t="s">
        <v>5806</v>
      </c>
      <c r="F5410" s="9" t="s">
        <v>13436</v>
      </c>
    </row>
    <row r="5411" ht="33.75" customHeight="1">
      <c r="A5411" s="7">
        <v>186.0</v>
      </c>
      <c r="B5411" s="9" t="s">
        <v>11060</v>
      </c>
      <c r="C5411" s="9" t="s">
        <v>283</v>
      </c>
      <c r="D5411" s="9" t="s">
        <v>105</v>
      </c>
      <c r="E5411" s="6" t="s">
        <v>5817</v>
      </c>
      <c r="F5411" s="9" t="s">
        <v>13436</v>
      </c>
    </row>
    <row r="5412" ht="33.75" customHeight="1">
      <c r="A5412" s="7">
        <v>186.0</v>
      </c>
      <c r="B5412" s="9" t="s">
        <v>11060</v>
      </c>
      <c r="C5412" s="9" t="s">
        <v>283</v>
      </c>
      <c r="D5412" s="9" t="s">
        <v>107</v>
      </c>
      <c r="E5412" s="6" t="s">
        <v>5818</v>
      </c>
      <c r="F5412" s="9" t="s">
        <v>13436</v>
      </c>
    </row>
    <row r="5413" ht="33.75" customHeight="1">
      <c r="A5413" s="7">
        <v>186.0</v>
      </c>
      <c r="B5413" s="9" t="s">
        <v>11060</v>
      </c>
      <c r="C5413" s="9" t="s">
        <v>283</v>
      </c>
      <c r="D5413" s="9" t="s">
        <v>109</v>
      </c>
      <c r="E5413" s="6" t="s">
        <v>5818</v>
      </c>
      <c r="F5413" s="9" t="s">
        <v>13436</v>
      </c>
    </row>
    <row r="5414" ht="33.75" customHeight="1">
      <c r="A5414" s="7">
        <v>186.0</v>
      </c>
      <c r="B5414" s="9" t="s">
        <v>11060</v>
      </c>
      <c r="C5414" s="9" t="s">
        <v>283</v>
      </c>
      <c r="D5414" s="9" t="s">
        <v>637</v>
      </c>
      <c r="E5414" s="6" t="s">
        <v>5820</v>
      </c>
      <c r="F5414" s="9" t="s">
        <v>13436</v>
      </c>
    </row>
    <row r="5415" ht="33.75" customHeight="1">
      <c r="A5415" s="7">
        <v>186.0</v>
      </c>
      <c r="B5415" s="9" t="s">
        <v>11060</v>
      </c>
      <c r="C5415" s="9" t="s">
        <v>283</v>
      </c>
      <c r="D5415" s="9" t="s">
        <v>642</v>
      </c>
      <c r="E5415" s="6" t="s">
        <v>5821</v>
      </c>
      <c r="F5415" s="9" t="s">
        <v>13436</v>
      </c>
    </row>
    <row r="5416" ht="33.75" customHeight="1">
      <c r="A5416" s="7">
        <v>186.0</v>
      </c>
      <c r="B5416" s="9" t="s">
        <v>11060</v>
      </c>
      <c r="C5416" s="9" t="s">
        <v>283</v>
      </c>
      <c r="D5416" s="9" t="s">
        <v>647</v>
      </c>
      <c r="E5416" s="6" t="s">
        <v>5822</v>
      </c>
      <c r="F5416" s="9" t="s">
        <v>13436</v>
      </c>
    </row>
    <row r="5417" ht="33.75" customHeight="1">
      <c r="A5417" s="7">
        <v>186.0</v>
      </c>
      <c r="B5417" s="9" t="s">
        <v>11060</v>
      </c>
      <c r="C5417" s="9" t="s">
        <v>283</v>
      </c>
      <c r="D5417" s="9" t="s">
        <v>652</v>
      </c>
      <c r="E5417" s="6" t="s">
        <v>5824</v>
      </c>
      <c r="F5417" s="9" t="s">
        <v>13436</v>
      </c>
    </row>
    <row r="5418" ht="33.75" customHeight="1">
      <c r="A5418" s="7">
        <v>186.0</v>
      </c>
      <c r="B5418" s="9" t="s">
        <v>11060</v>
      </c>
      <c r="C5418" s="9" t="s">
        <v>283</v>
      </c>
      <c r="D5418" s="9" t="s">
        <v>114</v>
      </c>
      <c r="E5418" s="6" t="s">
        <v>5826</v>
      </c>
      <c r="F5418" s="9" t="s">
        <v>13436</v>
      </c>
    </row>
    <row r="5419" ht="33.75" customHeight="1">
      <c r="A5419" s="7">
        <v>186.0</v>
      </c>
      <c r="B5419" s="9" t="s">
        <v>11060</v>
      </c>
      <c r="C5419" s="9" t="s">
        <v>283</v>
      </c>
      <c r="D5419" s="9" t="s">
        <v>117</v>
      </c>
      <c r="E5419" s="6" t="s">
        <v>5827</v>
      </c>
      <c r="F5419" s="9" t="s">
        <v>13436</v>
      </c>
    </row>
    <row r="5420" ht="33.75" customHeight="1">
      <c r="A5420" s="7">
        <v>187.0</v>
      </c>
      <c r="B5420" s="9" t="s">
        <v>11105</v>
      </c>
      <c r="C5420" s="9" t="s">
        <v>284</v>
      </c>
      <c r="D5420" s="9" t="s">
        <v>52</v>
      </c>
      <c r="E5420" s="6" t="s">
        <v>5828</v>
      </c>
      <c r="F5420" s="9" t="s">
        <v>13489</v>
      </c>
      <c r="G5420" t="inlineStr" s="6">
        <is>
          <t xml:space="preserve">To keep from being blown away by the wind, they gather in clusters. They do enjoy gentle breezes, though. Its body is so light, it must grip the ground firmly with its feet to keep from being blown away. It can be carried away on even the gentlest breeze. It may even float all the way to the next town. This POKéMON drifts and floats with the wind. If it senses the approach of strong winds, HOPPIP links its leaves with other HOPPIP to prepare against being blown away. If it senses the approach of strong winds, a HOPPIP links leaves with others to prepare against being blown away. It drifts on winds. It is said that when HOPPIP gather in fields and mountains, spring is on the way. But they do enjoy gentle breezes.</t>
        </is>
      </c>
    </row>
    <row r="5421" ht="33.75" customHeight="1">
      <c r="A5421" s="7">
        <v>187.0</v>
      </c>
      <c r="B5421" s="9" t="s">
        <v>11105</v>
      </c>
      <c r="C5421" s="9" t="s">
        <v>284</v>
      </c>
      <c r="D5421" s="9" t="s">
        <v>59</v>
      </c>
      <c r="E5421" s="6" t="s">
        <v>5830</v>
      </c>
      <c r="F5421" s="9" t="s">
        <v>13489</v>
      </c>
    </row>
    <row r="5422" ht="33.75" customHeight="1">
      <c r="A5422" s="7">
        <v>187.0</v>
      </c>
      <c r="B5422" s="9" t="s">
        <v>11105</v>
      </c>
      <c r="C5422" s="9" t="s">
        <v>284</v>
      </c>
      <c r="D5422" s="9" t="s">
        <v>64</v>
      </c>
      <c r="E5422" s="6" t="s">
        <v>5832</v>
      </c>
      <c r="F5422" s="9" t="s">
        <v>13489</v>
      </c>
    </row>
    <row r="5423" ht="33.75" customHeight="1">
      <c r="A5423" s="7">
        <v>187.0</v>
      </c>
      <c r="B5423" s="9" t="s">
        <v>11105</v>
      </c>
      <c r="C5423" s="9" t="s">
        <v>284</v>
      </c>
      <c r="D5423" s="9" t="s">
        <v>67</v>
      </c>
      <c r="E5423" s="6" t="s">
        <v>5834</v>
      </c>
      <c r="F5423" s="9" t="s">
        <v>13489</v>
      </c>
    </row>
    <row r="5424" ht="33.75" customHeight="1">
      <c r="A5424" s="7">
        <v>187.0</v>
      </c>
      <c r="B5424" s="9" t="s">
        <v>11105</v>
      </c>
      <c r="C5424" s="9" t="s">
        <v>284</v>
      </c>
      <c r="D5424" s="9" t="s">
        <v>71</v>
      </c>
      <c r="E5424" s="6" t="s">
        <v>5834</v>
      </c>
      <c r="F5424" s="9" t="s">
        <v>13489</v>
      </c>
    </row>
    <row r="5425" ht="33.75" customHeight="1">
      <c r="A5425" s="7">
        <v>187.0</v>
      </c>
      <c r="B5425" s="9" t="s">
        <v>11105</v>
      </c>
      <c r="C5425" s="9" t="s">
        <v>284</v>
      </c>
      <c r="D5425" s="9" t="s">
        <v>73</v>
      </c>
      <c r="E5425" s="6" t="s">
        <v>5835</v>
      </c>
      <c r="F5425" s="9" t="s">
        <v>13489</v>
      </c>
    </row>
    <row r="5426" ht="33.75" customHeight="1">
      <c r="A5426" s="7">
        <v>187.0</v>
      </c>
      <c r="B5426" s="9" t="s">
        <v>11105</v>
      </c>
      <c r="C5426" s="9" t="s">
        <v>284</v>
      </c>
      <c r="D5426" s="9" t="s">
        <v>75</v>
      </c>
      <c r="E5426" s="6" t="s">
        <v>5830</v>
      </c>
      <c r="F5426" s="9" t="s">
        <v>13489</v>
      </c>
    </row>
    <row r="5427" ht="33.75" customHeight="1">
      <c r="A5427" s="7">
        <v>187.0</v>
      </c>
      <c r="B5427" s="9" t="s">
        <v>11105</v>
      </c>
      <c r="C5427" s="9" t="s">
        <v>284</v>
      </c>
      <c r="D5427" s="9" t="s">
        <v>79</v>
      </c>
      <c r="E5427" s="6" t="s">
        <v>5828</v>
      </c>
      <c r="F5427" s="9" t="s">
        <v>13489</v>
      </c>
    </row>
    <row r="5428" ht="33.75" customHeight="1">
      <c r="A5428" s="7">
        <v>187.0</v>
      </c>
      <c r="B5428" s="9" t="s">
        <v>11105</v>
      </c>
      <c r="C5428" s="9" t="s">
        <v>284</v>
      </c>
      <c r="D5428" s="9" t="s">
        <v>81</v>
      </c>
      <c r="E5428" s="6" t="s">
        <v>5836</v>
      </c>
      <c r="F5428" s="9" t="s">
        <v>13489</v>
      </c>
    </row>
    <row r="5429" ht="33.75" customHeight="1">
      <c r="A5429" s="7">
        <v>187.0</v>
      </c>
      <c r="B5429" s="9" t="s">
        <v>11105</v>
      </c>
      <c r="C5429" s="9" t="s">
        <v>284</v>
      </c>
      <c r="D5429" s="9" t="s">
        <v>84</v>
      </c>
      <c r="E5429" s="6" t="s">
        <v>5836</v>
      </c>
      <c r="F5429" s="9" t="s">
        <v>13489</v>
      </c>
    </row>
    <row r="5430" ht="33.75" customHeight="1">
      <c r="A5430" s="7">
        <v>187.0</v>
      </c>
      <c r="B5430" s="9" t="s">
        <v>11105</v>
      </c>
      <c r="C5430" s="9" t="s">
        <v>284</v>
      </c>
      <c r="D5430" s="9" t="s">
        <v>87</v>
      </c>
      <c r="E5430" s="6" t="s">
        <v>5836</v>
      </c>
      <c r="F5430" s="9" t="s">
        <v>13489</v>
      </c>
    </row>
    <row r="5431" ht="33.75" customHeight="1">
      <c r="A5431" s="7">
        <v>187.0</v>
      </c>
      <c r="B5431" s="9" t="s">
        <v>11105</v>
      </c>
      <c r="C5431" s="9" t="s">
        <v>284</v>
      </c>
      <c r="D5431" s="9" t="s">
        <v>89</v>
      </c>
      <c r="E5431" s="6" t="s">
        <v>5838</v>
      </c>
      <c r="F5431" s="9" t="s">
        <v>13489</v>
      </c>
    </row>
    <row r="5432" ht="33.75" customHeight="1">
      <c r="A5432" s="7">
        <v>187.0</v>
      </c>
      <c r="B5432" s="9" t="s">
        <v>11105</v>
      </c>
      <c r="C5432" s="9" t="s">
        <v>284</v>
      </c>
      <c r="D5432" s="9" t="s">
        <v>91</v>
      </c>
      <c r="E5432" s="6" t="s">
        <v>5830</v>
      </c>
      <c r="F5432" s="9" t="s">
        <v>13489</v>
      </c>
    </row>
    <row r="5433" ht="33.75" customHeight="1">
      <c r="A5433" s="7">
        <v>187.0</v>
      </c>
      <c r="B5433" s="9" t="s">
        <v>11105</v>
      </c>
      <c r="C5433" s="9" t="s">
        <v>284</v>
      </c>
      <c r="D5433" s="9" t="s">
        <v>93</v>
      </c>
      <c r="E5433" s="6" t="s">
        <v>5839</v>
      </c>
      <c r="F5433" s="9" t="s">
        <v>13489</v>
      </c>
    </row>
    <row r="5434" ht="33.75" customHeight="1">
      <c r="A5434" s="7">
        <v>187.0</v>
      </c>
      <c r="B5434" s="9" t="s">
        <v>11105</v>
      </c>
      <c r="C5434" s="9" t="s">
        <v>284</v>
      </c>
      <c r="D5434" s="9" t="s">
        <v>95</v>
      </c>
      <c r="E5434" s="6" t="s">
        <v>5839</v>
      </c>
      <c r="F5434" s="9" t="s">
        <v>13489</v>
      </c>
    </row>
    <row r="5435" ht="33.75" customHeight="1">
      <c r="A5435" s="7">
        <v>187.0</v>
      </c>
      <c r="B5435" s="9" t="s">
        <v>11105</v>
      </c>
      <c r="C5435" s="9" t="s">
        <v>284</v>
      </c>
      <c r="D5435" s="9" t="s">
        <v>98</v>
      </c>
      <c r="E5435" s="6" t="s">
        <v>5839</v>
      </c>
      <c r="F5435" s="9" t="s">
        <v>13489</v>
      </c>
    </row>
    <row r="5436" ht="33.75" customHeight="1">
      <c r="A5436" s="7">
        <v>187.0</v>
      </c>
      <c r="B5436" s="9" t="s">
        <v>11105</v>
      </c>
      <c r="C5436" s="9" t="s">
        <v>284</v>
      </c>
      <c r="D5436" s="9" t="s">
        <v>99</v>
      </c>
      <c r="E5436" s="6" t="s">
        <v>5839</v>
      </c>
      <c r="F5436" s="9" t="s">
        <v>13489</v>
      </c>
    </row>
    <row r="5437" ht="33.75" customHeight="1">
      <c r="A5437" s="7">
        <v>187.0</v>
      </c>
      <c r="B5437" s="9" t="s">
        <v>11105</v>
      </c>
      <c r="C5437" s="9" t="s">
        <v>284</v>
      </c>
      <c r="D5437" s="9" t="s">
        <v>101</v>
      </c>
      <c r="E5437" s="6" t="s">
        <v>5830</v>
      </c>
      <c r="F5437" s="9" t="s">
        <v>13489</v>
      </c>
    </row>
    <row r="5438" ht="33.75" customHeight="1">
      <c r="A5438" s="7">
        <v>187.0</v>
      </c>
      <c r="B5438" s="9" t="s">
        <v>11105</v>
      </c>
      <c r="C5438" s="9" t="s">
        <v>284</v>
      </c>
      <c r="D5438" s="9" t="s">
        <v>105</v>
      </c>
      <c r="E5438" s="6" t="s">
        <v>5839</v>
      </c>
      <c r="F5438" s="9" t="s">
        <v>13489</v>
      </c>
    </row>
    <row r="5439" ht="33.75" customHeight="1">
      <c r="A5439" s="7">
        <v>187.0</v>
      </c>
      <c r="B5439" s="9" t="s">
        <v>11105</v>
      </c>
      <c r="C5439" s="9" t="s">
        <v>284</v>
      </c>
      <c r="D5439" s="9" t="s">
        <v>107</v>
      </c>
      <c r="E5439" s="6" t="s">
        <v>5840</v>
      </c>
      <c r="F5439" s="9" t="s">
        <v>13489</v>
      </c>
    </row>
    <row r="5440" ht="33.75" customHeight="1">
      <c r="A5440" s="7">
        <v>187.0</v>
      </c>
      <c r="B5440" s="9" t="s">
        <v>11105</v>
      </c>
      <c r="C5440" s="9" t="s">
        <v>284</v>
      </c>
      <c r="D5440" s="9" t="s">
        <v>109</v>
      </c>
      <c r="E5440" s="6" t="s">
        <v>5840</v>
      </c>
      <c r="F5440" s="9" t="s">
        <v>13489</v>
      </c>
    </row>
    <row r="5441" ht="33.75" customHeight="1">
      <c r="A5441" s="7">
        <v>188.0</v>
      </c>
      <c r="B5441" s="9" t="s">
        <v>11139</v>
      </c>
      <c r="C5441" s="9" t="s">
        <v>284</v>
      </c>
      <c r="D5441" s="9" t="s">
        <v>52</v>
      </c>
      <c r="E5441" s="6" t="s">
        <v>5841</v>
      </c>
      <c r="F5441" s="9" t="s">
        <v>13520</v>
      </c>
      <c r="G5441" t="inlineStr" s="6">
        <is>
          <t xml:space="preserve">The bloom on top of Skiploom's head opens and closes as the temperature fluctuates up and down. It spreads its petals to absorb sunlight. It also floats in the air to get closer to the sun. As soon as it rains, it closes its flower and hides in the shade of a tree to avoid getting wet. SKIPLOOM’s flower blossoms when the temperature rises above 64 degrees F. How much the flower opens depends on the temperature. For that reason, this POKéMON is sometimes used as a thermometer. It blossoms when the temperature rises above 64 degrees F. Because its flower’s blooming changes with the temperature, it is sometimes used as a thermometer. It blooms when the weather warms. It floats in the sky to soak up as much sunlight as possible. Skiploom’s flower blossoms when the temperature rises above 64 degrees Fahrenheit.</t>
        </is>
      </c>
    </row>
    <row r="5442" ht="33.75" customHeight="1">
      <c r="A5442" s="7">
        <v>188.0</v>
      </c>
      <c r="B5442" s="9" t="s">
        <v>11139</v>
      </c>
      <c r="C5442" s="9" t="s">
        <v>284</v>
      </c>
      <c r="D5442" s="9" t="s">
        <v>59</v>
      </c>
      <c r="E5442" s="6" t="s">
        <v>5842</v>
      </c>
      <c r="F5442" s="9" t="s">
        <v>13520</v>
      </c>
    </row>
    <row r="5443" ht="33.75" customHeight="1">
      <c r="A5443" s="7">
        <v>188.0</v>
      </c>
      <c r="B5443" s="9" t="s">
        <v>11139</v>
      </c>
      <c r="C5443" s="9" t="s">
        <v>284</v>
      </c>
      <c r="D5443" s="9" t="s">
        <v>64</v>
      </c>
      <c r="E5443" s="6" t="s">
        <v>5843</v>
      </c>
      <c r="F5443" s="9" t="s">
        <v>13520</v>
      </c>
    </row>
    <row r="5444" ht="33.75" customHeight="1">
      <c r="A5444" s="7">
        <v>188.0</v>
      </c>
      <c r="B5444" s="9" t="s">
        <v>11139</v>
      </c>
      <c r="C5444" s="9" t="s">
        <v>284</v>
      </c>
      <c r="D5444" s="9" t="s">
        <v>67</v>
      </c>
      <c r="E5444" s="6" t="s">
        <v>5844</v>
      </c>
      <c r="F5444" s="9" t="s">
        <v>13520</v>
      </c>
    </row>
    <row r="5445" ht="33.75" customHeight="1">
      <c r="A5445" s="7">
        <v>188.0</v>
      </c>
      <c r="B5445" s="9" t="s">
        <v>11139</v>
      </c>
      <c r="C5445" s="9" t="s">
        <v>284</v>
      </c>
      <c r="D5445" s="9" t="s">
        <v>71</v>
      </c>
      <c r="E5445" s="6" t="s">
        <v>5844</v>
      </c>
      <c r="F5445" s="9" t="s">
        <v>13520</v>
      </c>
    </row>
    <row r="5446" ht="33.75" customHeight="1">
      <c r="A5446" s="7">
        <v>188.0</v>
      </c>
      <c r="B5446" s="9" t="s">
        <v>11139</v>
      </c>
      <c r="C5446" s="9" t="s">
        <v>284</v>
      </c>
      <c r="D5446" s="9" t="s">
        <v>73</v>
      </c>
      <c r="E5446" s="6" t="s">
        <v>5845</v>
      </c>
      <c r="F5446" s="9" t="s">
        <v>13520</v>
      </c>
    </row>
    <row r="5447" ht="33.75" customHeight="1">
      <c r="A5447" s="7">
        <v>188.0</v>
      </c>
      <c r="B5447" s="9" t="s">
        <v>11139</v>
      </c>
      <c r="C5447" s="9" t="s">
        <v>284</v>
      </c>
      <c r="D5447" s="9" t="s">
        <v>75</v>
      </c>
      <c r="E5447" s="6" t="s">
        <v>5842</v>
      </c>
      <c r="F5447" s="9" t="s">
        <v>13520</v>
      </c>
    </row>
    <row r="5448" ht="33.75" customHeight="1">
      <c r="A5448" s="7">
        <v>188.0</v>
      </c>
      <c r="B5448" s="9" t="s">
        <v>11139</v>
      </c>
      <c r="C5448" s="9" t="s">
        <v>284</v>
      </c>
      <c r="D5448" s="9" t="s">
        <v>79</v>
      </c>
      <c r="E5448" s="6" t="s">
        <v>5846</v>
      </c>
      <c r="F5448" s="9" t="s">
        <v>13520</v>
      </c>
    </row>
    <row r="5449" ht="33.75" customHeight="1">
      <c r="A5449" s="7">
        <v>188.0</v>
      </c>
      <c r="B5449" s="9" t="s">
        <v>11139</v>
      </c>
      <c r="C5449" s="9" t="s">
        <v>284</v>
      </c>
      <c r="D5449" s="9" t="s">
        <v>81</v>
      </c>
      <c r="E5449" s="6" t="s">
        <v>5847</v>
      </c>
      <c r="F5449" s="9" t="s">
        <v>13520</v>
      </c>
    </row>
    <row r="5450" ht="33.75" customHeight="1">
      <c r="A5450" s="7">
        <v>188.0</v>
      </c>
      <c r="B5450" s="9" t="s">
        <v>11139</v>
      </c>
      <c r="C5450" s="9" t="s">
        <v>284</v>
      </c>
      <c r="D5450" s="9" t="s">
        <v>84</v>
      </c>
      <c r="E5450" s="6" t="s">
        <v>5847</v>
      </c>
      <c r="F5450" s="9" t="s">
        <v>13520</v>
      </c>
    </row>
    <row r="5451" ht="33.75" customHeight="1">
      <c r="A5451" s="7">
        <v>188.0</v>
      </c>
      <c r="B5451" s="9" t="s">
        <v>11139</v>
      </c>
      <c r="C5451" s="9" t="s">
        <v>284</v>
      </c>
      <c r="D5451" s="9" t="s">
        <v>87</v>
      </c>
      <c r="E5451" s="6" t="s">
        <v>5847</v>
      </c>
      <c r="F5451" s="9" t="s">
        <v>13520</v>
      </c>
    </row>
    <row r="5452" ht="33.75" customHeight="1">
      <c r="A5452" s="7">
        <v>188.0</v>
      </c>
      <c r="B5452" s="9" t="s">
        <v>11139</v>
      </c>
      <c r="C5452" s="9" t="s">
        <v>284</v>
      </c>
      <c r="D5452" s="9" t="s">
        <v>89</v>
      </c>
      <c r="E5452" s="6" t="s">
        <v>5846</v>
      </c>
      <c r="F5452" s="9" t="s">
        <v>13520</v>
      </c>
    </row>
    <row r="5453" ht="33.75" customHeight="1">
      <c r="A5453" s="7">
        <v>188.0</v>
      </c>
      <c r="B5453" s="9" t="s">
        <v>11139</v>
      </c>
      <c r="C5453" s="9" t="s">
        <v>284</v>
      </c>
      <c r="D5453" s="9" t="s">
        <v>91</v>
      </c>
      <c r="E5453" s="6" t="s">
        <v>5842</v>
      </c>
      <c r="F5453" s="9" t="s">
        <v>13520</v>
      </c>
    </row>
    <row r="5454" ht="33.75" customHeight="1">
      <c r="A5454" s="7">
        <v>188.0</v>
      </c>
      <c r="B5454" s="9" t="s">
        <v>11139</v>
      </c>
      <c r="C5454" s="9" t="s">
        <v>284</v>
      </c>
      <c r="D5454" s="9" t="s">
        <v>93</v>
      </c>
      <c r="E5454" s="6" t="s">
        <v>5847</v>
      </c>
      <c r="F5454" s="9" t="s">
        <v>13520</v>
      </c>
    </row>
    <row r="5455" ht="33.75" customHeight="1">
      <c r="A5455" s="7">
        <v>188.0</v>
      </c>
      <c r="B5455" s="9" t="s">
        <v>11139</v>
      </c>
      <c r="C5455" s="9" t="s">
        <v>284</v>
      </c>
      <c r="D5455" s="9" t="s">
        <v>95</v>
      </c>
      <c r="E5455" s="6" t="s">
        <v>5847</v>
      </c>
      <c r="F5455" s="9" t="s">
        <v>13520</v>
      </c>
    </row>
    <row r="5456" ht="33.75" customHeight="1">
      <c r="A5456" s="7">
        <v>188.0</v>
      </c>
      <c r="B5456" s="9" t="s">
        <v>11139</v>
      </c>
      <c r="C5456" s="9" t="s">
        <v>284</v>
      </c>
      <c r="D5456" s="9" t="s">
        <v>98</v>
      </c>
      <c r="E5456" s="6" t="s">
        <v>5847</v>
      </c>
      <c r="F5456" s="9" t="s">
        <v>13520</v>
      </c>
    </row>
    <row r="5457" ht="33.75" customHeight="1">
      <c r="A5457" s="7">
        <v>188.0</v>
      </c>
      <c r="B5457" s="9" t="s">
        <v>11139</v>
      </c>
      <c r="C5457" s="9" t="s">
        <v>284</v>
      </c>
      <c r="D5457" s="9" t="s">
        <v>99</v>
      </c>
      <c r="E5457" s="6" t="s">
        <v>5847</v>
      </c>
      <c r="F5457" s="9" t="s">
        <v>13520</v>
      </c>
    </row>
    <row r="5458" ht="33.75" customHeight="1">
      <c r="A5458" s="7">
        <v>188.0</v>
      </c>
      <c r="B5458" s="9" t="s">
        <v>11139</v>
      </c>
      <c r="C5458" s="9" t="s">
        <v>284</v>
      </c>
      <c r="D5458" s="9" t="s">
        <v>101</v>
      </c>
      <c r="E5458" s="6" t="s">
        <v>5846</v>
      </c>
      <c r="F5458" s="9" t="s">
        <v>13520</v>
      </c>
    </row>
    <row r="5459" ht="33.75" customHeight="1">
      <c r="A5459" s="7">
        <v>188.0</v>
      </c>
      <c r="B5459" s="9" t="s">
        <v>11139</v>
      </c>
      <c r="C5459" s="9" t="s">
        <v>284</v>
      </c>
      <c r="D5459" s="9" t="s">
        <v>105</v>
      </c>
      <c r="E5459" s="6" t="s">
        <v>5842</v>
      </c>
      <c r="F5459" s="9" t="s">
        <v>13520</v>
      </c>
    </row>
    <row r="5460" ht="33.75" customHeight="1">
      <c r="A5460" s="7">
        <v>188.0</v>
      </c>
      <c r="B5460" s="9" t="s">
        <v>11139</v>
      </c>
      <c r="C5460" s="9" t="s">
        <v>284</v>
      </c>
      <c r="D5460" s="9" t="s">
        <v>107</v>
      </c>
      <c r="E5460" s="6" t="s">
        <v>5848</v>
      </c>
      <c r="F5460" s="9" t="s">
        <v>13520</v>
      </c>
    </row>
    <row r="5461" ht="33.75" customHeight="1">
      <c r="A5461" s="7">
        <v>188.0</v>
      </c>
      <c r="B5461" s="9" t="s">
        <v>11139</v>
      </c>
      <c r="C5461" s="9" t="s">
        <v>284</v>
      </c>
      <c r="D5461" s="9" t="s">
        <v>109</v>
      </c>
      <c r="E5461" s="6" t="s">
        <v>5848</v>
      </c>
      <c r="F5461" s="9" t="s">
        <v>13520</v>
      </c>
    </row>
    <row r="5462" ht="33.75" customHeight="1">
      <c r="A5462" s="7">
        <v>189.0</v>
      </c>
      <c r="B5462" s="9" t="s">
        <v>11178</v>
      </c>
      <c r="C5462" s="9" t="s">
        <v>284</v>
      </c>
      <c r="D5462" s="9" t="s">
        <v>52</v>
      </c>
      <c r="E5462" s="6" t="s">
        <v>5849</v>
      </c>
      <c r="F5462" s="9" t="s">
        <v>13561</v>
      </c>
      <c r="G5462" t="inlineStr" s="6">
        <is>
          <t xml:space="preserve">Once it catches the wind, it deft ly controls Jumpluff's cotton-puff spores to float, even around the world. Drifts on seasonal winds and spreads its cotton-like spores all over the world to make more offspring. Even in the fiercest wind, it can control its fluff to make its way to any place in the world it wants. JUMPLUFF rides warm southern winds to cross the sea and fly to foreign lands. The POKéMON descends to the ground when it encounters cold air while it is floating. JUMPLUFF ride warm southern winds to cross the sea and fly to foreign lands. This POKéMON lands when it encounters cold air while it is floating. It drifts on seasonal winds and spreads its cotton-like spores all over the world to make more offspring. Once it catches the wind, it deftly controls its cotton-puff spores to float, even around the world. Blown by seasonal winds, it circles the globe, scattering cotton spores as it goes. Once it catches the wind, it deftly controls its cotton-puff spores-- it can even float around the world.</t>
        </is>
      </c>
    </row>
    <row r="5463" ht="33.75" customHeight="1">
      <c r="A5463" s="7">
        <v>189.0</v>
      </c>
      <c r="B5463" s="9" t="s">
        <v>11178</v>
      </c>
      <c r="C5463" s="9" t="s">
        <v>284</v>
      </c>
      <c r="D5463" s="9" t="s">
        <v>59</v>
      </c>
      <c r="E5463" s="6" t="s">
        <v>5850</v>
      </c>
      <c r="F5463" s="9" t="s">
        <v>13561</v>
      </c>
    </row>
    <row r="5464" ht="33.75" customHeight="1">
      <c r="A5464" s="7">
        <v>189.0</v>
      </c>
      <c r="B5464" s="9" t="s">
        <v>11178</v>
      </c>
      <c r="C5464" s="9" t="s">
        <v>284</v>
      </c>
      <c r="D5464" s="9" t="s">
        <v>64</v>
      </c>
      <c r="E5464" s="6" t="s">
        <v>5852</v>
      </c>
      <c r="F5464" s="9" t="s">
        <v>13561</v>
      </c>
    </row>
    <row r="5465" ht="33.75" customHeight="1">
      <c r="A5465" s="7">
        <v>189.0</v>
      </c>
      <c r="B5465" s="9" t="s">
        <v>11178</v>
      </c>
      <c r="C5465" s="9" t="s">
        <v>284</v>
      </c>
      <c r="D5465" s="9" t="s">
        <v>67</v>
      </c>
      <c r="E5465" s="6" t="s">
        <v>5853</v>
      </c>
      <c r="F5465" s="9" t="s">
        <v>13561</v>
      </c>
    </row>
    <row r="5466" ht="33.75" customHeight="1">
      <c r="A5466" s="7">
        <v>189.0</v>
      </c>
      <c r="B5466" s="9" t="s">
        <v>11178</v>
      </c>
      <c r="C5466" s="9" t="s">
        <v>284</v>
      </c>
      <c r="D5466" s="9" t="s">
        <v>71</v>
      </c>
      <c r="E5466" s="6" t="s">
        <v>5853</v>
      </c>
      <c r="F5466" s="9" t="s">
        <v>13561</v>
      </c>
    </row>
    <row r="5467" ht="33.75" customHeight="1">
      <c r="A5467" s="7">
        <v>189.0</v>
      </c>
      <c r="B5467" s="9" t="s">
        <v>11178</v>
      </c>
      <c r="C5467" s="9" t="s">
        <v>284</v>
      </c>
      <c r="D5467" s="9" t="s">
        <v>73</v>
      </c>
      <c r="E5467" s="6" t="s">
        <v>5854</v>
      </c>
      <c r="F5467" s="9" t="s">
        <v>13561</v>
      </c>
    </row>
    <row r="5468" ht="33.75" customHeight="1">
      <c r="A5468" s="7">
        <v>189.0</v>
      </c>
      <c r="B5468" s="9" t="s">
        <v>11178</v>
      </c>
      <c r="C5468" s="9" t="s">
        <v>284</v>
      </c>
      <c r="D5468" s="9" t="s">
        <v>75</v>
      </c>
      <c r="E5468" s="6" t="s">
        <v>5855</v>
      </c>
      <c r="F5468" s="9" t="s">
        <v>13561</v>
      </c>
    </row>
    <row r="5469" ht="33.75" customHeight="1">
      <c r="A5469" s="7">
        <v>189.0</v>
      </c>
      <c r="B5469" s="9" t="s">
        <v>11178</v>
      </c>
      <c r="C5469" s="9" t="s">
        <v>284</v>
      </c>
      <c r="D5469" s="9" t="s">
        <v>79</v>
      </c>
      <c r="E5469" s="6" t="s">
        <v>5856</v>
      </c>
      <c r="F5469" s="9" t="s">
        <v>13561</v>
      </c>
    </row>
    <row r="5470" ht="33.75" customHeight="1">
      <c r="A5470" s="7">
        <v>189.0</v>
      </c>
      <c r="B5470" s="9" t="s">
        <v>11178</v>
      </c>
      <c r="C5470" s="9" t="s">
        <v>284</v>
      </c>
      <c r="D5470" s="9" t="s">
        <v>81</v>
      </c>
      <c r="E5470" s="6" t="s">
        <v>5857</v>
      </c>
      <c r="F5470" s="9" t="s">
        <v>13561</v>
      </c>
    </row>
    <row r="5471" ht="33.75" customHeight="1">
      <c r="A5471" s="7">
        <v>189.0</v>
      </c>
      <c r="B5471" s="9" t="s">
        <v>11178</v>
      </c>
      <c r="C5471" s="9" t="s">
        <v>284</v>
      </c>
      <c r="D5471" s="9" t="s">
        <v>84</v>
      </c>
      <c r="E5471" s="6" t="s">
        <v>5857</v>
      </c>
      <c r="F5471" s="9" t="s">
        <v>13561</v>
      </c>
    </row>
    <row r="5472" ht="33.75" customHeight="1">
      <c r="A5472" s="7">
        <v>189.0</v>
      </c>
      <c r="B5472" s="9" t="s">
        <v>11178</v>
      </c>
      <c r="C5472" s="9" t="s">
        <v>284</v>
      </c>
      <c r="D5472" s="9" t="s">
        <v>87</v>
      </c>
      <c r="E5472" s="6" t="s">
        <v>5857</v>
      </c>
      <c r="F5472" s="9" t="s">
        <v>13561</v>
      </c>
    </row>
    <row r="5473" ht="33.75" customHeight="1">
      <c r="A5473" s="7">
        <v>189.0</v>
      </c>
      <c r="B5473" s="9" t="s">
        <v>11178</v>
      </c>
      <c r="C5473" s="9" t="s">
        <v>284</v>
      </c>
      <c r="D5473" s="9" t="s">
        <v>89</v>
      </c>
      <c r="E5473" s="6" t="s">
        <v>5859</v>
      </c>
      <c r="F5473" s="9" t="s">
        <v>13561</v>
      </c>
    </row>
    <row r="5474" ht="33.75" customHeight="1">
      <c r="A5474" s="7">
        <v>189.0</v>
      </c>
      <c r="B5474" s="9" t="s">
        <v>11178</v>
      </c>
      <c r="C5474" s="9" t="s">
        <v>284</v>
      </c>
      <c r="D5474" s="9" t="s">
        <v>91</v>
      </c>
      <c r="E5474" s="6" t="s">
        <v>5850</v>
      </c>
      <c r="F5474" s="9" t="s">
        <v>13561</v>
      </c>
    </row>
    <row r="5475" ht="33.75" customHeight="1">
      <c r="A5475" s="7">
        <v>189.0</v>
      </c>
      <c r="B5475" s="9" t="s">
        <v>11178</v>
      </c>
      <c r="C5475" s="9" t="s">
        <v>284</v>
      </c>
      <c r="D5475" s="9" t="s">
        <v>93</v>
      </c>
      <c r="E5475" s="6" t="s">
        <v>5857</v>
      </c>
      <c r="F5475" s="9" t="s">
        <v>13561</v>
      </c>
    </row>
    <row r="5476" ht="33.75" customHeight="1">
      <c r="A5476" s="7">
        <v>189.0</v>
      </c>
      <c r="B5476" s="9" t="s">
        <v>11178</v>
      </c>
      <c r="C5476" s="9" t="s">
        <v>284</v>
      </c>
      <c r="D5476" s="9" t="s">
        <v>95</v>
      </c>
      <c r="E5476" s="6" t="s">
        <v>5857</v>
      </c>
      <c r="F5476" s="9" t="s">
        <v>13561</v>
      </c>
    </row>
    <row r="5477" ht="33.75" customHeight="1">
      <c r="A5477" s="7">
        <v>189.0</v>
      </c>
      <c r="B5477" s="9" t="s">
        <v>11178</v>
      </c>
      <c r="C5477" s="9" t="s">
        <v>284</v>
      </c>
      <c r="D5477" s="9" t="s">
        <v>98</v>
      </c>
      <c r="E5477" s="6" t="s">
        <v>5857</v>
      </c>
      <c r="F5477" s="9" t="s">
        <v>13561</v>
      </c>
    </row>
    <row r="5478" ht="33.75" customHeight="1">
      <c r="A5478" s="7">
        <v>189.0</v>
      </c>
      <c r="B5478" s="9" t="s">
        <v>11178</v>
      </c>
      <c r="C5478" s="9" t="s">
        <v>284</v>
      </c>
      <c r="D5478" s="9" t="s">
        <v>99</v>
      </c>
      <c r="E5478" s="6" t="s">
        <v>5857</v>
      </c>
      <c r="F5478" s="9" t="s">
        <v>13561</v>
      </c>
    </row>
    <row r="5479" ht="33.75" customHeight="1">
      <c r="A5479" s="7">
        <v>189.0</v>
      </c>
      <c r="B5479" s="9" t="s">
        <v>11178</v>
      </c>
      <c r="C5479" s="9" t="s">
        <v>284</v>
      </c>
      <c r="D5479" s="9" t="s">
        <v>101</v>
      </c>
      <c r="E5479" s="6" t="s">
        <v>5857</v>
      </c>
      <c r="F5479" s="9" t="s">
        <v>13561</v>
      </c>
    </row>
    <row r="5480" ht="33.75" customHeight="1">
      <c r="A5480" s="7">
        <v>189.0</v>
      </c>
      <c r="B5480" s="9" t="s">
        <v>11178</v>
      </c>
      <c r="C5480" s="9" t="s">
        <v>284</v>
      </c>
      <c r="D5480" s="9" t="s">
        <v>105</v>
      </c>
      <c r="E5480" s="6" t="s">
        <v>5860</v>
      </c>
      <c r="F5480" s="9" t="s">
        <v>13561</v>
      </c>
    </row>
    <row r="5481" ht="33.75" customHeight="1">
      <c r="A5481" s="7">
        <v>189.0</v>
      </c>
      <c r="B5481" s="9" t="s">
        <v>11178</v>
      </c>
      <c r="C5481" s="9" t="s">
        <v>284</v>
      </c>
      <c r="D5481" s="9" t="s">
        <v>107</v>
      </c>
      <c r="E5481" s="6" t="s">
        <v>5861</v>
      </c>
      <c r="F5481" s="9" t="s">
        <v>13561</v>
      </c>
    </row>
    <row r="5482" ht="33.75" customHeight="1">
      <c r="A5482" s="7">
        <v>189.0</v>
      </c>
      <c r="B5482" s="9" t="s">
        <v>11178</v>
      </c>
      <c r="C5482" s="9" t="s">
        <v>284</v>
      </c>
      <c r="D5482" s="9" t="s">
        <v>109</v>
      </c>
      <c r="E5482" s="6" t="s">
        <v>5861</v>
      </c>
      <c r="F5482" s="9" t="s">
        <v>13561</v>
      </c>
    </row>
    <row r="5483" ht="33.75" customHeight="1">
      <c r="A5483" s="7">
        <v>190.0</v>
      </c>
      <c r="B5483" s="9" t="s">
        <v>11225</v>
      </c>
      <c r="C5483" s="9" t="s">
        <v>286</v>
      </c>
      <c r="D5483" s="9" t="s">
        <v>52</v>
      </c>
      <c r="E5483" s="6" t="s">
        <v>5863</v>
      </c>
      <c r="F5483" s="9" t="s">
        <v>13577</v>
      </c>
      <c r="G5483" t="inlineStr" s="6">
        <is>
          <t xml:space="preserve">Aipom's tail is so powerful that it can use it to grab a tree branch and hold itself up in the air. It lives atop tall trees. When leap ing from branch to branch, it deftly uses its tail for balance. It uses its tail to hang on to tree branches. It uses its momentum to swing from one branch to another. AIPOM’s tail ends in a hand-like appendage that can be cleverly manipulated. However, because the POKéMON uses its tail so much, its real hands have become rather clumsy. Its tail ends with a dexterous, handlike appendage. However, because it uses the tail so much, AIPOM’s real hands have become rather clumsy. When leaping from branch to branch, it deftly uses its tail for balance. It uses its tail to pluck fruits that are out of reach. Its tail is more adept than its real hands. It lives atop giant trees. It wraps its tail around a branch so it won’t fall off while asleep. It lives high among the treetops. It can use its tail as freely and cleverly as its hands. As it did more and more with its tail, its hands became clumsy. It makes its nest high in the treetops. It searches for prey from the tops of trees. When it spots its favorite food, Bounsweet, Aipom gets excited and pounces. This treetop dweller possesses a tail as dexterous as a hand. Ancient writings describe this Pokémon as a one-armed oddity.</t>
        </is>
      </c>
    </row>
    <row r="5484" ht="33.75" customHeight="1">
      <c r="A5484" s="7">
        <v>190.0</v>
      </c>
      <c r="B5484" s="9" t="s">
        <v>11225</v>
      </c>
      <c r="C5484" s="9" t="s">
        <v>286</v>
      </c>
      <c r="D5484" s="9" t="s">
        <v>59</v>
      </c>
      <c r="E5484" s="6" t="s">
        <v>5864</v>
      </c>
      <c r="F5484" s="9" t="s">
        <v>13577</v>
      </c>
    </row>
    <row r="5485" ht="33.75" customHeight="1">
      <c r="A5485" s="7">
        <v>190.0</v>
      </c>
      <c r="B5485" s="9" t="s">
        <v>11225</v>
      </c>
      <c r="C5485" s="9" t="s">
        <v>286</v>
      </c>
      <c r="D5485" s="9" t="s">
        <v>64</v>
      </c>
      <c r="E5485" s="6" t="s">
        <v>5866</v>
      </c>
      <c r="F5485" s="9" t="s">
        <v>13577</v>
      </c>
    </row>
    <row r="5486" ht="33.75" customHeight="1">
      <c r="A5486" s="7">
        <v>190.0</v>
      </c>
      <c r="B5486" s="9" t="s">
        <v>11225</v>
      </c>
      <c r="C5486" s="9" t="s">
        <v>286</v>
      </c>
      <c r="D5486" s="9" t="s">
        <v>67</v>
      </c>
      <c r="E5486" s="6" t="s">
        <v>5867</v>
      </c>
      <c r="F5486" s="9" t="s">
        <v>13577</v>
      </c>
    </row>
    <row r="5487" ht="33.75" customHeight="1">
      <c r="A5487" s="7">
        <v>190.0</v>
      </c>
      <c r="B5487" s="9" t="s">
        <v>11225</v>
      </c>
      <c r="C5487" s="9" t="s">
        <v>286</v>
      </c>
      <c r="D5487" s="9" t="s">
        <v>71</v>
      </c>
      <c r="E5487" s="6" t="s">
        <v>5867</v>
      </c>
      <c r="F5487" s="9" t="s">
        <v>13577</v>
      </c>
    </row>
    <row r="5488" ht="33.75" customHeight="1">
      <c r="A5488" s="7">
        <v>190.0</v>
      </c>
      <c r="B5488" s="9" t="s">
        <v>11225</v>
      </c>
      <c r="C5488" s="9" t="s">
        <v>286</v>
      </c>
      <c r="D5488" s="9" t="s">
        <v>73</v>
      </c>
      <c r="E5488" s="6" t="s">
        <v>5869</v>
      </c>
      <c r="F5488" s="9" t="s">
        <v>13577</v>
      </c>
    </row>
    <row r="5489" ht="33.75" customHeight="1">
      <c r="A5489" s="7">
        <v>190.0</v>
      </c>
      <c r="B5489" s="9" t="s">
        <v>11225</v>
      </c>
      <c r="C5489" s="9" t="s">
        <v>286</v>
      </c>
      <c r="D5489" s="9" t="s">
        <v>75</v>
      </c>
      <c r="E5489" s="6" t="s">
        <v>5871</v>
      </c>
      <c r="F5489" s="9" t="s">
        <v>13577</v>
      </c>
    </row>
    <row r="5490" ht="33.75" customHeight="1">
      <c r="A5490" s="7">
        <v>190.0</v>
      </c>
      <c r="B5490" s="9" t="s">
        <v>11225</v>
      </c>
      <c r="C5490" s="9" t="s">
        <v>286</v>
      </c>
      <c r="D5490" s="9" t="s">
        <v>79</v>
      </c>
      <c r="E5490" s="6" t="s">
        <v>5863</v>
      </c>
      <c r="F5490" s="9" t="s">
        <v>13577</v>
      </c>
    </row>
    <row r="5491" ht="33.75" customHeight="1">
      <c r="A5491" s="7">
        <v>190.0</v>
      </c>
      <c r="B5491" s="9" t="s">
        <v>11225</v>
      </c>
      <c r="C5491" s="9" t="s">
        <v>286</v>
      </c>
      <c r="D5491" s="9" t="s">
        <v>81</v>
      </c>
      <c r="E5491" s="6" t="s">
        <v>5872</v>
      </c>
      <c r="F5491" s="9" t="s">
        <v>13577</v>
      </c>
    </row>
    <row r="5492" ht="33.75" customHeight="1">
      <c r="A5492" s="7">
        <v>190.0</v>
      </c>
      <c r="B5492" s="9" t="s">
        <v>11225</v>
      </c>
      <c r="C5492" s="9" t="s">
        <v>286</v>
      </c>
      <c r="D5492" s="9" t="s">
        <v>84</v>
      </c>
      <c r="E5492" s="6" t="s">
        <v>5873</v>
      </c>
      <c r="F5492" s="9" t="s">
        <v>13577</v>
      </c>
    </row>
    <row r="5493" ht="33.75" customHeight="1">
      <c r="A5493" s="7">
        <v>190.0</v>
      </c>
      <c r="B5493" s="9" t="s">
        <v>11225</v>
      </c>
      <c r="C5493" s="9" t="s">
        <v>286</v>
      </c>
      <c r="D5493" s="9" t="s">
        <v>87</v>
      </c>
      <c r="E5493" s="6" t="s">
        <v>5874</v>
      </c>
      <c r="F5493" s="9" t="s">
        <v>13577</v>
      </c>
    </row>
    <row r="5494" ht="33.75" customHeight="1">
      <c r="A5494" s="7">
        <v>190.0</v>
      </c>
      <c r="B5494" s="9" t="s">
        <v>11225</v>
      </c>
      <c r="C5494" s="9" t="s">
        <v>286</v>
      </c>
      <c r="D5494" s="9" t="s">
        <v>89</v>
      </c>
      <c r="E5494" s="6" t="s">
        <v>5863</v>
      </c>
      <c r="F5494" s="9" t="s">
        <v>13577</v>
      </c>
    </row>
    <row r="5495" ht="33.75" customHeight="1">
      <c r="A5495" s="7">
        <v>190.0</v>
      </c>
      <c r="B5495" s="9" t="s">
        <v>11225</v>
      </c>
      <c r="C5495" s="9" t="s">
        <v>286</v>
      </c>
      <c r="D5495" s="9" t="s">
        <v>91</v>
      </c>
      <c r="E5495" s="6" t="s">
        <v>5871</v>
      </c>
      <c r="F5495" s="9" t="s">
        <v>13577</v>
      </c>
    </row>
    <row r="5496" ht="33.75" customHeight="1">
      <c r="A5496" s="7">
        <v>190.0</v>
      </c>
      <c r="B5496" s="9" t="s">
        <v>11225</v>
      </c>
      <c r="C5496" s="9" t="s">
        <v>286</v>
      </c>
      <c r="D5496" s="9" t="s">
        <v>93</v>
      </c>
      <c r="E5496" s="6" t="s">
        <v>5874</v>
      </c>
      <c r="F5496" s="9" t="s">
        <v>13577</v>
      </c>
    </row>
    <row r="5497" ht="33.75" customHeight="1">
      <c r="A5497" s="7">
        <v>190.0</v>
      </c>
      <c r="B5497" s="9" t="s">
        <v>11225</v>
      </c>
      <c r="C5497" s="9" t="s">
        <v>286</v>
      </c>
      <c r="D5497" s="9" t="s">
        <v>95</v>
      </c>
      <c r="E5497" s="6" t="s">
        <v>5874</v>
      </c>
      <c r="F5497" s="9" t="s">
        <v>13577</v>
      </c>
    </row>
    <row r="5498" ht="33.75" customHeight="1">
      <c r="A5498" s="7">
        <v>190.0</v>
      </c>
      <c r="B5498" s="9" t="s">
        <v>11225</v>
      </c>
      <c r="C5498" s="9" t="s">
        <v>286</v>
      </c>
      <c r="D5498" s="9" t="s">
        <v>98</v>
      </c>
      <c r="E5498" s="6" t="s">
        <v>5874</v>
      </c>
      <c r="F5498" s="9" t="s">
        <v>13577</v>
      </c>
    </row>
    <row r="5499" ht="33.75" customHeight="1">
      <c r="A5499" s="7">
        <v>190.0</v>
      </c>
      <c r="B5499" s="9" t="s">
        <v>11225</v>
      </c>
      <c r="C5499" s="9" t="s">
        <v>286</v>
      </c>
      <c r="D5499" s="9" t="s">
        <v>99</v>
      </c>
      <c r="E5499" s="6" t="s">
        <v>5874</v>
      </c>
      <c r="F5499" s="9" t="s">
        <v>13577</v>
      </c>
    </row>
    <row r="5500" ht="33.75" customHeight="1">
      <c r="A5500" s="7">
        <v>190.0</v>
      </c>
      <c r="B5500" s="9" t="s">
        <v>11225</v>
      </c>
      <c r="C5500" s="9" t="s">
        <v>286</v>
      </c>
      <c r="D5500" s="9" t="s">
        <v>101</v>
      </c>
      <c r="E5500" s="6" t="s">
        <v>5871</v>
      </c>
      <c r="F5500" s="9" t="s">
        <v>13577</v>
      </c>
    </row>
    <row r="5501" ht="33.75" customHeight="1">
      <c r="A5501" s="7">
        <v>190.0</v>
      </c>
      <c r="B5501" s="9" t="s">
        <v>11225</v>
      </c>
      <c r="C5501" s="9" t="s">
        <v>286</v>
      </c>
      <c r="D5501" s="9" t="s">
        <v>105</v>
      </c>
      <c r="E5501" s="6" t="s">
        <v>5863</v>
      </c>
      <c r="F5501" s="9" t="s">
        <v>13577</v>
      </c>
    </row>
    <row r="5502" ht="33.75" customHeight="1">
      <c r="A5502" s="7">
        <v>190.0</v>
      </c>
      <c r="B5502" s="9" t="s">
        <v>11225</v>
      </c>
      <c r="C5502" s="9" t="s">
        <v>286</v>
      </c>
      <c r="D5502" s="9" t="s">
        <v>107</v>
      </c>
      <c r="E5502" s="6" t="s">
        <v>5875</v>
      </c>
      <c r="F5502" s="9" t="s">
        <v>13577</v>
      </c>
    </row>
    <row r="5503" ht="33.75" customHeight="1">
      <c r="A5503" s="7">
        <v>190.0</v>
      </c>
      <c r="B5503" s="9" t="s">
        <v>11225</v>
      </c>
      <c r="C5503" s="9" t="s">
        <v>286</v>
      </c>
      <c r="D5503" s="9" t="s">
        <v>109</v>
      </c>
      <c r="E5503" s="6" t="s">
        <v>5875</v>
      </c>
      <c r="F5503" s="9" t="s">
        <v>13577</v>
      </c>
    </row>
    <row r="5504" ht="33.75" customHeight="1">
      <c r="A5504" s="7">
        <v>190.0</v>
      </c>
      <c r="B5504" s="9" t="s">
        <v>11225</v>
      </c>
      <c r="C5504" s="9" t="s">
        <v>286</v>
      </c>
      <c r="D5504" s="9" t="s">
        <v>647</v>
      </c>
      <c r="E5504" s="6" t="s">
        <v>5877</v>
      </c>
      <c r="F5504" s="9" t="s">
        <v>13577</v>
      </c>
    </row>
    <row r="5505" ht="33.75" customHeight="1">
      <c r="A5505" s="7">
        <v>190.0</v>
      </c>
      <c r="B5505" s="9" t="s">
        <v>11225</v>
      </c>
      <c r="C5505" s="9" t="s">
        <v>286</v>
      </c>
      <c r="D5505" s="9" t="s">
        <v>652</v>
      </c>
      <c r="E5505" s="6" t="s">
        <v>5881</v>
      </c>
      <c r="F5505" s="9" t="s">
        <v>13577</v>
      </c>
    </row>
    <row r="5506" ht="33.75" customHeight="1">
      <c r="A5506" s="7">
        <v>190.0</v>
      </c>
      <c r="B5506" s="9" t="s">
        <v>11225</v>
      </c>
      <c r="C5506" s="9" t="s">
        <v>286</v>
      </c>
      <c r="D5506" s="9" t="s">
        <v>1577</v>
      </c>
      <c r="E5506" s="6" t="s">
        <v>5882</v>
      </c>
      <c r="F5506" s="9" t="s">
        <v>13577</v>
      </c>
    </row>
    <row r="5507" ht="33.75" customHeight="1">
      <c r="A5507" s="7">
        <v>191.0</v>
      </c>
      <c r="B5507" s="9" t="s">
        <v>11276</v>
      </c>
      <c r="C5507" s="9" t="s">
        <v>16</v>
      </c>
      <c r="D5507" s="9" t="s">
        <v>52</v>
      </c>
      <c r="E5507" s="6" t="s">
        <v>5884</v>
      </c>
      <c r="F5507" s="9" t="s">
        <v>13593</v>
      </c>
      <c r="G5507" t="inlineStr" s="6">
        <is>
          <t xml:space="preserve">It may drop out of the sky suddenly. If attacked by a SPEAROW, it will violently shake its leaves. It lives by drink ing only dewdrops from under the leaves of plants. It is said that it eats nothing else. It is very weak. Its only means of defense is to shake its leaves desperately at its attacker. SUNKERN tries to move as little as it possibly can. It does so because it tries to conserve all the nutrients it has stored in its body for its evolution. It will not eat a thing, subsisting only on morning dew. SUNKERN try to minimize movement to conserve the nutrients they have stored in their bodies for evolution. They will not eat, subsisting only on morning dew. It lives by drinking only dewdrops from under the leaves of plants. It suddenly falls out of the sky in the morning. A year after a cold summer, their population explodes. It may plummet from the sky. Knowing it’s weak, it simply feeds until it evolves.</t>
        </is>
      </c>
    </row>
    <row r="5508" ht="33.75" customHeight="1">
      <c r="A5508" s="7">
        <v>191.0</v>
      </c>
      <c r="B5508" s="9" t="s">
        <v>11276</v>
      </c>
      <c r="C5508" s="9" t="s">
        <v>16</v>
      </c>
      <c r="D5508" s="9" t="s">
        <v>59</v>
      </c>
      <c r="E5508" s="6" t="s">
        <v>5886</v>
      </c>
      <c r="F5508" s="9" t="s">
        <v>13593</v>
      </c>
    </row>
    <row r="5509" ht="33.75" customHeight="1">
      <c r="A5509" s="7">
        <v>191.0</v>
      </c>
      <c r="B5509" s="9" t="s">
        <v>11276</v>
      </c>
      <c r="C5509" s="9" t="s">
        <v>16</v>
      </c>
      <c r="D5509" s="9" t="s">
        <v>64</v>
      </c>
      <c r="E5509" s="6" t="s">
        <v>5888</v>
      </c>
      <c r="F5509" s="9" t="s">
        <v>13593</v>
      </c>
    </row>
    <row r="5510" ht="33.75" customHeight="1">
      <c r="A5510" s="7">
        <v>191.0</v>
      </c>
      <c r="B5510" s="9" t="s">
        <v>11276</v>
      </c>
      <c r="C5510" s="9" t="s">
        <v>16</v>
      </c>
      <c r="D5510" s="9" t="s">
        <v>67</v>
      </c>
      <c r="E5510" s="6" t="s">
        <v>5889</v>
      </c>
      <c r="F5510" s="9" t="s">
        <v>13593</v>
      </c>
    </row>
    <row r="5511" ht="33.75" customHeight="1">
      <c r="A5511" s="7">
        <v>191.0</v>
      </c>
      <c r="B5511" s="9" t="s">
        <v>11276</v>
      </c>
      <c r="C5511" s="9" t="s">
        <v>16</v>
      </c>
      <c r="D5511" s="9" t="s">
        <v>71</v>
      </c>
      <c r="E5511" s="6" t="s">
        <v>5889</v>
      </c>
      <c r="F5511" s="9" t="s">
        <v>13593</v>
      </c>
    </row>
    <row r="5512" ht="33.75" customHeight="1">
      <c r="A5512" s="7">
        <v>191.0</v>
      </c>
      <c r="B5512" s="9" t="s">
        <v>11276</v>
      </c>
      <c r="C5512" s="9" t="s">
        <v>16</v>
      </c>
      <c r="D5512" s="9" t="s">
        <v>73</v>
      </c>
      <c r="E5512" s="6" t="s">
        <v>5890</v>
      </c>
      <c r="F5512" s="9" t="s">
        <v>13593</v>
      </c>
    </row>
    <row r="5513" ht="33.75" customHeight="1">
      <c r="A5513" s="7">
        <v>191.0</v>
      </c>
      <c r="B5513" s="9" t="s">
        <v>11276</v>
      </c>
      <c r="C5513" s="9" t="s">
        <v>16</v>
      </c>
      <c r="D5513" s="9" t="s">
        <v>75</v>
      </c>
      <c r="E5513" s="6" t="s">
        <v>5891</v>
      </c>
      <c r="F5513" s="9" t="s">
        <v>13593</v>
      </c>
    </row>
    <row r="5514" ht="33.75" customHeight="1">
      <c r="A5514" s="7">
        <v>191.0</v>
      </c>
      <c r="B5514" s="9" t="s">
        <v>11276</v>
      </c>
      <c r="C5514" s="9" t="s">
        <v>16</v>
      </c>
      <c r="D5514" s="9" t="s">
        <v>79</v>
      </c>
      <c r="E5514" s="6" t="s">
        <v>5884</v>
      </c>
      <c r="F5514" s="9" t="s">
        <v>13593</v>
      </c>
    </row>
    <row r="5515" ht="33.75" customHeight="1">
      <c r="A5515" s="7">
        <v>191.0</v>
      </c>
      <c r="B5515" s="9" t="s">
        <v>11276</v>
      </c>
      <c r="C5515" s="9" t="s">
        <v>16</v>
      </c>
      <c r="D5515" s="9" t="s">
        <v>81</v>
      </c>
      <c r="E5515" s="6" t="s">
        <v>5892</v>
      </c>
      <c r="F5515" s="9" t="s">
        <v>13593</v>
      </c>
    </row>
    <row r="5516" ht="33.75" customHeight="1">
      <c r="A5516" s="7">
        <v>191.0</v>
      </c>
      <c r="B5516" s="9" t="s">
        <v>11276</v>
      </c>
      <c r="C5516" s="9" t="s">
        <v>16</v>
      </c>
      <c r="D5516" s="9" t="s">
        <v>84</v>
      </c>
      <c r="E5516" s="6" t="s">
        <v>5892</v>
      </c>
      <c r="F5516" s="9" t="s">
        <v>13593</v>
      </c>
    </row>
    <row r="5517" ht="33.75" customHeight="1">
      <c r="A5517" s="7">
        <v>191.0</v>
      </c>
      <c r="B5517" s="9" t="s">
        <v>11276</v>
      </c>
      <c r="C5517" s="9" t="s">
        <v>16</v>
      </c>
      <c r="D5517" s="9" t="s">
        <v>87</v>
      </c>
      <c r="E5517" s="6" t="s">
        <v>5892</v>
      </c>
      <c r="F5517" s="9" t="s">
        <v>13593</v>
      </c>
    </row>
    <row r="5518" ht="33.75" customHeight="1">
      <c r="A5518" s="7">
        <v>191.0</v>
      </c>
      <c r="B5518" s="9" t="s">
        <v>11276</v>
      </c>
      <c r="C5518" s="9" t="s">
        <v>16</v>
      </c>
      <c r="D5518" s="9" t="s">
        <v>89</v>
      </c>
      <c r="E5518" s="6" t="s">
        <v>5893</v>
      </c>
      <c r="F5518" s="9" t="s">
        <v>13593</v>
      </c>
    </row>
    <row r="5519" ht="33.75" customHeight="1">
      <c r="A5519" s="7">
        <v>191.0</v>
      </c>
      <c r="B5519" s="9" t="s">
        <v>11276</v>
      </c>
      <c r="C5519" s="9" t="s">
        <v>16</v>
      </c>
      <c r="D5519" s="9" t="s">
        <v>91</v>
      </c>
      <c r="E5519" s="6" t="s">
        <v>5891</v>
      </c>
      <c r="F5519" s="9" t="s">
        <v>13593</v>
      </c>
    </row>
    <row r="5520" ht="33.75" customHeight="1">
      <c r="A5520" s="7">
        <v>191.0</v>
      </c>
      <c r="B5520" s="9" t="s">
        <v>11276</v>
      </c>
      <c r="C5520" s="9" t="s">
        <v>16</v>
      </c>
      <c r="D5520" s="9" t="s">
        <v>93</v>
      </c>
      <c r="E5520" s="6" t="s">
        <v>5892</v>
      </c>
      <c r="F5520" s="9" t="s">
        <v>13593</v>
      </c>
    </row>
    <row r="5521" ht="33.75" customHeight="1">
      <c r="A5521" s="7">
        <v>191.0</v>
      </c>
      <c r="B5521" s="9" t="s">
        <v>11276</v>
      </c>
      <c r="C5521" s="9" t="s">
        <v>16</v>
      </c>
      <c r="D5521" s="9" t="s">
        <v>95</v>
      </c>
      <c r="E5521" s="6" t="s">
        <v>5892</v>
      </c>
      <c r="F5521" s="9" t="s">
        <v>13593</v>
      </c>
    </row>
    <row r="5522" ht="33.75" customHeight="1">
      <c r="A5522" s="7">
        <v>191.0</v>
      </c>
      <c r="B5522" s="9" t="s">
        <v>11276</v>
      </c>
      <c r="C5522" s="9" t="s">
        <v>16</v>
      </c>
      <c r="D5522" s="9" t="s">
        <v>98</v>
      </c>
      <c r="E5522" s="6" t="s">
        <v>5895</v>
      </c>
      <c r="F5522" s="9" t="s">
        <v>13593</v>
      </c>
    </row>
    <row r="5523" ht="33.75" customHeight="1">
      <c r="A5523" s="7">
        <v>191.0</v>
      </c>
      <c r="B5523" s="9" t="s">
        <v>11276</v>
      </c>
      <c r="C5523" s="9" t="s">
        <v>16</v>
      </c>
      <c r="D5523" s="9" t="s">
        <v>99</v>
      </c>
      <c r="E5523" s="6" t="s">
        <v>5895</v>
      </c>
      <c r="F5523" s="9" t="s">
        <v>13593</v>
      </c>
    </row>
    <row r="5524" ht="33.75" customHeight="1">
      <c r="A5524" s="7">
        <v>191.0</v>
      </c>
      <c r="B5524" s="9" t="s">
        <v>11276</v>
      </c>
      <c r="C5524" s="9" t="s">
        <v>16</v>
      </c>
      <c r="D5524" s="9" t="s">
        <v>101</v>
      </c>
      <c r="E5524" s="6" t="s">
        <v>5896</v>
      </c>
      <c r="F5524" s="9" t="s">
        <v>13593</v>
      </c>
    </row>
    <row r="5525" ht="33.75" customHeight="1">
      <c r="A5525" s="7">
        <v>191.0</v>
      </c>
      <c r="B5525" s="9" t="s">
        <v>11276</v>
      </c>
      <c r="C5525" s="9" t="s">
        <v>16</v>
      </c>
      <c r="D5525" s="9" t="s">
        <v>105</v>
      </c>
      <c r="E5525" s="6" t="s">
        <v>5891</v>
      </c>
      <c r="F5525" s="9" t="s">
        <v>13593</v>
      </c>
    </row>
    <row r="5526" ht="33.75" customHeight="1">
      <c r="A5526" s="7">
        <v>191.0</v>
      </c>
      <c r="B5526" s="9" t="s">
        <v>11276</v>
      </c>
      <c r="C5526" s="9" t="s">
        <v>16</v>
      </c>
      <c r="D5526" s="9" t="s">
        <v>107</v>
      </c>
      <c r="E5526" s="6" t="s">
        <v>5898</v>
      </c>
      <c r="F5526" s="9" t="s">
        <v>13593</v>
      </c>
    </row>
    <row r="5527" ht="33.75" customHeight="1">
      <c r="A5527" s="7">
        <v>191.0</v>
      </c>
      <c r="B5527" s="9" t="s">
        <v>11276</v>
      </c>
      <c r="C5527" s="9" t="s">
        <v>16</v>
      </c>
      <c r="D5527" s="9" t="s">
        <v>109</v>
      </c>
      <c r="E5527" s="6" t="s">
        <v>5898</v>
      </c>
      <c r="F5527" s="9" t="s">
        <v>13593</v>
      </c>
    </row>
    <row r="5528" ht="33.75" customHeight="1">
      <c r="A5528" s="7">
        <v>192.0</v>
      </c>
      <c r="B5528" s="9" t="s">
        <v>11326</v>
      </c>
      <c r="C5528" s="9" t="s">
        <v>287</v>
      </c>
      <c r="D5528" s="9" t="s">
        <v>52</v>
      </c>
      <c r="E5528" s="6" t="s">
        <v>5899</v>
      </c>
      <c r="F5528" s="9" t="s">
        <v>13601</v>
      </c>
      <c r="G5528" t="inlineStr" s="6">
        <is>
          <t xml:space="preserve">It converts sun light into energy. In the darkness after sunset, it closes its petals and becomes still. In the daytime, it rushes about in a hectic manner, but it comes to a complete stop when the sun sets. As the hot season approaches, the petals on this POKéMON's face become more vivid and lively. SUNFLORA converts solar energy into nutrition. It moves around actively in the daytime when it is warm. It stops moving as soon as the sun goes down for the night. SUNFLORA convert solar energy into nutrition. They are highly active in the warm daytime but suddenly stop moving as soon as the sun sets. It converts sunlight into energy. It gets energy from warm sunlight and is known for its habit of moving in pursuit of it. Since it converts sunlight into energy, it is always looking in the direction of the sun.</t>
        </is>
      </c>
    </row>
    <row r="5529" ht="33.75" customHeight="1">
      <c r="A5529" s="7">
        <v>192.0</v>
      </c>
      <c r="B5529" s="9" t="s">
        <v>11326</v>
      </c>
      <c r="C5529" s="9" t="s">
        <v>287</v>
      </c>
      <c r="D5529" s="9" t="s">
        <v>59</v>
      </c>
      <c r="E5529" s="6" t="s">
        <v>5901</v>
      </c>
      <c r="F5529" s="9" t="s">
        <v>13601</v>
      </c>
    </row>
    <row r="5530" ht="33.75" customHeight="1">
      <c r="A5530" s="7">
        <v>192.0</v>
      </c>
      <c r="B5530" s="9" t="s">
        <v>11326</v>
      </c>
      <c r="C5530" s="9" t="s">
        <v>287</v>
      </c>
      <c r="D5530" s="9" t="s">
        <v>64</v>
      </c>
      <c r="E5530" s="6" t="s">
        <v>5902</v>
      </c>
      <c r="F5530" s="9" t="s">
        <v>13601</v>
      </c>
    </row>
    <row r="5531" ht="33.75" customHeight="1">
      <c r="A5531" s="7">
        <v>192.0</v>
      </c>
      <c r="B5531" s="9" t="s">
        <v>11326</v>
      </c>
      <c r="C5531" s="9" t="s">
        <v>287</v>
      </c>
      <c r="D5531" s="9" t="s">
        <v>67</v>
      </c>
      <c r="E5531" s="6" t="s">
        <v>5904</v>
      </c>
      <c r="F5531" s="9" t="s">
        <v>13601</v>
      </c>
    </row>
    <row r="5532" ht="33.75" customHeight="1">
      <c r="A5532" s="7">
        <v>192.0</v>
      </c>
      <c r="B5532" s="9" t="s">
        <v>11326</v>
      </c>
      <c r="C5532" s="9" t="s">
        <v>287</v>
      </c>
      <c r="D5532" s="9" t="s">
        <v>71</v>
      </c>
      <c r="E5532" s="6" t="s">
        <v>5904</v>
      </c>
      <c r="F5532" s="9" t="s">
        <v>13601</v>
      </c>
    </row>
    <row r="5533" ht="33.75" customHeight="1">
      <c r="A5533" s="7">
        <v>192.0</v>
      </c>
      <c r="B5533" s="9" t="s">
        <v>11326</v>
      </c>
      <c r="C5533" s="9" t="s">
        <v>287</v>
      </c>
      <c r="D5533" s="9" t="s">
        <v>73</v>
      </c>
      <c r="E5533" s="6" t="s">
        <v>5905</v>
      </c>
      <c r="F5533" s="9" t="s">
        <v>13601</v>
      </c>
    </row>
    <row r="5534" ht="33.75" customHeight="1">
      <c r="A5534" s="7">
        <v>192.0</v>
      </c>
      <c r="B5534" s="9" t="s">
        <v>11326</v>
      </c>
      <c r="C5534" s="9" t="s">
        <v>287</v>
      </c>
      <c r="D5534" s="9" t="s">
        <v>75</v>
      </c>
      <c r="E5534" s="6" t="s">
        <v>5907</v>
      </c>
      <c r="F5534" s="9" t="s">
        <v>13601</v>
      </c>
    </row>
    <row r="5535" ht="33.75" customHeight="1">
      <c r="A5535" s="7">
        <v>192.0</v>
      </c>
      <c r="B5535" s="9" t="s">
        <v>11326</v>
      </c>
      <c r="C5535" s="9" t="s">
        <v>287</v>
      </c>
      <c r="D5535" s="9" t="s">
        <v>79</v>
      </c>
      <c r="E5535" s="6" t="s">
        <v>5909</v>
      </c>
      <c r="F5535" s="9" t="s">
        <v>13601</v>
      </c>
    </row>
    <row r="5536" ht="33.75" customHeight="1">
      <c r="A5536" s="7">
        <v>192.0</v>
      </c>
      <c r="B5536" s="9" t="s">
        <v>11326</v>
      </c>
      <c r="C5536" s="9" t="s">
        <v>287</v>
      </c>
      <c r="D5536" s="9" t="s">
        <v>81</v>
      </c>
      <c r="E5536" s="6" t="s">
        <v>5911</v>
      </c>
      <c r="F5536" s="9" t="s">
        <v>13601</v>
      </c>
    </row>
    <row r="5537" ht="33.75" customHeight="1">
      <c r="A5537" s="7">
        <v>192.0</v>
      </c>
      <c r="B5537" s="9" t="s">
        <v>11326</v>
      </c>
      <c r="C5537" s="9" t="s">
        <v>287</v>
      </c>
      <c r="D5537" s="9" t="s">
        <v>84</v>
      </c>
      <c r="E5537" s="6" t="s">
        <v>5911</v>
      </c>
      <c r="F5537" s="9" t="s">
        <v>13601</v>
      </c>
    </row>
    <row r="5538" ht="33.75" customHeight="1">
      <c r="A5538" s="7">
        <v>192.0</v>
      </c>
      <c r="B5538" s="9" t="s">
        <v>11326</v>
      </c>
      <c r="C5538" s="9" t="s">
        <v>287</v>
      </c>
      <c r="D5538" s="9" t="s">
        <v>87</v>
      </c>
      <c r="E5538" s="6" t="s">
        <v>5911</v>
      </c>
      <c r="F5538" s="9" t="s">
        <v>13601</v>
      </c>
    </row>
    <row r="5539" ht="33.75" customHeight="1">
      <c r="A5539" s="7">
        <v>192.0</v>
      </c>
      <c r="B5539" s="9" t="s">
        <v>11326</v>
      </c>
      <c r="C5539" s="9" t="s">
        <v>287</v>
      </c>
      <c r="D5539" s="9" t="s">
        <v>89</v>
      </c>
      <c r="E5539" s="6" t="s">
        <v>5909</v>
      </c>
      <c r="F5539" s="9" t="s">
        <v>13601</v>
      </c>
    </row>
    <row r="5540" ht="33.75" customHeight="1">
      <c r="A5540" s="7">
        <v>192.0</v>
      </c>
      <c r="B5540" s="9" t="s">
        <v>11326</v>
      </c>
      <c r="C5540" s="9" t="s">
        <v>287</v>
      </c>
      <c r="D5540" s="9" t="s">
        <v>91</v>
      </c>
      <c r="E5540" s="6" t="s">
        <v>5907</v>
      </c>
      <c r="F5540" s="9" t="s">
        <v>13601</v>
      </c>
    </row>
    <row r="5541" ht="33.75" customHeight="1">
      <c r="A5541" s="7">
        <v>192.0</v>
      </c>
      <c r="B5541" s="9" t="s">
        <v>11326</v>
      </c>
      <c r="C5541" s="9" t="s">
        <v>287</v>
      </c>
      <c r="D5541" s="9" t="s">
        <v>93</v>
      </c>
      <c r="E5541" s="6" t="s">
        <v>5911</v>
      </c>
      <c r="F5541" s="9" t="s">
        <v>13601</v>
      </c>
    </row>
    <row r="5542" ht="33.75" customHeight="1">
      <c r="A5542" s="7">
        <v>192.0</v>
      </c>
      <c r="B5542" s="9" t="s">
        <v>11326</v>
      </c>
      <c r="C5542" s="9" t="s">
        <v>287</v>
      </c>
      <c r="D5542" s="9" t="s">
        <v>95</v>
      </c>
      <c r="E5542" s="6" t="s">
        <v>5911</v>
      </c>
      <c r="F5542" s="9" t="s">
        <v>13601</v>
      </c>
    </row>
    <row r="5543" ht="33.75" customHeight="1">
      <c r="A5543" s="7">
        <v>192.0</v>
      </c>
      <c r="B5543" s="9" t="s">
        <v>11326</v>
      </c>
      <c r="C5543" s="9" t="s">
        <v>287</v>
      </c>
      <c r="D5543" s="9" t="s">
        <v>98</v>
      </c>
      <c r="E5543" s="6" t="s">
        <v>5913</v>
      </c>
      <c r="F5543" s="9" t="s">
        <v>13601</v>
      </c>
    </row>
    <row r="5544" ht="33.75" customHeight="1">
      <c r="A5544" s="7">
        <v>192.0</v>
      </c>
      <c r="B5544" s="9" t="s">
        <v>11326</v>
      </c>
      <c r="C5544" s="9" t="s">
        <v>287</v>
      </c>
      <c r="D5544" s="9" t="s">
        <v>99</v>
      </c>
      <c r="E5544" s="6" t="s">
        <v>5913</v>
      </c>
      <c r="F5544" s="9" t="s">
        <v>13601</v>
      </c>
    </row>
    <row r="5545" ht="33.75" customHeight="1">
      <c r="A5545" s="7">
        <v>192.0</v>
      </c>
      <c r="B5545" s="9" t="s">
        <v>11326</v>
      </c>
      <c r="C5545" s="9" t="s">
        <v>287</v>
      </c>
      <c r="D5545" s="9" t="s">
        <v>101</v>
      </c>
      <c r="E5545" s="6" t="s">
        <v>5915</v>
      </c>
      <c r="F5545" s="9" t="s">
        <v>13601</v>
      </c>
    </row>
    <row r="5546" ht="33.75" customHeight="1">
      <c r="A5546" s="7">
        <v>192.0</v>
      </c>
      <c r="B5546" s="9" t="s">
        <v>11326</v>
      </c>
      <c r="C5546" s="9" t="s">
        <v>287</v>
      </c>
      <c r="D5546" s="9" t="s">
        <v>105</v>
      </c>
      <c r="E5546" s="6" t="s">
        <v>5911</v>
      </c>
      <c r="F5546" s="9" t="s">
        <v>13601</v>
      </c>
    </row>
    <row r="5547" ht="33.75" customHeight="1">
      <c r="A5547" s="7">
        <v>192.0</v>
      </c>
      <c r="B5547" s="9" t="s">
        <v>11326</v>
      </c>
      <c r="C5547" s="9" t="s">
        <v>287</v>
      </c>
      <c r="D5547" s="9" t="s">
        <v>107</v>
      </c>
      <c r="E5547" s="6" t="s">
        <v>5916</v>
      </c>
      <c r="F5547" s="9" t="s">
        <v>13601</v>
      </c>
    </row>
    <row r="5548" ht="33.75" customHeight="1">
      <c r="A5548" s="7">
        <v>192.0</v>
      </c>
      <c r="B5548" s="9" t="s">
        <v>11326</v>
      </c>
      <c r="C5548" s="9" t="s">
        <v>287</v>
      </c>
      <c r="D5548" s="9" t="s">
        <v>109</v>
      </c>
      <c r="E5548" s="6" t="s">
        <v>5916</v>
      </c>
      <c r="F5548" s="9" t="s">
        <v>13601</v>
      </c>
    </row>
    <row r="5549" ht="33.75" customHeight="1">
      <c r="A5549" s="7">
        <v>193.0</v>
      </c>
      <c r="B5549" s="9" t="s">
        <v>11364</v>
      </c>
      <c r="C5549" s="9" t="s">
        <v>288</v>
      </c>
      <c r="D5549" s="9" t="s">
        <v>52</v>
      </c>
      <c r="E5549" s="6" t="s">
        <v>5917</v>
      </c>
      <c r="F5549" s="9" t="s">
        <v>13614</v>
      </c>
      <c r="G5549" t="inlineStr" s="6">
        <is>
          <t xml:space="preserve">If it flaps Yanma's wings really fast, it can generate shock waves that will shatter windows in the area. Its large eyes can scan 360 degrees. It looks in all directions to seek out insects as its prey. It can see in all directions without moving its big eyes, helping it spot attackers and food right away. YANMA is capable of seeing 360 degrees without having to move its eyes. It is a great flier that is adept at making sudden stops and turning midair. This POKéMON uses its flying ability to quickly chase down targeted prey. It can see 360 degrees without moving its eyes. It is a great flier capable of making sudden stops and turning midair to quickly chase down targeted prey. Its eyes can see 360 degrees without moving its head. It won’t miss prey--even those behind it. It can hover in one spot by flapping its wings at high speed. It flits about to guard its territory. By flapping its wings at high speed, it can fly freely through the air. Even sudden stops are no problem. Its frail wings are so thin that one can see clear through them. However, during flight these wings exhibit the power to churn air with force enough to launch a house skyward.</t>
        </is>
      </c>
    </row>
    <row r="5550" ht="33.75" customHeight="1">
      <c r="A5550" s="7">
        <v>193.0</v>
      </c>
      <c r="B5550" s="9" t="s">
        <v>11364</v>
      </c>
      <c r="C5550" s="9" t="s">
        <v>288</v>
      </c>
      <c r="D5550" s="9" t="s">
        <v>59</v>
      </c>
      <c r="E5550" s="6" t="s">
        <v>5918</v>
      </c>
      <c r="F5550" s="9" t="s">
        <v>13614</v>
      </c>
    </row>
    <row r="5551" ht="33.75" customHeight="1">
      <c r="A5551" s="7">
        <v>193.0</v>
      </c>
      <c r="B5551" s="9" t="s">
        <v>11364</v>
      </c>
      <c r="C5551" s="9" t="s">
        <v>288</v>
      </c>
      <c r="D5551" s="9" t="s">
        <v>64</v>
      </c>
      <c r="E5551" s="6" t="s">
        <v>5920</v>
      </c>
      <c r="F5551" s="9" t="s">
        <v>13614</v>
      </c>
    </row>
    <row r="5552" ht="33.75" customHeight="1">
      <c r="A5552" s="7">
        <v>193.0</v>
      </c>
      <c r="B5552" s="9" t="s">
        <v>11364</v>
      </c>
      <c r="C5552" s="9" t="s">
        <v>288</v>
      </c>
      <c r="D5552" s="9" t="s">
        <v>67</v>
      </c>
      <c r="E5552" s="6" t="s">
        <v>5921</v>
      </c>
      <c r="F5552" s="9" t="s">
        <v>13614</v>
      </c>
    </row>
    <row r="5553" ht="33.75" customHeight="1">
      <c r="A5553" s="7">
        <v>193.0</v>
      </c>
      <c r="B5553" s="9" t="s">
        <v>11364</v>
      </c>
      <c r="C5553" s="9" t="s">
        <v>288</v>
      </c>
      <c r="D5553" s="9" t="s">
        <v>71</v>
      </c>
      <c r="E5553" s="6" t="s">
        <v>5921</v>
      </c>
      <c r="F5553" s="9" t="s">
        <v>13614</v>
      </c>
    </row>
    <row r="5554" ht="33.75" customHeight="1">
      <c r="A5554" s="7">
        <v>193.0</v>
      </c>
      <c r="B5554" s="9" t="s">
        <v>11364</v>
      </c>
      <c r="C5554" s="9" t="s">
        <v>288</v>
      </c>
      <c r="D5554" s="9" t="s">
        <v>73</v>
      </c>
      <c r="E5554" s="6" t="s">
        <v>5922</v>
      </c>
      <c r="F5554" s="9" t="s">
        <v>13614</v>
      </c>
    </row>
    <row r="5555" ht="33.75" customHeight="1">
      <c r="A5555" s="7">
        <v>193.0</v>
      </c>
      <c r="B5555" s="9" t="s">
        <v>11364</v>
      </c>
      <c r="C5555" s="9" t="s">
        <v>288</v>
      </c>
      <c r="D5555" s="9" t="s">
        <v>75</v>
      </c>
      <c r="E5555" s="6" t="s">
        <v>5918</v>
      </c>
      <c r="F5555" s="9" t="s">
        <v>13614</v>
      </c>
    </row>
    <row r="5556" ht="33.75" customHeight="1">
      <c r="A5556" s="7">
        <v>193.0</v>
      </c>
      <c r="B5556" s="9" t="s">
        <v>11364</v>
      </c>
      <c r="C5556" s="9" t="s">
        <v>288</v>
      </c>
      <c r="D5556" s="9" t="s">
        <v>79</v>
      </c>
      <c r="E5556" s="6" t="s">
        <v>5923</v>
      </c>
      <c r="F5556" s="9" t="s">
        <v>13614</v>
      </c>
    </row>
    <row r="5557" ht="33.75" customHeight="1">
      <c r="A5557" s="7">
        <v>193.0</v>
      </c>
      <c r="B5557" s="9" t="s">
        <v>11364</v>
      </c>
      <c r="C5557" s="9" t="s">
        <v>288</v>
      </c>
      <c r="D5557" s="9" t="s">
        <v>81</v>
      </c>
      <c r="E5557" s="6" t="s">
        <v>5924</v>
      </c>
      <c r="F5557" s="9" t="s">
        <v>13614</v>
      </c>
    </row>
    <row r="5558" ht="33.75" customHeight="1">
      <c r="A5558" s="7">
        <v>193.0</v>
      </c>
      <c r="B5558" s="9" t="s">
        <v>11364</v>
      </c>
      <c r="C5558" s="9" t="s">
        <v>288</v>
      </c>
      <c r="D5558" s="9" t="s">
        <v>84</v>
      </c>
      <c r="E5558" s="6" t="s">
        <v>5924</v>
      </c>
      <c r="F5558" s="9" t="s">
        <v>13614</v>
      </c>
    </row>
    <row r="5559" ht="33.75" customHeight="1">
      <c r="A5559" s="7">
        <v>193.0</v>
      </c>
      <c r="B5559" s="9" t="s">
        <v>11364</v>
      </c>
      <c r="C5559" s="9" t="s">
        <v>288</v>
      </c>
      <c r="D5559" s="9" t="s">
        <v>87</v>
      </c>
      <c r="E5559" s="6" t="s">
        <v>5925</v>
      </c>
      <c r="F5559" s="9" t="s">
        <v>13614</v>
      </c>
    </row>
    <row r="5560" ht="33.75" customHeight="1">
      <c r="A5560" s="7">
        <v>193.0</v>
      </c>
      <c r="B5560" s="9" t="s">
        <v>11364</v>
      </c>
      <c r="C5560" s="9" t="s">
        <v>288</v>
      </c>
      <c r="D5560" s="9" t="s">
        <v>89</v>
      </c>
      <c r="E5560" s="6" t="s">
        <v>5923</v>
      </c>
      <c r="F5560" s="9" t="s">
        <v>13614</v>
      </c>
    </row>
    <row r="5561" ht="33.75" customHeight="1">
      <c r="A5561" s="7">
        <v>193.0</v>
      </c>
      <c r="B5561" s="9" t="s">
        <v>11364</v>
      </c>
      <c r="C5561" s="9" t="s">
        <v>288</v>
      </c>
      <c r="D5561" s="9" t="s">
        <v>91</v>
      </c>
      <c r="E5561" s="6" t="s">
        <v>5918</v>
      </c>
      <c r="F5561" s="9" t="s">
        <v>13614</v>
      </c>
    </row>
    <row r="5562" ht="33.75" customHeight="1">
      <c r="A5562" s="7">
        <v>193.0</v>
      </c>
      <c r="B5562" s="9" t="s">
        <v>11364</v>
      </c>
      <c r="C5562" s="9" t="s">
        <v>288</v>
      </c>
      <c r="D5562" s="9" t="s">
        <v>93</v>
      </c>
      <c r="E5562" s="6" t="s">
        <v>5925</v>
      </c>
      <c r="F5562" s="9" t="s">
        <v>13614</v>
      </c>
    </row>
    <row r="5563" ht="33.75" customHeight="1">
      <c r="A5563" s="7">
        <v>193.0</v>
      </c>
      <c r="B5563" s="9" t="s">
        <v>11364</v>
      </c>
      <c r="C5563" s="9" t="s">
        <v>288</v>
      </c>
      <c r="D5563" s="9" t="s">
        <v>95</v>
      </c>
      <c r="E5563" s="6" t="s">
        <v>5925</v>
      </c>
      <c r="F5563" s="9" t="s">
        <v>13614</v>
      </c>
    </row>
    <row r="5564" ht="33.75" customHeight="1">
      <c r="A5564" s="7">
        <v>193.0</v>
      </c>
      <c r="B5564" s="9" t="s">
        <v>11364</v>
      </c>
      <c r="C5564" s="9" t="s">
        <v>288</v>
      </c>
      <c r="D5564" s="9" t="s">
        <v>98</v>
      </c>
      <c r="E5564" s="6" t="s">
        <v>5927</v>
      </c>
      <c r="F5564" s="9" t="s">
        <v>13614</v>
      </c>
    </row>
    <row r="5565" ht="33.75" customHeight="1">
      <c r="A5565" s="7">
        <v>193.0</v>
      </c>
      <c r="B5565" s="9" t="s">
        <v>11364</v>
      </c>
      <c r="C5565" s="9" t="s">
        <v>288</v>
      </c>
      <c r="D5565" s="9" t="s">
        <v>99</v>
      </c>
      <c r="E5565" s="6" t="s">
        <v>5927</v>
      </c>
      <c r="F5565" s="9" t="s">
        <v>13614</v>
      </c>
    </row>
    <row r="5566" ht="33.75" customHeight="1">
      <c r="A5566" s="7">
        <v>193.0</v>
      </c>
      <c r="B5566" s="9" t="s">
        <v>11364</v>
      </c>
      <c r="C5566" s="9" t="s">
        <v>288</v>
      </c>
      <c r="D5566" s="9" t="s">
        <v>101</v>
      </c>
      <c r="E5566" s="6" t="s">
        <v>5924</v>
      </c>
      <c r="F5566" s="9" t="s">
        <v>13614</v>
      </c>
    </row>
    <row r="5567" ht="33.75" customHeight="1">
      <c r="A5567" s="7">
        <v>193.0</v>
      </c>
      <c r="B5567" s="9" t="s">
        <v>11364</v>
      </c>
      <c r="C5567" s="9" t="s">
        <v>288</v>
      </c>
      <c r="D5567" s="9" t="s">
        <v>105</v>
      </c>
      <c r="E5567" s="6" t="s">
        <v>5923</v>
      </c>
      <c r="F5567" s="9" t="s">
        <v>13614</v>
      </c>
    </row>
    <row r="5568" ht="33.75" customHeight="1">
      <c r="A5568" s="7">
        <v>193.0</v>
      </c>
      <c r="B5568" s="9" t="s">
        <v>11364</v>
      </c>
      <c r="C5568" s="9" t="s">
        <v>288</v>
      </c>
      <c r="D5568" s="9" t="s">
        <v>107</v>
      </c>
      <c r="E5568" s="6" t="s">
        <v>5928</v>
      </c>
      <c r="F5568" s="9" t="s">
        <v>13614</v>
      </c>
    </row>
    <row r="5569" ht="33.75" customHeight="1">
      <c r="A5569" s="7">
        <v>193.0</v>
      </c>
      <c r="B5569" s="9" t="s">
        <v>11364</v>
      </c>
      <c r="C5569" s="9" t="s">
        <v>288</v>
      </c>
      <c r="D5569" s="9" t="s">
        <v>109</v>
      </c>
      <c r="E5569" s="6" t="s">
        <v>5928</v>
      </c>
      <c r="F5569" s="9" t="s">
        <v>13614</v>
      </c>
    </row>
    <row r="5570" ht="33.75" customHeight="1">
      <c r="A5570" s="7">
        <v>193.0</v>
      </c>
      <c r="B5570" s="9" t="s">
        <v>11364</v>
      </c>
      <c r="C5570" s="9" t="s">
        <v>288</v>
      </c>
      <c r="D5570" s="9" t="s">
        <v>1577</v>
      </c>
      <c r="E5570" s="6" t="s">
        <v>5930</v>
      </c>
      <c r="F5570" s="9" t="s">
        <v>13614</v>
      </c>
    </row>
    <row r="5571" ht="33.75" customHeight="1">
      <c r="A5571" s="7">
        <v>194.0</v>
      </c>
      <c r="B5571" s="9" t="s">
        <v>11408</v>
      </c>
      <c r="C5571" s="9" t="s">
        <v>289</v>
      </c>
      <c r="D5571" s="9" t="s">
        <v>52</v>
      </c>
      <c r="E5571" s="6" t="s">
        <v>5931</v>
      </c>
      <c r="F5571" s="9" t="s">
        <v>13623</v>
      </c>
      <c r="G5571" t="inlineStr" s="6">
        <is>
          <t xml:space="preserve">This POKéMON lives in cold water. It will leave the water to search for food when it gets cold outside. When it walks a round on the ground, it coats its body with a slimy, poisonous film. A mucous membrane covers its body. Touching it barehanded will cause a shooting pain. WOOPER usually lives in water. However, it occasionally comes out onto land in search of food. On land, it coats its body with a gooey, toxic film. WOOPER usually live in water but come out onto land seeking food occasionally. On land, they coat their bodies with a gooey, toxic film. When it walks around on the ground, it coats its body with a slimy, poisonous film. It lives in cold water, half burying itself in mud at the bottom to sleep. When the temperature cools in the evening, they emerge from water to seek food along the shore. When walking on land, it covers its body with a poisonous film that keeps its skin from dehydrating.</t>
        </is>
      </c>
    </row>
    <row r="5572" ht="33.75" customHeight="1">
      <c r="A5572" s="7">
        <v>194.0</v>
      </c>
      <c r="B5572" s="9" t="s">
        <v>11408</v>
      </c>
      <c r="C5572" s="9" t="s">
        <v>289</v>
      </c>
      <c r="D5572" s="9" t="s">
        <v>59</v>
      </c>
      <c r="E5572" s="6" t="s">
        <v>5932</v>
      </c>
      <c r="F5572" s="9" t="s">
        <v>13623</v>
      </c>
    </row>
    <row r="5573" ht="33.75" customHeight="1">
      <c r="A5573" s="7">
        <v>194.0</v>
      </c>
      <c r="B5573" s="9" t="s">
        <v>11408</v>
      </c>
      <c r="C5573" s="9" t="s">
        <v>289</v>
      </c>
      <c r="D5573" s="9" t="s">
        <v>64</v>
      </c>
      <c r="E5573" s="6" t="s">
        <v>5934</v>
      </c>
      <c r="F5573" s="9" t="s">
        <v>13623</v>
      </c>
    </row>
    <row r="5574" ht="33.75" customHeight="1">
      <c r="A5574" s="7">
        <v>194.0</v>
      </c>
      <c r="B5574" s="9" t="s">
        <v>11408</v>
      </c>
      <c r="C5574" s="9" t="s">
        <v>289</v>
      </c>
      <c r="D5574" s="9" t="s">
        <v>67</v>
      </c>
      <c r="E5574" s="6" t="s">
        <v>5935</v>
      </c>
      <c r="F5574" s="9" t="s">
        <v>13623</v>
      </c>
    </row>
    <row r="5575" ht="33.75" customHeight="1">
      <c r="A5575" s="7">
        <v>194.0</v>
      </c>
      <c r="B5575" s="9" t="s">
        <v>11408</v>
      </c>
      <c r="C5575" s="9" t="s">
        <v>289</v>
      </c>
      <c r="D5575" s="9" t="s">
        <v>71</v>
      </c>
      <c r="E5575" s="6" t="s">
        <v>5935</v>
      </c>
      <c r="F5575" s="9" t="s">
        <v>13623</v>
      </c>
    </row>
    <row r="5576" ht="33.75" customHeight="1">
      <c r="A5576" s="7">
        <v>194.0</v>
      </c>
      <c r="B5576" s="9" t="s">
        <v>11408</v>
      </c>
      <c r="C5576" s="9" t="s">
        <v>289</v>
      </c>
      <c r="D5576" s="9" t="s">
        <v>73</v>
      </c>
      <c r="E5576" s="6" t="s">
        <v>5936</v>
      </c>
      <c r="F5576" s="9" t="s">
        <v>13623</v>
      </c>
    </row>
    <row r="5577" ht="33.75" customHeight="1">
      <c r="A5577" s="7">
        <v>194.0</v>
      </c>
      <c r="B5577" s="9" t="s">
        <v>11408</v>
      </c>
      <c r="C5577" s="9" t="s">
        <v>289</v>
      </c>
      <c r="D5577" s="9" t="s">
        <v>75</v>
      </c>
      <c r="E5577" s="6" t="s">
        <v>5937</v>
      </c>
      <c r="F5577" s="9" t="s">
        <v>13623</v>
      </c>
    </row>
    <row r="5578" ht="33.75" customHeight="1">
      <c r="A5578" s="7">
        <v>194.0</v>
      </c>
      <c r="B5578" s="9" t="s">
        <v>11408</v>
      </c>
      <c r="C5578" s="9" t="s">
        <v>289</v>
      </c>
      <c r="D5578" s="9" t="s">
        <v>79</v>
      </c>
      <c r="E5578" s="6" t="s">
        <v>5931</v>
      </c>
      <c r="F5578" s="9" t="s">
        <v>13623</v>
      </c>
    </row>
    <row r="5579" ht="33.75" customHeight="1">
      <c r="A5579" s="7">
        <v>194.0</v>
      </c>
      <c r="B5579" s="9" t="s">
        <v>11408</v>
      </c>
      <c r="C5579" s="9" t="s">
        <v>289</v>
      </c>
      <c r="D5579" s="9" t="s">
        <v>81</v>
      </c>
      <c r="E5579" s="6" t="s">
        <v>5938</v>
      </c>
      <c r="F5579" s="9" t="s">
        <v>13623</v>
      </c>
    </row>
    <row r="5580" ht="33.75" customHeight="1">
      <c r="A5580" s="7">
        <v>194.0</v>
      </c>
      <c r="B5580" s="9" t="s">
        <v>11408</v>
      </c>
      <c r="C5580" s="9" t="s">
        <v>289</v>
      </c>
      <c r="D5580" s="9" t="s">
        <v>84</v>
      </c>
      <c r="E5580" s="6" t="s">
        <v>5940</v>
      </c>
      <c r="F5580" s="9" t="s">
        <v>13623</v>
      </c>
    </row>
    <row r="5581" ht="33.75" customHeight="1">
      <c r="A5581" s="7">
        <v>194.0</v>
      </c>
      <c r="B5581" s="9" t="s">
        <v>11408</v>
      </c>
      <c r="C5581" s="9" t="s">
        <v>289</v>
      </c>
      <c r="D5581" s="9" t="s">
        <v>87</v>
      </c>
      <c r="E5581" s="6" t="s">
        <v>5942</v>
      </c>
      <c r="F5581" s="9" t="s">
        <v>13623</v>
      </c>
    </row>
    <row r="5582" ht="33.75" customHeight="1">
      <c r="A5582" s="7">
        <v>194.0</v>
      </c>
      <c r="B5582" s="9" t="s">
        <v>11408</v>
      </c>
      <c r="C5582" s="9" t="s">
        <v>289</v>
      </c>
      <c r="D5582" s="9" t="s">
        <v>89</v>
      </c>
      <c r="E5582" s="6" t="s">
        <v>5943</v>
      </c>
      <c r="F5582" s="9" t="s">
        <v>13623</v>
      </c>
    </row>
    <row r="5583" ht="33.75" customHeight="1">
      <c r="A5583" s="7">
        <v>194.0</v>
      </c>
      <c r="B5583" s="9" t="s">
        <v>11408</v>
      </c>
      <c r="C5583" s="9" t="s">
        <v>289</v>
      </c>
      <c r="D5583" s="9" t="s">
        <v>91</v>
      </c>
      <c r="E5583" s="6" t="s">
        <v>5937</v>
      </c>
      <c r="F5583" s="9" t="s">
        <v>13623</v>
      </c>
    </row>
    <row r="5584" ht="33.75" customHeight="1">
      <c r="A5584" s="7">
        <v>194.0</v>
      </c>
      <c r="B5584" s="9" t="s">
        <v>11408</v>
      </c>
      <c r="C5584" s="9" t="s">
        <v>289</v>
      </c>
      <c r="D5584" s="9" t="s">
        <v>93</v>
      </c>
      <c r="E5584" s="6" t="s">
        <v>5942</v>
      </c>
      <c r="F5584" s="9" t="s">
        <v>13623</v>
      </c>
    </row>
    <row r="5585" ht="33.75" customHeight="1">
      <c r="A5585" s="7">
        <v>194.0</v>
      </c>
      <c r="B5585" s="9" t="s">
        <v>11408</v>
      </c>
      <c r="C5585" s="9" t="s">
        <v>289</v>
      </c>
      <c r="D5585" s="9" t="s">
        <v>95</v>
      </c>
      <c r="E5585" s="6" t="s">
        <v>5942</v>
      </c>
      <c r="F5585" s="9" t="s">
        <v>13623</v>
      </c>
    </row>
    <row r="5586" ht="33.75" customHeight="1">
      <c r="A5586" s="7">
        <v>194.0</v>
      </c>
      <c r="B5586" s="9" t="s">
        <v>11408</v>
      </c>
      <c r="C5586" s="9" t="s">
        <v>289</v>
      </c>
      <c r="D5586" s="9" t="s">
        <v>98</v>
      </c>
      <c r="E5586" s="6" t="s">
        <v>5942</v>
      </c>
      <c r="F5586" s="9" t="s">
        <v>13623</v>
      </c>
    </row>
    <row r="5587" ht="33.75" customHeight="1">
      <c r="A5587" s="7">
        <v>194.0</v>
      </c>
      <c r="B5587" s="9" t="s">
        <v>11408</v>
      </c>
      <c r="C5587" s="9" t="s">
        <v>289</v>
      </c>
      <c r="D5587" s="9" t="s">
        <v>99</v>
      </c>
      <c r="E5587" s="6" t="s">
        <v>5942</v>
      </c>
      <c r="F5587" s="9" t="s">
        <v>13623</v>
      </c>
    </row>
    <row r="5588" ht="33.75" customHeight="1">
      <c r="A5588" s="7">
        <v>194.0</v>
      </c>
      <c r="B5588" s="9" t="s">
        <v>11408</v>
      </c>
      <c r="C5588" s="9" t="s">
        <v>289</v>
      </c>
      <c r="D5588" s="9" t="s">
        <v>101</v>
      </c>
      <c r="E5588" s="6" t="s">
        <v>5943</v>
      </c>
      <c r="F5588" s="9" t="s">
        <v>13623</v>
      </c>
    </row>
    <row r="5589" ht="33.75" customHeight="1">
      <c r="A5589" s="7">
        <v>194.0</v>
      </c>
      <c r="B5589" s="9" t="s">
        <v>11408</v>
      </c>
      <c r="C5589" s="9" t="s">
        <v>289</v>
      </c>
      <c r="D5589" s="9" t="s">
        <v>105</v>
      </c>
      <c r="E5589" s="6" t="s">
        <v>5940</v>
      </c>
      <c r="F5589" s="9" t="s">
        <v>13623</v>
      </c>
    </row>
    <row r="5590" ht="33.75" customHeight="1">
      <c r="A5590" s="7">
        <v>194.0</v>
      </c>
      <c r="B5590" s="9" t="s">
        <v>11408</v>
      </c>
      <c r="C5590" s="9" t="s">
        <v>289</v>
      </c>
      <c r="D5590" s="9" t="s">
        <v>107</v>
      </c>
      <c r="E5590" s="6" t="s">
        <v>5945</v>
      </c>
      <c r="F5590" s="9" t="s">
        <v>13623</v>
      </c>
    </row>
    <row r="5591" ht="33.75" customHeight="1">
      <c r="A5591" s="7">
        <v>194.0</v>
      </c>
      <c r="B5591" s="9" t="s">
        <v>11408</v>
      </c>
      <c r="C5591" s="9" t="s">
        <v>289</v>
      </c>
      <c r="D5591" s="9" t="s">
        <v>109</v>
      </c>
      <c r="E5591" s="6" t="s">
        <v>5945</v>
      </c>
      <c r="F5591" s="9" t="s">
        <v>13623</v>
      </c>
    </row>
    <row r="5592" ht="33.75" customHeight="1">
      <c r="A5592" s="7">
        <v>194.0</v>
      </c>
      <c r="B5592" s="9" t="s">
        <v>11408</v>
      </c>
      <c r="C5592" s="9" t="s">
        <v>289</v>
      </c>
      <c r="D5592" s="9" t="s">
        <v>114</v>
      </c>
      <c r="E5592" s="6" t="s">
        <v>5943</v>
      </c>
      <c r="F5592" s="9" t="s">
        <v>13623</v>
      </c>
    </row>
    <row r="5593" ht="33.75" customHeight="1">
      <c r="A5593" s="7">
        <v>194.0</v>
      </c>
      <c r="B5593" s="9" t="s">
        <v>11408</v>
      </c>
      <c r="C5593" s="9" t="s">
        <v>289</v>
      </c>
      <c r="D5593" s="9" t="s">
        <v>117</v>
      </c>
      <c r="E5593" s="6" t="s">
        <v>5942</v>
      </c>
      <c r="F5593" s="9" t="s">
        <v>13623</v>
      </c>
    </row>
    <row r="5594" ht="33.75" customHeight="1">
      <c r="A5594" s="7">
        <v>195.0</v>
      </c>
      <c r="B5594" s="9" t="s">
        <v>11452</v>
      </c>
      <c r="C5594" s="9" t="s">
        <v>289</v>
      </c>
      <c r="D5594" s="9" t="s">
        <v>52</v>
      </c>
      <c r="E5594" s="6" t="s">
        <v>5947</v>
      </c>
      <c r="F5594" s="9" t="s">
        <v>13642</v>
      </c>
      <c r="G5594" t="inlineStr" s="6">
        <is>
          <t xml:space="preserve">This carefree POKéMON has an easy-going nature. While swimming, it always bumps into boat hulls. Due to its relaxed and carefree attitude, it often bumps its head on boulders and boat hulls as it swims. Its body is always slimy. It often bangs its head on the river bottom as it swims but seems not to care. QUAGSIRE hunts for food by leaving its mouth wide open in water and waiting for its prey to blunder in unaware. Because the POKéMON does not move, it does not get very hungry. A QUAGSIRE hunts by leaving its mouth wide open in water and waiting for its prey to blunder in. Because it doesn’t move, it does not get very hungry. This carefree POKéMON has an easygoing nature. It has a sluggish nature. It lies at the river’s bottom, waiting for prey to stray into its mouth. A dim-witted Pokémon. It doesn’t care if it bumps its head into boats or rocks while swimming. It has an easygoing nature. It doesn’t care if it bumps its head on boats and boulders while swimming.</t>
        </is>
      </c>
    </row>
    <row r="5595" ht="33.75" customHeight="1">
      <c r="A5595" s="7">
        <v>195.0</v>
      </c>
      <c r="B5595" s="9" t="s">
        <v>11452</v>
      </c>
      <c r="C5595" s="9" t="s">
        <v>289</v>
      </c>
      <c r="D5595" s="9" t="s">
        <v>59</v>
      </c>
      <c r="E5595" s="6" t="s">
        <v>5948</v>
      </c>
      <c r="F5595" s="9" t="s">
        <v>13642</v>
      </c>
    </row>
    <row r="5596" ht="33.75" customHeight="1">
      <c r="A5596" s="7">
        <v>195.0</v>
      </c>
      <c r="B5596" s="9" t="s">
        <v>11452</v>
      </c>
      <c r="C5596" s="9" t="s">
        <v>289</v>
      </c>
      <c r="D5596" s="9" t="s">
        <v>64</v>
      </c>
      <c r="E5596" s="6" t="s">
        <v>5949</v>
      </c>
      <c r="F5596" s="9" t="s">
        <v>13642</v>
      </c>
    </row>
    <row r="5597" ht="33.75" customHeight="1">
      <c r="A5597" s="7">
        <v>195.0</v>
      </c>
      <c r="B5597" s="9" t="s">
        <v>11452</v>
      </c>
      <c r="C5597" s="9" t="s">
        <v>289</v>
      </c>
      <c r="D5597" s="9" t="s">
        <v>67</v>
      </c>
      <c r="E5597" s="6" t="s">
        <v>5951</v>
      </c>
      <c r="F5597" s="9" t="s">
        <v>13642</v>
      </c>
    </row>
    <row r="5598" ht="33.75" customHeight="1">
      <c r="A5598" s="7">
        <v>195.0</v>
      </c>
      <c r="B5598" s="9" t="s">
        <v>11452</v>
      </c>
      <c r="C5598" s="9" t="s">
        <v>289</v>
      </c>
      <c r="D5598" s="9" t="s">
        <v>71</v>
      </c>
      <c r="E5598" s="6" t="s">
        <v>5951</v>
      </c>
      <c r="F5598" s="9" t="s">
        <v>13642</v>
      </c>
    </row>
    <row r="5599" ht="33.75" customHeight="1">
      <c r="A5599" s="7">
        <v>195.0</v>
      </c>
      <c r="B5599" s="9" t="s">
        <v>11452</v>
      </c>
      <c r="C5599" s="9" t="s">
        <v>289</v>
      </c>
      <c r="D5599" s="9" t="s">
        <v>73</v>
      </c>
      <c r="E5599" s="6" t="s">
        <v>5952</v>
      </c>
      <c r="F5599" s="9" t="s">
        <v>13642</v>
      </c>
    </row>
    <row r="5600" ht="33.75" customHeight="1">
      <c r="A5600" s="7">
        <v>195.0</v>
      </c>
      <c r="B5600" s="9" t="s">
        <v>11452</v>
      </c>
      <c r="C5600" s="9" t="s">
        <v>289</v>
      </c>
      <c r="D5600" s="9" t="s">
        <v>75</v>
      </c>
      <c r="E5600" s="6" t="s">
        <v>5953</v>
      </c>
      <c r="F5600" s="9" t="s">
        <v>13642</v>
      </c>
    </row>
    <row r="5601" ht="33.75" customHeight="1">
      <c r="A5601" s="7">
        <v>195.0</v>
      </c>
      <c r="B5601" s="9" t="s">
        <v>11452</v>
      </c>
      <c r="C5601" s="9" t="s">
        <v>289</v>
      </c>
      <c r="D5601" s="9" t="s">
        <v>79</v>
      </c>
      <c r="E5601" s="6" t="s">
        <v>5954</v>
      </c>
      <c r="F5601" s="9" t="s">
        <v>13642</v>
      </c>
    </row>
    <row r="5602" ht="33.75" customHeight="1">
      <c r="A5602" s="7">
        <v>195.0</v>
      </c>
      <c r="B5602" s="9" t="s">
        <v>11452</v>
      </c>
      <c r="C5602" s="9" t="s">
        <v>289</v>
      </c>
      <c r="D5602" s="9" t="s">
        <v>81</v>
      </c>
      <c r="E5602" s="6" t="s">
        <v>5955</v>
      </c>
      <c r="F5602" s="9" t="s">
        <v>13642</v>
      </c>
    </row>
    <row r="5603" ht="33.75" customHeight="1">
      <c r="A5603" s="7">
        <v>195.0</v>
      </c>
      <c r="B5603" s="9" t="s">
        <v>11452</v>
      </c>
      <c r="C5603" s="9" t="s">
        <v>289</v>
      </c>
      <c r="D5603" s="9" t="s">
        <v>84</v>
      </c>
      <c r="E5603" s="6" t="s">
        <v>5956</v>
      </c>
      <c r="F5603" s="9" t="s">
        <v>13642</v>
      </c>
    </row>
    <row r="5604" ht="33.75" customHeight="1">
      <c r="A5604" s="7">
        <v>195.0</v>
      </c>
      <c r="B5604" s="9" t="s">
        <v>11452</v>
      </c>
      <c r="C5604" s="9" t="s">
        <v>289</v>
      </c>
      <c r="D5604" s="9" t="s">
        <v>87</v>
      </c>
      <c r="E5604" s="6" t="s">
        <v>5958</v>
      </c>
      <c r="F5604" s="9" t="s">
        <v>13642</v>
      </c>
    </row>
    <row r="5605" ht="33.75" customHeight="1">
      <c r="A5605" s="7">
        <v>195.0</v>
      </c>
      <c r="B5605" s="9" t="s">
        <v>11452</v>
      </c>
      <c r="C5605" s="9" t="s">
        <v>289</v>
      </c>
      <c r="D5605" s="9" t="s">
        <v>89</v>
      </c>
      <c r="E5605" s="6" t="s">
        <v>5959</v>
      </c>
      <c r="F5605" s="9" t="s">
        <v>13642</v>
      </c>
    </row>
    <row r="5606" ht="33.75" customHeight="1">
      <c r="A5606" s="7">
        <v>195.0</v>
      </c>
      <c r="B5606" s="9" t="s">
        <v>11452</v>
      </c>
      <c r="C5606" s="9" t="s">
        <v>289</v>
      </c>
      <c r="D5606" s="9" t="s">
        <v>91</v>
      </c>
      <c r="E5606" s="6" t="s">
        <v>5953</v>
      </c>
      <c r="F5606" s="9" t="s">
        <v>13642</v>
      </c>
    </row>
    <row r="5607" ht="33.75" customHeight="1">
      <c r="A5607" s="7">
        <v>195.0</v>
      </c>
      <c r="B5607" s="9" t="s">
        <v>11452</v>
      </c>
      <c r="C5607" s="9" t="s">
        <v>289</v>
      </c>
      <c r="D5607" s="9" t="s">
        <v>93</v>
      </c>
      <c r="E5607" s="6" t="s">
        <v>5958</v>
      </c>
      <c r="F5607" s="9" t="s">
        <v>13642</v>
      </c>
    </row>
    <row r="5608" ht="33.75" customHeight="1">
      <c r="A5608" s="7">
        <v>195.0</v>
      </c>
      <c r="B5608" s="9" t="s">
        <v>11452</v>
      </c>
      <c r="C5608" s="9" t="s">
        <v>289</v>
      </c>
      <c r="D5608" s="9" t="s">
        <v>95</v>
      </c>
      <c r="E5608" s="6" t="s">
        <v>5958</v>
      </c>
      <c r="F5608" s="9" t="s">
        <v>13642</v>
      </c>
    </row>
    <row r="5609" ht="33.75" customHeight="1">
      <c r="A5609" s="7">
        <v>195.0</v>
      </c>
      <c r="B5609" s="9" t="s">
        <v>11452</v>
      </c>
      <c r="C5609" s="9" t="s">
        <v>289</v>
      </c>
      <c r="D5609" s="9" t="s">
        <v>98</v>
      </c>
      <c r="E5609" s="6" t="s">
        <v>5958</v>
      </c>
      <c r="F5609" s="9" t="s">
        <v>13642</v>
      </c>
    </row>
    <row r="5610" ht="33.75" customHeight="1">
      <c r="A5610" s="7">
        <v>195.0</v>
      </c>
      <c r="B5610" s="9" t="s">
        <v>11452</v>
      </c>
      <c r="C5610" s="9" t="s">
        <v>289</v>
      </c>
      <c r="D5610" s="9" t="s">
        <v>99</v>
      </c>
      <c r="E5610" s="6" t="s">
        <v>5958</v>
      </c>
      <c r="F5610" s="9" t="s">
        <v>13642</v>
      </c>
    </row>
    <row r="5611" ht="33.75" customHeight="1">
      <c r="A5611" s="7">
        <v>195.0</v>
      </c>
      <c r="B5611" s="9" t="s">
        <v>11452</v>
      </c>
      <c r="C5611" s="9" t="s">
        <v>289</v>
      </c>
      <c r="D5611" s="9" t="s">
        <v>101</v>
      </c>
      <c r="E5611" s="6" t="s">
        <v>5955</v>
      </c>
      <c r="F5611" s="9" t="s">
        <v>13642</v>
      </c>
    </row>
    <row r="5612" ht="33.75" customHeight="1">
      <c r="A5612" s="7">
        <v>195.0</v>
      </c>
      <c r="B5612" s="9" t="s">
        <v>11452</v>
      </c>
      <c r="C5612" s="9" t="s">
        <v>289</v>
      </c>
      <c r="D5612" s="9" t="s">
        <v>105</v>
      </c>
      <c r="E5612" s="6" t="s">
        <v>5960</v>
      </c>
      <c r="F5612" s="9" t="s">
        <v>13642</v>
      </c>
    </row>
    <row r="5613" ht="33.75" customHeight="1">
      <c r="A5613" s="7">
        <v>195.0</v>
      </c>
      <c r="B5613" s="9" t="s">
        <v>11452</v>
      </c>
      <c r="C5613" s="9" t="s">
        <v>289</v>
      </c>
      <c r="D5613" s="9" t="s">
        <v>107</v>
      </c>
      <c r="E5613" s="6" t="s">
        <v>5962</v>
      </c>
      <c r="F5613" s="9" t="s">
        <v>13642</v>
      </c>
    </row>
    <row r="5614" ht="33.75" customHeight="1">
      <c r="A5614" s="7">
        <v>195.0</v>
      </c>
      <c r="B5614" s="9" t="s">
        <v>11452</v>
      </c>
      <c r="C5614" s="9" t="s">
        <v>289</v>
      </c>
      <c r="D5614" s="9" t="s">
        <v>109</v>
      </c>
      <c r="E5614" s="6" t="s">
        <v>5962</v>
      </c>
      <c r="F5614" s="9" t="s">
        <v>13642</v>
      </c>
    </row>
    <row r="5615" ht="33.75" customHeight="1">
      <c r="A5615" s="7">
        <v>195.0</v>
      </c>
      <c r="B5615" s="9" t="s">
        <v>11452</v>
      </c>
      <c r="C5615" s="9" t="s">
        <v>289</v>
      </c>
      <c r="D5615" s="9" t="s">
        <v>114</v>
      </c>
      <c r="E5615" s="6" t="s">
        <v>5958</v>
      </c>
      <c r="F5615" s="9" t="s">
        <v>13642</v>
      </c>
    </row>
    <row r="5616" ht="33.75" customHeight="1">
      <c r="A5616" s="7">
        <v>195.0</v>
      </c>
      <c r="B5616" s="9" t="s">
        <v>11452</v>
      </c>
      <c r="C5616" s="9" t="s">
        <v>289</v>
      </c>
      <c r="D5616" s="9" t="s">
        <v>117</v>
      </c>
      <c r="E5616" s="6" t="s">
        <v>5949</v>
      </c>
      <c r="F5616" s="9" t="s">
        <v>13642</v>
      </c>
    </row>
    <row r="5617" ht="33.75" customHeight="1">
      <c r="A5617" s="7">
        <v>196.0</v>
      </c>
      <c r="B5617" s="9" t="s">
        <v>11487</v>
      </c>
      <c r="C5617" s="9" t="s">
        <v>287</v>
      </c>
      <c r="D5617" s="9" t="s">
        <v>52</v>
      </c>
      <c r="E5617" s="6" t="s">
        <v>5963</v>
      </c>
      <c r="F5617" s="9" t="s">
        <v>13652</v>
      </c>
      <c r="G5617" t="inlineStr" s="6">
        <is>
          <t xml:space="preserve">It uses the fine hair that covers Espeon's body to sense air currents and predict its enemy's actions. By reading air currents, it can predict things such as the weather or its foe's next move. The tip of its forked tail quivers when it is predicting its opponent's next move. ESPEON is extremely loyal to any TRAINER it considers to be worthy. It is said that this POKéMON developed its precognitive powers to protect its TRAINER from harm. An ESPEON is extremely loyal to any TRAINER it considers to be worthy. It is said to have developed precognitive powers to protect its TRAINER from harm. Its fur has the look and feel of velvet. The orb on its forehead glows when it uses psycho-power. Its fur is so sensitive, it can sense minute shifts in the air and predict the weather. Its fur is so sensitive, it can feel minute shifts in the air and predict the weather...and its foes’ thoughts. It can instantaneously sense its opponent’s movements by feeling air currents with its fine fur. It unleashes psychic power from the orb on its forehead. When its power is exhausted, the orb grows dull and dark. Although it originally had no powers at all, people say its precognitive faculties were awakened by its need to protect itself. Psychic power builds up in the orb on its forehead as it bathes in the sunshine. Espeon is not good at battling at night. Wields an arcane power with which it can predict the weather and even people's thoughts. When bathed in sunshine, the scarlet orb on its brow glows and builds energy.</t>
        </is>
      </c>
    </row>
    <row r="5618" ht="33.75" customHeight="1">
      <c r="A5618" s="7">
        <v>196.0</v>
      </c>
      <c r="B5618" s="9" t="s">
        <v>11487</v>
      </c>
      <c r="C5618" s="9" t="s">
        <v>287</v>
      </c>
      <c r="D5618" s="9" t="s">
        <v>59</v>
      </c>
      <c r="E5618" s="6" t="s">
        <v>5965</v>
      </c>
      <c r="F5618" s="9" t="s">
        <v>13652</v>
      </c>
    </row>
    <row r="5619" ht="33.75" customHeight="1">
      <c r="A5619" s="7">
        <v>196.0</v>
      </c>
      <c r="B5619" s="9" t="s">
        <v>11487</v>
      </c>
      <c r="C5619" s="9" t="s">
        <v>287</v>
      </c>
      <c r="D5619" s="9" t="s">
        <v>64</v>
      </c>
      <c r="E5619" s="6" t="s">
        <v>5967</v>
      </c>
      <c r="F5619" s="9" t="s">
        <v>13652</v>
      </c>
    </row>
    <row r="5620" ht="33.75" customHeight="1">
      <c r="A5620" s="7">
        <v>196.0</v>
      </c>
      <c r="B5620" s="9" t="s">
        <v>11487</v>
      </c>
      <c r="C5620" s="9" t="s">
        <v>287</v>
      </c>
      <c r="D5620" s="9" t="s">
        <v>67</v>
      </c>
      <c r="E5620" s="6" t="s">
        <v>5969</v>
      </c>
      <c r="F5620" s="9" t="s">
        <v>13652</v>
      </c>
    </row>
    <row r="5621" ht="33.75" customHeight="1">
      <c r="A5621" s="7">
        <v>196.0</v>
      </c>
      <c r="B5621" s="9" t="s">
        <v>11487</v>
      </c>
      <c r="C5621" s="9" t="s">
        <v>287</v>
      </c>
      <c r="D5621" s="9" t="s">
        <v>71</v>
      </c>
      <c r="E5621" s="6" t="s">
        <v>5969</v>
      </c>
      <c r="F5621" s="9" t="s">
        <v>13652</v>
      </c>
    </row>
    <row r="5622" ht="33.75" customHeight="1">
      <c r="A5622" s="7">
        <v>196.0</v>
      </c>
      <c r="B5622" s="9" t="s">
        <v>11487</v>
      </c>
      <c r="C5622" s="9" t="s">
        <v>287</v>
      </c>
      <c r="D5622" s="9" t="s">
        <v>73</v>
      </c>
      <c r="E5622" s="6" t="s">
        <v>5970</v>
      </c>
      <c r="F5622" s="9" t="s">
        <v>13652</v>
      </c>
    </row>
    <row r="5623" ht="33.75" customHeight="1">
      <c r="A5623" s="7">
        <v>196.0</v>
      </c>
      <c r="B5623" s="9" t="s">
        <v>11487</v>
      </c>
      <c r="C5623" s="9" t="s">
        <v>287</v>
      </c>
      <c r="D5623" s="9" t="s">
        <v>75</v>
      </c>
      <c r="E5623" s="6" t="s">
        <v>5971</v>
      </c>
      <c r="F5623" s="9" t="s">
        <v>13652</v>
      </c>
    </row>
    <row r="5624" ht="33.75" customHeight="1">
      <c r="A5624" s="7">
        <v>196.0</v>
      </c>
      <c r="B5624" s="9" t="s">
        <v>11487</v>
      </c>
      <c r="C5624" s="9" t="s">
        <v>287</v>
      </c>
      <c r="D5624" s="9" t="s">
        <v>79</v>
      </c>
      <c r="E5624" s="6" t="s">
        <v>5972</v>
      </c>
      <c r="F5624" s="9" t="s">
        <v>13652</v>
      </c>
    </row>
    <row r="5625" ht="33.75" customHeight="1">
      <c r="A5625" s="7">
        <v>196.0</v>
      </c>
      <c r="B5625" s="9" t="s">
        <v>11487</v>
      </c>
      <c r="C5625" s="9" t="s">
        <v>287</v>
      </c>
      <c r="D5625" s="9" t="s">
        <v>81</v>
      </c>
      <c r="E5625" s="6" t="s">
        <v>5974</v>
      </c>
      <c r="F5625" s="9" t="s">
        <v>13652</v>
      </c>
    </row>
    <row r="5626" ht="33.75" customHeight="1">
      <c r="A5626" s="7">
        <v>196.0</v>
      </c>
      <c r="B5626" s="9" t="s">
        <v>11487</v>
      </c>
      <c r="C5626" s="9" t="s">
        <v>287</v>
      </c>
      <c r="D5626" s="9" t="s">
        <v>84</v>
      </c>
      <c r="E5626" s="6" t="s">
        <v>5974</v>
      </c>
      <c r="F5626" s="9" t="s">
        <v>13652</v>
      </c>
    </row>
    <row r="5627" ht="33.75" customHeight="1">
      <c r="A5627" s="7">
        <v>196.0</v>
      </c>
      <c r="B5627" s="9" t="s">
        <v>11487</v>
      </c>
      <c r="C5627" s="9" t="s">
        <v>287</v>
      </c>
      <c r="D5627" s="9" t="s">
        <v>87</v>
      </c>
      <c r="E5627" s="6" t="s">
        <v>5975</v>
      </c>
      <c r="F5627" s="9" t="s">
        <v>13652</v>
      </c>
    </row>
    <row r="5628" ht="33.75" customHeight="1">
      <c r="A5628" s="7">
        <v>196.0</v>
      </c>
      <c r="B5628" s="9" t="s">
        <v>11487</v>
      </c>
      <c r="C5628" s="9" t="s">
        <v>287</v>
      </c>
      <c r="D5628" s="9" t="s">
        <v>89</v>
      </c>
      <c r="E5628" s="6" t="s">
        <v>5972</v>
      </c>
      <c r="F5628" s="9" t="s">
        <v>13652</v>
      </c>
    </row>
    <row r="5629" ht="33.75" customHeight="1">
      <c r="A5629" s="7">
        <v>196.0</v>
      </c>
      <c r="B5629" s="9" t="s">
        <v>11487</v>
      </c>
      <c r="C5629" s="9" t="s">
        <v>287</v>
      </c>
      <c r="D5629" s="9" t="s">
        <v>91</v>
      </c>
      <c r="E5629" s="6" t="s">
        <v>5971</v>
      </c>
      <c r="F5629" s="9" t="s">
        <v>13652</v>
      </c>
    </row>
    <row r="5630" ht="33.75" customHeight="1">
      <c r="A5630" s="7">
        <v>196.0</v>
      </c>
      <c r="B5630" s="9" t="s">
        <v>11487</v>
      </c>
      <c r="C5630" s="9" t="s">
        <v>287</v>
      </c>
      <c r="D5630" s="9" t="s">
        <v>93</v>
      </c>
      <c r="E5630" s="6" t="s">
        <v>5975</v>
      </c>
      <c r="F5630" s="9" t="s">
        <v>13652</v>
      </c>
    </row>
    <row r="5631" ht="33.75" customHeight="1">
      <c r="A5631" s="7">
        <v>196.0</v>
      </c>
      <c r="B5631" s="9" t="s">
        <v>11487</v>
      </c>
      <c r="C5631" s="9" t="s">
        <v>287</v>
      </c>
      <c r="D5631" s="9" t="s">
        <v>95</v>
      </c>
      <c r="E5631" s="6" t="s">
        <v>5975</v>
      </c>
      <c r="F5631" s="9" t="s">
        <v>13652</v>
      </c>
    </row>
    <row r="5632" ht="33.75" customHeight="1">
      <c r="A5632" s="7">
        <v>196.0</v>
      </c>
      <c r="B5632" s="9" t="s">
        <v>11487</v>
      </c>
      <c r="C5632" s="9" t="s">
        <v>287</v>
      </c>
      <c r="D5632" s="9" t="s">
        <v>98</v>
      </c>
      <c r="E5632" s="6" t="s">
        <v>5977</v>
      </c>
      <c r="F5632" s="9" t="s">
        <v>13652</v>
      </c>
    </row>
    <row r="5633" ht="33.75" customHeight="1">
      <c r="A5633" s="7">
        <v>196.0</v>
      </c>
      <c r="B5633" s="9" t="s">
        <v>11487</v>
      </c>
      <c r="C5633" s="9" t="s">
        <v>287</v>
      </c>
      <c r="D5633" s="9" t="s">
        <v>99</v>
      </c>
      <c r="E5633" s="6" t="s">
        <v>5977</v>
      </c>
      <c r="F5633" s="9" t="s">
        <v>13652</v>
      </c>
    </row>
    <row r="5634" ht="33.75" customHeight="1">
      <c r="A5634" s="7">
        <v>196.0</v>
      </c>
      <c r="B5634" s="9" t="s">
        <v>11487</v>
      </c>
      <c r="C5634" s="9" t="s">
        <v>287</v>
      </c>
      <c r="D5634" s="9" t="s">
        <v>101</v>
      </c>
      <c r="E5634" s="6" t="s">
        <v>5978</v>
      </c>
      <c r="F5634" s="9" t="s">
        <v>13652</v>
      </c>
    </row>
    <row r="5635" ht="33.75" customHeight="1">
      <c r="A5635" s="7">
        <v>196.0</v>
      </c>
      <c r="B5635" s="9" t="s">
        <v>11487</v>
      </c>
      <c r="C5635" s="9" t="s">
        <v>287</v>
      </c>
      <c r="D5635" s="9" t="s">
        <v>105</v>
      </c>
      <c r="E5635" s="6" t="s">
        <v>5977</v>
      </c>
      <c r="F5635" s="9" t="s">
        <v>13652</v>
      </c>
    </row>
    <row r="5636" ht="33.75" customHeight="1">
      <c r="A5636" s="7">
        <v>196.0</v>
      </c>
      <c r="B5636" s="9" t="s">
        <v>11487</v>
      </c>
      <c r="C5636" s="9" t="s">
        <v>287</v>
      </c>
      <c r="D5636" s="9" t="s">
        <v>107</v>
      </c>
      <c r="E5636" s="6" t="s">
        <v>5980</v>
      </c>
      <c r="F5636" s="9" t="s">
        <v>13652</v>
      </c>
    </row>
    <row r="5637" ht="33.75" customHeight="1">
      <c r="A5637" s="7">
        <v>196.0</v>
      </c>
      <c r="B5637" s="9" t="s">
        <v>11487</v>
      </c>
      <c r="C5637" s="9" t="s">
        <v>287</v>
      </c>
      <c r="D5637" s="9" t="s">
        <v>109</v>
      </c>
      <c r="E5637" s="6" t="s">
        <v>5980</v>
      </c>
      <c r="F5637" s="9" t="s">
        <v>13652</v>
      </c>
    </row>
    <row r="5638" ht="33.75" customHeight="1">
      <c r="A5638" s="7">
        <v>196.0</v>
      </c>
      <c r="B5638" s="9" t="s">
        <v>11487</v>
      </c>
      <c r="C5638" s="9" t="s">
        <v>287</v>
      </c>
      <c r="D5638" s="9" t="s">
        <v>637</v>
      </c>
      <c r="E5638" s="6" t="s">
        <v>5981</v>
      </c>
      <c r="F5638" s="9" t="s">
        <v>13652</v>
      </c>
    </row>
    <row r="5639" ht="33.75" customHeight="1">
      <c r="A5639" s="7">
        <v>196.0</v>
      </c>
      <c r="B5639" s="9" t="s">
        <v>11487</v>
      </c>
      <c r="C5639" s="9" t="s">
        <v>287</v>
      </c>
      <c r="D5639" s="9" t="s">
        <v>642</v>
      </c>
      <c r="E5639" s="6" t="s">
        <v>5983</v>
      </c>
      <c r="F5639" s="9" t="s">
        <v>13652</v>
      </c>
    </row>
    <row r="5640" ht="33.75" customHeight="1">
      <c r="A5640" s="7">
        <v>196.0</v>
      </c>
      <c r="B5640" s="9" t="s">
        <v>11487</v>
      </c>
      <c r="C5640" s="9" t="s">
        <v>287</v>
      </c>
      <c r="D5640" s="9" t="s">
        <v>647</v>
      </c>
      <c r="E5640" s="6" t="s">
        <v>5984</v>
      </c>
      <c r="F5640" s="9" t="s">
        <v>13652</v>
      </c>
    </row>
    <row r="5641" ht="33.75" customHeight="1">
      <c r="A5641" s="7">
        <v>196.0</v>
      </c>
      <c r="B5641" s="9" t="s">
        <v>11487</v>
      </c>
      <c r="C5641" s="9" t="s">
        <v>287</v>
      </c>
      <c r="D5641" s="9" t="s">
        <v>652</v>
      </c>
      <c r="E5641" s="6" t="s">
        <v>5986</v>
      </c>
      <c r="F5641" s="9" t="s">
        <v>13652</v>
      </c>
    </row>
    <row r="5642" ht="33.75" customHeight="1">
      <c r="A5642" s="7">
        <v>196.0</v>
      </c>
      <c r="B5642" s="9" t="s">
        <v>11487</v>
      </c>
      <c r="C5642" s="9" t="s">
        <v>287</v>
      </c>
      <c r="D5642" s="9" t="s">
        <v>114</v>
      </c>
      <c r="E5642" s="6" t="s">
        <v>5971</v>
      </c>
      <c r="F5642" s="9" t="s">
        <v>13652</v>
      </c>
    </row>
    <row r="5643" ht="33.75" customHeight="1">
      <c r="A5643" s="7">
        <v>196.0</v>
      </c>
      <c r="B5643" s="9" t="s">
        <v>11487</v>
      </c>
      <c r="C5643" s="9" t="s">
        <v>287</v>
      </c>
      <c r="D5643" s="9" t="s">
        <v>117</v>
      </c>
      <c r="E5643" s="6" t="s">
        <v>5983</v>
      </c>
      <c r="F5643" s="9" t="s">
        <v>13652</v>
      </c>
    </row>
    <row r="5644" ht="33.75" customHeight="1">
      <c r="A5644" s="7">
        <v>196.0</v>
      </c>
      <c r="B5644" s="9" t="s">
        <v>11487</v>
      </c>
      <c r="C5644" s="9" t="s">
        <v>287</v>
      </c>
      <c r="D5644" s="9" t="s">
        <v>1577</v>
      </c>
      <c r="E5644" s="6" t="s">
        <v>5987</v>
      </c>
      <c r="F5644" s="9" t="s">
        <v>13652</v>
      </c>
    </row>
    <row r="5645" ht="33.75" customHeight="1">
      <c r="A5645" s="7">
        <v>197.0</v>
      </c>
      <c r="B5645" s="9" t="s">
        <v>11535</v>
      </c>
      <c r="C5645" s="9" t="s">
        <v>291</v>
      </c>
      <c r="D5645" s="9" t="s">
        <v>52</v>
      </c>
      <c r="E5645" s="6" t="s">
        <v>5989</v>
      </c>
      <c r="F5645" s="9" t="s">
        <v>13672</v>
      </c>
      <c r="G5645" t="inlineStr" s="6">
        <is>
          <t xml:space="preserve">When agitated, this POKéMON pro tects itself by spraying poisonous sweat from Umbreon's pores. When darkness falls, the rings on the body begin to glow, striking fear in the hearts of anyone nearby. On the night of a full moon, or when it gets excited, the ring patterns on its body glow yellow. UMBREON evolved as a result of exposure to the moon’s waves. It hides silently in darkness and waits for its foes to make a move. The rings on its body glow when it leaps to attack. UMBREON evolved from exposure to the moon’s energy pulses. It lurks in darkness and waits for its foes to move. When darkness falls, the rings on its body begin to glow, striking fear in the hearts of anyone nearby. When agitated, this POKéMON protects itself by spraying poisonous sweat from its pores. The light of the moon changed EEVEE’s genetic structure. It lurks in darkness for prey. When exposed to the moon’s aura, the rings on its body glow faintly and it gains a mysterious power. When exposed to the moon’s aura, the rings on its body glow faintly and it’s filled with a mysterious power. When this Pokémon becomes angry, its pores secrete a poisonous sweat, which it sprays at its opponent’s eyes. With its black fur, it blends into the darkness. It bides its time, and when prey appears, this Pokémon goes for its throat, and then eats it. This Pokémon is nocturnal. Even in total darkness, its large eyes can spot its prey clearly! It lurks in the dark of night looking for prey. At the moment it pounces, the rings on its body glow dimly but ominously. It is most active in the wee hours of the night, when moonlight bathes the land. Its large eyes can pierce the darkness and perceive prey with absolute clarity.</t>
        </is>
      </c>
    </row>
    <row r="5646" ht="33.75" customHeight="1">
      <c r="A5646" s="7">
        <v>197.0</v>
      </c>
      <c r="B5646" s="9" t="s">
        <v>11535</v>
      </c>
      <c r="C5646" s="9" t="s">
        <v>291</v>
      </c>
      <c r="D5646" s="9" t="s">
        <v>59</v>
      </c>
      <c r="E5646" s="6" t="s">
        <v>5991</v>
      </c>
      <c r="F5646" s="9" t="s">
        <v>13672</v>
      </c>
    </row>
    <row r="5647" ht="33.75" customHeight="1">
      <c r="A5647" s="7">
        <v>197.0</v>
      </c>
      <c r="B5647" s="9" t="s">
        <v>11535</v>
      </c>
      <c r="C5647" s="9" t="s">
        <v>291</v>
      </c>
      <c r="D5647" s="9" t="s">
        <v>64</v>
      </c>
      <c r="E5647" s="6" t="s">
        <v>5992</v>
      </c>
      <c r="F5647" s="9" t="s">
        <v>13672</v>
      </c>
    </row>
    <row r="5648" ht="33.75" customHeight="1">
      <c r="A5648" s="7">
        <v>197.0</v>
      </c>
      <c r="B5648" s="9" t="s">
        <v>11535</v>
      </c>
      <c r="C5648" s="9" t="s">
        <v>291</v>
      </c>
      <c r="D5648" s="9" t="s">
        <v>67</v>
      </c>
      <c r="E5648" s="6" t="s">
        <v>5994</v>
      </c>
      <c r="F5648" s="9" t="s">
        <v>13672</v>
      </c>
    </row>
    <row r="5649" ht="33.75" customHeight="1">
      <c r="A5649" s="7">
        <v>197.0</v>
      </c>
      <c r="B5649" s="9" t="s">
        <v>11535</v>
      </c>
      <c r="C5649" s="9" t="s">
        <v>291</v>
      </c>
      <c r="D5649" s="9" t="s">
        <v>71</v>
      </c>
      <c r="E5649" s="6" t="s">
        <v>5994</v>
      </c>
      <c r="F5649" s="9" t="s">
        <v>13672</v>
      </c>
    </row>
    <row r="5650" ht="33.75" customHeight="1">
      <c r="A5650" s="7">
        <v>197.0</v>
      </c>
      <c r="B5650" s="9" t="s">
        <v>11535</v>
      </c>
      <c r="C5650" s="9" t="s">
        <v>291</v>
      </c>
      <c r="D5650" s="9" t="s">
        <v>73</v>
      </c>
      <c r="E5650" s="6" t="s">
        <v>5996</v>
      </c>
      <c r="F5650" s="9" t="s">
        <v>13672</v>
      </c>
    </row>
    <row r="5651" ht="33.75" customHeight="1">
      <c r="A5651" s="7">
        <v>197.0</v>
      </c>
      <c r="B5651" s="9" t="s">
        <v>11535</v>
      </c>
      <c r="C5651" s="9" t="s">
        <v>291</v>
      </c>
      <c r="D5651" s="9" t="s">
        <v>75</v>
      </c>
      <c r="E5651" s="6" t="s">
        <v>5998</v>
      </c>
      <c r="F5651" s="9" t="s">
        <v>13672</v>
      </c>
    </row>
    <row r="5652" ht="33.75" customHeight="1">
      <c r="A5652" s="7">
        <v>197.0</v>
      </c>
      <c r="B5652" s="9" t="s">
        <v>11535</v>
      </c>
      <c r="C5652" s="9" t="s">
        <v>291</v>
      </c>
      <c r="D5652" s="9" t="s">
        <v>79</v>
      </c>
      <c r="E5652" s="6" t="s">
        <v>6000</v>
      </c>
      <c r="F5652" s="9" t="s">
        <v>13672</v>
      </c>
    </row>
    <row r="5653" ht="33.75" customHeight="1">
      <c r="A5653" s="7">
        <v>197.0</v>
      </c>
      <c r="B5653" s="9" t="s">
        <v>11535</v>
      </c>
      <c r="C5653" s="9" t="s">
        <v>291</v>
      </c>
      <c r="D5653" s="9" t="s">
        <v>81</v>
      </c>
      <c r="E5653" s="6" t="s">
        <v>6001</v>
      </c>
      <c r="F5653" s="9" t="s">
        <v>13672</v>
      </c>
    </row>
    <row r="5654" ht="33.75" customHeight="1">
      <c r="A5654" s="7">
        <v>197.0</v>
      </c>
      <c r="B5654" s="9" t="s">
        <v>11535</v>
      </c>
      <c r="C5654" s="9" t="s">
        <v>291</v>
      </c>
      <c r="D5654" s="9" t="s">
        <v>84</v>
      </c>
      <c r="E5654" s="6" t="s">
        <v>6001</v>
      </c>
      <c r="F5654" s="9" t="s">
        <v>13672</v>
      </c>
    </row>
    <row r="5655" ht="33.75" customHeight="1">
      <c r="A5655" s="7">
        <v>197.0</v>
      </c>
      <c r="B5655" s="9" t="s">
        <v>11535</v>
      </c>
      <c r="C5655" s="9" t="s">
        <v>291</v>
      </c>
      <c r="D5655" s="9" t="s">
        <v>87</v>
      </c>
      <c r="E5655" s="6" t="s">
        <v>6003</v>
      </c>
      <c r="F5655" s="9" t="s">
        <v>13672</v>
      </c>
    </row>
    <row r="5656" ht="33.75" customHeight="1">
      <c r="A5656" s="7">
        <v>197.0</v>
      </c>
      <c r="B5656" s="9" t="s">
        <v>11535</v>
      </c>
      <c r="C5656" s="9" t="s">
        <v>291</v>
      </c>
      <c r="D5656" s="9" t="s">
        <v>89</v>
      </c>
      <c r="E5656" s="6" t="s">
        <v>6004</v>
      </c>
      <c r="F5656" s="9" t="s">
        <v>13672</v>
      </c>
    </row>
    <row r="5657" ht="33.75" customHeight="1">
      <c r="A5657" s="7">
        <v>197.0</v>
      </c>
      <c r="B5657" s="9" t="s">
        <v>11535</v>
      </c>
      <c r="C5657" s="9" t="s">
        <v>291</v>
      </c>
      <c r="D5657" s="9" t="s">
        <v>91</v>
      </c>
      <c r="E5657" s="6" t="s">
        <v>5991</v>
      </c>
      <c r="F5657" s="9" t="s">
        <v>13672</v>
      </c>
    </row>
    <row r="5658" ht="33.75" customHeight="1">
      <c r="A5658" s="7">
        <v>197.0</v>
      </c>
      <c r="B5658" s="9" t="s">
        <v>11535</v>
      </c>
      <c r="C5658" s="9" t="s">
        <v>291</v>
      </c>
      <c r="D5658" s="9" t="s">
        <v>93</v>
      </c>
      <c r="E5658" s="6" t="s">
        <v>6003</v>
      </c>
      <c r="F5658" s="9" t="s">
        <v>13672</v>
      </c>
    </row>
    <row r="5659" ht="33.75" customHeight="1">
      <c r="A5659" s="7">
        <v>197.0</v>
      </c>
      <c r="B5659" s="9" t="s">
        <v>11535</v>
      </c>
      <c r="C5659" s="9" t="s">
        <v>291</v>
      </c>
      <c r="D5659" s="9" t="s">
        <v>95</v>
      </c>
      <c r="E5659" s="6" t="s">
        <v>6003</v>
      </c>
      <c r="F5659" s="9" t="s">
        <v>13672</v>
      </c>
    </row>
    <row r="5660" ht="33.75" customHeight="1">
      <c r="A5660" s="7">
        <v>197.0</v>
      </c>
      <c r="B5660" s="9" t="s">
        <v>11535</v>
      </c>
      <c r="C5660" s="9" t="s">
        <v>291</v>
      </c>
      <c r="D5660" s="9" t="s">
        <v>98</v>
      </c>
      <c r="E5660" s="6" t="s">
        <v>6005</v>
      </c>
      <c r="F5660" s="9" t="s">
        <v>13672</v>
      </c>
    </row>
    <row r="5661" ht="33.75" customHeight="1">
      <c r="A5661" s="7">
        <v>197.0</v>
      </c>
      <c r="B5661" s="9" t="s">
        <v>11535</v>
      </c>
      <c r="C5661" s="9" t="s">
        <v>291</v>
      </c>
      <c r="D5661" s="9" t="s">
        <v>99</v>
      </c>
      <c r="E5661" s="6" t="s">
        <v>6005</v>
      </c>
      <c r="F5661" s="9" t="s">
        <v>13672</v>
      </c>
    </row>
    <row r="5662" ht="33.75" customHeight="1">
      <c r="A5662" s="7">
        <v>197.0</v>
      </c>
      <c r="B5662" s="9" t="s">
        <v>11535</v>
      </c>
      <c r="C5662" s="9" t="s">
        <v>291</v>
      </c>
      <c r="D5662" s="9" t="s">
        <v>101</v>
      </c>
      <c r="E5662" s="6" t="s">
        <v>6006</v>
      </c>
      <c r="F5662" s="9" t="s">
        <v>13672</v>
      </c>
    </row>
    <row r="5663" ht="33.75" customHeight="1">
      <c r="A5663" s="7">
        <v>197.0</v>
      </c>
      <c r="B5663" s="9" t="s">
        <v>11535</v>
      </c>
      <c r="C5663" s="9" t="s">
        <v>291</v>
      </c>
      <c r="D5663" s="9" t="s">
        <v>105</v>
      </c>
      <c r="E5663" s="6" t="s">
        <v>6005</v>
      </c>
      <c r="F5663" s="9" t="s">
        <v>13672</v>
      </c>
    </row>
    <row r="5664" ht="33.75" customHeight="1">
      <c r="A5664" s="7">
        <v>197.0</v>
      </c>
      <c r="B5664" s="9" t="s">
        <v>11535</v>
      </c>
      <c r="C5664" s="9" t="s">
        <v>291</v>
      </c>
      <c r="D5664" s="9" t="s">
        <v>107</v>
      </c>
      <c r="E5664" s="6" t="s">
        <v>6007</v>
      </c>
      <c r="F5664" s="9" t="s">
        <v>13672</v>
      </c>
    </row>
    <row r="5665" ht="33.75" customHeight="1">
      <c r="A5665" s="7">
        <v>197.0</v>
      </c>
      <c r="B5665" s="9" t="s">
        <v>11535</v>
      </c>
      <c r="C5665" s="9" t="s">
        <v>291</v>
      </c>
      <c r="D5665" s="9" t="s">
        <v>109</v>
      </c>
      <c r="E5665" s="6" t="s">
        <v>6007</v>
      </c>
      <c r="F5665" s="9" t="s">
        <v>13672</v>
      </c>
    </row>
    <row r="5666" ht="33.75" customHeight="1">
      <c r="A5666" s="7">
        <v>197.0</v>
      </c>
      <c r="B5666" s="9" t="s">
        <v>11535</v>
      </c>
      <c r="C5666" s="9" t="s">
        <v>291</v>
      </c>
      <c r="D5666" s="9" t="s">
        <v>637</v>
      </c>
      <c r="E5666" s="6" t="s">
        <v>6008</v>
      </c>
      <c r="F5666" s="9" t="s">
        <v>13672</v>
      </c>
    </row>
    <row r="5667" ht="33.75" customHeight="1">
      <c r="A5667" s="7">
        <v>197.0</v>
      </c>
      <c r="B5667" s="9" t="s">
        <v>11535</v>
      </c>
      <c r="C5667" s="9" t="s">
        <v>291</v>
      </c>
      <c r="D5667" s="9" t="s">
        <v>642</v>
      </c>
      <c r="E5667" s="6" t="s">
        <v>6010</v>
      </c>
      <c r="F5667" s="9" t="s">
        <v>13672</v>
      </c>
    </row>
    <row r="5668" ht="33.75" customHeight="1">
      <c r="A5668" s="7">
        <v>197.0</v>
      </c>
      <c r="B5668" s="9" t="s">
        <v>11535</v>
      </c>
      <c r="C5668" s="9" t="s">
        <v>291</v>
      </c>
      <c r="D5668" s="9" t="s">
        <v>647</v>
      </c>
      <c r="E5668" s="6" t="s">
        <v>6011</v>
      </c>
      <c r="F5668" s="9" t="s">
        <v>13672</v>
      </c>
    </row>
    <row r="5669" ht="33.75" customHeight="1">
      <c r="A5669" s="7">
        <v>197.0</v>
      </c>
      <c r="B5669" s="9" t="s">
        <v>11535</v>
      </c>
      <c r="C5669" s="9" t="s">
        <v>291</v>
      </c>
      <c r="D5669" s="9" t="s">
        <v>652</v>
      </c>
      <c r="E5669" s="6" t="s">
        <v>6012</v>
      </c>
      <c r="F5669" s="9" t="s">
        <v>13672</v>
      </c>
    </row>
    <row r="5670" ht="33.75" customHeight="1">
      <c r="A5670" s="7">
        <v>197.0</v>
      </c>
      <c r="B5670" s="9" t="s">
        <v>11535</v>
      </c>
      <c r="C5670" s="9" t="s">
        <v>291</v>
      </c>
      <c r="D5670" s="9" t="s">
        <v>114</v>
      </c>
      <c r="E5670" s="6" t="s">
        <v>6008</v>
      </c>
      <c r="F5670" s="9" t="s">
        <v>13672</v>
      </c>
    </row>
    <row r="5671" ht="33.75" customHeight="1">
      <c r="A5671" s="7">
        <v>197.0</v>
      </c>
      <c r="B5671" s="9" t="s">
        <v>11535</v>
      </c>
      <c r="C5671" s="9" t="s">
        <v>291</v>
      </c>
      <c r="D5671" s="9" t="s">
        <v>117</v>
      </c>
      <c r="E5671" s="6" t="s">
        <v>5992</v>
      </c>
      <c r="F5671" s="9" t="s">
        <v>13672</v>
      </c>
    </row>
    <row r="5672" ht="33.75" customHeight="1">
      <c r="A5672" s="7">
        <v>197.0</v>
      </c>
      <c r="B5672" s="9" t="s">
        <v>11535</v>
      </c>
      <c r="C5672" s="9" t="s">
        <v>291</v>
      </c>
      <c r="D5672" s="9" t="s">
        <v>1577</v>
      </c>
      <c r="E5672" s="6" t="s">
        <v>6014</v>
      </c>
      <c r="F5672" s="9" t="s">
        <v>13672</v>
      </c>
    </row>
    <row r="5673" ht="33.75" customHeight="1">
      <c r="A5673" s="7">
        <v>198.0</v>
      </c>
      <c r="B5673" s="9" t="s">
        <v>11584</v>
      </c>
      <c r="C5673" s="9" t="s">
        <v>292</v>
      </c>
      <c r="D5673" s="9" t="s">
        <v>52</v>
      </c>
      <c r="E5673" s="6" t="s">
        <v>6015</v>
      </c>
      <c r="F5673" s="9" t="s">
        <v>13686</v>
      </c>
      <c r="G5673" t="inlineStr" s="6">
        <is>
          <t xml:space="preserve">Feared and loathed by many, Murkrow is believed to bring misfortune to all those who see it at night. It is said that when chased, it lures its attacker onto dark mountain trails where the foe will get lost. It hides any shiny object it finds in a secret location. MURKROW and MEOWTH loot one another's stashes. MURKROW was feared and loathed as the alleged bearer of ill fortune. This POKéMON shows strong interest in anything that sparkles or glitters. It will even try to steal rings from women. MURKROW were feared as the alleged bearers of ill fortune. It shows strong interest in anything that sparkles. It is believed that seeing this Pokémon at night will bring about ominous occurrences. It appears near travelers to lure them into deep forests. It is said to carry misfortune. If spotted, it will lure an unwary person into chasing it, then lose the pursuer on mountain trails. If spotted, it will lure an unwary person into chasing it then lose the pursuer on mountain trails. They awaken at dusk and take wing in the twilight, leading to the expression, “Get home before the Murkrow fly. Seen as a symbol of bad luck, it’s generally disliked. Yet it gives presents—objects that sparkle or shine—to Trainers it’s close to. It has a weakness for shiny things. It’s been known to sneak into the nests of Gabite—noted collectors of jewels—in search of treasure. It searches for shiny things for its boss. Murkrow’s presence is said to be unlucky, so many people detest it. Widely shunned as a bearer of ill fortune. Upon crossing paths with this creature, I've been told one must chant ”Workrum, Workrum—bad luck, don't come” as a protective incantation.</t>
        </is>
      </c>
    </row>
    <row r="5674" ht="33.75" customHeight="1">
      <c r="A5674" s="7">
        <v>198.0</v>
      </c>
      <c r="B5674" s="9" t="s">
        <v>11584</v>
      </c>
      <c r="C5674" s="9" t="s">
        <v>292</v>
      </c>
      <c r="D5674" s="9" t="s">
        <v>59</v>
      </c>
      <c r="E5674" s="6" t="s">
        <v>6016</v>
      </c>
      <c r="F5674" s="9" t="s">
        <v>13686</v>
      </c>
    </row>
    <row r="5675" ht="33.75" customHeight="1">
      <c r="A5675" s="7">
        <v>198.0</v>
      </c>
      <c r="B5675" s="9" t="s">
        <v>11584</v>
      </c>
      <c r="C5675" s="9" t="s">
        <v>292</v>
      </c>
      <c r="D5675" s="9" t="s">
        <v>64</v>
      </c>
      <c r="E5675" s="6" t="s">
        <v>6018</v>
      </c>
      <c r="F5675" s="9" t="s">
        <v>13686</v>
      </c>
    </row>
    <row r="5676" ht="33.75" customHeight="1">
      <c r="A5676" s="7">
        <v>198.0</v>
      </c>
      <c r="B5676" s="9" t="s">
        <v>11584</v>
      </c>
      <c r="C5676" s="9" t="s">
        <v>292</v>
      </c>
      <c r="D5676" s="9" t="s">
        <v>67</v>
      </c>
      <c r="E5676" s="6" t="s">
        <v>6019</v>
      </c>
      <c r="F5676" s="9" t="s">
        <v>13686</v>
      </c>
    </row>
    <row r="5677" ht="33.75" customHeight="1">
      <c r="A5677" s="7">
        <v>198.0</v>
      </c>
      <c r="B5677" s="9" t="s">
        <v>11584</v>
      </c>
      <c r="C5677" s="9" t="s">
        <v>292</v>
      </c>
      <c r="D5677" s="9" t="s">
        <v>71</v>
      </c>
      <c r="E5677" s="6" t="s">
        <v>6019</v>
      </c>
      <c r="F5677" s="9" t="s">
        <v>13686</v>
      </c>
    </row>
    <row r="5678" ht="33.75" customHeight="1">
      <c r="A5678" s="7">
        <v>198.0</v>
      </c>
      <c r="B5678" s="9" t="s">
        <v>11584</v>
      </c>
      <c r="C5678" s="9" t="s">
        <v>292</v>
      </c>
      <c r="D5678" s="9" t="s">
        <v>73</v>
      </c>
      <c r="E5678" s="6" t="s">
        <v>6020</v>
      </c>
      <c r="F5678" s="9" t="s">
        <v>13686</v>
      </c>
    </row>
    <row r="5679" ht="33.75" customHeight="1">
      <c r="A5679" s="7">
        <v>198.0</v>
      </c>
      <c r="B5679" s="9" t="s">
        <v>11584</v>
      </c>
      <c r="C5679" s="9" t="s">
        <v>292</v>
      </c>
      <c r="D5679" s="9" t="s">
        <v>75</v>
      </c>
      <c r="E5679" s="6" t="s">
        <v>6016</v>
      </c>
      <c r="F5679" s="9" t="s">
        <v>13686</v>
      </c>
    </row>
    <row r="5680" ht="33.75" customHeight="1">
      <c r="A5680" s="7">
        <v>198.0</v>
      </c>
      <c r="B5680" s="9" t="s">
        <v>11584</v>
      </c>
      <c r="C5680" s="9" t="s">
        <v>292</v>
      </c>
      <c r="D5680" s="9" t="s">
        <v>79</v>
      </c>
      <c r="E5680" s="6" t="s">
        <v>6015</v>
      </c>
      <c r="F5680" s="9" t="s">
        <v>13686</v>
      </c>
    </row>
    <row r="5681" ht="33.75" customHeight="1">
      <c r="A5681" s="7">
        <v>198.0</v>
      </c>
      <c r="B5681" s="9" t="s">
        <v>11584</v>
      </c>
      <c r="C5681" s="9" t="s">
        <v>292</v>
      </c>
      <c r="D5681" s="9" t="s">
        <v>81</v>
      </c>
      <c r="E5681" s="6" t="s">
        <v>6021</v>
      </c>
      <c r="F5681" s="9" t="s">
        <v>13686</v>
      </c>
    </row>
    <row r="5682" ht="33.75" customHeight="1">
      <c r="A5682" s="7">
        <v>198.0</v>
      </c>
      <c r="B5682" s="9" t="s">
        <v>11584</v>
      </c>
      <c r="C5682" s="9" t="s">
        <v>292</v>
      </c>
      <c r="D5682" s="9" t="s">
        <v>84</v>
      </c>
      <c r="E5682" s="6" t="s">
        <v>6022</v>
      </c>
      <c r="F5682" s="9" t="s">
        <v>13686</v>
      </c>
    </row>
    <row r="5683" ht="33.75" customHeight="1">
      <c r="A5683" s="7">
        <v>198.0</v>
      </c>
      <c r="B5683" s="9" t="s">
        <v>11584</v>
      </c>
      <c r="C5683" s="9" t="s">
        <v>292</v>
      </c>
      <c r="D5683" s="9" t="s">
        <v>87</v>
      </c>
      <c r="E5683" s="6" t="s">
        <v>6023</v>
      </c>
      <c r="F5683" s="9" t="s">
        <v>13686</v>
      </c>
    </row>
    <row r="5684" ht="33.75" customHeight="1">
      <c r="A5684" s="7">
        <v>198.0</v>
      </c>
      <c r="B5684" s="9" t="s">
        <v>11584</v>
      </c>
      <c r="C5684" s="9" t="s">
        <v>292</v>
      </c>
      <c r="D5684" s="9" t="s">
        <v>89</v>
      </c>
      <c r="E5684" s="6" t="s">
        <v>6015</v>
      </c>
      <c r="F5684" s="9" t="s">
        <v>13686</v>
      </c>
    </row>
    <row r="5685" ht="33.75" customHeight="1">
      <c r="A5685" s="7">
        <v>198.0</v>
      </c>
      <c r="B5685" s="9" t="s">
        <v>11584</v>
      </c>
      <c r="C5685" s="9" t="s">
        <v>292</v>
      </c>
      <c r="D5685" s="9" t="s">
        <v>91</v>
      </c>
      <c r="E5685" s="6" t="s">
        <v>6016</v>
      </c>
      <c r="F5685" s="9" t="s">
        <v>13686</v>
      </c>
    </row>
    <row r="5686" ht="33.75" customHeight="1">
      <c r="A5686" s="7">
        <v>198.0</v>
      </c>
      <c r="B5686" s="9" t="s">
        <v>11584</v>
      </c>
      <c r="C5686" s="9" t="s">
        <v>292</v>
      </c>
      <c r="D5686" s="9" t="s">
        <v>93</v>
      </c>
      <c r="E5686" s="6" t="s">
        <v>6023</v>
      </c>
      <c r="F5686" s="9" t="s">
        <v>13686</v>
      </c>
    </row>
    <row r="5687" ht="33.75" customHeight="1">
      <c r="A5687" s="7">
        <v>198.0</v>
      </c>
      <c r="B5687" s="9" t="s">
        <v>11584</v>
      </c>
      <c r="C5687" s="9" t="s">
        <v>292</v>
      </c>
      <c r="D5687" s="9" t="s">
        <v>95</v>
      </c>
      <c r="E5687" s="6" t="s">
        <v>6023</v>
      </c>
      <c r="F5687" s="9" t="s">
        <v>13686</v>
      </c>
    </row>
    <row r="5688" ht="33.75" customHeight="1">
      <c r="A5688" s="7">
        <v>198.0</v>
      </c>
      <c r="B5688" s="9" t="s">
        <v>11584</v>
      </c>
      <c r="C5688" s="9" t="s">
        <v>292</v>
      </c>
      <c r="D5688" s="9" t="s">
        <v>98</v>
      </c>
      <c r="E5688" s="6" t="s">
        <v>6024</v>
      </c>
      <c r="F5688" s="9" t="s">
        <v>13686</v>
      </c>
    </row>
    <row r="5689" ht="33.75" customHeight="1">
      <c r="A5689" s="7">
        <v>198.0</v>
      </c>
      <c r="B5689" s="9" t="s">
        <v>11584</v>
      </c>
      <c r="C5689" s="9" t="s">
        <v>292</v>
      </c>
      <c r="D5689" s="9" t="s">
        <v>99</v>
      </c>
      <c r="E5689" s="6" t="s">
        <v>6024</v>
      </c>
      <c r="F5689" s="9" t="s">
        <v>13686</v>
      </c>
    </row>
    <row r="5690" ht="33.75" customHeight="1">
      <c r="A5690" s="7">
        <v>198.0</v>
      </c>
      <c r="B5690" s="9" t="s">
        <v>11584</v>
      </c>
      <c r="C5690" s="9" t="s">
        <v>292</v>
      </c>
      <c r="D5690" s="9" t="s">
        <v>101</v>
      </c>
      <c r="E5690" s="6" t="s">
        <v>6027</v>
      </c>
      <c r="F5690" s="9" t="s">
        <v>13686</v>
      </c>
    </row>
    <row r="5691" ht="33.75" customHeight="1">
      <c r="A5691" s="7">
        <v>198.0</v>
      </c>
      <c r="B5691" s="9" t="s">
        <v>11584</v>
      </c>
      <c r="C5691" s="9" t="s">
        <v>292</v>
      </c>
      <c r="D5691" s="9" t="s">
        <v>105</v>
      </c>
      <c r="E5691" s="6" t="s">
        <v>6015</v>
      </c>
      <c r="F5691" s="9" t="s">
        <v>13686</v>
      </c>
    </row>
    <row r="5692" ht="33.75" customHeight="1">
      <c r="A5692" s="7">
        <v>198.0</v>
      </c>
      <c r="B5692" s="9" t="s">
        <v>11584</v>
      </c>
      <c r="C5692" s="9" t="s">
        <v>292</v>
      </c>
      <c r="D5692" s="9" t="s">
        <v>107</v>
      </c>
      <c r="E5692" s="6" t="s">
        <v>6030</v>
      </c>
      <c r="F5692" s="9" t="s">
        <v>13686</v>
      </c>
    </row>
    <row r="5693" ht="33.75" customHeight="1">
      <c r="A5693" s="7">
        <v>198.0</v>
      </c>
      <c r="B5693" s="9" t="s">
        <v>11584</v>
      </c>
      <c r="C5693" s="9" t="s">
        <v>292</v>
      </c>
      <c r="D5693" s="9" t="s">
        <v>109</v>
      </c>
      <c r="E5693" s="6" t="s">
        <v>6030</v>
      </c>
      <c r="F5693" s="9" t="s">
        <v>13686</v>
      </c>
    </row>
    <row r="5694" ht="33.75" customHeight="1">
      <c r="A5694" s="7">
        <v>198.0</v>
      </c>
      <c r="B5694" s="9" t="s">
        <v>11584</v>
      </c>
      <c r="C5694" s="9" t="s">
        <v>292</v>
      </c>
      <c r="D5694" s="9" t="s">
        <v>637</v>
      </c>
      <c r="E5694" s="6" t="s">
        <v>6031</v>
      </c>
      <c r="F5694" s="9" t="s">
        <v>13686</v>
      </c>
    </row>
    <row r="5695" ht="33.75" customHeight="1">
      <c r="A5695" s="7">
        <v>198.0</v>
      </c>
      <c r="B5695" s="9" t="s">
        <v>11584</v>
      </c>
      <c r="C5695" s="9" t="s">
        <v>292</v>
      </c>
      <c r="D5695" s="9" t="s">
        <v>642</v>
      </c>
      <c r="E5695" s="6" t="s">
        <v>6033</v>
      </c>
      <c r="F5695" s="9" t="s">
        <v>13686</v>
      </c>
    </row>
    <row r="5696" ht="33.75" customHeight="1">
      <c r="A5696" s="7">
        <v>198.0</v>
      </c>
      <c r="B5696" s="9" t="s">
        <v>11584</v>
      </c>
      <c r="C5696" s="9" t="s">
        <v>292</v>
      </c>
      <c r="D5696" s="9" t="s">
        <v>647</v>
      </c>
      <c r="E5696" s="6" t="s">
        <v>6035</v>
      </c>
      <c r="F5696" s="9" t="s">
        <v>13686</v>
      </c>
    </row>
    <row r="5697" ht="33.75" customHeight="1">
      <c r="A5697" s="7">
        <v>198.0</v>
      </c>
      <c r="B5697" s="9" t="s">
        <v>11584</v>
      </c>
      <c r="C5697" s="9" t="s">
        <v>292</v>
      </c>
      <c r="D5697" s="9" t="s">
        <v>652</v>
      </c>
      <c r="E5697" s="6" t="s">
        <v>6036</v>
      </c>
      <c r="F5697" s="9" t="s">
        <v>13686</v>
      </c>
    </row>
    <row r="5698" ht="33.75" customHeight="1">
      <c r="A5698" s="7">
        <v>198.0</v>
      </c>
      <c r="B5698" s="9" t="s">
        <v>11584</v>
      </c>
      <c r="C5698" s="9" t="s">
        <v>292</v>
      </c>
      <c r="D5698" s="9" t="s">
        <v>1577</v>
      </c>
      <c r="E5698" s="6" t="s">
        <v>6038</v>
      </c>
      <c r="F5698" s="9" t="s">
        <v>13686</v>
      </c>
    </row>
    <row r="5699" ht="33.75" customHeight="1">
      <c r="A5699" s="7">
        <v>199.0</v>
      </c>
      <c r="B5699" s="9" t="s">
        <v>11637</v>
      </c>
      <c r="C5699" s="9" t="s">
        <v>297</v>
      </c>
      <c r="D5699" s="9" t="s">
        <v>52</v>
      </c>
      <c r="E5699" s="6" t="s">
        <v>6040</v>
      </c>
      <c r="F5699" s="9" t="s">
        <v>13698</v>
      </c>
      <c r="G5699" t="inlineStr" s="6">
        <is>
          <t xml:space="preserve">Slowking has incredible intellect and intuition. Whatever the situation, it remains calm and collected. When its head was bitten, toxins entered SLOWPOKE's head and unlocked an extraordinary power. Every time it yawns, SHELLDER injects more poi son into it. The poison makes it more intelligent. SLOWKING undertakes research every day in an effort to solve the mysteries of the world. However, this POKéMON apparently forgets everything it has learned if the SHELLDER on its head comes off. It undertakes research every day to solve the mysteries of the world. However, it apparently forgets everything if the SHELLDER on its head comes off. Being bitten by SHELLDER gave it intelligence comparable to that of award-winning scientists. A poisonous bite reacted with its system, blessing it with the enhanced intellect of a genius. It has full control of its psychic powers. This Pokémon is so famed for its intellect that a proverb still persists in some regions: “When in doubt, ask Slowking. It’s constantly coming up with new ideas that would change the world, but as soon as it hits upon a new idea, it forgets it. It’s called “the sage of the sea. It engages in battles of wits with Oranguru, but the result is usually a draw. Miraculously, this former Slowpoke’s latent intelligence was drawn out when Shellder poison raced through its brain. Slowking can solve any problem presented to it, but no one can understand a thing Slowking says.</t>
        </is>
      </c>
    </row>
    <row r="5700" ht="33.75" customHeight="1">
      <c r="A5700" s="7">
        <v>199.0</v>
      </c>
      <c r="B5700" s="9" t="s">
        <v>11637</v>
      </c>
      <c r="C5700" s="9" t="s">
        <v>297</v>
      </c>
      <c r="D5700" s="9" t="s">
        <v>59</v>
      </c>
      <c r="E5700" s="6" t="s">
        <v>6041</v>
      </c>
      <c r="F5700" s="9" t="s">
        <v>13698</v>
      </c>
    </row>
    <row r="5701" ht="33.75" customHeight="1">
      <c r="A5701" s="7">
        <v>199.0</v>
      </c>
      <c r="B5701" s="9" t="s">
        <v>11637</v>
      </c>
      <c r="C5701" s="9" t="s">
        <v>297</v>
      </c>
      <c r="D5701" s="9" t="s">
        <v>64</v>
      </c>
      <c r="E5701" s="6" t="s">
        <v>6043</v>
      </c>
      <c r="F5701" s="9" t="s">
        <v>13698</v>
      </c>
    </row>
    <row r="5702" ht="33.75" customHeight="1">
      <c r="A5702" s="7">
        <v>199.0</v>
      </c>
      <c r="B5702" s="9" t="s">
        <v>11637</v>
      </c>
      <c r="C5702" s="9" t="s">
        <v>297</v>
      </c>
      <c r="D5702" s="9" t="s">
        <v>67</v>
      </c>
      <c r="E5702" s="6" t="s">
        <v>6044</v>
      </c>
      <c r="F5702" s="9" t="s">
        <v>13698</v>
      </c>
    </row>
    <row r="5703" ht="33.75" customHeight="1">
      <c r="A5703" s="7">
        <v>199.0</v>
      </c>
      <c r="B5703" s="9" t="s">
        <v>11637</v>
      </c>
      <c r="C5703" s="9" t="s">
        <v>297</v>
      </c>
      <c r="D5703" s="9" t="s">
        <v>71</v>
      </c>
      <c r="E5703" s="6" t="s">
        <v>6044</v>
      </c>
      <c r="F5703" s="9" t="s">
        <v>13698</v>
      </c>
    </row>
    <row r="5704" ht="33.75" customHeight="1">
      <c r="A5704" s="7">
        <v>199.0</v>
      </c>
      <c r="B5704" s="9" t="s">
        <v>11637</v>
      </c>
      <c r="C5704" s="9" t="s">
        <v>297</v>
      </c>
      <c r="D5704" s="9" t="s">
        <v>73</v>
      </c>
      <c r="E5704" s="6" t="s">
        <v>6045</v>
      </c>
      <c r="F5704" s="9" t="s">
        <v>13698</v>
      </c>
    </row>
    <row r="5705" ht="33.75" customHeight="1">
      <c r="A5705" s="7">
        <v>199.0</v>
      </c>
      <c r="B5705" s="9" t="s">
        <v>11637</v>
      </c>
      <c r="C5705" s="9" t="s">
        <v>297</v>
      </c>
      <c r="D5705" s="9" t="s">
        <v>75</v>
      </c>
      <c r="E5705" s="6" t="s">
        <v>6047</v>
      </c>
      <c r="F5705" s="9" t="s">
        <v>13698</v>
      </c>
    </row>
    <row r="5706" ht="33.75" customHeight="1">
      <c r="A5706" s="7">
        <v>199.0</v>
      </c>
      <c r="B5706" s="9" t="s">
        <v>11637</v>
      </c>
      <c r="C5706" s="9" t="s">
        <v>297</v>
      </c>
      <c r="D5706" s="9" t="s">
        <v>79</v>
      </c>
      <c r="E5706" s="6" t="s">
        <v>6048</v>
      </c>
      <c r="F5706" s="9" t="s">
        <v>13698</v>
      </c>
    </row>
    <row r="5707" ht="33.75" customHeight="1">
      <c r="A5707" s="7">
        <v>199.0</v>
      </c>
      <c r="B5707" s="9" t="s">
        <v>11637</v>
      </c>
      <c r="C5707" s="9" t="s">
        <v>297</v>
      </c>
      <c r="D5707" s="9" t="s">
        <v>81</v>
      </c>
      <c r="E5707" s="6" t="s">
        <v>6049</v>
      </c>
      <c r="F5707" s="9" t="s">
        <v>13698</v>
      </c>
    </row>
    <row r="5708" ht="33.75" customHeight="1">
      <c r="A5708" s="7">
        <v>199.0</v>
      </c>
      <c r="B5708" s="9" t="s">
        <v>11637</v>
      </c>
      <c r="C5708" s="9" t="s">
        <v>297</v>
      </c>
      <c r="D5708" s="9" t="s">
        <v>84</v>
      </c>
      <c r="E5708" s="6" t="s">
        <v>6049</v>
      </c>
      <c r="F5708" s="9" t="s">
        <v>13698</v>
      </c>
    </row>
    <row r="5709" ht="33.75" customHeight="1">
      <c r="A5709" s="7">
        <v>199.0</v>
      </c>
      <c r="B5709" s="9" t="s">
        <v>11637</v>
      </c>
      <c r="C5709" s="9" t="s">
        <v>297</v>
      </c>
      <c r="D5709" s="9" t="s">
        <v>87</v>
      </c>
      <c r="E5709" s="6" t="s">
        <v>6049</v>
      </c>
      <c r="F5709" s="9" t="s">
        <v>13698</v>
      </c>
    </row>
    <row r="5710" ht="33.75" customHeight="1">
      <c r="A5710" s="7">
        <v>199.0</v>
      </c>
      <c r="B5710" s="9" t="s">
        <v>11637</v>
      </c>
      <c r="C5710" s="9" t="s">
        <v>297</v>
      </c>
      <c r="D5710" s="9" t="s">
        <v>89</v>
      </c>
      <c r="E5710" s="6" t="s">
        <v>6048</v>
      </c>
      <c r="F5710" s="9" t="s">
        <v>13698</v>
      </c>
    </row>
    <row r="5711" ht="33.75" customHeight="1">
      <c r="A5711" s="7">
        <v>199.0</v>
      </c>
      <c r="B5711" s="9" t="s">
        <v>11637</v>
      </c>
      <c r="C5711" s="9" t="s">
        <v>297</v>
      </c>
      <c r="D5711" s="9" t="s">
        <v>91</v>
      </c>
      <c r="E5711" s="6" t="s">
        <v>6047</v>
      </c>
      <c r="F5711" s="9" t="s">
        <v>13698</v>
      </c>
    </row>
    <row r="5712" ht="33.75" customHeight="1">
      <c r="A5712" s="7">
        <v>199.0</v>
      </c>
      <c r="B5712" s="9" t="s">
        <v>11637</v>
      </c>
      <c r="C5712" s="9" t="s">
        <v>297</v>
      </c>
      <c r="D5712" s="9" t="s">
        <v>93</v>
      </c>
      <c r="E5712" s="6" t="s">
        <v>6051</v>
      </c>
      <c r="F5712" s="9" t="s">
        <v>13698</v>
      </c>
    </row>
    <row r="5713" ht="33.75" customHeight="1">
      <c r="A5713" s="7">
        <v>199.0</v>
      </c>
      <c r="B5713" s="9" t="s">
        <v>11637</v>
      </c>
      <c r="C5713" s="9" t="s">
        <v>297</v>
      </c>
      <c r="D5713" s="9" t="s">
        <v>95</v>
      </c>
      <c r="E5713" s="6" t="s">
        <v>6051</v>
      </c>
      <c r="F5713" s="9" t="s">
        <v>13698</v>
      </c>
    </row>
    <row r="5714" ht="33.75" customHeight="1">
      <c r="A5714" s="7">
        <v>199.0</v>
      </c>
      <c r="B5714" s="9" t="s">
        <v>11637</v>
      </c>
      <c r="C5714" s="9" t="s">
        <v>297</v>
      </c>
      <c r="D5714" s="9" t="s">
        <v>98</v>
      </c>
      <c r="E5714" s="6" t="s">
        <v>6051</v>
      </c>
      <c r="F5714" s="9" t="s">
        <v>13698</v>
      </c>
    </row>
    <row r="5715" ht="33.75" customHeight="1">
      <c r="A5715" s="7">
        <v>199.0</v>
      </c>
      <c r="B5715" s="9" t="s">
        <v>11637</v>
      </c>
      <c r="C5715" s="9" t="s">
        <v>297</v>
      </c>
      <c r="D5715" s="9" t="s">
        <v>99</v>
      </c>
      <c r="E5715" s="6" t="s">
        <v>6051</v>
      </c>
      <c r="F5715" s="9" t="s">
        <v>13698</v>
      </c>
    </row>
    <row r="5716" ht="33.75" customHeight="1">
      <c r="A5716" s="7">
        <v>199.0</v>
      </c>
      <c r="B5716" s="9" t="s">
        <v>11637</v>
      </c>
      <c r="C5716" s="9" t="s">
        <v>297</v>
      </c>
      <c r="D5716" s="9" t="s">
        <v>101</v>
      </c>
      <c r="E5716" s="6" t="s">
        <v>6048</v>
      </c>
      <c r="F5716" s="9" t="s">
        <v>13698</v>
      </c>
    </row>
    <row r="5717" ht="33.75" customHeight="1">
      <c r="A5717" s="7">
        <v>199.0</v>
      </c>
      <c r="B5717" s="9" t="s">
        <v>11637</v>
      </c>
      <c r="C5717" s="9" t="s">
        <v>297</v>
      </c>
      <c r="D5717" s="9" t="s">
        <v>105</v>
      </c>
      <c r="E5717" s="6" t="s">
        <v>6052</v>
      </c>
      <c r="F5717" s="9" t="s">
        <v>13698</v>
      </c>
    </row>
    <row r="5718" ht="33.75" customHeight="1">
      <c r="A5718" s="7">
        <v>199.0</v>
      </c>
      <c r="B5718" s="9" t="s">
        <v>11637</v>
      </c>
      <c r="C5718" s="9" t="s">
        <v>297</v>
      </c>
      <c r="D5718" s="9" t="s">
        <v>107</v>
      </c>
      <c r="E5718" s="6" t="s">
        <v>6054</v>
      </c>
      <c r="F5718" s="9" t="s">
        <v>13698</v>
      </c>
    </row>
    <row r="5719" ht="33.75" customHeight="1">
      <c r="A5719" s="7">
        <v>199.0</v>
      </c>
      <c r="B5719" s="9" t="s">
        <v>11637</v>
      </c>
      <c r="C5719" s="9" t="s">
        <v>297</v>
      </c>
      <c r="D5719" s="9" t="s">
        <v>109</v>
      </c>
      <c r="E5719" s="6" t="s">
        <v>6054</v>
      </c>
      <c r="F5719" s="9" t="s">
        <v>13698</v>
      </c>
    </row>
    <row r="5720" ht="33.75" customHeight="1">
      <c r="A5720" s="7">
        <v>199.0</v>
      </c>
      <c r="B5720" s="9" t="s">
        <v>11637</v>
      </c>
      <c r="C5720" s="9" t="s">
        <v>297</v>
      </c>
      <c r="D5720" s="9" t="s">
        <v>637</v>
      </c>
      <c r="E5720" s="6" t="s">
        <v>6056</v>
      </c>
      <c r="F5720" s="9" t="s">
        <v>13698</v>
      </c>
    </row>
    <row r="5721" ht="33.75" customHeight="1">
      <c r="A5721" s="7">
        <v>199.0</v>
      </c>
      <c r="B5721" s="9" t="s">
        <v>11637</v>
      </c>
      <c r="C5721" s="9" t="s">
        <v>297</v>
      </c>
      <c r="D5721" s="9" t="s">
        <v>642</v>
      </c>
      <c r="E5721" s="6" t="s">
        <v>6057</v>
      </c>
      <c r="F5721" s="9" t="s">
        <v>13698</v>
      </c>
    </row>
    <row r="5722" ht="33.75" customHeight="1">
      <c r="A5722" s="7">
        <v>199.0</v>
      </c>
      <c r="B5722" s="9" t="s">
        <v>11637</v>
      </c>
      <c r="C5722" s="9" t="s">
        <v>297</v>
      </c>
      <c r="D5722" s="9" t="s">
        <v>647</v>
      </c>
      <c r="E5722" s="6" t="s">
        <v>6059</v>
      </c>
      <c r="F5722" s="9" t="s">
        <v>13698</v>
      </c>
    </row>
    <row r="5723" ht="33.75" customHeight="1">
      <c r="A5723" s="7">
        <v>199.0</v>
      </c>
      <c r="B5723" s="9" t="s">
        <v>11637</v>
      </c>
      <c r="C5723" s="9" t="s">
        <v>297</v>
      </c>
      <c r="D5723" s="9" t="s">
        <v>652</v>
      </c>
      <c r="E5723" s="6" t="s">
        <v>6060</v>
      </c>
      <c r="F5723" s="9" t="s">
        <v>13698</v>
      </c>
    </row>
    <row r="5724" ht="33.75" customHeight="1">
      <c r="A5724" s="7">
        <v>199.0</v>
      </c>
      <c r="B5724" s="9" t="s">
        <v>11637</v>
      </c>
      <c r="C5724" s="9" t="s">
        <v>297</v>
      </c>
      <c r="D5724" s="9" t="s">
        <v>114</v>
      </c>
      <c r="E5724" s="6" t="s">
        <v>6061</v>
      </c>
      <c r="F5724" s="9" t="s">
        <v>13698</v>
      </c>
    </row>
    <row r="5725" ht="33.75" customHeight="1">
      <c r="A5725" s="7">
        <v>199.0</v>
      </c>
      <c r="B5725" s="9" t="s">
        <v>11637</v>
      </c>
      <c r="C5725" s="9" t="s">
        <v>297</v>
      </c>
      <c r="D5725" s="9" t="s">
        <v>117</v>
      </c>
      <c r="E5725" s="6" t="s">
        <v>6062</v>
      </c>
      <c r="F5725" s="9" t="s">
        <v>13698</v>
      </c>
    </row>
    <row r="5726" ht="33.75" customHeight="1">
      <c r="A5726" s="7">
        <v>200.0</v>
      </c>
      <c r="B5726" s="9" t="s">
        <v>11691</v>
      </c>
      <c r="C5726" s="9" t="s">
        <v>299</v>
      </c>
      <c r="D5726" s="9" t="s">
        <v>52</v>
      </c>
      <c r="E5726" s="6" t="s">
        <v>6063</v>
      </c>
      <c r="F5726" s="9" t="s">
        <v>13710</v>
      </c>
      <c r="G5726" t="inlineStr" s="6">
        <is>
          <t xml:space="preserve">It likes playing mischievous tricks such as screaming and wailing to startle people at night. It loves to bite and yank people's hair from behind without warning, just to see their shocked reactions. It loves to watch people it's scared. It frightens them by screaming loudly or appear ing suddenly. MISDREAVUS frightens people with a creepy, sobbing cry. The POKéMON apparently uses its red spheres to absorb the fearful feelings of foes and turn them into nutrition. A MISDREAVUS frightens people with a creepy, sobbing cry. It apparently uses its red spheres to absorb the fear of foes as its nutrition. It loves to sneak up on people late at night, then startle them with its shrieklike cry. It gets nourishment from fear that it absorbs into its red orbs. In daytime, it sleeps in darkness. A Pokémon that startles people in the middle of the night. It gathers fear as its energy. It likes playing mischievous tricks, such as screaming and wailing to startle people at night. It will use any means necessary to frighten people and absorb their life energy. It practices constantly to hone its skill in causing fear. If you hear a sobbing sound emanating from a vacant room, it’s undoubtedly a bit of mischief from Misdreavus. What gives meaning to its life is surprising others. If you set your ear against the red orbs around its neck, you can hear shrieking. What makes it happy is imitating the voices of weeping people and scaring everyone. It doesn’t deal well with folks who aren’t easily frightened. It conceals itself in darkness, sending chills up travelers' spines with its childlike weeping. As it observes the frightened travelers with glee, the red orbs upon its chest let off an eerie light.</t>
        </is>
      </c>
    </row>
    <row r="5727" ht="33.75" customHeight="1">
      <c r="A5727" s="7">
        <v>200.0</v>
      </c>
      <c r="B5727" s="9" t="s">
        <v>11691</v>
      </c>
      <c r="C5727" s="9" t="s">
        <v>299</v>
      </c>
      <c r="D5727" s="9" t="s">
        <v>59</v>
      </c>
      <c r="E5727" s="6" t="s">
        <v>6064</v>
      </c>
      <c r="F5727" s="9" t="s">
        <v>13710</v>
      </c>
    </row>
    <row r="5728" ht="33.75" customHeight="1">
      <c r="A5728" s="7">
        <v>200.0</v>
      </c>
      <c r="B5728" s="9" t="s">
        <v>11691</v>
      </c>
      <c r="C5728" s="9" t="s">
        <v>299</v>
      </c>
      <c r="D5728" s="9" t="s">
        <v>64</v>
      </c>
      <c r="E5728" s="6" t="s">
        <v>6065</v>
      </c>
      <c r="F5728" s="9" t="s">
        <v>13710</v>
      </c>
    </row>
    <row r="5729" ht="33.75" customHeight="1">
      <c r="A5729" s="7">
        <v>200.0</v>
      </c>
      <c r="B5729" s="9" t="s">
        <v>11691</v>
      </c>
      <c r="C5729" s="9" t="s">
        <v>299</v>
      </c>
      <c r="D5729" s="9" t="s">
        <v>67</v>
      </c>
      <c r="E5729" s="6" t="s">
        <v>6066</v>
      </c>
      <c r="F5729" s="9" t="s">
        <v>13710</v>
      </c>
    </row>
    <row r="5730" ht="33.75" customHeight="1">
      <c r="A5730" s="7">
        <v>200.0</v>
      </c>
      <c r="B5730" s="9" t="s">
        <v>11691</v>
      </c>
      <c r="C5730" s="9" t="s">
        <v>299</v>
      </c>
      <c r="D5730" s="9" t="s">
        <v>71</v>
      </c>
      <c r="E5730" s="6" t="s">
        <v>6066</v>
      </c>
      <c r="F5730" s="9" t="s">
        <v>13710</v>
      </c>
    </row>
    <row r="5731" ht="33.75" customHeight="1">
      <c r="A5731" s="7">
        <v>200.0</v>
      </c>
      <c r="B5731" s="9" t="s">
        <v>11691</v>
      </c>
      <c r="C5731" s="9" t="s">
        <v>299</v>
      </c>
      <c r="D5731" s="9" t="s">
        <v>73</v>
      </c>
      <c r="E5731" s="6" t="s">
        <v>6067</v>
      </c>
      <c r="F5731" s="9" t="s">
        <v>13710</v>
      </c>
    </row>
    <row r="5732" ht="33.75" customHeight="1">
      <c r="A5732" s="7">
        <v>200.0</v>
      </c>
      <c r="B5732" s="9" t="s">
        <v>11691</v>
      </c>
      <c r="C5732" s="9" t="s">
        <v>299</v>
      </c>
      <c r="D5732" s="9" t="s">
        <v>75</v>
      </c>
      <c r="E5732" s="6" t="s">
        <v>6068</v>
      </c>
      <c r="F5732" s="9" t="s">
        <v>13710</v>
      </c>
    </row>
    <row r="5733" ht="33.75" customHeight="1">
      <c r="A5733" s="7">
        <v>200.0</v>
      </c>
      <c r="B5733" s="9" t="s">
        <v>11691</v>
      </c>
      <c r="C5733" s="9" t="s">
        <v>299</v>
      </c>
      <c r="D5733" s="9" t="s">
        <v>79</v>
      </c>
      <c r="E5733" s="6" t="s">
        <v>6063</v>
      </c>
      <c r="F5733" s="9" t="s">
        <v>13710</v>
      </c>
    </row>
    <row r="5734" ht="33.75" customHeight="1">
      <c r="A5734" s="7">
        <v>200.0</v>
      </c>
      <c r="B5734" s="9" t="s">
        <v>11691</v>
      </c>
      <c r="C5734" s="9" t="s">
        <v>299</v>
      </c>
      <c r="D5734" s="9" t="s">
        <v>81</v>
      </c>
      <c r="E5734" s="6" t="s">
        <v>6069</v>
      </c>
      <c r="F5734" s="9" t="s">
        <v>13710</v>
      </c>
    </row>
    <row r="5735" ht="33.75" customHeight="1">
      <c r="A5735" s="7">
        <v>200.0</v>
      </c>
      <c r="B5735" s="9" t="s">
        <v>11691</v>
      </c>
      <c r="C5735" s="9" t="s">
        <v>299</v>
      </c>
      <c r="D5735" s="9" t="s">
        <v>84</v>
      </c>
      <c r="E5735" s="6" t="s">
        <v>6070</v>
      </c>
      <c r="F5735" s="9" t="s">
        <v>13710</v>
      </c>
    </row>
    <row r="5736" ht="33.75" customHeight="1">
      <c r="A5736" s="7">
        <v>200.0</v>
      </c>
      <c r="B5736" s="9" t="s">
        <v>11691</v>
      </c>
      <c r="C5736" s="9" t="s">
        <v>299</v>
      </c>
      <c r="D5736" s="9" t="s">
        <v>87</v>
      </c>
      <c r="E5736" s="6" t="s">
        <v>6071</v>
      </c>
      <c r="F5736" s="9" t="s">
        <v>13710</v>
      </c>
    </row>
    <row r="5737" ht="33.75" customHeight="1">
      <c r="A5737" s="7">
        <v>200.0</v>
      </c>
      <c r="B5737" s="9" t="s">
        <v>11691</v>
      </c>
      <c r="C5737" s="9" t="s">
        <v>299</v>
      </c>
      <c r="D5737" s="9" t="s">
        <v>89</v>
      </c>
      <c r="E5737" s="6" t="s">
        <v>6072</v>
      </c>
      <c r="F5737" s="9" t="s">
        <v>13710</v>
      </c>
    </row>
    <row r="5738" ht="33.75" customHeight="1">
      <c r="A5738" s="7">
        <v>200.0</v>
      </c>
      <c r="B5738" s="9" t="s">
        <v>11691</v>
      </c>
      <c r="C5738" s="9" t="s">
        <v>299</v>
      </c>
      <c r="D5738" s="9" t="s">
        <v>91</v>
      </c>
      <c r="E5738" s="6" t="s">
        <v>6068</v>
      </c>
      <c r="F5738" s="9" t="s">
        <v>13710</v>
      </c>
    </row>
    <row r="5739" ht="33.75" customHeight="1">
      <c r="A5739" s="7">
        <v>200.0</v>
      </c>
      <c r="B5739" s="9" t="s">
        <v>11691</v>
      </c>
      <c r="C5739" s="9" t="s">
        <v>299</v>
      </c>
      <c r="D5739" s="9" t="s">
        <v>93</v>
      </c>
      <c r="E5739" s="6" t="s">
        <v>6071</v>
      </c>
      <c r="F5739" s="9" t="s">
        <v>13710</v>
      </c>
    </row>
    <row r="5740" ht="33.75" customHeight="1">
      <c r="A5740" s="7">
        <v>200.0</v>
      </c>
      <c r="B5740" s="9" t="s">
        <v>11691</v>
      </c>
      <c r="C5740" s="9" t="s">
        <v>299</v>
      </c>
      <c r="D5740" s="9" t="s">
        <v>95</v>
      </c>
      <c r="E5740" s="6" t="s">
        <v>6071</v>
      </c>
      <c r="F5740" s="9" t="s">
        <v>13710</v>
      </c>
    </row>
    <row r="5741" ht="33.75" customHeight="1">
      <c r="A5741" s="7">
        <v>200.0</v>
      </c>
      <c r="B5741" s="9" t="s">
        <v>11691</v>
      </c>
      <c r="C5741" s="9" t="s">
        <v>299</v>
      </c>
      <c r="D5741" s="9" t="s">
        <v>98</v>
      </c>
      <c r="E5741" s="6" t="s">
        <v>6071</v>
      </c>
      <c r="F5741" s="9" t="s">
        <v>13710</v>
      </c>
    </row>
    <row r="5742" ht="33.75" customHeight="1">
      <c r="A5742" s="7">
        <v>200.0</v>
      </c>
      <c r="B5742" s="9" t="s">
        <v>11691</v>
      </c>
      <c r="C5742" s="9" t="s">
        <v>299</v>
      </c>
      <c r="D5742" s="9" t="s">
        <v>99</v>
      </c>
      <c r="E5742" s="6" t="s">
        <v>6071</v>
      </c>
      <c r="F5742" s="9" t="s">
        <v>13710</v>
      </c>
    </row>
    <row r="5743" ht="33.75" customHeight="1">
      <c r="A5743" s="7">
        <v>200.0</v>
      </c>
      <c r="B5743" s="9" t="s">
        <v>11691</v>
      </c>
      <c r="C5743" s="9" t="s">
        <v>299</v>
      </c>
      <c r="D5743" s="9" t="s">
        <v>101</v>
      </c>
      <c r="E5743" s="6" t="s">
        <v>6070</v>
      </c>
      <c r="F5743" s="9" t="s">
        <v>13710</v>
      </c>
    </row>
    <row r="5744" ht="33.75" customHeight="1">
      <c r="A5744" s="7">
        <v>200.0</v>
      </c>
      <c r="B5744" s="9" t="s">
        <v>11691</v>
      </c>
      <c r="C5744" s="9" t="s">
        <v>299</v>
      </c>
      <c r="D5744" s="9" t="s">
        <v>105</v>
      </c>
      <c r="E5744" s="6" t="s">
        <v>6072</v>
      </c>
      <c r="F5744" s="9" t="s">
        <v>13710</v>
      </c>
    </row>
    <row r="5745" ht="33.75" customHeight="1">
      <c r="A5745" s="7">
        <v>200.0</v>
      </c>
      <c r="B5745" s="9" t="s">
        <v>11691</v>
      </c>
      <c r="C5745" s="9" t="s">
        <v>299</v>
      </c>
      <c r="D5745" s="9" t="s">
        <v>107</v>
      </c>
      <c r="E5745" s="6" t="s">
        <v>6074</v>
      </c>
      <c r="F5745" s="9" t="s">
        <v>13710</v>
      </c>
    </row>
    <row r="5746" ht="33.75" customHeight="1">
      <c r="A5746" s="7">
        <v>200.0</v>
      </c>
      <c r="B5746" s="9" t="s">
        <v>11691</v>
      </c>
      <c r="C5746" s="9" t="s">
        <v>299</v>
      </c>
      <c r="D5746" s="9" t="s">
        <v>109</v>
      </c>
      <c r="E5746" s="6" t="s">
        <v>6074</v>
      </c>
      <c r="F5746" s="9" t="s">
        <v>13710</v>
      </c>
    </row>
    <row r="5747" ht="33.75" customHeight="1">
      <c r="A5747" s="7">
        <v>200.0</v>
      </c>
      <c r="B5747" s="9" t="s">
        <v>11691</v>
      </c>
      <c r="C5747" s="9" t="s">
        <v>299</v>
      </c>
      <c r="D5747" s="9" t="s">
        <v>637</v>
      </c>
      <c r="E5747" s="6" t="s">
        <v>6075</v>
      </c>
      <c r="F5747" s="9" t="s">
        <v>13710</v>
      </c>
    </row>
    <row r="5748" ht="33.75" customHeight="1">
      <c r="A5748" s="7">
        <v>200.0</v>
      </c>
      <c r="B5748" s="9" t="s">
        <v>11691</v>
      </c>
      <c r="C5748" s="9" t="s">
        <v>299</v>
      </c>
      <c r="D5748" s="9" t="s">
        <v>642</v>
      </c>
      <c r="E5748" s="6" t="s">
        <v>6076</v>
      </c>
      <c r="F5748" s="9" t="s">
        <v>13710</v>
      </c>
    </row>
    <row r="5749" ht="33.75" customHeight="1">
      <c r="A5749" s="7">
        <v>200.0</v>
      </c>
      <c r="B5749" s="9" t="s">
        <v>11691</v>
      </c>
      <c r="C5749" s="9" t="s">
        <v>299</v>
      </c>
      <c r="D5749" s="9" t="s">
        <v>647</v>
      </c>
      <c r="E5749" s="6" t="s">
        <v>6078</v>
      </c>
      <c r="F5749" s="9" t="s">
        <v>13710</v>
      </c>
    </row>
    <row r="5750" ht="33.75" customHeight="1">
      <c r="A5750" s="7">
        <v>200.0</v>
      </c>
      <c r="B5750" s="9" t="s">
        <v>11691</v>
      </c>
      <c r="C5750" s="9" t="s">
        <v>299</v>
      </c>
      <c r="D5750" s="9" t="s">
        <v>652</v>
      </c>
      <c r="E5750" s="6" t="s">
        <v>6079</v>
      </c>
      <c r="F5750" s="9" t="s">
        <v>13710</v>
      </c>
    </row>
    <row r="5751" ht="33.75" customHeight="1">
      <c r="A5751" s="7">
        <v>200.0</v>
      </c>
      <c r="B5751" s="9" t="s">
        <v>11691</v>
      </c>
      <c r="C5751" s="9" t="s">
        <v>299</v>
      </c>
      <c r="D5751" s="9" t="s">
        <v>1577</v>
      </c>
      <c r="E5751" s="6" t="s">
        <v>6080</v>
      </c>
      <c r="F5751" s="9" t="s">
        <v>13710</v>
      </c>
    </row>
    <row r="5752" ht="33.75" customHeight="1">
      <c r="A5752" s="7">
        <v>201.0</v>
      </c>
      <c r="B5752" s="9" t="s">
        <v>11754</v>
      </c>
      <c r="C5752" s="9" t="s">
        <v>300</v>
      </c>
      <c r="D5752" s="9" t="s">
        <v>52</v>
      </c>
      <c r="E5752" s="6" t="s">
        <v>6082</v>
      </c>
      <c r="F5752" s="9" t="s">
        <v>13725</v>
      </c>
      <c r="G5752" t="inlineStr" s="6">
        <is>
          <t xml:space="preserve">Their shapes look like hieroglyphs on ancient tablets. It is said that the two are somehow related. Its flat, thin body is always stuck on walls. Its shape appears to have some meaning. Because different types of UNOWN exist, it is said that they must have a variety of abilities. This POKéMON is shaped like ancient writing. It is a mystery as to which came first, the ancient writings or the various UNOWN. Research into this topic is ongoing but nothing is known. This POKéMON is shaped like ancient text characters. Although research is ongoing, it is a mystery as to which came first, the ancient writings or the various UNOWN. Shaped like ancient writing, it is a huge mystery whether language or UNOWN came first. They seem to communicate among each other telepathically. They are always found stuck on walls. When alone, nothing happens. However, if there are two or more, an odd power is said to emerge. It is hard to believe these strangely shaped Pokémon are truly living creatures. I've pointed out that the species' many forms resemble writing from other lands; no one will take me seriously.</t>
        </is>
      </c>
    </row>
    <row r="5753" ht="33.75" customHeight="1">
      <c r="A5753" s="7">
        <v>201.0</v>
      </c>
      <c r="B5753" s="9" t="s">
        <v>11754</v>
      </c>
      <c r="C5753" s="9" t="s">
        <v>300</v>
      </c>
      <c r="D5753" s="9" t="s">
        <v>59</v>
      </c>
      <c r="E5753" s="6" t="s">
        <v>6083</v>
      </c>
      <c r="F5753" s="9" t="s">
        <v>13725</v>
      </c>
    </row>
    <row r="5754" ht="33.75" customHeight="1">
      <c r="A5754" s="7">
        <v>201.0</v>
      </c>
      <c r="B5754" s="9" t="s">
        <v>11754</v>
      </c>
      <c r="C5754" s="9" t="s">
        <v>300</v>
      </c>
      <c r="D5754" s="9" t="s">
        <v>64</v>
      </c>
      <c r="E5754" s="6" t="s">
        <v>6084</v>
      </c>
      <c r="F5754" s="9" t="s">
        <v>13725</v>
      </c>
    </row>
    <row r="5755" ht="33.75" customHeight="1">
      <c r="A5755" s="7">
        <v>201.0</v>
      </c>
      <c r="B5755" s="9" t="s">
        <v>11754</v>
      </c>
      <c r="C5755" s="9" t="s">
        <v>300</v>
      </c>
      <c r="D5755" s="9" t="s">
        <v>67</v>
      </c>
      <c r="E5755" s="6" t="s">
        <v>6086</v>
      </c>
      <c r="F5755" s="9" t="s">
        <v>13725</v>
      </c>
    </row>
    <row r="5756" ht="33.75" customHeight="1">
      <c r="A5756" s="7">
        <v>201.0</v>
      </c>
      <c r="B5756" s="9" t="s">
        <v>11754</v>
      </c>
      <c r="C5756" s="9" t="s">
        <v>300</v>
      </c>
      <c r="D5756" s="9" t="s">
        <v>71</v>
      </c>
      <c r="E5756" s="6" t="s">
        <v>6086</v>
      </c>
      <c r="F5756" s="9" t="s">
        <v>13725</v>
      </c>
    </row>
    <row r="5757" ht="33.75" customHeight="1">
      <c r="A5757" s="7">
        <v>201.0</v>
      </c>
      <c r="B5757" s="9" t="s">
        <v>11754</v>
      </c>
      <c r="C5757" s="9" t="s">
        <v>300</v>
      </c>
      <c r="D5757" s="9" t="s">
        <v>73</v>
      </c>
      <c r="E5757" s="6" t="s">
        <v>6087</v>
      </c>
      <c r="F5757" s="9" t="s">
        <v>13725</v>
      </c>
    </row>
    <row r="5758" ht="33.75" customHeight="1">
      <c r="A5758" s="7">
        <v>201.0</v>
      </c>
      <c r="B5758" s="9" t="s">
        <v>11754</v>
      </c>
      <c r="C5758" s="9" t="s">
        <v>300</v>
      </c>
      <c r="D5758" s="9" t="s">
        <v>75</v>
      </c>
      <c r="E5758" s="6" t="s">
        <v>6089</v>
      </c>
      <c r="F5758" s="9" t="s">
        <v>13725</v>
      </c>
    </row>
    <row r="5759" ht="33.75" customHeight="1">
      <c r="A5759" s="7">
        <v>201.0</v>
      </c>
      <c r="B5759" s="9" t="s">
        <v>11754</v>
      </c>
      <c r="C5759" s="9" t="s">
        <v>300</v>
      </c>
      <c r="D5759" s="9" t="s">
        <v>79</v>
      </c>
      <c r="E5759" s="6" t="s">
        <v>6090</v>
      </c>
      <c r="F5759" s="9" t="s">
        <v>13725</v>
      </c>
    </row>
    <row r="5760" ht="33.75" customHeight="1">
      <c r="A5760" s="7">
        <v>201.0</v>
      </c>
      <c r="B5760" s="9" t="s">
        <v>11754</v>
      </c>
      <c r="C5760" s="9" t="s">
        <v>300</v>
      </c>
      <c r="D5760" s="9" t="s">
        <v>81</v>
      </c>
      <c r="E5760" s="6" t="s">
        <v>6091</v>
      </c>
      <c r="F5760" s="9" t="s">
        <v>13725</v>
      </c>
    </row>
    <row r="5761" ht="33.75" customHeight="1">
      <c r="A5761" s="7">
        <v>201.0</v>
      </c>
      <c r="B5761" s="9" t="s">
        <v>11754</v>
      </c>
      <c r="C5761" s="9" t="s">
        <v>300</v>
      </c>
      <c r="D5761" s="9" t="s">
        <v>84</v>
      </c>
      <c r="E5761" s="6" t="s">
        <v>6093</v>
      </c>
      <c r="F5761" s="9" t="s">
        <v>13725</v>
      </c>
    </row>
    <row r="5762" ht="33.75" customHeight="1">
      <c r="A5762" s="7">
        <v>201.0</v>
      </c>
      <c r="B5762" s="9" t="s">
        <v>11754</v>
      </c>
      <c r="C5762" s="9" t="s">
        <v>300</v>
      </c>
      <c r="D5762" s="9" t="s">
        <v>87</v>
      </c>
      <c r="E5762" s="6" t="s">
        <v>6094</v>
      </c>
      <c r="F5762" s="9" t="s">
        <v>13725</v>
      </c>
    </row>
    <row r="5763" ht="33.75" customHeight="1">
      <c r="A5763" s="7">
        <v>201.0</v>
      </c>
      <c r="B5763" s="9" t="s">
        <v>11754</v>
      </c>
      <c r="C5763" s="9" t="s">
        <v>300</v>
      </c>
      <c r="D5763" s="9" t="s">
        <v>89</v>
      </c>
      <c r="E5763" s="6" t="s">
        <v>6090</v>
      </c>
      <c r="F5763" s="9" t="s">
        <v>13725</v>
      </c>
    </row>
    <row r="5764" ht="33.75" customHeight="1">
      <c r="A5764" s="7">
        <v>201.0</v>
      </c>
      <c r="B5764" s="9" t="s">
        <v>11754</v>
      </c>
      <c r="C5764" s="9" t="s">
        <v>300</v>
      </c>
      <c r="D5764" s="9" t="s">
        <v>91</v>
      </c>
      <c r="E5764" s="6" t="s">
        <v>6089</v>
      </c>
      <c r="F5764" s="9" t="s">
        <v>13725</v>
      </c>
    </row>
    <row r="5765" ht="33.75" customHeight="1">
      <c r="A5765" s="7">
        <v>201.0</v>
      </c>
      <c r="B5765" s="9" t="s">
        <v>11754</v>
      </c>
      <c r="C5765" s="9" t="s">
        <v>300</v>
      </c>
      <c r="D5765" s="9" t="s">
        <v>93</v>
      </c>
      <c r="E5765" s="6" t="s">
        <v>6094</v>
      </c>
      <c r="F5765" s="9" t="s">
        <v>13725</v>
      </c>
    </row>
    <row r="5766" ht="33.75" customHeight="1">
      <c r="A5766" s="7">
        <v>201.0</v>
      </c>
      <c r="B5766" s="9" t="s">
        <v>11754</v>
      </c>
      <c r="C5766" s="9" t="s">
        <v>300</v>
      </c>
      <c r="D5766" s="9" t="s">
        <v>95</v>
      </c>
      <c r="E5766" s="6" t="s">
        <v>6094</v>
      </c>
      <c r="F5766" s="9" t="s">
        <v>13725</v>
      </c>
    </row>
    <row r="5767" ht="33.75" customHeight="1">
      <c r="A5767" s="7">
        <v>201.0</v>
      </c>
      <c r="B5767" s="9" t="s">
        <v>11754</v>
      </c>
      <c r="C5767" s="9" t="s">
        <v>300</v>
      </c>
      <c r="D5767" s="9" t="s">
        <v>98</v>
      </c>
      <c r="E5767" s="6" t="s">
        <v>6094</v>
      </c>
      <c r="F5767" s="9" t="s">
        <v>13725</v>
      </c>
    </row>
    <row r="5768" ht="33.75" customHeight="1">
      <c r="A5768" s="7">
        <v>201.0</v>
      </c>
      <c r="B5768" s="9" t="s">
        <v>11754</v>
      </c>
      <c r="C5768" s="9" t="s">
        <v>300</v>
      </c>
      <c r="D5768" s="9" t="s">
        <v>99</v>
      </c>
      <c r="E5768" s="6" t="s">
        <v>6094</v>
      </c>
      <c r="F5768" s="9" t="s">
        <v>13725</v>
      </c>
    </row>
    <row r="5769" ht="33.75" customHeight="1">
      <c r="A5769" s="7">
        <v>201.0</v>
      </c>
      <c r="B5769" s="9" t="s">
        <v>11754</v>
      </c>
      <c r="C5769" s="9" t="s">
        <v>300</v>
      </c>
      <c r="D5769" s="9" t="s">
        <v>101</v>
      </c>
      <c r="E5769" s="6" t="s">
        <v>6089</v>
      </c>
      <c r="F5769" s="9" t="s">
        <v>13725</v>
      </c>
    </row>
    <row r="5770" ht="33.75" customHeight="1">
      <c r="A5770" s="7">
        <v>201.0</v>
      </c>
      <c r="B5770" s="9" t="s">
        <v>11754</v>
      </c>
      <c r="C5770" s="9" t="s">
        <v>300</v>
      </c>
      <c r="D5770" s="9" t="s">
        <v>105</v>
      </c>
      <c r="E5770" s="6" t="s">
        <v>6095</v>
      </c>
      <c r="F5770" s="9" t="s">
        <v>13725</v>
      </c>
    </row>
    <row r="5771" ht="33.75" customHeight="1">
      <c r="A5771" s="7">
        <v>201.0</v>
      </c>
      <c r="B5771" s="9" t="s">
        <v>11754</v>
      </c>
      <c r="C5771" s="9" t="s">
        <v>300</v>
      </c>
      <c r="D5771" s="9" t="s">
        <v>107</v>
      </c>
      <c r="E5771" s="6" t="s">
        <v>6096</v>
      </c>
      <c r="F5771" s="9" t="s">
        <v>13725</v>
      </c>
    </row>
    <row r="5772" ht="33.75" customHeight="1">
      <c r="A5772" s="7">
        <v>201.0</v>
      </c>
      <c r="B5772" s="9" t="s">
        <v>11754</v>
      </c>
      <c r="C5772" s="9" t="s">
        <v>300</v>
      </c>
      <c r="D5772" s="9" t="s">
        <v>109</v>
      </c>
      <c r="E5772" s="6" t="s">
        <v>6096</v>
      </c>
      <c r="F5772" s="9" t="s">
        <v>13725</v>
      </c>
    </row>
    <row r="5773" ht="33.75" customHeight="1">
      <c r="A5773" s="7">
        <v>201.0</v>
      </c>
      <c r="B5773" s="9" t="s">
        <v>11754</v>
      </c>
      <c r="C5773" s="9" t="s">
        <v>300</v>
      </c>
      <c r="D5773" s="9" t="s">
        <v>1577</v>
      </c>
      <c r="E5773" s="6" t="s">
        <v>6097</v>
      </c>
      <c r="F5773" s="9" t="s">
        <v>13725</v>
      </c>
    </row>
    <row r="5774" ht="33.75" customHeight="1">
      <c r="A5774" s="7">
        <v>202.0</v>
      </c>
      <c r="B5774" s="9" t="s">
        <v>11805</v>
      </c>
      <c r="C5774" s="9" t="s">
        <v>302</v>
      </c>
      <c r="D5774" s="9" t="s">
        <v>52</v>
      </c>
      <c r="E5774" s="6" t="s">
        <v>6098</v>
      </c>
      <c r="F5774" s="9" t="s">
        <v>13733</v>
      </c>
      <c r="G5774" t="inlineStr" s="6">
        <is>
          <t xml:space="preserve">It hates light and shock. If attacked, it inflates its body to pump up its counter strike. To keep its pitch- black tail hidden, it lives quietly in the darkness. It is never first to attack. In order to conceal its black tail, it lives in a dark cave and only moves about at night. If two or more WOBBUFFET meet, they will turn competitive and try to outdo each other’s endurance. However, they may try to see which one can endure the longest without food. TRAINERS need to beware of this habit. WOBBUFFET does nothing but endure attacks - it won’t attack on its own. However, it won’t endure an attack on its tail. When that happens, the POKéMON will try to take the foe with it using DESTINY BOND. Usually docile, a WOBBUFFET strikes back ferociously if its black tail is attacked. It makes its lair in caves where it waits for nightfall. To keep its pitch-black tail hidden, it lives quietly in the darkness. If attacked, it inflates its body to pump up its counterstrike. It desperately tries to keep its black tail hidden. It is said to be proof the tail hides a secret. If attacked, it inflates its body to build up its counterstrike. Wobbuffet does nothing but endure attacks—it won’t attack on its own.</t>
        </is>
      </c>
    </row>
    <row r="5775" ht="33.75" customHeight="1">
      <c r="A5775" s="7">
        <v>202.0</v>
      </c>
      <c r="B5775" s="9" t="s">
        <v>11805</v>
      </c>
      <c r="C5775" s="9" t="s">
        <v>302</v>
      </c>
      <c r="D5775" s="9" t="s">
        <v>59</v>
      </c>
      <c r="E5775" s="6" t="s">
        <v>6100</v>
      </c>
      <c r="F5775" s="9" t="s">
        <v>13733</v>
      </c>
    </row>
    <row r="5776" ht="33.75" customHeight="1">
      <c r="A5776" s="7">
        <v>202.0</v>
      </c>
      <c r="B5776" s="9" t="s">
        <v>11805</v>
      </c>
      <c r="C5776" s="9" t="s">
        <v>302</v>
      </c>
      <c r="D5776" s="9" t="s">
        <v>64</v>
      </c>
      <c r="E5776" s="6" t="s">
        <v>6101</v>
      </c>
      <c r="F5776" s="9" t="s">
        <v>13733</v>
      </c>
    </row>
    <row r="5777" ht="33.75" customHeight="1">
      <c r="A5777" s="7">
        <v>202.0</v>
      </c>
      <c r="B5777" s="9" t="s">
        <v>11805</v>
      </c>
      <c r="C5777" s="9" t="s">
        <v>302</v>
      </c>
      <c r="D5777" s="9" t="s">
        <v>67</v>
      </c>
      <c r="E5777" s="6" t="s">
        <v>6103</v>
      </c>
      <c r="F5777" s="9" t="s">
        <v>13733</v>
      </c>
    </row>
    <row r="5778" ht="33.75" customHeight="1">
      <c r="A5778" s="7">
        <v>202.0</v>
      </c>
      <c r="B5778" s="9" t="s">
        <v>11805</v>
      </c>
      <c r="C5778" s="9" t="s">
        <v>302</v>
      </c>
      <c r="D5778" s="9" t="s">
        <v>71</v>
      </c>
      <c r="E5778" s="6" t="s">
        <v>6104</v>
      </c>
      <c r="F5778" s="9" t="s">
        <v>13733</v>
      </c>
    </row>
    <row r="5779" ht="33.75" customHeight="1">
      <c r="A5779" s="7">
        <v>202.0</v>
      </c>
      <c r="B5779" s="9" t="s">
        <v>11805</v>
      </c>
      <c r="C5779" s="9" t="s">
        <v>302</v>
      </c>
      <c r="D5779" s="9" t="s">
        <v>73</v>
      </c>
      <c r="E5779" s="6" t="s">
        <v>6105</v>
      </c>
      <c r="F5779" s="9" t="s">
        <v>13733</v>
      </c>
    </row>
    <row r="5780" ht="33.75" customHeight="1">
      <c r="A5780" s="7">
        <v>202.0</v>
      </c>
      <c r="B5780" s="9" t="s">
        <v>11805</v>
      </c>
      <c r="C5780" s="9" t="s">
        <v>302</v>
      </c>
      <c r="D5780" s="9" t="s">
        <v>75</v>
      </c>
      <c r="E5780" s="6" t="s">
        <v>6106</v>
      </c>
      <c r="F5780" s="9" t="s">
        <v>13733</v>
      </c>
    </row>
    <row r="5781" ht="33.75" customHeight="1">
      <c r="A5781" s="7">
        <v>202.0</v>
      </c>
      <c r="B5781" s="9" t="s">
        <v>11805</v>
      </c>
      <c r="C5781" s="9" t="s">
        <v>302</v>
      </c>
      <c r="D5781" s="9" t="s">
        <v>79</v>
      </c>
      <c r="E5781" s="6" t="s">
        <v>6108</v>
      </c>
      <c r="F5781" s="9" t="s">
        <v>13733</v>
      </c>
    </row>
    <row r="5782" ht="33.75" customHeight="1">
      <c r="A5782" s="7">
        <v>202.0</v>
      </c>
      <c r="B5782" s="9" t="s">
        <v>11805</v>
      </c>
      <c r="C5782" s="9" t="s">
        <v>302</v>
      </c>
      <c r="D5782" s="9" t="s">
        <v>81</v>
      </c>
      <c r="E5782" s="6" t="s">
        <v>6109</v>
      </c>
      <c r="F5782" s="9" t="s">
        <v>13733</v>
      </c>
    </row>
    <row r="5783" ht="33.75" customHeight="1">
      <c r="A5783" s="7">
        <v>202.0</v>
      </c>
      <c r="B5783" s="9" t="s">
        <v>11805</v>
      </c>
      <c r="C5783" s="9" t="s">
        <v>302</v>
      </c>
      <c r="D5783" s="9" t="s">
        <v>84</v>
      </c>
      <c r="E5783" s="6" t="s">
        <v>6109</v>
      </c>
      <c r="F5783" s="9" t="s">
        <v>13733</v>
      </c>
    </row>
    <row r="5784" ht="33.75" customHeight="1">
      <c r="A5784" s="7">
        <v>202.0</v>
      </c>
      <c r="B5784" s="9" t="s">
        <v>11805</v>
      </c>
      <c r="C5784" s="9" t="s">
        <v>302</v>
      </c>
      <c r="D5784" s="9" t="s">
        <v>87</v>
      </c>
      <c r="E5784" s="6" t="s">
        <v>6109</v>
      </c>
      <c r="F5784" s="9" t="s">
        <v>13733</v>
      </c>
    </row>
    <row r="5785" ht="33.75" customHeight="1">
      <c r="A5785" s="7">
        <v>202.0</v>
      </c>
      <c r="B5785" s="9" t="s">
        <v>11805</v>
      </c>
      <c r="C5785" s="9" t="s">
        <v>302</v>
      </c>
      <c r="D5785" s="9" t="s">
        <v>89</v>
      </c>
      <c r="E5785" s="6" t="s">
        <v>6111</v>
      </c>
      <c r="F5785" s="9" t="s">
        <v>13733</v>
      </c>
    </row>
    <row r="5786" ht="33.75" customHeight="1">
      <c r="A5786" s="7">
        <v>202.0</v>
      </c>
      <c r="B5786" s="9" t="s">
        <v>11805</v>
      </c>
      <c r="C5786" s="9" t="s">
        <v>302</v>
      </c>
      <c r="D5786" s="9" t="s">
        <v>91</v>
      </c>
      <c r="E5786" s="6" t="s">
        <v>6106</v>
      </c>
      <c r="F5786" s="9" t="s">
        <v>13733</v>
      </c>
    </row>
    <row r="5787" ht="33.75" customHeight="1">
      <c r="A5787" s="7">
        <v>202.0</v>
      </c>
      <c r="B5787" s="9" t="s">
        <v>11805</v>
      </c>
      <c r="C5787" s="9" t="s">
        <v>302</v>
      </c>
      <c r="D5787" s="9" t="s">
        <v>93</v>
      </c>
      <c r="E5787" s="6" t="s">
        <v>6109</v>
      </c>
      <c r="F5787" s="9" t="s">
        <v>13733</v>
      </c>
    </row>
    <row r="5788" ht="33.75" customHeight="1">
      <c r="A5788" s="7">
        <v>202.0</v>
      </c>
      <c r="B5788" s="9" t="s">
        <v>11805</v>
      </c>
      <c r="C5788" s="9" t="s">
        <v>302</v>
      </c>
      <c r="D5788" s="9" t="s">
        <v>95</v>
      </c>
      <c r="E5788" s="6" t="s">
        <v>6109</v>
      </c>
      <c r="F5788" s="9" t="s">
        <v>13733</v>
      </c>
    </row>
    <row r="5789" ht="33.75" customHeight="1">
      <c r="A5789" s="7">
        <v>202.0</v>
      </c>
      <c r="B5789" s="9" t="s">
        <v>11805</v>
      </c>
      <c r="C5789" s="9" t="s">
        <v>302</v>
      </c>
      <c r="D5789" s="9" t="s">
        <v>98</v>
      </c>
      <c r="E5789" s="6" t="s">
        <v>6109</v>
      </c>
      <c r="F5789" s="9" t="s">
        <v>13733</v>
      </c>
    </row>
    <row r="5790" ht="33.75" customHeight="1">
      <c r="A5790" s="7">
        <v>202.0</v>
      </c>
      <c r="B5790" s="9" t="s">
        <v>11805</v>
      </c>
      <c r="C5790" s="9" t="s">
        <v>302</v>
      </c>
      <c r="D5790" s="9" t="s">
        <v>99</v>
      </c>
      <c r="E5790" s="6" t="s">
        <v>6109</v>
      </c>
      <c r="F5790" s="9" t="s">
        <v>13733</v>
      </c>
    </row>
    <row r="5791" ht="33.75" customHeight="1">
      <c r="A5791" s="7">
        <v>202.0</v>
      </c>
      <c r="B5791" s="9" t="s">
        <v>11805</v>
      </c>
      <c r="C5791" s="9" t="s">
        <v>302</v>
      </c>
      <c r="D5791" s="9" t="s">
        <v>101</v>
      </c>
      <c r="E5791" s="6" t="s">
        <v>6111</v>
      </c>
      <c r="F5791" s="9" t="s">
        <v>13733</v>
      </c>
    </row>
    <row r="5792" ht="33.75" customHeight="1">
      <c r="A5792" s="7">
        <v>202.0</v>
      </c>
      <c r="B5792" s="9" t="s">
        <v>11805</v>
      </c>
      <c r="C5792" s="9" t="s">
        <v>302</v>
      </c>
      <c r="D5792" s="9" t="s">
        <v>105</v>
      </c>
      <c r="E5792" s="6" t="s">
        <v>6106</v>
      </c>
      <c r="F5792" s="9" t="s">
        <v>13733</v>
      </c>
    </row>
    <row r="5793" ht="33.75" customHeight="1">
      <c r="A5793" s="7">
        <v>202.0</v>
      </c>
      <c r="B5793" s="9" t="s">
        <v>11805</v>
      </c>
      <c r="C5793" s="9" t="s">
        <v>302</v>
      </c>
      <c r="D5793" s="9" t="s">
        <v>107</v>
      </c>
      <c r="E5793" s="6" t="s">
        <v>6112</v>
      </c>
      <c r="F5793" s="9" t="s">
        <v>13733</v>
      </c>
    </row>
    <row r="5794" ht="33.75" customHeight="1">
      <c r="A5794" s="7">
        <v>202.0</v>
      </c>
      <c r="B5794" s="9" t="s">
        <v>11805</v>
      </c>
      <c r="C5794" s="9" t="s">
        <v>302</v>
      </c>
      <c r="D5794" s="9" t="s">
        <v>109</v>
      </c>
      <c r="E5794" s="6" t="s">
        <v>6114</v>
      </c>
      <c r="F5794" s="9" t="s">
        <v>13733</v>
      </c>
    </row>
    <row r="5795" ht="33.75" customHeight="1">
      <c r="A5795" s="7">
        <v>202.0</v>
      </c>
      <c r="B5795" s="9" t="s">
        <v>11805</v>
      </c>
      <c r="C5795" s="9" t="s">
        <v>302</v>
      </c>
      <c r="D5795" s="9" t="s">
        <v>114</v>
      </c>
      <c r="E5795" s="6" t="s">
        <v>6108</v>
      </c>
      <c r="F5795" s="9" t="s">
        <v>13733</v>
      </c>
    </row>
    <row r="5796" ht="33.75" customHeight="1">
      <c r="A5796" s="7">
        <v>202.0</v>
      </c>
      <c r="B5796" s="9" t="s">
        <v>11805</v>
      </c>
      <c r="C5796" s="9" t="s">
        <v>302</v>
      </c>
      <c r="D5796" s="9" t="s">
        <v>117</v>
      </c>
      <c r="E5796" s="6" t="s">
        <v>6106</v>
      </c>
      <c r="F5796" s="9" t="s">
        <v>13733</v>
      </c>
    </row>
    <row r="5797" ht="33.75" customHeight="1">
      <c r="A5797" s="7">
        <v>203.0</v>
      </c>
      <c r="B5797" s="9" t="s">
        <v>11853</v>
      </c>
      <c r="C5797" s="9" t="s">
        <v>304</v>
      </c>
      <c r="D5797" s="9" t="s">
        <v>52</v>
      </c>
      <c r="E5797" s="6" t="s">
        <v>6116</v>
      </c>
      <c r="F5797" s="9" t="s">
        <v>13740</v>
      </c>
      <c r="G5797" t="inlineStr" s="6">
        <is>
          <t xml:space="preserve">Girafarig's tail has a small brain of its own. Beware! If you get close, it may react to your scent and bite. Its tail, which also contains a small brain, may bite on its own if it notices an alluring smell. When it is in danger, its tail uses some sort of mysterious powers to drive away the enemy. GIRAFARIG’s rear head also has a brain, but it is small. The rear head attacks in response to smells and sounds. Approaching this POKéMON from behind can cause the rear head to suddenly lash out and bite. GIRAFARIG’s rear head contains a tiny brain that is too small for thinking. However, the rear head doesn’t need to sleep, so it can keep watch over its surroundings 24 hours a day. A GIRAFARIG is an herbivore--it eats grass and tree shoots. While it is eating, its tail makes chewing and swallowing motions as if it were also eating. Its tail also has a small brain. It bites to repel any foe trying to sneak up on it from behind. While it sleeps, the head on its tail keeps watch. The tail doesn’t need to sleep. The head on its tail contains a small brain. It can instinctively fight even while facing backward. If you get close, it may react to your scent by biting.</t>
        </is>
      </c>
    </row>
    <row r="5798" ht="33.75" customHeight="1">
      <c r="A5798" s="7">
        <v>203.0</v>
      </c>
      <c r="B5798" s="9" t="s">
        <v>11853</v>
      </c>
      <c r="C5798" s="9" t="s">
        <v>304</v>
      </c>
      <c r="D5798" s="9" t="s">
        <v>59</v>
      </c>
      <c r="E5798" s="6" t="s">
        <v>6118</v>
      </c>
      <c r="F5798" s="9" t="s">
        <v>13740</v>
      </c>
    </row>
    <row r="5799" ht="33.75" customHeight="1">
      <c r="A5799" s="7">
        <v>203.0</v>
      </c>
      <c r="B5799" s="9" t="s">
        <v>11853</v>
      </c>
      <c r="C5799" s="9" t="s">
        <v>304</v>
      </c>
      <c r="D5799" s="9" t="s">
        <v>64</v>
      </c>
      <c r="E5799" s="6" t="s">
        <v>6119</v>
      </c>
      <c r="F5799" s="9" t="s">
        <v>13740</v>
      </c>
    </row>
    <row r="5800" ht="33.75" customHeight="1">
      <c r="A5800" s="7">
        <v>203.0</v>
      </c>
      <c r="B5800" s="9" t="s">
        <v>11853</v>
      </c>
      <c r="C5800" s="9" t="s">
        <v>304</v>
      </c>
      <c r="D5800" s="9" t="s">
        <v>67</v>
      </c>
      <c r="E5800" s="6" t="s">
        <v>6121</v>
      </c>
      <c r="F5800" s="9" t="s">
        <v>13740</v>
      </c>
    </row>
    <row r="5801" ht="33.75" customHeight="1">
      <c r="A5801" s="7">
        <v>203.0</v>
      </c>
      <c r="B5801" s="9" t="s">
        <v>11853</v>
      </c>
      <c r="C5801" s="9" t="s">
        <v>304</v>
      </c>
      <c r="D5801" s="9" t="s">
        <v>71</v>
      </c>
      <c r="E5801" s="6" t="s">
        <v>6122</v>
      </c>
      <c r="F5801" s="9" t="s">
        <v>13740</v>
      </c>
    </row>
    <row r="5802" ht="33.75" customHeight="1">
      <c r="A5802" s="7">
        <v>203.0</v>
      </c>
      <c r="B5802" s="9" t="s">
        <v>11853</v>
      </c>
      <c r="C5802" s="9" t="s">
        <v>304</v>
      </c>
      <c r="D5802" s="9" t="s">
        <v>73</v>
      </c>
      <c r="E5802" s="6" t="s">
        <v>6123</v>
      </c>
      <c r="F5802" s="9" t="s">
        <v>13740</v>
      </c>
    </row>
    <row r="5803" ht="33.75" customHeight="1">
      <c r="A5803" s="7">
        <v>203.0</v>
      </c>
      <c r="B5803" s="9" t="s">
        <v>11853</v>
      </c>
      <c r="C5803" s="9" t="s">
        <v>304</v>
      </c>
      <c r="D5803" s="9" t="s">
        <v>75</v>
      </c>
      <c r="E5803" s="6" t="s">
        <v>6118</v>
      </c>
      <c r="F5803" s="9" t="s">
        <v>13740</v>
      </c>
    </row>
    <row r="5804" ht="33.75" customHeight="1">
      <c r="A5804" s="7">
        <v>203.0</v>
      </c>
      <c r="B5804" s="9" t="s">
        <v>11853</v>
      </c>
      <c r="C5804" s="9" t="s">
        <v>304</v>
      </c>
      <c r="D5804" s="9" t="s">
        <v>79</v>
      </c>
      <c r="E5804" s="6" t="s">
        <v>6116</v>
      </c>
      <c r="F5804" s="9" t="s">
        <v>13740</v>
      </c>
    </row>
    <row r="5805" ht="33.75" customHeight="1">
      <c r="A5805" s="7">
        <v>203.0</v>
      </c>
      <c r="B5805" s="9" t="s">
        <v>11853</v>
      </c>
      <c r="C5805" s="9" t="s">
        <v>304</v>
      </c>
      <c r="D5805" s="9" t="s">
        <v>81</v>
      </c>
      <c r="E5805" s="6" t="s">
        <v>6124</v>
      </c>
      <c r="F5805" s="9" t="s">
        <v>13740</v>
      </c>
    </row>
    <row r="5806" ht="33.75" customHeight="1">
      <c r="A5806" s="7">
        <v>203.0</v>
      </c>
      <c r="B5806" s="9" t="s">
        <v>11853</v>
      </c>
      <c r="C5806" s="9" t="s">
        <v>304</v>
      </c>
      <c r="D5806" s="9" t="s">
        <v>84</v>
      </c>
      <c r="E5806" s="6" t="s">
        <v>6125</v>
      </c>
      <c r="F5806" s="9" t="s">
        <v>13740</v>
      </c>
    </row>
    <row r="5807" ht="33.75" customHeight="1">
      <c r="A5807" s="7">
        <v>203.0</v>
      </c>
      <c r="B5807" s="9" t="s">
        <v>11853</v>
      </c>
      <c r="C5807" s="9" t="s">
        <v>304</v>
      </c>
      <c r="D5807" s="9" t="s">
        <v>87</v>
      </c>
      <c r="E5807" s="6" t="s">
        <v>6127</v>
      </c>
      <c r="F5807" s="9" t="s">
        <v>13740</v>
      </c>
    </row>
    <row r="5808" ht="33.75" customHeight="1">
      <c r="A5808" s="7">
        <v>203.0</v>
      </c>
      <c r="B5808" s="9" t="s">
        <v>11853</v>
      </c>
      <c r="C5808" s="9" t="s">
        <v>304</v>
      </c>
      <c r="D5808" s="9" t="s">
        <v>89</v>
      </c>
      <c r="E5808" s="6" t="s">
        <v>6129</v>
      </c>
      <c r="F5808" s="9" t="s">
        <v>13740</v>
      </c>
    </row>
    <row r="5809" ht="33.75" customHeight="1">
      <c r="A5809" s="7">
        <v>203.0</v>
      </c>
      <c r="B5809" s="9" t="s">
        <v>11853</v>
      </c>
      <c r="C5809" s="9" t="s">
        <v>304</v>
      </c>
      <c r="D5809" s="9" t="s">
        <v>91</v>
      </c>
      <c r="E5809" s="6" t="s">
        <v>6118</v>
      </c>
      <c r="F5809" s="9" t="s">
        <v>13740</v>
      </c>
    </row>
    <row r="5810" ht="33.75" customHeight="1">
      <c r="A5810" s="7">
        <v>203.0</v>
      </c>
      <c r="B5810" s="9" t="s">
        <v>11853</v>
      </c>
      <c r="C5810" s="9" t="s">
        <v>304</v>
      </c>
      <c r="D5810" s="9" t="s">
        <v>93</v>
      </c>
      <c r="E5810" s="6" t="s">
        <v>6127</v>
      </c>
      <c r="F5810" s="9" t="s">
        <v>13740</v>
      </c>
    </row>
    <row r="5811" ht="33.75" customHeight="1">
      <c r="A5811" s="7">
        <v>203.0</v>
      </c>
      <c r="B5811" s="9" t="s">
        <v>11853</v>
      </c>
      <c r="C5811" s="9" t="s">
        <v>304</v>
      </c>
      <c r="D5811" s="9" t="s">
        <v>95</v>
      </c>
      <c r="E5811" s="6" t="s">
        <v>6127</v>
      </c>
      <c r="F5811" s="9" t="s">
        <v>13740</v>
      </c>
    </row>
    <row r="5812" ht="33.75" customHeight="1">
      <c r="A5812" s="7">
        <v>203.0</v>
      </c>
      <c r="B5812" s="9" t="s">
        <v>11853</v>
      </c>
      <c r="C5812" s="9" t="s">
        <v>304</v>
      </c>
      <c r="D5812" s="9" t="s">
        <v>98</v>
      </c>
      <c r="E5812" s="6" t="s">
        <v>6127</v>
      </c>
      <c r="F5812" s="9" t="s">
        <v>13740</v>
      </c>
    </row>
    <row r="5813" ht="33.75" customHeight="1">
      <c r="A5813" s="7">
        <v>203.0</v>
      </c>
      <c r="B5813" s="9" t="s">
        <v>11853</v>
      </c>
      <c r="C5813" s="9" t="s">
        <v>304</v>
      </c>
      <c r="D5813" s="9" t="s">
        <v>99</v>
      </c>
      <c r="E5813" s="6" t="s">
        <v>6127</v>
      </c>
      <c r="F5813" s="9" t="s">
        <v>13740</v>
      </c>
    </row>
    <row r="5814" ht="33.75" customHeight="1">
      <c r="A5814" s="7">
        <v>203.0</v>
      </c>
      <c r="B5814" s="9" t="s">
        <v>11853</v>
      </c>
      <c r="C5814" s="9" t="s">
        <v>304</v>
      </c>
      <c r="D5814" s="9" t="s">
        <v>101</v>
      </c>
      <c r="E5814" s="6" t="s">
        <v>6125</v>
      </c>
      <c r="F5814" s="9" t="s">
        <v>13740</v>
      </c>
    </row>
    <row r="5815" ht="33.75" customHeight="1">
      <c r="A5815" s="7">
        <v>203.0</v>
      </c>
      <c r="B5815" s="9" t="s">
        <v>11853</v>
      </c>
      <c r="C5815" s="9" t="s">
        <v>304</v>
      </c>
      <c r="D5815" s="9" t="s">
        <v>105</v>
      </c>
      <c r="E5815" s="6" t="s">
        <v>6129</v>
      </c>
      <c r="F5815" s="9" t="s">
        <v>13740</v>
      </c>
    </row>
    <row r="5816" ht="33.75" customHeight="1">
      <c r="A5816" s="7">
        <v>203.0</v>
      </c>
      <c r="B5816" s="9" t="s">
        <v>11853</v>
      </c>
      <c r="C5816" s="9" t="s">
        <v>304</v>
      </c>
      <c r="D5816" s="9" t="s">
        <v>107</v>
      </c>
      <c r="E5816" s="6" t="s">
        <v>6130</v>
      </c>
      <c r="F5816" s="9" t="s">
        <v>13740</v>
      </c>
    </row>
    <row r="5817" ht="33.75" customHeight="1">
      <c r="A5817" s="7">
        <v>203.0</v>
      </c>
      <c r="B5817" s="9" t="s">
        <v>11853</v>
      </c>
      <c r="C5817" s="9" t="s">
        <v>304</v>
      </c>
      <c r="D5817" s="9" t="s">
        <v>109</v>
      </c>
      <c r="E5817" s="6" t="s">
        <v>6131</v>
      </c>
      <c r="F5817" s="9" t="s">
        <v>13740</v>
      </c>
    </row>
    <row r="5818" ht="33.75" customHeight="1">
      <c r="A5818" s="7">
        <v>204.0</v>
      </c>
      <c r="B5818" s="9" t="s">
        <v>11900</v>
      </c>
      <c r="C5818" s="9" t="s">
        <v>308</v>
      </c>
      <c r="D5818" s="9" t="s">
        <v>52</v>
      </c>
      <c r="E5818" s="6" t="s">
        <v>6133</v>
      </c>
      <c r="F5818" s="9" t="s">
        <v>13751</v>
      </c>
      <c r="G5818" t="inlineStr" s="6">
        <is>
          <t xml:space="preserve">It likes to make Pineco's shell thicker by adding layers of tree bark. The additional weight doesn't bother it. It hangs and waits for flying insect prey to come near. It does not move about much on its own. It spits out a fluid that it uses to glue tree bark to its body. The fluid hardens when it touches air. PINECO hangs from a tree branch and patiently waits for prey to come along. If the POKéMON is disturbed while eating by someone shaking its tree, it drops down to the ground and explodes with no warning. A PINECO hangs from a tree branch and waits for prey. While eating, if it is disturbed by someone shaking its tree, it falls on the ground and suddenly explodes. It hangs and waits for flying-insect prey to come near. The extra weight doesn’t bother it. It looks just like a pinecone. Its shell protects it from bird Pokémon that peck it by mistake. Motionless, it hangs from trees, waiting for its bug Pokémon prey to come to it. Its favorite in Alola is Cutiefly. It sticks tree bark to itself with its saliva, making itself thicker and larger. Elderly Pineco are ridiculously huge.</t>
        </is>
      </c>
    </row>
    <row r="5819" ht="33.75" customHeight="1">
      <c r="A5819" s="7">
        <v>204.0</v>
      </c>
      <c r="B5819" s="9" t="s">
        <v>11900</v>
      </c>
      <c r="C5819" s="9" t="s">
        <v>308</v>
      </c>
      <c r="D5819" s="9" t="s">
        <v>59</v>
      </c>
      <c r="E5819" s="6" t="s">
        <v>6134</v>
      </c>
      <c r="F5819" s="9" t="s">
        <v>13751</v>
      </c>
    </row>
    <row r="5820" ht="33.75" customHeight="1">
      <c r="A5820" s="7">
        <v>204.0</v>
      </c>
      <c r="B5820" s="9" t="s">
        <v>11900</v>
      </c>
      <c r="C5820" s="9" t="s">
        <v>308</v>
      </c>
      <c r="D5820" s="9" t="s">
        <v>64</v>
      </c>
      <c r="E5820" s="6" t="s">
        <v>6135</v>
      </c>
      <c r="F5820" s="9" t="s">
        <v>13751</v>
      </c>
    </row>
    <row r="5821" ht="33.75" customHeight="1">
      <c r="A5821" s="7">
        <v>204.0</v>
      </c>
      <c r="B5821" s="9" t="s">
        <v>11900</v>
      </c>
      <c r="C5821" s="9" t="s">
        <v>308</v>
      </c>
      <c r="D5821" s="9" t="s">
        <v>67</v>
      </c>
      <c r="E5821" s="6" t="s">
        <v>6137</v>
      </c>
      <c r="F5821" s="9" t="s">
        <v>13751</v>
      </c>
    </row>
    <row r="5822" ht="33.75" customHeight="1">
      <c r="A5822" s="7">
        <v>204.0</v>
      </c>
      <c r="B5822" s="9" t="s">
        <v>11900</v>
      </c>
      <c r="C5822" s="9" t="s">
        <v>308</v>
      </c>
      <c r="D5822" s="9" t="s">
        <v>71</v>
      </c>
      <c r="E5822" s="6" t="s">
        <v>6137</v>
      </c>
      <c r="F5822" s="9" t="s">
        <v>13751</v>
      </c>
    </row>
    <row r="5823" ht="33.75" customHeight="1">
      <c r="A5823" s="7">
        <v>204.0</v>
      </c>
      <c r="B5823" s="9" t="s">
        <v>11900</v>
      </c>
      <c r="C5823" s="9" t="s">
        <v>308</v>
      </c>
      <c r="D5823" s="9" t="s">
        <v>73</v>
      </c>
      <c r="E5823" s="6" t="s">
        <v>6138</v>
      </c>
      <c r="F5823" s="9" t="s">
        <v>13751</v>
      </c>
    </row>
    <row r="5824" ht="33.75" customHeight="1">
      <c r="A5824" s="7">
        <v>204.0</v>
      </c>
      <c r="B5824" s="9" t="s">
        <v>11900</v>
      </c>
      <c r="C5824" s="9" t="s">
        <v>308</v>
      </c>
      <c r="D5824" s="9" t="s">
        <v>75</v>
      </c>
      <c r="E5824" s="6" t="s">
        <v>6139</v>
      </c>
      <c r="F5824" s="9" t="s">
        <v>13751</v>
      </c>
    </row>
    <row r="5825" ht="33.75" customHeight="1">
      <c r="A5825" s="7">
        <v>204.0</v>
      </c>
      <c r="B5825" s="9" t="s">
        <v>11900</v>
      </c>
      <c r="C5825" s="9" t="s">
        <v>308</v>
      </c>
      <c r="D5825" s="9" t="s">
        <v>79</v>
      </c>
      <c r="E5825" s="6" t="s">
        <v>6140</v>
      </c>
      <c r="F5825" s="9" t="s">
        <v>13751</v>
      </c>
    </row>
    <row r="5826" ht="33.75" customHeight="1">
      <c r="A5826" s="7">
        <v>204.0</v>
      </c>
      <c r="B5826" s="9" t="s">
        <v>11900</v>
      </c>
      <c r="C5826" s="9" t="s">
        <v>308</v>
      </c>
      <c r="D5826" s="9" t="s">
        <v>81</v>
      </c>
      <c r="E5826" s="6" t="s">
        <v>6141</v>
      </c>
      <c r="F5826" s="9" t="s">
        <v>13751</v>
      </c>
    </row>
    <row r="5827" ht="33.75" customHeight="1">
      <c r="A5827" s="7">
        <v>204.0</v>
      </c>
      <c r="B5827" s="9" t="s">
        <v>11900</v>
      </c>
      <c r="C5827" s="9" t="s">
        <v>308</v>
      </c>
      <c r="D5827" s="9" t="s">
        <v>84</v>
      </c>
      <c r="E5827" s="6" t="s">
        <v>6141</v>
      </c>
      <c r="F5827" s="9" t="s">
        <v>13751</v>
      </c>
    </row>
    <row r="5828" ht="33.75" customHeight="1">
      <c r="A5828" s="7">
        <v>204.0</v>
      </c>
      <c r="B5828" s="9" t="s">
        <v>11900</v>
      </c>
      <c r="C5828" s="9" t="s">
        <v>308</v>
      </c>
      <c r="D5828" s="9" t="s">
        <v>87</v>
      </c>
      <c r="E5828" s="6" t="s">
        <v>6141</v>
      </c>
      <c r="F5828" s="9" t="s">
        <v>13751</v>
      </c>
    </row>
    <row r="5829" ht="33.75" customHeight="1">
      <c r="A5829" s="7">
        <v>204.0</v>
      </c>
      <c r="B5829" s="9" t="s">
        <v>11900</v>
      </c>
      <c r="C5829" s="9" t="s">
        <v>308</v>
      </c>
      <c r="D5829" s="9" t="s">
        <v>89</v>
      </c>
      <c r="E5829" s="6" t="s">
        <v>6142</v>
      </c>
      <c r="F5829" s="9" t="s">
        <v>13751</v>
      </c>
    </row>
    <row r="5830" ht="33.75" customHeight="1">
      <c r="A5830" s="7">
        <v>204.0</v>
      </c>
      <c r="B5830" s="9" t="s">
        <v>11900</v>
      </c>
      <c r="C5830" s="9" t="s">
        <v>308</v>
      </c>
      <c r="D5830" s="9" t="s">
        <v>91</v>
      </c>
      <c r="E5830" s="6" t="s">
        <v>6134</v>
      </c>
      <c r="F5830" s="9" t="s">
        <v>13751</v>
      </c>
    </row>
    <row r="5831" ht="33.75" customHeight="1">
      <c r="A5831" s="7">
        <v>204.0</v>
      </c>
      <c r="B5831" s="9" t="s">
        <v>11900</v>
      </c>
      <c r="C5831" s="9" t="s">
        <v>308</v>
      </c>
      <c r="D5831" s="9" t="s">
        <v>93</v>
      </c>
      <c r="E5831" s="6" t="s">
        <v>6141</v>
      </c>
      <c r="F5831" s="9" t="s">
        <v>13751</v>
      </c>
    </row>
    <row r="5832" ht="33.75" customHeight="1">
      <c r="A5832" s="7">
        <v>204.0</v>
      </c>
      <c r="B5832" s="9" t="s">
        <v>11900</v>
      </c>
      <c r="C5832" s="9" t="s">
        <v>308</v>
      </c>
      <c r="D5832" s="9" t="s">
        <v>95</v>
      </c>
      <c r="E5832" s="6" t="s">
        <v>6141</v>
      </c>
      <c r="F5832" s="9" t="s">
        <v>13751</v>
      </c>
    </row>
    <row r="5833" ht="33.75" customHeight="1">
      <c r="A5833" s="7">
        <v>204.0</v>
      </c>
      <c r="B5833" s="9" t="s">
        <v>11900</v>
      </c>
      <c r="C5833" s="9" t="s">
        <v>308</v>
      </c>
      <c r="D5833" s="9" t="s">
        <v>98</v>
      </c>
      <c r="E5833" s="6" t="s">
        <v>6141</v>
      </c>
      <c r="F5833" s="9" t="s">
        <v>13751</v>
      </c>
    </row>
    <row r="5834" ht="33.75" customHeight="1">
      <c r="A5834" s="7">
        <v>204.0</v>
      </c>
      <c r="B5834" s="9" t="s">
        <v>11900</v>
      </c>
      <c r="C5834" s="9" t="s">
        <v>308</v>
      </c>
      <c r="D5834" s="9" t="s">
        <v>99</v>
      </c>
      <c r="E5834" s="6" t="s">
        <v>6141</v>
      </c>
      <c r="F5834" s="9" t="s">
        <v>13751</v>
      </c>
    </row>
    <row r="5835" ht="33.75" customHeight="1">
      <c r="A5835" s="7">
        <v>204.0</v>
      </c>
      <c r="B5835" s="9" t="s">
        <v>11900</v>
      </c>
      <c r="C5835" s="9" t="s">
        <v>308</v>
      </c>
      <c r="D5835" s="9" t="s">
        <v>101</v>
      </c>
      <c r="E5835" s="6" t="s">
        <v>6142</v>
      </c>
      <c r="F5835" s="9" t="s">
        <v>13751</v>
      </c>
    </row>
    <row r="5836" ht="33.75" customHeight="1">
      <c r="A5836" s="7">
        <v>204.0</v>
      </c>
      <c r="B5836" s="9" t="s">
        <v>11900</v>
      </c>
      <c r="C5836" s="9" t="s">
        <v>308</v>
      </c>
      <c r="D5836" s="9" t="s">
        <v>105</v>
      </c>
      <c r="E5836" s="6" t="s">
        <v>6141</v>
      </c>
      <c r="F5836" s="9" t="s">
        <v>13751</v>
      </c>
    </row>
    <row r="5837" ht="33.75" customHeight="1">
      <c r="A5837" s="7">
        <v>204.0</v>
      </c>
      <c r="B5837" s="9" t="s">
        <v>11900</v>
      </c>
      <c r="C5837" s="9" t="s">
        <v>308</v>
      </c>
      <c r="D5837" s="9" t="s">
        <v>107</v>
      </c>
      <c r="E5837" s="6" t="s">
        <v>6143</v>
      </c>
      <c r="F5837" s="9" t="s">
        <v>13751</v>
      </c>
    </row>
    <row r="5838" ht="33.75" customHeight="1">
      <c r="A5838" s="7">
        <v>204.0</v>
      </c>
      <c r="B5838" s="9" t="s">
        <v>11900</v>
      </c>
      <c r="C5838" s="9" t="s">
        <v>308</v>
      </c>
      <c r="D5838" s="9" t="s">
        <v>109</v>
      </c>
      <c r="E5838" s="6" t="s">
        <v>6143</v>
      </c>
      <c r="F5838" s="9" t="s">
        <v>13751</v>
      </c>
    </row>
    <row r="5839" ht="33.75" customHeight="1">
      <c r="A5839" s="7">
        <v>204.0</v>
      </c>
      <c r="B5839" s="9" t="s">
        <v>11900</v>
      </c>
      <c r="C5839" s="9" t="s">
        <v>308</v>
      </c>
      <c r="D5839" s="9" t="s">
        <v>647</v>
      </c>
      <c r="E5839" s="6" t="s">
        <v>6144</v>
      </c>
      <c r="F5839" s="9" t="s">
        <v>13751</v>
      </c>
    </row>
    <row r="5840" ht="33.75" customHeight="1">
      <c r="A5840" s="7">
        <v>204.0</v>
      </c>
      <c r="B5840" s="9" t="s">
        <v>11900</v>
      </c>
      <c r="C5840" s="9" t="s">
        <v>308</v>
      </c>
      <c r="D5840" s="9" t="s">
        <v>652</v>
      </c>
      <c r="E5840" s="6" t="s">
        <v>6145</v>
      </c>
      <c r="F5840" s="9" t="s">
        <v>13751</v>
      </c>
    </row>
    <row r="5841" ht="33.75" customHeight="1">
      <c r="A5841" s="7">
        <v>205.0</v>
      </c>
      <c r="B5841" s="9" t="s">
        <v>11959</v>
      </c>
      <c r="C5841" s="9" t="s">
        <v>308</v>
      </c>
      <c r="D5841" s="9" t="s">
        <v>52</v>
      </c>
      <c r="E5841" s="6" t="s">
        <v>6146</v>
      </c>
      <c r="F5841" s="9" t="s">
        <v>13762</v>
      </c>
      <c r="G5841" t="inlineStr" s="6">
        <is>
          <t xml:space="preserve">Forretress's entire body is shielded by a steel-hard shell. What lurks inside the armor is a total mystery. It remains immovably rooted to its tree. It scatters pieces of its hard shell to drive its enemies away. Usually found hanging on to a fat tree trunk. It shoots out bits of its shell when it sees action. FORRETRESS conceals itself inside its hardened steel shell. The shell is opened when the POKéMON is catching prey, but it does so at such a quick pace that the shell’s inside cannot be seen. It keeps itself inside its steel shell. The shell is opened when it is catching prey, but it is so quick that the shell’s inside cannot be seen. Its entire body is shielded by a steel- hard shell. It is encased in a steel shell. Its peering eyes are all that can be seen of its mysterious innards. What lurks inside this shell is a total mystery. When something approaches it, it fires off fragments of its steel shell in attack. This is not a conscious action but a conditioned reflex. In the moment that it gulps down its prey, the inside of its shell is exposed, but to this day, no one has ever seen that sight.</t>
        </is>
      </c>
    </row>
    <row r="5842" ht="33.75" customHeight="1">
      <c r="A5842" s="7">
        <v>205.0</v>
      </c>
      <c r="B5842" s="9" t="s">
        <v>11959</v>
      </c>
      <c r="C5842" s="9" t="s">
        <v>308</v>
      </c>
      <c r="D5842" s="9" t="s">
        <v>59</v>
      </c>
      <c r="E5842" s="6" t="s">
        <v>6147</v>
      </c>
      <c r="F5842" s="9" t="s">
        <v>13762</v>
      </c>
    </row>
    <row r="5843" ht="33.75" customHeight="1">
      <c r="A5843" s="7">
        <v>205.0</v>
      </c>
      <c r="B5843" s="9" t="s">
        <v>11959</v>
      </c>
      <c r="C5843" s="9" t="s">
        <v>308</v>
      </c>
      <c r="D5843" s="9" t="s">
        <v>64</v>
      </c>
      <c r="E5843" s="6" t="s">
        <v>6149</v>
      </c>
      <c r="F5843" s="9" t="s">
        <v>13762</v>
      </c>
    </row>
    <row r="5844" ht="33.75" customHeight="1">
      <c r="A5844" s="7">
        <v>205.0</v>
      </c>
      <c r="B5844" s="9" t="s">
        <v>11959</v>
      </c>
      <c r="C5844" s="9" t="s">
        <v>308</v>
      </c>
      <c r="D5844" s="9" t="s">
        <v>67</v>
      </c>
      <c r="E5844" s="6" t="s">
        <v>6150</v>
      </c>
      <c r="F5844" s="9" t="s">
        <v>13762</v>
      </c>
    </row>
    <row r="5845" ht="33.75" customHeight="1">
      <c r="A5845" s="7">
        <v>205.0</v>
      </c>
      <c r="B5845" s="9" t="s">
        <v>11959</v>
      </c>
      <c r="C5845" s="9" t="s">
        <v>308</v>
      </c>
      <c r="D5845" s="9" t="s">
        <v>71</v>
      </c>
      <c r="E5845" s="6" t="s">
        <v>6150</v>
      </c>
      <c r="F5845" s="9" t="s">
        <v>13762</v>
      </c>
    </row>
    <row r="5846" ht="33.75" customHeight="1">
      <c r="A5846" s="7">
        <v>205.0</v>
      </c>
      <c r="B5846" s="9" t="s">
        <v>11959</v>
      </c>
      <c r="C5846" s="9" t="s">
        <v>308</v>
      </c>
      <c r="D5846" s="9" t="s">
        <v>73</v>
      </c>
      <c r="E5846" s="6" t="s">
        <v>6151</v>
      </c>
      <c r="F5846" s="9" t="s">
        <v>13762</v>
      </c>
    </row>
    <row r="5847" ht="33.75" customHeight="1">
      <c r="A5847" s="7">
        <v>205.0</v>
      </c>
      <c r="B5847" s="9" t="s">
        <v>11959</v>
      </c>
      <c r="C5847" s="9" t="s">
        <v>308</v>
      </c>
      <c r="D5847" s="9" t="s">
        <v>75</v>
      </c>
      <c r="E5847" s="6" t="s">
        <v>6153</v>
      </c>
      <c r="F5847" s="9" t="s">
        <v>13762</v>
      </c>
    </row>
    <row r="5848" ht="33.75" customHeight="1">
      <c r="A5848" s="7">
        <v>205.0</v>
      </c>
      <c r="B5848" s="9" t="s">
        <v>11959</v>
      </c>
      <c r="C5848" s="9" t="s">
        <v>308</v>
      </c>
      <c r="D5848" s="9" t="s">
        <v>79</v>
      </c>
      <c r="E5848" s="6" t="s">
        <v>6154</v>
      </c>
      <c r="F5848" s="9" t="s">
        <v>13762</v>
      </c>
    </row>
    <row r="5849" ht="33.75" customHeight="1">
      <c r="A5849" s="7">
        <v>205.0</v>
      </c>
      <c r="B5849" s="9" t="s">
        <v>11959</v>
      </c>
      <c r="C5849" s="9" t="s">
        <v>308</v>
      </c>
      <c r="D5849" s="9" t="s">
        <v>81</v>
      </c>
      <c r="E5849" s="6" t="s">
        <v>6156</v>
      </c>
      <c r="F5849" s="9" t="s">
        <v>13762</v>
      </c>
    </row>
    <row r="5850" ht="33.75" customHeight="1">
      <c r="A5850" s="7">
        <v>205.0</v>
      </c>
      <c r="B5850" s="9" t="s">
        <v>11959</v>
      </c>
      <c r="C5850" s="9" t="s">
        <v>308</v>
      </c>
      <c r="D5850" s="9" t="s">
        <v>84</v>
      </c>
      <c r="E5850" s="6" t="s">
        <v>6156</v>
      </c>
      <c r="F5850" s="9" t="s">
        <v>13762</v>
      </c>
    </row>
    <row r="5851" ht="33.75" customHeight="1">
      <c r="A5851" s="7">
        <v>205.0</v>
      </c>
      <c r="B5851" s="9" t="s">
        <v>11959</v>
      </c>
      <c r="C5851" s="9" t="s">
        <v>308</v>
      </c>
      <c r="D5851" s="9" t="s">
        <v>87</v>
      </c>
      <c r="E5851" s="6" t="s">
        <v>6156</v>
      </c>
      <c r="F5851" s="9" t="s">
        <v>13762</v>
      </c>
    </row>
    <row r="5852" ht="33.75" customHeight="1">
      <c r="A5852" s="7">
        <v>205.0</v>
      </c>
      <c r="B5852" s="9" t="s">
        <v>11959</v>
      </c>
      <c r="C5852" s="9" t="s">
        <v>308</v>
      </c>
      <c r="D5852" s="9" t="s">
        <v>89</v>
      </c>
      <c r="E5852" s="6" t="s">
        <v>6158</v>
      </c>
      <c r="F5852" s="9" t="s">
        <v>13762</v>
      </c>
    </row>
    <row r="5853" ht="33.75" customHeight="1">
      <c r="A5853" s="7">
        <v>205.0</v>
      </c>
      <c r="B5853" s="9" t="s">
        <v>11959</v>
      </c>
      <c r="C5853" s="9" t="s">
        <v>308</v>
      </c>
      <c r="D5853" s="9" t="s">
        <v>91</v>
      </c>
      <c r="E5853" s="6" t="s">
        <v>6153</v>
      </c>
      <c r="F5853" s="9" t="s">
        <v>13762</v>
      </c>
    </row>
    <row r="5854" ht="33.75" customHeight="1">
      <c r="A5854" s="7">
        <v>205.0</v>
      </c>
      <c r="B5854" s="9" t="s">
        <v>11959</v>
      </c>
      <c r="C5854" s="9" t="s">
        <v>308</v>
      </c>
      <c r="D5854" s="9" t="s">
        <v>93</v>
      </c>
      <c r="E5854" s="6" t="s">
        <v>6156</v>
      </c>
      <c r="F5854" s="9" t="s">
        <v>13762</v>
      </c>
    </row>
    <row r="5855" ht="33.75" customHeight="1">
      <c r="A5855" s="7">
        <v>205.0</v>
      </c>
      <c r="B5855" s="9" t="s">
        <v>11959</v>
      </c>
      <c r="C5855" s="9" t="s">
        <v>308</v>
      </c>
      <c r="D5855" s="9" t="s">
        <v>95</v>
      </c>
      <c r="E5855" s="6" t="s">
        <v>6156</v>
      </c>
      <c r="F5855" s="9" t="s">
        <v>13762</v>
      </c>
    </row>
    <row r="5856" ht="33.75" customHeight="1">
      <c r="A5856" s="7">
        <v>205.0</v>
      </c>
      <c r="B5856" s="9" t="s">
        <v>11959</v>
      </c>
      <c r="C5856" s="9" t="s">
        <v>308</v>
      </c>
      <c r="D5856" s="9" t="s">
        <v>98</v>
      </c>
      <c r="E5856" s="6" t="s">
        <v>6156</v>
      </c>
      <c r="F5856" s="9" t="s">
        <v>13762</v>
      </c>
    </row>
    <row r="5857" ht="33.75" customHeight="1">
      <c r="A5857" s="7">
        <v>205.0</v>
      </c>
      <c r="B5857" s="9" t="s">
        <v>11959</v>
      </c>
      <c r="C5857" s="9" t="s">
        <v>308</v>
      </c>
      <c r="D5857" s="9" t="s">
        <v>99</v>
      </c>
      <c r="E5857" s="6" t="s">
        <v>6156</v>
      </c>
      <c r="F5857" s="9" t="s">
        <v>13762</v>
      </c>
    </row>
    <row r="5858" ht="33.75" customHeight="1">
      <c r="A5858" s="7">
        <v>205.0</v>
      </c>
      <c r="B5858" s="9" t="s">
        <v>11959</v>
      </c>
      <c r="C5858" s="9" t="s">
        <v>308</v>
      </c>
      <c r="D5858" s="9" t="s">
        <v>101</v>
      </c>
      <c r="E5858" s="6" t="s">
        <v>6156</v>
      </c>
      <c r="F5858" s="9" t="s">
        <v>13762</v>
      </c>
    </row>
    <row r="5859" ht="33.75" customHeight="1">
      <c r="A5859" s="7">
        <v>205.0</v>
      </c>
      <c r="B5859" s="9" t="s">
        <v>11959</v>
      </c>
      <c r="C5859" s="9" t="s">
        <v>308</v>
      </c>
      <c r="D5859" s="9" t="s">
        <v>105</v>
      </c>
      <c r="E5859" s="6" t="s">
        <v>6153</v>
      </c>
      <c r="F5859" s="9" t="s">
        <v>13762</v>
      </c>
    </row>
    <row r="5860" ht="33.75" customHeight="1">
      <c r="A5860" s="7">
        <v>205.0</v>
      </c>
      <c r="B5860" s="9" t="s">
        <v>11959</v>
      </c>
      <c r="C5860" s="9" t="s">
        <v>308</v>
      </c>
      <c r="D5860" s="9" t="s">
        <v>107</v>
      </c>
      <c r="E5860" s="6" t="s">
        <v>6159</v>
      </c>
      <c r="F5860" s="9" t="s">
        <v>13762</v>
      </c>
    </row>
    <row r="5861" ht="33.75" customHeight="1">
      <c r="A5861" s="7">
        <v>205.0</v>
      </c>
      <c r="B5861" s="9" t="s">
        <v>11959</v>
      </c>
      <c r="C5861" s="9" t="s">
        <v>308</v>
      </c>
      <c r="D5861" s="9" t="s">
        <v>109</v>
      </c>
      <c r="E5861" s="6" t="s">
        <v>6159</v>
      </c>
      <c r="F5861" s="9" t="s">
        <v>13762</v>
      </c>
    </row>
    <row r="5862" ht="33.75" customHeight="1">
      <c r="A5862" s="7">
        <v>205.0</v>
      </c>
      <c r="B5862" s="9" t="s">
        <v>11959</v>
      </c>
      <c r="C5862" s="9" t="s">
        <v>308</v>
      </c>
      <c r="D5862" s="9" t="s">
        <v>647</v>
      </c>
      <c r="E5862" s="6" t="s">
        <v>6161</v>
      </c>
      <c r="F5862" s="9" t="s">
        <v>13762</v>
      </c>
    </row>
    <row r="5863" ht="33.75" customHeight="1">
      <c r="A5863" s="7">
        <v>205.0</v>
      </c>
      <c r="B5863" s="9" t="s">
        <v>11959</v>
      </c>
      <c r="C5863" s="9" t="s">
        <v>308</v>
      </c>
      <c r="D5863" s="9" t="s">
        <v>652</v>
      </c>
      <c r="E5863" s="6" t="s">
        <v>6162</v>
      </c>
      <c r="F5863" s="9" t="s">
        <v>13762</v>
      </c>
    </row>
    <row r="5864" ht="33.75" customHeight="1">
      <c r="A5864" s="7">
        <v>206.0</v>
      </c>
      <c r="B5864" s="9" t="s">
        <v>12009</v>
      </c>
      <c r="C5864" s="9" t="s">
        <v>310</v>
      </c>
      <c r="D5864" s="9" t="s">
        <v>52</v>
      </c>
      <c r="E5864" s="6" t="s">
        <v>6163</v>
      </c>
      <c r="F5864" s="9" t="s">
        <v>13773</v>
      </c>
      <c r="G5864" t="inlineStr" s="6">
        <is>
          <t xml:space="preserve">When spotted, this POKéMON escapes backward by furiously boring into the ground with Dunsparce's tail. If spotted, it escapes by burrowing with its tail. It can float just slightly using its wings. It hides deep inside caves where no light ever reaches it and remains virtually motionless there. DUNSPARCE has a drill for its tail. It uses this tail to burrow into the ground backwards. This POKéMON is known to make its nest in complex shapes deep under the ground. Its drill-tipped tail is used to burrow into the ground backwards. It can hover just slightly using its wings. It digs into the ground with its tail and makes a mazelike nest. It can fly just a little. It creates mazes in dark locations. When spotted, it flees into the ground by digging with its tail. It uses this tail to burrow into the ground backward. It travels by digging through the ground. Diglett and Dunsparce share one another’s tunnels happily. When it sees a person, it digs a hole with its tail to make its escape. If you happen to find one, consider yourself lucky. This Pokémon’s tiny wings have some scientists saying that Dunsparce used to fly through the sky in ancient times. The nests Dunsparce live in are mazes of tunnels. They never get lost in their own nests—they can tell where they are by the scent of the dirt.</t>
        </is>
      </c>
    </row>
    <row r="5865" ht="33.75" customHeight="1">
      <c r="A5865" s="7">
        <v>206.0</v>
      </c>
      <c r="B5865" s="9" t="s">
        <v>12009</v>
      </c>
      <c r="C5865" s="9" t="s">
        <v>310</v>
      </c>
      <c r="D5865" s="9" t="s">
        <v>59</v>
      </c>
      <c r="E5865" s="6" t="s">
        <v>6164</v>
      </c>
      <c r="F5865" s="9" t="s">
        <v>13773</v>
      </c>
    </row>
    <row r="5866" ht="33.75" customHeight="1">
      <c r="A5866" s="7">
        <v>206.0</v>
      </c>
      <c r="B5866" s="9" t="s">
        <v>12009</v>
      </c>
      <c r="C5866" s="9" t="s">
        <v>310</v>
      </c>
      <c r="D5866" s="9" t="s">
        <v>64</v>
      </c>
      <c r="E5866" s="6" t="s">
        <v>6165</v>
      </c>
      <c r="F5866" s="9" t="s">
        <v>13773</v>
      </c>
    </row>
    <row r="5867" ht="33.75" customHeight="1">
      <c r="A5867" s="7">
        <v>206.0</v>
      </c>
      <c r="B5867" s="9" t="s">
        <v>12009</v>
      </c>
      <c r="C5867" s="9" t="s">
        <v>310</v>
      </c>
      <c r="D5867" s="9" t="s">
        <v>67</v>
      </c>
      <c r="E5867" s="6" t="s">
        <v>6166</v>
      </c>
      <c r="F5867" s="9" t="s">
        <v>13773</v>
      </c>
    </row>
    <row r="5868" ht="33.75" customHeight="1">
      <c r="A5868" s="7">
        <v>206.0</v>
      </c>
      <c r="B5868" s="9" t="s">
        <v>12009</v>
      </c>
      <c r="C5868" s="9" t="s">
        <v>310</v>
      </c>
      <c r="D5868" s="9" t="s">
        <v>71</v>
      </c>
      <c r="E5868" s="6" t="s">
        <v>6166</v>
      </c>
      <c r="F5868" s="9" t="s">
        <v>13773</v>
      </c>
    </row>
    <row r="5869" ht="33.75" customHeight="1">
      <c r="A5869" s="7">
        <v>206.0</v>
      </c>
      <c r="B5869" s="9" t="s">
        <v>12009</v>
      </c>
      <c r="C5869" s="9" t="s">
        <v>310</v>
      </c>
      <c r="D5869" s="9" t="s">
        <v>73</v>
      </c>
      <c r="E5869" s="6" t="s">
        <v>6167</v>
      </c>
      <c r="F5869" s="9" t="s">
        <v>13773</v>
      </c>
    </row>
    <row r="5870" ht="33.75" customHeight="1">
      <c r="A5870" s="7">
        <v>206.0</v>
      </c>
      <c r="B5870" s="9" t="s">
        <v>12009</v>
      </c>
      <c r="C5870" s="9" t="s">
        <v>310</v>
      </c>
      <c r="D5870" s="9" t="s">
        <v>75</v>
      </c>
      <c r="E5870" s="6" t="s">
        <v>6170</v>
      </c>
      <c r="F5870" s="9" t="s">
        <v>13773</v>
      </c>
    </row>
    <row r="5871" ht="33.75" customHeight="1">
      <c r="A5871" s="7">
        <v>206.0</v>
      </c>
      <c r="B5871" s="9" t="s">
        <v>12009</v>
      </c>
      <c r="C5871" s="9" t="s">
        <v>310</v>
      </c>
      <c r="D5871" s="9" t="s">
        <v>79</v>
      </c>
      <c r="E5871" s="6" t="s">
        <v>6173</v>
      </c>
      <c r="F5871" s="9" t="s">
        <v>13773</v>
      </c>
    </row>
    <row r="5872" ht="33.75" customHeight="1">
      <c r="A5872" s="7">
        <v>206.0</v>
      </c>
      <c r="B5872" s="9" t="s">
        <v>12009</v>
      </c>
      <c r="C5872" s="9" t="s">
        <v>310</v>
      </c>
      <c r="D5872" s="9" t="s">
        <v>81</v>
      </c>
      <c r="E5872" s="6" t="s">
        <v>6174</v>
      </c>
      <c r="F5872" s="9" t="s">
        <v>13773</v>
      </c>
    </row>
    <row r="5873" ht="33.75" customHeight="1">
      <c r="A5873" s="7">
        <v>206.0</v>
      </c>
      <c r="B5873" s="9" t="s">
        <v>12009</v>
      </c>
      <c r="C5873" s="9" t="s">
        <v>310</v>
      </c>
      <c r="D5873" s="9" t="s">
        <v>84</v>
      </c>
      <c r="E5873" s="6" t="s">
        <v>6174</v>
      </c>
      <c r="F5873" s="9" t="s">
        <v>13773</v>
      </c>
    </row>
    <row r="5874" ht="33.75" customHeight="1">
      <c r="A5874" s="7">
        <v>206.0</v>
      </c>
      <c r="B5874" s="9" t="s">
        <v>12009</v>
      </c>
      <c r="C5874" s="9" t="s">
        <v>310</v>
      </c>
      <c r="D5874" s="9" t="s">
        <v>87</v>
      </c>
      <c r="E5874" s="6" t="s">
        <v>6174</v>
      </c>
      <c r="F5874" s="9" t="s">
        <v>13773</v>
      </c>
    </row>
    <row r="5875" ht="33.75" customHeight="1">
      <c r="A5875" s="7">
        <v>206.0</v>
      </c>
      <c r="B5875" s="9" t="s">
        <v>12009</v>
      </c>
      <c r="C5875" s="9" t="s">
        <v>310</v>
      </c>
      <c r="D5875" s="9" t="s">
        <v>89</v>
      </c>
      <c r="E5875" s="6" t="s">
        <v>6175</v>
      </c>
      <c r="F5875" s="9" t="s">
        <v>13773</v>
      </c>
    </row>
    <row r="5876" ht="33.75" customHeight="1">
      <c r="A5876" s="7">
        <v>206.0</v>
      </c>
      <c r="B5876" s="9" t="s">
        <v>12009</v>
      </c>
      <c r="C5876" s="9" t="s">
        <v>310</v>
      </c>
      <c r="D5876" s="9" t="s">
        <v>91</v>
      </c>
      <c r="E5876" s="6" t="s">
        <v>6176</v>
      </c>
      <c r="F5876" s="9" t="s">
        <v>13773</v>
      </c>
    </row>
    <row r="5877" ht="33.75" customHeight="1">
      <c r="A5877" s="7">
        <v>206.0</v>
      </c>
      <c r="B5877" s="9" t="s">
        <v>12009</v>
      </c>
      <c r="C5877" s="9" t="s">
        <v>310</v>
      </c>
      <c r="D5877" s="9" t="s">
        <v>93</v>
      </c>
      <c r="E5877" s="6" t="s">
        <v>6174</v>
      </c>
      <c r="F5877" s="9" t="s">
        <v>13773</v>
      </c>
    </row>
    <row r="5878" ht="33.75" customHeight="1">
      <c r="A5878" s="7">
        <v>206.0</v>
      </c>
      <c r="B5878" s="9" t="s">
        <v>12009</v>
      </c>
      <c r="C5878" s="9" t="s">
        <v>310</v>
      </c>
      <c r="D5878" s="9" t="s">
        <v>95</v>
      </c>
      <c r="E5878" s="6" t="s">
        <v>6174</v>
      </c>
      <c r="F5878" s="9" t="s">
        <v>13773</v>
      </c>
    </row>
    <row r="5879" ht="33.75" customHeight="1">
      <c r="A5879" s="7">
        <v>206.0</v>
      </c>
      <c r="B5879" s="9" t="s">
        <v>12009</v>
      </c>
      <c r="C5879" s="9" t="s">
        <v>310</v>
      </c>
      <c r="D5879" s="9" t="s">
        <v>98</v>
      </c>
      <c r="E5879" s="6" t="s">
        <v>6178</v>
      </c>
      <c r="F5879" s="9" t="s">
        <v>13773</v>
      </c>
    </row>
    <row r="5880" ht="33.75" customHeight="1">
      <c r="A5880" s="7">
        <v>206.0</v>
      </c>
      <c r="B5880" s="9" t="s">
        <v>12009</v>
      </c>
      <c r="C5880" s="9" t="s">
        <v>310</v>
      </c>
      <c r="D5880" s="9" t="s">
        <v>99</v>
      </c>
      <c r="E5880" s="6" t="s">
        <v>6178</v>
      </c>
      <c r="F5880" s="9" t="s">
        <v>13773</v>
      </c>
    </row>
    <row r="5881" ht="33.75" customHeight="1">
      <c r="A5881" s="7">
        <v>206.0</v>
      </c>
      <c r="B5881" s="9" t="s">
        <v>12009</v>
      </c>
      <c r="C5881" s="9" t="s">
        <v>310</v>
      </c>
      <c r="D5881" s="9" t="s">
        <v>101</v>
      </c>
      <c r="E5881" s="6" t="s">
        <v>6175</v>
      </c>
      <c r="F5881" s="9" t="s">
        <v>13773</v>
      </c>
    </row>
    <row r="5882" ht="33.75" customHeight="1">
      <c r="A5882" s="7">
        <v>206.0</v>
      </c>
      <c r="B5882" s="9" t="s">
        <v>12009</v>
      </c>
      <c r="C5882" s="9" t="s">
        <v>310</v>
      </c>
      <c r="D5882" s="9" t="s">
        <v>105</v>
      </c>
      <c r="E5882" s="6" t="s">
        <v>6174</v>
      </c>
      <c r="F5882" s="9" t="s">
        <v>13773</v>
      </c>
    </row>
    <row r="5883" ht="33.75" customHeight="1">
      <c r="A5883" s="7">
        <v>206.0</v>
      </c>
      <c r="B5883" s="9" t="s">
        <v>12009</v>
      </c>
      <c r="C5883" s="9" t="s">
        <v>310</v>
      </c>
      <c r="D5883" s="9" t="s">
        <v>107</v>
      </c>
      <c r="E5883" s="6" t="s">
        <v>6179</v>
      </c>
      <c r="F5883" s="9" t="s">
        <v>13773</v>
      </c>
    </row>
    <row r="5884" ht="33.75" customHeight="1">
      <c r="A5884" s="7">
        <v>206.0</v>
      </c>
      <c r="B5884" s="9" t="s">
        <v>12009</v>
      </c>
      <c r="C5884" s="9" t="s">
        <v>310</v>
      </c>
      <c r="D5884" s="9" t="s">
        <v>109</v>
      </c>
      <c r="E5884" s="6" t="s">
        <v>6179</v>
      </c>
      <c r="F5884" s="9" t="s">
        <v>13773</v>
      </c>
    </row>
    <row r="5885" ht="33.75" customHeight="1">
      <c r="A5885" s="7">
        <v>206.0</v>
      </c>
      <c r="B5885" s="9" t="s">
        <v>12009</v>
      </c>
      <c r="C5885" s="9" t="s">
        <v>310</v>
      </c>
      <c r="D5885" s="9" t="s">
        <v>647</v>
      </c>
      <c r="E5885" s="6" t="s">
        <v>6180</v>
      </c>
      <c r="F5885" s="9" t="s">
        <v>13773</v>
      </c>
    </row>
    <row r="5886" ht="33.75" customHeight="1">
      <c r="A5886" s="7">
        <v>206.0</v>
      </c>
      <c r="B5886" s="9" t="s">
        <v>12009</v>
      </c>
      <c r="C5886" s="9" t="s">
        <v>310</v>
      </c>
      <c r="D5886" s="9" t="s">
        <v>652</v>
      </c>
      <c r="E5886" s="6" t="s">
        <v>6182</v>
      </c>
      <c r="F5886" s="9" t="s">
        <v>13773</v>
      </c>
    </row>
    <row r="5887" ht="33.75" customHeight="1">
      <c r="A5887" s="7">
        <v>206.0</v>
      </c>
      <c r="B5887" s="9" t="s">
        <v>12009</v>
      </c>
      <c r="C5887" s="9" t="s">
        <v>310</v>
      </c>
      <c r="D5887" s="9" t="s">
        <v>114</v>
      </c>
      <c r="E5887" s="6" t="s">
        <v>6183</v>
      </c>
      <c r="F5887" s="9" t="s">
        <v>13773</v>
      </c>
    </row>
    <row r="5888" ht="33.75" customHeight="1">
      <c r="A5888" s="7">
        <v>206.0</v>
      </c>
      <c r="B5888" s="9" t="s">
        <v>12009</v>
      </c>
      <c r="C5888" s="9" t="s">
        <v>310</v>
      </c>
      <c r="D5888" s="9" t="s">
        <v>117</v>
      </c>
      <c r="E5888" s="6" t="s">
        <v>6184</v>
      </c>
      <c r="F5888" s="9" t="s">
        <v>13773</v>
      </c>
    </row>
    <row r="5889" ht="33.75" customHeight="1">
      <c r="A5889" s="7">
        <v>207.0</v>
      </c>
      <c r="B5889" s="9" t="s">
        <v>12079</v>
      </c>
      <c r="C5889" s="9" t="s">
        <v>311</v>
      </c>
      <c r="D5889" s="9" t="s">
        <v>52</v>
      </c>
      <c r="E5889" s="6" t="s">
        <v>6185</v>
      </c>
      <c r="F5889" s="9" t="s">
        <v>13784</v>
      </c>
      <c r="G5889" t="inlineStr" s="6">
        <is>
          <t xml:space="preserve">It flies straight at Gligar's target's face then clamps down on the startled victim to inject poison. It usually clings to cliffs. When it spots its prey, it spreads its wings and glides down to attack. It builds its nest on a steep cliff. When it is done gliding, it hops along the ground back to its nest. GLIGAR glides through the air without a sound as if it were sliding. This POKéMON hangs on to the face of its foe using its clawed hind legs and the large pincers on its forelegs, then injects the prey with its poison barb. It glides without making a single sound. It grasps the face of its foe using its hind and large front claws, then stabs with its poison barb. It flies straight at its target’s face, then clamps down on the startled victim to inject poison. It sails on the winds with its limbs extended to strike from the sky. It aims for the prey’s face. It glides as if sliding. It startles foes by clamping on to their faces, then jabs with its poison stinger. It clamps on to its chosen prey then jabs the stinger on its tail into the prey while it’s stunned with surprise. Its tail is tipped by a thick, horrible stinger. To bring down prey, it will first obscure their vision by covering their faces with its body, and then it will use the stinger to inject them with venom.</t>
        </is>
      </c>
    </row>
    <row r="5890" ht="33.75" customHeight="1">
      <c r="A5890" s="7">
        <v>207.0</v>
      </c>
      <c r="B5890" s="9" t="s">
        <v>12079</v>
      </c>
      <c r="C5890" s="9" t="s">
        <v>311</v>
      </c>
      <c r="D5890" s="9" t="s">
        <v>59</v>
      </c>
      <c r="E5890" s="6" t="s">
        <v>6186</v>
      </c>
      <c r="F5890" s="9" t="s">
        <v>13784</v>
      </c>
    </row>
    <row r="5891" ht="33.75" customHeight="1">
      <c r="A5891" s="7">
        <v>207.0</v>
      </c>
      <c r="B5891" s="9" t="s">
        <v>12079</v>
      </c>
      <c r="C5891" s="9" t="s">
        <v>311</v>
      </c>
      <c r="D5891" s="9" t="s">
        <v>64</v>
      </c>
      <c r="E5891" s="6" t="s">
        <v>6188</v>
      </c>
      <c r="F5891" s="9" t="s">
        <v>13784</v>
      </c>
    </row>
    <row r="5892" ht="33.75" customHeight="1">
      <c r="A5892" s="7">
        <v>207.0</v>
      </c>
      <c r="B5892" s="9" t="s">
        <v>12079</v>
      </c>
      <c r="C5892" s="9" t="s">
        <v>311</v>
      </c>
      <c r="D5892" s="9" t="s">
        <v>67</v>
      </c>
      <c r="E5892" s="6" t="s">
        <v>6189</v>
      </c>
      <c r="F5892" s="9" t="s">
        <v>13784</v>
      </c>
    </row>
    <row r="5893" ht="33.75" customHeight="1">
      <c r="A5893" s="7">
        <v>207.0</v>
      </c>
      <c r="B5893" s="9" t="s">
        <v>12079</v>
      </c>
      <c r="C5893" s="9" t="s">
        <v>311</v>
      </c>
      <c r="D5893" s="9" t="s">
        <v>71</v>
      </c>
      <c r="E5893" s="6" t="s">
        <v>6189</v>
      </c>
      <c r="F5893" s="9" t="s">
        <v>13784</v>
      </c>
    </row>
    <row r="5894" ht="33.75" customHeight="1">
      <c r="A5894" s="7">
        <v>207.0</v>
      </c>
      <c r="B5894" s="9" t="s">
        <v>12079</v>
      </c>
      <c r="C5894" s="9" t="s">
        <v>311</v>
      </c>
      <c r="D5894" s="9" t="s">
        <v>73</v>
      </c>
      <c r="E5894" s="6" t="s">
        <v>6191</v>
      </c>
      <c r="F5894" s="9" t="s">
        <v>13784</v>
      </c>
    </row>
    <row r="5895" ht="33.75" customHeight="1">
      <c r="A5895" s="7">
        <v>207.0</v>
      </c>
      <c r="B5895" s="9" t="s">
        <v>12079</v>
      </c>
      <c r="C5895" s="9" t="s">
        <v>311</v>
      </c>
      <c r="D5895" s="9" t="s">
        <v>75</v>
      </c>
      <c r="E5895" s="6" t="s">
        <v>6186</v>
      </c>
      <c r="F5895" s="9" t="s">
        <v>13784</v>
      </c>
    </row>
    <row r="5896" ht="33.75" customHeight="1">
      <c r="A5896" s="7">
        <v>207.0</v>
      </c>
      <c r="B5896" s="9" t="s">
        <v>12079</v>
      </c>
      <c r="C5896" s="9" t="s">
        <v>311</v>
      </c>
      <c r="D5896" s="9" t="s">
        <v>79</v>
      </c>
      <c r="E5896" s="6" t="s">
        <v>6193</v>
      </c>
      <c r="F5896" s="9" t="s">
        <v>13784</v>
      </c>
    </row>
    <row r="5897" ht="33.75" customHeight="1">
      <c r="A5897" s="7">
        <v>207.0</v>
      </c>
      <c r="B5897" s="9" t="s">
        <v>12079</v>
      </c>
      <c r="C5897" s="9" t="s">
        <v>311</v>
      </c>
      <c r="D5897" s="9" t="s">
        <v>81</v>
      </c>
      <c r="E5897" s="6" t="s">
        <v>6194</v>
      </c>
      <c r="F5897" s="9" t="s">
        <v>13784</v>
      </c>
    </row>
    <row r="5898" ht="33.75" customHeight="1">
      <c r="A5898" s="7">
        <v>207.0</v>
      </c>
      <c r="B5898" s="9" t="s">
        <v>12079</v>
      </c>
      <c r="C5898" s="9" t="s">
        <v>311</v>
      </c>
      <c r="D5898" s="9" t="s">
        <v>84</v>
      </c>
      <c r="E5898" s="6" t="s">
        <v>6194</v>
      </c>
      <c r="F5898" s="9" t="s">
        <v>13784</v>
      </c>
    </row>
    <row r="5899" ht="33.75" customHeight="1">
      <c r="A5899" s="7">
        <v>207.0</v>
      </c>
      <c r="B5899" s="9" t="s">
        <v>12079</v>
      </c>
      <c r="C5899" s="9" t="s">
        <v>311</v>
      </c>
      <c r="D5899" s="9" t="s">
        <v>87</v>
      </c>
      <c r="E5899" s="6" t="s">
        <v>6195</v>
      </c>
      <c r="F5899" s="9" t="s">
        <v>13784</v>
      </c>
    </row>
    <row r="5900" ht="33.75" customHeight="1">
      <c r="A5900" s="7">
        <v>207.0</v>
      </c>
      <c r="B5900" s="9" t="s">
        <v>12079</v>
      </c>
      <c r="C5900" s="9" t="s">
        <v>311</v>
      </c>
      <c r="D5900" s="9" t="s">
        <v>89</v>
      </c>
      <c r="E5900" s="6" t="s">
        <v>6193</v>
      </c>
      <c r="F5900" s="9" t="s">
        <v>13784</v>
      </c>
    </row>
    <row r="5901" ht="33.75" customHeight="1">
      <c r="A5901" s="7">
        <v>207.0</v>
      </c>
      <c r="B5901" s="9" t="s">
        <v>12079</v>
      </c>
      <c r="C5901" s="9" t="s">
        <v>311</v>
      </c>
      <c r="D5901" s="9" t="s">
        <v>91</v>
      </c>
      <c r="E5901" s="6" t="s">
        <v>6186</v>
      </c>
      <c r="F5901" s="9" t="s">
        <v>13784</v>
      </c>
    </row>
    <row r="5902" ht="33.75" customHeight="1">
      <c r="A5902" s="7">
        <v>207.0</v>
      </c>
      <c r="B5902" s="9" t="s">
        <v>12079</v>
      </c>
      <c r="C5902" s="9" t="s">
        <v>311</v>
      </c>
      <c r="D5902" s="9" t="s">
        <v>93</v>
      </c>
      <c r="E5902" s="6" t="s">
        <v>6195</v>
      </c>
      <c r="F5902" s="9" t="s">
        <v>13784</v>
      </c>
    </row>
    <row r="5903" ht="33.75" customHeight="1">
      <c r="A5903" s="7">
        <v>207.0</v>
      </c>
      <c r="B5903" s="9" t="s">
        <v>12079</v>
      </c>
      <c r="C5903" s="9" t="s">
        <v>311</v>
      </c>
      <c r="D5903" s="9" t="s">
        <v>95</v>
      </c>
      <c r="E5903" s="6" t="s">
        <v>6195</v>
      </c>
      <c r="F5903" s="9" t="s">
        <v>13784</v>
      </c>
    </row>
    <row r="5904" ht="33.75" customHeight="1">
      <c r="A5904" s="7">
        <v>207.0</v>
      </c>
      <c r="B5904" s="9" t="s">
        <v>12079</v>
      </c>
      <c r="C5904" s="9" t="s">
        <v>311</v>
      </c>
      <c r="D5904" s="9" t="s">
        <v>98</v>
      </c>
      <c r="E5904" s="6" t="s">
        <v>6197</v>
      </c>
      <c r="F5904" s="9" t="s">
        <v>13784</v>
      </c>
    </row>
    <row r="5905" ht="33.75" customHeight="1">
      <c r="A5905" s="7">
        <v>207.0</v>
      </c>
      <c r="B5905" s="9" t="s">
        <v>12079</v>
      </c>
      <c r="C5905" s="9" t="s">
        <v>311</v>
      </c>
      <c r="D5905" s="9" t="s">
        <v>99</v>
      </c>
      <c r="E5905" s="6" t="s">
        <v>6197</v>
      </c>
      <c r="F5905" s="9" t="s">
        <v>13784</v>
      </c>
    </row>
    <row r="5906" ht="33.75" customHeight="1">
      <c r="A5906" s="7">
        <v>207.0</v>
      </c>
      <c r="B5906" s="9" t="s">
        <v>12079</v>
      </c>
      <c r="C5906" s="9" t="s">
        <v>311</v>
      </c>
      <c r="D5906" s="9" t="s">
        <v>101</v>
      </c>
      <c r="E5906" s="6" t="s">
        <v>6186</v>
      </c>
      <c r="F5906" s="9" t="s">
        <v>13784</v>
      </c>
    </row>
    <row r="5907" ht="33.75" customHeight="1">
      <c r="A5907" s="7">
        <v>207.0</v>
      </c>
      <c r="B5907" s="9" t="s">
        <v>12079</v>
      </c>
      <c r="C5907" s="9" t="s">
        <v>311</v>
      </c>
      <c r="D5907" s="9" t="s">
        <v>105</v>
      </c>
      <c r="E5907" s="6" t="s">
        <v>6193</v>
      </c>
      <c r="F5907" s="9" t="s">
        <v>13784</v>
      </c>
    </row>
    <row r="5908" ht="33.75" customHeight="1">
      <c r="A5908" s="7">
        <v>207.0</v>
      </c>
      <c r="B5908" s="9" t="s">
        <v>12079</v>
      </c>
      <c r="C5908" s="9" t="s">
        <v>311</v>
      </c>
      <c r="D5908" s="9" t="s">
        <v>107</v>
      </c>
      <c r="E5908" s="6" t="s">
        <v>6199</v>
      </c>
      <c r="F5908" s="9" t="s">
        <v>13784</v>
      </c>
    </row>
    <row r="5909" ht="33.75" customHeight="1">
      <c r="A5909" s="7">
        <v>207.0</v>
      </c>
      <c r="B5909" s="9" t="s">
        <v>12079</v>
      </c>
      <c r="C5909" s="9" t="s">
        <v>311</v>
      </c>
      <c r="D5909" s="9" t="s">
        <v>109</v>
      </c>
      <c r="E5909" s="6" t="s">
        <v>6199</v>
      </c>
      <c r="F5909" s="9" t="s">
        <v>13784</v>
      </c>
    </row>
    <row r="5910" ht="33.75" customHeight="1">
      <c r="A5910" s="7">
        <v>207.0</v>
      </c>
      <c r="B5910" s="9" t="s">
        <v>12079</v>
      </c>
      <c r="C5910" s="9" t="s">
        <v>311</v>
      </c>
      <c r="D5910" s="9" t="s">
        <v>1577</v>
      </c>
      <c r="E5910" s="6" t="s">
        <v>6200</v>
      </c>
      <c r="F5910" s="9" t="s">
        <v>13784</v>
      </c>
    </row>
    <row r="5911" ht="33.75" customHeight="1">
      <c r="A5911" s="7">
        <v>208.0</v>
      </c>
      <c r="B5911" s="9" t="s">
        <v>12125</v>
      </c>
      <c r="C5911" s="9" t="s">
        <v>314</v>
      </c>
      <c r="D5911" s="9" t="s">
        <v>52</v>
      </c>
      <c r="E5911" s="6" t="s">
        <v>6201</v>
      </c>
      <c r="F5911" s="9" t="s">
        <v>13795</v>
      </c>
      <c r="G5911" t="inlineStr" s="6">
        <is>
          <t xml:space="preserve">Steelix's body has been compressed deep under the ground. As a result, it is even harder than a diamond. It is said that if an ONIX lives for over 100 years, its composition changes to become diamond-like. The many small metal particles that cover this POKéMON's body reflect bright light well. STEELIX lives even further underground than ONIX. This POKéMON is known to dig towards the earth’s core. There are records of this POKéMON reaching a depth of over six-tenths of a mile underground. STEELIX live even further underground than ONIX. This POKéMON is known to dig toward the earth’s core, reaching a depth of over six-tenths of a mile underground. As a result, it is even harder than diamond. Tempered underground under high pressure and heat, its body is harder than any metal. It chews its way through boulders with its sturdy jaws. Its eyes can see in the darkness underground. It is thought its body transformed as a result of iron accumulating internally from swallowing soil. It’s said that if an ONIX lives for 100 years, its composition becomes diamondlike as it evolves into a STEELIX. The iron it ingested with the soil it swallowed transformed its body and made it harder than diamonds. This Pokémon is known to dig toward the earth’s core. This Pokémon evolved through use of a strange item. Its body is coated with steel powder and notably hard—not even diamond can leave so much as a scratch.</t>
        </is>
      </c>
    </row>
    <row r="5912" ht="33.75" customHeight="1">
      <c r="A5912" s="7">
        <v>208.0</v>
      </c>
      <c r="B5912" s="9" t="s">
        <v>12125</v>
      </c>
      <c r="C5912" s="9" t="s">
        <v>314</v>
      </c>
      <c r="D5912" s="9" t="s">
        <v>59</v>
      </c>
      <c r="E5912" s="6" t="s">
        <v>6203</v>
      </c>
      <c r="F5912" s="9" t="s">
        <v>13795</v>
      </c>
    </row>
    <row r="5913" ht="33.75" customHeight="1">
      <c r="A5913" s="7">
        <v>208.0</v>
      </c>
      <c r="B5913" s="9" t="s">
        <v>12125</v>
      </c>
      <c r="C5913" s="9" t="s">
        <v>314</v>
      </c>
      <c r="D5913" s="9" t="s">
        <v>64</v>
      </c>
      <c r="E5913" s="6" t="s">
        <v>6204</v>
      </c>
      <c r="F5913" s="9" t="s">
        <v>13795</v>
      </c>
    </row>
    <row r="5914" ht="33.75" customHeight="1">
      <c r="A5914" s="7">
        <v>208.0</v>
      </c>
      <c r="B5914" s="9" t="s">
        <v>12125</v>
      </c>
      <c r="C5914" s="9" t="s">
        <v>314</v>
      </c>
      <c r="D5914" s="9" t="s">
        <v>67</v>
      </c>
      <c r="E5914" s="6" t="s">
        <v>6205</v>
      </c>
      <c r="F5914" s="9" t="s">
        <v>13795</v>
      </c>
    </row>
    <row r="5915" ht="33.75" customHeight="1">
      <c r="A5915" s="7">
        <v>208.0</v>
      </c>
      <c r="B5915" s="9" t="s">
        <v>12125</v>
      </c>
      <c r="C5915" s="9" t="s">
        <v>314</v>
      </c>
      <c r="D5915" s="9" t="s">
        <v>71</v>
      </c>
      <c r="E5915" s="6" t="s">
        <v>6205</v>
      </c>
      <c r="F5915" s="9" t="s">
        <v>13795</v>
      </c>
    </row>
    <row r="5916" ht="33.75" customHeight="1">
      <c r="A5916" s="7">
        <v>208.0</v>
      </c>
      <c r="B5916" s="9" t="s">
        <v>12125</v>
      </c>
      <c r="C5916" s="9" t="s">
        <v>314</v>
      </c>
      <c r="D5916" s="9" t="s">
        <v>73</v>
      </c>
      <c r="E5916" s="6" t="s">
        <v>6206</v>
      </c>
      <c r="F5916" s="9" t="s">
        <v>13795</v>
      </c>
    </row>
    <row r="5917" ht="33.75" customHeight="1">
      <c r="A5917" s="7">
        <v>208.0</v>
      </c>
      <c r="B5917" s="9" t="s">
        <v>12125</v>
      </c>
      <c r="C5917" s="9" t="s">
        <v>314</v>
      </c>
      <c r="D5917" s="9" t="s">
        <v>75</v>
      </c>
      <c r="E5917" s="6" t="s">
        <v>6203</v>
      </c>
      <c r="F5917" s="9" t="s">
        <v>13795</v>
      </c>
    </row>
    <row r="5918" ht="33.75" customHeight="1">
      <c r="A5918" s="7">
        <v>208.0</v>
      </c>
      <c r="B5918" s="9" t="s">
        <v>12125</v>
      </c>
      <c r="C5918" s="9" t="s">
        <v>314</v>
      </c>
      <c r="D5918" s="9" t="s">
        <v>79</v>
      </c>
      <c r="E5918" s="6" t="s">
        <v>6207</v>
      </c>
      <c r="F5918" s="9" t="s">
        <v>13795</v>
      </c>
    </row>
    <row r="5919" ht="33.75" customHeight="1">
      <c r="A5919" s="7">
        <v>208.0</v>
      </c>
      <c r="B5919" s="9" t="s">
        <v>12125</v>
      </c>
      <c r="C5919" s="9" t="s">
        <v>314</v>
      </c>
      <c r="D5919" s="9" t="s">
        <v>81</v>
      </c>
      <c r="E5919" s="6" t="s">
        <v>6209</v>
      </c>
      <c r="F5919" s="9" t="s">
        <v>13795</v>
      </c>
    </row>
    <row r="5920" ht="33.75" customHeight="1">
      <c r="A5920" s="7">
        <v>208.0</v>
      </c>
      <c r="B5920" s="9" t="s">
        <v>12125</v>
      </c>
      <c r="C5920" s="9" t="s">
        <v>314</v>
      </c>
      <c r="D5920" s="9" t="s">
        <v>84</v>
      </c>
      <c r="E5920" s="6" t="s">
        <v>6210</v>
      </c>
      <c r="F5920" s="9" t="s">
        <v>13795</v>
      </c>
    </row>
    <row r="5921" ht="33.75" customHeight="1">
      <c r="A5921" s="7">
        <v>208.0</v>
      </c>
      <c r="B5921" s="9" t="s">
        <v>12125</v>
      </c>
      <c r="C5921" s="9" t="s">
        <v>314</v>
      </c>
      <c r="D5921" s="9" t="s">
        <v>87</v>
      </c>
      <c r="E5921" s="6" t="s">
        <v>6211</v>
      </c>
      <c r="F5921" s="9" t="s">
        <v>13795</v>
      </c>
    </row>
    <row r="5922" ht="33.75" customHeight="1">
      <c r="A5922" s="7">
        <v>208.0</v>
      </c>
      <c r="B5922" s="9" t="s">
        <v>12125</v>
      </c>
      <c r="C5922" s="9" t="s">
        <v>314</v>
      </c>
      <c r="D5922" s="9" t="s">
        <v>89</v>
      </c>
      <c r="E5922" s="6" t="s">
        <v>6201</v>
      </c>
      <c r="F5922" s="9" t="s">
        <v>13795</v>
      </c>
    </row>
    <row r="5923" ht="33.75" customHeight="1">
      <c r="A5923" s="7">
        <v>208.0</v>
      </c>
      <c r="B5923" s="9" t="s">
        <v>12125</v>
      </c>
      <c r="C5923" s="9" t="s">
        <v>314</v>
      </c>
      <c r="D5923" s="9" t="s">
        <v>91</v>
      </c>
      <c r="E5923" s="6" t="s">
        <v>6212</v>
      </c>
      <c r="F5923" s="9" t="s">
        <v>13795</v>
      </c>
    </row>
    <row r="5924" ht="33.75" customHeight="1">
      <c r="A5924" s="7">
        <v>208.0</v>
      </c>
      <c r="B5924" s="9" t="s">
        <v>12125</v>
      </c>
      <c r="C5924" s="9" t="s">
        <v>314</v>
      </c>
      <c r="D5924" s="9" t="s">
        <v>93</v>
      </c>
      <c r="E5924" s="6" t="s">
        <v>6211</v>
      </c>
      <c r="F5924" s="9" t="s">
        <v>13795</v>
      </c>
    </row>
    <row r="5925" ht="33.75" customHeight="1">
      <c r="A5925" s="7">
        <v>208.0</v>
      </c>
      <c r="B5925" s="9" t="s">
        <v>12125</v>
      </c>
      <c r="C5925" s="9" t="s">
        <v>314</v>
      </c>
      <c r="D5925" s="9" t="s">
        <v>95</v>
      </c>
      <c r="E5925" s="6" t="s">
        <v>6211</v>
      </c>
      <c r="F5925" s="9" t="s">
        <v>13795</v>
      </c>
    </row>
    <row r="5926" ht="33.75" customHeight="1">
      <c r="A5926" s="7">
        <v>208.0</v>
      </c>
      <c r="B5926" s="9" t="s">
        <v>12125</v>
      </c>
      <c r="C5926" s="9" t="s">
        <v>314</v>
      </c>
      <c r="D5926" s="9" t="s">
        <v>98</v>
      </c>
      <c r="E5926" s="6" t="s">
        <v>6213</v>
      </c>
      <c r="F5926" s="9" t="s">
        <v>13795</v>
      </c>
    </row>
    <row r="5927" ht="33.75" customHeight="1">
      <c r="A5927" s="7">
        <v>208.0</v>
      </c>
      <c r="B5927" s="9" t="s">
        <v>12125</v>
      </c>
      <c r="C5927" s="9" t="s">
        <v>314</v>
      </c>
      <c r="D5927" s="9" t="s">
        <v>99</v>
      </c>
      <c r="E5927" s="6" t="s">
        <v>6213</v>
      </c>
      <c r="F5927" s="9" t="s">
        <v>13795</v>
      </c>
    </row>
    <row r="5928" ht="33.75" customHeight="1">
      <c r="A5928" s="7">
        <v>208.0</v>
      </c>
      <c r="B5928" s="9" t="s">
        <v>12125</v>
      </c>
      <c r="C5928" s="9" t="s">
        <v>314</v>
      </c>
      <c r="D5928" s="9" t="s">
        <v>101</v>
      </c>
      <c r="E5928" s="6" t="s">
        <v>6209</v>
      </c>
      <c r="F5928" s="9" t="s">
        <v>13795</v>
      </c>
    </row>
    <row r="5929" ht="33.75" customHeight="1">
      <c r="A5929" s="7">
        <v>208.0</v>
      </c>
      <c r="B5929" s="9" t="s">
        <v>12125</v>
      </c>
      <c r="C5929" s="9" t="s">
        <v>314</v>
      </c>
      <c r="D5929" s="9" t="s">
        <v>105</v>
      </c>
      <c r="E5929" s="6" t="s">
        <v>6210</v>
      </c>
      <c r="F5929" s="9" t="s">
        <v>13795</v>
      </c>
    </row>
    <row r="5930" ht="33.75" customHeight="1">
      <c r="A5930" s="7">
        <v>208.0</v>
      </c>
      <c r="B5930" s="9" t="s">
        <v>12125</v>
      </c>
      <c r="C5930" s="9" t="s">
        <v>314</v>
      </c>
      <c r="D5930" s="9" t="s">
        <v>107</v>
      </c>
      <c r="E5930" s="6" t="s">
        <v>6214</v>
      </c>
      <c r="F5930" s="9" t="s">
        <v>13795</v>
      </c>
    </row>
    <row r="5931" ht="33.75" customHeight="1">
      <c r="A5931" s="7">
        <v>208.0</v>
      </c>
      <c r="B5931" s="9" t="s">
        <v>12125</v>
      </c>
      <c r="C5931" s="9" t="s">
        <v>314</v>
      </c>
      <c r="D5931" s="9" t="s">
        <v>109</v>
      </c>
      <c r="E5931" s="6" t="s">
        <v>6214</v>
      </c>
      <c r="F5931" s="9" t="s">
        <v>13795</v>
      </c>
    </row>
    <row r="5932" ht="33.75" customHeight="1">
      <c r="A5932" s="7">
        <v>208.0</v>
      </c>
      <c r="B5932" s="9" t="s">
        <v>12125</v>
      </c>
      <c r="C5932" s="9" t="s">
        <v>314</v>
      </c>
      <c r="D5932" s="9" t="s">
        <v>114</v>
      </c>
      <c r="E5932" s="6" t="s">
        <v>6215</v>
      </c>
      <c r="F5932" s="9" t="s">
        <v>13795</v>
      </c>
    </row>
    <row r="5933" ht="33.75" customHeight="1">
      <c r="A5933" s="7">
        <v>208.0</v>
      </c>
      <c r="B5933" s="9" t="s">
        <v>12125</v>
      </c>
      <c r="C5933" s="9" t="s">
        <v>314</v>
      </c>
      <c r="D5933" s="9" t="s">
        <v>117</v>
      </c>
      <c r="E5933" s="6" t="s">
        <v>6211</v>
      </c>
      <c r="F5933" s="9" t="s">
        <v>13795</v>
      </c>
    </row>
    <row r="5934" ht="33.75" customHeight="1">
      <c r="A5934" s="7">
        <v>208.0</v>
      </c>
      <c r="B5934" s="9" t="s">
        <v>12125</v>
      </c>
      <c r="C5934" s="9" t="s">
        <v>314</v>
      </c>
      <c r="D5934" s="9" t="s">
        <v>1577</v>
      </c>
      <c r="E5934" s="6" t="s">
        <v>6216</v>
      </c>
      <c r="F5934" s="9" t="s">
        <v>13795</v>
      </c>
    </row>
    <row r="5935" ht="33.75" customHeight="1">
      <c r="A5935" s="7">
        <v>209.0</v>
      </c>
      <c r="B5935" s="9" t="s">
        <v>12177</v>
      </c>
      <c r="C5935" s="9" t="s">
        <v>104</v>
      </c>
      <c r="D5935" s="9" t="s">
        <v>52</v>
      </c>
      <c r="E5935" s="6" t="s">
        <v>6217</v>
      </c>
      <c r="F5935" s="9" t="s">
        <v>13806</v>
      </c>
      <c r="G5935" t="inlineStr" s="6">
        <is>
          <t xml:space="preserve">Although Snubbull looks frightening, it is actually kind and affectionate. It is very popular among women. It has an active, playful nature. Many women like to frolic with it because of its affectionate ways. In truth, it is a cowardly POKéMON. It growls eagerly in order to hide its fear from its opponent. By baring its fangs and making a scary face, SNUBBULL sends smaller POKéMON scurrying away in terror. However, this POKéMON seems a little sad at making its foes flee. By baring its fangs and making a scary face, it sends smaller POKéMON scurrying in terror. The SNUBBULL does seem a little sad at making its foes flee. Small Pokémon flee from its scary face. It is, however, considered by women to be cute. Despite its intimidating face, it’s quite cowardly. Its desperate attempts to appear threatening make it popular with people. Its growls make its opponents uneasy. This laid-back Pokémon tends to sleep half the day. It grows close to others easily and is also easily spoiled. The disparity between its face and its actions makes many young people wild about it. In contrast to its appearance, it’s quite timid. When playing with other puppy Pokémon, it sometimes gets bullied.</t>
        </is>
      </c>
    </row>
    <row r="5936" ht="33.75" customHeight="1">
      <c r="A5936" s="7">
        <v>209.0</v>
      </c>
      <c r="B5936" s="9" t="s">
        <v>12177</v>
      </c>
      <c r="C5936" s="9" t="s">
        <v>104</v>
      </c>
      <c r="D5936" s="9" t="s">
        <v>59</v>
      </c>
      <c r="E5936" s="6" t="s">
        <v>6218</v>
      </c>
      <c r="F5936" s="9" t="s">
        <v>13806</v>
      </c>
    </row>
    <row r="5937" ht="33.75" customHeight="1">
      <c r="A5937" s="7">
        <v>209.0</v>
      </c>
      <c r="B5937" s="9" t="s">
        <v>12177</v>
      </c>
      <c r="C5937" s="9" t="s">
        <v>104</v>
      </c>
      <c r="D5937" s="9" t="s">
        <v>64</v>
      </c>
      <c r="E5937" s="6" t="s">
        <v>6219</v>
      </c>
      <c r="F5937" s="9" t="s">
        <v>13806</v>
      </c>
    </row>
    <row r="5938" ht="33.75" customHeight="1">
      <c r="A5938" s="7">
        <v>209.0</v>
      </c>
      <c r="B5938" s="9" t="s">
        <v>12177</v>
      </c>
      <c r="C5938" s="9" t="s">
        <v>104</v>
      </c>
      <c r="D5938" s="9" t="s">
        <v>67</v>
      </c>
      <c r="E5938" s="6" t="s">
        <v>6220</v>
      </c>
      <c r="F5938" s="9" t="s">
        <v>13806</v>
      </c>
    </row>
    <row r="5939" ht="33.75" customHeight="1">
      <c r="A5939" s="7">
        <v>209.0</v>
      </c>
      <c r="B5939" s="9" t="s">
        <v>12177</v>
      </c>
      <c r="C5939" s="9" t="s">
        <v>104</v>
      </c>
      <c r="D5939" s="9" t="s">
        <v>71</v>
      </c>
      <c r="E5939" s="6" t="s">
        <v>6220</v>
      </c>
      <c r="F5939" s="9" t="s">
        <v>13806</v>
      </c>
    </row>
    <row r="5940" ht="33.75" customHeight="1">
      <c r="A5940" s="7">
        <v>209.0</v>
      </c>
      <c r="B5940" s="9" t="s">
        <v>12177</v>
      </c>
      <c r="C5940" s="9" t="s">
        <v>104</v>
      </c>
      <c r="D5940" s="9" t="s">
        <v>73</v>
      </c>
      <c r="E5940" s="6" t="s">
        <v>6221</v>
      </c>
      <c r="F5940" s="9" t="s">
        <v>13806</v>
      </c>
    </row>
    <row r="5941" ht="33.75" customHeight="1">
      <c r="A5941" s="7">
        <v>209.0</v>
      </c>
      <c r="B5941" s="9" t="s">
        <v>12177</v>
      </c>
      <c r="C5941" s="9" t="s">
        <v>104</v>
      </c>
      <c r="D5941" s="9" t="s">
        <v>75</v>
      </c>
      <c r="E5941" s="6" t="s">
        <v>6222</v>
      </c>
      <c r="F5941" s="9" t="s">
        <v>13806</v>
      </c>
    </row>
    <row r="5942" ht="33.75" customHeight="1">
      <c r="A5942" s="7">
        <v>209.0</v>
      </c>
      <c r="B5942" s="9" t="s">
        <v>12177</v>
      </c>
      <c r="C5942" s="9" t="s">
        <v>104</v>
      </c>
      <c r="D5942" s="9" t="s">
        <v>79</v>
      </c>
      <c r="E5942" s="6" t="s">
        <v>6217</v>
      </c>
      <c r="F5942" s="9" t="s">
        <v>13806</v>
      </c>
    </row>
    <row r="5943" ht="33.75" customHeight="1">
      <c r="A5943" s="7">
        <v>209.0</v>
      </c>
      <c r="B5943" s="9" t="s">
        <v>12177</v>
      </c>
      <c r="C5943" s="9" t="s">
        <v>104</v>
      </c>
      <c r="D5943" s="9" t="s">
        <v>81</v>
      </c>
      <c r="E5943" s="6" t="s">
        <v>6224</v>
      </c>
      <c r="F5943" s="9" t="s">
        <v>13806</v>
      </c>
    </row>
    <row r="5944" ht="33.75" customHeight="1">
      <c r="A5944" s="7">
        <v>209.0</v>
      </c>
      <c r="B5944" s="9" t="s">
        <v>12177</v>
      </c>
      <c r="C5944" s="9" t="s">
        <v>104</v>
      </c>
      <c r="D5944" s="9" t="s">
        <v>84</v>
      </c>
      <c r="E5944" s="6" t="s">
        <v>6224</v>
      </c>
      <c r="F5944" s="9" t="s">
        <v>13806</v>
      </c>
    </row>
    <row r="5945" ht="33.75" customHeight="1">
      <c r="A5945" s="7">
        <v>209.0</v>
      </c>
      <c r="B5945" s="9" t="s">
        <v>12177</v>
      </c>
      <c r="C5945" s="9" t="s">
        <v>104</v>
      </c>
      <c r="D5945" s="9" t="s">
        <v>87</v>
      </c>
      <c r="E5945" s="6" t="s">
        <v>6224</v>
      </c>
      <c r="F5945" s="9" t="s">
        <v>13806</v>
      </c>
    </row>
    <row r="5946" ht="33.75" customHeight="1">
      <c r="A5946" s="7">
        <v>209.0</v>
      </c>
      <c r="B5946" s="9" t="s">
        <v>12177</v>
      </c>
      <c r="C5946" s="9" t="s">
        <v>104</v>
      </c>
      <c r="D5946" s="9" t="s">
        <v>89</v>
      </c>
      <c r="E5946" s="6" t="s">
        <v>6217</v>
      </c>
      <c r="F5946" s="9" t="s">
        <v>13806</v>
      </c>
    </row>
    <row r="5947" ht="33.75" customHeight="1">
      <c r="A5947" s="7">
        <v>209.0</v>
      </c>
      <c r="B5947" s="9" t="s">
        <v>12177</v>
      </c>
      <c r="C5947" s="9" t="s">
        <v>104</v>
      </c>
      <c r="D5947" s="9" t="s">
        <v>91</v>
      </c>
      <c r="E5947" s="6" t="s">
        <v>6222</v>
      </c>
      <c r="F5947" s="9" t="s">
        <v>13806</v>
      </c>
    </row>
    <row r="5948" ht="33.75" customHeight="1">
      <c r="A5948" s="7">
        <v>209.0</v>
      </c>
      <c r="B5948" s="9" t="s">
        <v>12177</v>
      </c>
      <c r="C5948" s="9" t="s">
        <v>104</v>
      </c>
      <c r="D5948" s="9" t="s">
        <v>93</v>
      </c>
      <c r="E5948" s="6" t="s">
        <v>6224</v>
      </c>
      <c r="F5948" s="9" t="s">
        <v>13806</v>
      </c>
    </row>
    <row r="5949" ht="33.75" customHeight="1">
      <c r="A5949" s="7">
        <v>209.0</v>
      </c>
      <c r="B5949" s="9" t="s">
        <v>12177</v>
      </c>
      <c r="C5949" s="9" t="s">
        <v>104</v>
      </c>
      <c r="D5949" s="9" t="s">
        <v>95</v>
      </c>
      <c r="E5949" s="6" t="s">
        <v>6224</v>
      </c>
      <c r="F5949" s="9" t="s">
        <v>13806</v>
      </c>
    </row>
    <row r="5950" ht="33.75" customHeight="1">
      <c r="A5950" s="7">
        <v>209.0</v>
      </c>
      <c r="B5950" s="9" t="s">
        <v>12177</v>
      </c>
      <c r="C5950" s="9" t="s">
        <v>104</v>
      </c>
      <c r="D5950" s="9" t="s">
        <v>98</v>
      </c>
      <c r="E5950" s="6" t="s">
        <v>6224</v>
      </c>
      <c r="F5950" s="9" t="s">
        <v>13806</v>
      </c>
    </row>
    <row r="5951" ht="33.75" customHeight="1">
      <c r="A5951" s="7">
        <v>209.0</v>
      </c>
      <c r="B5951" s="9" t="s">
        <v>12177</v>
      </c>
      <c r="C5951" s="9" t="s">
        <v>104</v>
      </c>
      <c r="D5951" s="9" t="s">
        <v>99</v>
      </c>
      <c r="E5951" s="6" t="s">
        <v>6224</v>
      </c>
      <c r="F5951" s="9" t="s">
        <v>13806</v>
      </c>
    </row>
    <row r="5952" ht="33.75" customHeight="1">
      <c r="A5952" s="7">
        <v>209.0</v>
      </c>
      <c r="B5952" s="9" t="s">
        <v>12177</v>
      </c>
      <c r="C5952" s="9" t="s">
        <v>104</v>
      </c>
      <c r="D5952" s="9" t="s">
        <v>101</v>
      </c>
      <c r="E5952" s="6" t="s">
        <v>6222</v>
      </c>
      <c r="F5952" s="9" t="s">
        <v>13806</v>
      </c>
    </row>
    <row r="5953" ht="33.75" customHeight="1">
      <c r="A5953" s="7">
        <v>209.0</v>
      </c>
      <c r="B5953" s="9" t="s">
        <v>12177</v>
      </c>
      <c r="C5953" s="9" t="s">
        <v>104</v>
      </c>
      <c r="D5953" s="9" t="s">
        <v>105</v>
      </c>
      <c r="E5953" s="6" t="s">
        <v>6224</v>
      </c>
      <c r="F5953" s="9" t="s">
        <v>13806</v>
      </c>
    </row>
    <row r="5954" ht="33.75" customHeight="1">
      <c r="A5954" s="7">
        <v>209.0</v>
      </c>
      <c r="B5954" s="9" t="s">
        <v>12177</v>
      </c>
      <c r="C5954" s="9" t="s">
        <v>104</v>
      </c>
      <c r="D5954" s="9" t="s">
        <v>107</v>
      </c>
      <c r="E5954" s="6" t="s">
        <v>6225</v>
      </c>
      <c r="F5954" s="9" t="s">
        <v>13806</v>
      </c>
    </row>
    <row r="5955" ht="33.75" customHeight="1">
      <c r="A5955" s="7">
        <v>209.0</v>
      </c>
      <c r="B5955" s="9" t="s">
        <v>12177</v>
      </c>
      <c r="C5955" s="9" t="s">
        <v>104</v>
      </c>
      <c r="D5955" s="9" t="s">
        <v>109</v>
      </c>
      <c r="E5955" s="6" t="s">
        <v>6225</v>
      </c>
      <c r="F5955" s="9" t="s">
        <v>13806</v>
      </c>
    </row>
    <row r="5956" ht="33.75" customHeight="1">
      <c r="A5956" s="7">
        <v>209.0</v>
      </c>
      <c r="B5956" s="9" t="s">
        <v>12177</v>
      </c>
      <c r="C5956" s="9" t="s">
        <v>104</v>
      </c>
      <c r="D5956" s="9" t="s">
        <v>637</v>
      </c>
      <c r="E5956" s="6" t="s">
        <v>6226</v>
      </c>
      <c r="F5956" s="9" t="s">
        <v>13806</v>
      </c>
    </row>
    <row r="5957" ht="33.75" customHeight="1">
      <c r="A5957" s="7">
        <v>209.0</v>
      </c>
      <c r="B5957" s="9" t="s">
        <v>12177</v>
      </c>
      <c r="C5957" s="9" t="s">
        <v>104</v>
      </c>
      <c r="D5957" s="9" t="s">
        <v>642</v>
      </c>
      <c r="E5957" s="6" t="s">
        <v>6227</v>
      </c>
      <c r="F5957" s="9" t="s">
        <v>13806</v>
      </c>
    </row>
    <row r="5958" ht="33.75" customHeight="1">
      <c r="A5958" s="7">
        <v>209.0</v>
      </c>
      <c r="B5958" s="9" t="s">
        <v>12177</v>
      </c>
      <c r="C5958" s="9" t="s">
        <v>104</v>
      </c>
      <c r="D5958" s="9" t="s">
        <v>647</v>
      </c>
      <c r="E5958" s="6" t="s">
        <v>6228</v>
      </c>
      <c r="F5958" s="9" t="s">
        <v>13806</v>
      </c>
    </row>
    <row r="5959" ht="33.75" customHeight="1">
      <c r="A5959" s="7">
        <v>209.0</v>
      </c>
      <c r="B5959" s="9" t="s">
        <v>12177</v>
      </c>
      <c r="C5959" s="9" t="s">
        <v>104</v>
      </c>
      <c r="D5959" s="9" t="s">
        <v>652</v>
      </c>
      <c r="E5959" s="6" t="s">
        <v>6229</v>
      </c>
      <c r="F5959" s="9" t="s">
        <v>13806</v>
      </c>
    </row>
    <row r="5960" ht="33.75" customHeight="1">
      <c r="A5960" s="7">
        <v>210.0</v>
      </c>
      <c r="B5960" s="9" t="s">
        <v>12239</v>
      </c>
      <c r="C5960" s="9" t="s">
        <v>104</v>
      </c>
      <c r="D5960" s="9" t="s">
        <v>52</v>
      </c>
      <c r="E5960" s="6" t="s">
        <v>6230</v>
      </c>
      <c r="F5960" s="9" t="s">
        <v>13826</v>
      </c>
      <c r="G5960" t="inlineStr" s="6">
        <is>
          <t xml:space="preserve">Granbull is actually timid and easily spooked. If attacked, it flails about to fend off its attacker. Because its fangs are too heavy, it always keeps its head tilted down. However, its BITE is powerful. It can make most any POKéMON run away simply by opening its mouth wide to reveal its big fangs. GRANBULL has a particularly well- developed lower jaw. The enormous fangs are heavy, causing the POKéMON to tip its head back for balance. Unless it is startled, it will not try to bite indiscriminately. It has a particularly well-developed lower jaw. The huge fangs are heavy, causing it to tilt its head. Unless it is startled, it will not try to bite. It is timid in spite of its looks. If it becomes enraged, however, it will strike with its huge fangs. Granbull has a particularly well-developed lower jaw. Its well-developed lower jaw and heavy fangs are its weapons. As long as it’s not provoked, it rarely bites. More timid than Snubbull, this Pokémon is doted on by young people amused at the contrast between its looks and its attitude. While it has powerful jaws, it doesn’t care for disputes, so it rarely has a chance to display their might. Although it’s popular with young people, Granbull is timid and sensitive, so it’s totally incompetent as a watchdog.</t>
        </is>
      </c>
    </row>
    <row r="5961" ht="33.75" customHeight="1">
      <c r="A5961" s="7">
        <v>210.0</v>
      </c>
      <c r="B5961" s="9" t="s">
        <v>12239</v>
      </c>
      <c r="C5961" s="9" t="s">
        <v>104</v>
      </c>
      <c r="D5961" s="9" t="s">
        <v>59</v>
      </c>
      <c r="E5961" s="6" t="s">
        <v>6231</v>
      </c>
      <c r="F5961" s="9" t="s">
        <v>13826</v>
      </c>
    </row>
    <row r="5962" ht="33.75" customHeight="1">
      <c r="A5962" s="7">
        <v>210.0</v>
      </c>
      <c r="B5962" s="9" t="s">
        <v>12239</v>
      </c>
      <c r="C5962" s="9" t="s">
        <v>104</v>
      </c>
      <c r="D5962" s="9" t="s">
        <v>64</v>
      </c>
      <c r="E5962" s="6" t="s">
        <v>6232</v>
      </c>
      <c r="F5962" s="9" t="s">
        <v>13826</v>
      </c>
    </row>
    <row r="5963" ht="33.75" customHeight="1">
      <c r="A5963" s="7">
        <v>210.0</v>
      </c>
      <c r="B5963" s="9" t="s">
        <v>12239</v>
      </c>
      <c r="C5963" s="9" t="s">
        <v>104</v>
      </c>
      <c r="D5963" s="9" t="s">
        <v>67</v>
      </c>
      <c r="E5963" s="6" t="s">
        <v>6235</v>
      </c>
      <c r="F5963" s="9" t="s">
        <v>13826</v>
      </c>
    </row>
    <row r="5964" ht="33.75" customHeight="1">
      <c r="A5964" s="7">
        <v>210.0</v>
      </c>
      <c r="B5964" s="9" t="s">
        <v>12239</v>
      </c>
      <c r="C5964" s="9" t="s">
        <v>104</v>
      </c>
      <c r="D5964" s="9" t="s">
        <v>71</v>
      </c>
      <c r="E5964" s="6" t="s">
        <v>6235</v>
      </c>
      <c r="F5964" s="9" t="s">
        <v>13826</v>
      </c>
    </row>
    <row r="5965" ht="33.75" customHeight="1">
      <c r="A5965" s="7">
        <v>210.0</v>
      </c>
      <c r="B5965" s="9" t="s">
        <v>12239</v>
      </c>
      <c r="C5965" s="9" t="s">
        <v>104</v>
      </c>
      <c r="D5965" s="9" t="s">
        <v>73</v>
      </c>
      <c r="E5965" s="6" t="s">
        <v>6237</v>
      </c>
      <c r="F5965" s="9" t="s">
        <v>13826</v>
      </c>
    </row>
    <row r="5966" ht="33.75" customHeight="1">
      <c r="A5966" s="7">
        <v>210.0</v>
      </c>
      <c r="B5966" s="9" t="s">
        <v>12239</v>
      </c>
      <c r="C5966" s="9" t="s">
        <v>104</v>
      </c>
      <c r="D5966" s="9" t="s">
        <v>75</v>
      </c>
      <c r="E5966" s="6" t="s">
        <v>6231</v>
      </c>
      <c r="F5966" s="9" t="s">
        <v>13826</v>
      </c>
    </row>
    <row r="5967" ht="33.75" customHeight="1">
      <c r="A5967" s="7">
        <v>210.0</v>
      </c>
      <c r="B5967" s="9" t="s">
        <v>12239</v>
      </c>
      <c r="C5967" s="9" t="s">
        <v>104</v>
      </c>
      <c r="D5967" s="9" t="s">
        <v>79</v>
      </c>
      <c r="E5967" s="6" t="s">
        <v>6238</v>
      </c>
      <c r="F5967" s="9" t="s">
        <v>13826</v>
      </c>
    </row>
    <row r="5968" ht="33.75" customHeight="1">
      <c r="A5968" s="7">
        <v>210.0</v>
      </c>
      <c r="B5968" s="9" t="s">
        <v>12239</v>
      </c>
      <c r="C5968" s="9" t="s">
        <v>104</v>
      </c>
      <c r="D5968" s="9" t="s">
        <v>81</v>
      </c>
      <c r="E5968" s="6" t="s">
        <v>6239</v>
      </c>
      <c r="F5968" s="9" t="s">
        <v>13826</v>
      </c>
    </row>
    <row r="5969" ht="33.75" customHeight="1">
      <c r="A5969" s="7">
        <v>210.0</v>
      </c>
      <c r="B5969" s="9" t="s">
        <v>12239</v>
      </c>
      <c r="C5969" s="9" t="s">
        <v>104</v>
      </c>
      <c r="D5969" s="9" t="s">
        <v>84</v>
      </c>
      <c r="E5969" s="6" t="s">
        <v>6239</v>
      </c>
      <c r="F5969" s="9" t="s">
        <v>13826</v>
      </c>
    </row>
    <row r="5970" ht="33.75" customHeight="1">
      <c r="A5970" s="7">
        <v>210.0</v>
      </c>
      <c r="B5970" s="9" t="s">
        <v>12239</v>
      </c>
      <c r="C5970" s="9" t="s">
        <v>104</v>
      </c>
      <c r="D5970" s="9" t="s">
        <v>87</v>
      </c>
      <c r="E5970" s="6" t="s">
        <v>6239</v>
      </c>
      <c r="F5970" s="9" t="s">
        <v>13826</v>
      </c>
    </row>
    <row r="5971" ht="33.75" customHeight="1">
      <c r="A5971" s="7">
        <v>210.0</v>
      </c>
      <c r="B5971" s="9" t="s">
        <v>12239</v>
      </c>
      <c r="C5971" s="9" t="s">
        <v>104</v>
      </c>
      <c r="D5971" s="9" t="s">
        <v>89</v>
      </c>
      <c r="E5971" s="6" t="s">
        <v>6238</v>
      </c>
      <c r="F5971" s="9" t="s">
        <v>13826</v>
      </c>
    </row>
    <row r="5972" ht="33.75" customHeight="1">
      <c r="A5972" s="7">
        <v>210.0</v>
      </c>
      <c r="B5972" s="9" t="s">
        <v>12239</v>
      </c>
      <c r="C5972" s="9" t="s">
        <v>104</v>
      </c>
      <c r="D5972" s="9" t="s">
        <v>91</v>
      </c>
      <c r="E5972" s="6" t="s">
        <v>6240</v>
      </c>
      <c r="F5972" s="9" t="s">
        <v>13826</v>
      </c>
    </row>
    <row r="5973" ht="33.75" customHeight="1">
      <c r="A5973" s="7">
        <v>210.0</v>
      </c>
      <c r="B5973" s="9" t="s">
        <v>12239</v>
      </c>
      <c r="C5973" s="9" t="s">
        <v>104</v>
      </c>
      <c r="D5973" s="9" t="s">
        <v>93</v>
      </c>
      <c r="E5973" s="6" t="s">
        <v>6239</v>
      </c>
      <c r="F5973" s="9" t="s">
        <v>13826</v>
      </c>
    </row>
    <row r="5974" ht="33.75" customHeight="1">
      <c r="A5974" s="7">
        <v>210.0</v>
      </c>
      <c r="B5974" s="9" t="s">
        <v>12239</v>
      </c>
      <c r="C5974" s="9" t="s">
        <v>104</v>
      </c>
      <c r="D5974" s="9" t="s">
        <v>95</v>
      </c>
      <c r="E5974" s="6" t="s">
        <v>6239</v>
      </c>
      <c r="F5974" s="9" t="s">
        <v>13826</v>
      </c>
    </row>
    <row r="5975" ht="33.75" customHeight="1">
      <c r="A5975" s="7">
        <v>210.0</v>
      </c>
      <c r="B5975" s="9" t="s">
        <v>12239</v>
      </c>
      <c r="C5975" s="9" t="s">
        <v>104</v>
      </c>
      <c r="D5975" s="9" t="s">
        <v>98</v>
      </c>
      <c r="E5975" s="6" t="s">
        <v>6239</v>
      </c>
      <c r="F5975" s="9" t="s">
        <v>13826</v>
      </c>
    </row>
    <row r="5976" ht="33.75" customHeight="1">
      <c r="A5976" s="7">
        <v>210.0</v>
      </c>
      <c r="B5976" s="9" t="s">
        <v>12239</v>
      </c>
      <c r="C5976" s="9" t="s">
        <v>104</v>
      </c>
      <c r="D5976" s="9" t="s">
        <v>99</v>
      </c>
      <c r="E5976" s="6" t="s">
        <v>6239</v>
      </c>
      <c r="F5976" s="9" t="s">
        <v>13826</v>
      </c>
    </row>
    <row r="5977" ht="33.75" customHeight="1">
      <c r="A5977" s="7">
        <v>210.0</v>
      </c>
      <c r="B5977" s="9" t="s">
        <v>12239</v>
      </c>
      <c r="C5977" s="9" t="s">
        <v>104</v>
      </c>
      <c r="D5977" s="9" t="s">
        <v>101</v>
      </c>
      <c r="E5977" s="6" t="s">
        <v>6239</v>
      </c>
      <c r="F5977" s="9" t="s">
        <v>13826</v>
      </c>
    </row>
    <row r="5978" ht="33.75" customHeight="1">
      <c r="A5978" s="7">
        <v>210.0</v>
      </c>
      <c r="B5978" s="9" t="s">
        <v>12239</v>
      </c>
      <c r="C5978" s="9" t="s">
        <v>104</v>
      </c>
      <c r="D5978" s="9" t="s">
        <v>105</v>
      </c>
      <c r="E5978" s="6" t="s">
        <v>6242</v>
      </c>
      <c r="F5978" s="9" t="s">
        <v>13826</v>
      </c>
    </row>
    <row r="5979" ht="33.75" customHeight="1">
      <c r="A5979" s="7">
        <v>210.0</v>
      </c>
      <c r="B5979" s="9" t="s">
        <v>12239</v>
      </c>
      <c r="C5979" s="9" t="s">
        <v>104</v>
      </c>
      <c r="D5979" s="9" t="s">
        <v>107</v>
      </c>
      <c r="E5979" s="6" t="s">
        <v>6244</v>
      </c>
      <c r="F5979" s="9" t="s">
        <v>13826</v>
      </c>
    </row>
    <row r="5980" ht="33.75" customHeight="1">
      <c r="A5980" s="7">
        <v>210.0</v>
      </c>
      <c r="B5980" s="9" t="s">
        <v>12239</v>
      </c>
      <c r="C5980" s="9" t="s">
        <v>104</v>
      </c>
      <c r="D5980" s="9" t="s">
        <v>109</v>
      </c>
      <c r="E5980" s="6" t="s">
        <v>6244</v>
      </c>
      <c r="F5980" s="9" t="s">
        <v>13826</v>
      </c>
    </row>
    <row r="5981" ht="33.75" customHeight="1">
      <c r="A5981" s="7">
        <v>210.0</v>
      </c>
      <c r="B5981" s="9" t="s">
        <v>12239</v>
      </c>
      <c r="C5981" s="9" t="s">
        <v>104</v>
      </c>
      <c r="D5981" s="9" t="s">
        <v>637</v>
      </c>
      <c r="E5981" s="6" t="s">
        <v>6245</v>
      </c>
      <c r="F5981" s="9" t="s">
        <v>13826</v>
      </c>
    </row>
    <row r="5982" ht="33.75" customHeight="1">
      <c r="A5982" s="7">
        <v>210.0</v>
      </c>
      <c r="B5982" s="9" t="s">
        <v>12239</v>
      </c>
      <c r="C5982" s="9" t="s">
        <v>104</v>
      </c>
      <c r="D5982" s="9" t="s">
        <v>642</v>
      </c>
      <c r="E5982" s="6" t="s">
        <v>6247</v>
      </c>
      <c r="F5982" s="9" t="s">
        <v>13826</v>
      </c>
    </row>
    <row r="5983" ht="33.75" customHeight="1">
      <c r="A5983" s="7">
        <v>210.0</v>
      </c>
      <c r="B5983" s="9" t="s">
        <v>12239</v>
      </c>
      <c r="C5983" s="9" t="s">
        <v>104</v>
      </c>
      <c r="D5983" s="9" t="s">
        <v>647</v>
      </c>
      <c r="E5983" s="6" t="s">
        <v>6249</v>
      </c>
      <c r="F5983" s="9" t="s">
        <v>13826</v>
      </c>
    </row>
    <row r="5984" ht="33.75" customHeight="1">
      <c r="A5984" s="7">
        <v>210.0</v>
      </c>
      <c r="B5984" s="9" t="s">
        <v>12239</v>
      </c>
      <c r="C5984" s="9" t="s">
        <v>104</v>
      </c>
      <c r="D5984" s="9" t="s">
        <v>652</v>
      </c>
      <c r="E5984" s="6" t="s">
        <v>6250</v>
      </c>
      <c r="F5984" s="9" t="s">
        <v>13826</v>
      </c>
    </row>
    <row r="5985" ht="33.75" customHeight="1">
      <c r="A5985" s="7">
        <v>211.0</v>
      </c>
      <c r="B5985" s="9" t="s">
        <v>12293</v>
      </c>
      <c r="C5985" s="9" t="s">
        <v>110</v>
      </c>
      <c r="D5985" s="9" t="s">
        <v>52</v>
      </c>
      <c r="E5985" s="6" t="s">
        <v>6252</v>
      </c>
      <c r="F5985" s="9" t="s">
        <v>13838</v>
      </c>
      <c r="G5985" t="inlineStr" s="6">
        <is>
          <t xml:space="preserve">To fire Qwilfish's poison spikes, it must inflate its body by drinking over 2.6 gallons of water all at once. The small spikes covering its body developed from scales. They inject a toxin that causes fainting. When faced with a larger opponent, it swallows as much water as it can to match the opponent's size. QWILFISH sucks in water, inflating itself. This POKéMON uses the pressure of the water it swallowed to shoot toxic quills all at once from all over its body. It finds swimming somewhat challenging. A QWILFISH uses the pressure of water it swallows to shoot toxic quills all at once from all over its body. It finds swimming to be somewhat challenging. It shoots the poison spines on its body in all directions. Its round form makes it a poor swimmer. Fishers detest this troublesome Pokémon because it sprays poison from its spines, getting it everywhere. A different form of Qwilfish lives in other regions.</t>
        </is>
      </c>
    </row>
    <row r="5986" ht="33.75" customHeight="1">
      <c r="A5986" s="7">
        <v>211.0</v>
      </c>
      <c r="B5986" s="9" t="s">
        <v>12293</v>
      </c>
      <c r="C5986" s="9" t="s">
        <v>110</v>
      </c>
      <c r="D5986" s="9" t="s">
        <v>59</v>
      </c>
      <c r="E5986" s="6" t="s">
        <v>6253</v>
      </c>
      <c r="F5986" s="9" t="s">
        <v>13838</v>
      </c>
    </row>
    <row r="5987" ht="33.75" customHeight="1">
      <c r="A5987" s="7">
        <v>211.0</v>
      </c>
      <c r="B5987" s="9" t="s">
        <v>12293</v>
      </c>
      <c r="C5987" s="9" t="s">
        <v>110</v>
      </c>
      <c r="D5987" s="9" t="s">
        <v>64</v>
      </c>
      <c r="E5987" s="6" t="s">
        <v>6254</v>
      </c>
      <c r="F5987" s="9" t="s">
        <v>13838</v>
      </c>
    </row>
    <row r="5988" ht="33.75" customHeight="1">
      <c r="A5988" s="7">
        <v>211.0</v>
      </c>
      <c r="B5988" s="9" t="s">
        <v>12293</v>
      </c>
      <c r="C5988" s="9" t="s">
        <v>110</v>
      </c>
      <c r="D5988" s="9" t="s">
        <v>67</v>
      </c>
      <c r="E5988" s="6" t="s">
        <v>6255</v>
      </c>
      <c r="F5988" s="9" t="s">
        <v>13838</v>
      </c>
    </row>
    <row r="5989" ht="33.75" customHeight="1">
      <c r="A5989" s="7">
        <v>211.0</v>
      </c>
      <c r="B5989" s="9" t="s">
        <v>12293</v>
      </c>
      <c r="C5989" s="9" t="s">
        <v>110</v>
      </c>
      <c r="D5989" s="9" t="s">
        <v>71</v>
      </c>
      <c r="E5989" s="6" t="s">
        <v>6255</v>
      </c>
      <c r="F5989" s="9" t="s">
        <v>13838</v>
      </c>
    </row>
    <row r="5990" ht="33.75" customHeight="1">
      <c r="A5990" s="7">
        <v>211.0</v>
      </c>
      <c r="B5990" s="9" t="s">
        <v>12293</v>
      </c>
      <c r="C5990" s="9" t="s">
        <v>110</v>
      </c>
      <c r="D5990" s="9" t="s">
        <v>73</v>
      </c>
      <c r="E5990" s="6" t="s">
        <v>6256</v>
      </c>
      <c r="F5990" s="9" t="s">
        <v>13838</v>
      </c>
    </row>
    <row r="5991" ht="33.75" customHeight="1">
      <c r="A5991" s="7">
        <v>211.0</v>
      </c>
      <c r="B5991" s="9" t="s">
        <v>12293</v>
      </c>
      <c r="C5991" s="9" t="s">
        <v>110</v>
      </c>
      <c r="D5991" s="9" t="s">
        <v>75</v>
      </c>
      <c r="E5991" s="6" t="s">
        <v>6258</v>
      </c>
      <c r="F5991" s="9" t="s">
        <v>13838</v>
      </c>
    </row>
    <row r="5992" ht="33.75" customHeight="1">
      <c r="A5992" s="7">
        <v>211.0</v>
      </c>
      <c r="B5992" s="9" t="s">
        <v>12293</v>
      </c>
      <c r="C5992" s="9" t="s">
        <v>110</v>
      </c>
      <c r="D5992" s="9" t="s">
        <v>79</v>
      </c>
      <c r="E5992" s="6" t="s">
        <v>6252</v>
      </c>
      <c r="F5992" s="9" t="s">
        <v>13838</v>
      </c>
    </row>
    <row r="5993" ht="33.75" customHeight="1">
      <c r="A5993" s="7">
        <v>211.0</v>
      </c>
      <c r="B5993" s="9" t="s">
        <v>12293</v>
      </c>
      <c r="C5993" s="9" t="s">
        <v>110</v>
      </c>
      <c r="D5993" s="9" t="s">
        <v>81</v>
      </c>
      <c r="E5993" s="6" t="s">
        <v>6259</v>
      </c>
      <c r="F5993" s="9" t="s">
        <v>13838</v>
      </c>
    </row>
    <row r="5994" ht="33.75" customHeight="1">
      <c r="A5994" s="7">
        <v>211.0</v>
      </c>
      <c r="B5994" s="9" t="s">
        <v>12293</v>
      </c>
      <c r="C5994" s="9" t="s">
        <v>110</v>
      </c>
      <c r="D5994" s="9" t="s">
        <v>84</v>
      </c>
      <c r="E5994" s="6" t="s">
        <v>6259</v>
      </c>
      <c r="F5994" s="9" t="s">
        <v>13838</v>
      </c>
    </row>
    <row r="5995" ht="33.75" customHeight="1">
      <c r="A5995" s="7">
        <v>211.0</v>
      </c>
      <c r="B5995" s="9" t="s">
        <v>12293</v>
      </c>
      <c r="C5995" s="9" t="s">
        <v>110</v>
      </c>
      <c r="D5995" s="9" t="s">
        <v>87</v>
      </c>
      <c r="E5995" s="6" t="s">
        <v>6259</v>
      </c>
      <c r="F5995" s="9" t="s">
        <v>13838</v>
      </c>
    </row>
    <row r="5996" ht="33.75" customHeight="1">
      <c r="A5996" s="7">
        <v>211.0</v>
      </c>
      <c r="B5996" s="9" t="s">
        <v>12293</v>
      </c>
      <c r="C5996" s="9" t="s">
        <v>110</v>
      </c>
      <c r="D5996" s="9" t="s">
        <v>89</v>
      </c>
      <c r="E5996" s="6" t="s">
        <v>6252</v>
      </c>
      <c r="F5996" s="9" t="s">
        <v>13838</v>
      </c>
    </row>
    <row r="5997" ht="33.75" customHeight="1">
      <c r="A5997" s="7">
        <v>211.0</v>
      </c>
      <c r="B5997" s="9" t="s">
        <v>12293</v>
      </c>
      <c r="C5997" s="9" t="s">
        <v>110</v>
      </c>
      <c r="D5997" s="9" t="s">
        <v>91</v>
      </c>
      <c r="E5997" s="6" t="s">
        <v>6258</v>
      </c>
      <c r="F5997" s="9" t="s">
        <v>13838</v>
      </c>
    </row>
    <row r="5998" ht="33.75" customHeight="1">
      <c r="A5998" s="7">
        <v>211.0</v>
      </c>
      <c r="B5998" s="9" t="s">
        <v>12293</v>
      </c>
      <c r="C5998" s="9" t="s">
        <v>110</v>
      </c>
      <c r="D5998" s="9" t="s">
        <v>93</v>
      </c>
      <c r="E5998" s="6" t="s">
        <v>6259</v>
      </c>
      <c r="F5998" s="9" t="s">
        <v>13838</v>
      </c>
    </row>
    <row r="5999" ht="33.75" customHeight="1">
      <c r="A5999" s="7">
        <v>211.0</v>
      </c>
      <c r="B5999" s="9" t="s">
        <v>12293</v>
      </c>
      <c r="C5999" s="9" t="s">
        <v>110</v>
      </c>
      <c r="D5999" s="9" t="s">
        <v>95</v>
      </c>
      <c r="E5999" s="6" t="s">
        <v>6259</v>
      </c>
      <c r="F5999" s="9" t="s">
        <v>13838</v>
      </c>
    </row>
    <row r="6000" ht="33.75" customHeight="1">
      <c r="A6000" s="7">
        <v>211.0</v>
      </c>
      <c r="B6000" s="9" t="s">
        <v>12293</v>
      </c>
      <c r="C6000" s="9" t="s">
        <v>110</v>
      </c>
      <c r="D6000" s="9" t="s">
        <v>98</v>
      </c>
      <c r="E6000" s="6" t="s">
        <v>6259</v>
      </c>
      <c r="F6000" s="9" t="s">
        <v>13838</v>
      </c>
    </row>
    <row r="6001" ht="33.75" customHeight="1">
      <c r="A6001" s="7">
        <v>211.0</v>
      </c>
      <c r="B6001" s="9" t="s">
        <v>12293</v>
      </c>
      <c r="C6001" s="9" t="s">
        <v>110</v>
      </c>
      <c r="D6001" s="9" t="s">
        <v>99</v>
      </c>
      <c r="E6001" s="6" t="s">
        <v>6259</v>
      </c>
      <c r="F6001" s="9" t="s">
        <v>13838</v>
      </c>
    </row>
    <row r="6002" ht="33.75" customHeight="1">
      <c r="A6002" s="7">
        <v>211.0</v>
      </c>
      <c r="B6002" s="9" t="s">
        <v>12293</v>
      </c>
      <c r="C6002" s="9" t="s">
        <v>110</v>
      </c>
      <c r="D6002" s="9" t="s">
        <v>101</v>
      </c>
      <c r="E6002" s="6" t="s">
        <v>6252</v>
      </c>
      <c r="F6002" s="9" t="s">
        <v>13838</v>
      </c>
    </row>
    <row r="6003" ht="33.75" customHeight="1">
      <c r="A6003" s="7">
        <v>211.0</v>
      </c>
      <c r="B6003" s="9" t="s">
        <v>12293</v>
      </c>
      <c r="C6003" s="9" t="s">
        <v>110</v>
      </c>
      <c r="D6003" s="9" t="s">
        <v>105</v>
      </c>
      <c r="E6003" s="6" t="s">
        <v>6258</v>
      </c>
      <c r="F6003" s="9" t="s">
        <v>13838</v>
      </c>
    </row>
    <row r="6004" ht="33.75" customHeight="1">
      <c r="A6004" s="7">
        <v>211.0</v>
      </c>
      <c r="B6004" s="9" t="s">
        <v>12293</v>
      </c>
      <c r="C6004" s="9" t="s">
        <v>110</v>
      </c>
      <c r="D6004" s="9" t="s">
        <v>107</v>
      </c>
      <c r="E6004" s="6" t="s">
        <v>6261</v>
      </c>
      <c r="F6004" s="9" t="s">
        <v>13838</v>
      </c>
    </row>
    <row r="6005" ht="33.75" customHeight="1">
      <c r="A6005" s="7">
        <v>211.0</v>
      </c>
      <c r="B6005" s="9" t="s">
        <v>12293</v>
      </c>
      <c r="C6005" s="9" t="s">
        <v>110</v>
      </c>
      <c r="D6005" s="9" t="s">
        <v>109</v>
      </c>
      <c r="E6005" s="6" t="s">
        <v>6261</v>
      </c>
      <c r="F6005" s="9" t="s">
        <v>13838</v>
      </c>
    </row>
    <row r="6006" ht="33.75" customHeight="1">
      <c r="A6006" s="7">
        <v>211.0</v>
      </c>
      <c r="B6006" s="9" t="s">
        <v>12293</v>
      </c>
      <c r="C6006" s="9" t="s">
        <v>110</v>
      </c>
      <c r="D6006" s="9" t="s">
        <v>114</v>
      </c>
      <c r="E6006" s="6" t="s">
        <v>6263</v>
      </c>
      <c r="F6006" s="9" t="s">
        <v>13838</v>
      </c>
    </row>
    <row r="6007" ht="33.75" customHeight="1">
      <c r="A6007" s="7">
        <v>211.0</v>
      </c>
      <c r="B6007" s="9" t="s">
        <v>12293</v>
      </c>
      <c r="C6007" s="9" t="s">
        <v>110</v>
      </c>
      <c r="D6007" s="9" t="s">
        <v>117</v>
      </c>
      <c r="E6007" s="6" t="s">
        <v>6258</v>
      </c>
      <c r="F6007" s="9" t="s">
        <v>13838</v>
      </c>
    </row>
    <row r="6008" ht="33.75" customHeight="1">
      <c r="A6008" s="7">
        <v>211.0</v>
      </c>
      <c r="B6008" s="9" t="s">
        <v>12293</v>
      </c>
      <c r="C6008" s="9" t="s">
        <v>110</v>
      </c>
      <c r="D6008" s="9" t="s">
        <v>1577</v>
      </c>
      <c r="E6008" s="6" t="s">
        <v>6264</v>
      </c>
      <c r="F6008" s="9" t="s">
        <v>13838</v>
      </c>
    </row>
    <row r="6009" ht="33.75" customHeight="1">
      <c r="A6009" s="7">
        <v>212.0</v>
      </c>
      <c r="B6009" s="9" t="s">
        <v>12337</v>
      </c>
      <c r="C6009" s="9" t="s">
        <v>171</v>
      </c>
      <c r="D6009" s="9" t="s">
        <v>52</v>
      </c>
      <c r="E6009" s="6" t="s">
        <v>6266</v>
      </c>
      <c r="F6009" s="9" t="s">
        <v>13848</v>
      </c>
      <c r="G6009" t="inlineStr" s="6">
        <is>
          <t xml:space="preserve">It swings Scizor's eye- patterned pincers up to scare its foes. This makes it look like it has three heads. Its wings are not used for flying. They are flapped at high speed to adjust its body temperature. This POKéMON's pincers, which contain steel, can crush any hard object it gets a hold of into bits. SCIZOR has a body with the hardness of steel. It is not easily fazed by ordinary sorts of attacks. This POKéMON flaps its wings to regulate its body temperature. A SCIZOR has a body with the hardness of steel. It flaps its wings to regulate its body temperature. It swings its eye-patterned pincers up to scare its foes. It has a steel-hard body. It intimidates foes by upraising its eye-patterned pincers. It raises its pincers with eyelike markings for intimidation. It also swings them down dangerously. This Pokémon’s pincers, which contain steel, can crush any hard object it gets ahold of into bits. It uses its wings to adjust its body temperature. Otherwise, its metal body would become too hot and melt in the heat of battle. Once it has identified an enemy, this Pokémon smashes it mercilessly with pincers hard as steel. Its body is like steel. Its tough, heavy pincers are more suited to smashing enemies than grabbing them. Once it has identified something as an enemy, it will continue beating them with its steel-hard pincers until there’s nothing left but scraps. Bulky pincers account for one third of Scizor’s body weight. A single swing of one of these pincers will crush a boulder completely. Though its body is slim, Scizor has tremendous attacking power. Even Scizor’s muscles are made of metal. Evolved by way of a curious item. The shell covering its body has been shown to be stronger than forged steel.</t>
        </is>
      </c>
    </row>
    <row r="6010" ht="33.75" customHeight="1">
      <c r="A6010" s="7">
        <v>212.0</v>
      </c>
      <c r="B6010" s="9" t="s">
        <v>12337</v>
      </c>
      <c r="C6010" s="9" t="s">
        <v>171</v>
      </c>
      <c r="D6010" s="9" t="s">
        <v>59</v>
      </c>
      <c r="E6010" s="6" t="s">
        <v>6267</v>
      </c>
      <c r="F6010" s="9" t="s">
        <v>13848</v>
      </c>
    </row>
    <row r="6011" ht="33.75" customHeight="1">
      <c r="A6011" s="7">
        <v>212.0</v>
      </c>
      <c r="B6011" s="9" t="s">
        <v>12337</v>
      </c>
      <c r="C6011" s="9" t="s">
        <v>171</v>
      </c>
      <c r="D6011" s="9" t="s">
        <v>64</v>
      </c>
      <c r="E6011" s="6" t="s">
        <v>6268</v>
      </c>
      <c r="F6011" s="9" t="s">
        <v>13848</v>
      </c>
    </row>
    <row r="6012" ht="33.75" customHeight="1">
      <c r="A6012" s="7">
        <v>212.0</v>
      </c>
      <c r="B6012" s="9" t="s">
        <v>12337</v>
      </c>
      <c r="C6012" s="9" t="s">
        <v>171</v>
      </c>
      <c r="D6012" s="9" t="s">
        <v>67</v>
      </c>
      <c r="E6012" s="6" t="s">
        <v>6269</v>
      </c>
      <c r="F6012" s="9" t="s">
        <v>13848</v>
      </c>
    </row>
    <row r="6013" ht="33.75" customHeight="1">
      <c r="A6013" s="7">
        <v>212.0</v>
      </c>
      <c r="B6013" s="9" t="s">
        <v>12337</v>
      </c>
      <c r="C6013" s="9" t="s">
        <v>171</v>
      </c>
      <c r="D6013" s="9" t="s">
        <v>71</v>
      </c>
      <c r="E6013" s="6" t="s">
        <v>6269</v>
      </c>
      <c r="F6013" s="9" t="s">
        <v>13848</v>
      </c>
    </row>
    <row r="6014" ht="33.75" customHeight="1">
      <c r="A6014" s="7">
        <v>212.0</v>
      </c>
      <c r="B6014" s="9" t="s">
        <v>12337</v>
      </c>
      <c r="C6014" s="9" t="s">
        <v>171</v>
      </c>
      <c r="D6014" s="9" t="s">
        <v>73</v>
      </c>
      <c r="E6014" s="6" t="s">
        <v>6270</v>
      </c>
      <c r="F6014" s="9" t="s">
        <v>13848</v>
      </c>
    </row>
    <row r="6015" ht="33.75" customHeight="1">
      <c r="A6015" s="7">
        <v>212.0</v>
      </c>
      <c r="B6015" s="9" t="s">
        <v>12337</v>
      </c>
      <c r="C6015" s="9" t="s">
        <v>171</v>
      </c>
      <c r="D6015" s="9" t="s">
        <v>75</v>
      </c>
      <c r="E6015" s="6" t="s">
        <v>6267</v>
      </c>
      <c r="F6015" s="9" t="s">
        <v>13848</v>
      </c>
    </row>
    <row r="6016" ht="33.75" customHeight="1">
      <c r="A6016" s="7">
        <v>212.0</v>
      </c>
      <c r="B6016" s="9" t="s">
        <v>12337</v>
      </c>
      <c r="C6016" s="9" t="s">
        <v>171</v>
      </c>
      <c r="D6016" s="9" t="s">
        <v>79</v>
      </c>
      <c r="E6016" s="6" t="s">
        <v>6271</v>
      </c>
      <c r="F6016" s="9" t="s">
        <v>13848</v>
      </c>
    </row>
    <row r="6017" ht="33.75" customHeight="1">
      <c r="A6017" s="7">
        <v>212.0</v>
      </c>
      <c r="B6017" s="9" t="s">
        <v>12337</v>
      </c>
      <c r="C6017" s="9" t="s">
        <v>171</v>
      </c>
      <c r="D6017" s="9" t="s">
        <v>81</v>
      </c>
      <c r="E6017" s="6" t="s">
        <v>6272</v>
      </c>
      <c r="F6017" s="9" t="s">
        <v>13848</v>
      </c>
    </row>
    <row r="6018" ht="33.75" customHeight="1">
      <c r="A6018" s="7">
        <v>212.0</v>
      </c>
      <c r="B6018" s="9" t="s">
        <v>12337</v>
      </c>
      <c r="C6018" s="9" t="s">
        <v>171</v>
      </c>
      <c r="D6018" s="9" t="s">
        <v>84</v>
      </c>
      <c r="E6018" s="6" t="s">
        <v>6272</v>
      </c>
      <c r="F6018" s="9" t="s">
        <v>13848</v>
      </c>
    </row>
    <row r="6019" ht="33.75" customHeight="1">
      <c r="A6019" s="7">
        <v>212.0</v>
      </c>
      <c r="B6019" s="9" t="s">
        <v>12337</v>
      </c>
      <c r="C6019" s="9" t="s">
        <v>171</v>
      </c>
      <c r="D6019" s="9" t="s">
        <v>87</v>
      </c>
      <c r="E6019" s="6" t="s">
        <v>6273</v>
      </c>
      <c r="F6019" s="9" t="s">
        <v>13848</v>
      </c>
    </row>
    <row r="6020" ht="33.75" customHeight="1">
      <c r="A6020" s="7">
        <v>212.0</v>
      </c>
      <c r="B6020" s="9" t="s">
        <v>12337</v>
      </c>
      <c r="C6020" s="9" t="s">
        <v>171</v>
      </c>
      <c r="D6020" s="9" t="s">
        <v>89</v>
      </c>
      <c r="E6020" s="6" t="s">
        <v>6271</v>
      </c>
      <c r="F6020" s="9" t="s">
        <v>13848</v>
      </c>
    </row>
    <row r="6021" ht="33.75" customHeight="1">
      <c r="A6021" s="7">
        <v>212.0</v>
      </c>
      <c r="B6021" s="9" t="s">
        <v>12337</v>
      </c>
      <c r="C6021" s="9" t="s">
        <v>171</v>
      </c>
      <c r="D6021" s="9" t="s">
        <v>91</v>
      </c>
      <c r="E6021" s="6" t="s">
        <v>6267</v>
      </c>
      <c r="F6021" s="9" t="s">
        <v>13848</v>
      </c>
    </row>
    <row r="6022" ht="33.75" customHeight="1">
      <c r="A6022" s="7">
        <v>212.0</v>
      </c>
      <c r="B6022" s="9" t="s">
        <v>12337</v>
      </c>
      <c r="C6022" s="9" t="s">
        <v>171</v>
      </c>
      <c r="D6022" s="9" t="s">
        <v>93</v>
      </c>
      <c r="E6022" s="6" t="s">
        <v>6273</v>
      </c>
      <c r="F6022" s="9" t="s">
        <v>13848</v>
      </c>
    </row>
    <row r="6023" ht="33.75" customHeight="1">
      <c r="A6023" s="7">
        <v>212.0</v>
      </c>
      <c r="B6023" s="9" t="s">
        <v>12337</v>
      </c>
      <c r="C6023" s="9" t="s">
        <v>171</v>
      </c>
      <c r="D6023" s="9" t="s">
        <v>95</v>
      </c>
      <c r="E6023" s="6" t="s">
        <v>6273</v>
      </c>
      <c r="F6023" s="9" t="s">
        <v>13848</v>
      </c>
    </row>
    <row r="6024" ht="33.75" customHeight="1">
      <c r="A6024" s="7">
        <v>212.0</v>
      </c>
      <c r="B6024" s="9" t="s">
        <v>12337</v>
      </c>
      <c r="C6024" s="9" t="s">
        <v>171</v>
      </c>
      <c r="D6024" s="9" t="s">
        <v>98</v>
      </c>
      <c r="E6024" s="6" t="s">
        <v>6273</v>
      </c>
      <c r="F6024" s="9" t="s">
        <v>13848</v>
      </c>
    </row>
    <row r="6025" ht="33.75" customHeight="1">
      <c r="A6025" s="7">
        <v>212.0</v>
      </c>
      <c r="B6025" s="9" t="s">
        <v>12337</v>
      </c>
      <c r="C6025" s="9" t="s">
        <v>171</v>
      </c>
      <c r="D6025" s="9" t="s">
        <v>99</v>
      </c>
      <c r="E6025" s="6" t="s">
        <v>6273</v>
      </c>
      <c r="F6025" s="9" t="s">
        <v>13848</v>
      </c>
    </row>
    <row r="6026" ht="33.75" customHeight="1">
      <c r="A6026" s="7">
        <v>212.0</v>
      </c>
      <c r="B6026" s="9" t="s">
        <v>12337</v>
      </c>
      <c r="C6026" s="9" t="s">
        <v>171</v>
      </c>
      <c r="D6026" s="9" t="s">
        <v>101</v>
      </c>
      <c r="E6026" s="6" t="s">
        <v>6274</v>
      </c>
      <c r="F6026" s="9" t="s">
        <v>13848</v>
      </c>
    </row>
    <row r="6027" ht="33.75" customHeight="1">
      <c r="A6027" s="7">
        <v>212.0</v>
      </c>
      <c r="B6027" s="9" t="s">
        <v>12337</v>
      </c>
      <c r="C6027" s="9" t="s">
        <v>171</v>
      </c>
      <c r="D6027" s="9" t="s">
        <v>105</v>
      </c>
      <c r="E6027" s="6" t="s">
        <v>6272</v>
      </c>
      <c r="F6027" s="9" t="s">
        <v>13848</v>
      </c>
    </row>
    <row r="6028" ht="33.75" customHeight="1">
      <c r="A6028" s="7">
        <v>212.0</v>
      </c>
      <c r="B6028" s="9" t="s">
        <v>12337</v>
      </c>
      <c r="C6028" s="9" t="s">
        <v>171</v>
      </c>
      <c r="D6028" s="9" t="s">
        <v>107</v>
      </c>
      <c r="E6028" s="6" t="s">
        <v>6275</v>
      </c>
      <c r="F6028" s="9" t="s">
        <v>13848</v>
      </c>
    </row>
    <row r="6029" ht="33.75" customHeight="1">
      <c r="A6029" s="7">
        <v>212.0</v>
      </c>
      <c r="B6029" s="9" t="s">
        <v>12337</v>
      </c>
      <c r="C6029" s="9" t="s">
        <v>171</v>
      </c>
      <c r="D6029" s="9" t="s">
        <v>109</v>
      </c>
      <c r="E6029" s="6" t="s">
        <v>6275</v>
      </c>
      <c r="F6029" s="9" t="s">
        <v>13848</v>
      </c>
    </row>
    <row r="6030" ht="33.75" customHeight="1">
      <c r="A6030" s="7">
        <v>212.0</v>
      </c>
      <c r="B6030" s="9" t="s">
        <v>12337</v>
      </c>
      <c r="C6030" s="9" t="s">
        <v>171</v>
      </c>
      <c r="D6030" s="9" t="s">
        <v>637</v>
      </c>
      <c r="E6030" s="6" t="s">
        <v>6276</v>
      </c>
      <c r="F6030" s="9" t="s">
        <v>13848</v>
      </c>
    </row>
    <row r="6031" ht="33.75" customHeight="1">
      <c r="A6031" s="7">
        <v>212.0</v>
      </c>
      <c r="B6031" s="9" t="s">
        <v>12337</v>
      </c>
      <c r="C6031" s="9" t="s">
        <v>171</v>
      </c>
      <c r="D6031" s="9" t="s">
        <v>642</v>
      </c>
      <c r="E6031" s="6" t="s">
        <v>6277</v>
      </c>
      <c r="F6031" s="9" t="s">
        <v>13848</v>
      </c>
    </row>
    <row r="6032" ht="33.75" customHeight="1">
      <c r="A6032" s="7">
        <v>212.0</v>
      </c>
      <c r="B6032" s="9" t="s">
        <v>12337</v>
      </c>
      <c r="C6032" s="9" t="s">
        <v>171</v>
      </c>
      <c r="D6032" s="9" t="s">
        <v>647</v>
      </c>
      <c r="E6032" s="6" t="s">
        <v>6279</v>
      </c>
      <c r="F6032" s="9" t="s">
        <v>13848</v>
      </c>
    </row>
    <row r="6033" ht="33.75" customHeight="1">
      <c r="A6033" s="7">
        <v>212.0</v>
      </c>
      <c r="B6033" s="9" t="s">
        <v>12337</v>
      </c>
      <c r="C6033" s="9" t="s">
        <v>171</v>
      </c>
      <c r="D6033" s="9" t="s">
        <v>652</v>
      </c>
      <c r="E6033" s="6" t="s">
        <v>6280</v>
      </c>
      <c r="F6033" s="9" t="s">
        <v>13848</v>
      </c>
    </row>
    <row r="6034" ht="33.75" customHeight="1">
      <c r="A6034" s="7">
        <v>212.0</v>
      </c>
      <c r="B6034" s="9" t="s">
        <v>12337</v>
      </c>
      <c r="C6034" s="9" t="s">
        <v>171</v>
      </c>
      <c r="D6034" s="9" t="s">
        <v>114</v>
      </c>
      <c r="E6034" s="6" t="s">
        <v>6281</v>
      </c>
      <c r="F6034" s="9" t="s">
        <v>13848</v>
      </c>
    </row>
    <row r="6035" ht="33.75" customHeight="1">
      <c r="A6035" s="7">
        <v>212.0</v>
      </c>
      <c r="B6035" s="9" t="s">
        <v>12337</v>
      </c>
      <c r="C6035" s="9" t="s">
        <v>171</v>
      </c>
      <c r="D6035" s="9" t="s">
        <v>117</v>
      </c>
      <c r="E6035" s="6" t="s">
        <v>6283</v>
      </c>
      <c r="F6035" s="9" t="s">
        <v>13848</v>
      </c>
    </row>
    <row r="6036" ht="33.75" customHeight="1">
      <c r="A6036" s="7">
        <v>212.0</v>
      </c>
      <c r="B6036" s="9" t="s">
        <v>12337</v>
      </c>
      <c r="C6036" s="9" t="s">
        <v>171</v>
      </c>
      <c r="D6036" s="9" t="s">
        <v>1577</v>
      </c>
      <c r="E6036" s="6" t="s">
        <v>6284</v>
      </c>
      <c r="F6036" s="9" t="s">
        <v>13848</v>
      </c>
    </row>
    <row r="6037" ht="33.75" customHeight="1">
      <c r="A6037" s="7">
        <v>213.0</v>
      </c>
      <c r="B6037" s="9" t="s">
        <v>12388</v>
      </c>
      <c r="C6037" s="9" t="s">
        <v>315</v>
      </c>
      <c r="D6037" s="9" t="s">
        <v>52</v>
      </c>
      <c r="E6037" s="6" t="s">
        <v>6286</v>
      </c>
      <c r="F6037" s="9" t="s">
        <v>13867</v>
      </c>
      <c r="G6037" t="inlineStr" s="6">
        <is>
          <t xml:space="preserve">The BERRIES it stores in Shuckle's vase-like shell decompose and become a gooey liquid. It stores BERRIES inside its shell. To avoid attacks, it hides beneath rocks and remains completely still. The fluid secreted by its toes carves holes in rocks for nesting and can be mixed with BERRIES to make a drink. SHUCKLE quietly hides itself under rocks, keeping its body concealed inside its hard shell while eating berries it has stored away. The berries mix with its body fluids to become a juice. A SHUCKLE hides under rocks, keeping its body concealed inside its shell while eating stored berries. The BERRIES it stores in its vaselike shell decompose and become a gooey liquid. It stores berries in its shell. The berries eventually ferment to become delicious juices. The berries stored in its vaselike shell eventually become a thick, pulpy juice. The berries stored in its jar-like shell eventually become a thick, pulpy juice.</t>
        </is>
      </c>
    </row>
    <row r="6038" ht="33.75" customHeight="1">
      <c r="A6038" s="7">
        <v>213.0</v>
      </c>
      <c r="B6038" s="9" t="s">
        <v>12388</v>
      </c>
      <c r="C6038" s="9" t="s">
        <v>315</v>
      </c>
      <c r="D6038" s="9" t="s">
        <v>59</v>
      </c>
      <c r="E6038" s="6" t="s">
        <v>6287</v>
      </c>
      <c r="F6038" s="9" t="s">
        <v>13867</v>
      </c>
    </row>
    <row r="6039" ht="33.75" customHeight="1">
      <c r="A6039" s="7">
        <v>213.0</v>
      </c>
      <c r="B6039" s="9" t="s">
        <v>12388</v>
      </c>
      <c r="C6039" s="9" t="s">
        <v>315</v>
      </c>
      <c r="D6039" s="9" t="s">
        <v>64</v>
      </c>
      <c r="E6039" s="6" t="s">
        <v>6288</v>
      </c>
      <c r="F6039" s="9" t="s">
        <v>13867</v>
      </c>
    </row>
    <row r="6040" ht="33.75" customHeight="1">
      <c r="A6040" s="7">
        <v>213.0</v>
      </c>
      <c r="B6040" s="9" t="s">
        <v>12388</v>
      </c>
      <c r="C6040" s="9" t="s">
        <v>315</v>
      </c>
      <c r="D6040" s="9" t="s">
        <v>67</v>
      </c>
      <c r="E6040" s="6" t="s">
        <v>6290</v>
      </c>
      <c r="F6040" s="9" t="s">
        <v>13867</v>
      </c>
    </row>
    <row r="6041" ht="33.75" customHeight="1">
      <c r="A6041" s="7">
        <v>213.0</v>
      </c>
      <c r="B6041" s="9" t="s">
        <v>12388</v>
      </c>
      <c r="C6041" s="9" t="s">
        <v>315</v>
      </c>
      <c r="D6041" s="9" t="s">
        <v>71</v>
      </c>
      <c r="E6041" s="6" t="s">
        <v>6290</v>
      </c>
      <c r="F6041" s="9" t="s">
        <v>13867</v>
      </c>
    </row>
    <row r="6042" ht="33.75" customHeight="1">
      <c r="A6042" s="7">
        <v>213.0</v>
      </c>
      <c r="B6042" s="9" t="s">
        <v>12388</v>
      </c>
      <c r="C6042" s="9" t="s">
        <v>315</v>
      </c>
      <c r="D6042" s="9" t="s">
        <v>73</v>
      </c>
      <c r="E6042" s="6" t="s">
        <v>6291</v>
      </c>
      <c r="F6042" s="9" t="s">
        <v>13867</v>
      </c>
    </row>
    <row r="6043" ht="33.75" customHeight="1">
      <c r="A6043" s="7">
        <v>213.0</v>
      </c>
      <c r="B6043" s="9" t="s">
        <v>12388</v>
      </c>
      <c r="C6043" s="9" t="s">
        <v>315</v>
      </c>
      <c r="D6043" s="9" t="s">
        <v>75</v>
      </c>
      <c r="E6043" s="6" t="s">
        <v>6287</v>
      </c>
      <c r="F6043" s="9" t="s">
        <v>13867</v>
      </c>
    </row>
    <row r="6044" ht="33.75" customHeight="1">
      <c r="A6044" s="7">
        <v>213.0</v>
      </c>
      <c r="B6044" s="9" t="s">
        <v>12388</v>
      </c>
      <c r="C6044" s="9" t="s">
        <v>315</v>
      </c>
      <c r="D6044" s="9" t="s">
        <v>79</v>
      </c>
      <c r="E6044" s="6" t="s">
        <v>6292</v>
      </c>
      <c r="F6044" s="9" t="s">
        <v>13867</v>
      </c>
    </row>
    <row r="6045" ht="33.75" customHeight="1">
      <c r="A6045" s="7">
        <v>213.0</v>
      </c>
      <c r="B6045" s="9" t="s">
        <v>12388</v>
      </c>
      <c r="C6045" s="9" t="s">
        <v>315</v>
      </c>
      <c r="D6045" s="9" t="s">
        <v>81</v>
      </c>
      <c r="E6045" s="6" t="s">
        <v>6293</v>
      </c>
      <c r="F6045" s="9" t="s">
        <v>13867</v>
      </c>
    </row>
    <row r="6046" ht="33.75" customHeight="1">
      <c r="A6046" s="7">
        <v>213.0</v>
      </c>
      <c r="B6046" s="9" t="s">
        <v>12388</v>
      </c>
      <c r="C6046" s="9" t="s">
        <v>315</v>
      </c>
      <c r="D6046" s="9" t="s">
        <v>84</v>
      </c>
      <c r="E6046" s="6" t="s">
        <v>6293</v>
      </c>
      <c r="F6046" s="9" t="s">
        <v>13867</v>
      </c>
    </row>
    <row r="6047" ht="33.75" customHeight="1">
      <c r="A6047" s="7">
        <v>213.0</v>
      </c>
      <c r="B6047" s="9" t="s">
        <v>12388</v>
      </c>
      <c r="C6047" s="9" t="s">
        <v>315</v>
      </c>
      <c r="D6047" s="9" t="s">
        <v>87</v>
      </c>
      <c r="E6047" s="6" t="s">
        <v>6293</v>
      </c>
      <c r="F6047" s="9" t="s">
        <v>13867</v>
      </c>
    </row>
    <row r="6048" ht="33.75" customHeight="1">
      <c r="A6048" s="7">
        <v>213.0</v>
      </c>
      <c r="B6048" s="9" t="s">
        <v>12388</v>
      </c>
      <c r="C6048" s="9" t="s">
        <v>315</v>
      </c>
      <c r="D6048" s="9" t="s">
        <v>89</v>
      </c>
      <c r="E6048" s="6" t="s">
        <v>6294</v>
      </c>
      <c r="F6048" s="9" t="s">
        <v>13867</v>
      </c>
    </row>
    <row r="6049" ht="33.75" customHeight="1">
      <c r="A6049" s="7">
        <v>213.0</v>
      </c>
      <c r="B6049" s="9" t="s">
        <v>12388</v>
      </c>
      <c r="C6049" s="9" t="s">
        <v>315</v>
      </c>
      <c r="D6049" s="9" t="s">
        <v>91</v>
      </c>
      <c r="E6049" s="6" t="s">
        <v>6295</v>
      </c>
      <c r="F6049" s="9" t="s">
        <v>13867</v>
      </c>
    </row>
    <row r="6050" ht="33.75" customHeight="1">
      <c r="A6050" s="7">
        <v>213.0</v>
      </c>
      <c r="B6050" s="9" t="s">
        <v>12388</v>
      </c>
      <c r="C6050" s="9" t="s">
        <v>315</v>
      </c>
      <c r="D6050" s="9" t="s">
        <v>93</v>
      </c>
      <c r="E6050" s="6" t="s">
        <v>6293</v>
      </c>
      <c r="F6050" s="9" t="s">
        <v>13867</v>
      </c>
    </row>
    <row r="6051" ht="33.75" customHeight="1">
      <c r="A6051" s="7">
        <v>213.0</v>
      </c>
      <c r="B6051" s="9" t="s">
        <v>12388</v>
      </c>
      <c r="C6051" s="9" t="s">
        <v>315</v>
      </c>
      <c r="D6051" s="9" t="s">
        <v>95</v>
      </c>
      <c r="E6051" s="6" t="s">
        <v>6293</v>
      </c>
      <c r="F6051" s="9" t="s">
        <v>13867</v>
      </c>
    </row>
    <row r="6052" ht="33.75" customHeight="1">
      <c r="A6052" s="7">
        <v>213.0</v>
      </c>
      <c r="B6052" s="9" t="s">
        <v>12388</v>
      </c>
      <c r="C6052" s="9" t="s">
        <v>315</v>
      </c>
      <c r="D6052" s="9" t="s">
        <v>98</v>
      </c>
      <c r="E6052" s="6" t="s">
        <v>6299</v>
      </c>
      <c r="F6052" s="9" t="s">
        <v>13867</v>
      </c>
    </row>
    <row r="6053" ht="33.75" customHeight="1">
      <c r="A6053" s="7">
        <v>213.0</v>
      </c>
      <c r="B6053" s="9" t="s">
        <v>12388</v>
      </c>
      <c r="C6053" s="9" t="s">
        <v>315</v>
      </c>
      <c r="D6053" s="9" t="s">
        <v>99</v>
      </c>
      <c r="E6053" s="6" t="s">
        <v>6299</v>
      </c>
      <c r="F6053" s="9" t="s">
        <v>13867</v>
      </c>
    </row>
    <row r="6054" ht="33.75" customHeight="1">
      <c r="A6054" s="7">
        <v>213.0</v>
      </c>
      <c r="B6054" s="9" t="s">
        <v>12388</v>
      </c>
      <c r="C6054" s="9" t="s">
        <v>315</v>
      </c>
      <c r="D6054" s="9" t="s">
        <v>101</v>
      </c>
      <c r="E6054" s="6" t="s">
        <v>6300</v>
      </c>
      <c r="F6054" s="9" t="s">
        <v>13867</v>
      </c>
    </row>
    <row r="6055" ht="33.75" customHeight="1">
      <c r="A6055" s="7">
        <v>213.0</v>
      </c>
      <c r="B6055" s="9" t="s">
        <v>12388</v>
      </c>
      <c r="C6055" s="9" t="s">
        <v>315</v>
      </c>
      <c r="D6055" s="9" t="s">
        <v>105</v>
      </c>
      <c r="E6055" s="6" t="s">
        <v>6295</v>
      </c>
      <c r="F6055" s="9" t="s">
        <v>13867</v>
      </c>
    </row>
    <row r="6056" ht="33.75" customHeight="1">
      <c r="A6056" s="7">
        <v>213.0</v>
      </c>
      <c r="B6056" s="9" t="s">
        <v>12388</v>
      </c>
      <c r="C6056" s="9" t="s">
        <v>315</v>
      </c>
      <c r="D6056" s="9" t="s">
        <v>107</v>
      </c>
      <c r="E6056" s="6" t="s">
        <v>6302</v>
      </c>
      <c r="F6056" s="9" t="s">
        <v>13867</v>
      </c>
    </row>
    <row r="6057" ht="33.75" customHeight="1">
      <c r="A6057" s="7">
        <v>213.0</v>
      </c>
      <c r="B6057" s="9" t="s">
        <v>12388</v>
      </c>
      <c r="C6057" s="9" t="s">
        <v>315</v>
      </c>
      <c r="D6057" s="9" t="s">
        <v>109</v>
      </c>
      <c r="E6057" s="6" t="s">
        <v>6302</v>
      </c>
      <c r="F6057" s="9" t="s">
        <v>13867</v>
      </c>
    </row>
    <row r="6058" ht="33.75" customHeight="1">
      <c r="A6058" s="7">
        <v>213.0</v>
      </c>
      <c r="B6058" s="9" t="s">
        <v>12388</v>
      </c>
      <c r="C6058" s="9" t="s">
        <v>315</v>
      </c>
      <c r="D6058" s="9" t="s">
        <v>114</v>
      </c>
      <c r="E6058" s="6" t="s">
        <v>6295</v>
      </c>
      <c r="F6058" s="9" t="s">
        <v>13867</v>
      </c>
    </row>
    <row r="6059" ht="33.75" customHeight="1">
      <c r="A6059" s="7">
        <v>213.0</v>
      </c>
      <c r="B6059" s="9" t="s">
        <v>12388</v>
      </c>
      <c r="C6059" s="9" t="s">
        <v>315</v>
      </c>
      <c r="D6059" s="9" t="s">
        <v>117</v>
      </c>
      <c r="E6059" s="6" t="s">
        <v>6299</v>
      </c>
      <c r="F6059" s="9" t="s">
        <v>13867</v>
      </c>
    </row>
    <row r="6060" ht="33.75" customHeight="1">
      <c r="A6060" s="7">
        <v>214.0</v>
      </c>
      <c r="B6060" s="9" t="s">
        <v>12421</v>
      </c>
      <c r="C6060" s="9" t="s">
        <v>318</v>
      </c>
      <c r="D6060" s="9" t="s">
        <v>52</v>
      </c>
      <c r="E6060" s="6" t="s">
        <v>6304</v>
      </c>
      <c r="F6060" s="9" t="s">
        <v>13877</v>
      </c>
      <c r="G6060" t="inlineStr" s="6">
        <is>
          <t xml:space="preserve">This powerful POKéMON thrusts Heracross's prized horn under its enemies’ bellies then lifts and throws them. Usually docile, but if disturbed while sipping honey, it chases off the intruder with its horn. With its Herculean powers, it can easily throw around an object that is 100 times its own weight. HERACROSS charges in a straight line at its foe, slips beneath the foe’s grasp, and then scoops up and hurls the opponent with its mighty horn. This POKéMON even has enough power to topple a massive tree. HERACROSS has sharp claws on its feet. These are planted firmly into the ground or the bark of a tree, giving the POKéMON a secure and solid footing to forcefully fling away foes with its proud horn. They gather in forests seeking the sweet sap of trees. It is completely clad in a steel-hard shell. It is proud of its horn, which it uses to fling foes. This powerful POKéMON thrusts its prized horn under its enemies’ bellies, then lifts and throws them. It gathers in forests to search for tree sap, its favorite food. It’s strong enough to hurl foes. With powerful legs and claws, it generates enough power to hurl foes over great distances. It loves sweet honey. To keep all the honey to itself, it hurls rivals away with its prized horn. It is usually docile, but if it is disturbed while sipping honey, it chases off the intruder with its horn. No matter how heavy its opponents, it flings them far away with its prized horn. It’s proud of its thick horn. In Alola, its biggest rival is Vikavolt, which it’s always fighting with. It roams through forests searching for sweet nectar. Although it boasts fantastic physical strength, it’s not that good at flying. Heracross loves sweet sap and will go looking through forests for it. The Pokémon uses its two antennae to pick up scents as it searches. This Pokémon takes pride in its strength, which allows it to lift things 100 times heavier than itself with no trouble at all. This Pokémon has an unparalleled horn. Heracross itself demonstrates tremendous power—it's capable of throwing several people trained in the traditional arts of war at once.</t>
        </is>
      </c>
    </row>
    <row r="6061" ht="33.75" customHeight="1">
      <c r="A6061" s="7">
        <v>214.0</v>
      </c>
      <c r="B6061" s="9" t="s">
        <v>12421</v>
      </c>
      <c r="C6061" s="9" t="s">
        <v>318</v>
      </c>
      <c r="D6061" s="9" t="s">
        <v>59</v>
      </c>
      <c r="E6061" s="6" t="s">
        <v>6306</v>
      </c>
      <c r="F6061" s="9" t="s">
        <v>13877</v>
      </c>
    </row>
    <row r="6062" ht="33.75" customHeight="1">
      <c r="A6062" s="7">
        <v>214.0</v>
      </c>
      <c r="B6062" s="9" t="s">
        <v>12421</v>
      </c>
      <c r="C6062" s="9" t="s">
        <v>318</v>
      </c>
      <c r="D6062" s="9" t="s">
        <v>64</v>
      </c>
      <c r="E6062" s="6" t="s">
        <v>6308</v>
      </c>
      <c r="F6062" s="9" t="s">
        <v>13877</v>
      </c>
    </row>
    <row r="6063" ht="33.75" customHeight="1">
      <c r="A6063" s="7">
        <v>214.0</v>
      </c>
      <c r="B6063" s="9" t="s">
        <v>12421</v>
      </c>
      <c r="C6063" s="9" t="s">
        <v>318</v>
      </c>
      <c r="D6063" s="9" t="s">
        <v>67</v>
      </c>
      <c r="E6063" s="6" t="s">
        <v>6310</v>
      </c>
      <c r="F6063" s="9" t="s">
        <v>13877</v>
      </c>
    </row>
    <row r="6064" ht="33.75" customHeight="1">
      <c r="A6064" s="7">
        <v>214.0</v>
      </c>
      <c r="B6064" s="9" t="s">
        <v>12421</v>
      </c>
      <c r="C6064" s="9" t="s">
        <v>318</v>
      </c>
      <c r="D6064" s="9" t="s">
        <v>71</v>
      </c>
      <c r="E6064" s="6" t="s">
        <v>6312</v>
      </c>
      <c r="F6064" s="9" t="s">
        <v>13877</v>
      </c>
    </row>
    <row r="6065" ht="33.75" customHeight="1">
      <c r="A6065" s="7">
        <v>214.0</v>
      </c>
      <c r="B6065" s="9" t="s">
        <v>12421</v>
      </c>
      <c r="C6065" s="9" t="s">
        <v>318</v>
      </c>
      <c r="D6065" s="9" t="s">
        <v>73</v>
      </c>
      <c r="E6065" s="6" t="s">
        <v>6314</v>
      </c>
      <c r="F6065" s="9" t="s">
        <v>13877</v>
      </c>
    </row>
    <row r="6066" ht="33.75" customHeight="1">
      <c r="A6066" s="7">
        <v>214.0</v>
      </c>
      <c r="B6066" s="9" t="s">
        <v>12421</v>
      </c>
      <c r="C6066" s="9" t="s">
        <v>318</v>
      </c>
      <c r="D6066" s="9" t="s">
        <v>75</v>
      </c>
      <c r="E6066" s="6" t="s">
        <v>6306</v>
      </c>
      <c r="F6066" s="9" t="s">
        <v>13877</v>
      </c>
    </row>
    <row r="6067" ht="33.75" customHeight="1">
      <c r="A6067" s="7">
        <v>214.0</v>
      </c>
      <c r="B6067" s="9" t="s">
        <v>12421</v>
      </c>
      <c r="C6067" s="9" t="s">
        <v>318</v>
      </c>
      <c r="D6067" s="9" t="s">
        <v>79</v>
      </c>
      <c r="E6067" s="6" t="s">
        <v>6316</v>
      </c>
      <c r="F6067" s="9" t="s">
        <v>13877</v>
      </c>
    </row>
    <row r="6068" ht="33.75" customHeight="1">
      <c r="A6068" s="7">
        <v>214.0</v>
      </c>
      <c r="B6068" s="9" t="s">
        <v>12421</v>
      </c>
      <c r="C6068" s="9" t="s">
        <v>318</v>
      </c>
      <c r="D6068" s="9" t="s">
        <v>81</v>
      </c>
      <c r="E6068" s="6" t="s">
        <v>6317</v>
      </c>
      <c r="F6068" s="9" t="s">
        <v>13877</v>
      </c>
    </row>
    <row r="6069" ht="33.75" customHeight="1">
      <c r="A6069" s="7">
        <v>214.0</v>
      </c>
      <c r="B6069" s="9" t="s">
        <v>12421</v>
      </c>
      <c r="C6069" s="9" t="s">
        <v>318</v>
      </c>
      <c r="D6069" s="9" t="s">
        <v>84</v>
      </c>
      <c r="E6069" s="6" t="s">
        <v>6319</v>
      </c>
      <c r="F6069" s="9" t="s">
        <v>13877</v>
      </c>
    </row>
    <row r="6070" ht="33.75" customHeight="1">
      <c r="A6070" s="7">
        <v>214.0</v>
      </c>
      <c r="B6070" s="9" t="s">
        <v>12421</v>
      </c>
      <c r="C6070" s="9" t="s">
        <v>318</v>
      </c>
      <c r="D6070" s="9" t="s">
        <v>87</v>
      </c>
      <c r="E6070" s="6" t="s">
        <v>6321</v>
      </c>
      <c r="F6070" s="9" t="s">
        <v>13877</v>
      </c>
    </row>
    <row r="6071" ht="33.75" customHeight="1">
      <c r="A6071" s="7">
        <v>214.0</v>
      </c>
      <c r="B6071" s="9" t="s">
        <v>12421</v>
      </c>
      <c r="C6071" s="9" t="s">
        <v>318</v>
      </c>
      <c r="D6071" s="9" t="s">
        <v>89</v>
      </c>
      <c r="E6071" s="6" t="s">
        <v>6322</v>
      </c>
      <c r="F6071" s="9" t="s">
        <v>13877</v>
      </c>
    </row>
    <row r="6072" ht="33.75" customHeight="1">
      <c r="A6072" s="7">
        <v>214.0</v>
      </c>
      <c r="B6072" s="9" t="s">
        <v>12421</v>
      </c>
      <c r="C6072" s="9" t="s">
        <v>318</v>
      </c>
      <c r="D6072" s="9" t="s">
        <v>91</v>
      </c>
      <c r="E6072" s="6" t="s">
        <v>6323</v>
      </c>
      <c r="F6072" s="9" t="s">
        <v>13877</v>
      </c>
    </row>
    <row r="6073" ht="33.75" customHeight="1">
      <c r="A6073" s="7">
        <v>214.0</v>
      </c>
      <c r="B6073" s="9" t="s">
        <v>12421</v>
      </c>
      <c r="C6073" s="9" t="s">
        <v>318</v>
      </c>
      <c r="D6073" s="9" t="s">
        <v>93</v>
      </c>
      <c r="E6073" s="6" t="s">
        <v>6321</v>
      </c>
      <c r="F6073" s="9" t="s">
        <v>13877</v>
      </c>
    </row>
    <row r="6074" ht="33.75" customHeight="1">
      <c r="A6074" s="7">
        <v>214.0</v>
      </c>
      <c r="B6074" s="9" t="s">
        <v>12421</v>
      </c>
      <c r="C6074" s="9" t="s">
        <v>318</v>
      </c>
      <c r="D6074" s="9" t="s">
        <v>95</v>
      </c>
      <c r="E6074" s="6" t="s">
        <v>6321</v>
      </c>
      <c r="F6074" s="9" t="s">
        <v>13877</v>
      </c>
    </row>
    <row r="6075" ht="33.75" customHeight="1">
      <c r="A6075" s="7">
        <v>214.0</v>
      </c>
      <c r="B6075" s="9" t="s">
        <v>12421</v>
      </c>
      <c r="C6075" s="9" t="s">
        <v>318</v>
      </c>
      <c r="D6075" s="9" t="s">
        <v>98</v>
      </c>
      <c r="E6075" s="6" t="s">
        <v>6324</v>
      </c>
      <c r="F6075" s="9" t="s">
        <v>13877</v>
      </c>
    </row>
    <row r="6076" ht="33.75" customHeight="1">
      <c r="A6076" s="7">
        <v>214.0</v>
      </c>
      <c r="B6076" s="9" t="s">
        <v>12421</v>
      </c>
      <c r="C6076" s="9" t="s">
        <v>318</v>
      </c>
      <c r="D6076" s="9" t="s">
        <v>99</v>
      </c>
      <c r="E6076" s="6" t="s">
        <v>6324</v>
      </c>
      <c r="F6076" s="9" t="s">
        <v>13877</v>
      </c>
    </row>
    <row r="6077" ht="33.75" customHeight="1">
      <c r="A6077" s="7">
        <v>214.0</v>
      </c>
      <c r="B6077" s="9" t="s">
        <v>12421</v>
      </c>
      <c r="C6077" s="9" t="s">
        <v>318</v>
      </c>
      <c r="D6077" s="9" t="s">
        <v>101</v>
      </c>
      <c r="E6077" s="6" t="s">
        <v>6322</v>
      </c>
      <c r="F6077" s="9" t="s">
        <v>13877</v>
      </c>
    </row>
    <row r="6078" ht="33.75" customHeight="1">
      <c r="A6078" s="7">
        <v>214.0</v>
      </c>
      <c r="B6078" s="9" t="s">
        <v>12421</v>
      </c>
      <c r="C6078" s="9" t="s">
        <v>318</v>
      </c>
      <c r="D6078" s="9" t="s">
        <v>105</v>
      </c>
      <c r="E6078" s="6" t="s">
        <v>6325</v>
      </c>
      <c r="F6078" s="9" t="s">
        <v>13877</v>
      </c>
    </row>
    <row r="6079" ht="33.75" customHeight="1">
      <c r="A6079" s="7">
        <v>214.0</v>
      </c>
      <c r="B6079" s="9" t="s">
        <v>12421</v>
      </c>
      <c r="C6079" s="9" t="s">
        <v>318</v>
      </c>
      <c r="D6079" s="9" t="s">
        <v>107</v>
      </c>
      <c r="E6079" s="6" t="s">
        <v>6326</v>
      </c>
      <c r="F6079" s="9" t="s">
        <v>13877</v>
      </c>
    </row>
    <row r="6080" ht="33.75" customHeight="1">
      <c r="A6080" s="7">
        <v>214.0</v>
      </c>
      <c r="B6080" s="9" t="s">
        <v>12421</v>
      </c>
      <c r="C6080" s="9" t="s">
        <v>318</v>
      </c>
      <c r="D6080" s="9" t="s">
        <v>109</v>
      </c>
      <c r="E6080" s="6" t="s">
        <v>6327</v>
      </c>
      <c r="F6080" s="9" t="s">
        <v>13877</v>
      </c>
    </row>
    <row r="6081" ht="33.75" customHeight="1">
      <c r="A6081" s="7">
        <v>214.0</v>
      </c>
      <c r="B6081" s="9" t="s">
        <v>12421</v>
      </c>
      <c r="C6081" s="9" t="s">
        <v>318</v>
      </c>
      <c r="D6081" s="9" t="s">
        <v>647</v>
      </c>
      <c r="E6081" s="6" t="s">
        <v>6329</v>
      </c>
      <c r="F6081" s="9" t="s">
        <v>13877</v>
      </c>
    </row>
    <row r="6082" ht="33.75" customHeight="1">
      <c r="A6082" s="7">
        <v>214.0</v>
      </c>
      <c r="B6082" s="9" t="s">
        <v>12421</v>
      </c>
      <c r="C6082" s="9" t="s">
        <v>318</v>
      </c>
      <c r="D6082" s="9" t="s">
        <v>652</v>
      </c>
      <c r="E6082" s="6" t="s">
        <v>6330</v>
      </c>
      <c r="F6082" s="9" t="s">
        <v>13877</v>
      </c>
    </row>
    <row r="6083" ht="33.75" customHeight="1">
      <c r="A6083" s="7">
        <v>214.0</v>
      </c>
      <c r="B6083" s="9" t="s">
        <v>12421</v>
      </c>
      <c r="C6083" s="9" t="s">
        <v>318</v>
      </c>
      <c r="D6083" s="9" t="s">
        <v>114</v>
      </c>
      <c r="E6083" s="6" t="s">
        <v>6331</v>
      </c>
      <c r="F6083" s="9" t="s">
        <v>13877</v>
      </c>
    </row>
    <row r="6084" ht="33.75" customHeight="1">
      <c r="A6084" s="7">
        <v>214.0</v>
      </c>
      <c r="B6084" s="9" t="s">
        <v>12421</v>
      </c>
      <c r="C6084" s="9" t="s">
        <v>318</v>
      </c>
      <c r="D6084" s="9" t="s">
        <v>117</v>
      </c>
      <c r="E6084" s="6" t="s">
        <v>6332</v>
      </c>
      <c r="F6084" s="9" t="s">
        <v>13877</v>
      </c>
    </row>
    <row r="6085" ht="33.75" customHeight="1">
      <c r="A6085" s="7">
        <v>214.0</v>
      </c>
      <c r="B6085" s="9" t="s">
        <v>12421</v>
      </c>
      <c r="C6085" s="9" t="s">
        <v>318</v>
      </c>
      <c r="D6085" s="9" t="s">
        <v>1577</v>
      </c>
      <c r="E6085" s="6" t="s">
        <v>6333</v>
      </c>
      <c r="F6085" s="9" t="s">
        <v>13877</v>
      </c>
    </row>
    <row r="6086" ht="33.75" customHeight="1">
      <c r="A6086" s="7">
        <v>215.0</v>
      </c>
      <c r="B6086" s="9" t="s">
        <v>12471</v>
      </c>
      <c r="C6086" s="9" t="s">
        <v>321</v>
      </c>
      <c r="D6086" s="9" t="s">
        <v>52</v>
      </c>
      <c r="E6086" s="6" t="s">
        <v>6334</v>
      </c>
      <c r="F6086" s="9" t="s">
        <v>13891</v>
      </c>
      <c r="G6086" t="inlineStr" s="6">
        <is>
          <t xml:space="preserve">Sneasel's paws conceal sharp claws. If attacked, it suddenly extends the claws and startles its enemy. Vicious in nature, it drives PIDGEY from their nests and feasts on the eggs that are left behind. This cunning POKéMON hides under the cover of darkness, waiting to attack its prey. SNEASEL scales trees by punching its hooked claws into the bark. This POKéMON seeks out unguarded nests and steals eggs for food while the parents are away. A SNEASEL scales trees by punching its hooked claws into the bark. It seeks out unguarded nests and steals eggs for food while the parents are away. It feeds on eggs stolen from nests. Its sharply hooked claws rip vulnerable spots on prey. It is extremely vicious and will not stop attacking until its foe is incapable of moving. A smart and sneaky Pokémon. A pair may work together to steal eggs by having one lure the parents away. Vicious in nature, it drives PIDGEY from their nests and scavenges any leftovers it can find. A smart and sneaky Pokémon, it makes its opponents flinch by suddenly showing the claws hidden in its paws. It has a cunning yet savage disposition. It waits for parents to leave their nests, and then it sneaks in to steal their eggs. It uses its claws to poke holes in eggs so it can slurp out the insides. Breeders consider it a scourge and will drive it away or eradicate it. They will cooperate to steal eggs from the nests of bird Pokémon, but fights break out to determine which one gets to eat the eggs. It blends into the dark of night to ambush its prey. Sneasel will attack Sandshrew, but its hard skin can cause Sneasel’s claws to snap off. Its sturdy, curved claws are ideal for traversing precipitous cliffs. From the tips of these claws drips a venom that infiltrates the nerves of any prey caught in Sneasel's grasp.</t>
        </is>
      </c>
    </row>
    <row r="6087" ht="33.75" customHeight="1">
      <c r="A6087" s="7">
        <v>215.0</v>
      </c>
      <c r="B6087" s="9" t="s">
        <v>12471</v>
      </c>
      <c r="C6087" s="9" t="s">
        <v>321</v>
      </c>
      <c r="D6087" s="9" t="s">
        <v>59</v>
      </c>
      <c r="E6087" s="6" t="s">
        <v>6335</v>
      </c>
      <c r="F6087" s="9" t="s">
        <v>13891</v>
      </c>
    </row>
    <row r="6088" ht="33.75" customHeight="1">
      <c r="A6088" s="7">
        <v>215.0</v>
      </c>
      <c r="B6088" s="9" t="s">
        <v>12471</v>
      </c>
      <c r="C6088" s="9" t="s">
        <v>321</v>
      </c>
      <c r="D6088" s="9" t="s">
        <v>64</v>
      </c>
      <c r="E6088" s="6" t="s">
        <v>6336</v>
      </c>
      <c r="F6088" s="9" t="s">
        <v>13891</v>
      </c>
    </row>
    <row r="6089" ht="33.75" customHeight="1">
      <c r="A6089" s="7">
        <v>215.0</v>
      </c>
      <c r="B6089" s="9" t="s">
        <v>12471</v>
      </c>
      <c r="C6089" s="9" t="s">
        <v>321</v>
      </c>
      <c r="D6089" s="9" t="s">
        <v>67</v>
      </c>
      <c r="E6089" s="6" t="s">
        <v>6337</v>
      </c>
      <c r="F6089" s="9" t="s">
        <v>13891</v>
      </c>
    </row>
    <row r="6090" ht="33.75" customHeight="1">
      <c r="A6090" s="7">
        <v>215.0</v>
      </c>
      <c r="B6090" s="9" t="s">
        <v>12471</v>
      </c>
      <c r="C6090" s="9" t="s">
        <v>321</v>
      </c>
      <c r="D6090" s="9" t="s">
        <v>71</v>
      </c>
      <c r="E6090" s="6" t="s">
        <v>6337</v>
      </c>
      <c r="F6090" s="9" t="s">
        <v>13891</v>
      </c>
    </row>
    <row r="6091" ht="33.75" customHeight="1">
      <c r="A6091" s="7">
        <v>215.0</v>
      </c>
      <c r="B6091" s="9" t="s">
        <v>12471</v>
      </c>
      <c r="C6091" s="9" t="s">
        <v>321</v>
      </c>
      <c r="D6091" s="9" t="s">
        <v>73</v>
      </c>
      <c r="E6091" s="6" t="s">
        <v>6338</v>
      </c>
      <c r="F6091" s="9" t="s">
        <v>13891</v>
      </c>
    </row>
    <row r="6092" ht="33.75" customHeight="1">
      <c r="A6092" s="7">
        <v>215.0</v>
      </c>
      <c r="B6092" s="9" t="s">
        <v>12471</v>
      </c>
      <c r="C6092" s="9" t="s">
        <v>321</v>
      </c>
      <c r="D6092" s="9" t="s">
        <v>75</v>
      </c>
      <c r="E6092" s="6" t="s">
        <v>6335</v>
      </c>
      <c r="F6092" s="9" t="s">
        <v>13891</v>
      </c>
    </row>
    <row r="6093" ht="33.75" customHeight="1">
      <c r="A6093" s="7">
        <v>215.0</v>
      </c>
      <c r="B6093" s="9" t="s">
        <v>12471</v>
      </c>
      <c r="C6093" s="9" t="s">
        <v>321</v>
      </c>
      <c r="D6093" s="9" t="s">
        <v>79</v>
      </c>
      <c r="E6093" s="6" t="s">
        <v>6339</v>
      </c>
      <c r="F6093" s="9" t="s">
        <v>13891</v>
      </c>
    </row>
    <row r="6094" ht="33.75" customHeight="1">
      <c r="A6094" s="7">
        <v>215.0</v>
      </c>
      <c r="B6094" s="9" t="s">
        <v>12471</v>
      </c>
      <c r="C6094" s="9" t="s">
        <v>321</v>
      </c>
      <c r="D6094" s="9" t="s">
        <v>81</v>
      </c>
      <c r="E6094" s="6" t="s">
        <v>6340</v>
      </c>
      <c r="F6094" s="9" t="s">
        <v>13891</v>
      </c>
    </row>
    <row r="6095" ht="33.75" customHeight="1">
      <c r="A6095" s="7">
        <v>215.0</v>
      </c>
      <c r="B6095" s="9" t="s">
        <v>12471</v>
      </c>
      <c r="C6095" s="9" t="s">
        <v>321</v>
      </c>
      <c r="D6095" s="9" t="s">
        <v>84</v>
      </c>
      <c r="E6095" s="6" t="s">
        <v>6341</v>
      </c>
      <c r="F6095" s="9" t="s">
        <v>13891</v>
      </c>
    </row>
    <row r="6096" ht="33.75" customHeight="1">
      <c r="A6096" s="7">
        <v>215.0</v>
      </c>
      <c r="B6096" s="9" t="s">
        <v>12471</v>
      </c>
      <c r="C6096" s="9" t="s">
        <v>321</v>
      </c>
      <c r="D6096" s="9" t="s">
        <v>87</v>
      </c>
      <c r="E6096" s="6" t="s">
        <v>6342</v>
      </c>
      <c r="F6096" s="9" t="s">
        <v>13891</v>
      </c>
    </row>
    <row r="6097" ht="33.75" customHeight="1">
      <c r="A6097" s="7">
        <v>215.0</v>
      </c>
      <c r="B6097" s="9" t="s">
        <v>12471</v>
      </c>
      <c r="C6097" s="9" t="s">
        <v>321</v>
      </c>
      <c r="D6097" s="9" t="s">
        <v>89</v>
      </c>
      <c r="E6097" s="6" t="s">
        <v>6339</v>
      </c>
      <c r="F6097" s="9" t="s">
        <v>13891</v>
      </c>
    </row>
    <row r="6098" ht="33.75" customHeight="1">
      <c r="A6098" s="7">
        <v>215.0</v>
      </c>
      <c r="B6098" s="9" t="s">
        <v>12471</v>
      </c>
      <c r="C6098" s="9" t="s">
        <v>321</v>
      </c>
      <c r="D6098" s="9" t="s">
        <v>91</v>
      </c>
      <c r="E6098" s="6" t="s">
        <v>6344</v>
      </c>
      <c r="F6098" s="9" t="s">
        <v>13891</v>
      </c>
    </row>
    <row r="6099" ht="33.75" customHeight="1">
      <c r="A6099" s="7">
        <v>215.0</v>
      </c>
      <c r="B6099" s="9" t="s">
        <v>12471</v>
      </c>
      <c r="C6099" s="9" t="s">
        <v>321</v>
      </c>
      <c r="D6099" s="9" t="s">
        <v>93</v>
      </c>
      <c r="E6099" s="6" t="s">
        <v>6342</v>
      </c>
      <c r="F6099" s="9" t="s">
        <v>13891</v>
      </c>
    </row>
    <row r="6100" ht="33.75" customHeight="1">
      <c r="A6100" s="7">
        <v>215.0</v>
      </c>
      <c r="B6100" s="9" t="s">
        <v>12471</v>
      </c>
      <c r="C6100" s="9" t="s">
        <v>321</v>
      </c>
      <c r="D6100" s="9" t="s">
        <v>95</v>
      </c>
      <c r="E6100" s="6" t="s">
        <v>6342</v>
      </c>
      <c r="F6100" s="9" t="s">
        <v>13891</v>
      </c>
    </row>
    <row r="6101" ht="33.75" customHeight="1">
      <c r="A6101" s="7">
        <v>215.0</v>
      </c>
      <c r="B6101" s="9" t="s">
        <v>12471</v>
      </c>
      <c r="C6101" s="9" t="s">
        <v>321</v>
      </c>
      <c r="D6101" s="9" t="s">
        <v>98</v>
      </c>
      <c r="E6101" s="6" t="s">
        <v>6345</v>
      </c>
      <c r="F6101" s="9" t="s">
        <v>13891</v>
      </c>
    </row>
    <row r="6102" ht="33.75" customHeight="1">
      <c r="A6102" s="7">
        <v>215.0</v>
      </c>
      <c r="B6102" s="9" t="s">
        <v>12471</v>
      </c>
      <c r="C6102" s="9" t="s">
        <v>321</v>
      </c>
      <c r="D6102" s="9" t="s">
        <v>99</v>
      </c>
      <c r="E6102" s="6" t="s">
        <v>6345</v>
      </c>
      <c r="F6102" s="9" t="s">
        <v>13891</v>
      </c>
    </row>
    <row r="6103" ht="33.75" customHeight="1">
      <c r="A6103" s="7">
        <v>215.0</v>
      </c>
      <c r="B6103" s="9" t="s">
        <v>12471</v>
      </c>
      <c r="C6103" s="9" t="s">
        <v>321</v>
      </c>
      <c r="D6103" s="9" t="s">
        <v>101</v>
      </c>
      <c r="E6103" s="6" t="s">
        <v>6340</v>
      </c>
      <c r="F6103" s="9" t="s">
        <v>13891</v>
      </c>
    </row>
    <row r="6104" ht="33.75" customHeight="1">
      <c r="A6104" s="7">
        <v>215.0</v>
      </c>
      <c r="B6104" s="9" t="s">
        <v>12471</v>
      </c>
      <c r="C6104" s="9" t="s">
        <v>321</v>
      </c>
      <c r="D6104" s="9" t="s">
        <v>105</v>
      </c>
      <c r="E6104" s="6" t="s">
        <v>6339</v>
      </c>
      <c r="F6104" s="9" t="s">
        <v>13891</v>
      </c>
    </row>
    <row r="6105" ht="33.75" customHeight="1">
      <c r="A6105" s="7">
        <v>215.0</v>
      </c>
      <c r="B6105" s="9" t="s">
        <v>12471</v>
      </c>
      <c r="C6105" s="9" t="s">
        <v>321</v>
      </c>
      <c r="D6105" s="9" t="s">
        <v>107</v>
      </c>
      <c r="E6105" s="6" t="s">
        <v>6346</v>
      </c>
      <c r="F6105" s="9" t="s">
        <v>13891</v>
      </c>
    </row>
    <row r="6106" ht="33.75" customHeight="1">
      <c r="A6106" s="7">
        <v>215.0</v>
      </c>
      <c r="B6106" s="9" t="s">
        <v>12471</v>
      </c>
      <c r="C6106" s="9" t="s">
        <v>321</v>
      </c>
      <c r="D6106" s="9" t="s">
        <v>109</v>
      </c>
      <c r="E6106" s="6" t="s">
        <v>6346</v>
      </c>
      <c r="F6106" s="9" t="s">
        <v>13891</v>
      </c>
    </row>
    <row r="6107" ht="33.75" customHeight="1">
      <c r="A6107" s="7">
        <v>215.0</v>
      </c>
      <c r="B6107" s="9" t="s">
        <v>12471</v>
      </c>
      <c r="C6107" s="9" t="s">
        <v>321</v>
      </c>
      <c r="D6107" s="9" t="s">
        <v>637</v>
      </c>
      <c r="E6107" s="6" t="s">
        <v>6348</v>
      </c>
      <c r="F6107" s="9" t="s">
        <v>13891</v>
      </c>
    </row>
    <row r="6108" ht="33.75" customHeight="1">
      <c r="A6108" s="7">
        <v>215.0</v>
      </c>
      <c r="B6108" s="9" t="s">
        <v>12471</v>
      </c>
      <c r="C6108" s="9" t="s">
        <v>321</v>
      </c>
      <c r="D6108" s="9" t="s">
        <v>642</v>
      </c>
      <c r="E6108" s="6" t="s">
        <v>6349</v>
      </c>
      <c r="F6108" s="9" t="s">
        <v>13891</v>
      </c>
    </row>
    <row r="6109" ht="33.75" customHeight="1">
      <c r="A6109" s="7">
        <v>215.0</v>
      </c>
      <c r="B6109" s="9" t="s">
        <v>12471</v>
      </c>
      <c r="C6109" s="9" t="s">
        <v>321</v>
      </c>
      <c r="D6109" s="9" t="s">
        <v>647</v>
      </c>
      <c r="E6109" s="6" t="s">
        <v>6351</v>
      </c>
      <c r="F6109" s="9" t="s">
        <v>13891</v>
      </c>
    </row>
    <row r="6110" ht="33.75" customHeight="1">
      <c r="A6110" s="7">
        <v>215.0</v>
      </c>
      <c r="B6110" s="9" t="s">
        <v>12471</v>
      </c>
      <c r="C6110" s="9" t="s">
        <v>321</v>
      </c>
      <c r="D6110" s="9" t="s">
        <v>652</v>
      </c>
      <c r="E6110" s="6" t="s">
        <v>6352</v>
      </c>
      <c r="F6110" s="9" t="s">
        <v>13891</v>
      </c>
    </row>
    <row r="6111" ht="33.75" customHeight="1">
      <c r="A6111" s="7">
        <v>215.0</v>
      </c>
      <c r="B6111" s="9" t="s">
        <v>12471</v>
      </c>
      <c r="C6111" s="9" t="s">
        <v>321</v>
      </c>
      <c r="D6111" s="9" t="s">
        <v>114</v>
      </c>
      <c r="E6111" s="6" t="s">
        <v>6339</v>
      </c>
      <c r="F6111" s="9" t="s">
        <v>13891</v>
      </c>
    </row>
    <row r="6112" ht="33.75" customHeight="1">
      <c r="A6112" s="7">
        <v>215.0</v>
      </c>
      <c r="B6112" s="9" t="s">
        <v>12471</v>
      </c>
      <c r="C6112" s="9" t="s">
        <v>321</v>
      </c>
      <c r="D6112" s="9" t="s">
        <v>117</v>
      </c>
      <c r="E6112" s="6" t="s">
        <v>6348</v>
      </c>
      <c r="F6112" s="9" t="s">
        <v>13891</v>
      </c>
    </row>
    <row r="6113" ht="33.75" customHeight="1">
      <c r="A6113" s="7">
        <v>215.0</v>
      </c>
      <c r="B6113" s="9" t="s">
        <v>12471</v>
      </c>
      <c r="C6113" s="9" t="s">
        <v>321</v>
      </c>
      <c r="D6113" s="9" t="s">
        <v>1577</v>
      </c>
      <c r="E6113" s="6" t="s">
        <v>6354</v>
      </c>
      <c r="F6113" s="9" t="s">
        <v>13891</v>
      </c>
    </row>
    <row r="6114" ht="33.75" customHeight="1">
      <c r="A6114" s="7">
        <v>216.0</v>
      </c>
      <c r="B6114" s="9" t="s">
        <v>12527</v>
      </c>
      <c r="C6114" s="9" t="s">
        <v>324</v>
      </c>
      <c r="D6114" s="9" t="s">
        <v>52</v>
      </c>
      <c r="E6114" s="6" t="s">
        <v>6355</v>
      </c>
      <c r="F6114" s="9" t="s">
        <v>13917</v>
      </c>
      <c r="G6114" t="inlineStr" s="6">
        <is>
          <t xml:space="preserve">If it finds honey, Teddiursa's crescent mark glows. It always licks its paws because they are soaked with honey. Before food be comes scarce in wintertime, its habit is to hoard food in many hidden locations. It always licks honey. Its palm tastes sweet because of all the honey it has absorbed. This POKéMON likes to lick its palms that are sweetened by being soaked in honey. TEDDIURSA concocts its own honey by blending fruits and pollen collected by BEEDRILL. It licks its palms that are sweetened by being soaked in honey. A TEDDIURSA makes its own honey by blending fruits and pollen collected by BEEDRILL. Before food becomes scarce in wintertime, its habit is to hoard food in many hidden locations. It lets honey soak into its paws so it can lick them all the time. Every set of paws tastes unique. It always licks its paws because they’re soaked with honey. It licks its paws because of the sweet honey that has soaked into them. It is cunning, stealing into the nests of Combee and taking for itself the honey that the Combee have amassed.</t>
        </is>
      </c>
    </row>
    <row r="6115" ht="33.75" customHeight="1">
      <c r="A6115" s="7">
        <v>216.0</v>
      </c>
      <c r="B6115" s="9" t="s">
        <v>12527</v>
      </c>
      <c r="C6115" s="9" t="s">
        <v>324</v>
      </c>
      <c r="D6115" s="9" t="s">
        <v>59</v>
      </c>
      <c r="E6115" s="6" t="s">
        <v>6356</v>
      </c>
      <c r="F6115" s="9" t="s">
        <v>13917</v>
      </c>
    </row>
    <row r="6116" ht="33.75" customHeight="1">
      <c r="A6116" s="7">
        <v>216.0</v>
      </c>
      <c r="B6116" s="9" t="s">
        <v>12527</v>
      </c>
      <c r="C6116" s="9" t="s">
        <v>324</v>
      </c>
      <c r="D6116" s="9" t="s">
        <v>64</v>
      </c>
      <c r="E6116" s="6" t="s">
        <v>6357</v>
      </c>
      <c r="F6116" s="9" t="s">
        <v>13917</v>
      </c>
    </row>
    <row r="6117" ht="33.75" customHeight="1">
      <c r="A6117" s="7">
        <v>216.0</v>
      </c>
      <c r="B6117" s="9" t="s">
        <v>12527</v>
      </c>
      <c r="C6117" s="9" t="s">
        <v>324</v>
      </c>
      <c r="D6117" s="9" t="s">
        <v>67</v>
      </c>
      <c r="E6117" s="6" t="s">
        <v>6358</v>
      </c>
      <c r="F6117" s="9" t="s">
        <v>13917</v>
      </c>
    </row>
    <row r="6118" ht="33.75" customHeight="1">
      <c r="A6118" s="7">
        <v>216.0</v>
      </c>
      <c r="B6118" s="9" t="s">
        <v>12527</v>
      </c>
      <c r="C6118" s="9" t="s">
        <v>324</v>
      </c>
      <c r="D6118" s="9" t="s">
        <v>71</v>
      </c>
      <c r="E6118" s="6" t="s">
        <v>6358</v>
      </c>
      <c r="F6118" s="9" t="s">
        <v>13917</v>
      </c>
    </row>
    <row r="6119" ht="33.75" customHeight="1">
      <c r="A6119" s="7">
        <v>216.0</v>
      </c>
      <c r="B6119" s="9" t="s">
        <v>12527</v>
      </c>
      <c r="C6119" s="9" t="s">
        <v>324</v>
      </c>
      <c r="D6119" s="9" t="s">
        <v>73</v>
      </c>
      <c r="E6119" s="6" t="s">
        <v>6360</v>
      </c>
      <c r="F6119" s="9" t="s">
        <v>13917</v>
      </c>
    </row>
    <row r="6120" ht="33.75" customHeight="1">
      <c r="A6120" s="7">
        <v>216.0</v>
      </c>
      <c r="B6120" s="9" t="s">
        <v>12527</v>
      </c>
      <c r="C6120" s="9" t="s">
        <v>324</v>
      </c>
      <c r="D6120" s="9" t="s">
        <v>75</v>
      </c>
      <c r="E6120" s="6" t="s">
        <v>6362</v>
      </c>
      <c r="F6120" s="9" t="s">
        <v>13917</v>
      </c>
    </row>
    <row r="6121" ht="33.75" customHeight="1">
      <c r="A6121" s="7">
        <v>216.0</v>
      </c>
      <c r="B6121" s="9" t="s">
        <v>12527</v>
      </c>
      <c r="C6121" s="9" t="s">
        <v>324</v>
      </c>
      <c r="D6121" s="9" t="s">
        <v>79</v>
      </c>
      <c r="E6121" s="6" t="s">
        <v>6355</v>
      </c>
      <c r="F6121" s="9" t="s">
        <v>13917</v>
      </c>
    </row>
    <row r="6122" ht="33.75" customHeight="1">
      <c r="A6122" s="7">
        <v>216.0</v>
      </c>
      <c r="B6122" s="9" t="s">
        <v>12527</v>
      </c>
      <c r="C6122" s="9" t="s">
        <v>324</v>
      </c>
      <c r="D6122" s="9" t="s">
        <v>81</v>
      </c>
      <c r="E6122" s="6" t="s">
        <v>6364</v>
      </c>
      <c r="F6122" s="9" t="s">
        <v>13917</v>
      </c>
    </row>
    <row r="6123" ht="33.75" customHeight="1">
      <c r="A6123" s="7">
        <v>216.0</v>
      </c>
      <c r="B6123" s="9" t="s">
        <v>12527</v>
      </c>
      <c r="C6123" s="9" t="s">
        <v>324</v>
      </c>
      <c r="D6123" s="9" t="s">
        <v>84</v>
      </c>
      <c r="E6123" s="6" t="s">
        <v>6364</v>
      </c>
      <c r="F6123" s="9" t="s">
        <v>13917</v>
      </c>
    </row>
    <row r="6124" ht="33.75" customHeight="1">
      <c r="A6124" s="7">
        <v>216.0</v>
      </c>
      <c r="B6124" s="9" t="s">
        <v>12527</v>
      </c>
      <c r="C6124" s="9" t="s">
        <v>324</v>
      </c>
      <c r="D6124" s="9" t="s">
        <v>87</v>
      </c>
      <c r="E6124" s="6" t="s">
        <v>6364</v>
      </c>
      <c r="F6124" s="9" t="s">
        <v>13917</v>
      </c>
    </row>
    <row r="6125" ht="33.75" customHeight="1">
      <c r="A6125" s="7">
        <v>216.0</v>
      </c>
      <c r="B6125" s="9" t="s">
        <v>12527</v>
      </c>
      <c r="C6125" s="9" t="s">
        <v>324</v>
      </c>
      <c r="D6125" s="9" t="s">
        <v>89</v>
      </c>
      <c r="E6125" s="6" t="s">
        <v>6365</v>
      </c>
      <c r="F6125" s="9" t="s">
        <v>13917</v>
      </c>
    </row>
    <row r="6126" ht="33.75" customHeight="1">
      <c r="A6126" s="7">
        <v>216.0</v>
      </c>
      <c r="B6126" s="9" t="s">
        <v>12527</v>
      </c>
      <c r="C6126" s="9" t="s">
        <v>324</v>
      </c>
      <c r="D6126" s="9" t="s">
        <v>91</v>
      </c>
      <c r="E6126" s="6" t="s">
        <v>6362</v>
      </c>
      <c r="F6126" s="9" t="s">
        <v>13917</v>
      </c>
    </row>
    <row r="6127" ht="33.75" customHeight="1">
      <c r="A6127" s="7">
        <v>216.0</v>
      </c>
      <c r="B6127" s="9" t="s">
        <v>12527</v>
      </c>
      <c r="C6127" s="9" t="s">
        <v>324</v>
      </c>
      <c r="D6127" s="9" t="s">
        <v>93</v>
      </c>
      <c r="E6127" s="6" t="s">
        <v>6364</v>
      </c>
      <c r="F6127" s="9" t="s">
        <v>13917</v>
      </c>
    </row>
    <row r="6128" ht="33.75" customHeight="1">
      <c r="A6128" s="7">
        <v>216.0</v>
      </c>
      <c r="B6128" s="9" t="s">
        <v>12527</v>
      </c>
      <c r="C6128" s="9" t="s">
        <v>324</v>
      </c>
      <c r="D6128" s="9" t="s">
        <v>95</v>
      </c>
      <c r="E6128" s="6" t="s">
        <v>6364</v>
      </c>
      <c r="F6128" s="9" t="s">
        <v>13917</v>
      </c>
    </row>
    <row r="6129" ht="33.75" customHeight="1">
      <c r="A6129" s="7">
        <v>216.0</v>
      </c>
      <c r="B6129" s="9" t="s">
        <v>12527</v>
      </c>
      <c r="C6129" s="9" t="s">
        <v>324</v>
      </c>
      <c r="D6129" s="9" t="s">
        <v>98</v>
      </c>
      <c r="E6129" s="6" t="s">
        <v>6364</v>
      </c>
      <c r="F6129" s="9" t="s">
        <v>13917</v>
      </c>
    </row>
    <row r="6130" ht="33.75" customHeight="1">
      <c r="A6130" s="7">
        <v>216.0</v>
      </c>
      <c r="B6130" s="9" t="s">
        <v>12527</v>
      </c>
      <c r="C6130" s="9" t="s">
        <v>324</v>
      </c>
      <c r="D6130" s="9" t="s">
        <v>99</v>
      </c>
      <c r="E6130" s="6" t="s">
        <v>6364</v>
      </c>
      <c r="F6130" s="9" t="s">
        <v>13917</v>
      </c>
    </row>
    <row r="6131" ht="33.75" customHeight="1">
      <c r="A6131" s="7">
        <v>216.0</v>
      </c>
      <c r="B6131" s="9" t="s">
        <v>12527</v>
      </c>
      <c r="C6131" s="9" t="s">
        <v>324</v>
      </c>
      <c r="D6131" s="9" t="s">
        <v>101</v>
      </c>
      <c r="E6131" s="6" t="s">
        <v>6365</v>
      </c>
      <c r="F6131" s="9" t="s">
        <v>13917</v>
      </c>
    </row>
    <row r="6132" ht="33.75" customHeight="1">
      <c r="A6132" s="7">
        <v>216.0</v>
      </c>
      <c r="B6132" s="9" t="s">
        <v>12527</v>
      </c>
      <c r="C6132" s="9" t="s">
        <v>324</v>
      </c>
      <c r="D6132" s="9" t="s">
        <v>105</v>
      </c>
      <c r="E6132" s="6" t="s">
        <v>6362</v>
      </c>
      <c r="F6132" s="9" t="s">
        <v>13917</v>
      </c>
    </row>
    <row r="6133" ht="33.75" customHeight="1">
      <c r="A6133" s="7">
        <v>216.0</v>
      </c>
      <c r="B6133" s="9" t="s">
        <v>12527</v>
      </c>
      <c r="C6133" s="9" t="s">
        <v>324</v>
      </c>
      <c r="D6133" s="9" t="s">
        <v>107</v>
      </c>
      <c r="E6133" s="6" t="s">
        <v>6366</v>
      </c>
      <c r="F6133" s="9" t="s">
        <v>13917</v>
      </c>
    </row>
    <row r="6134" ht="33.75" customHeight="1">
      <c r="A6134" s="7">
        <v>216.0</v>
      </c>
      <c r="B6134" s="9" t="s">
        <v>12527</v>
      </c>
      <c r="C6134" s="9" t="s">
        <v>324</v>
      </c>
      <c r="D6134" s="9" t="s">
        <v>109</v>
      </c>
      <c r="E6134" s="6" t="s">
        <v>6366</v>
      </c>
      <c r="F6134" s="9" t="s">
        <v>13917</v>
      </c>
    </row>
    <row r="6135" ht="33.75" customHeight="1">
      <c r="A6135" s="7">
        <v>216.0</v>
      </c>
      <c r="B6135" s="9" t="s">
        <v>12527</v>
      </c>
      <c r="C6135" s="9" t="s">
        <v>324</v>
      </c>
      <c r="D6135" s="9" t="s">
        <v>1577</v>
      </c>
      <c r="E6135" s="6" t="s">
        <v>6368</v>
      </c>
      <c r="F6135" s="9" t="s">
        <v>13917</v>
      </c>
    </row>
    <row r="6136" ht="33.75" customHeight="1">
      <c r="A6136" s="7">
        <v>217.0</v>
      </c>
      <c r="B6136" s="9" t="s">
        <v>12564</v>
      </c>
      <c r="C6136" s="9" t="s">
        <v>327</v>
      </c>
      <c r="D6136" s="9" t="s">
        <v>52</v>
      </c>
      <c r="E6136" s="6" t="s">
        <v>6370</v>
      </c>
      <c r="F6136" s="9" t="s">
        <v>13937</v>
      </c>
      <c r="G6136" t="inlineStr" s="6">
        <is>
          <t xml:space="preserve">Although it is a good climber, it prefers to snap trees with Ursaring's forelegs and eat fallen BERRIES. With its ability to distinguish any aroma, it unfailingly finds all food buried deep underground. Although it has a large body, it is quite skilled at climbing trees. It eats and sleeps in the treetops. In the forests inhabited by URSARING, it is said that there are many streams and towering trees where they gather food. This POKéMON walks through its forest gathering food every day. In forests, it is said that there are many streams and towering trees where an URSARING gathers food. It walks through its forest collecting food every day. With its ability to distinguish any smell, it unfailingly finds all food buried deep underground. Although it is a good climber, it prefers to snap stout trees with its forelegs and eat fallen BERRIES. In its territory, it leaves scratches on trees that bear delicious berries or fruits. When the cold season arrives in Hisui, this Pokémon will wander fields and mountains alike in search of its favorite berries. Ursaring's hunger during this time makes it a ferocious danger.</t>
        </is>
      </c>
    </row>
    <row r="6137" ht="33.75" customHeight="1">
      <c r="A6137" s="7">
        <v>217.0</v>
      </c>
      <c r="B6137" s="9" t="s">
        <v>12564</v>
      </c>
      <c r="C6137" s="9" t="s">
        <v>327</v>
      </c>
      <c r="D6137" s="9" t="s">
        <v>59</v>
      </c>
      <c r="E6137" s="6" t="s">
        <v>6372</v>
      </c>
      <c r="F6137" s="9" t="s">
        <v>13937</v>
      </c>
    </row>
    <row r="6138" ht="33.75" customHeight="1">
      <c r="A6138" s="7">
        <v>217.0</v>
      </c>
      <c r="B6138" s="9" t="s">
        <v>12564</v>
      </c>
      <c r="C6138" s="9" t="s">
        <v>327</v>
      </c>
      <c r="D6138" s="9" t="s">
        <v>64</v>
      </c>
      <c r="E6138" s="6" t="s">
        <v>6373</v>
      </c>
      <c r="F6138" s="9" t="s">
        <v>13937</v>
      </c>
    </row>
    <row r="6139" ht="33.75" customHeight="1">
      <c r="A6139" s="7">
        <v>217.0</v>
      </c>
      <c r="B6139" s="9" t="s">
        <v>12564</v>
      </c>
      <c r="C6139" s="9" t="s">
        <v>327</v>
      </c>
      <c r="D6139" s="9" t="s">
        <v>67</v>
      </c>
      <c r="E6139" s="6" t="s">
        <v>6375</v>
      </c>
      <c r="F6139" s="9" t="s">
        <v>13937</v>
      </c>
    </row>
    <row r="6140" ht="33.75" customHeight="1">
      <c r="A6140" s="7">
        <v>217.0</v>
      </c>
      <c r="B6140" s="9" t="s">
        <v>12564</v>
      </c>
      <c r="C6140" s="9" t="s">
        <v>327</v>
      </c>
      <c r="D6140" s="9" t="s">
        <v>71</v>
      </c>
      <c r="E6140" s="6" t="s">
        <v>6375</v>
      </c>
      <c r="F6140" s="9" t="s">
        <v>13937</v>
      </c>
    </row>
    <row r="6141" ht="33.75" customHeight="1">
      <c r="A6141" s="7">
        <v>217.0</v>
      </c>
      <c r="B6141" s="9" t="s">
        <v>12564</v>
      </c>
      <c r="C6141" s="9" t="s">
        <v>327</v>
      </c>
      <c r="D6141" s="9" t="s">
        <v>73</v>
      </c>
      <c r="E6141" s="6" t="s">
        <v>6377</v>
      </c>
      <c r="F6141" s="9" t="s">
        <v>13937</v>
      </c>
    </row>
    <row r="6142" ht="33.75" customHeight="1">
      <c r="A6142" s="7">
        <v>217.0</v>
      </c>
      <c r="B6142" s="9" t="s">
        <v>12564</v>
      </c>
      <c r="C6142" s="9" t="s">
        <v>327</v>
      </c>
      <c r="D6142" s="9" t="s">
        <v>75</v>
      </c>
      <c r="E6142" s="6" t="s">
        <v>6379</v>
      </c>
      <c r="F6142" s="9" t="s">
        <v>13937</v>
      </c>
    </row>
    <row r="6143" ht="33.75" customHeight="1">
      <c r="A6143" s="7">
        <v>217.0</v>
      </c>
      <c r="B6143" s="9" t="s">
        <v>12564</v>
      </c>
      <c r="C6143" s="9" t="s">
        <v>327</v>
      </c>
      <c r="D6143" s="9" t="s">
        <v>79</v>
      </c>
      <c r="E6143" s="6" t="s">
        <v>6380</v>
      </c>
      <c r="F6143" s="9" t="s">
        <v>13937</v>
      </c>
    </row>
    <row r="6144" ht="33.75" customHeight="1">
      <c r="A6144" s="7">
        <v>217.0</v>
      </c>
      <c r="B6144" s="9" t="s">
        <v>12564</v>
      </c>
      <c r="C6144" s="9" t="s">
        <v>327</v>
      </c>
      <c r="D6144" s="9" t="s">
        <v>81</v>
      </c>
      <c r="E6144" s="6" t="s">
        <v>6382</v>
      </c>
      <c r="F6144" s="9" t="s">
        <v>13937</v>
      </c>
    </row>
    <row r="6145" ht="33.75" customHeight="1">
      <c r="A6145" s="7">
        <v>217.0</v>
      </c>
      <c r="B6145" s="9" t="s">
        <v>12564</v>
      </c>
      <c r="C6145" s="9" t="s">
        <v>327</v>
      </c>
      <c r="D6145" s="9" t="s">
        <v>84</v>
      </c>
      <c r="E6145" s="6" t="s">
        <v>6382</v>
      </c>
      <c r="F6145" s="9" t="s">
        <v>13937</v>
      </c>
    </row>
    <row r="6146" ht="33.75" customHeight="1">
      <c r="A6146" s="7">
        <v>217.0</v>
      </c>
      <c r="B6146" s="9" t="s">
        <v>12564</v>
      </c>
      <c r="C6146" s="9" t="s">
        <v>327</v>
      </c>
      <c r="D6146" s="9" t="s">
        <v>87</v>
      </c>
      <c r="E6146" s="6" t="s">
        <v>6382</v>
      </c>
      <c r="F6146" s="9" t="s">
        <v>13937</v>
      </c>
    </row>
    <row r="6147" ht="33.75" customHeight="1">
      <c r="A6147" s="7">
        <v>217.0</v>
      </c>
      <c r="B6147" s="9" t="s">
        <v>12564</v>
      </c>
      <c r="C6147" s="9" t="s">
        <v>327</v>
      </c>
      <c r="D6147" s="9" t="s">
        <v>89</v>
      </c>
      <c r="E6147" s="6" t="s">
        <v>6384</v>
      </c>
      <c r="F6147" s="9" t="s">
        <v>13937</v>
      </c>
    </row>
    <row r="6148" ht="33.75" customHeight="1">
      <c r="A6148" s="7">
        <v>217.0</v>
      </c>
      <c r="B6148" s="9" t="s">
        <v>12564</v>
      </c>
      <c r="C6148" s="9" t="s">
        <v>327</v>
      </c>
      <c r="D6148" s="9" t="s">
        <v>91</v>
      </c>
      <c r="E6148" s="6" t="s">
        <v>6385</v>
      </c>
      <c r="F6148" s="9" t="s">
        <v>13937</v>
      </c>
    </row>
    <row r="6149" ht="33.75" customHeight="1">
      <c r="A6149" s="7">
        <v>217.0</v>
      </c>
      <c r="B6149" s="9" t="s">
        <v>12564</v>
      </c>
      <c r="C6149" s="9" t="s">
        <v>327</v>
      </c>
      <c r="D6149" s="9" t="s">
        <v>93</v>
      </c>
      <c r="E6149" s="6" t="s">
        <v>6382</v>
      </c>
      <c r="F6149" s="9" t="s">
        <v>13937</v>
      </c>
    </row>
    <row r="6150" ht="33.75" customHeight="1">
      <c r="A6150" s="7">
        <v>217.0</v>
      </c>
      <c r="B6150" s="9" t="s">
        <v>12564</v>
      </c>
      <c r="C6150" s="9" t="s">
        <v>327</v>
      </c>
      <c r="D6150" s="9" t="s">
        <v>95</v>
      </c>
      <c r="E6150" s="6" t="s">
        <v>6382</v>
      </c>
      <c r="F6150" s="9" t="s">
        <v>13937</v>
      </c>
    </row>
    <row r="6151" ht="33.75" customHeight="1">
      <c r="A6151" s="7">
        <v>217.0</v>
      </c>
      <c r="B6151" s="9" t="s">
        <v>12564</v>
      </c>
      <c r="C6151" s="9" t="s">
        <v>327</v>
      </c>
      <c r="D6151" s="9" t="s">
        <v>98</v>
      </c>
      <c r="E6151" s="6" t="s">
        <v>6382</v>
      </c>
      <c r="F6151" s="9" t="s">
        <v>13937</v>
      </c>
    </row>
    <row r="6152" ht="33.75" customHeight="1">
      <c r="A6152" s="7">
        <v>217.0</v>
      </c>
      <c r="B6152" s="9" t="s">
        <v>12564</v>
      </c>
      <c r="C6152" s="9" t="s">
        <v>327</v>
      </c>
      <c r="D6152" s="9" t="s">
        <v>99</v>
      </c>
      <c r="E6152" s="6" t="s">
        <v>6382</v>
      </c>
      <c r="F6152" s="9" t="s">
        <v>13937</v>
      </c>
    </row>
    <row r="6153" ht="33.75" customHeight="1">
      <c r="A6153" s="7">
        <v>217.0</v>
      </c>
      <c r="B6153" s="9" t="s">
        <v>12564</v>
      </c>
      <c r="C6153" s="9" t="s">
        <v>327</v>
      </c>
      <c r="D6153" s="9" t="s">
        <v>101</v>
      </c>
      <c r="E6153" s="6" t="s">
        <v>6385</v>
      </c>
      <c r="F6153" s="9" t="s">
        <v>13937</v>
      </c>
    </row>
    <row r="6154" ht="33.75" customHeight="1">
      <c r="A6154" s="7">
        <v>217.0</v>
      </c>
      <c r="B6154" s="9" t="s">
        <v>12564</v>
      </c>
      <c r="C6154" s="9" t="s">
        <v>327</v>
      </c>
      <c r="D6154" s="9" t="s">
        <v>105</v>
      </c>
      <c r="E6154" s="6" t="s">
        <v>6373</v>
      </c>
      <c r="F6154" s="9" t="s">
        <v>13937</v>
      </c>
    </row>
    <row r="6155" ht="33.75" customHeight="1">
      <c r="A6155" s="7">
        <v>217.0</v>
      </c>
      <c r="B6155" s="9" t="s">
        <v>12564</v>
      </c>
      <c r="C6155" s="9" t="s">
        <v>327</v>
      </c>
      <c r="D6155" s="9" t="s">
        <v>107</v>
      </c>
      <c r="E6155" s="6" t="s">
        <v>6387</v>
      </c>
      <c r="F6155" s="9" t="s">
        <v>13937</v>
      </c>
    </row>
    <row r="6156" ht="33.75" customHeight="1">
      <c r="A6156" s="7">
        <v>217.0</v>
      </c>
      <c r="B6156" s="9" t="s">
        <v>12564</v>
      </c>
      <c r="C6156" s="9" t="s">
        <v>327</v>
      </c>
      <c r="D6156" s="9" t="s">
        <v>109</v>
      </c>
      <c r="E6156" s="6" t="s">
        <v>6387</v>
      </c>
      <c r="F6156" s="9" t="s">
        <v>13937</v>
      </c>
    </row>
    <row r="6157" ht="33.75" customHeight="1">
      <c r="A6157" s="7">
        <v>217.0</v>
      </c>
      <c r="B6157" s="9" t="s">
        <v>12564</v>
      </c>
      <c r="C6157" s="9" t="s">
        <v>327</v>
      </c>
      <c r="D6157" s="9" t="s">
        <v>1577</v>
      </c>
      <c r="E6157" s="6" t="s">
        <v>6388</v>
      </c>
      <c r="F6157" s="9" t="s">
        <v>13937</v>
      </c>
    </row>
    <row r="6158" ht="33.75" customHeight="1">
      <c r="A6158" s="7">
        <v>218.0</v>
      </c>
      <c r="B6158" s="9" t="s">
        <v>12597</v>
      </c>
      <c r="C6158" s="9" t="s">
        <v>328</v>
      </c>
      <c r="D6158" s="9" t="s">
        <v>52</v>
      </c>
      <c r="E6158" s="6" t="s">
        <v>6389</v>
      </c>
      <c r="F6158" s="9" t="s">
        <v>13956</v>
      </c>
      <c r="G6158" t="inlineStr" s="6">
        <is>
          <t xml:space="preserve">It never sleeps. It has to keep moving because if it stopped, its magma body would cool and harden. A common sight in volcanic areas, it slowly slithers around in a constant search for warm places. These group together in areas that are hotter than normal. If it cools off, its skin hardens. Molten magma courses throughout SLUGMA’s circulatory system. If this POKéMON is chilled, the magma cools and hardens. Its body turns brittle and chunks fall off, reducing its size. SLUGMA does not have any blood in its body. Instead, intensely hot magma circulates throughout this POKéMON’s body, carrying essential nutrients and oxygen to its organs. It is a species of POKéMON that lives in volcanic areas. If its body cools, its skin hardens and immobilizes it. To avoid that, it sleeps near magma. Its body is made of magma. If it doesn’t keep moving, its body will cool and harden.</t>
        </is>
      </c>
    </row>
    <row r="6159" ht="33.75" customHeight="1">
      <c r="A6159" s="7">
        <v>218.0</v>
      </c>
      <c r="B6159" s="9" t="s">
        <v>12597</v>
      </c>
      <c r="C6159" s="9" t="s">
        <v>328</v>
      </c>
      <c r="D6159" s="9" t="s">
        <v>59</v>
      </c>
      <c r="E6159" s="6" t="s">
        <v>6391</v>
      </c>
      <c r="F6159" s="9" t="s">
        <v>13956</v>
      </c>
    </row>
    <row r="6160" ht="33.75" customHeight="1">
      <c r="A6160" s="7">
        <v>218.0</v>
      </c>
      <c r="B6160" s="9" t="s">
        <v>12597</v>
      </c>
      <c r="C6160" s="9" t="s">
        <v>328</v>
      </c>
      <c r="D6160" s="9" t="s">
        <v>64</v>
      </c>
      <c r="E6160" s="6" t="s">
        <v>6392</v>
      </c>
      <c r="F6160" s="9" t="s">
        <v>13956</v>
      </c>
    </row>
    <row r="6161" ht="33.75" customHeight="1">
      <c r="A6161" s="7">
        <v>218.0</v>
      </c>
      <c r="B6161" s="9" t="s">
        <v>12597</v>
      </c>
      <c r="C6161" s="9" t="s">
        <v>328</v>
      </c>
      <c r="D6161" s="9" t="s">
        <v>67</v>
      </c>
      <c r="E6161" s="6" t="s">
        <v>6393</v>
      </c>
      <c r="F6161" s="9" t="s">
        <v>13956</v>
      </c>
    </row>
    <row r="6162" ht="33.75" customHeight="1">
      <c r="A6162" s="7">
        <v>218.0</v>
      </c>
      <c r="B6162" s="9" t="s">
        <v>12597</v>
      </c>
      <c r="C6162" s="9" t="s">
        <v>328</v>
      </c>
      <c r="D6162" s="9" t="s">
        <v>71</v>
      </c>
      <c r="E6162" s="6" t="s">
        <v>6394</v>
      </c>
      <c r="F6162" s="9" t="s">
        <v>13956</v>
      </c>
    </row>
    <row r="6163" ht="33.75" customHeight="1">
      <c r="A6163" s="7">
        <v>218.0</v>
      </c>
      <c r="B6163" s="9" t="s">
        <v>12597</v>
      </c>
      <c r="C6163" s="9" t="s">
        <v>328</v>
      </c>
      <c r="D6163" s="9" t="s">
        <v>73</v>
      </c>
      <c r="E6163" s="6" t="s">
        <v>6395</v>
      </c>
      <c r="F6163" s="9" t="s">
        <v>13956</v>
      </c>
    </row>
    <row r="6164" ht="33.75" customHeight="1">
      <c r="A6164" s="7">
        <v>218.0</v>
      </c>
      <c r="B6164" s="9" t="s">
        <v>12597</v>
      </c>
      <c r="C6164" s="9" t="s">
        <v>328</v>
      </c>
      <c r="D6164" s="9" t="s">
        <v>75</v>
      </c>
      <c r="E6164" s="6" t="s">
        <v>6396</v>
      </c>
      <c r="F6164" s="9" t="s">
        <v>13956</v>
      </c>
    </row>
    <row r="6165" ht="33.75" customHeight="1">
      <c r="A6165" s="7">
        <v>218.0</v>
      </c>
      <c r="B6165" s="9" t="s">
        <v>12597</v>
      </c>
      <c r="C6165" s="9" t="s">
        <v>328</v>
      </c>
      <c r="D6165" s="9" t="s">
        <v>79</v>
      </c>
      <c r="E6165" s="6" t="s">
        <v>6389</v>
      </c>
      <c r="F6165" s="9" t="s">
        <v>13956</v>
      </c>
    </row>
    <row r="6166" ht="33.75" customHeight="1">
      <c r="A6166" s="7">
        <v>218.0</v>
      </c>
      <c r="B6166" s="9" t="s">
        <v>12597</v>
      </c>
      <c r="C6166" s="9" t="s">
        <v>328</v>
      </c>
      <c r="D6166" s="9" t="s">
        <v>81</v>
      </c>
      <c r="E6166" s="6" t="s">
        <v>6397</v>
      </c>
      <c r="F6166" s="9" t="s">
        <v>13956</v>
      </c>
    </row>
    <row r="6167" ht="33.75" customHeight="1">
      <c r="A6167" s="7">
        <v>218.0</v>
      </c>
      <c r="B6167" s="9" t="s">
        <v>12597</v>
      </c>
      <c r="C6167" s="9" t="s">
        <v>328</v>
      </c>
      <c r="D6167" s="9" t="s">
        <v>84</v>
      </c>
      <c r="E6167" s="6" t="s">
        <v>6397</v>
      </c>
      <c r="F6167" s="9" t="s">
        <v>13956</v>
      </c>
    </row>
    <row r="6168" ht="33.75" customHeight="1">
      <c r="A6168" s="7">
        <v>218.0</v>
      </c>
      <c r="B6168" s="9" t="s">
        <v>12597</v>
      </c>
      <c r="C6168" s="9" t="s">
        <v>328</v>
      </c>
      <c r="D6168" s="9" t="s">
        <v>87</v>
      </c>
      <c r="E6168" s="6" t="s">
        <v>6397</v>
      </c>
      <c r="F6168" s="9" t="s">
        <v>13956</v>
      </c>
    </row>
    <row r="6169" ht="33.75" customHeight="1">
      <c r="A6169" s="7">
        <v>218.0</v>
      </c>
      <c r="B6169" s="9" t="s">
        <v>12597</v>
      </c>
      <c r="C6169" s="9" t="s">
        <v>328</v>
      </c>
      <c r="D6169" s="9" t="s">
        <v>89</v>
      </c>
      <c r="E6169" s="6" t="s">
        <v>6389</v>
      </c>
      <c r="F6169" s="9" t="s">
        <v>13956</v>
      </c>
    </row>
    <row r="6170" ht="33.75" customHeight="1">
      <c r="A6170" s="7">
        <v>218.0</v>
      </c>
      <c r="B6170" s="9" t="s">
        <v>12597</v>
      </c>
      <c r="C6170" s="9" t="s">
        <v>328</v>
      </c>
      <c r="D6170" s="9" t="s">
        <v>91</v>
      </c>
      <c r="E6170" s="6" t="s">
        <v>6396</v>
      </c>
      <c r="F6170" s="9" t="s">
        <v>13956</v>
      </c>
    </row>
    <row r="6171" ht="33.75" customHeight="1">
      <c r="A6171" s="7">
        <v>218.0</v>
      </c>
      <c r="B6171" s="9" t="s">
        <v>12597</v>
      </c>
      <c r="C6171" s="9" t="s">
        <v>328</v>
      </c>
      <c r="D6171" s="9" t="s">
        <v>93</v>
      </c>
      <c r="E6171" s="6" t="s">
        <v>6397</v>
      </c>
      <c r="F6171" s="9" t="s">
        <v>13956</v>
      </c>
    </row>
    <row r="6172" ht="33.75" customHeight="1">
      <c r="A6172" s="7">
        <v>218.0</v>
      </c>
      <c r="B6172" s="9" t="s">
        <v>12597</v>
      </c>
      <c r="C6172" s="9" t="s">
        <v>328</v>
      </c>
      <c r="D6172" s="9" t="s">
        <v>95</v>
      </c>
      <c r="E6172" s="6" t="s">
        <v>6397</v>
      </c>
      <c r="F6172" s="9" t="s">
        <v>13956</v>
      </c>
    </row>
    <row r="6173" ht="33.75" customHeight="1">
      <c r="A6173" s="7">
        <v>218.0</v>
      </c>
      <c r="B6173" s="9" t="s">
        <v>12597</v>
      </c>
      <c r="C6173" s="9" t="s">
        <v>328</v>
      </c>
      <c r="D6173" s="9" t="s">
        <v>98</v>
      </c>
      <c r="E6173" s="6" t="s">
        <v>6397</v>
      </c>
      <c r="F6173" s="9" t="s">
        <v>13956</v>
      </c>
    </row>
    <row r="6174" ht="33.75" customHeight="1">
      <c r="A6174" s="7">
        <v>218.0</v>
      </c>
      <c r="B6174" s="9" t="s">
        <v>12597</v>
      </c>
      <c r="C6174" s="9" t="s">
        <v>328</v>
      </c>
      <c r="D6174" s="9" t="s">
        <v>99</v>
      </c>
      <c r="E6174" s="6" t="s">
        <v>6397</v>
      </c>
      <c r="F6174" s="9" t="s">
        <v>13956</v>
      </c>
    </row>
    <row r="6175" ht="33.75" customHeight="1">
      <c r="A6175" s="7">
        <v>218.0</v>
      </c>
      <c r="B6175" s="9" t="s">
        <v>12597</v>
      </c>
      <c r="C6175" s="9" t="s">
        <v>328</v>
      </c>
      <c r="D6175" s="9" t="s">
        <v>101</v>
      </c>
      <c r="E6175" s="6" t="s">
        <v>6396</v>
      </c>
      <c r="F6175" s="9" t="s">
        <v>13956</v>
      </c>
    </row>
    <row r="6176" ht="33.75" customHeight="1">
      <c r="A6176" s="7">
        <v>218.0</v>
      </c>
      <c r="B6176" s="9" t="s">
        <v>12597</v>
      </c>
      <c r="C6176" s="9" t="s">
        <v>328</v>
      </c>
      <c r="D6176" s="9" t="s">
        <v>105</v>
      </c>
      <c r="E6176" s="6" t="s">
        <v>6397</v>
      </c>
      <c r="F6176" s="9" t="s">
        <v>13956</v>
      </c>
    </row>
    <row r="6177" ht="33.75" customHeight="1">
      <c r="A6177" s="7">
        <v>218.0</v>
      </c>
      <c r="B6177" s="9" t="s">
        <v>12597</v>
      </c>
      <c r="C6177" s="9" t="s">
        <v>328</v>
      </c>
      <c r="D6177" s="9" t="s">
        <v>107</v>
      </c>
      <c r="E6177" s="6" t="s">
        <v>6398</v>
      </c>
      <c r="F6177" s="9" t="s">
        <v>13956</v>
      </c>
    </row>
    <row r="6178" ht="33.75" customHeight="1">
      <c r="A6178" s="7">
        <v>218.0</v>
      </c>
      <c r="B6178" s="9" t="s">
        <v>12597</v>
      </c>
      <c r="C6178" s="9" t="s">
        <v>328</v>
      </c>
      <c r="D6178" s="9" t="s">
        <v>109</v>
      </c>
      <c r="E6178" s="6" t="s">
        <v>6399</v>
      </c>
      <c r="F6178" s="9" t="s">
        <v>13956</v>
      </c>
    </row>
    <row r="6179" ht="33.75" customHeight="1">
      <c r="A6179" s="7">
        <v>219.0</v>
      </c>
      <c r="B6179" s="9" t="s">
        <v>12637</v>
      </c>
      <c r="C6179" s="9" t="s">
        <v>328</v>
      </c>
      <c r="D6179" s="9" t="s">
        <v>52</v>
      </c>
      <c r="E6179" s="6" t="s">
        <v>6400</v>
      </c>
      <c r="F6179" s="9" t="s">
        <v>13971</v>
      </c>
      <c r="G6179" t="inlineStr" s="6">
        <is>
          <t xml:space="preserve">The shell on Magcargo's back is just skin that has cooled and hardened. It breaks easily with a slight touch. Its brittle shell occasionally spouts intense flames that circulate throughout its body. Its body is as hot as lava and is always billowing. Flames will occasionally burst from its shell. MAGCARGO’s shell is actually its skin that hardened as a result of cooling. Its shell is very brittle and fragile - just touching it causes it to crumble apart. This POKéMON returns to its original size by dipping itself in magma. MAGCARGO’s body temperature is approximately 18,000 degrees F. Water is vaporized on contact. If this POKéMON is caught in the rain, the raindrops instantly turn into steam, cloaking the area in a thick fog. The shell on its back is made of hardened magma. Tens of thousands of years spent living in volcanic craters have turned MAGCARGO’s bodies into magma. Its body temperature is roughly 18,000 degrees F. Flames spout from gaps in its hardened shell. Its shell is very brittle and fragile—just touching it causes it to crumble apart. Magcargo’s body temperature is approximately 18,000 degrees Fahrenheit.</t>
        </is>
      </c>
    </row>
    <row r="6180" ht="33.75" customHeight="1">
      <c r="A6180" s="7">
        <v>219.0</v>
      </c>
      <c r="B6180" s="9" t="s">
        <v>12637</v>
      </c>
      <c r="C6180" s="9" t="s">
        <v>328</v>
      </c>
      <c r="D6180" s="9" t="s">
        <v>59</v>
      </c>
      <c r="E6180" s="6" t="s">
        <v>6401</v>
      </c>
      <c r="F6180" s="9" t="s">
        <v>13971</v>
      </c>
    </row>
    <row r="6181" ht="33.75" customHeight="1">
      <c r="A6181" s="7">
        <v>219.0</v>
      </c>
      <c r="B6181" s="9" t="s">
        <v>12637</v>
      </c>
      <c r="C6181" s="9" t="s">
        <v>328</v>
      </c>
      <c r="D6181" s="9" t="s">
        <v>64</v>
      </c>
      <c r="E6181" s="6" t="s">
        <v>6403</v>
      </c>
      <c r="F6181" s="9" t="s">
        <v>13971</v>
      </c>
    </row>
    <row r="6182" ht="33.75" customHeight="1">
      <c r="A6182" s="7">
        <v>219.0</v>
      </c>
      <c r="B6182" s="9" t="s">
        <v>12637</v>
      </c>
      <c r="C6182" s="9" t="s">
        <v>328</v>
      </c>
      <c r="D6182" s="9" t="s">
        <v>67</v>
      </c>
      <c r="E6182" s="6" t="s">
        <v>6406</v>
      </c>
      <c r="F6182" s="9" t="s">
        <v>13971</v>
      </c>
    </row>
    <row r="6183" ht="33.75" customHeight="1">
      <c r="A6183" s="7">
        <v>219.0</v>
      </c>
      <c r="B6183" s="9" t="s">
        <v>12637</v>
      </c>
      <c r="C6183" s="9" t="s">
        <v>328</v>
      </c>
      <c r="D6183" s="9" t="s">
        <v>71</v>
      </c>
      <c r="E6183" s="6" t="s">
        <v>6407</v>
      </c>
      <c r="F6183" s="9" t="s">
        <v>13971</v>
      </c>
    </row>
    <row r="6184" ht="33.75" customHeight="1">
      <c r="A6184" s="7">
        <v>219.0</v>
      </c>
      <c r="B6184" s="9" t="s">
        <v>12637</v>
      </c>
      <c r="C6184" s="9" t="s">
        <v>328</v>
      </c>
      <c r="D6184" s="9" t="s">
        <v>73</v>
      </c>
      <c r="E6184" s="6" t="s">
        <v>6408</v>
      </c>
      <c r="F6184" s="9" t="s">
        <v>13971</v>
      </c>
    </row>
    <row r="6185" ht="33.75" customHeight="1">
      <c r="A6185" s="7">
        <v>219.0</v>
      </c>
      <c r="B6185" s="9" t="s">
        <v>12637</v>
      </c>
      <c r="C6185" s="9" t="s">
        <v>328</v>
      </c>
      <c r="D6185" s="9" t="s">
        <v>75</v>
      </c>
      <c r="E6185" s="6" t="s">
        <v>6409</v>
      </c>
      <c r="F6185" s="9" t="s">
        <v>13971</v>
      </c>
    </row>
    <row r="6186" ht="33.75" customHeight="1">
      <c r="A6186" s="7">
        <v>219.0</v>
      </c>
      <c r="B6186" s="9" t="s">
        <v>12637</v>
      </c>
      <c r="C6186" s="9" t="s">
        <v>328</v>
      </c>
      <c r="D6186" s="9" t="s">
        <v>79</v>
      </c>
      <c r="E6186" s="6" t="s">
        <v>6400</v>
      </c>
      <c r="F6186" s="9" t="s">
        <v>13971</v>
      </c>
    </row>
    <row r="6187" ht="33.75" customHeight="1">
      <c r="A6187" s="7">
        <v>219.0</v>
      </c>
      <c r="B6187" s="9" t="s">
        <v>12637</v>
      </c>
      <c r="C6187" s="9" t="s">
        <v>328</v>
      </c>
      <c r="D6187" s="9" t="s">
        <v>81</v>
      </c>
      <c r="E6187" s="6" t="s">
        <v>6410</v>
      </c>
      <c r="F6187" s="9" t="s">
        <v>13971</v>
      </c>
    </row>
    <row r="6188" ht="33.75" customHeight="1">
      <c r="A6188" s="7">
        <v>219.0</v>
      </c>
      <c r="B6188" s="9" t="s">
        <v>12637</v>
      </c>
      <c r="C6188" s="9" t="s">
        <v>328</v>
      </c>
      <c r="D6188" s="9" t="s">
        <v>84</v>
      </c>
      <c r="E6188" s="6" t="s">
        <v>6410</v>
      </c>
      <c r="F6188" s="9" t="s">
        <v>13971</v>
      </c>
    </row>
    <row r="6189" ht="33.75" customHeight="1">
      <c r="A6189" s="7">
        <v>219.0</v>
      </c>
      <c r="B6189" s="9" t="s">
        <v>12637</v>
      </c>
      <c r="C6189" s="9" t="s">
        <v>328</v>
      </c>
      <c r="D6189" s="9" t="s">
        <v>87</v>
      </c>
      <c r="E6189" s="6" t="s">
        <v>6410</v>
      </c>
      <c r="F6189" s="9" t="s">
        <v>13971</v>
      </c>
    </row>
    <row r="6190" ht="33.75" customHeight="1">
      <c r="A6190" s="7">
        <v>219.0</v>
      </c>
      <c r="B6190" s="9" t="s">
        <v>12637</v>
      </c>
      <c r="C6190" s="9" t="s">
        <v>328</v>
      </c>
      <c r="D6190" s="9" t="s">
        <v>89</v>
      </c>
      <c r="E6190" s="6" t="s">
        <v>6400</v>
      </c>
      <c r="F6190" s="9" t="s">
        <v>13971</v>
      </c>
    </row>
    <row r="6191" ht="33.75" customHeight="1">
      <c r="A6191" s="7">
        <v>219.0</v>
      </c>
      <c r="B6191" s="9" t="s">
        <v>12637</v>
      </c>
      <c r="C6191" s="9" t="s">
        <v>328</v>
      </c>
      <c r="D6191" s="9" t="s">
        <v>91</v>
      </c>
      <c r="E6191" s="6" t="s">
        <v>6409</v>
      </c>
      <c r="F6191" s="9" t="s">
        <v>13971</v>
      </c>
    </row>
    <row r="6192" ht="33.75" customHeight="1">
      <c r="A6192" s="7">
        <v>219.0</v>
      </c>
      <c r="B6192" s="9" t="s">
        <v>12637</v>
      </c>
      <c r="C6192" s="9" t="s">
        <v>328</v>
      </c>
      <c r="D6192" s="9" t="s">
        <v>93</v>
      </c>
      <c r="E6192" s="6" t="s">
        <v>6410</v>
      </c>
      <c r="F6192" s="9" t="s">
        <v>13971</v>
      </c>
    </row>
    <row r="6193" ht="33.75" customHeight="1">
      <c r="A6193" s="7">
        <v>219.0</v>
      </c>
      <c r="B6193" s="9" t="s">
        <v>12637</v>
      </c>
      <c r="C6193" s="9" t="s">
        <v>328</v>
      </c>
      <c r="D6193" s="9" t="s">
        <v>95</v>
      </c>
      <c r="E6193" s="6" t="s">
        <v>6410</v>
      </c>
      <c r="F6193" s="9" t="s">
        <v>13971</v>
      </c>
    </row>
    <row r="6194" ht="33.75" customHeight="1">
      <c r="A6194" s="7">
        <v>219.0</v>
      </c>
      <c r="B6194" s="9" t="s">
        <v>12637</v>
      </c>
      <c r="C6194" s="9" t="s">
        <v>328</v>
      </c>
      <c r="D6194" s="9" t="s">
        <v>98</v>
      </c>
      <c r="E6194" s="6" t="s">
        <v>6410</v>
      </c>
      <c r="F6194" s="9" t="s">
        <v>13971</v>
      </c>
    </row>
    <row r="6195" ht="33.75" customHeight="1">
      <c r="A6195" s="7">
        <v>219.0</v>
      </c>
      <c r="B6195" s="9" t="s">
        <v>12637</v>
      </c>
      <c r="C6195" s="9" t="s">
        <v>328</v>
      </c>
      <c r="D6195" s="9" t="s">
        <v>99</v>
      </c>
      <c r="E6195" s="6" t="s">
        <v>6410</v>
      </c>
      <c r="F6195" s="9" t="s">
        <v>13971</v>
      </c>
    </row>
    <row r="6196" ht="33.75" customHeight="1">
      <c r="A6196" s="7">
        <v>219.0</v>
      </c>
      <c r="B6196" s="9" t="s">
        <v>12637</v>
      </c>
      <c r="C6196" s="9" t="s">
        <v>328</v>
      </c>
      <c r="D6196" s="9" t="s">
        <v>101</v>
      </c>
      <c r="E6196" s="6" t="s">
        <v>6409</v>
      </c>
      <c r="F6196" s="9" t="s">
        <v>13971</v>
      </c>
    </row>
    <row r="6197" ht="33.75" customHeight="1">
      <c r="A6197" s="7">
        <v>219.0</v>
      </c>
      <c r="B6197" s="9" t="s">
        <v>12637</v>
      </c>
      <c r="C6197" s="9" t="s">
        <v>328</v>
      </c>
      <c r="D6197" s="9" t="s">
        <v>105</v>
      </c>
      <c r="E6197" s="6" t="s">
        <v>6403</v>
      </c>
      <c r="F6197" s="9" t="s">
        <v>13971</v>
      </c>
    </row>
    <row r="6198" ht="33.75" customHeight="1">
      <c r="A6198" s="7">
        <v>219.0</v>
      </c>
      <c r="B6198" s="9" t="s">
        <v>12637</v>
      </c>
      <c r="C6198" s="9" t="s">
        <v>328</v>
      </c>
      <c r="D6198" s="9" t="s">
        <v>107</v>
      </c>
      <c r="E6198" s="6" t="s">
        <v>6411</v>
      </c>
      <c r="F6198" s="9" t="s">
        <v>13971</v>
      </c>
    </row>
    <row r="6199" ht="33.75" customHeight="1">
      <c r="A6199" s="7">
        <v>219.0</v>
      </c>
      <c r="B6199" s="9" t="s">
        <v>12637</v>
      </c>
      <c r="C6199" s="9" t="s">
        <v>328</v>
      </c>
      <c r="D6199" s="9" t="s">
        <v>109</v>
      </c>
      <c r="E6199" s="6" t="s">
        <v>6413</v>
      </c>
      <c r="F6199" s="9" t="s">
        <v>13971</v>
      </c>
    </row>
    <row r="6200" ht="33.75" customHeight="1">
      <c r="A6200" s="7">
        <v>220.0</v>
      </c>
      <c r="B6200" s="9" t="s">
        <v>12675</v>
      </c>
      <c r="C6200" s="9" t="s">
        <v>329</v>
      </c>
      <c r="D6200" s="9" t="s">
        <v>52</v>
      </c>
      <c r="E6200" s="6" t="s">
        <v>6415</v>
      </c>
      <c r="F6200" s="9" t="s">
        <v>13989</v>
      </c>
      <c r="G6200" t="inlineStr" s="6">
        <is>
          <t xml:space="preserve">It rubs Swinub's snout on the ground to find and dig up food. It sometimes discovers hot springs. If it smells some thing enticing, it dashes headlong off to find the source of the aroma. It uses the tip of its nose to dig for food. Its nose is so tough that even frozen ground poses no problem. SWINUB roots for food by rubbing its snout against the ground. Its favorite food is a mushroom that grows under the cover of dead grass. This POKéMON occasionally roots out hot springs. It roots for food by rubbing its snout against the ground. Its favorite food is a mushroom that grows under dried grass. It occasionally roots out hot springs. If it smells something enticing, it dashes off headlong to find the source of the aroma. It loves eating mushrooms that grow under dead grass. It also finds hot springs while foraging. It has a very sensitive nose. It can locate mushrooms, berries, and even hot springs buried under ice. Rooting the tip of its snout into the ground, it searches for food. Sometimes it even digs up a hot spring. Swinub excels at sniffing out mushrooms buried beneath grass or snow. Since ancient times, the people of Hisui have often relied upon this skill.</t>
        </is>
      </c>
    </row>
    <row r="6201" ht="33.75" customHeight="1">
      <c r="A6201" s="7">
        <v>220.0</v>
      </c>
      <c r="B6201" s="9" t="s">
        <v>12675</v>
      </c>
      <c r="C6201" s="9" t="s">
        <v>329</v>
      </c>
      <c r="D6201" s="9" t="s">
        <v>59</v>
      </c>
      <c r="E6201" s="6" t="s">
        <v>6417</v>
      </c>
      <c r="F6201" s="9" t="s">
        <v>13989</v>
      </c>
    </row>
    <row r="6202" ht="33.75" customHeight="1">
      <c r="A6202" s="7">
        <v>220.0</v>
      </c>
      <c r="B6202" s="9" t="s">
        <v>12675</v>
      </c>
      <c r="C6202" s="9" t="s">
        <v>329</v>
      </c>
      <c r="D6202" s="9" t="s">
        <v>64</v>
      </c>
      <c r="E6202" s="6" t="s">
        <v>6419</v>
      </c>
      <c r="F6202" s="9" t="s">
        <v>13989</v>
      </c>
    </row>
    <row r="6203" ht="33.75" customHeight="1">
      <c r="A6203" s="7">
        <v>220.0</v>
      </c>
      <c r="B6203" s="9" t="s">
        <v>12675</v>
      </c>
      <c r="C6203" s="9" t="s">
        <v>329</v>
      </c>
      <c r="D6203" s="9" t="s">
        <v>67</v>
      </c>
      <c r="E6203" s="6" t="s">
        <v>6420</v>
      </c>
      <c r="F6203" s="9" t="s">
        <v>13989</v>
      </c>
    </row>
    <row r="6204" ht="33.75" customHeight="1">
      <c r="A6204" s="7">
        <v>220.0</v>
      </c>
      <c r="B6204" s="9" t="s">
        <v>12675</v>
      </c>
      <c r="C6204" s="9" t="s">
        <v>329</v>
      </c>
      <c r="D6204" s="9" t="s">
        <v>71</v>
      </c>
      <c r="E6204" s="6" t="s">
        <v>6420</v>
      </c>
      <c r="F6204" s="9" t="s">
        <v>13989</v>
      </c>
    </row>
    <row r="6205" ht="33.75" customHeight="1">
      <c r="A6205" s="7">
        <v>220.0</v>
      </c>
      <c r="B6205" s="9" t="s">
        <v>12675</v>
      </c>
      <c r="C6205" s="9" t="s">
        <v>329</v>
      </c>
      <c r="D6205" s="9" t="s">
        <v>73</v>
      </c>
      <c r="E6205" s="6" t="s">
        <v>6421</v>
      </c>
      <c r="F6205" s="9" t="s">
        <v>13989</v>
      </c>
    </row>
    <row r="6206" ht="33.75" customHeight="1">
      <c r="A6206" s="7">
        <v>220.0</v>
      </c>
      <c r="B6206" s="9" t="s">
        <v>12675</v>
      </c>
      <c r="C6206" s="9" t="s">
        <v>329</v>
      </c>
      <c r="D6206" s="9" t="s">
        <v>75</v>
      </c>
      <c r="E6206" s="6" t="s">
        <v>6422</v>
      </c>
      <c r="F6206" s="9" t="s">
        <v>13989</v>
      </c>
    </row>
    <row r="6207" ht="33.75" customHeight="1">
      <c r="A6207" s="7">
        <v>220.0</v>
      </c>
      <c r="B6207" s="9" t="s">
        <v>12675</v>
      </c>
      <c r="C6207" s="9" t="s">
        <v>329</v>
      </c>
      <c r="D6207" s="9" t="s">
        <v>79</v>
      </c>
      <c r="E6207" s="6" t="s">
        <v>6415</v>
      </c>
      <c r="F6207" s="9" t="s">
        <v>13989</v>
      </c>
    </row>
    <row r="6208" ht="33.75" customHeight="1">
      <c r="A6208" s="7">
        <v>220.0</v>
      </c>
      <c r="B6208" s="9" t="s">
        <v>12675</v>
      </c>
      <c r="C6208" s="9" t="s">
        <v>329</v>
      </c>
      <c r="D6208" s="9" t="s">
        <v>81</v>
      </c>
      <c r="E6208" s="6" t="s">
        <v>6424</v>
      </c>
      <c r="F6208" s="9" t="s">
        <v>13989</v>
      </c>
    </row>
    <row r="6209" ht="33.75" customHeight="1">
      <c r="A6209" s="7">
        <v>220.0</v>
      </c>
      <c r="B6209" s="9" t="s">
        <v>12675</v>
      </c>
      <c r="C6209" s="9" t="s">
        <v>329</v>
      </c>
      <c r="D6209" s="9" t="s">
        <v>84</v>
      </c>
      <c r="E6209" s="6" t="s">
        <v>6424</v>
      </c>
      <c r="F6209" s="9" t="s">
        <v>13989</v>
      </c>
    </row>
    <row r="6210" ht="33.75" customHeight="1">
      <c r="A6210" s="7">
        <v>220.0</v>
      </c>
      <c r="B6210" s="9" t="s">
        <v>12675</v>
      </c>
      <c r="C6210" s="9" t="s">
        <v>329</v>
      </c>
      <c r="D6210" s="9" t="s">
        <v>87</v>
      </c>
      <c r="E6210" s="6" t="s">
        <v>6426</v>
      </c>
      <c r="F6210" s="9" t="s">
        <v>13989</v>
      </c>
    </row>
    <row r="6211" ht="33.75" customHeight="1">
      <c r="A6211" s="7">
        <v>220.0</v>
      </c>
      <c r="B6211" s="9" t="s">
        <v>12675</v>
      </c>
      <c r="C6211" s="9" t="s">
        <v>329</v>
      </c>
      <c r="D6211" s="9" t="s">
        <v>89</v>
      </c>
      <c r="E6211" s="6" t="s">
        <v>6415</v>
      </c>
      <c r="F6211" s="9" t="s">
        <v>13989</v>
      </c>
    </row>
    <row r="6212" ht="33.75" customHeight="1">
      <c r="A6212" s="7">
        <v>220.0</v>
      </c>
      <c r="B6212" s="9" t="s">
        <v>12675</v>
      </c>
      <c r="C6212" s="9" t="s">
        <v>329</v>
      </c>
      <c r="D6212" s="9" t="s">
        <v>91</v>
      </c>
      <c r="E6212" s="6" t="s">
        <v>6422</v>
      </c>
      <c r="F6212" s="9" t="s">
        <v>13989</v>
      </c>
    </row>
    <row r="6213" ht="33.75" customHeight="1">
      <c r="A6213" s="7">
        <v>220.0</v>
      </c>
      <c r="B6213" s="9" t="s">
        <v>12675</v>
      </c>
      <c r="C6213" s="9" t="s">
        <v>329</v>
      </c>
      <c r="D6213" s="9" t="s">
        <v>93</v>
      </c>
      <c r="E6213" s="6" t="s">
        <v>6426</v>
      </c>
      <c r="F6213" s="9" t="s">
        <v>13989</v>
      </c>
    </row>
    <row r="6214" ht="33.75" customHeight="1">
      <c r="A6214" s="7">
        <v>220.0</v>
      </c>
      <c r="B6214" s="9" t="s">
        <v>12675</v>
      </c>
      <c r="C6214" s="9" t="s">
        <v>329</v>
      </c>
      <c r="D6214" s="9" t="s">
        <v>95</v>
      </c>
      <c r="E6214" s="6" t="s">
        <v>6426</v>
      </c>
      <c r="F6214" s="9" t="s">
        <v>13989</v>
      </c>
    </row>
    <row r="6215" ht="33.75" customHeight="1">
      <c r="A6215" s="7">
        <v>220.0</v>
      </c>
      <c r="B6215" s="9" t="s">
        <v>12675</v>
      </c>
      <c r="C6215" s="9" t="s">
        <v>329</v>
      </c>
      <c r="D6215" s="9" t="s">
        <v>98</v>
      </c>
      <c r="E6215" s="6" t="s">
        <v>6427</v>
      </c>
      <c r="F6215" s="9" t="s">
        <v>13989</v>
      </c>
    </row>
    <row r="6216" ht="33.75" customHeight="1">
      <c r="A6216" s="7">
        <v>220.0</v>
      </c>
      <c r="B6216" s="9" t="s">
        <v>12675</v>
      </c>
      <c r="C6216" s="9" t="s">
        <v>329</v>
      </c>
      <c r="D6216" s="9" t="s">
        <v>99</v>
      </c>
      <c r="E6216" s="6" t="s">
        <v>6427</v>
      </c>
      <c r="F6216" s="9" t="s">
        <v>13989</v>
      </c>
    </row>
    <row r="6217" ht="33.75" customHeight="1">
      <c r="A6217" s="7">
        <v>220.0</v>
      </c>
      <c r="B6217" s="9" t="s">
        <v>12675</v>
      </c>
      <c r="C6217" s="9" t="s">
        <v>329</v>
      </c>
      <c r="D6217" s="9" t="s">
        <v>101</v>
      </c>
      <c r="E6217" s="6" t="s">
        <v>6415</v>
      </c>
      <c r="F6217" s="9" t="s">
        <v>13989</v>
      </c>
    </row>
    <row r="6218" ht="33.75" customHeight="1">
      <c r="A6218" s="7">
        <v>220.0</v>
      </c>
      <c r="B6218" s="9" t="s">
        <v>12675</v>
      </c>
      <c r="C6218" s="9" t="s">
        <v>329</v>
      </c>
      <c r="D6218" s="9" t="s">
        <v>105</v>
      </c>
      <c r="E6218" s="6" t="s">
        <v>6422</v>
      </c>
      <c r="F6218" s="9" t="s">
        <v>13989</v>
      </c>
    </row>
    <row r="6219" ht="33.75" customHeight="1">
      <c r="A6219" s="7">
        <v>220.0</v>
      </c>
      <c r="B6219" s="9" t="s">
        <v>12675</v>
      </c>
      <c r="C6219" s="9" t="s">
        <v>329</v>
      </c>
      <c r="D6219" s="9" t="s">
        <v>107</v>
      </c>
      <c r="E6219" s="6" t="s">
        <v>6429</v>
      </c>
      <c r="F6219" s="9" t="s">
        <v>13989</v>
      </c>
    </row>
    <row r="6220" ht="33.75" customHeight="1">
      <c r="A6220" s="7">
        <v>220.0</v>
      </c>
      <c r="B6220" s="9" t="s">
        <v>12675</v>
      </c>
      <c r="C6220" s="9" t="s">
        <v>329</v>
      </c>
      <c r="D6220" s="9" t="s">
        <v>109</v>
      </c>
      <c r="E6220" s="6" t="s">
        <v>6429</v>
      </c>
      <c r="F6220" s="9" t="s">
        <v>13989</v>
      </c>
    </row>
    <row r="6221" ht="33.75" customHeight="1">
      <c r="A6221" s="7">
        <v>220.0</v>
      </c>
      <c r="B6221" s="9" t="s">
        <v>12675</v>
      </c>
      <c r="C6221" s="9" t="s">
        <v>329</v>
      </c>
      <c r="D6221" s="9" t="s">
        <v>114</v>
      </c>
      <c r="E6221" s="6" t="s">
        <v>6415</v>
      </c>
      <c r="F6221" s="9" t="s">
        <v>13989</v>
      </c>
    </row>
    <row r="6222" ht="33.75" customHeight="1">
      <c r="A6222" s="7">
        <v>220.0</v>
      </c>
      <c r="B6222" s="9" t="s">
        <v>12675</v>
      </c>
      <c r="C6222" s="9" t="s">
        <v>329</v>
      </c>
      <c r="D6222" s="9" t="s">
        <v>117</v>
      </c>
      <c r="E6222" s="6" t="s">
        <v>6422</v>
      </c>
      <c r="F6222" s="9" t="s">
        <v>13989</v>
      </c>
    </row>
    <row r="6223" ht="33.75" customHeight="1">
      <c r="A6223" s="7">
        <v>220.0</v>
      </c>
      <c r="B6223" s="9" t="s">
        <v>12675</v>
      </c>
      <c r="C6223" s="9" t="s">
        <v>329</v>
      </c>
      <c r="D6223" s="9" t="s">
        <v>1577</v>
      </c>
      <c r="E6223" s="6" t="s">
        <v>6430</v>
      </c>
      <c r="F6223" s="9" t="s">
        <v>13989</v>
      </c>
    </row>
    <row r="6224" ht="33.75" customHeight="1">
      <c r="A6224" s="7">
        <v>221.0</v>
      </c>
      <c r="B6224" s="9" t="s">
        <v>12730</v>
      </c>
      <c r="C6224" s="9" t="s">
        <v>332</v>
      </c>
      <c r="D6224" s="9" t="s">
        <v>52</v>
      </c>
      <c r="E6224" s="6" t="s">
        <v>6431</v>
      </c>
      <c r="F6224" s="9" t="s">
        <v>14005</v>
      </c>
      <c r="G6224" t="inlineStr" s="6">
        <is>
          <t xml:space="preserve">Because the long hair all over Piloswine's body obscures its sight, it just keeps charging repeatedly. If it charges at an enemy, the hairs on its back stand up straight. It is very sensitive to sound. Although its legs are short, its rugged hooves prevent it from slipping, even on icy ground. PILOSWINE is covered by a thick coat of long hair that enables it to endure the freezing cold. This POKéMON uses its tusks to dig up food that has been buried under ice. A PILOSWINE is covered by a thick coat of long hair for enduring freezing cold. It uses its tusks to dig up food that has been buried under ice. Its shaggy coat makes it unable to see. It checks surroundings with its sensitive nose instead. Covered by a shaggy coat, it is strong against the cold. Its tusks of ice thicken when it snows. With its excellent sense of smell, it’s even able to find mushrooms that are buried under frozen ground. The long fur of this Pokémon covers its eyes, ears, and even limbs, allowing Piloswine to resist harshly frigid conditions. The Pokémon's white tusks can be used to defeat its enemies.</t>
        </is>
      </c>
    </row>
    <row r="6225" ht="33.75" customHeight="1">
      <c r="A6225" s="7">
        <v>221.0</v>
      </c>
      <c r="B6225" s="9" t="s">
        <v>12730</v>
      </c>
      <c r="C6225" s="9" t="s">
        <v>332</v>
      </c>
      <c r="D6225" s="9" t="s">
        <v>59</v>
      </c>
      <c r="E6225" s="6" t="s">
        <v>6433</v>
      </c>
      <c r="F6225" s="9" t="s">
        <v>14005</v>
      </c>
    </row>
    <row r="6226" ht="33.75" customHeight="1">
      <c r="A6226" s="7">
        <v>221.0</v>
      </c>
      <c r="B6226" s="9" t="s">
        <v>12730</v>
      </c>
      <c r="C6226" s="9" t="s">
        <v>332</v>
      </c>
      <c r="D6226" s="9" t="s">
        <v>64</v>
      </c>
      <c r="E6226" s="6" t="s">
        <v>6434</v>
      </c>
      <c r="F6226" s="9" t="s">
        <v>14005</v>
      </c>
    </row>
    <row r="6227" ht="33.75" customHeight="1">
      <c r="A6227" s="7">
        <v>221.0</v>
      </c>
      <c r="B6227" s="9" t="s">
        <v>12730</v>
      </c>
      <c r="C6227" s="9" t="s">
        <v>332</v>
      </c>
      <c r="D6227" s="9" t="s">
        <v>67</v>
      </c>
      <c r="E6227" s="6" t="s">
        <v>6435</v>
      </c>
      <c r="F6227" s="9" t="s">
        <v>14005</v>
      </c>
    </row>
    <row r="6228" ht="33.75" customHeight="1">
      <c r="A6228" s="7">
        <v>221.0</v>
      </c>
      <c r="B6228" s="9" t="s">
        <v>12730</v>
      </c>
      <c r="C6228" s="9" t="s">
        <v>332</v>
      </c>
      <c r="D6228" s="9" t="s">
        <v>71</v>
      </c>
      <c r="E6228" s="6" t="s">
        <v>6435</v>
      </c>
      <c r="F6228" s="9" t="s">
        <v>14005</v>
      </c>
    </row>
    <row r="6229" ht="33.75" customHeight="1">
      <c r="A6229" s="7">
        <v>221.0</v>
      </c>
      <c r="B6229" s="9" t="s">
        <v>12730</v>
      </c>
      <c r="C6229" s="9" t="s">
        <v>332</v>
      </c>
      <c r="D6229" s="9" t="s">
        <v>73</v>
      </c>
      <c r="E6229" s="6" t="s">
        <v>6436</v>
      </c>
      <c r="F6229" s="9" t="s">
        <v>14005</v>
      </c>
    </row>
    <row r="6230" ht="33.75" customHeight="1">
      <c r="A6230" s="7">
        <v>221.0</v>
      </c>
      <c r="B6230" s="9" t="s">
        <v>12730</v>
      </c>
      <c r="C6230" s="9" t="s">
        <v>332</v>
      </c>
      <c r="D6230" s="9" t="s">
        <v>75</v>
      </c>
      <c r="E6230" s="6" t="s">
        <v>6438</v>
      </c>
      <c r="F6230" s="9" t="s">
        <v>14005</v>
      </c>
    </row>
    <row r="6231" ht="33.75" customHeight="1">
      <c r="A6231" s="7">
        <v>221.0</v>
      </c>
      <c r="B6231" s="9" t="s">
        <v>12730</v>
      </c>
      <c r="C6231" s="9" t="s">
        <v>332</v>
      </c>
      <c r="D6231" s="9" t="s">
        <v>79</v>
      </c>
      <c r="E6231" s="6" t="s">
        <v>6431</v>
      </c>
      <c r="F6231" s="9" t="s">
        <v>14005</v>
      </c>
    </row>
    <row r="6232" ht="33.75" customHeight="1">
      <c r="A6232" s="7">
        <v>221.0</v>
      </c>
      <c r="B6232" s="9" t="s">
        <v>12730</v>
      </c>
      <c r="C6232" s="9" t="s">
        <v>332</v>
      </c>
      <c r="D6232" s="9" t="s">
        <v>81</v>
      </c>
      <c r="E6232" s="6" t="s">
        <v>6439</v>
      </c>
      <c r="F6232" s="9" t="s">
        <v>14005</v>
      </c>
    </row>
    <row r="6233" ht="33.75" customHeight="1">
      <c r="A6233" s="7">
        <v>221.0</v>
      </c>
      <c r="B6233" s="9" t="s">
        <v>12730</v>
      </c>
      <c r="C6233" s="9" t="s">
        <v>332</v>
      </c>
      <c r="D6233" s="9" t="s">
        <v>84</v>
      </c>
      <c r="E6233" s="6" t="s">
        <v>6439</v>
      </c>
      <c r="F6233" s="9" t="s">
        <v>14005</v>
      </c>
    </row>
    <row r="6234" ht="33.75" customHeight="1">
      <c r="A6234" s="7">
        <v>221.0</v>
      </c>
      <c r="B6234" s="9" t="s">
        <v>12730</v>
      </c>
      <c r="C6234" s="9" t="s">
        <v>332</v>
      </c>
      <c r="D6234" s="9" t="s">
        <v>87</v>
      </c>
      <c r="E6234" s="6" t="s">
        <v>6440</v>
      </c>
      <c r="F6234" s="9" t="s">
        <v>14005</v>
      </c>
    </row>
    <row r="6235" ht="33.75" customHeight="1">
      <c r="A6235" s="7">
        <v>221.0</v>
      </c>
      <c r="B6235" s="9" t="s">
        <v>12730</v>
      </c>
      <c r="C6235" s="9" t="s">
        <v>332</v>
      </c>
      <c r="D6235" s="9" t="s">
        <v>89</v>
      </c>
      <c r="E6235" s="6" t="s">
        <v>6431</v>
      </c>
      <c r="F6235" s="9" t="s">
        <v>14005</v>
      </c>
    </row>
    <row r="6236" ht="33.75" customHeight="1">
      <c r="A6236" s="7">
        <v>221.0</v>
      </c>
      <c r="B6236" s="9" t="s">
        <v>12730</v>
      </c>
      <c r="C6236" s="9" t="s">
        <v>332</v>
      </c>
      <c r="D6236" s="9" t="s">
        <v>91</v>
      </c>
      <c r="E6236" s="6" t="s">
        <v>6438</v>
      </c>
      <c r="F6236" s="9" t="s">
        <v>14005</v>
      </c>
    </row>
    <row r="6237" ht="33.75" customHeight="1">
      <c r="A6237" s="7">
        <v>221.0</v>
      </c>
      <c r="B6237" s="9" t="s">
        <v>12730</v>
      </c>
      <c r="C6237" s="9" t="s">
        <v>332</v>
      </c>
      <c r="D6237" s="9" t="s">
        <v>93</v>
      </c>
      <c r="E6237" s="6" t="s">
        <v>6440</v>
      </c>
      <c r="F6237" s="9" t="s">
        <v>14005</v>
      </c>
    </row>
    <row r="6238" ht="33.75" customHeight="1">
      <c r="A6238" s="7">
        <v>221.0</v>
      </c>
      <c r="B6238" s="9" t="s">
        <v>12730</v>
      </c>
      <c r="C6238" s="9" t="s">
        <v>332</v>
      </c>
      <c r="D6238" s="9" t="s">
        <v>95</v>
      </c>
      <c r="E6238" s="6" t="s">
        <v>6440</v>
      </c>
      <c r="F6238" s="9" t="s">
        <v>14005</v>
      </c>
    </row>
    <row r="6239" ht="33.75" customHeight="1">
      <c r="A6239" s="7">
        <v>221.0</v>
      </c>
      <c r="B6239" s="9" t="s">
        <v>12730</v>
      </c>
      <c r="C6239" s="9" t="s">
        <v>332</v>
      </c>
      <c r="D6239" s="9" t="s">
        <v>98</v>
      </c>
      <c r="E6239" s="6" t="s">
        <v>6442</v>
      </c>
      <c r="F6239" s="9" t="s">
        <v>14005</v>
      </c>
    </row>
    <row r="6240" ht="33.75" customHeight="1">
      <c r="A6240" s="7">
        <v>221.0</v>
      </c>
      <c r="B6240" s="9" t="s">
        <v>12730</v>
      </c>
      <c r="C6240" s="9" t="s">
        <v>332</v>
      </c>
      <c r="D6240" s="9" t="s">
        <v>99</v>
      </c>
      <c r="E6240" s="6" t="s">
        <v>6442</v>
      </c>
      <c r="F6240" s="9" t="s">
        <v>14005</v>
      </c>
    </row>
    <row r="6241" ht="33.75" customHeight="1">
      <c r="A6241" s="7">
        <v>221.0</v>
      </c>
      <c r="B6241" s="9" t="s">
        <v>12730</v>
      </c>
      <c r="C6241" s="9" t="s">
        <v>332</v>
      </c>
      <c r="D6241" s="9" t="s">
        <v>101</v>
      </c>
      <c r="E6241" s="6" t="s">
        <v>6434</v>
      </c>
      <c r="F6241" s="9" t="s">
        <v>14005</v>
      </c>
    </row>
    <row r="6242" ht="33.75" customHeight="1">
      <c r="A6242" s="7">
        <v>221.0</v>
      </c>
      <c r="B6242" s="9" t="s">
        <v>12730</v>
      </c>
      <c r="C6242" s="9" t="s">
        <v>332</v>
      </c>
      <c r="D6242" s="9" t="s">
        <v>105</v>
      </c>
      <c r="E6242" s="6" t="s">
        <v>6431</v>
      </c>
      <c r="F6242" s="9" t="s">
        <v>14005</v>
      </c>
    </row>
    <row r="6243" ht="33.75" customHeight="1">
      <c r="A6243" s="7">
        <v>221.0</v>
      </c>
      <c r="B6243" s="9" t="s">
        <v>12730</v>
      </c>
      <c r="C6243" s="9" t="s">
        <v>332</v>
      </c>
      <c r="D6243" s="9" t="s">
        <v>107</v>
      </c>
      <c r="E6243" s="6" t="s">
        <v>6444</v>
      </c>
      <c r="F6243" s="9" t="s">
        <v>14005</v>
      </c>
    </row>
    <row r="6244" ht="33.75" customHeight="1">
      <c r="A6244" s="7">
        <v>221.0</v>
      </c>
      <c r="B6244" s="9" t="s">
        <v>12730</v>
      </c>
      <c r="C6244" s="9" t="s">
        <v>332</v>
      </c>
      <c r="D6244" s="9" t="s">
        <v>109</v>
      </c>
      <c r="E6244" s="6" t="s">
        <v>6444</v>
      </c>
      <c r="F6244" s="9" t="s">
        <v>14005</v>
      </c>
    </row>
    <row r="6245" ht="33.75" customHeight="1">
      <c r="A6245" s="7">
        <v>221.0</v>
      </c>
      <c r="B6245" s="9" t="s">
        <v>12730</v>
      </c>
      <c r="C6245" s="9" t="s">
        <v>332</v>
      </c>
      <c r="D6245" s="9" t="s">
        <v>114</v>
      </c>
      <c r="E6245" s="6" t="s">
        <v>6438</v>
      </c>
      <c r="F6245" s="9" t="s">
        <v>14005</v>
      </c>
    </row>
    <row r="6246" ht="33.75" customHeight="1">
      <c r="A6246" s="7">
        <v>221.0</v>
      </c>
      <c r="B6246" s="9" t="s">
        <v>12730</v>
      </c>
      <c r="C6246" s="9" t="s">
        <v>332</v>
      </c>
      <c r="D6246" s="9" t="s">
        <v>117</v>
      </c>
      <c r="E6246" s="6" t="s">
        <v>6434</v>
      </c>
      <c r="F6246" s="9" t="s">
        <v>14005</v>
      </c>
    </row>
    <row r="6247" ht="33.75" customHeight="1">
      <c r="A6247" s="7">
        <v>221.0</v>
      </c>
      <c r="B6247" s="9" t="s">
        <v>12730</v>
      </c>
      <c r="C6247" s="9" t="s">
        <v>332</v>
      </c>
      <c r="D6247" s="9" t="s">
        <v>1577</v>
      </c>
      <c r="E6247" s="6" t="s">
        <v>6445</v>
      </c>
      <c r="F6247" s="9" t="s">
        <v>14005</v>
      </c>
    </row>
    <row r="6248" ht="33.75" customHeight="1">
      <c r="A6248" s="7">
        <v>222.0</v>
      </c>
      <c r="B6248" s="9" t="s">
        <v>12787</v>
      </c>
      <c r="C6248" s="9" t="s">
        <v>335</v>
      </c>
      <c r="D6248" s="9" t="s">
        <v>52</v>
      </c>
      <c r="E6248" s="6" t="s">
        <v>6447</v>
      </c>
      <c r="F6248" s="9" t="s">
        <v>14026</v>
      </c>
      <c r="G6248" t="inlineStr" s="6">
        <is>
          <t xml:space="preserve">It continuously sheds and grows. The tip of its head is prized as a treasure for its beauty. In a south sea nation, the people live in communities that are built on groups of these POKéMON. The points on its head absorb nutrients from clean water. They cannot survive in polluted water. CORSOLA’s branches glitter very beautifully in seven colors when they catch sunlight. If any branch breaks off, this POKéMON grows it back in just one night. Clusters of CORSOLA congregate in warm seas where they serve as ideal hiding places for smaller POKéMON. When the water temperature falls, this POKéMON migrates to the southern seas. CORSOLA live in warm southern seas. If the sea becomes polluted, the beautiful coral stalks become discolored and crumble away in tatters. Many live in the clean seas of the south. They apparently can’t live in polluted waters. The tip of its head is prized as a treasure because of its beauty. In a south-sea nation, the people live in communities that are built on groups of these Pokémon. They prefer unpolluted southern seas. Their coral branches lose their color and deteriorate in dirty water. Coral branches grow from its head. They break off quite easily, but they grow back in about three days. Pursued by Mareanie for the branches on its head, this Pokémon will sometimes snap its own branches off as a diversion while it escapes. The pink of Corsola that live in Alola is deep and vibrant, thanks to seas filled with nutrition. In Alola, where their natural enemies Mareanie are plentiful, many Corsola have stubby branches on their heads. It will regrow any branches that break off its head. People keep particularly beautiful Corsola branches as charms to promote safe childbirth. These Pokémon live in warm seas. In prehistoric times, many lived in the oceans around the Galar region as well.</t>
        </is>
      </c>
    </row>
    <row r="6249" ht="33.75" customHeight="1">
      <c r="A6249" s="7">
        <v>222.0</v>
      </c>
      <c r="B6249" s="9" t="s">
        <v>12787</v>
      </c>
      <c r="C6249" s="9" t="s">
        <v>335</v>
      </c>
      <c r="D6249" s="9" t="s">
        <v>59</v>
      </c>
      <c r="E6249" s="6" t="s">
        <v>6449</v>
      </c>
      <c r="F6249" s="9" t="s">
        <v>14026</v>
      </c>
    </row>
    <row r="6250" ht="33.75" customHeight="1">
      <c r="A6250" s="7">
        <v>222.0</v>
      </c>
      <c r="B6250" s="9" t="s">
        <v>12787</v>
      </c>
      <c r="C6250" s="9" t="s">
        <v>335</v>
      </c>
      <c r="D6250" s="9" t="s">
        <v>64</v>
      </c>
      <c r="E6250" s="6" t="s">
        <v>6450</v>
      </c>
      <c r="F6250" s="9" t="s">
        <v>14026</v>
      </c>
    </row>
    <row r="6251" ht="33.75" customHeight="1">
      <c r="A6251" s="7">
        <v>222.0</v>
      </c>
      <c r="B6251" s="9" t="s">
        <v>12787</v>
      </c>
      <c r="C6251" s="9" t="s">
        <v>335</v>
      </c>
      <c r="D6251" s="9" t="s">
        <v>67</v>
      </c>
      <c r="E6251" s="6" t="s">
        <v>6451</v>
      </c>
      <c r="F6251" s="9" t="s">
        <v>14026</v>
      </c>
    </row>
    <row r="6252" ht="33.75" customHeight="1">
      <c r="A6252" s="7">
        <v>222.0</v>
      </c>
      <c r="B6252" s="9" t="s">
        <v>12787</v>
      </c>
      <c r="C6252" s="9" t="s">
        <v>335</v>
      </c>
      <c r="D6252" s="9" t="s">
        <v>71</v>
      </c>
      <c r="E6252" s="6" t="s">
        <v>6452</v>
      </c>
      <c r="F6252" s="9" t="s">
        <v>14026</v>
      </c>
    </row>
    <row r="6253" ht="33.75" customHeight="1">
      <c r="A6253" s="7">
        <v>222.0</v>
      </c>
      <c r="B6253" s="9" t="s">
        <v>12787</v>
      </c>
      <c r="C6253" s="9" t="s">
        <v>335</v>
      </c>
      <c r="D6253" s="9" t="s">
        <v>73</v>
      </c>
      <c r="E6253" s="6" t="s">
        <v>6453</v>
      </c>
      <c r="F6253" s="9" t="s">
        <v>14026</v>
      </c>
    </row>
    <row r="6254" ht="33.75" customHeight="1">
      <c r="A6254" s="7">
        <v>222.0</v>
      </c>
      <c r="B6254" s="9" t="s">
        <v>12787</v>
      </c>
      <c r="C6254" s="9" t="s">
        <v>335</v>
      </c>
      <c r="D6254" s="9" t="s">
        <v>75</v>
      </c>
      <c r="E6254" s="6" t="s">
        <v>6455</v>
      </c>
      <c r="F6254" s="9" t="s">
        <v>14026</v>
      </c>
    </row>
    <row r="6255" ht="33.75" customHeight="1">
      <c r="A6255" s="7">
        <v>222.0</v>
      </c>
      <c r="B6255" s="9" t="s">
        <v>12787</v>
      </c>
      <c r="C6255" s="9" t="s">
        <v>335</v>
      </c>
      <c r="D6255" s="9" t="s">
        <v>79</v>
      </c>
      <c r="E6255" s="6" t="s">
        <v>6447</v>
      </c>
      <c r="F6255" s="9" t="s">
        <v>14026</v>
      </c>
    </row>
    <row r="6256" ht="33.75" customHeight="1">
      <c r="A6256" s="7">
        <v>222.0</v>
      </c>
      <c r="B6256" s="9" t="s">
        <v>12787</v>
      </c>
      <c r="C6256" s="9" t="s">
        <v>335</v>
      </c>
      <c r="D6256" s="9" t="s">
        <v>81</v>
      </c>
      <c r="E6256" s="6" t="s">
        <v>6456</v>
      </c>
      <c r="F6256" s="9" t="s">
        <v>14026</v>
      </c>
    </row>
    <row r="6257" ht="33.75" customHeight="1">
      <c r="A6257" s="7">
        <v>222.0</v>
      </c>
      <c r="B6257" s="9" t="s">
        <v>12787</v>
      </c>
      <c r="C6257" s="9" t="s">
        <v>335</v>
      </c>
      <c r="D6257" s="9" t="s">
        <v>84</v>
      </c>
      <c r="E6257" s="6" t="s">
        <v>6456</v>
      </c>
      <c r="F6257" s="9" t="s">
        <v>14026</v>
      </c>
    </row>
    <row r="6258" ht="33.75" customHeight="1">
      <c r="A6258" s="7">
        <v>222.0</v>
      </c>
      <c r="B6258" s="9" t="s">
        <v>12787</v>
      </c>
      <c r="C6258" s="9" t="s">
        <v>335</v>
      </c>
      <c r="D6258" s="9" t="s">
        <v>87</v>
      </c>
      <c r="E6258" s="6" t="s">
        <v>6456</v>
      </c>
      <c r="F6258" s="9" t="s">
        <v>14026</v>
      </c>
    </row>
    <row r="6259" ht="33.75" customHeight="1">
      <c r="A6259" s="7">
        <v>222.0</v>
      </c>
      <c r="B6259" s="9" t="s">
        <v>12787</v>
      </c>
      <c r="C6259" s="9" t="s">
        <v>335</v>
      </c>
      <c r="D6259" s="9" t="s">
        <v>89</v>
      </c>
      <c r="E6259" s="6" t="s">
        <v>6458</v>
      </c>
      <c r="F6259" s="9" t="s">
        <v>14026</v>
      </c>
    </row>
    <row r="6260" ht="33.75" customHeight="1">
      <c r="A6260" s="7">
        <v>222.0</v>
      </c>
      <c r="B6260" s="9" t="s">
        <v>12787</v>
      </c>
      <c r="C6260" s="9" t="s">
        <v>335</v>
      </c>
      <c r="D6260" s="9" t="s">
        <v>91</v>
      </c>
      <c r="E6260" s="6" t="s">
        <v>6459</v>
      </c>
      <c r="F6260" s="9" t="s">
        <v>14026</v>
      </c>
    </row>
    <row r="6261" ht="33.75" customHeight="1">
      <c r="A6261" s="7">
        <v>222.0</v>
      </c>
      <c r="B6261" s="9" t="s">
        <v>12787</v>
      </c>
      <c r="C6261" s="9" t="s">
        <v>335</v>
      </c>
      <c r="D6261" s="9" t="s">
        <v>93</v>
      </c>
      <c r="E6261" s="6" t="s">
        <v>6456</v>
      </c>
      <c r="F6261" s="9" t="s">
        <v>14026</v>
      </c>
    </row>
    <row r="6262" ht="33.75" customHeight="1">
      <c r="A6262" s="7">
        <v>222.0</v>
      </c>
      <c r="B6262" s="9" t="s">
        <v>12787</v>
      </c>
      <c r="C6262" s="9" t="s">
        <v>335</v>
      </c>
      <c r="D6262" s="9" t="s">
        <v>95</v>
      </c>
      <c r="E6262" s="6" t="s">
        <v>6456</v>
      </c>
      <c r="F6262" s="9" t="s">
        <v>14026</v>
      </c>
    </row>
    <row r="6263" ht="33.75" customHeight="1">
      <c r="A6263" s="7">
        <v>222.0</v>
      </c>
      <c r="B6263" s="9" t="s">
        <v>12787</v>
      </c>
      <c r="C6263" s="9" t="s">
        <v>335</v>
      </c>
      <c r="D6263" s="9" t="s">
        <v>98</v>
      </c>
      <c r="E6263" s="6" t="s">
        <v>6460</v>
      </c>
      <c r="F6263" s="9" t="s">
        <v>14026</v>
      </c>
    </row>
    <row r="6264" ht="33.75" customHeight="1">
      <c r="A6264" s="7">
        <v>222.0</v>
      </c>
      <c r="B6264" s="9" t="s">
        <v>12787</v>
      </c>
      <c r="C6264" s="9" t="s">
        <v>335</v>
      </c>
      <c r="D6264" s="9" t="s">
        <v>99</v>
      </c>
      <c r="E6264" s="6" t="s">
        <v>6460</v>
      </c>
      <c r="F6264" s="9" t="s">
        <v>14026</v>
      </c>
    </row>
    <row r="6265" ht="33.75" customHeight="1">
      <c r="A6265" s="7">
        <v>222.0</v>
      </c>
      <c r="B6265" s="9" t="s">
        <v>12787</v>
      </c>
      <c r="C6265" s="9" t="s">
        <v>335</v>
      </c>
      <c r="D6265" s="9" t="s">
        <v>101</v>
      </c>
      <c r="E6265" s="6" t="s">
        <v>6458</v>
      </c>
      <c r="F6265" s="9" t="s">
        <v>14026</v>
      </c>
    </row>
    <row r="6266" ht="33.75" customHeight="1">
      <c r="A6266" s="7">
        <v>222.0</v>
      </c>
      <c r="B6266" s="9" t="s">
        <v>12787</v>
      </c>
      <c r="C6266" s="9" t="s">
        <v>335</v>
      </c>
      <c r="D6266" s="9" t="s">
        <v>105</v>
      </c>
      <c r="E6266" s="6" t="s">
        <v>6460</v>
      </c>
      <c r="F6266" s="9" t="s">
        <v>14026</v>
      </c>
    </row>
    <row r="6267" ht="33.75" customHeight="1">
      <c r="A6267" s="7">
        <v>222.0</v>
      </c>
      <c r="B6267" s="9" t="s">
        <v>12787</v>
      </c>
      <c r="C6267" s="9" t="s">
        <v>335</v>
      </c>
      <c r="D6267" s="9" t="s">
        <v>107</v>
      </c>
      <c r="E6267" s="6" t="s">
        <v>6461</v>
      </c>
      <c r="F6267" s="9" t="s">
        <v>14026</v>
      </c>
    </row>
    <row r="6268" ht="33.75" customHeight="1">
      <c r="A6268" s="7">
        <v>222.0</v>
      </c>
      <c r="B6268" s="9" t="s">
        <v>12787</v>
      </c>
      <c r="C6268" s="9" t="s">
        <v>335</v>
      </c>
      <c r="D6268" s="9" t="s">
        <v>109</v>
      </c>
      <c r="E6268" s="6" t="s">
        <v>6462</v>
      </c>
      <c r="F6268" s="9" t="s">
        <v>14026</v>
      </c>
    </row>
    <row r="6269" ht="33.75" customHeight="1">
      <c r="A6269" s="7">
        <v>222.0</v>
      </c>
      <c r="B6269" s="9" t="s">
        <v>12787</v>
      </c>
      <c r="C6269" s="9" t="s">
        <v>335</v>
      </c>
      <c r="D6269" s="9" t="s">
        <v>637</v>
      </c>
      <c r="E6269" s="6" t="s">
        <v>6463</v>
      </c>
      <c r="F6269" s="9" t="s">
        <v>14026</v>
      </c>
    </row>
    <row r="6270" ht="33.75" customHeight="1">
      <c r="A6270" s="7">
        <v>222.0</v>
      </c>
      <c r="B6270" s="9" t="s">
        <v>12787</v>
      </c>
      <c r="C6270" s="9" t="s">
        <v>335</v>
      </c>
      <c r="D6270" s="9" t="s">
        <v>642</v>
      </c>
      <c r="E6270" s="6" t="s">
        <v>6464</v>
      </c>
      <c r="F6270" s="9" t="s">
        <v>14026</v>
      </c>
    </row>
    <row r="6271" ht="33.75" customHeight="1">
      <c r="A6271" s="7">
        <v>222.0</v>
      </c>
      <c r="B6271" s="9" t="s">
        <v>12787</v>
      </c>
      <c r="C6271" s="9" t="s">
        <v>335</v>
      </c>
      <c r="D6271" s="9" t="s">
        <v>647</v>
      </c>
      <c r="E6271" s="6" t="s">
        <v>6465</v>
      </c>
      <c r="F6271" s="9" t="s">
        <v>14026</v>
      </c>
    </row>
    <row r="6272" ht="33.75" customHeight="1">
      <c r="A6272" s="7">
        <v>222.0</v>
      </c>
      <c r="B6272" s="9" t="s">
        <v>12787</v>
      </c>
      <c r="C6272" s="9" t="s">
        <v>335</v>
      </c>
      <c r="D6272" s="9" t="s">
        <v>652</v>
      </c>
      <c r="E6272" s="6" t="s">
        <v>6466</v>
      </c>
      <c r="F6272" s="9" t="s">
        <v>14026</v>
      </c>
    </row>
    <row r="6273" ht="33.75" customHeight="1">
      <c r="A6273" s="7">
        <v>222.0</v>
      </c>
      <c r="B6273" s="9" t="s">
        <v>12787</v>
      </c>
      <c r="C6273" s="9" t="s">
        <v>335</v>
      </c>
      <c r="D6273" s="9" t="s">
        <v>114</v>
      </c>
      <c r="E6273" s="6" t="s">
        <v>6467</v>
      </c>
      <c r="F6273" s="9" t="s">
        <v>14026</v>
      </c>
    </row>
    <row r="6274" ht="33.75" customHeight="1">
      <c r="A6274" s="7">
        <v>222.0</v>
      </c>
      <c r="B6274" s="9" t="s">
        <v>12787</v>
      </c>
      <c r="C6274" s="9" t="s">
        <v>335</v>
      </c>
      <c r="D6274" s="9" t="s">
        <v>117</v>
      </c>
      <c r="E6274" s="6" t="s">
        <v>6468</v>
      </c>
      <c r="F6274" s="9" t="s">
        <v>14026</v>
      </c>
    </row>
    <row r="6275" ht="33.75" customHeight="1">
      <c r="A6275" s="7">
        <v>223.0</v>
      </c>
      <c r="B6275" s="9" t="s">
        <v>12843</v>
      </c>
      <c r="C6275" s="9" t="s">
        <v>337</v>
      </c>
      <c r="D6275" s="9" t="s">
        <v>52</v>
      </c>
      <c r="E6275" s="6" t="s">
        <v>6469</v>
      </c>
      <c r="F6275" s="9" t="s">
        <v>14058</v>
      </c>
      <c r="G6275" t="inlineStr" s="6">
        <is>
          <t xml:space="preserve">Remoraid has superb accuracy. The water it shoots out can strike even moving prey from more than 300 feet. Using its dorsal fin as a suction pad, it clings to a MANTINE's under side to scavenge for leftovers. To escape from an attacker, it may shoot water out of its mouth, then use that force to swim backward. REMORAID sucks in water, then expels it at high velocity using its abdominal muscles to shoot down flying prey. When evolution draws near, this POKéMON travels downstream from rivers. A REMORAID uses its abdominal muscles to forcefully expel swallowed water, then shoot down flying prey. When evolution approaches, it travels down rivers. Using its dorsal fin as a suction pad, it clings to a MANTINE’s underside to scavenge for leftovers. The water it shoots out can strike even moving prey from more than 100 yards. It squirts water forcefully from its mouth to shoot down flying prey. It clings to MANTINE to feed on the big Pokémon’s scraps. This is an adaptation to avoid foes. It forcefully squirts water. The water jet never misses prey even if the REMORAID is deep in the sea. The water it shoots out can strike moving prey from more than 300 feet away. The water they shoot from their mouths can hit moving prey from more than 300 feet away. This Pokémon clings to Mantine and shares in its prosperity. When its Mantine is attacked, Remoraid will fight alongside it! Also known as the “sniper of the seas,” its water gun can hit prey without fail from over 300 feet away. Spits water from its mouth with incredible accuracy. It captures Burmy by shooting them down off the branches from which they dangle.</t>
        </is>
      </c>
    </row>
    <row r="6276" ht="33.75" customHeight="1">
      <c r="A6276" s="7">
        <v>223.0</v>
      </c>
      <c r="B6276" s="9" t="s">
        <v>12843</v>
      </c>
      <c r="C6276" s="9" t="s">
        <v>337</v>
      </c>
      <c r="D6276" s="9" t="s">
        <v>59</v>
      </c>
      <c r="E6276" s="6" t="s">
        <v>6470</v>
      </c>
      <c r="F6276" s="9" t="s">
        <v>14058</v>
      </c>
    </row>
    <row r="6277" ht="33.75" customHeight="1">
      <c r="A6277" s="7">
        <v>223.0</v>
      </c>
      <c r="B6277" s="9" t="s">
        <v>12843</v>
      </c>
      <c r="C6277" s="9" t="s">
        <v>337</v>
      </c>
      <c r="D6277" s="9" t="s">
        <v>64</v>
      </c>
      <c r="E6277" s="6" t="s">
        <v>6472</v>
      </c>
      <c r="F6277" s="9" t="s">
        <v>14058</v>
      </c>
    </row>
    <row r="6278" ht="33.75" customHeight="1">
      <c r="A6278" s="7">
        <v>223.0</v>
      </c>
      <c r="B6278" s="9" t="s">
        <v>12843</v>
      </c>
      <c r="C6278" s="9" t="s">
        <v>337</v>
      </c>
      <c r="D6278" s="9" t="s">
        <v>67</v>
      </c>
      <c r="E6278" s="6" t="s">
        <v>6473</v>
      </c>
      <c r="F6278" s="9" t="s">
        <v>14058</v>
      </c>
    </row>
    <row r="6279" ht="33.75" customHeight="1">
      <c r="A6279" s="7">
        <v>223.0</v>
      </c>
      <c r="B6279" s="9" t="s">
        <v>12843</v>
      </c>
      <c r="C6279" s="9" t="s">
        <v>337</v>
      </c>
      <c r="D6279" s="9" t="s">
        <v>71</v>
      </c>
      <c r="E6279" s="6" t="s">
        <v>6473</v>
      </c>
      <c r="F6279" s="9" t="s">
        <v>14058</v>
      </c>
    </row>
    <row r="6280" ht="33.75" customHeight="1">
      <c r="A6280" s="7">
        <v>223.0</v>
      </c>
      <c r="B6280" s="9" t="s">
        <v>12843</v>
      </c>
      <c r="C6280" s="9" t="s">
        <v>337</v>
      </c>
      <c r="D6280" s="9" t="s">
        <v>73</v>
      </c>
      <c r="E6280" s="6" t="s">
        <v>6474</v>
      </c>
      <c r="F6280" s="9" t="s">
        <v>14058</v>
      </c>
    </row>
    <row r="6281" ht="33.75" customHeight="1">
      <c r="A6281" s="7">
        <v>223.0</v>
      </c>
      <c r="B6281" s="9" t="s">
        <v>12843</v>
      </c>
      <c r="C6281" s="9" t="s">
        <v>337</v>
      </c>
      <c r="D6281" s="9" t="s">
        <v>75</v>
      </c>
      <c r="E6281" s="6" t="s">
        <v>6475</v>
      </c>
      <c r="F6281" s="9" t="s">
        <v>14058</v>
      </c>
    </row>
    <row r="6282" ht="33.75" customHeight="1">
      <c r="A6282" s="7">
        <v>223.0</v>
      </c>
      <c r="B6282" s="9" t="s">
        <v>12843</v>
      </c>
      <c r="C6282" s="9" t="s">
        <v>337</v>
      </c>
      <c r="D6282" s="9" t="s">
        <v>79</v>
      </c>
      <c r="E6282" s="6" t="s">
        <v>6476</v>
      </c>
      <c r="F6282" s="9" t="s">
        <v>14058</v>
      </c>
    </row>
    <row r="6283" ht="33.75" customHeight="1">
      <c r="A6283" s="7">
        <v>223.0</v>
      </c>
      <c r="B6283" s="9" t="s">
        <v>12843</v>
      </c>
      <c r="C6283" s="9" t="s">
        <v>337</v>
      </c>
      <c r="D6283" s="9" t="s">
        <v>81</v>
      </c>
      <c r="E6283" s="6" t="s">
        <v>6478</v>
      </c>
      <c r="F6283" s="9" t="s">
        <v>14058</v>
      </c>
    </row>
    <row r="6284" ht="33.75" customHeight="1">
      <c r="A6284" s="7">
        <v>223.0</v>
      </c>
      <c r="B6284" s="9" t="s">
        <v>12843</v>
      </c>
      <c r="C6284" s="9" t="s">
        <v>337</v>
      </c>
      <c r="D6284" s="9" t="s">
        <v>84</v>
      </c>
      <c r="E6284" s="6" t="s">
        <v>6480</v>
      </c>
      <c r="F6284" s="9" t="s">
        <v>14058</v>
      </c>
    </row>
    <row r="6285" ht="33.75" customHeight="1">
      <c r="A6285" s="7">
        <v>223.0</v>
      </c>
      <c r="B6285" s="9" t="s">
        <v>12843</v>
      </c>
      <c r="C6285" s="9" t="s">
        <v>337</v>
      </c>
      <c r="D6285" s="9" t="s">
        <v>87</v>
      </c>
      <c r="E6285" s="6" t="s">
        <v>6482</v>
      </c>
      <c r="F6285" s="9" t="s">
        <v>14058</v>
      </c>
    </row>
    <row r="6286" ht="33.75" customHeight="1">
      <c r="A6286" s="7">
        <v>223.0</v>
      </c>
      <c r="B6286" s="9" t="s">
        <v>12843</v>
      </c>
      <c r="C6286" s="9" t="s">
        <v>337</v>
      </c>
      <c r="D6286" s="9" t="s">
        <v>89</v>
      </c>
      <c r="E6286" s="6" t="s">
        <v>6484</v>
      </c>
      <c r="F6286" s="9" t="s">
        <v>14058</v>
      </c>
    </row>
    <row r="6287" ht="33.75" customHeight="1">
      <c r="A6287" s="7">
        <v>223.0</v>
      </c>
      <c r="B6287" s="9" t="s">
        <v>12843</v>
      </c>
      <c r="C6287" s="9" t="s">
        <v>337</v>
      </c>
      <c r="D6287" s="9" t="s">
        <v>91</v>
      </c>
      <c r="E6287" s="6" t="s">
        <v>6475</v>
      </c>
      <c r="F6287" s="9" t="s">
        <v>14058</v>
      </c>
    </row>
    <row r="6288" ht="33.75" customHeight="1">
      <c r="A6288" s="7">
        <v>223.0</v>
      </c>
      <c r="B6288" s="9" t="s">
        <v>12843</v>
      </c>
      <c r="C6288" s="9" t="s">
        <v>337</v>
      </c>
      <c r="D6288" s="9" t="s">
        <v>93</v>
      </c>
      <c r="E6288" s="6" t="s">
        <v>6486</v>
      </c>
      <c r="F6288" s="9" t="s">
        <v>14058</v>
      </c>
    </row>
    <row r="6289" ht="33.75" customHeight="1">
      <c r="A6289" s="7">
        <v>223.0</v>
      </c>
      <c r="B6289" s="9" t="s">
        <v>12843</v>
      </c>
      <c r="C6289" s="9" t="s">
        <v>337</v>
      </c>
      <c r="D6289" s="9" t="s">
        <v>95</v>
      </c>
      <c r="E6289" s="6" t="s">
        <v>6486</v>
      </c>
      <c r="F6289" s="9" t="s">
        <v>14058</v>
      </c>
    </row>
    <row r="6290" ht="33.75" customHeight="1">
      <c r="A6290" s="7">
        <v>223.0</v>
      </c>
      <c r="B6290" s="9" t="s">
        <v>12843</v>
      </c>
      <c r="C6290" s="9" t="s">
        <v>337</v>
      </c>
      <c r="D6290" s="9" t="s">
        <v>98</v>
      </c>
      <c r="E6290" s="6" t="s">
        <v>6487</v>
      </c>
      <c r="F6290" s="9" t="s">
        <v>14058</v>
      </c>
    </row>
    <row r="6291" ht="33.75" customHeight="1">
      <c r="A6291" s="7">
        <v>223.0</v>
      </c>
      <c r="B6291" s="9" t="s">
        <v>12843</v>
      </c>
      <c r="C6291" s="9" t="s">
        <v>337</v>
      </c>
      <c r="D6291" s="9" t="s">
        <v>99</v>
      </c>
      <c r="E6291" s="6" t="s">
        <v>6487</v>
      </c>
      <c r="F6291" s="9" t="s">
        <v>14058</v>
      </c>
    </row>
    <row r="6292" ht="33.75" customHeight="1">
      <c r="A6292" s="7">
        <v>223.0</v>
      </c>
      <c r="B6292" s="9" t="s">
        <v>12843</v>
      </c>
      <c r="C6292" s="9" t="s">
        <v>337</v>
      </c>
      <c r="D6292" s="9" t="s">
        <v>101</v>
      </c>
      <c r="E6292" s="6" t="s">
        <v>6484</v>
      </c>
      <c r="F6292" s="9" t="s">
        <v>14058</v>
      </c>
    </row>
    <row r="6293" ht="33.75" customHeight="1">
      <c r="A6293" s="7">
        <v>223.0</v>
      </c>
      <c r="B6293" s="9" t="s">
        <v>12843</v>
      </c>
      <c r="C6293" s="9" t="s">
        <v>337</v>
      </c>
      <c r="D6293" s="9" t="s">
        <v>105</v>
      </c>
      <c r="E6293" s="6" t="s">
        <v>6488</v>
      </c>
      <c r="F6293" s="9" t="s">
        <v>14058</v>
      </c>
    </row>
    <row r="6294" ht="33.75" customHeight="1">
      <c r="A6294" s="7">
        <v>223.0</v>
      </c>
      <c r="B6294" s="9" t="s">
        <v>12843</v>
      </c>
      <c r="C6294" s="9" t="s">
        <v>337</v>
      </c>
      <c r="D6294" s="9" t="s">
        <v>107</v>
      </c>
      <c r="E6294" s="6" t="s">
        <v>6490</v>
      </c>
      <c r="F6294" s="9" t="s">
        <v>14058</v>
      </c>
    </row>
    <row r="6295" ht="33.75" customHeight="1">
      <c r="A6295" s="7">
        <v>223.0</v>
      </c>
      <c r="B6295" s="9" t="s">
        <v>12843</v>
      </c>
      <c r="C6295" s="9" t="s">
        <v>337</v>
      </c>
      <c r="D6295" s="9" t="s">
        <v>109</v>
      </c>
      <c r="E6295" s="6" t="s">
        <v>6490</v>
      </c>
      <c r="F6295" s="9" t="s">
        <v>14058</v>
      </c>
    </row>
    <row r="6296" ht="33.75" customHeight="1">
      <c r="A6296" s="7">
        <v>223.0</v>
      </c>
      <c r="B6296" s="9" t="s">
        <v>12843</v>
      </c>
      <c r="C6296" s="9" t="s">
        <v>337</v>
      </c>
      <c r="D6296" s="9" t="s">
        <v>647</v>
      </c>
      <c r="E6296" s="6" t="s">
        <v>6492</v>
      </c>
      <c r="F6296" s="9" t="s">
        <v>14058</v>
      </c>
    </row>
    <row r="6297" ht="33.75" customHeight="1">
      <c r="A6297" s="7">
        <v>223.0</v>
      </c>
      <c r="B6297" s="9" t="s">
        <v>12843</v>
      </c>
      <c r="C6297" s="9" t="s">
        <v>337</v>
      </c>
      <c r="D6297" s="9" t="s">
        <v>652</v>
      </c>
      <c r="E6297" s="6" t="s">
        <v>6495</v>
      </c>
      <c r="F6297" s="9" t="s">
        <v>14058</v>
      </c>
    </row>
    <row r="6298" ht="33.75" customHeight="1">
      <c r="A6298" s="7">
        <v>223.0</v>
      </c>
      <c r="B6298" s="9" t="s">
        <v>12843</v>
      </c>
      <c r="C6298" s="9" t="s">
        <v>337</v>
      </c>
      <c r="D6298" s="9" t="s">
        <v>114</v>
      </c>
      <c r="E6298" s="6" t="s">
        <v>6487</v>
      </c>
      <c r="F6298" s="9" t="s">
        <v>14058</v>
      </c>
    </row>
    <row r="6299" ht="33.75" customHeight="1">
      <c r="A6299" s="7">
        <v>223.0</v>
      </c>
      <c r="B6299" s="9" t="s">
        <v>12843</v>
      </c>
      <c r="C6299" s="9" t="s">
        <v>337</v>
      </c>
      <c r="D6299" s="9" t="s">
        <v>117</v>
      </c>
      <c r="E6299" s="6" t="s">
        <v>6488</v>
      </c>
      <c r="F6299" s="9" t="s">
        <v>14058</v>
      </c>
    </row>
    <row r="6300" ht="33.75" customHeight="1">
      <c r="A6300" s="7">
        <v>223.0</v>
      </c>
      <c r="B6300" s="9" t="s">
        <v>12843</v>
      </c>
      <c r="C6300" s="9" t="s">
        <v>337</v>
      </c>
      <c r="D6300" s="9" t="s">
        <v>1577</v>
      </c>
      <c r="E6300" s="6" t="s">
        <v>6496</v>
      </c>
      <c r="F6300" s="9" t="s">
        <v>14058</v>
      </c>
    </row>
    <row r="6301" ht="33.75" customHeight="1">
      <c r="A6301" s="7">
        <v>224.0</v>
      </c>
      <c r="B6301" s="9" t="s">
        <v>12896</v>
      </c>
      <c r="C6301" s="9" t="s">
        <v>337</v>
      </c>
      <c r="D6301" s="9" t="s">
        <v>52</v>
      </c>
      <c r="E6301" s="6" t="s">
        <v>6497</v>
      </c>
      <c r="F6301" s="9" t="s">
        <v>14074</v>
      </c>
      <c r="G6301" t="inlineStr" s="6">
        <is>
          <t xml:space="preserve">It traps enemies with Octillery's suction- cupped tentacles then smashes them with its rock-hard head. It instinctively sneaks into rocky holes. If it gets sleepy, it steals the nest of a fellow OCTILLERY. Its instinct is to bury itself in holes. It often steals the nesting holes of others to sleep in them. OCTILLERY grabs onto its foe using its tentacles. This POKéMON tries to immobilize it before delivering the finishing blow. If the foe turns out to be too strong, OCTILLERY spews ink to escape. It ensnares its foe with its suction- cupped tentacles before delivering the finishing blow. If the foe turns out to be too strong, it spews ink to escape. It traps enemies with its suction-cupped tentacles, then smashes them with its rock-hard head. It lives in the gaps of boulders and in holes on the seafloor. Its suction cups grip prey tightly. It obscures its foe’s vision by spitting a cloud of murky ink. It makes its nest among boulders. It loves to lurk inside holes in rocks. It sometimes sprays ink on prey by sticking out only its mouth. It traps foes with the suction cups on its tentacles, then smashes them with its rock-hard head. It has a tendency to want to be in holes. It prefers rock crags or pots and sprays ink from them before attacking. The ink it spits when escaping is special. It contains a substance that dulls the sense of smell, so Pokémon with keen noses get lost. It usually sleeps in caves. The pitch-black ink that Octillery spits is also used for cooking. While Octillery still shoots water from its mouth, the drastic anatomical difference between it and Remoraid meant that for a long time, no one believed the former evolved from the latter.</t>
        </is>
      </c>
    </row>
    <row r="6302" ht="33.75" customHeight="1">
      <c r="A6302" s="7">
        <v>224.0</v>
      </c>
      <c r="B6302" s="9" t="s">
        <v>12896</v>
      </c>
      <c r="C6302" s="9" t="s">
        <v>337</v>
      </c>
      <c r="D6302" s="9" t="s">
        <v>59</v>
      </c>
      <c r="E6302" s="6" t="s">
        <v>6499</v>
      </c>
      <c r="F6302" s="9" t="s">
        <v>14074</v>
      </c>
    </row>
    <row r="6303" ht="33.75" customHeight="1">
      <c r="A6303" s="7">
        <v>224.0</v>
      </c>
      <c r="B6303" s="9" t="s">
        <v>12896</v>
      </c>
      <c r="C6303" s="9" t="s">
        <v>337</v>
      </c>
      <c r="D6303" s="9" t="s">
        <v>64</v>
      </c>
      <c r="E6303" s="6" t="s">
        <v>6500</v>
      </c>
      <c r="F6303" s="9" t="s">
        <v>14074</v>
      </c>
    </row>
    <row r="6304" ht="33.75" customHeight="1">
      <c r="A6304" s="7">
        <v>224.0</v>
      </c>
      <c r="B6304" s="9" t="s">
        <v>12896</v>
      </c>
      <c r="C6304" s="9" t="s">
        <v>337</v>
      </c>
      <c r="D6304" s="9" t="s">
        <v>67</v>
      </c>
      <c r="E6304" s="6" t="s">
        <v>6502</v>
      </c>
      <c r="F6304" s="9" t="s">
        <v>14074</v>
      </c>
    </row>
    <row r="6305" ht="33.75" customHeight="1">
      <c r="A6305" s="7">
        <v>224.0</v>
      </c>
      <c r="B6305" s="9" t="s">
        <v>12896</v>
      </c>
      <c r="C6305" s="9" t="s">
        <v>337</v>
      </c>
      <c r="D6305" s="9" t="s">
        <v>71</v>
      </c>
      <c r="E6305" s="6" t="s">
        <v>6502</v>
      </c>
      <c r="F6305" s="9" t="s">
        <v>14074</v>
      </c>
    </row>
    <row r="6306" ht="33.75" customHeight="1">
      <c r="A6306" s="7">
        <v>224.0</v>
      </c>
      <c r="B6306" s="9" t="s">
        <v>12896</v>
      </c>
      <c r="C6306" s="9" t="s">
        <v>337</v>
      </c>
      <c r="D6306" s="9" t="s">
        <v>73</v>
      </c>
      <c r="E6306" s="6" t="s">
        <v>6504</v>
      </c>
      <c r="F6306" s="9" t="s">
        <v>14074</v>
      </c>
    </row>
    <row r="6307" ht="33.75" customHeight="1">
      <c r="A6307" s="7">
        <v>224.0</v>
      </c>
      <c r="B6307" s="9" t="s">
        <v>12896</v>
      </c>
      <c r="C6307" s="9" t="s">
        <v>337</v>
      </c>
      <c r="D6307" s="9" t="s">
        <v>75</v>
      </c>
      <c r="E6307" s="6" t="s">
        <v>6506</v>
      </c>
      <c r="F6307" s="9" t="s">
        <v>14074</v>
      </c>
    </row>
    <row r="6308" ht="33.75" customHeight="1">
      <c r="A6308" s="7">
        <v>224.0</v>
      </c>
      <c r="B6308" s="9" t="s">
        <v>12896</v>
      </c>
      <c r="C6308" s="9" t="s">
        <v>337</v>
      </c>
      <c r="D6308" s="9" t="s">
        <v>79</v>
      </c>
      <c r="E6308" s="6" t="s">
        <v>6507</v>
      </c>
      <c r="F6308" s="9" t="s">
        <v>14074</v>
      </c>
    </row>
    <row r="6309" ht="33.75" customHeight="1">
      <c r="A6309" s="7">
        <v>224.0</v>
      </c>
      <c r="B6309" s="9" t="s">
        <v>12896</v>
      </c>
      <c r="C6309" s="9" t="s">
        <v>337</v>
      </c>
      <c r="D6309" s="9" t="s">
        <v>81</v>
      </c>
      <c r="E6309" s="6" t="s">
        <v>6509</v>
      </c>
      <c r="F6309" s="9" t="s">
        <v>14074</v>
      </c>
    </row>
    <row r="6310" ht="33.75" customHeight="1">
      <c r="A6310" s="7">
        <v>224.0</v>
      </c>
      <c r="B6310" s="9" t="s">
        <v>12896</v>
      </c>
      <c r="C6310" s="9" t="s">
        <v>337</v>
      </c>
      <c r="D6310" s="9" t="s">
        <v>84</v>
      </c>
      <c r="E6310" s="6" t="s">
        <v>6510</v>
      </c>
      <c r="F6310" s="9" t="s">
        <v>14074</v>
      </c>
    </row>
    <row r="6311" ht="33.75" customHeight="1">
      <c r="A6311" s="7">
        <v>224.0</v>
      </c>
      <c r="B6311" s="9" t="s">
        <v>12896</v>
      </c>
      <c r="C6311" s="9" t="s">
        <v>337</v>
      </c>
      <c r="D6311" s="9" t="s">
        <v>87</v>
      </c>
      <c r="E6311" s="6" t="s">
        <v>6511</v>
      </c>
      <c r="F6311" s="9" t="s">
        <v>14074</v>
      </c>
    </row>
    <row r="6312" ht="33.75" customHeight="1">
      <c r="A6312" s="7">
        <v>224.0</v>
      </c>
      <c r="B6312" s="9" t="s">
        <v>12896</v>
      </c>
      <c r="C6312" s="9" t="s">
        <v>337</v>
      </c>
      <c r="D6312" s="9" t="s">
        <v>89</v>
      </c>
      <c r="E6312" s="6" t="s">
        <v>6512</v>
      </c>
      <c r="F6312" s="9" t="s">
        <v>14074</v>
      </c>
    </row>
    <row r="6313" ht="33.75" customHeight="1">
      <c r="A6313" s="7">
        <v>224.0</v>
      </c>
      <c r="B6313" s="9" t="s">
        <v>12896</v>
      </c>
      <c r="C6313" s="9" t="s">
        <v>337</v>
      </c>
      <c r="D6313" s="9" t="s">
        <v>91</v>
      </c>
      <c r="E6313" s="6" t="s">
        <v>6506</v>
      </c>
      <c r="F6313" s="9" t="s">
        <v>14074</v>
      </c>
    </row>
    <row r="6314" ht="33.75" customHeight="1">
      <c r="A6314" s="7">
        <v>224.0</v>
      </c>
      <c r="B6314" s="9" t="s">
        <v>12896</v>
      </c>
      <c r="C6314" s="9" t="s">
        <v>337</v>
      </c>
      <c r="D6314" s="9" t="s">
        <v>93</v>
      </c>
      <c r="E6314" s="6" t="s">
        <v>6511</v>
      </c>
      <c r="F6314" s="9" t="s">
        <v>14074</v>
      </c>
    </row>
    <row r="6315" ht="33.75" customHeight="1">
      <c r="A6315" s="7">
        <v>224.0</v>
      </c>
      <c r="B6315" s="9" t="s">
        <v>12896</v>
      </c>
      <c r="C6315" s="9" t="s">
        <v>337</v>
      </c>
      <c r="D6315" s="9" t="s">
        <v>95</v>
      </c>
      <c r="E6315" s="6" t="s">
        <v>6511</v>
      </c>
      <c r="F6315" s="9" t="s">
        <v>14074</v>
      </c>
    </row>
    <row r="6316" ht="33.75" customHeight="1">
      <c r="A6316" s="7">
        <v>224.0</v>
      </c>
      <c r="B6316" s="9" t="s">
        <v>12896</v>
      </c>
      <c r="C6316" s="9" t="s">
        <v>337</v>
      </c>
      <c r="D6316" s="9" t="s">
        <v>98</v>
      </c>
      <c r="E6316" s="6" t="s">
        <v>6513</v>
      </c>
      <c r="F6316" s="9" t="s">
        <v>14074</v>
      </c>
    </row>
    <row r="6317" ht="33.75" customHeight="1">
      <c r="A6317" s="7">
        <v>224.0</v>
      </c>
      <c r="B6317" s="9" t="s">
        <v>12896</v>
      </c>
      <c r="C6317" s="9" t="s">
        <v>337</v>
      </c>
      <c r="D6317" s="9" t="s">
        <v>99</v>
      </c>
      <c r="E6317" s="6" t="s">
        <v>6513</v>
      </c>
      <c r="F6317" s="9" t="s">
        <v>14074</v>
      </c>
    </row>
    <row r="6318" ht="33.75" customHeight="1">
      <c r="A6318" s="7">
        <v>224.0</v>
      </c>
      <c r="B6318" s="9" t="s">
        <v>12896</v>
      </c>
      <c r="C6318" s="9" t="s">
        <v>337</v>
      </c>
      <c r="D6318" s="9" t="s">
        <v>101</v>
      </c>
      <c r="E6318" s="6" t="s">
        <v>6513</v>
      </c>
      <c r="F6318" s="9" t="s">
        <v>14074</v>
      </c>
    </row>
    <row r="6319" ht="33.75" customHeight="1">
      <c r="A6319" s="7">
        <v>224.0</v>
      </c>
      <c r="B6319" s="9" t="s">
        <v>12896</v>
      </c>
      <c r="C6319" s="9" t="s">
        <v>337</v>
      </c>
      <c r="D6319" s="9" t="s">
        <v>105</v>
      </c>
      <c r="E6319" s="6" t="s">
        <v>6512</v>
      </c>
      <c r="F6319" s="9" t="s">
        <v>14074</v>
      </c>
    </row>
    <row r="6320" ht="33.75" customHeight="1">
      <c r="A6320" s="7">
        <v>224.0</v>
      </c>
      <c r="B6320" s="9" t="s">
        <v>12896</v>
      </c>
      <c r="C6320" s="9" t="s">
        <v>337</v>
      </c>
      <c r="D6320" s="9" t="s">
        <v>107</v>
      </c>
      <c r="E6320" s="6" t="s">
        <v>6515</v>
      </c>
      <c r="F6320" s="9" t="s">
        <v>14074</v>
      </c>
    </row>
    <row r="6321" ht="33.75" customHeight="1">
      <c r="A6321" s="7">
        <v>224.0</v>
      </c>
      <c r="B6321" s="9" t="s">
        <v>12896</v>
      </c>
      <c r="C6321" s="9" t="s">
        <v>337</v>
      </c>
      <c r="D6321" s="9" t="s">
        <v>109</v>
      </c>
      <c r="E6321" s="6" t="s">
        <v>6515</v>
      </c>
      <c r="F6321" s="9" t="s">
        <v>14074</v>
      </c>
    </row>
    <row r="6322" ht="33.75" customHeight="1">
      <c r="A6322" s="7">
        <v>224.0</v>
      </c>
      <c r="B6322" s="9" t="s">
        <v>12896</v>
      </c>
      <c r="C6322" s="9" t="s">
        <v>337</v>
      </c>
      <c r="D6322" s="9" t="s">
        <v>647</v>
      </c>
      <c r="E6322" s="6" t="s">
        <v>6516</v>
      </c>
      <c r="F6322" s="9" t="s">
        <v>14074</v>
      </c>
    </row>
    <row r="6323" ht="33.75" customHeight="1">
      <c r="A6323" s="7">
        <v>224.0</v>
      </c>
      <c r="B6323" s="9" t="s">
        <v>12896</v>
      </c>
      <c r="C6323" s="9" t="s">
        <v>337</v>
      </c>
      <c r="D6323" s="9" t="s">
        <v>652</v>
      </c>
      <c r="E6323" s="6" t="s">
        <v>6517</v>
      </c>
      <c r="F6323" s="9" t="s">
        <v>14074</v>
      </c>
    </row>
    <row r="6324" ht="33.75" customHeight="1">
      <c r="A6324" s="7">
        <v>224.0</v>
      </c>
      <c r="B6324" s="9" t="s">
        <v>12896</v>
      </c>
      <c r="C6324" s="9" t="s">
        <v>337</v>
      </c>
      <c r="D6324" s="9" t="s">
        <v>114</v>
      </c>
      <c r="E6324" s="6" t="s">
        <v>6513</v>
      </c>
      <c r="F6324" s="9" t="s">
        <v>14074</v>
      </c>
    </row>
    <row r="6325" ht="33.75" customHeight="1">
      <c r="A6325" s="7">
        <v>224.0</v>
      </c>
      <c r="B6325" s="9" t="s">
        <v>12896</v>
      </c>
      <c r="C6325" s="9" t="s">
        <v>337</v>
      </c>
      <c r="D6325" s="9" t="s">
        <v>117</v>
      </c>
      <c r="E6325" s="6" t="s">
        <v>6507</v>
      </c>
      <c r="F6325" s="9" t="s">
        <v>14074</v>
      </c>
    </row>
    <row r="6326" ht="33.75" customHeight="1">
      <c r="A6326" s="7">
        <v>224.0</v>
      </c>
      <c r="B6326" s="9" t="s">
        <v>12896</v>
      </c>
      <c r="C6326" s="9" t="s">
        <v>337</v>
      </c>
      <c r="D6326" s="9" t="s">
        <v>1577</v>
      </c>
      <c r="E6326" s="6" t="s">
        <v>6519</v>
      </c>
      <c r="F6326" s="9" t="s">
        <v>14074</v>
      </c>
    </row>
    <row r="6327" ht="33.75" customHeight="1">
      <c r="A6327" s="7">
        <v>225.0</v>
      </c>
      <c r="B6327" s="9" t="s">
        <v>12936</v>
      </c>
      <c r="C6327" s="9" t="s">
        <v>339</v>
      </c>
      <c r="D6327" s="9" t="s">
        <v>52</v>
      </c>
      <c r="E6327" s="6" t="s">
        <v>6520</v>
      </c>
      <c r="F6327" s="9" t="s">
        <v>14092</v>
      </c>
      <c r="G6327" t="inlineStr" s="6">
        <is>
          <t xml:space="preserve">It carries food all day long. There are tales about lost people who were saved by the food it had. It nests at the edge of sharp cliffs. It spends all day carrying food to its awaiting chicks. It always carries its food with it, wherever it goes. If attacked, it throws its food at the opponent. DELIBIRD carries its food bundled up in its tail. There once was a famous explorer who managed to reach the peak of Mt. Everest thanks to one of these POKéMON sharing its food. It carries food bundled up in its tail. There was a famous explorer who managed to scale Mt. Everest thanks to a DELIBIRD sharing its food. It carries food rolled up in its tail. It has the habit of sharing food with people lost in mountains. There are tales about lost people who were saved by its stored food. When someone is lost in the mountains, it shares that food. There once was a famous explorer who managed to reach the peak of the world’s highest mountain, thanks to one of these Pokémon sharing its food. Although it naturally prefers colder locales, Delibird in Alola seem able to withstand the heat to a certain extent. It has a generous habit of sharing its food with people and Pokémon, so it’s always scrounging around for more food. It shares its food with people who are stranded. Because Delibird is omnivorous, sometimes it gives those people bug Pokémon. It wraps food in its tail to carry it around. The Delibird with the biggest tail is the boss of the flock!</t>
        </is>
      </c>
    </row>
    <row r="6328" ht="33.75" customHeight="1">
      <c r="A6328" s="7">
        <v>225.0</v>
      </c>
      <c r="B6328" s="9" t="s">
        <v>12936</v>
      </c>
      <c r="C6328" s="9" t="s">
        <v>339</v>
      </c>
      <c r="D6328" s="9" t="s">
        <v>59</v>
      </c>
      <c r="E6328" s="6" t="s">
        <v>6522</v>
      </c>
      <c r="F6328" s="9" t="s">
        <v>14092</v>
      </c>
    </row>
    <row r="6329" ht="33.75" customHeight="1">
      <c r="A6329" s="7">
        <v>225.0</v>
      </c>
      <c r="B6329" s="9" t="s">
        <v>12936</v>
      </c>
      <c r="C6329" s="9" t="s">
        <v>339</v>
      </c>
      <c r="D6329" s="9" t="s">
        <v>64</v>
      </c>
      <c r="E6329" s="6" t="s">
        <v>6524</v>
      </c>
      <c r="F6329" s="9" t="s">
        <v>14092</v>
      </c>
    </row>
    <row r="6330" ht="33.75" customHeight="1">
      <c r="A6330" s="7">
        <v>225.0</v>
      </c>
      <c r="B6330" s="9" t="s">
        <v>12936</v>
      </c>
      <c r="C6330" s="9" t="s">
        <v>339</v>
      </c>
      <c r="D6330" s="9" t="s">
        <v>67</v>
      </c>
      <c r="E6330" s="6" t="s">
        <v>6526</v>
      </c>
      <c r="F6330" s="9" t="s">
        <v>14092</v>
      </c>
    </row>
    <row r="6331" ht="33.75" customHeight="1">
      <c r="A6331" s="7">
        <v>225.0</v>
      </c>
      <c r="B6331" s="9" t="s">
        <v>12936</v>
      </c>
      <c r="C6331" s="9" t="s">
        <v>339</v>
      </c>
      <c r="D6331" s="9" t="s">
        <v>71</v>
      </c>
      <c r="E6331" s="6" t="s">
        <v>6526</v>
      </c>
      <c r="F6331" s="9" t="s">
        <v>14092</v>
      </c>
    </row>
    <row r="6332" ht="33.75" customHeight="1">
      <c r="A6332" s="7">
        <v>225.0</v>
      </c>
      <c r="B6332" s="9" t="s">
        <v>12936</v>
      </c>
      <c r="C6332" s="9" t="s">
        <v>339</v>
      </c>
      <c r="D6332" s="9" t="s">
        <v>73</v>
      </c>
      <c r="E6332" s="6" t="s">
        <v>6527</v>
      </c>
      <c r="F6332" s="9" t="s">
        <v>14092</v>
      </c>
    </row>
    <row r="6333" ht="33.75" customHeight="1">
      <c r="A6333" s="7">
        <v>225.0</v>
      </c>
      <c r="B6333" s="9" t="s">
        <v>12936</v>
      </c>
      <c r="C6333" s="9" t="s">
        <v>339</v>
      </c>
      <c r="D6333" s="9" t="s">
        <v>75</v>
      </c>
      <c r="E6333" s="6" t="s">
        <v>6528</v>
      </c>
      <c r="F6333" s="9" t="s">
        <v>14092</v>
      </c>
    </row>
    <row r="6334" ht="33.75" customHeight="1">
      <c r="A6334" s="7">
        <v>225.0</v>
      </c>
      <c r="B6334" s="9" t="s">
        <v>12936</v>
      </c>
      <c r="C6334" s="9" t="s">
        <v>339</v>
      </c>
      <c r="D6334" s="9" t="s">
        <v>79</v>
      </c>
      <c r="E6334" s="6" t="s">
        <v>6520</v>
      </c>
      <c r="F6334" s="9" t="s">
        <v>14092</v>
      </c>
    </row>
    <row r="6335" ht="33.75" customHeight="1">
      <c r="A6335" s="7">
        <v>225.0</v>
      </c>
      <c r="B6335" s="9" t="s">
        <v>12936</v>
      </c>
      <c r="C6335" s="9" t="s">
        <v>339</v>
      </c>
      <c r="D6335" s="9" t="s">
        <v>81</v>
      </c>
      <c r="E6335" s="6" t="s">
        <v>6529</v>
      </c>
      <c r="F6335" s="9" t="s">
        <v>14092</v>
      </c>
    </row>
    <row r="6336" ht="33.75" customHeight="1">
      <c r="A6336" s="7">
        <v>225.0</v>
      </c>
      <c r="B6336" s="9" t="s">
        <v>12936</v>
      </c>
      <c r="C6336" s="9" t="s">
        <v>339</v>
      </c>
      <c r="D6336" s="9" t="s">
        <v>84</v>
      </c>
      <c r="E6336" s="6" t="s">
        <v>6529</v>
      </c>
      <c r="F6336" s="9" t="s">
        <v>14092</v>
      </c>
    </row>
    <row r="6337" ht="33.75" customHeight="1">
      <c r="A6337" s="7">
        <v>225.0</v>
      </c>
      <c r="B6337" s="9" t="s">
        <v>12936</v>
      </c>
      <c r="C6337" s="9" t="s">
        <v>339</v>
      </c>
      <c r="D6337" s="9" t="s">
        <v>87</v>
      </c>
      <c r="E6337" s="6" t="s">
        <v>6529</v>
      </c>
      <c r="F6337" s="9" t="s">
        <v>14092</v>
      </c>
    </row>
    <row r="6338" ht="33.75" customHeight="1">
      <c r="A6338" s="7">
        <v>225.0</v>
      </c>
      <c r="B6338" s="9" t="s">
        <v>12936</v>
      </c>
      <c r="C6338" s="9" t="s">
        <v>339</v>
      </c>
      <c r="D6338" s="9" t="s">
        <v>89</v>
      </c>
      <c r="E6338" s="6" t="s">
        <v>6530</v>
      </c>
      <c r="F6338" s="9" t="s">
        <v>14092</v>
      </c>
    </row>
    <row r="6339" ht="33.75" customHeight="1">
      <c r="A6339" s="7">
        <v>225.0</v>
      </c>
      <c r="B6339" s="9" t="s">
        <v>12936</v>
      </c>
      <c r="C6339" s="9" t="s">
        <v>339</v>
      </c>
      <c r="D6339" s="9" t="s">
        <v>91</v>
      </c>
      <c r="E6339" s="6" t="s">
        <v>6528</v>
      </c>
      <c r="F6339" s="9" t="s">
        <v>14092</v>
      </c>
    </row>
    <row r="6340" ht="33.75" customHeight="1">
      <c r="A6340" s="7">
        <v>225.0</v>
      </c>
      <c r="B6340" s="9" t="s">
        <v>12936</v>
      </c>
      <c r="C6340" s="9" t="s">
        <v>339</v>
      </c>
      <c r="D6340" s="9" t="s">
        <v>93</v>
      </c>
      <c r="E6340" s="6" t="s">
        <v>6529</v>
      </c>
      <c r="F6340" s="9" t="s">
        <v>14092</v>
      </c>
    </row>
    <row r="6341" ht="33.75" customHeight="1">
      <c r="A6341" s="7">
        <v>225.0</v>
      </c>
      <c r="B6341" s="9" t="s">
        <v>12936</v>
      </c>
      <c r="C6341" s="9" t="s">
        <v>339</v>
      </c>
      <c r="D6341" s="9" t="s">
        <v>95</v>
      </c>
      <c r="E6341" s="6" t="s">
        <v>6529</v>
      </c>
      <c r="F6341" s="9" t="s">
        <v>14092</v>
      </c>
    </row>
    <row r="6342" ht="33.75" customHeight="1">
      <c r="A6342" s="7">
        <v>225.0</v>
      </c>
      <c r="B6342" s="9" t="s">
        <v>12936</v>
      </c>
      <c r="C6342" s="9" t="s">
        <v>339</v>
      </c>
      <c r="D6342" s="9" t="s">
        <v>98</v>
      </c>
      <c r="E6342" s="6" t="s">
        <v>6531</v>
      </c>
      <c r="F6342" s="9" t="s">
        <v>14092</v>
      </c>
    </row>
    <row r="6343" ht="33.75" customHeight="1">
      <c r="A6343" s="7">
        <v>225.0</v>
      </c>
      <c r="B6343" s="9" t="s">
        <v>12936</v>
      </c>
      <c r="C6343" s="9" t="s">
        <v>339</v>
      </c>
      <c r="D6343" s="9" t="s">
        <v>99</v>
      </c>
      <c r="E6343" s="6" t="s">
        <v>6531</v>
      </c>
      <c r="F6343" s="9" t="s">
        <v>14092</v>
      </c>
    </row>
    <row r="6344" ht="33.75" customHeight="1">
      <c r="A6344" s="7">
        <v>225.0</v>
      </c>
      <c r="B6344" s="9" t="s">
        <v>12936</v>
      </c>
      <c r="C6344" s="9" t="s">
        <v>339</v>
      </c>
      <c r="D6344" s="9" t="s">
        <v>101</v>
      </c>
      <c r="E6344" s="6" t="s">
        <v>6529</v>
      </c>
      <c r="F6344" s="9" t="s">
        <v>14092</v>
      </c>
    </row>
    <row r="6345" ht="33.75" customHeight="1">
      <c r="A6345" s="7">
        <v>225.0</v>
      </c>
      <c r="B6345" s="9" t="s">
        <v>12936</v>
      </c>
      <c r="C6345" s="9" t="s">
        <v>339</v>
      </c>
      <c r="D6345" s="9" t="s">
        <v>105</v>
      </c>
      <c r="E6345" s="6" t="s">
        <v>6531</v>
      </c>
      <c r="F6345" s="9" t="s">
        <v>14092</v>
      </c>
    </row>
    <row r="6346" ht="33.75" customHeight="1">
      <c r="A6346" s="7">
        <v>225.0</v>
      </c>
      <c r="B6346" s="9" t="s">
        <v>12936</v>
      </c>
      <c r="C6346" s="9" t="s">
        <v>339</v>
      </c>
      <c r="D6346" s="9" t="s">
        <v>107</v>
      </c>
      <c r="E6346" s="6" t="s">
        <v>6532</v>
      </c>
      <c r="F6346" s="9" t="s">
        <v>14092</v>
      </c>
    </row>
    <row r="6347" ht="33.75" customHeight="1">
      <c r="A6347" s="7">
        <v>225.0</v>
      </c>
      <c r="B6347" s="9" t="s">
        <v>12936</v>
      </c>
      <c r="C6347" s="9" t="s">
        <v>339</v>
      </c>
      <c r="D6347" s="9" t="s">
        <v>109</v>
      </c>
      <c r="E6347" s="6" t="s">
        <v>6532</v>
      </c>
      <c r="F6347" s="9" t="s">
        <v>14092</v>
      </c>
    </row>
    <row r="6348" ht="33.75" customHeight="1">
      <c r="A6348" s="7">
        <v>225.0</v>
      </c>
      <c r="B6348" s="9" t="s">
        <v>12936</v>
      </c>
      <c r="C6348" s="9" t="s">
        <v>339</v>
      </c>
      <c r="D6348" s="9" t="s">
        <v>637</v>
      </c>
      <c r="E6348" s="6" t="s">
        <v>6533</v>
      </c>
      <c r="F6348" s="9" t="s">
        <v>14092</v>
      </c>
    </row>
    <row r="6349" ht="33.75" customHeight="1">
      <c r="A6349" s="7">
        <v>225.0</v>
      </c>
      <c r="B6349" s="9" t="s">
        <v>12936</v>
      </c>
      <c r="C6349" s="9" t="s">
        <v>339</v>
      </c>
      <c r="D6349" s="9" t="s">
        <v>642</v>
      </c>
      <c r="E6349" s="6" t="s">
        <v>6534</v>
      </c>
      <c r="F6349" s="9" t="s">
        <v>14092</v>
      </c>
    </row>
    <row r="6350" ht="33.75" customHeight="1">
      <c r="A6350" s="7">
        <v>225.0</v>
      </c>
      <c r="B6350" s="9" t="s">
        <v>12936</v>
      </c>
      <c r="C6350" s="9" t="s">
        <v>339</v>
      </c>
      <c r="D6350" s="9" t="s">
        <v>647</v>
      </c>
      <c r="E6350" s="6" t="s">
        <v>6535</v>
      </c>
      <c r="F6350" s="9" t="s">
        <v>14092</v>
      </c>
    </row>
    <row r="6351" ht="33.75" customHeight="1">
      <c r="A6351" s="7">
        <v>225.0</v>
      </c>
      <c r="B6351" s="9" t="s">
        <v>12936</v>
      </c>
      <c r="C6351" s="9" t="s">
        <v>339</v>
      </c>
      <c r="D6351" s="9" t="s">
        <v>652</v>
      </c>
      <c r="E6351" s="6" t="s">
        <v>6537</v>
      </c>
      <c r="F6351" s="9" t="s">
        <v>14092</v>
      </c>
    </row>
    <row r="6352" ht="33.75" customHeight="1">
      <c r="A6352" s="7">
        <v>225.0</v>
      </c>
      <c r="B6352" s="9" t="s">
        <v>12936</v>
      </c>
      <c r="C6352" s="9" t="s">
        <v>339</v>
      </c>
      <c r="D6352" s="9" t="s">
        <v>114</v>
      </c>
      <c r="E6352" s="6" t="s">
        <v>6520</v>
      </c>
      <c r="F6352" s="9" t="s">
        <v>14092</v>
      </c>
    </row>
    <row r="6353" ht="33.75" customHeight="1">
      <c r="A6353" s="7">
        <v>225.0</v>
      </c>
      <c r="B6353" s="9" t="s">
        <v>12936</v>
      </c>
      <c r="C6353" s="9" t="s">
        <v>339</v>
      </c>
      <c r="D6353" s="9" t="s">
        <v>117</v>
      </c>
      <c r="E6353" s="6" t="s">
        <v>6534</v>
      </c>
      <c r="F6353" s="9" t="s">
        <v>14092</v>
      </c>
    </row>
    <row r="6354" ht="33.75" customHeight="1">
      <c r="A6354" s="7">
        <v>226.0</v>
      </c>
      <c r="B6354" s="9" t="s">
        <v>12978</v>
      </c>
      <c r="C6354" s="9" t="s">
        <v>340</v>
      </c>
      <c r="D6354" s="9" t="s">
        <v>52</v>
      </c>
      <c r="E6354" s="6" t="s">
        <v>6538</v>
      </c>
      <c r="F6354" s="9" t="s">
        <v>14114</v>
      </c>
      <c r="G6354" t="inlineStr" s="6">
        <is>
          <t xml:space="preserve">As it majestically swims, it doesn't care if REMORAID attach to it for scavenging Mantine's leftovers. Swimming freely in open seas, it may fly out of the water and over the waves if it builds up enough speed. It swims along freely, eating things that swim into its mouth. Its whole body is very coarse. On sunny days, schools of MANTINE can be seen elegantly leaping over the sea’s waves. This POKéMON is not bothered by the REMORAID that hitches rides. On sunny days, schools of MANTINE can be seen elegantly leaping over the waves. It is not bothered by the REMORAID that hitches rides. As it majestically swims, it doesn’t care if REMORAID attach to it to scavenge for its leftovers. When the waves are calm, one may encounter a swarm of MANTINE swimming as if they are in flight. It swims elegantly, mindless of REMORAID hitching on to its broad fins. It has a docile nature. While elegantly swimming in the sea, it ignores REMORAID that cling to its fins seeking food scraps. If it builds up enough speed swimming, it can fly over 300 feet out of the water from the surface of the ocean. Postcards and posters featuring Mantine leaping elegantly above the waves are popular souvenirs of Alola. Many people have taken up surfing because they admire how magnificently Mantine swims. If it builds up enough speed swimming, it can jump out above the waves and glide for over 300 feet. This calm and gentle Pokémon swims gracefully through the sea. After building speed, it can leap out of the water. It is often misidentified as a bird Pokémon due to this behavior.</t>
        </is>
      </c>
    </row>
    <row r="6355" ht="33.75" customHeight="1">
      <c r="A6355" s="7">
        <v>226.0</v>
      </c>
      <c r="B6355" s="9" t="s">
        <v>12978</v>
      </c>
      <c r="C6355" s="9" t="s">
        <v>340</v>
      </c>
      <c r="D6355" s="9" t="s">
        <v>59</v>
      </c>
      <c r="E6355" s="6" t="s">
        <v>6539</v>
      </c>
      <c r="F6355" s="9" t="s">
        <v>14114</v>
      </c>
    </row>
    <row r="6356" ht="33.75" customHeight="1">
      <c r="A6356" s="7">
        <v>226.0</v>
      </c>
      <c r="B6356" s="9" t="s">
        <v>12978</v>
      </c>
      <c r="C6356" s="9" t="s">
        <v>340</v>
      </c>
      <c r="D6356" s="9" t="s">
        <v>64</v>
      </c>
      <c r="E6356" s="6" t="s">
        <v>6540</v>
      </c>
      <c r="F6356" s="9" t="s">
        <v>14114</v>
      </c>
    </row>
    <row r="6357" ht="33.75" customHeight="1">
      <c r="A6357" s="7">
        <v>226.0</v>
      </c>
      <c r="B6357" s="9" t="s">
        <v>12978</v>
      </c>
      <c r="C6357" s="9" t="s">
        <v>340</v>
      </c>
      <c r="D6357" s="9" t="s">
        <v>67</v>
      </c>
      <c r="E6357" s="6" t="s">
        <v>6541</v>
      </c>
      <c r="F6357" s="9" t="s">
        <v>14114</v>
      </c>
    </row>
    <row r="6358" ht="33.75" customHeight="1">
      <c r="A6358" s="7">
        <v>226.0</v>
      </c>
      <c r="B6358" s="9" t="s">
        <v>12978</v>
      </c>
      <c r="C6358" s="9" t="s">
        <v>340</v>
      </c>
      <c r="D6358" s="9" t="s">
        <v>71</v>
      </c>
      <c r="E6358" s="6" t="s">
        <v>6541</v>
      </c>
      <c r="F6358" s="9" t="s">
        <v>14114</v>
      </c>
    </row>
    <row r="6359" ht="33.75" customHeight="1">
      <c r="A6359" s="7">
        <v>226.0</v>
      </c>
      <c r="B6359" s="9" t="s">
        <v>12978</v>
      </c>
      <c r="C6359" s="9" t="s">
        <v>340</v>
      </c>
      <c r="D6359" s="9" t="s">
        <v>73</v>
      </c>
      <c r="E6359" s="6" t="s">
        <v>6542</v>
      </c>
      <c r="F6359" s="9" t="s">
        <v>14114</v>
      </c>
    </row>
    <row r="6360" ht="33.75" customHeight="1">
      <c r="A6360" s="7">
        <v>226.0</v>
      </c>
      <c r="B6360" s="9" t="s">
        <v>12978</v>
      </c>
      <c r="C6360" s="9" t="s">
        <v>340</v>
      </c>
      <c r="D6360" s="9" t="s">
        <v>75</v>
      </c>
      <c r="E6360" s="6" t="s">
        <v>6539</v>
      </c>
      <c r="F6360" s="9" t="s">
        <v>14114</v>
      </c>
    </row>
    <row r="6361" ht="33.75" customHeight="1">
      <c r="A6361" s="7">
        <v>226.0</v>
      </c>
      <c r="B6361" s="9" t="s">
        <v>12978</v>
      </c>
      <c r="C6361" s="9" t="s">
        <v>340</v>
      </c>
      <c r="D6361" s="9" t="s">
        <v>79</v>
      </c>
      <c r="E6361" s="6" t="s">
        <v>6543</v>
      </c>
      <c r="F6361" s="9" t="s">
        <v>14114</v>
      </c>
    </row>
    <row r="6362" ht="33.75" customHeight="1">
      <c r="A6362" s="7">
        <v>226.0</v>
      </c>
      <c r="B6362" s="9" t="s">
        <v>12978</v>
      </c>
      <c r="C6362" s="9" t="s">
        <v>340</v>
      </c>
      <c r="D6362" s="9" t="s">
        <v>81</v>
      </c>
      <c r="E6362" s="6" t="s">
        <v>6544</v>
      </c>
      <c r="F6362" s="9" t="s">
        <v>14114</v>
      </c>
    </row>
    <row r="6363" ht="33.75" customHeight="1">
      <c r="A6363" s="7">
        <v>226.0</v>
      </c>
      <c r="B6363" s="9" t="s">
        <v>12978</v>
      </c>
      <c r="C6363" s="9" t="s">
        <v>340</v>
      </c>
      <c r="D6363" s="9" t="s">
        <v>84</v>
      </c>
      <c r="E6363" s="6" t="s">
        <v>6545</v>
      </c>
      <c r="F6363" s="9" t="s">
        <v>14114</v>
      </c>
    </row>
    <row r="6364" ht="33.75" customHeight="1">
      <c r="A6364" s="7">
        <v>226.0</v>
      </c>
      <c r="B6364" s="9" t="s">
        <v>12978</v>
      </c>
      <c r="C6364" s="9" t="s">
        <v>340</v>
      </c>
      <c r="D6364" s="9" t="s">
        <v>87</v>
      </c>
      <c r="E6364" s="6" t="s">
        <v>6546</v>
      </c>
      <c r="F6364" s="9" t="s">
        <v>14114</v>
      </c>
    </row>
    <row r="6365" ht="33.75" customHeight="1">
      <c r="A6365" s="7">
        <v>226.0</v>
      </c>
      <c r="B6365" s="9" t="s">
        <v>12978</v>
      </c>
      <c r="C6365" s="9" t="s">
        <v>340</v>
      </c>
      <c r="D6365" s="9" t="s">
        <v>89</v>
      </c>
      <c r="E6365" s="6" t="s">
        <v>6547</v>
      </c>
      <c r="F6365" s="9" t="s">
        <v>14114</v>
      </c>
    </row>
    <row r="6366" ht="33.75" customHeight="1">
      <c r="A6366" s="7">
        <v>226.0</v>
      </c>
      <c r="B6366" s="9" t="s">
        <v>12978</v>
      </c>
      <c r="C6366" s="9" t="s">
        <v>340</v>
      </c>
      <c r="D6366" s="9" t="s">
        <v>91</v>
      </c>
      <c r="E6366" s="6" t="s">
        <v>6539</v>
      </c>
      <c r="F6366" s="9" t="s">
        <v>14114</v>
      </c>
    </row>
    <row r="6367" ht="33.75" customHeight="1">
      <c r="A6367" s="7">
        <v>226.0</v>
      </c>
      <c r="B6367" s="9" t="s">
        <v>12978</v>
      </c>
      <c r="C6367" s="9" t="s">
        <v>340</v>
      </c>
      <c r="D6367" s="9" t="s">
        <v>93</v>
      </c>
      <c r="E6367" s="6" t="s">
        <v>6548</v>
      </c>
      <c r="F6367" s="9" t="s">
        <v>14114</v>
      </c>
    </row>
    <row r="6368" ht="33.75" customHeight="1">
      <c r="A6368" s="7">
        <v>226.0</v>
      </c>
      <c r="B6368" s="9" t="s">
        <v>12978</v>
      </c>
      <c r="C6368" s="9" t="s">
        <v>340</v>
      </c>
      <c r="D6368" s="9" t="s">
        <v>95</v>
      </c>
      <c r="E6368" s="6" t="s">
        <v>6548</v>
      </c>
      <c r="F6368" s="9" t="s">
        <v>14114</v>
      </c>
    </row>
    <row r="6369" ht="33.75" customHeight="1">
      <c r="A6369" s="7">
        <v>226.0</v>
      </c>
      <c r="B6369" s="9" t="s">
        <v>12978</v>
      </c>
      <c r="C6369" s="9" t="s">
        <v>340</v>
      </c>
      <c r="D6369" s="9" t="s">
        <v>98</v>
      </c>
      <c r="E6369" s="6" t="s">
        <v>6549</v>
      </c>
      <c r="F6369" s="9" t="s">
        <v>14114</v>
      </c>
    </row>
    <row r="6370" ht="33.75" customHeight="1">
      <c r="A6370" s="7">
        <v>226.0</v>
      </c>
      <c r="B6370" s="9" t="s">
        <v>12978</v>
      </c>
      <c r="C6370" s="9" t="s">
        <v>340</v>
      </c>
      <c r="D6370" s="9" t="s">
        <v>99</v>
      </c>
      <c r="E6370" s="6" t="s">
        <v>6549</v>
      </c>
      <c r="F6370" s="9" t="s">
        <v>14114</v>
      </c>
    </row>
    <row r="6371" ht="33.75" customHeight="1">
      <c r="A6371" s="7">
        <v>226.0</v>
      </c>
      <c r="B6371" s="9" t="s">
        <v>12978</v>
      </c>
      <c r="C6371" s="9" t="s">
        <v>340</v>
      </c>
      <c r="D6371" s="9" t="s">
        <v>101</v>
      </c>
      <c r="E6371" s="6" t="s">
        <v>6549</v>
      </c>
      <c r="F6371" s="9" t="s">
        <v>14114</v>
      </c>
    </row>
    <row r="6372" ht="33.75" customHeight="1">
      <c r="A6372" s="7">
        <v>226.0</v>
      </c>
      <c r="B6372" s="9" t="s">
        <v>12978</v>
      </c>
      <c r="C6372" s="9" t="s">
        <v>340</v>
      </c>
      <c r="D6372" s="9" t="s">
        <v>105</v>
      </c>
      <c r="E6372" s="6" t="s">
        <v>6548</v>
      </c>
      <c r="F6372" s="9" t="s">
        <v>14114</v>
      </c>
    </row>
    <row r="6373" ht="33.75" customHeight="1">
      <c r="A6373" s="7">
        <v>226.0</v>
      </c>
      <c r="B6373" s="9" t="s">
        <v>12978</v>
      </c>
      <c r="C6373" s="9" t="s">
        <v>340</v>
      </c>
      <c r="D6373" s="9" t="s">
        <v>107</v>
      </c>
      <c r="E6373" s="6" t="s">
        <v>6550</v>
      </c>
      <c r="F6373" s="9" t="s">
        <v>14114</v>
      </c>
    </row>
    <row r="6374" ht="33.75" customHeight="1">
      <c r="A6374" s="7">
        <v>226.0</v>
      </c>
      <c r="B6374" s="9" t="s">
        <v>12978</v>
      </c>
      <c r="C6374" s="9" t="s">
        <v>340</v>
      </c>
      <c r="D6374" s="9" t="s">
        <v>109</v>
      </c>
      <c r="E6374" s="6" t="s">
        <v>6550</v>
      </c>
      <c r="F6374" s="9" t="s">
        <v>14114</v>
      </c>
    </row>
    <row r="6375" ht="33.75" customHeight="1">
      <c r="A6375" s="7">
        <v>226.0</v>
      </c>
      <c r="B6375" s="9" t="s">
        <v>12978</v>
      </c>
      <c r="C6375" s="9" t="s">
        <v>340</v>
      </c>
      <c r="D6375" s="9" t="s">
        <v>647</v>
      </c>
      <c r="E6375" s="6" t="s">
        <v>6551</v>
      </c>
      <c r="F6375" s="9" t="s">
        <v>14114</v>
      </c>
    </row>
    <row r="6376" ht="33.75" customHeight="1">
      <c r="A6376" s="7">
        <v>226.0</v>
      </c>
      <c r="B6376" s="9" t="s">
        <v>12978</v>
      </c>
      <c r="C6376" s="9" t="s">
        <v>340</v>
      </c>
      <c r="D6376" s="9" t="s">
        <v>652</v>
      </c>
      <c r="E6376" s="6" t="s">
        <v>6552</v>
      </c>
      <c r="F6376" s="9" t="s">
        <v>14114</v>
      </c>
    </row>
    <row r="6377" ht="33.75" customHeight="1">
      <c r="A6377" s="7">
        <v>226.0</v>
      </c>
      <c r="B6377" s="9" t="s">
        <v>12978</v>
      </c>
      <c r="C6377" s="9" t="s">
        <v>340</v>
      </c>
      <c r="D6377" s="9" t="s">
        <v>114</v>
      </c>
      <c r="E6377" s="6" t="s">
        <v>6553</v>
      </c>
      <c r="F6377" s="9" t="s">
        <v>14114</v>
      </c>
    </row>
    <row r="6378" ht="33.75" customHeight="1">
      <c r="A6378" s="7">
        <v>226.0</v>
      </c>
      <c r="B6378" s="9" t="s">
        <v>12978</v>
      </c>
      <c r="C6378" s="9" t="s">
        <v>340</v>
      </c>
      <c r="D6378" s="9" t="s">
        <v>117</v>
      </c>
      <c r="E6378" s="6" t="s">
        <v>6555</v>
      </c>
      <c r="F6378" s="9" t="s">
        <v>14114</v>
      </c>
    </row>
    <row r="6379" ht="33.75" customHeight="1">
      <c r="A6379" s="7">
        <v>226.0</v>
      </c>
      <c r="B6379" s="9" t="s">
        <v>12978</v>
      </c>
      <c r="C6379" s="9" t="s">
        <v>340</v>
      </c>
      <c r="D6379" s="9" t="s">
        <v>1577</v>
      </c>
      <c r="E6379" s="6" t="s">
        <v>6556</v>
      </c>
      <c r="F6379" s="9" t="s">
        <v>14114</v>
      </c>
    </row>
    <row r="6380" ht="33.75" customHeight="1">
      <c r="A6380" s="7">
        <v>227.0</v>
      </c>
      <c r="B6380" s="9" t="s">
        <v>13040</v>
      </c>
      <c r="C6380" s="9" t="s">
        <v>342</v>
      </c>
      <c r="D6380" s="9" t="s">
        <v>52</v>
      </c>
      <c r="E6380" s="6" t="s">
        <v>6557</v>
      </c>
      <c r="F6380" s="9" t="s">
        <v>14131</v>
      </c>
      <c r="G6380" t="inlineStr" s="6">
        <is>
          <t xml:space="preserve">Skarmory's sturdy wings look heavy, but they are actually hollow and light, allowing it to fly freely in the sky. After nesting in bramble bushes, the wings of its chicks grow hard from scratches by thorns. The feathers that it sheds are very sharp. It is said that people once used the feathers as swords. SKARMORY is entirely encased in hard, protective armor. This POKéMON flies at close to 190 mph. It slashes foes with its wings that possess swordlike cutting edges. SKARMORY’s steel wings become tattered and bashed in from repeated battles. Once a year, the battered wings grow back completely, restoring the cutting edges to their pristine state. A POKéMON that has a body and wings of steel. People in the past used feathers fallen from SKARMORY to make swords and knives. Its sturdy wings look heavy, but its bones are hollow and light, allowing it to fly freely in the sky. Despite being clad entirely in iron-hard armor, it flies at speeds over 180 mph. Its heavy-looking iron body is actually thin and light, so it can fly at speeds over 180 mph. Its feathers, which fall off as it grows, are thin and sharp. In times long past, warriors used them as swords. Its metal body is sturdy, but it does rust rather easily. So on rainy days, this Pokémon prefers to stay put in its nest. The wing feathers it sheds can be processed and made into knives whose sharpness is recognized by the finest chefs. Its body is draped in steel armor. It looks heavy, but it can fly at speeds of up to 185 miles an hour! The pointed feathers of these Pokémon are sharper than swords. Skarmory and Corviknight fight viciously over territory. People fashion swords from Skarmory’s shed feathers, so this Pokémon is a popular element in heraldic designs.</t>
        </is>
      </c>
    </row>
    <row r="6381" ht="33.75" customHeight="1">
      <c r="A6381" s="7">
        <v>227.0</v>
      </c>
      <c r="B6381" s="9" t="s">
        <v>13040</v>
      </c>
      <c r="C6381" s="9" t="s">
        <v>342</v>
      </c>
      <c r="D6381" s="9" t="s">
        <v>59</v>
      </c>
      <c r="E6381" s="6" t="s">
        <v>6558</v>
      </c>
      <c r="F6381" s="9" t="s">
        <v>14131</v>
      </c>
    </row>
    <row r="6382" ht="33.75" customHeight="1">
      <c r="A6382" s="7">
        <v>227.0</v>
      </c>
      <c r="B6382" s="9" t="s">
        <v>13040</v>
      </c>
      <c r="C6382" s="9" t="s">
        <v>342</v>
      </c>
      <c r="D6382" s="9" t="s">
        <v>64</v>
      </c>
      <c r="E6382" s="6" t="s">
        <v>6559</v>
      </c>
      <c r="F6382" s="9" t="s">
        <v>14131</v>
      </c>
    </row>
    <row r="6383" ht="33.75" customHeight="1">
      <c r="A6383" s="7">
        <v>227.0</v>
      </c>
      <c r="B6383" s="9" t="s">
        <v>13040</v>
      </c>
      <c r="C6383" s="9" t="s">
        <v>342</v>
      </c>
      <c r="D6383" s="9" t="s">
        <v>67</v>
      </c>
      <c r="E6383" s="6" t="s">
        <v>6561</v>
      </c>
      <c r="F6383" s="9" t="s">
        <v>14131</v>
      </c>
    </row>
    <row r="6384" ht="33.75" customHeight="1">
      <c r="A6384" s="7">
        <v>227.0</v>
      </c>
      <c r="B6384" s="9" t="s">
        <v>13040</v>
      </c>
      <c r="C6384" s="9" t="s">
        <v>342</v>
      </c>
      <c r="D6384" s="9" t="s">
        <v>71</v>
      </c>
      <c r="E6384" s="6" t="s">
        <v>6562</v>
      </c>
      <c r="F6384" s="9" t="s">
        <v>14131</v>
      </c>
    </row>
    <row r="6385" ht="33.75" customHeight="1">
      <c r="A6385" s="7">
        <v>227.0</v>
      </c>
      <c r="B6385" s="9" t="s">
        <v>13040</v>
      </c>
      <c r="C6385" s="9" t="s">
        <v>342</v>
      </c>
      <c r="D6385" s="9" t="s">
        <v>73</v>
      </c>
      <c r="E6385" s="6" t="s">
        <v>6564</v>
      </c>
      <c r="F6385" s="9" t="s">
        <v>14131</v>
      </c>
    </row>
    <row r="6386" ht="33.75" customHeight="1">
      <c r="A6386" s="7">
        <v>227.0</v>
      </c>
      <c r="B6386" s="9" t="s">
        <v>13040</v>
      </c>
      <c r="C6386" s="9" t="s">
        <v>342</v>
      </c>
      <c r="D6386" s="9" t="s">
        <v>75</v>
      </c>
      <c r="E6386" s="6" t="s">
        <v>6558</v>
      </c>
      <c r="F6386" s="9" t="s">
        <v>14131</v>
      </c>
    </row>
    <row r="6387" ht="33.75" customHeight="1">
      <c r="A6387" s="7">
        <v>227.0</v>
      </c>
      <c r="B6387" s="9" t="s">
        <v>13040</v>
      </c>
      <c r="C6387" s="9" t="s">
        <v>342</v>
      </c>
      <c r="D6387" s="9" t="s">
        <v>79</v>
      </c>
      <c r="E6387" s="6" t="s">
        <v>6565</v>
      </c>
      <c r="F6387" s="9" t="s">
        <v>14131</v>
      </c>
    </row>
    <row r="6388" ht="33.75" customHeight="1">
      <c r="A6388" s="7">
        <v>227.0</v>
      </c>
      <c r="B6388" s="9" t="s">
        <v>13040</v>
      </c>
      <c r="C6388" s="9" t="s">
        <v>342</v>
      </c>
      <c r="D6388" s="9" t="s">
        <v>81</v>
      </c>
      <c r="E6388" s="6" t="s">
        <v>6566</v>
      </c>
      <c r="F6388" s="9" t="s">
        <v>14131</v>
      </c>
    </row>
    <row r="6389" ht="33.75" customHeight="1">
      <c r="A6389" s="7">
        <v>227.0</v>
      </c>
      <c r="B6389" s="9" t="s">
        <v>13040</v>
      </c>
      <c r="C6389" s="9" t="s">
        <v>342</v>
      </c>
      <c r="D6389" s="9" t="s">
        <v>84</v>
      </c>
      <c r="E6389" s="6" t="s">
        <v>6566</v>
      </c>
      <c r="F6389" s="9" t="s">
        <v>14131</v>
      </c>
    </row>
    <row r="6390" ht="33.75" customHeight="1">
      <c r="A6390" s="7">
        <v>227.0</v>
      </c>
      <c r="B6390" s="9" t="s">
        <v>13040</v>
      </c>
      <c r="C6390" s="9" t="s">
        <v>342</v>
      </c>
      <c r="D6390" s="9" t="s">
        <v>87</v>
      </c>
      <c r="E6390" s="6" t="s">
        <v>6566</v>
      </c>
      <c r="F6390" s="9" t="s">
        <v>14131</v>
      </c>
    </row>
    <row r="6391" ht="33.75" customHeight="1">
      <c r="A6391" s="7">
        <v>227.0</v>
      </c>
      <c r="B6391" s="9" t="s">
        <v>13040</v>
      </c>
      <c r="C6391" s="9" t="s">
        <v>342</v>
      </c>
      <c r="D6391" s="9" t="s">
        <v>89</v>
      </c>
      <c r="E6391" s="6" t="s">
        <v>6557</v>
      </c>
      <c r="F6391" s="9" t="s">
        <v>14131</v>
      </c>
    </row>
    <row r="6392" ht="33.75" customHeight="1">
      <c r="A6392" s="7">
        <v>227.0</v>
      </c>
      <c r="B6392" s="9" t="s">
        <v>13040</v>
      </c>
      <c r="C6392" s="9" t="s">
        <v>342</v>
      </c>
      <c r="D6392" s="9" t="s">
        <v>91</v>
      </c>
      <c r="E6392" s="6" t="s">
        <v>6558</v>
      </c>
      <c r="F6392" s="9" t="s">
        <v>14131</v>
      </c>
    </row>
    <row r="6393" ht="33.75" customHeight="1">
      <c r="A6393" s="7">
        <v>227.0</v>
      </c>
      <c r="B6393" s="9" t="s">
        <v>13040</v>
      </c>
      <c r="C6393" s="9" t="s">
        <v>342</v>
      </c>
      <c r="D6393" s="9" t="s">
        <v>93</v>
      </c>
      <c r="E6393" s="6" t="s">
        <v>6566</v>
      </c>
      <c r="F6393" s="9" t="s">
        <v>14131</v>
      </c>
    </row>
    <row r="6394" ht="33.75" customHeight="1">
      <c r="A6394" s="7">
        <v>227.0</v>
      </c>
      <c r="B6394" s="9" t="s">
        <v>13040</v>
      </c>
      <c r="C6394" s="9" t="s">
        <v>342</v>
      </c>
      <c r="D6394" s="9" t="s">
        <v>95</v>
      </c>
      <c r="E6394" s="6" t="s">
        <v>6566</v>
      </c>
      <c r="F6394" s="9" t="s">
        <v>14131</v>
      </c>
    </row>
    <row r="6395" ht="33.75" customHeight="1">
      <c r="A6395" s="7">
        <v>227.0</v>
      </c>
      <c r="B6395" s="9" t="s">
        <v>13040</v>
      </c>
      <c r="C6395" s="9" t="s">
        <v>342</v>
      </c>
      <c r="D6395" s="9" t="s">
        <v>98</v>
      </c>
      <c r="E6395" s="6" t="s">
        <v>6568</v>
      </c>
      <c r="F6395" s="9" t="s">
        <v>14131</v>
      </c>
    </row>
    <row r="6396" ht="33.75" customHeight="1">
      <c r="A6396" s="7">
        <v>227.0</v>
      </c>
      <c r="B6396" s="9" t="s">
        <v>13040</v>
      </c>
      <c r="C6396" s="9" t="s">
        <v>342</v>
      </c>
      <c r="D6396" s="9" t="s">
        <v>99</v>
      </c>
      <c r="E6396" s="6" t="s">
        <v>6568</v>
      </c>
      <c r="F6396" s="9" t="s">
        <v>14131</v>
      </c>
    </row>
    <row r="6397" ht="33.75" customHeight="1">
      <c r="A6397" s="7">
        <v>227.0</v>
      </c>
      <c r="B6397" s="9" t="s">
        <v>13040</v>
      </c>
      <c r="C6397" s="9" t="s">
        <v>342</v>
      </c>
      <c r="D6397" s="9" t="s">
        <v>101</v>
      </c>
      <c r="E6397" s="6" t="s">
        <v>6558</v>
      </c>
      <c r="F6397" s="9" t="s">
        <v>14131</v>
      </c>
    </row>
    <row r="6398" ht="33.75" customHeight="1">
      <c r="A6398" s="7">
        <v>227.0</v>
      </c>
      <c r="B6398" s="9" t="s">
        <v>13040</v>
      </c>
      <c r="C6398" s="9" t="s">
        <v>342</v>
      </c>
      <c r="D6398" s="9" t="s">
        <v>105</v>
      </c>
      <c r="E6398" s="6" t="s">
        <v>6566</v>
      </c>
      <c r="F6398" s="9" t="s">
        <v>14131</v>
      </c>
    </row>
    <row r="6399" ht="33.75" customHeight="1">
      <c r="A6399" s="7">
        <v>227.0</v>
      </c>
      <c r="B6399" s="9" t="s">
        <v>13040</v>
      </c>
      <c r="C6399" s="9" t="s">
        <v>342</v>
      </c>
      <c r="D6399" s="9" t="s">
        <v>107</v>
      </c>
      <c r="E6399" s="6" t="s">
        <v>6569</v>
      </c>
      <c r="F6399" s="9" t="s">
        <v>14131</v>
      </c>
    </row>
    <row r="6400" ht="33.75" customHeight="1">
      <c r="A6400" s="7">
        <v>227.0</v>
      </c>
      <c r="B6400" s="9" t="s">
        <v>13040</v>
      </c>
      <c r="C6400" s="9" t="s">
        <v>342</v>
      </c>
      <c r="D6400" s="9" t="s">
        <v>109</v>
      </c>
      <c r="E6400" s="6" t="s">
        <v>6571</v>
      </c>
      <c r="F6400" s="9" t="s">
        <v>14131</v>
      </c>
    </row>
    <row r="6401" ht="33.75" customHeight="1">
      <c r="A6401" s="7">
        <v>227.0</v>
      </c>
      <c r="B6401" s="9" t="s">
        <v>13040</v>
      </c>
      <c r="C6401" s="9" t="s">
        <v>342</v>
      </c>
      <c r="D6401" s="9" t="s">
        <v>637</v>
      </c>
      <c r="E6401" s="6" t="s">
        <v>6572</v>
      </c>
      <c r="F6401" s="9" t="s">
        <v>14131</v>
      </c>
    </row>
    <row r="6402" ht="33.75" customHeight="1">
      <c r="A6402" s="7">
        <v>227.0</v>
      </c>
      <c r="B6402" s="9" t="s">
        <v>13040</v>
      </c>
      <c r="C6402" s="9" t="s">
        <v>342</v>
      </c>
      <c r="D6402" s="9" t="s">
        <v>642</v>
      </c>
      <c r="E6402" s="6" t="s">
        <v>6573</v>
      </c>
      <c r="F6402" s="9" t="s">
        <v>14131</v>
      </c>
    </row>
    <row r="6403" ht="33.75" customHeight="1">
      <c r="A6403" s="7">
        <v>227.0</v>
      </c>
      <c r="B6403" s="9" t="s">
        <v>13040</v>
      </c>
      <c r="C6403" s="9" t="s">
        <v>342</v>
      </c>
      <c r="D6403" s="9" t="s">
        <v>647</v>
      </c>
      <c r="E6403" s="6" t="s">
        <v>6574</v>
      </c>
      <c r="F6403" s="9" t="s">
        <v>14131</v>
      </c>
    </row>
    <row r="6404" ht="33.75" customHeight="1">
      <c r="A6404" s="7">
        <v>227.0</v>
      </c>
      <c r="B6404" s="9" t="s">
        <v>13040</v>
      </c>
      <c r="C6404" s="9" t="s">
        <v>342</v>
      </c>
      <c r="D6404" s="9" t="s">
        <v>652</v>
      </c>
      <c r="E6404" s="6" t="s">
        <v>6575</v>
      </c>
      <c r="F6404" s="9" t="s">
        <v>14131</v>
      </c>
    </row>
    <row r="6405" ht="33.75" customHeight="1">
      <c r="A6405" s="7">
        <v>227.0</v>
      </c>
      <c r="B6405" s="9" t="s">
        <v>13040</v>
      </c>
      <c r="C6405" s="9" t="s">
        <v>342</v>
      </c>
      <c r="D6405" s="9" t="s">
        <v>114</v>
      </c>
      <c r="E6405" s="6" t="s">
        <v>6576</v>
      </c>
      <c r="F6405" s="9" t="s">
        <v>14131</v>
      </c>
    </row>
    <row r="6406" ht="33.75" customHeight="1">
      <c r="A6406" s="7">
        <v>227.0</v>
      </c>
      <c r="B6406" s="9" t="s">
        <v>13040</v>
      </c>
      <c r="C6406" s="9" t="s">
        <v>342</v>
      </c>
      <c r="D6406" s="9" t="s">
        <v>117</v>
      </c>
      <c r="E6406" s="6" t="s">
        <v>6577</v>
      </c>
      <c r="F6406" s="9" t="s">
        <v>14131</v>
      </c>
    </row>
    <row r="6407" ht="33.75" customHeight="1">
      <c r="A6407" s="7">
        <v>228.0</v>
      </c>
      <c r="B6407" s="9" t="s">
        <v>13083</v>
      </c>
      <c r="C6407" s="9" t="s">
        <v>343</v>
      </c>
      <c r="D6407" s="9" t="s">
        <v>52</v>
      </c>
      <c r="E6407" s="6" t="s">
        <v>6578</v>
      </c>
      <c r="F6407" s="9" t="s">
        <v>14148</v>
      </c>
      <c r="G6407" t="inlineStr" s="6">
        <is>
          <t xml:space="preserve">It uses different kinds of cries for communicating with others of Houndour's kind and for pursuing its prey. To corner prey, they check each other's location using barks that only they can understand. Around dawn, its ominous howl echoes through the area to announce that this is its territory. HOUNDOUR hunt as a coordinated pack. They communicate with each other using a variety of cries to corner their prey. This POKéMON’s remarkable teamwork is unparalleled. HOUNDOUR communicate with each other using a variety of cries to corner their prey. This POKéMON’s remarkable teamwork is simply unparalleled. It uses different kinds of cries for communicating with others of its kind and for pursuing prey. It conveys its feelings using different cries. It works in a pack to cleverly take down prey. It is smart enough to hunt in packs. It uses a variety of cries for communicating with others. It cooperates with others skillfully. When it becomes your partner, it’s very loyal to you as its Trainer and will obey your orders. They make repeated eerie howls before dawn to call attention to their pack.</t>
        </is>
      </c>
    </row>
    <row r="6408" ht="33.75" customHeight="1">
      <c r="A6408" s="7">
        <v>228.0</v>
      </c>
      <c r="B6408" s="9" t="s">
        <v>13083</v>
      </c>
      <c r="C6408" s="9" t="s">
        <v>343</v>
      </c>
      <c r="D6408" s="9" t="s">
        <v>59</v>
      </c>
      <c r="E6408" s="6" t="s">
        <v>6580</v>
      </c>
      <c r="F6408" s="9" t="s">
        <v>14148</v>
      </c>
    </row>
    <row r="6409" ht="33.75" customHeight="1">
      <c r="A6409" s="7">
        <v>228.0</v>
      </c>
      <c r="B6409" s="9" t="s">
        <v>13083</v>
      </c>
      <c r="C6409" s="9" t="s">
        <v>343</v>
      </c>
      <c r="D6409" s="9" t="s">
        <v>64</v>
      </c>
      <c r="E6409" s="6" t="s">
        <v>6582</v>
      </c>
      <c r="F6409" s="9" t="s">
        <v>14148</v>
      </c>
    </row>
    <row r="6410" ht="33.75" customHeight="1">
      <c r="A6410" s="7">
        <v>228.0</v>
      </c>
      <c r="B6410" s="9" t="s">
        <v>13083</v>
      </c>
      <c r="C6410" s="9" t="s">
        <v>343</v>
      </c>
      <c r="D6410" s="9" t="s">
        <v>67</v>
      </c>
      <c r="E6410" s="6" t="s">
        <v>6584</v>
      </c>
      <c r="F6410" s="9" t="s">
        <v>14148</v>
      </c>
    </row>
    <row r="6411" ht="33.75" customHeight="1">
      <c r="A6411" s="7">
        <v>228.0</v>
      </c>
      <c r="B6411" s="9" t="s">
        <v>13083</v>
      </c>
      <c r="C6411" s="9" t="s">
        <v>343</v>
      </c>
      <c r="D6411" s="9" t="s">
        <v>71</v>
      </c>
      <c r="E6411" s="6" t="s">
        <v>6584</v>
      </c>
      <c r="F6411" s="9" t="s">
        <v>14148</v>
      </c>
    </row>
    <row r="6412" ht="33.75" customHeight="1">
      <c r="A6412" s="7">
        <v>228.0</v>
      </c>
      <c r="B6412" s="9" t="s">
        <v>13083</v>
      </c>
      <c r="C6412" s="9" t="s">
        <v>343</v>
      </c>
      <c r="D6412" s="9" t="s">
        <v>73</v>
      </c>
      <c r="E6412" s="6" t="s">
        <v>6587</v>
      </c>
      <c r="F6412" s="9" t="s">
        <v>14148</v>
      </c>
    </row>
    <row r="6413" ht="33.75" customHeight="1">
      <c r="A6413" s="7">
        <v>228.0</v>
      </c>
      <c r="B6413" s="9" t="s">
        <v>13083</v>
      </c>
      <c r="C6413" s="9" t="s">
        <v>343</v>
      </c>
      <c r="D6413" s="9" t="s">
        <v>75</v>
      </c>
      <c r="E6413" s="6" t="s">
        <v>6588</v>
      </c>
      <c r="F6413" s="9" t="s">
        <v>14148</v>
      </c>
    </row>
    <row r="6414" ht="33.75" customHeight="1">
      <c r="A6414" s="7">
        <v>228.0</v>
      </c>
      <c r="B6414" s="9" t="s">
        <v>13083</v>
      </c>
      <c r="C6414" s="9" t="s">
        <v>343</v>
      </c>
      <c r="D6414" s="9" t="s">
        <v>79</v>
      </c>
      <c r="E6414" s="6" t="s">
        <v>6590</v>
      </c>
      <c r="F6414" s="9" t="s">
        <v>14148</v>
      </c>
    </row>
    <row r="6415" ht="33.75" customHeight="1">
      <c r="A6415" s="7">
        <v>228.0</v>
      </c>
      <c r="B6415" s="9" t="s">
        <v>13083</v>
      </c>
      <c r="C6415" s="9" t="s">
        <v>343</v>
      </c>
      <c r="D6415" s="9" t="s">
        <v>81</v>
      </c>
      <c r="E6415" s="6" t="s">
        <v>6591</v>
      </c>
      <c r="F6415" s="9" t="s">
        <v>14148</v>
      </c>
    </row>
    <row r="6416" ht="33.75" customHeight="1">
      <c r="A6416" s="7">
        <v>228.0</v>
      </c>
      <c r="B6416" s="9" t="s">
        <v>13083</v>
      </c>
      <c r="C6416" s="9" t="s">
        <v>343</v>
      </c>
      <c r="D6416" s="9" t="s">
        <v>84</v>
      </c>
      <c r="E6416" s="6" t="s">
        <v>6591</v>
      </c>
      <c r="F6416" s="9" t="s">
        <v>14148</v>
      </c>
    </row>
    <row r="6417" ht="33.75" customHeight="1">
      <c r="A6417" s="7">
        <v>228.0</v>
      </c>
      <c r="B6417" s="9" t="s">
        <v>13083</v>
      </c>
      <c r="C6417" s="9" t="s">
        <v>343</v>
      </c>
      <c r="D6417" s="9" t="s">
        <v>87</v>
      </c>
      <c r="E6417" s="6" t="s">
        <v>6592</v>
      </c>
      <c r="F6417" s="9" t="s">
        <v>14148</v>
      </c>
    </row>
    <row r="6418" ht="33.75" customHeight="1">
      <c r="A6418" s="7">
        <v>228.0</v>
      </c>
      <c r="B6418" s="9" t="s">
        <v>13083</v>
      </c>
      <c r="C6418" s="9" t="s">
        <v>343</v>
      </c>
      <c r="D6418" s="9" t="s">
        <v>89</v>
      </c>
      <c r="E6418" s="6" t="s">
        <v>6578</v>
      </c>
      <c r="F6418" s="9" t="s">
        <v>14148</v>
      </c>
    </row>
    <row r="6419" ht="33.75" customHeight="1">
      <c r="A6419" s="7">
        <v>228.0</v>
      </c>
      <c r="B6419" s="9" t="s">
        <v>13083</v>
      </c>
      <c r="C6419" s="9" t="s">
        <v>343</v>
      </c>
      <c r="D6419" s="9" t="s">
        <v>91</v>
      </c>
      <c r="E6419" s="6" t="s">
        <v>6588</v>
      </c>
      <c r="F6419" s="9" t="s">
        <v>14148</v>
      </c>
    </row>
    <row r="6420" ht="33.75" customHeight="1">
      <c r="A6420" s="7">
        <v>228.0</v>
      </c>
      <c r="B6420" s="9" t="s">
        <v>13083</v>
      </c>
      <c r="C6420" s="9" t="s">
        <v>343</v>
      </c>
      <c r="D6420" s="9" t="s">
        <v>93</v>
      </c>
      <c r="E6420" s="6" t="s">
        <v>6592</v>
      </c>
      <c r="F6420" s="9" t="s">
        <v>14148</v>
      </c>
    </row>
    <row r="6421" ht="33.75" customHeight="1">
      <c r="A6421" s="7">
        <v>228.0</v>
      </c>
      <c r="B6421" s="9" t="s">
        <v>13083</v>
      </c>
      <c r="C6421" s="9" t="s">
        <v>343</v>
      </c>
      <c r="D6421" s="9" t="s">
        <v>95</v>
      </c>
      <c r="E6421" s="6" t="s">
        <v>6592</v>
      </c>
      <c r="F6421" s="9" t="s">
        <v>14148</v>
      </c>
    </row>
    <row r="6422" ht="33.75" customHeight="1">
      <c r="A6422" s="7">
        <v>228.0</v>
      </c>
      <c r="B6422" s="9" t="s">
        <v>13083</v>
      </c>
      <c r="C6422" s="9" t="s">
        <v>343</v>
      </c>
      <c r="D6422" s="9" t="s">
        <v>98</v>
      </c>
      <c r="E6422" s="6" t="s">
        <v>6592</v>
      </c>
      <c r="F6422" s="9" t="s">
        <v>14148</v>
      </c>
    </row>
    <row r="6423" ht="33.75" customHeight="1">
      <c r="A6423" s="7">
        <v>228.0</v>
      </c>
      <c r="B6423" s="9" t="s">
        <v>13083</v>
      </c>
      <c r="C6423" s="9" t="s">
        <v>343</v>
      </c>
      <c r="D6423" s="9" t="s">
        <v>99</v>
      </c>
      <c r="E6423" s="6" t="s">
        <v>6592</v>
      </c>
      <c r="F6423" s="9" t="s">
        <v>14148</v>
      </c>
    </row>
    <row r="6424" ht="33.75" customHeight="1">
      <c r="A6424" s="7">
        <v>228.0</v>
      </c>
      <c r="B6424" s="9" t="s">
        <v>13083</v>
      </c>
      <c r="C6424" s="9" t="s">
        <v>343</v>
      </c>
      <c r="D6424" s="9" t="s">
        <v>101</v>
      </c>
      <c r="E6424" s="6" t="s">
        <v>6582</v>
      </c>
      <c r="F6424" s="9" t="s">
        <v>14148</v>
      </c>
    </row>
    <row r="6425" ht="33.75" customHeight="1">
      <c r="A6425" s="7">
        <v>228.0</v>
      </c>
      <c r="B6425" s="9" t="s">
        <v>13083</v>
      </c>
      <c r="C6425" s="9" t="s">
        <v>343</v>
      </c>
      <c r="D6425" s="9" t="s">
        <v>105</v>
      </c>
      <c r="E6425" s="6" t="s">
        <v>6588</v>
      </c>
      <c r="F6425" s="9" t="s">
        <v>14148</v>
      </c>
    </row>
    <row r="6426" ht="33.75" customHeight="1">
      <c r="A6426" s="7">
        <v>228.0</v>
      </c>
      <c r="B6426" s="9" t="s">
        <v>13083</v>
      </c>
      <c r="C6426" s="9" t="s">
        <v>343</v>
      </c>
      <c r="D6426" s="9" t="s">
        <v>107</v>
      </c>
      <c r="E6426" s="6" t="s">
        <v>6593</v>
      </c>
      <c r="F6426" s="9" t="s">
        <v>14148</v>
      </c>
    </row>
    <row r="6427" ht="33.75" customHeight="1">
      <c r="A6427" s="7">
        <v>228.0</v>
      </c>
      <c r="B6427" s="9" t="s">
        <v>13083</v>
      </c>
      <c r="C6427" s="9" t="s">
        <v>343</v>
      </c>
      <c r="D6427" s="9" t="s">
        <v>109</v>
      </c>
      <c r="E6427" s="6" t="s">
        <v>6593</v>
      </c>
      <c r="F6427" s="9" t="s">
        <v>14148</v>
      </c>
    </row>
    <row r="6428" ht="33.75" customHeight="1">
      <c r="A6428" s="7">
        <v>228.0</v>
      </c>
      <c r="B6428" s="9" t="s">
        <v>13083</v>
      </c>
      <c r="C6428" s="9" t="s">
        <v>343</v>
      </c>
      <c r="D6428" s="9" t="s">
        <v>647</v>
      </c>
      <c r="E6428" s="6" t="s">
        <v>6595</v>
      </c>
      <c r="F6428" s="9" t="s">
        <v>14148</v>
      </c>
    </row>
    <row r="6429" ht="33.75" customHeight="1">
      <c r="A6429" s="7">
        <v>228.0</v>
      </c>
      <c r="B6429" s="9" t="s">
        <v>13083</v>
      </c>
      <c r="C6429" s="9" t="s">
        <v>343</v>
      </c>
      <c r="D6429" s="9" t="s">
        <v>652</v>
      </c>
      <c r="E6429" s="6" t="s">
        <v>6596</v>
      </c>
      <c r="F6429" s="9" t="s">
        <v>14148</v>
      </c>
    </row>
    <row r="6430" ht="33.75" customHeight="1">
      <c r="A6430" s="7">
        <v>229.0</v>
      </c>
      <c r="B6430" s="9" t="s">
        <v>13119</v>
      </c>
      <c r="C6430" s="9" t="s">
        <v>343</v>
      </c>
      <c r="D6430" s="9" t="s">
        <v>52</v>
      </c>
      <c r="E6430" s="6" t="s">
        <v>6597</v>
      </c>
      <c r="F6430" s="9" t="s">
        <v>14174</v>
      </c>
      <c r="G6430" t="inlineStr" s="6">
        <is>
          <t xml:space="preserve">If you are burned by the flames it shoots from Houndoom's mouth, the pain will never go away. Upon hearing its eerie howls, other POKéMON get the shivers and head straight back to their nests. The pungent- smelling flame that shoots from its mouth results from toxins burn ing in its body. In a HOUNDOOM pack, the one with its horns raked sharply towards the back serves a leadership role. These POKéMON choose their leader by fighting amongst themselves. In a HOUNDOOM pack, the one with its horns raked sharply back serves a leadership role. They choose their leader by fighting among themselves. Long ago, people imagined its eerie howls to be the call of the grim reaper. The flames it breathes when angry contain toxins. If they cause a burn, it will hurt forever. In a Houndoom pack, the one with its horns raked sharply toward the back serves a leadership role. These Pokémon choose their leader by fighting among themselves. They spew flames mixed with poison to finish off their opponents. They divvy up their prey evenly among the members of their pack. Identifiable by its eerie howls, people a long time ago thought it was the grim reaper and feared it.</t>
        </is>
      </c>
    </row>
    <row r="6431" ht="33.75" customHeight="1">
      <c r="A6431" s="7">
        <v>229.0</v>
      </c>
      <c r="B6431" s="9" t="s">
        <v>13119</v>
      </c>
      <c r="C6431" s="9" t="s">
        <v>343</v>
      </c>
      <c r="D6431" s="9" t="s">
        <v>59</v>
      </c>
      <c r="E6431" s="6" t="s">
        <v>6599</v>
      </c>
      <c r="F6431" s="9" t="s">
        <v>14174</v>
      </c>
    </row>
    <row r="6432" ht="33.75" customHeight="1">
      <c r="A6432" s="7">
        <v>229.0</v>
      </c>
      <c r="B6432" s="9" t="s">
        <v>13119</v>
      </c>
      <c r="C6432" s="9" t="s">
        <v>343</v>
      </c>
      <c r="D6432" s="9" t="s">
        <v>64</v>
      </c>
      <c r="E6432" s="6" t="s">
        <v>6600</v>
      </c>
      <c r="F6432" s="9" t="s">
        <v>14174</v>
      </c>
    </row>
    <row r="6433" ht="33.75" customHeight="1">
      <c r="A6433" s="7">
        <v>229.0</v>
      </c>
      <c r="B6433" s="9" t="s">
        <v>13119</v>
      </c>
      <c r="C6433" s="9" t="s">
        <v>343</v>
      </c>
      <c r="D6433" s="9" t="s">
        <v>67</v>
      </c>
      <c r="E6433" s="6" t="s">
        <v>6601</v>
      </c>
      <c r="F6433" s="9" t="s">
        <v>14174</v>
      </c>
    </row>
    <row r="6434" ht="33.75" customHeight="1">
      <c r="A6434" s="7">
        <v>229.0</v>
      </c>
      <c r="B6434" s="9" t="s">
        <v>13119</v>
      </c>
      <c r="C6434" s="9" t="s">
        <v>343</v>
      </c>
      <c r="D6434" s="9" t="s">
        <v>71</v>
      </c>
      <c r="E6434" s="6" t="s">
        <v>6601</v>
      </c>
      <c r="F6434" s="9" t="s">
        <v>14174</v>
      </c>
    </row>
    <row r="6435" ht="33.75" customHeight="1">
      <c r="A6435" s="7">
        <v>229.0</v>
      </c>
      <c r="B6435" s="9" t="s">
        <v>13119</v>
      </c>
      <c r="C6435" s="9" t="s">
        <v>343</v>
      </c>
      <c r="D6435" s="9" t="s">
        <v>73</v>
      </c>
      <c r="E6435" s="6" t="s">
        <v>6603</v>
      </c>
      <c r="F6435" s="9" t="s">
        <v>14174</v>
      </c>
    </row>
    <row r="6436" ht="33.75" customHeight="1">
      <c r="A6436" s="7">
        <v>229.0</v>
      </c>
      <c r="B6436" s="9" t="s">
        <v>13119</v>
      </c>
      <c r="C6436" s="9" t="s">
        <v>343</v>
      </c>
      <c r="D6436" s="9" t="s">
        <v>75</v>
      </c>
      <c r="E6436" s="6" t="s">
        <v>6599</v>
      </c>
      <c r="F6436" s="9" t="s">
        <v>14174</v>
      </c>
    </row>
    <row r="6437" ht="33.75" customHeight="1">
      <c r="A6437" s="7">
        <v>229.0</v>
      </c>
      <c r="B6437" s="9" t="s">
        <v>13119</v>
      </c>
      <c r="C6437" s="9" t="s">
        <v>343</v>
      </c>
      <c r="D6437" s="9" t="s">
        <v>79</v>
      </c>
      <c r="E6437" s="6" t="s">
        <v>6597</v>
      </c>
      <c r="F6437" s="9" t="s">
        <v>14174</v>
      </c>
    </row>
    <row r="6438" ht="33.75" customHeight="1">
      <c r="A6438" s="7">
        <v>229.0</v>
      </c>
      <c r="B6438" s="9" t="s">
        <v>13119</v>
      </c>
      <c r="C6438" s="9" t="s">
        <v>343</v>
      </c>
      <c r="D6438" s="9" t="s">
        <v>81</v>
      </c>
      <c r="E6438" s="6" t="s">
        <v>6604</v>
      </c>
      <c r="F6438" s="9" t="s">
        <v>14174</v>
      </c>
    </row>
    <row r="6439" ht="33.75" customHeight="1">
      <c r="A6439" s="7">
        <v>229.0</v>
      </c>
      <c r="B6439" s="9" t="s">
        <v>13119</v>
      </c>
      <c r="C6439" s="9" t="s">
        <v>343</v>
      </c>
      <c r="D6439" s="9" t="s">
        <v>84</v>
      </c>
      <c r="E6439" s="6" t="s">
        <v>6604</v>
      </c>
      <c r="F6439" s="9" t="s">
        <v>14174</v>
      </c>
    </row>
    <row r="6440" ht="33.75" customHeight="1">
      <c r="A6440" s="7">
        <v>229.0</v>
      </c>
      <c r="B6440" s="9" t="s">
        <v>13119</v>
      </c>
      <c r="C6440" s="9" t="s">
        <v>343</v>
      </c>
      <c r="D6440" s="9" t="s">
        <v>87</v>
      </c>
      <c r="E6440" s="6" t="s">
        <v>6605</v>
      </c>
      <c r="F6440" s="9" t="s">
        <v>14174</v>
      </c>
    </row>
    <row r="6441" ht="33.75" customHeight="1">
      <c r="A6441" s="7">
        <v>229.0</v>
      </c>
      <c r="B6441" s="9" t="s">
        <v>13119</v>
      </c>
      <c r="C6441" s="9" t="s">
        <v>343</v>
      </c>
      <c r="D6441" s="9" t="s">
        <v>89</v>
      </c>
      <c r="E6441" s="6" t="s">
        <v>6597</v>
      </c>
      <c r="F6441" s="9" t="s">
        <v>14174</v>
      </c>
    </row>
    <row r="6442" ht="33.75" customHeight="1">
      <c r="A6442" s="7">
        <v>229.0</v>
      </c>
      <c r="B6442" s="9" t="s">
        <v>13119</v>
      </c>
      <c r="C6442" s="9" t="s">
        <v>343</v>
      </c>
      <c r="D6442" s="9" t="s">
        <v>91</v>
      </c>
      <c r="E6442" s="6" t="s">
        <v>6607</v>
      </c>
      <c r="F6442" s="9" t="s">
        <v>14174</v>
      </c>
    </row>
    <row r="6443" ht="33.75" customHeight="1">
      <c r="A6443" s="7">
        <v>229.0</v>
      </c>
      <c r="B6443" s="9" t="s">
        <v>13119</v>
      </c>
      <c r="C6443" s="9" t="s">
        <v>343</v>
      </c>
      <c r="D6443" s="9" t="s">
        <v>93</v>
      </c>
      <c r="E6443" s="6" t="s">
        <v>6605</v>
      </c>
      <c r="F6443" s="9" t="s">
        <v>14174</v>
      </c>
    </row>
    <row r="6444" ht="33.75" customHeight="1">
      <c r="A6444" s="7">
        <v>229.0</v>
      </c>
      <c r="B6444" s="9" t="s">
        <v>13119</v>
      </c>
      <c r="C6444" s="9" t="s">
        <v>343</v>
      </c>
      <c r="D6444" s="9" t="s">
        <v>95</v>
      </c>
      <c r="E6444" s="6" t="s">
        <v>6605</v>
      </c>
      <c r="F6444" s="9" t="s">
        <v>14174</v>
      </c>
    </row>
    <row r="6445" ht="33.75" customHeight="1">
      <c r="A6445" s="7">
        <v>229.0</v>
      </c>
      <c r="B6445" s="9" t="s">
        <v>13119</v>
      </c>
      <c r="C6445" s="9" t="s">
        <v>343</v>
      </c>
      <c r="D6445" s="9" t="s">
        <v>98</v>
      </c>
      <c r="E6445" s="6" t="s">
        <v>6605</v>
      </c>
      <c r="F6445" s="9" t="s">
        <v>14174</v>
      </c>
    </row>
    <row r="6446" ht="33.75" customHeight="1">
      <c r="A6446" s="7">
        <v>229.0</v>
      </c>
      <c r="B6446" s="9" t="s">
        <v>13119</v>
      </c>
      <c r="C6446" s="9" t="s">
        <v>343</v>
      </c>
      <c r="D6446" s="9" t="s">
        <v>99</v>
      </c>
      <c r="E6446" s="6" t="s">
        <v>6605</v>
      </c>
      <c r="F6446" s="9" t="s">
        <v>14174</v>
      </c>
    </row>
    <row r="6447" ht="33.75" customHeight="1">
      <c r="A6447" s="7">
        <v>229.0</v>
      </c>
      <c r="B6447" s="9" t="s">
        <v>13119</v>
      </c>
      <c r="C6447" s="9" t="s">
        <v>343</v>
      </c>
      <c r="D6447" s="9" t="s">
        <v>101</v>
      </c>
      <c r="E6447" s="6" t="s">
        <v>6604</v>
      </c>
      <c r="F6447" s="9" t="s">
        <v>14174</v>
      </c>
    </row>
    <row r="6448" ht="33.75" customHeight="1">
      <c r="A6448" s="7">
        <v>229.0</v>
      </c>
      <c r="B6448" s="9" t="s">
        <v>13119</v>
      </c>
      <c r="C6448" s="9" t="s">
        <v>343</v>
      </c>
      <c r="D6448" s="9" t="s">
        <v>105</v>
      </c>
      <c r="E6448" s="6" t="s">
        <v>6605</v>
      </c>
      <c r="F6448" s="9" t="s">
        <v>14174</v>
      </c>
    </row>
    <row r="6449" ht="33.75" customHeight="1">
      <c r="A6449" s="7">
        <v>229.0</v>
      </c>
      <c r="B6449" s="9" t="s">
        <v>13119</v>
      </c>
      <c r="C6449" s="9" t="s">
        <v>343</v>
      </c>
      <c r="D6449" s="9" t="s">
        <v>107</v>
      </c>
      <c r="E6449" s="6" t="s">
        <v>6608</v>
      </c>
      <c r="F6449" s="9" t="s">
        <v>14174</v>
      </c>
    </row>
    <row r="6450" ht="33.75" customHeight="1">
      <c r="A6450" s="7">
        <v>229.0</v>
      </c>
      <c r="B6450" s="9" t="s">
        <v>13119</v>
      </c>
      <c r="C6450" s="9" t="s">
        <v>343</v>
      </c>
      <c r="D6450" s="9" t="s">
        <v>109</v>
      </c>
      <c r="E6450" s="6" t="s">
        <v>6608</v>
      </c>
      <c r="F6450" s="9" t="s">
        <v>14174</v>
      </c>
    </row>
    <row r="6451" ht="33.75" customHeight="1">
      <c r="A6451" s="7">
        <v>229.0</v>
      </c>
      <c r="B6451" s="9" t="s">
        <v>13119</v>
      </c>
      <c r="C6451" s="9" t="s">
        <v>343</v>
      </c>
      <c r="D6451" s="9" t="s">
        <v>647</v>
      </c>
      <c r="E6451" s="6" t="s">
        <v>6609</v>
      </c>
      <c r="F6451" s="9" t="s">
        <v>14174</v>
      </c>
    </row>
    <row r="6452" ht="33.75" customHeight="1">
      <c r="A6452" s="7">
        <v>229.0</v>
      </c>
      <c r="B6452" s="9" t="s">
        <v>13119</v>
      </c>
      <c r="C6452" s="9" t="s">
        <v>343</v>
      </c>
      <c r="D6452" s="9" t="s">
        <v>652</v>
      </c>
      <c r="E6452" s="6" t="s">
        <v>6610</v>
      </c>
      <c r="F6452" s="9" t="s">
        <v>14174</v>
      </c>
    </row>
    <row r="6453" ht="33.75" customHeight="1">
      <c r="A6453" s="7">
        <v>230.0</v>
      </c>
      <c r="B6453" s="9" t="s">
        <v>13155</v>
      </c>
      <c r="C6453" s="9" t="s">
        <v>195</v>
      </c>
      <c r="D6453" s="9" t="s">
        <v>52</v>
      </c>
      <c r="E6453" s="6" t="s">
        <v>6612</v>
      </c>
      <c r="F6453" s="9" t="s">
        <v>14194</v>
      </c>
      <c r="G6453" t="inlineStr" s="6">
        <is>
          <t xml:space="preserve">Kingdra is said that it usually hides in underwater caves. It can create whirlpools by yawning. It sleeps deep on the ocean floor to build its energy. It is said to cause tornadoes as it wakes. It stores energy by sleeping at underwater depths at which no other life forms can survive. KINGDRA lives at extreme ocean depths that are otherwise uninhabited. It has long been believed that the yawning of this POKéMON creates spiraling ocean currents. KINGDRA sleeps on the seafloor where it is otherwise devoid of life. When a storm arrives, the POKéMON is said to awaken and wander about in search of prey. It sleeps quietly, deep on the seafloor. When it comes up to the surface, it creates a huge whirlpool that can swallow even ships. It lives in caves on the seafloor and creates giant whirlpools every time it moves. It stores energy by sleeping at underwater depths at which no other life-forms can survive. With the arrival of a storm at sea, this Pokémon will show itself on the surface. When a Kingdra and a Dragonite meet, a fierce battle ensues. Scales shed by this Pokémon have such a splendorous gleam to them that they’ve been given to royalty as gifts.</t>
        </is>
      </c>
    </row>
    <row r="6454" ht="33.75" customHeight="1">
      <c r="A6454" s="7">
        <v>230.0</v>
      </c>
      <c r="B6454" s="9" t="s">
        <v>13155</v>
      </c>
      <c r="C6454" s="9" t="s">
        <v>195</v>
      </c>
      <c r="D6454" s="9" t="s">
        <v>59</v>
      </c>
      <c r="E6454" s="6" t="s">
        <v>6613</v>
      </c>
      <c r="F6454" s="9" t="s">
        <v>14194</v>
      </c>
    </row>
    <row r="6455" ht="33.75" customHeight="1">
      <c r="A6455" s="7">
        <v>230.0</v>
      </c>
      <c r="B6455" s="9" t="s">
        <v>13155</v>
      </c>
      <c r="C6455" s="9" t="s">
        <v>195</v>
      </c>
      <c r="D6455" s="9" t="s">
        <v>64</v>
      </c>
      <c r="E6455" s="6" t="s">
        <v>6614</v>
      </c>
      <c r="F6455" s="9" t="s">
        <v>14194</v>
      </c>
    </row>
    <row r="6456" ht="33.75" customHeight="1">
      <c r="A6456" s="7">
        <v>230.0</v>
      </c>
      <c r="B6456" s="9" t="s">
        <v>13155</v>
      </c>
      <c r="C6456" s="9" t="s">
        <v>195</v>
      </c>
      <c r="D6456" s="9" t="s">
        <v>67</v>
      </c>
      <c r="E6456" s="6" t="s">
        <v>6616</v>
      </c>
      <c r="F6456" s="9" t="s">
        <v>14194</v>
      </c>
    </row>
    <row r="6457" ht="33.75" customHeight="1">
      <c r="A6457" s="7">
        <v>230.0</v>
      </c>
      <c r="B6457" s="9" t="s">
        <v>13155</v>
      </c>
      <c r="C6457" s="9" t="s">
        <v>195</v>
      </c>
      <c r="D6457" s="9" t="s">
        <v>71</v>
      </c>
      <c r="E6457" s="6" t="s">
        <v>6618</v>
      </c>
      <c r="F6457" s="9" t="s">
        <v>14194</v>
      </c>
    </row>
    <row r="6458" ht="33.75" customHeight="1">
      <c r="A6458" s="7">
        <v>230.0</v>
      </c>
      <c r="B6458" s="9" t="s">
        <v>13155</v>
      </c>
      <c r="C6458" s="9" t="s">
        <v>195</v>
      </c>
      <c r="D6458" s="9" t="s">
        <v>73</v>
      </c>
      <c r="E6458" s="6" t="s">
        <v>6619</v>
      </c>
      <c r="F6458" s="9" t="s">
        <v>14194</v>
      </c>
    </row>
    <row r="6459" ht="33.75" customHeight="1">
      <c r="A6459" s="7">
        <v>230.0</v>
      </c>
      <c r="B6459" s="9" t="s">
        <v>13155</v>
      </c>
      <c r="C6459" s="9" t="s">
        <v>195</v>
      </c>
      <c r="D6459" s="9" t="s">
        <v>75</v>
      </c>
      <c r="E6459" s="6" t="s">
        <v>6613</v>
      </c>
      <c r="F6459" s="9" t="s">
        <v>14194</v>
      </c>
    </row>
    <row r="6460" ht="33.75" customHeight="1">
      <c r="A6460" s="7">
        <v>230.0</v>
      </c>
      <c r="B6460" s="9" t="s">
        <v>13155</v>
      </c>
      <c r="C6460" s="9" t="s">
        <v>195</v>
      </c>
      <c r="D6460" s="9" t="s">
        <v>79</v>
      </c>
      <c r="E6460" s="6" t="s">
        <v>6612</v>
      </c>
      <c r="F6460" s="9" t="s">
        <v>14194</v>
      </c>
    </row>
    <row r="6461" ht="33.75" customHeight="1">
      <c r="A6461" s="7">
        <v>230.0</v>
      </c>
      <c r="B6461" s="9" t="s">
        <v>13155</v>
      </c>
      <c r="C6461" s="9" t="s">
        <v>195</v>
      </c>
      <c r="D6461" s="9" t="s">
        <v>81</v>
      </c>
      <c r="E6461" s="6" t="s">
        <v>6620</v>
      </c>
      <c r="F6461" s="9" t="s">
        <v>14194</v>
      </c>
    </row>
    <row r="6462" ht="33.75" customHeight="1">
      <c r="A6462" s="7">
        <v>230.0</v>
      </c>
      <c r="B6462" s="9" t="s">
        <v>13155</v>
      </c>
      <c r="C6462" s="9" t="s">
        <v>195</v>
      </c>
      <c r="D6462" s="9" t="s">
        <v>84</v>
      </c>
      <c r="E6462" s="6" t="s">
        <v>6620</v>
      </c>
      <c r="F6462" s="9" t="s">
        <v>14194</v>
      </c>
    </row>
    <row r="6463" ht="33.75" customHeight="1">
      <c r="A6463" s="7">
        <v>230.0</v>
      </c>
      <c r="B6463" s="9" t="s">
        <v>13155</v>
      </c>
      <c r="C6463" s="9" t="s">
        <v>195</v>
      </c>
      <c r="D6463" s="9" t="s">
        <v>87</v>
      </c>
      <c r="E6463" s="6" t="s">
        <v>6620</v>
      </c>
      <c r="F6463" s="9" t="s">
        <v>14194</v>
      </c>
    </row>
    <row r="6464" ht="33.75" customHeight="1">
      <c r="A6464" s="7">
        <v>230.0</v>
      </c>
      <c r="B6464" s="9" t="s">
        <v>13155</v>
      </c>
      <c r="C6464" s="9" t="s">
        <v>195</v>
      </c>
      <c r="D6464" s="9" t="s">
        <v>89</v>
      </c>
      <c r="E6464" s="6" t="s">
        <v>6612</v>
      </c>
      <c r="F6464" s="9" t="s">
        <v>14194</v>
      </c>
    </row>
    <row r="6465" ht="33.75" customHeight="1">
      <c r="A6465" s="7">
        <v>230.0</v>
      </c>
      <c r="B6465" s="9" t="s">
        <v>13155</v>
      </c>
      <c r="C6465" s="9" t="s">
        <v>195</v>
      </c>
      <c r="D6465" s="9" t="s">
        <v>91</v>
      </c>
      <c r="E6465" s="6" t="s">
        <v>6613</v>
      </c>
      <c r="F6465" s="9" t="s">
        <v>14194</v>
      </c>
    </row>
    <row r="6466" ht="33.75" customHeight="1">
      <c r="A6466" s="7">
        <v>230.0</v>
      </c>
      <c r="B6466" s="9" t="s">
        <v>13155</v>
      </c>
      <c r="C6466" s="9" t="s">
        <v>195</v>
      </c>
      <c r="D6466" s="9" t="s">
        <v>93</v>
      </c>
      <c r="E6466" s="6" t="s">
        <v>6620</v>
      </c>
      <c r="F6466" s="9" t="s">
        <v>14194</v>
      </c>
    </row>
    <row r="6467" ht="33.75" customHeight="1">
      <c r="A6467" s="7">
        <v>230.0</v>
      </c>
      <c r="B6467" s="9" t="s">
        <v>13155</v>
      </c>
      <c r="C6467" s="9" t="s">
        <v>195</v>
      </c>
      <c r="D6467" s="9" t="s">
        <v>95</v>
      </c>
      <c r="E6467" s="6" t="s">
        <v>6620</v>
      </c>
      <c r="F6467" s="9" t="s">
        <v>14194</v>
      </c>
    </row>
    <row r="6468" ht="33.75" customHeight="1">
      <c r="A6468" s="7">
        <v>230.0</v>
      </c>
      <c r="B6468" s="9" t="s">
        <v>13155</v>
      </c>
      <c r="C6468" s="9" t="s">
        <v>195</v>
      </c>
      <c r="D6468" s="9" t="s">
        <v>98</v>
      </c>
      <c r="E6468" s="6" t="s">
        <v>6620</v>
      </c>
      <c r="F6468" s="9" t="s">
        <v>14194</v>
      </c>
    </row>
    <row r="6469" ht="33.75" customHeight="1">
      <c r="A6469" s="7">
        <v>230.0</v>
      </c>
      <c r="B6469" s="9" t="s">
        <v>13155</v>
      </c>
      <c r="C6469" s="9" t="s">
        <v>195</v>
      </c>
      <c r="D6469" s="9" t="s">
        <v>99</v>
      </c>
      <c r="E6469" s="6" t="s">
        <v>6620</v>
      </c>
      <c r="F6469" s="9" t="s">
        <v>14194</v>
      </c>
    </row>
    <row r="6470" ht="33.75" customHeight="1">
      <c r="A6470" s="7">
        <v>230.0</v>
      </c>
      <c r="B6470" s="9" t="s">
        <v>13155</v>
      </c>
      <c r="C6470" s="9" t="s">
        <v>195</v>
      </c>
      <c r="D6470" s="9" t="s">
        <v>101</v>
      </c>
      <c r="E6470" s="6" t="s">
        <v>6612</v>
      </c>
      <c r="F6470" s="9" t="s">
        <v>14194</v>
      </c>
    </row>
    <row r="6471" ht="33.75" customHeight="1">
      <c r="A6471" s="7">
        <v>230.0</v>
      </c>
      <c r="B6471" s="9" t="s">
        <v>13155</v>
      </c>
      <c r="C6471" s="9" t="s">
        <v>195</v>
      </c>
      <c r="D6471" s="9" t="s">
        <v>105</v>
      </c>
      <c r="E6471" s="6" t="s">
        <v>6622</v>
      </c>
      <c r="F6471" s="9" t="s">
        <v>14194</v>
      </c>
    </row>
    <row r="6472" ht="33.75" customHeight="1">
      <c r="A6472" s="7">
        <v>230.0</v>
      </c>
      <c r="B6472" s="9" t="s">
        <v>13155</v>
      </c>
      <c r="C6472" s="9" t="s">
        <v>195</v>
      </c>
      <c r="D6472" s="9" t="s">
        <v>107</v>
      </c>
      <c r="E6472" s="6" t="s">
        <v>6623</v>
      </c>
      <c r="F6472" s="9" t="s">
        <v>14194</v>
      </c>
    </row>
    <row r="6473" ht="33.75" customHeight="1">
      <c r="A6473" s="7">
        <v>230.0</v>
      </c>
      <c r="B6473" s="9" t="s">
        <v>13155</v>
      </c>
      <c r="C6473" s="9" t="s">
        <v>195</v>
      </c>
      <c r="D6473" s="9" t="s">
        <v>109</v>
      </c>
      <c r="E6473" s="6" t="s">
        <v>6624</v>
      </c>
      <c r="F6473" s="9" t="s">
        <v>14194</v>
      </c>
    </row>
    <row r="6474" ht="33.75" customHeight="1">
      <c r="A6474" s="7">
        <v>230.0</v>
      </c>
      <c r="B6474" s="9" t="s">
        <v>13155</v>
      </c>
      <c r="C6474" s="9" t="s">
        <v>195</v>
      </c>
      <c r="D6474" s="9" t="s">
        <v>114</v>
      </c>
      <c r="E6474" s="6" t="s">
        <v>6625</v>
      </c>
      <c r="F6474" s="9" t="s">
        <v>14194</v>
      </c>
    </row>
    <row r="6475" ht="33.75" customHeight="1">
      <c r="A6475" s="7">
        <v>230.0</v>
      </c>
      <c r="B6475" s="9" t="s">
        <v>13155</v>
      </c>
      <c r="C6475" s="9" t="s">
        <v>195</v>
      </c>
      <c r="D6475" s="9" t="s">
        <v>117</v>
      </c>
      <c r="E6475" s="6" t="s">
        <v>6626</v>
      </c>
      <c r="F6475" s="9" t="s">
        <v>14194</v>
      </c>
    </row>
    <row r="6476" ht="33.75" customHeight="1">
      <c r="A6476" s="7">
        <v>231.0</v>
      </c>
      <c r="B6476" s="9" t="s">
        <v>13187</v>
      </c>
      <c r="C6476" s="9" t="s">
        <v>346</v>
      </c>
      <c r="D6476" s="9" t="s">
        <v>52</v>
      </c>
      <c r="E6476" s="6" t="s">
        <v>6627</v>
      </c>
      <c r="F6476" s="9" t="s">
        <v>14219</v>
      </c>
      <c r="G6476" t="inlineStr" s="6">
        <is>
          <t xml:space="preserve">It swings Phanpy's long snout around play fully, but because it is so strong, that can be dangerous. As a sign of affection, it bumps with its snout. However, it is so strong, it may send you flying. During the deserted morning hours, it comes ashore where it deftly uses its trunk to take a shower. For its nest, PHANPY digs a vertical pit in the ground at the edge of a river. It marks the area around its nest with its trunk to let the others know that the area has been claimed. PHANPY uses its long nose to shower itself. When others gather around, they thoroughly douse each other with water. These POKéMON can be seen drying their soaking-wet bodies at the edge of water. PHANPY’s big ears serve as broad fans. When it becomes hot, it flaps the ears busily to cool down. Even the young are very strong. It swings its long snout around playfully, but because it is so strong, this can be dangerous. It is strong despite its compact size. It can easily pick up and carry an adult human on its back. It swings its long snout around playfully, but because it is so strong, that can be dangerous.</t>
        </is>
      </c>
    </row>
    <row r="6477" ht="33.75" customHeight="1">
      <c r="A6477" s="7">
        <v>231.0</v>
      </c>
      <c r="B6477" s="9" t="s">
        <v>13187</v>
      </c>
      <c r="C6477" s="9" t="s">
        <v>346</v>
      </c>
      <c r="D6477" s="9" t="s">
        <v>59</v>
      </c>
      <c r="E6477" s="6" t="s">
        <v>6628</v>
      </c>
      <c r="F6477" s="9" t="s">
        <v>14219</v>
      </c>
    </row>
    <row r="6478" ht="33.75" customHeight="1">
      <c r="A6478" s="7">
        <v>231.0</v>
      </c>
      <c r="B6478" s="9" t="s">
        <v>13187</v>
      </c>
      <c r="C6478" s="9" t="s">
        <v>346</v>
      </c>
      <c r="D6478" s="9" t="s">
        <v>64</v>
      </c>
      <c r="E6478" s="6" t="s">
        <v>6630</v>
      </c>
      <c r="F6478" s="9" t="s">
        <v>14219</v>
      </c>
    </row>
    <row r="6479" ht="33.75" customHeight="1">
      <c r="A6479" s="7">
        <v>231.0</v>
      </c>
      <c r="B6479" s="9" t="s">
        <v>13187</v>
      </c>
      <c r="C6479" s="9" t="s">
        <v>346</v>
      </c>
      <c r="D6479" s="9" t="s">
        <v>67</v>
      </c>
      <c r="E6479" s="6" t="s">
        <v>6631</v>
      </c>
      <c r="F6479" s="9" t="s">
        <v>14219</v>
      </c>
    </row>
    <row r="6480" ht="33.75" customHeight="1">
      <c r="A6480" s="7">
        <v>231.0</v>
      </c>
      <c r="B6480" s="9" t="s">
        <v>13187</v>
      </c>
      <c r="C6480" s="9" t="s">
        <v>346</v>
      </c>
      <c r="D6480" s="9" t="s">
        <v>71</v>
      </c>
      <c r="E6480" s="6" t="s">
        <v>6632</v>
      </c>
      <c r="F6480" s="9" t="s">
        <v>14219</v>
      </c>
    </row>
    <row r="6481" ht="33.75" customHeight="1">
      <c r="A6481" s="7">
        <v>231.0</v>
      </c>
      <c r="B6481" s="9" t="s">
        <v>13187</v>
      </c>
      <c r="C6481" s="9" t="s">
        <v>346</v>
      </c>
      <c r="D6481" s="9" t="s">
        <v>73</v>
      </c>
      <c r="E6481" s="6" t="s">
        <v>6633</v>
      </c>
      <c r="F6481" s="9" t="s">
        <v>14219</v>
      </c>
    </row>
    <row r="6482" ht="33.75" customHeight="1">
      <c r="A6482" s="7">
        <v>231.0</v>
      </c>
      <c r="B6482" s="9" t="s">
        <v>13187</v>
      </c>
      <c r="C6482" s="9" t="s">
        <v>346</v>
      </c>
      <c r="D6482" s="9" t="s">
        <v>75</v>
      </c>
      <c r="E6482" s="6" t="s">
        <v>6634</v>
      </c>
      <c r="F6482" s="9" t="s">
        <v>14219</v>
      </c>
    </row>
    <row r="6483" ht="33.75" customHeight="1">
      <c r="A6483" s="7">
        <v>231.0</v>
      </c>
      <c r="B6483" s="9" t="s">
        <v>13187</v>
      </c>
      <c r="C6483" s="9" t="s">
        <v>346</v>
      </c>
      <c r="D6483" s="9" t="s">
        <v>79</v>
      </c>
      <c r="E6483" s="6" t="s">
        <v>6635</v>
      </c>
      <c r="F6483" s="9" t="s">
        <v>14219</v>
      </c>
    </row>
    <row r="6484" ht="33.75" customHeight="1">
      <c r="A6484" s="7">
        <v>231.0</v>
      </c>
      <c r="B6484" s="9" t="s">
        <v>13187</v>
      </c>
      <c r="C6484" s="9" t="s">
        <v>346</v>
      </c>
      <c r="D6484" s="9" t="s">
        <v>81</v>
      </c>
      <c r="E6484" s="6" t="s">
        <v>6636</v>
      </c>
      <c r="F6484" s="9" t="s">
        <v>14219</v>
      </c>
    </row>
    <row r="6485" ht="33.75" customHeight="1">
      <c r="A6485" s="7">
        <v>231.0</v>
      </c>
      <c r="B6485" s="9" t="s">
        <v>13187</v>
      </c>
      <c r="C6485" s="9" t="s">
        <v>346</v>
      </c>
      <c r="D6485" s="9" t="s">
        <v>84</v>
      </c>
      <c r="E6485" s="6" t="s">
        <v>6636</v>
      </c>
      <c r="F6485" s="9" t="s">
        <v>14219</v>
      </c>
    </row>
    <row r="6486" ht="33.75" customHeight="1">
      <c r="A6486" s="7">
        <v>231.0</v>
      </c>
      <c r="B6486" s="9" t="s">
        <v>13187</v>
      </c>
      <c r="C6486" s="9" t="s">
        <v>346</v>
      </c>
      <c r="D6486" s="9" t="s">
        <v>87</v>
      </c>
      <c r="E6486" s="6" t="s">
        <v>6636</v>
      </c>
      <c r="F6486" s="9" t="s">
        <v>14219</v>
      </c>
    </row>
    <row r="6487" ht="33.75" customHeight="1">
      <c r="A6487" s="7">
        <v>231.0</v>
      </c>
      <c r="B6487" s="9" t="s">
        <v>13187</v>
      </c>
      <c r="C6487" s="9" t="s">
        <v>346</v>
      </c>
      <c r="D6487" s="9" t="s">
        <v>89</v>
      </c>
      <c r="E6487" s="6" t="s">
        <v>6637</v>
      </c>
      <c r="F6487" s="9" t="s">
        <v>14219</v>
      </c>
    </row>
    <row r="6488" ht="33.75" customHeight="1">
      <c r="A6488" s="7">
        <v>231.0</v>
      </c>
      <c r="B6488" s="9" t="s">
        <v>13187</v>
      </c>
      <c r="C6488" s="9" t="s">
        <v>346</v>
      </c>
      <c r="D6488" s="9" t="s">
        <v>91</v>
      </c>
      <c r="E6488" s="6" t="s">
        <v>6634</v>
      </c>
      <c r="F6488" s="9" t="s">
        <v>14219</v>
      </c>
    </row>
    <row r="6489" ht="33.75" customHeight="1">
      <c r="A6489" s="7">
        <v>231.0</v>
      </c>
      <c r="B6489" s="9" t="s">
        <v>13187</v>
      </c>
      <c r="C6489" s="9" t="s">
        <v>346</v>
      </c>
      <c r="D6489" s="9" t="s">
        <v>93</v>
      </c>
      <c r="E6489" s="6" t="s">
        <v>6636</v>
      </c>
      <c r="F6489" s="9" t="s">
        <v>14219</v>
      </c>
    </row>
    <row r="6490" ht="33.75" customHeight="1">
      <c r="A6490" s="7">
        <v>231.0</v>
      </c>
      <c r="B6490" s="9" t="s">
        <v>13187</v>
      </c>
      <c r="C6490" s="9" t="s">
        <v>346</v>
      </c>
      <c r="D6490" s="9" t="s">
        <v>95</v>
      </c>
      <c r="E6490" s="6" t="s">
        <v>6636</v>
      </c>
      <c r="F6490" s="9" t="s">
        <v>14219</v>
      </c>
    </row>
    <row r="6491" ht="33.75" customHeight="1">
      <c r="A6491" s="7">
        <v>231.0</v>
      </c>
      <c r="B6491" s="9" t="s">
        <v>13187</v>
      </c>
      <c r="C6491" s="9" t="s">
        <v>346</v>
      </c>
      <c r="D6491" s="9" t="s">
        <v>98</v>
      </c>
      <c r="E6491" s="6" t="s">
        <v>6636</v>
      </c>
      <c r="F6491" s="9" t="s">
        <v>14219</v>
      </c>
    </row>
    <row r="6492" ht="33.75" customHeight="1">
      <c r="A6492" s="7">
        <v>231.0</v>
      </c>
      <c r="B6492" s="9" t="s">
        <v>13187</v>
      </c>
      <c r="C6492" s="9" t="s">
        <v>346</v>
      </c>
      <c r="D6492" s="9" t="s">
        <v>99</v>
      </c>
      <c r="E6492" s="6" t="s">
        <v>6636</v>
      </c>
      <c r="F6492" s="9" t="s">
        <v>14219</v>
      </c>
    </row>
    <row r="6493" ht="33.75" customHeight="1">
      <c r="A6493" s="7">
        <v>231.0</v>
      </c>
      <c r="B6493" s="9" t="s">
        <v>13187</v>
      </c>
      <c r="C6493" s="9" t="s">
        <v>346</v>
      </c>
      <c r="D6493" s="9" t="s">
        <v>101</v>
      </c>
      <c r="E6493" s="6" t="s">
        <v>6634</v>
      </c>
      <c r="F6493" s="9" t="s">
        <v>14219</v>
      </c>
    </row>
    <row r="6494" ht="33.75" customHeight="1">
      <c r="A6494" s="7">
        <v>231.0</v>
      </c>
      <c r="B6494" s="9" t="s">
        <v>13187</v>
      </c>
      <c r="C6494" s="9" t="s">
        <v>346</v>
      </c>
      <c r="D6494" s="9" t="s">
        <v>105</v>
      </c>
      <c r="E6494" s="6" t="s">
        <v>6636</v>
      </c>
      <c r="F6494" s="9" t="s">
        <v>14219</v>
      </c>
    </row>
    <row r="6495" ht="33.75" customHeight="1">
      <c r="A6495" s="7">
        <v>231.0</v>
      </c>
      <c r="B6495" s="9" t="s">
        <v>13187</v>
      </c>
      <c r="C6495" s="9" t="s">
        <v>346</v>
      </c>
      <c r="D6495" s="9" t="s">
        <v>107</v>
      </c>
      <c r="E6495" s="6" t="s">
        <v>6638</v>
      </c>
      <c r="F6495" s="9" t="s">
        <v>14219</v>
      </c>
    </row>
    <row r="6496" ht="33.75" customHeight="1">
      <c r="A6496" s="7">
        <v>231.0</v>
      </c>
      <c r="B6496" s="9" t="s">
        <v>13187</v>
      </c>
      <c r="C6496" s="9" t="s">
        <v>346</v>
      </c>
      <c r="D6496" s="9" t="s">
        <v>109</v>
      </c>
      <c r="E6496" s="6" t="s">
        <v>6639</v>
      </c>
      <c r="F6496" s="9" t="s">
        <v>14219</v>
      </c>
    </row>
    <row r="6497" ht="33.75" customHeight="1">
      <c r="A6497" s="7">
        <v>232.0</v>
      </c>
      <c r="B6497" s="9" t="s">
        <v>13243</v>
      </c>
      <c r="C6497" s="9" t="s">
        <v>347</v>
      </c>
      <c r="D6497" s="9" t="s">
        <v>52</v>
      </c>
      <c r="E6497" s="6" t="s">
        <v>6640</v>
      </c>
      <c r="F6497" s="9" t="s">
        <v>14237</v>
      </c>
      <c r="G6497" t="inlineStr" s="6">
        <is>
          <t xml:space="preserve">Donphan has sharp, hard tusks and a rugged hide. Its TACKLE is strong enough to knock down a house. The longer and bigger its tusks, the higher its rank in its herd. The tusks take long to grow. Because this POKéMON's skin is so tough, a normal attack won't even leave a scratch on it. DONPHAN’s favorite attack is curling its body into a ball, then charging at its foe while rolling at high speed. Once it starts rolling, this POKéMON can’t stop very easily. If DONPHAN were to tackle with its hard body, even a house could be destroyed. Using its massive strength, the POKéMON helps clear rock and mud slides that block mountain trails. A DONPHAN is so strong it can easily haul a dump truck. Its hide has toughened to a rock-hard state. An ordinary sort of attack won’t even leave a scratch. The tusks take a long time to grow. It attacks by curling up, then rolling into its foe. It can blow apart a house in one hit. It attacks by curling up then rolling into its foe.</t>
        </is>
      </c>
    </row>
    <row r="6498" ht="33.75" customHeight="1">
      <c r="A6498" s="7">
        <v>232.0</v>
      </c>
      <c r="B6498" s="9" t="s">
        <v>13243</v>
      </c>
      <c r="C6498" s="9" t="s">
        <v>347</v>
      </c>
      <c r="D6498" s="9" t="s">
        <v>59</v>
      </c>
      <c r="E6498" s="6" t="s">
        <v>6642</v>
      </c>
      <c r="F6498" s="9" t="s">
        <v>14237</v>
      </c>
    </row>
    <row r="6499" ht="33.75" customHeight="1">
      <c r="A6499" s="7">
        <v>232.0</v>
      </c>
      <c r="B6499" s="9" t="s">
        <v>13243</v>
      </c>
      <c r="C6499" s="9" t="s">
        <v>347</v>
      </c>
      <c r="D6499" s="9" t="s">
        <v>64</v>
      </c>
      <c r="E6499" s="6" t="s">
        <v>6643</v>
      </c>
      <c r="F6499" s="9" t="s">
        <v>14237</v>
      </c>
    </row>
    <row r="6500" ht="33.75" customHeight="1">
      <c r="A6500" s="7">
        <v>232.0</v>
      </c>
      <c r="B6500" s="9" t="s">
        <v>13243</v>
      </c>
      <c r="C6500" s="9" t="s">
        <v>347</v>
      </c>
      <c r="D6500" s="9" t="s">
        <v>67</v>
      </c>
      <c r="E6500" s="6" t="s">
        <v>6644</v>
      </c>
      <c r="F6500" s="9" t="s">
        <v>14237</v>
      </c>
    </row>
    <row r="6501" ht="33.75" customHeight="1">
      <c r="A6501" s="7">
        <v>232.0</v>
      </c>
      <c r="B6501" s="9" t="s">
        <v>13243</v>
      </c>
      <c r="C6501" s="9" t="s">
        <v>347</v>
      </c>
      <c r="D6501" s="9" t="s">
        <v>71</v>
      </c>
      <c r="E6501" s="6" t="s">
        <v>6646</v>
      </c>
      <c r="F6501" s="9" t="s">
        <v>14237</v>
      </c>
    </row>
    <row r="6502" ht="33.75" customHeight="1">
      <c r="A6502" s="7">
        <v>232.0</v>
      </c>
      <c r="B6502" s="9" t="s">
        <v>13243</v>
      </c>
      <c r="C6502" s="9" t="s">
        <v>347</v>
      </c>
      <c r="D6502" s="9" t="s">
        <v>73</v>
      </c>
      <c r="E6502" s="6" t="s">
        <v>6648</v>
      </c>
      <c r="F6502" s="9" t="s">
        <v>14237</v>
      </c>
    </row>
    <row r="6503" ht="33.75" customHeight="1">
      <c r="A6503" s="7">
        <v>232.0</v>
      </c>
      <c r="B6503" s="9" t="s">
        <v>13243</v>
      </c>
      <c r="C6503" s="9" t="s">
        <v>347</v>
      </c>
      <c r="D6503" s="9" t="s">
        <v>75</v>
      </c>
      <c r="E6503" s="6" t="s">
        <v>6650</v>
      </c>
      <c r="F6503" s="9" t="s">
        <v>14237</v>
      </c>
    </row>
    <row r="6504" ht="33.75" customHeight="1">
      <c r="A6504" s="7">
        <v>232.0</v>
      </c>
      <c r="B6504" s="9" t="s">
        <v>13243</v>
      </c>
      <c r="C6504" s="9" t="s">
        <v>347</v>
      </c>
      <c r="D6504" s="9" t="s">
        <v>79</v>
      </c>
      <c r="E6504" s="6" t="s">
        <v>6640</v>
      </c>
      <c r="F6504" s="9" t="s">
        <v>14237</v>
      </c>
    </row>
    <row r="6505" ht="33.75" customHeight="1">
      <c r="A6505" s="7">
        <v>232.0</v>
      </c>
      <c r="B6505" s="9" t="s">
        <v>13243</v>
      </c>
      <c r="C6505" s="9" t="s">
        <v>347</v>
      </c>
      <c r="D6505" s="9" t="s">
        <v>81</v>
      </c>
      <c r="E6505" s="6" t="s">
        <v>6651</v>
      </c>
      <c r="F6505" s="9" t="s">
        <v>14237</v>
      </c>
    </row>
    <row r="6506" ht="33.75" customHeight="1">
      <c r="A6506" s="7">
        <v>232.0</v>
      </c>
      <c r="B6506" s="9" t="s">
        <v>13243</v>
      </c>
      <c r="C6506" s="9" t="s">
        <v>347</v>
      </c>
      <c r="D6506" s="9" t="s">
        <v>84</v>
      </c>
      <c r="E6506" s="6" t="s">
        <v>6651</v>
      </c>
      <c r="F6506" s="9" t="s">
        <v>14237</v>
      </c>
    </row>
    <row r="6507" ht="33.75" customHeight="1">
      <c r="A6507" s="7">
        <v>232.0</v>
      </c>
      <c r="B6507" s="9" t="s">
        <v>13243</v>
      </c>
      <c r="C6507" s="9" t="s">
        <v>347</v>
      </c>
      <c r="D6507" s="9" t="s">
        <v>87</v>
      </c>
      <c r="E6507" s="6" t="s">
        <v>6651</v>
      </c>
      <c r="F6507" s="9" t="s">
        <v>14237</v>
      </c>
    </row>
    <row r="6508" ht="33.75" customHeight="1">
      <c r="A6508" s="7">
        <v>232.0</v>
      </c>
      <c r="B6508" s="9" t="s">
        <v>13243</v>
      </c>
      <c r="C6508" s="9" t="s">
        <v>347</v>
      </c>
      <c r="D6508" s="9" t="s">
        <v>89</v>
      </c>
      <c r="E6508" s="6" t="s">
        <v>6653</v>
      </c>
      <c r="F6508" s="9" t="s">
        <v>14237</v>
      </c>
    </row>
    <row r="6509" ht="33.75" customHeight="1">
      <c r="A6509" s="7">
        <v>232.0</v>
      </c>
      <c r="B6509" s="9" t="s">
        <v>13243</v>
      </c>
      <c r="C6509" s="9" t="s">
        <v>347</v>
      </c>
      <c r="D6509" s="9" t="s">
        <v>91</v>
      </c>
      <c r="E6509" s="6" t="s">
        <v>6642</v>
      </c>
      <c r="F6509" s="9" t="s">
        <v>14237</v>
      </c>
    </row>
    <row r="6510" ht="33.75" customHeight="1">
      <c r="A6510" s="7">
        <v>232.0</v>
      </c>
      <c r="B6510" s="9" t="s">
        <v>13243</v>
      </c>
      <c r="C6510" s="9" t="s">
        <v>347</v>
      </c>
      <c r="D6510" s="9" t="s">
        <v>93</v>
      </c>
      <c r="E6510" s="6" t="s">
        <v>6651</v>
      </c>
      <c r="F6510" s="9" t="s">
        <v>14237</v>
      </c>
    </row>
    <row r="6511" ht="33.75" customHeight="1">
      <c r="A6511" s="7">
        <v>232.0</v>
      </c>
      <c r="B6511" s="9" t="s">
        <v>13243</v>
      </c>
      <c r="C6511" s="9" t="s">
        <v>347</v>
      </c>
      <c r="D6511" s="9" t="s">
        <v>95</v>
      </c>
      <c r="E6511" s="6" t="s">
        <v>6651</v>
      </c>
      <c r="F6511" s="9" t="s">
        <v>14237</v>
      </c>
    </row>
    <row r="6512" ht="33.75" customHeight="1">
      <c r="A6512" s="7">
        <v>232.0</v>
      </c>
      <c r="B6512" s="9" t="s">
        <v>13243</v>
      </c>
      <c r="C6512" s="9" t="s">
        <v>347</v>
      </c>
      <c r="D6512" s="9" t="s">
        <v>98</v>
      </c>
      <c r="E6512" s="6" t="s">
        <v>6654</v>
      </c>
      <c r="F6512" s="9" t="s">
        <v>14237</v>
      </c>
    </row>
    <row r="6513" ht="33.75" customHeight="1">
      <c r="A6513" s="7">
        <v>232.0</v>
      </c>
      <c r="B6513" s="9" t="s">
        <v>13243</v>
      </c>
      <c r="C6513" s="9" t="s">
        <v>347</v>
      </c>
      <c r="D6513" s="9" t="s">
        <v>99</v>
      </c>
      <c r="E6513" s="6" t="s">
        <v>6654</v>
      </c>
      <c r="F6513" s="9" t="s">
        <v>14237</v>
      </c>
    </row>
    <row r="6514" ht="33.75" customHeight="1">
      <c r="A6514" s="7">
        <v>232.0</v>
      </c>
      <c r="B6514" s="9" t="s">
        <v>13243</v>
      </c>
      <c r="C6514" s="9" t="s">
        <v>347</v>
      </c>
      <c r="D6514" s="9" t="s">
        <v>101</v>
      </c>
      <c r="E6514" s="6" t="s">
        <v>6655</v>
      </c>
      <c r="F6514" s="9" t="s">
        <v>14237</v>
      </c>
    </row>
    <row r="6515" ht="33.75" customHeight="1">
      <c r="A6515" s="7">
        <v>232.0</v>
      </c>
      <c r="B6515" s="9" t="s">
        <v>13243</v>
      </c>
      <c r="C6515" s="9" t="s">
        <v>347</v>
      </c>
      <c r="D6515" s="9" t="s">
        <v>105</v>
      </c>
      <c r="E6515" s="6" t="s">
        <v>6642</v>
      </c>
      <c r="F6515" s="9" t="s">
        <v>14237</v>
      </c>
    </row>
    <row r="6516" ht="33.75" customHeight="1">
      <c r="A6516" s="7">
        <v>232.0</v>
      </c>
      <c r="B6516" s="9" t="s">
        <v>13243</v>
      </c>
      <c r="C6516" s="9" t="s">
        <v>347</v>
      </c>
      <c r="D6516" s="9" t="s">
        <v>107</v>
      </c>
      <c r="E6516" s="6" t="s">
        <v>6656</v>
      </c>
      <c r="F6516" s="9" t="s">
        <v>14237</v>
      </c>
    </row>
    <row r="6517" ht="33.75" customHeight="1">
      <c r="A6517" s="7">
        <v>232.0</v>
      </c>
      <c r="B6517" s="9" t="s">
        <v>13243</v>
      </c>
      <c r="C6517" s="9" t="s">
        <v>347</v>
      </c>
      <c r="D6517" s="9" t="s">
        <v>109</v>
      </c>
      <c r="E6517" s="6" t="s">
        <v>6658</v>
      </c>
      <c r="F6517" s="9" t="s">
        <v>14237</v>
      </c>
    </row>
    <row r="6518" ht="33.75" customHeight="1">
      <c r="A6518" s="7">
        <v>233.0</v>
      </c>
      <c r="B6518" s="9" t="s">
        <v>13296</v>
      </c>
      <c r="C6518" s="9" t="s">
        <v>224</v>
      </c>
      <c r="D6518" s="9" t="s">
        <v>52</v>
      </c>
      <c r="E6518" s="6" t="s">
        <v>6660</v>
      </c>
      <c r="F6518" s="9" t="s">
        <v>14252</v>
      </c>
      <c r="G6518" t="inlineStr" s="6">
        <is>
          <t xml:space="preserve">This upgraded version of PORYGON is designed for space exploration. It can't fly, though. Further research enhanced its abilities. Sometimes, it may exhibit motions that were not programmed. This manmade POKéMON evolved from the latest technology. It may have unprog rammed reactions. PORYGON2 was created by humans using the power of science. The man-made POKéMON has been endowed with artificial intelligence that enables it to learn new gestures and emotions on its own. It was created by humans using the power of science. It has been given artificial intelligence that enables it to learn new gestures and emotions on its own. However, it can’t even fly. With planetary development software installed, it became capable of working in space. It was upgraded to enable the exploration of other planets. However, it failed to measure up. It can’t fly, however. For the purposes of planetary development, Porygon was updated with the most cutting-edge technology available. Porygon was updated to a new version in readiness for planetary development. But that dream remains unrealized as yet. AI has been installed in it. It learns various things all on its own, but it even remembers things it doesn’t need to know. Even though it doesn’t die in the vacuum of space, it can’t move around very well in zero gravity. This is a Porygon that was updated with special data. Porygon2 develops itself by learning about many different subjects all on its own. After artificial intelligence was implemented in Porygon2, the Pokémon began using a strange language that only other Porygon2 understand. A bizarre item caused this Pokémon to evolve. While it now exhibits many new gestures and expressions, its biology remains inscrutable.</t>
        </is>
      </c>
    </row>
    <row r="6519" ht="33.75" customHeight="1">
      <c r="A6519" s="7">
        <v>233.0</v>
      </c>
      <c r="B6519" s="9" t="s">
        <v>13296</v>
      </c>
      <c r="C6519" s="9" t="s">
        <v>224</v>
      </c>
      <c r="D6519" s="9" t="s">
        <v>59</v>
      </c>
      <c r="E6519" s="6" t="s">
        <v>6662</v>
      </c>
      <c r="F6519" s="9" t="s">
        <v>14252</v>
      </c>
    </row>
    <row r="6520" ht="33.75" customHeight="1">
      <c r="A6520" s="7">
        <v>233.0</v>
      </c>
      <c r="B6520" s="9" t="s">
        <v>13296</v>
      </c>
      <c r="C6520" s="9" t="s">
        <v>224</v>
      </c>
      <c r="D6520" s="9" t="s">
        <v>64</v>
      </c>
      <c r="E6520" s="6" t="s">
        <v>6664</v>
      </c>
      <c r="F6520" s="9" t="s">
        <v>14252</v>
      </c>
    </row>
    <row r="6521" ht="33.75" customHeight="1">
      <c r="A6521" s="7">
        <v>233.0</v>
      </c>
      <c r="B6521" s="9" t="s">
        <v>13296</v>
      </c>
      <c r="C6521" s="9" t="s">
        <v>224</v>
      </c>
      <c r="D6521" s="9" t="s">
        <v>67</v>
      </c>
      <c r="E6521" s="6" t="s">
        <v>6666</v>
      </c>
      <c r="F6521" s="9" t="s">
        <v>14252</v>
      </c>
    </row>
    <row r="6522" ht="33.75" customHeight="1">
      <c r="A6522" s="7">
        <v>233.0</v>
      </c>
      <c r="B6522" s="9" t="s">
        <v>13296</v>
      </c>
      <c r="C6522" s="9" t="s">
        <v>224</v>
      </c>
      <c r="D6522" s="9" t="s">
        <v>71</v>
      </c>
      <c r="E6522" s="6" t="s">
        <v>6666</v>
      </c>
      <c r="F6522" s="9" t="s">
        <v>14252</v>
      </c>
    </row>
    <row r="6523" ht="33.75" customHeight="1">
      <c r="A6523" s="7">
        <v>233.0</v>
      </c>
      <c r="B6523" s="9" t="s">
        <v>13296</v>
      </c>
      <c r="C6523" s="9" t="s">
        <v>224</v>
      </c>
      <c r="D6523" s="9" t="s">
        <v>73</v>
      </c>
      <c r="E6523" s="6" t="s">
        <v>6667</v>
      </c>
      <c r="F6523" s="9" t="s">
        <v>14252</v>
      </c>
    </row>
    <row r="6524" ht="33.75" customHeight="1">
      <c r="A6524" s="7">
        <v>233.0</v>
      </c>
      <c r="B6524" s="9" t="s">
        <v>13296</v>
      </c>
      <c r="C6524" s="9" t="s">
        <v>224</v>
      </c>
      <c r="D6524" s="9" t="s">
        <v>75</v>
      </c>
      <c r="E6524" s="6" t="s">
        <v>6668</v>
      </c>
      <c r="F6524" s="9" t="s">
        <v>14252</v>
      </c>
    </row>
    <row r="6525" ht="33.75" customHeight="1">
      <c r="A6525" s="7">
        <v>233.0</v>
      </c>
      <c r="B6525" s="9" t="s">
        <v>13296</v>
      </c>
      <c r="C6525" s="9" t="s">
        <v>224</v>
      </c>
      <c r="D6525" s="9" t="s">
        <v>79</v>
      </c>
      <c r="E6525" s="6" t="s">
        <v>6669</v>
      </c>
      <c r="F6525" s="9" t="s">
        <v>14252</v>
      </c>
    </row>
    <row r="6526" ht="33.75" customHeight="1">
      <c r="A6526" s="7">
        <v>233.0</v>
      </c>
      <c r="B6526" s="9" t="s">
        <v>13296</v>
      </c>
      <c r="C6526" s="9" t="s">
        <v>224</v>
      </c>
      <c r="D6526" s="9" t="s">
        <v>81</v>
      </c>
      <c r="E6526" s="6" t="s">
        <v>6670</v>
      </c>
      <c r="F6526" s="9" t="s">
        <v>14252</v>
      </c>
    </row>
    <row r="6527" ht="33.75" customHeight="1">
      <c r="A6527" s="7">
        <v>233.0</v>
      </c>
      <c r="B6527" s="9" t="s">
        <v>13296</v>
      </c>
      <c r="C6527" s="9" t="s">
        <v>224</v>
      </c>
      <c r="D6527" s="9" t="s">
        <v>84</v>
      </c>
      <c r="E6527" s="6" t="s">
        <v>6670</v>
      </c>
      <c r="F6527" s="9" t="s">
        <v>14252</v>
      </c>
    </row>
    <row r="6528" ht="33.75" customHeight="1">
      <c r="A6528" s="7">
        <v>233.0</v>
      </c>
      <c r="B6528" s="9" t="s">
        <v>13296</v>
      </c>
      <c r="C6528" s="9" t="s">
        <v>224</v>
      </c>
      <c r="D6528" s="9" t="s">
        <v>87</v>
      </c>
      <c r="E6528" s="6" t="s">
        <v>6672</v>
      </c>
      <c r="F6528" s="9" t="s">
        <v>14252</v>
      </c>
    </row>
    <row r="6529" ht="33.75" customHeight="1">
      <c r="A6529" s="7">
        <v>233.0</v>
      </c>
      <c r="B6529" s="9" t="s">
        <v>13296</v>
      </c>
      <c r="C6529" s="9" t="s">
        <v>224</v>
      </c>
      <c r="D6529" s="9" t="s">
        <v>89</v>
      </c>
      <c r="E6529" s="6" t="s">
        <v>6674</v>
      </c>
      <c r="F6529" s="9" t="s">
        <v>14252</v>
      </c>
    </row>
    <row r="6530" ht="33.75" customHeight="1">
      <c r="A6530" s="7">
        <v>233.0</v>
      </c>
      <c r="B6530" s="9" t="s">
        <v>13296</v>
      </c>
      <c r="C6530" s="9" t="s">
        <v>224</v>
      </c>
      <c r="D6530" s="9" t="s">
        <v>91</v>
      </c>
      <c r="E6530" s="6" t="s">
        <v>6668</v>
      </c>
      <c r="F6530" s="9" t="s">
        <v>14252</v>
      </c>
    </row>
    <row r="6531" ht="33.75" customHeight="1">
      <c r="A6531" s="7">
        <v>233.0</v>
      </c>
      <c r="B6531" s="9" t="s">
        <v>13296</v>
      </c>
      <c r="C6531" s="9" t="s">
        <v>224</v>
      </c>
      <c r="D6531" s="9" t="s">
        <v>93</v>
      </c>
      <c r="E6531" s="6" t="s">
        <v>6672</v>
      </c>
      <c r="F6531" s="9" t="s">
        <v>14252</v>
      </c>
    </row>
    <row r="6532" ht="33.75" customHeight="1">
      <c r="A6532" s="7">
        <v>233.0</v>
      </c>
      <c r="B6532" s="9" t="s">
        <v>13296</v>
      </c>
      <c r="C6532" s="9" t="s">
        <v>224</v>
      </c>
      <c r="D6532" s="9" t="s">
        <v>95</v>
      </c>
      <c r="E6532" s="6" t="s">
        <v>6672</v>
      </c>
      <c r="F6532" s="9" t="s">
        <v>14252</v>
      </c>
    </row>
    <row r="6533" ht="33.75" customHeight="1">
      <c r="A6533" s="7">
        <v>233.0</v>
      </c>
      <c r="B6533" s="9" t="s">
        <v>13296</v>
      </c>
      <c r="C6533" s="9" t="s">
        <v>224</v>
      </c>
      <c r="D6533" s="9" t="s">
        <v>98</v>
      </c>
      <c r="E6533" s="6" t="s">
        <v>6672</v>
      </c>
      <c r="F6533" s="9" t="s">
        <v>14252</v>
      </c>
    </row>
    <row r="6534" ht="33.75" customHeight="1">
      <c r="A6534" s="7">
        <v>233.0</v>
      </c>
      <c r="B6534" s="9" t="s">
        <v>13296</v>
      </c>
      <c r="C6534" s="9" t="s">
        <v>224</v>
      </c>
      <c r="D6534" s="9" t="s">
        <v>99</v>
      </c>
      <c r="E6534" s="6" t="s">
        <v>6672</v>
      </c>
      <c r="F6534" s="9" t="s">
        <v>14252</v>
      </c>
    </row>
    <row r="6535" ht="33.75" customHeight="1">
      <c r="A6535" s="7">
        <v>233.0</v>
      </c>
      <c r="B6535" s="9" t="s">
        <v>13296</v>
      </c>
      <c r="C6535" s="9" t="s">
        <v>224</v>
      </c>
      <c r="D6535" s="9" t="s">
        <v>101</v>
      </c>
      <c r="E6535" s="6" t="s">
        <v>6668</v>
      </c>
      <c r="F6535" s="9" t="s">
        <v>14252</v>
      </c>
    </row>
    <row r="6536" ht="33.75" customHeight="1">
      <c r="A6536" s="7">
        <v>233.0</v>
      </c>
      <c r="B6536" s="9" t="s">
        <v>13296</v>
      </c>
      <c r="C6536" s="9" t="s">
        <v>224</v>
      </c>
      <c r="D6536" s="9" t="s">
        <v>105</v>
      </c>
      <c r="E6536" s="6" t="s">
        <v>6670</v>
      </c>
      <c r="F6536" s="9" t="s">
        <v>14252</v>
      </c>
    </row>
    <row r="6537" ht="33.75" customHeight="1">
      <c r="A6537" s="7">
        <v>233.0</v>
      </c>
      <c r="B6537" s="9" t="s">
        <v>13296</v>
      </c>
      <c r="C6537" s="9" t="s">
        <v>224</v>
      </c>
      <c r="D6537" s="9" t="s">
        <v>107</v>
      </c>
      <c r="E6537" s="6" t="s">
        <v>6675</v>
      </c>
      <c r="F6537" s="9" t="s">
        <v>14252</v>
      </c>
    </row>
    <row r="6538" ht="33.75" customHeight="1">
      <c r="A6538" s="7">
        <v>233.0</v>
      </c>
      <c r="B6538" s="9" t="s">
        <v>13296</v>
      </c>
      <c r="C6538" s="9" t="s">
        <v>224</v>
      </c>
      <c r="D6538" s="9" t="s">
        <v>109</v>
      </c>
      <c r="E6538" s="6" t="s">
        <v>6675</v>
      </c>
      <c r="F6538" s="9" t="s">
        <v>14252</v>
      </c>
    </row>
    <row r="6539" ht="33.75" customHeight="1">
      <c r="A6539" s="7">
        <v>233.0</v>
      </c>
      <c r="B6539" s="9" t="s">
        <v>13296</v>
      </c>
      <c r="C6539" s="9" t="s">
        <v>224</v>
      </c>
      <c r="D6539" s="9" t="s">
        <v>637</v>
      </c>
      <c r="E6539" s="6" t="s">
        <v>6677</v>
      </c>
      <c r="F6539" s="9" t="s">
        <v>14252</v>
      </c>
    </row>
    <row r="6540" ht="33.75" customHeight="1">
      <c r="A6540" s="7">
        <v>233.0</v>
      </c>
      <c r="B6540" s="9" t="s">
        <v>13296</v>
      </c>
      <c r="C6540" s="9" t="s">
        <v>224</v>
      </c>
      <c r="D6540" s="9" t="s">
        <v>642</v>
      </c>
      <c r="E6540" s="6" t="s">
        <v>6679</v>
      </c>
      <c r="F6540" s="9" t="s">
        <v>14252</v>
      </c>
    </row>
    <row r="6541" ht="33.75" customHeight="1">
      <c r="A6541" s="7">
        <v>233.0</v>
      </c>
      <c r="B6541" s="9" t="s">
        <v>13296</v>
      </c>
      <c r="C6541" s="9" t="s">
        <v>224</v>
      </c>
      <c r="D6541" s="9" t="s">
        <v>647</v>
      </c>
      <c r="E6541" s="6" t="s">
        <v>6680</v>
      </c>
      <c r="F6541" s="9" t="s">
        <v>14252</v>
      </c>
    </row>
    <row r="6542" ht="33.75" customHeight="1">
      <c r="A6542" s="7">
        <v>233.0</v>
      </c>
      <c r="B6542" s="9" t="s">
        <v>13296</v>
      </c>
      <c r="C6542" s="9" t="s">
        <v>224</v>
      </c>
      <c r="D6542" s="9" t="s">
        <v>652</v>
      </c>
      <c r="E6542" s="6" t="s">
        <v>6682</v>
      </c>
      <c r="F6542" s="9" t="s">
        <v>14252</v>
      </c>
    </row>
    <row r="6543" ht="33.75" customHeight="1">
      <c r="A6543" s="7">
        <v>233.0</v>
      </c>
      <c r="B6543" s="9" t="s">
        <v>13296</v>
      </c>
      <c r="C6543" s="9" t="s">
        <v>224</v>
      </c>
      <c r="D6543" s="9" t="s">
        <v>114</v>
      </c>
      <c r="E6543" s="6" t="s">
        <v>6683</v>
      </c>
      <c r="F6543" s="9" t="s">
        <v>14252</v>
      </c>
    </row>
    <row r="6544" ht="33.75" customHeight="1">
      <c r="A6544" s="7">
        <v>233.0</v>
      </c>
      <c r="B6544" s="9" t="s">
        <v>13296</v>
      </c>
      <c r="C6544" s="9" t="s">
        <v>224</v>
      </c>
      <c r="D6544" s="9" t="s">
        <v>117</v>
      </c>
      <c r="E6544" s="6" t="s">
        <v>6684</v>
      </c>
      <c r="F6544" s="9" t="s">
        <v>14252</v>
      </c>
    </row>
    <row r="6545" ht="33.75" customHeight="1">
      <c r="A6545" s="7">
        <v>233.0</v>
      </c>
      <c r="B6545" s="9" t="s">
        <v>13296</v>
      </c>
      <c r="C6545" s="9" t="s">
        <v>224</v>
      </c>
      <c r="D6545" s="9" t="s">
        <v>1577</v>
      </c>
      <c r="E6545" s="6" t="s">
        <v>6685</v>
      </c>
      <c r="F6545" s="9" t="s">
        <v>14252</v>
      </c>
    </row>
    <row r="6546" ht="33.75" customHeight="1">
      <c r="A6546" s="7">
        <v>234.0</v>
      </c>
      <c r="B6546" s="9" t="s">
        <v>13350</v>
      </c>
      <c r="C6546" s="9" t="s">
        <v>349</v>
      </c>
      <c r="D6546" s="9" t="s">
        <v>52</v>
      </c>
      <c r="E6546" s="6" t="s">
        <v>6687</v>
      </c>
      <c r="F6546" s="9" t="s">
        <v>14267</v>
      </c>
      <c r="G6546" t="inlineStr" s="6">
        <is>
          <t xml:space="preserve">The curved antlers subtly change the flow of air to create a strange space where real ity is distorted. Those who stare at its antlers will gradually lose control of their senses and be unable to stand. The round balls found on the fallen antlers can be ground into a powder that aids in sleeping. STANTLER’s magnificent antlers were traded at high prices as works of art. As a result, this POKéMON was hunted close to extinction by those who were after the priceless antlers. STANTLER’s magnificent antlers were once traded at high prices as works of art. As a result, this POKéMON was hunted close to extinction. Its curved antlers subtly change the flow of air to create a strange space where reality is distorted. Staring at its antlers creates an odd sensation as if one were being drawn into their centers. The curved antlers subtly change the flow of air to create a strange space where reality is distorted. Its strangely shaped antlers have the power to bewitch those who see them. Medicine made by grinding up the black orbs from fallen antlers is an effective treatment for insomnia.</t>
        </is>
      </c>
    </row>
    <row r="6547" ht="33.75" customHeight="1">
      <c r="A6547" s="7">
        <v>234.0</v>
      </c>
      <c r="B6547" s="9" t="s">
        <v>13350</v>
      </c>
      <c r="C6547" s="9" t="s">
        <v>349</v>
      </c>
      <c r="D6547" s="9" t="s">
        <v>59</v>
      </c>
      <c r="E6547" s="6" t="s">
        <v>6689</v>
      </c>
      <c r="F6547" s="9" t="s">
        <v>14267</v>
      </c>
    </row>
    <row r="6548" ht="33.75" customHeight="1">
      <c r="A6548" s="7">
        <v>234.0</v>
      </c>
      <c r="B6548" s="9" t="s">
        <v>13350</v>
      </c>
      <c r="C6548" s="9" t="s">
        <v>349</v>
      </c>
      <c r="D6548" s="9" t="s">
        <v>64</v>
      </c>
      <c r="E6548" s="6" t="s">
        <v>6690</v>
      </c>
      <c r="F6548" s="9" t="s">
        <v>14267</v>
      </c>
    </row>
    <row r="6549" ht="33.75" customHeight="1">
      <c r="A6549" s="7">
        <v>234.0</v>
      </c>
      <c r="B6549" s="9" t="s">
        <v>13350</v>
      </c>
      <c r="C6549" s="9" t="s">
        <v>349</v>
      </c>
      <c r="D6549" s="9" t="s">
        <v>67</v>
      </c>
      <c r="E6549" s="6" t="s">
        <v>6691</v>
      </c>
      <c r="F6549" s="9" t="s">
        <v>14267</v>
      </c>
    </row>
    <row r="6550" ht="33.75" customHeight="1">
      <c r="A6550" s="7">
        <v>234.0</v>
      </c>
      <c r="B6550" s="9" t="s">
        <v>13350</v>
      </c>
      <c r="C6550" s="9" t="s">
        <v>349</v>
      </c>
      <c r="D6550" s="9" t="s">
        <v>71</v>
      </c>
      <c r="E6550" s="6" t="s">
        <v>6691</v>
      </c>
      <c r="F6550" s="9" t="s">
        <v>14267</v>
      </c>
    </row>
    <row r="6551" ht="33.75" customHeight="1">
      <c r="A6551" s="7">
        <v>234.0</v>
      </c>
      <c r="B6551" s="9" t="s">
        <v>13350</v>
      </c>
      <c r="C6551" s="9" t="s">
        <v>349</v>
      </c>
      <c r="D6551" s="9" t="s">
        <v>73</v>
      </c>
      <c r="E6551" s="6" t="s">
        <v>6693</v>
      </c>
      <c r="F6551" s="9" t="s">
        <v>14267</v>
      </c>
    </row>
    <row r="6552" ht="33.75" customHeight="1">
      <c r="A6552" s="7">
        <v>234.0</v>
      </c>
      <c r="B6552" s="9" t="s">
        <v>13350</v>
      </c>
      <c r="C6552" s="9" t="s">
        <v>349</v>
      </c>
      <c r="D6552" s="9" t="s">
        <v>75</v>
      </c>
      <c r="E6552" s="6" t="s">
        <v>6689</v>
      </c>
      <c r="F6552" s="9" t="s">
        <v>14267</v>
      </c>
    </row>
    <row r="6553" ht="33.75" customHeight="1">
      <c r="A6553" s="7">
        <v>234.0</v>
      </c>
      <c r="B6553" s="9" t="s">
        <v>13350</v>
      </c>
      <c r="C6553" s="9" t="s">
        <v>349</v>
      </c>
      <c r="D6553" s="9" t="s">
        <v>79</v>
      </c>
      <c r="E6553" s="6" t="s">
        <v>6694</v>
      </c>
      <c r="F6553" s="9" t="s">
        <v>14267</v>
      </c>
    </row>
    <row r="6554" ht="33.75" customHeight="1">
      <c r="A6554" s="7">
        <v>234.0</v>
      </c>
      <c r="B6554" s="9" t="s">
        <v>13350</v>
      </c>
      <c r="C6554" s="9" t="s">
        <v>349</v>
      </c>
      <c r="D6554" s="9" t="s">
        <v>81</v>
      </c>
      <c r="E6554" s="6" t="s">
        <v>6695</v>
      </c>
      <c r="F6554" s="9" t="s">
        <v>14267</v>
      </c>
    </row>
    <row r="6555" ht="33.75" customHeight="1">
      <c r="A6555" s="7">
        <v>234.0</v>
      </c>
      <c r="B6555" s="9" t="s">
        <v>13350</v>
      </c>
      <c r="C6555" s="9" t="s">
        <v>349</v>
      </c>
      <c r="D6555" s="9" t="s">
        <v>84</v>
      </c>
      <c r="E6555" s="6" t="s">
        <v>6695</v>
      </c>
      <c r="F6555" s="9" t="s">
        <v>14267</v>
      </c>
    </row>
    <row r="6556" ht="33.75" customHeight="1">
      <c r="A6556" s="7">
        <v>234.0</v>
      </c>
      <c r="B6556" s="9" t="s">
        <v>13350</v>
      </c>
      <c r="C6556" s="9" t="s">
        <v>349</v>
      </c>
      <c r="D6556" s="9" t="s">
        <v>87</v>
      </c>
      <c r="E6556" s="6" t="s">
        <v>6695</v>
      </c>
      <c r="F6556" s="9" t="s">
        <v>14267</v>
      </c>
    </row>
    <row r="6557" ht="33.75" customHeight="1">
      <c r="A6557" s="7">
        <v>234.0</v>
      </c>
      <c r="B6557" s="9" t="s">
        <v>13350</v>
      </c>
      <c r="C6557" s="9" t="s">
        <v>349</v>
      </c>
      <c r="D6557" s="9" t="s">
        <v>89</v>
      </c>
      <c r="E6557" s="6" t="s">
        <v>6696</v>
      </c>
      <c r="F6557" s="9" t="s">
        <v>14267</v>
      </c>
    </row>
    <row r="6558" ht="33.75" customHeight="1">
      <c r="A6558" s="7">
        <v>234.0</v>
      </c>
      <c r="B6558" s="9" t="s">
        <v>13350</v>
      </c>
      <c r="C6558" s="9" t="s">
        <v>349</v>
      </c>
      <c r="D6558" s="9" t="s">
        <v>91</v>
      </c>
      <c r="E6558" s="6" t="s">
        <v>6689</v>
      </c>
      <c r="F6558" s="9" t="s">
        <v>14267</v>
      </c>
    </row>
    <row r="6559" ht="33.75" customHeight="1">
      <c r="A6559" s="7">
        <v>234.0</v>
      </c>
      <c r="B6559" s="9" t="s">
        <v>13350</v>
      </c>
      <c r="C6559" s="9" t="s">
        <v>349</v>
      </c>
      <c r="D6559" s="9" t="s">
        <v>93</v>
      </c>
      <c r="E6559" s="6" t="s">
        <v>6695</v>
      </c>
      <c r="F6559" s="9" t="s">
        <v>14267</v>
      </c>
    </row>
    <row r="6560" ht="33.75" customHeight="1">
      <c r="A6560" s="7">
        <v>234.0</v>
      </c>
      <c r="B6560" s="9" t="s">
        <v>13350</v>
      </c>
      <c r="C6560" s="9" t="s">
        <v>349</v>
      </c>
      <c r="D6560" s="9" t="s">
        <v>95</v>
      </c>
      <c r="E6560" s="6" t="s">
        <v>6695</v>
      </c>
      <c r="F6560" s="9" t="s">
        <v>14267</v>
      </c>
    </row>
    <row r="6561" ht="33.75" customHeight="1">
      <c r="A6561" s="7">
        <v>234.0</v>
      </c>
      <c r="B6561" s="9" t="s">
        <v>13350</v>
      </c>
      <c r="C6561" s="9" t="s">
        <v>349</v>
      </c>
      <c r="D6561" s="9" t="s">
        <v>98</v>
      </c>
      <c r="E6561" s="6" t="s">
        <v>6695</v>
      </c>
      <c r="F6561" s="9" t="s">
        <v>14267</v>
      </c>
    </row>
    <row r="6562" ht="33.75" customHeight="1">
      <c r="A6562" s="7">
        <v>234.0</v>
      </c>
      <c r="B6562" s="9" t="s">
        <v>13350</v>
      </c>
      <c r="C6562" s="9" t="s">
        <v>349</v>
      </c>
      <c r="D6562" s="9" t="s">
        <v>99</v>
      </c>
      <c r="E6562" s="6" t="s">
        <v>6695</v>
      </c>
      <c r="F6562" s="9" t="s">
        <v>14267</v>
      </c>
    </row>
    <row r="6563" ht="33.75" customHeight="1">
      <c r="A6563" s="7">
        <v>234.0</v>
      </c>
      <c r="B6563" s="9" t="s">
        <v>13350</v>
      </c>
      <c r="C6563" s="9" t="s">
        <v>349</v>
      </c>
      <c r="D6563" s="9" t="s">
        <v>101</v>
      </c>
      <c r="E6563" s="6" t="s">
        <v>6695</v>
      </c>
      <c r="F6563" s="9" t="s">
        <v>14267</v>
      </c>
    </row>
    <row r="6564" ht="33.75" customHeight="1">
      <c r="A6564" s="7">
        <v>234.0</v>
      </c>
      <c r="B6564" s="9" t="s">
        <v>13350</v>
      </c>
      <c r="C6564" s="9" t="s">
        <v>349</v>
      </c>
      <c r="D6564" s="9" t="s">
        <v>105</v>
      </c>
      <c r="E6564" s="6" t="s">
        <v>6696</v>
      </c>
      <c r="F6564" s="9" t="s">
        <v>14267</v>
      </c>
    </row>
    <row r="6565" ht="33.75" customHeight="1">
      <c r="A6565" s="7">
        <v>234.0</v>
      </c>
      <c r="B6565" s="9" t="s">
        <v>13350</v>
      </c>
      <c r="C6565" s="9" t="s">
        <v>349</v>
      </c>
      <c r="D6565" s="9" t="s">
        <v>107</v>
      </c>
      <c r="E6565" s="6" t="s">
        <v>6697</v>
      </c>
      <c r="F6565" s="9" t="s">
        <v>14267</v>
      </c>
    </row>
    <row r="6566" ht="33.75" customHeight="1">
      <c r="A6566" s="7">
        <v>234.0</v>
      </c>
      <c r="B6566" s="9" t="s">
        <v>13350</v>
      </c>
      <c r="C6566" s="9" t="s">
        <v>349</v>
      </c>
      <c r="D6566" s="9" t="s">
        <v>109</v>
      </c>
      <c r="E6566" s="6" t="s">
        <v>6697</v>
      </c>
      <c r="F6566" s="9" t="s">
        <v>14267</v>
      </c>
    </row>
    <row r="6567" ht="33.75" customHeight="1">
      <c r="A6567" s="7">
        <v>234.0</v>
      </c>
      <c r="B6567" s="9" t="s">
        <v>13350</v>
      </c>
      <c r="C6567" s="9" t="s">
        <v>349</v>
      </c>
      <c r="D6567" s="9" t="s">
        <v>1577</v>
      </c>
      <c r="E6567" s="6" t="s">
        <v>6698</v>
      </c>
      <c r="F6567" s="9" t="s">
        <v>14267</v>
      </c>
    </row>
    <row r="6568" ht="33.75" customHeight="1">
      <c r="A6568" s="7">
        <v>235.0</v>
      </c>
      <c r="B6568" s="9" t="s">
        <v>13403</v>
      </c>
      <c r="C6568" s="9" t="s">
        <v>352</v>
      </c>
      <c r="D6568" s="9" t="s">
        <v>52</v>
      </c>
      <c r="E6568" s="6" t="s">
        <v>6700</v>
      </c>
      <c r="F6568" s="9" t="s">
        <v>14284</v>
      </c>
      <c r="G6568" t="inlineStr" s="6">
        <is>
          <t xml:space="preserve">A special fluid oozes from the tip of Smeargle's tail. It paints the fluid everywhere to mark its territory. Once it becomes an adult, it has a tendency to let its comrades plant footprints on its back. The color of the mysterious fluid secreted from its tail is predetermined for each SMEARGLE. SMEARGLE marks the boundaries of its territory using a body fluid that leaks out from the tip of its tail. Over 5,000 different marks left by this POKéMON have been found. A SMEARGLE marks its territory using a fluid that leaks out from the tip of its tail. About 5,000 different marks left by this POKéMON have been found. It marks its territory by using its tail like a paintbrush. There are more than 5,000 different marks. The unique creations produced by each Smeargle are painted using the fluid that oozes from its tail. This is how it marks its territory. It draws symbols all over the place to mark its territory. In towns with many Smeargle, the walls are covered in graffiti. The fluid of Smeargle’s tail secretions changes in the intensity of its hue as the Pokémon’s emotions change. It draws symbols with the fluid that oozes from the tip of its tail. Depending on the symbol, Smeargle fanatics will pay big money for them.</t>
        </is>
      </c>
    </row>
    <row r="6569" ht="33.75" customHeight="1">
      <c r="A6569" s="7">
        <v>235.0</v>
      </c>
      <c r="B6569" s="9" t="s">
        <v>13403</v>
      </c>
      <c r="C6569" s="9" t="s">
        <v>352</v>
      </c>
      <c r="D6569" s="9" t="s">
        <v>59</v>
      </c>
      <c r="E6569" s="6" t="s">
        <v>6701</v>
      </c>
      <c r="F6569" s="9" t="s">
        <v>14284</v>
      </c>
    </row>
    <row r="6570" ht="33.75" customHeight="1">
      <c r="A6570" s="7">
        <v>235.0</v>
      </c>
      <c r="B6570" s="9" t="s">
        <v>13403</v>
      </c>
      <c r="C6570" s="9" t="s">
        <v>352</v>
      </c>
      <c r="D6570" s="9" t="s">
        <v>64</v>
      </c>
      <c r="E6570" s="6" t="s">
        <v>6702</v>
      </c>
      <c r="F6570" s="9" t="s">
        <v>14284</v>
      </c>
    </row>
    <row r="6571" ht="33.75" customHeight="1">
      <c r="A6571" s="7">
        <v>235.0</v>
      </c>
      <c r="B6571" s="9" t="s">
        <v>13403</v>
      </c>
      <c r="C6571" s="9" t="s">
        <v>352</v>
      </c>
      <c r="D6571" s="9" t="s">
        <v>67</v>
      </c>
      <c r="E6571" s="6" t="s">
        <v>6703</v>
      </c>
      <c r="F6571" s="9" t="s">
        <v>14284</v>
      </c>
    </row>
    <row r="6572" ht="33.75" customHeight="1">
      <c r="A6572" s="7">
        <v>235.0</v>
      </c>
      <c r="B6572" s="9" t="s">
        <v>13403</v>
      </c>
      <c r="C6572" s="9" t="s">
        <v>352</v>
      </c>
      <c r="D6572" s="9" t="s">
        <v>71</v>
      </c>
      <c r="E6572" s="6" t="s">
        <v>6703</v>
      </c>
      <c r="F6572" s="9" t="s">
        <v>14284</v>
      </c>
    </row>
    <row r="6573" ht="33.75" customHeight="1">
      <c r="A6573" s="7">
        <v>235.0</v>
      </c>
      <c r="B6573" s="9" t="s">
        <v>13403</v>
      </c>
      <c r="C6573" s="9" t="s">
        <v>352</v>
      </c>
      <c r="D6573" s="9" t="s">
        <v>73</v>
      </c>
      <c r="E6573" s="6" t="s">
        <v>6704</v>
      </c>
      <c r="F6573" s="9" t="s">
        <v>14284</v>
      </c>
    </row>
    <row r="6574" ht="33.75" customHeight="1">
      <c r="A6574" s="7">
        <v>235.0</v>
      </c>
      <c r="B6574" s="9" t="s">
        <v>13403</v>
      </c>
      <c r="C6574" s="9" t="s">
        <v>352</v>
      </c>
      <c r="D6574" s="9" t="s">
        <v>75</v>
      </c>
      <c r="E6574" s="6" t="s">
        <v>6701</v>
      </c>
      <c r="F6574" s="9" t="s">
        <v>14284</v>
      </c>
    </row>
    <row r="6575" ht="33.75" customHeight="1">
      <c r="A6575" s="7">
        <v>235.0</v>
      </c>
      <c r="B6575" s="9" t="s">
        <v>13403</v>
      </c>
      <c r="C6575" s="9" t="s">
        <v>352</v>
      </c>
      <c r="D6575" s="9" t="s">
        <v>79</v>
      </c>
      <c r="E6575" s="6" t="s">
        <v>6700</v>
      </c>
      <c r="F6575" s="9" t="s">
        <v>14284</v>
      </c>
    </row>
    <row r="6576" ht="33.75" customHeight="1">
      <c r="A6576" s="7">
        <v>235.0</v>
      </c>
      <c r="B6576" s="9" t="s">
        <v>13403</v>
      </c>
      <c r="C6576" s="9" t="s">
        <v>352</v>
      </c>
      <c r="D6576" s="9" t="s">
        <v>81</v>
      </c>
      <c r="E6576" s="6" t="s">
        <v>6705</v>
      </c>
      <c r="F6576" s="9" t="s">
        <v>14284</v>
      </c>
    </row>
    <row r="6577" ht="33.75" customHeight="1">
      <c r="A6577" s="7">
        <v>235.0</v>
      </c>
      <c r="B6577" s="9" t="s">
        <v>13403</v>
      </c>
      <c r="C6577" s="9" t="s">
        <v>352</v>
      </c>
      <c r="D6577" s="9" t="s">
        <v>84</v>
      </c>
      <c r="E6577" s="6" t="s">
        <v>6705</v>
      </c>
      <c r="F6577" s="9" t="s">
        <v>14284</v>
      </c>
    </row>
    <row r="6578" ht="33.75" customHeight="1">
      <c r="A6578" s="7">
        <v>235.0</v>
      </c>
      <c r="B6578" s="9" t="s">
        <v>13403</v>
      </c>
      <c r="C6578" s="9" t="s">
        <v>352</v>
      </c>
      <c r="D6578" s="9" t="s">
        <v>87</v>
      </c>
      <c r="E6578" s="6" t="s">
        <v>6705</v>
      </c>
      <c r="F6578" s="9" t="s">
        <v>14284</v>
      </c>
    </row>
    <row r="6579" ht="33.75" customHeight="1">
      <c r="A6579" s="7">
        <v>235.0</v>
      </c>
      <c r="B6579" s="9" t="s">
        <v>13403</v>
      </c>
      <c r="C6579" s="9" t="s">
        <v>352</v>
      </c>
      <c r="D6579" s="9" t="s">
        <v>89</v>
      </c>
      <c r="E6579" s="6" t="s">
        <v>6700</v>
      </c>
      <c r="F6579" s="9" t="s">
        <v>14284</v>
      </c>
    </row>
    <row r="6580" ht="33.75" customHeight="1">
      <c r="A6580" s="7">
        <v>235.0</v>
      </c>
      <c r="B6580" s="9" t="s">
        <v>13403</v>
      </c>
      <c r="C6580" s="9" t="s">
        <v>352</v>
      </c>
      <c r="D6580" s="9" t="s">
        <v>91</v>
      </c>
      <c r="E6580" s="6" t="s">
        <v>6701</v>
      </c>
      <c r="F6580" s="9" t="s">
        <v>14284</v>
      </c>
    </row>
    <row r="6581" ht="33.75" customHeight="1">
      <c r="A6581" s="7">
        <v>235.0</v>
      </c>
      <c r="B6581" s="9" t="s">
        <v>13403</v>
      </c>
      <c r="C6581" s="9" t="s">
        <v>352</v>
      </c>
      <c r="D6581" s="9" t="s">
        <v>93</v>
      </c>
      <c r="E6581" s="6" t="s">
        <v>6705</v>
      </c>
      <c r="F6581" s="9" t="s">
        <v>14284</v>
      </c>
    </row>
    <row r="6582" ht="33.75" customHeight="1">
      <c r="A6582" s="7">
        <v>235.0</v>
      </c>
      <c r="B6582" s="9" t="s">
        <v>13403</v>
      </c>
      <c r="C6582" s="9" t="s">
        <v>352</v>
      </c>
      <c r="D6582" s="9" t="s">
        <v>95</v>
      </c>
      <c r="E6582" s="6" t="s">
        <v>6705</v>
      </c>
      <c r="F6582" s="9" t="s">
        <v>14284</v>
      </c>
    </row>
    <row r="6583" ht="33.75" customHeight="1">
      <c r="A6583" s="7">
        <v>235.0</v>
      </c>
      <c r="B6583" s="9" t="s">
        <v>13403</v>
      </c>
      <c r="C6583" s="9" t="s">
        <v>352</v>
      </c>
      <c r="D6583" s="9" t="s">
        <v>98</v>
      </c>
      <c r="E6583" s="6" t="s">
        <v>6705</v>
      </c>
      <c r="F6583" s="9" t="s">
        <v>14284</v>
      </c>
    </row>
    <row r="6584" ht="33.75" customHeight="1">
      <c r="A6584" s="7">
        <v>235.0</v>
      </c>
      <c r="B6584" s="9" t="s">
        <v>13403</v>
      </c>
      <c r="C6584" s="9" t="s">
        <v>352</v>
      </c>
      <c r="D6584" s="9" t="s">
        <v>99</v>
      </c>
      <c r="E6584" s="6" t="s">
        <v>6705</v>
      </c>
      <c r="F6584" s="9" t="s">
        <v>14284</v>
      </c>
    </row>
    <row r="6585" ht="33.75" customHeight="1">
      <c r="A6585" s="7">
        <v>235.0</v>
      </c>
      <c r="B6585" s="9" t="s">
        <v>13403</v>
      </c>
      <c r="C6585" s="9" t="s">
        <v>352</v>
      </c>
      <c r="D6585" s="9" t="s">
        <v>101</v>
      </c>
      <c r="E6585" s="6" t="s">
        <v>6705</v>
      </c>
      <c r="F6585" s="9" t="s">
        <v>14284</v>
      </c>
    </row>
    <row r="6586" ht="33.75" customHeight="1">
      <c r="A6586" s="7">
        <v>235.0</v>
      </c>
      <c r="B6586" s="9" t="s">
        <v>13403</v>
      </c>
      <c r="C6586" s="9" t="s">
        <v>352</v>
      </c>
      <c r="D6586" s="9" t="s">
        <v>105</v>
      </c>
      <c r="E6586" s="6" t="s">
        <v>6701</v>
      </c>
      <c r="F6586" s="9" t="s">
        <v>14284</v>
      </c>
    </row>
    <row r="6587" ht="33.75" customHeight="1">
      <c r="A6587" s="7">
        <v>235.0</v>
      </c>
      <c r="B6587" s="9" t="s">
        <v>13403</v>
      </c>
      <c r="C6587" s="9" t="s">
        <v>352</v>
      </c>
      <c r="D6587" s="9" t="s">
        <v>107</v>
      </c>
      <c r="E6587" s="6" t="s">
        <v>6706</v>
      </c>
      <c r="F6587" s="9" t="s">
        <v>14284</v>
      </c>
    </row>
    <row r="6588" ht="33.75" customHeight="1">
      <c r="A6588" s="7">
        <v>235.0</v>
      </c>
      <c r="B6588" s="9" t="s">
        <v>13403</v>
      </c>
      <c r="C6588" s="9" t="s">
        <v>352</v>
      </c>
      <c r="D6588" s="9" t="s">
        <v>109</v>
      </c>
      <c r="E6588" s="6" t="s">
        <v>6706</v>
      </c>
      <c r="F6588" s="9" t="s">
        <v>14284</v>
      </c>
    </row>
    <row r="6589" ht="33.75" customHeight="1">
      <c r="A6589" s="7">
        <v>235.0</v>
      </c>
      <c r="B6589" s="9" t="s">
        <v>13403</v>
      </c>
      <c r="C6589" s="9" t="s">
        <v>352</v>
      </c>
      <c r="D6589" s="9" t="s">
        <v>637</v>
      </c>
      <c r="E6589" s="6" t="s">
        <v>6707</v>
      </c>
      <c r="F6589" s="9" t="s">
        <v>14284</v>
      </c>
    </row>
    <row r="6590" ht="33.75" customHeight="1">
      <c r="A6590" s="7">
        <v>235.0</v>
      </c>
      <c r="B6590" s="9" t="s">
        <v>13403</v>
      </c>
      <c r="C6590" s="9" t="s">
        <v>352</v>
      </c>
      <c r="D6590" s="9" t="s">
        <v>642</v>
      </c>
      <c r="E6590" s="6" t="s">
        <v>6708</v>
      </c>
      <c r="F6590" s="9" t="s">
        <v>14284</v>
      </c>
    </row>
    <row r="6591" ht="33.75" customHeight="1">
      <c r="A6591" s="7">
        <v>235.0</v>
      </c>
      <c r="B6591" s="9" t="s">
        <v>13403</v>
      </c>
      <c r="C6591" s="9" t="s">
        <v>352</v>
      </c>
      <c r="D6591" s="9" t="s">
        <v>647</v>
      </c>
      <c r="E6591" s="6" t="s">
        <v>6710</v>
      </c>
      <c r="F6591" s="9" t="s">
        <v>14284</v>
      </c>
    </row>
    <row r="6592" ht="33.75" customHeight="1">
      <c r="A6592" s="7">
        <v>235.0</v>
      </c>
      <c r="B6592" s="9" t="s">
        <v>13403</v>
      </c>
      <c r="C6592" s="9" t="s">
        <v>352</v>
      </c>
      <c r="D6592" s="9" t="s">
        <v>652</v>
      </c>
      <c r="E6592" s="6" t="s">
        <v>6711</v>
      </c>
      <c r="F6592" s="9" t="s">
        <v>14284</v>
      </c>
    </row>
    <row r="6593" ht="33.75" customHeight="1">
      <c r="A6593" s="7">
        <v>236.0</v>
      </c>
      <c r="B6593" s="9" t="s">
        <v>13452</v>
      </c>
      <c r="C6593" s="9" t="s">
        <v>354</v>
      </c>
      <c r="D6593" s="9" t="s">
        <v>52</v>
      </c>
      <c r="E6593" s="6" t="s">
        <v>6712</v>
      </c>
      <c r="F6593" s="9" t="s">
        <v>14304</v>
      </c>
      <c r="G6593" t="inlineStr" s="6">
        <is>
          <t xml:space="preserve">Tyrogue is always bursting with energy. To make it self stronger, it keeps on fighting even if it loses. Even though it is small, it can't be ignored because it will slug any handy target with out warning. To brush up on its fighting skills, it will challenge anyone. It has a very strong competitive spirit. TYROGUE becomes stressed out if it does not get to train every day. When raising this POKéMON, the TRAINER must establish and uphold various training methods. TYROGUE become stressed out if they do not get to train every day. When raising this POKéMON, the TRAINER must establish a regular training schedule. Even though it is small, it can’t be ignored because it will slug any handy target without warning. To make itself stronger, it keeps on fighting even if it loses. It is famous for its eagerness to fight and always nurses injuries from challenging larger foes.</t>
        </is>
      </c>
    </row>
    <row r="6594" ht="33.75" customHeight="1">
      <c r="A6594" s="7">
        <v>236.0</v>
      </c>
      <c r="B6594" s="9" t="s">
        <v>13452</v>
      </c>
      <c r="C6594" s="9" t="s">
        <v>354</v>
      </c>
      <c r="D6594" s="9" t="s">
        <v>59</v>
      </c>
      <c r="E6594" s="6" t="s">
        <v>6714</v>
      </c>
      <c r="F6594" s="9" t="s">
        <v>14304</v>
      </c>
    </row>
    <row r="6595" ht="33.75" customHeight="1">
      <c r="A6595" s="7">
        <v>236.0</v>
      </c>
      <c r="B6595" s="9" t="s">
        <v>13452</v>
      </c>
      <c r="C6595" s="9" t="s">
        <v>354</v>
      </c>
      <c r="D6595" s="9" t="s">
        <v>64</v>
      </c>
      <c r="E6595" s="6" t="s">
        <v>6716</v>
      </c>
      <c r="F6595" s="9" t="s">
        <v>14304</v>
      </c>
    </row>
    <row r="6596" ht="33.75" customHeight="1">
      <c r="A6596" s="7">
        <v>236.0</v>
      </c>
      <c r="B6596" s="9" t="s">
        <v>13452</v>
      </c>
      <c r="C6596" s="9" t="s">
        <v>354</v>
      </c>
      <c r="D6596" s="9" t="s">
        <v>67</v>
      </c>
      <c r="E6596" s="6" t="s">
        <v>6717</v>
      </c>
      <c r="F6596" s="9" t="s">
        <v>14304</v>
      </c>
    </row>
    <row r="6597" ht="33.75" customHeight="1">
      <c r="A6597" s="7">
        <v>236.0</v>
      </c>
      <c r="B6597" s="9" t="s">
        <v>13452</v>
      </c>
      <c r="C6597" s="9" t="s">
        <v>354</v>
      </c>
      <c r="D6597" s="9" t="s">
        <v>71</v>
      </c>
      <c r="E6597" s="6" t="s">
        <v>6717</v>
      </c>
      <c r="F6597" s="9" t="s">
        <v>14304</v>
      </c>
    </row>
    <row r="6598" ht="33.75" customHeight="1">
      <c r="A6598" s="7">
        <v>236.0</v>
      </c>
      <c r="B6598" s="9" t="s">
        <v>13452</v>
      </c>
      <c r="C6598" s="9" t="s">
        <v>354</v>
      </c>
      <c r="D6598" s="9" t="s">
        <v>73</v>
      </c>
      <c r="E6598" s="6" t="s">
        <v>6719</v>
      </c>
      <c r="F6598" s="9" t="s">
        <v>14304</v>
      </c>
    </row>
    <row r="6599" ht="33.75" customHeight="1">
      <c r="A6599" s="7">
        <v>236.0</v>
      </c>
      <c r="B6599" s="9" t="s">
        <v>13452</v>
      </c>
      <c r="C6599" s="9" t="s">
        <v>354</v>
      </c>
      <c r="D6599" s="9" t="s">
        <v>75</v>
      </c>
      <c r="E6599" s="6" t="s">
        <v>6721</v>
      </c>
      <c r="F6599" s="9" t="s">
        <v>14304</v>
      </c>
    </row>
    <row r="6600" ht="33.75" customHeight="1">
      <c r="A6600" s="7">
        <v>236.0</v>
      </c>
      <c r="B6600" s="9" t="s">
        <v>13452</v>
      </c>
      <c r="C6600" s="9" t="s">
        <v>354</v>
      </c>
      <c r="D6600" s="9" t="s">
        <v>79</v>
      </c>
      <c r="E6600" s="6" t="s">
        <v>6723</v>
      </c>
      <c r="F6600" s="9" t="s">
        <v>14304</v>
      </c>
    </row>
    <row r="6601" ht="33.75" customHeight="1">
      <c r="A6601" s="7">
        <v>236.0</v>
      </c>
      <c r="B6601" s="9" t="s">
        <v>13452</v>
      </c>
      <c r="C6601" s="9" t="s">
        <v>354</v>
      </c>
      <c r="D6601" s="9" t="s">
        <v>81</v>
      </c>
      <c r="E6601" s="6" t="s">
        <v>6724</v>
      </c>
      <c r="F6601" s="9" t="s">
        <v>14304</v>
      </c>
    </row>
    <row r="6602" ht="33.75" customHeight="1">
      <c r="A6602" s="7">
        <v>236.0</v>
      </c>
      <c r="B6602" s="9" t="s">
        <v>13452</v>
      </c>
      <c r="C6602" s="9" t="s">
        <v>354</v>
      </c>
      <c r="D6602" s="9" t="s">
        <v>84</v>
      </c>
      <c r="E6602" s="6" t="s">
        <v>6724</v>
      </c>
      <c r="F6602" s="9" t="s">
        <v>14304</v>
      </c>
    </row>
    <row r="6603" ht="33.75" customHeight="1">
      <c r="A6603" s="7">
        <v>236.0</v>
      </c>
      <c r="B6603" s="9" t="s">
        <v>13452</v>
      </c>
      <c r="C6603" s="9" t="s">
        <v>354</v>
      </c>
      <c r="D6603" s="9" t="s">
        <v>87</v>
      </c>
      <c r="E6603" s="6" t="s">
        <v>6724</v>
      </c>
      <c r="F6603" s="9" t="s">
        <v>14304</v>
      </c>
    </row>
    <row r="6604" ht="33.75" customHeight="1">
      <c r="A6604" s="7">
        <v>236.0</v>
      </c>
      <c r="B6604" s="9" t="s">
        <v>13452</v>
      </c>
      <c r="C6604" s="9" t="s">
        <v>354</v>
      </c>
      <c r="D6604" s="9" t="s">
        <v>89</v>
      </c>
      <c r="E6604" s="6" t="s">
        <v>6723</v>
      </c>
      <c r="F6604" s="9" t="s">
        <v>14304</v>
      </c>
    </row>
    <row r="6605" ht="33.75" customHeight="1">
      <c r="A6605" s="7">
        <v>236.0</v>
      </c>
      <c r="B6605" s="9" t="s">
        <v>13452</v>
      </c>
      <c r="C6605" s="9" t="s">
        <v>354</v>
      </c>
      <c r="D6605" s="9" t="s">
        <v>91</v>
      </c>
      <c r="E6605" s="6" t="s">
        <v>6721</v>
      </c>
      <c r="F6605" s="9" t="s">
        <v>14304</v>
      </c>
    </row>
    <row r="6606" ht="33.75" customHeight="1">
      <c r="A6606" s="7">
        <v>236.0</v>
      </c>
      <c r="B6606" s="9" t="s">
        <v>13452</v>
      </c>
      <c r="C6606" s="9" t="s">
        <v>354</v>
      </c>
      <c r="D6606" s="9" t="s">
        <v>93</v>
      </c>
      <c r="E6606" s="6" t="s">
        <v>6724</v>
      </c>
      <c r="F6606" s="9" t="s">
        <v>14304</v>
      </c>
    </row>
    <row r="6607" ht="33.75" customHeight="1">
      <c r="A6607" s="7">
        <v>236.0</v>
      </c>
      <c r="B6607" s="9" t="s">
        <v>13452</v>
      </c>
      <c r="C6607" s="9" t="s">
        <v>354</v>
      </c>
      <c r="D6607" s="9" t="s">
        <v>95</v>
      </c>
      <c r="E6607" s="6" t="s">
        <v>6724</v>
      </c>
      <c r="F6607" s="9" t="s">
        <v>14304</v>
      </c>
    </row>
    <row r="6608" ht="33.75" customHeight="1">
      <c r="A6608" s="7">
        <v>236.0</v>
      </c>
      <c r="B6608" s="9" t="s">
        <v>13452</v>
      </c>
      <c r="C6608" s="9" t="s">
        <v>354</v>
      </c>
      <c r="D6608" s="9" t="s">
        <v>98</v>
      </c>
      <c r="E6608" s="6" t="s">
        <v>6724</v>
      </c>
      <c r="F6608" s="9" t="s">
        <v>14304</v>
      </c>
    </row>
    <row r="6609" ht="33.75" customHeight="1">
      <c r="A6609" s="7">
        <v>236.0</v>
      </c>
      <c r="B6609" s="9" t="s">
        <v>13452</v>
      </c>
      <c r="C6609" s="9" t="s">
        <v>354</v>
      </c>
      <c r="D6609" s="9" t="s">
        <v>99</v>
      </c>
      <c r="E6609" s="6" t="s">
        <v>6724</v>
      </c>
      <c r="F6609" s="9" t="s">
        <v>14304</v>
      </c>
    </row>
    <row r="6610" ht="33.75" customHeight="1">
      <c r="A6610" s="7">
        <v>236.0</v>
      </c>
      <c r="B6610" s="9" t="s">
        <v>13452</v>
      </c>
      <c r="C6610" s="9" t="s">
        <v>354</v>
      </c>
      <c r="D6610" s="9" t="s">
        <v>101</v>
      </c>
      <c r="E6610" s="6" t="s">
        <v>6723</v>
      </c>
      <c r="F6610" s="9" t="s">
        <v>14304</v>
      </c>
    </row>
    <row r="6611" ht="33.75" customHeight="1">
      <c r="A6611" s="7">
        <v>236.0</v>
      </c>
      <c r="B6611" s="9" t="s">
        <v>13452</v>
      </c>
      <c r="C6611" s="9" t="s">
        <v>354</v>
      </c>
      <c r="D6611" s="9" t="s">
        <v>105</v>
      </c>
      <c r="E6611" s="6" t="s">
        <v>6725</v>
      </c>
      <c r="F6611" s="9" t="s">
        <v>14304</v>
      </c>
    </row>
    <row r="6612" ht="33.75" customHeight="1">
      <c r="A6612" s="7">
        <v>236.0</v>
      </c>
      <c r="B6612" s="9" t="s">
        <v>13452</v>
      </c>
      <c r="C6612" s="9" t="s">
        <v>354</v>
      </c>
      <c r="D6612" s="9" t="s">
        <v>107</v>
      </c>
      <c r="E6612" s="6" t="s">
        <v>6728</v>
      </c>
      <c r="F6612" s="9" t="s">
        <v>14304</v>
      </c>
    </row>
    <row r="6613" ht="33.75" customHeight="1">
      <c r="A6613" s="7">
        <v>236.0</v>
      </c>
      <c r="B6613" s="9" t="s">
        <v>13452</v>
      </c>
      <c r="C6613" s="9" t="s">
        <v>354</v>
      </c>
      <c r="D6613" s="9" t="s">
        <v>109</v>
      </c>
      <c r="E6613" s="6" t="s">
        <v>6728</v>
      </c>
      <c r="F6613" s="9" t="s">
        <v>14304</v>
      </c>
    </row>
    <row r="6614" ht="33.75" customHeight="1">
      <c r="A6614" s="7">
        <v>236.0</v>
      </c>
      <c r="B6614" s="9" t="s">
        <v>13452</v>
      </c>
      <c r="C6614" s="9" t="s">
        <v>354</v>
      </c>
      <c r="D6614" s="9" t="s">
        <v>114</v>
      </c>
      <c r="E6614" s="6" t="s">
        <v>6723</v>
      </c>
      <c r="F6614" s="9" t="s">
        <v>14304</v>
      </c>
    </row>
    <row r="6615" ht="33.75" customHeight="1">
      <c r="A6615" s="7">
        <v>236.0</v>
      </c>
      <c r="B6615" s="9" t="s">
        <v>13452</v>
      </c>
      <c r="C6615" s="9" t="s">
        <v>354</v>
      </c>
      <c r="D6615" s="9" t="s">
        <v>117</v>
      </c>
      <c r="E6615" s="6" t="s">
        <v>6721</v>
      </c>
      <c r="F6615" s="9" t="s">
        <v>14304</v>
      </c>
    </row>
    <row r="6616" ht="33.75" customHeight="1">
      <c r="A6616" s="7">
        <v>237.0</v>
      </c>
      <c r="B6616" s="9" t="s">
        <v>13485</v>
      </c>
      <c r="C6616" s="9" t="s">
        <v>357</v>
      </c>
      <c r="D6616" s="9" t="s">
        <v>52</v>
      </c>
      <c r="E6616" s="6" t="s">
        <v>6730</v>
      </c>
      <c r="F6616" s="9" t="s">
        <v>14320</v>
      </c>
      <c r="G6616" t="inlineStr" s="6">
        <is>
          <t xml:space="preserve">If you become enchanted by Hitmontop's smooth, elegant, dance-like kicks, you may get drilled hard. It launches kicks while spinning. If it spins at high speed, it may bore its way into the ground. After doing a handstand to throw off the opponent's timing, it presents its fancy kick moves. HITMONTOP spins on its head at high speed, all the while delivering kicks. This technique is a remarkable mix of both offense and defense at the same time. The POKéMON travels faster spinning than it does walking. Its technique of kicking while spinning is a remarkable mix of both offense and defense. HITMONTOP travel faster spinning than they do walking. It fights while spinning like a top. The centrifugal force boosts its destructive power by ten. If you are enchanted by its smooth, dance-like kicks, you may get a closer experience with one than you’d like. The centrifugal force boosts its destructive power by 10.</t>
        </is>
      </c>
    </row>
    <row r="6617" ht="33.75" customHeight="1">
      <c r="A6617" s="7">
        <v>237.0</v>
      </c>
      <c r="B6617" s="9" t="s">
        <v>13485</v>
      </c>
      <c r="C6617" s="9" t="s">
        <v>357</v>
      </c>
      <c r="D6617" s="9" t="s">
        <v>59</v>
      </c>
      <c r="E6617" s="6" t="s">
        <v>6733</v>
      </c>
      <c r="F6617" s="9" t="s">
        <v>14320</v>
      </c>
    </row>
    <row r="6618" ht="33.75" customHeight="1">
      <c r="A6618" s="7">
        <v>237.0</v>
      </c>
      <c r="B6618" s="9" t="s">
        <v>13485</v>
      </c>
      <c r="C6618" s="9" t="s">
        <v>357</v>
      </c>
      <c r="D6618" s="9" t="s">
        <v>64</v>
      </c>
      <c r="E6618" s="6" t="s">
        <v>6735</v>
      </c>
      <c r="F6618" s="9" t="s">
        <v>14320</v>
      </c>
    </row>
    <row r="6619" ht="33.75" customHeight="1">
      <c r="A6619" s="7">
        <v>237.0</v>
      </c>
      <c r="B6619" s="9" t="s">
        <v>13485</v>
      </c>
      <c r="C6619" s="9" t="s">
        <v>357</v>
      </c>
      <c r="D6619" s="9" t="s">
        <v>67</v>
      </c>
      <c r="E6619" s="6" t="s">
        <v>6736</v>
      </c>
      <c r="F6619" s="9" t="s">
        <v>14320</v>
      </c>
    </row>
    <row r="6620" ht="33.75" customHeight="1">
      <c r="A6620" s="7">
        <v>237.0</v>
      </c>
      <c r="B6620" s="9" t="s">
        <v>13485</v>
      </c>
      <c r="C6620" s="9" t="s">
        <v>357</v>
      </c>
      <c r="D6620" s="9" t="s">
        <v>71</v>
      </c>
      <c r="E6620" s="6" t="s">
        <v>6736</v>
      </c>
      <c r="F6620" s="9" t="s">
        <v>14320</v>
      </c>
    </row>
    <row r="6621" ht="33.75" customHeight="1">
      <c r="A6621" s="7">
        <v>237.0</v>
      </c>
      <c r="B6621" s="9" t="s">
        <v>13485</v>
      </c>
      <c r="C6621" s="9" t="s">
        <v>357</v>
      </c>
      <c r="D6621" s="9" t="s">
        <v>73</v>
      </c>
      <c r="E6621" s="6" t="s">
        <v>6738</v>
      </c>
      <c r="F6621" s="9" t="s">
        <v>14320</v>
      </c>
    </row>
    <row r="6622" ht="33.75" customHeight="1">
      <c r="A6622" s="7">
        <v>237.0</v>
      </c>
      <c r="B6622" s="9" t="s">
        <v>13485</v>
      </c>
      <c r="C6622" s="9" t="s">
        <v>357</v>
      </c>
      <c r="D6622" s="9" t="s">
        <v>75</v>
      </c>
      <c r="E6622" s="6" t="s">
        <v>6733</v>
      </c>
      <c r="F6622" s="9" t="s">
        <v>14320</v>
      </c>
    </row>
    <row r="6623" ht="33.75" customHeight="1">
      <c r="A6623" s="7">
        <v>237.0</v>
      </c>
      <c r="B6623" s="9" t="s">
        <v>13485</v>
      </c>
      <c r="C6623" s="9" t="s">
        <v>357</v>
      </c>
      <c r="D6623" s="9" t="s">
        <v>79</v>
      </c>
      <c r="E6623" s="6" t="s">
        <v>6730</v>
      </c>
      <c r="F6623" s="9" t="s">
        <v>14320</v>
      </c>
    </row>
    <row r="6624" ht="33.75" customHeight="1">
      <c r="A6624" s="7">
        <v>237.0</v>
      </c>
      <c r="B6624" s="9" t="s">
        <v>13485</v>
      </c>
      <c r="C6624" s="9" t="s">
        <v>357</v>
      </c>
      <c r="D6624" s="9" t="s">
        <v>81</v>
      </c>
      <c r="E6624" s="6" t="s">
        <v>6740</v>
      </c>
      <c r="F6624" s="9" t="s">
        <v>14320</v>
      </c>
    </row>
    <row r="6625" ht="33.75" customHeight="1">
      <c r="A6625" s="7">
        <v>237.0</v>
      </c>
      <c r="B6625" s="9" t="s">
        <v>13485</v>
      </c>
      <c r="C6625" s="9" t="s">
        <v>357</v>
      </c>
      <c r="D6625" s="9" t="s">
        <v>84</v>
      </c>
      <c r="E6625" s="6" t="s">
        <v>6740</v>
      </c>
      <c r="F6625" s="9" t="s">
        <v>14320</v>
      </c>
    </row>
    <row r="6626" ht="33.75" customHeight="1">
      <c r="A6626" s="7">
        <v>237.0</v>
      </c>
      <c r="B6626" s="9" t="s">
        <v>13485</v>
      </c>
      <c r="C6626" s="9" t="s">
        <v>357</v>
      </c>
      <c r="D6626" s="9" t="s">
        <v>87</v>
      </c>
      <c r="E6626" s="6" t="s">
        <v>6740</v>
      </c>
      <c r="F6626" s="9" t="s">
        <v>14320</v>
      </c>
    </row>
    <row r="6627" ht="33.75" customHeight="1">
      <c r="A6627" s="7">
        <v>237.0</v>
      </c>
      <c r="B6627" s="9" t="s">
        <v>13485</v>
      </c>
      <c r="C6627" s="9" t="s">
        <v>357</v>
      </c>
      <c r="D6627" s="9" t="s">
        <v>89</v>
      </c>
      <c r="E6627" s="6" t="s">
        <v>6741</v>
      </c>
      <c r="F6627" s="9" t="s">
        <v>14320</v>
      </c>
    </row>
    <row r="6628" ht="33.75" customHeight="1">
      <c r="A6628" s="7">
        <v>237.0</v>
      </c>
      <c r="B6628" s="9" t="s">
        <v>13485</v>
      </c>
      <c r="C6628" s="9" t="s">
        <v>357</v>
      </c>
      <c r="D6628" s="9" t="s">
        <v>91</v>
      </c>
      <c r="E6628" s="6" t="s">
        <v>6733</v>
      </c>
      <c r="F6628" s="9" t="s">
        <v>14320</v>
      </c>
    </row>
    <row r="6629" ht="33.75" customHeight="1">
      <c r="A6629" s="7">
        <v>237.0</v>
      </c>
      <c r="B6629" s="9" t="s">
        <v>13485</v>
      </c>
      <c r="C6629" s="9" t="s">
        <v>357</v>
      </c>
      <c r="D6629" s="9" t="s">
        <v>93</v>
      </c>
      <c r="E6629" s="6" t="s">
        <v>6740</v>
      </c>
      <c r="F6629" s="9" t="s">
        <v>14320</v>
      </c>
    </row>
    <row r="6630" ht="33.75" customHeight="1">
      <c r="A6630" s="7">
        <v>237.0</v>
      </c>
      <c r="B6630" s="9" t="s">
        <v>13485</v>
      </c>
      <c r="C6630" s="9" t="s">
        <v>357</v>
      </c>
      <c r="D6630" s="9" t="s">
        <v>95</v>
      </c>
      <c r="E6630" s="6" t="s">
        <v>6740</v>
      </c>
      <c r="F6630" s="9" t="s">
        <v>14320</v>
      </c>
    </row>
    <row r="6631" ht="33.75" customHeight="1">
      <c r="A6631" s="7">
        <v>237.0</v>
      </c>
      <c r="B6631" s="9" t="s">
        <v>13485</v>
      </c>
      <c r="C6631" s="9" t="s">
        <v>357</v>
      </c>
      <c r="D6631" s="9" t="s">
        <v>98</v>
      </c>
      <c r="E6631" s="6" t="s">
        <v>6744</v>
      </c>
      <c r="F6631" s="9" t="s">
        <v>14320</v>
      </c>
    </row>
    <row r="6632" ht="33.75" customHeight="1">
      <c r="A6632" s="7">
        <v>237.0</v>
      </c>
      <c r="B6632" s="9" t="s">
        <v>13485</v>
      </c>
      <c r="C6632" s="9" t="s">
        <v>357</v>
      </c>
      <c r="D6632" s="9" t="s">
        <v>99</v>
      </c>
      <c r="E6632" s="6" t="s">
        <v>6744</v>
      </c>
      <c r="F6632" s="9" t="s">
        <v>14320</v>
      </c>
    </row>
    <row r="6633" ht="33.75" customHeight="1">
      <c r="A6633" s="7">
        <v>237.0</v>
      </c>
      <c r="B6633" s="9" t="s">
        <v>13485</v>
      </c>
      <c r="C6633" s="9" t="s">
        <v>357</v>
      </c>
      <c r="D6633" s="9" t="s">
        <v>101</v>
      </c>
      <c r="E6633" s="6" t="s">
        <v>6744</v>
      </c>
      <c r="F6633" s="9" t="s">
        <v>14320</v>
      </c>
    </row>
    <row r="6634" ht="33.75" customHeight="1">
      <c r="A6634" s="7">
        <v>237.0</v>
      </c>
      <c r="B6634" s="9" t="s">
        <v>13485</v>
      </c>
      <c r="C6634" s="9" t="s">
        <v>357</v>
      </c>
      <c r="D6634" s="9" t="s">
        <v>105</v>
      </c>
      <c r="E6634" s="6" t="s">
        <v>6741</v>
      </c>
      <c r="F6634" s="9" t="s">
        <v>14320</v>
      </c>
    </row>
    <row r="6635" ht="33.75" customHeight="1">
      <c r="A6635" s="7">
        <v>237.0</v>
      </c>
      <c r="B6635" s="9" t="s">
        <v>13485</v>
      </c>
      <c r="C6635" s="9" t="s">
        <v>357</v>
      </c>
      <c r="D6635" s="9" t="s">
        <v>107</v>
      </c>
      <c r="E6635" s="6" t="s">
        <v>6745</v>
      </c>
      <c r="F6635" s="9" t="s">
        <v>14320</v>
      </c>
    </row>
    <row r="6636" ht="33.75" customHeight="1">
      <c r="A6636" s="7">
        <v>237.0</v>
      </c>
      <c r="B6636" s="9" t="s">
        <v>13485</v>
      </c>
      <c r="C6636" s="9" t="s">
        <v>357</v>
      </c>
      <c r="D6636" s="9" t="s">
        <v>109</v>
      </c>
      <c r="E6636" s="6" t="s">
        <v>6745</v>
      </c>
      <c r="F6636" s="9" t="s">
        <v>14320</v>
      </c>
    </row>
    <row r="6637" ht="33.75" customHeight="1">
      <c r="A6637" s="7">
        <v>237.0</v>
      </c>
      <c r="B6637" s="9" t="s">
        <v>13485</v>
      </c>
      <c r="C6637" s="9" t="s">
        <v>357</v>
      </c>
      <c r="D6637" s="9" t="s">
        <v>114</v>
      </c>
      <c r="E6637" s="6" t="s">
        <v>6733</v>
      </c>
      <c r="F6637" s="9" t="s">
        <v>14320</v>
      </c>
    </row>
    <row r="6638" ht="33.75" customHeight="1">
      <c r="A6638" s="7">
        <v>237.0</v>
      </c>
      <c r="B6638" s="9" t="s">
        <v>13485</v>
      </c>
      <c r="C6638" s="9" t="s">
        <v>357</v>
      </c>
      <c r="D6638" s="9" t="s">
        <v>117</v>
      </c>
      <c r="E6638" s="6" t="s">
        <v>6747</v>
      </c>
      <c r="F6638" s="9" t="s">
        <v>14320</v>
      </c>
    </row>
    <row r="6639" ht="33.75" customHeight="1">
      <c r="A6639" s="7">
        <v>238.0</v>
      </c>
      <c r="B6639" s="9" t="s">
        <v>13527</v>
      </c>
      <c r="C6639" s="9" t="s">
        <v>360</v>
      </c>
      <c r="D6639" s="9" t="s">
        <v>52</v>
      </c>
      <c r="E6639" s="6" t="s">
        <v>6748</v>
      </c>
      <c r="F6639" s="9" t="s">
        <v>14334</v>
      </c>
      <c r="G6639" t="inlineStr" s="6">
        <is>
          <t xml:space="preserve">Smoochum's lips are the most sensitive parts on its body. It always uses its lips first to examine things. It always rocks its head slowly backwards and forwards as if it is trying to kiss someone. The sensitivity of its lips develops most quickly. It uses them to try to identify unknown objects. SMOOCHUM actively runs about, but also falls quite often. Whenever the chance arrives, it will look for its reflection to make sure its face hasn’t become dirty. It actively runs about, but also falls often. Whenever it falls, it will check its reflection on a lake’s surface to make sure its face hasn’t become dirty. It tests everything by touching with its lips, which remember what it likes and dislikes. Its lips are the most sensitive part of its body. When it examines things, before touching them with its hands, it makes lip contact and then diligently licks all the dirt off its lips. Highly perceptive sensors, Smoochum’s lips are kept moist by its daily application of tree sap. If its face gets even slightly dirty, Smoochum will bathe immediately. But if its body gets dirty, Smoochum doesn’t really seem to care. This is a very curious Pokémon. Smoochum decides what it likes and dislikes by touching things with its lips.</t>
        </is>
      </c>
    </row>
    <row r="6640" ht="33.75" customHeight="1">
      <c r="A6640" s="7">
        <v>238.0</v>
      </c>
      <c r="B6640" s="9" t="s">
        <v>13527</v>
      </c>
      <c r="C6640" s="9" t="s">
        <v>360</v>
      </c>
      <c r="D6640" s="9" t="s">
        <v>59</v>
      </c>
      <c r="E6640" s="6" t="s">
        <v>6750</v>
      </c>
      <c r="F6640" s="9" t="s">
        <v>14334</v>
      </c>
    </row>
    <row r="6641" ht="33.75" customHeight="1">
      <c r="A6641" s="7">
        <v>238.0</v>
      </c>
      <c r="B6641" s="9" t="s">
        <v>13527</v>
      </c>
      <c r="C6641" s="9" t="s">
        <v>360</v>
      </c>
      <c r="D6641" s="9" t="s">
        <v>64</v>
      </c>
      <c r="E6641" s="6" t="s">
        <v>6752</v>
      </c>
      <c r="F6641" s="9" t="s">
        <v>14334</v>
      </c>
    </row>
    <row r="6642" ht="33.75" customHeight="1">
      <c r="A6642" s="7">
        <v>238.0</v>
      </c>
      <c r="B6642" s="9" t="s">
        <v>13527</v>
      </c>
      <c r="C6642" s="9" t="s">
        <v>360</v>
      </c>
      <c r="D6642" s="9" t="s">
        <v>67</v>
      </c>
      <c r="E6642" s="6" t="s">
        <v>6753</v>
      </c>
      <c r="F6642" s="9" t="s">
        <v>14334</v>
      </c>
    </row>
    <row r="6643" ht="33.75" customHeight="1">
      <c r="A6643" s="7">
        <v>238.0</v>
      </c>
      <c r="B6643" s="9" t="s">
        <v>13527</v>
      </c>
      <c r="C6643" s="9" t="s">
        <v>360</v>
      </c>
      <c r="D6643" s="9" t="s">
        <v>71</v>
      </c>
      <c r="E6643" s="6" t="s">
        <v>6753</v>
      </c>
      <c r="F6643" s="9" t="s">
        <v>14334</v>
      </c>
    </row>
    <row r="6644" ht="33.75" customHeight="1">
      <c r="A6644" s="7">
        <v>238.0</v>
      </c>
      <c r="B6644" s="9" t="s">
        <v>13527</v>
      </c>
      <c r="C6644" s="9" t="s">
        <v>360</v>
      </c>
      <c r="D6644" s="9" t="s">
        <v>73</v>
      </c>
      <c r="E6644" s="6" t="s">
        <v>6755</v>
      </c>
      <c r="F6644" s="9" t="s">
        <v>14334</v>
      </c>
    </row>
    <row r="6645" ht="33.75" customHeight="1">
      <c r="A6645" s="7">
        <v>238.0</v>
      </c>
      <c r="B6645" s="9" t="s">
        <v>13527</v>
      </c>
      <c r="C6645" s="9" t="s">
        <v>360</v>
      </c>
      <c r="D6645" s="9" t="s">
        <v>75</v>
      </c>
      <c r="E6645" s="6" t="s">
        <v>6756</v>
      </c>
      <c r="F6645" s="9" t="s">
        <v>14334</v>
      </c>
    </row>
    <row r="6646" ht="33.75" customHeight="1">
      <c r="A6646" s="7">
        <v>238.0</v>
      </c>
      <c r="B6646" s="9" t="s">
        <v>13527</v>
      </c>
      <c r="C6646" s="9" t="s">
        <v>360</v>
      </c>
      <c r="D6646" s="9" t="s">
        <v>79</v>
      </c>
      <c r="E6646" s="6" t="s">
        <v>6748</v>
      </c>
      <c r="F6646" s="9" t="s">
        <v>14334</v>
      </c>
    </row>
    <row r="6647" ht="33.75" customHeight="1">
      <c r="A6647" s="7">
        <v>238.0</v>
      </c>
      <c r="B6647" s="9" t="s">
        <v>13527</v>
      </c>
      <c r="C6647" s="9" t="s">
        <v>360</v>
      </c>
      <c r="D6647" s="9" t="s">
        <v>81</v>
      </c>
      <c r="E6647" s="6" t="s">
        <v>6759</v>
      </c>
      <c r="F6647" s="9" t="s">
        <v>14334</v>
      </c>
    </row>
    <row r="6648" ht="33.75" customHeight="1">
      <c r="A6648" s="7">
        <v>238.0</v>
      </c>
      <c r="B6648" s="9" t="s">
        <v>13527</v>
      </c>
      <c r="C6648" s="9" t="s">
        <v>360</v>
      </c>
      <c r="D6648" s="9" t="s">
        <v>84</v>
      </c>
      <c r="E6648" s="6" t="s">
        <v>6759</v>
      </c>
      <c r="F6648" s="9" t="s">
        <v>14334</v>
      </c>
    </row>
    <row r="6649" ht="33.75" customHeight="1">
      <c r="A6649" s="7">
        <v>238.0</v>
      </c>
      <c r="B6649" s="9" t="s">
        <v>13527</v>
      </c>
      <c r="C6649" s="9" t="s">
        <v>360</v>
      </c>
      <c r="D6649" s="9" t="s">
        <v>87</v>
      </c>
      <c r="E6649" s="6" t="s">
        <v>6759</v>
      </c>
      <c r="F6649" s="9" t="s">
        <v>14334</v>
      </c>
    </row>
    <row r="6650" ht="33.75" customHeight="1">
      <c r="A6650" s="7">
        <v>238.0</v>
      </c>
      <c r="B6650" s="9" t="s">
        <v>13527</v>
      </c>
      <c r="C6650" s="9" t="s">
        <v>360</v>
      </c>
      <c r="D6650" s="9" t="s">
        <v>89</v>
      </c>
      <c r="E6650" s="6" t="s">
        <v>6760</v>
      </c>
      <c r="F6650" s="9" t="s">
        <v>14334</v>
      </c>
    </row>
    <row r="6651" ht="33.75" customHeight="1">
      <c r="A6651" s="7">
        <v>238.0</v>
      </c>
      <c r="B6651" s="9" t="s">
        <v>13527</v>
      </c>
      <c r="C6651" s="9" t="s">
        <v>360</v>
      </c>
      <c r="D6651" s="9" t="s">
        <v>91</v>
      </c>
      <c r="E6651" s="6" t="s">
        <v>6756</v>
      </c>
      <c r="F6651" s="9" t="s">
        <v>14334</v>
      </c>
    </row>
    <row r="6652" ht="33.75" customHeight="1">
      <c r="A6652" s="7">
        <v>238.0</v>
      </c>
      <c r="B6652" s="9" t="s">
        <v>13527</v>
      </c>
      <c r="C6652" s="9" t="s">
        <v>360</v>
      </c>
      <c r="D6652" s="9" t="s">
        <v>93</v>
      </c>
      <c r="E6652" s="6" t="s">
        <v>6759</v>
      </c>
      <c r="F6652" s="9" t="s">
        <v>14334</v>
      </c>
    </row>
    <row r="6653" ht="33.75" customHeight="1">
      <c r="A6653" s="7">
        <v>238.0</v>
      </c>
      <c r="B6653" s="9" t="s">
        <v>13527</v>
      </c>
      <c r="C6653" s="9" t="s">
        <v>360</v>
      </c>
      <c r="D6653" s="9" t="s">
        <v>95</v>
      </c>
      <c r="E6653" s="6" t="s">
        <v>6759</v>
      </c>
      <c r="F6653" s="9" t="s">
        <v>14334</v>
      </c>
    </row>
    <row r="6654" ht="33.75" customHeight="1">
      <c r="A6654" s="7">
        <v>238.0</v>
      </c>
      <c r="B6654" s="9" t="s">
        <v>13527</v>
      </c>
      <c r="C6654" s="9" t="s">
        <v>360</v>
      </c>
      <c r="D6654" s="9" t="s">
        <v>98</v>
      </c>
      <c r="E6654" s="6" t="s">
        <v>6759</v>
      </c>
      <c r="F6654" s="9" t="s">
        <v>14334</v>
      </c>
    </row>
    <row r="6655" ht="33.75" customHeight="1">
      <c r="A6655" s="7">
        <v>238.0</v>
      </c>
      <c r="B6655" s="9" t="s">
        <v>13527</v>
      </c>
      <c r="C6655" s="9" t="s">
        <v>360</v>
      </c>
      <c r="D6655" s="9" t="s">
        <v>99</v>
      </c>
      <c r="E6655" s="6" t="s">
        <v>6759</v>
      </c>
      <c r="F6655" s="9" t="s">
        <v>14334</v>
      </c>
    </row>
    <row r="6656" ht="33.75" customHeight="1">
      <c r="A6656" s="7">
        <v>238.0</v>
      </c>
      <c r="B6656" s="9" t="s">
        <v>13527</v>
      </c>
      <c r="C6656" s="9" t="s">
        <v>360</v>
      </c>
      <c r="D6656" s="9" t="s">
        <v>101</v>
      </c>
      <c r="E6656" s="6" t="s">
        <v>6760</v>
      </c>
      <c r="F6656" s="9" t="s">
        <v>14334</v>
      </c>
    </row>
    <row r="6657" ht="33.75" customHeight="1">
      <c r="A6657" s="7">
        <v>238.0</v>
      </c>
      <c r="B6657" s="9" t="s">
        <v>13527</v>
      </c>
      <c r="C6657" s="9" t="s">
        <v>360</v>
      </c>
      <c r="D6657" s="9" t="s">
        <v>105</v>
      </c>
      <c r="E6657" s="6" t="s">
        <v>6759</v>
      </c>
      <c r="F6657" s="9" t="s">
        <v>14334</v>
      </c>
    </row>
    <row r="6658" ht="33.75" customHeight="1">
      <c r="A6658" s="7">
        <v>238.0</v>
      </c>
      <c r="B6658" s="9" t="s">
        <v>13527</v>
      </c>
      <c r="C6658" s="9" t="s">
        <v>360</v>
      </c>
      <c r="D6658" s="9" t="s">
        <v>107</v>
      </c>
      <c r="E6658" s="6" t="s">
        <v>6761</v>
      </c>
      <c r="F6658" s="9" t="s">
        <v>14334</v>
      </c>
    </row>
    <row r="6659" ht="33.75" customHeight="1">
      <c r="A6659" s="7">
        <v>238.0</v>
      </c>
      <c r="B6659" s="9" t="s">
        <v>13527</v>
      </c>
      <c r="C6659" s="9" t="s">
        <v>360</v>
      </c>
      <c r="D6659" s="9" t="s">
        <v>109</v>
      </c>
      <c r="E6659" s="6" t="s">
        <v>6761</v>
      </c>
      <c r="F6659" s="9" t="s">
        <v>14334</v>
      </c>
    </row>
    <row r="6660" ht="33.75" customHeight="1">
      <c r="A6660" s="7">
        <v>238.0</v>
      </c>
      <c r="B6660" s="9" t="s">
        <v>13527</v>
      </c>
      <c r="C6660" s="9" t="s">
        <v>360</v>
      </c>
      <c r="D6660" s="9" t="s">
        <v>647</v>
      </c>
      <c r="E6660" s="6" t="s">
        <v>6762</v>
      </c>
      <c r="F6660" s="9" t="s">
        <v>14334</v>
      </c>
    </row>
    <row r="6661" ht="33.75" customHeight="1">
      <c r="A6661" s="7">
        <v>238.0</v>
      </c>
      <c r="B6661" s="9" t="s">
        <v>13527</v>
      </c>
      <c r="C6661" s="9" t="s">
        <v>360</v>
      </c>
      <c r="D6661" s="9" t="s">
        <v>652</v>
      </c>
      <c r="E6661" s="6" t="s">
        <v>6763</v>
      </c>
      <c r="F6661" s="9" t="s">
        <v>14334</v>
      </c>
    </row>
    <row r="6662" ht="33.75" customHeight="1">
      <c r="A6662" s="7">
        <v>238.0</v>
      </c>
      <c r="B6662" s="9" t="s">
        <v>13527</v>
      </c>
      <c r="C6662" s="9" t="s">
        <v>360</v>
      </c>
      <c r="D6662" s="9" t="s">
        <v>114</v>
      </c>
      <c r="E6662" s="6" t="s">
        <v>6764</v>
      </c>
      <c r="F6662" s="9" t="s">
        <v>14334</v>
      </c>
    </row>
    <row r="6663" ht="33.75" customHeight="1">
      <c r="A6663" s="7">
        <v>238.0</v>
      </c>
      <c r="B6663" s="9" t="s">
        <v>13527</v>
      </c>
      <c r="C6663" s="9" t="s">
        <v>360</v>
      </c>
      <c r="D6663" s="9" t="s">
        <v>117</v>
      </c>
      <c r="E6663" s="6" t="s">
        <v>6765</v>
      </c>
      <c r="F6663" s="9" t="s">
        <v>14334</v>
      </c>
    </row>
    <row r="6664" ht="33.75" customHeight="1">
      <c r="A6664" s="7">
        <v>239.0</v>
      </c>
      <c r="B6664" s="9" t="s">
        <v>13567</v>
      </c>
      <c r="C6664" s="9" t="s">
        <v>210</v>
      </c>
      <c r="D6664" s="9" t="s">
        <v>52</v>
      </c>
      <c r="E6664" s="6" t="s">
        <v>6767</v>
      </c>
      <c r="F6664" s="9" t="s">
        <v>14351</v>
      </c>
      <c r="G6664" t="inlineStr" s="6">
        <is>
          <t xml:space="preserve">It rotates Elekid's arms to generate electricity, but it tires easily, so it charges up only a little bit. Even in the most vicious storm, this POKéMON plays happily if thunder rumbles in the sky. It loves violent thunder. The space between its horns flickers bluish- white when it is charging energy. ELEKID stores electricity in its body. If it touches metal and accidentally discharges all its built-up electricity, this POKéMON begins swinging its arms in circles to recharge itself. If it touches metal and discharges the electricity it has stored in its body, an ELEKID begins swinging its arms in circles to recharge itself. It generates electricity by whirling its arms. However, it can’t store the energy it makes. A weak electric current flows between its horns. Sticking a hand there shocks the unwary. It rotates its arms to generate electricity, but it tires easily, so it only charges up a little bit. Spinning its arms around to generate electricity makes the area between its horns shine light blue. When it’s in a house, electrical outlets serve as its baby bottles. It sucks down electricity. This Pokémon is constantly fighting with Togedemaru that try to steal its electricity. It’s a pretty even match. When it hears the crash of thunder, Elekid’s mood improves. It can be useful to record that sound and play it when Elekid’s feeling down. When its horns shine a bluish white, that’s the sign it’s fully charged. You’ll get a shocking jolt if you touch it! When a storm approaches, this Pokémon gets restless. Once Elekid hears the sound of thunder, it gets full-on rowdy. It’s not good at storing electricity yet. This Pokémon sneaks into people’s homes, looking for electrical outlets to eat electricity from. They generate electricity by spinning their arms. During a thunderstorm, if one hears the lively voices of children out in the wilderness, what one is actually hearing are the voices of Elekid.</t>
        </is>
      </c>
    </row>
    <row r="6665" ht="33.75" customHeight="1">
      <c r="A6665" s="7">
        <v>239.0</v>
      </c>
      <c r="B6665" s="9" t="s">
        <v>13567</v>
      </c>
      <c r="C6665" s="9" t="s">
        <v>210</v>
      </c>
      <c r="D6665" s="9" t="s">
        <v>59</v>
      </c>
      <c r="E6665" s="6" t="s">
        <v>6769</v>
      </c>
      <c r="F6665" s="9" t="s">
        <v>14351</v>
      </c>
    </row>
    <row r="6666" ht="33.75" customHeight="1">
      <c r="A6666" s="7">
        <v>239.0</v>
      </c>
      <c r="B6666" s="9" t="s">
        <v>13567</v>
      </c>
      <c r="C6666" s="9" t="s">
        <v>210</v>
      </c>
      <c r="D6666" s="9" t="s">
        <v>64</v>
      </c>
      <c r="E6666" s="6" t="s">
        <v>6770</v>
      </c>
      <c r="F6666" s="9" t="s">
        <v>14351</v>
      </c>
    </row>
    <row r="6667" ht="33.75" customHeight="1">
      <c r="A6667" s="7">
        <v>239.0</v>
      </c>
      <c r="B6667" s="9" t="s">
        <v>13567</v>
      </c>
      <c r="C6667" s="9" t="s">
        <v>210</v>
      </c>
      <c r="D6667" s="9" t="s">
        <v>67</v>
      </c>
      <c r="E6667" s="6" t="s">
        <v>6771</v>
      </c>
      <c r="F6667" s="9" t="s">
        <v>14351</v>
      </c>
    </row>
    <row r="6668" ht="33.75" customHeight="1">
      <c r="A6668" s="7">
        <v>239.0</v>
      </c>
      <c r="B6668" s="9" t="s">
        <v>13567</v>
      </c>
      <c r="C6668" s="9" t="s">
        <v>210</v>
      </c>
      <c r="D6668" s="9" t="s">
        <v>71</v>
      </c>
      <c r="E6668" s="6" t="s">
        <v>6771</v>
      </c>
      <c r="F6668" s="9" t="s">
        <v>14351</v>
      </c>
    </row>
    <row r="6669" ht="33.75" customHeight="1">
      <c r="A6669" s="7">
        <v>239.0</v>
      </c>
      <c r="B6669" s="9" t="s">
        <v>13567</v>
      </c>
      <c r="C6669" s="9" t="s">
        <v>210</v>
      </c>
      <c r="D6669" s="9" t="s">
        <v>73</v>
      </c>
      <c r="E6669" s="6" t="s">
        <v>6772</v>
      </c>
      <c r="F6669" s="9" t="s">
        <v>14351</v>
      </c>
    </row>
    <row r="6670" ht="33.75" customHeight="1">
      <c r="A6670" s="7">
        <v>239.0</v>
      </c>
      <c r="B6670" s="9" t="s">
        <v>13567</v>
      </c>
      <c r="C6670" s="9" t="s">
        <v>210</v>
      </c>
      <c r="D6670" s="9" t="s">
        <v>75</v>
      </c>
      <c r="E6670" s="6" t="s">
        <v>6769</v>
      </c>
      <c r="F6670" s="9" t="s">
        <v>14351</v>
      </c>
    </row>
    <row r="6671" ht="33.75" customHeight="1">
      <c r="A6671" s="7">
        <v>239.0</v>
      </c>
      <c r="B6671" s="9" t="s">
        <v>13567</v>
      </c>
      <c r="C6671" s="9" t="s">
        <v>210</v>
      </c>
      <c r="D6671" s="9" t="s">
        <v>79</v>
      </c>
      <c r="E6671" s="6" t="s">
        <v>6767</v>
      </c>
      <c r="F6671" s="9" t="s">
        <v>14351</v>
      </c>
    </row>
    <row r="6672" ht="33.75" customHeight="1">
      <c r="A6672" s="7">
        <v>239.0</v>
      </c>
      <c r="B6672" s="9" t="s">
        <v>13567</v>
      </c>
      <c r="C6672" s="9" t="s">
        <v>210</v>
      </c>
      <c r="D6672" s="9" t="s">
        <v>81</v>
      </c>
      <c r="E6672" s="6" t="s">
        <v>6775</v>
      </c>
      <c r="F6672" s="9" t="s">
        <v>14351</v>
      </c>
    </row>
    <row r="6673" ht="33.75" customHeight="1">
      <c r="A6673" s="7">
        <v>239.0</v>
      </c>
      <c r="B6673" s="9" t="s">
        <v>13567</v>
      </c>
      <c r="C6673" s="9" t="s">
        <v>210</v>
      </c>
      <c r="D6673" s="9" t="s">
        <v>84</v>
      </c>
      <c r="E6673" s="6" t="s">
        <v>6775</v>
      </c>
      <c r="F6673" s="9" t="s">
        <v>14351</v>
      </c>
    </row>
    <row r="6674" ht="33.75" customHeight="1">
      <c r="A6674" s="7">
        <v>239.0</v>
      </c>
      <c r="B6674" s="9" t="s">
        <v>13567</v>
      </c>
      <c r="C6674" s="9" t="s">
        <v>210</v>
      </c>
      <c r="D6674" s="9" t="s">
        <v>87</v>
      </c>
      <c r="E6674" s="6" t="s">
        <v>6777</v>
      </c>
      <c r="F6674" s="9" t="s">
        <v>14351</v>
      </c>
    </row>
    <row r="6675" ht="33.75" customHeight="1">
      <c r="A6675" s="7">
        <v>239.0</v>
      </c>
      <c r="B6675" s="9" t="s">
        <v>13567</v>
      </c>
      <c r="C6675" s="9" t="s">
        <v>210</v>
      </c>
      <c r="D6675" s="9" t="s">
        <v>89</v>
      </c>
      <c r="E6675" s="6" t="s">
        <v>6778</v>
      </c>
      <c r="F6675" s="9" t="s">
        <v>14351</v>
      </c>
    </row>
    <row r="6676" ht="33.75" customHeight="1">
      <c r="A6676" s="7">
        <v>239.0</v>
      </c>
      <c r="B6676" s="9" t="s">
        <v>13567</v>
      </c>
      <c r="C6676" s="9" t="s">
        <v>210</v>
      </c>
      <c r="D6676" s="9" t="s">
        <v>91</v>
      </c>
      <c r="E6676" s="6" t="s">
        <v>6779</v>
      </c>
      <c r="F6676" s="9" t="s">
        <v>14351</v>
      </c>
    </row>
    <row r="6677" ht="33.75" customHeight="1">
      <c r="A6677" s="7">
        <v>239.0</v>
      </c>
      <c r="B6677" s="9" t="s">
        <v>13567</v>
      </c>
      <c r="C6677" s="9" t="s">
        <v>210</v>
      </c>
      <c r="D6677" s="9" t="s">
        <v>93</v>
      </c>
      <c r="E6677" s="6" t="s">
        <v>6777</v>
      </c>
      <c r="F6677" s="9" t="s">
        <v>14351</v>
      </c>
    </row>
    <row r="6678" ht="33.75" customHeight="1">
      <c r="A6678" s="7">
        <v>239.0</v>
      </c>
      <c r="B6678" s="9" t="s">
        <v>13567</v>
      </c>
      <c r="C6678" s="9" t="s">
        <v>210</v>
      </c>
      <c r="D6678" s="9" t="s">
        <v>95</v>
      </c>
      <c r="E6678" s="6" t="s">
        <v>6777</v>
      </c>
      <c r="F6678" s="9" t="s">
        <v>14351</v>
      </c>
    </row>
    <row r="6679" ht="33.75" customHeight="1">
      <c r="A6679" s="7">
        <v>239.0</v>
      </c>
      <c r="B6679" s="9" t="s">
        <v>13567</v>
      </c>
      <c r="C6679" s="9" t="s">
        <v>210</v>
      </c>
      <c r="D6679" s="9" t="s">
        <v>98</v>
      </c>
      <c r="E6679" s="6" t="s">
        <v>6780</v>
      </c>
      <c r="F6679" s="9" t="s">
        <v>14351</v>
      </c>
    </row>
    <row r="6680" ht="33.75" customHeight="1">
      <c r="A6680" s="7">
        <v>239.0</v>
      </c>
      <c r="B6680" s="9" t="s">
        <v>13567</v>
      </c>
      <c r="C6680" s="9" t="s">
        <v>210</v>
      </c>
      <c r="D6680" s="9" t="s">
        <v>99</v>
      </c>
      <c r="E6680" s="6" t="s">
        <v>6780</v>
      </c>
      <c r="F6680" s="9" t="s">
        <v>14351</v>
      </c>
    </row>
    <row r="6681" ht="33.75" customHeight="1">
      <c r="A6681" s="7">
        <v>239.0</v>
      </c>
      <c r="B6681" s="9" t="s">
        <v>13567</v>
      </c>
      <c r="C6681" s="9" t="s">
        <v>210</v>
      </c>
      <c r="D6681" s="9" t="s">
        <v>101</v>
      </c>
      <c r="E6681" s="6" t="s">
        <v>6775</v>
      </c>
      <c r="F6681" s="9" t="s">
        <v>14351</v>
      </c>
    </row>
    <row r="6682" ht="33.75" customHeight="1">
      <c r="A6682" s="7">
        <v>239.0</v>
      </c>
      <c r="B6682" s="9" t="s">
        <v>13567</v>
      </c>
      <c r="C6682" s="9" t="s">
        <v>210</v>
      </c>
      <c r="D6682" s="9" t="s">
        <v>105</v>
      </c>
      <c r="E6682" s="6" t="s">
        <v>6780</v>
      </c>
      <c r="F6682" s="9" t="s">
        <v>14351</v>
      </c>
    </row>
    <row r="6683" ht="33.75" customHeight="1">
      <c r="A6683" s="7">
        <v>239.0</v>
      </c>
      <c r="B6683" s="9" t="s">
        <v>13567</v>
      </c>
      <c r="C6683" s="9" t="s">
        <v>210</v>
      </c>
      <c r="D6683" s="9" t="s">
        <v>107</v>
      </c>
      <c r="E6683" s="6" t="s">
        <v>6782</v>
      </c>
      <c r="F6683" s="9" t="s">
        <v>14351</v>
      </c>
    </row>
    <row r="6684" ht="33.75" customHeight="1">
      <c r="A6684" s="7">
        <v>239.0</v>
      </c>
      <c r="B6684" s="9" t="s">
        <v>13567</v>
      </c>
      <c r="C6684" s="9" t="s">
        <v>210</v>
      </c>
      <c r="D6684" s="9" t="s">
        <v>109</v>
      </c>
      <c r="E6684" s="6" t="s">
        <v>6782</v>
      </c>
      <c r="F6684" s="9" t="s">
        <v>14351</v>
      </c>
    </row>
    <row r="6685" ht="33.75" customHeight="1">
      <c r="A6685" s="7">
        <v>239.0</v>
      </c>
      <c r="B6685" s="9" t="s">
        <v>13567</v>
      </c>
      <c r="C6685" s="9" t="s">
        <v>210</v>
      </c>
      <c r="D6685" s="9" t="s">
        <v>637</v>
      </c>
      <c r="E6685" s="6" t="s">
        <v>6784</v>
      </c>
      <c r="F6685" s="9" t="s">
        <v>14351</v>
      </c>
    </row>
    <row r="6686" ht="33.75" customHeight="1">
      <c r="A6686" s="7">
        <v>239.0</v>
      </c>
      <c r="B6686" s="9" t="s">
        <v>13567</v>
      </c>
      <c r="C6686" s="9" t="s">
        <v>210</v>
      </c>
      <c r="D6686" s="9" t="s">
        <v>642</v>
      </c>
      <c r="E6686" s="6" t="s">
        <v>6787</v>
      </c>
      <c r="F6686" s="9" t="s">
        <v>14351</v>
      </c>
    </row>
    <row r="6687" ht="33.75" customHeight="1">
      <c r="A6687" s="7">
        <v>239.0</v>
      </c>
      <c r="B6687" s="9" t="s">
        <v>13567</v>
      </c>
      <c r="C6687" s="9" t="s">
        <v>210</v>
      </c>
      <c r="D6687" s="9" t="s">
        <v>647</v>
      </c>
      <c r="E6687" s="6" t="s">
        <v>6788</v>
      </c>
      <c r="F6687" s="9" t="s">
        <v>14351</v>
      </c>
    </row>
    <row r="6688" ht="33.75" customHeight="1">
      <c r="A6688" s="7">
        <v>239.0</v>
      </c>
      <c r="B6688" s="9" t="s">
        <v>13567</v>
      </c>
      <c r="C6688" s="9" t="s">
        <v>210</v>
      </c>
      <c r="D6688" s="9" t="s">
        <v>652</v>
      </c>
      <c r="E6688" s="6" t="s">
        <v>6790</v>
      </c>
      <c r="F6688" s="9" t="s">
        <v>14351</v>
      </c>
    </row>
    <row r="6689" ht="33.75" customHeight="1">
      <c r="A6689" s="7">
        <v>239.0</v>
      </c>
      <c r="B6689" s="9" t="s">
        <v>13567</v>
      </c>
      <c r="C6689" s="9" t="s">
        <v>210</v>
      </c>
      <c r="D6689" s="9" t="s">
        <v>114</v>
      </c>
      <c r="E6689" s="6" t="s">
        <v>6791</v>
      </c>
      <c r="F6689" s="9" t="s">
        <v>14351</v>
      </c>
    </row>
    <row r="6690" ht="33.75" customHeight="1">
      <c r="A6690" s="7">
        <v>239.0</v>
      </c>
      <c r="B6690" s="9" t="s">
        <v>13567</v>
      </c>
      <c r="C6690" s="9" t="s">
        <v>210</v>
      </c>
      <c r="D6690" s="9" t="s">
        <v>117</v>
      </c>
      <c r="E6690" s="6" t="s">
        <v>6793</v>
      </c>
      <c r="F6690" s="9" t="s">
        <v>14351</v>
      </c>
    </row>
    <row r="6691" ht="33.75" customHeight="1">
      <c r="A6691" s="7">
        <v>239.0</v>
      </c>
      <c r="B6691" s="9" t="s">
        <v>13567</v>
      </c>
      <c r="C6691" s="9" t="s">
        <v>210</v>
      </c>
      <c r="D6691" s="9" t="s">
        <v>1577</v>
      </c>
      <c r="E6691" s="6" t="s">
        <v>6794</v>
      </c>
      <c r="F6691" s="9" t="s">
        <v>14351</v>
      </c>
    </row>
    <row r="6692" ht="33.75" customHeight="1">
      <c r="A6692" s="7">
        <v>240.0</v>
      </c>
      <c r="B6692" s="9" t="s">
        <v>13587</v>
      </c>
      <c r="C6692" s="9" t="s">
        <v>362</v>
      </c>
      <c r="D6692" s="9" t="s">
        <v>52</v>
      </c>
      <c r="E6692" s="6" t="s">
        <v>6796</v>
      </c>
      <c r="F6692" s="9" t="s">
        <v>14371</v>
      </c>
      <c r="G6692" t="inlineStr" s="6">
        <is>
          <t xml:space="preserve">Each and every time it inhales and exhales, hot embers dribble out of Magby's mouth and nostrils. It is found in volcanic craters. Its body temp. is over 1100 degrees, so don't underestimate it. It naturally spits an 1100-degree flame. It is said when many appear, it heralds a volcanic eruption. MAGBY’s state of health is determined by observing the fire it breathes. If the POKéMON is spouting yellow flames from its mouth, it is in good health. When it is fatigued, black smoke will be mixed in with the flames. If a MAGBY is spouting yellow flames from its mouth, it is in good health. Its body heat exceeds 1,100 degrees Fahrenheit, so don’t underestimate it. Its body temperature is around 1,100 degrees F. It is healthy if it is breathing yellow flames. Its magma-like blood circulates throughout its body. Its body’s heat can top 1,100 degrees F. Each and every time it inhales and exhales, hot embers dribble from its mouth and nostrils. Its body temperature is over 1,100 degrees Fahrenheit, so don’t underestimate it. It’s small, but its body temperature is over 1,100 degrees F. Embers escape its mouth and nose when it breathes. It’s small, but its body temperature is over 1,100 degrees Fahrenheit. Its body’s heat can top 1,100 degrees Fahrenheit. Many of these Pokémon can be seen in areas with volcanic activity. Feeding can get them so excited, they exhale flames of 1,100 degrees F. A famous potter lives with a Magby. Apparently its soft flames produce fine works. When flames drip from its nose, that means it has a cold. Have it lie down for a nice rest in some magma. Its body temperature is always around 1,100 degrees Fahrenheit. If Magby falls into a small- enough pond, the whole thing will dry up. This Pokémon is still small and timid. Whenever Magby gets excited or surprised, flames leak from its mouth and its nose. This Pokémon makes its home near volcanoes. At the end of the day, Magby soaks in magma, resting and recovering from the day’s fatigue. This Pokémon lives in volcanic areas. With each breath, sparks spurt from its mouth and nose. When Magby is in good health, its flames gain a yellow tint.</t>
        </is>
      </c>
    </row>
    <row r="6693" ht="33.75" customHeight="1">
      <c r="A6693" s="7">
        <v>240.0</v>
      </c>
      <c r="B6693" s="9" t="s">
        <v>13587</v>
      </c>
      <c r="C6693" s="9" t="s">
        <v>362</v>
      </c>
      <c r="D6693" s="9" t="s">
        <v>59</v>
      </c>
      <c r="E6693" s="6" t="s">
        <v>6797</v>
      </c>
      <c r="F6693" s="9" t="s">
        <v>14371</v>
      </c>
    </row>
    <row r="6694" ht="33.75" customHeight="1">
      <c r="A6694" s="7">
        <v>240.0</v>
      </c>
      <c r="B6694" s="9" t="s">
        <v>13587</v>
      </c>
      <c r="C6694" s="9" t="s">
        <v>362</v>
      </c>
      <c r="D6694" s="9" t="s">
        <v>64</v>
      </c>
      <c r="E6694" s="6" t="s">
        <v>6798</v>
      </c>
      <c r="F6694" s="9" t="s">
        <v>14371</v>
      </c>
    </row>
    <row r="6695" ht="33.75" customHeight="1">
      <c r="A6695" s="7">
        <v>240.0</v>
      </c>
      <c r="B6695" s="9" t="s">
        <v>13587</v>
      </c>
      <c r="C6695" s="9" t="s">
        <v>362</v>
      </c>
      <c r="D6695" s="9" t="s">
        <v>67</v>
      </c>
      <c r="E6695" s="6" t="s">
        <v>6799</v>
      </c>
      <c r="F6695" s="9" t="s">
        <v>14371</v>
      </c>
    </row>
    <row r="6696" ht="33.75" customHeight="1">
      <c r="A6696" s="7">
        <v>240.0</v>
      </c>
      <c r="B6696" s="9" t="s">
        <v>13587</v>
      </c>
      <c r="C6696" s="9" t="s">
        <v>362</v>
      </c>
      <c r="D6696" s="9" t="s">
        <v>71</v>
      </c>
      <c r="E6696" s="6" t="s">
        <v>6799</v>
      </c>
      <c r="F6696" s="9" t="s">
        <v>14371</v>
      </c>
    </row>
    <row r="6697" ht="33.75" customHeight="1">
      <c r="A6697" s="7">
        <v>240.0</v>
      </c>
      <c r="B6697" s="9" t="s">
        <v>13587</v>
      </c>
      <c r="C6697" s="9" t="s">
        <v>362</v>
      </c>
      <c r="D6697" s="9" t="s">
        <v>73</v>
      </c>
      <c r="E6697" s="6" t="s">
        <v>6801</v>
      </c>
      <c r="F6697" s="9" t="s">
        <v>14371</v>
      </c>
    </row>
    <row r="6698" ht="33.75" customHeight="1">
      <c r="A6698" s="7">
        <v>240.0</v>
      </c>
      <c r="B6698" s="9" t="s">
        <v>13587</v>
      </c>
      <c r="C6698" s="9" t="s">
        <v>362</v>
      </c>
      <c r="D6698" s="9" t="s">
        <v>75</v>
      </c>
      <c r="E6698" s="6" t="s">
        <v>6802</v>
      </c>
      <c r="F6698" s="9" t="s">
        <v>14371</v>
      </c>
    </row>
    <row r="6699" ht="33.75" customHeight="1">
      <c r="A6699" s="7">
        <v>240.0</v>
      </c>
      <c r="B6699" s="9" t="s">
        <v>13587</v>
      </c>
      <c r="C6699" s="9" t="s">
        <v>362</v>
      </c>
      <c r="D6699" s="9" t="s">
        <v>79</v>
      </c>
      <c r="E6699" s="6" t="s">
        <v>6796</v>
      </c>
      <c r="F6699" s="9" t="s">
        <v>14371</v>
      </c>
    </row>
    <row r="6700" ht="33.75" customHeight="1">
      <c r="A6700" s="7">
        <v>240.0</v>
      </c>
      <c r="B6700" s="9" t="s">
        <v>13587</v>
      </c>
      <c r="C6700" s="9" t="s">
        <v>362</v>
      </c>
      <c r="D6700" s="9" t="s">
        <v>81</v>
      </c>
      <c r="E6700" s="6" t="s">
        <v>6803</v>
      </c>
      <c r="F6700" s="9" t="s">
        <v>14371</v>
      </c>
    </row>
    <row r="6701" ht="33.75" customHeight="1">
      <c r="A6701" s="7">
        <v>240.0</v>
      </c>
      <c r="B6701" s="9" t="s">
        <v>13587</v>
      </c>
      <c r="C6701" s="9" t="s">
        <v>362</v>
      </c>
      <c r="D6701" s="9" t="s">
        <v>84</v>
      </c>
      <c r="E6701" s="6" t="s">
        <v>6803</v>
      </c>
      <c r="F6701" s="9" t="s">
        <v>14371</v>
      </c>
    </row>
    <row r="6702" ht="33.75" customHeight="1">
      <c r="A6702" s="7">
        <v>240.0</v>
      </c>
      <c r="B6702" s="9" t="s">
        <v>13587</v>
      </c>
      <c r="C6702" s="9" t="s">
        <v>362</v>
      </c>
      <c r="D6702" s="9" t="s">
        <v>87</v>
      </c>
      <c r="E6702" s="6" t="s">
        <v>6804</v>
      </c>
      <c r="F6702" s="9" t="s">
        <v>14371</v>
      </c>
    </row>
    <row r="6703" ht="33.75" customHeight="1">
      <c r="A6703" s="7">
        <v>240.0</v>
      </c>
      <c r="B6703" s="9" t="s">
        <v>13587</v>
      </c>
      <c r="C6703" s="9" t="s">
        <v>362</v>
      </c>
      <c r="D6703" s="9" t="s">
        <v>89</v>
      </c>
      <c r="E6703" s="6" t="s">
        <v>6805</v>
      </c>
      <c r="F6703" s="9" t="s">
        <v>14371</v>
      </c>
    </row>
    <row r="6704" ht="33.75" customHeight="1">
      <c r="A6704" s="7">
        <v>240.0</v>
      </c>
      <c r="B6704" s="9" t="s">
        <v>13587</v>
      </c>
      <c r="C6704" s="9" t="s">
        <v>362</v>
      </c>
      <c r="D6704" s="9" t="s">
        <v>91</v>
      </c>
      <c r="E6704" s="6" t="s">
        <v>6806</v>
      </c>
      <c r="F6704" s="9" t="s">
        <v>14371</v>
      </c>
    </row>
    <row r="6705" ht="33.75" customHeight="1">
      <c r="A6705" s="7">
        <v>240.0</v>
      </c>
      <c r="B6705" s="9" t="s">
        <v>13587</v>
      </c>
      <c r="C6705" s="9" t="s">
        <v>362</v>
      </c>
      <c r="D6705" s="9" t="s">
        <v>93</v>
      </c>
      <c r="E6705" s="6" t="s">
        <v>6804</v>
      </c>
      <c r="F6705" s="9" t="s">
        <v>14371</v>
      </c>
    </row>
    <row r="6706" ht="33.75" customHeight="1">
      <c r="A6706" s="7">
        <v>240.0</v>
      </c>
      <c r="B6706" s="9" t="s">
        <v>13587</v>
      </c>
      <c r="C6706" s="9" t="s">
        <v>362</v>
      </c>
      <c r="D6706" s="9" t="s">
        <v>95</v>
      </c>
      <c r="E6706" s="6" t="s">
        <v>6804</v>
      </c>
      <c r="F6706" s="9" t="s">
        <v>14371</v>
      </c>
    </row>
    <row r="6707" ht="33.75" customHeight="1">
      <c r="A6707" s="7">
        <v>240.0</v>
      </c>
      <c r="B6707" s="9" t="s">
        <v>13587</v>
      </c>
      <c r="C6707" s="9" t="s">
        <v>362</v>
      </c>
      <c r="D6707" s="9" t="s">
        <v>98</v>
      </c>
      <c r="E6707" s="6" t="s">
        <v>6807</v>
      </c>
      <c r="F6707" s="9" t="s">
        <v>14371</v>
      </c>
    </row>
    <row r="6708" ht="33.75" customHeight="1">
      <c r="A6708" s="7">
        <v>240.0</v>
      </c>
      <c r="B6708" s="9" t="s">
        <v>13587</v>
      </c>
      <c r="C6708" s="9" t="s">
        <v>362</v>
      </c>
      <c r="D6708" s="9" t="s">
        <v>99</v>
      </c>
      <c r="E6708" s="6" t="s">
        <v>6807</v>
      </c>
      <c r="F6708" s="9" t="s">
        <v>14371</v>
      </c>
    </row>
    <row r="6709" ht="33.75" customHeight="1">
      <c r="A6709" s="7">
        <v>240.0</v>
      </c>
      <c r="B6709" s="9" t="s">
        <v>13587</v>
      </c>
      <c r="C6709" s="9" t="s">
        <v>362</v>
      </c>
      <c r="D6709" s="9" t="s">
        <v>101</v>
      </c>
      <c r="E6709" s="6" t="s">
        <v>6808</v>
      </c>
      <c r="F6709" s="9" t="s">
        <v>14371</v>
      </c>
    </row>
    <row r="6710" ht="33.75" customHeight="1">
      <c r="A6710" s="7">
        <v>240.0</v>
      </c>
      <c r="B6710" s="9" t="s">
        <v>13587</v>
      </c>
      <c r="C6710" s="9" t="s">
        <v>362</v>
      </c>
      <c r="D6710" s="9" t="s">
        <v>105</v>
      </c>
      <c r="E6710" s="6" t="s">
        <v>6810</v>
      </c>
      <c r="F6710" s="9" t="s">
        <v>14371</v>
      </c>
    </row>
    <row r="6711" ht="33.75" customHeight="1">
      <c r="A6711" s="7">
        <v>240.0</v>
      </c>
      <c r="B6711" s="9" t="s">
        <v>13587</v>
      </c>
      <c r="C6711" s="9" t="s">
        <v>362</v>
      </c>
      <c r="D6711" s="9" t="s">
        <v>107</v>
      </c>
      <c r="E6711" s="6" t="s">
        <v>6811</v>
      </c>
      <c r="F6711" s="9" t="s">
        <v>14371</v>
      </c>
    </row>
    <row r="6712" ht="33.75" customHeight="1">
      <c r="A6712" s="7">
        <v>240.0</v>
      </c>
      <c r="B6712" s="9" t="s">
        <v>13587</v>
      </c>
      <c r="C6712" s="9" t="s">
        <v>362</v>
      </c>
      <c r="D6712" s="9" t="s">
        <v>109</v>
      </c>
      <c r="E6712" s="6" t="s">
        <v>6811</v>
      </c>
      <c r="F6712" s="9" t="s">
        <v>14371</v>
      </c>
    </row>
    <row r="6713" ht="33.75" customHeight="1">
      <c r="A6713" s="7">
        <v>240.0</v>
      </c>
      <c r="B6713" s="9" t="s">
        <v>13587</v>
      </c>
      <c r="C6713" s="9" t="s">
        <v>362</v>
      </c>
      <c r="D6713" s="9" t="s">
        <v>637</v>
      </c>
      <c r="E6713" s="6" t="s">
        <v>6812</v>
      </c>
      <c r="F6713" s="9" t="s">
        <v>14371</v>
      </c>
    </row>
    <row r="6714" ht="33.75" customHeight="1">
      <c r="A6714" s="7">
        <v>240.0</v>
      </c>
      <c r="B6714" s="9" t="s">
        <v>13587</v>
      </c>
      <c r="C6714" s="9" t="s">
        <v>362</v>
      </c>
      <c r="D6714" s="9" t="s">
        <v>642</v>
      </c>
      <c r="E6714" s="6" t="s">
        <v>6813</v>
      </c>
      <c r="F6714" s="9" t="s">
        <v>14371</v>
      </c>
    </row>
    <row r="6715" ht="33.75" customHeight="1">
      <c r="A6715" s="7">
        <v>240.0</v>
      </c>
      <c r="B6715" s="9" t="s">
        <v>13587</v>
      </c>
      <c r="C6715" s="9" t="s">
        <v>362</v>
      </c>
      <c r="D6715" s="9" t="s">
        <v>647</v>
      </c>
      <c r="E6715" s="6" t="s">
        <v>6815</v>
      </c>
      <c r="F6715" s="9" t="s">
        <v>14371</v>
      </c>
    </row>
    <row r="6716" ht="33.75" customHeight="1">
      <c r="A6716" s="7">
        <v>240.0</v>
      </c>
      <c r="B6716" s="9" t="s">
        <v>13587</v>
      </c>
      <c r="C6716" s="9" t="s">
        <v>362</v>
      </c>
      <c r="D6716" s="9" t="s">
        <v>652</v>
      </c>
      <c r="E6716" s="6" t="s">
        <v>6816</v>
      </c>
      <c r="F6716" s="9" t="s">
        <v>14371</v>
      </c>
    </row>
    <row r="6717" ht="33.75" customHeight="1">
      <c r="A6717" s="7">
        <v>240.0</v>
      </c>
      <c r="B6717" s="9" t="s">
        <v>13587</v>
      </c>
      <c r="C6717" s="9" t="s">
        <v>362</v>
      </c>
      <c r="D6717" s="9" t="s">
        <v>114</v>
      </c>
      <c r="E6717" s="6" t="s">
        <v>6818</v>
      </c>
      <c r="F6717" s="9" t="s">
        <v>14371</v>
      </c>
    </row>
    <row r="6718" ht="33.75" customHeight="1">
      <c r="A6718" s="7">
        <v>240.0</v>
      </c>
      <c r="B6718" s="9" t="s">
        <v>13587</v>
      </c>
      <c r="C6718" s="9" t="s">
        <v>362</v>
      </c>
      <c r="D6718" s="9" t="s">
        <v>117</v>
      </c>
      <c r="E6718" s="6" t="s">
        <v>6819</v>
      </c>
      <c r="F6718" s="9" t="s">
        <v>14371</v>
      </c>
    </row>
    <row r="6719" ht="33.75" customHeight="1">
      <c r="A6719" s="7">
        <v>240.0</v>
      </c>
      <c r="B6719" s="9" t="s">
        <v>13587</v>
      </c>
      <c r="C6719" s="9" t="s">
        <v>362</v>
      </c>
      <c r="D6719" s="9" t="s">
        <v>1577</v>
      </c>
      <c r="E6719" s="6" t="s">
        <v>6820</v>
      </c>
      <c r="F6719" s="9" t="s">
        <v>14371</v>
      </c>
    </row>
    <row r="6720" ht="33.75" customHeight="1">
      <c r="A6720" s="7">
        <v>241.0</v>
      </c>
      <c r="B6720" s="9" t="s">
        <v>13611</v>
      </c>
      <c r="C6720" s="9" t="s">
        <v>364</v>
      </c>
      <c r="D6720" s="9" t="s">
        <v>52</v>
      </c>
      <c r="E6720" s="6" t="s">
        <v>6822</v>
      </c>
      <c r="F6720" s="9" t="s">
        <v>14388</v>
      </c>
      <c r="G6720" t="inlineStr" s="6">
        <is>
          <t xml:space="preserve">Miltank's milk is packed with nutrition, making it the ultimate beverage for the sick or weary. If it has just had a baby, the milk it produces con tains much more nutrition than usual. In order to milk a MILTANK, one must have a knack for rhythmically pull ing up and down on its udders. MILTANK gives over five gallons of milk on a daily basis. Its sweet milk is enjoyed by children and grown-ups alike. People who can’t drink milk turn it into yogurt and eat it instead. It gives over five gallons of milk daily. If it has just had a baby, the milk it produces contains much more nutrition than usual. It is said that kids who drink MILTANK’s milk grow up to become hearty, healthy adults. If it is around babies, the milk it produces contains much more nutrition than usual. Its milk is high in calories and packed with nutrients. Therefore, if you drink too much of it, you may wind up with a body like Miltank’s. Most people raise it for its milk, but it’s quite tough and strong, so it’s also well suited for battle. It produces over five gallons of milk a day. The higher the quality of the pastures it lives in, the richer and tastier its milk becomes. Its milk is delicious and chock-full of nutrients. However, if you drink too much, it could make your stomach hurt, so be careful. Miltank produces highly nutritious milk, so it’s been supporting the lives of people and other Pokémon since ancient times. This Pokémon needs to be milked every day, or else it will fall ill. The flavor of Miltank milk changes with the seasons.</t>
        </is>
      </c>
    </row>
    <row r="6721" ht="33.75" customHeight="1">
      <c r="A6721" s="7">
        <v>241.0</v>
      </c>
      <c r="B6721" s="9" t="s">
        <v>13611</v>
      </c>
      <c r="C6721" s="9" t="s">
        <v>364</v>
      </c>
      <c r="D6721" s="9" t="s">
        <v>59</v>
      </c>
      <c r="E6721" s="6" t="s">
        <v>6823</v>
      </c>
      <c r="F6721" s="9" t="s">
        <v>14388</v>
      </c>
    </row>
    <row r="6722" ht="33.75" customHeight="1">
      <c r="A6722" s="7">
        <v>241.0</v>
      </c>
      <c r="B6722" s="9" t="s">
        <v>13611</v>
      </c>
      <c r="C6722" s="9" t="s">
        <v>364</v>
      </c>
      <c r="D6722" s="9" t="s">
        <v>64</v>
      </c>
      <c r="E6722" s="6" t="s">
        <v>6824</v>
      </c>
      <c r="F6722" s="9" t="s">
        <v>14388</v>
      </c>
    </row>
    <row r="6723" ht="33.75" customHeight="1">
      <c r="A6723" s="7">
        <v>241.0</v>
      </c>
      <c r="B6723" s="9" t="s">
        <v>13611</v>
      </c>
      <c r="C6723" s="9" t="s">
        <v>364</v>
      </c>
      <c r="D6723" s="9" t="s">
        <v>67</v>
      </c>
      <c r="E6723" s="6" t="s">
        <v>6825</v>
      </c>
      <c r="F6723" s="9" t="s">
        <v>14388</v>
      </c>
    </row>
    <row r="6724" ht="33.75" customHeight="1">
      <c r="A6724" s="7">
        <v>241.0</v>
      </c>
      <c r="B6724" s="9" t="s">
        <v>13611</v>
      </c>
      <c r="C6724" s="9" t="s">
        <v>364</v>
      </c>
      <c r="D6724" s="9" t="s">
        <v>71</v>
      </c>
      <c r="E6724" s="6" t="s">
        <v>6825</v>
      </c>
      <c r="F6724" s="9" t="s">
        <v>14388</v>
      </c>
    </row>
    <row r="6725" ht="33.75" customHeight="1">
      <c r="A6725" s="7">
        <v>241.0</v>
      </c>
      <c r="B6725" s="9" t="s">
        <v>13611</v>
      </c>
      <c r="C6725" s="9" t="s">
        <v>364</v>
      </c>
      <c r="D6725" s="9" t="s">
        <v>73</v>
      </c>
      <c r="E6725" s="6" t="s">
        <v>6829</v>
      </c>
      <c r="F6725" s="9" t="s">
        <v>14388</v>
      </c>
    </row>
    <row r="6726" ht="33.75" customHeight="1">
      <c r="A6726" s="7">
        <v>241.0</v>
      </c>
      <c r="B6726" s="9" t="s">
        <v>13611</v>
      </c>
      <c r="C6726" s="9" t="s">
        <v>364</v>
      </c>
      <c r="D6726" s="9" t="s">
        <v>75</v>
      </c>
      <c r="E6726" s="6" t="s">
        <v>6830</v>
      </c>
      <c r="F6726" s="9" t="s">
        <v>14388</v>
      </c>
    </row>
    <row r="6727" ht="33.75" customHeight="1">
      <c r="A6727" s="7">
        <v>241.0</v>
      </c>
      <c r="B6727" s="9" t="s">
        <v>13611</v>
      </c>
      <c r="C6727" s="9" t="s">
        <v>364</v>
      </c>
      <c r="D6727" s="9" t="s">
        <v>79</v>
      </c>
      <c r="E6727" s="6" t="s">
        <v>6822</v>
      </c>
      <c r="F6727" s="9" t="s">
        <v>14388</v>
      </c>
    </row>
    <row r="6728" ht="33.75" customHeight="1">
      <c r="A6728" s="7">
        <v>241.0</v>
      </c>
      <c r="B6728" s="9" t="s">
        <v>13611</v>
      </c>
      <c r="C6728" s="9" t="s">
        <v>364</v>
      </c>
      <c r="D6728" s="9" t="s">
        <v>81</v>
      </c>
      <c r="E6728" s="6" t="s">
        <v>6831</v>
      </c>
      <c r="F6728" s="9" t="s">
        <v>14388</v>
      </c>
    </row>
    <row r="6729" ht="33.75" customHeight="1">
      <c r="A6729" s="7">
        <v>241.0</v>
      </c>
      <c r="B6729" s="9" t="s">
        <v>13611</v>
      </c>
      <c r="C6729" s="9" t="s">
        <v>364</v>
      </c>
      <c r="D6729" s="9" t="s">
        <v>84</v>
      </c>
      <c r="E6729" s="6" t="s">
        <v>6831</v>
      </c>
      <c r="F6729" s="9" t="s">
        <v>14388</v>
      </c>
    </row>
    <row r="6730" ht="33.75" customHeight="1">
      <c r="A6730" s="7">
        <v>241.0</v>
      </c>
      <c r="B6730" s="9" t="s">
        <v>13611</v>
      </c>
      <c r="C6730" s="9" t="s">
        <v>364</v>
      </c>
      <c r="D6730" s="9" t="s">
        <v>87</v>
      </c>
      <c r="E6730" s="6" t="s">
        <v>6831</v>
      </c>
      <c r="F6730" s="9" t="s">
        <v>14388</v>
      </c>
    </row>
    <row r="6731" ht="33.75" customHeight="1">
      <c r="A6731" s="7">
        <v>241.0</v>
      </c>
      <c r="B6731" s="9" t="s">
        <v>13611</v>
      </c>
      <c r="C6731" s="9" t="s">
        <v>364</v>
      </c>
      <c r="D6731" s="9" t="s">
        <v>89</v>
      </c>
      <c r="E6731" s="6" t="s">
        <v>6822</v>
      </c>
      <c r="F6731" s="9" t="s">
        <v>14388</v>
      </c>
    </row>
    <row r="6732" ht="33.75" customHeight="1">
      <c r="A6732" s="7">
        <v>241.0</v>
      </c>
      <c r="B6732" s="9" t="s">
        <v>13611</v>
      </c>
      <c r="C6732" s="9" t="s">
        <v>364</v>
      </c>
      <c r="D6732" s="9" t="s">
        <v>91</v>
      </c>
      <c r="E6732" s="6" t="s">
        <v>6832</v>
      </c>
      <c r="F6732" s="9" t="s">
        <v>14388</v>
      </c>
    </row>
    <row r="6733" ht="33.75" customHeight="1">
      <c r="A6733" s="7">
        <v>241.0</v>
      </c>
      <c r="B6733" s="9" t="s">
        <v>13611</v>
      </c>
      <c r="C6733" s="9" t="s">
        <v>364</v>
      </c>
      <c r="D6733" s="9" t="s">
        <v>93</v>
      </c>
      <c r="E6733" s="6" t="s">
        <v>6834</v>
      </c>
      <c r="F6733" s="9" t="s">
        <v>14388</v>
      </c>
    </row>
    <row r="6734" ht="33.75" customHeight="1">
      <c r="A6734" s="7">
        <v>241.0</v>
      </c>
      <c r="B6734" s="9" t="s">
        <v>13611</v>
      </c>
      <c r="C6734" s="9" t="s">
        <v>364</v>
      </c>
      <c r="D6734" s="9" t="s">
        <v>95</v>
      </c>
      <c r="E6734" s="6" t="s">
        <v>6834</v>
      </c>
      <c r="F6734" s="9" t="s">
        <v>14388</v>
      </c>
    </row>
    <row r="6735" ht="33.75" customHeight="1">
      <c r="A6735" s="7">
        <v>241.0</v>
      </c>
      <c r="B6735" s="9" t="s">
        <v>13611</v>
      </c>
      <c r="C6735" s="9" t="s">
        <v>364</v>
      </c>
      <c r="D6735" s="9" t="s">
        <v>98</v>
      </c>
      <c r="E6735" s="6" t="s">
        <v>6834</v>
      </c>
      <c r="F6735" s="9" t="s">
        <v>14388</v>
      </c>
    </row>
    <row r="6736" ht="33.75" customHeight="1">
      <c r="A6736" s="7">
        <v>241.0</v>
      </c>
      <c r="B6736" s="9" t="s">
        <v>13611</v>
      </c>
      <c r="C6736" s="9" t="s">
        <v>364</v>
      </c>
      <c r="D6736" s="9" t="s">
        <v>99</v>
      </c>
      <c r="E6736" s="6" t="s">
        <v>6834</v>
      </c>
      <c r="F6736" s="9" t="s">
        <v>14388</v>
      </c>
    </row>
    <row r="6737" ht="33.75" customHeight="1">
      <c r="A6737" s="7">
        <v>241.0</v>
      </c>
      <c r="B6737" s="9" t="s">
        <v>13611</v>
      </c>
      <c r="C6737" s="9" t="s">
        <v>364</v>
      </c>
      <c r="D6737" s="9" t="s">
        <v>101</v>
      </c>
      <c r="E6737" s="6" t="s">
        <v>6832</v>
      </c>
      <c r="F6737" s="9" t="s">
        <v>14388</v>
      </c>
    </row>
    <row r="6738" ht="33.75" customHeight="1">
      <c r="A6738" s="7">
        <v>241.0</v>
      </c>
      <c r="B6738" s="9" t="s">
        <v>13611</v>
      </c>
      <c r="C6738" s="9" t="s">
        <v>364</v>
      </c>
      <c r="D6738" s="9" t="s">
        <v>105</v>
      </c>
      <c r="E6738" s="6" t="s">
        <v>6822</v>
      </c>
      <c r="F6738" s="9" t="s">
        <v>14388</v>
      </c>
    </row>
    <row r="6739" ht="33.75" customHeight="1">
      <c r="A6739" s="7">
        <v>241.0</v>
      </c>
      <c r="B6739" s="9" t="s">
        <v>13611</v>
      </c>
      <c r="C6739" s="9" t="s">
        <v>364</v>
      </c>
      <c r="D6739" s="9" t="s">
        <v>107</v>
      </c>
      <c r="E6739" s="6" t="s">
        <v>6835</v>
      </c>
      <c r="F6739" s="9" t="s">
        <v>14388</v>
      </c>
    </row>
    <row r="6740" ht="33.75" customHeight="1">
      <c r="A6740" s="7">
        <v>241.0</v>
      </c>
      <c r="B6740" s="9" t="s">
        <v>13611</v>
      </c>
      <c r="C6740" s="9" t="s">
        <v>364</v>
      </c>
      <c r="D6740" s="9" t="s">
        <v>109</v>
      </c>
      <c r="E6740" s="6" t="s">
        <v>6835</v>
      </c>
      <c r="F6740" s="9" t="s">
        <v>14388</v>
      </c>
    </row>
    <row r="6741" ht="33.75" customHeight="1">
      <c r="A6741" s="7">
        <v>241.0</v>
      </c>
      <c r="B6741" s="9" t="s">
        <v>13611</v>
      </c>
      <c r="C6741" s="9" t="s">
        <v>364</v>
      </c>
      <c r="D6741" s="9" t="s">
        <v>637</v>
      </c>
      <c r="E6741" s="6" t="s">
        <v>6836</v>
      </c>
      <c r="F6741" s="9" t="s">
        <v>14388</v>
      </c>
    </row>
    <row r="6742" ht="33.75" customHeight="1">
      <c r="A6742" s="7">
        <v>241.0</v>
      </c>
      <c r="B6742" s="9" t="s">
        <v>13611</v>
      </c>
      <c r="C6742" s="9" t="s">
        <v>364</v>
      </c>
      <c r="D6742" s="9" t="s">
        <v>642</v>
      </c>
      <c r="E6742" s="6" t="s">
        <v>6838</v>
      </c>
      <c r="F6742" s="9" t="s">
        <v>14388</v>
      </c>
    </row>
    <row r="6743" ht="33.75" customHeight="1">
      <c r="A6743" s="7">
        <v>241.0</v>
      </c>
      <c r="B6743" s="9" t="s">
        <v>13611</v>
      </c>
      <c r="C6743" s="9" t="s">
        <v>364</v>
      </c>
      <c r="D6743" s="9" t="s">
        <v>647</v>
      </c>
      <c r="E6743" s="6" t="s">
        <v>6841</v>
      </c>
      <c r="F6743" s="9" t="s">
        <v>14388</v>
      </c>
    </row>
    <row r="6744" ht="33.75" customHeight="1">
      <c r="A6744" s="7">
        <v>241.0</v>
      </c>
      <c r="B6744" s="9" t="s">
        <v>13611</v>
      </c>
      <c r="C6744" s="9" t="s">
        <v>364</v>
      </c>
      <c r="D6744" s="9" t="s">
        <v>652</v>
      </c>
      <c r="E6744" s="6" t="s">
        <v>6842</v>
      </c>
      <c r="F6744" s="9" t="s">
        <v>14388</v>
      </c>
    </row>
    <row r="6745" ht="33.75" customHeight="1">
      <c r="A6745" s="7">
        <v>241.0</v>
      </c>
      <c r="B6745" s="9" t="s">
        <v>13611</v>
      </c>
      <c r="C6745" s="9" t="s">
        <v>364</v>
      </c>
      <c r="D6745" s="9" t="s">
        <v>114</v>
      </c>
      <c r="E6745" s="6" t="s">
        <v>6844</v>
      </c>
      <c r="F6745" s="9" t="s">
        <v>14388</v>
      </c>
    </row>
    <row r="6746" ht="33.75" customHeight="1">
      <c r="A6746" s="7">
        <v>241.0</v>
      </c>
      <c r="B6746" s="9" t="s">
        <v>13611</v>
      </c>
      <c r="C6746" s="9" t="s">
        <v>364</v>
      </c>
      <c r="D6746" s="9" t="s">
        <v>117</v>
      </c>
      <c r="E6746" s="6" t="s">
        <v>6845</v>
      </c>
      <c r="F6746" s="9" t="s">
        <v>14388</v>
      </c>
    </row>
    <row r="6747" ht="33.75" customHeight="1">
      <c r="A6747" s="7">
        <v>242.0</v>
      </c>
      <c r="B6747" s="9" t="s">
        <v>13631</v>
      </c>
      <c r="C6747" s="9" t="s">
        <v>272</v>
      </c>
      <c r="D6747" s="9" t="s">
        <v>52</v>
      </c>
      <c r="E6747" s="6" t="s">
        <v>6846</v>
      </c>
      <c r="F6747" s="9" t="s">
        <v>14412</v>
      </c>
      <c r="G6747" t="inlineStr" s="6">
        <is>
          <t xml:space="preserve">Anyone who takes even one bite of BLISSEY's egg be comes unfailingly caring and pleasant to everyone. It has a very com passionate nature. If it sees a sick POKéMON, it will nurse the sufferer back to health. Biting into one of the delicious eggs that BLISSEY provides will make everyone around smile with joy. BLISSEY senses sadness with its fluffy coat of fur. If it does so, this POKéMON will rush over to the sad person, however far they may be, to share an egg of happiness that brings a smile to any face. If it senses sadness with its fluffy fur, a BLISSEY will rush over to the sad person, however far away, to share an egg of happiness that brings a smile to any face. It has a very compassionate nature. Anyone who takes even one bite of BLISSEY’s egg becomes unfailingly caring and pleasant to everyone. This kindhearted Pokémon nurses sick Pokémon to health. It senses feelings of sadness. It is a Pokémon that delivers happiness. Eating its egg is said to make one kind to everyone. The eggs it lays are filled with happiness. Eating even one bite will bring a smile to anyone. Anyone who takes even one taste of BLISSEY’s egg becomes unfailingly caring and pleasant to everyone. If it does so, this Pokémon will rush over to a sad person, no matter how far away, to share a Lucky Egg that brings a smile to any face. Even the most ferocious Pokémon become calm when they eat Blissey’s egg, which is said to be filled with happiness. Its fluffy fur coat acts as a sensor, enabling it to read the feelings of people and Pokémon. Their eggs are such a delicacy that some say eating one will bring you happiness. These eggs fetch the highest prices on the market. This Pokémon is overflowing with love. Only Chansey that share a strong bond with their Trainer can evolve, so people say. Whenever a Blissey finds a weakened Pokémon, it will share its egg and offer its care until the other Pokémon is all better. Blissey lays mysterious eggs that are filled with happiness. It’s said that anyone who eats a Blissey egg will start acting kindly to all others. A kindhearted Pokémon that will care for any sick person or Pokémon until their health improves. The eggs it lays are delicious and bring good fortune to those who eat them.</t>
        </is>
      </c>
    </row>
    <row r="6748" ht="33.75" customHeight="1">
      <c r="A6748" s="7">
        <v>242.0</v>
      </c>
      <c r="B6748" s="9" t="s">
        <v>13631</v>
      </c>
      <c r="C6748" s="9" t="s">
        <v>272</v>
      </c>
      <c r="D6748" s="9" t="s">
        <v>59</v>
      </c>
      <c r="E6748" s="6" t="s">
        <v>6847</v>
      </c>
      <c r="F6748" s="9" t="s">
        <v>14412</v>
      </c>
    </row>
    <row r="6749" ht="33.75" customHeight="1">
      <c r="A6749" s="7">
        <v>242.0</v>
      </c>
      <c r="B6749" s="9" t="s">
        <v>13631</v>
      </c>
      <c r="C6749" s="9" t="s">
        <v>272</v>
      </c>
      <c r="D6749" s="9" t="s">
        <v>64</v>
      </c>
      <c r="E6749" s="6" t="s">
        <v>6848</v>
      </c>
      <c r="F6749" s="9" t="s">
        <v>14412</v>
      </c>
    </row>
    <row r="6750" ht="33.75" customHeight="1">
      <c r="A6750" s="7">
        <v>242.0</v>
      </c>
      <c r="B6750" s="9" t="s">
        <v>13631</v>
      </c>
      <c r="C6750" s="9" t="s">
        <v>272</v>
      </c>
      <c r="D6750" s="9" t="s">
        <v>67</v>
      </c>
      <c r="E6750" s="6" t="s">
        <v>6849</v>
      </c>
      <c r="F6750" s="9" t="s">
        <v>14412</v>
      </c>
    </row>
    <row r="6751" ht="33.75" customHeight="1">
      <c r="A6751" s="7">
        <v>242.0</v>
      </c>
      <c r="B6751" s="9" t="s">
        <v>13631</v>
      </c>
      <c r="C6751" s="9" t="s">
        <v>272</v>
      </c>
      <c r="D6751" s="9" t="s">
        <v>71</v>
      </c>
      <c r="E6751" s="6" t="s">
        <v>6849</v>
      </c>
      <c r="F6751" s="9" t="s">
        <v>14412</v>
      </c>
    </row>
    <row r="6752" ht="33.75" customHeight="1">
      <c r="A6752" s="7">
        <v>242.0</v>
      </c>
      <c r="B6752" s="9" t="s">
        <v>13631</v>
      </c>
      <c r="C6752" s="9" t="s">
        <v>272</v>
      </c>
      <c r="D6752" s="9" t="s">
        <v>73</v>
      </c>
      <c r="E6752" s="6" t="s">
        <v>6850</v>
      </c>
      <c r="F6752" s="9" t="s">
        <v>14412</v>
      </c>
    </row>
    <row r="6753" ht="33.75" customHeight="1">
      <c r="A6753" s="7">
        <v>242.0</v>
      </c>
      <c r="B6753" s="9" t="s">
        <v>13631</v>
      </c>
      <c r="C6753" s="9" t="s">
        <v>272</v>
      </c>
      <c r="D6753" s="9" t="s">
        <v>75</v>
      </c>
      <c r="E6753" s="6" t="s">
        <v>6852</v>
      </c>
      <c r="F6753" s="9" t="s">
        <v>14412</v>
      </c>
    </row>
    <row r="6754" ht="33.75" customHeight="1">
      <c r="A6754" s="7">
        <v>242.0</v>
      </c>
      <c r="B6754" s="9" t="s">
        <v>13631</v>
      </c>
      <c r="C6754" s="9" t="s">
        <v>272</v>
      </c>
      <c r="D6754" s="9" t="s">
        <v>79</v>
      </c>
      <c r="E6754" s="6" t="s">
        <v>6853</v>
      </c>
      <c r="F6754" s="9" t="s">
        <v>14412</v>
      </c>
    </row>
    <row r="6755" ht="33.75" customHeight="1">
      <c r="A6755" s="7">
        <v>242.0</v>
      </c>
      <c r="B6755" s="9" t="s">
        <v>13631</v>
      </c>
      <c r="C6755" s="9" t="s">
        <v>272</v>
      </c>
      <c r="D6755" s="9" t="s">
        <v>81</v>
      </c>
      <c r="E6755" s="6" t="s">
        <v>6855</v>
      </c>
      <c r="F6755" s="9" t="s">
        <v>14412</v>
      </c>
    </row>
    <row r="6756" ht="33.75" customHeight="1">
      <c r="A6756" s="7">
        <v>242.0</v>
      </c>
      <c r="B6756" s="9" t="s">
        <v>13631</v>
      </c>
      <c r="C6756" s="9" t="s">
        <v>272</v>
      </c>
      <c r="D6756" s="9" t="s">
        <v>84</v>
      </c>
      <c r="E6756" s="6" t="s">
        <v>6856</v>
      </c>
      <c r="F6756" s="9" t="s">
        <v>14412</v>
      </c>
    </row>
    <row r="6757" ht="33.75" customHeight="1">
      <c r="A6757" s="7">
        <v>242.0</v>
      </c>
      <c r="B6757" s="9" t="s">
        <v>13631</v>
      </c>
      <c r="C6757" s="9" t="s">
        <v>272</v>
      </c>
      <c r="D6757" s="9" t="s">
        <v>87</v>
      </c>
      <c r="E6757" s="6" t="s">
        <v>6858</v>
      </c>
      <c r="F6757" s="9" t="s">
        <v>14412</v>
      </c>
    </row>
    <row r="6758" ht="33.75" customHeight="1">
      <c r="A6758" s="7">
        <v>242.0</v>
      </c>
      <c r="B6758" s="9" t="s">
        <v>13631</v>
      </c>
      <c r="C6758" s="9" t="s">
        <v>272</v>
      </c>
      <c r="D6758" s="9" t="s">
        <v>89</v>
      </c>
      <c r="E6758" s="6" t="s">
        <v>6859</v>
      </c>
      <c r="F6758" s="9" t="s">
        <v>14412</v>
      </c>
    </row>
    <row r="6759" ht="33.75" customHeight="1">
      <c r="A6759" s="7">
        <v>242.0</v>
      </c>
      <c r="B6759" s="9" t="s">
        <v>13631</v>
      </c>
      <c r="C6759" s="9" t="s">
        <v>272</v>
      </c>
      <c r="D6759" s="9" t="s">
        <v>91</v>
      </c>
      <c r="E6759" s="6" t="s">
        <v>6860</v>
      </c>
      <c r="F6759" s="9" t="s">
        <v>14412</v>
      </c>
    </row>
    <row r="6760" ht="33.75" customHeight="1">
      <c r="A6760" s="7">
        <v>242.0</v>
      </c>
      <c r="B6760" s="9" t="s">
        <v>13631</v>
      </c>
      <c r="C6760" s="9" t="s">
        <v>272</v>
      </c>
      <c r="D6760" s="9" t="s">
        <v>93</v>
      </c>
      <c r="E6760" s="6" t="s">
        <v>6858</v>
      </c>
      <c r="F6760" s="9" t="s">
        <v>14412</v>
      </c>
    </row>
    <row r="6761" ht="33.75" customHeight="1">
      <c r="A6761" s="7">
        <v>242.0</v>
      </c>
      <c r="B6761" s="9" t="s">
        <v>13631</v>
      </c>
      <c r="C6761" s="9" t="s">
        <v>272</v>
      </c>
      <c r="D6761" s="9" t="s">
        <v>95</v>
      </c>
      <c r="E6761" s="6" t="s">
        <v>6858</v>
      </c>
      <c r="F6761" s="9" t="s">
        <v>14412</v>
      </c>
    </row>
    <row r="6762" ht="33.75" customHeight="1">
      <c r="A6762" s="7">
        <v>242.0</v>
      </c>
      <c r="B6762" s="9" t="s">
        <v>13631</v>
      </c>
      <c r="C6762" s="9" t="s">
        <v>272</v>
      </c>
      <c r="D6762" s="9" t="s">
        <v>98</v>
      </c>
      <c r="E6762" s="6" t="s">
        <v>6858</v>
      </c>
      <c r="F6762" s="9" t="s">
        <v>14412</v>
      </c>
    </row>
    <row r="6763" ht="33.75" customHeight="1">
      <c r="A6763" s="7">
        <v>242.0</v>
      </c>
      <c r="B6763" s="9" t="s">
        <v>13631</v>
      </c>
      <c r="C6763" s="9" t="s">
        <v>272</v>
      </c>
      <c r="D6763" s="9" t="s">
        <v>99</v>
      </c>
      <c r="E6763" s="6" t="s">
        <v>6858</v>
      </c>
      <c r="F6763" s="9" t="s">
        <v>14412</v>
      </c>
    </row>
    <row r="6764" ht="33.75" customHeight="1">
      <c r="A6764" s="7">
        <v>242.0</v>
      </c>
      <c r="B6764" s="9" t="s">
        <v>13631</v>
      </c>
      <c r="C6764" s="9" t="s">
        <v>272</v>
      </c>
      <c r="D6764" s="9" t="s">
        <v>101</v>
      </c>
      <c r="E6764" s="6" t="s">
        <v>6858</v>
      </c>
      <c r="F6764" s="9" t="s">
        <v>14412</v>
      </c>
    </row>
    <row r="6765" ht="33.75" customHeight="1">
      <c r="A6765" s="7">
        <v>242.0</v>
      </c>
      <c r="B6765" s="9" t="s">
        <v>13631</v>
      </c>
      <c r="C6765" s="9" t="s">
        <v>272</v>
      </c>
      <c r="D6765" s="9" t="s">
        <v>105</v>
      </c>
      <c r="E6765" s="6" t="s">
        <v>6855</v>
      </c>
      <c r="F6765" s="9" t="s">
        <v>14412</v>
      </c>
    </row>
    <row r="6766" ht="33.75" customHeight="1">
      <c r="A6766" s="7">
        <v>242.0</v>
      </c>
      <c r="B6766" s="9" t="s">
        <v>13631</v>
      </c>
      <c r="C6766" s="9" t="s">
        <v>272</v>
      </c>
      <c r="D6766" s="9" t="s">
        <v>107</v>
      </c>
      <c r="E6766" s="6" t="s">
        <v>6861</v>
      </c>
      <c r="F6766" s="9" t="s">
        <v>14412</v>
      </c>
    </row>
    <row r="6767" ht="33.75" customHeight="1">
      <c r="A6767" s="7">
        <v>242.0</v>
      </c>
      <c r="B6767" s="9" t="s">
        <v>13631</v>
      </c>
      <c r="C6767" s="9" t="s">
        <v>272</v>
      </c>
      <c r="D6767" s="9" t="s">
        <v>109</v>
      </c>
      <c r="E6767" s="6" t="s">
        <v>6861</v>
      </c>
      <c r="F6767" s="9" t="s">
        <v>14412</v>
      </c>
    </row>
    <row r="6768" ht="33.75" customHeight="1">
      <c r="A6768" s="7">
        <v>242.0</v>
      </c>
      <c r="B6768" s="9" t="s">
        <v>13631</v>
      </c>
      <c r="C6768" s="9" t="s">
        <v>272</v>
      </c>
      <c r="D6768" s="9" t="s">
        <v>637</v>
      </c>
      <c r="E6768" s="6" t="s">
        <v>6863</v>
      </c>
      <c r="F6768" s="9" t="s">
        <v>14412</v>
      </c>
    </row>
    <row r="6769" ht="33.75" customHeight="1">
      <c r="A6769" s="7">
        <v>242.0</v>
      </c>
      <c r="B6769" s="9" t="s">
        <v>13631</v>
      </c>
      <c r="C6769" s="9" t="s">
        <v>272</v>
      </c>
      <c r="D6769" s="9" t="s">
        <v>642</v>
      </c>
      <c r="E6769" s="6" t="s">
        <v>6864</v>
      </c>
      <c r="F6769" s="9" t="s">
        <v>14412</v>
      </c>
    </row>
    <row r="6770" ht="33.75" customHeight="1">
      <c r="A6770" s="7">
        <v>242.0</v>
      </c>
      <c r="B6770" s="9" t="s">
        <v>13631</v>
      </c>
      <c r="C6770" s="9" t="s">
        <v>272</v>
      </c>
      <c r="D6770" s="9" t="s">
        <v>647</v>
      </c>
      <c r="E6770" s="6" t="s">
        <v>6865</v>
      </c>
      <c r="F6770" s="9" t="s">
        <v>14412</v>
      </c>
    </row>
    <row r="6771" ht="33.75" customHeight="1">
      <c r="A6771" s="7">
        <v>242.0</v>
      </c>
      <c r="B6771" s="9" t="s">
        <v>13631</v>
      </c>
      <c r="C6771" s="9" t="s">
        <v>272</v>
      </c>
      <c r="D6771" s="9" t="s">
        <v>652</v>
      </c>
      <c r="E6771" s="6" t="s">
        <v>6866</v>
      </c>
      <c r="F6771" s="9" t="s">
        <v>14412</v>
      </c>
    </row>
    <row r="6772" ht="33.75" customHeight="1">
      <c r="A6772" s="7">
        <v>242.0</v>
      </c>
      <c r="B6772" s="9" t="s">
        <v>13631</v>
      </c>
      <c r="C6772" s="9" t="s">
        <v>272</v>
      </c>
      <c r="D6772" s="9" t="s">
        <v>114</v>
      </c>
      <c r="E6772" s="6" t="s">
        <v>6868</v>
      </c>
      <c r="F6772" s="9" t="s">
        <v>14412</v>
      </c>
    </row>
    <row r="6773" ht="33.75" customHeight="1">
      <c r="A6773" s="7">
        <v>242.0</v>
      </c>
      <c r="B6773" s="9" t="s">
        <v>13631</v>
      </c>
      <c r="C6773" s="9" t="s">
        <v>272</v>
      </c>
      <c r="D6773" s="9" t="s">
        <v>117</v>
      </c>
      <c r="E6773" s="6" t="s">
        <v>6869</v>
      </c>
      <c r="F6773" s="9" t="s">
        <v>14412</v>
      </c>
    </row>
    <row r="6774" ht="33.75" customHeight="1">
      <c r="A6774" s="7">
        <v>242.0</v>
      </c>
      <c r="B6774" s="9" t="s">
        <v>13631</v>
      </c>
      <c r="C6774" s="9" t="s">
        <v>272</v>
      </c>
      <c r="D6774" s="9" t="s">
        <v>1577</v>
      </c>
      <c r="E6774" s="6" t="s">
        <v>6870</v>
      </c>
      <c r="F6774" s="9" t="s">
        <v>14412</v>
      </c>
    </row>
    <row r="6775" ht="33.75" customHeight="1">
      <c r="A6775" s="7">
        <v>243.0</v>
      </c>
      <c r="B6775" s="9" t="s">
        <v>13654</v>
      </c>
      <c r="C6775" s="9" t="s">
        <v>365</v>
      </c>
      <c r="D6775" s="9" t="s">
        <v>52</v>
      </c>
      <c r="E6775" s="6" t="s">
        <v>6871</v>
      </c>
      <c r="F6775" s="9" t="s">
        <v>14432</v>
      </c>
      <c r="G6775" t="inlineStr" s="6">
        <is>
          <t xml:space="preserve">The rain clouds it carries let it fire thunderbolts at will. They say that it descended with lightning. A POKéMON that races across the land while barking a cry that sounds like crashing thunder. This rough POKéMON stores energy inside its body, then sweeps across the land, shooting off electricity. RAIKOU embodies the speed of lightning. The roars of this POKéMON send shock waves shuddering through the air and shake the ground as if lightning bolts had come crashing down. Its roars send shock waves shuddering through the air and ground as if lightning bolts were crashing down. This POKéMON races across the land while barking a cry that sounds like crashing thunder. It is said to have fallen with lightning. It can fire thunderbolts from the rain clouds on its back.</t>
        </is>
      </c>
    </row>
    <row r="6776" ht="33.75" customHeight="1">
      <c r="A6776" s="7">
        <v>243.0</v>
      </c>
      <c r="B6776" s="9" t="s">
        <v>13654</v>
      </c>
      <c r="C6776" s="9" t="s">
        <v>365</v>
      </c>
      <c r="D6776" s="9" t="s">
        <v>59</v>
      </c>
      <c r="E6776" s="6" t="s">
        <v>6873</v>
      </c>
      <c r="F6776" s="9" t="s">
        <v>14432</v>
      </c>
    </row>
    <row r="6777" ht="33.75" customHeight="1">
      <c r="A6777" s="7">
        <v>243.0</v>
      </c>
      <c r="B6777" s="9" t="s">
        <v>13654</v>
      </c>
      <c r="C6777" s="9" t="s">
        <v>365</v>
      </c>
      <c r="D6777" s="9" t="s">
        <v>64</v>
      </c>
      <c r="E6777" s="6" t="s">
        <v>6874</v>
      </c>
      <c r="F6777" s="9" t="s">
        <v>14432</v>
      </c>
    </row>
    <row r="6778" ht="33.75" customHeight="1">
      <c r="A6778" s="7">
        <v>243.0</v>
      </c>
      <c r="B6778" s="9" t="s">
        <v>13654</v>
      </c>
      <c r="C6778" s="9" t="s">
        <v>365</v>
      </c>
      <c r="D6778" s="9" t="s">
        <v>67</v>
      </c>
      <c r="E6778" s="6" t="s">
        <v>6875</v>
      </c>
      <c r="F6778" s="9" t="s">
        <v>14432</v>
      </c>
    </row>
    <row r="6779" ht="33.75" customHeight="1">
      <c r="A6779" s="7">
        <v>243.0</v>
      </c>
      <c r="B6779" s="9" t="s">
        <v>13654</v>
      </c>
      <c r="C6779" s="9" t="s">
        <v>365</v>
      </c>
      <c r="D6779" s="9" t="s">
        <v>71</v>
      </c>
      <c r="E6779" s="6" t="s">
        <v>6875</v>
      </c>
      <c r="F6779" s="9" t="s">
        <v>14432</v>
      </c>
    </row>
    <row r="6780" ht="33.75" customHeight="1">
      <c r="A6780" s="7">
        <v>243.0</v>
      </c>
      <c r="B6780" s="9" t="s">
        <v>13654</v>
      </c>
      <c r="C6780" s="9" t="s">
        <v>365</v>
      </c>
      <c r="D6780" s="9" t="s">
        <v>73</v>
      </c>
      <c r="E6780" s="6" t="s">
        <v>6876</v>
      </c>
      <c r="F6780" s="9" t="s">
        <v>14432</v>
      </c>
    </row>
    <row r="6781" ht="33.75" customHeight="1">
      <c r="A6781" s="7">
        <v>243.0</v>
      </c>
      <c r="B6781" s="9" t="s">
        <v>13654</v>
      </c>
      <c r="C6781" s="9" t="s">
        <v>365</v>
      </c>
      <c r="D6781" s="9" t="s">
        <v>75</v>
      </c>
      <c r="E6781" s="6" t="s">
        <v>6877</v>
      </c>
      <c r="F6781" s="9" t="s">
        <v>14432</v>
      </c>
    </row>
    <row r="6782" ht="33.75" customHeight="1">
      <c r="A6782" s="7">
        <v>243.0</v>
      </c>
      <c r="B6782" s="9" t="s">
        <v>13654</v>
      </c>
      <c r="C6782" s="9" t="s">
        <v>365</v>
      </c>
      <c r="D6782" s="9" t="s">
        <v>79</v>
      </c>
      <c r="E6782" s="6" t="s">
        <v>6871</v>
      </c>
      <c r="F6782" s="9" t="s">
        <v>14432</v>
      </c>
    </row>
    <row r="6783" ht="33.75" customHeight="1">
      <c r="A6783" s="7">
        <v>243.0</v>
      </c>
      <c r="B6783" s="9" t="s">
        <v>13654</v>
      </c>
      <c r="C6783" s="9" t="s">
        <v>365</v>
      </c>
      <c r="D6783" s="9" t="s">
        <v>81</v>
      </c>
      <c r="E6783" s="6" t="s">
        <v>6878</v>
      </c>
      <c r="F6783" s="9" t="s">
        <v>14432</v>
      </c>
    </row>
    <row r="6784" ht="33.75" customHeight="1">
      <c r="A6784" s="7">
        <v>243.0</v>
      </c>
      <c r="B6784" s="9" t="s">
        <v>13654</v>
      </c>
      <c r="C6784" s="9" t="s">
        <v>365</v>
      </c>
      <c r="D6784" s="9" t="s">
        <v>84</v>
      </c>
      <c r="E6784" s="6" t="s">
        <v>6878</v>
      </c>
      <c r="F6784" s="9" t="s">
        <v>14432</v>
      </c>
    </row>
    <row r="6785" ht="33.75" customHeight="1">
      <c r="A6785" s="7">
        <v>243.0</v>
      </c>
      <c r="B6785" s="9" t="s">
        <v>13654</v>
      </c>
      <c r="C6785" s="9" t="s">
        <v>365</v>
      </c>
      <c r="D6785" s="9" t="s">
        <v>87</v>
      </c>
      <c r="E6785" s="6" t="s">
        <v>6878</v>
      </c>
      <c r="F6785" s="9" t="s">
        <v>14432</v>
      </c>
    </row>
    <row r="6786" ht="33.75" customHeight="1">
      <c r="A6786" s="7">
        <v>243.0</v>
      </c>
      <c r="B6786" s="9" t="s">
        <v>13654</v>
      </c>
      <c r="C6786" s="9" t="s">
        <v>365</v>
      </c>
      <c r="D6786" s="9" t="s">
        <v>89</v>
      </c>
      <c r="E6786" s="6" t="s">
        <v>6871</v>
      </c>
      <c r="F6786" s="9" t="s">
        <v>14432</v>
      </c>
    </row>
    <row r="6787" ht="33.75" customHeight="1">
      <c r="A6787" s="7">
        <v>243.0</v>
      </c>
      <c r="B6787" s="9" t="s">
        <v>13654</v>
      </c>
      <c r="C6787" s="9" t="s">
        <v>365</v>
      </c>
      <c r="D6787" s="9" t="s">
        <v>91</v>
      </c>
      <c r="E6787" s="6" t="s">
        <v>6879</v>
      </c>
      <c r="F6787" s="9" t="s">
        <v>14432</v>
      </c>
    </row>
    <row r="6788" ht="33.75" customHeight="1">
      <c r="A6788" s="7">
        <v>243.0</v>
      </c>
      <c r="B6788" s="9" t="s">
        <v>13654</v>
      </c>
      <c r="C6788" s="9" t="s">
        <v>365</v>
      </c>
      <c r="D6788" s="9" t="s">
        <v>93</v>
      </c>
      <c r="E6788" s="6" t="s">
        <v>6878</v>
      </c>
      <c r="F6788" s="9" t="s">
        <v>14432</v>
      </c>
    </row>
    <row r="6789" ht="33.75" customHeight="1">
      <c r="A6789" s="7">
        <v>243.0</v>
      </c>
      <c r="B6789" s="9" t="s">
        <v>13654</v>
      </c>
      <c r="C6789" s="9" t="s">
        <v>365</v>
      </c>
      <c r="D6789" s="9" t="s">
        <v>95</v>
      </c>
      <c r="E6789" s="6" t="s">
        <v>6878</v>
      </c>
      <c r="F6789" s="9" t="s">
        <v>14432</v>
      </c>
    </row>
    <row r="6790" ht="33.75" customHeight="1">
      <c r="A6790" s="7">
        <v>243.0</v>
      </c>
      <c r="B6790" s="9" t="s">
        <v>13654</v>
      </c>
      <c r="C6790" s="9" t="s">
        <v>365</v>
      </c>
      <c r="D6790" s="9" t="s">
        <v>98</v>
      </c>
      <c r="E6790" s="6" t="s">
        <v>6878</v>
      </c>
      <c r="F6790" s="9" t="s">
        <v>14432</v>
      </c>
    </row>
    <row r="6791" ht="33.75" customHeight="1">
      <c r="A6791" s="7">
        <v>243.0</v>
      </c>
      <c r="B6791" s="9" t="s">
        <v>13654</v>
      </c>
      <c r="C6791" s="9" t="s">
        <v>365</v>
      </c>
      <c r="D6791" s="9" t="s">
        <v>99</v>
      </c>
      <c r="E6791" s="6" t="s">
        <v>6878</v>
      </c>
      <c r="F6791" s="9" t="s">
        <v>14432</v>
      </c>
    </row>
    <row r="6792" ht="33.75" customHeight="1">
      <c r="A6792" s="7">
        <v>243.0</v>
      </c>
      <c r="B6792" s="9" t="s">
        <v>13654</v>
      </c>
      <c r="C6792" s="9" t="s">
        <v>365</v>
      </c>
      <c r="D6792" s="9" t="s">
        <v>101</v>
      </c>
      <c r="E6792" s="6" t="s">
        <v>6871</v>
      </c>
      <c r="F6792" s="9" t="s">
        <v>14432</v>
      </c>
    </row>
    <row r="6793" ht="33.75" customHeight="1">
      <c r="A6793" s="7">
        <v>243.0</v>
      </c>
      <c r="B6793" s="9" t="s">
        <v>13654</v>
      </c>
      <c r="C6793" s="9" t="s">
        <v>365</v>
      </c>
      <c r="D6793" s="9" t="s">
        <v>105</v>
      </c>
      <c r="E6793" s="6" t="s">
        <v>6880</v>
      </c>
      <c r="F6793" s="9" t="s">
        <v>14432</v>
      </c>
    </row>
    <row r="6794" ht="33.75" customHeight="1">
      <c r="A6794" s="7">
        <v>243.0</v>
      </c>
      <c r="B6794" s="9" t="s">
        <v>13654</v>
      </c>
      <c r="C6794" s="9" t="s">
        <v>365</v>
      </c>
      <c r="D6794" s="9" t="s">
        <v>107</v>
      </c>
      <c r="E6794" s="6" t="s">
        <v>6882</v>
      </c>
      <c r="F6794" s="9" t="s">
        <v>14432</v>
      </c>
    </row>
    <row r="6795" ht="33.75" customHeight="1">
      <c r="A6795" s="7">
        <v>243.0</v>
      </c>
      <c r="B6795" s="9" t="s">
        <v>13654</v>
      </c>
      <c r="C6795" s="9" t="s">
        <v>365</v>
      </c>
      <c r="D6795" s="9" t="s">
        <v>109</v>
      </c>
      <c r="E6795" s="6" t="s">
        <v>6882</v>
      </c>
      <c r="F6795" s="9" t="s">
        <v>14432</v>
      </c>
    </row>
    <row r="6796" ht="33.75" customHeight="1">
      <c r="A6796" s="7">
        <v>244.0</v>
      </c>
      <c r="B6796" s="9" t="s">
        <v>13666</v>
      </c>
      <c r="C6796" s="9" t="s">
        <v>238</v>
      </c>
      <c r="D6796" s="9" t="s">
        <v>52</v>
      </c>
      <c r="E6796" s="6" t="s">
        <v>6883</v>
      </c>
      <c r="F6796" s="9" t="s">
        <v>14446</v>
      </c>
      <c r="G6796" t="inlineStr" s="6">
        <is>
          <t xml:space="preserve">Volcanoes erupt when it barks. Un able to restrain its extreme power, it races headlong around the land. A POKéMON that races across the land. It is said that one is born every time a new volcano appears. This brawny POKéMON courses around the earth, spouting flames hotter than a volcano's magma. ENTEI embodies the passion of magma. This POKéMON is thought to have been born in the eruption of a volcano. It sends up massive bursts of fire that utterly consume all that they touch. It is thought to have been born in the eruption of a volcano. It blasts fire that consumes all that it touches. Unable to restrain its extreme power, it races headlong around the land. It is said that when it roars, a volcano erupts somewhere around the globe. Unable to contain its sheer power, it races headlong around the land.</t>
        </is>
      </c>
    </row>
    <row r="6797" ht="33.75" customHeight="1">
      <c r="A6797" s="7">
        <v>244.0</v>
      </c>
      <c r="B6797" s="9" t="s">
        <v>13666</v>
      </c>
      <c r="C6797" s="9" t="s">
        <v>238</v>
      </c>
      <c r="D6797" s="9" t="s">
        <v>59</v>
      </c>
      <c r="E6797" s="6" t="s">
        <v>6885</v>
      </c>
      <c r="F6797" s="9" t="s">
        <v>14446</v>
      </c>
    </row>
    <row r="6798" ht="33.75" customHeight="1">
      <c r="A6798" s="7">
        <v>244.0</v>
      </c>
      <c r="B6798" s="9" t="s">
        <v>13666</v>
      </c>
      <c r="C6798" s="9" t="s">
        <v>238</v>
      </c>
      <c r="D6798" s="9" t="s">
        <v>64</v>
      </c>
      <c r="E6798" s="6" t="s">
        <v>6887</v>
      </c>
      <c r="F6798" s="9" t="s">
        <v>14446</v>
      </c>
    </row>
    <row r="6799" ht="33.75" customHeight="1">
      <c r="A6799" s="7">
        <v>244.0</v>
      </c>
      <c r="B6799" s="9" t="s">
        <v>13666</v>
      </c>
      <c r="C6799" s="9" t="s">
        <v>238</v>
      </c>
      <c r="D6799" s="9" t="s">
        <v>67</v>
      </c>
      <c r="E6799" s="6" t="s">
        <v>6889</v>
      </c>
      <c r="F6799" s="9" t="s">
        <v>14446</v>
      </c>
    </row>
    <row r="6800" ht="33.75" customHeight="1">
      <c r="A6800" s="7">
        <v>244.0</v>
      </c>
      <c r="B6800" s="9" t="s">
        <v>13666</v>
      </c>
      <c r="C6800" s="9" t="s">
        <v>238</v>
      </c>
      <c r="D6800" s="9" t="s">
        <v>71</v>
      </c>
      <c r="E6800" s="6" t="s">
        <v>6889</v>
      </c>
      <c r="F6800" s="9" t="s">
        <v>14446</v>
      </c>
    </row>
    <row r="6801" ht="33.75" customHeight="1">
      <c r="A6801" s="7">
        <v>244.0</v>
      </c>
      <c r="B6801" s="9" t="s">
        <v>13666</v>
      </c>
      <c r="C6801" s="9" t="s">
        <v>238</v>
      </c>
      <c r="D6801" s="9" t="s">
        <v>73</v>
      </c>
      <c r="E6801" s="6" t="s">
        <v>6890</v>
      </c>
      <c r="F6801" s="9" t="s">
        <v>14446</v>
      </c>
    </row>
    <row r="6802" ht="33.75" customHeight="1">
      <c r="A6802" s="7">
        <v>244.0</v>
      </c>
      <c r="B6802" s="9" t="s">
        <v>13666</v>
      </c>
      <c r="C6802" s="9" t="s">
        <v>238</v>
      </c>
      <c r="D6802" s="9" t="s">
        <v>75</v>
      </c>
      <c r="E6802" s="6" t="s">
        <v>6885</v>
      </c>
      <c r="F6802" s="9" t="s">
        <v>14446</v>
      </c>
    </row>
    <row r="6803" ht="33.75" customHeight="1">
      <c r="A6803" s="7">
        <v>244.0</v>
      </c>
      <c r="B6803" s="9" t="s">
        <v>13666</v>
      </c>
      <c r="C6803" s="9" t="s">
        <v>238</v>
      </c>
      <c r="D6803" s="9" t="s">
        <v>79</v>
      </c>
      <c r="E6803" s="6" t="s">
        <v>6892</v>
      </c>
      <c r="F6803" s="9" t="s">
        <v>14446</v>
      </c>
    </row>
    <row r="6804" ht="33.75" customHeight="1">
      <c r="A6804" s="7">
        <v>244.0</v>
      </c>
      <c r="B6804" s="9" t="s">
        <v>13666</v>
      </c>
      <c r="C6804" s="9" t="s">
        <v>238</v>
      </c>
      <c r="D6804" s="9" t="s">
        <v>81</v>
      </c>
      <c r="E6804" s="6" t="s">
        <v>6893</v>
      </c>
      <c r="F6804" s="9" t="s">
        <v>14446</v>
      </c>
    </row>
    <row r="6805" ht="33.75" customHeight="1">
      <c r="A6805" s="7">
        <v>244.0</v>
      </c>
      <c r="B6805" s="9" t="s">
        <v>13666</v>
      </c>
      <c r="C6805" s="9" t="s">
        <v>238</v>
      </c>
      <c r="D6805" s="9" t="s">
        <v>84</v>
      </c>
      <c r="E6805" s="6" t="s">
        <v>6893</v>
      </c>
      <c r="F6805" s="9" t="s">
        <v>14446</v>
      </c>
    </row>
    <row r="6806" ht="33.75" customHeight="1">
      <c r="A6806" s="7">
        <v>244.0</v>
      </c>
      <c r="B6806" s="9" t="s">
        <v>13666</v>
      </c>
      <c r="C6806" s="9" t="s">
        <v>238</v>
      </c>
      <c r="D6806" s="9" t="s">
        <v>87</v>
      </c>
      <c r="E6806" s="6" t="s">
        <v>6893</v>
      </c>
      <c r="F6806" s="9" t="s">
        <v>14446</v>
      </c>
    </row>
    <row r="6807" ht="33.75" customHeight="1">
      <c r="A6807" s="7">
        <v>244.0</v>
      </c>
      <c r="B6807" s="9" t="s">
        <v>13666</v>
      </c>
      <c r="C6807" s="9" t="s">
        <v>238</v>
      </c>
      <c r="D6807" s="9" t="s">
        <v>89</v>
      </c>
      <c r="E6807" s="6" t="s">
        <v>6895</v>
      </c>
      <c r="F6807" s="9" t="s">
        <v>14446</v>
      </c>
    </row>
    <row r="6808" ht="33.75" customHeight="1">
      <c r="A6808" s="7">
        <v>244.0</v>
      </c>
      <c r="B6808" s="9" t="s">
        <v>13666</v>
      </c>
      <c r="C6808" s="9" t="s">
        <v>238</v>
      </c>
      <c r="D6808" s="9" t="s">
        <v>91</v>
      </c>
      <c r="E6808" s="6" t="s">
        <v>6896</v>
      </c>
      <c r="F6808" s="9" t="s">
        <v>14446</v>
      </c>
    </row>
    <row r="6809" ht="33.75" customHeight="1">
      <c r="A6809" s="7">
        <v>244.0</v>
      </c>
      <c r="B6809" s="9" t="s">
        <v>13666</v>
      </c>
      <c r="C6809" s="9" t="s">
        <v>238</v>
      </c>
      <c r="D6809" s="9" t="s">
        <v>93</v>
      </c>
      <c r="E6809" s="6" t="s">
        <v>6893</v>
      </c>
      <c r="F6809" s="9" t="s">
        <v>14446</v>
      </c>
    </row>
    <row r="6810" ht="33.75" customHeight="1">
      <c r="A6810" s="7">
        <v>244.0</v>
      </c>
      <c r="B6810" s="9" t="s">
        <v>13666</v>
      </c>
      <c r="C6810" s="9" t="s">
        <v>238</v>
      </c>
      <c r="D6810" s="9" t="s">
        <v>95</v>
      </c>
      <c r="E6810" s="6" t="s">
        <v>6893</v>
      </c>
      <c r="F6810" s="9" t="s">
        <v>14446</v>
      </c>
    </row>
    <row r="6811" ht="33.75" customHeight="1">
      <c r="A6811" s="7">
        <v>244.0</v>
      </c>
      <c r="B6811" s="9" t="s">
        <v>13666</v>
      </c>
      <c r="C6811" s="9" t="s">
        <v>238</v>
      </c>
      <c r="D6811" s="9" t="s">
        <v>98</v>
      </c>
      <c r="E6811" s="6" t="s">
        <v>6893</v>
      </c>
      <c r="F6811" s="9" t="s">
        <v>14446</v>
      </c>
    </row>
    <row r="6812" ht="33.75" customHeight="1">
      <c r="A6812" s="7">
        <v>244.0</v>
      </c>
      <c r="B6812" s="9" t="s">
        <v>13666</v>
      </c>
      <c r="C6812" s="9" t="s">
        <v>238</v>
      </c>
      <c r="D6812" s="9" t="s">
        <v>99</v>
      </c>
      <c r="E6812" s="6" t="s">
        <v>6893</v>
      </c>
      <c r="F6812" s="9" t="s">
        <v>14446</v>
      </c>
    </row>
    <row r="6813" ht="33.75" customHeight="1">
      <c r="A6813" s="7">
        <v>244.0</v>
      </c>
      <c r="B6813" s="9" t="s">
        <v>13666</v>
      </c>
      <c r="C6813" s="9" t="s">
        <v>238</v>
      </c>
      <c r="D6813" s="9" t="s">
        <v>101</v>
      </c>
      <c r="E6813" s="6" t="s">
        <v>6896</v>
      </c>
      <c r="F6813" s="9" t="s">
        <v>14446</v>
      </c>
    </row>
    <row r="6814" ht="33.75" customHeight="1">
      <c r="A6814" s="7">
        <v>244.0</v>
      </c>
      <c r="B6814" s="9" t="s">
        <v>13666</v>
      </c>
      <c r="C6814" s="9" t="s">
        <v>238</v>
      </c>
      <c r="D6814" s="9" t="s">
        <v>105</v>
      </c>
      <c r="E6814" s="6" t="s">
        <v>6893</v>
      </c>
      <c r="F6814" s="9" t="s">
        <v>14446</v>
      </c>
    </row>
    <row r="6815" ht="33.75" customHeight="1">
      <c r="A6815" s="7">
        <v>244.0</v>
      </c>
      <c r="B6815" s="9" t="s">
        <v>13666</v>
      </c>
      <c r="C6815" s="9" t="s">
        <v>238</v>
      </c>
      <c r="D6815" s="9" t="s">
        <v>107</v>
      </c>
      <c r="E6815" s="6" t="s">
        <v>6898</v>
      </c>
      <c r="F6815" s="9" t="s">
        <v>14446</v>
      </c>
    </row>
    <row r="6816" ht="33.75" customHeight="1">
      <c r="A6816" s="7">
        <v>244.0</v>
      </c>
      <c r="B6816" s="9" t="s">
        <v>13666</v>
      </c>
      <c r="C6816" s="9" t="s">
        <v>238</v>
      </c>
      <c r="D6816" s="9" t="s">
        <v>109</v>
      </c>
      <c r="E6816" s="6" t="s">
        <v>6898</v>
      </c>
      <c r="F6816" s="9" t="s">
        <v>14446</v>
      </c>
    </row>
    <row r="6817" ht="33.75" customHeight="1">
      <c r="A6817" s="7">
        <v>245.0</v>
      </c>
      <c r="B6817" s="9" t="s">
        <v>13677</v>
      </c>
      <c r="C6817" s="9" t="s">
        <v>367</v>
      </c>
      <c r="D6817" s="9" t="s">
        <v>52</v>
      </c>
      <c r="E6817" s="6" t="s">
        <v>6901</v>
      </c>
      <c r="F6817" s="9" t="s">
        <v>14462</v>
      </c>
      <c r="G6817" t="inlineStr" s="6">
        <is>
          <t xml:space="preserve">Said to be the reincarnation of north winds, Suicune can instantly purify filthy, murky water. This POKéMON races across the land. It is said that north winds will somehow blow when ever it appears. This divine POKéMON blows around the world, always in search of a pure reservoir. SUICUNE embodies the compassion of a pure spring of water. It runs across the land with gracefulness. This POKéMON has the power to purify dirty water. It runs across the land with gliding elegance. It has the power to purify dirty water. It is said that north winds will somehow blow whenever it appears. It races around the world to purify fouled water. It dashes away with the north wind. Said to be the embodiment of north winds, it can instantly purify filthy, murky water.</t>
        </is>
      </c>
    </row>
    <row r="6818" ht="33.75" customHeight="1">
      <c r="A6818" s="7">
        <v>245.0</v>
      </c>
      <c r="B6818" s="9" t="s">
        <v>13677</v>
      </c>
      <c r="C6818" s="9" t="s">
        <v>367</v>
      </c>
      <c r="D6818" s="9" t="s">
        <v>59</v>
      </c>
      <c r="E6818" s="6" t="s">
        <v>6904</v>
      </c>
      <c r="F6818" s="9" t="s">
        <v>14462</v>
      </c>
    </row>
    <row r="6819" ht="33.75" customHeight="1">
      <c r="A6819" s="7">
        <v>245.0</v>
      </c>
      <c r="B6819" s="9" t="s">
        <v>13677</v>
      </c>
      <c r="C6819" s="9" t="s">
        <v>367</v>
      </c>
      <c r="D6819" s="9" t="s">
        <v>64</v>
      </c>
      <c r="E6819" s="6" t="s">
        <v>6905</v>
      </c>
      <c r="F6819" s="9" t="s">
        <v>14462</v>
      </c>
    </row>
    <row r="6820" ht="33.75" customHeight="1">
      <c r="A6820" s="7">
        <v>245.0</v>
      </c>
      <c r="B6820" s="9" t="s">
        <v>13677</v>
      </c>
      <c r="C6820" s="9" t="s">
        <v>367</v>
      </c>
      <c r="D6820" s="9" t="s">
        <v>67</v>
      </c>
      <c r="E6820" s="6" t="s">
        <v>6906</v>
      </c>
      <c r="F6820" s="9" t="s">
        <v>14462</v>
      </c>
    </row>
    <row r="6821" ht="33.75" customHeight="1">
      <c r="A6821" s="7">
        <v>245.0</v>
      </c>
      <c r="B6821" s="9" t="s">
        <v>13677</v>
      </c>
      <c r="C6821" s="9" t="s">
        <v>367</v>
      </c>
      <c r="D6821" s="9" t="s">
        <v>71</v>
      </c>
      <c r="E6821" s="6" t="s">
        <v>6906</v>
      </c>
      <c r="F6821" s="9" t="s">
        <v>14462</v>
      </c>
    </row>
    <row r="6822" ht="33.75" customHeight="1">
      <c r="A6822" s="7">
        <v>245.0</v>
      </c>
      <c r="B6822" s="9" t="s">
        <v>13677</v>
      </c>
      <c r="C6822" s="9" t="s">
        <v>367</v>
      </c>
      <c r="D6822" s="9" t="s">
        <v>73</v>
      </c>
      <c r="E6822" s="6" t="s">
        <v>6907</v>
      </c>
      <c r="F6822" s="9" t="s">
        <v>14462</v>
      </c>
    </row>
    <row r="6823" ht="33.75" customHeight="1">
      <c r="A6823" s="7">
        <v>245.0</v>
      </c>
      <c r="B6823" s="9" t="s">
        <v>13677</v>
      </c>
      <c r="C6823" s="9" t="s">
        <v>367</v>
      </c>
      <c r="D6823" s="9" t="s">
        <v>75</v>
      </c>
      <c r="E6823" s="6" t="s">
        <v>6908</v>
      </c>
      <c r="F6823" s="9" t="s">
        <v>14462</v>
      </c>
    </row>
    <row r="6824" ht="33.75" customHeight="1">
      <c r="A6824" s="7">
        <v>245.0</v>
      </c>
      <c r="B6824" s="9" t="s">
        <v>13677</v>
      </c>
      <c r="C6824" s="9" t="s">
        <v>367</v>
      </c>
      <c r="D6824" s="9" t="s">
        <v>79</v>
      </c>
      <c r="E6824" s="6" t="s">
        <v>6901</v>
      </c>
      <c r="F6824" s="9" t="s">
        <v>14462</v>
      </c>
    </row>
    <row r="6825" ht="33.75" customHeight="1">
      <c r="A6825" s="7">
        <v>245.0</v>
      </c>
      <c r="B6825" s="9" t="s">
        <v>13677</v>
      </c>
      <c r="C6825" s="9" t="s">
        <v>367</v>
      </c>
      <c r="D6825" s="9" t="s">
        <v>81</v>
      </c>
      <c r="E6825" s="6" t="s">
        <v>6910</v>
      </c>
      <c r="F6825" s="9" t="s">
        <v>14462</v>
      </c>
    </row>
    <row r="6826" ht="33.75" customHeight="1">
      <c r="A6826" s="7">
        <v>245.0</v>
      </c>
      <c r="B6826" s="9" t="s">
        <v>13677</v>
      </c>
      <c r="C6826" s="9" t="s">
        <v>367</v>
      </c>
      <c r="D6826" s="9" t="s">
        <v>84</v>
      </c>
      <c r="E6826" s="6" t="s">
        <v>6910</v>
      </c>
      <c r="F6826" s="9" t="s">
        <v>14462</v>
      </c>
    </row>
    <row r="6827" ht="33.75" customHeight="1">
      <c r="A6827" s="7">
        <v>245.0</v>
      </c>
      <c r="B6827" s="9" t="s">
        <v>13677</v>
      </c>
      <c r="C6827" s="9" t="s">
        <v>367</v>
      </c>
      <c r="D6827" s="9" t="s">
        <v>87</v>
      </c>
      <c r="E6827" s="6" t="s">
        <v>6910</v>
      </c>
      <c r="F6827" s="9" t="s">
        <v>14462</v>
      </c>
    </row>
    <row r="6828" ht="33.75" customHeight="1">
      <c r="A6828" s="7">
        <v>245.0</v>
      </c>
      <c r="B6828" s="9" t="s">
        <v>13677</v>
      </c>
      <c r="C6828" s="9" t="s">
        <v>367</v>
      </c>
      <c r="D6828" s="9" t="s">
        <v>89</v>
      </c>
      <c r="E6828" s="6" t="s">
        <v>6911</v>
      </c>
      <c r="F6828" s="9" t="s">
        <v>14462</v>
      </c>
    </row>
    <row r="6829" ht="33.75" customHeight="1">
      <c r="A6829" s="7">
        <v>245.0</v>
      </c>
      <c r="B6829" s="9" t="s">
        <v>13677</v>
      </c>
      <c r="C6829" s="9" t="s">
        <v>367</v>
      </c>
      <c r="D6829" s="9" t="s">
        <v>91</v>
      </c>
      <c r="E6829" s="6" t="s">
        <v>6913</v>
      </c>
      <c r="F6829" s="9" t="s">
        <v>14462</v>
      </c>
    </row>
    <row r="6830" ht="33.75" customHeight="1">
      <c r="A6830" s="7">
        <v>245.0</v>
      </c>
      <c r="B6830" s="9" t="s">
        <v>13677</v>
      </c>
      <c r="C6830" s="9" t="s">
        <v>367</v>
      </c>
      <c r="D6830" s="9" t="s">
        <v>93</v>
      </c>
      <c r="E6830" s="6" t="s">
        <v>6910</v>
      </c>
      <c r="F6830" s="9" t="s">
        <v>14462</v>
      </c>
    </row>
    <row r="6831" ht="33.75" customHeight="1">
      <c r="A6831" s="7">
        <v>245.0</v>
      </c>
      <c r="B6831" s="9" t="s">
        <v>13677</v>
      </c>
      <c r="C6831" s="9" t="s">
        <v>367</v>
      </c>
      <c r="D6831" s="9" t="s">
        <v>95</v>
      </c>
      <c r="E6831" s="6" t="s">
        <v>6910</v>
      </c>
      <c r="F6831" s="9" t="s">
        <v>14462</v>
      </c>
    </row>
    <row r="6832" ht="33.75" customHeight="1">
      <c r="A6832" s="7">
        <v>245.0</v>
      </c>
      <c r="B6832" s="9" t="s">
        <v>13677</v>
      </c>
      <c r="C6832" s="9" t="s">
        <v>367</v>
      </c>
      <c r="D6832" s="9" t="s">
        <v>98</v>
      </c>
      <c r="E6832" s="6" t="s">
        <v>6910</v>
      </c>
      <c r="F6832" s="9" t="s">
        <v>14462</v>
      </c>
    </row>
    <row r="6833" ht="33.75" customHeight="1">
      <c r="A6833" s="7">
        <v>245.0</v>
      </c>
      <c r="B6833" s="9" t="s">
        <v>13677</v>
      </c>
      <c r="C6833" s="9" t="s">
        <v>367</v>
      </c>
      <c r="D6833" s="9" t="s">
        <v>99</v>
      </c>
      <c r="E6833" s="6" t="s">
        <v>6910</v>
      </c>
      <c r="F6833" s="9" t="s">
        <v>14462</v>
      </c>
    </row>
    <row r="6834" ht="33.75" customHeight="1">
      <c r="A6834" s="7">
        <v>245.0</v>
      </c>
      <c r="B6834" s="9" t="s">
        <v>13677</v>
      </c>
      <c r="C6834" s="9" t="s">
        <v>367</v>
      </c>
      <c r="D6834" s="9" t="s">
        <v>101</v>
      </c>
      <c r="E6834" s="6" t="s">
        <v>6910</v>
      </c>
      <c r="F6834" s="9" t="s">
        <v>14462</v>
      </c>
    </row>
    <row r="6835" ht="33.75" customHeight="1">
      <c r="A6835" s="7">
        <v>245.0</v>
      </c>
      <c r="B6835" s="9" t="s">
        <v>13677</v>
      </c>
      <c r="C6835" s="9" t="s">
        <v>367</v>
      </c>
      <c r="D6835" s="9" t="s">
        <v>105</v>
      </c>
      <c r="E6835" s="6" t="s">
        <v>6911</v>
      </c>
      <c r="F6835" s="9" t="s">
        <v>14462</v>
      </c>
    </row>
    <row r="6836" ht="33.75" customHeight="1">
      <c r="A6836" s="7">
        <v>245.0</v>
      </c>
      <c r="B6836" s="9" t="s">
        <v>13677</v>
      </c>
      <c r="C6836" s="9" t="s">
        <v>367</v>
      </c>
      <c r="D6836" s="9" t="s">
        <v>107</v>
      </c>
      <c r="E6836" s="6" t="s">
        <v>6914</v>
      </c>
      <c r="F6836" s="9" t="s">
        <v>14462</v>
      </c>
    </row>
    <row r="6837" ht="33.75" customHeight="1">
      <c r="A6837" s="7">
        <v>245.0</v>
      </c>
      <c r="B6837" s="9" t="s">
        <v>13677</v>
      </c>
      <c r="C6837" s="9" t="s">
        <v>367</v>
      </c>
      <c r="D6837" s="9" t="s">
        <v>109</v>
      </c>
      <c r="E6837" s="6" t="s">
        <v>6914</v>
      </c>
      <c r="F6837" s="9" t="s">
        <v>14462</v>
      </c>
    </row>
    <row r="6838" ht="33.75" customHeight="1">
      <c r="A6838" s="7">
        <v>246.0</v>
      </c>
      <c r="B6838" s="9" t="s">
        <v>13690</v>
      </c>
      <c r="C6838" s="9" t="s">
        <v>370</v>
      </c>
      <c r="D6838" s="9" t="s">
        <v>52</v>
      </c>
      <c r="E6838" s="6" t="s">
        <v>6915</v>
      </c>
      <c r="F6838" s="9" t="s">
        <v>14474</v>
      </c>
      <c r="G6838" t="inlineStr" s="6">
        <is>
          <t xml:space="preserve">Larvitar feeds on soil. After it has eaten a large mountain, it will fall asleep so it can grow. It is born deep underground. It can't emerge until it has entirely consumed the soil around it. Born deep under ground, this POKéMON becomes a pupa after eating enough dirt to make a mountain. LARVITAR is born deep under the ground. To come up to the surface, this POKéMON must eat its way through the soil above. Until it does so, LARVITAR cannot see its parent’s face. A LARVITAR is born deep under the ground. It must eat its way through the soil above and reach the surface for it to see its parents’ faces. A Pokémon that eats soil. Once it has eaten a large mountain, it goes to sleep so it can grow. After it has eaten a large mountain, it falls asleep so it can grow. Born deep underground, it comes aboveground and becomes a pupa once it has finished eating the surrounding soil. Until it does so, Larvitar cannot see its parents. Born underground, it eats its way through dirt to the surface, where its parents are. It doesn’t deal well with the bright light it finds there. Raised on nutrients it finds in the dirt, it eats roughly a mountain’s worth of dirt before it becomes a pupa.</t>
        </is>
      </c>
    </row>
    <row r="6839" ht="33.75" customHeight="1">
      <c r="A6839" s="7">
        <v>246.0</v>
      </c>
      <c r="B6839" s="9" t="s">
        <v>13690</v>
      </c>
      <c r="C6839" s="9" t="s">
        <v>370</v>
      </c>
      <c r="D6839" s="9" t="s">
        <v>59</v>
      </c>
      <c r="E6839" s="6" t="s">
        <v>6917</v>
      </c>
      <c r="F6839" s="9" t="s">
        <v>14474</v>
      </c>
    </row>
    <row r="6840" ht="33.75" customHeight="1">
      <c r="A6840" s="7">
        <v>246.0</v>
      </c>
      <c r="B6840" s="9" t="s">
        <v>13690</v>
      </c>
      <c r="C6840" s="9" t="s">
        <v>370</v>
      </c>
      <c r="D6840" s="9" t="s">
        <v>64</v>
      </c>
      <c r="E6840" s="6" t="s">
        <v>6919</v>
      </c>
      <c r="F6840" s="9" t="s">
        <v>14474</v>
      </c>
    </row>
    <row r="6841" ht="33.75" customHeight="1">
      <c r="A6841" s="7">
        <v>246.0</v>
      </c>
      <c r="B6841" s="9" t="s">
        <v>13690</v>
      </c>
      <c r="C6841" s="9" t="s">
        <v>370</v>
      </c>
      <c r="D6841" s="9" t="s">
        <v>67</v>
      </c>
      <c r="E6841" s="6" t="s">
        <v>6920</v>
      </c>
      <c r="F6841" s="9" t="s">
        <v>14474</v>
      </c>
    </row>
    <row r="6842" ht="33.75" customHeight="1">
      <c r="A6842" s="7">
        <v>246.0</v>
      </c>
      <c r="B6842" s="9" t="s">
        <v>13690</v>
      </c>
      <c r="C6842" s="9" t="s">
        <v>370</v>
      </c>
      <c r="D6842" s="9" t="s">
        <v>71</v>
      </c>
      <c r="E6842" s="6" t="s">
        <v>6920</v>
      </c>
      <c r="F6842" s="9" t="s">
        <v>14474</v>
      </c>
    </row>
    <row r="6843" ht="33.75" customHeight="1">
      <c r="A6843" s="7">
        <v>246.0</v>
      </c>
      <c r="B6843" s="9" t="s">
        <v>13690</v>
      </c>
      <c r="C6843" s="9" t="s">
        <v>370</v>
      </c>
      <c r="D6843" s="9" t="s">
        <v>73</v>
      </c>
      <c r="E6843" s="6" t="s">
        <v>6922</v>
      </c>
      <c r="F6843" s="9" t="s">
        <v>14474</v>
      </c>
    </row>
    <row r="6844" ht="33.75" customHeight="1">
      <c r="A6844" s="7">
        <v>246.0</v>
      </c>
      <c r="B6844" s="9" t="s">
        <v>13690</v>
      </c>
      <c r="C6844" s="9" t="s">
        <v>370</v>
      </c>
      <c r="D6844" s="9" t="s">
        <v>75</v>
      </c>
      <c r="E6844" s="6" t="s">
        <v>6924</v>
      </c>
      <c r="F6844" s="9" t="s">
        <v>14474</v>
      </c>
    </row>
    <row r="6845" ht="33.75" customHeight="1">
      <c r="A6845" s="7">
        <v>246.0</v>
      </c>
      <c r="B6845" s="9" t="s">
        <v>13690</v>
      </c>
      <c r="C6845" s="9" t="s">
        <v>370</v>
      </c>
      <c r="D6845" s="9" t="s">
        <v>79</v>
      </c>
      <c r="E6845" s="6" t="s">
        <v>6915</v>
      </c>
      <c r="F6845" s="9" t="s">
        <v>14474</v>
      </c>
    </row>
    <row r="6846" ht="33.75" customHeight="1">
      <c r="A6846" s="7">
        <v>246.0</v>
      </c>
      <c r="B6846" s="9" t="s">
        <v>13690</v>
      </c>
      <c r="C6846" s="9" t="s">
        <v>370</v>
      </c>
      <c r="D6846" s="9" t="s">
        <v>81</v>
      </c>
      <c r="E6846" s="6" t="s">
        <v>6926</v>
      </c>
      <c r="F6846" s="9" t="s">
        <v>14474</v>
      </c>
    </row>
    <row r="6847" ht="33.75" customHeight="1">
      <c r="A6847" s="7">
        <v>246.0</v>
      </c>
      <c r="B6847" s="9" t="s">
        <v>13690</v>
      </c>
      <c r="C6847" s="9" t="s">
        <v>370</v>
      </c>
      <c r="D6847" s="9" t="s">
        <v>84</v>
      </c>
      <c r="E6847" s="6" t="s">
        <v>6926</v>
      </c>
      <c r="F6847" s="9" t="s">
        <v>14474</v>
      </c>
    </row>
    <row r="6848" ht="33.75" customHeight="1">
      <c r="A6848" s="7">
        <v>246.0</v>
      </c>
      <c r="B6848" s="9" t="s">
        <v>13690</v>
      </c>
      <c r="C6848" s="9" t="s">
        <v>370</v>
      </c>
      <c r="D6848" s="9" t="s">
        <v>87</v>
      </c>
      <c r="E6848" s="6" t="s">
        <v>6926</v>
      </c>
      <c r="F6848" s="9" t="s">
        <v>14474</v>
      </c>
    </row>
    <row r="6849" ht="33.75" customHeight="1">
      <c r="A6849" s="7">
        <v>246.0</v>
      </c>
      <c r="B6849" s="9" t="s">
        <v>13690</v>
      </c>
      <c r="C6849" s="9" t="s">
        <v>370</v>
      </c>
      <c r="D6849" s="9" t="s">
        <v>89</v>
      </c>
      <c r="E6849" s="6" t="s">
        <v>6927</v>
      </c>
      <c r="F6849" s="9" t="s">
        <v>14474</v>
      </c>
    </row>
    <row r="6850" ht="33.75" customHeight="1">
      <c r="A6850" s="7">
        <v>246.0</v>
      </c>
      <c r="B6850" s="9" t="s">
        <v>13690</v>
      </c>
      <c r="C6850" s="9" t="s">
        <v>370</v>
      </c>
      <c r="D6850" s="9" t="s">
        <v>91</v>
      </c>
      <c r="E6850" s="6" t="s">
        <v>6924</v>
      </c>
      <c r="F6850" s="9" t="s">
        <v>14474</v>
      </c>
    </row>
    <row r="6851" ht="33.75" customHeight="1">
      <c r="A6851" s="7">
        <v>246.0</v>
      </c>
      <c r="B6851" s="9" t="s">
        <v>13690</v>
      </c>
      <c r="C6851" s="9" t="s">
        <v>370</v>
      </c>
      <c r="D6851" s="9" t="s">
        <v>93</v>
      </c>
      <c r="E6851" s="6" t="s">
        <v>6926</v>
      </c>
      <c r="F6851" s="9" t="s">
        <v>14474</v>
      </c>
    </row>
    <row r="6852" ht="33.75" customHeight="1">
      <c r="A6852" s="7">
        <v>246.0</v>
      </c>
      <c r="B6852" s="9" t="s">
        <v>13690</v>
      </c>
      <c r="C6852" s="9" t="s">
        <v>370</v>
      </c>
      <c r="D6852" s="9" t="s">
        <v>95</v>
      </c>
      <c r="E6852" s="6" t="s">
        <v>6926</v>
      </c>
      <c r="F6852" s="9" t="s">
        <v>14474</v>
      </c>
    </row>
    <row r="6853" ht="33.75" customHeight="1">
      <c r="A6853" s="7">
        <v>246.0</v>
      </c>
      <c r="B6853" s="9" t="s">
        <v>13690</v>
      </c>
      <c r="C6853" s="9" t="s">
        <v>370</v>
      </c>
      <c r="D6853" s="9" t="s">
        <v>98</v>
      </c>
      <c r="E6853" s="6" t="s">
        <v>6929</v>
      </c>
      <c r="F6853" s="9" t="s">
        <v>14474</v>
      </c>
    </row>
    <row r="6854" ht="33.75" customHeight="1">
      <c r="A6854" s="7">
        <v>246.0</v>
      </c>
      <c r="B6854" s="9" t="s">
        <v>13690</v>
      </c>
      <c r="C6854" s="9" t="s">
        <v>370</v>
      </c>
      <c r="D6854" s="9" t="s">
        <v>99</v>
      </c>
      <c r="E6854" s="6" t="s">
        <v>6929</v>
      </c>
      <c r="F6854" s="9" t="s">
        <v>14474</v>
      </c>
    </row>
    <row r="6855" ht="33.75" customHeight="1">
      <c r="A6855" s="7">
        <v>246.0</v>
      </c>
      <c r="B6855" s="9" t="s">
        <v>13690</v>
      </c>
      <c r="C6855" s="9" t="s">
        <v>370</v>
      </c>
      <c r="D6855" s="9" t="s">
        <v>101</v>
      </c>
      <c r="E6855" s="6" t="s">
        <v>6927</v>
      </c>
      <c r="F6855" s="9" t="s">
        <v>14474</v>
      </c>
    </row>
    <row r="6856" ht="33.75" customHeight="1">
      <c r="A6856" s="7">
        <v>246.0</v>
      </c>
      <c r="B6856" s="9" t="s">
        <v>13690</v>
      </c>
      <c r="C6856" s="9" t="s">
        <v>370</v>
      </c>
      <c r="D6856" s="9" t="s">
        <v>105</v>
      </c>
      <c r="E6856" s="6" t="s">
        <v>6929</v>
      </c>
      <c r="F6856" s="9" t="s">
        <v>14474</v>
      </c>
    </row>
    <row r="6857" ht="33.75" customHeight="1">
      <c r="A6857" s="7">
        <v>246.0</v>
      </c>
      <c r="B6857" s="9" t="s">
        <v>13690</v>
      </c>
      <c r="C6857" s="9" t="s">
        <v>370</v>
      </c>
      <c r="D6857" s="9" t="s">
        <v>107</v>
      </c>
      <c r="E6857" s="6" t="s">
        <v>6930</v>
      </c>
      <c r="F6857" s="9" t="s">
        <v>14474</v>
      </c>
    </row>
    <row r="6858" ht="33.75" customHeight="1">
      <c r="A6858" s="7">
        <v>246.0</v>
      </c>
      <c r="B6858" s="9" t="s">
        <v>13690</v>
      </c>
      <c r="C6858" s="9" t="s">
        <v>370</v>
      </c>
      <c r="D6858" s="9" t="s">
        <v>109</v>
      </c>
      <c r="E6858" s="6" t="s">
        <v>6930</v>
      </c>
      <c r="F6858" s="9" t="s">
        <v>14474</v>
      </c>
    </row>
    <row r="6859" ht="33.75" customHeight="1">
      <c r="A6859" s="7">
        <v>246.0</v>
      </c>
      <c r="B6859" s="9" t="s">
        <v>13690</v>
      </c>
      <c r="C6859" s="9" t="s">
        <v>370</v>
      </c>
      <c r="D6859" s="9" t="s">
        <v>647</v>
      </c>
      <c r="E6859" s="6" t="s">
        <v>6931</v>
      </c>
      <c r="F6859" s="9" t="s">
        <v>14474</v>
      </c>
    </row>
    <row r="6860" ht="33.75" customHeight="1">
      <c r="A6860" s="7">
        <v>246.0</v>
      </c>
      <c r="B6860" s="9" t="s">
        <v>13690</v>
      </c>
      <c r="C6860" s="9" t="s">
        <v>370</v>
      </c>
      <c r="D6860" s="9" t="s">
        <v>652</v>
      </c>
      <c r="E6860" s="6" t="s">
        <v>6932</v>
      </c>
      <c r="F6860" s="9" t="s">
        <v>14474</v>
      </c>
    </row>
    <row r="6861" ht="33.75" customHeight="1">
      <c r="A6861" s="7">
        <v>246.0</v>
      </c>
      <c r="B6861" s="9" t="s">
        <v>13690</v>
      </c>
      <c r="C6861" s="9" t="s">
        <v>370</v>
      </c>
      <c r="D6861" s="9" t="s">
        <v>114</v>
      </c>
      <c r="E6861" s="6" t="s">
        <v>6929</v>
      </c>
      <c r="F6861" s="9" t="s">
        <v>14474</v>
      </c>
    </row>
    <row r="6862" ht="33.75" customHeight="1">
      <c r="A6862" s="7">
        <v>246.0</v>
      </c>
      <c r="B6862" s="9" t="s">
        <v>13690</v>
      </c>
      <c r="C6862" s="9" t="s">
        <v>370</v>
      </c>
      <c r="D6862" s="9" t="s">
        <v>117</v>
      </c>
      <c r="E6862" s="6" t="s">
        <v>6915</v>
      </c>
      <c r="F6862" s="9" t="s">
        <v>14474</v>
      </c>
    </row>
    <row r="6863" ht="33.75" customHeight="1">
      <c r="A6863" s="7">
        <v>247.0</v>
      </c>
      <c r="B6863" s="9" t="s">
        <v>13703</v>
      </c>
      <c r="C6863" s="9" t="s">
        <v>371</v>
      </c>
      <c r="D6863" s="9" t="s">
        <v>52</v>
      </c>
      <c r="E6863" s="6" t="s">
        <v>6933</v>
      </c>
      <c r="F6863" s="9" t="s">
        <v>14484</v>
      </c>
      <c r="G6863" t="inlineStr" s="6">
        <is>
          <t xml:space="preserve">Pupitar's shell is as hard as sheet rock, and it is also very strong. Its THRASHING can topple a mountain. Even sealed in its shell, it can move freely. Hard and fast, it has out standing destructive power. It will not stay still, even while it's a pupa. It already has arms and legs under its solid shell. PUPITAR creates a gas inside its body that it compresses and forcefully ejects to propel itself like a jet. The body is very durable - it avoids damage even if it hits solid steel. A PUPITAR creates a gas inside its body that it ejects under compression to propel itself like a jet. Its body can withstand a collision with solid steel. Hard and fast, it has outstanding destructive power. Its body is as hard as bedrock. By venting pressurized gas, it can launch itself like a rocket. This pupa flies around wildly by venting with great force the gas pressurized inside its body. The body is very durable—it avoids damage even if it hits solid steel. This troublesome Pokémon can’t wait to evolve, so it relieves its stress by wildly propelling itself around using compressed gas. This dangerous pupa thrashes about. Its shell is as hard as bedrock, containing its gradually forming new body within.</t>
        </is>
      </c>
    </row>
    <row r="6864" ht="33.75" customHeight="1">
      <c r="A6864" s="7">
        <v>247.0</v>
      </c>
      <c r="B6864" s="9" t="s">
        <v>13703</v>
      </c>
      <c r="C6864" s="9" t="s">
        <v>371</v>
      </c>
      <c r="D6864" s="9" t="s">
        <v>59</v>
      </c>
      <c r="E6864" s="6" t="s">
        <v>6935</v>
      </c>
      <c r="F6864" s="9" t="s">
        <v>14484</v>
      </c>
    </row>
    <row r="6865" ht="33.75" customHeight="1">
      <c r="A6865" s="7">
        <v>247.0</v>
      </c>
      <c r="B6865" s="9" t="s">
        <v>13703</v>
      </c>
      <c r="C6865" s="9" t="s">
        <v>371</v>
      </c>
      <c r="D6865" s="9" t="s">
        <v>64</v>
      </c>
      <c r="E6865" s="6" t="s">
        <v>6936</v>
      </c>
      <c r="F6865" s="9" t="s">
        <v>14484</v>
      </c>
    </row>
    <row r="6866" ht="33.75" customHeight="1">
      <c r="A6866" s="7">
        <v>247.0</v>
      </c>
      <c r="B6866" s="9" t="s">
        <v>13703</v>
      </c>
      <c r="C6866" s="9" t="s">
        <v>371</v>
      </c>
      <c r="D6866" s="9" t="s">
        <v>67</v>
      </c>
      <c r="E6866" s="6" t="s">
        <v>6937</v>
      </c>
      <c r="F6866" s="9" t="s">
        <v>14484</v>
      </c>
    </row>
    <row r="6867" ht="33.75" customHeight="1">
      <c r="A6867" s="7">
        <v>247.0</v>
      </c>
      <c r="B6867" s="9" t="s">
        <v>13703</v>
      </c>
      <c r="C6867" s="9" t="s">
        <v>371</v>
      </c>
      <c r="D6867" s="9" t="s">
        <v>71</v>
      </c>
      <c r="E6867" s="6" t="s">
        <v>6937</v>
      </c>
      <c r="F6867" s="9" t="s">
        <v>14484</v>
      </c>
    </row>
    <row r="6868" ht="33.75" customHeight="1">
      <c r="A6868" s="7">
        <v>247.0</v>
      </c>
      <c r="B6868" s="9" t="s">
        <v>13703</v>
      </c>
      <c r="C6868" s="9" t="s">
        <v>371</v>
      </c>
      <c r="D6868" s="9" t="s">
        <v>73</v>
      </c>
      <c r="E6868" s="6" t="s">
        <v>6938</v>
      </c>
      <c r="F6868" s="9" t="s">
        <v>14484</v>
      </c>
    </row>
    <row r="6869" ht="33.75" customHeight="1">
      <c r="A6869" s="7">
        <v>247.0</v>
      </c>
      <c r="B6869" s="9" t="s">
        <v>13703</v>
      </c>
      <c r="C6869" s="9" t="s">
        <v>371</v>
      </c>
      <c r="D6869" s="9" t="s">
        <v>75</v>
      </c>
      <c r="E6869" s="6" t="s">
        <v>6939</v>
      </c>
      <c r="F6869" s="9" t="s">
        <v>14484</v>
      </c>
    </row>
    <row r="6870" ht="33.75" customHeight="1">
      <c r="A6870" s="7">
        <v>247.0</v>
      </c>
      <c r="B6870" s="9" t="s">
        <v>13703</v>
      </c>
      <c r="C6870" s="9" t="s">
        <v>371</v>
      </c>
      <c r="D6870" s="9" t="s">
        <v>79</v>
      </c>
      <c r="E6870" s="6" t="s">
        <v>6933</v>
      </c>
      <c r="F6870" s="9" t="s">
        <v>14484</v>
      </c>
    </row>
    <row r="6871" ht="33.75" customHeight="1">
      <c r="A6871" s="7">
        <v>247.0</v>
      </c>
      <c r="B6871" s="9" t="s">
        <v>13703</v>
      </c>
      <c r="C6871" s="9" t="s">
        <v>371</v>
      </c>
      <c r="D6871" s="9" t="s">
        <v>81</v>
      </c>
      <c r="E6871" s="6" t="s">
        <v>6940</v>
      </c>
      <c r="F6871" s="9" t="s">
        <v>14484</v>
      </c>
    </row>
    <row r="6872" ht="33.75" customHeight="1">
      <c r="A6872" s="7">
        <v>247.0</v>
      </c>
      <c r="B6872" s="9" t="s">
        <v>13703</v>
      </c>
      <c r="C6872" s="9" t="s">
        <v>371</v>
      </c>
      <c r="D6872" s="9" t="s">
        <v>84</v>
      </c>
      <c r="E6872" s="6" t="s">
        <v>6940</v>
      </c>
      <c r="F6872" s="9" t="s">
        <v>14484</v>
      </c>
    </row>
    <row r="6873" ht="33.75" customHeight="1">
      <c r="A6873" s="7">
        <v>247.0</v>
      </c>
      <c r="B6873" s="9" t="s">
        <v>13703</v>
      </c>
      <c r="C6873" s="9" t="s">
        <v>371</v>
      </c>
      <c r="D6873" s="9" t="s">
        <v>87</v>
      </c>
      <c r="E6873" s="6" t="s">
        <v>6940</v>
      </c>
      <c r="F6873" s="9" t="s">
        <v>14484</v>
      </c>
    </row>
    <row r="6874" ht="33.75" customHeight="1">
      <c r="A6874" s="7">
        <v>247.0</v>
      </c>
      <c r="B6874" s="9" t="s">
        <v>13703</v>
      </c>
      <c r="C6874" s="9" t="s">
        <v>371</v>
      </c>
      <c r="D6874" s="9" t="s">
        <v>89</v>
      </c>
      <c r="E6874" s="6" t="s">
        <v>6941</v>
      </c>
      <c r="F6874" s="9" t="s">
        <v>14484</v>
      </c>
    </row>
    <row r="6875" ht="33.75" customHeight="1">
      <c r="A6875" s="7">
        <v>247.0</v>
      </c>
      <c r="B6875" s="9" t="s">
        <v>13703</v>
      </c>
      <c r="C6875" s="9" t="s">
        <v>371</v>
      </c>
      <c r="D6875" s="9" t="s">
        <v>91</v>
      </c>
      <c r="E6875" s="6" t="s">
        <v>6939</v>
      </c>
      <c r="F6875" s="9" t="s">
        <v>14484</v>
      </c>
    </row>
    <row r="6876" ht="33.75" customHeight="1">
      <c r="A6876" s="7">
        <v>247.0</v>
      </c>
      <c r="B6876" s="9" t="s">
        <v>13703</v>
      </c>
      <c r="C6876" s="9" t="s">
        <v>371</v>
      </c>
      <c r="D6876" s="9" t="s">
        <v>93</v>
      </c>
      <c r="E6876" s="6" t="s">
        <v>6940</v>
      </c>
      <c r="F6876" s="9" t="s">
        <v>14484</v>
      </c>
    </row>
    <row r="6877" ht="33.75" customHeight="1">
      <c r="A6877" s="7">
        <v>247.0</v>
      </c>
      <c r="B6877" s="9" t="s">
        <v>13703</v>
      </c>
      <c r="C6877" s="9" t="s">
        <v>371</v>
      </c>
      <c r="D6877" s="9" t="s">
        <v>95</v>
      </c>
      <c r="E6877" s="6" t="s">
        <v>6940</v>
      </c>
      <c r="F6877" s="9" t="s">
        <v>14484</v>
      </c>
    </row>
    <row r="6878" ht="33.75" customHeight="1">
      <c r="A6878" s="7">
        <v>247.0</v>
      </c>
      <c r="B6878" s="9" t="s">
        <v>13703</v>
      </c>
      <c r="C6878" s="9" t="s">
        <v>371</v>
      </c>
      <c r="D6878" s="9" t="s">
        <v>98</v>
      </c>
      <c r="E6878" s="6" t="s">
        <v>6942</v>
      </c>
      <c r="F6878" s="9" t="s">
        <v>14484</v>
      </c>
    </row>
    <row r="6879" ht="33.75" customHeight="1">
      <c r="A6879" s="7">
        <v>247.0</v>
      </c>
      <c r="B6879" s="9" t="s">
        <v>13703</v>
      </c>
      <c r="C6879" s="9" t="s">
        <v>371</v>
      </c>
      <c r="D6879" s="9" t="s">
        <v>99</v>
      </c>
      <c r="E6879" s="6" t="s">
        <v>6942</v>
      </c>
      <c r="F6879" s="9" t="s">
        <v>14484</v>
      </c>
    </row>
    <row r="6880" ht="33.75" customHeight="1">
      <c r="A6880" s="7">
        <v>247.0</v>
      </c>
      <c r="B6880" s="9" t="s">
        <v>13703</v>
      </c>
      <c r="C6880" s="9" t="s">
        <v>371</v>
      </c>
      <c r="D6880" s="9" t="s">
        <v>101</v>
      </c>
      <c r="E6880" s="6" t="s">
        <v>6940</v>
      </c>
      <c r="F6880" s="9" t="s">
        <v>14484</v>
      </c>
    </row>
    <row r="6881" ht="33.75" customHeight="1">
      <c r="A6881" s="7">
        <v>247.0</v>
      </c>
      <c r="B6881" s="9" t="s">
        <v>13703</v>
      </c>
      <c r="C6881" s="9" t="s">
        <v>371</v>
      </c>
      <c r="D6881" s="9" t="s">
        <v>105</v>
      </c>
      <c r="E6881" s="6" t="s">
        <v>6941</v>
      </c>
      <c r="F6881" s="9" t="s">
        <v>14484</v>
      </c>
    </row>
    <row r="6882" ht="33.75" customHeight="1">
      <c r="A6882" s="7">
        <v>247.0</v>
      </c>
      <c r="B6882" s="9" t="s">
        <v>13703</v>
      </c>
      <c r="C6882" s="9" t="s">
        <v>371</v>
      </c>
      <c r="D6882" s="9" t="s">
        <v>107</v>
      </c>
      <c r="E6882" s="6" t="s">
        <v>6943</v>
      </c>
      <c r="F6882" s="9" t="s">
        <v>14484</v>
      </c>
    </row>
    <row r="6883" ht="33.75" customHeight="1">
      <c r="A6883" s="7">
        <v>247.0</v>
      </c>
      <c r="B6883" s="9" t="s">
        <v>13703</v>
      </c>
      <c r="C6883" s="9" t="s">
        <v>371</v>
      </c>
      <c r="D6883" s="9" t="s">
        <v>109</v>
      </c>
      <c r="E6883" s="6" t="s">
        <v>6943</v>
      </c>
      <c r="F6883" s="9" t="s">
        <v>14484</v>
      </c>
    </row>
    <row r="6884" ht="33.75" customHeight="1">
      <c r="A6884" s="7">
        <v>247.0</v>
      </c>
      <c r="B6884" s="9" t="s">
        <v>13703</v>
      </c>
      <c r="C6884" s="9" t="s">
        <v>371</v>
      </c>
      <c r="D6884" s="9" t="s">
        <v>647</v>
      </c>
      <c r="E6884" s="6" t="s">
        <v>6944</v>
      </c>
      <c r="F6884" s="9" t="s">
        <v>14484</v>
      </c>
    </row>
    <row r="6885" ht="33.75" customHeight="1">
      <c r="A6885" s="7">
        <v>247.0</v>
      </c>
      <c r="B6885" s="9" t="s">
        <v>13703</v>
      </c>
      <c r="C6885" s="9" t="s">
        <v>371</v>
      </c>
      <c r="D6885" s="9" t="s">
        <v>652</v>
      </c>
      <c r="E6885" s="6" t="s">
        <v>6945</v>
      </c>
      <c r="F6885" s="9" t="s">
        <v>14484</v>
      </c>
    </row>
    <row r="6886" ht="33.75" customHeight="1">
      <c r="A6886" s="7">
        <v>247.0</v>
      </c>
      <c r="B6886" s="9" t="s">
        <v>13703</v>
      </c>
      <c r="C6886" s="9" t="s">
        <v>371</v>
      </c>
      <c r="D6886" s="9" t="s">
        <v>114</v>
      </c>
      <c r="E6886" s="6" t="s">
        <v>6939</v>
      </c>
      <c r="F6886" s="9" t="s">
        <v>14484</v>
      </c>
    </row>
    <row r="6887" ht="33.75" customHeight="1">
      <c r="A6887" s="7">
        <v>247.0</v>
      </c>
      <c r="B6887" s="9" t="s">
        <v>13703</v>
      </c>
      <c r="C6887" s="9" t="s">
        <v>371</v>
      </c>
      <c r="D6887" s="9" t="s">
        <v>117</v>
      </c>
      <c r="E6887" s="6" t="s">
        <v>6946</v>
      </c>
      <c r="F6887" s="9" t="s">
        <v>14484</v>
      </c>
    </row>
    <row r="6888" ht="33.75" customHeight="1">
      <c r="A6888" s="7">
        <v>248.0</v>
      </c>
      <c r="B6888" s="9" t="s">
        <v>13718</v>
      </c>
      <c r="C6888" s="9" t="s">
        <v>347</v>
      </c>
      <c r="D6888" s="9" t="s">
        <v>52</v>
      </c>
      <c r="E6888" s="6" t="s">
        <v>6948</v>
      </c>
      <c r="F6888" s="9" t="s">
        <v>14496</v>
      </c>
      <c r="G6888" t="inlineStr" s="6">
        <is>
          <t xml:space="preserve">Tyranitar's body can't be harmed by any sort of attack, so it is very eager to make challenges against enemies. Extremely strong, it can change the landscape. It has an insolent nature that makes it not care about others. In just one of its mighty hands, it has the power to make the ground shake and mountains crumble. TYRANITAR is so overwhelmingly powerful, it can bring down a whole mountain to make its nest. This POKéMON wanders about in mountains seeking new opponents to fight. A TYRANITAR is so overwhelmingly powerful, it can bring down a whole mountain to make its nest. It roams in mountains seeking new opponents to fight. If it rampages, it knocks down mountains and buries rivers. Maps must be redrawn afterward. The quakes caused when it walks make even great mountains crumble and change the surrounding terrain. It wanders through the mountains seeking opponents to fight. If it finds an opponent that’s not worthy, Tyranitar ignores it and wanders on. This Pokémon is a mobile disaster, leaving mountains crumbled and houses destroyed in its wake.</t>
        </is>
      </c>
    </row>
    <row r="6889" ht="33.75" customHeight="1">
      <c r="A6889" s="7">
        <v>248.0</v>
      </c>
      <c r="B6889" s="9" t="s">
        <v>13718</v>
      </c>
      <c r="C6889" s="9" t="s">
        <v>347</v>
      </c>
      <c r="D6889" s="9" t="s">
        <v>59</v>
      </c>
      <c r="E6889" s="6" t="s">
        <v>6949</v>
      </c>
      <c r="F6889" s="9" t="s">
        <v>14496</v>
      </c>
    </row>
    <row r="6890" ht="33.75" customHeight="1">
      <c r="A6890" s="7">
        <v>248.0</v>
      </c>
      <c r="B6890" s="9" t="s">
        <v>13718</v>
      </c>
      <c r="C6890" s="9" t="s">
        <v>347</v>
      </c>
      <c r="D6890" s="9" t="s">
        <v>64</v>
      </c>
      <c r="E6890" s="6" t="s">
        <v>6950</v>
      </c>
      <c r="F6890" s="9" t="s">
        <v>14496</v>
      </c>
    </row>
    <row r="6891" ht="33.75" customHeight="1">
      <c r="A6891" s="7">
        <v>248.0</v>
      </c>
      <c r="B6891" s="9" t="s">
        <v>13718</v>
      </c>
      <c r="C6891" s="9" t="s">
        <v>347</v>
      </c>
      <c r="D6891" s="9" t="s">
        <v>67</v>
      </c>
      <c r="E6891" s="6" t="s">
        <v>6951</v>
      </c>
      <c r="F6891" s="9" t="s">
        <v>14496</v>
      </c>
    </row>
    <row r="6892" ht="33.75" customHeight="1">
      <c r="A6892" s="7">
        <v>248.0</v>
      </c>
      <c r="B6892" s="9" t="s">
        <v>13718</v>
      </c>
      <c r="C6892" s="9" t="s">
        <v>347</v>
      </c>
      <c r="D6892" s="9" t="s">
        <v>71</v>
      </c>
      <c r="E6892" s="6" t="s">
        <v>6951</v>
      </c>
      <c r="F6892" s="9" t="s">
        <v>14496</v>
      </c>
    </row>
    <row r="6893" ht="33.75" customHeight="1">
      <c r="A6893" s="7">
        <v>248.0</v>
      </c>
      <c r="B6893" s="9" t="s">
        <v>13718</v>
      </c>
      <c r="C6893" s="9" t="s">
        <v>347</v>
      </c>
      <c r="D6893" s="9" t="s">
        <v>73</v>
      </c>
      <c r="E6893" s="6" t="s">
        <v>6952</v>
      </c>
      <c r="F6893" s="9" t="s">
        <v>14496</v>
      </c>
    </row>
    <row r="6894" ht="33.75" customHeight="1">
      <c r="A6894" s="7">
        <v>248.0</v>
      </c>
      <c r="B6894" s="9" t="s">
        <v>13718</v>
      </c>
      <c r="C6894" s="9" t="s">
        <v>347</v>
      </c>
      <c r="D6894" s="9" t="s">
        <v>75</v>
      </c>
      <c r="E6894" s="6" t="s">
        <v>6953</v>
      </c>
      <c r="F6894" s="9" t="s">
        <v>14496</v>
      </c>
    </row>
    <row r="6895" ht="33.75" customHeight="1">
      <c r="A6895" s="7">
        <v>248.0</v>
      </c>
      <c r="B6895" s="9" t="s">
        <v>13718</v>
      </c>
      <c r="C6895" s="9" t="s">
        <v>347</v>
      </c>
      <c r="D6895" s="9" t="s">
        <v>79</v>
      </c>
      <c r="E6895" s="6" t="s">
        <v>6953</v>
      </c>
      <c r="F6895" s="9" t="s">
        <v>14496</v>
      </c>
    </row>
    <row r="6896" ht="33.75" customHeight="1">
      <c r="A6896" s="7">
        <v>248.0</v>
      </c>
      <c r="B6896" s="9" t="s">
        <v>13718</v>
      </c>
      <c r="C6896" s="9" t="s">
        <v>347</v>
      </c>
      <c r="D6896" s="9" t="s">
        <v>81</v>
      </c>
      <c r="E6896" s="6" t="s">
        <v>6954</v>
      </c>
      <c r="F6896" s="9" t="s">
        <v>14496</v>
      </c>
    </row>
    <row r="6897" ht="33.75" customHeight="1">
      <c r="A6897" s="7">
        <v>248.0</v>
      </c>
      <c r="B6897" s="9" t="s">
        <v>13718</v>
      </c>
      <c r="C6897" s="9" t="s">
        <v>347</v>
      </c>
      <c r="D6897" s="9" t="s">
        <v>84</v>
      </c>
      <c r="E6897" s="6" t="s">
        <v>6954</v>
      </c>
      <c r="F6897" s="9" t="s">
        <v>14496</v>
      </c>
    </row>
    <row r="6898" ht="33.75" customHeight="1">
      <c r="A6898" s="7">
        <v>248.0</v>
      </c>
      <c r="B6898" s="9" t="s">
        <v>13718</v>
      </c>
      <c r="C6898" s="9" t="s">
        <v>347</v>
      </c>
      <c r="D6898" s="9" t="s">
        <v>87</v>
      </c>
      <c r="E6898" s="6" t="s">
        <v>6954</v>
      </c>
      <c r="F6898" s="9" t="s">
        <v>14496</v>
      </c>
    </row>
    <row r="6899" ht="33.75" customHeight="1">
      <c r="A6899" s="7">
        <v>248.0</v>
      </c>
      <c r="B6899" s="9" t="s">
        <v>13718</v>
      </c>
      <c r="C6899" s="9" t="s">
        <v>347</v>
      </c>
      <c r="D6899" s="9" t="s">
        <v>89</v>
      </c>
      <c r="E6899" s="6" t="s">
        <v>6953</v>
      </c>
      <c r="F6899" s="9" t="s">
        <v>14496</v>
      </c>
    </row>
    <row r="6900" ht="33.75" customHeight="1">
      <c r="A6900" s="7">
        <v>248.0</v>
      </c>
      <c r="B6900" s="9" t="s">
        <v>13718</v>
      </c>
      <c r="C6900" s="9" t="s">
        <v>347</v>
      </c>
      <c r="D6900" s="9" t="s">
        <v>91</v>
      </c>
      <c r="E6900" s="6" t="s">
        <v>6949</v>
      </c>
      <c r="F6900" s="9" t="s">
        <v>14496</v>
      </c>
    </row>
    <row r="6901" ht="33.75" customHeight="1">
      <c r="A6901" s="7">
        <v>248.0</v>
      </c>
      <c r="B6901" s="9" t="s">
        <v>13718</v>
      </c>
      <c r="C6901" s="9" t="s">
        <v>347</v>
      </c>
      <c r="D6901" s="9" t="s">
        <v>93</v>
      </c>
      <c r="E6901" s="6" t="s">
        <v>6954</v>
      </c>
      <c r="F6901" s="9" t="s">
        <v>14496</v>
      </c>
    </row>
    <row r="6902" ht="33.75" customHeight="1">
      <c r="A6902" s="7">
        <v>248.0</v>
      </c>
      <c r="B6902" s="9" t="s">
        <v>13718</v>
      </c>
      <c r="C6902" s="9" t="s">
        <v>347</v>
      </c>
      <c r="D6902" s="9" t="s">
        <v>95</v>
      </c>
      <c r="E6902" s="6" t="s">
        <v>6954</v>
      </c>
      <c r="F6902" s="9" t="s">
        <v>14496</v>
      </c>
    </row>
    <row r="6903" ht="33.75" customHeight="1">
      <c r="A6903" s="7">
        <v>248.0</v>
      </c>
      <c r="B6903" s="9" t="s">
        <v>13718</v>
      </c>
      <c r="C6903" s="9" t="s">
        <v>347</v>
      </c>
      <c r="D6903" s="9" t="s">
        <v>98</v>
      </c>
      <c r="E6903" s="6" t="s">
        <v>6956</v>
      </c>
      <c r="F6903" s="9" t="s">
        <v>14496</v>
      </c>
    </row>
    <row r="6904" ht="33.75" customHeight="1">
      <c r="A6904" s="7">
        <v>248.0</v>
      </c>
      <c r="B6904" s="9" t="s">
        <v>13718</v>
      </c>
      <c r="C6904" s="9" t="s">
        <v>347</v>
      </c>
      <c r="D6904" s="9" t="s">
        <v>99</v>
      </c>
      <c r="E6904" s="6" t="s">
        <v>6956</v>
      </c>
      <c r="F6904" s="9" t="s">
        <v>14496</v>
      </c>
    </row>
    <row r="6905" ht="33.75" customHeight="1">
      <c r="A6905" s="7">
        <v>248.0</v>
      </c>
      <c r="B6905" s="9" t="s">
        <v>13718</v>
      </c>
      <c r="C6905" s="9" t="s">
        <v>347</v>
      </c>
      <c r="D6905" s="9" t="s">
        <v>101</v>
      </c>
      <c r="E6905" s="6" t="s">
        <v>6957</v>
      </c>
      <c r="F6905" s="9" t="s">
        <v>14496</v>
      </c>
    </row>
    <row r="6906" ht="33.75" customHeight="1">
      <c r="A6906" s="7">
        <v>248.0</v>
      </c>
      <c r="B6906" s="9" t="s">
        <v>13718</v>
      </c>
      <c r="C6906" s="9" t="s">
        <v>347</v>
      </c>
      <c r="D6906" s="9" t="s">
        <v>105</v>
      </c>
      <c r="E6906" s="6" t="s">
        <v>6954</v>
      </c>
      <c r="F6906" s="9" t="s">
        <v>14496</v>
      </c>
    </row>
    <row r="6907" ht="33.75" customHeight="1">
      <c r="A6907" s="7">
        <v>248.0</v>
      </c>
      <c r="B6907" s="9" t="s">
        <v>13718</v>
      </c>
      <c r="C6907" s="9" t="s">
        <v>347</v>
      </c>
      <c r="D6907" s="9" t="s">
        <v>107</v>
      </c>
      <c r="E6907" s="6" t="s">
        <v>6958</v>
      </c>
      <c r="F6907" s="9" t="s">
        <v>14496</v>
      </c>
    </row>
    <row r="6908" ht="33.75" customHeight="1">
      <c r="A6908" s="7">
        <v>248.0</v>
      </c>
      <c r="B6908" s="9" t="s">
        <v>13718</v>
      </c>
      <c r="C6908" s="9" t="s">
        <v>347</v>
      </c>
      <c r="D6908" s="9" t="s">
        <v>109</v>
      </c>
      <c r="E6908" s="6" t="s">
        <v>6958</v>
      </c>
      <c r="F6908" s="9" t="s">
        <v>14496</v>
      </c>
    </row>
    <row r="6909" ht="33.75" customHeight="1">
      <c r="A6909" s="7">
        <v>248.0</v>
      </c>
      <c r="B6909" s="9" t="s">
        <v>13718</v>
      </c>
      <c r="C6909" s="9" t="s">
        <v>347</v>
      </c>
      <c r="D6909" s="9" t="s">
        <v>647</v>
      </c>
      <c r="E6909" s="6" t="s">
        <v>6959</v>
      </c>
      <c r="F6909" s="9" t="s">
        <v>14496</v>
      </c>
    </row>
    <row r="6910" ht="33.75" customHeight="1">
      <c r="A6910" s="7">
        <v>248.0</v>
      </c>
      <c r="B6910" s="9" t="s">
        <v>13718</v>
      </c>
      <c r="C6910" s="9" t="s">
        <v>347</v>
      </c>
      <c r="D6910" s="9" t="s">
        <v>652</v>
      </c>
      <c r="E6910" s="6" t="s">
        <v>6960</v>
      </c>
      <c r="F6910" s="9" t="s">
        <v>14496</v>
      </c>
    </row>
    <row r="6911" ht="33.75" customHeight="1">
      <c r="A6911" s="7">
        <v>248.0</v>
      </c>
      <c r="B6911" s="9" t="s">
        <v>13718</v>
      </c>
      <c r="C6911" s="9" t="s">
        <v>347</v>
      </c>
      <c r="D6911" s="9" t="s">
        <v>114</v>
      </c>
      <c r="E6911" s="6" t="s">
        <v>6953</v>
      </c>
      <c r="F6911" s="9" t="s">
        <v>14496</v>
      </c>
    </row>
    <row r="6912" ht="33.75" customHeight="1">
      <c r="A6912" s="7">
        <v>248.0</v>
      </c>
      <c r="B6912" s="9" t="s">
        <v>13718</v>
      </c>
      <c r="C6912" s="9" t="s">
        <v>347</v>
      </c>
      <c r="D6912" s="9" t="s">
        <v>117</v>
      </c>
      <c r="E6912" s="6" t="s">
        <v>6956</v>
      </c>
      <c r="F6912" s="9" t="s">
        <v>14496</v>
      </c>
    </row>
    <row r="6913" ht="33.75" customHeight="1">
      <c r="A6913" s="7">
        <v>249.0</v>
      </c>
      <c r="B6913" s="9" t="s">
        <v>13730</v>
      </c>
      <c r="C6913" s="9" t="s">
        <v>373</v>
      </c>
      <c r="D6913" s="9" t="s">
        <v>52</v>
      </c>
      <c r="E6913" s="6" t="s">
        <v>6961</v>
      </c>
      <c r="F6913" s="9" t="s">
        <v>14518</v>
      </c>
      <c r="G6913" t="inlineStr" s="6">
        <is>
          <t xml:space="preserve">It is said that it quietly spends Lugia's time deep at the bottom of the sea because its powers are too strong. It is said to be the guardian of the seas. It is rumored to have been seen on the night of a storm. It has an incredible ability to calm raging storms. It is said that LUGIA appears when storms start. LUGIA’s wings pack devastating power - a light fluttering of its wings can blow apart regular houses. As a result, this POKéMON chooses to live out of sight deep under the sea. LUGIA is so powerful even a light fluttering of its wings can blow apart houses. As a result, it chooses to live out of sight deep under the sea. It sleeps in a deep-sea trench. If it flaps its wings, it is said to cause a 40-day storm. Lugia’s wings pack devastating power—a light fluttering of its wings can blow apart regular houses.</t>
        </is>
      </c>
    </row>
    <row r="6914" ht="33.75" customHeight="1">
      <c r="A6914" s="7">
        <v>249.0</v>
      </c>
      <c r="B6914" s="9" t="s">
        <v>13730</v>
      </c>
      <c r="C6914" s="9" t="s">
        <v>373</v>
      </c>
      <c r="D6914" s="9" t="s">
        <v>59</v>
      </c>
      <c r="E6914" s="6" t="s">
        <v>6962</v>
      </c>
      <c r="F6914" s="9" t="s">
        <v>14518</v>
      </c>
    </row>
    <row r="6915" ht="33.75" customHeight="1">
      <c r="A6915" s="7">
        <v>249.0</v>
      </c>
      <c r="B6915" s="9" t="s">
        <v>13730</v>
      </c>
      <c r="C6915" s="9" t="s">
        <v>373</v>
      </c>
      <c r="D6915" s="9" t="s">
        <v>64</v>
      </c>
      <c r="E6915" s="6" t="s">
        <v>6963</v>
      </c>
      <c r="F6915" s="9" t="s">
        <v>14518</v>
      </c>
    </row>
    <row r="6916" ht="33.75" customHeight="1">
      <c r="A6916" s="7">
        <v>249.0</v>
      </c>
      <c r="B6916" s="9" t="s">
        <v>13730</v>
      </c>
      <c r="C6916" s="9" t="s">
        <v>373</v>
      </c>
      <c r="D6916" s="9" t="s">
        <v>67</v>
      </c>
      <c r="E6916" s="6" t="s">
        <v>6965</v>
      </c>
      <c r="F6916" s="9" t="s">
        <v>14518</v>
      </c>
    </row>
    <row r="6917" ht="33.75" customHeight="1">
      <c r="A6917" s="7">
        <v>249.0</v>
      </c>
      <c r="B6917" s="9" t="s">
        <v>13730</v>
      </c>
      <c r="C6917" s="9" t="s">
        <v>373</v>
      </c>
      <c r="D6917" s="9" t="s">
        <v>71</v>
      </c>
      <c r="E6917" s="6" t="s">
        <v>6965</v>
      </c>
      <c r="F6917" s="9" t="s">
        <v>14518</v>
      </c>
    </row>
    <row r="6918" ht="33.75" customHeight="1">
      <c r="A6918" s="7">
        <v>249.0</v>
      </c>
      <c r="B6918" s="9" t="s">
        <v>13730</v>
      </c>
      <c r="C6918" s="9" t="s">
        <v>373</v>
      </c>
      <c r="D6918" s="9" t="s">
        <v>73</v>
      </c>
      <c r="E6918" s="6" t="s">
        <v>6966</v>
      </c>
      <c r="F6918" s="9" t="s">
        <v>14518</v>
      </c>
    </row>
    <row r="6919" ht="33.75" customHeight="1">
      <c r="A6919" s="7">
        <v>249.0</v>
      </c>
      <c r="B6919" s="9" t="s">
        <v>13730</v>
      </c>
      <c r="C6919" s="9" t="s">
        <v>373</v>
      </c>
      <c r="D6919" s="9" t="s">
        <v>75</v>
      </c>
      <c r="E6919" s="6" t="s">
        <v>6962</v>
      </c>
      <c r="F6919" s="9" t="s">
        <v>14518</v>
      </c>
    </row>
    <row r="6920" ht="33.75" customHeight="1">
      <c r="A6920" s="7">
        <v>249.0</v>
      </c>
      <c r="B6920" s="9" t="s">
        <v>13730</v>
      </c>
      <c r="C6920" s="9" t="s">
        <v>373</v>
      </c>
      <c r="D6920" s="9" t="s">
        <v>79</v>
      </c>
      <c r="E6920" s="6" t="s">
        <v>6961</v>
      </c>
      <c r="F6920" s="9" t="s">
        <v>14518</v>
      </c>
    </row>
    <row r="6921" ht="33.75" customHeight="1">
      <c r="A6921" s="7">
        <v>249.0</v>
      </c>
      <c r="B6921" s="9" t="s">
        <v>13730</v>
      </c>
      <c r="C6921" s="9" t="s">
        <v>373</v>
      </c>
      <c r="D6921" s="9" t="s">
        <v>81</v>
      </c>
      <c r="E6921" s="6" t="s">
        <v>6968</v>
      </c>
      <c r="F6921" s="9" t="s">
        <v>14518</v>
      </c>
    </row>
    <row r="6922" ht="33.75" customHeight="1">
      <c r="A6922" s="7">
        <v>249.0</v>
      </c>
      <c r="B6922" s="9" t="s">
        <v>13730</v>
      </c>
      <c r="C6922" s="9" t="s">
        <v>373</v>
      </c>
      <c r="D6922" s="9" t="s">
        <v>84</v>
      </c>
      <c r="E6922" s="6" t="s">
        <v>6968</v>
      </c>
      <c r="F6922" s="9" t="s">
        <v>14518</v>
      </c>
    </row>
    <row r="6923" ht="33.75" customHeight="1">
      <c r="A6923" s="7">
        <v>249.0</v>
      </c>
      <c r="B6923" s="9" t="s">
        <v>13730</v>
      </c>
      <c r="C6923" s="9" t="s">
        <v>373</v>
      </c>
      <c r="D6923" s="9" t="s">
        <v>87</v>
      </c>
      <c r="E6923" s="6" t="s">
        <v>6968</v>
      </c>
      <c r="F6923" s="9" t="s">
        <v>14518</v>
      </c>
    </row>
    <row r="6924" ht="33.75" customHeight="1">
      <c r="A6924" s="7">
        <v>249.0</v>
      </c>
      <c r="B6924" s="9" t="s">
        <v>13730</v>
      </c>
      <c r="C6924" s="9" t="s">
        <v>373</v>
      </c>
      <c r="D6924" s="9" t="s">
        <v>89</v>
      </c>
      <c r="E6924" s="6" t="s">
        <v>6961</v>
      </c>
      <c r="F6924" s="9" t="s">
        <v>14518</v>
      </c>
    </row>
    <row r="6925" ht="33.75" customHeight="1">
      <c r="A6925" s="7">
        <v>249.0</v>
      </c>
      <c r="B6925" s="9" t="s">
        <v>13730</v>
      </c>
      <c r="C6925" s="9" t="s">
        <v>373</v>
      </c>
      <c r="D6925" s="9" t="s">
        <v>91</v>
      </c>
      <c r="E6925" s="6" t="s">
        <v>6962</v>
      </c>
      <c r="F6925" s="9" t="s">
        <v>14518</v>
      </c>
    </row>
    <row r="6926" ht="33.75" customHeight="1">
      <c r="A6926" s="7">
        <v>249.0</v>
      </c>
      <c r="B6926" s="9" t="s">
        <v>13730</v>
      </c>
      <c r="C6926" s="9" t="s">
        <v>373</v>
      </c>
      <c r="D6926" s="9" t="s">
        <v>93</v>
      </c>
      <c r="E6926" s="6" t="s">
        <v>6968</v>
      </c>
      <c r="F6926" s="9" t="s">
        <v>14518</v>
      </c>
    </row>
    <row r="6927" ht="33.75" customHeight="1">
      <c r="A6927" s="7">
        <v>249.0</v>
      </c>
      <c r="B6927" s="9" t="s">
        <v>13730</v>
      </c>
      <c r="C6927" s="9" t="s">
        <v>373</v>
      </c>
      <c r="D6927" s="9" t="s">
        <v>95</v>
      </c>
      <c r="E6927" s="6" t="s">
        <v>6968</v>
      </c>
      <c r="F6927" s="9" t="s">
        <v>14518</v>
      </c>
    </row>
    <row r="6928" ht="33.75" customHeight="1">
      <c r="A6928" s="7">
        <v>249.0</v>
      </c>
      <c r="B6928" s="9" t="s">
        <v>13730</v>
      </c>
      <c r="C6928" s="9" t="s">
        <v>373</v>
      </c>
      <c r="D6928" s="9" t="s">
        <v>98</v>
      </c>
      <c r="E6928" s="6" t="s">
        <v>6968</v>
      </c>
      <c r="F6928" s="9" t="s">
        <v>14518</v>
      </c>
    </row>
    <row r="6929" ht="33.75" customHeight="1">
      <c r="A6929" s="7">
        <v>249.0</v>
      </c>
      <c r="B6929" s="9" t="s">
        <v>13730</v>
      </c>
      <c r="C6929" s="9" t="s">
        <v>373</v>
      </c>
      <c r="D6929" s="9" t="s">
        <v>99</v>
      </c>
      <c r="E6929" s="6" t="s">
        <v>6968</v>
      </c>
      <c r="F6929" s="9" t="s">
        <v>14518</v>
      </c>
    </row>
    <row r="6930" ht="33.75" customHeight="1">
      <c r="A6930" s="7">
        <v>249.0</v>
      </c>
      <c r="B6930" s="9" t="s">
        <v>13730</v>
      </c>
      <c r="C6930" s="9" t="s">
        <v>373</v>
      </c>
      <c r="D6930" s="9" t="s">
        <v>101</v>
      </c>
      <c r="E6930" s="6" t="s">
        <v>6968</v>
      </c>
      <c r="F6930" s="9" t="s">
        <v>14518</v>
      </c>
    </row>
    <row r="6931" ht="33.75" customHeight="1">
      <c r="A6931" s="7">
        <v>249.0</v>
      </c>
      <c r="B6931" s="9" t="s">
        <v>13730</v>
      </c>
      <c r="C6931" s="9" t="s">
        <v>373</v>
      </c>
      <c r="D6931" s="9" t="s">
        <v>105</v>
      </c>
      <c r="E6931" s="6" t="s">
        <v>6962</v>
      </c>
      <c r="F6931" s="9" t="s">
        <v>14518</v>
      </c>
    </row>
    <row r="6932" ht="33.75" customHeight="1">
      <c r="A6932" s="7">
        <v>249.0</v>
      </c>
      <c r="B6932" s="9" t="s">
        <v>13730</v>
      </c>
      <c r="C6932" s="9" t="s">
        <v>373</v>
      </c>
      <c r="D6932" s="9" t="s">
        <v>107</v>
      </c>
      <c r="E6932" s="6" t="s">
        <v>6969</v>
      </c>
      <c r="F6932" s="9" t="s">
        <v>14518</v>
      </c>
    </row>
    <row r="6933" ht="33.75" customHeight="1">
      <c r="A6933" s="7">
        <v>249.0</v>
      </c>
      <c r="B6933" s="9" t="s">
        <v>13730</v>
      </c>
      <c r="C6933" s="9" t="s">
        <v>373</v>
      </c>
      <c r="D6933" s="9" t="s">
        <v>109</v>
      </c>
      <c r="E6933" s="6" t="s">
        <v>6969</v>
      </c>
      <c r="F6933" s="9" t="s">
        <v>14518</v>
      </c>
    </row>
    <row r="6934" ht="33.75" customHeight="1">
      <c r="A6934" s="7">
        <v>250.0</v>
      </c>
      <c r="B6934" s="9" t="s">
        <v>13741</v>
      </c>
      <c r="C6934" s="9" t="s">
        <v>374</v>
      </c>
      <c r="D6934" s="9" t="s">
        <v>52</v>
      </c>
      <c r="E6934" s="6" t="s">
        <v>6970</v>
      </c>
      <c r="F6934" s="9" t="s">
        <v>14532</v>
      </c>
      <c r="G6934" t="inlineStr" s="6">
        <is>
          <t xml:space="preserve">Legends claim this POKéMON flies the world's skies continuously on Ho-Oh's magnificent seven- colored wings. A legend says that its body glows in seven colors. A rainbow is said to form behind it when it flies. It will reveal itself before a pure-hearted trainer by shining its bright rain bow-colored wings. HO-OH’s feathers glow in seven colors depending on the angle at which they are struck by light. These feathers are said to bring happiness to the bearers. This POKéMON is said to live at the foot of a rainbow. Its feathers--which glow in seven colors depending on the angle at which they are struck by light--are thought to bring joy. It is said to live at the foot of a rainbow. Legends claim this POKéMON flies the world’s skies continuously on its magnificent seven-colored wings. Its feathers are in seven colors. It is said that anyone seeing it is promised eternal happiness. Legends claim this Pokémon flies the world’s skies continuously on its magnificent, seven-colored wings. It will reveal itself before a pure-hearted Trainer by shining its bright, rainbow-colored wings.</t>
        </is>
      </c>
    </row>
    <row r="6935" ht="33.75" customHeight="1">
      <c r="A6935" s="7">
        <v>250.0</v>
      </c>
      <c r="B6935" s="9" t="s">
        <v>13741</v>
      </c>
      <c r="C6935" s="9" t="s">
        <v>374</v>
      </c>
      <c r="D6935" s="9" t="s">
        <v>59</v>
      </c>
      <c r="E6935" s="6" t="s">
        <v>6971</v>
      </c>
      <c r="F6935" s="9" t="s">
        <v>14532</v>
      </c>
    </row>
    <row r="6936" ht="33.75" customHeight="1">
      <c r="A6936" s="7">
        <v>250.0</v>
      </c>
      <c r="B6936" s="9" t="s">
        <v>13741</v>
      </c>
      <c r="C6936" s="9" t="s">
        <v>374</v>
      </c>
      <c r="D6936" s="9" t="s">
        <v>64</v>
      </c>
      <c r="E6936" s="6" t="s">
        <v>6972</v>
      </c>
      <c r="F6936" s="9" t="s">
        <v>14532</v>
      </c>
    </row>
    <row r="6937" ht="33.75" customHeight="1">
      <c r="A6937" s="7">
        <v>250.0</v>
      </c>
      <c r="B6937" s="9" t="s">
        <v>13741</v>
      </c>
      <c r="C6937" s="9" t="s">
        <v>374</v>
      </c>
      <c r="D6937" s="9" t="s">
        <v>67</v>
      </c>
      <c r="E6937" s="6" t="s">
        <v>6974</v>
      </c>
      <c r="F6937" s="9" t="s">
        <v>14532</v>
      </c>
    </row>
    <row r="6938" ht="33.75" customHeight="1">
      <c r="A6938" s="7">
        <v>250.0</v>
      </c>
      <c r="B6938" s="9" t="s">
        <v>13741</v>
      </c>
      <c r="C6938" s="9" t="s">
        <v>374</v>
      </c>
      <c r="D6938" s="9" t="s">
        <v>71</v>
      </c>
      <c r="E6938" s="6" t="s">
        <v>6974</v>
      </c>
      <c r="F6938" s="9" t="s">
        <v>14532</v>
      </c>
    </row>
    <row r="6939" ht="33.75" customHeight="1">
      <c r="A6939" s="7">
        <v>250.0</v>
      </c>
      <c r="B6939" s="9" t="s">
        <v>13741</v>
      </c>
      <c r="C6939" s="9" t="s">
        <v>374</v>
      </c>
      <c r="D6939" s="9" t="s">
        <v>73</v>
      </c>
      <c r="E6939" s="6" t="s">
        <v>6975</v>
      </c>
      <c r="F6939" s="9" t="s">
        <v>14532</v>
      </c>
    </row>
    <row r="6940" ht="33.75" customHeight="1">
      <c r="A6940" s="7">
        <v>250.0</v>
      </c>
      <c r="B6940" s="9" t="s">
        <v>13741</v>
      </c>
      <c r="C6940" s="9" t="s">
        <v>374</v>
      </c>
      <c r="D6940" s="9" t="s">
        <v>75</v>
      </c>
      <c r="E6940" s="6" t="s">
        <v>6971</v>
      </c>
      <c r="F6940" s="9" t="s">
        <v>14532</v>
      </c>
    </row>
    <row r="6941" ht="33.75" customHeight="1">
      <c r="A6941" s="7">
        <v>250.0</v>
      </c>
      <c r="B6941" s="9" t="s">
        <v>13741</v>
      </c>
      <c r="C6941" s="9" t="s">
        <v>374</v>
      </c>
      <c r="D6941" s="9" t="s">
        <v>79</v>
      </c>
      <c r="E6941" s="6" t="s">
        <v>6977</v>
      </c>
      <c r="F6941" s="9" t="s">
        <v>14532</v>
      </c>
    </row>
    <row r="6942" ht="33.75" customHeight="1">
      <c r="A6942" s="7">
        <v>250.0</v>
      </c>
      <c r="B6942" s="9" t="s">
        <v>13741</v>
      </c>
      <c r="C6942" s="9" t="s">
        <v>374</v>
      </c>
      <c r="D6942" s="9" t="s">
        <v>81</v>
      </c>
      <c r="E6942" s="6" t="s">
        <v>6979</v>
      </c>
      <c r="F6942" s="9" t="s">
        <v>14532</v>
      </c>
    </row>
    <row r="6943" ht="33.75" customHeight="1">
      <c r="A6943" s="7">
        <v>250.0</v>
      </c>
      <c r="B6943" s="9" t="s">
        <v>13741</v>
      </c>
      <c r="C6943" s="9" t="s">
        <v>374</v>
      </c>
      <c r="D6943" s="9" t="s">
        <v>84</v>
      </c>
      <c r="E6943" s="6" t="s">
        <v>6979</v>
      </c>
      <c r="F6943" s="9" t="s">
        <v>14532</v>
      </c>
    </row>
    <row r="6944" ht="33.75" customHeight="1">
      <c r="A6944" s="7">
        <v>250.0</v>
      </c>
      <c r="B6944" s="9" t="s">
        <v>13741</v>
      </c>
      <c r="C6944" s="9" t="s">
        <v>374</v>
      </c>
      <c r="D6944" s="9" t="s">
        <v>87</v>
      </c>
      <c r="E6944" s="6" t="s">
        <v>6979</v>
      </c>
      <c r="F6944" s="9" t="s">
        <v>14532</v>
      </c>
    </row>
    <row r="6945" ht="33.75" customHeight="1">
      <c r="A6945" s="7">
        <v>250.0</v>
      </c>
      <c r="B6945" s="9" t="s">
        <v>13741</v>
      </c>
      <c r="C6945" s="9" t="s">
        <v>374</v>
      </c>
      <c r="D6945" s="9" t="s">
        <v>89</v>
      </c>
      <c r="E6945" s="6" t="s">
        <v>6982</v>
      </c>
      <c r="F6945" s="9" t="s">
        <v>14532</v>
      </c>
    </row>
    <row r="6946" ht="33.75" customHeight="1">
      <c r="A6946" s="7">
        <v>250.0</v>
      </c>
      <c r="B6946" s="9" t="s">
        <v>13741</v>
      </c>
      <c r="C6946" s="9" t="s">
        <v>374</v>
      </c>
      <c r="D6946" s="9" t="s">
        <v>91</v>
      </c>
      <c r="E6946" s="6" t="s">
        <v>6971</v>
      </c>
      <c r="F6946" s="9" t="s">
        <v>14532</v>
      </c>
    </row>
    <row r="6947" ht="33.75" customHeight="1">
      <c r="A6947" s="7">
        <v>250.0</v>
      </c>
      <c r="B6947" s="9" t="s">
        <v>13741</v>
      </c>
      <c r="C6947" s="9" t="s">
        <v>374</v>
      </c>
      <c r="D6947" s="9" t="s">
        <v>93</v>
      </c>
      <c r="E6947" s="6" t="s">
        <v>6979</v>
      </c>
      <c r="F6947" s="9" t="s">
        <v>14532</v>
      </c>
    </row>
    <row r="6948" ht="33.75" customHeight="1">
      <c r="A6948" s="7">
        <v>250.0</v>
      </c>
      <c r="B6948" s="9" t="s">
        <v>13741</v>
      </c>
      <c r="C6948" s="9" t="s">
        <v>374</v>
      </c>
      <c r="D6948" s="9" t="s">
        <v>95</v>
      </c>
      <c r="E6948" s="6" t="s">
        <v>6979</v>
      </c>
      <c r="F6948" s="9" t="s">
        <v>14532</v>
      </c>
    </row>
    <row r="6949" ht="33.75" customHeight="1">
      <c r="A6949" s="7">
        <v>250.0</v>
      </c>
      <c r="B6949" s="9" t="s">
        <v>13741</v>
      </c>
      <c r="C6949" s="9" t="s">
        <v>374</v>
      </c>
      <c r="D6949" s="9" t="s">
        <v>98</v>
      </c>
      <c r="E6949" s="6" t="s">
        <v>6979</v>
      </c>
      <c r="F6949" s="9" t="s">
        <v>14532</v>
      </c>
    </row>
    <row r="6950" ht="33.75" customHeight="1">
      <c r="A6950" s="7">
        <v>250.0</v>
      </c>
      <c r="B6950" s="9" t="s">
        <v>13741</v>
      </c>
      <c r="C6950" s="9" t="s">
        <v>374</v>
      </c>
      <c r="D6950" s="9" t="s">
        <v>99</v>
      </c>
      <c r="E6950" s="6" t="s">
        <v>6979</v>
      </c>
      <c r="F6950" s="9" t="s">
        <v>14532</v>
      </c>
    </row>
    <row r="6951" ht="33.75" customHeight="1">
      <c r="A6951" s="7">
        <v>250.0</v>
      </c>
      <c r="B6951" s="9" t="s">
        <v>13741</v>
      </c>
      <c r="C6951" s="9" t="s">
        <v>374</v>
      </c>
      <c r="D6951" s="9" t="s">
        <v>101</v>
      </c>
      <c r="E6951" s="6" t="s">
        <v>6971</v>
      </c>
      <c r="F6951" s="9" t="s">
        <v>14532</v>
      </c>
    </row>
    <row r="6952" ht="33.75" customHeight="1">
      <c r="A6952" s="7">
        <v>250.0</v>
      </c>
      <c r="B6952" s="9" t="s">
        <v>13741</v>
      </c>
      <c r="C6952" s="9" t="s">
        <v>374</v>
      </c>
      <c r="D6952" s="9" t="s">
        <v>105</v>
      </c>
      <c r="E6952" s="6" t="s">
        <v>6983</v>
      </c>
      <c r="F6952" s="9" t="s">
        <v>14532</v>
      </c>
    </row>
    <row r="6953" ht="33.75" customHeight="1">
      <c r="A6953" s="7">
        <v>250.0</v>
      </c>
      <c r="B6953" s="9" t="s">
        <v>13741</v>
      </c>
      <c r="C6953" s="9" t="s">
        <v>374</v>
      </c>
      <c r="D6953" s="9" t="s">
        <v>107</v>
      </c>
      <c r="E6953" s="6" t="s">
        <v>6984</v>
      </c>
      <c r="F6953" s="9" t="s">
        <v>14532</v>
      </c>
    </row>
    <row r="6954" ht="33.75" customHeight="1">
      <c r="A6954" s="7">
        <v>250.0</v>
      </c>
      <c r="B6954" s="9" t="s">
        <v>13741</v>
      </c>
      <c r="C6954" s="9" t="s">
        <v>374</v>
      </c>
      <c r="D6954" s="9" t="s">
        <v>109</v>
      </c>
      <c r="E6954" s="6" t="s">
        <v>6984</v>
      </c>
      <c r="F6954" s="9" t="s">
        <v>14532</v>
      </c>
    </row>
    <row r="6955" ht="33.75" customHeight="1">
      <c r="A6955" s="7">
        <v>251.0</v>
      </c>
      <c r="B6955" s="9" t="s">
        <v>13753</v>
      </c>
      <c r="C6955" s="9" t="s">
        <v>375</v>
      </c>
      <c r="D6955" s="9" t="s">
        <v>52</v>
      </c>
      <c r="E6955" s="6" t="s">
        <v>6986</v>
      </c>
      <c r="F6955" s="9" t="s">
        <v>14543</v>
      </c>
      <c r="G6955" t="inlineStr" s="6">
        <is>
          <t xml:space="preserve">This POKéMON wanders across time. Grass and trees flourish in the forests in which it has appeared. When CELEBI disappears deep in a forest, it is said to leave behind an egg it brought from the future. Revered as a guardian of the forest, CELEBI appears wherever beautiful forests exist. This POKéMON came from the future by crossing over time. It is thought that so long as CELEBI appears, a bright and shining future awaits us. It has the power to travel across time, but it is said to appear only in peaceful times. This Pokémon has the ability to move through time. Records describing it as a forest deity can be found from many different eras. This Pokémon traveled through time to come from the future. It bolsters grass and trees with its own strength, and it can heal wounds, too.</t>
        </is>
      </c>
    </row>
    <row r="6956" ht="33.75" customHeight="1">
      <c r="A6956" s="7">
        <v>251.0</v>
      </c>
      <c r="B6956" s="9" t="s">
        <v>13753</v>
      </c>
      <c r="C6956" s="9" t="s">
        <v>375</v>
      </c>
      <c r="D6956" s="9" t="s">
        <v>59</v>
      </c>
      <c r="E6956" s="6" t="s">
        <v>6988</v>
      </c>
      <c r="F6956" s="9" t="s">
        <v>14543</v>
      </c>
    </row>
    <row r="6957" ht="33.75" customHeight="1">
      <c r="A6957" s="7">
        <v>251.0</v>
      </c>
      <c r="B6957" s="9" t="s">
        <v>13753</v>
      </c>
      <c r="C6957" s="9" t="s">
        <v>375</v>
      </c>
      <c r="D6957" s="9" t="s">
        <v>64</v>
      </c>
      <c r="E6957" s="6" t="s">
        <v>6989</v>
      </c>
      <c r="F6957" s="9" t="s">
        <v>14543</v>
      </c>
    </row>
    <row r="6958" ht="33.75" customHeight="1">
      <c r="A6958" s="7">
        <v>251.0</v>
      </c>
      <c r="B6958" s="9" t="s">
        <v>13753</v>
      </c>
      <c r="C6958" s="9" t="s">
        <v>375</v>
      </c>
      <c r="D6958" s="9" t="s">
        <v>67</v>
      </c>
      <c r="E6958" s="6" t="s">
        <v>6991</v>
      </c>
      <c r="F6958" s="9" t="s">
        <v>14543</v>
      </c>
    </row>
    <row r="6959" ht="33.75" customHeight="1">
      <c r="A6959" s="7">
        <v>251.0</v>
      </c>
      <c r="B6959" s="9" t="s">
        <v>13753</v>
      </c>
      <c r="C6959" s="9" t="s">
        <v>375</v>
      </c>
      <c r="D6959" s="9" t="s">
        <v>71</v>
      </c>
      <c r="E6959" s="6" t="s">
        <v>6991</v>
      </c>
      <c r="F6959" s="9" t="s">
        <v>14543</v>
      </c>
    </row>
    <row r="6960" ht="33.75" customHeight="1">
      <c r="A6960" s="7">
        <v>251.0</v>
      </c>
      <c r="B6960" s="9" t="s">
        <v>13753</v>
      </c>
      <c r="C6960" s="9" t="s">
        <v>375</v>
      </c>
      <c r="D6960" s="9" t="s">
        <v>73</v>
      </c>
      <c r="E6960" s="6" t="s">
        <v>6991</v>
      </c>
      <c r="F6960" s="9" t="s">
        <v>14543</v>
      </c>
    </row>
    <row r="6961" ht="33.75" customHeight="1">
      <c r="A6961" s="7">
        <v>251.0</v>
      </c>
      <c r="B6961" s="9" t="s">
        <v>13753</v>
      </c>
      <c r="C6961" s="9" t="s">
        <v>375</v>
      </c>
      <c r="D6961" s="9" t="s">
        <v>75</v>
      </c>
      <c r="E6961" s="6" t="s">
        <v>6992</v>
      </c>
      <c r="F6961" s="9" t="s">
        <v>14543</v>
      </c>
    </row>
    <row r="6962" ht="33.75" customHeight="1">
      <c r="A6962" s="7">
        <v>251.0</v>
      </c>
      <c r="B6962" s="9" t="s">
        <v>13753</v>
      </c>
      <c r="C6962" s="9" t="s">
        <v>375</v>
      </c>
      <c r="D6962" s="9" t="s">
        <v>79</v>
      </c>
      <c r="E6962" s="6" t="s">
        <v>6994</v>
      </c>
      <c r="F6962" s="9" t="s">
        <v>14543</v>
      </c>
    </row>
    <row r="6963" ht="33.75" customHeight="1">
      <c r="A6963" s="7">
        <v>251.0</v>
      </c>
      <c r="B6963" s="9" t="s">
        <v>13753</v>
      </c>
      <c r="C6963" s="9" t="s">
        <v>375</v>
      </c>
      <c r="D6963" s="9" t="s">
        <v>81</v>
      </c>
      <c r="E6963" s="6" t="s">
        <v>6995</v>
      </c>
      <c r="F6963" s="9" t="s">
        <v>14543</v>
      </c>
    </row>
    <row r="6964" ht="33.75" customHeight="1">
      <c r="A6964" s="7">
        <v>251.0</v>
      </c>
      <c r="B6964" s="9" t="s">
        <v>13753</v>
      </c>
      <c r="C6964" s="9" t="s">
        <v>375</v>
      </c>
      <c r="D6964" s="9" t="s">
        <v>84</v>
      </c>
      <c r="E6964" s="6" t="s">
        <v>6995</v>
      </c>
      <c r="F6964" s="9" t="s">
        <v>14543</v>
      </c>
    </row>
    <row r="6965" ht="33.75" customHeight="1">
      <c r="A6965" s="7">
        <v>251.0</v>
      </c>
      <c r="B6965" s="9" t="s">
        <v>13753</v>
      </c>
      <c r="C6965" s="9" t="s">
        <v>375</v>
      </c>
      <c r="D6965" s="9" t="s">
        <v>87</v>
      </c>
      <c r="E6965" s="6" t="s">
        <v>6995</v>
      </c>
      <c r="F6965" s="9" t="s">
        <v>14543</v>
      </c>
    </row>
    <row r="6966" ht="33.75" customHeight="1">
      <c r="A6966" s="7">
        <v>251.0</v>
      </c>
      <c r="B6966" s="9" t="s">
        <v>13753</v>
      </c>
      <c r="C6966" s="9" t="s">
        <v>375</v>
      </c>
      <c r="D6966" s="9" t="s">
        <v>89</v>
      </c>
      <c r="E6966" s="6" t="s">
        <v>6997</v>
      </c>
      <c r="F6966" s="9" t="s">
        <v>14543</v>
      </c>
    </row>
    <row r="6967" ht="33.75" customHeight="1">
      <c r="A6967" s="7">
        <v>251.0</v>
      </c>
      <c r="B6967" s="9" t="s">
        <v>13753</v>
      </c>
      <c r="C6967" s="9" t="s">
        <v>375</v>
      </c>
      <c r="D6967" s="9" t="s">
        <v>91</v>
      </c>
      <c r="E6967" s="6" t="s">
        <v>6992</v>
      </c>
      <c r="F6967" s="9" t="s">
        <v>14543</v>
      </c>
    </row>
    <row r="6968" ht="33.75" customHeight="1">
      <c r="A6968" s="7">
        <v>251.0</v>
      </c>
      <c r="B6968" s="9" t="s">
        <v>13753</v>
      </c>
      <c r="C6968" s="9" t="s">
        <v>375</v>
      </c>
      <c r="D6968" s="9" t="s">
        <v>93</v>
      </c>
      <c r="E6968" s="6" t="s">
        <v>6995</v>
      </c>
      <c r="F6968" s="9" t="s">
        <v>14543</v>
      </c>
    </row>
    <row r="6969" ht="33.75" customHeight="1">
      <c r="A6969" s="7">
        <v>251.0</v>
      </c>
      <c r="B6969" s="9" t="s">
        <v>13753</v>
      </c>
      <c r="C6969" s="9" t="s">
        <v>375</v>
      </c>
      <c r="D6969" s="9" t="s">
        <v>95</v>
      </c>
      <c r="E6969" s="6" t="s">
        <v>6995</v>
      </c>
      <c r="F6969" s="9" t="s">
        <v>14543</v>
      </c>
    </row>
    <row r="6970" ht="33.75" customHeight="1">
      <c r="A6970" s="7">
        <v>251.0</v>
      </c>
      <c r="B6970" s="9" t="s">
        <v>13753</v>
      </c>
      <c r="C6970" s="9" t="s">
        <v>375</v>
      </c>
      <c r="D6970" s="9" t="s">
        <v>98</v>
      </c>
      <c r="E6970" s="6" t="s">
        <v>6995</v>
      </c>
      <c r="F6970" s="9" t="s">
        <v>14543</v>
      </c>
    </row>
    <row r="6971" ht="33.75" customHeight="1">
      <c r="A6971" s="7">
        <v>251.0</v>
      </c>
      <c r="B6971" s="9" t="s">
        <v>13753</v>
      </c>
      <c r="C6971" s="9" t="s">
        <v>375</v>
      </c>
      <c r="D6971" s="9" t="s">
        <v>99</v>
      </c>
      <c r="E6971" s="6" t="s">
        <v>6995</v>
      </c>
      <c r="F6971" s="9" t="s">
        <v>14543</v>
      </c>
    </row>
    <row r="6972" ht="33.75" customHeight="1">
      <c r="A6972" s="7">
        <v>251.0</v>
      </c>
      <c r="B6972" s="9" t="s">
        <v>13753</v>
      </c>
      <c r="C6972" s="9" t="s">
        <v>375</v>
      </c>
      <c r="D6972" s="9" t="s">
        <v>101</v>
      </c>
      <c r="E6972" s="6" t="s">
        <v>6997</v>
      </c>
      <c r="F6972" s="9" t="s">
        <v>14543</v>
      </c>
    </row>
    <row r="6973" ht="33.75" customHeight="1">
      <c r="A6973" s="7">
        <v>251.0</v>
      </c>
      <c r="B6973" s="9" t="s">
        <v>13753</v>
      </c>
      <c r="C6973" s="9" t="s">
        <v>375</v>
      </c>
      <c r="D6973" s="9" t="s">
        <v>105</v>
      </c>
      <c r="E6973" s="6" t="s">
        <v>6995</v>
      </c>
      <c r="F6973" s="9" t="s">
        <v>14543</v>
      </c>
    </row>
    <row r="6974" ht="33.75" customHeight="1">
      <c r="A6974" s="7">
        <v>251.0</v>
      </c>
      <c r="B6974" s="9" t="s">
        <v>13753</v>
      </c>
      <c r="C6974" s="9" t="s">
        <v>375</v>
      </c>
      <c r="D6974" s="9" t="s">
        <v>107</v>
      </c>
      <c r="E6974" s="6" t="s">
        <v>6999</v>
      </c>
      <c r="F6974" s="9" t="s">
        <v>14543</v>
      </c>
    </row>
    <row r="6975" ht="33.75" customHeight="1">
      <c r="A6975" s="7">
        <v>251.0</v>
      </c>
      <c r="B6975" s="9" t="s">
        <v>13753</v>
      </c>
      <c r="C6975" s="9" t="s">
        <v>375</v>
      </c>
      <c r="D6975" s="9" t="s">
        <v>109</v>
      </c>
      <c r="E6975" s="6" t="s">
        <v>6999</v>
      </c>
      <c r="F6975" s="9" t="s">
        <v>14543</v>
      </c>
    </row>
    <row r="6976" ht="33.75" customHeight="1">
      <c r="A6976" s="7">
        <v>251.0</v>
      </c>
      <c r="B6976" s="9" t="s">
        <v>13753</v>
      </c>
      <c r="C6976" s="9" t="s">
        <v>375</v>
      </c>
      <c r="D6976" s="9" t="s">
        <v>114</v>
      </c>
      <c r="E6976" s="6" t="s">
        <v>7000</v>
      </c>
      <c r="F6976" s="9" t="s">
        <v>14543</v>
      </c>
    </row>
    <row r="6977" ht="33.75" customHeight="1">
      <c r="A6977" s="7">
        <v>251.0</v>
      </c>
      <c r="B6977" s="9" t="s">
        <v>13753</v>
      </c>
      <c r="C6977" s="9" t="s">
        <v>375</v>
      </c>
      <c r="D6977" s="9" t="s">
        <v>117</v>
      </c>
      <c r="E6977" s="6" t="s">
        <v>7002</v>
      </c>
      <c r="F6977" s="9" t="s">
        <v>14543</v>
      </c>
    </row>
    <row r="6978" ht="33.75" customHeight="1">
      <c r="A6978" s="7">
        <v>252.0</v>
      </c>
      <c r="B6978" s="9" t="s">
        <v>13766</v>
      </c>
      <c r="C6978" s="9" t="s">
        <v>376</v>
      </c>
      <c r="D6978" s="9" t="s">
        <v>67</v>
      </c>
      <c r="E6978" s="6" t="s">
        <v>7003</v>
      </c>
      <c r="F6978" s="9" t="s">
        <v>14567</v>
      </c>
      <c r="G6978" t="inlineStr" s="6">
        <is>
          <t xml:space="preserve">TREECKO has small hooks on the bottom of Treecko's feet that enable it to scale vertical walls. This POKéMON attacks by slamming foes with its thick tail. TREECKO is cool, calm, and collected - it never panics under any situation. If a bigger foe were to glare at this POKéMON, it would glare right back without conceding an inch of ground. It makes its nest in a giant tree in the forest. It ferociously guards against anything nearing its territory. It is said to be the protector of the forest’s trees. It quickly scales even vertical walls. It senses humidity with its tail to predict the next day’s weather. The soles of its feet are covered by countless tiny spikes, enabling it to walk on walls and ceilings. Small hooks on the bottom of its feet catch on walls and ceilings. That is how it can hang from above. Treecko is cool, calm, and collected—it never panics under any situation.</t>
        </is>
      </c>
    </row>
    <row r="6979" ht="33.75" customHeight="1">
      <c r="A6979" s="7">
        <v>252.0</v>
      </c>
      <c r="B6979" s="9" t="s">
        <v>13766</v>
      </c>
      <c r="C6979" s="9" t="s">
        <v>376</v>
      </c>
      <c r="D6979" s="9" t="s">
        <v>71</v>
      </c>
      <c r="E6979" s="6" t="s">
        <v>7005</v>
      </c>
      <c r="F6979" s="9" t="s">
        <v>14567</v>
      </c>
    </row>
    <row r="6980" ht="33.75" customHeight="1">
      <c r="A6980" s="7">
        <v>252.0</v>
      </c>
      <c r="B6980" s="9" t="s">
        <v>13766</v>
      </c>
      <c r="C6980" s="9" t="s">
        <v>376</v>
      </c>
      <c r="D6980" s="9" t="s">
        <v>73</v>
      </c>
      <c r="E6980" s="6" t="s">
        <v>7006</v>
      </c>
      <c r="F6980" s="9" t="s">
        <v>14567</v>
      </c>
    </row>
    <row r="6981" ht="33.75" customHeight="1">
      <c r="A6981" s="7">
        <v>252.0</v>
      </c>
      <c r="B6981" s="9" t="s">
        <v>13766</v>
      </c>
      <c r="C6981" s="9" t="s">
        <v>376</v>
      </c>
      <c r="D6981" s="9" t="s">
        <v>75</v>
      </c>
      <c r="E6981" s="6" t="s">
        <v>7008</v>
      </c>
      <c r="F6981" s="9" t="s">
        <v>14567</v>
      </c>
    </row>
    <row r="6982" ht="33.75" customHeight="1">
      <c r="A6982" s="7">
        <v>252.0</v>
      </c>
      <c r="B6982" s="9" t="s">
        <v>13766</v>
      </c>
      <c r="C6982" s="9" t="s">
        <v>376</v>
      </c>
      <c r="D6982" s="9" t="s">
        <v>79</v>
      </c>
      <c r="E6982" s="6" t="s">
        <v>7008</v>
      </c>
      <c r="F6982" s="9" t="s">
        <v>14567</v>
      </c>
    </row>
    <row r="6983" ht="33.75" customHeight="1">
      <c r="A6983" s="7">
        <v>252.0</v>
      </c>
      <c r="B6983" s="9" t="s">
        <v>13766</v>
      </c>
      <c r="C6983" s="9" t="s">
        <v>376</v>
      </c>
      <c r="D6983" s="9" t="s">
        <v>81</v>
      </c>
      <c r="E6983" s="6" t="s">
        <v>7009</v>
      </c>
      <c r="F6983" s="9" t="s">
        <v>14567</v>
      </c>
    </row>
    <row r="6984" ht="33.75" customHeight="1">
      <c r="A6984" s="7">
        <v>252.0</v>
      </c>
      <c r="B6984" s="9" t="s">
        <v>13766</v>
      </c>
      <c r="C6984" s="9" t="s">
        <v>376</v>
      </c>
      <c r="D6984" s="9" t="s">
        <v>84</v>
      </c>
      <c r="E6984" s="6" t="s">
        <v>7009</v>
      </c>
      <c r="F6984" s="9" t="s">
        <v>14567</v>
      </c>
    </row>
    <row r="6985" ht="33.75" customHeight="1">
      <c r="A6985" s="7">
        <v>252.0</v>
      </c>
      <c r="B6985" s="9" t="s">
        <v>13766</v>
      </c>
      <c r="C6985" s="9" t="s">
        <v>376</v>
      </c>
      <c r="D6985" s="9" t="s">
        <v>87</v>
      </c>
      <c r="E6985" s="6" t="s">
        <v>7009</v>
      </c>
      <c r="F6985" s="9" t="s">
        <v>14567</v>
      </c>
    </row>
    <row r="6986" ht="33.75" customHeight="1">
      <c r="A6986" s="7">
        <v>252.0</v>
      </c>
      <c r="B6986" s="9" t="s">
        <v>13766</v>
      </c>
      <c r="C6986" s="9" t="s">
        <v>376</v>
      </c>
      <c r="D6986" s="9" t="s">
        <v>89</v>
      </c>
      <c r="E6986" s="6" t="s">
        <v>7011</v>
      </c>
      <c r="F6986" s="9" t="s">
        <v>14567</v>
      </c>
    </row>
    <row r="6987" ht="33.75" customHeight="1">
      <c r="A6987" s="7">
        <v>252.0</v>
      </c>
      <c r="B6987" s="9" t="s">
        <v>13766</v>
      </c>
      <c r="C6987" s="9" t="s">
        <v>376</v>
      </c>
      <c r="D6987" s="9" t="s">
        <v>91</v>
      </c>
      <c r="E6987" s="6" t="s">
        <v>7011</v>
      </c>
      <c r="F6987" s="9" t="s">
        <v>14567</v>
      </c>
    </row>
    <row r="6988" ht="33.75" customHeight="1">
      <c r="A6988" s="7">
        <v>252.0</v>
      </c>
      <c r="B6988" s="9" t="s">
        <v>13766</v>
      </c>
      <c r="C6988" s="9" t="s">
        <v>376</v>
      </c>
      <c r="D6988" s="9" t="s">
        <v>93</v>
      </c>
      <c r="E6988" s="6" t="s">
        <v>7009</v>
      </c>
      <c r="F6988" s="9" t="s">
        <v>14567</v>
      </c>
    </row>
    <row r="6989" ht="33.75" customHeight="1">
      <c r="A6989" s="7">
        <v>252.0</v>
      </c>
      <c r="B6989" s="9" t="s">
        <v>13766</v>
      </c>
      <c r="C6989" s="9" t="s">
        <v>376</v>
      </c>
      <c r="D6989" s="9" t="s">
        <v>95</v>
      </c>
      <c r="E6989" s="6" t="s">
        <v>7009</v>
      </c>
      <c r="F6989" s="9" t="s">
        <v>14567</v>
      </c>
    </row>
    <row r="6990" ht="33.75" customHeight="1">
      <c r="A6990" s="7">
        <v>252.0</v>
      </c>
      <c r="B6990" s="9" t="s">
        <v>13766</v>
      </c>
      <c r="C6990" s="9" t="s">
        <v>376</v>
      </c>
      <c r="D6990" s="9" t="s">
        <v>98</v>
      </c>
      <c r="E6990" s="6" t="s">
        <v>7009</v>
      </c>
      <c r="F6990" s="9" t="s">
        <v>14567</v>
      </c>
    </row>
    <row r="6991" ht="33.75" customHeight="1">
      <c r="A6991" s="7">
        <v>252.0</v>
      </c>
      <c r="B6991" s="9" t="s">
        <v>13766</v>
      </c>
      <c r="C6991" s="9" t="s">
        <v>376</v>
      </c>
      <c r="D6991" s="9" t="s">
        <v>99</v>
      </c>
      <c r="E6991" s="6" t="s">
        <v>7009</v>
      </c>
      <c r="F6991" s="9" t="s">
        <v>14567</v>
      </c>
    </row>
    <row r="6992" ht="33.75" customHeight="1">
      <c r="A6992" s="7">
        <v>252.0</v>
      </c>
      <c r="B6992" s="9" t="s">
        <v>13766</v>
      </c>
      <c r="C6992" s="9" t="s">
        <v>376</v>
      </c>
      <c r="D6992" s="9" t="s">
        <v>101</v>
      </c>
      <c r="E6992" s="6" t="s">
        <v>7008</v>
      </c>
      <c r="F6992" s="9" t="s">
        <v>14567</v>
      </c>
    </row>
    <row r="6993" ht="33.75" customHeight="1">
      <c r="A6993" s="7">
        <v>252.0</v>
      </c>
      <c r="B6993" s="9" t="s">
        <v>13766</v>
      </c>
      <c r="C6993" s="9" t="s">
        <v>376</v>
      </c>
      <c r="D6993" s="9" t="s">
        <v>105</v>
      </c>
      <c r="E6993" s="6" t="s">
        <v>7011</v>
      </c>
      <c r="F6993" s="9" t="s">
        <v>14567</v>
      </c>
    </row>
    <row r="6994" ht="33.75" customHeight="1">
      <c r="A6994" s="7">
        <v>252.0</v>
      </c>
      <c r="B6994" s="9" t="s">
        <v>13766</v>
      </c>
      <c r="C6994" s="9" t="s">
        <v>376</v>
      </c>
      <c r="D6994" s="9" t="s">
        <v>107</v>
      </c>
      <c r="E6994" s="6" t="s">
        <v>7012</v>
      </c>
      <c r="F6994" s="9" t="s">
        <v>14567</v>
      </c>
    </row>
    <row r="6995" ht="33.75" customHeight="1">
      <c r="A6995" s="7">
        <v>252.0</v>
      </c>
      <c r="B6995" s="9" t="s">
        <v>13766</v>
      </c>
      <c r="C6995" s="9" t="s">
        <v>376</v>
      </c>
      <c r="D6995" s="9" t="s">
        <v>109</v>
      </c>
      <c r="E6995" s="6" t="s">
        <v>7013</v>
      </c>
      <c r="F6995" s="9" t="s">
        <v>14567</v>
      </c>
    </row>
    <row r="6996" ht="33.75" customHeight="1">
      <c r="A6996" s="7">
        <v>253.0</v>
      </c>
      <c r="B6996" s="9" t="s">
        <v>13777</v>
      </c>
      <c r="C6996" s="9" t="s">
        <v>376</v>
      </c>
      <c r="D6996" s="9" t="s">
        <v>67</v>
      </c>
      <c r="E6996" s="6" t="s">
        <v>7014</v>
      </c>
      <c r="F6996" s="9" t="s">
        <v>14575</v>
      </c>
      <c r="G6996" t="inlineStr" s="6">
        <is>
          <t xml:space="preserve">The leaves growing out of GROVYLE’s body are convenient for camouflaging it from enemies in the forest. This POKéMON is a master at climbing trees in jungles. This POKéMON adeptly flies from branch to branch in trees. In a forest, no POKéMON can ever hope to catch a fleeing GROVYLE however fast they may be. Leaves grow out of this POKéMON’s body. They help obscure a GROVYLE from the eyes of its enemies while it is in a thickly overgrown forest. Its strongly developed thigh muscles give it astounding agility and jumping performance. It lives in dense jungles. While closing in on its prey, it leaps from branch to branch. It leaps from tree branch to tree branch quite swiftly. It shows astounding agility.</t>
        </is>
      </c>
    </row>
    <row r="6997" ht="33.75" customHeight="1">
      <c r="A6997" s="7">
        <v>253.0</v>
      </c>
      <c r="B6997" s="9" t="s">
        <v>13777</v>
      </c>
      <c r="C6997" s="9" t="s">
        <v>376</v>
      </c>
      <c r="D6997" s="9" t="s">
        <v>71</v>
      </c>
      <c r="E6997" s="6" t="s">
        <v>7015</v>
      </c>
      <c r="F6997" s="9" t="s">
        <v>14575</v>
      </c>
    </row>
    <row r="6998" ht="33.75" customHeight="1">
      <c r="A6998" s="7">
        <v>253.0</v>
      </c>
      <c r="B6998" s="9" t="s">
        <v>13777</v>
      </c>
      <c r="C6998" s="9" t="s">
        <v>376</v>
      </c>
      <c r="D6998" s="9" t="s">
        <v>73</v>
      </c>
      <c r="E6998" s="6" t="s">
        <v>7016</v>
      </c>
      <c r="F6998" s="9" t="s">
        <v>14575</v>
      </c>
    </row>
    <row r="6999" ht="33.75" customHeight="1">
      <c r="A6999" s="7">
        <v>253.0</v>
      </c>
      <c r="B6999" s="9" t="s">
        <v>13777</v>
      </c>
      <c r="C6999" s="9" t="s">
        <v>376</v>
      </c>
      <c r="D6999" s="9" t="s">
        <v>75</v>
      </c>
      <c r="E6999" s="6" t="s">
        <v>7017</v>
      </c>
      <c r="F6999" s="9" t="s">
        <v>14575</v>
      </c>
    </row>
    <row r="7000" ht="33.75" customHeight="1">
      <c r="A7000" s="7">
        <v>253.0</v>
      </c>
      <c r="B7000" s="9" t="s">
        <v>13777</v>
      </c>
      <c r="C7000" s="9" t="s">
        <v>376</v>
      </c>
      <c r="D7000" s="9" t="s">
        <v>79</v>
      </c>
      <c r="E7000" s="6" t="s">
        <v>7017</v>
      </c>
      <c r="F7000" s="9" t="s">
        <v>14575</v>
      </c>
    </row>
    <row r="7001" ht="33.75" customHeight="1">
      <c r="A7001" s="7">
        <v>253.0</v>
      </c>
      <c r="B7001" s="9" t="s">
        <v>13777</v>
      </c>
      <c r="C7001" s="9" t="s">
        <v>376</v>
      </c>
      <c r="D7001" s="9" t="s">
        <v>81</v>
      </c>
      <c r="E7001" s="6" t="s">
        <v>7018</v>
      </c>
      <c r="F7001" s="9" t="s">
        <v>14575</v>
      </c>
    </row>
    <row r="7002" ht="33.75" customHeight="1">
      <c r="A7002" s="7">
        <v>253.0</v>
      </c>
      <c r="B7002" s="9" t="s">
        <v>13777</v>
      </c>
      <c r="C7002" s="9" t="s">
        <v>376</v>
      </c>
      <c r="D7002" s="9" t="s">
        <v>84</v>
      </c>
      <c r="E7002" s="6" t="s">
        <v>7018</v>
      </c>
      <c r="F7002" s="9" t="s">
        <v>14575</v>
      </c>
    </row>
    <row r="7003" ht="33.75" customHeight="1">
      <c r="A7003" s="7">
        <v>253.0</v>
      </c>
      <c r="B7003" s="9" t="s">
        <v>13777</v>
      </c>
      <c r="C7003" s="9" t="s">
        <v>376</v>
      </c>
      <c r="D7003" s="9" t="s">
        <v>87</v>
      </c>
      <c r="E7003" s="6" t="s">
        <v>7018</v>
      </c>
      <c r="F7003" s="9" t="s">
        <v>14575</v>
      </c>
    </row>
    <row r="7004" ht="33.75" customHeight="1">
      <c r="A7004" s="7">
        <v>253.0</v>
      </c>
      <c r="B7004" s="9" t="s">
        <v>13777</v>
      </c>
      <c r="C7004" s="9" t="s">
        <v>376</v>
      </c>
      <c r="D7004" s="9" t="s">
        <v>89</v>
      </c>
      <c r="E7004" s="6" t="s">
        <v>7019</v>
      </c>
      <c r="F7004" s="9" t="s">
        <v>14575</v>
      </c>
    </row>
    <row r="7005" ht="33.75" customHeight="1">
      <c r="A7005" s="7">
        <v>253.0</v>
      </c>
      <c r="B7005" s="9" t="s">
        <v>13777</v>
      </c>
      <c r="C7005" s="9" t="s">
        <v>376</v>
      </c>
      <c r="D7005" s="9" t="s">
        <v>91</v>
      </c>
      <c r="E7005" s="6" t="s">
        <v>7019</v>
      </c>
      <c r="F7005" s="9" t="s">
        <v>14575</v>
      </c>
    </row>
    <row r="7006" ht="33.75" customHeight="1">
      <c r="A7006" s="7">
        <v>253.0</v>
      </c>
      <c r="B7006" s="9" t="s">
        <v>13777</v>
      </c>
      <c r="C7006" s="9" t="s">
        <v>376</v>
      </c>
      <c r="D7006" s="9" t="s">
        <v>93</v>
      </c>
      <c r="E7006" s="6" t="s">
        <v>7018</v>
      </c>
      <c r="F7006" s="9" t="s">
        <v>14575</v>
      </c>
    </row>
    <row r="7007" ht="33.75" customHeight="1">
      <c r="A7007" s="7">
        <v>253.0</v>
      </c>
      <c r="B7007" s="9" t="s">
        <v>13777</v>
      </c>
      <c r="C7007" s="9" t="s">
        <v>376</v>
      </c>
      <c r="D7007" s="9" t="s">
        <v>95</v>
      </c>
      <c r="E7007" s="6" t="s">
        <v>7018</v>
      </c>
      <c r="F7007" s="9" t="s">
        <v>14575</v>
      </c>
    </row>
    <row r="7008" ht="33.75" customHeight="1">
      <c r="A7008" s="7">
        <v>253.0</v>
      </c>
      <c r="B7008" s="9" t="s">
        <v>13777</v>
      </c>
      <c r="C7008" s="9" t="s">
        <v>376</v>
      </c>
      <c r="D7008" s="9" t="s">
        <v>98</v>
      </c>
      <c r="E7008" s="6" t="s">
        <v>7018</v>
      </c>
      <c r="F7008" s="9" t="s">
        <v>14575</v>
      </c>
    </row>
    <row r="7009" ht="33.75" customHeight="1">
      <c r="A7009" s="7">
        <v>253.0</v>
      </c>
      <c r="B7009" s="9" t="s">
        <v>13777</v>
      </c>
      <c r="C7009" s="9" t="s">
        <v>376</v>
      </c>
      <c r="D7009" s="9" t="s">
        <v>99</v>
      </c>
      <c r="E7009" s="6" t="s">
        <v>7018</v>
      </c>
      <c r="F7009" s="9" t="s">
        <v>14575</v>
      </c>
    </row>
    <row r="7010" ht="33.75" customHeight="1">
      <c r="A7010" s="7">
        <v>253.0</v>
      </c>
      <c r="B7010" s="9" t="s">
        <v>13777</v>
      </c>
      <c r="C7010" s="9" t="s">
        <v>376</v>
      </c>
      <c r="D7010" s="9" t="s">
        <v>101</v>
      </c>
      <c r="E7010" s="6" t="s">
        <v>7017</v>
      </c>
      <c r="F7010" s="9" t="s">
        <v>14575</v>
      </c>
    </row>
    <row r="7011" ht="33.75" customHeight="1">
      <c r="A7011" s="7">
        <v>253.0</v>
      </c>
      <c r="B7011" s="9" t="s">
        <v>13777</v>
      </c>
      <c r="C7011" s="9" t="s">
        <v>376</v>
      </c>
      <c r="D7011" s="9" t="s">
        <v>105</v>
      </c>
      <c r="E7011" s="6" t="s">
        <v>7018</v>
      </c>
      <c r="F7011" s="9" t="s">
        <v>14575</v>
      </c>
    </row>
    <row r="7012" ht="33.75" customHeight="1">
      <c r="A7012" s="7">
        <v>253.0</v>
      </c>
      <c r="B7012" s="9" t="s">
        <v>13777</v>
      </c>
      <c r="C7012" s="9" t="s">
        <v>376</v>
      </c>
      <c r="D7012" s="9" t="s">
        <v>107</v>
      </c>
      <c r="E7012" s="6" t="s">
        <v>7020</v>
      </c>
      <c r="F7012" s="9" t="s">
        <v>14575</v>
      </c>
    </row>
    <row r="7013" ht="33.75" customHeight="1">
      <c r="A7013" s="7">
        <v>253.0</v>
      </c>
      <c r="B7013" s="9" t="s">
        <v>13777</v>
      </c>
      <c r="C7013" s="9" t="s">
        <v>376</v>
      </c>
      <c r="D7013" s="9" t="s">
        <v>109</v>
      </c>
      <c r="E7013" s="6" t="s">
        <v>7021</v>
      </c>
      <c r="F7013" s="9" t="s">
        <v>14575</v>
      </c>
    </row>
    <row r="7014" ht="33.75" customHeight="1">
      <c r="A7014" s="7">
        <v>254.0</v>
      </c>
      <c r="B7014" s="9" t="s">
        <v>13787</v>
      </c>
      <c r="C7014" s="9" t="s">
        <v>380</v>
      </c>
      <c r="D7014" s="9" t="s">
        <v>67</v>
      </c>
      <c r="E7014" s="6" t="s">
        <v>7022</v>
      </c>
      <c r="F7014" s="9" t="s">
        <v>14584</v>
      </c>
      <c r="G7014" t="inlineStr" s="6">
        <is>
          <t xml:space="preserve">The leaves growing on SCEPTILE’s body are very sharp edged. This POKéMON is very agile - it leaps all over the branches of trees and jumps on its foe from above or behind. SCEPTILE has seeds growing on its back. They are said to be bursting with nutrients that revitalize trees. This POKéMON raises the trees in a forest with loving care. In the jungle, its power is without equal. This POKéMON carefully grows trees and plants. It regulates its body temperature by basking in sunlight. The leaves on its forelegs are as sharp as swords. It agilely leaps about the branches of trees to strike. The leaves that grow on its arms can slice down thick trees. It is without peer in jungle combat. It agilely leaps about the jungle and uses the sharp leaves on its arms to strike its prey. This Pokémon is very agile—it leaps all over the branches of trees and jumps on its foe from above or behind.</t>
        </is>
      </c>
    </row>
    <row r="7015" ht="33.75" customHeight="1">
      <c r="A7015" s="7">
        <v>254.0</v>
      </c>
      <c r="B7015" s="9" t="s">
        <v>13787</v>
      </c>
      <c r="C7015" s="9" t="s">
        <v>380</v>
      </c>
      <c r="D7015" s="9" t="s">
        <v>71</v>
      </c>
      <c r="E7015" s="6" t="s">
        <v>7023</v>
      </c>
      <c r="F7015" s="9" t="s">
        <v>14584</v>
      </c>
    </row>
    <row r="7016" ht="33.75" customHeight="1">
      <c r="A7016" s="7">
        <v>254.0</v>
      </c>
      <c r="B7016" s="9" t="s">
        <v>13787</v>
      </c>
      <c r="C7016" s="9" t="s">
        <v>380</v>
      </c>
      <c r="D7016" s="9" t="s">
        <v>73</v>
      </c>
      <c r="E7016" s="6" t="s">
        <v>7024</v>
      </c>
      <c r="F7016" s="9" t="s">
        <v>14584</v>
      </c>
    </row>
    <row r="7017" ht="33.75" customHeight="1">
      <c r="A7017" s="7">
        <v>254.0</v>
      </c>
      <c r="B7017" s="9" t="s">
        <v>13787</v>
      </c>
      <c r="C7017" s="9" t="s">
        <v>380</v>
      </c>
      <c r="D7017" s="9" t="s">
        <v>75</v>
      </c>
      <c r="E7017" s="6" t="s">
        <v>7025</v>
      </c>
      <c r="F7017" s="9" t="s">
        <v>14584</v>
      </c>
    </row>
    <row r="7018" ht="33.75" customHeight="1">
      <c r="A7018" s="7">
        <v>254.0</v>
      </c>
      <c r="B7018" s="9" t="s">
        <v>13787</v>
      </c>
      <c r="C7018" s="9" t="s">
        <v>380</v>
      </c>
      <c r="D7018" s="9" t="s">
        <v>79</v>
      </c>
      <c r="E7018" s="6" t="s">
        <v>7025</v>
      </c>
      <c r="F7018" s="9" t="s">
        <v>14584</v>
      </c>
    </row>
    <row r="7019" ht="33.75" customHeight="1">
      <c r="A7019" s="7">
        <v>254.0</v>
      </c>
      <c r="B7019" s="9" t="s">
        <v>13787</v>
      </c>
      <c r="C7019" s="9" t="s">
        <v>380</v>
      </c>
      <c r="D7019" s="9" t="s">
        <v>81</v>
      </c>
      <c r="E7019" s="6" t="s">
        <v>7027</v>
      </c>
      <c r="F7019" s="9" t="s">
        <v>14584</v>
      </c>
    </row>
    <row r="7020" ht="33.75" customHeight="1">
      <c r="A7020" s="7">
        <v>254.0</v>
      </c>
      <c r="B7020" s="9" t="s">
        <v>13787</v>
      </c>
      <c r="C7020" s="9" t="s">
        <v>380</v>
      </c>
      <c r="D7020" s="9" t="s">
        <v>84</v>
      </c>
      <c r="E7020" s="6" t="s">
        <v>7027</v>
      </c>
      <c r="F7020" s="9" t="s">
        <v>14584</v>
      </c>
    </row>
    <row r="7021" ht="33.75" customHeight="1">
      <c r="A7021" s="7">
        <v>254.0</v>
      </c>
      <c r="B7021" s="9" t="s">
        <v>13787</v>
      </c>
      <c r="C7021" s="9" t="s">
        <v>380</v>
      </c>
      <c r="D7021" s="9" t="s">
        <v>87</v>
      </c>
      <c r="E7021" s="6" t="s">
        <v>7027</v>
      </c>
      <c r="F7021" s="9" t="s">
        <v>14584</v>
      </c>
    </row>
    <row r="7022" ht="33.75" customHeight="1">
      <c r="A7022" s="7">
        <v>254.0</v>
      </c>
      <c r="B7022" s="9" t="s">
        <v>13787</v>
      </c>
      <c r="C7022" s="9" t="s">
        <v>380</v>
      </c>
      <c r="D7022" s="9" t="s">
        <v>89</v>
      </c>
      <c r="E7022" s="6" t="s">
        <v>7028</v>
      </c>
      <c r="F7022" s="9" t="s">
        <v>14584</v>
      </c>
    </row>
    <row r="7023" ht="33.75" customHeight="1">
      <c r="A7023" s="7">
        <v>254.0</v>
      </c>
      <c r="B7023" s="9" t="s">
        <v>13787</v>
      </c>
      <c r="C7023" s="9" t="s">
        <v>380</v>
      </c>
      <c r="D7023" s="9" t="s">
        <v>91</v>
      </c>
      <c r="E7023" s="6" t="s">
        <v>7028</v>
      </c>
      <c r="F7023" s="9" t="s">
        <v>14584</v>
      </c>
    </row>
    <row r="7024" ht="33.75" customHeight="1">
      <c r="A7024" s="7">
        <v>254.0</v>
      </c>
      <c r="B7024" s="9" t="s">
        <v>13787</v>
      </c>
      <c r="C7024" s="9" t="s">
        <v>380</v>
      </c>
      <c r="D7024" s="9" t="s">
        <v>93</v>
      </c>
      <c r="E7024" s="6" t="s">
        <v>7027</v>
      </c>
      <c r="F7024" s="9" t="s">
        <v>14584</v>
      </c>
    </row>
    <row r="7025" ht="33.75" customHeight="1">
      <c r="A7025" s="7">
        <v>254.0</v>
      </c>
      <c r="B7025" s="9" t="s">
        <v>13787</v>
      </c>
      <c r="C7025" s="9" t="s">
        <v>380</v>
      </c>
      <c r="D7025" s="9" t="s">
        <v>95</v>
      </c>
      <c r="E7025" s="6" t="s">
        <v>7027</v>
      </c>
      <c r="F7025" s="9" t="s">
        <v>14584</v>
      </c>
    </row>
    <row r="7026" ht="33.75" customHeight="1">
      <c r="A7026" s="7">
        <v>254.0</v>
      </c>
      <c r="B7026" s="9" t="s">
        <v>13787</v>
      </c>
      <c r="C7026" s="9" t="s">
        <v>380</v>
      </c>
      <c r="D7026" s="9" t="s">
        <v>98</v>
      </c>
      <c r="E7026" s="6" t="s">
        <v>7027</v>
      </c>
      <c r="F7026" s="9" t="s">
        <v>14584</v>
      </c>
    </row>
    <row r="7027" ht="33.75" customHeight="1">
      <c r="A7027" s="7">
        <v>254.0</v>
      </c>
      <c r="B7027" s="9" t="s">
        <v>13787</v>
      </c>
      <c r="C7027" s="9" t="s">
        <v>380</v>
      </c>
      <c r="D7027" s="9" t="s">
        <v>99</v>
      </c>
      <c r="E7027" s="6" t="s">
        <v>7027</v>
      </c>
      <c r="F7027" s="9" t="s">
        <v>14584</v>
      </c>
    </row>
    <row r="7028" ht="33.75" customHeight="1">
      <c r="A7028" s="7">
        <v>254.0</v>
      </c>
      <c r="B7028" s="9" t="s">
        <v>13787</v>
      </c>
      <c r="C7028" s="9" t="s">
        <v>380</v>
      </c>
      <c r="D7028" s="9" t="s">
        <v>101</v>
      </c>
      <c r="E7028" s="6" t="s">
        <v>7027</v>
      </c>
      <c r="F7028" s="9" t="s">
        <v>14584</v>
      </c>
    </row>
    <row r="7029" ht="33.75" customHeight="1">
      <c r="A7029" s="7">
        <v>254.0</v>
      </c>
      <c r="B7029" s="9" t="s">
        <v>13787</v>
      </c>
      <c r="C7029" s="9" t="s">
        <v>380</v>
      </c>
      <c r="D7029" s="9" t="s">
        <v>105</v>
      </c>
      <c r="E7029" s="6" t="s">
        <v>7028</v>
      </c>
      <c r="F7029" s="9" t="s">
        <v>14584</v>
      </c>
    </row>
    <row r="7030" ht="33.75" customHeight="1">
      <c r="A7030" s="7">
        <v>254.0</v>
      </c>
      <c r="B7030" s="9" t="s">
        <v>13787</v>
      </c>
      <c r="C7030" s="9" t="s">
        <v>380</v>
      </c>
      <c r="D7030" s="9" t="s">
        <v>107</v>
      </c>
      <c r="E7030" s="6" t="s">
        <v>7029</v>
      </c>
      <c r="F7030" s="9" t="s">
        <v>14584</v>
      </c>
    </row>
    <row r="7031" ht="33.75" customHeight="1">
      <c r="A7031" s="7">
        <v>254.0</v>
      </c>
      <c r="B7031" s="9" t="s">
        <v>13787</v>
      </c>
      <c r="C7031" s="9" t="s">
        <v>380</v>
      </c>
      <c r="D7031" s="9" t="s">
        <v>109</v>
      </c>
      <c r="E7031" s="6" t="s">
        <v>7031</v>
      </c>
      <c r="F7031" s="9" t="s">
        <v>14584</v>
      </c>
    </row>
    <row r="7032" ht="33.75" customHeight="1">
      <c r="A7032" s="7">
        <v>255.0</v>
      </c>
      <c r="B7032" s="9" t="s">
        <v>13798</v>
      </c>
      <c r="C7032" s="9" t="s">
        <v>382</v>
      </c>
      <c r="D7032" s="9" t="s">
        <v>67</v>
      </c>
      <c r="E7032" s="6" t="s">
        <v>7033</v>
      </c>
      <c r="F7032" s="9" t="s">
        <v>14595</v>
      </c>
      <c r="G7032" t="inlineStr" s="6">
        <is>
          <t xml:space="preserve">TORCHIC sticks with Torchic's TRAINER, following behind with unsteady steps. This POKéMON breathes fire of over 1,800 degrees F, including fireballs that leave the foe scorched black. TORCHIC has a place inside its body where it keeps its flame. Give it a hug - it will be glowing with warmth. This POKéMON is covered all over by a fluffy coat of down. If attacked, it strikes back by spitting balls of fire it forms in its stomach. A TORCHIC dislikes darkness because it can’t see its surroundings. It has a flame sac inside its belly that perpetually burns. It feels warm if it is hugged. A fire burns inside, so it feels very warm to hug. It launches fireballs of 1,800 degrees F. Inside its body is a place where it keeps a small flame. Hug it! It will be as warm as a hot-water bottle. It launches fireballs of 1,800 degrees Fahrenheit. This Pokémon breathes fire of over 1,800 degrees Fahrenheit, including fireballs that leave the foe scorched black. Give it a hug—it will be glowing with warmth.</t>
        </is>
      </c>
    </row>
    <row r="7033" ht="33.75" customHeight="1">
      <c r="A7033" s="7">
        <v>255.0</v>
      </c>
      <c r="B7033" s="9" t="s">
        <v>13798</v>
      </c>
      <c r="C7033" s="9" t="s">
        <v>382</v>
      </c>
      <c r="D7033" s="9" t="s">
        <v>71</v>
      </c>
      <c r="E7033" s="6" t="s">
        <v>7035</v>
      </c>
      <c r="F7033" s="9" t="s">
        <v>14595</v>
      </c>
    </row>
    <row r="7034" ht="33.75" customHeight="1">
      <c r="A7034" s="7">
        <v>255.0</v>
      </c>
      <c r="B7034" s="9" t="s">
        <v>13798</v>
      </c>
      <c r="C7034" s="9" t="s">
        <v>382</v>
      </c>
      <c r="D7034" s="9" t="s">
        <v>73</v>
      </c>
      <c r="E7034" s="6" t="s">
        <v>7037</v>
      </c>
      <c r="F7034" s="9" t="s">
        <v>14595</v>
      </c>
    </row>
    <row r="7035" ht="33.75" customHeight="1">
      <c r="A7035" s="7">
        <v>255.0</v>
      </c>
      <c r="B7035" s="9" t="s">
        <v>13798</v>
      </c>
      <c r="C7035" s="9" t="s">
        <v>382</v>
      </c>
      <c r="D7035" s="9" t="s">
        <v>75</v>
      </c>
      <c r="E7035" s="6" t="s">
        <v>7038</v>
      </c>
      <c r="F7035" s="9" t="s">
        <v>14595</v>
      </c>
    </row>
    <row r="7036" ht="33.75" customHeight="1">
      <c r="A7036" s="7">
        <v>255.0</v>
      </c>
      <c r="B7036" s="9" t="s">
        <v>13798</v>
      </c>
      <c r="C7036" s="9" t="s">
        <v>382</v>
      </c>
      <c r="D7036" s="9" t="s">
        <v>79</v>
      </c>
      <c r="E7036" s="6" t="s">
        <v>7038</v>
      </c>
      <c r="F7036" s="9" t="s">
        <v>14595</v>
      </c>
    </row>
    <row r="7037" ht="33.75" customHeight="1">
      <c r="A7037" s="7">
        <v>255.0</v>
      </c>
      <c r="B7037" s="9" t="s">
        <v>13798</v>
      </c>
      <c r="C7037" s="9" t="s">
        <v>382</v>
      </c>
      <c r="D7037" s="9" t="s">
        <v>81</v>
      </c>
      <c r="E7037" s="6" t="s">
        <v>7040</v>
      </c>
      <c r="F7037" s="9" t="s">
        <v>14595</v>
      </c>
    </row>
    <row r="7038" ht="33.75" customHeight="1">
      <c r="A7038" s="7">
        <v>255.0</v>
      </c>
      <c r="B7038" s="9" t="s">
        <v>13798</v>
      </c>
      <c r="C7038" s="9" t="s">
        <v>382</v>
      </c>
      <c r="D7038" s="9" t="s">
        <v>84</v>
      </c>
      <c r="E7038" s="6" t="s">
        <v>7040</v>
      </c>
      <c r="F7038" s="9" t="s">
        <v>14595</v>
      </c>
    </row>
    <row r="7039" ht="33.75" customHeight="1">
      <c r="A7039" s="7">
        <v>255.0</v>
      </c>
      <c r="B7039" s="9" t="s">
        <v>13798</v>
      </c>
      <c r="C7039" s="9" t="s">
        <v>382</v>
      </c>
      <c r="D7039" s="9" t="s">
        <v>87</v>
      </c>
      <c r="E7039" s="6" t="s">
        <v>7040</v>
      </c>
      <c r="F7039" s="9" t="s">
        <v>14595</v>
      </c>
    </row>
    <row r="7040" ht="33.75" customHeight="1">
      <c r="A7040" s="7">
        <v>255.0</v>
      </c>
      <c r="B7040" s="9" t="s">
        <v>13798</v>
      </c>
      <c r="C7040" s="9" t="s">
        <v>382</v>
      </c>
      <c r="D7040" s="9" t="s">
        <v>89</v>
      </c>
      <c r="E7040" s="6" t="s">
        <v>7041</v>
      </c>
      <c r="F7040" s="9" t="s">
        <v>14595</v>
      </c>
    </row>
    <row r="7041" ht="33.75" customHeight="1">
      <c r="A7041" s="7">
        <v>255.0</v>
      </c>
      <c r="B7041" s="9" t="s">
        <v>13798</v>
      </c>
      <c r="C7041" s="9" t="s">
        <v>382</v>
      </c>
      <c r="D7041" s="9" t="s">
        <v>91</v>
      </c>
      <c r="E7041" s="6" t="s">
        <v>7041</v>
      </c>
      <c r="F7041" s="9" t="s">
        <v>14595</v>
      </c>
    </row>
    <row r="7042" ht="33.75" customHeight="1">
      <c r="A7042" s="7">
        <v>255.0</v>
      </c>
      <c r="B7042" s="9" t="s">
        <v>13798</v>
      </c>
      <c r="C7042" s="9" t="s">
        <v>382</v>
      </c>
      <c r="D7042" s="9" t="s">
        <v>93</v>
      </c>
      <c r="E7042" s="6" t="s">
        <v>7040</v>
      </c>
      <c r="F7042" s="9" t="s">
        <v>14595</v>
      </c>
    </row>
    <row r="7043" ht="33.75" customHeight="1">
      <c r="A7043" s="7">
        <v>255.0</v>
      </c>
      <c r="B7043" s="9" t="s">
        <v>13798</v>
      </c>
      <c r="C7043" s="9" t="s">
        <v>382</v>
      </c>
      <c r="D7043" s="9" t="s">
        <v>95</v>
      </c>
      <c r="E7043" s="6" t="s">
        <v>7040</v>
      </c>
      <c r="F7043" s="9" t="s">
        <v>14595</v>
      </c>
    </row>
    <row r="7044" ht="33.75" customHeight="1">
      <c r="A7044" s="7">
        <v>255.0</v>
      </c>
      <c r="B7044" s="9" t="s">
        <v>13798</v>
      </c>
      <c r="C7044" s="9" t="s">
        <v>382</v>
      </c>
      <c r="D7044" s="9" t="s">
        <v>98</v>
      </c>
      <c r="E7044" s="6" t="s">
        <v>7040</v>
      </c>
      <c r="F7044" s="9" t="s">
        <v>14595</v>
      </c>
    </row>
    <row r="7045" ht="33.75" customHeight="1">
      <c r="A7045" s="7">
        <v>255.0</v>
      </c>
      <c r="B7045" s="9" t="s">
        <v>13798</v>
      </c>
      <c r="C7045" s="9" t="s">
        <v>382</v>
      </c>
      <c r="D7045" s="9" t="s">
        <v>99</v>
      </c>
      <c r="E7045" s="6" t="s">
        <v>7040</v>
      </c>
      <c r="F7045" s="9" t="s">
        <v>14595</v>
      </c>
    </row>
    <row r="7046" ht="33.75" customHeight="1">
      <c r="A7046" s="7">
        <v>255.0</v>
      </c>
      <c r="B7046" s="9" t="s">
        <v>13798</v>
      </c>
      <c r="C7046" s="9" t="s">
        <v>382</v>
      </c>
      <c r="D7046" s="9" t="s">
        <v>101</v>
      </c>
      <c r="E7046" s="6" t="s">
        <v>7038</v>
      </c>
      <c r="F7046" s="9" t="s">
        <v>14595</v>
      </c>
    </row>
    <row r="7047" ht="33.75" customHeight="1">
      <c r="A7047" s="7">
        <v>255.0</v>
      </c>
      <c r="B7047" s="9" t="s">
        <v>13798</v>
      </c>
      <c r="C7047" s="9" t="s">
        <v>382</v>
      </c>
      <c r="D7047" s="9" t="s">
        <v>105</v>
      </c>
      <c r="E7047" s="6" t="s">
        <v>7043</v>
      </c>
      <c r="F7047" s="9" t="s">
        <v>14595</v>
      </c>
    </row>
    <row r="7048" ht="33.75" customHeight="1">
      <c r="A7048" s="7">
        <v>255.0</v>
      </c>
      <c r="B7048" s="9" t="s">
        <v>13798</v>
      </c>
      <c r="C7048" s="9" t="s">
        <v>382</v>
      </c>
      <c r="D7048" s="9" t="s">
        <v>107</v>
      </c>
      <c r="E7048" s="6" t="s">
        <v>7045</v>
      </c>
      <c r="F7048" s="9" t="s">
        <v>14595</v>
      </c>
    </row>
    <row r="7049" ht="33.75" customHeight="1">
      <c r="A7049" s="7">
        <v>255.0</v>
      </c>
      <c r="B7049" s="9" t="s">
        <v>13798</v>
      </c>
      <c r="C7049" s="9" t="s">
        <v>382</v>
      </c>
      <c r="D7049" s="9" t="s">
        <v>109</v>
      </c>
      <c r="E7049" s="6" t="s">
        <v>7048</v>
      </c>
      <c r="F7049" s="9" t="s">
        <v>14595</v>
      </c>
    </row>
    <row r="7050" ht="33.75" customHeight="1">
      <c r="A7050" s="7">
        <v>256.0</v>
      </c>
      <c r="B7050" s="9" t="s">
        <v>13809</v>
      </c>
      <c r="C7050" s="9" t="s">
        <v>384</v>
      </c>
      <c r="D7050" s="9" t="s">
        <v>67</v>
      </c>
      <c r="E7050" s="6" t="s">
        <v>7050</v>
      </c>
      <c r="F7050" s="9" t="s">
        <v>14609</v>
      </c>
      <c r="G7050" t="inlineStr" s="6">
        <is>
          <t xml:space="preserve">COMBUSKEN toughens up Combusken's legs and thighs by running through fields and mountains. This POKéMON’s legs possess both speed and power, enabling it to dole out ten kicks in one second. COMBUSKEN battles with the intensely hot flames it spews from its beak and with outstandingly destructive kicks. This POKéMON’s cry is very loud and distracting. It lashes out with 10 kicks per second. Its strong fighting instinct compels it to keep up its offensive until the opponent gives up. It boosts its concentration by emitting harsh cries. Its kicks have outstanding destructive power. Its kicking mastery lets it loose 10 kicks per second. It emits sharp cries to intimidate foes. During a battle, the hot flame in its body increases. This Pokémon’s legs possess both speed and power, enabling it to dole out 10 kicks in one second.</t>
        </is>
      </c>
    </row>
    <row r="7051" ht="33.75" customHeight="1">
      <c r="A7051" s="7">
        <v>256.0</v>
      </c>
      <c r="B7051" s="9" t="s">
        <v>13809</v>
      </c>
      <c r="C7051" s="9" t="s">
        <v>384</v>
      </c>
      <c r="D7051" s="9" t="s">
        <v>71</v>
      </c>
      <c r="E7051" s="6" t="s">
        <v>7051</v>
      </c>
      <c r="F7051" s="9" t="s">
        <v>14609</v>
      </c>
    </row>
    <row r="7052" ht="33.75" customHeight="1">
      <c r="A7052" s="7">
        <v>256.0</v>
      </c>
      <c r="B7052" s="9" t="s">
        <v>13809</v>
      </c>
      <c r="C7052" s="9" t="s">
        <v>384</v>
      </c>
      <c r="D7052" s="9" t="s">
        <v>73</v>
      </c>
      <c r="E7052" s="6" t="s">
        <v>7054</v>
      </c>
      <c r="F7052" s="9" t="s">
        <v>14609</v>
      </c>
    </row>
    <row r="7053" ht="33.75" customHeight="1">
      <c r="A7053" s="7">
        <v>256.0</v>
      </c>
      <c r="B7053" s="9" t="s">
        <v>13809</v>
      </c>
      <c r="C7053" s="9" t="s">
        <v>384</v>
      </c>
      <c r="D7053" s="9" t="s">
        <v>75</v>
      </c>
      <c r="E7053" s="6" t="s">
        <v>7056</v>
      </c>
      <c r="F7053" s="9" t="s">
        <v>14609</v>
      </c>
    </row>
    <row r="7054" ht="33.75" customHeight="1">
      <c r="A7054" s="7">
        <v>256.0</v>
      </c>
      <c r="B7054" s="9" t="s">
        <v>13809</v>
      </c>
      <c r="C7054" s="9" t="s">
        <v>384</v>
      </c>
      <c r="D7054" s="9" t="s">
        <v>79</v>
      </c>
      <c r="E7054" s="6" t="s">
        <v>7056</v>
      </c>
      <c r="F7054" s="9" t="s">
        <v>14609</v>
      </c>
    </row>
    <row r="7055" ht="33.75" customHeight="1">
      <c r="A7055" s="7">
        <v>256.0</v>
      </c>
      <c r="B7055" s="9" t="s">
        <v>13809</v>
      </c>
      <c r="C7055" s="9" t="s">
        <v>384</v>
      </c>
      <c r="D7055" s="9" t="s">
        <v>81</v>
      </c>
      <c r="E7055" s="6" t="s">
        <v>7057</v>
      </c>
      <c r="F7055" s="9" t="s">
        <v>14609</v>
      </c>
    </row>
    <row r="7056" ht="33.75" customHeight="1">
      <c r="A7056" s="7">
        <v>256.0</v>
      </c>
      <c r="B7056" s="9" t="s">
        <v>13809</v>
      </c>
      <c r="C7056" s="9" t="s">
        <v>384</v>
      </c>
      <c r="D7056" s="9" t="s">
        <v>84</v>
      </c>
      <c r="E7056" s="6" t="s">
        <v>7057</v>
      </c>
      <c r="F7056" s="9" t="s">
        <v>14609</v>
      </c>
    </row>
    <row r="7057" ht="33.75" customHeight="1">
      <c r="A7057" s="7">
        <v>256.0</v>
      </c>
      <c r="B7057" s="9" t="s">
        <v>13809</v>
      </c>
      <c r="C7057" s="9" t="s">
        <v>384</v>
      </c>
      <c r="D7057" s="9" t="s">
        <v>87</v>
      </c>
      <c r="E7057" s="6" t="s">
        <v>7057</v>
      </c>
      <c r="F7057" s="9" t="s">
        <v>14609</v>
      </c>
    </row>
    <row r="7058" ht="33.75" customHeight="1">
      <c r="A7058" s="7">
        <v>256.0</v>
      </c>
      <c r="B7058" s="9" t="s">
        <v>13809</v>
      </c>
      <c r="C7058" s="9" t="s">
        <v>384</v>
      </c>
      <c r="D7058" s="9" t="s">
        <v>89</v>
      </c>
      <c r="E7058" s="6" t="s">
        <v>7058</v>
      </c>
      <c r="F7058" s="9" t="s">
        <v>14609</v>
      </c>
    </row>
    <row r="7059" ht="33.75" customHeight="1">
      <c r="A7059" s="7">
        <v>256.0</v>
      </c>
      <c r="B7059" s="9" t="s">
        <v>13809</v>
      </c>
      <c r="C7059" s="9" t="s">
        <v>384</v>
      </c>
      <c r="D7059" s="9" t="s">
        <v>91</v>
      </c>
      <c r="E7059" s="6" t="s">
        <v>7058</v>
      </c>
      <c r="F7059" s="9" t="s">
        <v>14609</v>
      </c>
    </row>
    <row r="7060" ht="33.75" customHeight="1">
      <c r="A7060" s="7">
        <v>256.0</v>
      </c>
      <c r="B7060" s="9" t="s">
        <v>13809</v>
      </c>
      <c r="C7060" s="9" t="s">
        <v>384</v>
      </c>
      <c r="D7060" s="9" t="s">
        <v>93</v>
      </c>
      <c r="E7060" s="6" t="s">
        <v>7057</v>
      </c>
      <c r="F7060" s="9" t="s">
        <v>14609</v>
      </c>
    </row>
    <row r="7061" ht="33.75" customHeight="1">
      <c r="A7061" s="7">
        <v>256.0</v>
      </c>
      <c r="B7061" s="9" t="s">
        <v>13809</v>
      </c>
      <c r="C7061" s="9" t="s">
        <v>384</v>
      </c>
      <c r="D7061" s="9" t="s">
        <v>95</v>
      </c>
      <c r="E7061" s="6" t="s">
        <v>7057</v>
      </c>
      <c r="F7061" s="9" t="s">
        <v>14609</v>
      </c>
    </row>
    <row r="7062" ht="33.75" customHeight="1">
      <c r="A7062" s="7">
        <v>256.0</v>
      </c>
      <c r="B7062" s="9" t="s">
        <v>13809</v>
      </c>
      <c r="C7062" s="9" t="s">
        <v>384</v>
      </c>
      <c r="D7062" s="9" t="s">
        <v>98</v>
      </c>
      <c r="E7062" s="6" t="s">
        <v>7057</v>
      </c>
      <c r="F7062" s="9" t="s">
        <v>14609</v>
      </c>
    </row>
    <row r="7063" ht="33.75" customHeight="1">
      <c r="A7063" s="7">
        <v>256.0</v>
      </c>
      <c r="B7063" s="9" t="s">
        <v>13809</v>
      </c>
      <c r="C7063" s="9" t="s">
        <v>384</v>
      </c>
      <c r="D7063" s="9" t="s">
        <v>99</v>
      </c>
      <c r="E7063" s="6" t="s">
        <v>7057</v>
      </c>
      <c r="F7063" s="9" t="s">
        <v>14609</v>
      </c>
    </row>
    <row r="7064" ht="33.75" customHeight="1">
      <c r="A7064" s="7">
        <v>256.0</v>
      </c>
      <c r="B7064" s="9" t="s">
        <v>13809</v>
      </c>
      <c r="C7064" s="9" t="s">
        <v>384</v>
      </c>
      <c r="D7064" s="9" t="s">
        <v>101</v>
      </c>
      <c r="E7064" s="6" t="s">
        <v>7057</v>
      </c>
      <c r="F7064" s="9" t="s">
        <v>14609</v>
      </c>
    </row>
    <row r="7065" ht="33.75" customHeight="1">
      <c r="A7065" s="7">
        <v>256.0</v>
      </c>
      <c r="B7065" s="9" t="s">
        <v>13809</v>
      </c>
      <c r="C7065" s="9" t="s">
        <v>384</v>
      </c>
      <c r="D7065" s="9" t="s">
        <v>105</v>
      </c>
      <c r="E7065" s="6" t="s">
        <v>7058</v>
      </c>
      <c r="F7065" s="9" t="s">
        <v>14609</v>
      </c>
    </row>
    <row r="7066" ht="33.75" customHeight="1">
      <c r="A7066" s="7">
        <v>256.0</v>
      </c>
      <c r="B7066" s="9" t="s">
        <v>13809</v>
      </c>
      <c r="C7066" s="9" t="s">
        <v>384</v>
      </c>
      <c r="D7066" s="9" t="s">
        <v>107</v>
      </c>
      <c r="E7066" s="6" t="s">
        <v>7060</v>
      </c>
      <c r="F7066" s="9" t="s">
        <v>14609</v>
      </c>
    </row>
    <row r="7067" ht="33.75" customHeight="1">
      <c r="A7067" s="7">
        <v>256.0</v>
      </c>
      <c r="B7067" s="9" t="s">
        <v>13809</v>
      </c>
      <c r="C7067" s="9" t="s">
        <v>384</v>
      </c>
      <c r="D7067" s="9" t="s">
        <v>109</v>
      </c>
      <c r="E7067" s="6" t="s">
        <v>7061</v>
      </c>
      <c r="F7067" s="9" t="s">
        <v>14609</v>
      </c>
    </row>
    <row r="7068" ht="33.75" customHeight="1">
      <c r="A7068" s="7">
        <v>257.0</v>
      </c>
      <c r="B7068" s="9" t="s">
        <v>13819</v>
      </c>
      <c r="C7068" s="9" t="s">
        <v>385</v>
      </c>
      <c r="D7068" s="9" t="s">
        <v>67</v>
      </c>
      <c r="E7068" s="6" t="s">
        <v>7063</v>
      </c>
      <c r="F7068" s="9" t="s">
        <v>14613</v>
      </c>
      <c r="G7068" t="inlineStr" s="6">
        <is>
          <t xml:space="preserve">In battle, BLAZIKEN blows out intense flames from Blaziken's wrists and attacks foes courageously. The stronger the foe, the more intensely this POKéMON’s wrists burn. BLAZIKEN has incredibly strong legs - it can easily clear a 30-story building in one leap. This POKéMON’s blazing punches leave its foes scorched and blackened. It learns martial arts that use punches and kicks. Every several years, its old feathers burn off, and new, supple feathers grow back in their place. When facing a tough foe, it looses flames from its wrists. Its powerful legs let it jump clear over buildings. Flames spout from its wrists, enveloping its knuckles. Its punches scorch its foes. It can clear a 30-story building in a leap. Its fiery punches scorch its foes. Blaziken has incredibly strong legs—it can easily clear a 30-story building in one leap.</t>
        </is>
      </c>
    </row>
    <row r="7069" ht="33.75" customHeight="1">
      <c r="A7069" s="7">
        <v>257.0</v>
      </c>
      <c r="B7069" s="9" t="s">
        <v>13819</v>
      </c>
      <c r="C7069" s="9" t="s">
        <v>385</v>
      </c>
      <c r="D7069" s="9" t="s">
        <v>71</v>
      </c>
      <c r="E7069" s="6" t="s">
        <v>7064</v>
      </c>
      <c r="F7069" s="9" t="s">
        <v>14613</v>
      </c>
    </row>
    <row r="7070" ht="33.75" customHeight="1">
      <c r="A7070" s="7">
        <v>257.0</v>
      </c>
      <c r="B7070" s="9" t="s">
        <v>13819</v>
      </c>
      <c r="C7070" s="9" t="s">
        <v>385</v>
      </c>
      <c r="D7070" s="9" t="s">
        <v>73</v>
      </c>
      <c r="E7070" s="6" t="s">
        <v>7066</v>
      </c>
      <c r="F7070" s="9" t="s">
        <v>14613</v>
      </c>
    </row>
    <row r="7071" ht="33.75" customHeight="1">
      <c r="A7071" s="7">
        <v>257.0</v>
      </c>
      <c r="B7071" s="9" t="s">
        <v>13819</v>
      </c>
      <c r="C7071" s="9" t="s">
        <v>385</v>
      </c>
      <c r="D7071" s="9" t="s">
        <v>75</v>
      </c>
      <c r="E7071" s="6" t="s">
        <v>7068</v>
      </c>
      <c r="F7071" s="9" t="s">
        <v>14613</v>
      </c>
    </row>
    <row r="7072" ht="33.75" customHeight="1">
      <c r="A7072" s="7">
        <v>257.0</v>
      </c>
      <c r="B7072" s="9" t="s">
        <v>13819</v>
      </c>
      <c r="C7072" s="9" t="s">
        <v>385</v>
      </c>
      <c r="D7072" s="9" t="s">
        <v>79</v>
      </c>
      <c r="E7072" s="6" t="s">
        <v>7068</v>
      </c>
      <c r="F7072" s="9" t="s">
        <v>14613</v>
      </c>
    </row>
    <row r="7073" ht="33.75" customHeight="1">
      <c r="A7073" s="7">
        <v>257.0</v>
      </c>
      <c r="B7073" s="9" t="s">
        <v>13819</v>
      </c>
      <c r="C7073" s="9" t="s">
        <v>385</v>
      </c>
      <c r="D7073" s="9" t="s">
        <v>81</v>
      </c>
      <c r="E7073" s="6" t="s">
        <v>7069</v>
      </c>
      <c r="F7073" s="9" t="s">
        <v>14613</v>
      </c>
    </row>
    <row r="7074" ht="33.75" customHeight="1">
      <c r="A7074" s="7">
        <v>257.0</v>
      </c>
      <c r="B7074" s="9" t="s">
        <v>13819</v>
      </c>
      <c r="C7074" s="9" t="s">
        <v>385</v>
      </c>
      <c r="D7074" s="9" t="s">
        <v>84</v>
      </c>
      <c r="E7074" s="6" t="s">
        <v>7069</v>
      </c>
      <c r="F7074" s="9" t="s">
        <v>14613</v>
      </c>
    </row>
    <row r="7075" ht="33.75" customHeight="1">
      <c r="A7075" s="7">
        <v>257.0</v>
      </c>
      <c r="B7075" s="9" t="s">
        <v>13819</v>
      </c>
      <c r="C7075" s="9" t="s">
        <v>385</v>
      </c>
      <c r="D7075" s="9" t="s">
        <v>87</v>
      </c>
      <c r="E7075" s="6" t="s">
        <v>7069</v>
      </c>
      <c r="F7075" s="9" t="s">
        <v>14613</v>
      </c>
    </row>
    <row r="7076" ht="33.75" customHeight="1">
      <c r="A7076" s="7">
        <v>257.0</v>
      </c>
      <c r="B7076" s="9" t="s">
        <v>13819</v>
      </c>
      <c r="C7076" s="9" t="s">
        <v>385</v>
      </c>
      <c r="D7076" s="9" t="s">
        <v>89</v>
      </c>
      <c r="E7076" s="6" t="s">
        <v>7070</v>
      </c>
      <c r="F7076" s="9" t="s">
        <v>14613</v>
      </c>
    </row>
    <row r="7077" ht="33.75" customHeight="1">
      <c r="A7077" s="7">
        <v>257.0</v>
      </c>
      <c r="B7077" s="9" t="s">
        <v>13819</v>
      </c>
      <c r="C7077" s="9" t="s">
        <v>385</v>
      </c>
      <c r="D7077" s="9" t="s">
        <v>91</v>
      </c>
      <c r="E7077" s="6" t="s">
        <v>7070</v>
      </c>
      <c r="F7077" s="9" t="s">
        <v>14613</v>
      </c>
    </row>
    <row r="7078" ht="33.75" customHeight="1">
      <c r="A7078" s="7">
        <v>257.0</v>
      </c>
      <c r="B7078" s="9" t="s">
        <v>13819</v>
      </c>
      <c r="C7078" s="9" t="s">
        <v>385</v>
      </c>
      <c r="D7078" s="9" t="s">
        <v>93</v>
      </c>
      <c r="E7078" s="6" t="s">
        <v>7069</v>
      </c>
      <c r="F7078" s="9" t="s">
        <v>14613</v>
      </c>
    </row>
    <row r="7079" ht="33.75" customHeight="1">
      <c r="A7079" s="7">
        <v>257.0</v>
      </c>
      <c r="B7079" s="9" t="s">
        <v>13819</v>
      </c>
      <c r="C7079" s="9" t="s">
        <v>385</v>
      </c>
      <c r="D7079" s="9" t="s">
        <v>95</v>
      </c>
      <c r="E7079" s="6" t="s">
        <v>7069</v>
      </c>
      <c r="F7079" s="9" t="s">
        <v>14613</v>
      </c>
    </row>
    <row r="7080" ht="33.75" customHeight="1">
      <c r="A7080" s="7">
        <v>257.0</v>
      </c>
      <c r="B7080" s="9" t="s">
        <v>13819</v>
      </c>
      <c r="C7080" s="9" t="s">
        <v>385</v>
      </c>
      <c r="D7080" s="9" t="s">
        <v>98</v>
      </c>
      <c r="E7080" s="6" t="s">
        <v>7069</v>
      </c>
      <c r="F7080" s="9" t="s">
        <v>14613</v>
      </c>
    </row>
    <row r="7081" ht="33.75" customHeight="1">
      <c r="A7081" s="7">
        <v>257.0</v>
      </c>
      <c r="B7081" s="9" t="s">
        <v>13819</v>
      </c>
      <c r="C7081" s="9" t="s">
        <v>385</v>
      </c>
      <c r="D7081" s="9" t="s">
        <v>99</v>
      </c>
      <c r="E7081" s="6" t="s">
        <v>7069</v>
      </c>
      <c r="F7081" s="9" t="s">
        <v>14613</v>
      </c>
    </row>
    <row r="7082" ht="33.75" customHeight="1">
      <c r="A7082" s="7">
        <v>257.0</v>
      </c>
      <c r="B7082" s="9" t="s">
        <v>13819</v>
      </c>
      <c r="C7082" s="9" t="s">
        <v>385</v>
      </c>
      <c r="D7082" s="9" t="s">
        <v>101</v>
      </c>
      <c r="E7082" s="6" t="s">
        <v>7070</v>
      </c>
      <c r="F7082" s="9" t="s">
        <v>14613</v>
      </c>
    </row>
    <row r="7083" ht="33.75" customHeight="1">
      <c r="A7083" s="7">
        <v>257.0</v>
      </c>
      <c r="B7083" s="9" t="s">
        <v>13819</v>
      </c>
      <c r="C7083" s="9" t="s">
        <v>385</v>
      </c>
      <c r="D7083" s="9" t="s">
        <v>105</v>
      </c>
      <c r="E7083" s="6" t="s">
        <v>7068</v>
      </c>
      <c r="F7083" s="9" t="s">
        <v>14613</v>
      </c>
    </row>
    <row r="7084" ht="33.75" customHeight="1">
      <c r="A7084" s="7">
        <v>257.0</v>
      </c>
      <c r="B7084" s="9" t="s">
        <v>13819</v>
      </c>
      <c r="C7084" s="9" t="s">
        <v>385</v>
      </c>
      <c r="D7084" s="9" t="s">
        <v>107</v>
      </c>
      <c r="E7084" s="6" t="s">
        <v>7072</v>
      </c>
      <c r="F7084" s="9" t="s">
        <v>14613</v>
      </c>
    </row>
    <row r="7085" ht="33.75" customHeight="1">
      <c r="A7085" s="7">
        <v>257.0</v>
      </c>
      <c r="B7085" s="9" t="s">
        <v>13819</v>
      </c>
      <c r="C7085" s="9" t="s">
        <v>385</v>
      </c>
      <c r="D7085" s="9" t="s">
        <v>109</v>
      </c>
      <c r="E7085" s="6" t="s">
        <v>7073</v>
      </c>
      <c r="F7085" s="9" t="s">
        <v>14613</v>
      </c>
    </row>
    <row r="7086" ht="33.75" customHeight="1">
      <c r="A7086" s="7">
        <v>258.0</v>
      </c>
      <c r="B7086" s="9" t="s">
        <v>13830</v>
      </c>
      <c r="C7086" s="9" t="s">
        <v>387</v>
      </c>
      <c r="D7086" s="9" t="s">
        <v>67</v>
      </c>
      <c r="E7086" s="6" t="s">
        <v>7075</v>
      </c>
      <c r="F7086" s="9" t="s">
        <v>14621</v>
      </c>
      <c r="G7086" t="inlineStr" s="6">
        <is>
          <t xml:space="preserve">The fin on MUDKIP’s head acts as highly sensitive radar. Using this fin to sense movements of water and air, this POKéMON can determine what is taking place around it without using its eyes. In water, MUDKIP breathes using the gills on its cheeks. If it is faced with a tight situation in battle, this POKéMON will unleash its amazing power - it can crush rocks bigger than itself. On land, it can powerfully lift large boulders by planting its four feet and heaving. It sleeps by burying itself in soil at the water’s edge. Its large tail fin propels it through water with powerful acceleration. It is strong in spite of its size. To alert it, the fin on its head senses the flow of water. It has the strength to heft boulders. Its power can crush boulders. It rests by covering itself with mud at the bottom of a river. If it is faced with a tight situation in battle, this Pokémon will unleash its amazing power—it can crush rocks bigger than itself.</t>
        </is>
      </c>
    </row>
    <row r="7087" ht="33.75" customHeight="1">
      <c r="A7087" s="7">
        <v>258.0</v>
      </c>
      <c r="B7087" s="9" t="s">
        <v>13830</v>
      </c>
      <c r="C7087" s="9" t="s">
        <v>387</v>
      </c>
      <c r="D7087" s="9" t="s">
        <v>71</v>
      </c>
      <c r="E7087" s="6" t="s">
        <v>7078</v>
      </c>
      <c r="F7087" s="9" t="s">
        <v>14621</v>
      </c>
    </row>
    <row r="7088" ht="33.75" customHeight="1">
      <c r="A7088" s="7">
        <v>258.0</v>
      </c>
      <c r="B7088" s="9" t="s">
        <v>13830</v>
      </c>
      <c r="C7088" s="9" t="s">
        <v>387</v>
      </c>
      <c r="D7088" s="9" t="s">
        <v>73</v>
      </c>
      <c r="E7088" s="6" t="s">
        <v>7079</v>
      </c>
      <c r="F7088" s="9" t="s">
        <v>14621</v>
      </c>
    </row>
    <row r="7089" ht="33.75" customHeight="1">
      <c r="A7089" s="7">
        <v>258.0</v>
      </c>
      <c r="B7089" s="9" t="s">
        <v>13830</v>
      </c>
      <c r="C7089" s="9" t="s">
        <v>387</v>
      </c>
      <c r="D7089" s="9" t="s">
        <v>75</v>
      </c>
      <c r="E7089" s="6" t="s">
        <v>7080</v>
      </c>
      <c r="F7089" s="9" t="s">
        <v>14621</v>
      </c>
    </row>
    <row r="7090" ht="33.75" customHeight="1">
      <c r="A7090" s="7">
        <v>258.0</v>
      </c>
      <c r="B7090" s="9" t="s">
        <v>13830</v>
      </c>
      <c r="C7090" s="9" t="s">
        <v>387</v>
      </c>
      <c r="D7090" s="9" t="s">
        <v>79</v>
      </c>
      <c r="E7090" s="6" t="s">
        <v>7080</v>
      </c>
      <c r="F7090" s="9" t="s">
        <v>14621</v>
      </c>
    </row>
    <row r="7091" ht="33.75" customHeight="1">
      <c r="A7091" s="7">
        <v>258.0</v>
      </c>
      <c r="B7091" s="9" t="s">
        <v>13830</v>
      </c>
      <c r="C7091" s="9" t="s">
        <v>387</v>
      </c>
      <c r="D7091" s="9" t="s">
        <v>81</v>
      </c>
      <c r="E7091" s="6" t="s">
        <v>7082</v>
      </c>
      <c r="F7091" s="9" t="s">
        <v>14621</v>
      </c>
    </row>
    <row r="7092" ht="33.75" customHeight="1">
      <c r="A7092" s="7">
        <v>258.0</v>
      </c>
      <c r="B7092" s="9" t="s">
        <v>13830</v>
      </c>
      <c r="C7092" s="9" t="s">
        <v>387</v>
      </c>
      <c r="D7092" s="9" t="s">
        <v>84</v>
      </c>
      <c r="E7092" s="6" t="s">
        <v>7082</v>
      </c>
      <c r="F7092" s="9" t="s">
        <v>14621</v>
      </c>
    </row>
    <row r="7093" ht="33.75" customHeight="1">
      <c r="A7093" s="7">
        <v>258.0</v>
      </c>
      <c r="B7093" s="9" t="s">
        <v>13830</v>
      </c>
      <c r="C7093" s="9" t="s">
        <v>387</v>
      </c>
      <c r="D7093" s="9" t="s">
        <v>87</v>
      </c>
      <c r="E7093" s="6" t="s">
        <v>7082</v>
      </c>
      <c r="F7093" s="9" t="s">
        <v>14621</v>
      </c>
    </row>
    <row r="7094" ht="33.75" customHeight="1">
      <c r="A7094" s="7">
        <v>258.0</v>
      </c>
      <c r="B7094" s="9" t="s">
        <v>13830</v>
      </c>
      <c r="C7094" s="9" t="s">
        <v>387</v>
      </c>
      <c r="D7094" s="9" t="s">
        <v>89</v>
      </c>
      <c r="E7094" s="6" t="s">
        <v>7083</v>
      </c>
      <c r="F7094" s="9" t="s">
        <v>14621</v>
      </c>
    </row>
    <row r="7095" ht="33.75" customHeight="1">
      <c r="A7095" s="7">
        <v>258.0</v>
      </c>
      <c r="B7095" s="9" t="s">
        <v>13830</v>
      </c>
      <c r="C7095" s="9" t="s">
        <v>387</v>
      </c>
      <c r="D7095" s="9" t="s">
        <v>91</v>
      </c>
      <c r="E7095" s="6" t="s">
        <v>7083</v>
      </c>
      <c r="F7095" s="9" t="s">
        <v>14621</v>
      </c>
    </row>
    <row r="7096" ht="33.75" customHeight="1">
      <c r="A7096" s="7">
        <v>258.0</v>
      </c>
      <c r="B7096" s="9" t="s">
        <v>13830</v>
      </c>
      <c r="C7096" s="9" t="s">
        <v>387</v>
      </c>
      <c r="D7096" s="9" t="s">
        <v>93</v>
      </c>
      <c r="E7096" s="6" t="s">
        <v>7082</v>
      </c>
      <c r="F7096" s="9" t="s">
        <v>14621</v>
      </c>
    </row>
    <row r="7097" ht="33.75" customHeight="1">
      <c r="A7097" s="7">
        <v>258.0</v>
      </c>
      <c r="B7097" s="9" t="s">
        <v>13830</v>
      </c>
      <c r="C7097" s="9" t="s">
        <v>387</v>
      </c>
      <c r="D7097" s="9" t="s">
        <v>95</v>
      </c>
      <c r="E7097" s="6" t="s">
        <v>7082</v>
      </c>
      <c r="F7097" s="9" t="s">
        <v>14621</v>
      </c>
    </row>
    <row r="7098" ht="33.75" customHeight="1">
      <c r="A7098" s="7">
        <v>258.0</v>
      </c>
      <c r="B7098" s="9" t="s">
        <v>13830</v>
      </c>
      <c r="C7098" s="9" t="s">
        <v>387</v>
      </c>
      <c r="D7098" s="9" t="s">
        <v>98</v>
      </c>
      <c r="E7098" s="6" t="s">
        <v>7082</v>
      </c>
      <c r="F7098" s="9" t="s">
        <v>14621</v>
      </c>
    </row>
    <row r="7099" ht="33.75" customHeight="1">
      <c r="A7099" s="7">
        <v>258.0</v>
      </c>
      <c r="B7099" s="9" t="s">
        <v>13830</v>
      </c>
      <c r="C7099" s="9" t="s">
        <v>387</v>
      </c>
      <c r="D7099" s="9" t="s">
        <v>99</v>
      </c>
      <c r="E7099" s="6" t="s">
        <v>7082</v>
      </c>
      <c r="F7099" s="9" t="s">
        <v>14621</v>
      </c>
    </row>
    <row r="7100" ht="33.75" customHeight="1">
      <c r="A7100" s="7">
        <v>258.0</v>
      </c>
      <c r="B7100" s="9" t="s">
        <v>13830</v>
      </c>
      <c r="C7100" s="9" t="s">
        <v>387</v>
      </c>
      <c r="D7100" s="9" t="s">
        <v>101</v>
      </c>
      <c r="E7100" s="6" t="s">
        <v>7080</v>
      </c>
      <c r="F7100" s="9" t="s">
        <v>14621</v>
      </c>
    </row>
    <row r="7101" ht="33.75" customHeight="1">
      <c r="A7101" s="7">
        <v>258.0</v>
      </c>
      <c r="B7101" s="9" t="s">
        <v>13830</v>
      </c>
      <c r="C7101" s="9" t="s">
        <v>387</v>
      </c>
      <c r="D7101" s="9" t="s">
        <v>105</v>
      </c>
      <c r="E7101" s="6" t="s">
        <v>7082</v>
      </c>
      <c r="F7101" s="9" t="s">
        <v>14621</v>
      </c>
    </row>
    <row r="7102" ht="33.75" customHeight="1">
      <c r="A7102" s="7">
        <v>258.0</v>
      </c>
      <c r="B7102" s="9" t="s">
        <v>13830</v>
      </c>
      <c r="C7102" s="9" t="s">
        <v>387</v>
      </c>
      <c r="D7102" s="9" t="s">
        <v>107</v>
      </c>
      <c r="E7102" s="6" t="s">
        <v>7084</v>
      </c>
      <c r="F7102" s="9" t="s">
        <v>14621</v>
      </c>
    </row>
    <row r="7103" ht="33.75" customHeight="1">
      <c r="A7103" s="7">
        <v>258.0</v>
      </c>
      <c r="B7103" s="9" t="s">
        <v>13830</v>
      </c>
      <c r="C7103" s="9" t="s">
        <v>387</v>
      </c>
      <c r="D7103" s="9" t="s">
        <v>109</v>
      </c>
      <c r="E7103" s="6" t="s">
        <v>7086</v>
      </c>
      <c r="F7103" s="9" t="s">
        <v>14621</v>
      </c>
    </row>
    <row r="7104" ht="33.75" customHeight="1">
      <c r="A7104" s="7">
        <v>259.0</v>
      </c>
      <c r="B7104" s="9" t="s">
        <v>13841</v>
      </c>
      <c r="C7104" s="9" t="s">
        <v>387</v>
      </c>
      <c r="D7104" s="9" t="s">
        <v>67</v>
      </c>
      <c r="E7104" s="6" t="s">
        <v>7087</v>
      </c>
      <c r="F7104" s="9" t="s">
        <v>14631</v>
      </c>
      <c r="G7104" t="inlineStr" s="6">
        <is>
          <t xml:space="preserve">The surface of MARSHTOMP’s body is enveloped by a thin, sticky film that enables it to live on land. This POKéMON plays in mud on beaches when the ocean tide is low. MARSHTOMP is much faster at traveling through mud than it is at swimming. This POKéMON’s hindquarters exhibit obvious development, giving it the ability to walk on just its hind legs. Its toughened hind legs enable it to stand upright. Because it weakens if its skin dries out, it replenishes fluids by playing in mud. It is at its best when on muddy ground with poor footing. It quickly overwhelms foes struggling in mud. Its sturdy legs give it sure footing, even in mud. It burrows into dirt to sleep. Living on muddy ground that provides poor footing has made its legs sturdy.</t>
        </is>
      </c>
    </row>
    <row r="7105" ht="33.75" customHeight="1">
      <c r="A7105" s="7">
        <v>259.0</v>
      </c>
      <c r="B7105" s="9" t="s">
        <v>13841</v>
      </c>
      <c r="C7105" s="9" t="s">
        <v>387</v>
      </c>
      <c r="D7105" s="9" t="s">
        <v>71</v>
      </c>
      <c r="E7105" s="6" t="s">
        <v>7088</v>
      </c>
      <c r="F7105" s="9" t="s">
        <v>14631</v>
      </c>
    </row>
    <row r="7106" ht="33.75" customHeight="1">
      <c r="A7106" s="7">
        <v>259.0</v>
      </c>
      <c r="B7106" s="9" t="s">
        <v>13841</v>
      </c>
      <c r="C7106" s="9" t="s">
        <v>387</v>
      </c>
      <c r="D7106" s="9" t="s">
        <v>73</v>
      </c>
      <c r="E7106" s="6" t="s">
        <v>7089</v>
      </c>
      <c r="F7106" s="9" t="s">
        <v>14631</v>
      </c>
    </row>
    <row r="7107" ht="33.75" customHeight="1">
      <c r="A7107" s="7">
        <v>259.0</v>
      </c>
      <c r="B7107" s="9" t="s">
        <v>13841</v>
      </c>
      <c r="C7107" s="9" t="s">
        <v>387</v>
      </c>
      <c r="D7107" s="9" t="s">
        <v>75</v>
      </c>
      <c r="E7107" s="6" t="s">
        <v>7090</v>
      </c>
      <c r="F7107" s="9" t="s">
        <v>14631</v>
      </c>
    </row>
    <row r="7108" ht="33.75" customHeight="1">
      <c r="A7108" s="7">
        <v>259.0</v>
      </c>
      <c r="B7108" s="9" t="s">
        <v>13841</v>
      </c>
      <c r="C7108" s="9" t="s">
        <v>387</v>
      </c>
      <c r="D7108" s="9" t="s">
        <v>79</v>
      </c>
      <c r="E7108" s="6" t="s">
        <v>7090</v>
      </c>
      <c r="F7108" s="9" t="s">
        <v>14631</v>
      </c>
    </row>
    <row r="7109" ht="33.75" customHeight="1">
      <c r="A7109" s="7">
        <v>259.0</v>
      </c>
      <c r="B7109" s="9" t="s">
        <v>13841</v>
      </c>
      <c r="C7109" s="9" t="s">
        <v>387</v>
      </c>
      <c r="D7109" s="9" t="s">
        <v>81</v>
      </c>
      <c r="E7109" s="6" t="s">
        <v>7091</v>
      </c>
      <c r="F7109" s="9" t="s">
        <v>14631</v>
      </c>
    </row>
    <row r="7110" ht="33.75" customHeight="1">
      <c r="A7110" s="7">
        <v>259.0</v>
      </c>
      <c r="B7110" s="9" t="s">
        <v>13841</v>
      </c>
      <c r="C7110" s="9" t="s">
        <v>387</v>
      </c>
      <c r="D7110" s="9" t="s">
        <v>84</v>
      </c>
      <c r="E7110" s="6" t="s">
        <v>7091</v>
      </c>
      <c r="F7110" s="9" t="s">
        <v>14631</v>
      </c>
    </row>
    <row r="7111" ht="33.75" customHeight="1">
      <c r="A7111" s="7">
        <v>259.0</v>
      </c>
      <c r="B7111" s="9" t="s">
        <v>13841</v>
      </c>
      <c r="C7111" s="9" t="s">
        <v>387</v>
      </c>
      <c r="D7111" s="9" t="s">
        <v>87</v>
      </c>
      <c r="E7111" s="6" t="s">
        <v>7091</v>
      </c>
      <c r="F7111" s="9" t="s">
        <v>14631</v>
      </c>
    </row>
    <row r="7112" ht="33.75" customHeight="1">
      <c r="A7112" s="7">
        <v>259.0</v>
      </c>
      <c r="B7112" s="9" t="s">
        <v>13841</v>
      </c>
      <c r="C7112" s="9" t="s">
        <v>387</v>
      </c>
      <c r="D7112" s="9" t="s">
        <v>89</v>
      </c>
      <c r="E7112" s="6" t="s">
        <v>7092</v>
      </c>
      <c r="F7112" s="9" t="s">
        <v>14631</v>
      </c>
    </row>
    <row r="7113" ht="33.75" customHeight="1">
      <c r="A7113" s="7">
        <v>259.0</v>
      </c>
      <c r="B7113" s="9" t="s">
        <v>13841</v>
      </c>
      <c r="C7113" s="9" t="s">
        <v>387</v>
      </c>
      <c r="D7113" s="9" t="s">
        <v>91</v>
      </c>
      <c r="E7113" s="6" t="s">
        <v>7092</v>
      </c>
      <c r="F7113" s="9" t="s">
        <v>14631</v>
      </c>
    </row>
    <row r="7114" ht="33.75" customHeight="1">
      <c r="A7114" s="7">
        <v>259.0</v>
      </c>
      <c r="B7114" s="9" t="s">
        <v>13841</v>
      </c>
      <c r="C7114" s="9" t="s">
        <v>387</v>
      </c>
      <c r="D7114" s="9" t="s">
        <v>93</v>
      </c>
      <c r="E7114" s="6" t="s">
        <v>7091</v>
      </c>
      <c r="F7114" s="9" t="s">
        <v>14631</v>
      </c>
    </row>
    <row r="7115" ht="33.75" customHeight="1">
      <c r="A7115" s="7">
        <v>259.0</v>
      </c>
      <c r="B7115" s="9" t="s">
        <v>13841</v>
      </c>
      <c r="C7115" s="9" t="s">
        <v>387</v>
      </c>
      <c r="D7115" s="9" t="s">
        <v>95</v>
      </c>
      <c r="E7115" s="6" t="s">
        <v>7091</v>
      </c>
      <c r="F7115" s="9" t="s">
        <v>14631</v>
      </c>
    </row>
    <row r="7116" ht="33.75" customHeight="1">
      <c r="A7116" s="7">
        <v>259.0</v>
      </c>
      <c r="B7116" s="9" t="s">
        <v>13841</v>
      </c>
      <c r="C7116" s="9" t="s">
        <v>387</v>
      </c>
      <c r="D7116" s="9" t="s">
        <v>98</v>
      </c>
      <c r="E7116" s="6" t="s">
        <v>7091</v>
      </c>
      <c r="F7116" s="9" t="s">
        <v>14631</v>
      </c>
    </row>
    <row r="7117" ht="33.75" customHeight="1">
      <c r="A7117" s="7">
        <v>259.0</v>
      </c>
      <c r="B7117" s="9" t="s">
        <v>13841</v>
      </c>
      <c r="C7117" s="9" t="s">
        <v>387</v>
      </c>
      <c r="D7117" s="9" t="s">
        <v>99</v>
      </c>
      <c r="E7117" s="6" t="s">
        <v>7091</v>
      </c>
      <c r="F7117" s="9" t="s">
        <v>14631</v>
      </c>
    </row>
    <row r="7118" ht="33.75" customHeight="1">
      <c r="A7118" s="7">
        <v>259.0</v>
      </c>
      <c r="B7118" s="9" t="s">
        <v>13841</v>
      </c>
      <c r="C7118" s="9" t="s">
        <v>387</v>
      </c>
      <c r="D7118" s="9" t="s">
        <v>101</v>
      </c>
      <c r="E7118" s="6" t="s">
        <v>7091</v>
      </c>
      <c r="F7118" s="9" t="s">
        <v>14631</v>
      </c>
    </row>
    <row r="7119" ht="33.75" customHeight="1">
      <c r="A7119" s="7">
        <v>259.0</v>
      </c>
      <c r="B7119" s="9" t="s">
        <v>13841</v>
      </c>
      <c r="C7119" s="9" t="s">
        <v>387</v>
      </c>
      <c r="D7119" s="9" t="s">
        <v>105</v>
      </c>
      <c r="E7119" s="6" t="s">
        <v>7092</v>
      </c>
      <c r="F7119" s="9" t="s">
        <v>14631</v>
      </c>
    </row>
    <row r="7120" ht="33.75" customHeight="1">
      <c r="A7120" s="7">
        <v>259.0</v>
      </c>
      <c r="B7120" s="9" t="s">
        <v>13841</v>
      </c>
      <c r="C7120" s="9" t="s">
        <v>387</v>
      </c>
      <c r="D7120" s="9" t="s">
        <v>107</v>
      </c>
      <c r="E7120" s="6" t="s">
        <v>7093</v>
      </c>
      <c r="F7120" s="9" t="s">
        <v>14631</v>
      </c>
    </row>
    <row r="7121" ht="33.75" customHeight="1">
      <c r="A7121" s="7">
        <v>259.0</v>
      </c>
      <c r="B7121" s="9" t="s">
        <v>13841</v>
      </c>
      <c r="C7121" s="9" t="s">
        <v>387</v>
      </c>
      <c r="D7121" s="9" t="s">
        <v>109</v>
      </c>
      <c r="E7121" s="6" t="s">
        <v>7095</v>
      </c>
      <c r="F7121" s="9" t="s">
        <v>14631</v>
      </c>
    </row>
    <row r="7122" ht="33.75" customHeight="1">
      <c r="A7122" s="7">
        <v>260.0</v>
      </c>
      <c r="B7122" s="9" t="s">
        <v>13851</v>
      </c>
      <c r="C7122" s="9" t="s">
        <v>387</v>
      </c>
      <c r="D7122" s="9" t="s">
        <v>67</v>
      </c>
      <c r="E7122" s="6" t="s">
        <v>7096</v>
      </c>
      <c r="F7122" s="9" t="s">
        <v>14636</v>
      </c>
      <c r="G7122" t="inlineStr" s="6">
        <is>
          <t xml:space="preserve">SWAMPERT is very strong. It has enough power to easily drag a boulder weighing more than a ton. This POKéMON also has powerful vision that lets it see even in murky water. SWAMPERT predicts storms by sensing subtle differences in the sounds of waves and tidal winds with its fins. If a storm is approaching, it piles up boulders to protect itself. If it senses the approach of a storm and a tidal wave, it protects its seaside nest by piling up boulders. It swims as fast as a jet ski. Its arms are rock-hard. With one swing, they can batter down its foe. It makes its nest on beautiful beaches. It can swim while towing a large ship. It bashes down foes with a swing of its thick arms. Its arms are hard as rock. With one swing, it can break a boulder into pieces.</t>
        </is>
      </c>
    </row>
    <row r="7123" ht="33.75" customHeight="1">
      <c r="A7123" s="7">
        <v>260.0</v>
      </c>
      <c r="B7123" s="9" t="s">
        <v>13851</v>
      </c>
      <c r="C7123" s="9" t="s">
        <v>387</v>
      </c>
      <c r="D7123" s="9" t="s">
        <v>71</v>
      </c>
      <c r="E7123" s="6" t="s">
        <v>7098</v>
      </c>
      <c r="F7123" s="9" t="s">
        <v>14636</v>
      </c>
    </row>
    <row r="7124" ht="33.75" customHeight="1">
      <c r="A7124" s="7">
        <v>260.0</v>
      </c>
      <c r="B7124" s="9" t="s">
        <v>13851</v>
      </c>
      <c r="C7124" s="9" t="s">
        <v>387</v>
      </c>
      <c r="D7124" s="9" t="s">
        <v>73</v>
      </c>
      <c r="E7124" s="6" t="s">
        <v>7099</v>
      </c>
      <c r="F7124" s="9" t="s">
        <v>14636</v>
      </c>
    </row>
    <row r="7125" ht="33.75" customHeight="1">
      <c r="A7125" s="7">
        <v>260.0</v>
      </c>
      <c r="B7125" s="9" t="s">
        <v>13851</v>
      </c>
      <c r="C7125" s="9" t="s">
        <v>387</v>
      </c>
      <c r="D7125" s="9" t="s">
        <v>75</v>
      </c>
      <c r="E7125" s="6" t="s">
        <v>7101</v>
      </c>
      <c r="F7125" s="9" t="s">
        <v>14636</v>
      </c>
    </row>
    <row r="7126" ht="33.75" customHeight="1">
      <c r="A7126" s="7">
        <v>260.0</v>
      </c>
      <c r="B7126" s="9" t="s">
        <v>13851</v>
      </c>
      <c r="C7126" s="9" t="s">
        <v>387</v>
      </c>
      <c r="D7126" s="9" t="s">
        <v>79</v>
      </c>
      <c r="E7126" s="6" t="s">
        <v>7101</v>
      </c>
      <c r="F7126" s="9" t="s">
        <v>14636</v>
      </c>
    </row>
    <row r="7127" ht="33.75" customHeight="1">
      <c r="A7127" s="7">
        <v>260.0</v>
      </c>
      <c r="B7127" s="9" t="s">
        <v>13851</v>
      </c>
      <c r="C7127" s="9" t="s">
        <v>387</v>
      </c>
      <c r="D7127" s="9" t="s">
        <v>81</v>
      </c>
      <c r="E7127" s="6" t="s">
        <v>7103</v>
      </c>
      <c r="F7127" s="9" t="s">
        <v>14636</v>
      </c>
    </row>
    <row r="7128" ht="33.75" customHeight="1">
      <c r="A7128" s="7">
        <v>260.0</v>
      </c>
      <c r="B7128" s="9" t="s">
        <v>13851</v>
      </c>
      <c r="C7128" s="9" t="s">
        <v>387</v>
      </c>
      <c r="D7128" s="9" t="s">
        <v>84</v>
      </c>
      <c r="E7128" s="6" t="s">
        <v>7103</v>
      </c>
      <c r="F7128" s="9" t="s">
        <v>14636</v>
      </c>
    </row>
    <row r="7129" ht="33.75" customHeight="1">
      <c r="A7129" s="7">
        <v>260.0</v>
      </c>
      <c r="B7129" s="9" t="s">
        <v>13851</v>
      </c>
      <c r="C7129" s="9" t="s">
        <v>387</v>
      </c>
      <c r="D7129" s="9" t="s">
        <v>87</v>
      </c>
      <c r="E7129" s="6" t="s">
        <v>7103</v>
      </c>
      <c r="F7129" s="9" t="s">
        <v>14636</v>
      </c>
    </row>
    <row r="7130" ht="33.75" customHeight="1">
      <c r="A7130" s="7">
        <v>260.0</v>
      </c>
      <c r="B7130" s="9" t="s">
        <v>13851</v>
      </c>
      <c r="C7130" s="9" t="s">
        <v>387</v>
      </c>
      <c r="D7130" s="9" t="s">
        <v>89</v>
      </c>
      <c r="E7130" s="6" t="s">
        <v>7104</v>
      </c>
      <c r="F7130" s="9" t="s">
        <v>14636</v>
      </c>
    </row>
    <row r="7131" ht="33.75" customHeight="1">
      <c r="A7131" s="7">
        <v>260.0</v>
      </c>
      <c r="B7131" s="9" t="s">
        <v>13851</v>
      </c>
      <c r="C7131" s="9" t="s">
        <v>387</v>
      </c>
      <c r="D7131" s="9" t="s">
        <v>91</v>
      </c>
      <c r="E7131" s="6" t="s">
        <v>7104</v>
      </c>
      <c r="F7131" s="9" t="s">
        <v>14636</v>
      </c>
    </row>
    <row r="7132" ht="33.75" customHeight="1">
      <c r="A7132" s="7">
        <v>260.0</v>
      </c>
      <c r="B7132" s="9" t="s">
        <v>13851</v>
      </c>
      <c r="C7132" s="9" t="s">
        <v>387</v>
      </c>
      <c r="D7132" s="9" t="s">
        <v>93</v>
      </c>
      <c r="E7132" s="6" t="s">
        <v>7103</v>
      </c>
      <c r="F7132" s="9" t="s">
        <v>14636</v>
      </c>
    </row>
    <row r="7133" ht="33.75" customHeight="1">
      <c r="A7133" s="7">
        <v>260.0</v>
      </c>
      <c r="B7133" s="9" t="s">
        <v>13851</v>
      </c>
      <c r="C7133" s="9" t="s">
        <v>387</v>
      </c>
      <c r="D7133" s="9" t="s">
        <v>95</v>
      </c>
      <c r="E7133" s="6" t="s">
        <v>7103</v>
      </c>
      <c r="F7133" s="9" t="s">
        <v>14636</v>
      </c>
    </row>
    <row r="7134" ht="33.75" customHeight="1">
      <c r="A7134" s="7">
        <v>260.0</v>
      </c>
      <c r="B7134" s="9" t="s">
        <v>13851</v>
      </c>
      <c r="C7134" s="9" t="s">
        <v>387</v>
      </c>
      <c r="D7134" s="9" t="s">
        <v>98</v>
      </c>
      <c r="E7134" s="6" t="s">
        <v>7103</v>
      </c>
      <c r="F7134" s="9" t="s">
        <v>14636</v>
      </c>
    </row>
    <row r="7135" ht="33.75" customHeight="1">
      <c r="A7135" s="7">
        <v>260.0</v>
      </c>
      <c r="B7135" s="9" t="s">
        <v>13851</v>
      </c>
      <c r="C7135" s="9" t="s">
        <v>387</v>
      </c>
      <c r="D7135" s="9" t="s">
        <v>99</v>
      </c>
      <c r="E7135" s="6" t="s">
        <v>7103</v>
      </c>
      <c r="F7135" s="9" t="s">
        <v>14636</v>
      </c>
    </row>
    <row r="7136" ht="33.75" customHeight="1">
      <c r="A7136" s="7">
        <v>260.0</v>
      </c>
      <c r="B7136" s="9" t="s">
        <v>13851</v>
      </c>
      <c r="C7136" s="9" t="s">
        <v>387</v>
      </c>
      <c r="D7136" s="9" t="s">
        <v>101</v>
      </c>
      <c r="E7136" s="6" t="s">
        <v>7104</v>
      </c>
      <c r="F7136" s="9" t="s">
        <v>14636</v>
      </c>
    </row>
    <row r="7137" ht="33.75" customHeight="1">
      <c r="A7137" s="7">
        <v>260.0</v>
      </c>
      <c r="B7137" s="9" t="s">
        <v>13851</v>
      </c>
      <c r="C7137" s="9" t="s">
        <v>387</v>
      </c>
      <c r="D7137" s="9" t="s">
        <v>105</v>
      </c>
      <c r="E7137" s="6" t="s">
        <v>7103</v>
      </c>
      <c r="F7137" s="9" t="s">
        <v>14636</v>
      </c>
    </row>
    <row r="7138" ht="33.75" customHeight="1">
      <c r="A7138" s="7">
        <v>260.0</v>
      </c>
      <c r="B7138" s="9" t="s">
        <v>13851</v>
      </c>
      <c r="C7138" s="9" t="s">
        <v>387</v>
      </c>
      <c r="D7138" s="9" t="s">
        <v>107</v>
      </c>
      <c r="E7138" s="6" t="s">
        <v>7105</v>
      </c>
      <c r="F7138" s="9" t="s">
        <v>14636</v>
      </c>
    </row>
    <row r="7139" ht="33.75" customHeight="1">
      <c r="A7139" s="7">
        <v>260.0</v>
      </c>
      <c r="B7139" s="9" t="s">
        <v>13851</v>
      </c>
      <c r="C7139" s="9" t="s">
        <v>387</v>
      </c>
      <c r="D7139" s="9" t="s">
        <v>109</v>
      </c>
      <c r="E7139" s="6" t="s">
        <v>7107</v>
      </c>
      <c r="F7139" s="9" t="s">
        <v>14636</v>
      </c>
    </row>
    <row r="7140" ht="33.75" customHeight="1">
      <c r="A7140" s="7">
        <v>261.0</v>
      </c>
      <c r="B7140" s="9" t="s">
        <v>13860</v>
      </c>
      <c r="C7140" s="9" t="s">
        <v>388</v>
      </c>
      <c r="D7140" s="9" t="s">
        <v>67</v>
      </c>
      <c r="E7140" s="6" t="s">
        <v>7108</v>
      </c>
      <c r="F7140" s="9" t="s">
        <v>14649</v>
      </c>
      <c r="G7140" t="inlineStr" s="6">
        <is>
          <t xml:space="preserve">At first sight, POOCHYENA takes a bite at anything that moves. This POKéMON chases after prey until the victim becomes exhausted. However, it may turn tail if the prey strikes back. POOCHYENA is an omnivore - it will eat anything. A distinguishing feature is how large its fangs are compared to its body. This POKéMON tries to intimidate its foes by making the hair on its tail bristle out. It savagely threatens foes with bared fangs. It chases after fleeing targets tenaciously. It turns tail and runs, however, if the foe strikes back. It has a very tenacious nature. Its acute sense of smell lets it chase a chosen prey without ever losing track. A Pokémon with a persistent nature, it chases its chosen prey until the prey becomes exhausted. It chases its prey until the victim becomes exhausted. However, it turns tail if the prey strikes back. Poochyena is an omnivore—it will eat anything.</t>
        </is>
      </c>
    </row>
    <row r="7141" ht="33.75" customHeight="1">
      <c r="A7141" s="7">
        <v>261.0</v>
      </c>
      <c r="B7141" s="9" t="s">
        <v>13860</v>
      </c>
      <c r="C7141" s="9" t="s">
        <v>388</v>
      </c>
      <c r="D7141" s="9" t="s">
        <v>71</v>
      </c>
      <c r="E7141" s="6" t="s">
        <v>7109</v>
      </c>
      <c r="F7141" s="9" t="s">
        <v>14649</v>
      </c>
    </row>
    <row r="7142" ht="33.75" customHeight="1">
      <c r="A7142" s="7">
        <v>261.0</v>
      </c>
      <c r="B7142" s="9" t="s">
        <v>13860</v>
      </c>
      <c r="C7142" s="9" t="s">
        <v>388</v>
      </c>
      <c r="D7142" s="9" t="s">
        <v>73</v>
      </c>
      <c r="E7142" s="6" t="s">
        <v>7111</v>
      </c>
      <c r="F7142" s="9" t="s">
        <v>14649</v>
      </c>
    </row>
    <row r="7143" ht="33.75" customHeight="1">
      <c r="A7143" s="7">
        <v>261.0</v>
      </c>
      <c r="B7143" s="9" t="s">
        <v>13860</v>
      </c>
      <c r="C7143" s="9" t="s">
        <v>388</v>
      </c>
      <c r="D7143" s="9" t="s">
        <v>75</v>
      </c>
      <c r="E7143" s="6" t="s">
        <v>7112</v>
      </c>
      <c r="F7143" s="9" t="s">
        <v>14649</v>
      </c>
    </row>
    <row r="7144" ht="33.75" customHeight="1">
      <c r="A7144" s="7">
        <v>261.0</v>
      </c>
      <c r="B7144" s="9" t="s">
        <v>13860</v>
      </c>
      <c r="C7144" s="9" t="s">
        <v>388</v>
      </c>
      <c r="D7144" s="9" t="s">
        <v>79</v>
      </c>
      <c r="E7144" s="6" t="s">
        <v>7112</v>
      </c>
      <c r="F7144" s="9" t="s">
        <v>14649</v>
      </c>
    </row>
    <row r="7145" ht="33.75" customHeight="1">
      <c r="A7145" s="7">
        <v>261.0</v>
      </c>
      <c r="B7145" s="9" t="s">
        <v>13860</v>
      </c>
      <c r="C7145" s="9" t="s">
        <v>388</v>
      </c>
      <c r="D7145" s="9" t="s">
        <v>81</v>
      </c>
      <c r="E7145" s="6" t="s">
        <v>7115</v>
      </c>
      <c r="F7145" s="9" t="s">
        <v>14649</v>
      </c>
    </row>
    <row r="7146" ht="33.75" customHeight="1">
      <c r="A7146" s="7">
        <v>261.0</v>
      </c>
      <c r="B7146" s="9" t="s">
        <v>13860</v>
      </c>
      <c r="C7146" s="9" t="s">
        <v>388</v>
      </c>
      <c r="D7146" s="9" t="s">
        <v>84</v>
      </c>
      <c r="E7146" s="6" t="s">
        <v>7115</v>
      </c>
      <c r="F7146" s="9" t="s">
        <v>14649</v>
      </c>
    </row>
    <row r="7147" ht="33.75" customHeight="1">
      <c r="A7147" s="7">
        <v>261.0</v>
      </c>
      <c r="B7147" s="9" t="s">
        <v>13860</v>
      </c>
      <c r="C7147" s="9" t="s">
        <v>388</v>
      </c>
      <c r="D7147" s="9" t="s">
        <v>87</v>
      </c>
      <c r="E7147" s="6" t="s">
        <v>7115</v>
      </c>
      <c r="F7147" s="9" t="s">
        <v>14649</v>
      </c>
    </row>
    <row r="7148" ht="33.75" customHeight="1">
      <c r="A7148" s="7">
        <v>261.0</v>
      </c>
      <c r="B7148" s="9" t="s">
        <v>13860</v>
      </c>
      <c r="C7148" s="9" t="s">
        <v>388</v>
      </c>
      <c r="D7148" s="9" t="s">
        <v>89</v>
      </c>
      <c r="E7148" s="6" t="s">
        <v>7116</v>
      </c>
      <c r="F7148" s="9" t="s">
        <v>14649</v>
      </c>
    </row>
    <row r="7149" ht="33.75" customHeight="1">
      <c r="A7149" s="7">
        <v>261.0</v>
      </c>
      <c r="B7149" s="9" t="s">
        <v>13860</v>
      </c>
      <c r="C7149" s="9" t="s">
        <v>388</v>
      </c>
      <c r="D7149" s="9" t="s">
        <v>91</v>
      </c>
      <c r="E7149" s="6" t="s">
        <v>7116</v>
      </c>
      <c r="F7149" s="9" t="s">
        <v>14649</v>
      </c>
    </row>
    <row r="7150" ht="33.75" customHeight="1">
      <c r="A7150" s="7">
        <v>261.0</v>
      </c>
      <c r="B7150" s="9" t="s">
        <v>13860</v>
      </c>
      <c r="C7150" s="9" t="s">
        <v>388</v>
      </c>
      <c r="D7150" s="9" t="s">
        <v>93</v>
      </c>
      <c r="E7150" s="6" t="s">
        <v>7115</v>
      </c>
      <c r="F7150" s="9" t="s">
        <v>14649</v>
      </c>
    </row>
    <row r="7151" ht="33.75" customHeight="1">
      <c r="A7151" s="7">
        <v>261.0</v>
      </c>
      <c r="B7151" s="9" t="s">
        <v>13860</v>
      </c>
      <c r="C7151" s="9" t="s">
        <v>388</v>
      </c>
      <c r="D7151" s="9" t="s">
        <v>95</v>
      </c>
      <c r="E7151" s="6" t="s">
        <v>7115</v>
      </c>
      <c r="F7151" s="9" t="s">
        <v>14649</v>
      </c>
    </row>
    <row r="7152" ht="33.75" customHeight="1">
      <c r="A7152" s="7">
        <v>261.0</v>
      </c>
      <c r="B7152" s="9" t="s">
        <v>13860</v>
      </c>
      <c r="C7152" s="9" t="s">
        <v>388</v>
      </c>
      <c r="D7152" s="9" t="s">
        <v>98</v>
      </c>
      <c r="E7152" s="6" t="s">
        <v>7115</v>
      </c>
      <c r="F7152" s="9" t="s">
        <v>14649</v>
      </c>
    </row>
    <row r="7153" ht="33.75" customHeight="1">
      <c r="A7153" s="7">
        <v>261.0</v>
      </c>
      <c r="B7153" s="9" t="s">
        <v>13860</v>
      </c>
      <c r="C7153" s="9" t="s">
        <v>388</v>
      </c>
      <c r="D7153" s="9" t="s">
        <v>99</v>
      </c>
      <c r="E7153" s="6" t="s">
        <v>7115</v>
      </c>
      <c r="F7153" s="9" t="s">
        <v>14649</v>
      </c>
    </row>
    <row r="7154" ht="33.75" customHeight="1">
      <c r="A7154" s="7">
        <v>261.0</v>
      </c>
      <c r="B7154" s="9" t="s">
        <v>13860</v>
      </c>
      <c r="C7154" s="9" t="s">
        <v>388</v>
      </c>
      <c r="D7154" s="9" t="s">
        <v>101</v>
      </c>
      <c r="E7154" s="6" t="s">
        <v>7115</v>
      </c>
      <c r="F7154" s="9" t="s">
        <v>14649</v>
      </c>
    </row>
    <row r="7155" ht="33.75" customHeight="1">
      <c r="A7155" s="7">
        <v>261.0</v>
      </c>
      <c r="B7155" s="9" t="s">
        <v>13860</v>
      </c>
      <c r="C7155" s="9" t="s">
        <v>388</v>
      </c>
      <c r="D7155" s="9" t="s">
        <v>105</v>
      </c>
      <c r="E7155" s="6" t="s">
        <v>7112</v>
      </c>
      <c r="F7155" s="9" t="s">
        <v>14649</v>
      </c>
    </row>
    <row r="7156" ht="33.75" customHeight="1">
      <c r="A7156" s="7">
        <v>261.0</v>
      </c>
      <c r="B7156" s="9" t="s">
        <v>13860</v>
      </c>
      <c r="C7156" s="9" t="s">
        <v>388</v>
      </c>
      <c r="D7156" s="9" t="s">
        <v>107</v>
      </c>
      <c r="E7156" s="6" t="s">
        <v>7117</v>
      </c>
      <c r="F7156" s="9" t="s">
        <v>14649</v>
      </c>
    </row>
    <row r="7157" ht="33.75" customHeight="1">
      <c r="A7157" s="7">
        <v>261.0</v>
      </c>
      <c r="B7157" s="9" t="s">
        <v>13860</v>
      </c>
      <c r="C7157" s="9" t="s">
        <v>388</v>
      </c>
      <c r="D7157" s="9" t="s">
        <v>109</v>
      </c>
      <c r="E7157" s="6" t="s">
        <v>7119</v>
      </c>
      <c r="F7157" s="9" t="s">
        <v>14649</v>
      </c>
    </row>
    <row r="7158" ht="33.75" customHeight="1">
      <c r="A7158" s="7">
        <v>262.0</v>
      </c>
      <c r="B7158" s="9" t="s">
        <v>13871</v>
      </c>
      <c r="C7158" s="9" t="s">
        <v>388</v>
      </c>
      <c r="D7158" s="9" t="s">
        <v>67</v>
      </c>
      <c r="E7158" s="6" t="s">
        <v>7120</v>
      </c>
      <c r="F7158" s="9" t="s">
        <v>14663</v>
      </c>
      <c r="G7158" t="inlineStr" s="6">
        <is>
          <t xml:space="preserve">MIGHTYENA gives obvious signals when Mightyena is preparing to attack. It starts to growl deeply and then flattens its body. This POKéMON will bite savagely with its sharply pointed fangs. MIGHTYENA travel and act as a pack in the wild. The memory of its life in the wild compels the POKéMON to obey only those TRAINERS that it recognizes to possess superior skill. In the wild, MIGHTYENA live in a pack. They never defy their leader’s orders. They defeat foes with perfectly coordinated teamwork. It will always obey the commands of a skilled TRAINER. Its behavior arises from its living in packs in ancient times. It chases down prey in a pack. It will never disobey the commands of a skilled Trainer. It chases down prey in a pack of around ten.</t>
        </is>
      </c>
    </row>
    <row r="7159" ht="33.75" customHeight="1">
      <c r="A7159" s="7">
        <v>262.0</v>
      </c>
      <c r="B7159" s="9" t="s">
        <v>13871</v>
      </c>
      <c r="C7159" s="9" t="s">
        <v>388</v>
      </c>
      <c r="D7159" s="9" t="s">
        <v>71</v>
      </c>
      <c r="E7159" s="6" t="s">
        <v>7122</v>
      </c>
      <c r="F7159" s="9" t="s">
        <v>14663</v>
      </c>
    </row>
    <row r="7160" ht="33.75" customHeight="1">
      <c r="A7160" s="7">
        <v>262.0</v>
      </c>
      <c r="B7160" s="9" t="s">
        <v>13871</v>
      </c>
      <c r="C7160" s="9" t="s">
        <v>388</v>
      </c>
      <c r="D7160" s="9" t="s">
        <v>73</v>
      </c>
      <c r="E7160" s="6" t="s">
        <v>7124</v>
      </c>
      <c r="F7160" s="9" t="s">
        <v>14663</v>
      </c>
    </row>
    <row r="7161" ht="33.75" customHeight="1">
      <c r="A7161" s="7">
        <v>262.0</v>
      </c>
      <c r="B7161" s="9" t="s">
        <v>13871</v>
      </c>
      <c r="C7161" s="9" t="s">
        <v>388</v>
      </c>
      <c r="D7161" s="9" t="s">
        <v>75</v>
      </c>
      <c r="E7161" s="6" t="s">
        <v>7126</v>
      </c>
      <c r="F7161" s="9" t="s">
        <v>14663</v>
      </c>
    </row>
    <row r="7162" ht="33.75" customHeight="1">
      <c r="A7162" s="7">
        <v>262.0</v>
      </c>
      <c r="B7162" s="9" t="s">
        <v>13871</v>
      </c>
      <c r="C7162" s="9" t="s">
        <v>388</v>
      </c>
      <c r="D7162" s="9" t="s">
        <v>79</v>
      </c>
      <c r="E7162" s="6" t="s">
        <v>7126</v>
      </c>
      <c r="F7162" s="9" t="s">
        <v>14663</v>
      </c>
    </row>
    <row r="7163" ht="33.75" customHeight="1">
      <c r="A7163" s="7">
        <v>262.0</v>
      </c>
      <c r="B7163" s="9" t="s">
        <v>13871</v>
      </c>
      <c r="C7163" s="9" t="s">
        <v>388</v>
      </c>
      <c r="D7163" s="9" t="s">
        <v>81</v>
      </c>
      <c r="E7163" s="6" t="s">
        <v>7127</v>
      </c>
      <c r="F7163" s="9" t="s">
        <v>14663</v>
      </c>
    </row>
    <row r="7164" ht="33.75" customHeight="1">
      <c r="A7164" s="7">
        <v>262.0</v>
      </c>
      <c r="B7164" s="9" t="s">
        <v>13871</v>
      </c>
      <c r="C7164" s="9" t="s">
        <v>388</v>
      </c>
      <c r="D7164" s="9" t="s">
        <v>84</v>
      </c>
      <c r="E7164" s="6" t="s">
        <v>7127</v>
      </c>
      <c r="F7164" s="9" t="s">
        <v>14663</v>
      </c>
    </row>
    <row r="7165" ht="33.75" customHeight="1">
      <c r="A7165" s="7">
        <v>262.0</v>
      </c>
      <c r="B7165" s="9" t="s">
        <v>13871</v>
      </c>
      <c r="C7165" s="9" t="s">
        <v>388</v>
      </c>
      <c r="D7165" s="9" t="s">
        <v>87</v>
      </c>
      <c r="E7165" s="6" t="s">
        <v>7127</v>
      </c>
      <c r="F7165" s="9" t="s">
        <v>14663</v>
      </c>
    </row>
    <row r="7166" ht="33.75" customHeight="1">
      <c r="A7166" s="7">
        <v>262.0</v>
      </c>
      <c r="B7166" s="9" t="s">
        <v>13871</v>
      </c>
      <c r="C7166" s="9" t="s">
        <v>388</v>
      </c>
      <c r="D7166" s="9" t="s">
        <v>89</v>
      </c>
      <c r="E7166" s="6" t="s">
        <v>7129</v>
      </c>
      <c r="F7166" s="9" t="s">
        <v>14663</v>
      </c>
    </row>
    <row r="7167" ht="33.75" customHeight="1">
      <c r="A7167" s="7">
        <v>262.0</v>
      </c>
      <c r="B7167" s="9" t="s">
        <v>13871</v>
      </c>
      <c r="C7167" s="9" t="s">
        <v>388</v>
      </c>
      <c r="D7167" s="9" t="s">
        <v>91</v>
      </c>
      <c r="E7167" s="6" t="s">
        <v>7129</v>
      </c>
      <c r="F7167" s="9" t="s">
        <v>14663</v>
      </c>
    </row>
    <row r="7168" ht="33.75" customHeight="1">
      <c r="A7168" s="7">
        <v>262.0</v>
      </c>
      <c r="B7168" s="9" t="s">
        <v>13871</v>
      </c>
      <c r="C7168" s="9" t="s">
        <v>388</v>
      </c>
      <c r="D7168" s="9" t="s">
        <v>93</v>
      </c>
      <c r="E7168" s="6" t="s">
        <v>7127</v>
      </c>
      <c r="F7168" s="9" t="s">
        <v>14663</v>
      </c>
    </row>
    <row r="7169" ht="33.75" customHeight="1">
      <c r="A7169" s="7">
        <v>262.0</v>
      </c>
      <c r="B7169" s="9" t="s">
        <v>13871</v>
      </c>
      <c r="C7169" s="9" t="s">
        <v>388</v>
      </c>
      <c r="D7169" s="9" t="s">
        <v>95</v>
      </c>
      <c r="E7169" s="6" t="s">
        <v>7127</v>
      </c>
      <c r="F7169" s="9" t="s">
        <v>14663</v>
      </c>
    </row>
    <row r="7170" ht="33.75" customHeight="1">
      <c r="A7170" s="7">
        <v>262.0</v>
      </c>
      <c r="B7170" s="9" t="s">
        <v>13871</v>
      </c>
      <c r="C7170" s="9" t="s">
        <v>388</v>
      </c>
      <c r="D7170" s="9" t="s">
        <v>98</v>
      </c>
      <c r="E7170" s="6" t="s">
        <v>7127</v>
      </c>
      <c r="F7170" s="9" t="s">
        <v>14663</v>
      </c>
    </row>
    <row r="7171" ht="33.75" customHeight="1">
      <c r="A7171" s="7">
        <v>262.0</v>
      </c>
      <c r="B7171" s="9" t="s">
        <v>13871</v>
      </c>
      <c r="C7171" s="9" t="s">
        <v>388</v>
      </c>
      <c r="D7171" s="9" t="s">
        <v>99</v>
      </c>
      <c r="E7171" s="6" t="s">
        <v>7127</v>
      </c>
      <c r="F7171" s="9" t="s">
        <v>14663</v>
      </c>
    </row>
    <row r="7172" ht="33.75" customHeight="1">
      <c r="A7172" s="7">
        <v>262.0</v>
      </c>
      <c r="B7172" s="9" t="s">
        <v>13871</v>
      </c>
      <c r="C7172" s="9" t="s">
        <v>388</v>
      </c>
      <c r="D7172" s="9" t="s">
        <v>101</v>
      </c>
      <c r="E7172" s="6" t="s">
        <v>7130</v>
      </c>
      <c r="F7172" s="9" t="s">
        <v>14663</v>
      </c>
    </row>
    <row r="7173" ht="33.75" customHeight="1">
      <c r="A7173" s="7">
        <v>262.0</v>
      </c>
      <c r="B7173" s="9" t="s">
        <v>13871</v>
      </c>
      <c r="C7173" s="9" t="s">
        <v>388</v>
      </c>
      <c r="D7173" s="9" t="s">
        <v>105</v>
      </c>
      <c r="E7173" s="6" t="s">
        <v>7129</v>
      </c>
      <c r="F7173" s="9" t="s">
        <v>14663</v>
      </c>
    </row>
    <row r="7174" ht="33.75" customHeight="1">
      <c r="A7174" s="7">
        <v>262.0</v>
      </c>
      <c r="B7174" s="9" t="s">
        <v>13871</v>
      </c>
      <c r="C7174" s="9" t="s">
        <v>388</v>
      </c>
      <c r="D7174" s="9" t="s">
        <v>107</v>
      </c>
      <c r="E7174" s="6" t="s">
        <v>7131</v>
      </c>
      <c r="F7174" s="9" t="s">
        <v>14663</v>
      </c>
    </row>
    <row r="7175" ht="33.75" customHeight="1">
      <c r="A7175" s="7">
        <v>262.0</v>
      </c>
      <c r="B7175" s="9" t="s">
        <v>13871</v>
      </c>
      <c r="C7175" s="9" t="s">
        <v>388</v>
      </c>
      <c r="D7175" s="9" t="s">
        <v>109</v>
      </c>
      <c r="E7175" s="6" t="s">
        <v>7133</v>
      </c>
      <c r="F7175" s="9" t="s">
        <v>14663</v>
      </c>
    </row>
    <row r="7176" ht="33.75" customHeight="1">
      <c r="A7176" s="7">
        <v>263.0</v>
      </c>
      <c r="B7176" s="9" t="s">
        <v>13882</v>
      </c>
      <c r="C7176" s="9" t="s">
        <v>390</v>
      </c>
      <c r="D7176" s="9" t="s">
        <v>67</v>
      </c>
      <c r="E7176" s="6" t="s">
        <v>7135</v>
      </c>
      <c r="F7176" s="9" t="s">
        <v>14676</v>
      </c>
      <c r="G7176" t="inlineStr" s="6">
        <is>
          <t xml:space="preserve">ZIGZAGOON restlessly wanders everywhere at all times. This POKéMON does so because it is very curious. It becomes interested in anything that it happens to see. The hair on ZIGZAGOON’s back is bristly. It rubs the hard back hair against trees to leave its territorial markings. This POKéMON may play dead to fool foes in battle. Rubbing its nose against the ground, it always wanders about back and forth in search of something. It is distinguished by the zigzag footprints it leaves. A POKéMON with abundant curiosity. It shows an interest in everything, so it always zigs and zags. It walks in zigzag fashion. It is good at finding items in the grass and even in the ground. It gets interested in everything, which is why it zigs and zags. It is good at finding items. It’s good at finding items in the grass and even in the ground. It shows an interest in everything, so it always zigzags. It marks its territory by rubbing its bristly fur on trees. This variety of Zigzagoon is friendlier and calmer than the kind native to Galar. Zigzagoon that adapted to regions outside Galar acquired this appearance. If you’ve lost something, this Pokémon can likely find it.</t>
        </is>
      </c>
    </row>
    <row r="7177" ht="33.75" customHeight="1">
      <c r="A7177" s="7">
        <v>263.0</v>
      </c>
      <c r="B7177" s="9" t="s">
        <v>13882</v>
      </c>
      <c r="C7177" s="9" t="s">
        <v>390</v>
      </c>
      <c r="D7177" s="9" t="s">
        <v>71</v>
      </c>
      <c r="E7177" s="6" t="s">
        <v>7136</v>
      </c>
      <c r="F7177" s="9" t="s">
        <v>14676</v>
      </c>
    </row>
    <row r="7178" ht="33.75" customHeight="1">
      <c r="A7178" s="7">
        <v>263.0</v>
      </c>
      <c r="B7178" s="9" t="s">
        <v>13882</v>
      </c>
      <c r="C7178" s="9" t="s">
        <v>390</v>
      </c>
      <c r="D7178" s="9" t="s">
        <v>73</v>
      </c>
      <c r="E7178" s="6" t="s">
        <v>7137</v>
      </c>
      <c r="F7178" s="9" t="s">
        <v>14676</v>
      </c>
    </row>
    <row r="7179" ht="33.75" customHeight="1">
      <c r="A7179" s="7">
        <v>263.0</v>
      </c>
      <c r="B7179" s="9" t="s">
        <v>13882</v>
      </c>
      <c r="C7179" s="9" t="s">
        <v>390</v>
      </c>
      <c r="D7179" s="9" t="s">
        <v>75</v>
      </c>
      <c r="E7179" s="6" t="s">
        <v>7139</v>
      </c>
      <c r="F7179" s="9" t="s">
        <v>14676</v>
      </c>
    </row>
    <row r="7180" ht="33.75" customHeight="1">
      <c r="A7180" s="7">
        <v>263.0</v>
      </c>
      <c r="B7180" s="9" t="s">
        <v>13882</v>
      </c>
      <c r="C7180" s="9" t="s">
        <v>390</v>
      </c>
      <c r="D7180" s="9" t="s">
        <v>79</v>
      </c>
      <c r="E7180" s="6" t="s">
        <v>7139</v>
      </c>
      <c r="F7180" s="9" t="s">
        <v>14676</v>
      </c>
    </row>
    <row r="7181" ht="33.75" customHeight="1">
      <c r="A7181" s="7">
        <v>263.0</v>
      </c>
      <c r="B7181" s="9" t="s">
        <v>13882</v>
      </c>
      <c r="C7181" s="9" t="s">
        <v>390</v>
      </c>
      <c r="D7181" s="9" t="s">
        <v>81</v>
      </c>
      <c r="E7181" s="6" t="s">
        <v>7140</v>
      </c>
      <c r="F7181" s="9" t="s">
        <v>14676</v>
      </c>
    </row>
    <row r="7182" ht="33.75" customHeight="1">
      <c r="A7182" s="7">
        <v>263.0</v>
      </c>
      <c r="B7182" s="9" t="s">
        <v>13882</v>
      </c>
      <c r="C7182" s="9" t="s">
        <v>390</v>
      </c>
      <c r="D7182" s="9" t="s">
        <v>84</v>
      </c>
      <c r="E7182" s="6" t="s">
        <v>7140</v>
      </c>
      <c r="F7182" s="9" t="s">
        <v>14676</v>
      </c>
    </row>
    <row r="7183" ht="33.75" customHeight="1">
      <c r="A7183" s="7">
        <v>263.0</v>
      </c>
      <c r="B7183" s="9" t="s">
        <v>13882</v>
      </c>
      <c r="C7183" s="9" t="s">
        <v>390</v>
      </c>
      <c r="D7183" s="9" t="s">
        <v>87</v>
      </c>
      <c r="E7183" s="6" t="s">
        <v>7140</v>
      </c>
      <c r="F7183" s="9" t="s">
        <v>14676</v>
      </c>
    </row>
    <row r="7184" ht="33.75" customHeight="1">
      <c r="A7184" s="7">
        <v>263.0</v>
      </c>
      <c r="B7184" s="9" t="s">
        <v>13882</v>
      </c>
      <c r="C7184" s="9" t="s">
        <v>390</v>
      </c>
      <c r="D7184" s="9" t="s">
        <v>89</v>
      </c>
      <c r="E7184" s="6" t="s">
        <v>7141</v>
      </c>
      <c r="F7184" s="9" t="s">
        <v>14676</v>
      </c>
    </row>
    <row r="7185" ht="33.75" customHeight="1">
      <c r="A7185" s="7">
        <v>263.0</v>
      </c>
      <c r="B7185" s="9" t="s">
        <v>13882</v>
      </c>
      <c r="C7185" s="9" t="s">
        <v>390</v>
      </c>
      <c r="D7185" s="9" t="s">
        <v>91</v>
      </c>
      <c r="E7185" s="6" t="s">
        <v>7141</v>
      </c>
      <c r="F7185" s="9" t="s">
        <v>14676</v>
      </c>
    </row>
    <row r="7186" ht="33.75" customHeight="1">
      <c r="A7186" s="7">
        <v>263.0</v>
      </c>
      <c r="B7186" s="9" t="s">
        <v>13882</v>
      </c>
      <c r="C7186" s="9" t="s">
        <v>390</v>
      </c>
      <c r="D7186" s="9" t="s">
        <v>93</v>
      </c>
      <c r="E7186" s="6" t="s">
        <v>7140</v>
      </c>
      <c r="F7186" s="9" t="s">
        <v>14676</v>
      </c>
    </row>
    <row r="7187" ht="33.75" customHeight="1">
      <c r="A7187" s="7">
        <v>263.0</v>
      </c>
      <c r="B7187" s="9" t="s">
        <v>13882</v>
      </c>
      <c r="C7187" s="9" t="s">
        <v>390</v>
      </c>
      <c r="D7187" s="9" t="s">
        <v>95</v>
      </c>
      <c r="E7187" s="6" t="s">
        <v>7140</v>
      </c>
      <c r="F7187" s="9" t="s">
        <v>14676</v>
      </c>
    </row>
    <row r="7188" ht="33.75" customHeight="1">
      <c r="A7188" s="7">
        <v>263.0</v>
      </c>
      <c r="B7188" s="9" t="s">
        <v>13882</v>
      </c>
      <c r="C7188" s="9" t="s">
        <v>390</v>
      </c>
      <c r="D7188" s="9" t="s">
        <v>98</v>
      </c>
      <c r="E7188" s="6" t="s">
        <v>7140</v>
      </c>
      <c r="F7188" s="9" t="s">
        <v>14676</v>
      </c>
    </row>
    <row r="7189" ht="33.75" customHeight="1">
      <c r="A7189" s="7">
        <v>263.0</v>
      </c>
      <c r="B7189" s="9" t="s">
        <v>13882</v>
      </c>
      <c r="C7189" s="9" t="s">
        <v>390</v>
      </c>
      <c r="D7189" s="9" t="s">
        <v>99</v>
      </c>
      <c r="E7189" s="6" t="s">
        <v>7140</v>
      </c>
      <c r="F7189" s="9" t="s">
        <v>14676</v>
      </c>
    </row>
    <row r="7190" ht="33.75" customHeight="1">
      <c r="A7190" s="7">
        <v>263.0</v>
      </c>
      <c r="B7190" s="9" t="s">
        <v>13882</v>
      </c>
      <c r="C7190" s="9" t="s">
        <v>390</v>
      </c>
      <c r="D7190" s="9" t="s">
        <v>101</v>
      </c>
      <c r="E7190" s="6" t="s">
        <v>7143</v>
      </c>
      <c r="F7190" s="9" t="s">
        <v>14676</v>
      </c>
    </row>
    <row r="7191" ht="33.75" customHeight="1">
      <c r="A7191" s="7">
        <v>263.0</v>
      </c>
      <c r="B7191" s="9" t="s">
        <v>13882</v>
      </c>
      <c r="C7191" s="9" t="s">
        <v>390</v>
      </c>
      <c r="D7191" s="9" t="s">
        <v>105</v>
      </c>
      <c r="E7191" s="6" t="s">
        <v>7144</v>
      </c>
      <c r="F7191" s="9" t="s">
        <v>14676</v>
      </c>
    </row>
    <row r="7192" ht="33.75" customHeight="1">
      <c r="A7192" s="7">
        <v>263.0</v>
      </c>
      <c r="B7192" s="9" t="s">
        <v>13882</v>
      </c>
      <c r="C7192" s="9" t="s">
        <v>390</v>
      </c>
      <c r="D7192" s="9" t="s">
        <v>107</v>
      </c>
      <c r="E7192" s="6" t="s">
        <v>7145</v>
      </c>
      <c r="F7192" s="9" t="s">
        <v>14676</v>
      </c>
    </row>
    <row r="7193" ht="33.75" customHeight="1">
      <c r="A7193" s="7">
        <v>263.0</v>
      </c>
      <c r="B7193" s="9" t="s">
        <v>13882</v>
      </c>
      <c r="C7193" s="9" t="s">
        <v>390</v>
      </c>
      <c r="D7193" s="9" t="s">
        <v>109</v>
      </c>
      <c r="E7193" s="6" t="s">
        <v>7147</v>
      </c>
      <c r="F7193" s="9" t="s">
        <v>14676</v>
      </c>
    </row>
    <row r="7194" ht="33.75" customHeight="1">
      <c r="A7194" s="7">
        <v>263.0</v>
      </c>
      <c r="B7194" s="9" t="s">
        <v>13882</v>
      </c>
      <c r="C7194" s="9" t="s">
        <v>390</v>
      </c>
      <c r="D7194" s="9" t="s">
        <v>114</v>
      </c>
      <c r="E7194" s="6" t="s">
        <v>7148</v>
      </c>
      <c r="F7194" s="9" t="s">
        <v>14676</v>
      </c>
    </row>
    <row r="7195" ht="33.75" customHeight="1">
      <c r="A7195" s="7">
        <v>263.0</v>
      </c>
      <c r="B7195" s="9" t="s">
        <v>13882</v>
      </c>
      <c r="C7195" s="9" t="s">
        <v>390</v>
      </c>
      <c r="D7195" s="9" t="s">
        <v>117</v>
      </c>
      <c r="E7195" s="6" t="s">
        <v>7150</v>
      </c>
      <c r="F7195" s="9" t="s">
        <v>14676</v>
      </c>
    </row>
    <row r="7196" ht="33.75" customHeight="1">
      <c r="A7196" s="7">
        <v>264.0</v>
      </c>
      <c r="B7196" s="9" t="s">
        <v>13896</v>
      </c>
      <c r="C7196" s="9" t="s">
        <v>391</v>
      </c>
      <c r="D7196" s="9" t="s">
        <v>67</v>
      </c>
      <c r="E7196" s="6" t="s">
        <v>7151</v>
      </c>
      <c r="F7196" s="9" t="s">
        <v>14687</v>
      </c>
      <c r="G7196" t="inlineStr" s="6">
        <is>
          <t xml:space="preserve">LINOONE always runs full speed and only in straight lines. If facing an obstacle, it makes a right-angle turn to evade it. This POKéMON is very challenged by gently curving roads. When hunting, LINOONE will make a beeline straight for the prey at a full run. While this POKéMON is capable of topping 60 mph, it has to come to a screeching halt before it can turn. It is exceedingly fast if it only has to run in a straight line. When it spots pond- dwelling prey underwater, it quickly leaps in and catches it with its sharp claws. When running in a straight line, it can top 60 miles per hour. However, it has a tough time with curved roads. It charges prey at speeds over 60 mph. However, because it can only run straight, it often fails. When running in a straight line, it can easily top 60 miles an hour. It has a tough time with curved roads. Its fur is strong and supple. Shaving brushes made with shed Linoone hairs are highly prized. It uses its explosive speed and razor-sharp claws to bring down prey. Running along winding paths is not its strong suit.</t>
        </is>
      </c>
    </row>
    <row r="7197" ht="33.75" customHeight="1">
      <c r="A7197" s="7">
        <v>264.0</v>
      </c>
      <c r="B7197" s="9" t="s">
        <v>13896</v>
      </c>
      <c r="C7197" s="9" t="s">
        <v>391</v>
      </c>
      <c r="D7197" s="9" t="s">
        <v>71</v>
      </c>
      <c r="E7197" s="6" t="s">
        <v>7152</v>
      </c>
      <c r="F7197" s="9" t="s">
        <v>14687</v>
      </c>
    </row>
    <row r="7198" ht="33.75" customHeight="1">
      <c r="A7198" s="7">
        <v>264.0</v>
      </c>
      <c r="B7198" s="9" t="s">
        <v>13896</v>
      </c>
      <c r="C7198" s="9" t="s">
        <v>391</v>
      </c>
      <c r="D7198" s="9" t="s">
        <v>73</v>
      </c>
      <c r="E7198" s="6" t="s">
        <v>7153</v>
      </c>
      <c r="F7198" s="9" t="s">
        <v>14687</v>
      </c>
    </row>
    <row r="7199" ht="33.75" customHeight="1">
      <c r="A7199" s="7">
        <v>264.0</v>
      </c>
      <c r="B7199" s="9" t="s">
        <v>13896</v>
      </c>
      <c r="C7199" s="9" t="s">
        <v>391</v>
      </c>
      <c r="D7199" s="9" t="s">
        <v>75</v>
      </c>
      <c r="E7199" s="6" t="s">
        <v>7155</v>
      </c>
      <c r="F7199" s="9" t="s">
        <v>14687</v>
      </c>
    </row>
    <row r="7200" ht="33.75" customHeight="1">
      <c r="A7200" s="7">
        <v>264.0</v>
      </c>
      <c r="B7200" s="9" t="s">
        <v>13896</v>
      </c>
      <c r="C7200" s="9" t="s">
        <v>391</v>
      </c>
      <c r="D7200" s="9" t="s">
        <v>79</v>
      </c>
      <c r="E7200" s="6" t="s">
        <v>7155</v>
      </c>
      <c r="F7200" s="9" t="s">
        <v>14687</v>
      </c>
    </row>
    <row r="7201" ht="33.75" customHeight="1">
      <c r="A7201" s="7">
        <v>264.0</v>
      </c>
      <c r="B7201" s="9" t="s">
        <v>13896</v>
      </c>
      <c r="C7201" s="9" t="s">
        <v>391</v>
      </c>
      <c r="D7201" s="9" t="s">
        <v>81</v>
      </c>
      <c r="E7201" s="6" t="s">
        <v>7156</v>
      </c>
      <c r="F7201" s="9" t="s">
        <v>14687</v>
      </c>
    </row>
    <row r="7202" ht="33.75" customHeight="1">
      <c r="A7202" s="7">
        <v>264.0</v>
      </c>
      <c r="B7202" s="9" t="s">
        <v>13896</v>
      </c>
      <c r="C7202" s="9" t="s">
        <v>391</v>
      </c>
      <c r="D7202" s="9" t="s">
        <v>84</v>
      </c>
      <c r="E7202" s="6" t="s">
        <v>7156</v>
      </c>
      <c r="F7202" s="9" t="s">
        <v>14687</v>
      </c>
    </row>
    <row r="7203" ht="33.75" customHeight="1">
      <c r="A7203" s="7">
        <v>264.0</v>
      </c>
      <c r="B7203" s="9" t="s">
        <v>13896</v>
      </c>
      <c r="C7203" s="9" t="s">
        <v>391</v>
      </c>
      <c r="D7203" s="9" t="s">
        <v>87</v>
      </c>
      <c r="E7203" s="6" t="s">
        <v>7156</v>
      </c>
      <c r="F7203" s="9" t="s">
        <v>14687</v>
      </c>
    </row>
    <row r="7204" ht="33.75" customHeight="1">
      <c r="A7204" s="7">
        <v>264.0</v>
      </c>
      <c r="B7204" s="9" t="s">
        <v>13896</v>
      </c>
      <c r="C7204" s="9" t="s">
        <v>391</v>
      </c>
      <c r="D7204" s="9" t="s">
        <v>89</v>
      </c>
      <c r="E7204" s="6" t="s">
        <v>7157</v>
      </c>
      <c r="F7204" s="9" t="s">
        <v>14687</v>
      </c>
    </row>
    <row r="7205" ht="33.75" customHeight="1">
      <c r="A7205" s="7">
        <v>264.0</v>
      </c>
      <c r="B7205" s="9" t="s">
        <v>13896</v>
      </c>
      <c r="C7205" s="9" t="s">
        <v>391</v>
      </c>
      <c r="D7205" s="9" t="s">
        <v>91</v>
      </c>
      <c r="E7205" s="6" t="s">
        <v>7157</v>
      </c>
      <c r="F7205" s="9" t="s">
        <v>14687</v>
      </c>
    </row>
    <row r="7206" ht="33.75" customHeight="1">
      <c r="A7206" s="7">
        <v>264.0</v>
      </c>
      <c r="B7206" s="9" t="s">
        <v>13896</v>
      </c>
      <c r="C7206" s="9" t="s">
        <v>391</v>
      </c>
      <c r="D7206" s="9" t="s">
        <v>93</v>
      </c>
      <c r="E7206" s="6" t="s">
        <v>7156</v>
      </c>
      <c r="F7206" s="9" t="s">
        <v>14687</v>
      </c>
    </row>
    <row r="7207" ht="33.75" customHeight="1">
      <c r="A7207" s="7">
        <v>264.0</v>
      </c>
      <c r="B7207" s="9" t="s">
        <v>13896</v>
      </c>
      <c r="C7207" s="9" t="s">
        <v>391</v>
      </c>
      <c r="D7207" s="9" t="s">
        <v>95</v>
      </c>
      <c r="E7207" s="6" t="s">
        <v>7156</v>
      </c>
      <c r="F7207" s="9" t="s">
        <v>14687</v>
      </c>
    </row>
    <row r="7208" ht="33.75" customHeight="1">
      <c r="A7208" s="7">
        <v>264.0</v>
      </c>
      <c r="B7208" s="9" t="s">
        <v>13896</v>
      </c>
      <c r="C7208" s="9" t="s">
        <v>391</v>
      </c>
      <c r="D7208" s="9" t="s">
        <v>98</v>
      </c>
      <c r="E7208" s="6" t="s">
        <v>7156</v>
      </c>
      <c r="F7208" s="9" t="s">
        <v>14687</v>
      </c>
    </row>
    <row r="7209" ht="33.75" customHeight="1">
      <c r="A7209" s="7">
        <v>264.0</v>
      </c>
      <c r="B7209" s="9" t="s">
        <v>13896</v>
      </c>
      <c r="C7209" s="9" t="s">
        <v>391</v>
      </c>
      <c r="D7209" s="9" t="s">
        <v>99</v>
      </c>
      <c r="E7209" s="6" t="s">
        <v>7156</v>
      </c>
      <c r="F7209" s="9" t="s">
        <v>14687</v>
      </c>
    </row>
    <row r="7210" ht="33.75" customHeight="1">
      <c r="A7210" s="7">
        <v>264.0</v>
      </c>
      <c r="B7210" s="9" t="s">
        <v>13896</v>
      </c>
      <c r="C7210" s="9" t="s">
        <v>391</v>
      </c>
      <c r="D7210" s="9" t="s">
        <v>101</v>
      </c>
      <c r="E7210" s="6" t="s">
        <v>7157</v>
      </c>
      <c r="F7210" s="9" t="s">
        <v>14687</v>
      </c>
    </row>
    <row r="7211" ht="33.75" customHeight="1">
      <c r="A7211" s="7">
        <v>264.0</v>
      </c>
      <c r="B7211" s="9" t="s">
        <v>13896</v>
      </c>
      <c r="C7211" s="9" t="s">
        <v>391</v>
      </c>
      <c r="D7211" s="9" t="s">
        <v>105</v>
      </c>
      <c r="E7211" s="6" t="s">
        <v>7156</v>
      </c>
      <c r="F7211" s="9" t="s">
        <v>14687</v>
      </c>
    </row>
    <row r="7212" ht="33.75" customHeight="1">
      <c r="A7212" s="7">
        <v>264.0</v>
      </c>
      <c r="B7212" s="9" t="s">
        <v>13896</v>
      </c>
      <c r="C7212" s="9" t="s">
        <v>391</v>
      </c>
      <c r="D7212" s="9" t="s">
        <v>107</v>
      </c>
      <c r="E7212" s="6" t="s">
        <v>7158</v>
      </c>
      <c r="F7212" s="9" t="s">
        <v>14687</v>
      </c>
    </row>
    <row r="7213" ht="33.75" customHeight="1">
      <c r="A7213" s="7">
        <v>264.0</v>
      </c>
      <c r="B7213" s="9" t="s">
        <v>13896</v>
      </c>
      <c r="C7213" s="9" t="s">
        <v>391</v>
      </c>
      <c r="D7213" s="9" t="s">
        <v>109</v>
      </c>
      <c r="E7213" s="6" t="s">
        <v>7159</v>
      </c>
      <c r="F7213" s="9" t="s">
        <v>14687</v>
      </c>
    </row>
    <row r="7214" ht="33.75" customHeight="1">
      <c r="A7214" s="7">
        <v>264.0</v>
      </c>
      <c r="B7214" s="9" t="s">
        <v>13896</v>
      </c>
      <c r="C7214" s="9" t="s">
        <v>391</v>
      </c>
      <c r="D7214" s="9" t="s">
        <v>114</v>
      </c>
      <c r="E7214" s="6" t="s">
        <v>7160</v>
      </c>
      <c r="F7214" s="9" t="s">
        <v>14687</v>
      </c>
    </row>
    <row r="7215" ht="33.75" customHeight="1">
      <c r="A7215" s="7">
        <v>264.0</v>
      </c>
      <c r="B7215" s="9" t="s">
        <v>13896</v>
      </c>
      <c r="C7215" s="9" t="s">
        <v>391</v>
      </c>
      <c r="D7215" s="9" t="s">
        <v>117</v>
      </c>
      <c r="E7215" s="6" t="s">
        <v>7161</v>
      </c>
      <c r="F7215" s="9" t="s">
        <v>14687</v>
      </c>
    </row>
    <row r="7216" ht="33.75" customHeight="1">
      <c r="A7216" s="7">
        <v>265.0</v>
      </c>
      <c r="B7216" s="9" t="s">
        <v>13908</v>
      </c>
      <c r="C7216" s="9" t="s">
        <v>68</v>
      </c>
      <c r="D7216" s="9" t="s">
        <v>67</v>
      </c>
      <c r="E7216" s="6" t="s">
        <v>7162</v>
      </c>
      <c r="F7216" s="9" t="s">
        <v>14696</v>
      </c>
      <c r="G7216" t="inlineStr" s="6">
        <is>
          <t xml:space="preserve">Using the spikes on Wurmple's rear end, WURMPLE peels the bark off trees and feeds on the sap that oozes out. This POKéMON’s feet are tipped with suction pads that allow it to cling to glass without slipping. WURMPLE is targeted by SWELLOW as prey. This POKéMON will try to resist by pointing the spikes on its rear at the attacking predator. It will weaken the foe by leaking poison from the spikes. It sticks to tree branches and eats leaves. The thread it spits from its mouth, which becomes gooey when it touches air, slows the movement of its foes. It lives amidst tall grass and in forests. When attacked, it resists by pointing its venomous spikes at the foe. It loves to eat leaves. If it is attacked by a STARLY, it will defend itself with its spiked rear. It spits a white silk that turns sticky when it contacts air. It is used to immobilize foes. Often targeted by bird Pokémon, it desperately resists by releasing poison from its tail spikes. It lives among the tall grass and in forests. It repels attacks by raising up the spikes on its rear. Likes sap and is abundant in the wild. Why it evolves into various different forms is unknown. One cannot tell from a Wurmple's appearance which form it will take when it evolves.</t>
        </is>
      </c>
    </row>
    <row r="7217" ht="33.75" customHeight="1">
      <c r="A7217" s="7">
        <v>265.0</v>
      </c>
      <c r="B7217" s="9" t="s">
        <v>13908</v>
      </c>
      <c r="C7217" s="9" t="s">
        <v>68</v>
      </c>
      <c r="D7217" s="9" t="s">
        <v>71</v>
      </c>
      <c r="E7217" s="6" t="s">
        <v>7164</v>
      </c>
      <c r="F7217" s="9" t="s">
        <v>14696</v>
      </c>
    </row>
    <row r="7218" ht="33.75" customHeight="1">
      <c r="A7218" s="7">
        <v>265.0</v>
      </c>
      <c r="B7218" s="9" t="s">
        <v>13908</v>
      </c>
      <c r="C7218" s="9" t="s">
        <v>68</v>
      </c>
      <c r="D7218" s="9" t="s">
        <v>73</v>
      </c>
      <c r="E7218" s="6" t="s">
        <v>7166</v>
      </c>
      <c r="F7218" s="9" t="s">
        <v>14696</v>
      </c>
    </row>
    <row r="7219" ht="33.75" customHeight="1">
      <c r="A7219" s="7">
        <v>265.0</v>
      </c>
      <c r="B7219" s="9" t="s">
        <v>13908</v>
      </c>
      <c r="C7219" s="9" t="s">
        <v>68</v>
      </c>
      <c r="D7219" s="9" t="s">
        <v>75</v>
      </c>
      <c r="E7219" s="6" t="s">
        <v>7168</v>
      </c>
      <c r="F7219" s="9" t="s">
        <v>14696</v>
      </c>
    </row>
    <row r="7220" ht="33.75" customHeight="1">
      <c r="A7220" s="7">
        <v>265.0</v>
      </c>
      <c r="B7220" s="9" t="s">
        <v>13908</v>
      </c>
      <c r="C7220" s="9" t="s">
        <v>68</v>
      </c>
      <c r="D7220" s="9" t="s">
        <v>79</v>
      </c>
      <c r="E7220" s="6" t="s">
        <v>7168</v>
      </c>
      <c r="F7220" s="9" t="s">
        <v>14696</v>
      </c>
    </row>
    <row r="7221" ht="33.75" customHeight="1">
      <c r="A7221" s="7">
        <v>265.0</v>
      </c>
      <c r="B7221" s="9" t="s">
        <v>13908</v>
      </c>
      <c r="C7221" s="9" t="s">
        <v>68</v>
      </c>
      <c r="D7221" s="9" t="s">
        <v>81</v>
      </c>
      <c r="E7221" s="6" t="s">
        <v>7169</v>
      </c>
      <c r="F7221" s="9" t="s">
        <v>14696</v>
      </c>
    </row>
    <row r="7222" ht="33.75" customHeight="1">
      <c r="A7222" s="7">
        <v>265.0</v>
      </c>
      <c r="B7222" s="9" t="s">
        <v>13908</v>
      </c>
      <c r="C7222" s="9" t="s">
        <v>68</v>
      </c>
      <c r="D7222" s="9" t="s">
        <v>84</v>
      </c>
      <c r="E7222" s="6" t="s">
        <v>7170</v>
      </c>
      <c r="F7222" s="9" t="s">
        <v>14696</v>
      </c>
    </row>
    <row r="7223" ht="33.75" customHeight="1">
      <c r="A7223" s="7">
        <v>265.0</v>
      </c>
      <c r="B7223" s="9" t="s">
        <v>13908</v>
      </c>
      <c r="C7223" s="9" t="s">
        <v>68</v>
      </c>
      <c r="D7223" s="9" t="s">
        <v>87</v>
      </c>
      <c r="E7223" s="6" t="s">
        <v>7174</v>
      </c>
      <c r="F7223" s="9" t="s">
        <v>14696</v>
      </c>
    </row>
    <row r="7224" ht="33.75" customHeight="1">
      <c r="A7224" s="7">
        <v>265.0</v>
      </c>
      <c r="B7224" s="9" t="s">
        <v>13908</v>
      </c>
      <c r="C7224" s="9" t="s">
        <v>68</v>
      </c>
      <c r="D7224" s="9" t="s">
        <v>89</v>
      </c>
      <c r="E7224" s="6" t="s">
        <v>7176</v>
      </c>
      <c r="F7224" s="9" t="s">
        <v>14696</v>
      </c>
    </row>
    <row r="7225" ht="33.75" customHeight="1">
      <c r="A7225" s="7">
        <v>265.0</v>
      </c>
      <c r="B7225" s="9" t="s">
        <v>13908</v>
      </c>
      <c r="C7225" s="9" t="s">
        <v>68</v>
      </c>
      <c r="D7225" s="9" t="s">
        <v>91</v>
      </c>
      <c r="E7225" s="6" t="s">
        <v>7176</v>
      </c>
      <c r="F7225" s="9" t="s">
        <v>14696</v>
      </c>
    </row>
    <row r="7226" ht="33.75" customHeight="1">
      <c r="A7226" s="7">
        <v>265.0</v>
      </c>
      <c r="B7226" s="9" t="s">
        <v>13908</v>
      </c>
      <c r="C7226" s="9" t="s">
        <v>68</v>
      </c>
      <c r="D7226" s="9" t="s">
        <v>93</v>
      </c>
      <c r="E7226" s="6" t="s">
        <v>7174</v>
      </c>
      <c r="F7226" s="9" t="s">
        <v>14696</v>
      </c>
    </row>
    <row r="7227" ht="33.75" customHeight="1">
      <c r="A7227" s="7">
        <v>265.0</v>
      </c>
      <c r="B7227" s="9" t="s">
        <v>13908</v>
      </c>
      <c r="C7227" s="9" t="s">
        <v>68</v>
      </c>
      <c r="D7227" s="9" t="s">
        <v>95</v>
      </c>
      <c r="E7227" s="6" t="s">
        <v>7174</v>
      </c>
      <c r="F7227" s="9" t="s">
        <v>14696</v>
      </c>
    </row>
    <row r="7228" ht="33.75" customHeight="1">
      <c r="A7228" s="7">
        <v>265.0</v>
      </c>
      <c r="B7228" s="9" t="s">
        <v>13908</v>
      </c>
      <c r="C7228" s="9" t="s">
        <v>68</v>
      </c>
      <c r="D7228" s="9" t="s">
        <v>98</v>
      </c>
      <c r="E7228" s="6" t="s">
        <v>7174</v>
      </c>
      <c r="F7228" s="9" t="s">
        <v>14696</v>
      </c>
    </row>
    <row r="7229" ht="33.75" customHeight="1">
      <c r="A7229" s="7">
        <v>265.0</v>
      </c>
      <c r="B7229" s="9" t="s">
        <v>13908</v>
      </c>
      <c r="C7229" s="9" t="s">
        <v>68</v>
      </c>
      <c r="D7229" s="9" t="s">
        <v>99</v>
      </c>
      <c r="E7229" s="6" t="s">
        <v>7174</v>
      </c>
      <c r="F7229" s="9" t="s">
        <v>14696</v>
      </c>
    </row>
    <row r="7230" ht="33.75" customHeight="1">
      <c r="A7230" s="7">
        <v>265.0</v>
      </c>
      <c r="B7230" s="9" t="s">
        <v>13908</v>
      </c>
      <c r="C7230" s="9" t="s">
        <v>68</v>
      </c>
      <c r="D7230" s="9" t="s">
        <v>101</v>
      </c>
      <c r="E7230" s="6" t="s">
        <v>7177</v>
      </c>
      <c r="F7230" s="9" t="s">
        <v>14696</v>
      </c>
    </row>
    <row r="7231" ht="33.75" customHeight="1">
      <c r="A7231" s="7">
        <v>265.0</v>
      </c>
      <c r="B7231" s="9" t="s">
        <v>13908</v>
      </c>
      <c r="C7231" s="9" t="s">
        <v>68</v>
      </c>
      <c r="D7231" s="9" t="s">
        <v>105</v>
      </c>
      <c r="E7231" s="6" t="s">
        <v>7176</v>
      </c>
      <c r="F7231" s="9" t="s">
        <v>14696</v>
      </c>
    </row>
    <row r="7232" ht="33.75" customHeight="1">
      <c r="A7232" s="7">
        <v>265.0</v>
      </c>
      <c r="B7232" s="9" t="s">
        <v>13908</v>
      </c>
      <c r="C7232" s="9" t="s">
        <v>68</v>
      </c>
      <c r="D7232" s="9" t="s">
        <v>107</v>
      </c>
      <c r="E7232" s="6" t="s">
        <v>7179</v>
      </c>
      <c r="F7232" s="9" t="s">
        <v>14696</v>
      </c>
    </row>
    <row r="7233" ht="33.75" customHeight="1">
      <c r="A7233" s="7">
        <v>265.0</v>
      </c>
      <c r="B7233" s="9" t="s">
        <v>13908</v>
      </c>
      <c r="C7233" s="9" t="s">
        <v>68</v>
      </c>
      <c r="D7233" s="9" t="s">
        <v>109</v>
      </c>
      <c r="E7233" s="6" t="s">
        <v>7181</v>
      </c>
      <c r="F7233" s="9" t="s">
        <v>14696</v>
      </c>
    </row>
    <row r="7234" ht="33.75" customHeight="1">
      <c r="A7234" s="7">
        <v>265.0</v>
      </c>
      <c r="B7234" s="9" t="s">
        <v>13908</v>
      </c>
      <c r="C7234" s="9" t="s">
        <v>68</v>
      </c>
      <c r="D7234" s="9" t="s">
        <v>1577</v>
      </c>
      <c r="E7234" s="6" t="s">
        <v>7183</v>
      </c>
      <c r="F7234" s="9" t="s">
        <v>14696</v>
      </c>
    </row>
    <row r="7235" ht="33.75" customHeight="1">
      <c r="A7235" s="7">
        <v>266.0</v>
      </c>
      <c r="B7235" s="9" t="s">
        <v>13922</v>
      </c>
      <c r="C7235" s="9" t="s">
        <v>72</v>
      </c>
      <c r="D7235" s="9" t="s">
        <v>67</v>
      </c>
      <c r="E7235" s="6" t="s">
        <v>7185</v>
      </c>
      <c r="F7235" s="9" t="s">
        <v>14707</v>
      </c>
      <c r="G7235" t="inlineStr" s="6">
        <is>
          <t xml:space="preserve">SILCOON tethers itself to a tree branch using silk to keep from falling. There, this POKéMON hangs quietly while it awaits evolution. It peers out of the silk cocoon through a small hole. SILCOON was thought to endure hunger and not consume anything before its evolution. However, it is now thought that this POKéMON slakes its thirst by drinking rainwater that collects on its silk. It prepares for evolution using the energy it stored while it was a WURMPLE. It keeps watch over the surroundings with its two eyes. It conserves its energy by moving as little as possible. It awaits evolution while drinking only a little rainwater. It anchors itself by wrapping twigs with the silk from its body. It motionlessly awaits evolution. It drinks dew that collects on its silk and waits for evolution. Its hard cocoon repels attacks. It wraps silk around the branches of a tree. It drinks rainwater on its silk while awaiting evolution. Having wrapped silk around the branches of a tree, it quiescently awaits evolution. Wraps itself in thin strings of silk while it stores energy for evolution. It can't extend its limbs and its movement is slow, but its eyes keep a sharp lookout—Silcoon is always on guard.</t>
        </is>
      </c>
    </row>
    <row r="7236" ht="33.75" customHeight="1">
      <c r="A7236" s="7">
        <v>266.0</v>
      </c>
      <c r="B7236" s="9" t="s">
        <v>13922</v>
      </c>
      <c r="C7236" s="9" t="s">
        <v>72</v>
      </c>
      <c r="D7236" s="9" t="s">
        <v>71</v>
      </c>
      <c r="E7236" s="6" t="s">
        <v>7186</v>
      </c>
      <c r="F7236" s="9" t="s">
        <v>14707</v>
      </c>
    </row>
    <row r="7237" ht="33.75" customHeight="1">
      <c r="A7237" s="7">
        <v>266.0</v>
      </c>
      <c r="B7237" s="9" t="s">
        <v>13922</v>
      </c>
      <c r="C7237" s="9" t="s">
        <v>72</v>
      </c>
      <c r="D7237" s="9" t="s">
        <v>73</v>
      </c>
      <c r="E7237" s="6" t="s">
        <v>7187</v>
      </c>
      <c r="F7237" s="9" t="s">
        <v>14707</v>
      </c>
    </row>
    <row r="7238" ht="33.75" customHeight="1">
      <c r="A7238" s="7">
        <v>266.0</v>
      </c>
      <c r="B7238" s="9" t="s">
        <v>13922</v>
      </c>
      <c r="C7238" s="9" t="s">
        <v>72</v>
      </c>
      <c r="D7238" s="9" t="s">
        <v>75</v>
      </c>
      <c r="E7238" s="6" t="s">
        <v>7189</v>
      </c>
      <c r="F7238" s="9" t="s">
        <v>14707</v>
      </c>
    </row>
    <row r="7239" ht="33.75" customHeight="1">
      <c r="A7239" s="7">
        <v>266.0</v>
      </c>
      <c r="B7239" s="9" t="s">
        <v>13922</v>
      </c>
      <c r="C7239" s="9" t="s">
        <v>72</v>
      </c>
      <c r="D7239" s="9" t="s">
        <v>79</v>
      </c>
      <c r="E7239" s="6" t="s">
        <v>7189</v>
      </c>
      <c r="F7239" s="9" t="s">
        <v>14707</v>
      </c>
    </row>
    <row r="7240" ht="33.75" customHeight="1">
      <c r="A7240" s="7">
        <v>266.0</v>
      </c>
      <c r="B7240" s="9" t="s">
        <v>13922</v>
      </c>
      <c r="C7240" s="9" t="s">
        <v>72</v>
      </c>
      <c r="D7240" s="9" t="s">
        <v>81</v>
      </c>
      <c r="E7240" s="6" t="s">
        <v>7190</v>
      </c>
      <c r="F7240" s="9" t="s">
        <v>14707</v>
      </c>
    </row>
    <row r="7241" ht="33.75" customHeight="1">
      <c r="A7241" s="7">
        <v>266.0</v>
      </c>
      <c r="B7241" s="9" t="s">
        <v>13922</v>
      </c>
      <c r="C7241" s="9" t="s">
        <v>72</v>
      </c>
      <c r="D7241" s="9" t="s">
        <v>84</v>
      </c>
      <c r="E7241" s="6" t="s">
        <v>7192</v>
      </c>
      <c r="F7241" s="9" t="s">
        <v>14707</v>
      </c>
    </row>
    <row r="7242" ht="33.75" customHeight="1">
      <c r="A7242" s="7">
        <v>266.0</v>
      </c>
      <c r="B7242" s="9" t="s">
        <v>13922</v>
      </c>
      <c r="C7242" s="9" t="s">
        <v>72</v>
      </c>
      <c r="D7242" s="9" t="s">
        <v>87</v>
      </c>
      <c r="E7242" s="6" t="s">
        <v>7193</v>
      </c>
      <c r="F7242" s="9" t="s">
        <v>14707</v>
      </c>
    </row>
    <row r="7243" ht="33.75" customHeight="1">
      <c r="A7243" s="7">
        <v>266.0</v>
      </c>
      <c r="B7243" s="9" t="s">
        <v>13922</v>
      </c>
      <c r="C7243" s="9" t="s">
        <v>72</v>
      </c>
      <c r="D7243" s="9" t="s">
        <v>89</v>
      </c>
      <c r="E7243" s="6" t="s">
        <v>7194</v>
      </c>
      <c r="F7243" s="9" t="s">
        <v>14707</v>
      </c>
    </row>
    <row r="7244" ht="33.75" customHeight="1">
      <c r="A7244" s="7">
        <v>266.0</v>
      </c>
      <c r="B7244" s="9" t="s">
        <v>13922</v>
      </c>
      <c r="C7244" s="9" t="s">
        <v>72</v>
      </c>
      <c r="D7244" s="9" t="s">
        <v>91</v>
      </c>
      <c r="E7244" s="6" t="s">
        <v>7194</v>
      </c>
      <c r="F7244" s="9" t="s">
        <v>14707</v>
      </c>
    </row>
    <row r="7245" ht="33.75" customHeight="1">
      <c r="A7245" s="7">
        <v>266.0</v>
      </c>
      <c r="B7245" s="9" t="s">
        <v>13922</v>
      </c>
      <c r="C7245" s="9" t="s">
        <v>72</v>
      </c>
      <c r="D7245" s="9" t="s">
        <v>93</v>
      </c>
      <c r="E7245" s="6" t="s">
        <v>7193</v>
      </c>
      <c r="F7245" s="9" t="s">
        <v>14707</v>
      </c>
    </row>
    <row r="7246" ht="33.75" customHeight="1">
      <c r="A7246" s="7">
        <v>266.0</v>
      </c>
      <c r="B7246" s="9" t="s">
        <v>13922</v>
      </c>
      <c r="C7246" s="9" t="s">
        <v>72</v>
      </c>
      <c r="D7246" s="9" t="s">
        <v>95</v>
      </c>
      <c r="E7246" s="6" t="s">
        <v>7193</v>
      </c>
      <c r="F7246" s="9" t="s">
        <v>14707</v>
      </c>
    </row>
    <row r="7247" ht="33.75" customHeight="1">
      <c r="A7247" s="7">
        <v>266.0</v>
      </c>
      <c r="B7247" s="9" t="s">
        <v>13922</v>
      </c>
      <c r="C7247" s="9" t="s">
        <v>72</v>
      </c>
      <c r="D7247" s="9" t="s">
        <v>98</v>
      </c>
      <c r="E7247" s="6" t="s">
        <v>7193</v>
      </c>
      <c r="F7247" s="9" t="s">
        <v>14707</v>
      </c>
    </row>
    <row r="7248" ht="33.75" customHeight="1">
      <c r="A7248" s="7">
        <v>266.0</v>
      </c>
      <c r="B7248" s="9" t="s">
        <v>13922</v>
      </c>
      <c r="C7248" s="9" t="s">
        <v>72</v>
      </c>
      <c r="D7248" s="9" t="s">
        <v>99</v>
      </c>
      <c r="E7248" s="6" t="s">
        <v>7193</v>
      </c>
      <c r="F7248" s="9" t="s">
        <v>14707</v>
      </c>
    </row>
    <row r="7249" ht="33.75" customHeight="1">
      <c r="A7249" s="7">
        <v>266.0</v>
      </c>
      <c r="B7249" s="9" t="s">
        <v>13922</v>
      </c>
      <c r="C7249" s="9" t="s">
        <v>72</v>
      </c>
      <c r="D7249" s="9" t="s">
        <v>101</v>
      </c>
      <c r="E7249" s="6" t="s">
        <v>7193</v>
      </c>
      <c r="F7249" s="9" t="s">
        <v>14707</v>
      </c>
    </row>
    <row r="7250" ht="33.75" customHeight="1">
      <c r="A7250" s="7">
        <v>266.0</v>
      </c>
      <c r="B7250" s="9" t="s">
        <v>13922</v>
      </c>
      <c r="C7250" s="9" t="s">
        <v>72</v>
      </c>
      <c r="D7250" s="9" t="s">
        <v>105</v>
      </c>
      <c r="E7250" s="6" t="s">
        <v>7192</v>
      </c>
      <c r="F7250" s="9" t="s">
        <v>14707</v>
      </c>
    </row>
    <row r="7251" ht="33.75" customHeight="1">
      <c r="A7251" s="7">
        <v>266.0</v>
      </c>
      <c r="B7251" s="9" t="s">
        <v>13922</v>
      </c>
      <c r="C7251" s="9" t="s">
        <v>72</v>
      </c>
      <c r="D7251" s="9" t="s">
        <v>107</v>
      </c>
      <c r="E7251" s="6" t="s">
        <v>7195</v>
      </c>
      <c r="F7251" s="9" t="s">
        <v>14707</v>
      </c>
    </row>
    <row r="7252" ht="33.75" customHeight="1">
      <c r="A7252" s="7">
        <v>266.0</v>
      </c>
      <c r="B7252" s="9" t="s">
        <v>13922</v>
      </c>
      <c r="C7252" s="9" t="s">
        <v>72</v>
      </c>
      <c r="D7252" s="9" t="s">
        <v>109</v>
      </c>
      <c r="E7252" s="6" t="s">
        <v>7196</v>
      </c>
      <c r="F7252" s="9" t="s">
        <v>14707</v>
      </c>
    </row>
    <row r="7253" ht="33.75" customHeight="1">
      <c r="A7253" s="7">
        <v>266.0</v>
      </c>
      <c r="B7253" s="9" t="s">
        <v>13922</v>
      </c>
      <c r="C7253" s="9" t="s">
        <v>72</v>
      </c>
      <c r="D7253" s="9" t="s">
        <v>1577</v>
      </c>
      <c r="E7253" s="6" t="s">
        <v>7198</v>
      </c>
      <c r="F7253" s="9" t="s">
        <v>14707</v>
      </c>
    </row>
    <row r="7254" ht="33.75" customHeight="1">
      <c r="A7254" s="7">
        <v>267.0</v>
      </c>
      <c r="B7254" s="9" t="s">
        <v>13934</v>
      </c>
      <c r="C7254" s="9" t="s">
        <v>74</v>
      </c>
      <c r="D7254" s="9" t="s">
        <v>67</v>
      </c>
      <c r="E7254" s="6" t="s">
        <v>7200</v>
      </c>
      <c r="F7254" s="9" t="s">
        <v>14724</v>
      </c>
      <c r="G7254" t="inlineStr" s="6">
        <is>
          <t xml:space="preserve">BEAUTIFLY’s favorite food is the sweet pollen of flowers. If you want to see this POKéMON, just leave a potted flower by an open window. BEAUTIFLY is sure to come looking for pollen. BEAUTIFLY has a long mouth like a coiled needle, which is very convenient for collecting pollen from flowers. This POKéMON rides the spring winds as it flits around gathering pollen. Its colorfully patterned wings are its most prominent feature. It flies through flower-covered fields collecting pollen. It attacks ferociously when angered. Despite its appearance, it has an aggressive nature. It attacks by jabbing with its long, thin mouth. It has an aggressive nature. It stabs prey with its long, narrow mouth to drain the prey’s fluids. When flower fields bloom, it flits around, collecting pollen. Despite its appearance, it is savage. Despite its looks, it is aggressive. It jabs with its long, thin mouth if disturbed while collecting pollen. Vibrantly patterned wings are its prominent feature. It sucks sweet flower nectar with its long mouth. A colorful and incredibly beautiful but also greedy Pokémon. In an effort to keep its favorite food all to itself, it will chase away Combee as they try to gather nectar.</t>
        </is>
      </c>
    </row>
    <row r="7255" ht="33.75" customHeight="1">
      <c r="A7255" s="7">
        <v>267.0</v>
      </c>
      <c r="B7255" s="9" t="s">
        <v>13934</v>
      </c>
      <c r="C7255" s="9" t="s">
        <v>74</v>
      </c>
      <c r="D7255" s="9" t="s">
        <v>71</v>
      </c>
      <c r="E7255" s="6" t="s">
        <v>7201</v>
      </c>
      <c r="F7255" s="9" t="s">
        <v>14724</v>
      </c>
    </row>
    <row r="7256" ht="33.75" customHeight="1">
      <c r="A7256" s="7">
        <v>267.0</v>
      </c>
      <c r="B7256" s="9" t="s">
        <v>13934</v>
      </c>
      <c r="C7256" s="9" t="s">
        <v>74</v>
      </c>
      <c r="D7256" s="9" t="s">
        <v>73</v>
      </c>
      <c r="E7256" s="6" t="s">
        <v>7203</v>
      </c>
      <c r="F7256" s="9" t="s">
        <v>14724</v>
      </c>
    </row>
    <row r="7257" ht="33.75" customHeight="1">
      <c r="A7257" s="7">
        <v>267.0</v>
      </c>
      <c r="B7257" s="9" t="s">
        <v>13934</v>
      </c>
      <c r="C7257" s="9" t="s">
        <v>74</v>
      </c>
      <c r="D7257" s="9" t="s">
        <v>75</v>
      </c>
      <c r="E7257" s="6" t="s">
        <v>7205</v>
      </c>
      <c r="F7257" s="9" t="s">
        <v>14724</v>
      </c>
    </row>
    <row r="7258" ht="33.75" customHeight="1">
      <c r="A7258" s="7">
        <v>267.0</v>
      </c>
      <c r="B7258" s="9" t="s">
        <v>13934</v>
      </c>
      <c r="C7258" s="9" t="s">
        <v>74</v>
      </c>
      <c r="D7258" s="9" t="s">
        <v>79</v>
      </c>
      <c r="E7258" s="6" t="s">
        <v>7205</v>
      </c>
      <c r="F7258" s="9" t="s">
        <v>14724</v>
      </c>
    </row>
    <row r="7259" ht="33.75" customHeight="1">
      <c r="A7259" s="7">
        <v>267.0</v>
      </c>
      <c r="B7259" s="9" t="s">
        <v>13934</v>
      </c>
      <c r="C7259" s="9" t="s">
        <v>74</v>
      </c>
      <c r="D7259" s="9" t="s">
        <v>81</v>
      </c>
      <c r="E7259" s="6" t="s">
        <v>7206</v>
      </c>
      <c r="F7259" s="9" t="s">
        <v>14724</v>
      </c>
    </row>
    <row r="7260" ht="33.75" customHeight="1">
      <c r="A7260" s="7">
        <v>267.0</v>
      </c>
      <c r="B7260" s="9" t="s">
        <v>13934</v>
      </c>
      <c r="C7260" s="9" t="s">
        <v>74</v>
      </c>
      <c r="D7260" s="9" t="s">
        <v>84</v>
      </c>
      <c r="E7260" s="6" t="s">
        <v>7207</v>
      </c>
      <c r="F7260" s="9" t="s">
        <v>14724</v>
      </c>
    </row>
    <row r="7261" ht="33.75" customHeight="1">
      <c r="A7261" s="7">
        <v>267.0</v>
      </c>
      <c r="B7261" s="9" t="s">
        <v>13934</v>
      </c>
      <c r="C7261" s="9" t="s">
        <v>74</v>
      </c>
      <c r="D7261" s="9" t="s">
        <v>87</v>
      </c>
      <c r="E7261" s="6" t="s">
        <v>7208</v>
      </c>
      <c r="F7261" s="9" t="s">
        <v>14724</v>
      </c>
    </row>
    <row r="7262" ht="33.75" customHeight="1">
      <c r="A7262" s="7">
        <v>267.0</v>
      </c>
      <c r="B7262" s="9" t="s">
        <v>13934</v>
      </c>
      <c r="C7262" s="9" t="s">
        <v>74</v>
      </c>
      <c r="D7262" s="9" t="s">
        <v>89</v>
      </c>
      <c r="E7262" s="6" t="s">
        <v>7210</v>
      </c>
      <c r="F7262" s="9" t="s">
        <v>14724</v>
      </c>
    </row>
    <row r="7263" ht="33.75" customHeight="1">
      <c r="A7263" s="7">
        <v>267.0</v>
      </c>
      <c r="B7263" s="9" t="s">
        <v>13934</v>
      </c>
      <c r="C7263" s="9" t="s">
        <v>74</v>
      </c>
      <c r="D7263" s="9" t="s">
        <v>91</v>
      </c>
      <c r="E7263" s="6" t="s">
        <v>7210</v>
      </c>
      <c r="F7263" s="9" t="s">
        <v>14724</v>
      </c>
    </row>
    <row r="7264" ht="33.75" customHeight="1">
      <c r="A7264" s="7">
        <v>267.0</v>
      </c>
      <c r="B7264" s="9" t="s">
        <v>13934</v>
      </c>
      <c r="C7264" s="9" t="s">
        <v>74</v>
      </c>
      <c r="D7264" s="9" t="s">
        <v>93</v>
      </c>
      <c r="E7264" s="6" t="s">
        <v>7208</v>
      </c>
      <c r="F7264" s="9" t="s">
        <v>14724</v>
      </c>
    </row>
    <row r="7265" ht="33.75" customHeight="1">
      <c r="A7265" s="7">
        <v>267.0</v>
      </c>
      <c r="B7265" s="9" t="s">
        <v>13934</v>
      </c>
      <c r="C7265" s="9" t="s">
        <v>74</v>
      </c>
      <c r="D7265" s="9" t="s">
        <v>95</v>
      </c>
      <c r="E7265" s="6" t="s">
        <v>7208</v>
      </c>
      <c r="F7265" s="9" t="s">
        <v>14724</v>
      </c>
    </row>
    <row r="7266" ht="33.75" customHeight="1">
      <c r="A7266" s="7">
        <v>267.0</v>
      </c>
      <c r="B7266" s="9" t="s">
        <v>13934</v>
      </c>
      <c r="C7266" s="9" t="s">
        <v>74</v>
      </c>
      <c r="D7266" s="9" t="s">
        <v>98</v>
      </c>
      <c r="E7266" s="6" t="s">
        <v>7208</v>
      </c>
      <c r="F7266" s="9" t="s">
        <v>14724</v>
      </c>
    </row>
    <row r="7267" ht="33.75" customHeight="1">
      <c r="A7267" s="7">
        <v>267.0</v>
      </c>
      <c r="B7267" s="9" t="s">
        <v>13934</v>
      </c>
      <c r="C7267" s="9" t="s">
        <v>74</v>
      </c>
      <c r="D7267" s="9" t="s">
        <v>99</v>
      </c>
      <c r="E7267" s="6" t="s">
        <v>7208</v>
      </c>
      <c r="F7267" s="9" t="s">
        <v>14724</v>
      </c>
    </row>
    <row r="7268" ht="33.75" customHeight="1">
      <c r="A7268" s="7">
        <v>267.0</v>
      </c>
      <c r="B7268" s="9" t="s">
        <v>13934</v>
      </c>
      <c r="C7268" s="9" t="s">
        <v>74</v>
      </c>
      <c r="D7268" s="9" t="s">
        <v>101</v>
      </c>
      <c r="E7268" s="6" t="s">
        <v>7210</v>
      </c>
      <c r="F7268" s="9" t="s">
        <v>14724</v>
      </c>
    </row>
    <row r="7269" ht="33.75" customHeight="1">
      <c r="A7269" s="7">
        <v>267.0</v>
      </c>
      <c r="B7269" s="9" t="s">
        <v>13934</v>
      </c>
      <c r="C7269" s="9" t="s">
        <v>74</v>
      </c>
      <c r="D7269" s="9" t="s">
        <v>105</v>
      </c>
      <c r="E7269" s="6" t="s">
        <v>7206</v>
      </c>
      <c r="F7269" s="9" t="s">
        <v>14724</v>
      </c>
    </row>
    <row r="7270" ht="33.75" customHeight="1">
      <c r="A7270" s="7">
        <v>267.0</v>
      </c>
      <c r="B7270" s="9" t="s">
        <v>13934</v>
      </c>
      <c r="C7270" s="9" t="s">
        <v>74</v>
      </c>
      <c r="D7270" s="9" t="s">
        <v>107</v>
      </c>
      <c r="E7270" s="6" t="s">
        <v>7211</v>
      </c>
      <c r="F7270" s="9" t="s">
        <v>14724</v>
      </c>
    </row>
    <row r="7271" ht="33.75" customHeight="1">
      <c r="A7271" s="7">
        <v>267.0</v>
      </c>
      <c r="B7271" s="9" t="s">
        <v>13934</v>
      </c>
      <c r="C7271" s="9" t="s">
        <v>74</v>
      </c>
      <c r="D7271" s="9" t="s">
        <v>109</v>
      </c>
      <c r="E7271" s="6" t="s">
        <v>7212</v>
      </c>
      <c r="F7271" s="9" t="s">
        <v>14724</v>
      </c>
    </row>
    <row r="7272" ht="33.75" customHeight="1">
      <c r="A7272" s="7">
        <v>267.0</v>
      </c>
      <c r="B7272" s="9" t="s">
        <v>13934</v>
      </c>
      <c r="C7272" s="9" t="s">
        <v>74</v>
      </c>
      <c r="D7272" s="9" t="s">
        <v>1577</v>
      </c>
      <c r="E7272" s="6" t="s">
        <v>7214</v>
      </c>
      <c r="F7272" s="9" t="s">
        <v>14724</v>
      </c>
    </row>
    <row r="7273" ht="33.75" customHeight="1">
      <c r="A7273" s="7">
        <v>268.0</v>
      </c>
      <c r="B7273" s="9" t="s">
        <v>13947</v>
      </c>
      <c r="C7273" s="9" t="s">
        <v>72</v>
      </c>
      <c r="D7273" s="9" t="s">
        <v>67</v>
      </c>
      <c r="E7273" s="6" t="s">
        <v>7217</v>
      </c>
      <c r="F7273" s="9" t="s">
        <v>14735</v>
      </c>
      <c r="G7273" t="inlineStr" s="6">
        <is>
          <t xml:space="preserve">CASCOON makes Cascoon's protective cocoon by wrapping its body entirely with a fine silk from its mouth. Once the silk goes around its body, it hardens. This POKéMON prepares for its evolution inside the cocoon. If it is attacked, CASCOON remains motionless however badly it may be hurt. It does so because if it were to move, its body would be weak upon evolution. This POKéMON will also not forget the pain it endured. To avoid detection by its enemies, it hides motionlessly beneath large leaves and in the gaps of branches. It also attaches dead leaves to its body for camouflage. Its body, which is made of soft silk, hardens over time. When cracks appear, evolution is near. It is hot inside its cocoon. All the cells in its body create the energy for it to evolve. Encased within its tough cocoon, it endures attacks. It never forgets the appearance of its foes. It never forgets any attack it endured while in the cocoon. After evolution, it seeks payback. It endures attacks with patience, because the more pain before evolution, the sturdier it becomes. The silk coating its body is thin but sufficiently strong. Cascoon's silk has a luster and texture superior to that of Silcoon's, and clothes made using Cascoon silk are regarded as top-notch.</t>
        </is>
      </c>
    </row>
    <row r="7274" ht="33.75" customHeight="1">
      <c r="A7274" s="7">
        <v>268.0</v>
      </c>
      <c r="B7274" s="9" t="s">
        <v>13947</v>
      </c>
      <c r="C7274" s="9" t="s">
        <v>72</v>
      </c>
      <c r="D7274" s="9" t="s">
        <v>71</v>
      </c>
      <c r="E7274" s="6" t="s">
        <v>7219</v>
      </c>
      <c r="F7274" s="9" t="s">
        <v>14735</v>
      </c>
    </row>
    <row r="7275" ht="33.75" customHeight="1">
      <c r="A7275" s="7">
        <v>268.0</v>
      </c>
      <c r="B7275" s="9" t="s">
        <v>13947</v>
      </c>
      <c r="C7275" s="9" t="s">
        <v>72</v>
      </c>
      <c r="D7275" s="9" t="s">
        <v>73</v>
      </c>
      <c r="E7275" s="6" t="s">
        <v>7223</v>
      </c>
      <c r="F7275" s="9" t="s">
        <v>14735</v>
      </c>
    </row>
    <row r="7276" ht="33.75" customHeight="1">
      <c r="A7276" s="7">
        <v>268.0</v>
      </c>
      <c r="B7276" s="9" t="s">
        <v>13947</v>
      </c>
      <c r="C7276" s="9" t="s">
        <v>72</v>
      </c>
      <c r="D7276" s="9" t="s">
        <v>75</v>
      </c>
      <c r="E7276" s="6" t="s">
        <v>7224</v>
      </c>
      <c r="F7276" s="9" t="s">
        <v>14735</v>
      </c>
    </row>
    <row r="7277" ht="33.75" customHeight="1">
      <c r="A7277" s="7">
        <v>268.0</v>
      </c>
      <c r="B7277" s="9" t="s">
        <v>13947</v>
      </c>
      <c r="C7277" s="9" t="s">
        <v>72</v>
      </c>
      <c r="D7277" s="9" t="s">
        <v>79</v>
      </c>
      <c r="E7277" s="6" t="s">
        <v>7224</v>
      </c>
      <c r="F7277" s="9" t="s">
        <v>14735</v>
      </c>
    </row>
    <row r="7278" ht="33.75" customHeight="1">
      <c r="A7278" s="7">
        <v>268.0</v>
      </c>
      <c r="B7278" s="9" t="s">
        <v>13947</v>
      </c>
      <c r="C7278" s="9" t="s">
        <v>72</v>
      </c>
      <c r="D7278" s="9" t="s">
        <v>81</v>
      </c>
      <c r="E7278" s="6" t="s">
        <v>7227</v>
      </c>
      <c r="F7278" s="9" t="s">
        <v>14735</v>
      </c>
    </row>
    <row r="7279" ht="33.75" customHeight="1">
      <c r="A7279" s="7">
        <v>268.0</v>
      </c>
      <c r="B7279" s="9" t="s">
        <v>13947</v>
      </c>
      <c r="C7279" s="9" t="s">
        <v>72</v>
      </c>
      <c r="D7279" s="9" t="s">
        <v>84</v>
      </c>
      <c r="E7279" s="6" t="s">
        <v>7231</v>
      </c>
      <c r="F7279" s="9" t="s">
        <v>14735</v>
      </c>
    </row>
    <row r="7280" ht="33.75" customHeight="1">
      <c r="A7280" s="7">
        <v>268.0</v>
      </c>
      <c r="B7280" s="9" t="s">
        <v>13947</v>
      </c>
      <c r="C7280" s="9" t="s">
        <v>72</v>
      </c>
      <c r="D7280" s="9" t="s">
        <v>87</v>
      </c>
      <c r="E7280" s="6" t="s">
        <v>7233</v>
      </c>
      <c r="F7280" s="9" t="s">
        <v>14735</v>
      </c>
    </row>
    <row r="7281" ht="33.75" customHeight="1">
      <c r="A7281" s="7">
        <v>268.0</v>
      </c>
      <c r="B7281" s="9" t="s">
        <v>13947</v>
      </c>
      <c r="C7281" s="9" t="s">
        <v>72</v>
      </c>
      <c r="D7281" s="9" t="s">
        <v>89</v>
      </c>
      <c r="E7281" s="6" t="s">
        <v>7235</v>
      </c>
      <c r="F7281" s="9" t="s">
        <v>14735</v>
      </c>
    </row>
    <row r="7282" ht="33.75" customHeight="1">
      <c r="A7282" s="7">
        <v>268.0</v>
      </c>
      <c r="B7282" s="9" t="s">
        <v>13947</v>
      </c>
      <c r="C7282" s="9" t="s">
        <v>72</v>
      </c>
      <c r="D7282" s="9" t="s">
        <v>91</v>
      </c>
      <c r="E7282" s="6" t="s">
        <v>7235</v>
      </c>
      <c r="F7282" s="9" t="s">
        <v>14735</v>
      </c>
    </row>
    <row r="7283" ht="33.75" customHeight="1">
      <c r="A7283" s="7">
        <v>268.0</v>
      </c>
      <c r="B7283" s="9" t="s">
        <v>13947</v>
      </c>
      <c r="C7283" s="9" t="s">
        <v>72</v>
      </c>
      <c r="D7283" s="9" t="s">
        <v>93</v>
      </c>
      <c r="E7283" s="6" t="s">
        <v>7233</v>
      </c>
      <c r="F7283" s="9" t="s">
        <v>14735</v>
      </c>
    </row>
    <row r="7284" ht="33.75" customHeight="1">
      <c r="A7284" s="7">
        <v>268.0</v>
      </c>
      <c r="B7284" s="9" t="s">
        <v>13947</v>
      </c>
      <c r="C7284" s="9" t="s">
        <v>72</v>
      </c>
      <c r="D7284" s="9" t="s">
        <v>95</v>
      </c>
      <c r="E7284" s="6" t="s">
        <v>7233</v>
      </c>
      <c r="F7284" s="9" t="s">
        <v>14735</v>
      </c>
    </row>
    <row r="7285" ht="33.75" customHeight="1">
      <c r="A7285" s="7">
        <v>268.0</v>
      </c>
      <c r="B7285" s="9" t="s">
        <v>13947</v>
      </c>
      <c r="C7285" s="9" t="s">
        <v>72</v>
      </c>
      <c r="D7285" s="9" t="s">
        <v>98</v>
      </c>
      <c r="E7285" s="6" t="s">
        <v>7233</v>
      </c>
      <c r="F7285" s="9" t="s">
        <v>14735</v>
      </c>
    </row>
    <row r="7286" ht="33.75" customHeight="1">
      <c r="A7286" s="7">
        <v>268.0</v>
      </c>
      <c r="B7286" s="9" t="s">
        <v>13947</v>
      </c>
      <c r="C7286" s="9" t="s">
        <v>72</v>
      </c>
      <c r="D7286" s="9" t="s">
        <v>99</v>
      </c>
      <c r="E7286" s="6" t="s">
        <v>7233</v>
      </c>
      <c r="F7286" s="9" t="s">
        <v>14735</v>
      </c>
    </row>
    <row r="7287" ht="33.75" customHeight="1">
      <c r="A7287" s="7">
        <v>268.0</v>
      </c>
      <c r="B7287" s="9" t="s">
        <v>13947</v>
      </c>
      <c r="C7287" s="9" t="s">
        <v>72</v>
      </c>
      <c r="D7287" s="9" t="s">
        <v>101</v>
      </c>
      <c r="E7287" s="6" t="s">
        <v>7224</v>
      </c>
      <c r="F7287" s="9" t="s">
        <v>14735</v>
      </c>
    </row>
    <row r="7288" ht="33.75" customHeight="1">
      <c r="A7288" s="7">
        <v>268.0</v>
      </c>
      <c r="B7288" s="9" t="s">
        <v>13947</v>
      </c>
      <c r="C7288" s="9" t="s">
        <v>72</v>
      </c>
      <c r="D7288" s="9" t="s">
        <v>105</v>
      </c>
      <c r="E7288" s="6" t="s">
        <v>7233</v>
      </c>
      <c r="F7288" s="9" t="s">
        <v>14735</v>
      </c>
    </row>
    <row r="7289" ht="33.75" customHeight="1">
      <c r="A7289" s="7">
        <v>268.0</v>
      </c>
      <c r="B7289" s="9" t="s">
        <v>13947</v>
      </c>
      <c r="C7289" s="9" t="s">
        <v>72</v>
      </c>
      <c r="D7289" s="9" t="s">
        <v>107</v>
      </c>
      <c r="E7289" s="6" t="s">
        <v>7237</v>
      </c>
      <c r="F7289" s="9" t="s">
        <v>14735</v>
      </c>
    </row>
    <row r="7290" ht="33.75" customHeight="1">
      <c r="A7290" s="7">
        <v>268.0</v>
      </c>
      <c r="B7290" s="9" t="s">
        <v>13947</v>
      </c>
      <c r="C7290" s="9" t="s">
        <v>72</v>
      </c>
      <c r="D7290" s="9" t="s">
        <v>109</v>
      </c>
      <c r="E7290" s="6" t="s">
        <v>7239</v>
      </c>
      <c r="F7290" s="9" t="s">
        <v>14735</v>
      </c>
    </row>
    <row r="7291" ht="33.75" customHeight="1">
      <c r="A7291" s="7">
        <v>268.0</v>
      </c>
      <c r="B7291" s="9" t="s">
        <v>13947</v>
      </c>
      <c r="C7291" s="9" t="s">
        <v>72</v>
      </c>
      <c r="D7291" s="9" t="s">
        <v>1577</v>
      </c>
      <c r="E7291" s="6" t="s">
        <v>7241</v>
      </c>
      <c r="F7291" s="9" t="s">
        <v>14735</v>
      </c>
    </row>
    <row r="7292" ht="33.75" customHeight="1">
      <c r="A7292" s="7">
        <v>269.0</v>
      </c>
      <c r="B7292" s="9" t="s">
        <v>13960</v>
      </c>
      <c r="C7292" s="9" t="s">
        <v>125</v>
      </c>
      <c r="D7292" s="9" t="s">
        <v>67</v>
      </c>
      <c r="E7292" s="6" t="s">
        <v>7243</v>
      </c>
      <c r="F7292" s="9" t="s">
        <v>14748</v>
      </c>
      <c r="G7292" t="inlineStr" s="6">
        <is>
          <t xml:space="preserve">DUSTOX is instinctively drawn to light. Swarms of this POKéMON are attracted by the bright lights of cities, where they wreak havoc by stripping the leaves off roadside trees for food. When DUSTOX flaps its wings, a fine dust is scattered all over. This dust is actually a powerful poison that will even make a pro wrestler sick. This POKéMON searches for food using its antennae like radar. It is a nocturnal POKéMON that flies from fields and mountains to the attraction of streetlights at night. It looses highly toxic powder from its wings. It scatters horribly toxic dust when it senses danger. They tend to gather in the glow of streetlamps at night. A nocturnal Pokémon. Drawn by streetlights, they messily eat the leaves of trees lining boulevards. It violently flutters its wings to scatter toxic dust when attacked. It becomes active after sunset. Toxic powder is scattered with each flap. At night, it is known to strip leaves off trees lining boulevards. It scatters its fine dust all over when it is attacked. It is a nocturnal Pokémon. Tends to be drawn to bonfires on dark nights. Difficult to chase away from settlements because of the way it scatters highly toxic scales.</t>
        </is>
      </c>
    </row>
    <row r="7293" ht="33.75" customHeight="1">
      <c r="A7293" s="7">
        <v>269.0</v>
      </c>
      <c r="B7293" s="9" t="s">
        <v>13960</v>
      </c>
      <c r="C7293" s="9" t="s">
        <v>125</v>
      </c>
      <c r="D7293" s="9" t="s">
        <v>71</v>
      </c>
      <c r="E7293" s="6" t="s">
        <v>7245</v>
      </c>
      <c r="F7293" s="9" t="s">
        <v>14748</v>
      </c>
    </row>
    <row r="7294" ht="33.75" customHeight="1">
      <c r="A7294" s="7">
        <v>269.0</v>
      </c>
      <c r="B7294" s="9" t="s">
        <v>13960</v>
      </c>
      <c r="C7294" s="9" t="s">
        <v>125</v>
      </c>
      <c r="D7294" s="9" t="s">
        <v>73</v>
      </c>
      <c r="E7294" s="6" t="s">
        <v>7247</v>
      </c>
      <c r="F7294" s="9" t="s">
        <v>14748</v>
      </c>
    </row>
    <row r="7295" ht="33.75" customHeight="1">
      <c r="A7295" s="7">
        <v>269.0</v>
      </c>
      <c r="B7295" s="9" t="s">
        <v>13960</v>
      </c>
      <c r="C7295" s="9" t="s">
        <v>125</v>
      </c>
      <c r="D7295" s="9" t="s">
        <v>75</v>
      </c>
      <c r="E7295" s="6" t="s">
        <v>7249</v>
      </c>
      <c r="F7295" s="9" t="s">
        <v>14748</v>
      </c>
    </row>
    <row r="7296" ht="33.75" customHeight="1">
      <c r="A7296" s="7">
        <v>269.0</v>
      </c>
      <c r="B7296" s="9" t="s">
        <v>13960</v>
      </c>
      <c r="C7296" s="9" t="s">
        <v>125</v>
      </c>
      <c r="D7296" s="9" t="s">
        <v>79</v>
      </c>
      <c r="E7296" s="6" t="s">
        <v>7249</v>
      </c>
      <c r="F7296" s="9" t="s">
        <v>14748</v>
      </c>
    </row>
    <row r="7297" ht="33.75" customHeight="1">
      <c r="A7297" s="7">
        <v>269.0</v>
      </c>
      <c r="B7297" s="9" t="s">
        <v>13960</v>
      </c>
      <c r="C7297" s="9" t="s">
        <v>125</v>
      </c>
      <c r="D7297" s="9" t="s">
        <v>81</v>
      </c>
      <c r="E7297" s="6" t="s">
        <v>7251</v>
      </c>
      <c r="F7297" s="9" t="s">
        <v>14748</v>
      </c>
    </row>
    <row r="7298" ht="33.75" customHeight="1">
      <c r="A7298" s="7">
        <v>269.0</v>
      </c>
      <c r="B7298" s="9" t="s">
        <v>13960</v>
      </c>
      <c r="C7298" s="9" t="s">
        <v>125</v>
      </c>
      <c r="D7298" s="9" t="s">
        <v>84</v>
      </c>
      <c r="E7298" s="6" t="s">
        <v>7252</v>
      </c>
      <c r="F7298" s="9" t="s">
        <v>14748</v>
      </c>
    </row>
    <row r="7299" ht="33.75" customHeight="1">
      <c r="A7299" s="7">
        <v>269.0</v>
      </c>
      <c r="B7299" s="9" t="s">
        <v>13960</v>
      </c>
      <c r="C7299" s="9" t="s">
        <v>125</v>
      </c>
      <c r="D7299" s="9" t="s">
        <v>87</v>
      </c>
      <c r="E7299" s="6" t="s">
        <v>7253</v>
      </c>
      <c r="F7299" s="9" t="s">
        <v>14748</v>
      </c>
    </row>
    <row r="7300" ht="33.75" customHeight="1">
      <c r="A7300" s="7">
        <v>269.0</v>
      </c>
      <c r="B7300" s="9" t="s">
        <v>13960</v>
      </c>
      <c r="C7300" s="9" t="s">
        <v>125</v>
      </c>
      <c r="D7300" s="9" t="s">
        <v>89</v>
      </c>
      <c r="E7300" s="6" t="s">
        <v>7255</v>
      </c>
      <c r="F7300" s="9" t="s">
        <v>14748</v>
      </c>
    </row>
    <row r="7301" ht="33.75" customHeight="1">
      <c r="A7301" s="7">
        <v>269.0</v>
      </c>
      <c r="B7301" s="9" t="s">
        <v>13960</v>
      </c>
      <c r="C7301" s="9" t="s">
        <v>125</v>
      </c>
      <c r="D7301" s="9" t="s">
        <v>91</v>
      </c>
      <c r="E7301" s="6" t="s">
        <v>7255</v>
      </c>
      <c r="F7301" s="9" t="s">
        <v>14748</v>
      </c>
    </row>
    <row r="7302" ht="33.75" customHeight="1">
      <c r="A7302" s="7">
        <v>269.0</v>
      </c>
      <c r="B7302" s="9" t="s">
        <v>13960</v>
      </c>
      <c r="C7302" s="9" t="s">
        <v>125</v>
      </c>
      <c r="D7302" s="9" t="s">
        <v>93</v>
      </c>
      <c r="E7302" s="6" t="s">
        <v>7253</v>
      </c>
      <c r="F7302" s="9" t="s">
        <v>14748</v>
      </c>
    </row>
    <row r="7303" ht="33.75" customHeight="1">
      <c r="A7303" s="7">
        <v>269.0</v>
      </c>
      <c r="B7303" s="9" t="s">
        <v>13960</v>
      </c>
      <c r="C7303" s="9" t="s">
        <v>125</v>
      </c>
      <c r="D7303" s="9" t="s">
        <v>95</v>
      </c>
      <c r="E7303" s="6" t="s">
        <v>7253</v>
      </c>
      <c r="F7303" s="9" t="s">
        <v>14748</v>
      </c>
    </row>
    <row r="7304" ht="33.75" customHeight="1">
      <c r="A7304" s="7">
        <v>269.0</v>
      </c>
      <c r="B7304" s="9" t="s">
        <v>13960</v>
      </c>
      <c r="C7304" s="9" t="s">
        <v>125</v>
      </c>
      <c r="D7304" s="9" t="s">
        <v>98</v>
      </c>
      <c r="E7304" s="6" t="s">
        <v>7253</v>
      </c>
      <c r="F7304" s="9" t="s">
        <v>14748</v>
      </c>
    </row>
    <row r="7305" ht="33.75" customHeight="1">
      <c r="A7305" s="7">
        <v>269.0</v>
      </c>
      <c r="B7305" s="9" t="s">
        <v>13960</v>
      </c>
      <c r="C7305" s="9" t="s">
        <v>125</v>
      </c>
      <c r="D7305" s="9" t="s">
        <v>99</v>
      </c>
      <c r="E7305" s="6" t="s">
        <v>7253</v>
      </c>
      <c r="F7305" s="9" t="s">
        <v>14748</v>
      </c>
    </row>
    <row r="7306" ht="33.75" customHeight="1">
      <c r="A7306" s="7">
        <v>269.0</v>
      </c>
      <c r="B7306" s="9" t="s">
        <v>13960</v>
      </c>
      <c r="C7306" s="9" t="s">
        <v>125</v>
      </c>
      <c r="D7306" s="9" t="s">
        <v>101</v>
      </c>
      <c r="E7306" s="6" t="s">
        <v>7251</v>
      </c>
      <c r="F7306" s="9" t="s">
        <v>14748</v>
      </c>
    </row>
    <row r="7307" ht="33.75" customHeight="1">
      <c r="A7307" s="7">
        <v>269.0</v>
      </c>
      <c r="B7307" s="9" t="s">
        <v>13960</v>
      </c>
      <c r="C7307" s="9" t="s">
        <v>125</v>
      </c>
      <c r="D7307" s="9" t="s">
        <v>105</v>
      </c>
      <c r="E7307" s="6" t="s">
        <v>7252</v>
      </c>
      <c r="F7307" s="9" t="s">
        <v>14748</v>
      </c>
    </row>
    <row r="7308" ht="33.75" customHeight="1">
      <c r="A7308" s="7">
        <v>269.0</v>
      </c>
      <c r="B7308" s="9" t="s">
        <v>13960</v>
      </c>
      <c r="C7308" s="9" t="s">
        <v>125</v>
      </c>
      <c r="D7308" s="9" t="s">
        <v>107</v>
      </c>
      <c r="E7308" s="6" t="s">
        <v>7256</v>
      </c>
      <c r="F7308" s="9" t="s">
        <v>14748</v>
      </c>
    </row>
    <row r="7309" ht="33.75" customHeight="1">
      <c r="A7309" s="7">
        <v>269.0</v>
      </c>
      <c r="B7309" s="9" t="s">
        <v>13960</v>
      </c>
      <c r="C7309" s="9" t="s">
        <v>125</v>
      </c>
      <c r="D7309" s="9" t="s">
        <v>109</v>
      </c>
      <c r="E7309" s="6" t="s">
        <v>7257</v>
      </c>
      <c r="F7309" s="9" t="s">
        <v>14748</v>
      </c>
    </row>
    <row r="7310" ht="33.75" customHeight="1">
      <c r="A7310" s="7">
        <v>269.0</v>
      </c>
      <c r="B7310" s="9" t="s">
        <v>13960</v>
      </c>
      <c r="C7310" s="9" t="s">
        <v>125</v>
      </c>
      <c r="D7310" s="9" t="s">
        <v>1577</v>
      </c>
      <c r="E7310" s="6" t="s">
        <v>7258</v>
      </c>
      <c r="F7310" s="9" t="s">
        <v>14748</v>
      </c>
    </row>
    <row r="7311" ht="33.75" customHeight="1">
      <c r="A7311" s="7">
        <v>270.0</v>
      </c>
      <c r="B7311" s="9" t="s">
        <v>13973</v>
      </c>
      <c r="C7311" s="9" t="s">
        <v>394</v>
      </c>
      <c r="D7311" s="9" t="s">
        <v>67</v>
      </c>
      <c r="E7311" s="6" t="s">
        <v>7259</v>
      </c>
      <c r="F7311" s="9" t="s">
        <v>14763</v>
      </c>
      <c r="G7311" t="inlineStr" s="6">
        <is>
          <t xml:space="preserve">LOTAD live in ponds and lakes, where they float on the surface. It grows weak if its broad leaf dies. On rare occasions, this POKéMON travels on land in search of clean water. LOTAD is said to have dwelled on land before. However, this POKéMON is thought to have returned to water because the leaf on its head grew large and heavy. It now lives by floating atop the water. This POKéMON lives in ponds with clean water. It is known to ferry small POKéMON across ponds by carrying them on the broad leaf on its head. It searches about for clean water. If it does not drink water for too long, the leaf on its head wilts. It looks like an aquatic plant and serves as a ferry to Pokémon that can’t swim. Its leaf grew too large for it to live on land. That is how it began to live floating in the water.</t>
        </is>
      </c>
    </row>
    <row r="7312" ht="33.75" customHeight="1">
      <c r="A7312" s="7">
        <v>270.0</v>
      </c>
      <c r="B7312" s="9" t="s">
        <v>13973</v>
      </c>
      <c r="C7312" s="9" t="s">
        <v>394</v>
      </c>
      <c r="D7312" s="9" t="s">
        <v>71</v>
      </c>
      <c r="E7312" s="6" t="s">
        <v>7260</v>
      </c>
      <c r="F7312" s="9" t="s">
        <v>14763</v>
      </c>
    </row>
    <row r="7313" ht="33.75" customHeight="1">
      <c r="A7313" s="7">
        <v>270.0</v>
      </c>
      <c r="B7313" s="9" t="s">
        <v>13973</v>
      </c>
      <c r="C7313" s="9" t="s">
        <v>394</v>
      </c>
      <c r="D7313" s="9" t="s">
        <v>73</v>
      </c>
      <c r="E7313" s="6" t="s">
        <v>7262</v>
      </c>
      <c r="F7313" s="9" t="s">
        <v>14763</v>
      </c>
    </row>
    <row r="7314" ht="33.75" customHeight="1">
      <c r="A7314" s="7">
        <v>270.0</v>
      </c>
      <c r="B7314" s="9" t="s">
        <v>13973</v>
      </c>
      <c r="C7314" s="9" t="s">
        <v>394</v>
      </c>
      <c r="D7314" s="9" t="s">
        <v>75</v>
      </c>
      <c r="E7314" s="6" t="s">
        <v>7263</v>
      </c>
      <c r="F7314" s="9" t="s">
        <v>14763</v>
      </c>
    </row>
    <row r="7315" ht="33.75" customHeight="1">
      <c r="A7315" s="7">
        <v>270.0</v>
      </c>
      <c r="B7315" s="9" t="s">
        <v>13973</v>
      </c>
      <c r="C7315" s="9" t="s">
        <v>394</v>
      </c>
      <c r="D7315" s="9" t="s">
        <v>79</v>
      </c>
      <c r="E7315" s="6" t="s">
        <v>7263</v>
      </c>
      <c r="F7315" s="9" t="s">
        <v>14763</v>
      </c>
    </row>
    <row r="7316" ht="33.75" customHeight="1">
      <c r="A7316" s="7">
        <v>270.0</v>
      </c>
      <c r="B7316" s="9" t="s">
        <v>13973</v>
      </c>
      <c r="C7316" s="9" t="s">
        <v>394</v>
      </c>
      <c r="D7316" s="9" t="s">
        <v>81</v>
      </c>
      <c r="E7316" s="6" t="s">
        <v>7264</v>
      </c>
      <c r="F7316" s="9" t="s">
        <v>14763</v>
      </c>
    </row>
    <row r="7317" ht="33.75" customHeight="1">
      <c r="A7317" s="7">
        <v>270.0</v>
      </c>
      <c r="B7317" s="9" t="s">
        <v>13973</v>
      </c>
      <c r="C7317" s="9" t="s">
        <v>394</v>
      </c>
      <c r="D7317" s="9" t="s">
        <v>84</v>
      </c>
      <c r="E7317" s="6" t="s">
        <v>7264</v>
      </c>
      <c r="F7317" s="9" t="s">
        <v>14763</v>
      </c>
    </row>
    <row r="7318" ht="33.75" customHeight="1">
      <c r="A7318" s="7">
        <v>270.0</v>
      </c>
      <c r="B7318" s="9" t="s">
        <v>13973</v>
      </c>
      <c r="C7318" s="9" t="s">
        <v>394</v>
      </c>
      <c r="D7318" s="9" t="s">
        <v>87</v>
      </c>
      <c r="E7318" s="6" t="s">
        <v>7264</v>
      </c>
      <c r="F7318" s="9" t="s">
        <v>14763</v>
      </c>
    </row>
    <row r="7319" ht="33.75" customHeight="1">
      <c r="A7319" s="7">
        <v>270.0</v>
      </c>
      <c r="B7319" s="9" t="s">
        <v>13973</v>
      </c>
      <c r="C7319" s="9" t="s">
        <v>394</v>
      </c>
      <c r="D7319" s="9" t="s">
        <v>89</v>
      </c>
      <c r="E7319" s="6" t="s">
        <v>7265</v>
      </c>
      <c r="F7319" s="9" t="s">
        <v>14763</v>
      </c>
    </row>
    <row r="7320" ht="33.75" customHeight="1">
      <c r="A7320" s="7">
        <v>270.0</v>
      </c>
      <c r="B7320" s="9" t="s">
        <v>13973</v>
      </c>
      <c r="C7320" s="9" t="s">
        <v>394</v>
      </c>
      <c r="D7320" s="9" t="s">
        <v>91</v>
      </c>
      <c r="E7320" s="6" t="s">
        <v>7265</v>
      </c>
      <c r="F7320" s="9" t="s">
        <v>14763</v>
      </c>
    </row>
    <row r="7321" ht="33.75" customHeight="1">
      <c r="A7321" s="7">
        <v>270.0</v>
      </c>
      <c r="B7321" s="9" t="s">
        <v>13973</v>
      </c>
      <c r="C7321" s="9" t="s">
        <v>394</v>
      </c>
      <c r="D7321" s="9" t="s">
        <v>93</v>
      </c>
      <c r="E7321" s="6" t="s">
        <v>7264</v>
      </c>
      <c r="F7321" s="9" t="s">
        <v>14763</v>
      </c>
    </row>
    <row r="7322" ht="33.75" customHeight="1">
      <c r="A7322" s="7">
        <v>270.0</v>
      </c>
      <c r="B7322" s="9" t="s">
        <v>13973</v>
      </c>
      <c r="C7322" s="9" t="s">
        <v>394</v>
      </c>
      <c r="D7322" s="9" t="s">
        <v>95</v>
      </c>
      <c r="E7322" s="6" t="s">
        <v>7264</v>
      </c>
      <c r="F7322" s="9" t="s">
        <v>14763</v>
      </c>
    </row>
    <row r="7323" ht="33.75" customHeight="1">
      <c r="A7323" s="7">
        <v>270.0</v>
      </c>
      <c r="B7323" s="9" t="s">
        <v>13973</v>
      </c>
      <c r="C7323" s="9" t="s">
        <v>394</v>
      </c>
      <c r="D7323" s="9" t="s">
        <v>98</v>
      </c>
      <c r="E7323" s="6" t="s">
        <v>7264</v>
      </c>
      <c r="F7323" s="9" t="s">
        <v>14763</v>
      </c>
    </row>
    <row r="7324" ht="33.75" customHeight="1">
      <c r="A7324" s="7">
        <v>270.0</v>
      </c>
      <c r="B7324" s="9" t="s">
        <v>13973</v>
      </c>
      <c r="C7324" s="9" t="s">
        <v>394</v>
      </c>
      <c r="D7324" s="9" t="s">
        <v>99</v>
      </c>
      <c r="E7324" s="6" t="s">
        <v>7264</v>
      </c>
      <c r="F7324" s="9" t="s">
        <v>14763</v>
      </c>
    </row>
    <row r="7325" ht="33.75" customHeight="1">
      <c r="A7325" s="7">
        <v>270.0</v>
      </c>
      <c r="B7325" s="9" t="s">
        <v>13973</v>
      </c>
      <c r="C7325" s="9" t="s">
        <v>394</v>
      </c>
      <c r="D7325" s="9" t="s">
        <v>101</v>
      </c>
      <c r="E7325" s="6" t="s">
        <v>7264</v>
      </c>
      <c r="F7325" s="9" t="s">
        <v>14763</v>
      </c>
    </row>
    <row r="7326" ht="33.75" customHeight="1">
      <c r="A7326" s="7">
        <v>270.0</v>
      </c>
      <c r="B7326" s="9" t="s">
        <v>13973</v>
      </c>
      <c r="C7326" s="9" t="s">
        <v>394</v>
      </c>
      <c r="D7326" s="9" t="s">
        <v>105</v>
      </c>
      <c r="E7326" s="6" t="s">
        <v>7263</v>
      </c>
      <c r="F7326" s="9" t="s">
        <v>14763</v>
      </c>
    </row>
    <row r="7327" ht="33.75" customHeight="1">
      <c r="A7327" s="7">
        <v>270.0</v>
      </c>
      <c r="B7327" s="9" t="s">
        <v>13973</v>
      </c>
      <c r="C7327" s="9" t="s">
        <v>394</v>
      </c>
      <c r="D7327" s="9" t="s">
        <v>107</v>
      </c>
      <c r="E7327" s="6" t="s">
        <v>7266</v>
      </c>
      <c r="F7327" s="9" t="s">
        <v>14763</v>
      </c>
    </row>
    <row r="7328" ht="33.75" customHeight="1">
      <c r="A7328" s="7">
        <v>270.0</v>
      </c>
      <c r="B7328" s="9" t="s">
        <v>13973</v>
      </c>
      <c r="C7328" s="9" t="s">
        <v>394</v>
      </c>
      <c r="D7328" s="9" t="s">
        <v>109</v>
      </c>
      <c r="E7328" s="6" t="s">
        <v>7268</v>
      </c>
      <c r="F7328" s="9" t="s">
        <v>14763</v>
      </c>
    </row>
    <row r="7329" ht="33.75" customHeight="1">
      <c r="A7329" s="7">
        <v>270.0</v>
      </c>
      <c r="B7329" s="9" t="s">
        <v>13973</v>
      </c>
      <c r="C7329" s="9" t="s">
        <v>394</v>
      </c>
      <c r="D7329" s="9" t="s">
        <v>114</v>
      </c>
      <c r="E7329" s="6" t="s">
        <v>7263</v>
      </c>
      <c r="F7329" s="9" t="s">
        <v>14763</v>
      </c>
    </row>
    <row r="7330" ht="33.75" customHeight="1">
      <c r="A7330" s="7">
        <v>270.0</v>
      </c>
      <c r="B7330" s="9" t="s">
        <v>13973</v>
      </c>
      <c r="C7330" s="9" t="s">
        <v>394</v>
      </c>
      <c r="D7330" s="9" t="s">
        <v>117</v>
      </c>
      <c r="E7330" s="6" t="s">
        <v>7265</v>
      </c>
      <c r="F7330" s="9" t="s">
        <v>14763</v>
      </c>
    </row>
    <row r="7331" ht="33.75" customHeight="1">
      <c r="A7331" s="7">
        <v>271.0</v>
      </c>
      <c r="B7331" s="9" t="s">
        <v>13983</v>
      </c>
      <c r="C7331" s="9" t="s">
        <v>396</v>
      </c>
      <c r="D7331" s="9" t="s">
        <v>67</v>
      </c>
      <c r="E7331" s="6" t="s">
        <v>7269</v>
      </c>
      <c r="F7331" s="9" t="s">
        <v>14773</v>
      </c>
      <c r="G7331" t="inlineStr" s="6">
        <is>
          <t xml:space="preserve">LOMBRE is nocturnal - Lombre will get active after dusk. It is also a mischief-maker. When this POKéMON spots anglers, it tugs on their fishing lines from beneath the surface and enjoys their consternation. LOMBRE’s entire body is covered by a slippery, slimy film. It feels horribly unpleasant to be touched by this POKéMON’s hands. LOMBRE is often mistaken for a human child. In the evening, it takes great delight in popping out of rivers and startling people. It feeds on aquatic moss that grows on rocks in the riverbed. It lives at the water’s edge where it is sunny. It sleeps on a bed of water grass by day and becomes active at night. It has a mischievous spirit. If it spots an angler, it will tug on the fishing line to interfere. It is nocturnal and becomes active at nightfall. It feeds on aquatic mosses that grow in the riverbed. It sleeps on a bed of water-grass by day and becomes active at night. Lombre is nocturnal—it will get active after dusk. It is also a mischief maker.</t>
        </is>
      </c>
    </row>
    <row r="7332" ht="33.75" customHeight="1">
      <c r="A7332" s="7">
        <v>271.0</v>
      </c>
      <c r="B7332" s="9" t="s">
        <v>13983</v>
      </c>
      <c r="C7332" s="9" t="s">
        <v>396</v>
      </c>
      <c r="D7332" s="9" t="s">
        <v>71</v>
      </c>
      <c r="E7332" s="6" t="s">
        <v>7270</v>
      </c>
      <c r="F7332" s="9" t="s">
        <v>14773</v>
      </c>
    </row>
    <row r="7333" ht="33.75" customHeight="1">
      <c r="A7333" s="7">
        <v>271.0</v>
      </c>
      <c r="B7333" s="9" t="s">
        <v>13983</v>
      </c>
      <c r="C7333" s="9" t="s">
        <v>396</v>
      </c>
      <c r="D7333" s="9" t="s">
        <v>73</v>
      </c>
      <c r="E7333" s="6" t="s">
        <v>7272</v>
      </c>
      <c r="F7333" s="9" t="s">
        <v>14773</v>
      </c>
    </row>
    <row r="7334" ht="33.75" customHeight="1">
      <c r="A7334" s="7">
        <v>271.0</v>
      </c>
      <c r="B7334" s="9" t="s">
        <v>13983</v>
      </c>
      <c r="C7334" s="9" t="s">
        <v>396</v>
      </c>
      <c r="D7334" s="9" t="s">
        <v>75</v>
      </c>
      <c r="E7334" s="6" t="s">
        <v>7273</v>
      </c>
      <c r="F7334" s="9" t="s">
        <v>14773</v>
      </c>
    </row>
    <row r="7335" ht="33.75" customHeight="1">
      <c r="A7335" s="7">
        <v>271.0</v>
      </c>
      <c r="B7335" s="9" t="s">
        <v>13983</v>
      </c>
      <c r="C7335" s="9" t="s">
        <v>396</v>
      </c>
      <c r="D7335" s="9" t="s">
        <v>79</v>
      </c>
      <c r="E7335" s="6" t="s">
        <v>7273</v>
      </c>
      <c r="F7335" s="9" t="s">
        <v>14773</v>
      </c>
    </row>
    <row r="7336" ht="33.75" customHeight="1">
      <c r="A7336" s="7">
        <v>271.0</v>
      </c>
      <c r="B7336" s="9" t="s">
        <v>13983</v>
      </c>
      <c r="C7336" s="9" t="s">
        <v>396</v>
      </c>
      <c r="D7336" s="9" t="s">
        <v>81</v>
      </c>
      <c r="E7336" s="6" t="s">
        <v>7275</v>
      </c>
      <c r="F7336" s="9" t="s">
        <v>14773</v>
      </c>
    </row>
    <row r="7337" ht="33.75" customHeight="1">
      <c r="A7337" s="7">
        <v>271.0</v>
      </c>
      <c r="B7337" s="9" t="s">
        <v>13983</v>
      </c>
      <c r="C7337" s="9" t="s">
        <v>396</v>
      </c>
      <c r="D7337" s="9" t="s">
        <v>84</v>
      </c>
      <c r="E7337" s="6" t="s">
        <v>7275</v>
      </c>
      <c r="F7337" s="9" t="s">
        <v>14773</v>
      </c>
    </row>
    <row r="7338" ht="33.75" customHeight="1">
      <c r="A7338" s="7">
        <v>271.0</v>
      </c>
      <c r="B7338" s="9" t="s">
        <v>13983</v>
      </c>
      <c r="C7338" s="9" t="s">
        <v>396</v>
      </c>
      <c r="D7338" s="9" t="s">
        <v>87</v>
      </c>
      <c r="E7338" s="6" t="s">
        <v>7275</v>
      </c>
      <c r="F7338" s="9" t="s">
        <v>14773</v>
      </c>
    </row>
    <row r="7339" ht="33.75" customHeight="1">
      <c r="A7339" s="7">
        <v>271.0</v>
      </c>
      <c r="B7339" s="9" t="s">
        <v>13983</v>
      </c>
      <c r="C7339" s="9" t="s">
        <v>396</v>
      </c>
      <c r="D7339" s="9" t="s">
        <v>89</v>
      </c>
      <c r="E7339" s="6" t="s">
        <v>7276</v>
      </c>
      <c r="F7339" s="9" t="s">
        <v>14773</v>
      </c>
    </row>
    <row r="7340" ht="33.75" customHeight="1">
      <c r="A7340" s="7">
        <v>271.0</v>
      </c>
      <c r="B7340" s="9" t="s">
        <v>13983</v>
      </c>
      <c r="C7340" s="9" t="s">
        <v>396</v>
      </c>
      <c r="D7340" s="9" t="s">
        <v>91</v>
      </c>
      <c r="E7340" s="6" t="s">
        <v>7276</v>
      </c>
      <c r="F7340" s="9" t="s">
        <v>14773</v>
      </c>
    </row>
    <row r="7341" ht="33.75" customHeight="1">
      <c r="A7341" s="7">
        <v>271.0</v>
      </c>
      <c r="B7341" s="9" t="s">
        <v>13983</v>
      </c>
      <c r="C7341" s="9" t="s">
        <v>396</v>
      </c>
      <c r="D7341" s="9" t="s">
        <v>93</v>
      </c>
      <c r="E7341" s="6" t="s">
        <v>7275</v>
      </c>
      <c r="F7341" s="9" t="s">
        <v>14773</v>
      </c>
    </row>
    <row r="7342" ht="33.75" customHeight="1">
      <c r="A7342" s="7">
        <v>271.0</v>
      </c>
      <c r="B7342" s="9" t="s">
        <v>13983</v>
      </c>
      <c r="C7342" s="9" t="s">
        <v>396</v>
      </c>
      <c r="D7342" s="9" t="s">
        <v>95</v>
      </c>
      <c r="E7342" s="6" t="s">
        <v>7275</v>
      </c>
      <c r="F7342" s="9" t="s">
        <v>14773</v>
      </c>
    </row>
    <row r="7343" ht="33.75" customHeight="1">
      <c r="A7343" s="7">
        <v>271.0</v>
      </c>
      <c r="B7343" s="9" t="s">
        <v>13983</v>
      </c>
      <c r="C7343" s="9" t="s">
        <v>396</v>
      </c>
      <c r="D7343" s="9" t="s">
        <v>98</v>
      </c>
      <c r="E7343" s="6" t="s">
        <v>7275</v>
      </c>
      <c r="F7343" s="9" t="s">
        <v>14773</v>
      </c>
    </row>
    <row r="7344" ht="33.75" customHeight="1">
      <c r="A7344" s="7">
        <v>271.0</v>
      </c>
      <c r="B7344" s="9" t="s">
        <v>13983</v>
      </c>
      <c r="C7344" s="9" t="s">
        <v>396</v>
      </c>
      <c r="D7344" s="9" t="s">
        <v>99</v>
      </c>
      <c r="E7344" s="6" t="s">
        <v>7275</v>
      </c>
      <c r="F7344" s="9" t="s">
        <v>14773</v>
      </c>
    </row>
    <row r="7345" ht="33.75" customHeight="1">
      <c r="A7345" s="7">
        <v>271.0</v>
      </c>
      <c r="B7345" s="9" t="s">
        <v>13983</v>
      </c>
      <c r="C7345" s="9" t="s">
        <v>396</v>
      </c>
      <c r="D7345" s="9" t="s">
        <v>101</v>
      </c>
      <c r="E7345" s="6" t="s">
        <v>7278</v>
      </c>
      <c r="F7345" s="9" t="s">
        <v>14773</v>
      </c>
    </row>
    <row r="7346" ht="33.75" customHeight="1">
      <c r="A7346" s="7">
        <v>271.0</v>
      </c>
      <c r="B7346" s="9" t="s">
        <v>13983</v>
      </c>
      <c r="C7346" s="9" t="s">
        <v>396</v>
      </c>
      <c r="D7346" s="9" t="s">
        <v>105</v>
      </c>
      <c r="E7346" s="6" t="s">
        <v>7275</v>
      </c>
      <c r="F7346" s="9" t="s">
        <v>14773</v>
      </c>
    </row>
    <row r="7347" ht="33.75" customHeight="1">
      <c r="A7347" s="7">
        <v>271.0</v>
      </c>
      <c r="B7347" s="9" t="s">
        <v>13983</v>
      </c>
      <c r="C7347" s="9" t="s">
        <v>396</v>
      </c>
      <c r="D7347" s="9" t="s">
        <v>107</v>
      </c>
      <c r="E7347" s="6" t="s">
        <v>7280</v>
      </c>
      <c r="F7347" s="9" t="s">
        <v>14773</v>
      </c>
    </row>
    <row r="7348" ht="33.75" customHeight="1">
      <c r="A7348" s="7">
        <v>271.0</v>
      </c>
      <c r="B7348" s="9" t="s">
        <v>13983</v>
      </c>
      <c r="C7348" s="9" t="s">
        <v>396</v>
      </c>
      <c r="D7348" s="9" t="s">
        <v>109</v>
      </c>
      <c r="E7348" s="6" t="s">
        <v>7284</v>
      </c>
      <c r="F7348" s="9" t="s">
        <v>14773</v>
      </c>
    </row>
    <row r="7349" ht="33.75" customHeight="1">
      <c r="A7349" s="7">
        <v>271.0</v>
      </c>
      <c r="B7349" s="9" t="s">
        <v>13983</v>
      </c>
      <c r="C7349" s="9" t="s">
        <v>396</v>
      </c>
      <c r="D7349" s="9" t="s">
        <v>114</v>
      </c>
      <c r="E7349" s="6" t="s">
        <v>7276</v>
      </c>
      <c r="F7349" s="9" t="s">
        <v>14773</v>
      </c>
    </row>
    <row r="7350" ht="33.75" customHeight="1">
      <c r="A7350" s="7">
        <v>271.0</v>
      </c>
      <c r="B7350" s="9" t="s">
        <v>13983</v>
      </c>
      <c r="C7350" s="9" t="s">
        <v>396</v>
      </c>
      <c r="D7350" s="9" t="s">
        <v>117</v>
      </c>
      <c r="E7350" s="6" t="s">
        <v>7273</v>
      </c>
      <c r="F7350" s="9" t="s">
        <v>14773</v>
      </c>
    </row>
    <row r="7351" ht="33.75" customHeight="1">
      <c r="A7351" s="7">
        <v>272.0</v>
      </c>
      <c r="B7351" s="9" t="s">
        <v>13994</v>
      </c>
      <c r="C7351" s="9" t="s">
        <v>399</v>
      </c>
      <c r="D7351" s="9" t="s">
        <v>67</v>
      </c>
      <c r="E7351" s="6" t="s">
        <v>7285</v>
      </c>
      <c r="F7351" s="9" t="s">
        <v>14781</v>
      </c>
      <c r="G7351" t="inlineStr" s="6">
        <is>
          <t xml:space="preserve">LUDICOLO begins dancing as soon as it hears cheerful, festive music. This POKéMON is said to appear when it hears the singing of children on hiking outings. Upon hearing an upbeat and cheerful rhythm, the cells in LUDICOLO’s body become very energetic and active. Even in battle, this POKéMON will exhibit an amazing amount of power. When it hears festive music, all the cells in its body become stimulated, and it begins moving in rhythm. It does not quail even when it faces a tough opponent. The rhythm of bright, festive music activates LUDICOLO’s cells, making it more powerful. If it hears festive music, all its muscles fill with energy. It can’t help breaking out into a dance. If it hears festive music, it begins moving in rhythm in order to amplify its power.</t>
        </is>
      </c>
    </row>
    <row r="7352" ht="33.75" customHeight="1">
      <c r="A7352" s="7">
        <v>272.0</v>
      </c>
      <c r="B7352" s="9" t="s">
        <v>13994</v>
      </c>
      <c r="C7352" s="9" t="s">
        <v>399</v>
      </c>
      <c r="D7352" s="9" t="s">
        <v>71</v>
      </c>
      <c r="E7352" s="6" t="s">
        <v>7286</v>
      </c>
      <c r="F7352" s="9" t="s">
        <v>14781</v>
      </c>
    </row>
    <row r="7353" ht="33.75" customHeight="1">
      <c r="A7353" s="7">
        <v>272.0</v>
      </c>
      <c r="B7353" s="9" t="s">
        <v>13994</v>
      </c>
      <c r="C7353" s="9" t="s">
        <v>399</v>
      </c>
      <c r="D7353" s="9" t="s">
        <v>73</v>
      </c>
      <c r="E7353" s="6" t="s">
        <v>7288</v>
      </c>
      <c r="F7353" s="9" t="s">
        <v>14781</v>
      </c>
    </row>
    <row r="7354" ht="33.75" customHeight="1">
      <c r="A7354" s="7">
        <v>272.0</v>
      </c>
      <c r="B7354" s="9" t="s">
        <v>13994</v>
      </c>
      <c r="C7354" s="9" t="s">
        <v>399</v>
      </c>
      <c r="D7354" s="9" t="s">
        <v>75</v>
      </c>
      <c r="E7354" s="6" t="s">
        <v>7290</v>
      </c>
      <c r="F7354" s="9" t="s">
        <v>14781</v>
      </c>
    </row>
    <row r="7355" ht="33.75" customHeight="1">
      <c r="A7355" s="7">
        <v>272.0</v>
      </c>
      <c r="B7355" s="9" t="s">
        <v>13994</v>
      </c>
      <c r="C7355" s="9" t="s">
        <v>399</v>
      </c>
      <c r="D7355" s="9" t="s">
        <v>79</v>
      </c>
      <c r="E7355" s="6" t="s">
        <v>7290</v>
      </c>
      <c r="F7355" s="9" t="s">
        <v>14781</v>
      </c>
    </row>
    <row r="7356" ht="33.75" customHeight="1">
      <c r="A7356" s="7">
        <v>272.0</v>
      </c>
      <c r="B7356" s="9" t="s">
        <v>13994</v>
      </c>
      <c r="C7356" s="9" t="s">
        <v>399</v>
      </c>
      <c r="D7356" s="9" t="s">
        <v>81</v>
      </c>
      <c r="E7356" s="6" t="s">
        <v>7292</v>
      </c>
      <c r="F7356" s="9" t="s">
        <v>14781</v>
      </c>
    </row>
    <row r="7357" ht="33.75" customHeight="1">
      <c r="A7357" s="7">
        <v>272.0</v>
      </c>
      <c r="B7357" s="9" t="s">
        <v>13994</v>
      </c>
      <c r="C7357" s="9" t="s">
        <v>399</v>
      </c>
      <c r="D7357" s="9" t="s">
        <v>84</v>
      </c>
      <c r="E7357" s="6" t="s">
        <v>7292</v>
      </c>
      <c r="F7357" s="9" t="s">
        <v>14781</v>
      </c>
    </row>
    <row r="7358" ht="33.75" customHeight="1">
      <c r="A7358" s="7">
        <v>272.0</v>
      </c>
      <c r="B7358" s="9" t="s">
        <v>13994</v>
      </c>
      <c r="C7358" s="9" t="s">
        <v>399</v>
      </c>
      <c r="D7358" s="9" t="s">
        <v>87</v>
      </c>
      <c r="E7358" s="6" t="s">
        <v>7292</v>
      </c>
      <c r="F7358" s="9" t="s">
        <v>14781</v>
      </c>
    </row>
    <row r="7359" ht="33.75" customHeight="1">
      <c r="A7359" s="7">
        <v>272.0</v>
      </c>
      <c r="B7359" s="9" t="s">
        <v>13994</v>
      </c>
      <c r="C7359" s="9" t="s">
        <v>399</v>
      </c>
      <c r="D7359" s="9" t="s">
        <v>89</v>
      </c>
      <c r="E7359" s="6" t="s">
        <v>7294</v>
      </c>
      <c r="F7359" s="9" t="s">
        <v>14781</v>
      </c>
    </row>
    <row r="7360" ht="33.75" customHeight="1">
      <c r="A7360" s="7">
        <v>272.0</v>
      </c>
      <c r="B7360" s="9" t="s">
        <v>13994</v>
      </c>
      <c r="C7360" s="9" t="s">
        <v>399</v>
      </c>
      <c r="D7360" s="9" t="s">
        <v>91</v>
      </c>
      <c r="E7360" s="6" t="s">
        <v>7294</v>
      </c>
      <c r="F7360" s="9" t="s">
        <v>14781</v>
      </c>
    </row>
    <row r="7361" ht="33.75" customHeight="1">
      <c r="A7361" s="7">
        <v>272.0</v>
      </c>
      <c r="B7361" s="9" t="s">
        <v>13994</v>
      </c>
      <c r="C7361" s="9" t="s">
        <v>399</v>
      </c>
      <c r="D7361" s="9" t="s">
        <v>93</v>
      </c>
      <c r="E7361" s="6" t="s">
        <v>7292</v>
      </c>
      <c r="F7361" s="9" t="s">
        <v>14781</v>
      </c>
    </row>
    <row r="7362" ht="33.75" customHeight="1">
      <c r="A7362" s="7">
        <v>272.0</v>
      </c>
      <c r="B7362" s="9" t="s">
        <v>13994</v>
      </c>
      <c r="C7362" s="9" t="s">
        <v>399</v>
      </c>
      <c r="D7362" s="9" t="s">
        <v>95</v>
      </c>
      <c r="E7362" s="6" t="s">
        <v>7292</v>
      </c>
      <c r="F7362" s="9" t="s">
        <v>14781</v>
      </c>
    </row>
    <row r="7363" ht="33.75" customHeight="1">
      <c r="A7363" s="7">
        <v>272.0</v>
      </c>
      <c r="B7363" s="9" t="s">
        <v>13994</v>
      </c>
      <c r="C7363" s="9" t="s">
        <v>399</v>
      </c>
      <c r="D7363" s="9" t="s">
        <v>98</v>
      </c>
      <c r="E7363" s="6" t="s">
        <v>7292</v>
      </c>
      <c r="F7363" s="9" t="s">
        <v>14781</v>
      </c>
    </row>
    <row r="7364" ht="33.75" customHeight="1">
      <c r="A7364" s="7">
        <v>272.0</v>
      </c>
      <c r="B7364" s="9" t="s">
        <v>13994</v>
      </c>
      <c r="C7364" s="9" t="s">
        <v>399</v>
      </c>
      <c r="D7364" s="9" t="s">
        <v>99</v>
      </c>
      <c r="E7364" s="6" t="s">
        <v>7292</v>
      </c>
      <c r="F7364" s="9" t="s">
        <v>14781</v>
      </c>
    </row>
    <row r="7365" ht="33.75" customHeight="1">
      <c r="A7365" s="7">
        <v>272.0</v>
      </c>
      <c r="B7365" s="9" t="s">
        <v>13994</v>
      </c>
      <c r="C7365" s="9" t="s">
        <v>399</v>
      </c>
      <c r="D7365" s="9" t="s">
        <v>101</v>
      </c>
      <c r="E7365" s="6" t="s">
        <v>7292</v>
      </c>
      <c r="F7365" s="9" t="s">
        <v>14781</v>
      </c>
    </row>
    <row r="7366" ht="33.75" customHeight="1">
      <c r="A7366" s="7">
        <v>272.0</v>
      </c>
      <c r="B7366" s="9" t="s">
        <v>13994</v>
      </c>
      <c r="C7366" s="9" t="s">
        <v>399</v>
      </c>
      <c r="D7366" s="9" t="s">
        <v>105</v>
      </c>
      <c r="E7366" s="6" t="s">
        <v>7295</v>
      </c>
      <c r="F7366" s="9" t="s">
        <v>14781</v>
      </c>
    </row>
    <row r="7367" ht="33.75" customHeight="1">
      <c r="A7367" s="7">
        <v>272.0</v>
      </c>
      <c r="B7367" s="9" t="s">
        <v>13994</v>
      </c>
      <c r="C7367" s="9" t="s">
        <v>399</v>
      </c>
      <c r="D7367" s="9" t="s">
        <v>107</v>
      </c>
      <c r="E7367" s="6" t="s">
        <v>7297</v>
      </c>
      <c r="F7367" s="9" t="s">
        <v>14781</v>
      </c>
    </row>
    <row r="7368" ht="33.75" customHeight="1">
      <c r="A7368" s="7">
        <v>272.0</v>
      </c>
      <c r="B7368" s="9" t="s">
        <v>13994</v>
      </c>
      <c r="C7368" s="9" t="s">
        <v>399</v>
      </c>
      <c r="D7368" s="9" t="s">
        <v>109</v>
      </c>
      <c r="E7368" s="6" t="s">
        <v>7298</v>
      </c>
      <c r="F7368" s="9" t="s">
        <v>14781</v>
      </c>
    </row>
    <row r="7369" ht="33.75" customHeight="1">
      <c r="A7369" s="7">
        <v>272.0</v>
      </c>
      <c r="B7369" s="9" t="s">
        <v>13994</v>
      </c>
      <c r="C7369" s="9" t="s">
        <v>399</v>
      </c>
      <c r="D7369" s="9" t="s">
        <v>114</v>
      </c>
      <c r="E7369" s="6" t="s">
        <v>7295</v>
      </c>
      <c r="F7369" s="9" t="s">
        <v>14781</v>
      </c>
    </row>
    <row r="7370" ht="33.75" customHeight="1">
      <c r="A7370" s="7">
        <v>272.0</v>
      </c>
      <c r="B7370" s="9" t="s">
        <v>13994</v>
      </c>
      <c r="C7370" s="9" t="s">
        <v>399</v>
      </c>
      <c r="D7370" s="9" t="s">
        <v>117</v>
      </c>
      <c r="E7370" s="6" t="s">
        <v>7294</v>
      </c>
      <c r="F7370" s="9" t="s">
        <v>14781</v>
      </c>
    </row>
    <row r="7371" ht="33.75" customHeight="1">
      <c r="A7371" s="7">
        <v>273.0</v>
      </c>
      <c r="B7371" s="9" t="s">
        <v>14006</v>
      </c>
      <c r="C7371" s="9" t="s">
        <v>400</v>
      </c>
      <c r="D7371" s="9" t="s">
        <v>67</v>
      </c>
      <c r="E7371" s="6" t="s">
        <v>7299</v>
      </c>
      <c r="F7371" s="9" t="s">
        <v>14795</v>
      </c>
      <c r="G7371" t="inlineStr" s="6">
        <is>
          <t xml:space="preserve">SEEDOT attaches itself to a tree branch using the top of Seedot's head. It sucks moisture from the tree while hanging off the branch. The more water it drinks, the glossier this POKéMON’s body becomes. SEEDOT looks exactly like an acorn when it is dangling from a tree branch. It startles other POKéMON by suddenly moving. This POKéMON polishes its body once a day using leaves. It hangs off branches and absorbs nutrients. When it finishes eating, its body becomes so heavy that it drops to the ground with a thump. If it remains still, it becomes impossible to distinguish from real nuts. It delights in surprising foraging PIDGEY. When it dangles from a tree branch, it looks just like an acorn. It enjoys scaring other Pokémon. It attaches itself to a tree branch using the top of its head. Strong winds can sometimes make it fall. If it remains still, it looks just like a real nut. It delights in surprising foraging Pokémon.</t>
        </is>
      </c>
    </row>
    <row r="7372" ht="33.75" customHeight="1">
      <c r="A7372" s="7">
        <v>273.0</v>
      </c>
      <c r="B7372" s="9" t="s">
        <v>14006</v>
      </c>
      <c r="C7372" s="9" t="s">
        <v>400</v>
      </c>
      <c r="D7372" s="9" t="s">
        <v>71</v>
      </c>
      <c r="E7372" s="6" t="s">
        <v>7302</v>
      </c>
      <c r="F7372" s="9" t="s">
        <v>14795</v>
      </c>
    </row>
    <row r="7373" ht="33.75" customHeight="1">
      <c r="A7373" s="7">
        <v>273.0</v>
      </c>
      <c r="B7373" s="9" t="s">
        <v>14006</v>
      </c>
      <c r="C7373" s="9" t="s">
        <v>400</v>
      </c>
      <c r="D7373" s="9" t="s">
        <v>73</v>
      </c>
      <c r="E7373" s="6" t="s">
        <v>7303</v>
      </c>
      <c r="F7373" s="9" t="s">
        <v>14795</v>
      </c>
    </row>
    <row r="7374" ht="33.75" customHeight="1">
      <c r="A7374" s="7">
        <v>273.0</v>
      </c>
      <c r="B7374" s="9" t="s">
        <v>14006</v>
      </c>
      <c r="C7374" s="9" t="s">
        <v>400</v>
      </c>
      <c r="D7374" s="9" t="s">
        <v>75</v>
      </c>
      <c r="E7374" s="6" t="s">
        <v>7305</v>
      </c>
      <c r="F7374" s="9" t="s">
        <v>14795</v>
      </c>
    </row>
    <row r="7375" ht="33.75" customHeight="1">
      <c r="A7375" s="7">
        <v>273.0</v>
      </c>
      <c r="B7375" s="9" t="s">
        <v>14006</v>
      </c>
      <c r="C7375" s="9" t="s">
        <v>400</v>
      </c>
      <c r="D7375" s="9" t="s">
        <v>79</v>
      </c>
      <c r="E7375" s="6" t="s">
        <v>7305</v>
      </c>
      <c r="F7375" s="9" t="s">
        <v>14795</v>
      </c>
    </row>
    <row r="7376" ht="33.75" customHeight="1">
      <c r="A7376" s="7">
        <v>273.0</v>
      </c>
      <c r="B7376" s="9" t="s">
        <v>14006</v>
      </c>
      <c r="C7376" s="9" t="s">
        <v>400</v>
      </c>
      <c r="D7376" s="9" t="s">
        <v>81</v>
      </c>
      <c r="E7376" s="6" t="s">
        <v>7307</v>
      </c>
      <c r="F7376" s="9" t="s">
        <v>14795</v>
      </c>
    </row>
    <row r="7377" ht="33.75" customHeight="1">
      <c r="A7377" s="7">
        <v>273.0</v>
      </c>
      <c r="B7377" s="9" t="s">
        <v>14006</v>
      </c>
      <c r="C7377" s="9" t="s">
        <v>400</v>
      </c>
      <c r="D7377" s="9" t="s">
        <v>84</v>
      </c>
      <c r="E7377" s="6" t="s">
        <v>7307</v>
      </c>
      <c r="F7377" s="9" t="s">
        <v>14795</v>
      </c>
    </row>
    <row r="7378" ht="33.75" customHeight="1">
      <c r="A7378" s="7">
        <v>273.0</v>
      </c>
      <c r="B7378" s="9" t="s">
        <v>14006</v>
      </c>
      <c r="C7378" s="9" t="s">
        <v>400</v>
      </c>
      <c r="D7378" s="9" t="s">
        <v>87</v>
      </c>
      <c r="E7378" s="6" t="s">
        <v>7307</v>
      </c>
      <c r="F7378" s="9" t="s">
        <v>14795</v>
      </c>
    </row>
    <row r="7379" ht="33.75" customHeight="1">
      <c r="A7379" s="7">
        <v>273.0</v>
      </c>
      <c r="B7379" s="9" t="s">
        <v>14006</v>
      </c>
      <c r="C7379" s="9" t="s">
        <v>400</v>
      </c>
      <c r="D7379" s="9" t="s">
        <v>89</v>
      </c>
      <c r="E7379" s="6" t="s">
        <v>7308</v>
      </c>
      <c r="F7379" s="9" t="s">
        <v>14795</v>
      </c>
    </row>
    <row r="7380" ht="33.75" customHeight="1">
      <c r="A7380" s="7">
        <v>273.0</v>
      </c>
      <c r="B7380" s="9" t="s">
        <v>14006</v>
      </c>
      <c r="C7380" s="9" t="s">
        <v>400</v>
      </c>
      <c r="D7380" s="9" t="s">
        <v>91</v>
      </c>
      <c r="E7380" s="6" t="s">
        <v>7308</v>
      </c>
      <c r="F7380" s="9" t="s">
        <v>14795</v>
      </c>
    </row>
    <row r="7381" ht="33.75" customHeight="1">
      <c r="A7381" s="7">
        <v>273.0</v>
      </c>
      <c r="B7381" s="9" t="s">
        <v>14006</v>
      </c>
      <c r="C7381" s="9" t="s">
        <v>400</v>
      </c>
      <c r="D7381" s="9" t="s">
        <v>93</v>
      </c>
      <c r="E7381" s="6" t="s">
        <v>7307</v>
      </c>
      <c r="F7381" s="9" t="s">
        <v>14795</v>
      </c>
    </row>
    <row r="7382" ht="33.75" customHeight="1">
      <c r="A7382" s="7">
        <v>273.0</v>
      </c>
      <c r="B7382" s="9" t="s">
        <v>14006</v>
      </c>
      <c r="C7382" s="9" t="s">
        <v>400</v>
      </c>
      <c r="D7382" s="9" t="s">
        <v>95</v>
      </c>
      <c r="E7382" s="6" t="s">
        <v>7307</v>
      </c>
      <c r="F7382" s="9" t="s">
        <v>14795</v>
      </c>
    </row>
    <row r="7383" ht="33.75" customHeight="1">
      <c r="A7383" s="7">
        <v>273.0</v>
      </c>
      <c r="B7383" s="9" t="s">
        <v>14006</v>
      </c>
      <c r="C7383" s="9" t="s">
        <v>400</v>
      </c>
      <c r="D7383" s="9" t="s">
        <v>98</v>
      </c>
      <c r="E7383" s="6" t="s">
        <v>7307</v>
      </c>
      <c r="F7383" s="9" t="s">
        <v>14795</v>
      </c>
    </row>
    <row r="7384" ht="33.75" customHeight="1">
      <c r="A7384" s="7">
        <v>273.0</v>
      </c>
      <c r="B7384" s="9" t="s">
        <v>14006</v>
      </c>
      <c r="C7384" s="9" t="s">
        <v>400</v>
      </c>
      <c r="D7384" s="9" t="s">
        <v>99</v>
      </c>
      <c r="E7384" s="6" t="s">
        <v>7307</v>
      </c>
      <c r="F7384" s="9" t="s">
        <v>14795</v>
      </c>
    </row>
    <row r="7385" ht="33.75" customHeight="1">
      <c r="A7385" s="7">
        <v>273.0</v>
      </c>
      <c r="B7385" s="9" t="s">
        <v>14006</v>
      </c>
      <c r="C7385" s="9" t="s">
        <v>400</v>
      </c>
      <c r="D7385" s="9" t="s">
        <v>101</v>
      </c>
      <c r="E7385" s="6" t="s">
        <v>7308</v>
      </c>
      <c r="F7385" s="9" t="s">
        <v>14795</v>
      </c>
    </row>
    <row r="7386" ht="33.75" customHeight="1">
      <c r="A7386" s="7">
        <v>273.0</v>
      </c>
      <c r="B7386" s="9" t="s">
        <v>14006</v>
      </c>
      <c r="C7386" s="9" t="s">
        <v>400</v>
      </c>
      <c r="D7386" s="9" t="s">
        <v>105</v>
      </c>
      <c r="E7386" s="6" t="s">
        <v>7307</v>
      </c>
      <c r="F7386" s="9" t="s">
        <v>14795</v>
      </c>
    </row>
    <row r="7387" ht="33.75" customHeight="1">
      <c r="A7387" s="7">
        <v>273.0</v>
      </c>
      <c r="B7387" s="9" t="s">
        <v>14006</v>
      </c>
      <c r="C7387" s="9" t="s">
        <v>400</v>
      </c>
      <c r="D7387" s="9" t="s">
        <v>107</v>
      </c>
      <c r="E7387" s="6" t="s">
        <v>7310</v>
      </c>
      <c r="F7387" s="9" t="s">
        <v>14795</v>
      </c>
    </row>
    <row r="7388" ht="33.75" customHeight="1">
      <c r="A7388" s="7">
        <v>273.0</v>
      </c>
      <c r="B7388" s="9" t="s">
        <v>14006</v>
      </c>
      <c r="C7388" s="9" t="s">
        <v>400</v>
      </c>
      <c r="D7388" s="9" t="s">
        <v>109</v>
      </c>
      <c r="E7388" s="6" t="s">
        <v>7311</v>
      </c>
      <c r="F7388" s="9" t="s">
        <v>14795</v>
      </c>
    </row>
    <row r="7389" ht="33.75" customHeight="1">
      <c r="A7389" s="7">
        <v>273.0</v>
      </c>
      <c r="B7389" s="9" t="s">
        <v>14006</v>
      </c>
      <c r="C7389" s="9" t="s">
        <v>400</v>
      </c>
      <c r="D7389" s="9" t="s">
        <v>114</v>
      </c>
      <c r="E7389" s="6" t="s">
        <v>7312</v>
      </c>
      <c r="F7389" s="9" t="s">
        <v>14795</v>
      </c>
    </row>
    <row r="7390" ht="33.75" customHeight="1">
      <c r="A7390" s="7">
        <v>273.0</v>
      </c>
      <c r="B7390" s="9" t="s">
        <v>14006</v>
      </c>
      <c r="C7390" s="9" t="s">
        <v>400</v>
      </c>
      <c r="D7390" s="9" t="s">
        <v>117</v>
      </c>
      <c r="E7390" s="6" t="s">
        <v>7308</v>
      </c>
      <c r="F7390" s="9" t="s">
        <v>14795</v>
      </c>
    </row>
    <row r="7391" ht="33.75" customHeight="1">
      <c r="A7391" s="7">
        <v>274.0</v>
      </c>
      <c r="B7391" s="9" t="s">
        <v>14017</v>
      </c>
      <c r="C7391" s="9" t="s">
        <v>403</v>
      </c>
      <c r="D7391" s="9" t="s">
        <v>67</v>
      </c>
      <c r="E7391" s="6" t="s">
        <v>7313</v>
      </c>
      <c r="F7391" s="9" t="s">
        <v>14806</v>
      </c>
      <c r="G7391" t="inlineStr" s="6">
        <is>
          <t xml:space="preserve">NUZLEAF live in densely overgrown forests. They occasionally venture out of the forest to startle people. This POKéMON dislikes having its long nose pinched. This POKéMON pulls out the leaf on its head and makes a flute with it. The sound of NUZLEAF’s flute strikes fear and uncertainty in the hearts of people lost in a forest. A forest-dwelling POKéMON that is skilled at climbing trees. Its long and pointed nose is its weak point. It loses power if the nose is gripped. They live in holes bored in large trees. The sound of NUZLEAF’s grass flute fills listeners with dread. The sound of its grass flute makes its listeners uneasy. It lives deep in forests. With the leaf on its head, it makes a flute whose song makes listeners uneasy.</t>
        </is>
      </c>
    </row>
    <row r="7392" ht="33.75" customHeight="1">
      <c r="A7392" s="7">
        <v>274.0</v>
      </c>
      <c r="B7392" s="9" t="s">
        <v>14017</v>
      </c>
      <c r="C7392" s="9" t="s">
        <v>403</v>
      </c>
      <c r="D7392" s="9" t="s">
        <v>71</v>
      </c>
      <c r="E7392" s="6" t="s">
        <v>7314</v>
      </c>
      <c r="F7392" s="9" t="s">
        <v>14806</v>
      </c>
    </row>
    <row r="7393" ht="33.75" customHeight="1">
      <c r="A7393" s="7">
        <v>274.0</v>
      </c>
      <c r="B7393" s="9" t="s">
        <v>14017</v>
      </c>
      <c r="C7393" s="9" t="s">
        <v>403</v>
      </c>
      <c r="D7393" s="9" t="s">
        <v>73</v>
      </c>
      <c r="E7393" s="6" t="s">
        <v>7315</v>
      </c>
      <c r="F7393" s="9" t="s">
        <v>14806</v>
      </c>
    </row>
    <row r="7394" ht="33.75" customHeight="1">
      <c r="A7394" s="7">
        <v>274.0</v>
      </c>
      <c r="B7394" s="9" t="s">
        <v>14017</v>
      </c>
      <c r="C7394" s="9" t="s">
        <v>403</v>
      </c>
      <c r="D7394" s="9" t="s">
        <v>75</v>
      </c>
      <c r="E7394" s="6" t="s">
        <v>7316</v>
      </c>
      <c r="F7394" s="9" t="s">
        <v>14806</v>
      </c>
    </row>
    <row r="7395" ht="33.75" customHeight="1">
      <c r="A7395" s="7">
        <v>274.0</v>
      </c>
      <c r="B7395" s="9" t="s">
        <v>14017</v>
      </c>
      <c r="C7395" s="9" t="s">
        <v>403</v>
      </c>
      <c r="D7395" s="9" t="s">
        <v>79</v>
      </c>
      <c r="E7395" s="6" t="s">
        <v>7316</v>
      </c>
      <c r="F7395" s="9" t="s">
        <v>14806</v>
      </c>
    </row>
    <row r="7396" ht="33.75" customHeight="1">
      <c r="A7396" s="7">
        <v>274.0</v>
      </c>
      <c r="B7396" s="9" t="s">
        <v>14017</v>
      </c>
      <c r="C7396" s="9" t="s">
        <v>403</v>
      </c>
      <c r="D7396" s="9" t="s">
        <v>81</v>
      </c>
      <c r="E7396" s="6" t="s">
        <v>7318</v>
      </c>
      <c r="F7396" s="9" t="s">
        <v>14806</v>
      </c>
    </row>
    <row r="7397" ht="33.75" customHeight="1">
      <c r="A7397" s="7">
        <v>274.0</v>
      </c>
      <c r="B7397" s="9" t="s">
        <v>14017</v>
      </c>
      <c r="C7397" s="9" t="s">
        <v>403</v>
      </c>
      <c r="D7397" s="9" t="s">
        <v>84</v>
      </c>
      <c r="E7397" s="6" t="s">
        <v>7318</v>
      </c>
      <c r="F7397" s="9" t="s">
        <v>14806</v>
      </c>
    </row>
    <row r="7398" ht="33.75" customHeight="1">
      <c r="A7398" s="7">
        <v>274.0</v>
      </c>
      <c r="B7398" s="9" t="s">
        <v>14017</v>
      </c>
      <c r="C7398" s="9" t="s">
        <v>403</v>
      </c>
      <c r="D7398" s="9" t="s">
        <v>87</v>
      </c>
      <c r="E7398" s="6" t="s">
        <v>7318</v>
      </c>
      <c r="F7398" s="9" t="s">
        <v>14806</v>
      </c>
    </row>
    <row r="7399" ht="33.75" customHeight="1">
      <c r="A7399" s="7">
        <v>274.0</v>
      </c>
      <c r="B7399" s="9" t="s">
        <v>14017</v>
      </c>
      <c r="C7399" s="9" t="s">
        <v>403</v>
      </c>
      <c r="D7399" s="9" t="s">
        <v>89</v>
      </c>
      <c r="E7399" s="6" t="s">
        <v>7319</v>
      </c>
      <c r="F7399" s="9" t="s">
        <v>14806</v>
      </c>
    </row>
    <row r="7400" ht="33.75" customHeight="1">
      <c r="A7400" s="7">
        <v>274.0</v>
      </c>
      <c r="B7400" s="9" t="s">
        <v>14017</v>
      </c>
      <c r="C7400" s="9" t="s">
        <v>403</v>
      </c>
      <c r="D7400" s="9" t="s">
        <v>91</v>
      </c>
      <c r="E7400" s="6" t="s">
        <v>7319</v>
      </c>
      <c r="F7400" s="9" t="s">
        <v>14806</v>
      </c>
    </row>
    <row r="7401" ht="33.75" customHeight="1">
      <c r="A7401" s="7">
        <v>274.0</v>
      </c>
      <c r="B7401" s="9" t="s">
        <v>14017</v>
      </c>
      <c r="C7401" s="9" t="s">
        <v>403</v>
      </c>
      <c r="D7401" s="9" t="s">
        <v>93</v>
      </c>
      <c r="E7401" s="6" t="s">
        <v>7318</v>
      </c>
      <c r="F7401" s="9" t="s">
        <v>14806</v>
      </c>
    </row>
    <row r="7402" ht="33.75" customHeight="1">
      <c r="A7402" s="7">
        <v>274.0</v>
      </c>
      <c r="B7402" s="9" t="s">
        <v>14017</v>
      </c>
      <c r="C7402" s="9" t="s">
        <v>403</v>
      </c>
      <c r="D7402" s="9" t="s">
        <v>95</v>
      </c>
      <c r="E7402" s="6" t="s">
        <v>7318</v>
      </c>
      <c r="F7402" s="9" t="s">
        <v>14806</v>
      </c>
    </row>
    <row r="7403" ht="33.75" customHeight="1">
      <c r="A7403" s="7">
        <v>274.0</v>
      </c>
      <c r="B7403" s="9" t="s">
        <v>14017</v>
      </c>
      <c r="C7403" s="9" t="s">
        <v>403</v>
      </c>
      <c r="D7403" s="9" t="s">
        <v>98</v>
      </c>
      <c r="E7403" s="6" t="s">
        <v>7318</v>
      </c>
      <c r="F7403" s="9" t="s">
        <v>14806</v>
      </c>
    </row>
    <row r="7404" ht="33.75" customHeight="1">
      <c r="A7404" s="7">
        <v>274.0</v>
      </c>
      <c r="B7404" s="9" t="s">
        <v>14017</v>
      </c>
      <c r="C7404" s="9" t="s">
        <v>403</v>
      </c>
      <c r="D7404" s="9" t="s">
        <v>99</v>
      </c>
      <c r="E7404" s="6" t="s">
        <v>7318</v>
      </c>
      <c r="F7404" s="9" t="s">
        <v>14806</v>
      </c>
    </row>
    <row r="7405" ht="33.75" customHeight="1">
      <c r="A7405" s="7">
        <v>274.0</v>
      </c>
      <c r="B7405" s="9" t="s">
        <v>14017</v>
      </c>
      <c r="C7405" s="9" t="s">
        <v>403</v>
      </c>
      <c r="D7405" s="9" t="s">
        <v>101</v>
      </c>
      <c r="E7405" s="6" t="s">
        <v>7318</v>
      </c>
      <c r="F7405" s="9" t="s">
        <v>14806</v>
      </c>
    </row>
    <row r="7406" ht="33.75" customHeight="1">
      <c r="A7406" s="7">
        <v>274.0</v>
      </c>
      <c r="B7406" s="9" t="s">
        <v>14017</v>
      </c>
      <c r="C7406" s="9" t="s">
        <v>403</v>
      </c>
      <c r="D7406" s="9" t="s">
        <v>105</v>
      </c>
      <c r="E7406" s="6" t="s">
        <v>7319</v>
      </c>
      <c r="F7406" s="9" t="s">
        <v>14806</v>
      </c>
    </row>
    <row r="7407" ht="33.75" customHeight="1">
      <c r="A7407" s="7">
        <v>274.0</v>
      </c>
      <c r="B7407" s="9" t="s">
        <v>14017</v>
      </c>
      <c r="C7407" s="9" t="s">
        <v>403</v>
      </c>
      <c r="D7407" s="9" t="s">
        <v>107</v>
      </c>
      <c r="E7407" s="6" t="s">
        <v>7321</v>
      </c>
      <c r="F7407" s="9" t="s">
        <v>14806</v>
      </c>
    </row>
    <row r="7408" ht="33.75" customHeight="1">
      <c r="A7408" s="7">
        <v>274.0</v>
      </c>
      <c r="B7408" s="9" t="s">
        <v>14017</v>
      </c>
      <c r="C7408" s="9" t="s">
        <v>403</v>
      </c>
      <c r="D7408" s="9" t="s">
        <v>109</v>
      </c>
      <c r="E7408" s="6" t="s">
        <v>7323</v>
      </c>
      <c r="F7408" s="9" t="s">
        <v>14806</v>
      </c>
    </row>
    <row r="7409" ht="33.75" customHeight="1">
      <c r="A7409" s="7">
        <v>274.0</v>
      </c>
      <c r="B7409" s="9" t="s">
        <v>14017</v>
      </c>
      <c r="C7409" s="9" t="s">
        <v>403</v>
      </c>
      <c r="D7409" s="9" t="s">
        <v>114</v>
      </c>
      <c r="E7409" s="6" t="s">
        <v>7319</v>
      </c>
      <c r="F7409" s="9" t="s">
        <v>14806</v>
      </c>
    </row>
    <row r="7410" ht="33.75" customHeight="1">
      <c r="A7410" s="7">
        <v>274.0</v>
      </c>
      <c r="B7410" s="9" t="s">
        <v>14017</v>
      </c>
      <c r="C7410" s="9" t="s">
        <v>403</v>
      </c>
      <c r="D7410" s="9" t="s">
        <v>117</v>
      </c>
      <c r="E7410" s="6" t="s">
        <v>7324</v>
      </c>
      <c r="F7410" s="9" t="s">
        <v>14806</v>
      </c>
    </row>
    <row r="7411" ht="33.75" customHeight="1">
      <c r="A7411" s="7">
        <v>275.0</v>
      </c>
      <c r="B7411" s="9" t="s">
        <v>14029</v>
      </c>
      <c r="C7411" s="9" t="s">
        <v>405</v>
      </c>
      <c r="D7411" s="9" t="s">
        <v>67</v>
      </c>
      <c r="E7411" s="6" t="s">
        <v>7326</v>
      </c>
      <c r="F7411" s="9" t="s">
        <v>14818</v>
      </c>
      <c r="G7411" t="inlineStr" s="6">
        <is>
          <t xml:space="preserve">SHIFTRY is a mysterious POKéMON that is said to live atop towering trees dating back over a thousand years. It creates terrific windstorms with the fans it holds. SHIFTRY’s large fans generate awesome gusts of wind at a speed close to 100 feet per second. The whipped-up wind blows anything away. This POKéMON chooses to live quietly deep in forests. It is said to arrive on chilly, wintry winds. Feared from long ago as the guardian of forests, this POKéMON lives in a deep forest where people do not venture. A POKéMON that was feared as a forest guardian. It can read the foe’s mind and take preemptive action. By flapping its leafy fan, it can whip up gusts of 100 ft/second that can level houses. It lives quietly in the deep forest. It is said to create chilly winter winds with the fans it holds. By flapping its leafy fan, it can whip up gusts of 100 feet per second that can level houses.</t>
        </is>
      </c>
    </row>
    <row r="7412" ht="33.75" customHeight="1">
      <c r="A7412" s="7">
        <v>275.0</v>
      </c>
      <c r="B7412" s="9" t="s">
        <v>14029</v>
      </c>
      <c r="C7412" s="9" t="s">
        <v>405</v>
      </c>
      <c r="D7412" s="9" t="s">
        <v>71</v>
      </c>
      <c r="E7412" s="6" t="s">
        <v>7327</v>
      </c>
      <c r="F7412" s="9" t="s">
        <v>14818</v>
      </c>
    </row>
    <row r="7413" ht="33.75" customHeight="1">
      <c r="A7413" s="7">
        <v>275.0</v>
      </c>
      <c r="B7413" s="9" t="s">
        <v>14029</v>
      </c>
      <c r="C7413" s="9" t="s">
        <v>405</v>
      </c>
      <c r="D7413" s="9" t="s">
        <v>73</v>
      </c>
      <c r="E7413" s="6" t="s">
        <v>7328</v>
      </c>
      <c r="F7413" s="9" t="s">
        <v>14818</v>
      </c>
    </row>
    <row r="7414" ht="33.75" customHeight="1">
      <c r="A7414" s="7">
        <v>275.0</v>
      </c>
      <c r="B7414" s="9" t="s">
        <v>14029</v>
      </c>
      <c r="C7414" s="9" t="s">
        <v>405</v>
      </c>
      <c r="D7414" s="9" t="s">
        <v>75</v>
      </c>
      <c r="E7414" s="6" t="s">
        <v>7330</v>
      </c>
      <c r="F7414" s="9" t="s">
        <v>14818</v>
      </c>
    </row>
    <row r="7415" ht="33.75" customHeight="1">
      <c r="A7415" s="7">
        <v>275.0</v>
      </c>
      <c r="B7415" s="9" t="s">
        <v>14029</v>
      </c>
      <c r="C7415" s="9" t="s">
        <v>405</v>
      </c>
      <c r="D7415" s="9" t="s">
        <v>79</v>
      </c>
      <c r="E7415" s="6" t="s">
        <v>7330</v>
      </c>
      <c r="F7415" s="9" t="s">
        <v>14818</v>
      </c>
    </row>
    <row r="7416" ht="33.75" customHeight="1">
      <c r="A7416" s="7">
        <v>275.0</v>
      </c>
      <c r="B7416" s="9" t="s">
        <v>14029</v>
      </c>
      <c r="C7416" s="9" t="s">
        <v>405</v>
      </c>
      <c r="D7416" s="9" t="s">
        <v>81</v>
      </c>
      <c r="E7416" s="6" t="s">
        <v>7331</v>
      </c>
      <c r="F7416" s="9" t="s">
        <v>14818</v>
      </c>
    </row>
    <row r="7417" ht="33.75" customHeight="1">
      <c r="A7417" s="7">
        <v>275.0</v>
      </c>
      <c r="B7417" s="9" t="s">
        <v>14029</v>
      </c>
      <c r="C7417" s="9" t="s">
        <v>405</v>
      </c>
      <c r="D7417" s="9" t="s">
        <v>84</v>
      </c>
      <c r="E7417" s="6" t="s">
        <v>7331</v>
      </c>
      <c r="F7417" s="9" t="s">
        <v>14818</v>
      </c>
    </row>
    <row r="7418" ht="33.75" customHeight="1">
      <c r="A7418" s="7">
        <v>275.0</v>
      </c>
      <c r="B7418" s="9" t="s">
        <v>14029</v>
      </c>
      <c r="C7418" s="9" t="s">
        <v>405</v>
      </c>
      <c r="D7418" s="9" t="s">
        <v>87</v>
      </c>
      <c r="E7418" s="6" t="s">
        <v>7331</v>
      </c>
      <c r="F7418" s="9" t="s">
        <v>14818</v>
      </c>
    </row>
    <row r="7419" ht="33.75" customHeight="1">
      <c r="A7419" s="7">
        <v>275.0</v>
      </c>
      <c r="B7419" s="9" t="s">
        <v>14029</v>
      </c>
      <c r="C7419" s="9" t="s">
        <v>405</v>
      </c>
      <c r="D7419" s="9" t="s">
        <v>89</v>
      </c>
      <c r="E7419" s="6" t="s">
        <v>7332</v>
      </c>
      <c r="F7419" s="9" t="s">
        <v>14818</v>
      </c>
    </row>
    <row r="7420" ht="33.75" customHeight="1">
      <c r="A7420" s="7">
        <v>275.0</v>
      </c>
      <c r="B7420" s="9" t="s">
        <v>14029</v>
      </c>
      <c r="C7420" s="9" t="s">
        <v>405</v>
      </c>
      <c r="D7420" s="9" t="s">
        <v>91</v>
      </c>
      <c r="E7420" s="6" t="s">
        <v>7332</v>
      </c>
      <c r="F7420" s="9" t="s">
        <v>14818</v>
      </c>
    </row>
    <row r="7421" ht="33.75" customHeight="1">
      <c r="A7421" s="7">
        <v>275.0</v>
      </c>
      <c r="B7421" s="9" t="s">
        <v>14029</v>
      </c>
      <c r="C7421" s="9" t="s">
        <v>405</v>
      </c>
      <c r="D7421" s="9" t="s">
        <v>93</v>
      </c>
      <c r="E7421" s="6" t="s">
        <v>7331</v>
      </c>
      <c r="F7421" s="9" t="s">
        <v>14818</v>
      </c>
    </row>
    <row r="7422" ht="33.75" customHeight="1">
      <c r="A7422" s="7">
        <v>275.0</v>
      </c>
      <c r="B7422" s="9" t="s">
        <v>14029</v>
      </c>
      <c r="C7422" s="9" t="s">
        <v>405</v>
      </c>
      <c r="D7422" s="9" t="s">
        <v>95</v>
      </c>
      <c r="E7422" s="6" t="s">
        <v>7331</v>
      </c>
      <c r="F7422" s="9" t="s">
        <v>14818</v>
      </c>
    </row>
    <row r="7423" ht="33.75" customHeight="1">
      <c r="A7423" s="7">
        <v>275.0</v>
      </c>
      <c r="B7423" s="9" t="s">
        <v>14029</v>
      </c>
      <c r="C7423" s="9" t="s">
        <v>405</v>
      </c>
      <c r="D7423" s="9" t="s">
        <v>98</v>
      </c>
      <c r="E7423" s="6" t="s">
        <v>7331</v>
      </c>
      <c r="F7423" s="9" t="s">
        <v>14818</v>
      </c>
    </row>
    <row r="7424" ht="33.75" customHeight="1">
      <c r="A7424" s="7">
        <v>275.0</v>
      </c>
      <c r="B7424" s="9" t="s">
        <v>14029</v>
      </c>
      <c r="C7424" s="9" t="s">
        <v>405</v>
      </c>
      <c r="D7424" s="9" t="s">
        <v>99</v>
      </c>
      <c r="E7424" s="6" t="s">
        <v>7331</v>
      </c>
      <c r="F7424" s="9" t="s">
        <v>14818</v>
      </c>
    </row>
    <row r="7425" ht="33.75" customHeight="1">
      <c r="A7425" s="7">
        <v>275.0</v>
      </c>
      <c r="B7425" s="9" t="s">
        <v>14029</v>
      </c>
      <c r="C7425" s="9" t="s">
        <v>405</v>
      </c>
      <c r="D7425" s="9" t="s">
        <v>101</v>
      </c>
      <c r="E7425" s="6" t="s">
        <v>7333</v>
      </c>
      <c r="F7425" s="9" t="s">
        <v>14818</v>
      </c>
    </row>
    <row r="7426" ht="33.75" customHeight="1">
      <c r="A7426" s="7">
        <v>275.0</v>
      </c>
      <c r="B7426" s="9" t="s">
        <v>14029</v>
      </c>
      <c r="C7426" s="9" t="s">
        <v>405</v>
      </c>
      <c r="D7426" s="9" t="s">
        <v>105</v>
      </c>
      <c r="E7426" s="6" t="s">
        <v>7334</v>
      </c>
      <c r="F7426" s="9" t="s">
        <v>14818</v>
      </c>
    </row>
    <row r="7427" ht="33.75" customHeight="1">
      <c r="A7427" s="7">
        <v>275.0</v>
      </c>
      <c r="B7427" s="9" t="s">
        <v>14029</v>
      </c>
      <c r="C7427" s="9" t="s">
        <v>405</v>
      </c>
      <c r="D7427" s="9" t="s">
        <v>107</v>
      </c>
      <c r="E7427" s="6" t="s">
        <v>7335</v>
      </c>
      <c r="F7427" s="9" t="s">
        <v>14818</v>
      </c>
    </row>
    <row r="7428" ht="33.75" customHeight="1">
      <c r="A7428" s="7">
        <v>275.0</v>
      </c>
      <c r="B7428" s="9" t="s">
        <v>14029</v>
      </c>
      <c r="C7428" s="9" t="s">
        <v>405</v>
      </c>
      <c r="D7428" s="9" t="s">
        <v>109</v>
      </c>
      <c r="E7428" s="6" t="s">
        <v>7337</v>
      </c>
      <c r="F7428" s="9" t="s">
        <v>14818</v>
      </c>
    </row>
    <row r="7429" ht="33.75" customHeight="1">
      <c r="A7429" s="7">
        <v>275.0</v>
      </c>
      <c r="B7429" s="9" t="s">
        <v>14029</v>
      </c>
      <c r="C7429" s="9" t="s">
        <v>405</v>
      </c>
      <c r="D7429" s="9" t="s">
        <v>114</v>
      </c>
      <c r="E7429" s="6" t="s">
        <v>7333</v>
      </c>
      <c r="F7429" s="9" t="s">
        <v>14818</v>
      </c>
    </row>
    <row r="7430" ht="33.75" customHeight="1">
      <c r="A7430" s="7">
        <v>275.0</v>
      </c>
      <c r="B7430" s="9" t="s">
        <v>14029</v>
      </c>
      <c r="C7430" s="9" t="s">
        <v>405</v>
      </c>
      <c r="D7430" s="9" t="s">
        <v>117</v>
      </c>
      <c r="E7430" s="6" t="s">
        <v>7332</v>
      </c>
      <c r="F7430" s="9" t="s">
        <v>14818</v>
      </c>
    </row>
    <row r="7431" ht="33.75" customHeight="1">
      <c r="A7431" s="7">
        <v>276.0</v>
      </c>
      <c r="B7431" s="9" t="s">
        <v>14041</v>
      </c>
      <c r="C7431" s="9" t="s">
        <v>406</v>
      </c>
      <c r="D7431" s="9" t="s">
        <v>67</v>
      </c>
      <c r="E7431" s="6" t="s">
        <v>7338</v>
      </c>
      <c r="F7431" s="9" t="s">
        <v>14832</v>
      </c>
      <c r="G7431" t="inlineStr" s="6">
        <is>
          <t xml:space="preserve">TAILLOW courageously stands Taillow's ground against foes, however strong they may be. This gutsy POKéMON will remain defiant even after a loss. On the other hand, it cries loudly if it becomes hungry. TAILLOW is young - it has only just left its nest. As a result, it sometimes becomes lonesome and cries at night. This POKéMON feeds on WURMPLE that live in forests. Although it is small, it is very courageous. It will take on a larger SKARMORY on an equal footing. However, its will weakens if it becomes hungry. It dislikes cold seasons. They migrate to other lands in search of warmth, flying over 180 miles a day. It has a gutsy spirit that makes it bravely take on tough foes. It flies in search of warm climates. When it gets cold, they migrate, flying over 180 miles a day. It hunts for tasty prey. Taillow is young—it has only just left its nest.</t>
        </is>
      </c>
    </row>
    <row r="7432" ht="33.75" customHeight="1">
      <c r="A7432" s="7">
        <v>276.0</v>
      </c>
      <c r="B7432" s="9" t="s">
        <v>14041</v>
      </c>
      <c r="C7432" s="9" t="s">
        <v>406</v>
      </c>
      <c r="D7432" s="9" t="s">
        <v>71</v>
      </c>
      <c r="E7432" s="6" t="s">
        <v>7340</v>
      </c>
      <c r="F7432" s="9" t="s">
        <v>14832</v>
      </c>
    </row>
    <row r="7433" ht="33.75" customHeight="1">
      <c r="A7433" s="7">
        <v>276.0</v>
      </c>
      <c r="B7433" s="9" t="s">
        <v>14041</v>
      </c>
      <c r="C7433" s="9" t="s">
        <v>406</v>
      </c>
      <c r="D7433" s="9" t="s">
        <v>73</v>
      </c>
      <c r="E7433" s="6" t="s">
        <v>7343</v>
      </c>
      <c r="F7433" s="9" t="s">
        <v>14832</v>
      </c>
    </row>
    <row r="7434" ht="33.75" customHeight="1">
      <c r="A7434" s="7">
        <v>276.0</v>
      </c>
      <c r="B7434" s="9" t="s">
        <v>14041</v>
      </c>
      <c r="C7434" s="9" t="s">
        <v>406</v>
      </c>
      <c r="D7434" s="9" t="s">
        <v>75</v>
      </c>
      <c r="E7434" s="6" t="s">
        <v>7345</v>
      </c>
      <c r="F7434" s="9" t="s">
        <v>14832</v>
      </c>
    </row>
    <row r="7435" ht="33.75" customHeight="1">
      <c r="A7435" s="7">
        <v>276.0</v>
      </c>
      <c r="B7435" s="9" t="s">
        <v>14041</v>
      </c>
      <c r="C7435" s="9" t="s">
        <v>406</v>
      </c>
      <c r="D7435" s="9" t="s">
        <v>79</v>
      </c>
      <c r="E7435" s="6" t="s">
        <v>7345</v>
      </c>
      <c r="F7435" s="9" t="s">
        <v>14832</v>
      </c>
    </row>
    <row r="7436" ht="33.75" customHeight="1">
      <c r="A7436" s="7">
        <v>276.0</v>
      </c>
      <c r="B7436" s="9" t="s">
        <v>14041</v>
      </c>
      <c r="C7436" s="9" t="s">
        <v>406</v>
      </c>
      <c r="D7436" s="9" t="s">
        <v>81</v>
      </c>
      <c r="E7436" s="6" t="s">
        <v>7346</v>
      </c>
      <c r="F7436" s="9" t="s">
        <v>14832</v>
      </c>
    </row>
    <row r="7437" ht="33.75" customHeight="1">
      <c r="A7437" s="7">
        <v>276.0</v>
      </c>
      <c r="B7437" s="9" t="s">
        <v>14041</v>
      </c>
      <c r="C7437" s="9" t="s">
        <v>406</v>
      </c>
      <c r="D7437" s="9" t="s">
        <v>84</v>
      </c>
      <c r="E7437" s="6" t="s">
        <v>7346</v>
      </c>
      <c r="F7437" s="9" t="s">
        <v>14832</v>
      </c>
    </row>
    <row r="7438" ht="33.75" customHeight="1">
      <c r="A7438" s="7">
        <v>276.0</v>
      </c>
      <c r="B7438" s="9" t="s">
        <v>14041</v>
      </c>
      <c r="C7438" s="9" t="s">
        <v>406</v>
      </c>
      <c r="D7438" s="9" t="s">
        <v>87</v>
      </c>
      <c r="E7438" s="6" t="s">
        <v>7346</v>
      </c>
      <c r="F7438" s="9" t="s">
        <v>14832</v>
      </c>
    </row>
    <row r="7439" ht="33.75" customHeight="1">
      <c r="A7439" s="7">
        <v>276.0</v>
      </c>
      <c r="B7439" s="9" t="s">
        <v>14041</v>
      </c>
      <c r="C7439" s="9" t="s">
        <v>406</v>
      </c>
      <c r="D7439" s="9" t="s">
        <v>89</v>
      </c>
      <c r="E7439" s="6" t="s">
        <v>7348</v>
      </c>
      <c r="F7439" s="9" t="s">
        <v>14832</v>
      </c>
    </row>
    <row r="7440" ht="33.75" customHeight="1">
      <c r="A7440" s="7">
        <v>276.0</v>
      </c>
      <c r="B7440" s="9" t="s">
        <v>14041</v>
      </c>
      <c r="C7440" s="9" t="s">
        <v>406</v>
      </c>
      <c r="D7440" s="9" t="s">
        <v>91</v>
      </c>
      <c r="E7440" s="6" t="s">
        <v>7348</v>
      </c>
      <c r="F7440" s="9" t="s">
        <v>14832</v>
      </c>
    </row>
    <row r="7441" ht="33.75" customHeight="1">
      <c r="A7441" s="7">
        <v>276.0</v>
      </c>
      <c r="B7441" s="9" t="s">
        <v>14041</v>
      </c>
      <c r="C7441" s="9" t="s">
        <v>406</v>
      </c>
      <c r="D7441" s="9" t="s">
        <v>93</v>
      </c>
      <c r="E7441" s="6" t="s">
        <v>7346</v>
      </c>
      <c r="F7441" s="9" t="s">
        <v>14832</v>
      </c>
    </row>
    <row r="7442" ht="33.75" customHeight="1">
      <c r="A7442" s="7">
        <v>276.0</v>
      </c>
      <c r="B7442" s="9" t="s">
        <v>14041</v>
      </c>
      <c r="C7442" s="9" t="s">
        <v>406</v>
      </c>
      <c r="D7442" s="9" t="s">
        <v>95</v>
      </c>
      <c r="E7442" s="6" t="s">
        <v>7346</v>
      </c>
      <c r="F7442" s="9" t="s">
        <v>14832</v>
      </c>
    </row>
    <row r="7443" ht="33.75" customHeight="1">
      <c r="A7443" s="7">
        <v>276.0</v>
      </c>
      <c r="B7443" s="9" t="s">
        <v>14041</v>
      </c>
      <c r="C7443" s="9" t="s">
        <v>406</v>
      </c>
      <c r="D7443" s="9" t="s">
        <v>98</v>
      </c>
      <c r="E7443" s="6" t="s">
        <v>7346</v>
      </c>
      <c r="F7443" s="9" t="s">
        <v>14832</v>
      </c>
    </row>
    <row r="7444" ht="33.75" customHeight="1">
      <c r="A7444" s="7">
        <v>276.0</v>
      </c>
      <c r="B7444" s="9" t="s">
        <v>14041</v>
      </c>
      <c r="C7444" s="9" t="s">
        <v>406</v>
      </c>
      <c r="D7444" s="9" t="s">
        <v>99</v>
      </c>
      <c r="E7444" s="6" t="s">
        <v>7346</v>
      </c>
      <c r="F7444" s="9" t="s">
        <v>14832</v>
      </c>
    </row>
    <row r="7445" ht="33.75" customHeight="1">
      <c r="A7445" s="7">
        <v>276.0</v>
      </c>
      <c r="B7445" s="9" t="s">
        <v>14041</v>
      </c>
      <c r="C7445" s="9" t="s">
        <v>406</v>
      </c>
      <c r="D7445" s="9" t="s">
        <v>101</v>
      </c>
      <c r="E7445" s="6" t="s">
        <v>7346</v>
      </c>
      <c r="F7445" s="9" t="s">
        <v>14832</v>
      </c>
    </row>
    <row r="7446" ht="33.75" customHeight="1">
      <c r="A7446" s="7">
        <v>276.0</v>
      </c>
      <c r="B7446" s="9" t="s">
        <v>14041</v>
      </c>
      <c r="C7446" s="9" t="s">
        <v>406</v>
      </c>
      <c r="D7446" s="9" t="s">
        <v>105</v>
      </c>
      <c r="E7446" s="6" t="s">
        <v>7345</v>
      </c>
      <c r="F7446" s="9" t="s">
        <v>14832</v>
      </c>
    </row>
    <row r="7447" ht="33.75" customHeight="1">
      <c r="A7447" s="7">
        <v>276.0</v>
      </c>
      <c r="B7447" s="9" t="s">
        <v>14041</v>
      </c>
      <c r="C7447" s="9" t="s">
        <v>406</v>
      </c>
      <c r="D7447" s="9" t="s">
        <v>107</v>
      </c>
      <c r="E7447" s="6" t="s">
        <v>7350</v>
      </c>
      <c r="F7447" s="9" t="s">
        <v>14832</v>
      </c>
    </row>
    <row r="7448" ht="33.75" customHeight="1">
      <c r="A7448" s="7">
        <v>276.0</v>
      </c>
      <c r="B7448" s="9" t="s">
        <v>14041</v>
      </c>
      <c r="C7448" s="9" t="s">
        <v>406</v>
      </c>
      <c r="D7448" s="9" t="s">
        <v>109</v>
      </c>
      <c r="E7448" s="6" t="s">
        <v>7352</v>
      </c>
      <c r="F7448" s="9" t="s">
        <v>14832</v>
      </c>
    </row>
    <row r="7449" ht="33.75" customHeight="1">
      <c r="A7449" s="7">
        <v>277.0</v>
      </c>
      <c r="B7449" s="9" t="s">
        <v>14051</v>
      </c>
      <c r="C7449" s="9" t="s">
        <v>411</v>
      </c>
      <c r="D7449" s="9" t="s">
        <v>67</v>
      </c>
      <c r="E7449" s="6" t="s">
        <v>7354</v>
      </c>
      <c r="F7449" s="9" t="s">
        <v>14845</v>
      </c>
      <c r="G7449" t="inlineStr" s="6">
        <is>
          <t xml:space="preserve">SWELLOW flies high above our heads, making graceful arcs in the sky. This POKéMON dives at a steep angle as soon as it spots its prey. The hapless prey is tightly grasped by SWELLOW’s clawed feet, preventing escape. SWELLOW is very conscientious about the upkeep of its glossy wings. Once two SWELLOW are gathered, they diligently take care of cleaning each other’s wings. A SWELLOW dives upon prey from far above. It never misses its targets. It takes to the skies in search of lands with a warm climate. If its two tail feathers are standing at attention, it is proof of good health. It soars elegantly in the sky. It circles the sky in search of prey. When it spots one, it dives steeply to catch the prey. It dives at a steep angle as soon as it spots its prey. It catches its prey with sharp claws.</t>
        </is>
      </c>
    </row>
    <row r="7450" ht="33.75" customHeight="1">
      <c r="A7450" s="7">
        <v>277.0</v>
      </c>
      <c r="B7450" s="9" t="s">
        <v>14051</v>
      </c>
      <c r="C7450" s="9" t="s">
        <v>411</v>
      </c>
      <c r="D7450" s="9" t="s">
        <v>71</v>
      </c>
      <c r="E7450" s="6" t="s">
        <v>7356</v>
      </c>
      <c r="F7450" s="9" t="s">
        <v>14845</v>
      </c>
    </row>
    <row r="7451" ht="33.75" customHeight="1">
      <c r="A7451" s="7">
        <v>277.0</v>
      </c>
      <c r="B7451" s="9" t="s">
        <v>14051</v>
      </c>
      <c r="C7451" s="9" t="s">
        <v>411</v>
      </c>
      <c r="D7451" s="9" t="s">
        <v>73</v>
      </c>
      <c r="E7451" s="6" t="s">
        <v>7359</v>
      </c>
      <c r="F7451" s="9" t="s">
        <v>14845</v>
      </c>
    </row>
    <row r="7452" ht="33.75" customHeight="1">
      <c r="A7452" s="7">
        <v>277.0</v>
      </c>
      <c r="B7452" s="9" t="s">
        <v>14051</v>
      </c>
      <c r="C7452" s="9" t="s">
        <v>411</v>
      </c>
      <c r="D7452" s="9" t="s">
        <v>75</v>
      </c>
      <c r="E7452" s="6" t="s">
        <v>7361</v>
      </c>
      <c r="F7452" s="9" t="s">
        <v>14845</v>
      </c>
    </row>
    <row r="7453" ht="33.75" customHeight="1">
      <c r="A7453" s="7">
        <v>277.0</v>
      </c>
      <c r="B7453" s="9" t="s">
        <v>14051</v>
      </c>
      <c r="C7453" s="9" t="s">
        <v>411</v>
      </c>
      <c r="D7453" s="9" t="s">
        <v>79</v>
      </c>
      <c r="E7453" s="6" t="s">
        <v>7361</v>
      </c>
      <c r="F7453" s="9" t="s">
        <v>14845</v>
      </c>
    </row>
    <row r="7454" ht="33.75" customHeight="1">
      <c r="A7454" s="7">
        <v>277.0</v>
      </c>
      <c r="B7454" s="9" t="s">
        <v>14051</v>
      </c>
      <c r="C7454" s="9" t="s">
        <v>411</v>
      </c>
      <c r="D7454" s="9" t="s">
        <v>81</v>
      </c>
      <c r="E7454" s="6" t="s">
        <v>7362</v>
      </c>
      <c r="F7454" s="9" t="s">
        <v>14845</v>
      </c>
    </row>
    <row r="7455" ht="33.75" customHeight="1">
      <c r="A7455" s="7">
        <v>277.0</v>
      </c>
      <c r="B7455" s="9" t="s">
        <v>14051</v>
      </c>
      <c r="C7455" s="9" t="s">
        <v>411</v>
      </c>
      <c r="D7455" s="9" t="s">
        <v>84</v>
      </c>
      <c r="E7455" s="6" t="s">
        <v>7362</v>
      </c>
      <c r="F7455" s="9" t="s">
        <v>14845</v>
      </c>
    </row>
    <row r="7456" ht="33.75" customHeight="1">
      <c r="A7456" s="7">
        <v>277.0</v>
      </c>
      <c r="B7456" s="9" t="s">
        <v>14051</v>
      </c>
      <c r="C7456" s="9" t="s">
        <v>411</v>
      </c>
      <c r="D7456" s="9" t="s">
        <v>87</v>
      </c>
      <c r="E7456" s="6" t="s">
        <v>7362</v>
      </c>
      <c r="F7456" s="9" t="s">
        <v>14845</v>
      </c>
    </row>
    <row r="7457" ht="33.75" customHeight="1">
      <c r="A7457" s="7">
        <v>277.0</v>
      </c>
      <c r="B7457" s="9" t="s">
        <v>14051</v>
      </c>
      <c r="C7457" s="9" t="s">
        <v>411</v>
      </c>
      <c r="D7457" s="9" t="s">
        <v>89</v>
      </c>
      <c r="E7457" s="6" t="s">
        <v>7364</v>
      </c>
      <c r="F7457" s="9" t="s">
        <v>14845</v>
      </c>
    </row>
    <row r="7458" ht="33.75" customHeight="1">
      <c r="A7458" s="7">
        <v>277.0</v>
      </c>
      <c r="B7458" s="9" t="s">
        <v>14051</v>
      </c>
      <c r="C7458" s="9" t="s">
        <v>411</v>
      </c>
      <c r="D7458" s="9" t="s">
        <v>91</v>
      </c>
      <c r="E7458" s="6" t="s">
        <v>7364</v>
      </c>
      <c r="F7458" s="9" t="s">
        <v>14845</v>
      </c>
    </row>
    <row r="7459" ht="33.75" customHeight="1">
      <c r="A7459" s="7">
        <v>277.0</v>
      </c>
      <c r="B7459" s="9" t="s">
        <v>14051</v>
      </c>
      <c r="C7459" s="9" t="s">
        <v>411</v>
      </c>
      <c r="D7459" s="9" t="s">
        <v>93</v>
      </c>
      <c r="E7459" s="6" t="s">
        <v>7362</v>
      </c>
      <c r="F7459" s="9" t="s">
        <v>14845</v>
      </c>
    </row>
    <row r="7460" ht="33.75" customHeight="1">
      <c r="A7460" s="7">
        <v>277.0</v>
      </c>
      <c r="B7460" s="9" t="s">
        <v>14051</v>
      </c>
      <c r="C7460" s="9" t="s">
        <v>411</v>
      </c>
      <c r="D7460" s="9" t="s">
        <v>95</v>
      </c>
      <c r="E7460" s="6" t="s">
        <v>7362</v>
      </c>
      <c r="F7460" s="9" t="s">
        <v>14845</v>
      </c>
    </row>
    <row r="7461" ht="33.75" customHeight="1">
      <c r="A7461" s="7">
        <v>277.0</v>
      </c>
      <c r="B7461" s="9" t="s">
        <v>14051</v>
      </c>
      <c r="C7461" s="9" t="s">
        <v>411</v>
      </c>
      <c r="D7461" s="9" t="s">
        <v>98</v>
      </c>
      <c r="E7461" s="6" t="s">
        <v>7362</v>
      </c>
      <c r="F7461" s="9" t="s">
        <v>14845</v>
      </c>
    </row>
    <row r="7462" ht="33.75" customHeight="1">
      <c r="A7462" s="7">
        <v>277.0</v>
      </c>
      <c r="B7462" s="9" t="s">
        <v>14051</v>
      </c>
      <c r="C7462" s="9" t="s">
        <v>411</v>
      </c>
      <c r="D7462" s="9" t="s">
        <v>99</v>
      </c>
      <c r="E7462" s="6" t="s">
        <v>7362</v>
      </c>
      <c r="F7462" s="9" t="s">
        <v>14845</v>
      </c>
    </row>
    <row r="7463" ht="33.75" customHeight="1">
      <c r="A7463" s="7">
        <v>277.0</v>
      </c>
      <c r="B7463" s="9" t="s">
        <v>14051</v>
      </c>
      <c r="C7463" s="9" t="s">
        <v>411</v>
      </c>
      <c r="D7463" s="9" t="s">
        <v>101</v>
      </c>
      <c r="E7463" s="6" t="s">
        <v>7361</v>
      </c>
      <c r="F7463" s="9" t="s">
        <v>14845</v>
      </c>
    </row>
    <row r="7464" ht="33.75" customHeight="1">
      <c r="A7464" s="7">
        <v>277.0</v>
      </c>
      <c r="B7464" s="9" t="s">
        <v>14051</v>
      </c>
      <c r="C7464" s="9" t="s">
        <v>411</v>
      </c>
      <c r="D7464" s="9" t="s">
        <v>105</v>
      </c>
      <c r="E7464" s="6" t="s">
        <v>7364</v>
      </c>
      <c r="F7464" s="9" t="s">
        <v>14845</v>
      </c>
    </row>
    <row r="7465" ht="33.75" customHeight="1">
      <c r="A7465" s="7">
        <v>277.0</v>
      </c>
      <c r="B7465" s="9" t="s">
        <v>14051</v>
      </c>
      <c r="C7465" s="9" t="s">
        <v>411</v>
      </c>
      <c r="D7465" s="9" t="s">
        <v>107</v>
      </c>
      <c r="E7465" s="6" t="s">
        <v>7365</v>
      </c>
      <c r="F7465" s="9" t="s">
        <v>14845</v>
      </c>
    </row>
    <row r="7466" ht="33.75" customHeight="1">
      <c r="A7466" s="7">
        <v>277.0</v>
      </c>
      <c r="B7466" s="9" t="s">
        <v>14051</v>
      </c>
      <c r="C7466" s="9" t="s">
        <v>411</v>
      </c>
      <c r="D7466" s="9" t="s">
        <v>109</v>
      </c>
      <c r="E7466" s="6" t="s">
        <v>7366</v>
      </c>
      <c r="F7466" s="9" t="s">
        <v>14845</v>
      </c>
    </row>
    <row r="7467" ht="33.75" customHeight="1">
      <c r="A7467" s="7">
        <v>278.0</v>
      </c>
      <c r="B7467" s="9" t="s">
        <v>14062</v>
      </c>
      <c r="C7467" s="9" t="s">
        <v>412</v>
      </c>
      <c r="D7467" s="9" t="s">
        <v>67</v>
      </c>
      <c r="E7467" s="6" t="s">
        <v>7367</v>
      </c>
      <c r="F7467" s="9" t="s">
        <v>14858</v>
      </c>
      <c r="G7467" t="inlineStr" s="6">
        <is>
          <t xml:space="preserve">WINGULL has the habit of carrying prey and valuables in Wingull's beak and hiding them in all sorts of locations. This POKéMON rides the winds and flies as if it were skating across the sky. WINGULL rides updrafts rising from the sea by extending its long and narrow wings to glide. This POKéMON’s long beak is useful for catching prey. It makes its nest on a sheer cliff at the edge of the sea. It has trouble keeping its wings flapping in flight. Instead, it soars on updrafts. It rides upon ocean winds as if it were a glider. In the winter, it hides food around its nest. It makes its nest on steep sea cliffs. Riding updrafts, it soars to great heights. Catching sea winds with its long wings, it soars as if it were a glider. It folds its wings to rest. It soars high in the sky, riding on updrafts like a glider. It carries food tucked in its bill. It soars on updrafts without flapping its wings. It makes a nest on sheer cliffs at the sea’s edge. It makes its nest on sheer cliffs. Riding the sea breeze, it glides up into the expansive skies. Its hollow bones enhance its lightness. It spreads its wings to the wind and soars away into the sky. Fishermen keep an eye out for Wingull in the sky, because wherever they’re circling, the ocean is sure to be teeming with fish Pokémon. With its long, thin wings, it catches updrafts and flies like a glider high up into the sky. It builds nests in cliffs by the sea. It circles the skies above the ocean looking for its favorite food—Wishiwashi.</t>
        </is>
      </c>
    </row>
    <row r="7468" ht="33.75" customHeight="1">
      <c r="A7468" s="7">
        <v>278.0</v>
      </c>
      <c r="B7468" s="9" t="s">
        <v>14062</v>
      </c>
      <c r="C7468" s="9" t="s">
        <v>412</v>
      </c>
      <c r="D7468" s="9" t="s">
        <v>71</v>
      </c>
      <c r="E7468" s="6" t="s">
        <v>7369</v>
      </c>
      <c r="F7468" s="9" t="s">
        <v>14858</v>
      </c>
    </row>
    <row r="7469" ht="33.75" customHeight="1">
      <c r="A7469" s="7">
        <v>278.0</v>
      </c>
      <c r="B7469" s="9" t="s">
        <v>14062</v>
      </c>
      <c r="C7469" s="9" t="s">
        <v>412</v>
      </c>
      <c r="D7469" s="9" t="s">
        <v>73</v>
      </c>
      <c r="E7469" s="6" t="s">
        <v>7370</v>
      </c>
      <c r="F7469" s="9" t="s">
        <v>14858</v>
      </c>
    </row>
    <row r="7470" ht="33.75" customHeight="1">
      <c r="A7470" s="7">
        <v>278.0</v>
      </c>
      <c r="B7470" s="9" t="s">
        <v>14062</v>
      </c>
      <c r="C7470" s="9" t="s">
        <v>412</v>
      </c>
      <c r="D7470" s="9" t="s">
        <v>75</v>
      </c>
      <c r="E7470" s="6" t="s">
        <v>7371</v>
      </c>
      <c r="F7470" s="9" t="s">
        <v>14858</v>
      </c>
    </row>
    <row r="7471" ht="33.75" customHeight="1">
      <c r="A7471" s="7">
        <v>278.0</v>
      </c>
      <c r="B7471" s="9" t="s">
        <v>14062</v>
      </c>
      <c r="C7471" s="9" t="s">
        <v>412</v>
      </c>
      <c r="D7471" s="9" t="s">
        <v>79</v>
      </c>
      <c r="E7471" s="6" t="s">
        <v>7371</v>
      </c>
      <c r="F7471" s="9" t="s">
        <v>14858</v>
      </c>
    </row>
    <row r="7472" ht="33.75" customHeight="1">
      <c r="A7472" s="7">
        <v>278.0</v>
      </c>
      <c r="B7472" s="9" t="s">
        <v>14062</v>
      </c>
      <c r="C7472" s="9" t="s">
        <v>412</v>
      </c>
      <c r="D7472" s="9" t="s">
        <v>81</v>
      </c>
      <c r="E7472" s="6" t="s">
        <v>7372</v>
      </c>
      <c r="F7472" s="9" t="s">
        <v>14858</v>
      </c>
    </row>
    <row r="7473" ht="33.75" customHeight="1">
      <c r="A7473" s="7">
        <v>278.0</v>
      </c>
      <c r="B7473" s="9" t="s">
        <v>14062</v>
      </c>
      <c r="C7473" s="9" t="s">
        <v>412</v>
      </c>
      <c r="D7473" s="9" t="s">
        <v>84</v>
      </c>
      <c r="E7473" s="6" t="s">
        <v>7373</v>
      </c>
      <c r="F7473" s="9" t="s">
        <v>14858</v>
      </c>
    </row>
    <row r="7474" ht="33.75" customHeight="1">
      <c r="A7474" s="7">
        <v>278.0</v>
      </c>
      <c r="B7474" s="9" t="s">
        <v>14062</v>
      </c>
      <c r="C7474" s="9" t="s">
        <v>412</v>
      </c>
      <c r="D7474" s="9" t="s">
        <v>87</v>
      </c>
      <c r="E7474" s="6" t="s">
        <v>7374</v>
      </c>
      <c r="F7474" s="9" t="s">
        <v>14858</v>
      </c>
    </row>
    <row r="7475" ht="33.75" customHeight="1">
      <c r="A7475" s="7">
        <v>278.0</v>
      </c>
      <c r="B7475" s="9" t="s">
        <v>14062</v>
      </c>
      <c r="C7475" s="9" t="s">
        <v>412</v>
      </c>
      <c r="D7475" s="9" t="s">
        <v>89</v>
      </c>
      <c r="E7475" s="6" t="s">
        <v>7376</v>
      </c>
      <c r="F7475" s="9" t="s">
        <v>14858</v>
      </c>
    </row>
    <row r="7476" ht="33.75" customHeight="1">
      <c r="A7476" s="7">
        <v>278.0</v>
      </c>
      <c r="B7476" s="9" t="s">
        <v>14062</v>
      </c>
      <c r="C7476" s="9" t="s">
        <v>412</v>
      </c>
      <c r="D7476" s="9" t="s">
        <v>91</v>
      </c>
      <c r="E7476" s="6" t="s">
        <v>7376</v>
      </c>
      <c r="F7476" s="9" t="s">
        <v>14858</v>
      </c>
    </row>
    <row r="7477" ht="33.75" customHeight="1">
      <c r="A7477" s="7">
        <v>278.0</v>
      </c>
      <c r="B7477" s="9" t="s">
        <v>14062</v>
      </c>
      <c r="C7477" s="9" t="s">
        <v>412</v>
      </c>
      <c r="D7477" s="9" t="s">
        <v>93</v>
      </c>
      <c r="E7477" s="6" t="s">
        <v>7374</v>
      </c>
      <c r="F7477" s="9" t="s">
        <v>14858</v>
      </c>
    </row>
    <row r="7478" ht="33.75" customHeight="1">
      <c r="A7478" s="7">
        <v>278.0</v>
      </c>
      <c r="B7478" s="9" t="s">
        <v>14062</v>
      </c>
      <c r="C7478" s="9" t="s">
        <v>412</v>
      </c>
      <c r="D7478" s="9" t="s">
        <v>95</v>
      </c>
      <c r="E7478" s="6" t="s">
        <v>7374</v>
      </c>
      <c r="F7478" s="9" t="s">
        <v>14858</v>
      </c>
    </row>
    <row r="7479" ht="33.75" customHeight="1">
      <c r="A7479" s="7">
        <v>278.0</v>
      </c>
      <c r="B7479" s="9" t="s">
        <v>14062</v>
      </c>
      <c r="C7479" s="9" t="s">
        <v>412</v>
      </c>
      <c r="D7479" s="9" t="s">
        <v>98</v>
      </c>
      <c r="E7479" s="6" t="s">
        <v>7377</v>
      </c>
      <c r="F7479" s="9" t="s">
        <v>14858</v>
      </c>
    </row>
    <row r="7480" ht="33.75" customHeight="1">
      <c r="A7480" s="7">
        <v>278.0</v>
      </c>
      <c r="B7480" s="9" t="s">
        <v>14062</v>
      </c>
      <c r="C7480" s="9" t="s">
        <v>412</v>
      </c>
      <c r="D7480" s="9" t="s">
        <v>99</v>
      </c>
      <c r="E7480" s="6" t="s">
        <v>7377</v>
      </c>
      <c r="F7480" s="9" t="s">
        <v>14858</v>
      </c>
    </row>
    <row r="7481" ht="33.75" customHeight="1">
      <c r="A7481" s="7">
        <v>278.0</v>
      </c>
      <c r="B7481" s="9" t="s">
        <v>14062</v>
      </c>
      <c r="C7481" s="9" t="s">
        <v>412</v>
      </c>
      <c r="D7481" s="9" t="s">
        <v>101</v>
      </c>
      <c r="E7481" s="6" t="s">
        <v>7373</v>
      </c>
      <c r="F7481" s="9" t="s">
        <v>14858</v>
      </c>
    </row>
    <row r="7482" ht="33.75" customHeight="1">
      <c r="A7482" s="7">
        <v>278.0</v>
      </c>
      <c r="B7482" s="9" t="s">
        <v>14062</v>
      </c>
      <c r="C7482" s="9" t="s">
        <v>412</v>
      </c>
      <c r="D7482" s="9" t="s">
        <v>105</v>
      </c>
      <c r="E7482" s="6" t="s">
        <v>7372</v>
      </c>
      <c r="F7482" s="9" t="s">
        <v>14858</v>
      </c>
    </row>
    <row r="7483" ht="33.75" customHeight="1">
      <c r="A7483" s="7">
        <v>278.0</v>
      </c>
      <c r="B7483" s="9" t="s">
        <v>14062</v>
      </c>
      <c r="C7483" s="9" t="s">
        <v>412</v>
      </c>
      <c r="D7483" s="9" t="s">
        <v>107</v>
      </c>
      <c r="E7483" s="6" t="s">
        <v>7378</v>
      </c>
      <c r="F7483" s="9" t="s">
        <v>14858</v>
      </c>
    </row>
    <row r="7484" ht="33.75" customHeight="1">
      <c r="A7484" s="7">
        <v>278.0</v>
      </c>
      <c r="B7484" s="9" t="s">
        <v>14062</v>
      </c>
      <c r="C7484" s="9" t="s">
        <v>412</v>
      </c>
      <c r="D7484" s="9" t="s">
        <v>109</v>
      </c>
      <c r="E7484" s="6" t="s">
        <v>7379</v>
      </c>
      <c r="F7484" s="9" t="s">
        <v>14858</v>
      </c>
    </row>
    <row r="7485" ht="33.75" customHeight="1">
      <c r="A7485" s="7">
        <v>278.0</v>
      </c>
      <c r="B7485" s="9" t="s">
        <v>14062</v>
      </c>
      <c r="C7485" s="9" t="s">
        <v>412</v>
      </c>
      <c r="D7485" s="9" t="s">
        <v>637</v>
      </c>
      <c r="E7485" s="6" t="s">
        <v>7380</v>
      </c>
      <c r="F7485" s="9" t="s">
        <v>14858</v>
      </c>
    </row>
    <row r="7486" ht="33.75" customHeight="1">
      <c r="A7486" s="7">
        <v>278.0</v>
      </c>
      <c r="B7486" s="9" t="s">
        <v>14062</v>
      </c>
      <c r="C7486" s="9" t="s">
        <v>412</v>
      </c>
      <c r="D7486" s="9" t="s">
        <v>642</v>
      </c>
      <c r="E7486" s="6" t="s">
        <v>7382</v>
      </c>
      <c r="F7486" s="9" t="s">
        <v>14858</v>
      </c>
    </row>
    <row r="7487" ht="33.75" customHeight="1">
      <c r="A7487" s="7">
        <v>278.0</v>
      </c>
      <c r="B7487" s="9" t="s">
        <v>14062</v>
      </c>
      <c r="C7487" s="9" t="s">
        <v>412</v>
      </c>
      <c r="D7487" s="9" t="s">
        <v>647</v>
      </c>
      <c r="E7487" s="6" t="s">
        <v>7384</v>
      </c>
      <c r="F7487" s="9" t="s">
        <v>14858</v>
      </c>
    </row>
    <row r="7488" ht="33.75" customHeight="1">
      <c r="A7488" s="7">
        <v>278.0</v>
      </c>
      <c r="B7488" s="9" t="s">
        <v>14062</v>
      </c>
      <c r="C7488" s="9" t="s">
        <v>412</v>
      </c>
      <c r="D7488" s="9" t="s">
        <v>652</v>
      </c>
      <c r="E7488" s="6" t="s">
        <v>7385</v>
      </c>
      <c r="F7488" s="9" t="s">
        <v>14858</v>
      </c>
    </row>
    <row r="7489" ht="33.75" customHeight="1">
      <c r="A7489" s="7">
        <v>278.0</v>
      </c>
      <c r="B7489" s="9" t="s">
        <v>14062</v>
      </c>
      <c r="C7489" s="9" t="s">
        <v>412</v>
      </c>
      <c r="D7489" s="9" t="s">
        <v>114</v>
      </c>
      <c r="E7489" s="6" t="s">
        <v>7377</v>
      </c>
      <c r="F7489" s="9" t="s">
        <v>14858</v>
      </c>
    </row>
    <row r="7490" ht="33.75" customHeight="1">
      <c r="A7490" s="7">
        <v>278.0</v>
      </c>
      <c r="B7490" s="9" t="s">
        <v>14062</v>
      </c>
      <c r="C7490" s="9" t="s">
        <v>412</v>
      </c>
      <c r="D7490" s="9" t="s">
        <v>117</v>
      </c>
      <c r="E7490" s="6" t="s">
        <v>7376</v>
      </c>
      <c r="F7490" s="9" t="s">
        <v>14858</v>
      </c>
    </row>
    <row r="7491" ht="33.75" customHeight="1">
      <c r="A7491" s="7">
        <v>279.0</v>
      </c>
      <c r="B7491" s="9" t="s">
        <v>14080</v>
      </c>
      <c r="C7491" s="9" t="s">
        <v>414</v>
      </c>
      <c r="D7491" s="9" t="s">
        <v>67</v>
      </c>
      <c r="E7491" s="6" t="s">
        <v>7386</v>
      </c>
      <c r="F7491" s="9" t="s">
        <v>14866</v>
      </c>
      <c r="G7491" t="inlineStr" s="6">
        <is>
          <t xml:space="preserve">PELIPPER is a flying transporter that carries small POKéMON and eggs inside Pelipper's massive bill. This POKéMON builds its nest on steep cliffs facing the sea. PELIPPER searches for food while in flight by skimming the wave tops. This POKéMON dips its large bill in the sea to scoop up food, then swallows everything in one big gulp. It skims the tops of waves as it flies. When it spots prey, it uses its large beak to scoop up the victim with water. It protects its eggs in its beak. It is a flying transporter that carries small POKéMON in its beak. It bobs on the waves to rest its wings. It dips its large bill in the sea, then scoops up numerous prey along with water. It acts as a delivery service by carrying small Pokémon in its bill. It bobs on the waves to rest. It is a messenger of the skies, carrying small Pokémon and eggs to safety in its bill. It protects its young in its beak. It bobs on waves, resting on them on days when the waters are calm. Skimming the water’s surface, it dips its large bill in the sea, scoops up food and water, and carries it. Its spacious beak is large enough for a small child to fit right inside. Gathering food is the work of young males. They store food in their capacious beaks and carry it back to others waiting in the nest. It places small Pokémon into its spacious beak and carries them around. No one knows where it’s taking them. It scoops up Wishiwashi in its huge beak and swallows them whole. It can devour more than 30 at one go!</t>
        </is>
      </c>
    </row>
    <row r="7492" ht="33.75" customHeight="1">
      <c r="A7492" s="7">
        <v>279.0</v>
      </c>
      <c r="B7492" s="9" t="s">
        <v>14080</v>
      </c>
      <c r="C7492" s="9" t="s">
        <v>414</v>
      </c>
      <c r="D7492" s="9" t="s">
        <v>71</v>
      </c>
      <c r="E7492" s="6" t="s">
        <v>7387</v>
      </c>
      <c r="F7492" s="9" t="s">
        <v>14866</v>
      </c>
    </row>
    <row r="7493" ht="33.75" customHeight="1">
      <c r="A7493" s="7">
        <v>279.0</v>
      </c>
      <c r="B7493" s="9" t="s">
        <v>14080</v>
      </c>
      <c r="C7493" s="9" t="s">
        <v>414</v>
      </c>
      <c r="D7493" s="9" t="s">
        <v>73</v>
      </c>
      <c r="E7493" s="6" t="s">
        <v>7389</v>
      </c>
      <c r="F7493" s="9" t="s">
        <v>14866</v>
      </c>
    </row>
    <row r="7494" ht="33.75" customHeight="1">
      <c r="A7494" s="7">
        <v>279.0</v>
      </c>
      <c r="B7494" s="9" t="s">
        <v>14080</v>
      </c>
      <c r="C7494" s="9" t="s">
        <v>414</v>
      </c>
      <c r="D7494" s="9" t="s">
        <v>75</v>
      </c>
      <c r="E7494" s="6" t="s">
        <v>7392</v>
      </c>
      <c r="F7494" s="9" t="s">
        <v>14866</v>
      </c>
    </row>
    <row r="7495" ht="33.75" customHeight="1">
      <c r="A7495" s="7">
        <v>279.0</v>
      </c>
      <c r="B7495" s="9" t="s">
        <v>14080</v>
      </c>
      <c r="C7495" s="9" t="s">
        <v>414</v>
      </c>
      <c r="D7495" s="9" t="s">
        <v>79</v>
      </c>
      <c r="E7495" s="6" t="s">
        <v>7392</v>
      </c>
      <c r="F7495" s="9" t="s">
        <v>14866</v>
      </c>
    </row>
    <row r="7496" ht="33.75" customHeight="1">
      <c r="A7496" s="7">
        <v>279.0</v>
      </c>
      <c r="B7496" s="9" t="s">
        <v>14080</v>
      </c>
      <c r="C7496" s="9" t="s">
        <v>414</v>
      </c>
      <c r="D7496" s="9" t="s">
        <v>81</v>
      </c>
      <c r="E7496" s="6" t="s">
        <v>7394</v>
      </c>
      <c r="F7496" s="9" t="s">
        <v>14866</v>
      </c>
    </row>
    <row r="7497" ht="33.75" customHeight="1">
      <c r="A7497" s="7">
        <v>279.0</v>
      </c>
      <c r="B7497" s="9" t="s">
        <v>14080</v>
      </c>
      <c r="C7497" s="9" t="s">
        <v>414</v>
      </c>
      <c r="D7497" s="9" t="s">
        <v>84</v>
      </c>
      <c r="E7497" s="6" t="s">
        <v>7395</v>
      </c>
      <c r="F7497" s="9" t="s">
        <v>14866</v>
      </c>
    </row>
    <row r="7498" ht="33.75" customHeight="1">
      <c r="A7498" s="7">
        <v>279.0</v>
      </c>
      <c r="B7498" s="9" t="s">
        <v>14080</v>
      </c>
      <c r="C7498" s="9" t="s">
        <v>414</v>
      </c>
      <c r="D7498" s="9" t="s">
        <v>87</v>
      </c>
      <c r="E7498" s="6" t="s">
        <v>7396</v>
      </c>
      <c r="F7498" s="9" t="s">
        <v>14866</v>
      </c>
    </row>
    <row r="7499" ht="33.75" customHeight="1">
      <c r="A7499" s="7">
        <v>279.0</v>
      </c>
      <c r="B7499" s="9" t="s">
        <v>14080</v>
      </c>
      <c r="C7499" s="9" t="s">
        <v>414</v>
      </c>
      <c r="D7499" s="9" t="s">
        <v>89</v>
      </c>
      <c r="E7499" s="6" t="s">
        <v>7398</v>
      </c>
      <c r="F7499" s="9" t="s">
        <v>14866</v>
      </c>
    </row>
    <row r="7500" ht="33.75" customHeight="1">
      <c r="A7500" s="7">
        <v>279.0</v>
      </c>
      <c r="B7500" s="9" t="s">
        <v>14080</v>
      </c>
      <c r="C7500" s="9" t="s">
        <v>414</v>
      </c>
      <c r="D7500" s="9" t="s">
        <v>91</v>
      </c>
      <c r="E7500" s="6" t="s">
        <v>7398</v>
      </c>
      <c r="F7500" s="9" t="s">
        <v>14866</v>
      </c>
    </row>
    <row r="7501" ht="33.75" customHeight="1">
      <c r="A7501" s="7">
        <v>279.0</v>
      </c>
      <c r="B7501" s="9" t="s">
        <v>14080</v>
      </c>
      <c r="C7501" s="9" t="s">
        <v>414</v>
      </c>
      <c r="D7501" s="9" t="s">
        <v>93</v>
      </c>
      <c r="E7501" s="6" t="s">
        <v>7396</v>
      </c>
      <c r="F7501" s="9" t="s">
        <v>14866</v>
      </c>
    </row>
    <row r="7502" ht="33.75" customHeight="1">
      <c r="A7502" s="7">
        <v>279.0</v>
      </c>
      <c r="B7502" s="9" t="s">
        <v>14080</v>
      </c>
      <c r="C7502" s="9" t="s">
        <v>414</v>
      </c>
      <c r="D7502" s="9" t="s">
        <v>95</v>
      </c>
      <c r="E7502" s="6" t="s">
        <v>7396</v>
      </c>
      <c r="F7502" s="9" t="s">
        <v>14866</v>
      </c>
    </row>
    <row r="7503" ht="33.75" customHeight="1">
      <c r="A7503" s="7">
        <v>279.0</v>
      </c>
      <c r="B7503" s="9" t="s">
        <v>14080</v>
      </c>
      <c r="C7503" s="9" t="s">
        <v>414</v>
      </c>
      <c r="D7503" s="9" t="s">
        <v>98</v>
      </c>
      <c r="E7503" s="6" t="s">
        <v>7399</v>
      </c>
      <c r="F7503" s="9" t="s">
        <v>14866</v>
      </c>
    </row>
    <row r="7504" ht="33.75" customHeight="1">
      <c r="A7504" s="7">
        <v>279.0</v>
      </c>
      <c r="B7504" s="9" t="s">
        <v>14080</v>
      </c>
      <c r="C7504" s="9" t="s">
        <v>414</v>
      </c>
      <c r="D7504" s="9" t="s">
        <v>99</v>
      </c>
      <c r="E7504" s="6" t="s">
        <v>7399</v>
      </c>
      <c r="F7504" s="9" t="s">
        <v>14866</v>
      </c>
    </row>
    <row r="7505" ht="33.75" customHeight="1">
      <c r="A7505" s="7">
        <v>279.0</v>
      </c>
      <c r="B7505" s="9" t="s">
        <v>14080</v>
      </c>
      <c r="C7505" s="9" t="s">
        <v>414</v>
      </c>
      <c r="D7505" s="9" t="s">
        <v>101</v>
      </c>
      <c r="E7505" s="6" t="s">
        <v>7394</v>
      </c>
      <c r="F7505" s="9" t="s">
        <v>14866</v>
      </c>
    </row>
    <row r="7506" ht="33.75" customHeight="1">
      <c r="A7506" s="7">
        <v>279.0</v>
      </c>
      <c r="B7506" s="9" t="s">
        <v>14080</v>
      </c>
      <c r="C7506" s="9" t="s">
        <v>414</v>
      </c>
      <c r="D7506" s="9" t="s">
        <v>105</v>
      </c>
      <c r="E7506" s="6" t="s">
        <v>7396</v>
      </c>
      <c r="F7506" s="9" t="s">
        <v>14866</v>
      </c>
    </row>
    <row r="7507" ht="33.75" customHeight="1">
      <c r="A7507" s="7">
        <v>279.0</v>
      </c>
      <c r="B7507" s="9" t="s">
        <v>14080</v>
      </c>
      <c r="C7507" s="9" t="s">
        <v>414</v>
      </c>
      <c r="D7507" s="9" t="s">
        <v>107</v>
      </c>
      <c r="E7507" s="6" t="s">
        <v>7401</v>
      </c>
      <c r="F7507" s="9" t="s">
        <v>14866</v>
      </c>
    </row>
    <row r="7508" ht="33.75" customHeight="1">
      <c r="A7508" s="7">
        <v>279.0</v>
      </c>
      <c r="B7508" s="9" t="s">
        <v>14080</v>
      </c>
      <c r="C7508" s="9" t="s">
        <v>414</v>
      </c>
      <c r="D7508" s="9" t="s">
        <v>109</v>
      </c>
      <c r="E7508" s="6" t="s">
        <v>7402</v>
      </c>
      <c r="F7508" s="9" t="s">
        <v>14866</v>
      </c>
    </row>
    <row r="7509" ht="33.75" customHeight="1">
      <c r="A7509" s="7">
        <v>279.0</v>
      </c>
      <c r="B7509" s="9" t="s">
        <v>14080</v>
      </c>
      <c r="C7509" s="9" t="s">
        <v>414</v>
      </c>
      <c r="D7509" s="9" t="s">
        <v>637</v>
      </c>
      <c r="E7509" s="6" t="s">
        <v>7404</v>
      </c>
      <c r="F7509" s="9" t="s">
        <v>14866</v>
      </c>
    </row>
    <row r="7510" ht="33.75" customHeight="1">
      <c r="A7510" s="7">
        <v>279.0</v>
      </c>
      <c r="B7510" s="9" t="s">
        <v>14080</v>
      </c>
      <c r="C7510" s="9" t="s">
        <v>414</v>
      </c>
      <c r="D7510" s="9" t="s">
        <v>642</v>
      </c>
      <c r="E7510" s="6" t="s">
        <v>7405</v>
      </c>
      <c r="F7510" s="9" t="s">
        <v>14866</v>
      </c>
    </row>
    <row r="7511" ht="33.75" customHeight="1">
      <c r="A7511" s="7">
        <v>279.0</v>
      </c>
      <c r="B7511" s="9" t="s">
        <v>14080</v>
      </c>
      <c r="C7511" s="9" t="s">
        <v>414</v>
      </c>
      <c r="D7511" s="9" t="s">
        <v>647</v>
      </c>
      <c r="E7511" s="6" t="s">
        <v>7406</v>
      </c>
      <c r="F7511" s="9" t="s">
        <v>14866</v>
      </c>
    </row>
    <row r="7512" ht="33.75" customHeight="1">
      <c r="A7512" s="7">
        <v>279.0</v>
      </c>
      <c r="B7512" s="9" t="s">
        <v>14080</v>
      </c>
      <c r="C7512" s="9" t="s">
        <v>414</v>
      </c>
      <c r="D7512" s="9" t="s">
        <v>652</v>
      </c>
      <c r="E7512" s="6" t="s">
        <v>7408</v>
      </c>
      <c r="F7512" s="9" t="s">
        <v>14866</v>
      </c>
    </row>
    <row r="7513" ht="33.75" customHeight="1">
      <c r="A7513" s="7">
        <v>279.0</v>
      </c>
      <c r="B7513" s="9" t="s">
        <v>14080</v>
      </c>
      <c r="C7513" s="9" t="s">
        <v>414</v>
      </c>
      <c r="D7513" s="9" t="s">
        <v>114</v>
      </c>
      <c r="E7513" s="6" t="s">
        <v>7396</v>
      </c>
      <c r="F7513" s="9" t="s">
        <v>14866</v>
      </c>
    </row>
    <row r="7514" ht="33.75" customHeight="1">
      <c r="A7514" s="7">
        <v>279.0</v>
      </c>
      <c r="B7514" s="9" t="s">
        <v>14080</v>
      </c>
      <c r="C7514" s="9" t="s">
        <v>414</v>
      </c>
      <c r="D7514" s="9" t="s">
        <v>117</v>
      </c>
      <c r="E7514" s="6" t="s">
        <v>7399</v>
      </c>
      <c r="F7514" s="9" t="s">
        <v>14866</v>
      </c>
    </row>
    <row r="7515" ht="33.75" customHeight="1">
      <c r="A7515" s="7">
        <v>280.0</v>
      </c>
      <c r="B7515" s="9" t="s">
        <v>14098</v>
      </c>
      <c r="C7515" s="9" t="s">
        <v>416</v>
      </c>
      <c r="D7515" s="9" t="s">
        <v>67</v>
      </c>
      <c r="E7515" s="6" t="s">
        <v>7409</v>
      </c>
      <c r="F7515" s="9" t="s">
        <v>14879</v>
      </c>
      <c r="G7515" t="inlineStr" s="6">
        <is>
          <t xml:space="preserve">RALTS senses the emotions of people using the horns on Ralts's head. This POKéMON rarely appears before people. But when it does, it draws closer if it senses that the person has a positive disposition. RALTS has the ability to sense the emotions of people. If its TRAINER is in a cheerful mood, this POKéMON grows cheerful and joyous in the same way. A RALTS has the power to sense the emotions of people and POKéMON with the horns on its head. It takes cover if it senses any hostility. It is highly attuned to the emotions of people and POKéMON. It hides if it senses hostility. It uses the horns on its head to sense human emotions. It is said to appear in front of cheerful people. If its horns capture the warm feelings of people or Pokémon, its body warms up slightly. The horns on its head provide a strong power that enables it to sense people’s emotions. Tends to prefer people with a chipper disposition to those who are gloomy, but it has shown no discrimination with regard to age or gender. Needs more research.</t>
        </is>
      </c>
    </row>
    <row r="7516" ht="33.75" customHeight="1">
      <c r="A7516" s="7">
        <v>280.0</v>
      </c>
      <c r="B7516" s="9" t="s">
        <v>14098</v>
      </c>
      <c r="C7516" s="9" t="s">
        <v>416</v>
      </c>
      <c r="D7516" s="9" t="s">
        <v>71</v>
      </c>
      <c r="E7516" s="6" t="s">
        <v>7411</v>
      </c>
      <c r="F7516" s="9" t="s">
        <v>14879</v>
      </c>
    </row>
    <row r="7517" ht="33.75" customHeight="1">
      <c r="A7517" s="7">
        <v>280.0</v>
      </c>
      <c r="B7517" s="9" t="s">
        <v>14098</v>
      </c>
      <c r="C7517" s="9" t="s">
        <v>416</v>
      </c>
      <c r="D7517" s="9" t="s">
        <v>73</v>
      </c>
      <c r="E7517" s="6" t="s">
        <v>7412</v>
      </c>
      <c r="F7517" s="9" t="s">
        <v>14879</v>
      </c>
    </row>
    <row r="7518" ht="33.75" customHeight="1">
      <c r="A7518" s="7">
        <v>280.0</v>
      </c>
      <c r="B7518" s="9" t="s">
        <v>14098</v>
      </c>
      <c r="C7518" s="9" t="s">
        <v>416</v>
      </c>
      <c r="D7518" s="9" t="s">
        <v>75</v>
      </c>
      <c r="E7518" s="6" t="s">
        <v>7413</v>
      </c>
      <c r="F7518" s="9" t="s">
        <v>14879</v>
      </c>
    </row>
    <row r="7519" ht="33.75" customHeight="1">
      <c r="A7519" s="7">
        <v>280.0</v>
      </c>
      <c r="B7519" s="9" t="s">
        <v>14098</v>
      </c>
      <c r="C7519" s="9" t="s">
        <v>416</v>
      </c>
      <c r="D7519" s="9" t="s">
        <v>79</v>
      </c>
      <c r="E7519" s="6" t="s">
        <v>7413</v>
      </c>
      <c r="F7519" s="9" t="s">
        <v>14879</v>
      </c>
    </row>
    <row r="7520" ht="33.75" customHeight="1">
      <c r="A7520" s="7">
        <v>280.0</v>
      </c>
      <c r="B7520" s="9" t="s">
        <v>14098</v>
      </c>
      <c r="C7520" s="9" t="s">
        <v>416</v>
      </c>
      <c r="D7520" s="9" t="s">
        <v>81</v>
      </c>
      <c r="E7520" s="6" t="s">
        <v>7415</v>
      </c>
      <c r="F7520" s="9" t="s">
        <v>14879</v>
      </c>
    </row>
    <row r="7521" ht="33.75" customHeight="1">
      <c r="A7521" s="7">
        <v>280.0</v>
      </c>
      <c r="B7521" s="9" t="s">
        <v>14098</v>
      </c>
      <c r="C7521" s="9" t="s">
        <v>416</v>
      </c>
      <c r="D7521" s="9" t="s">
        <v>84</v>
      </c>
      <c r="E7521" s="6" t="s">
        <v>7415</v>
      </c>
      <c r="F7521" s="9" t="s">
        <v>14879</v>
      </c>
    </row>
    <row r="7522" ht="33.75" customHeight="1">
      <c r="A7522" s="7">
        <v>280.0</v>
      </c>
      <c r="B7522" s="9" t="s">
        <v>14098</v>
      </c>
      <c r="C7522" s="9" t="s">
        <v>416</v>
      </c>
      <c r="D7522" s="9" t="s">
        <v>87</v>
      </c>
      <c r="E7522" s="6" t="s">
        <v>7416</v>
      </c>
      <c r="F7522" s="9" t="s">
        <v>14879</v>
      </c>
    </row>
    <row r="7523" ht="33.75" customHeight="1">
      <c r="A7523" s="7">
        <v>280.0</v>
      </c>
      <c r="B7523" s="9" t="s">
        <v>14098</v>
      </c>
      <c r="C7523" s="9" t="s">
        <v>416</v>
      </c>
      <c r="D7523" s="9" t="s">
        <v>89</v>
      </c>
      <c r="E7523" s="6" t="s">
        <v>7418</v>
      </c>
      <c r="F7523" s="9" t="s">
        <v>14879</v>
      </c>
    </row>
    <row r="7524" ht="33.75" customHeight="1">
      <c r="A7524" s="7">
        <v>280.0</v>
      </c>
      <c r="B7524" s="9" t="s">
        <v>14098</v>
      </c>
      <c r="C7524" s="9" t="s">
        <v>416</v>
      </c>
      <c r="D7524" s="9" t="s">
        <v>91</v>
      </c>
      <c r="E7524" s="6" t="s">
        <v>7418</v>
      </c>
      <c r="F7524" s="9" t="s">
        <v>14879</v>
      </c>
    </row>
    <row r="7525" ht="33.75" customHeight="1">
      <c r="A7525" s="7">
        <v>280.0</v>
      </c>
      <c r="B7525" s="9" t="s">
        <v>14098</v>
      </c>
      <c r="C7525" s="9" t="s">
        <v>416</v>
      </c>
      <c r="D7525" s="9" t="s">
        <v>93</v>
      </c>
      <c r="E7525" s="6" t="s">
        <v>7416</v>
      </c>
      <c r="F7525" s="9" t="s">
        <v>14879</v>
      </c>
    </row>
    <row r="7526" ht="33.75" customHeight="1">
      <c r="A7526" s="7">
        <v>280.0</v>
      </c>
      <c r="B7526" s="9" t="s">
        <v>14098</v>
      </c>
      <c r="C7526" s="9" t="s">
        <v>416</v>
      </c>
      <c r="D7526" s="9" t="s">
        <v>95</v>
      </c>
      <c r="E7526" s="6" t="s">
        <v>7416</v>
      </c>
      <c r="F7526" s="9" t="s">
        <v>14879</v>
      </c>
    </row>
    <row r="7527" ht="33.75" customHeight="1">
      <c r="A7527" s="7">
        <v>280.0</v>
      </c>
      <c r="B7527" s="9" t="s">
        <v>14098</v>
      </c>
      <c r="C7527" s="9" t="s">
        <v>416</v>
      </c>
      <c r="D7527" s="9" t="s">
        <v>98</v>
      </c>
      <c r="E7527" s="6" t="s">
        <v>7416</v>
      </c>
      <c r="F7527" s="9" t="s">
        <v>14879</v>
      </c>
    </row>
    <row r="7528" ht="33.75" customHeight="1">
      <c r="A7528" s="7">
        <v>280.0</v>
      </c>
      <c r="B7528" s="9" t="s">
        <v>14098</v>
      </c>
      <c r="C7528" s="9" t="s">
        <v>416</v>
      </c>
      <c r="D7528" s="9" t="s">
        <v>99</v>
      </c>
      <c r="E7528" s="6" t="s">
        <v>7416</v>
      </c>
      <c r="F7528" s="9" t="s">
        <v>14879</v>
      </c>
    </row>
    <row r="7529" ht="33.75" customHeight="1">
      <c r="A7529" s="7">
        <v>280.0</v>
      </c>
      <c r="B7529" s="9" t="s">
        <v>14098</v>
      </c>
      <c r="C7529" s="9" t="s">
        <v>416</v>
      </c>
      <c r="D7529" s="9" t="s">
        <v>101</v>
      </c>
      <c r="E7529" s="6" t="s">
        <v>7416</v>
      </c>
      <c r="F7529" s="9" t="s">
        <v>14879</v>
      </c>
    </row>
    <row r="7530" ht="33.75" customHeight="1">
      <c r="A7530" s="7">
        <v>280.0</v>
      </c>
      <c r="B7530" s="9" t="s">
        <v>14098</v>
      </c>
      <c r="C7530" s="9" t="s">
        <v>416</v>
      </c>
      <c r="D7530" s="9" t="s">
        <v>105</v>
      </c>
      <c r="E7530" s="6" t="s">
        <v>7419</v>
      </c>
      <c r="F7530" s="9" t="s">
        <v>14879</v>
      </c>
    </row>
    <row r="7531" ht="33.75" customHeight="1">
      <c r="A7531" s="7">
        <v>280.0</v>
      </c>
      <c r="B7531" s="9" t="s">
        <v>14098</v>
      </c>
      <c r="C7531" s="9" t="s">
        <v>416</v>
      </c>
      <c r="D7531" s="9" t="s">
        <v>107</v>
      </c>
      <c r="E7531" s="6" t="s">
        <v>7421</v>
      </c>
      <c r="F7531" s="9" t="s">
        <v>14879</v>
      </c>
    </row>
    <row r="7532" ht="33.75" customHeight="1">
      <c r="A7532" s="7">
        <v>280.0</v>
      </c>
      <c r="B7532" s="9" t="s">
        <v>14098</v>
      </c>
      <c r="C7532" s="9" t="s">
        <v>416</v>
      </c>
      <c r="D7532" s="9" t="s">
        <v>109</v>
      </c>
      <c r="E7532" s="6" t="s">
        <v>7423</v>
      </c>
      <c r="F7532" s="9" t="s">
        <v>14879</v>
      </c>
    </row>
    <row r="7533" ht="33.75" customHeight="1">
      <c r="A7533" s="7">
        <v>280.0</v>
      </c>
      <c r="B7533" s="9" t="s">
        <v>14098</v>
      </c>
      <c r="C7533" s="9" t="s">
        <v>416</v>
      </c>
      <c r="D7533" s="9" t="s">
        <v>114</v>
      </c>
      <c r="E7533" s="6" t="s">
        <v>7419</v>
      </c>
      <c r="F7533" s="9" t="s">
        <v>14879</v>
      </c>
    </row>
    <row r="7534" ht="33.75" customHeight="1">
      <c r="A7534" s="7">
        <v>280.0</v>
      </c>
      <c r="B7534" s="9" t="s">
        <v>14098</v>
      </c>
      <c r="C7534" s="9" t="s">
        <v>416</v>
      </c>
      <c r="D7534" s="9" t="s">
        <v>117</v>
      </c>
      <c r="E7534" s="6" t="s">
        <v>7416</v>
      </c>
      <c r="F7534" s="9" t="s">
        <v>14879</v>
      </c>
    </row>
    <row r="7535" ht="33.75" customHeight="1">
      <c r="A7535" s="7">
        <v>280.0</v>
      </c>
      <c r="B7535" s="9" t="s">
        <v>14098</v>
      </c>
      <c r="C7535" s="9" t="s">
        <v>416</v>
      </c>
      <c r="D7535" s="9" t="s">
        <v>1577</v>
      </c>
      <c r="E7535" s="6" t="s">
        <v>7424</v>
      </c>
      <c r="F7535" s="9" t="s">
        <v>14879</v>
      </c>
    </row>
    <row r="7536" ht="33.75" customHeight="1">
      <c r="A7536" s="7">
        <v>281.0</v>
      </c>
      <c r="B7536" s="9" t="s">
        <v>14111</v>
      </c>
      <c r="C7536" s="9" t="s">
        <v>419</v>
      </c>
      <c r="D7536" s="9" t="s">
        <v>67</v>
      </c>
      <c r="E7536" s="6" t="s">
        <v>7426</v>
      </c>
      <c r="F7536" s="9" t="s">
        <v>14889</v>
      </c>
      <c r="G7536" t="inlineStr" s="6">
        <is>
          <t xml:space="preserve">It is said that a KIRLIA that is exposed to the positive emotions of Kirlia's TRAINER grows beautiful. This POKéMON controls psychokinetic powers with its highly developed brain. KIRLIA uses the horns on its head to amplify its psychokinetic power. When the POKéMON uses its power, the air around it becomes distorted, creating mirages of nonexistent scenery. A KIRLIA has the psychic power to create a rip in the dimensions and see into the future. It is said to dance with pleasure on sunny mornings. The cheerful spirit of its TRAINER gives it energy for its psychokinetic power. It spins and dances when happy. It is highly perceptive of its Trainer’s feelings. It dances when it is feeling happy. If its Trainer becomes happy, it overflows with energy, dancing joyously while spinning about. It has a psychic power that enables it to distort the space around it and see into the future. It resembles a maiden in appearance, but it wields strange powers to project visions of paradise. I suspect the crimson ornaments on its head are the key to its abilities.</t>
        </is>
      </c>
    </row>
    <row r="7537" ht="33.75" customHeight="1">
      <c r="A7537" s="7">
        <v>281.0</v>
      </c>
      <c r="B7537" s="9" t="s">
        <v>14111</v>
      </c>
      <c r="C7537" s="9" t="s">
        <v>419</v>
      </c>
      <c r="D7537" s="9" t="s">
        <v>71</v>
      </c>
      <c r="E7537" s="6" t="s">
        <v>7427</v>
      </c>
      <c r="F7537" s="9" t="s">
        <v>14889</v>
      </c>
    </row>
    <row r="7538" ht="33.75" customHeight="1">
      <c r="A7538" s="7">
        <v>281.0</v>
      </c>
      <c r="B7538" s="9" t="s">
        <v>14111</v>
      </c>
      <c r="C7538" s="9" t="s">
        <v>419</v>
      </c>
      <c r="D7538" s="9" t="s">
        <v>73</v>
      </c>
      <c r="E7538" s="6" t="s">
        <v>7428</v>
      </c>
      <c r="F7538" s="9" t="s">
        <v>14889</v>
      </c>
    </row>
    <row r="7539" ht="33.75" customHeight="1">
      <c r="A7539" s="7">
        <v>281.0</v>
      </c>
      <c r="B7539" s="9" t="s">
        <v>14111</v>
      </c>
      <c r="C7539" s="9" t="s">
        <v>419</v>
      </c>
      <c r="D7539" s="9" t="s">
        <v>75</v>
      </c>
      <c r="E7539" s="6" t="s">
        <v>7429</v>
      </c>
      <c r="F7539" s="9" t="s">
        <v>14889</v>
      </c>
    </row>
    <row r="7540" ht="33.75" customHeight="1">
      <c r="A7540" s="7">
        <v>281.0</v>
      </c>
      <c r="B7540" s="9" t="s">
        <v>14111</v>
      </c>
      <c r="C7540" s="9" t="s">
        <v>419</v>
      </c>
      <c r="D7540" s="9" t="s">
        <v>79</v>
      </c>
      <c r="E7540" s="6" t="s">
        <v>7429</v>
      </c>
      <c r="F7540" s="9" t="s">
        <v>14889</v>
      </c>
    </row>
    <row r="7541" ht="33.75" customHeight="1">
      <c r="A7541" s="7">
        <v>281.0</v>
      </c>
      <c r="B7541" s="9" t="s">
        <v>14111</v>
      </c>
      <c r="C7541" s="9" t="s">
        <v>419</v>
      </c>
      <c r="D7541" s="9" t="s">
        <v>81</v>
      </c>
      <c r="E7541" s="6" t="s">
        <v>7431</v>
      </c>
      <c r="F7541" s="9" t="s">
        <v>14889</v>
      </c>
    </row>
    <row r="7542" ht="33.75" customHeight="1">
      <c r="A7542" s="7">
        <v>281.0</v>
      </c>
      <c r="B7542" s="9" t="s">
        <v>14111</v>
      </c>
      <c r="C7542" s="9" t="s">
        <v>419</v>
      </c>
      <c r="D7542" s="9" t="s">
        <v>84</v>
      </c>
      <c r="E7542" s="6" t="s">
        <v>7431</v>
      </c>
      <c r="F7542" s="9" t="s">
        <v>14889</v>
      </c>
    </row>
    <row r="7543" ht="33.75" customHeight="1">
      <c r="A7543" s="7">
        <v>281.0</v>
      </c>
      <c r="B7543" s="9" t="s">
        <v>14111</v>
      </c>
      <c r="C7543" s="9" t="s">
        <v>419</v>
      </c>
      <c r="D7543" s="9" t="s">
        <v>87</v>
      </c>
      <c r="E7543" s="6" t="s">
        <v>7432</v>
      </c>
      <c r="F7543" s="9" t="s">
        <v>14889</v>
      </c>
    </row>
    <row r="7544" ht="33.75" customHeight="1">
      <c r="A7544" s="7">
        <v>281.0</v>
      </c>
      <c r="B7544" s="9" t="s">
        <v>14111</v>
      </c>
      <c r="C7544" s="9" t="s">
        <v>419</v>
      </c>
      <c r="D7544" s="9" t="s">
        <v>89</v>
      </c>
      <c r="E7544" s="6" t="s">
        <v>7433</v>
      </c>
      <c r="F7544" s="9" t="s">
        <v>14889</v>
      </c>
    </row>
    <row r="7545" ht="33.75" customHeight="1">
      <c r="A7545" s="7">
        <v>281.0</v>
      </c>
      <c r="B7545" s="9" t="s">
        <v>14111</v>
      </c>
      <c r="C7545" s="9" t="s">
        <v>419</v>
      </c>
      <c r="D7545" s="9" t="s">
        <v>91</v>
      </c>
      <c r="E7545" s="6" t="s">
        <v>7433</v>
      </c>
      <c r="F7545" s="9" t="s">
        <v>14889</v>
      </c>
    </row>
    <row r="7546" ht="33.75" customHeight="1">
      <c r="A7546" s="7">
        <v>281.0</v>
      </c>
      <c r="B7546" s="9" t="s">
        <v>14111</v>
      </c>
      <c r="C7546" s="9" t="s">
        <v>419</v>
      </c>
      <c r="D7546" s="9" t="s">
        <v>93</v>
      </c>
      <c r="E7546" s="6" t="s">
        <v>7432</v>
      </c>
      <c r="F7546" s="9" t="s">
        <v>14889</v>
      </c>
    </row>
    <row r="7547" ht="33.75" customHeight="1">
      <c r="A7547" s="7">
        <v>281.0</v>
      </c>
      <c r="B7547" s="9" t="s">
        <v>14111</v>
      </c>
      <c r="C7547" s="9" t="s">
        <v>419</v>
      </c>
      <c r="D7547" s="9" t="s">
        <v>95</v>
      </c>
      <c r="E7547" s="6" t="s">
        <v>7432</v>
      </c>
      <c r="F7547" s="9" t="s">
        <v>14889</v>
      </c>
    </row>
    <row r="7548" ht="33.75" customHeight="1">
      <c r="A7548" s="7">
        <v>281.0</v>
      </c>
      <c r="B7548" s="9" t="s">
        <v>14111</v>
      </c>
      <c r="C7548" s="9" t="s">
        <v>419</v>
      </c>
      <c r="D7548" s="9" t="s">
        <v>98</v>
      </c>
      <c r="E7548" s="6" t="s">
        <v>7432</v>
      </c>
      <c r="F7548" s="9" t="s">
        <v>14889</v>
      </c>
    </row>
    <row r="7549" ht="33.75" customHeight="1">
      <c r="A7549" s="7">
        <v>281.0</v>
      </c>
      <c r="B7549" s="9" t="s">
        <v>14111</v>
      </c>
      <c r="C7549" s="9" t="s">
        <v>419</v>
      </c>
      <c r="D7549" s="9" t="s">
        <v>99</v>
      </c>
      <c r="E7549" s="6" t="s">
        <v>7432</v>
      </c>
      <c r="F7549" s="9" t="s">
        <v>14889</v>
      </c>
    </row>
    <row r="7550" ht="33.75" customHeight="1">
      <c r="A7550" s="7">
        <v>281.0</v>
      </c>
      <c r="B7550" s="9" t="s">
        <v>14111</v>
      </c>
      <c r="C7550" s="9" t="s">
        <v>419</v>
      </c>
      <c r="D7550" s="9" t="s">
        <v>101</v>
      </c>
      <c r="E7550" s="6" t="s">
        <v>7434</v>
      </c>
      <c r="F7550" s="9" t="s">
        <v>14889</v>
      </c>
    </row>
    <row r="7551" ht="33.75" customHeight="1">
      <c r="A7551" s="7">
        <v>281.0</v>
      </c>
      <c r="B7551" s="9" t="s">
        <v>14111</v>
      </c>
      <c r="C7551" s="9" t="s">
        <v>419</v>
      </c>
      <c r="D7551" s="9" t="s">
        <v>105</v>
      </c>
      <c r="E7551" s="6" t="s">
        <v>7433</v>
      </c>
      <c r="F7551" s="9" t="s">
        <v>14889</v>
      </c>
    </row>
    <row r="7552" ht="33.75" customHeight="1">
      <c r="A7552" s="7">
        <v>281.0</v>
      </c>
      <c r="B7552" s="9" t="s">
        <v>14111</v>
      </c>
      <c r="C7552" s="9" t="s">
        <v>419</v>
      </c>
      <c r="D7552" s="9" t="s">
        <v>107</v>
      </c>
      <c r="E7552" s="6" t="s">
        <v>7435</v>
      </c>
      <c r="F7552" s="9" t="s">
        <v>14889</v>
      </c>
    </row>
    <row r="7553" ht="33.75" customHeight="1">
      <c r="A7553" s="7">
        <v>281.0</v>
      </c>
      <c r="B7553" s="9" t="s">
        <v>14111</v>
      </c>
      <c r="C7553" s="9" t="s">
        <v>419</v>
      </c>
      <c r="D7553" s="9" t="s">
        <v>109</v>
      </c>
      <c r="E7553" s="6" t="s">
        <v>7436</v>
      </c>
      <c r="F7553" s="9" t="s">
        <v>14889</v>
      </c>
    </row>
    <row r="7554" ht="33.75" customHeight="1">
      <c r="A7554" s="7">
        <v>281.0</v>
      </c>
      <c r="B7554" s="9" t="s">
        <v>14111</v>
      </c>
      <c r="C7554" s="9" t="s">
        <v>419</v>
      </c>
      <c r="D7554" s="9" t="s">
        <v>114</v>
      </c>
      <c r="E7554" s="6" t="s">
        <v>7432</v>
      </c>
      <c r="F7554" s="9" t="s">
        <v>14889</v>
      </c>
    </row>
    <row r="7555" ht="33.75" customHeight="1">
      <c r="A7555" s="7">
        <v>281.0</v>
      </c>
      <c r="B7555" s="9" t="s">
        <v>14111</v>
      </c>
      <c r="C7555" s="9" t="s">
        <v>419</v>
      </c>
      <c r="D7555" s="9" t="s">
        <v>117</v>
      </c>
      <c r="E7555" s="6" t="s">
        <v>7433</v>
      </c>
      <c r="F7555" s="9" t="s">
        <v>14889</v>
      </c>
    </row>
    <row r="7556" ht="33.75" customHeight="1">
      <c r="A7556" s="7">
        <v>281.0</v>
      </c>
      <c r="B7556" s="9" t="s">
        <v>14111</v>
      </c>
      <c r="C7556" s="9" t="s">
        <v>419</v>
      </c>
      <c r="D7556" s="9" t="s">
        <v>1577</v>
      </c>
      <c r="E7556" s="6" t="s">
        <v>7437</v>
      </c>
      <c r="F7556" s="9" t="s">
        <v>14889</v>
      </c>
    </row>
    <row r="7557" ht="33.75" customHeight="1">
      <c r="A7557" s="7">
        <v>282.0</v>
      </c>
      <c r="B7557" s="9" t="s">
        <v>14125</v>
      </c>
      <c r="C7557" s="9" t="s">
        <v>421</v>
      </c>
      <c r="D7557" s="9" t="s">
        <v>67</v>
      </c>
      <c r="E7557" s="6" t="s">
        <v>7438</v>
      </c>
      <c r="F7557" s="9" t="s">
        <v>14898</v>
      </c>
      <c r="G7557" t="inlineStr" s="6">
        <is>
          <t xml:space="preserve">GARDEVOIR has the ability to read the future. If it senses impending danger to its TRAINER, this POKéMON is said to unleash its psychokinetic energy at full power. GARDEVOIR has the psychokinetic power to distort the dimensions and create a small black hole. This POKéMON will try to protect its TRAINER even at the risk of its own life. It apparently does not feel the pull of gravity because it supports itself with psychic power. It will give its life to protect its TRAINER. It has the power to predict the future. Its power peaks when it is protecting its TRAINER. It will try to guard its trusted Trainer with its life. It has the ability to see the future. To protect its Trainer, it will expend all its psychic power to create a small black hole. It unleashes psychokinetic energy at full power when protecting a Trainer it has bonded closely with. It will dedicate itself to defending a master it has come to adore. Its pure white dress, reminiscent of those worn by ladies of nobility, is the dress of one who is willing to risk their life.</t>
        </is>
      </c>
    </row>
    <row r="7558" ht="33.75" customHeight="1">
      <c r="A7558" s="7">
        <v>282.0</v>
      </c>
      <c r="B7558" s="9" t="s">
        <v>14125</v>
      </c>
      <c r="C7558" s="9" t="s">
        <v>421</v>
      </c>
      <c r="D7558" s="9" t="s">
        <v>71</v>
      </c>
      <c r="E7558" s="6" t="s">
        <v>7439</v>
      </c>
      <c r="F7558" s="9" t="s">
        <v>14898</v>
      </c>
    </row>
    <row r="7559" ht="33.75" customHeight="1">
      <c r="A7559" s="7">
        <v>282.0</v>
      </c>
      <c r="B7559" s="9" t="s">
        <v>14125</v>
      </c>
      <c r="C7559" s="9" t="s">
        <v>421</v>
      </c>
      <c r="D7559" s="9" t="s">
        <v>73</v>
      </c>
      <c r="E7559" s="6" t="s">
        <v>7441</v>
      </c>
      <c r="F7559" s="9" t="s">
        <v>14898</v>
      </c>
    </row>
    <row r="7560" ht="33.75" customHeight="1">
      <c r="A7560" s="7">
        <v>282.0</v>
      </c>
      <c r="B7560" s="9" t="s">
        <v>14125</v>
      </c>
      <c r="C7560" s="9" t="s">
        <v>421</v>
      </c>
      <c r="D7560" s="9" t="s">
        <v>75</v>
      </c>
      <c r="E7560" s="6" t="s">
        <v>7443</v>
      </c>
      <c r="F7560" s="9" t="s">
        <v>14898</v>
      </c>
    </row>
    <row r="7561" ht="33.75" customHeight="1">
      <c r="A7561" s="7">
        <v>282.0</v>
      </c>
      <c r="B7561" s="9" t="s">
        <v>14125</v>
      </c>
      <c r="C7561" s="9" t="s">
        <v>421</v>
      </c>
      <c r="D7561" s="9" t="s">
        <v>79</v>
      </c>
      <c r="E7561" s="6" t="s">
        <v>7443</v>
      </c>
      <c r="F7561" s="9" t="s">
        <v>14898</v>
      </c>
    </row>
    <row r="7562" ht="33.75" customHeight="1">
      <c r="A7562" s="7">
        <v>282.0</v>
      </c>
      <c r="B7562" s="9" t="s">
        <v>14125</v>
      </c>
      <c r="C7562" s="9" t="s">
        <v>421</v>
      </c>
      <c r="D7562" s="9" t="s">
        <v>81</v>
      </c>
      <c r="E7562" s="6" t="s">
        <v>7444</v>
      </c>
      <c r="F7562" s="9" t="s">
        <v>14898</v>
      </c>
    </row>
    <row r="7563" ht="33.75" customHeight="1">
      <c r="A7563" s="7">
        <v>282.0</v>
      </c>
      <c r="B7563" s="9" t="s">
        <v>14125</v>
      </c>
      <c r="C7563" s="9" t="s">
        <v>421</v>
      </c>
      <c r="D7563" s="9" t="s">
        <v>84</v>
      </c>
      <c r="E7563" s="6" t="s">
        <v>7444</v>
      </c>
      <c r="F7563" s="9" t="s">
        <v>14898</v>
      </c>
    </row>
    <row r="7564" ht="33.75" customHeight="1">
      <c r="A7564" s="7">
        <v>282.0</v>
      </c>
      <c r="B7564" s="9" t="s">
        <v>14125</v>
      </c>
      <c r="C7564" s="9" t="s">
        <v>421</v>
      </c>
      <c r="D7564" s="9" t="s">
        <v>87</v>
      </c>
      <c r="E7564" s="6" t="s">
        <v>7446</v>
      </c>
      <c r="F7564" s="9" t="s">
        <v>14898</v>
      </c>
    </row>
    <row r="7565" ht="33.75" customHeight="1">
      <c r="A7565" s="7">
        <v>282.0</v>
      </c>
      <c r="B7565" s="9" t="s">
        <v>14125</v>
      </c>
      <c r="C7565" s="9" t="s">
        <v>421</v>
      </c>
      <c r="D7565" s="9" t="s">
        <v>89</v>
      </c>
      <c r="E7565" s="6" t="s">
        <v>7448</v>
      </c>
      <c r="F7565" s="9" t="s">
        <v>14898</v>
      </c>
    </row>
    <row r="7566" ht="33.75" customHeight="1">
      <c r="A7566" s="7">
        <v>282.0</v>
      </c>
      <c r="B7566" s="9" t="s">
        <v>14125</v>
      </c>
      <c r="C7566" s="9" t="s">
        <v>421</v>
      </c>
      <c r="D7566" s="9" t="s">
        <v>91</v>
      </c>
      <c r="E7566" s="6" t="s">
        <v>7448</v>
      </c>
      <c r="F7566" s="9" t="s">
        <v>14898</v>
      </c>
    </row>
    <row r="7567" ht="33.75" customHeight="1">
      <c r="A7567" s="7">
        <v>282.0</v>
      </c>
      <c r="B7567" s="9" t="s">
        <v>14125</v>
      </c>
      <c r="C7567" s="9" t="s">
        <v>421</v>
      </c>
      <c r="D7567" s="9" t="s">
        <v>93</v>
      </c>
      <c r="E7567" s="6" t="s">
        <v>7446</v>
      </c>
      <c r="F7567" s="9" t="s">
        <v>14898</v>
      </c>
    </row>
    <row r="7568" ht="33.75" customHeight="1">
      <c r="A7568" s="7">
        <v>282.0</v>
      </c>
      <c r="B7568" s="9" t="s">
        <v>14125</v>
      </c>
      <c r="C7568" s="9" t="s">
        <v>421</v>
      </c>
      <c r="D7568" s="9" t="s">
        <v>95</v>
      </c>
      <c r="E7568" s="6" t="s">
        <v>7446</v>
      </c>
      <c r="F7568" s="9" t="s">
        <v>14898</v>
      </c>
    </row>
    <row r="7569" ht="33.75" customHeight="1">
      <c r="A7569" s="7">
        <v>282.0</v>
      </c>
      <c r="B7569" s="9" t="s">
        <v>14125</v>
      </c>
      <c r="C7569" s="9" t="s">
        <v>421</v>
      </c>
      <c r="D7569" s="9" t="s">
        <v>98</v>
      </c>
      <c r="E7569" s="6" t="s">
        <v>7446</v>
      </c>
      <c r="F7569" s="9" t="s">
        <v>14898</v>
      </c>
    </row>
    <row r="7570" ht="33.75" customHeight="1">
      <c r="A7570" s="7">
        <v>282.0</v>
      </c>
      <c r="B7570" s="9" t="s">
        <v>14125</v>
      </c>
      <c r="C7570" s="9" t="s">
        <v>421</v>
      </c>
      <c r="D7570" s="9" t="s">
        <v>99</v>
      </c>
      <c r="E7570" s="6" t="s">
        <v>7446</v>
      </c>
      <c r="F7570" s="9" t="s">
        <v>14898</v>
      </c>
    </row>
    <row r="7571" ht="33.75" customHeight="1">
      <c r="A7571" s="7">
        <v>282.0</v>
      </c>
      <c r="B7571" s="9" t="s">
        <v>14125</v>
      </c>
      <c r="C7571" s="9" t="s">
        <v>421</v>
      </c>
      <c r="D7571" s="9" t="s">
        <v>101</v>
      </c>
      <c r="E7571" s="6" t="s">
        <v>7446</v>
      </c>
      <c r="F7571" s="9" t="s">
        <v>14898</v>
      </c>
    </row>
    <row r="7572" ht="33.75" customHeight="1">
      <c r="A7572" s="7">
        <v>282.0</v>
      </c>
      <c r="B7572" s="9" t="s">
        <v>14125</v>
      </c>
      <c r="C7572" s="9" t="s">
        <v>421</v>
      </c>
      <c r="D7572" s="9" t="s">
        <v>105</v>
      </c>
      <c r="E7572" s="6" t="s">
        <v>7452</v>
      </c>
      <c r="F7572" s="9" t="s">
        <v>14898</v>
      </c>
    </row>
    <row r="7573" ht="33.75" customHeight="1">
      <c r="A7573" s="7">
        <v>282.0</v>
      </c>
      <c r="B7573" s="9" t="s">
        <v>14125</v>
      </c>
      <c r="C7573" s="9" t="s">
        <v>421</v>
      </c>
      <c r="D7573" s="9" t="s">
        <v>107</v>
      </c>
      <c r="E7573" s="6" t="s">
        <v>7453</v>
      </c>
      <c r="F7573" s="9" t="s">
        <v>14898</v>
      </c>
    </row>
    <row r="7574" ht="33.75" customHeight="1">
      <c r="A7574" s="7">
        <v>282.0</v>
      </c>
      <c r="B7574" s="9" t="s">
        <v>14125</v>
      </c>
      <c r="C7574" s="9" t="s">
        <v>421</v>
      </c>
      <c r="D7574" s="9" t="s">
        <v>109</v>
      </c>
      <c r="E7574" s="6" t="s">
        <v>7455</v>
      </c>
      <c r="F7574" s="9" t="s">
        <v>14898</v>
      </c>
    </row>
    <row r="7575" ht="33.75" customHeight="1">
      <c r="A7575" s="7">
        <v>282.0</v>
      </c>
      <c r="B7575" s="9" t="s">
        <v>14125</v>
      </c>
      <c r="C7575" s="9" t="s">
        <v>421</v>
      </c>
      <c r="D7575" s="9" t="s">
        <v>114</v>
      </c>
      <c r="E7575" s="6" t="s">
        <v>7452</v>
      </c>
      <c r="F7575" s="9" t="s">
        <v>14898</v>
      </c>
    </row>
    <row r="7576" ht="33.75" customHeight="1">
      <c r="A7576" s="7">
        <v>282.0</v>
      </c>
      <c r="B7576" s="9" t="s">
        <v>14125</v>
      </c>
      <c r="C7576" s="9" t="s">
        <v>421</v>
      </c>
      <c r="D7576" s="9" t="s">
        <v>117</v>
      </c>
      <c r="E7576" s="6" t="s">
        <v>7446</v>
      </c>
      <c r="F7576" s="9" t="s">
        <v>14898</v>
      </c>
    </row>
    <row r="7577" ht="33.75" customHeight="1">
      <c r="A7577" s="7">
        <v>282.0</v>
      </c>
      <c r="B7577" s="9" t="s">
        <v>14125</v>
      </c>
      <c r="C7577" s="9" t="s">
        <v>421</v>
      </c>
      <c r="D7577" s="9" t="s">
        <v>1577</v>
      </c>
      <c r="E7577" s="6" t="s">
        <v>7460</v>
      </c>
      <c r="F7577" s="9" t="s">
        <v>14898</v>
      </c>
    </row>
    <row r="7578" ht="33.75" customHeight="1">
      <c r="A7578" s="7">
        <v>283.0</v>
      </c>
      <c r="B7578" s="9" t="s">
        <v>14139</v>
      </c>
      <c r="C7578" s="9" t="s">
        <v>423</v>
      </c>
      <c r="D7578" s="9" t="s">
        <v>67</v>
      </c>
      <c r="E7578" s="6" t="s">
        <v>7463</v>
      </c>
      <c r="F7578" s="9" t="s">
        <v>14904</v>
      </c>
      <c r="G7578" t="inlineStr" s="6">
        <is>
          <t xml:space="preserve">From the tips of Surskit's feet, SURSKIT secretes an oil that enables it to walk on water as if it were skating. This POKéMON feeds on microscopic organisms in ponds and lakes. If SURSKIT senses danger, it secretes a thick, sugary syrup from the tip of its head. There are some POKéMON that love eating this syrup. They gather on puddles after evening downpours, gliding across the surface of water as if sliding. It secretes honey with a sweet aroma from its head. They usually live on ponds, but after an evening shower, they may appear on puddles in towns. It appears as if it is skating on water. It draws prey with a sweet scent from the tip of its head. It secretes a thick, sweet-scented syrup from the tip of its head. It lives on weed-choked ponds. It moves as if skating on the surface of the water. It often fights with Dewpider over food. When this Pokémon senses danger, a sweet fluid oozes from the tip of its head. The taste of it disgusts bird Pokémon. If it’s in a pinch, it will secrete a sweet liquid from the tip of its head. Syrup made from gathering that liquid is tasty on bread. It lives in ponds and marshes that feature lots of plant life. It often fights with Dewpider, whose habitat and diet are similar.</t>
        </is>
      </c>
    </row>
    <row r="7579" ht="33.75" customHeight="1">
      <c r="A7579" s="7">
        <v>283.0</v>
      </c>
      <c r="B7579" s="9" t="s">
        <v>14139</v>
      </c>
      <c r="C7579" s="9" t="s">
        <v>423</v>
      </c>
      <c r="D7579" s="9" t="s">
        <v>71</v>
      </c>
      <c r="E7579" s="6" t="s">
        <v>7465</v>
      </c>
      <c r="F7579" s="9" t="s">
        <v>14904</v>
      </c>
    </row>
    <row r="7580" ht="33.75" customHeight="1">
      <c r="A7580" s="7">
        <v>283.0</v>
      </c>
      <c r="B7580" s="9" t="s">
        <v>14139</v>
      </c>
      <c r="C7580" s="9" t="s">
        <v>423</v>
      </c>
      <c r="D7580" s="9" t="s">
        <v>73</v>
      </c>
      <c r="E7580" s="6" t="s">
        <v>7468</v>
      </c>
      <c r="F7580" s="9" t="s">
        <v>14904</v>
      </c>
    </row>
    <row r="7581" ht="33.75" customHeight="1">
      <c r="A7581" s="7">
        <v>283.0</v>
      </c>
      <c r="B7581" s="9" t="s">
        <v>14139</v>
      </c>
      <c r="C7581" s="9" t="s">
        <v>423</v>
      </c>
      <c r="D7581" s="9" t="s">
        <v>75</v>
      </c>
      <c r="E7581" s="6" t="s">
        <v>7470</v>
      </c>
      <c r="F7581" s="9" t="s">
        <v>14904</v>
      </c>
    </row>
    <row r="7582" ht="33.75" customHeight="1">
      <c r="A7582" s="7">
        <v>283.0</v>
      </c>
      <c r="B7582" s="9" t="s">
        <v>14139</v>
      </c>
      <c r="C7582" s="9" t="s">
        <v>423</v>
      </c>
      <c r="D7582" s="9" t="s">
        <v>79</v>
      </c>
      <c r="E7582" s="6" t="s">
        <v>7470</v>
      </c>
      <c r="F7582" s="9" t="s">
        <v>14904</v>
      </c>
    </row>
    <row r="7583" ht="33.75" customHeight="1">
      <c r="A7583" s="7">
        <v>283.0</v>
      </c>
      <c r="B7583" s="9" t="s">
        <v>14139</v>
      </c>
      <c r="C7583" s="9" t="s">
        <v>423</v>
      </c>
      <c r="D7583" s="9" t="s">
        <v>81</v>
      </c>
      <c r="E7583" s="6" t="s">
        <v>7473</v>
      </c>
      <c r="F7583" s="9" t="s">
        <v>14904</v>
      </c>
    </row>
    <row r="7584" ht="33.75" customHeight="1">
      <c r="A7584" s="7">
        <v>283.0</v>
      </c>
      <c r="B7584" s="9" t="s">
        <v>14139</v>
      </c>
      <c r="C7584" s="9" t="s">
        <v>423</v>
      </c>
      <c r="D7584" s="9" t="s">
        <v>84</v>
      </c>
      <c r="E7584" s="6" t="s">
        <v>7473</v>
      </c>
      <c r="F7584" s="9" t="s">
        <v>14904</v>
      </c>
    </row>
    <row r="7585" ht="33.75" customHeight="1">
      <c r="A7585" s="7">
        <v>283.0</v>
      </c>
      <c r="B7585" s="9" t="s">
        <v>14139</v>
      </c>
      <c r="C7585" s="9" t="s">
        <v>423</v>
      </c>
      <c r="D7585" s="9" t="s">
        <v>87</v>
      </c>
      <c r="E7585" s="6" t="s">
        <v>7473</v>
      </c>
      <c r="F7585" s="9" t="s">
        <v>14904</v>
      </c>
    </row>
    <row r="7586" ht="33.75" customHeight="1">
      <c r="A7586" s="7">
        <v>283.0</v>
      </c>
      <c r="B7586" s="9" t="s">
        <v>14139</v>
      </c>
      <c r="C7586" s="9" t="s">
        <v>423</v>
      </c>
      <c r="D7586" s="9" t="s">
        <v>89</v>
      </c>
      <c r="E7586" s="6" t="s">
        <v>7475</v>
      </c>
      <c r="F7586" s="9" t="s">
        <v>14904</v>
      </c>
    </row>
    <row r="7587" ht="33.75" customHeight="1">
      <c r="A7587" s="7">
        <v>283.0</v>
      </c>
      <c r="B7587" s="9" t="s">
        <v>14139</v>
      </c>
      <c r="C7587" s="9" t="s">
        <v>423</v>
      </c>
      <c r="D7587" s="9" t="s">
        <v>91</v>
      </c>
      <c r="E7587" s="6" t="s">
        <v>7475</v>
      </c>
      <c r="F7587" s="9" t="s">
        <v>14904</v>
      </c>
    </row>
    <row r="7588" ht="33.75" customHeight="1">
      <c r="A7588" s="7">
        <v>283.0</v>
      </c>
      <c r="B7588" s="9" t="s">
        <v>14139</v>
      </c>
      <c r="C7588" s="9" t="s">
        <v>423</v>
      </c>
      <c r="D7588" s="9" t="s">
        <v>93</v>
      </c>
      <c r="E7588" s="6" t="s">
        <v>7473</v>
      </c>
      <c r="F7588" s="9" t="s">
        <v>14904</v>
      </c>
    </row>
    <row r="7589" ht="33.75" customHeight="1">
      <c r="A7589" s="7">
        <v>283.0</v>
      </c>
      <c r="B7589" s="9" t="s">
        <v>14139</v>
      </c>
      <c r="C7589" s="9" t="s">
        <v>423</v>
      </c>
      <c r="D7589" s="9" t="s">
        <v>95</v>
      </c>
      <c r="E7589" s="6" t="s">
        <v>7473</v>
      </c>
      <c r="F7589" s="9" t="s">
        <v>14904</v>
      </c>
    </row>
    <row r="7590" ht="33.75" customHeight="1">
      <c r="A7590" s="7">
        <v>283.0</v>
      </c>
      <c r="B7590" s="9" t="s">
        <v>14139</v>
      </c>
      <c r="C7590" s="9" t="s">
        <v>423</v>
      </c>
      <c r="D7590" s="9" t="s">
        <v>98</v>
      </c>
      <c r="E7590" s="6" t="s">
        <v>7473</v>
      </c>
      <c r="F7590" s="9" t="s">
        <v>14904</v>
      </c>
    </row>
    <row r="7591" ht="33.75" customHeight="1">
      <c r="A7591" s="7">
        <v>283.0</v>
      </c>
      <c r="B7591" s="9" t="s">
        <v>14139</v>
      </c>
      <c r="C7591" s="9" t="s">
        <v>423</v>
      </c>
      <c r="D7591" s="9" t="s">
        <v>99</v>
      </c>
      <c r="E7591" s="6" t="s">
        <v>7473</v>
      </c>
      <c r="F7591" s="9" t="s">
        <v>14904</v>
      </c>
    </row>
    <row r="7592" ht="33.75" customHeight="1">
      <c r="A7592" s="7">
        <v>283.0</v>
      </c>
      <c r="B7592" s="9" t="s">
        <v>14139</v>
      </c>
      <c r="C7592" s="9" t="s">
        <v>423</v>
      </c>
      <c r="D7592" s="9" t="s">
        <v>101</v>
      </c>
      <c r="E7592" s="6" t="s">
        <v>7470</v>
      </c>
      <c r="F7592" s="9" t="s">
        <v>14904</v>
      </c>
    </row>
    <row r="7593" ht="33.75" customHeight="1">
      <c r="A7593" s="7">
        <v>283.0</v>
      </c>
      <c r="B7593" s="9" t="s">
        <v>14139</v>
      </c>
      <c r="C7593" s="9" t="s">
        <v>423</v>
      </c>
      <c r="D7593" s="9" t="s">
        <v>105</v>
      </c>
      <c r="E7593" s="6" t="s">
        <v>7473</v>
      </c>
      <c r="F7593" s="9" t="s">
        <v>14904</v>
      </c>
    </row>
    <row r="7594" ht="33.75" customHeight="1">
      <c r="A7594" s="7">
        <v>283.0</v>
      </c>
      <c r="B7594" s="9" t="s">
        <v>14139</v>
      </c>
      <c r="C7594" s="9" t="s">
        <v>423</v>
      </c>
      <c r="D7594" s="9" t="s">
        <v>107</v>
      </c>
      <c r="E7594" s="6" t="s">
        <v>7476</v>
      </c>
      <c r="F7594" s="9" t="s">
        <v>14904</v>
      </c>
    </row>
    <row r="7595" ht="33.75" customHeight="1">
      <c r="A7595" s="7">
        <v>283.0</v>
      </c>
      <c r="B7595" s="9" t="s">
        <v>14139</v>
      </c>
      <c r="C7595" s="9" t="s">
        <v>423</v>
      </c>
      <c r="D7595" s="9" t="s">
        <v>109</v>
      </c>
      <c r="E7595" s="6" t="s">
        <v>7477</v>
      </c>
      <c r="F7595" s="9" t="s">
        <v>14904</v>
      </c>
    </row>
    <row r="7596" ht="33.75" customHeight="1">
      <c r="A7596" s="7">
        <v>283.0</v>
      </c>
      <c r="B7596" s="9" t="s">
        <v>14139</v>
      </c>
      <c r="C7596" s="9" t="s">
        <v>423</v>
      </c>
      <c r="D7596" s="9" t="s">
        <v>637</v>
      </c>
      <c r="E7596" s="6" t="s">
        <v>7478</v>
      </c>
      <c r="F7596" s="9" t="s">
        <v>14904</v>
      </c>
    </row>
    <row r="7597" ht="33.75" customHeight="1">
      <c r="A7597" s="7">
        <v>283.0</v>
      </c>
      <c r="B7597" s="9" t="s">
        <v>14139</v>
      </c>
      <c r="C7597" s="9" t="s">
        <v>423</v>
      </c>
      <c r="D7597" s="9" t="s">
        <v>642</v>
      </c>
      <c r="E7597" s="6" t="s">
        <v>7479</v>
      </c>
      <c r="F7597" s="9" t="s">
        <v>14904</v>
      </c>
    </row>
    <row r="7598" ht="33.75" customHeight="1">
      <c r="A7598" s="7">
        <v>283.0</v>
      </c>
      <c r="B7598" s="9" t="s">
        <v>14139</v>
      </c>
      <c r="C7598" s="9" t="s">
        <v>423</v>
      </c>
      <c r="D7598" s="9" t="s">
        <v>647</v>
      </c>
      <c r="E7598" s="6" t="s">
        <v>7480</v>
      </c>
      <c r="F7598" s="9" t="s">
        <v>14904</v>
      </c>
    </row>
    <row r="7599" ht="33.75" customHeight="1">
      <c r="A7599" s="7">
        <v>283.0</v>
      </c>
      <c r="B7599" s="9" t="s">
        <v>14139</v>
      </c>
      <c r="C7599" s="9" t="s">
        <v>423</v>
      </c>
      <c r="D7599" s="9" t="s">
        <v>652</v>
      </c>
      <c r="E7599" s="6" t="s">
        <v>7482</v>
      </c>
      <c r="F7599" s="9" t="s">
        <v>14904</v>
      </c>
    </row>
    <row r="7600" ht="33.75" customHeight="1">
      <c r="A7600" s="7">
        <v>284.0</v>
      </c>
      <c r="B7600" s="9" t="s">
        <v>14154</v>
      </c>
      <c r="C7600" s="9" t="s">
        <v>425</v>
      </c>
      <c r="D7600" s="9" t="s">
        <v>67</v>
      </c>
      <c r="E7600" s="6" t="s">
        <v>7485</v>
      </c>
      <c r="F7600" s="9" t="s">
        <v>14915</v>
      </c>
      <c r="G7600" t="inlineStr" s="6">
        <is>
          <t xml:space="preserve">MASQUERAIN intimidates enemies with the eyelike patterns on Masquerain's antennas. This POKéMON flaps its four wings to freely fly in any direction - even sideways and backwards - as if it were a helicopter. MASQUERAIN’s antennas have eyelike patterns that usually give it an angry look. If the “eyes” are droopy and appear sad, it is said to be a sign that a heavy rainfall is on its way. It intimidates foes with the large eyelike patterns on its antennae. Because it can’t fly if its wings get wet, it shelters itself from rain under large trees and eaves. The antennae have distinctive patterns that look like eyes. When it rains, they grow heavy, making flight impossible. Its antennae have eye patterns on them. Its four wings enable it to hover and fly in any direction. It flaps its four wings to hover and fly freely in any direction-- to and fro and sideways. It flaps its four wings to hover and fly freely in any direction--to and fro and sideways. This Pokémon flaps its four wings to freely fly in any direction—even sideways and backwards—as if it were a helicopter. It intimidates enemies with the eye-like patterns on its antennae. Its four wings allow it to fly in any direction. Its wings and antennae don’t cope well with moisture. After a rain, it faces sunward to dry off. Masquerain intimidates enemies with the eyelike patterns of its eyespots. If that doesn’t work, it deftly makes its escape on its set of four wings. Its thin, winglike antennae are highly absorbent. It waits out rainy days in tree hollows.</t>
        </is>
      </c>
    </row>
    <row r="7601" ht="33.75" customHeight="1">
      <c r="A7601" s="7">
        <v>284.0</v>
      </c>
      <c r="B7601" s="9" t="s">
        <v>14154</v>
      </c>
      <c r="C7601" s="9" t="s">
        <v>425</v>
      </c>
      <c r="D7601" s="9" t="s">
        <v>71</v>
      </c>
      <c r="E7601" s="6" t="s">
        <v>7487</v>
      </c>
      <c r="F7601" s="9" t="s">
        <v>14915</v>
      </c>
    </row>
    <row r="7602" ht="33.75" customHeight="1">
      <c r="A7602" s="7">
        <v>284.0</v>
      </c>
      <c r="B7602" s="9" t="s">
        <v>14154</v>
      </c>
      <c r="C7602" s="9" t="s">
        <v>425</v>
      </c>
      <c r="D7602" s="9" t="s">
        <v>73</v>
      </c>
      <c r="E7602" s="6" t="s">
        <v>7490</v>
      </c>
      <c r="F7602" s="9" t="s">
        <v>14915</v>
      </c>
    </row>
    <row r="7603" ht="33.75" customHeight="1">
      <c r="A7603" s="7">
        <v>284.0</v>
      </c>
      <c r="B7603" s="9" t="s">
        <v>14154</v>
      </c>
      <c r="C7603" s="9" t="s">
        <v>425</v>
      </c>
      <c r="D7603" s="9" t="s">
        <v>75</v>
      </c>
      <c r="E7603" s="6" t="s">
        <v>7491</v>
      </c>
      <c r="F7603" s="9" t="s">
        <v>14915</v>
      </c>
    </row>
    <row r="7604" ht="33.75" customHeight="1">
      <c r="A7604" s="7">
        <v>284.0</v>
      </c>
      <c r="B7604" s="9" t="s">
        <v>14154</v>
      </c>
      <c r="C7604" s="9" t="s">
        <v>425</v>
      </c>
      <c r="D7604" s="9" t="s">
        <v>79</v>
      </c>
      <c r="E7604" s="6" t="s">
        <v>7491</v>
      </c>
      <c r="F7604" s="9" t="s">
        <v>14915</v>
      </c>
    </row>
    <row r="7605" ht="33.75" customHeight="1">
      <c r="A7605" s="7">
        <v>284.0</v>
      </c>
      <c r="B7605" s="9" t="s">
        <v>14154</v>
      </c>
      <c r="C7605" s="9" t="s">
        <v>425</v>
      </c>
      <c r="D7605" s="9" t="s">
        <v>81</v>
      </c>
      <c r="E7605" s="6" t="s">
        <v>7492</v>
      </c>
      <c r="F7605" s="9" t="s">
        <v>14915</v>
      </c>
    </row>
    <row r="7606" ht="33.75" customHeight="1">
      <c r="A7606" s="7">
        <v>284.0</v>
      </c>
      <c r="B7606" s="9" t="s">
        <v>14154</v>
      </c>
      <c r="C7606" s="9" t="s">
        <v>425</v>
      </c>
      <c r="D7606" s="9" t="s">
        <v>84</v>
      </c>
      <c r="E7606" s="6" t="s">
        <v>7492</v>
      </c>
      <c r="F7606" s="9" t="s">
        <v>14915</v>
      </c>
    </row>
    <row r="7607" ht="33.75" customHeight="1">
      <c r="A7607" s="7">
        <v>284.0</v>
      </c>
      <c r="B7607" s="9" t="s">
        <v>14154</v>
      </c>
      <c r="C7607" s="9" t="s">
        <v>425</v>
      </c>
      <c r="D7607" s="9" t="s">
        <v>87</v>
      </c>
      <c r="E7607" s="6" t="s">
        <v>7492</v>
      </c>
      <c r="F7607" s="9" t="s">
        <v>14915</v>
      </c>
    </row>
    <row r="7608" ht="33.75" customHeight="1">
      <c r="A7608" s="7">
        <v>284.0</v>
      </c>
      <c r="B7608" s="9" t="s">
        <v>14154</v>
      </c>
      <c r="C7608" s="9" t="s">
        <v>425</v>
      </c>
      <c r="D7608" s="9" t="s">
        <v>89</v>
      </c>
      <c r="E7608" s="6" t="s">
        <v>7494</v>
      </c>
      <c r="F7608" s="9" t="s">
        <v>14915</v>
      </c>
    </row>
    <row r="7609" ht="33.75" customHeight="1">
      <c r="A7609" s="7">
        <v>284.0</v>
      </c>
      <c r="B7609" s="9" t="s">
        <v>14154</v>
      </c>
      <c r="C7609" s="9" t="s">
        <v>425</v>
      </c>
      <c r="D7609" s="9" t="s">
        <v>91</v>
      </c>
      <c r="E7609" s="6" t="s">
        <v>7494</v>
      </c>
      <c r="F7609" s="9" t="s">
        <v>14915</v>
      </c>
    </row>
    <row r="7610" ht="33.75" customHeight="1">
      <c r="A7610" s="7">
        <v>284.0</v>
      </c>
      <c r="B7610" s="9" t="s">
        <v>14154</v>
      </c>
      <c r="C7610" s="9" t="s">
        <v>425</v>
      </c>
      <c r="D7610" s="9" t="s">
        <v>93</v>
      </c>
      <c r="E7610" s="6" t="s">
        <v>7492</v>
      </c>
      <c r="F7610" s="9" t="s">
        <v>14915</v>
      </c>
    </row>
    <row r="7611" ht="33.75" customHeight="1">
      <c r="A7611" s="7">
        <v>284.0</v>
      </c>
      <c r="B7611" s="9" t="s">
        <v>14154</v>
      </c>
      <c r="C7611" s="9" t="s">
        <v>425</v>
      </c>
      <c r="D7611" s="9" t="s">
        <v>95</v>
      </c>
      <c r="E7611" s="6" t="s">
        <v>7492</v>
      </c>
      <c r="F7611" s="9" t="s">
        <v>14915</v>
      </c>
    </row>
    <row r="7612" ht="33.75" customHeight="1">
      <c r="A7612" s="7">
        <v>284.0</v>
      </c>
      <c r="B7612" s="9" t="s">
        <v>14154</v>
      </c>
      <c r="C7612" s="9" t="s">
        <v>425</v>
      </c>
      <c r="D7612" s="9" t="s">
        <v>98</v>
      </c>
      <c r="E7612" s="6" t="s">
        <v>7492</v>
      </c>
      <c r="F7612" s="9" t="s">
        <v>14915</v>
      </c>
    </row>
    <row r="7613" ht="33.75" customHeight="1">
      <c r="A7613" s="7">
        <v>284.0</v>
      </c>
      <c r="B7613" s="9" t="s">
        <v>14154</v>
      </c>
      <c r="C7613" s="9" t="s">
        <v>425</v>
      </c>
      <c r="D7613" s="9" t="s">
        <v>99</v>
      </c>
      <c r="E7613" s="6" t="s">
        <v>7492</v>
      </c>
      <c r="F7613" s="9" t="s">
        <v>14915</v>
      </c>
    </row>
    <row r="7614" ht="33.75" customHeight="1">
      <c r="A7614" s="7">
        <v>284.0</v>
      </c>
      <c r="B7614" s="9" t="s">
        <v>14154</v>
      </c>
      <c r="C7614" s="9" t="s">
        <v>425</v>
      </c>
      <c r="D7614" s="9" t="s">
        <v>101</v>
      </c>
      <c r="E7614" s="6" t="s">
        <v>7492</v>
      </c>
      <c r="F7614" s="9" t="s">
        <v>14915</v>
      </c>
    </row>
    <row r="7615" ht="33.75" customHeight="1">
      <c r="A7615" s="7">
        <v>284.0</v>
      </c>
      <c r="B7615" s="9" t="s">
        <v>14154</v>
      </c>
      <c r="C7615" s="9" t="s">
        <v>425</v>
      </c>
      <c r="D7615" s="9" t="s">
        <v>105</v>
      </c>
      <c r="E7615" s="6" t="s">
        <v>7496</v>
      </c>
      <c r="F7615" s="9" t="s">
        <v>14915</v>
      </c>
    </row>
    <row r="7616" ht="33.75" customHeight="1">
      <c r="A7616" s="7">
        <v>284.0</v>
      </c>
      <c r="B7616" s="9" t="s">
        <v>14154</v>
      </c>
      <c r="C7616" s="9" t="s">
        <v>425</v>
      </c>
      <c r="D7616" s="9" t="s">
        <v>107</v>
      </c>
      <c r="E7616" s="6" t="s">
        <v>7498</v>
      </c>
      <c r="F7616" s="9" t="s">
        <v>14915</v>
      </c>
    </row>
    <row r="7617" ht="33.75" customHeight="1">
      <c r="A7617" s="7">
        <v>284.0</v>
      </c>
      <c r="B7617" s="9" t="s">
        <v>14154</v>
      </c>
      <c r="C7617" s="9" t="s">
        <v>425</v>
      </c>
      <c r="D7617" s="9" t="s">
        <v>109</v>
      </c>
      <c r="E7617" s="6" t="s">
        <v>7500</v>
      </c>
      <c r="F7617" s="9" t="s">
        <v>14915</v>
      </c>
    </row>
    <row r="7618" ht="33.75" customHeight="1">
      <c r="A7618" s="7">
        <v>284.0</v>
      </c>
      <c r="B7618" s="9" t="s">
        <v>14154</v>
      </c>
      <c r="C7618" s="9" t="s">
        <v>425</v>
      </c>
      <c r="D7618" s="9" t="s">
        <v>637</v>
      </c>
      <c r="E7618" s="6" t="s">
        <v>7502</v>
      </c>
      <c r="F7618" s="9" t="s">
        <v>14915</v>
      </c>
    </row>
    <row r="7619" ht="33.75" customHeight="1">
      <c r="A7619" s="7">
        <v>284.0</v>
      </c>
      <c r="B7619" s="9" t="s">
        <v>14154</v>
      </c>
      <c r="C7619" s="9" t="s">
        <v>425</v>
      </c>
      <c r="D7619" s="9" t="s">
        <v>642</v>
      </c>
      <c r="E7619" s="6" t="s">
        <v>7505</v>
      </c>
      <c r="F7619" s="9" t="s">
        <v>14915</v>
      </c>
    </row>
    <row r="7620" ht="33.75" customHeight="1">
      <c r="A7620" s="7">
        <v>284.0</v>
      </c>
      <c r="B7620" s="9" t="s">
        <v>14154</v>
      </c>
      <c r="C7620" s="9" t="s">
        <v>425</v>
      </c>
      <c r="D7620" s="9" t="s">
        <v>647</v>
      </c>
      <c r="E7620" s="6" t="s">
        <v>7506</v>
      </c>
      <c r="F7620" s="9" t="s">
        <v>14915</v>
      </c>
    </row>
    <row r="7621" ht="33.75" customHeight="1">
      <c r="A7621" s="7">
        <v>284.0</v>
      </c>
      <c r="B7621" s="9" t="s">
        <v>14154</v>
      </c>
      <c r="C7621" s="9" t="s">
        <v>425</v>
      </c>
      <c r="D7621" s="9" t="s">
        <v>652</v>
      </c>
      <c r="E7621" s="6" t="s">
        <v>7508</v>
      </c>
      <c r="F7621" s="9" t="s">
        <v>14915</v>
      </c>
    </row>
    <row r="7622" ht="33.75" customHeight="1">
      <c r="A7622" s="7">
        <v>285.0</v>
      </c>
      <c r="B7622" s="9" t="s">
        <v>14168</v>
      </c>
      <c r="C7622" s="9" t="s">
        <v>122</v>
      </c>
      <c r="D7622" s="9" t="s">
        <v>67</v>
      </c>
      <c r="E7622" s="6" t="s">
        <v>7509</v>
      </c>
      <c r="F7622" s="9" t="s">
        <v>14925</v>
      </c>
      <c r="G7622" t="inlineStr" s="6">
        <is>
          <t xml:space="preserve">SHROOMISH live in damp soil in the dark depths of forests. They are often found keeping still under fallen leaves. This POKéMON feeds on compost that is made up of fallen, rotted leaves. If SHROOMISH senses danger, it shakes its body and scatters spores from the top of its head. This POKéMON’s spores are so toxic, they make trees and weeds wilt. It loves to eat damp, composted soil in forests. If you enter a forest after a long rain, you can see many SHROOMISH feasting on composted soil. It prefers damp places. By day it remains still in the forest shade. It releases toxic powder from its head. It spouts poison spores from the top of its head. These spores cause pain all over if inhaled. If it senses danger, it scatters spores from the top of its head to protect itself.</t>
        </is>
      </c>
    </row>
    <row r="7623" ht="33.75" customHeight="1">
      <c r="A7623" s="7">
        <v>285.0</v>
      </c>
      <c r="B7623" s="9" t="s">
        <v>14168</v>
      </c>
      <c r="C7623" s="9" t="s">
        <v>122</v>
      </c>
      <c r="D7623" s="9" t="s">
        <v>71</v>
      </c>
      <c r="E7623" s="6" t="s">
        <v>7510</v>
      </c>
      <c r="F7623" s="9" t="s">
        <v>14925</v>
      </c>
    </row>
    <row r="7624" ht="33.75" customHeight="1">
      <c r="A7624" s="7">
        <v>285.0</v>
      </c>
      <c r="B7624" s="9" t="s">
        <v>14168</v>
      </c>
      <c r="C7624" s="9" t="s">
        <v>122</v>
      </c>
      <c r="D7624" s="9" t="s">
        <v>73</v>
      </c>
      <c r="E7624" s="6" t="s">
        <v>7512</v>
      </c>
      <c r="F7624" s="9" t="s">
        <v>14925</v>
      </c>
    </row>
    <row r="7625" ht="33.75" customHeight="1">
      <c r="A7625" s="7">
        <v>285.0</v>
      </c>
      <c r="B7625" s="9" t="s">
        <v>14168</v>
      </c>
      <c r="C7625" s="9" t="s">
        <v>122</v>
      </c>
      <c r="D7625" s="9" t="s">
        <v>75</v>
      </c>
      <c r="E7625" s="6" t="s">
        <v>7513</v>
      </c>
      <c r="F7625" s="9" t="s">
        <v>14925</v>
      </c>
    </row>
    <row r="7626" ht="33.75" customHeight="1">
      <c r="A7626" s="7">
        <v>285.0</v>
      </c>
      <c r="B7626" s="9" t="s">
        <v>14168</v>
      </c>
      <c r="C7626" s="9" t="s">
        <v>122</v>
      </c>
      <c r="D7626" s="9" t="s">
        <v>79</v>
      </c>
      <c r="E7626" s="6" t="s">
        <v>7513</v>
      </c>
      <c r="F7626" s="9" t="s">
        <v>14925</v>
      </c>
    </row>
    <row r="7627" ht="33.75" customHeight="1">
      <c r="A7627" s="7">
        <v>285.0</v>
      </c>
      <c r="B7627" s="9" t="s">
        <v>14168</v>
      </c>
      <c r="C7627" s="9" t="s">
        <v>122</v>
      </c>
      <c r="D7627" s="9" t="s">
        <v>81</v>
      </c>
      <c r="E7627" s="6" t="s">
        <v>7515</v>
      </c>
      <c r="F7627" s="9" t="s">
        <v>14925</v>
      </c>
    </row>
    <row r="7628" ht="33.75" customHeight="1">
      <c r="A7628" s="7">
        <v>285.0</v>
      </c>
      <c r="B7628" s="9" t="s">
        <v>14168</v>
      </c>
      <c r="C7628" s="9" t="s">
        <v>122</v>
      </c>
      <c r="D7628" s="9" t="s">
        <v>84</v>
      </c>
      <c r="E7628" s="6" t="s">
        <v>7515</v>
      </c>
      <c r="F7628" s="9" t="s">
        <v>14925</v>
      </c>
    </row>
    <row r="7629" ht="33.75" customHeight="1">
      <c r="A7629" s="7">
        <v>285.0</v>
      </c>
      <c r="B7629" s="9" t="s">
        <v>14168</v>
      </c>
      <c r="C7629" s="9" t="s">
        <v>122</v>
      </c>
      <c r="D7629" s="9" t="s">
        <v>87</v>
      </c>
      <c r="E7629" s="6" t="s">
        <v>7515</v>
      </c>
      <c r="F7629" s="9" t="s">
        <v>14925</v>
      </c>
    </row>
    <row r="7630" ht="33.75" customHeight="1">
      <c r="A7630" s="7">
        <v>285.0</v>
      </c>
      <c r="B7630" s="9" t="s">
        <v>14168</v>
      </c>
      <c r="C7630" s="9" t="s">
        <v>122</v>
      </c>
      <c r="D7630" s="9" t="s">
        <v>89</v>
      </c>
      <c r="E7630" s="6" t="s">
        <v>7517</v>
      </c>
      <c r="F7630" s="9" t="s">
        <v>14925</v>
      </c>
    </row>
    <row r="7631" ht="33.75" customHeight="1">
      <c r="A7631" s="7">
        <v>285.0</v>
      </c>
      <c r="B7631" s="9" t="s">
        <v>14168</v>
      </c>
      <c r="C7631" s="9" t="s">
        <v>122</v>
      </c>
      <c r="D7631" s="9" t="s">
        <v>91</v>
      </c>
      <c r="E7631" s="6" t="s">
        <v>7517</v>
      </c>
      <c r="F7631" s="9" t="s">
        <v>14925</v>
      </c>
    </row>
    <row r="7632" ht="33.75" customHeight="1">
      <c r="A7632" s="7">
        <v>285.0</v>
      </c>
      <c r="B7632" s="9" t="s">
        <v>14168</v>
      </c>
      <c r="C7632" s="9" t="s">
        <v>122</v>
      </c>
      <c r="D7632" s="9" t="s">
        <v>93</v>
      </c>
      <c r="E7632" s="6" t="s">
        <v>7515</v>
      </c>
      <c r="F7632" s="9" t="s">
        <v>14925</v>
      </c>
    </row>
    <row r="7633" ht="33.75" customHeight="1">
      <c r="A7633" s="7">
        <v>285.0</v>
      </c>
      <c r="B7633" s="9" t="s">
        <v>14168</v>
      </c>
      <c r="C7633" s="9" t="s">
        <v>122</v>
      </c>
      <c r="D7633" s="9" t="s">
        <v>95</v>
      </c>
      <c r="E7633" s="6" t="s">
        <v>7515</v>
      </c>
      <c r="F7633" s="9" t="s">
        <v>14925</v>
      </c>
    </row>
    <row r="7634" ht="33.75" customHeight="1">
      <c r="A7634" s="7">
        <v>285.0</v>
      </c>
      <c r="B7634" s="9" t="s">
        <v>14168</v>
      </c>
      <c r="C7634" s="9" t="s">
        <v>122</v>
      </c>
      <c r="D7634" s="9" t="s">
        <v>98</v>
      </c>
      <c r="E7634" s="6" t="s">
        <v>7515</v>
      </c>
      <c r="F7634" s="9" t="s">
        <v>14925</v>
      </c>
    </row>
    <row r="7635" ht="33.75" customHeight="1">
      <c r="A7635" s="7">
        <v>285.0</v>
      </c>
      <c r="B7635" s="9" t="s">
        <v>14168</v>
      </c>
      <c r="C7635" s="9" t="s">
        <v>122</v>
      </c>
      <c r="D7635" s="9" t="s">
        <v>99</v>
      </c>
      <c r="E7635" s="6" t="s">
        <v>7515</v>
      </c>
      <c r="F7635" s="9" t="s">
        <v>14925</v>
      </c>
    </row>
    <row r="7636" ht="33.75" customHeight="1">
      <c r="A7636" s="7">
        <v>285.0</v>
      </c>
      <c r="B7636" s="9" t="s">
        <v>14168</v>
      </c>
      <c r="C7636" s="9" t="s">
        <v>122</v>
      </c>
      <c r="D7636" s="9" t="s">
        <v>101</v>
      </c>
      <c r="E7636" s="6" t="s">
        <v>7513</v>
      </c>
      <c r="F7636" s="9" t="s">
        <v>14925</v>
      </c>
    </row>
    <row r="7637" ht="33.75" customHeight="1">
      <c r="A7637" s="7">
        <v>285.0</v>
      </c>
      <c r="B7637" s="9" t="s">
        <v>14168</v>
      </c>
      <c r="C7637" s="9" t="s">
        <v>122</v>
      </c>
      <c r="D7637" s="9" t="s">
        <v>105</v>
      </c>
      <c r="E7637" s="6" t="s">
        <v>7515</v>
      </c>
      <c r="F7637" s="9" t="s">
        <v>14925</v>
      </c>
    </row>
    <row r="7638" ht="33.75" customHeight="1">
      <c r="A7638" s="7">
        <v>285.0</v>
      </c>
      <c r="B7638" s="9" t="s">
        <v>14168</v>
      </c>
      <c r="C7638" s="9" t="s">
        <v>122</v>
      </c>
      <c r="D7638" s="9" t="s">
        <v>107</v>
      </c>
      <c r="E7638" s="6" t="s">
        <v>7518</v>
      </c>
      <c r="F7638" s="9" t="s">
        <v>14925</v>
      </c>
    </row>
    <row r="7639" ht="33.75" customHeight="1">
      <c r="A7639" s="7">
        <v>285.0</v>
      </c>
      <c r="B7639" s="9" t="s">
        <v>14168</v>
      </c>
      <c r="C7639" s="9" t="s">
        <v>122</v>
      </c>
      <c r="D7639" s="9" t="s">
        <v>109</v>
      </c>
      <c r="E7639" s="6" t="s">
        <v>7520</v>
      </c>
      <c r="F7639" s="9" t="s">
        <v>14925</v>
      </c>
    </row>
    <row r="7640" ht="33.75" customHeight="1">
      <c r="A7640" s="7">
        <v>286.0</v>
      </c>
      <c r="B7640" s="9" t="s">
        <v>14178</v>
      </c>
      <c r="C7640" s="9" t="s">
        <v>122</v>
      </c>
      <c r="D7640" s="9" t="s">
        <v>67</v>
      </c>
      <c r="E7640" s="6" t="s">
        <v>7521</v>
      </c>
      <c r="F7640" s="9" t="s">
        <v>14937</v>
      </c>
      <c r="G7640" t="inlineStr" s="6">
        <is>
          <t xml:space="preserve">BRELOOM closes in on Breloom's foe with light and sprightly footwork, then throws punches with its stretchy arms. This POKéMON’s fighting technique puts boxers to shame. The seeds ringing BRELOOM’s tail are made of hardened toxic spores. It is horrible to eat the seeds. Just taking a bite of this POKéMON’s seed will cause your stomach to rumble. It scatters spores from holes in the cap on its head. It loves warm and humid climates. It feeds on trees and plants in fields and forests. The seeds on its tail are made of toxic spores. It knocks out foes with quick, virtually invisible punches. Its short arms stretch when it throws punches. Its technique is equal to that of pro boxers. It scatters poisonous spores and throws powerful punches while its foe is hampered by inhaled spores.</t>
        </is>
      </c>
    </row>
    <row r="7641" ht="33.75" customHeight="1">
      <c r="A7641" s="7">
        <v>286.0</v>
      </c>
      <c r="B7641" s="9" t="s">
        <v>14178</v>
      </c>
      <c r="C7641" s="9" t="s">
        <v>122</v>
      </c>
      <c r="D7641" s="9" t="s">
        <v>71</v>
      </c>
      <c r="E7641" s="6" t="s">
        <v>7522</v>
      </c>
      <c r="F7641" s="9" t="s">
        <v>14937</v>
      </c>
    </row>
    <row r="7642" ht="33.75" customHeight="1">
      <c r="A7642" s="7">
        <v>286.0</v>
      </c>
      <c r="B7642" s="9" t="s">
        <v>14178</v>
      </c>
      <c r="C7642" s="9" t="s">
        <v>122</v>
      </c>
      <c r="D7642" s="9" t="s">
        <v>73</v>
      </c>
      <c r="E7642" s="6" t="s">
        <v>7524</v>
      </c>
      <c r="F7642" s="9" t="s">
        <v>14937</v>
      </c>
    </row>
    <row r="7643" ht="33.75" customHeight="1">
      <c r="A7643" s="7">
        <v>286.0</v>
      </c>
      <c r="B7643" s="9" t="s">
        <v>14178</v>
      </c>
      <c r="C7643" s="9" t="s">
        <v>122</v>
      </c>
      <c r="D7643" s="9" t="s">
        <v>75</v>
      </c>
      <c r="E7643" s="6" t="s">
        <v>7525</v>
      </c>
      <c r="F7643" s="9" t="s">
        <v>14937</v>
      </c>
    </row>
    <row r="7644" ht="33.75" customHeight="1">
      <c r="A7644" s="7">
        <v>286.0</v>
      </c>
      <c r="B7644" s="9" t="s">
        <v>14178</v>
      </c>
      <c r="C7644" s="9" t="s">
        <v>122</v>
      </c>
      <c r="D7644" s="9" t="s">
        <v>79</v>
      </c>
      <c r="E7644" s="6" t="s">
        <v>7525</v>
      </c>
      <c r="F7644" s="9" t="s">
        <v>14937</v>
      </c>
    </row>
    <row r="7645" ht="33.75" customHeight="1">
      <c r="A7645" s="7">
        <v>286.0</v>
      </c>
      <c r="B7645" s="9" t="s">
        <v>14178</v>
      </c>
      <c r="C7645" s="9" t="s">
        <v>122</v>
      </c>
      <c r="D7645" s="9" t="s">
        <v>81</v>
      </c>
      <c r="E7645" s="6" t="s">
        <v>7526</v>
      </c>
      <c r="F7645" s="9" t="s">
        <v>14937</v>
      </c>
    </row>
    <row r="7646" ht="33.75" customHeight="1">
      <c r="A7646" s="7">
        <v>286.0</v>
      </c>
      <c r="B7646" s="9" t="s">
        <v>14178</v>
      </c>
      <c r="C7646" s="9" t="s">
        <v>122</v>
      </c>
      <c r="D7646" s="9" t="s">
        <v>84</v>
      </c>
      <c r="E7646" s="6" t="s">
        <v>7526</v>
      </c>
      <c r="F7646" s="9" t="s">
        <v>14937</v>
      </c>
    </row>
    <row r="7647" ht="33.75" customHeight="1">
      <c r="A7647" s="7">
        <v>286.0</v>
      </c>
      <c r="B7647" s="9" t="s">
        <v>14178</v>
      </c>
      <c r="C7647" s="9" t="s">
        <v>122</v>
      </c>
      <c r="D7647" s="9" t="s">
        <v>87</v>
      </c>
      <c r="E7647" s="6" t="s">
        <v>7526</v>
      </c>
      <c r="F7647" s="9" t="s">
        <v>14937</v>
      </c>
    </row>
    <row r="7648" ht="33.75" customHeight="1">
      <c r="A7648" s="7">
        <v>286.0</v>
      </c>
      <c r="B7648" s="9" t="s">
        <v>14178</v>
      </c>
      <c r="C7648" s="9" t="s">
        <v>122</v>
      </c>
      <c r="D7648" s="9" t="s">
        <v>89</v>
      </c>
      <c r="E7648" s="6" t="s">
        <v>7528</v>
      </c>
      <c r="F7648" s="9" t="s">
        <v>14937</v>
      </c>
    </row>
    <row r="7649" ht="33.75" customHeight="1">
      <c r="A7649" s="7">
        <v>286.0</v>
      </c>
      <c r="B7649" s="9" t="s">
        <v>14178</v>
      </c>
      <c r="C7649" s="9" t="s">
        <v>122</v>
      </c>
      <c r="D7649" s="9" t="s">
        <v>91</v>
      </c>
      <c r="E7649" s="6" t="s">
        <v>7528</v>
      </c>
      <c r="F7649" s="9" t="s">
        <v>14937</v>
      </c>
    </row>
    <row r="7650" ht="33.75" customHeight="1">
      <c r="A7650" s="7">
        <v>286.0</v>
      </c>
      <c r="B7650" s="9" t="s">
        <v>14178</v>
      </c>
      <c r="C7650" s="9" t="s">
        <v>122</v>
      </c>
      <c r="D7650" s="9" t="s">
        <v>93</v>
      </c>
      <c r="E7650" s="6" t="s">
        <v>7526</v>
      </c>
      <c r="F7650" s="9" t="s">
        <v>14937</v>
      </c>
    </row>
    <row r="7651" ht="33.75" customHeight="1">
      <c r="A7651" s="7">
        <v>286.0</v>
      </c>
      <c r="B7651" s="9" t="s">
        <v>14178</v>
      </c>
      <c r="C7651" s="9" t="s">
        <v>122</v>
      </c>
      <c r="D7651" s="9" t="s">
        <v>95</v>
      </c>
      <c r="E7651" s="6" t="s">
        <v>7526</v>
      </c>
      <c r="F7651" s="9" t="s">
        <v>14937</v>
      </c>
    </row>
    <row r="7652" ht="33.75" customHeight="1">
      <c r="A7652" s="7">
        <v>286.0</v>
      </c>
      <c r="B7652" s="9" t="s">
        <v>14178</v>
      </c>
      <c r="C7652" s="9" t="s">
        <v>122</v>
      </c>
      <c r="D7652" s="9" t="s">
        <v>98</v>
      </c>
      <c r="E7652" s="6" t="s">
        <v>7526</v>
      </c>
      <c r="F7652" s="9" t="s">
        <v>14937</v>
      </c>
    </row>
    <row r="7653" ht="33.75" customHeight="1">
      <c r="A7653" s="7">
        <v>286.0</v>
      </c>
      <c r="B7653" s="9" t="s">
        <v>14178</v>
      </c>
      <c r="C7653" s="9" t="s">
        <v>122</v>
      </c>
      <c r="D7653" s="9" t="s">
        <v>99</v>
      </c>
      <c r="E7653" s="6" t="s">
        <v>7526</v>
      </c>
      <c r="F7653" s="9" t="s">
        <v>14937</v>
      </c>
    </row>
    <row r="7654" ht="33.75" customHeight="1">
      <c r="A7654" s="7">
        <v>286.0</v>
      </c>
      <c r="B7654" s="9" t="s">
        <v>14178</v>
      </c>
      <c r="C7654" s="9" t="s">
        <v>122</v>
      </c>
      <c r="D7654" s="9" t="s">
        <v>101</v>
      </c>
      <c r="E7654" s="6" t="s">
        <v>7526</v>
      </c>
      <c r="F7654" s="9" t="s">
        <v>14937</v>
      </c>
    </row>
    <row r="7655" ht="33.75" customHeight="1">
      <c r="A7655" s="7">
        <v>286.0</v>
      </c>
      <c r="B7655" s="9" t="s">
        <v>14178</v>
      </c>
      <c r="C7655" s="9" t="s">
        <v>122</v>
      </c>
      <c r="D7655" s="9" t="s">
        <v>105</v>
      </c>
      <c r="E7655" s="6" t="s">
        <v>7528</v>
      </c>
      <c r="F7655" s="9" t="s">
        <v>14937</v>
      </c>
    </row>
    <row r="7656" ht="33.75" customHeight="1">
      <c r="A7656" s="7">
        <v>286.0</v>
      </c>
      <c r="B7656" s="9" t="s">
        <v>14178</v>
      </c>
      <c r="C7656" s="9" t="s">
        <v>122</v>
      </c>
      <c r="D7656" s="9" t="s">
        <v>107</v>
      </c>
      <c r="E7656" s="6" t="s">
        <v>7529</v>
      </c>
      <c r="F7656" s="9" t="s">
        <v>14937</v>
      </c>
    </row>
    <row r="7657" ht="33.75" customHeight="1">
      <c r="A7657" s="7">
        <v>286.0</v>
      </c>
      <c r="B7657" s="9" t="s">
        <v>14178</v>
      </c>
      <c r="C7657" s="9" t="s">
        <v>122</v>
      </c>
      <c r="D7657" s="9" t="s">
        <v>109</v>
      </c>
      <c r="E7657" s="6" t="s">
        <v>7531</v>
      </c>
      <c r="F7657" s="9" t="s">
        <v>14937</v>
      </c>
    </row>
    <row r="7658" ht="33.75" customHeight="1">
      <c r="A7658" s="7">
        <v>287.0</v>
      </c>
      <c r="B7658" s="9" t="s">
        <v>14187</v>
      </c>
      <c r="C7658" s="9" t="s">
        <v>426</v>
      </c>
      <c r="D7658" s="9" t="s">
        <v>67</v>
      </c>
      <c r="E7658" s="6" t="s">
        <v>7533</v>
      </c>
      <c r="F7658" s="9" t="s">
        <v>14941</v>
      </c>
      <c r="G7658" t="inlineStr" s="6">
        <is>
          <t xml:space="preserve">SLAKOTH lolls around for over twenty hours every day. Because it moves so little, it does not need much food. This POKéMON’s sole daily meal consists of just three leaves. SLAKOTH’s heart beats just once a minute. Whatever happens, it is content to loaf around motionless. It is rare to see this POKéMON in motion. It sleeps virtually all day and night long. It doesn’t change its nest its entire life, but it sometimes travels great distances by swimming in rivers. It sleeps for 20 hours every day. Making drowsy those that see it is one of its abilities. It spends nearly all its time in a day sprawled out. Just seeing it makes one drowsy. The way SLAKOTH lolls around makes anyone who watches it feel like doing the same. If it eats just three leaves in a day, it is satisfied. Other than that, it sleeps for 20 hours a day. Slakoth lolls around for over 20 hours every day.</t>
        </is>
      </c>
    </row>
    <row r="7659" ht="33.75" customHeight="1">
      <c r="A7659" s="7">
        <v>287.0</v>
      </c>
      <c r="B7659" s="9" t="s">
        <v>14187</v>
      </c>
      <c r="C7659" s="9" t="s">
        <v>426</v>
      </c>
      <c r="D7659" s="9" t="s">
        <v>71</v>
      </c>
      <c r="E7659" s="6" t="s">
        <v>7534</v>
      </c>
      <c r="F7659" s="9" t="s">
        <v>14941</v>
      </c>
    </row>
    <row r="7660" ht="33.75" customHeight="1">
      <c r="A7660" s="7">
        <v>287.0</v>
      </c>
      <c r="B7660" s="9" t="s">
        <v>14187</v>
      </c>
      <c r="C7660" s="9" t="s">
        <v>426</v>
      </c>
      <c r="D7660" s="9" t="s">
        <v>73</v>
      </c>
      <c r="E7660" s="6" t="s">
        <v>7535</v>
      </c>
      <c r="F7660" s="9" t="s">
        <v>14941</v>
      </c>
    </row>
    <row r="7661" ht="33.75" customHeight="1">
      <c r="A7661" s="7">
        <v>287.0</v>
      </c>
      <c r="B7661" s="9" t="s">
        <v>14187</v>
      </c>
      <c r="C7661" s="9" t="s">
        <v>426</v>
      </c>
      <c r="D7661" s="9" t="s">
        <v>75</v>
      </c>
      <c r="E7661" s="6" t="s">
        <v>7536</v>
      </c>
      <c r="F7661" s="9" t="s">
        <v>14941</v>
      </c>
    </row>
    <row r="7662" ht="33.75" customHeight="1">
      <c r="A7662" s="7">
        <v>287.0</v>
      </c>
      <c r="B7662" s="9" t="s">
        <v>14187</v>
      </c>
      <c r="C7662" s="9" t="s">
        <v>426</v>
      </c>
      <c r="D7662" s="9" t="s">
        <v>79</v>
      </c>
      <c r="E7662" s="6" t="s">
        <v>7536</v>
      </c>
      <c r="F7662" s="9" t="s">
        <v>14941</v>
      </c>
    </row>
    <row r="7663" ht="33.75" customHeight="1">
      <c r="A7663" s="7">
        <v>287.0</v>
      </c>
      <c r="B7663" s="9" t="s">
        <v>14187</v>
      </c>
      <c r="C7663" s="9" t="s">
        <v>426</v>
      </c>
      <c r="D7663" s="9" t="s">
        <v>81</v>
      </c>
      <c r="E7663" s="6" t="s">
        <v>7537</v>
      </c>
      <c r="F7663" s="9" t="s">
        <v>14941</v>
      </c>
    </row>
    <row r="7664" ht="33.75" customHeight="1">
      <c r="A7664" s="7">
        <v>287.0</v>
      </c>
      <c r="B7664" s="9" t="s">
        <v>14187</v>
      </c>
      <c r="C7664" s="9" t="s">
        <v>426</v>
      </c>
      <c r="D7664" s="9" t="s">
        <v>84</v>
      </c>
      <c r="E7664" s="6" t="s">
        <v>7537</v>
      </c>
      <c r="F7664" s="9" t="s">
        <v>14941</v>
      </c>
    </row>
    <row r="7665" ht="33.75" customHeight="1">
      <c r="A7665" s="7">
        <v>287.0</v>
      </c>
      <c r="B7665" s="9" t="s">
        <v>14187</v>
      </c>
      <c r="C7665" s="9" t="s">
        <v>426</v>
      </c>
      <c r="D7665" s="9" t="s">
        <v>87</v>
      </c>
      <c r="E7665" s="6" t="s">
        <v>7537</v>
      </c>
      <c r="F7665" s="9" t="s">
        <v>14941</v>
      </c>
    </row>
    <row r="7666" ht="33.75" customHeight="1">
      <c r="A7666" s="7">
        <v>287.0</v>
      </c>
      <c r="B7666" s="9" t="s">
        <v>14187</v>
      </c>
      <c r="C7666" s="9" t="s">
        <v>426</v>
      </c>
      <c r="D7666" s="9" t="s">
        <v>89</v>
      </c>
      <c r="E7666" s="6" t="s">
        <v>7538</v>
      </c>
      <c r="F7666" s="9" t="s">
        <v>14941</v>
      </c>
    </row>
    <row r="7667" ht="33.75" customHeight="1">
      <c r="A7667" s="7">
        <v>287.0</v>
      </c>
      <c r="B7667" s="9" t="s">
        <v>14187</v>
      </c>
      <c r="C7667" s="9" t="s">
        <v>426</v>
      </c>
      <c r="D7667" s="9" t="s">
        <v>91</v>
      </c>
      <c r="E7667" s="6" t="s">
        <v>7538</v>
      </c>
      <c r="F7667" s="9" t="s">
        <v>14941</v>
      </c>
    </row>
    <row r="7668" ht="33.75" customHeight="1">
      <c r="A7668" s="7">
        <v>287.0</v>
      </c>
      <c r="B7668" s="9" t="s">
        <v>14187</v>
      </c>
      <c r="C7668" s="9" t="s">
        <v>426</v>
      </c>
      <c r="D7668" s="9" t="s">
        <v>93</v>
      </c>
      <c r="E7668" s="6" t="s">
        <v>7537</v>
      </c>
      <c r="F7668" s="9" t="s">
        <v>14941</v>
      </c>
    </row>
    <row r="7669" ht="33.75" customHeight="1">
      <c r="A7669" s="7">
        <v>287.0</v>
      </c>
      <c r="B7669" s="9" t="s">
        <v>14187</v>
      </c>
      <c r="C7669" s="9" t="s">
        <v>426</v>
      </c>
      <c r="D7669" s="9" t="s">
        <v>95</v>
      </c>
      <c r="E7669" s="6" t="s">
        <v>7537</v>
      </c>
      <c r="F7669" s="9" t="s">
        <v>14941</v>
      </c>
    </row>
    <row r="7670" ht="33.75" customHeight="1">
      <c r="A7670" s="7">
        <v>287.0</v>
      </c>
      <c r="B7670" s="9" t="s">
        <v>14187</v>
      </c>
      <c r="C7670" s="9" t="s">
        <v>426</v>
      </c>
      <c r="D7670" s="9" t="s">
        <v>98</v>
      </c>
      <c r="E7670" s="6" t="s">
        <v>7539</v>
      </c>
      <c r="F7670" s="9" t="s">
        <v>14941</v>
      </c>
    </row>
    <row r="7671" ht="33.75" customHeight="1">
      <c r="A7671" s="7">
        <v>287.0</v>
      </c>
      <c r="B7671" s="9" t="s">
        <v>14187</v>
      </c>
      <c r="C7671" s="9" t="s">
        <v>426</v>
      </c>
      <c r="D7671" s="9" t="s">
        <v>99</v>
      </c>
      <c r="E7671" s="6" t="s">
        <v>7539</v>
      </c>
      <c r="F7671" s="9" t="s">
        <v>14941</v>
      </c>
    </row>
    <row r="7672" ht="33.75" customHeight="1">
      <c r="A7672" s="7">
        <v>287.0</v>
      </c>
      <c r="B7672" s="9" t="s">
        <v>14187</v>
      </c>
      <c r="C7672" s="9" t="s">
        <v>426</v>
      </c>
      <c r="D7672" s="9" t="s">
        <v>101</v>
      </c>
      <c r="E7672" s="6" t="s">
        <v>7540</v>
      </c>
      <c r="F7672" s="9" t="s">
        <v>14941</v>
      </c>
    </row>
    <row r="7673" ht="33.75" customHeight="1">
      <c r="A7673" s="7">
        <v>287.0</v>
      </c>
      <c r="B7673" s="9" t="s">
        <v>14187</v>
      </c>
      <c r="C7673" s="9" t="s">
        <v>426</v>
      </c>
      <c r="D7673" s="9" t="s">
        <v>105</v>
      </c>
      <c r="E7673" s="6" t="s">
        <v>7539</v>
      </c>
      <c r="F7673" s="9" t="s">
        <v>14941</v>
      </c>
    </row>
    <row r="7674" ht="33.75" customHeight="1">
      <c r="A7674" s="7">
        <v>287.0</v>
      </c>
      <c r="B7674" s="9" t="s">
        <v>14187</v>
      </c>
      <c r="C7674" s="9" t="s">
        <v>426</v>
      </c>
      <c r="D7674" s="9" t="s">
        <v>107</v>
      </c>
      <c r="E7674" s="6" t="s">
        <v>7541</v>
      </c>
      <c r="F7674" s="9" t="s">
        <v>14941</v>
      </c>
    </row>
    <row r="7675" ht="33.75" customHeight="1">
      <c r="A7675" s="7">
        <v>287.0</v>
      </c>
      <c r="B7675" s="9" t="s">
        <v>14187</v>
      </c>
      <c r="C7675" s="9" t="s">
        <v>426</v>
      </c>
      <c r="D7675" s="9" t="s">
        <v>109</v>
      </c>
      <c r="E7675" s="6" t="s">
        <v>7543</v>
      </c>
      <c r="F7675" s="9" t="s">
        <v>14941</v>
      </c>
    </row>
    <row r="7676" ht="33.75" customHeight="1">
      <c r="A7676" s="7">
        <v>288.0</v>
      </c>
      <c r="B7676" s="9" t="s">
        <v>14200</v>
      </c>
      <c r="C7676" s="9" t="s">
        <v>428</v>
      </c>
      <c r="D7676" s="9" t="s">
        <v>67</v>
      </c>
      <c r="E7676" s="6" t="s">
        <v>7544</v>
      </c>
      <c r="F7676" s="9" t="s">
        <v>14953</v>
      </c>
      <c r="G7676" t="inlineStr" s="6">
        <is>
          <t xml:space="preserve">VIGOROTH is always itching and agitated to go on a wild rampage. It simply can’t tolerate sitting still for even a minute. This POKéMON’s stress level rises if it can’t be moving constantly. VIGOROTH is simply incapable of remaining still. Even when it tries to sleep, the blood in its veins grows agitated, compelling this POKéMON to run wild throughout the jungle before it can settle down. It can’t keep still because its blood boils with energy. It runs through the fields and mountains all day to calm itself. If it doesn’t, it can’t sleep at night. It is always hungry because it won’t stop rampaging. Even while it is eating, it can’t keep still. Its heart beats at a tenfold tempo, so it cannot sit still for even a moment. Its stress level rises if it cannot keep moving constantly. Too much stress makes it feel sick. Its heartbeat is fast and its blood so agitated that it can’t sit still for one second.</t>
        </is>
      </c>
    </row>
    <row r="7677" ht="33.75" customHeight="1">
      <c r="A7677" s="7">
        <v>288.0</v>
      </c>
      <c r="B7677" s="9" t="s">
        <v>14200</v>
      </c>
      <c r="C7677" s="9" t="s">
        <v>428</v>
      </c>
      <c r="D7677" s="9" t="s">
        <v>71</v>
      </c>
      <c r="E7677" s="6" t="s">
        <v>7546</v>
      </c>
      <c r="F7677" s="9" t="s">
        <v>14953</v>
      </c>
    </row>
    <row r="7678" ht="33.75" customHeight="1">
      <c r="A7678" s="7">
        <v>288.0</v>
      </c>
      <c r="B7678" s="9" t="s">
        <v>14200</v>
      </c>
      <c r="C7678" s="9" t="s">
        <v>428</v>
      </c>
      <c r="D7678" s="9" t="s">
        <v>73</v>
      </c>
      <c r="E7678" s="6" t="s">
        <v>7547</v>
      </c>
      <c r="F7678" s="9" t="s">
        <v>14953</v>
      </c>
    </row>
    <row r="7679" ht="33.75" customHeight="1">
      <c r="A7679" s="7">
        <v>288.0</v>
      </c>
      <c r="B7679" s="9" t="s">
        <v>14200</v>
      </c>
      <c r="C7679" s="9" t="s">
        <v>428</v>
      </c>
      <c r="D7679" s="9" t="s">
        <v>75</v>
      </c>
      <c r="E7679" s="6" t="s">
        <v>7549</v>
      </c>
      <c r="F7679" s="9" t="s">
        <v>14953</v>
      </c>
    </row>
    <row r="7680" ht="33.75" customHeight="1">
      <c r="A7680" s="7">
        <v>288.0</v>
      </c>
      <c r="B7680" s="9" t="s">
        <v>14200</v>
      </c>
      <c r="C7680" s="9" t="s">
        <v>428</v>
      </c>
      <c r="D7680" s="9" t="s">
        <v>79</v>
      </c>
      <c r="E7680" s="6" t="s">
        <v>7549</v>
      </c>
      <c r="F7680" s="9" t="s">
        <v>14953</v>
      </c>
    </row>
    <row r="7681" ht="33.75" customHeight="1">
      <c r="A7681" s="7">
        <v>288.0</v>
      </c>
      <c r="B7681" s="9" t="s">
        <v>14200</v>
      </c>
      <c r="C7681" s="9" t="s">
        <v>428</v>
      </c>
      <c r="D7681" s="9" t="s">
        <v>81</v>
      </c>
      <c r="E7681" s="6" t="s">
        <v>7550</v>
      </c>
      <c r="F7681" s="9" t="s">
        <v>14953</v>
      </c>
    </row>
    <row r="7682" ht="33.75" customHeight="1">
      <c r="A7682" s="7">
        <v>288.0</v>
      </c>
      <c r="B7682" s="9" t="s">
        <v>14200</v>
      </c>
      <c r="C7682" s="9" t="s">
        <v>428</v>
      </c>
      <c r="D7682" s="9" t="s">
        <v>84</v>
      </c>
      <c r="E7682" s="6" t="s">
        <v>7550</v>
      </c>
      <c r="F7682" s="9" t="s">
        <v>14953</v>
      </c>
    </row>
    <row r="7683" ht="33.75" customHeight="1">
      <c r="A7683" s="7">
        <v>288.0</v>
      </c>
      <c r="B7683" s="9" t="s">
        <v>14200</v>
      </c>
      <c r="C7683" s="9" t="s">
        <v>428</v>
      </c>
      <c r="D7683" s="9" t="s">
        <v>87</v>
      </c>
      <c r="E7683" s="6" t="s">
        <v>7550</v>
      </c>
      <c r="F7683" s="9" t="s">
        <v>14953</v>
      </c>
    </row>
    <row r="7684" ht="33.75" customHeight="1">
      <c r="A7684" s="7">
        <v>288.0</v>
      </c>
      <c r="B7684" s="9" t="s">
        <v>14200</v>
      </c>
      <c r="C7684" s="9" t="s">
        <v>428</v>
      </c>
      <c r="D7684" s="9" t="s">
        <v>89</v>
      </c>
      <c r="E7684" s="6" t="s">
        <v>7552</v>
      </c>
      <c r="F7684" s="9" t="s">
        <v>14953</v>
      </c>
    </row>
    <row r="7685" ht="33.75" customHeight="1">
      <c r="A7685" s="7">
        <v>288.0</v>
      </c>
      <c r="B7685" s="9" t="s">
        <v>14200</v>
      </c>
      <c r="C7685" s="9" t="s">
        <v>428</v>
      </c>
      <c r="D7685" s="9" t="s">
        <v>91</v>
      </c>
      <c r="E7685" s="6" t="s">
        <v>7552</v>
      </c>
      <c r="F7685" s="9" t="s">
        <v>14953</v>
      </c>
    </row>
    <row r="7686" ht="33.75" customHeight="1">
      <c r="A7686" s="7">
        <v>288.0</v>
      </c>
      <c r="B7686" s="9" t="s">
        <v>14200</v>
      </c>
      <c r="C7686" s="9" t="s">
        <v>428</v>
      </c>
      <c r="D7686" s="9" t="s">
        <v>93</v>
      </c>
      <c r="E7686" s="6" t="s">
        <v>7550</v>
      </c>
      <c r="F7686" s="9" t="s">
        <v>14953</v>
      </c>
    </row>
    <row r="7687" ht="33.75" customHeight="1">
      <c r="A7687" s="7">
        <v>288.0</v>
      </c>
      <c r="B7687" s="9" t="s">
        <v>14200</v>
      </c>
      <c r="C7687" s="9" t="s">
        <v>428</v>
      </c>
      <c r="D7687" s="9" t="s">
        <v>95</v>
      </c>
      <c r="E7687" s="6" t="s">
        <v>7550</v>
      </c>
      <c r="F7687" s="9" t="s">
        <v>14953</v>
      </c>
    </row>
    <row r="7688" ht="33.75" customHeight="1">
      <c r="A7688" s="7">
        <v>288.0</v>
      </c>
      <c r="B7688" s="9" t="s">
        <v>14200</v>
      </c>
      <c r="C7688" s="9" t="s">
        <v>428</v>
      </c>
      <c r="D7688" s="9" t="s">
        <v>98</v>
      </c>
      <c r="E7688" s="6" t="s">
        <v>7553</v>
      </c>
      <c r="F7688" s="9" t="s">
        <v>14953</v>
      </c>
    </row>
    <row r="7689" ht="33.75" customHeight="1">
      <c r="A7689" s="7">
        <v>288.0</v>
      </c>
      <c r="B7689" s="9" t="s">
        <v>14200</v>
      </c>
      <c r="C7689" s="9" t="s">
        <v>428</v>
      </c>
      <c r="D7689" s="9" t="s">
        <v>99</v>
      </c>
      <c r="E7689" s="6" t="s">
        <v>7553</v>
      </c>
      <c r="F7689" s="9" t="s">
        <v>14953</v>
      </c>
    </row>
    <row r="7690" ht="33.75" customHeight="1">
      <c r="A7690" s="7">
        <v>288.0</v>
      </c>
      <c r="B7690" s="9" t="s">
        <v>14200</v>
      </c>
      <c r="C7690" s="9" t="s">
        <v>428</v>
      </c>
      <c r="D7690" s="9" t="s">
        <v>101</v>
      </c>
      <c r="E7690" s="6" t="s">
        <v>7553</v>
      </c>
      <c r="F7690" s="9" t="s">
        <v>14953</v>
      </c>
    </row>
    <row r="7691" ht="33.75" customHeight="1">
      <c r="A7691" s="7">
        <v>288.0</v>
      </c>
      <c r="B7691" s="9" t="s">
        <v>14200</v>
      </c>
      <c r="C7691" s="9" t="s">
        <v>428</v>
      </c>
      <c r="D7691" s="9" t="s">
        <v>105</v>
      </c>
      <c r="E7691" s="6" t="s">
        <v>7552</v>
      </c>
      <c r="F7691" s="9" t="s">
        <v>14953</v>
      </c>
    </row>
    <row r="7692" ht="33.75" customHeight="1">
      <c r="A7692" s="7">
        <v>288.0</v>
      </c>
      <c r="B7692" s="9" t="s">
        <v>14200</v>
      </c>
      <c r="C7692" s="9" t="s">
        <v>428</v>
      </c>
      <c r="D7692" s="9" t="s">
        <v>107</v>
      </c>
      <c r="E7692" s="6" t="s">
        <v>7554</v>
      </c>
      <c r="F7692" s="9" t="s">
        <v>14953</v>
      </c>
    </row>
    <row r="7693" ht="33.75" customHeight="1">
      <c r="A7693" s="7">
        <v>288.0</v>
      </c>
      <c r="B7693" s="9" t="s">
        <v>14200</v>
      </c>
      <c r="C7693" s="9" t="s">
        <v>428</v>
      </c>
      <c r="D7693" s="9" t="s">
        <v>109</v>
      </c>
      <c r="E7693" s="6" t="s">
        <v>7556</v>
      </c>
      <c r="F7693" s="9" t="s">
        <v>14953</v>
      </c>
    </row>
    <row r="7694" ht="33.75" customHeight="1">
      <c r="A7694" s="7">
        <v>289.0</v>
      </c>
      <c r="B7694" s="9" t="s">
        <v>14211</v>
      </c>
      <c r="C7694" s="9" t="s">
        <v>430</v>
      </c>
      <c r="D7694" s="9" t="s">
        <v>67</v>
      </c>
      <c r="E7694" s="6" t="s">
        <v>7557</v>
      </c>
      <c r="F7694" s="9" t="s">
        <v>14960</v>
      </c>
      <c r="G7694" t="inlineStr" s="6">
        <is>
          <t xml:space="preserve">SLAKING spends all day lying down and lolling about. It eats grass growing within its reach. If it eats all the grass it can reach, this POKéMON reluctantly moves to another spot. Wherever SLAKING live, rings of over a yard in diameter appear in grassy fields. They are made by the POKéMON as it eats all the grass within reach while lying prone on the ground. Hordes of SLAKING gather around trees when fruits come into season. They wait around patiently for ripened fruits to fall out of the trees. It is the world’s most slothful POKéMON. However, it can exert horrifying power by releasing pent-up energy all at once. The world’s laziest Pokémon. When it is lounging, it is actually saving energy for striking back. It moves to another spot when there’s no food left within its reach. This Pokémon lives lying on its side. It only rolls over and moves when there is no more grass to eat.</t>
        </is>
      </c>
    </row>
    <row r="7695" ht="33.75" customHeight="1">
      <c r="A7695" s="7">
        <v>289.0</v>
      </c>
      <c r="B7695" s="9" t="s">
        <v>14211</v>
      </c>
      <c r="C7695" s="9" t="s">
        <v>430</v>
      </c>
      <c r="D7695" s="9" t="s">
        <v>71</v>
      </c>
      <c r="E7695" s="6" t="s">
        <v>7558</v>
      </c>
      <c r="F7695" s="9" t="s">
        <v>14960</v>
      </c>
    </row>
    <row r="7696" ht="33.75" customHeight="1">
      <c r="A7696" s="7">
        <v>289.0</v>
      </c>
      <c r="B7696" s="9" t="s">
        <v>14211</v>
      </c>
      <c r="C7696" s="9" t="s">
        <v>430</v>
      </c>
      <c r="D7696" s="9" t="s">
        <v>73</v>
      </c>
      <c r="E7696" s="6" t="s">
        <v>7560</v>
      </c>
      <c r="F7696" s="9" t="s">
        <v>14960</v>
      </c>
    </row>
    <row r="7697" ht="33.75" customHeight="1">
      <c r="A7697" s="7">
        <v>289.0</v>
      </c>
      <c r="B7697" s="9" t="s">
        <v>14211</v>
      </c>
      <c r="C7697" s="9" t="s">
        <v>430</v>
      </c>
      <c r="D7697" s="9" t="s">
        <v>75</v>
      </c>
      <c r="E7697" s="6" t="s">
        <v>7561</v>
      </c>
      <c r="F7697" s="9" t="s">
        <v>14960</v>
      </c>
    </row>
    <row r="7698" ht="33.75" customHeight="1">
      <c r="A7698" s="7">
        <v>289.0</v>
      </c>
      <c r="B7698" s="9" t="s">
        <v>14211</v>
      </c>
      <c r="C7698" s="9" t="s">
        <v>430</v>
      </c>
      <c r="D7698" s="9" t="s">
        <v>79</v>
      </c>
      <c r="E7698" s="6" t="s">
        <v>7561</v>
      </c>
      <c r="F7698" s="9" t="s">
        <v>14960</v>
      </c>
    </row>
    <row r="7699" ht="33.75" customHeight="1">
      <c r="A7699" s="7">
        <v>289.0</v>
      </c>
      <c r="B7699" s="9" t="s">
        <v>14211</v>
      </c>
      <c r="C7699" s="9" t="s">
        <v>430</v>
      </c>
      <c r="D7699" s="9" t="s">
        <v>81</v>
      </c>
      <c r="E7699" s="6" t="s">
        <v>7563</v>
      </c>
      <c r="F7699" s="9" t="s">
        <v>14960</v>
      </c>
    </row>
    <row r="7700" ht="33.75" customHeight="1">
      <c r="A7700" s="7">
        <v>289.0</v>
      </c>
      <c r="B7700" s="9" t="s">
        <v>14211</v>
      </c>
      <c r="C7700" s="9" t="s">
        <v>430</v>
      </c>
      <c r="D7700" s="9" t="s">
        <v>84</v>
      </c>
      <c r="E7700" s="6" t="s">
        <v>7563</v>
      </c>
      <c r="F7700" s="9" t="s">
        <v>14960</v>
      </c>
    </row>
    <row r="7701" ht="33.75" customHeight="1">
      <c r="A7701" s="7">
        <v>289.0</v>
      </c>
      <c r="B7701" s="9" t="s">
        <v>14211</v>
      </c>
      <c r="C7701" s="9" t="s">
        <v>430</v>
      </c>
      <c r="D7701" s="9" t="s">
        <v>87</v>
      </c>
      <c r="E7701" s="6" t="s">
        <v>7563</v>
      </c>
      <c r="F7701" s="9" t="s">
        <v>14960</v>
      </c>
    </row>
    <row r="7702" ht="33.75" customHeight="1">
      <c r="A7702" s="7">
        <v>289.0</v>
      </c>
      <c r="B7702" s="9" t="s">
        <v>14211</v>
      </c>
      <c r="C7702" s="9" t="s">
        <v>430</v>
      </c>
      <c r="D7702" s="9" t="s">
        <v>89</v>
      </c>
      <c r="E7702" s="6" t="s">
        <v>7564</v>
      </c>
      <c r="F7702" s="9" t="s">
        <v>14960</v>
      </c>
    </row>
    <row r="7703" ht="33.75" customHeight="1">
      <c r="A7703" s="7">
        <v>289.0</v>
      </c>
      <c r="B7703" s="9" t="s">
        <v>14211</v>
      </c>
      <c r="C7703" s="9" t="s">
        <v>430</v>
      </c>
      <c r="D7703" s="9" t="s">
        <v>91</v>
      </c>
      <c r="E7703" s="6" t="s">
        <v>7564</v>
      </c>
      <c r="F7703" s="9" t="s">
        <v>14960</v>
      </c>
    </row>
    <row r="7704" ht="33.75" customHeight="1">
      <c r="A7704" s="7">
        <v>289.0</v>
      </c>
      <c r="B7704" s="9" t="s">
        <v>14211</v>
      </c>
      <c r="C7704" s="9" t="s">
        <v>430</v>
      </c>
      <c r="D7704" s="9" t="s">
        <v>93</v>
      </c>
      <c r="E7704" s="6" t="s">
        <v>7563</v>
      </c>
      <c r="F7704" s="9" t="s">
        <v>14960</v>
      </c>
    </row>
    <row r="7705" ht="33.75" customHeight="1">
      <c r="A7705" s="7">
        <v>289.0</v>
      </c>
      <c r="B7705" s="9" t="s">
        <v>14211</v>
      </c>
      <c r="C7705" s="9" t="s">
        <v>430</v>
      </c>
      <c r="D7705" s="9" t="s">
        <v>95</v>
      </c>
      <c r="E7705" s="6" t="s">
        <v>7563</v>
      </c>
      <c r="F7705" s="9" t="s">
        <v>14960</v>
      </c>
    </row>
    <row r="7706" ht="33.75" customHeight="1">
      <c r="A7706" s="7">
        <v>289.0</v>
      </c>
      <c r="B7706" s="9" t="s">
        <v>14211</v>
      </c>
      <c r="C7706" s="9" t="s">
        <v>430</v>
      </c>
      <c r="D7706" s="9" t="s">
        <v>98</v>
      </c>
      <c r="E7706" s="6" t="s">
        <v>7565</v>
      </c>
      <c r="F7706" s="9" t="s">
        <v>14960</v>
      </c>
    </row>
    <row r="7707" ht="33.75" customHeight="1">
      <c r="A7707" s="7">
        <v>289.0</v>
      </c>
      <c r="B7707" s="9" t="s">
        <v>14211</v>
      </c>
      <c r="C7707" s="9" t="s">
        <v>430</v>
      </c>
      <c r="D7707" s="9" t="s">
        <v>99</v>
      </c>
      <c r="E7707" s="6" t="s">
        <v>7565</v>
      </c>
      <c r="F7707" s="9" t="s">
        <v>14960</v>
      </c>
    </row>
    <row r="7708" ht="33.75" customHeight="1">
      <c r="A7708" s="7">
        <v>289.0</v>
      </c>
      <c r="B7708" s="9" t="s">
        <v>14211</v>
      </c>
      <c r="C7708" s="9" t="s">
        <v>430</v>
      </c>
      <c r="D7708" s="9" t="s">
        <v>101</v>
      </c>
      <c r="E7708" s="6" t="s">
        <v>7564</v>
      </c>
      <c r="F7708" s="9" t="s">
        <v>14960</v>
      </c>
    </row>
    <row r="7709" ht="33.75" customHeight="1">
      <c r="A7709" s="7">
        <v>289.0</v>
      </c>
      <c r="B7709" s="9" t="s">
        <v>14211</v>
      </c>
      <c r="C7709" s="9" t="s">
        <v>430</v>
      </c>
      <c r="D7709" s="9" t="s">
        <v>105</v>
      </c>
      <c r="E7709" s="6" t="s">
        <v>7566</v>
      </c>
      <c r="F7709" s="9" t="s">
        <v>14960</v>
      </c>
    </row>
    <row r="7710" ht="33.75" customHeight="1">
      <c r="A7710" s="7">
        <v>289.0</v>
      </c>
      <c r="B7710" s="9" t="s">
        <v>14211</v>
      </c>
      <c r="C7710" s="9" t="s">
        <v>430</v>
      </c>
      <c r="D7710" s="9" t="s">
        <v>107</v>
      </c>
      <c r="E7710" s="6" t="s">
        <v>7570</v>
      </c>
      <c r="F7710" s="9" t="s">
        <v>14960</v>
      </c>
    </row>
    <row r="7711" ht="33.75" customHeight="1">
      <c r="A7711" s="7">
        <v>289.0</v>
      </c>
      <c r="B7711" s="9" t="s">
        <v>14211</v>
      </c>
      <c r="C7711" s="9" t="s">
        <v>430</v>
      </c>
      <c r="D7711" s="9" t="s">
        <v>109</v>
      </c>
      <c r="E7711" s="6" t="s">
        <v>7571</v>
      </c>
      <c r="F7711" s="9" t="s">
        <v>14960</v>
      </c>
    </row>
    <row r="7712" ht="33.75" customHeight="1">
      <c r="A7712" s="7">
        <v>290.0</v>
      </c>
      <c r="B7712" s="9" t="s">
        <v>14224</v>
      </c>
      <c r="C7712" s="9" t="s">
        <v>431</v>
      </c>
      <c r="D7712" s="9" t="s">
        <v>67</v>
      </c>
      <c r="E7712" s="6" t="s">
        <v>7573</v>
      </c>
      <c r="F7712" s="9" t="s">
        <v>14969</v>
      </c>
      <c r="G7712" t="inlineStr" s="6">
        <is>
          <t xml:space="preserve">NINCADA lives underground for many years in complete darkness. This POKéMON absorbs nutrients from the roots of trees. It stays motionless as it waits for evolution. NINCADA lives underground. It uses its sharp claws to carve the roots of trees and absorb moisture and nutrients. This POKéMON can’t withstand bright sunlight so avoids it. It makes its nest at the roots of a mighty tree. Using its whiskerlike antennae, it probes its surroundings in the pitch-black darkness of soil. Because it lived almost entirely underground, it is nearly blind. It uses its antennae instead. It grows underground, sensing its surroundings using antennae instead of its virtually blind eyes. It can sometimes live underground for more than 10 years. It absorbs nutrients from the roots of trees.</t>
        </is>
      </c>
    </row>
    <row r="7713" ht="33.75" customHeight="1">
      <c r="A7713" s="7">
        <v>290.0</v>
      </c>
      <c r="B7713" s="9" t="s">
        <v>14224</v>
      </c>
      <c r="C7713" s="9" t="s">
        <v>431</v>
      </c>
      <c r="D7713" s="9" t="s">
        <v>71</v>
      </c>
      <c r="E7713" s="6" t="s">
        <v>7575</v>
      </c>
      <c r="F7713" s="9" t="s">
        <v>14969</v>
      </c>
    </row>
    <row r="7714" ht="33.75" customHeight="1">
      <c r="A7714" s="7">
        <v>290.0</v>
      </c>
      <c r="B7714" s="9" t="s">
        <v>14224</v>
      </c>
      <c r="C7714" s="9" t="s">
        <v>431</v>
      </c>
      <c r="D7714" s="9" t="s">
        <v>73</v>
      </c>
      <c r="E7714" s="6" t="s">
        <v>7577</v>
      </c>
      <c r="F7714" s="9" t="s">
        <v>14969</v>
      </c>
    </row>
    <row r="7715" ht="33.75" customHeight="1">
      <c r="A7715" s="7">
        <v>290.0</v>
      </c>
      <c r="B7715" s="9" t="s">
        <v>14224</v>
      </c>
      <c r="C7715" s="9" t="s">
        <v>431</v>
      </c>
      <c r="D7715" s="9" t="s">
        <v>75</v>
      </c>
      <c r="E7715" s="6" t="s">
        <v>7579</v>
      </c>
      <c r="F7715" s="9" t="s">
        <v>14969</v>
      </c>
    </row>
    <row r="7716" ht="33.75" customHeight="1">
      <c r="A7716" s="7">
        <v>290.0</v>
      </c>
      <c r="B7716" s="9" t="s">
        <v>14224</v>
      </c>
      <c r="C7716" s="9" t="s">
        <v>431</v>
      </c>
      <c r="D7716" s="9" t="s">
        <v>79</v>
      </c>
      <c r="E7716" s="6" t="s">
        <v>7579</v>
      </c>
      <c r="F7716" s="9" t="s">
        <v>14969</v>
      </c>
    </row>
    <row r="7717" ht="33.75" customHeight="1">
      <c r="A7717" s="7">
        <v>290.0</v>
      </c>
      <c r="B7717" s="9" t="s">
        <v>14224</v>
      </c>
      <c r="C7717" s="9" t="s">
        <v>431</v>
      </c>
      <c r="D7717" s="9" t="s">
        <v>81</v>
      </c>
      <c r="E7717" s="6" t="s">
        <v>7580</v>
      </c>
      <c r="F7717" s="9" t="s">
        <v>14969</v>
      </c>
    </row>
    <row r="7718" ht="33.75" customHeight="1">
      <c r="A7718" s="7">
        <v>290.0</v>
      </c>
      <c r="B7718" s="9" t="s">
        <v>14224</v>
      </c>
      <c r="C7718" s="9" t="s">
        <v>431</v>
      </c>
      <c r="D7718" s="9" t="s">
        <v>84</v>
      </c>
      <c r="E7718" s="6" t="s">
        <v>7580</v>
      </c>
      <c r="F7718" s="9" t="s">
        <v>14969</v>
      </c>
    </row>
    <row r="7719" ht="33.75" customHeight="1">
      <c r="A7719" s="7">
        <v>290.0</v>
      </c>
      <c r="B7719" s="9" t="s">
        <v>14224</v>
      </c>
      <c r="C7719" s="9" t="s">
        <v>431</v>
      </c>
      <c r="D7719" s="9" t="s">
        <v>87</v>
      </c>
      <c r="E7719" s="6" t="s">
        <v>7580</v>
      </c>
      <c r="F7719" s="9" t="s">
        <v>14969</v>
      </c>
    </row>
    <row r="7720" ht="33.75" customHeight="1">
      <c r="A7720" s="7">
        <v>290.0</v>
      </c>
      <c r="B7720" s="9" t="s">
        <v>14224</v>
      </c>
      <c r="C7720" s="9" t="s">
        <v>431</v>
      </c>
      <c r="D7720" s="9" t="s">
        <v>89</v>
      </c>
      <c r="E7720" s="6" t="s">
        <v>7582</v>
      </c>
      <c r="F7720" s="9" t="s">
        <v>14969</v>
      </c>
    </row>
    <row r="7721" ht="33.75" customHeight="1">
      <c r="A7721" s="7">
        <v>290.0</v>
      </c>
      <c r="B7721" s="9" t="s">
        <v>14224</v>
      </c>
      <c r="C7721" s="9" t="s">
        <v>431</v>
      </c>
      <c r="D7721" s="9" t="s">
        <v>91</v>
      </c>
      <c r="E7721" s="6" t="s">
        <v>7582</v>
      </c>
      <c r="F7721" s="9" t="s">
        <v>14969</v>
      </c>
    </row>
    <row r="7722" ht="33.75" customHeight="1">
      <c r="A7722" s="7">
        <v>290.0</v>
      </c>
      <c r="B7722" s="9" t="s">
        <v>14224</v>
      </c>
      <c r="C7722" s="9" t="s">
        <v>431</v>
      </c>
      <c r="D7722" s="9" t="s">
        <v>93</v>
      </c>
      <c r="E7722" s="6" t="s">
        <v>7580</v>
      </c>
      <c r="F7722" s="9" t="s">
        <v>14969</v>
      </c>
    </row>
    <row r="7723" ht="33.75" customHeight="1">
      <c r="A7723" s="7">
        <v>290.0</v>
      </c>
      <c r="B7723" s="9" t="s">
        <v>14224</v>
      </c>
      <c r="C7723" s="9" t="s">
        <v>431</v>
      </c>
      <c r="D7723" s="9" t="s">
        <v>95</v>
      </c>
      <c r="E7723" s="6" t="s">
        <v>7580</v>
      </c>
      <c r="F7723" s="9" t="s">
        <v>14969</v>
      </c>
    </row>
    <row r="7724" ht="33.75" customHeight="1">
      <c r="A7724" s="7">
        <v>290.0</v>
      </c>
      <c r="B7724" s="9" t="s">
        <v>14224</v>
      </c>
      <c r="C7724" s="9" t="s">
        <v>431</v>
      </c>
      <c r="D7724" s="9" t="s">
        <v>98</v>
      </c>
      <c r="E7724" s="6" t="s">
        <v>7580</v>
      </c>
      <c r="F7724" s="9" t="s">
        <v>14969</v>
      </c>
    </row>
    <row r="7725" ht="33.75" customHeight="1">
      <c r="A7725" s="7">
        <v>290.0</v>
      </c>
      <c r="B7725" s="9" t="s">
        <v>14224</v>
      </c>
      <c r="C7725" s="9" t="s">
        <v>431</v>
      </c>
      <c r="D7725" s="9" t="s">
        <v>99</v>
      </c>
      <c r="E7725" s="6" t="s">
        <v>7580</v>
      </c>
      <c r="F7725" s="9" t="s">
        <v>14969</v>
      </c>
    </row>
    <row r="7726" ht="33.75" customHeight="1">
      <c r="A7726" s="7">
        <v>290.0</v>
      </c>
      <c r="B7726" s="9" t="s">
        <v>14224</v>
      </c>
      <c r="C7726" s="9" t="s">
        <v>431</v>
      </c>
      <c r="D7726" s="9" t="s">
        <v>101</v>
      </c>
      <c r="E7726" s="6" t="s">
        <v>7579</v>
      </c>
      <c r="F7726" s="9" t="s">
        <v>14969</v>
      </c>
    </row>
    <row r="7727" ht="33.75" customHeight="1">
      <c r="A7727" s="7">
        <v>290.0</v>
      </c>
      <c r="B7727" s="9" t="s">
        <v>14224</v>
      </c>
      <c r="C7727" s="9" t="s">
        <v>431</v>
      </c>
      <c r="D7727" s="9" t="s">
        <v>105</v>
      </c>
      <c r="E7727" s="6" t="s">
        <v>7582</v>
      </c>
      <c r="F7727" s="9" t="s">
        <v>14969</v>
      </c>
    </row>
    <row r="7728" ht="33.75" customHeight="1">
      <c r="A7728" s="7">
        <v>290.0</v>
      </c>
      <c r="B7728" s="9" t="s">
        <v>14224</v>
      </c>
      <c r="C7728" s="9" t="s">
        <v>431</v>
      </c>
      <c r="D7728" s="9" t="s">
        <v>107</v>
      </c>
      <c r="E7728" s="6" t="s">
        <v>7584</v>
      </c>
      <c r="F7728" s="9" t="s">
        <v>14969</v>
      </c>
    </row>
    <row r="7729" ht="33.75" customHeight="1">
      <c r="A7729" s="7">
        <v>290.0</v>
      </c>
      <c r="B7729" s="9" t="s">
        <v>14224</v>
      </c>
      <c r="C7729" s="9" t="s">
        <v>431</v>
      </c>
      <c r="D7729" s="9" t="s">
        <v>109</v>
      </c>
      <c r="E7729" s="6" t="s">
        <v>7587</v>
      </c>
      <c r="F7729" s="9" t="s">
        <v>14969</v>
      </c>
    </row>
    <row r="7730" ht="33.75" customHeight="1">
      <c r="A7730" s="7">
        <v>290.0</v>
      </c>
      <c r="B7730" s="9" t="s">
        <v>14224</v>
      </c>
      <c r="C7730" s="9" t="s">
        <v>431</v>
      </c>
      <c r="D7730" s="9" t="s">
        <v>114</v>
      </c>
      <c r="E7730" s="6" t="s">
        <v>7579</v>
      </c>
      <c r="F7730" s="9" t="s">
        <v>14969</v>
      </c>
    </row>
    <row r="7731" ht="33.75" customHeight="1">
      <c r="A7731" s="7">
        <v>290.0</v>
      </c>
      <c r="B7731" s="9" t="s">
        <v>14224</v>
      </c>
      <c r="C7731" s="9" t="s">
        <v>431</v>
      </c>
      <c r="D7731" s="9" t="s">
        <v>117</v>
      </c>
      <c r="E7731" s="6" t="s">
        <v>7582</v>
      </c>
      <c r="F7731" s="9" t="s">
        <v>14969</v>
      </c>
    </row>
    <row r="7732" ht="33.75" customHeight="1">
      <c r="A7732" s="7">
        <v>291.0</v>
      </c>
      <c r="B7732" s="9" t="s">
        <v>14234</v>
      </c>
      <c r="C7732" s="9" t="s">
        <v>433</v>
      </c>
      <c r="D7732" s="9" t="s">
        <v>67</v>
      </c>
      <c r="E7732" s="6" t="s">
        <v>7588</v>
      </c>
      <c r="F7732" s="9" t="s">
        <v>14980</v>
      </c>
      <c r="G7732" t="inlineStr" s="6">
        <is>
          <t xml:space="preserve">NINJASK moves around at such a high speed that it cannot be seen, even while Ninjask's crying can be clearly heard. For that reason, this POKéMON was long believed to be invisible. If NINJASK is not trained properly, it will refuse to obey the TRAINER and cry loudly continuously. Because of this quality, this POKéMON is said to be one that puts the TRAINER’s abilities to the test. Because it darts about vigorously at high speed, it is very difficult to see. Hearing its distinctive cries for too long induces a headache. This POKéMON is so quick, it is said to be able to avoid any attack. It loves to feed on tree sap. Because it moves so quickly, it sometimes becomes unseeable. It congregates around tree sap. Its cry leaves a lasting headache if heard for too long. It moves so quickly that it is almost invisible.</t>
        </is>
      </c>
    </row>
    <row r="7733" ht="33.75" customHeight="1">
      <c r="A7733" s="7">
        <v>291.0</v>
      </c>
      <c r="B7733" s="9" t="s">
        <v>14234</v>
      </c>
      <c r="C7733" s="9" t="s">
        <v>433</v>
      </c>
      <c r="D7733" s="9" t="s">
        <v>71</v>
      </c>
      <c r="E7733" s="6" t="s">
        <v>7590</v>
      </c>
      <c r="F7733" s="9" t="s">
        <v>14980</v>
      </c>
    </row>
    <row r="7734" ht="33.75" customHeight="1">
      <c r="A7734" s="7">
        <v>291.0</v>
      </c>
      <c r="B7734" s="9" t="s">
        <v>14234</v>
      </c>
      <c r="C7734" s="9" t="s">
        <v>433</v>
      </c>
      <c r="D7734" s="9" t="s">
        <v>73</v>
      </c>
      <c r="E7734" s="6" t="s">
        <v>7591</v>
      </c>
      <c r="F7734" s="9" t="s">
        <v>14980</v>
      </c>
    </row>
    <row r="7735" ht="33.75" customHeight="1">
      <c r="A7735" s="7">
        <v>291.0</v>
      </c>
      <c r="B7735" s="9" t="s">
        <v>14234</v>
      </c>
      <c r="C7735" s="9" t="s">
        <v>433</v>
      </c>
      <c r="D7735" s="9" t="s">
        <v>75</v>
      </c>
      <c r="E7735" s="6" t="s">
        <v>7592</v>
      </c>
      <c r="F7735" s="9" t="s">
        <v>14980</v>
      </c>
    </row>
    <row r="7736" ht="33.75" customHeight="1">
      <c r="A7736" s="7">
        <v>291.0</v>
      </c>
      <c r="B7736" s="9" t="s">
        <v>14234</v>
      </c>
      <c r="C7736" s="9" t="s">
        <v>433</v>
      </c>
      <c r="D7736" s="9" t="s">
        <v>79</v>
      </c>
      <c r="E7736" s="6" t="s">
        <v>7592</v>
      </c>
      <c r="F7736" s="9" t="s">
        <v>14980</v>
      </c>
    </row>
    <row r="7737" ht="33.75" customHeight="1">
      <c r="A7737" s="7">
        <v>291.0</v>
      </c>
      <c r="B7737" s="9" t="s">
        <v>14234</v>
      </c>
      <c r="C7737" s="9" t="s">
        <v>433</v>
      </c>
      <c r="D7737" s="9" t="s">
        <v>81</v>
      </c>
      <c r="E7737" s="6" t="s">
        <v>7594</v>
      </c>
      <c r="F7737" s="9" t="s">
        <v>14980</v>
      </c>
    </row>
    <row r="7738" ht="33.75" customHeight="1">
      <c r="A7738" s="7">
        <v>291.0</v>
      </c>
      <c r="B7738" s="9" t="s">
        <v>14234</v>
      </c>
      <c r="C7738" s="9" t="s">
        <v>433</v>
      </c>
      <c r="D7738" s="9" t="s">
        <v>84</v>
      </c>
      <c r="E7738" s="6" t="s">
        <v>7594</v>
      </c>
      <c r="F7738" s="9" t="s">
        <v>14980</v>
      </c>
    </row>
    <row r="7739" ht="33.75" customHeight="1">
      <c r="A7739" s="7">
        <v>291.0</v>
      </c>
      <c r="B7739" s="9" t="s">
        <v>14234</v>
      </c>
      <c r="C7739" s="9" t="s">
        <v>433</v>
      </c>
      <c r="D7739" s="9" t="s">
        <v>87</v>
      </c>
      <c r="E7739" s="6" t="s">
        <v>7594</v>
      </c>
      <c r="F7739" s="9" t="s">
        <v>14980</v>
      </c>
    </row>
    <row r="7740" ht="33.75" customHeight="1">
      <c r="A7740" s="7">
        <v>291.0</v>
      </c>
      <c r="B7740" s="9" t="s">
        <v>14234</v>
      </c>
      <c r="C7740" s="9" t="s">
        <v>433</v>
      </c>
      <c r="D7740" s="9" t="s">
        <v>89</v>
      </c>
      <c r="E7740" s="6" t="s">
        <v>7595</v>
      </c>
      <c r="F7740" s="9" t="s">
        <v>14980</v>
      </c>
    </row>
    <row r="7741" ht="33.75" customHeight="1">
      <c r="A7741" s="7">
        <v>291.0</v>
      </c>
      <c r="B7741" s="9" t="s">
        <v>14234</v>
      </c>
      <c r="C7741" s="9" t="s">
        <v>433</v>
      </c>
      <c r="D7741" s="9" t="s">
        <v>91</v>
      </c>
      <c r="E7741" s="6" t="s">
        <v>7595</v>
      </c>
      <c r="F7741" s="9" t="s">
        <v>14980</v>
      </c>
    </row>
    <row r="7742" ht="33.75" customHeight="1">
      <c r="A7742" s="7">
        <v>291.0</v>
      </c>
      <c r="B7742" s="9" t="s">
        <v>14234</v>
      </c>
      <c r="C7742" s="9" t="s">
        <v>433</v>
      </c>
      <c r="D7742" s="9" t="s">
        <v>93</v>
      </c>
      <c r="E7742" s="6" t="s">
        <v>7594</v>
      </c>
      <c r="F7742" s="9" t="s">
        <v>14980</v>
      </c>
    </row>
    <row r="7743" ht="33.75" customHeight="1">
      <c r="A7743" s="7">
        <v>291.0</v>
      </c>
      <c r="B7743" s="9" t="s">
        <v>14234</v>
      </c>
      <c r="C7743" s="9" t="s">
        <v>433</v>
      </c>
      <c r="D7743" s="9" t="s">
        <v>95</v>
      </c>
      <c r="E7743" s="6" t="s">
        <v>7594</v>
      </c>
      <c r="F7743" s="9" t="s">
        <v>14980</v>
      </c>
    </row>
    <row r="7744" ht="33.75" customHeight="1">
      <c r="A7744" s="7">
        <v>291.0</v>
      </c>
      <c r="B7744" s="9" t="s">
        <v>14234</v>
      </c>
      <c r="C7744" s="9" t="s">
        <v>433</v>
      </c>
      <c r="D7744" s="9" t="s">
        <v>98</v>
      </c>
      <c r="E7744" s="6" t="s">
        <v>7594</v>
      </c>
      <c r="F7744" s="9" t="s">
        <v>14980</v>
      </c>
    </row>
    <row r="7745" ht="33.75" customHeight="1">
      <c r="A7745" s="7">
        <v>291.0</v>
      </c>
      <c r="B7745" s="9" t="s">
        <v>14234</v>
      </c>
      <c r="C7745" s="9" t="s">
        <v>433</v>
      </c>
      <c r="D7745" s="9" t="s">
        <v>99</v>
      </c>
      <c r="E7745" s="6" t="s">
        <v>7594</v>
      </c>
      <c r="F7745" s="9" t="s">
        <v>14980</v>
      </c>
    </row>
    <row r="7746" ht="33.75" customHeight="1">
      <c r="A7746" s="7">
        <v>291.0</v>
      </c>
      <c r="B7746" s="9" t="s">
        <v>14234</v>
      </c>
      <c r="C7746" s="9" t="s">
        <v>433</v>
      </c>
      <c r="D7746" s="9" t="s">
        <v>101</v>
      </c>
      <c r="E7746" s="6" t="s">
        <v>7595</v>
      </c>
      <c r="F7746" s="9" t="s">
        <v>14980</v>
      </c>
    </row>
    <row r="7747" ht="33.75" customHeight="1">
      <c r="A7747" s="7">
        <v>291.0</v>
      </c>
      <c r="B7747" s="9" t="s">
        <v>14234</v>
      </c>
      <c r="C7747" s="9" t="s">
        <v>433</v>
      </c>
      <c r="D7747" s="9" t="s">
        <v>105</v>
      </c>
      <c r="E7747" s="6" t="s">
        <v>7594</v>
      </c>
      <c r="F7747" s="9" t="s">
        <v>14980</v>
      </c>
    </row>
    <row r="7748" ht="33.75" customHeight="1">
      <c r="A7748" s="7">
        <v>291.0</v>
      </c>
      <c r="B7748" s="9" t="s">
        <v>14234</v>
      </c>
      <c r="C7748" s="9" t="s">
        <v>433</v>
      </c>
      <c r="D7748" s="9" t="s">
        <v>107</v>
      </c>
      <c r="E7748" s="6" t="s">
        <v>7596</v>
      </c>
      <c r="F7748" s="9" t="s">
        <v>14980</v>
      </c>
    </row>
    <row r="7749" ht="33.75" customHeight="1">
      <c r="A7749" s="7">
        <v>291.0</v>
      </c>
      <c r="B7749" s="9" t="s">
        <v>14234</v>
      </c>
      <c r="C7749" s="9" t="s">
        <v>433</v>
      </c>
      <c r="D7749" s="9" t="s">
        <v>109</v>
      </c>
      <c r="E7749" s="6" t="s">
        <v>7598</v>
      </c>
      <c r="F7749" s="9" t="s">
        <v>14980</v>
      </c>
    </row>
    <row r="7750" ht="33.75" customHeight="1">
      <c r="A7750" s="7">
        <v>291.0</v>
      </c>
      <c r="B7750" s="9" t="s">
        <v>14234</v>
      </c>
      <c r="C7750" s="9" t="s">
        <v>433</v>
      </c>
      <c r="D7750" s="9" t="s">
        <v>114</v>
      </c>
      <c r="E7750" s="6" t="s">
        <v>7595</v>
      </c>
      <c r="F7750" s="9" t="s">
        <v>14980</v>
      </c>
    </row>
    <row r="7751" ht="33.75" customHeight="1">
      <c r="A7751" s="7">
        <v>291.0</v>
      </c>
      <c r="B7751" s="9" t="s">
        <v>14234</v>
      </c>
      <c r="C7751" s="9" t="s">
        <v>433</v>
      </c>
      <c r="D7751" s="9" t="s">
        <v>117</v>
      </c>
      <c r="E7751" s="6" t="s">
        <v>7599</v>
      </c>
      <c r="F7751" s="9" t="s">
        <v>14980</v>
      </c>
    </row>
    <row r="7752" ht="33.75" customHeight="1">
      <c r="A7752" s="7">
        <v>292.0</v>
      </c>
      <c r="B7752" s="9" t="s">
        <v>14246</v>
      </c>
      <c r="C7752" s="9" t="s">
        <v>434</v>
      </c>
      <c r="D7752" s="9" t="s">
        <v>67</v>
      </c>
      <c r="E7752" s="6" t="s">
        <v>7600</v>
      </c>
      <c r="F7752" s="9" t="s">
        <v>14985</v>
      </c>
      <c r="G7752" t="inlineStr" s="6">
        <is>
          <t xml:space="preserve">SHEDINJA’s hard body doesn’t move - not even a twitch. In fact, its body appears to be merely a hollow shell. It is believed that this POKéMON will steal the spirit of anyone peering into its hollow body from its back. SHEDINJA is a peculiar POKéMON. It seems to appear unsought in a POKé BALL after a NINCADA evolves. This bizarre POKéMON is entirely immobile - it doesn’t even breathe. A peculiar POKéMON that floats in air even though its wings remain completely still. The inside of its body is hollow and utterly dark. A most peculiar POKéMON that somehow appears in a POKé BALL when a NINCADA evolves. A discarded bug shell that came to life. Peering into the crack on its back is said to steal one’s spirit. A strange Pokémon--it flies without moving its wings, has a hollow shell for a body, and does not breathe. Shedinja’s hard body doesn’t move—not even a twitch. This bizarre Pokémon is entirely immobile—it doesn’t even breathe. A strange Pokémon—it flies without moving its wings, has a hollow shell for a body, and does not breathe.</t>
        </is>
      </c>
    </row>
    <row r="7753" ht="33.75" customHeight="1">
      <c r="A7753" s="7">
        <v>292.0</v>
      </c>
      <c r="B7753" s="9" t="s">
        <v>14246</v>
      </c>
      <c r="C7753" s="9" t="s">
        <v>434</v>
      </c>
      <c r="D7753" s="9" t="s">
        <v>71</v>
      </c>
      <c r="E7753" s="6" t="s">
        <v>7602</v>
      </c>
      <c r="F7753" s="9" t="s">
        <v>14985</v>
      </c>
    </row>
    <row r="7754" ht="33.75" customHeight="1">
      <c r="A7754" s="7">
        <v>292.0</v>
      </c>
      <c r="B7754" s="9" t="s">
        <v>14246</v>
      </c>
      <c r="C7754" s="9" t="s">
        <v>434</v>
      </c>
      <c r="D7754" s="9" t="s">
        <v>73</v>
      </c>
      <c r="E7754" s="6" t="s">
        <v>7604</v>
      </c>
      <c r="F7754" s="9" t="s">
        <v>14985</v>
      </c>
    </row>
    <row r="7755" ht="33.75" customHeight="1">
      <c r="A7755" s="7">
        <v>292.0</v>
      </c>
      <c r="B7755" s="9" t="s">
        <v>14246</v>
      </c>
      <c r="C7755" s="9" t="s">
        <v>434</v>
      </c>
      <c r="D7755" s="9" t="s">
        <v>75</v>
      </c>
      <c r="E7755" s="6" t="s">
        <v>7607</v>
      </c>
      <c r="F7755" s="9" t="s">
        <v>14985</v>
      </c>
    </row>
    <row r="7756" ht="33.75" customHeight="1">
      <c r="A7756" s="7">
        <v>292.0</v>
      </c>
      <c r="B7756" s="9" t="s">
        <v>14246</v>
      </c>
      <c r="C7756" s="9" t="s">
        <v>434</v>
      </c>
      <c r="D7756" s="9" t="s">
        <v>79</v>
      </c>
      <c r="E7756" s="6" t="s">
        <v>7607</v>
      </c>
      <c r="F7756" s="9" t="s">
        <v>14985</v>
      </c>
    </row>
    <row r="7757" ht="33.75" customHeight="1">
      <c r="A7757" s="7">
        <v>292.0</v>
      </c>
      <c r="B7757" s="9" t="s">
        <v>14246</v>
      </c>
      <c r="C7757" s="9" t="s">
        <v>434</v>
      </c>
      <c r="D7757" s="9" t="s">
        <v>81</v>
      </c>
      <c r="E7757" s="6" t="s">
        <v>7608</v>
      </c>
      <c r="F7757" s="9" t="s">
        <v>14985</v>
      </c>
    </row>
    <row r="7758" ht="33.75" customHeight="1">
      <c r="A7758" s="7">
        <v>292.0</v>
      </c>
      <c r="B7758" s="9" t="s">
        <v>14246</v>
      </c>
      <c r="C7758" s="9" t="s">
        <v>434</v>
      </c>
      <c r="D7758" s="9" t="s">
        <v>84</v>
      </c>
      <c r="E7758" s="6" t="s">
        <v>7608</v>
      </c>
      <c r="F7758" s="9" t="s">
        <v>14985</v>
      </c>
    </row>
    <row r="7759" ht="33.75" customHeight="1">
      <c r="A7759" s="7">
        <v>292.0</v>
      </c>
      <c r="B7759" s="9" t="s">
        <v>14246</v>
      </c>
      <c r="C7759" s="9" t="s">
        <v>434</v>
      </c>
      <c r="D7759" s="9" t="s">
        <v>87</v>
      </c>
      <c r="E7759" s="6" t="s">
        <v>7608</v>
      </c>
      <c r="F7759" s="9" t="s">
        <v>14985</v>
      </c>
    </row>
    <row r="7760" ht="33.75" customHeight="1">
      <c r="A7760" s="7">
        <v>292.0</v>
      </c>
      <c r="B7760" s="9" t="s">
        <v>14246</v>
      </c>
      <c r="C7760" s="9" t="s">
        <v>434</v>
      </c>
      <c r="D7760" s="9" t="s">
        <v>89</v>
      </c>
      <c r="E7760" s="6" t="s">
        <v>7610</v>
      </c>
      <c r="F7760" s="9" t="s">
        <v>14985</v>
      </c>
    </row>
    <row r="7761" ht="33.75" customHeight="1">
      <c r="A7761" s="7">
        <v>292.0</v>
      </c>
      <c r="B7761" s="9" t="s">
        <v>14246</v>
      </c>
      <c r="C7761" s="9" t="s">
        <v>434</v>
      </c>
      <c r="D7761" s="9" t="s">
        <v>91</v>
      </c>
      <c r="E7761" s="6" t="s">
        <v>7610</v>
      </c>
      <c r="F7761" s="9" t="s">
        <v>14985</v>
      </c>
    </row>
    <row r="7762" ht="33.75" customHeight="1">
      <c r="A7762" s="7">
        <v>292.0</v>
      </c>
      <c r="B7762" s="9" t="s">
        <v>14246</v>
      </c>
      <c r="C7762" s="9" t="s">
        <v>434</v>
      </c>
      <c r="D7762" s="9" t="s">
        <v>93</v>
      </c>
      <c r="E7762" s="6" t="s">
        <v>7608</v>
      </c>
      <c r="F7762" s="9" t="s">
        <v>14985</v>
      </c>
    </row>
    <row r="7763" ht="33.75" customHeight="1">
      <c r="A7763" s="7">
        <v>292.0</v>
      </c>
      <c r="B7763" s="9" t="s">
        <v>14246</v>
      </c>
      <c r="C7763" s="9" t="s">
        <v>434</v>
      </c>
      <c r="D7763" s="9" t="s">
        <v>95</v>
      </c>
      <c r="E7763" s="6" t="s">
        <v>7608</v>
      </c>
      <c r="F7763" s="9" t="s">
        <v>14985</v>
      </c>
    </row>
    <row r="7764" ht="33.75" customHeight="1">
      <c r="A7764" s="7">
        <v>292.0</v>
      </c>
      <c r="B7764" s="9" t="s">
        <v>14246</v>
      </c>
      <c r="C7764" s="9" t="s">
        <v>434</v>
      </c>
      <c r="D7764" s="9" t="s">
        <v>98</v>
      </c>
      <c r="E7764" s="6" t="s">
        <v>7608</v>
      </c>
      <c r="F7764" s="9" t="s">
        <v>14985</v>
      </c>
    </row>
    <row r="7765" ht="33.75" customHeight="1">
      <c r="A7765" s="7">
        <v>292.0</v>
      </c>
      <c r="B7765" s="9" t="s">
        <v>14246</v>
      </c>
      <c r="C7765" s="9" t="s">
        <v>434</v>
      </c>
      <c r="D7765" s="9" t="s">
        <v>99</v>
      </c>
      <c r="E7765" s="6" t="s">
        <v>7608</v>
      </c>
      <c r="F7765" s="9" t="s">
        <v>14985</v>
      </c>
    </row>
    <row r="7766" ht="33.75" customHeight="1">
      <c r="A7766" s="7">
        <v>292.0</v>
      </c>
      <c r="B7766" s="9" t="s">
        <v>14246</v>
      </c>
      <c r="C7766" s="9" t="s">
        <v>434</v>
      </c>
      <c r="D7766" s="9" t="s">
        <v>101</v>
      </c>
      <c r="E7766" s="6" t="s">
        <v>7608</v>
      </c>
      <c r="F7766" s="9" t="s">
        <v>14985</v>
      </c>
    </row>
    <row r="7767" ht="33.75" customHeight="1">
      <c r="A7767" s="7">
        <v>292.0</v>
      </c>
      <c r="B7767" s="9" t="s">
        <v>14246</v>
      </c>
      <c r="C7767" s="9" t="s">
        <v>434</v>
      </c>
      <c r="D7767" s="9" t="s">
        <v>105</v>
      </c>
      <c r="E7767" s="6" t="s">
        <v>7614</v>
      </c>
      <c r="F7767" s="9" t="s">
        <v>14985</v>
      </c>
    </row>
    <row r="7768" ht="33.75" customHeight="1">
      <c r="A7768" s="7">
        <v>292.0</v>
      </c>
      <c r="B7768" s="9" t="s">
        <v>14246</v>
      </c>
      <c r="C7768" s="9" t="s">
        <v>434</v>
      </c>
      <c r="D7768" s="9" t="s">
        <v>107</v>
      </c>
      <c r="E7768" s="6" t="s">
        <v>7615</v>
      </c>
      <c r="F7768" s="9" t="s">
        <v>14985</v>
      </c>
    </row>
    <row r="7769" ht="33.75" customHeight="1">
      <c r="A7769" s="7">
        <v>292.0</v>
      </c>
      <c r="B7769" s="9" t="s">
        <v>14246</v>
      </c>
      <c r="C7769" s="9" t="s">
        <v>434</v>
      </c>
      <c r="D7769" s="9" t="s">
        <v>109</v>
      </c>
      <c r="E7769" s="6" t="s">
        <v>7617</v>
      </c>
      <c r="F7769" s="9" t="s">
        <v>14985</v>
      </c>
    </row>
    <row r="7770" ht="33.75" customHeight="1">
      <c r="A7770" s="7">
        <v>292.0</v>
      </c>
      <c r="B7770" s="9" t="s">
        <v>14246</v>
      </c>
      <c r="C7770" s="9" t="s">
        <v>434</v>
      </c>
      <c r="D7770" s="9" t="s">
        <v>114</v>
      </c>
      <c r="E7770" s="6" t="s">
        <v>7614</v>
      </c>
      <c r="F7770" s="9" t="s">
        <v>14985</v>
      </c>
    </row>
    <row r="7771" ht="33.75" customHeight="1">
      <c r="A7771" s="7">
        <v>292.0</v>
      </c>
      <c r="B7771" s="9" t="s">
        <v>14246</v>
      </c>
      <c r="C7771" s="9" t="s">
        <v>434</v>
      </c>
      <c r="D7771" s="9" t="s">
        <v>117</v>
      </c>
      <c r="E7771" s="6" t="s">
        <v>7620</v>
      </c>
      <c r="F7771" s="9" t="s">
        <v>14985</v>
      </c>
    </row>
    <row r="7772" ht="33.75" customHeight="1">
      <c r="A7772" s="7">
        <v>293.0</v>
      </c>
      <c r="B7772" s="9" t="s">
        <v>14259</v>
      </c>
      <c r="C7772" s="9" t="s">
        <v>436</v>
      </c>
      <c r="D7772" s="9" t="s">
        <v>67</v>
      </c>
      <c r="E7772" s="6" t="s">
        <v>7621</v>
      </c>
      <c r="F7772" s="9" t="s">
        <v>14997</v>
      </c>
      <c r="G7772" t="inlineStr" s="6">
        <is>
          <t xml:space="preserve">Normally, WHISMUR’s voice is very quiet - Whismur is barely audible even if one is paying close attention. However, if this POKéMON senses danger, it starts crying at an earsplitting volume. WHISMUR is very timid. If it starts to cry loudly, it becomes startled by its own crying and cries even harder. When it finally stops crying, the POKéMON goes to sleep, all tired out. Its cries equal a jet plane in volume. It inhales through its ear canals. Because of this system, it can cry continually without having to catch its breath. It usually murmurs, but starts crying loudly if it senses danger. It stops when its ear covers are shut. Usually, its cries are like quiet murmurs. If frightened, it shrieks at the same volume as a jet plane. If it senses danger, it scares the foe by crying out with the volume of a jet-plane engine. It usually murmurs but starts crying loudly if it senses danger. Normally, Whismur’s voice is very quiet—it is barely audible even if one is paying close attention. The cry of a Whismur is over 100 decibels. If you’re close to a Whismur when it lets out a cry, you’ll be stuck with an all-day headache. When Whismur cries, the sound of its own voice startles it, making the Pokémon cry even louder. It cries until it’s exhausted, then it falls asleep.</t>
        </is>
      </c>
    </row>
    <row r="7773" ht="33.75" customHeight="1">
      <c r="A7773" s="7">
        <v>293.0</v>
      </c>
      <c r="B7773" s="9" t="s">
        <v>14259</v>
      </c>
      <c r="C7773" s="9" t="s">
        <v>436</v>
      </c>
      <c r="D7773" s="9" t="s">
        <v>71</v>
      </c>
      <c r="E7773" s="6" t="s">
        <v>7624</v>
      </c>
      <c r="F7773" s="9" t="s">
        <v>14997</v>
      </c>
    </row>
    <row r="7774" ht="33.75" customHeight="1">
      <c r="A7774" s="7">
        <v>293.0</v>
      </c>
      <c r="B7774" s="9" t="s">
        <v>14259</v>
      </c>
      <c r="C7774" s="9" t="s">
        <v>436</v>
      </c>
      <c r="D7774" s="9" t="s">
        <v>73</v>
      </c>
      <c r="E7774" s="6" t="s">
        <v>7626</v>
      </c>
      <c r="F7774" s="9" t="s">
        <v>14997</v>
      </c>
    </row>
    <row r="7775" ht="33.75" customHeight="1">
      <c r="A7775" s="7">
        <v>293.0</v>
      </c>
      <c r="B7775" s="9" t="s">
        <v>14259</v>
      </c>
      <c r="C7775" s="9" t="s">
        <v>436</v>
      </c>
      <c r="D7775" s="9" t="s">
        <v>75</v>
      </c>
      <c r="E7775" s="6" t="s">
        <v>7628</v>
      </c>
      <c r="F7775" s="9" t="s">
        <v>14997</v>
      </c>
    </row>
    <row r="7776" ht="33.75" customHeight="1">
      <c r="A7776" s="7">
        <v>293.0</v>
      </c>
      <c r="B7776" s="9" t="s">
        <v>14259</v>
      </c>
      <c r="C7776" s="9" t="s">
        <v>436</v>
      </c>
      <c r="D7776" s="9" t="s">
        <v>79</v>
      </c>
      <c r="E7776" s="6" t="s">
        <v>7628</v>
      </c>
      <c r="F7776" s="9" t="s">
        <v>14997</v>
      </c>
    </row>
    <row r="7777" ht="33.75" customHeight="1">
      <c r="A7777" s="7">
        <v>293.0</v>
      </c>
      <c r="B7777" s="9" t="s">
        <v>14259</v>
      </c>
      <c r="C7777" s="9" t="s">
        <v>436</v>
      </c>
      <c r="D7777" s="9" t="s">
        <v>81</v>
      </c>
      <c r="E7777" s="6" t="s">
        <v>7631</v>
      </c>
      <c r="F7777" s="9" t="s">
        <v>14997</v>
      </c>
    </row>
    <row r="7778" ht="33.75" customHeight="1">
      <c r="A7778" s="7">
        <v>293.0</v>
      </c>
      <c r="B7778" s="9" t="s">
        <v>14259</v>
      </c>
      <c r="C7778" s="9" t="s">
        <v>436</v>
      </c>
      <c r="D7778" s="9" t="s">
        <v>84</v>
      </c>
      <c r="E7778" s="6" t="s">
        <v>7631</v>
      </c>
      <c r="F7778" s="9" t="s">
        <v>14997</v>
      </c>
    </row>
    <row r="7779" ht="33.75" customHeight="1">
      <c r="A7779" s="7">
        <v>293.0</v>
      </c>
      <c r="B7779" s="9" t="s">
        <v>14259</v>
      </c>
      <c r="C7779" s="9" t="s">
        <v>436</v>
      </c>
      <c r="D7779" s="9" t="s">
        <v>87</v>
      </c>
      <c r="E7779" s="6" t="s">
        <v>7631</v>
      </c>
      <c r="F7779" s="9" t="s">
        <v>14997</v>
      </c>
    </row>
    <row r="7780" ht="33.75" customHeight="1">
      <c r="A7780" s="7">
        <v>293.0</v>
      </c>
      <c r="B7780" s="9" t="s">
        <v>14259</v>
      </c>
      <c r="C7780" s="9" t="s">
        <v>436</v>
      </c>
      <c r="D7780" s="9" t="s">
        <v>89</v>
      </c>
      <c r="E7780" s="6" t="s">
        <v>7633</v>
      </c>
      <c r="F7780" s="9" t="s">
        <v>14997</v>
      </c>
    </row>
    <row r="7781" ht="33.75" customHeight="1">
      <c r="A7781" s="7">
        <v>293.0</v>
      </c>
      <c r="B7781" s="9" t="s">
        <v>14259</v>
      </c>
      <c r="C7781" s="9" t="s">
        <v>436</v>
      </c>
      <c r="D7781" s="9" t="s">
        <v>91</v>
      </c>
      <c r="E7781" s="6" t="s">
        <v>7633</v>
      </c>
      <c r="F7781" s="9" t="s">
        <v>14997</v>
      </c>
    </row>
    <row r="7782" ht="33.75" customHeight="1">
      <c r="A7782" s="7">
        <v>293.0</v>
      </c>
      <c r="B7782" s="9" t="s">
        <v>14259</v>
      </c>
      <c r="C7782" s="9" t="s">
        <v>436</v>
      </c>
      <c r="D7782" s="9" t="s">
        <v>93</v>
      </c>
      <c r="E7782" s="6" t="s">
        <v>7631</v>
      </c>
      <c r="F7782" s="9" t="s">
        <v>14997</v>
      </c>
    </row>
    <row r="7783" ht="33.75" customHeight="1">
      <c r="A7783" s="7">
        <v>293.0</v>
      </c>
      <c r="B7783" s="9" t="s">
        <v>14259</v>
      </c>
      <c r="C7783" s="9" t="s">
        <v>436</v>
      </c>
      <c r="D7783" s="9" t="s">
        <v>95</v>
      </c>
      <c r="E7783" s="6" t="s">
        <v>7631</v>
      </c>
      <c r="F7783" s="9" t="s">
        <v>14997</v>
      </c>
    </row>
    <row r="7784" ht="33.75" customHeight="1">
      <c r="A7784" s="7">
        <v>293.0</v>
      </c>
      <c r="B7784" s="9" t="s">
        <v>14259</v>
      </c>
      <c r="C7784" s="9" t="s">
        <v>436</v>
      </c>
      <c r="D7784" s="9" t="s">
        <v>98</v>
      </c>
      <c r="E7784" s="6" t="s">
        <v>7631</v>
      </c>
      <c r="F7784" s="9" t="s">
        <v>14997</v>
      </c>
    </row>
    <row r="7785" ht="33.75" customHeight="1">
      <c r="A7785" s="7">
        <v>293.0</v>
      </c>
      <c r="B7785" s="9" t="s">
        <v>14259</v>
      </c>
      <c r="C7785" s="9" t="s">
        <v>436</v>
      </c>
      <c r="D7785" s="9" t="s">
        <v>99</v>
      </c>
      <c r="E7785" s="6" t="s">
        <v>7631</v>
      </c>
      <c r="F7785" s="9" t="s">
        <v>14997</v>
      </c>
    </row>
    <row r="7786" ht="33.75" customHeight="1">
      <c r="A7786" s="7">
        <v>293.0</v>
      </c>
      <c r="B7786" s="9" t="s">
        <v>14259</v>
      </c>
      <c r="C7786" s="9" t="s">
        <v>436</v>
      </c>
      <c r="D7786" s="9" t="s">
        <v>101</v>
      </c>
      <c r="E7786" s="6" t="s">
        <v>7635</v>
      </c>
      <c r="F7786" s="9" t="s">
        <v>14997</v>
      </c>
    </row>
    <row r="7787" ht="33.75" customHeight="1">
      <c r="A7787" s="7">
        <v>293.0</v>
      </c>
      <c r="B7787" s="9" t="s">
        <v>14259</v>
      </c>
      <c r="C7787" s="9" t="s">
        <v>436</v>
      </c>
      <c r="D7787" s="9" t="s">
        <v>105</v>
      </c>
      <c r="E7787" s="6" t="s">
        <v>7633</v>
      </c>
      <c r="F7787" s="9" t="s">
        <v>14997</v>
      </c>
    </row>
    <row r="7788" ht="33.75" customHeight="1">
      <c r="A7788" s="7">
        <v>293.0</v>
      </c>
      <c r="B7788" s="9" t="s">
        <v>14259</v>
      </c>
      <c r="C7788" s="9" t="s">
        <v>436</v>
      </c>
      <c r="D7788" s="9" t="s">
        <v>107</v>
      </c>
      <c r="E7788" s="6" t="s">
        <v>7637</v>
      </c>
      <c r="F7788" s="9" t="s">
        <v>14997</v>
      </c>
    </row>
    <row r="7789" ht="33.75" customHeight="1">
      <c r="A7789" s="7">
        <v>293.0</v>
      </c>
      <c r="B7789" s="9" t="s">
        <v>14259</v>
      </c>
      <c r="C7789" s="9" t="s">
        <v>436</v>
      </c>
      <c r="D7789" s="9" t="s">
        <v>109</v>
      </c>
      <c r="E7789" s="6" t="s">
        <v>7639</v>
      </c>
      <c r="F7789" s="9" t="s">
        <v>14997</v>
      </c>
    </row>
    <row r="7790" ht="33.75" customHeight="1">
      <c r="A7790" s="7">
        <v>293.0</v>
      </c>
      <c r="B7790" s="9" t="s">
        <v>14259</v>
      </c>
      <c r="C7790" s="9" t="s">
        <v>436</v>
      </c>
      <c r="D7790" s="9" t="s">
        <v>114</v>
      </c>
      <c r="E7790" s="6" t="s">
        <v>7641</v>
      </c>
      <c r="F7790" s="9" t="s">
        <v>14997</v>
      </c>
    </row>
    <row r="7791" ht="33.75" customHeight="1">
      <c r="A7791" s="7">
        <v>293.0</v>
      </c>
      <c r="B7791" s="9" t="s">
        <v>14259</v>
      </c>
      <c r="C7791" s="9" t="s">
        <v>436</v>
      </c>
      <c r="D7791" s="9" t="s">
        <v>117</v>
      </c>
      <c r="E7791" s="6" t="s">
        <v>7642</v>
      </c>
      <c r="F7791" s="9" t="s">
        <v>14997</v>
      </c>
    </row>
    <row r="7792" ht="33.75" customHeight="1">
      <c r="A7792" s="7">
        <v>294.0</v>
      </c>
      <c r="B7792" s="9" t="s">
        <v>14272</v>
      </c>
      <c r="C7792" s="9" t="s">
        <v>437</v>
      </c>
      <c r="D7792" s="9" t="s">
        <v>67</v>
      </c>
      <c r="E7792" s="6" t="s">
        <v>7643</v>
      </c>
      <c r="F7792" s="9" t="s">
        <v>15012</v>
      </c>
      <c r="G7792" t="inlineStr" s="6">
        <is>
          <t xml:space="preserve">LOUDRED’s bellowing can completely decimate a wood-frame house. It uses its voice to punish its foes. This POKéMON’s round ears serve as loudspeakers. LOUDRED shouts while stamping its feet. After it finishes shouting, this POKéMON becomes incapable of hearing anything for a while. This is considered to be a weak point. It positions the round speakers on its head to assail foes with ultrasonic waves at massive volume. It builds power by stomping the ground. When it stamps its feet and bellows, it generates ultrasonic waves that can blow apart a house. The shock waves from its cries can tip over trucks. It stamps its feet to power up. It shouts loudly by inhaling air, and then uses its well-developed stomach muscles to exhale. Loudred’s ears serve as speakers, and they can put out sound waves powerful enough to blow away a house. The force of this Pokémon’s loud voice isn’t just the sound—it’s also the wave of air pressure that blows opponents away and damages them.</t>
        </is>
      </c>
    </row>
    <row r="7793" ht="33.75" customHeight="1">
      <c r="A7793" s="7">
        <v>294.0</v>
      </c>
      <c r="B7793" s="9" t="s">
        <v>14272</v>
      </c>
      <c r="C7793" s="9" t="s">
        <v>437</v>
      </c>
      <c r="D7793" s="9" t="s">
        <v>71</v>
      </c>
      <c r="E7793" s="6" t="s">
        <v>7644</v>
      </c>
      <c r="F7793" s="9" t="s">
        <v>15012</v>
      </c>
    </row>
    <row r="7794" ht="33.75" customHeight="1">
      <c r="A7794" s="7">
        <v>294.0</v>
      </c>
      <c r="B7794" s="9" t="s">
        <v>14272</v>
      </c>
      <c r="C7794" s="9" t="s">
        <v>437</v>
      </c>
      <c r="D7794" s="9" t="s">
        <v>73</v>
      </c>
      <c r="E7794" s="6" t="s">
        <v>7645</v>
      </c>
      <c r="F7794" s="9" t="s">
        <v>15012</v>
      </c>
    </row>
    <row r="7795" ht="33.75" customHeight="1">
      <c r="A7795" s="7">
        <v>294.0</v>
      </c>
      <c r="B7795" s="9" t="s">
        <v>14272</v>
      </c>
      <c r="C7795" s="9" t="s">
        <v>437</v>
      </c>
      <c r="D7795" s="9" t="s">
        <v>75</v>
      </c>
      <c r="E7795" s="6" t="s">
        <v>7646</v>
      </c>
      <c r="F7795" s="9" t="s">
        <v>15012</v>
      </c>
    </row>
    <row r="7796" ht="33.75" customHeight="1">
      <c r="A7796" s="7">
        <v>294.0</v>
      </c>
      <c r="B7796" s="9" t="s">
        <v>14272</v>
      </c>
      <c r="C7796" s="9" t="s">
        <v>437</v>
      </c>
      <c r="D7796" s="9" t="s">
        <v>79</v>
      </c>
      <c r="E7796" s="6" t="s">
        <v>7646</v>
      </c>
      <c r="F7796" s="9" t="s">
        <v>15012</v>
      </c>
    </row>
    <row r="7797" ht="33.75" customHeight="1">
      <c r="A7797" s="7">
        <v>294.0</v>
      </c>
      <c r="B7797" s="9" t="s">
        <v>14272</v>
      </c>
      <c r="C7797" s="9" t="s">
        <v>437</v>
      </c>
      <c r="D7797" s="9" t="s">
        <v>81</v>
      </c>
      <c r="E7797" s="6" t="s">
        <v>7648</v>
      </c>
      <c r="F7797" s="9" t="s">
        <v>15012</v>
      </c>
    </row>
    <row r="7798" ht="33.75" customHeight="1">
      <c r="A7798" s="7">
        <v>294.0</v>
      </c>
      <c r="B7798" s="9" t="s">
        <v>14272</v>
      </c>
      <c r="C7798" s="9" t="s">
        <v>437</v>
      </c>
      <c r="D7798" s="9" t="s">
        <v>84</v>
      </c>
      <c r="E7798" s="6" t="s">
        <v>7648</v>
      </c>
      <c r="F7798" s="9" t="s">
        <v>15012</v>
      </c>
    </row>
    <row r="7799" ht="33.75" customHeight="1">
      <c r="A7799" s="7">
        <v>294.0</v>
      </c>
      <c r="B7799" s="9" t="s">
        <v>14272</v>
      </c>
      <c r="C7799" s="9" t="s">
        <v>437</v>
      </c>
      <c r="D7799" s="9" t="s">
        <v>87</v>
      </c>
      <c r="E7799" s="6" t="s">
        <v>7648</v>
      </c>
      <c r="F7799" s="9" t="s">
        <v>15012</v>
      </c>
    </row>
    <row r="7800" ht="33.75" customHeight="1">
      <c r="A7800" s="7">
        <v>294.0</v>
      </c>
      <c r="B7800" s="9" t="s">
        <v>14272</v>
      </c>
      <c r="C7800" s="9" t="s">
        <v>437</v>
      </c>
      <c r="D7800" s="9" t="s">
        <v>89</v>
      </c>
      <c r="E7800" s="6" t="s">
        <v>7649</v>
      </c>
      <c r="F7800" s="9" t="s">
        <v>15012</v>
      </c>
    </row>
    <row r="7801" ht="33.75" customHeight="1">
      <c r="A7801" s="7">
        <v>294.0</v>
      </c>
      <c r="B7801" s="9" t="s">
        <v>14272</v>
      </c>
      <c r="C7801" s="9" t="s">
        <v>437</v>
      </c>
      <c r="D7801" s="9" t="s">
        <v>91</v>
      </c>
      <c r="E7801" s="6" t="s">
        <v>7649</v>
      </c>
      <c r="F7801" s="9" t="s">
        <v>15012</v>
      </c>
    </row>
    <row r="7802" ht="33.75" customHeight="1">
      <c r="A7802" s="7">
        <v>294.0</v>
      </c>
      <c r="B7802" s="9" t="s">
        <v>14272</v>
      </c>
      <c r="C7802" s="9" t="s">
        <v>437</v>
      </c>
      <c r="D7802" s="9" t="s">
        <v>93</v>
      </c>
      <c r="E7802" s="6" t="s">
        <v>7648</v>
      </c>
      <c r="F7802" s="9" t="s">
        <v>15012</v>
      </c>
    </row>
    <row r="7803" ht="33.75" customHeight="1">
      <c r="A7803" s="7">
        <v>294.0</v>
      </c>
      <c r="B7803" s="9" t="s">
        <v>14272</v>
      </c>
      <c r="C7803" s="9" t="s">
        <v>437</v>
      </c>
      <c r="D7803" s="9" t="s">
        <v>95</v>
      </c>
      <c r="E7803" s="6" t="s">
        <v>7648</v>
      </c>
      <c r="F7803" s="9" t="s">
        <v>15012</v>
      </c>
    </row>
    <row r="7804" ht="33.75" customHeight="1">
      <c r="A7804" s="7">
        <v>294.0</v>
      </c>
      <c r="B7804" s="9" t="s">
        <v>14272</v>
      </c>
      <c r="C7804" s="9" t="s">
        <v>437</v>
      </c>
      <c r="D7804" s="9" t="s">
        <v>98</v>
      </c>
      <c r="E7804" s="6" t="s">
        <v>7648</v>
      </c>
      <c r="F7804" s="9" t="s">
        <v>15012</v>
      </c>
    </row>
    <row r="7805" ht="33.75" customHeight="1">
      <c r="A7805" s="7">
        <v>294.0</v>
      </c>
      <c r="B7805" s="9" t="s">
        <v>14272</v>
      </c>
      <c r="C7805" s="9" t="s">
        <v>437</v>
      </c>
      <c r="D7805" s="9" t="s">
        <v>99</v>
      </c>
      <c r="E7805" s="6" t="s">
        <v>7648</v>
      </c>
      <c r="F7805" s="9" t="s">
        <v>15012</v>
      </c>
    </row>
    <row r="7806" ht="33.75" customHeight="1">
      <c r="A7806" s="7">
        <v>294.0</v>
      </c>
      <c r="B7806" s="9" t="s">
        <v>14272</v>
      </c>
      <c r="C7806" s="9" t="s">
        <v>437</v>
      </c>
      <c r="D7806" s="9" t="s">
        <v>101</v>
      </c>
      <c r="E7806" s="6" t="s">
        <v>7649</v>
      </c>
      <c r="F7806" s="9" t="s">
        <v>15012</v>
      </c>
    </row>
    <row r="7807" ht="33.75" customHeight="1">
      <c r="A7807" s="7">
        <v>294.0</v>
      </c>
      <c r="B7807" s="9" t="s">
        <v>14272</v>
      </c>
      <c r="C7807" s="9" t="s">
        <v>437</v>
      </c>
      <c r="D7807" s="9" t="s">
        <v>105</v>
      </c>
      <c r="E7807" s="6" t="s">
        <v>7648</v>
      </c>
      <c r="F7807" s="9" t="s">
        <v>15012</v>
      </c>
    </row>
    <row r="7808" ht="33.75" customHeight="1">
      <c r="A7808" s="7">
        <v>294.0</v>
      </c>
      <c r="B7808" s="9" t="s">
        <v>14272</v>
      </c>
      <c r="C7808" s="9" t="s">
        <v>437</v>
      </c>
      <c r="D7808" s="9" t="s">
        <v>107</v>
      </c>
      <c r="E7808" s="6" t="s">
        <v>7650</v>
      </c>
      <c r="F7808" s="9" t="s">
        <v>15012</v>
      </c>
    </row>
    <row r="7809" ht="33.75" customHeight="1">
      <c r="A7809" s="7">
        <v>294.0</v>
      </c>
      <c r="B7809" s="9" t="s">
        <v>14272</v>
      </c>
      <c r="C7809" s="9" t="s">
        <v>437</v>
      </c>
      <c r="D7809" s="9" t="s">
        <v>109</v>
      </c>
      <c r="E7809" s="6" t="s">
        <v>7651</v>
      </c>
      <c r="F7809" s="9" t="s">
        <v>15012</v>
      </c>
    </row>
    <row r="7810" ht="33.75" customHeight="1">
      <c r="A7810" s="7">
        <v>294.0</v>
      </c>
      <c r="B7810" s="9" t="s">
        <v>14272</v>
      </c>
      <c r="C7810" s="9" t="s">
        <v>437</v>
      </c>
      <c r="D7810" s="9" t="s">
        <v>114</v>
      </c>
      <c r="E7810" s="6" t="s">
        <v>7654</v>
      </c>
      <c r="F7810" s="9" t="s">
        <v>15012</v>
      </c>
    </row>
    <row r="7811" ht="33.75" customHeight="1">
      <c r="A7811" s="7">
        <v>294.0</v>
      </c>
      <c r="B7811" s="9" t="s">
        <v>14272</v>
      </c>
      <c r="C7811" s="9" t="s">
        <v>437</v>
      </c>
      <c r="D7811" s="9" t="s">
        <v>117</v>
      </c>
      <c r="E7811" s="6" t="s">
        <v>7656</v>
      </c>
      <c r="F7811" s="9" t="s">
        <v>15012</v>
      </c>
    </row>
    <row r="7812" ht="33.75" customHeight="1">
      <c r="A7812" s="7">
        <v>295.0</v>
      </c>
      <c r="B7812" s="9" t="s">
        <v>14285</v>
      </c>
      <c r="C7812" s="9" t="s">
        <v>438</v>
      </c>
      <c r="D7812" s="9" t="s">
        <v>67</v>
      </c>
      <c r="E7812" s="6" t="s">
        <v>7658</v>
      </c>
      <c r="F7812" s="9" t="s">
        <v>15026</v>
      </c>
      <c r="G7812" t="inlineStr" s="6">
        <is>
          <t xml:space="preserve">EXPLOUD triggers earthquakes with the tremors Exploud creates by bellowing. If this POKéMON violently inhales from the ports on its body, it’s a sign that it is preparing to let loose a huge bellow. EXPLOUD communicates its feelings to the others by emitting whistle-like sounds from the tubes on its body. This POKéMON only raises its voice when it is in battle. It has sound-generating organs all over its body. It communicates with others by adjusting the tone and volume of the cries it emits. It emits a variety of sounds from the holes all over its body. Its loud cries can be heard from over six miles away. Its howls can be heard over six miles away. It emits all sorts of noises from the ports on its body. Its roar in battle shakes the ground like a tremor--or like an earthquake has struck. In the past, people would use the loud voices of these Pokémon as a means of communication between distant cities. This Pokémon can do more than just shout. To communicate with others of its kind, it’ll emit all sorts of sounds from the holes in its body.</t>
        </is>
      </c>
    </row>
    <row r="7813" ht="33.75" customHeight="1">
      <c r="A7813" s="7">
        <v>295.0</v>
      </c>
      <c r="B7813" s="9" t="s">
        <v>14285</v>
      </c>
      <c r="C7813" s="9" t="s">
        <v>438</v>
      </c>
      <c r="D7813" s="9" t="s">
        <v>71</v>
      </c>
      <c r="E7813" s="6" t="s">
        <v>7660</v>
      </c>
      <c r="F7813" s="9" t="s">
        <v>15026</v>
      </c>
    </row>
    <row r="7814" ht="33.75" customHeight="1">
      <c r="A7814" s="7">
        <v>295.0</v>
      </c>
      <c r="B7814" s="9" t="s">
        <v>14285</v>
      </c>
      <c r="C7814" s="9" t="s">
        <v>438</v>
      </c>
      <c r="D7814" s="9" t="s">
        <v>73</v>
      </c>
      <c r="E7814" s="6" t="s">
        <v>7662</v>
      </c>
      <c r="F7814" s="9" t="s">
        <v>15026</v>
      </c>
    </row>
    <row r="7815" ht="33.75" customHeight="1">
      <c r="A7815" s="7">
        <v>295.0</v>
      </c>
      <c r="B7815" s="9" t="s">
        <v>14285</v>
      </c>
      <c r="C7815" s="9" t="s">
        <v>438</v>
      </c>
      <c r="D7815" s="9" t="s">
        <v>75</v>
      </c>
      <c r="E7815" s="6" t="s">
        <v>7663</v>
      </c>
      <c r="F7815" s="9" t="s">
        <v>15026</v>
      </c>
    </row>
    <row r="7816" ht="33.75" customHeight="1">
      <c r="A7816" s="7">
        <v>295.0</v>
      </c>
      <c r="B7816" s="9" t="s">
        <v>14285</v>
      </c>
      <c r="C7816" s="9" t="s">
        <v>438</v>
      </c>
      <c r="D7816" s="9" t="s">
        <v>79</v>
      </c>
      <c r="E7816" s="6" t="s">
        <v>7663</v>
      </c>
      <c r="F7816" s="9" t="s">
        <v>15026</v>
      </c>
    </row>
    <row r="7817" ht="33.75" customHeight="1">
      <c r="A7817" s="7">
        <v>295.0</v>
      </c>
      <c r="B7817" s="9" t="s">
        <v>14285</v>
      </c>
      <c r="C7817" s="9" t="s">
        <v>438</v>
      </c>
      <c r="D7817" s="9" t="s">
        <v>81</v>
      </c>
      <c r="E7817" s="6" t="s">
        <v>7664</v>
      </c>
      <c r="F7817" s="9" t="s">
        <v>15026</v>
      </c>
    </row>
    <row r="7818" ht="33.75" customHeight="1">
      <c r="A7818" s="7">
        <v>295.0</v>
      </c>
      <c r="B7818" s="9" t="s">
        <v>14285</v>
      </c>
      <c r="C7818" s="9" t="s">
        <v>438</v>
      </c>
      <c r="D7818" s="9" t="s">
        <v>84</v>
      </c>
      <c r="E7818" s="6" t="s">
        <v>7664</v>
      </c>
      <c r="F7818" s="9" t="s">
        <v>15026</v>
      </c>
    </row>
    <row r="7819" ht="33.75" customHeight="1">
      <c r="A7819" s="7">
        <v>295.0</v>
      </c>
      <c r="B7819" s="9" t="s">
        <v>14285</v>
      </c>
      <c r="C7819" s="9" t="s">
        <v>438</v>
      </c>
      <c r="D7819" s="9" t="s">
        <v>87</v>
      </c>
      <c r="E7819" s="6" t="s">
        <v>7664</v>
      </c>
      <c r="F7819" s="9" t="s">
        <v>15026</v>
      </c>
    </row>
    <row r="7820" ht="33.75" customHeight="1">
      <c r="A7820" s="7">
        <v>295.0</v>
      </c>
      <c r="B7820" s="9" t="s">
        <v>14285</v>
      </c>
      <c r="C7820" s="9" t="s">
        <v>438</v>
      </c>
      <c r="D7820" s="9" t="s">
        <v>89</v>
      </c>
      <c r="E7820" s="6" t="s">
        <v>7666</v>
      </c>
      <c r="F7820" s="9" t="s">
        <v>15026</v>
      </c>
    </row>
    <row r="7821" ht="33.75" customHeight="1">
      <c r="A7821" s="7">
        <v>295.0</v>
      </c>
      <c r="B7821" s="9" t="s">
        <v>14285</v>
      </c>
      <c r="C7821" s="9" t="s">
        <v>438</v>
      </c>
      <c r="D7821" s="9" t="s">
        <v>91</v>
      </c>
      <c r="E7821" s="6" t="s">
        <v>7666</v>
      </c>
      <c r="F7821" s="9" t="s">
        <v>15026</v>
      </c>
    </row>
    <row r="7822" ht="33.75" customHeight="1">
      <c r="A7822" s="7">
        <v>295.0</v>
      </c>
      <c r="B7822" s="9" t="s">
        <v>14285</v>
      </c>
      <c r="C7822" s="9" t="s">
        <v>438</v>
      </c>
      <c r="D7822" s="9" t="s">
        <v>93</v>
      </c>
      <c r="E7822" s="6" t="s">
        <v>7664</v>
      </c>
      <c r="F7822" s="9" t="s">
        <v>15026</v>
      </c>
    </row>
    <row r="7823" ht="33.75" customHeight="1">
      <c r="A7823" s="7">
        <v>295.0</v>
      </c>
      <c r="B7823" s="9" t="s">
        <v>14285</v>
      </c>
      <c r="C7823" s="9" t="s">
        <v>438</v>
      </c>
      <c r="D7823" s="9" t="s">
        <v>95</v>
      </c>
      <c r="E7823" s="6" t="s">
        <v>7664</v>
      </c>
      <c r="F7823" s="9" t="s">
        <v>15026</v>
      </c>
    </row>
    <row r="7824" ht="33.75" customHeight="1">
      <c r="A7824" s="7">
        <v>295.0</v>
      </c>
      <c r="B7824" s="9" t="s">
        <v>14285</v>
      </c>
      <c r="C7824" s="9" t="s">
        <v>438</v>
      </c>
      <c r="D7824" s="9" t="s">
        <v>98</v>
      </c>
      <c r="E7824" s="6" t="s">
        <v>7664</v>
      </c>
      <c r="F7824" s="9" t="s">
        <v>15026</v>
      </c>
    </row>
    <row r="7825" ht="33.75" customHeight="1">
      <c r="A7825" s="7">
        <v>295.0</v>
      </c>
      <c r="B7825" s="9" t="s">
        <v>14285</v>
      </c>
      <c r="C7825" s="9" t="s">
        <v>438</v>
      </c>
      <c r="D7825" s="9" t="s">
        <v>99</v>
      </c>
      <c r="E7825" s="6" t="s">
        <v>7664</v>
      </c>
      <c r="F7825" s="9" t="s">
        <v>15026</v>
      </c>
    </row>
    <row r="7826" ht="33.75" customHeight="1">
      <c r="A7826" s="7">
        <v>295.0</v>
      </c>
      <c r="B7826" s="9" t="s">
        <v>14285</v>
      </c>
      <c r="C7826" s="9" t="s">
        <v>438</v>
      </c>
      <c r="D7826" s="9" t="s">
        <v>101</v>
      </c>
      <c r="E7826" s="6" t="s">
        <v>7664</v>
      </c>
      <c r="F7826" s="9" t="s">
        <v>15026</v>
      </c>
    </row>
    <row r="7827" ht="33.75" customHeight="1">
      <c r="A7827" s="7">
        <v>295.0</v>
      </c>
      <c r="B7827" s="9" t="s">
        <v>14285</v>
      </c>
      <c r="C7827" s="9" t="s">
        <v>438</v>
      </c>
      <c r="D7827" s="9" t="s">
        <v>105</v>
      </c>
      <c r="E7827" s="6" t="s">
        <v>7666</v>
      </c>
      <c r="F7827" s="9" t="s">
        <v>15026</v>
      </c>
    </row>
    <row r="7828" ht="33.75" customHeight="1">
      <c r="A7828" s="7">
        <v>295.0</v>
      </c>
      <c r="B7828" s="9" t="s">
        <v>14285</v>
      </c>
      <c r="C7828" s="9" t="s">
        <v>438</v>
      </c>
      <c r="D7828" s="9" t="s">
        <v>107</v>
      </c>
      <c r="E7828" s="6" t="s">
        <v>7667</v>
      </c>
      <c r="F7828" s="9" t="s">
        <v>15026</v>
      </c>
    </row>
    <row r="7829" ht="33.75" customHeight="1">
      <c r="A7829" s="7">
        <v>295.0</v>
      </c>
      <c r="B7829" s="9" t="s">
        <v>14285</v>
      </c>
      <c r="C7829" s="9" t="s">
        <v>438</v>
      </c>
      <c r="D7829" s="9" t="s">
        <v>109</v>
      </c>
      <c r="E7829" s="6" t="s">
        <v>7670</v>
      </c>
      <c r="F7829" s="9" t="s">
        <v>15026</v>
      </c>
    </row>
    <row r="7830" ht="33.75" customHeight="1">
      <c r="A7830" s="7">
        <v>295.0</v>
      </c>
      <c r="B7830" s="9" t="s">
        <v>14285</v>
      </c>
      <c r="C7830" s="9" t="s">
        <v>438</v>
      </c>
      <c r="D7830" s="9" t="s">
        <v>114</v>
      </c>
      <c r="E7830" s="6" t="s">
        <v>7673</v>
      </c>
      <c r="F7830" s="9" t="s">
        <v>15026</v>
      </c>
    </row>
    <row r="7831" ht="33.75" customHeight="1">
      <c r="A7831" s="7">
        <v>295.0</v>
      </c>
      <c r="B7831" s="9" t="s">
        <v>14285</v>
      </c>
      <c r="C7831" s="9" t="s">
        <v>438</v>
      </c>
      <c r="D7831" s="9" t="s">
        <v>117</v>
      </c>
      <c r="E7831" s="6" t="s">
        <v>7674</v>
      </c>
      <c r="F7831" s="9" t="s">
        <v>15026</v>
      </c>
    </row>
    <row r="7832" ht="33.75" customHeight="1">
      <c r="A7832" s="7">
        <v>296.0</v>
      </c>
      <c r="B7832" s="9" t="s">
        <v>14297</v>
      </c>
      <c r="C7832" s="9" t="s">
        <v>440</v>
      </c>
      <c r="D7832" s="9" t="s">
        <v>67</v>
      </c>
      <c r="E7832" s="6" t="s">
        <v>7676</v>
      </c>
      <c r="F7832" s="9" t="s">
        <v>15042</v>
      </c>
      <c r="G7832" t="inlineStr" s="6">
        <is>
          <t xml:space="preserve">MAKUHITA is tenacious - it will keep getting up and attacking Makuhita's foe however many times it is knocked down. Every time it gets back up, this POKéMON stores more energy in its body for evolving. MAKUHITA has a tireless spirit - it will never give up hope. It eats a lot of food, gets plenty of sleep, and it trains very rigorously. By living that way, this POKéMON packs its body with energy. It loves to toughen up its body above all else. If you hear quaking rumbles in a cave, it is the sound of MAKUHITA undertaking strenuous training. It grows stronger by enduring harsh training. It is a gutsy POKéMON that can withstand any attack. It toughens its body by slamming into thick trees. Many snapped trees can be found near its nest. It toughens up by slamming into thick trees over and over. It gains a sturdy body and dauntless spirit. Makuhita is tenacious—it will keep getting up and attacking its foe however many times it is knocked down. Makuhita has a tireless spirit—it will never give up hope. It was originally brought in from another region, but now Makuhita from Alola are more famous. Their daily routine consists of training together first thing in the morning, eating and napping in the afternoon, and then more training afterward. It practices its slaps by repeatedly slapping tree trunks. It has been known to slap an Exeggutor and get flung away. There’s a rumor of a traditional recipe for stew that Trainers can use to raise strong Makuhita.</t>
        </is>
      </c>
    </row>
    <row r="7833" ht="33.75" customHeight="1">
      <c r="A7833" s="7">
        <v>296.0</v>
      </c>
      <c r="B7833" s="9" t="s">
        <v>14297</v>
      </c>
      <c r="C7833" s="9" t="s">
        <v>440</v>
      </c>
      <c r="D7833" s="9" t="s">
        <v>71</v>
      </c>
      <c r="E7833" s="6" t="s">
        <v>7678</v>
      </c>
      <c r="F7833" s="9" t="s">
        <v>15042</v>
      </c>
    </row>
    <row r="7834" ht="33.75" customHeight="1">
      <c r="A7834" s="7">
        <v>296.0</v>
      </c>
      <c r="B7834" s="9" t="s">
        <v>14297</v>
      </c>
      <c r="C7834" s="9" t="s">
        <v>440</v>
      </c>
      <c r="D7834" s="9" t="s">
        <v>73</v>
      </c>
      <c r="E7834" s="6" t="s">
        <v>7680</v>
      </c>
      <c r="F7834" s="9" t="s">
        <v>15042</v>
      </c>
    </row>
    <row r="7835" ht="33.75" customHeight="1">
      <c r="A7835" s="7">
        <v>296.0</v>
      </c>
      <c r="B7835" s="9" t="s">
        <v>14297</v>
      </c>
      <c r="C7835" s="9" t="s">
        <v>440</v>
      </c>
      <c r="D7835" s="9" t="s">
        <v>75</v>
      </c>
      <c r="E7835" s="6" t="s">
        <v>7682</v>
      </c>
      <c r="F7835" s="9" t="s">
        <v>15042</v>
      </c>
    </row>
    <row r="7836" ht="33.75" customHeight="1">
      <c r="A7836" s="7">
        <v>296.0</v>
      </c>
      <c r="B7836" s="9" t="s">
        <v>14297</v>
      </c>
      <c r="C7836" s="9" t="s">
        <v>440</v>
      </c>
      <c r="D7836" s="9" t="s">
        <v>79</v>
      </c>
      <c r="E7836" s="6" t="s">
        <v>7682</v>
      </c>
      <c r="F7836" s="9" t="s">
        <v>15042</v>
      </c>
    </row>
    <row r="7837" ht="33.75" customHeight="1">
      <c r="A7837" s="7">
        <v>296.0</v>
      </c>
      <c r="B7837" s="9" t="s">
        <v>14297</v>
      </c>
      <c r="C7837" s="9" t="s">
        <v>440</v>
      </c>
      <c r="D7837" s="9" t="s">
        <v>81</v>
      </c>
      <c r="E7837" s="6" t="s">
        <v>7684</v>
      </c>
      <c r="F7837" s="9" t="s">
        <v>15042</v>
      </c>
    </row>
    <row r="7838" ht="33.75" customHeight="1">
      <c r="A7838" s="7">
        <v>296.0</v>
      </c>
      <c r="B7838" s="9" t="s">
        <v>14297</v>
      </c>
      <c r="C7838" s="9" t="s">
        <v>440</v>
      </c>
      <c r="D7838" s="9" t="s">
        <v>84</v>
      </c>
      <c r="E7838" s="6" t="s">
        <v>7684</v>
      </c>
      <c r="F7838" s="9" t="s">
        <v>15042</v>
      </c>
    </row>
    <row r="7839" ht="33.75" customHeight="1">
      <c r="A7839" s="7">
        <v>296.0</v>
      </c>
      <c r="B7839" s="9" t="s">
        <v>14297</v>
      </c>
      <c r="C7839" s="9" t="s">
        <v>440</v>
      </c>
      <c r="D7839" s="9" t="s">
        <v>87</v>
      </c>
      <c r="E7839" s="6" t="s">
        <v>7684</v>
      </c>
      <c r="F7839" s="9" t="s">
        <v>15042</v>
      </c>
    </row>
    <row r="7840" ht="33.75" customHeight="1">
      <c r="A7840" s="7">
        <v>296.0</v>
      </c>
      <c r="B7840" s="9" t="s">
        <v>14297</v>
      </c>
      <c r="C7840" s="9" t="s">
        <v>440</v>
      </c>
      <c r="D7840" s="9" t="s">
        <v>89</v>
      </c>
      <c r="E7840" s="6" t="s">
        <v>7685</v>
      </c>
      <c r="F7840" s="9" t="s">
        <v>15042</v>
      </c>
    </row>
    <row r="7841" ht="33.75" customHeight="1">
      <c r="A7841" s="7">
        <v>296.0</v>
      </c>
      <c r="B7841" s="9" t="s">
        <v>14297</v>
      </c>
      <c r="C7841" s="9" t="s">
        <v>440</v>
      </c>
      <c r="D7841" s="9" t="s">
        <v>91</v>
      </c>
      <c r="E7841" s="6" t="s">
        <v>7685</v>
      </c>
      <c r="F7841" s="9" t="s">
        <v>15042</v>
      </c>
    </row>
    <row r="7842" ht="33.75" customHeight="1">
      <c r="A7842" s="7">
        <v>296.0</v>
      </c>
      <c r="B7842" s="9" t="s">
        <v>14297</v>
      </c>
      <c r="C7842" s="9" t="s">
        <v>440</v>
      </c>
      <c r="D7842" s="9" t="s">
        <v>93</v>
      </c>
      <c r="E7842" s="6" t="s">
        <v>7684</v>
      </c>
      <c r="F7842" s="9" t="s">
        <v>15042</v>
      </c>
    </row>
    <row r="7843" ht="33.75" customHeight="1">
      <c r="A7843" s="7">
        <v>296.0</v>
      </c>
      <c r="B7843" s="9" t="s">
        <v>14297</v>
      </c>
      <c r="C7843" s="9" t="s">
        <v>440</v>
      </c>
      <c r="D7843" s="9" t="s">
        <v>95</v>
      </c>
      <c r="E7843" s="6" t="s">
        <v>7684</v>
      </c>
      <c r="F7843" s="9" t="s">
        <v>15042</v>
      </c>
    </row>
    <row r="7844" ht="33.75" customHeight="1">
      <c r="A7844" s="7">
        <v>296.0</v>
      </c>
      <c r="B7844" s="9" t="s">
        <v>14297</v>
      </c>
      <c r="C7844" s="9" t="s">
        <v>440</v>
      </c>
      <c r="D7844" s="9" t="s">
        <v>98</v>
      </c>
      <c r="E7844" s="6" t="s">
        <v>7684</v>
      </c>
      <c r="F7844" s="9" t="s">
        <v>15042</v>
      </c>
    </row>
    <row r="7845" ht="33.75" customHeight="1">
      <c r="A7845" s="7">
        <v>296.0</v>
      </c>
      <c r="B7845" s="9" t="s">
        <v>14297</v>
      </c>
      <c r="C7845" s="9" t="s">
        <v>440</v>
      </c>
      <c r="D7845" s="9" t="s">
        <v>99</v>
      </c>
      <c r="E7845" s="6" t="s">
        <v>7684</v>
      </c>
      <c r="F7845" s="9" t="s">
        <v>15042</v>
      </c>
    </row>
    <row r="7846" ht="33.75" customHeight="1">
      <c r="A7846" s="7">
        <v>296.0</v>
      </c>
      <c r="B7846" s="9" t="s">
        <v>14297</v>
      </c>
      <c r="C7846" s="9" t="s">
        <v>440</v>
      </c>
      <c r="D7846" s="9" t="s">
        <v>101</v>
      </c>
      <c r="E7846" s="6" t="s">
        <v>7685</v>
      </c>
      <c r="F7846" s="9" t="s">
        <v>15042</v>
      </c>
    </row>
    <row r="7847" ht="33.75" customHeight="1">
      <c r="A7847" s="7">
        <v>296.0</v>
      </c>
      <c r="B7847" s="9" t="s">
        <v>14297</v>
      </c>
      <c r="C7847" s="9" t="s">
        <v>440</v>
      </c>
      <c r="D7847" s="9" t="s">
        <v>105</v>
      </c>
      <c r="E7847" s="6" t="s">
        <v>7687</v>
      </c>
      <c r="F7847" s="9" t="s">
        <v>15042</v>
      </c>
    </row>
    <row r="7848" ht="33.75" customHeight="1">
      <c r="A7848" s="7">
        <v>296.0</v>
      </c>
      <c r="B7848" s="9" t="s">
        <v>14297</v>
      </c>
      <c r="C7848" s="9" t="s">
        <v>440</v>
      </c>
      <c r="D7848" s="9" t="s">
        <v>107</v>
      </c>
      <c r="E7848" s="6" t="s">
        <v>7688</v>
      </c>
      <c r="F7848" s="9" t="s">
        <v>15042</v>
      </c>
    </row>
    <row r="7849" ht="33.75" customHeight="1">
      <c r="A7849" s="7">
        <v>296.0</v>
      </c>
      <c r="B7849" s="9" t="s">
        <v>14297</v>
      </c>
      <c r="C7849" s="9" t="s">
        <v>440</v>
      </c>
      <c r="D7849" s="9" t="s">
        <v>109</v>
      </c>
      <c r="E7849" s="6" t="s">
        <v>7691</v>
      </c>
      <c r="F7849" s="9" t="s">
        <v>15042</v>
      </c>
    </row>
    <row r="7850" ht="33.75" customHeight="1">
      <c r="A7850" s="7">
        <v>296.0</v>
      </c>
      <c r="B7850" s="9" t="s">
        <v>14297</v>
      </c>
      <c r="C7850" s="9" t="s">
        <v>440</v>
      </c>
      <c r="D7850" s="9" t="s">
        <v>637</v>
      </c>
      <c r="E7850" s="6" t="s">
        <v>7692</v>
      </c>
      <c r="F7850" s="9" t="s">
        <v>15042</v>
      </c>
    </row>
    <row r="7851" ht="33.75" customHeight="1">
      <c r="A7851" s="7">
        <v>296.0</v>
      </c>
      <c r="B7851" s="9" t="s">
        <v>14297</v>
      </c>
      <c r="C7851" s="9" t="s">
        <v>440</v>
      </c>
      <c r="D7851" s="9" t="s">
        <v>642</v>
      </c>
      <c r="E7851" s="6" t="s">
        <v>7694</v>
      </c>
      <c r="F7851" s="9" t="s">
        <v>15042</v>
      </c>
    </row>
    <row r="7852" ht="33.75" customHeight="1">
      <c r="A7852" s="7">
        <v>296.0</v>
      </c>
      <c r="B7852" s="9" t="s">
        <v>14297</v>
      </c>
      <c r="C7852" s="9" t="s">
        <v>440</v>
      </c>
      <c r="D7852" s="9" t="s">
        <v>647</v>
      </c>
      <c r="E7852" s="6" t="s">
        <v>7695</v>
      </c>
      <c r="F7852" s="9" t="s">
        <v>15042</v>
      </c>
    </row>
    <row r="7853" ht="33.75" customHeight="1">
      <c r="A7853" s="7">
        <v>296.0</v>
      </c>
      <c r="B7853" s="9" t="s">
        <v>14297</v>
      </c>
      <c r="C7853" s="9" t="s">
        <v>440</v>
      </c>
      <c r="D7853" s="9" t="s">
        <v>652</v>
      </c>
      <c r="E7853" s="6" t="s">
        <v>7697</v>
      </c>
      <c r="F7853" s="9" t="s">
        <v>15042</v>
      </c>
    </row>
    <row r="7854" ht="33.75" customHeight="1">
      <c r="A7854" s="7">
        <v>297.0</v>
      </c>
      <c r="B7854" s="9" t="s">
        <v>14313</v>
      </c>
      <c r="C7854" s="9" t="s">
        <v>441</v>
      </c>
      <c r="D7854" s="9" t="s">
        <v>67</v>
      </c>
      <c r="E7854" s="6" t="s">
        <v>7698</v>
      </c>
      <c r="F7854" s="9" t="s">
        <v>15057</v>
      </c>
      <c r="G7854" t="inlineStr" s="6">
        <is>
          <t xml:space="preserve">HARIYAMA practices Hariyama's straight-arm slaps in any number of locations. One hit of this POKéMON’s powerful, openhanded, straight-arm punches could snap a telephone pole in two. HARIYAMA’s thick body may appear fat, but it is actually a hunk of solid muscle. If this POKéMON bears down and tightens all its muscles, its body becomes as hard as a rock. It has the habit of challenging others without hesitation to tests of strength. It’s been known to stand on train tracks and stop trains using forearm thrusts. It stomps on the ground to build power. It can send a 10-ton truck flying with a straight-arm punch. It loves to match power with big-bodied Pokémon. It can knock a truck flying with its arm thrusts. It loves challenging others to tests of strength. It has the power to stop a train with a slap. It is known for its fantastic strength, but as it grows older, it focuses more on training Makuhita. They love to compare their freakish strength— strength enough to send a truck flying with a single slap. Although they enjoy comparing their strength, they’re also kind. They value etiquette, praising opponents they battle. Hariyama that are big and fat aren’t necessarily strong. There are some small ones that move nimbly and use moves skillfully.</t>
        </is>
      </c>
    </row>
    <row r="7855" ht="33.75" customHeight="1">
      <c r="A7855" s="7">
        <v>297.0</v>
      </c>
      <c r="B7855" s="9" t="s">
        <v>14313</v>
      </c>
      <c r="C7855" s="9" t="s">
        <v>441</v>
      </c>
      <c r="D7855" s="9" t="s">
        <v>71</v>
      </c>
      <c r="E7855" s="6" t="s">
        <v>7700</v>
      </c>
      <c r="F7855" s="9" t="s">
        <v>15057</v>
      </c>
    </row>
    <row r="7856" ht="33.75" customHeight="1">
      <c r="A7856" s="7">
        <v>297.0</v>
      </c>
      <c r="B7856" s="9" t="s">
        <v>14313</v>
      </c>
      <c r="C7856" s="9" t="s">
        <v>441</v>
      </c>
      <c r="D7856" s="9" t="s">
        <v>73</v>
      </c>
      <c r="E7856" s="6" t="s">
        <v>7702</v>
      </c>
      <c r="F7856" s="9" t="s">
        <v>15057</v>
      </c>
    </row>
    <row r="7857" ht="33.75" customHeight="1">
      <c r="A7857" s="7">
        <v>297.0</v>
      </c>
      <c r="B7857" s="9" t="s">
        <v>14313</v>
      </c>
      <c r="C7857" s="9" t="s">
        <v>441</v>
      </c>
      <c r="D7857" s="9" t="s">
        <v>75</v>
      </c>
      <c r="E7857" s="6" t="s">
        <v>7703</v>
      </c>
      <c r="F7857" s="9" t="s">
        <v>15057</v>
      </c>
    </row>
    <row r="7858" ht="33.75" customHeight="1">
      <c r="A7858" s="7">
        <v>297.0</v>
      </c>
      <c r="B7858" s="9" t="s">
        <v>14313</v>
      </c>
      <c r="C7858" s="9" t="s">
        <v>441</v>
      </c>
      <c r="D7858" s="9" t="s">
        <v>79</v>
      </c>
      <c r="E7858" s="6" t="s">
        <v>7703</v>
      </c>
      <c r="F7858" s="9" t="s">
        <v>15057</v>
      </c>
    </row>
    <row r="7859" ht="33.75" customHeight="1">
      <c r="A7859" s="7">
        <v>297.0</v>
      </c>
      <c r="B7859" s="9" t="s">
        <v>14313</v>
      </c>
      <c r="C7859" s="9" t="s">
        <v>441</v>
      </c>
      <c r="D7859" s="9" t="s">
        <v>81</v>
      </c>
      <c r="E7859" s="6" t="s">
        <v>7704</v>
      </c>
      <c r="F7859" s="9" t="s">
        <v>15057</v>
      </c>
    </row>
    <row r="7860" ht="33.75" customHeight="1">
      <c r="A7860" s="7">
        <v>297.0</v>
      </c>
      <c r="B7860" s="9" t="s">
        <v>14313</v>
      </c>
      <c r="C7860" s="9" t="s">
        <v>441</v>
      </c>
      <c r="D7860" s="9" t="s">
        <v>84</v>
      </c>
      <c r="E7860" s="6" t="s">
        <v>7704</v>
      </c>
      <c r="F7860" s="9" t="s">
        <v>15057</v>
      </c>
    </row>
    <row r="7861" ht="33.75" customHeight="1">
      <c r="A7861" s="7">
        <v>297.0</v>
      </c>
      <c r="B7861" s="9" t="s">
        <v>14313</v>
      </c>
      <c r="C7861" s="9" t="s">
        <v>441</v>
      </c>
      <c r="D7861" s="9" t="s">
        <v>87</v>
      </c>
      <c r="E7861" s="6" t="s">
        <v>7704</v>
      </c>
      <c r="F7861" s="9" t="s">
        <v>15057</v>
      </c>
    </row>
    <row r="7862" ht="33.75" customHeight="1">
      <c r="A7862" s="7">
        <v>297.0</v>
      </c>
      <c r="B7862" s="9" t="s">
        <v>14313</v>
      </c>
      <c r="C7862" s="9" t="s">
        <v>441</v>
      </c>
      <c r="D7862" s="9" t="s">
        <v>89</v>
      </c>
      <c r="E7862" s="6" t="s">
        <v>7705</v>
      </c>
      <c r="F7862" s="9" t="s">
        <v>15057</v>
      </c>
    </row>
    <row r="7863" ht="33.75" customHeight="1">
      <c r="A7863" s="7">
        <v>297.0</v>
      </c>
      <c r="B7863" s="9" t="s">
        <v>14313</v>
      </c>
      <c r="C7863" s="9" t="s">
        <v>441</v>
      </c>
      <c r="D7863" s="9" t="s">
        <v>91</v>
      </c>
      <c r="E7863" s="6" t="s">
        <v>7705</v>
      </c>
      <c r="F7863" s="9" t="s">
        <v>15057</v>
      </c>
    </row>
    <row r="7864" ht="33.75" customHeight="1">
      <c r="A7864" s="7">
        <v>297.0</v>
      </c>
      <c r="B7864" s="9" t="s">
        <v>14313</v>
      </c>
      <c r="C7864" s="9" t="s">
        <v>441</v>
      </c>
      <c r="D7864" s="9" t="s">
        <v>93</v>
      </c>
      <c r="E7864" s="6" t="s">
        <v>7704</v>
      </c>
      <c r="F7864" s="9" t="s">
        <v>15057</v>
      </c>
    </row>
    <row r="7865" ht="33.75" customHeight="1">
      <c r="A7865" s="7">
        <v>297.0</v>
      </c>
      <c r="B7865" s="9" t="s">
        <v>14313</v>
      </c>
      <c r="C7865" s="9" t="s">
        <v>441</v>
      </c>
      <c r="D7865" s="9" t="s">
        <v>95</v>
      </c>
      <c r="E7865" s="6" t="s">
        <v>7704</v>
      </c>
      <c r="F7865" s="9" t="s">
        <v>15057</v>
      </c>
    </row>
    <row r="7866" ht="33.75" customHeight="1">
      <c r="A7866" s="7">
        <v>297.0</v>
      </c>
      <c r="B7866" s="9" t="s">
        <v>14313</v>
      </c>
      <c r="C7866" s="9" t="s">
        <v>441</v>
      </c>
      <c r="D7866" s="9" t="s">
        <v>98</v>
      </c>
      <c r="E7866" s="6" t="s">
        <v>7704</v>
      </c>
      <c r="F7866" s="9" t="s">
        <v>15057</v>
      </c>
    </row>
    <row r="7867" ht="33.75" customHeight="1">
      <c r="A7867" s="7">
        <v>297.0</v>
      </c>
      <c r="B7867" s="9" t="s">
        <v>14313</v>
      </c>
      <c r="C7867" s="9" t="s">
        <v>441</v>
      </c>
      <c r="D7867" s="9" t="s">
        <v>99</v>
      </c>
      <c r="E7867" s="6" t="s">
        <v>7704</v>
      </c>
      <c r="F7867" s="9" t="s">
        <v>15057</v>
      </c>
    </row>
    <row r="7868" ht="33.75" customHeight="1">
      <c r="A7868" s="7">
        <v>297.0</v>
      </c>
      <c r="B7868" s="9" t="s">
        <v>14313</v>
      </c>
      <c r="C7868" s="9" t="s">
        <v>441</v>
      </c>
      <c r="D7868" s="9" t="s">
        <v>101</v>
      </c>
      <c r="E7868" s="6" t="s">
        <v>7703</v>
      </c>
      <c r="F7868" s="9" t="s">
        <v>15057</v>
      </c>
    </row>
    <row r="7869" ht="33.75" customHeight="1">
      <c r="A7869" s="7">
        <v>297.0</v>
      </c>
      <c r="B7869" s="9" t="s">
        <v>14313</v>
      </c>
      <c r="C7869" s="9" t="s">
        <v>441</v>
      </c>
      <c r="D7869" s="9" t="s">
        <v>105</v>
      </c>
      <c r="E7869" s="6" t="s">
        <v>7704</v>
      </c>
      <c r="F7869" s="9" t="s">
        <v>15057</v>
      </c>
    </row>
    <row r="7870" ht="33.75" customHeight="1">
      <c r="A7870" s="7">
        <v>297.0</v>
      </c>
      <c r="B7870" s="9" t="s">
        <v>14313</v>
      </c>
      <c r="C7870" s="9" t="s">
        <v>441</v>
      </c>
      <c r="D7870" s="9" t="s">
        <v>107</v>
      </c>
      <c r="E7870" s="6" t="s">
        <v>7706</v>
      </c>
      <c r="F7870" s="9" t="s">
        <v>15057</v>
      </c>
    </row>
    <row r="7871" ht="33.75" customHeight="1">
      <c r="A7871" s="7">
        <v>297.0</v>
      </c>
      <c r="B7871" s="9" t="s">
        <v>14313</v>
      </c>
      <c r="C7871" s="9" t="s">
        <v>441</v>
      </c>
      <c r="D7871" s="9" t="s">
        <v>109</v>
      </c>
      <c r="E7871" s="6" t="s">
        <v>7707</v>
      </c>
      <c r="F7871" s="9" t="s">
        <v>15057</v>
      </c>
    </row>
    <row r="7872" ht="33.75" customHeight="1">
      <c r="A7872" s="7">
        <v>297.0</v>
      </c>
      <c r="B7872" s="9" t="s">
        <v>14313</v>
      </c>
      <c r="C7872" s="9" t="s">
        <v>441</v>
      </c>
      <c r="D7872" s="9" t="s">
        <v>637</v>
      </c>
      <c r="E7872" s="6" t="s">
        <v>7708</v>
      </c>
      <c r="F7872" s="9" t="s">
        <v>15057</v>
      </c>
    </row>
    <row r="7873" ht="33.75" customHeight="1">
      <c r="A7873" s="7">
        <v>297.0</v>
      </c>
      <c r="B7873" s="9" t="s">
        <v>14313</v>
      </c>
      <c r="C7873" s="9" t="s">
        <v>441</v>
      </c>
      <c r="D7873" s="9" t="s">
        <v>642</v>
      </c>
      <c r="E7873" s="6" t="s">
        <v>7709</v>
      </c>
      <c r="F7873" s="9" t="s">
        <v>15057</v>
      </c>
    </row>
    <row r="7874" ht="33.75" customHeight="1">
      <c r="A7874" s="7">
        <v>297.0</v>
      </c>
      <c r="B7874" s="9" t="s">
        <v>14313</v>
      </c>
      <c r="C7874" s="9" t="s">
        <v>441</v>
      </c>
      <c r="D7874" s="9" t="s">
        <v>647</v>
      </c>
      <c r="E7874" s="6" t="s">
        <v>7711</v>
      </c>
      <c r="F7874" s="9" t="s">
        <v>15057</v>
      </c>
    </row>
    <row r="7875" ht="33.75" customHeight="1">
      <c r="A7875" s="7">
        <v>297.0</v>
      </c>
      <c r="B7875" s="9" t="s">
        <v>14313</v>
      </c>
      <c r="C7875" s="9" t="s">
        <v>441</v>
      </c>
      <c r="D7875" s="9" t="s">
        <v>652</v>
      </c>
      <c r="E7875" s="6" t="s">
        <v>7712</v>
      </c>
      <c r="F7875" s="9" t="s">
        <v>15057</v>
      </c>
    </row>
    <row r="7876" ht="33.75" customHeight="1">
      <c r="A7876" s="7">
        <v>298.0</v>
      </c>
      <c r="B7876" s="9" t="s">
        <v>14328</v>
      </c>
      <c r="C7876" s="9" t="s">
        <v>442</v>
      </c>
      <c r="D7876" s="9" t="s">
        <v>67</v>
      </c>
      <c r="E7876" s="6" t="s">
        <v>7713</v>
      </c>
      <c r="F7876" s="9" t="s">
        <v>15077</v>
      </c>
      <c r="G7876" t="inlineStr" s="6">
        <is>
          <t xml:space="preserve">AZURILL spins Azurill's tail as if it were a lasso, then hurls it far. The momentum of the throw sends its body flying, too. Using this unique action, one of these POKéMON managed to hurl itself a record 33 feet. AZURILL’s tail is large and bouncy. It is packed full of the nutrients this POKéMON needs to grow. AZURILL can be seen bouncing and playing on its big, rubbery tail. Its tail, which is packed with nutrition, is very bouncy like a rubber ball. On sunny days they gather at the edge of water and splash about for fun. It battles by flinging around its tail, which is bigger than its body. The tail is a flotation device in water. A Pokémon that lives by water. It moves quickly on land by bouncing on its big tail. Its tail is filled with nutrients necessary for growth. It plays by bouncing on its tail. Its tail bounces like a rubber ball. It flings that tail around to fight opponents bigger than itself. Its tail is packed full of the nutrients it needs to grow. It swings its large, nutrient-filled tail around to fight opponents bigger than itself. The ball on Azurill’s tail bounces like a rubber ball, and it’s full of the nutrients the Pokémon needs to grow. Although Azurill are normally docile, an angry one will swing around the big ball on its tail and try to smash its opponents.</t>
        </is>
      </c>
    </row>
    <row r="7877" ht="33.75" customHeight="1">
      <c r="A7877" s="7">
        <v>298.0</v>
      </c>
      <c r="B7877" s="9" t="s">
        <v>14328</v>
      </c>
      <c r="C7877" s="9" t="s">
        <v>442</v>
      </c>
      <c r="D7877" s="9" t="s">
        <v>71</v>
      </c>
      <c r="E7877" s="6" t="s">
        <v>7715</v>
      </c>
      <c r="F7877" s="9" t="s">
        <v>15077</v>
      </c>
    </row>
    <row r="7878" ht="33.75" customHeight="1">
      <c r="A7878" s="7">
        <v>298.0</v>
      </c>
      <c r="B7878" s="9" t="s">
        <v>14328</v>
      </c>
      <c r="C7878" s="9" t="s">
        <v>442</v>
      </c>
      <c r="D7878" s="9" t="s">
        <v>73</v>
      </c>
      <c r="E7878" s="6" t="s">
        <v>7717</v>
      </c>
      <c r="F7878" s="9" t="s">
        <v>15077</v>
      </c>
    </row>
    <row r="7879" ht="33.75" customHeight="1">
      <c r="A7879" s="7">
        <v>298.0</v>
      </c>
      <c r="B7879" s="9" t="s">
        <v>14328</v>
      </c>
      <c r="C7879" s="9" t="s">
        <v>442</v>
      </c>
      <c r="D7879" s="9" t="s">
        <v>75</v>
      </c>
      <c r="E7879" s="6" t="s">
        <v>7719</v>
      </c>
      <c r="F7879" s="9" t="s">
        <v>15077</v>
      </c>
    </row>
    <row r="7880" ht="33.75" customHeight="1">
      <c r="A7880" s="7">
        <v>298.0</v>
      </c>
      <c r="B7880" s="9" t="s">
        <v>14328</v>
      </c>
      <c r="C7880" s="9" t="s">
        <v>442</v>
      </c>
      <c r="D7880" s="9" t="s">
        <v>79</v>
      </c>
      <c r="E7880" s="6" t="s">
        <v>7719</v>
      </c>
      <c r="F7880" s="9" t="s">
        <v>15077</v>
      </c>
    </row>
    <row r="7881" ht="33.75" customHeight="1">
      <c r="A7881" s="7">
        <v>298.0</v>
      </c>
      <c r="B7881" s="9" t="s">
        <v>14328</v>
      </c>
      <c r="C7881" s="9" t="s">
        <v>442</v>
      </c>
      <c r="D7881" s="9" t="s">
        <v>81</v>
      </c>
      <c r="E7881" s="6" t="s">
        <v>7720</v>
      </c>
      <c r="F7881" s="9" t="s">
        <v>15077</v>
      </c>
    </row>
    <row r="7882" ht="33.75" customHeight="1">
      <c r="A7882" s="7">
        <v>298.0</v>
      </c>
      <c r="B7882" s="9" t="s">
        <v>14328</v>
      </c>
      <c r="C7882" s="9" t="s">
        <v>442</v>
      </c>
      <c r="D7882" s="9" t="s">
        <v>84</v>
      </c>
      <c r="E7882" s="6" t="s">
        <v>7723</v>
      </c>
      <c r="F7882" s="9" t="s">
        <v>15077</v>
      </c>
    </row>
    <row r="7883" ht="33.75" customHeight="1">
      <c r="A7883" s="7">
        <v>298.0</v>
      </c>
      <c r="B7883" s="9" t="s">
        <v>14328</v>
      </c>
      <c r="C7883" s="9" t="s">
        <v>442</v>
      </c>
      <c r="D7883" s="9" t="s">
        <v>87</v>
      </c>
      <c r="E7883" s="6" t="s">
        <v>7724</v>
      </c>
      <c r="F7883" s="9" t="s">
        <v>15077</v>
      </c>
    </row>
    <row r="7884" ht="33.75" customHeight="1">
      <c r="A7884" s="7">
        <v>298.0</v>
      </c>
      <c r="B7884" s="9" t="s">
        <v>14328</v>
      </c>
      <c r="C7884" s="9" t="s">
        <v>442</v>
      </c>
      <c r="D7884" s="9" t="s">
        <v>89</v>
      </c>
      <c r="E7884" s="6" t="s">
        <v>7726</v>
      </c>
      <c r="F7884" s="9" t="s">
        <v>15077</v>
      </c>
    </row>
    <row r="7885" ht="33.75" customHeight="1">
      <c r="A7885" s="7">
        <v>298.0</v>
      </c>
      <c r="B7885" s="9" t="s">
        <v>14328</v>
      </c>
      <c r="C7885" s="9" t="s">
        <v>442</v>
      </c>
      <c r="D7885" s="9" t="s">
        <v>91</v>
      </c>
      <c r="E7885" s="6" t="s">
        <v>7726</v>
      </c>
      <c r="F7885" s="9" t="s">
        <v>15077</v>
      </c>
    </row>
    <row r="7886" ht="33.75" customHeight="1">
      <c r="A7886" s="7">
        <v>298.0</v>
      </c>
      <c r="B7886" s="9" t="s">
        <v>14328</v>
      </c>
      <c r="C7886" s="9" t="s">
        <v>442</v>
      </c>
      <c r="D7886" s="9" t="s">
        <v>93</v>
      </c>
      <c r="E7886" s="6" t="s">
        <v>7724</v>
      </c>
      <c r="F7886" s="9" t="s">
        <v>15077</v>
      </c>
    </row>
    <row r="7887" ht="33.75" customHeight="1">
      <c r="A7887" s="7">
        <v>298.0</v>
      </c>
      <c r="B7887" s="9" t="s">
        <v>14328</v>
      </c>
      <c r="C7887" s="9" t="s">
        <v>442</v>
      </c>
      <c r="D7887" s="9" t="s">
        <v>95</v>
      </c>
      <c r="E7887" s="6" t="s">
        <v>7724</v>
      </c>
      <c r="F7887" s="9" t="s">
        <v>15077</v>
      </c>
    </row>
    <row r="7888" ht="33.75" customHeight="1">
      <c r="A7888" s="7">
        <v>298.0</v>
      </c>
      <c r="B7888" s="9" t="s">
        <v>14328</v>
      </c>
      <c r="C7888" s="9" t="s">
        <v>442</v>
      </c>
      <c r="D7888" s="9" t="s">
        <v>98</v>
      </c>
      <c r="E7888" s="6" t="s">
        <v>7728</v>
      </c>
      <c r="F7888" s="9" t="s">
        <v>15077</v>
      </c>
    </row>
    <row r="7889" ht="33.75" customHeight="1">
      <c r="A7889" s="7">
        <v>298.0</v>
      </c>
      <c r="B7889" s="9" t="s">
        <v>14328</v>
      </c>
      <c r="C7889" s="9" t="s">
        <v>442</v>
      </c>
      <c r="D7889" s="9" t="s">
        <v>99</v>
      </c>
      <c r="E7889" s="6" t="s">
        <v>7728</v>
      </c>
      <c r="F7889" s="9" t="s">
        <v>15077</v>
      </c>
    </row>
    <row r="7890" ht="33.75" customHeight="1">
      <c r="A7890" s="7">
        <v>298.0</v>
      </c>
      <c r="B7890" s="9" t="s">
        <v>14328</v>
      </c>
      <c r="C7890" s="9" t="s">
        <v>442</v>
      </c>
      <c r="D7890" s="9" t="s">
        <v>101</v>
      </c>
      <c r="E7890" s="6" t="s">
        <v>7720</v>
      </c>
      <c r="F7890" s="9" t="s">
        <v>15077</v>
      </c>
    </row>
    <row r="7891" ht="33.75" customHeight="1">
      <c r="A7891" s="7">
        <v>298.0</v>
      </c>
      <c r="B7891" s="9" t="s">
        <v>14328</v>
      </c>
      <c r="C7891" s="9" t="s">
        <v>442</v>
      </c>
      <c r="D7891" s="9" t="s">
        <v>105</v>
      </c>
      <c r="E7891" s="6" t="s">
        <v>7728</v>
      </c>
      <c r="F7891" s="9" t="s">
        <v>15077</v>
      </c>
    </row>
    <row r="7892" ht="33.75" customHeight="1">
      <c r="A7892" s="7">
        <v>298.0</v>
      </c>
      <c r="B7892" s="9" t="s">
        <v>14328</v>
      </c>
      <c r="C7892" s="9" t="s">
        <v>442</v>
      </c>
      <c r="D7892" s="9" t="s">
        <v>107</v>
      </c>
      <c r="E7892" s="6" t="s">
        <v>7732</v>
      </c>
      <c r="F7892" s="9" t="s">
        <v>15077</v>
      </c>
    </row>
    <row r="7893" ht="33.75" customHeight="1">
      <c r="A7893" s="7">
        <v>298.0</v>
      </c>
      <c r="B7893" s="9" t="s">
        <v>14328</v>
      </c>
      <c r="C7893" s="9" t="s">
        <v>442</v>
      </c>
      <c r="D7893" s="9" t="s">
        <v>109</v>
      </c>
      <c r="E7893" s="6" t="s">
        <v>7733</v>
      </c>
      <c r="F7893" s="9" t="s">
        <v>15077</v>
      </c>
    </row>
    <row r="7894" ht="33.75" customHeight="1">
      <c r="A7894" s="7">
        <v>298.0</v>
      </c>
      <c r="B7894" s="9" t="s">
        <v>14328</v>
      </c>
      <c r="C7894" s="9" t="s">
        <v>442</v>
      </c>
      <c r="D7894" s="9" t="s">
        <v>114</v>
      </c>
      <c r="E7894" s="6" t="s">
        <v>7734</v>
      </c>
      <c r="F7894" s="9" t="s">
        <v>15077</v>
      </c>
    </row>
    <row r="7895" ht="33.75" customHeight="1">
      <c r="A7895" s="7">
        <v>298.0</v>
      </c>
      <c r="B7895" s="9" t="s">
        <v>14328</v>
      </c>
      <c r="C7895" s="9" t="s">
        <v>442</v>
      </c>
      <c r="D7895" s="9" t="s">
        <v>117</v>
      </c>
      <c r="E7895" s="6" t="s">
        <v>7736</v>
      </c>
      <c r="F7895" s="9" t="s">
        <v>15077</v>
      </c>
    </row>
    <row r="7896" ht="33.75" customHeight="1">
      <c r="A7896" s="7">
        <v>299.0</v>
      </c>
      <c r="B7896" s="9" t="s">
        <v>14344</v>
      </c>
      <c r="C7896" s="9" t="s">
        <v>443</v>
      </c>
      <c r="D7896" s="9" t="s">
        <v>67</v>
      </c>
      <c r="E7896" s="6" t="s">
        <v>7737</v>
      </c>
      <c r="F7896" s="9" t="s">
        <v>15102</v>
      </c>
      <c r="G7896" t="inlineStr" s="6">
        <is>
          <t xml:space="preserve">NOSEPASS’s magnetic nose is always pointed to the north. If two of these POKéMON meet, they cannot turn their faces to each other when they are close because their magnetic noses repel one another. NOSEPASS had been said to be completely unmoving, with its magnetic nose pointed due north. However, close observation has revealed that the POKéMON actually moves by a little over 3/8 of an inch every year. Its body emits a powerful magnetism. It feeds on prey that is pulled in by the force. Its magnetism is stronger in cold seasons. Its magnetic nose consistently faces north. Travelers check NOSEPASS to get their bearings. Its nose is a magnet. As a result, this Pokémon always keeps its face pointing north. When endangered, it may protect itself by raising its magnetism and drawing iron objects to its body. If two of these meet, they cannot get too close because their noses repel each other. Its magnetic nose always faces north and draws iron objects to its body to protect itself better. The magnet in Nosepass’s nose provides an unerring compass, making it an excellent partner for Trainers going on a journey. It uses powerful magnetism to drag its prey toward it. It’s also been known to pull in metal, which it collects and uses to protect itself. It moves less than an inch a year, but when it’s in a jam, it will spin and drill down into the ground in a split second. It hunts without twitching a muscle by pulling in its prey with powerful magnetism. But sometimes it pulls natural enemies in close. Once the people of Hisui discovered that its red nose always points north, they grew to rely on it greatly when traveling afar. The nose seems to work in a similar way to ancient compasses.</t>
        </is>
      </c>
    </row>
    <row r="7897" ht="33.75" customHeight="1">
      <c r="A7897" s="7">
        <v>299.0</v>
      </c>
      <c r="B7897" s="9" t="s">
        <v>14344</v>
      </c>
      <c r="C7897" s="9" t="s">
        <v>443</v>
      </c>
      <c r="D7897" s="9" t="s">
        <v>71</v>
      </c>
      <c r="E7897" s="6" t="s">
        <v>7739</v>
      </c>
      <c r="F7897" s="9" t="s">
        <v>15102</v>
      </c>
    </row>
    <row r="7898" ht="33.75" customHeight="1">
      <c r="A7898" s="7">
        <v>299.0</v>
      </c>
      <c r="B7898" s="9" t="s">
        <v>14344</v>
      </c>
      <c r="C7898" s="9" t="s">
        <v>443</v>
      </c>
      <c r="D7898" s="9" t="s">
        <v>73</v>
      </c>
      <c r="E7898" s="6" t="s">
        <v>7740</v>
      </c>
      <c r="F7898" s="9" t="s">
        <v>15102</v>
      </c>
    </row>
    <row r="7899" ht="33.75" customHeight="1">
      <c r="A7899" s="7">
        <v>299.0</v>
      </c>
      <c r="B7899" s="9" t="s">
        <v>14344</v>
      </c>
      <c r="C7899" s="9" t="s">
        <v>443</v>
      </c>
      <c r="D7899" s="9" t="s">
        <v>75</v>
      </c>
      <c r="E7899" s="6" t="s">
        <v>7742</v>
      </c>
      <c r="F7899" s="9" t="s">
        <v>15102</v>
      </c>
    </row>
    <row r="7900" ht="33.75" customHeight="1">
      <c r="A7900" s="7">
        <v>299.0</v>
      </c>
      <c r="B7900" s="9" t="s">
        <v>14344</v>
      </c>
      <c r="C7900" s="9" t="s">
        <v>443</v>
      </c>
      <c r="D7900" s="9" t="s">
        <v>79</v>
      </c>
      <c r="E7900" s="6" t="s">
        <v>7742</v>
      </c>
      <c r="F7900" s="9" t="s">
        <v>15102</v>
      </c>
    </row>
    <row r="7901" ht="33.75" customHeight="1">
      <c r="A7901" s="7">
        <v>299.0</v>
      </c>
      <c r="B7901" s="9" t="s">
        <v>14344</v>
      </c>
      <c r="C7901" s="9" t="s">
        <v>443</v>
      </c>
      <c r="D7901" s="9" t="s">
        <v>81</v>
      </c>
      <c r="E7901" s="6" t="s">
        <v>7744</v>
      </c>
      <c r="F7901" s="9" t="s">
        <v>15102</v>
      </c>
    </row>
    <row r="7902" ht="33.75" customHeight="1">
      <c r="A7902" s="7">
        <v>299.0</v>
      </c>
      <c r="B7902" s="9" t="s">
        <v>14344</v>
      </c>
      <c r="C7902" s="9" t="s">
        <v>443</v>
      </c>
      <c r="D7902" s="9" t="s">
        <v>84</v>
      </c>
      <c r="E7902" s="6" t="s">
        <v>7744</v>
      </c>
      <c r="F7902" s="9" t="s">
        <v>15102</v>
      </c>
    </row>
    <row r="7903" ht="33.75" customHeight="1">
      <c r="A7903" s="7">
        <v>299.0</v>
      </c>
      <c r="B7903" s="9" t="s">
        <v>14344</v>
      </c>
      <c r="C7903" s="9" t="s">
        <v>443</v>
      </c>
      <c r="D7903" s="9" t="s">
        <v>87</v>
      </c>
      <c r="E7903" s="6" t="s">
        <v>7745</v>
      </c>
      <c r="F7903" s="9" t="s">
        <v>15102</v>
      </c>
    </row>
    <row r="7904" ht="33.75" customHeight="1">
      <c r="A7904" s="7">
        <v>299.0</v>
      </c>
      <c r="B7904" s="9" t="s">
        <v>14344</v>
      </c>
      <c r="C7904" s="9" t="s">
        <v>443</v>
      </c>
      <c r="D7904" s="9" t="s">
        <v>89</v>
      </c>
      <c r="E7904" s="6" t="s">
        <v>7747</v>
      </c>
      <c r="F7904" s="9" t="s">
        <v>15102</v>
      </c>
    </row>
    <row r="7905" ht="33.75" customHeight="1">
      <c r="A7905" s="7">
        <v>299.0</v>
      </c>
      <c r="B7905" s="9" t="s">
        <v>14344</v>
      </c>
      <c r="C7905" s="9" t="s">
        <v>443</v>
      </c>
      <c r="D7905" s="9" t="s">
        <v>91</v>
      </c>
      <c r="E7905" s="6" t="s">
        <v>7747</v>
      </c>
      <c r="F7905" s="9" t="s">
        <v>15102</v>
      </c>
    </row>
    <row r="7906" ht="33.75" customHeight="1">
      <c r="A7906" s="7">
        <v>299.0</v>
      </c>
      <c r="B7906" s="9" t="s">
        <v>14344</v>
      </c>
      <c r="C7906" s="9" t="s">
        <v>443</v>
      </c>
      <c r="D7906" s="9" t="s">
        <v>93</v>
      </c>
      <c r="E7906" s="6" t="s">
        <v>7745</v>
      </c>
      <c r="F7906" s="9" t="s">
        <v>15102</v>
      </c>
    </row>
    <row r="7907" ht="33.75" customHeight="1">
      <c r="A7907" s="7">
        <v>299.0</v>
      </c>
      <c r="B7907" s="9" t="s">
        <v>14344</v>
      </c>
      <c r="C7907" s="9" t="s">
        <v>443</v>
      </c>
      <c r="D7907" s="9" t="s">
        <v>95</v>
      </c>
      <c r="E7907" s="6" t="s">
        <v>7745</v>
      </c>
      <c r="F7907" s="9" t="s">
        <v>15102</v>
      </c>
    </row>
    <row r="7908" ht="33.75" customHeight="1">
      <c r="A7908" s="7">
        <v>299.0</v>
      </c>
      <c r="B7908" s="9" t="s">
        <v>14344</v>
      </c>
      <c r="C7908" s="9" t="s">
        <v>443</v>
      </c>
      <c r="D7908" s="9" t="s">
        <v>98</v>
      </c>
      <c r="E7908" s="6" t="s">
        <v>7748</v>
      </c>
      <c r="F7908" s="9" t="s">
        <v>15102</v>
      </c>
    </row>
    <row r="7909" ht="33.75" customHeight="1">
      <c r="A7909" s="7">
        <v>299.0</v>
      </c>
      <c r="B7909" s="9" t="s">
        <v>14344</v>
      </c>
      <c r="C7909" s="9" t="s">
        <v>443</v>
      </c>
      <c r="D7909" s="9" t="s">
        <v>99</v>
      </c>
      <c r="E7909" s="6" t="s">
        <v>7748</v>
      </c>
      <c r="F7909" s="9" t="s">
        <v>15102</v>
      </c>
    </row>
    <row r="7910" ht="33.75" customHeight="1">
      <c r="A7910" s="7">
        <v>299.0</v>
      </c>
      <c r="B7910" s="9" t="s">
        <v>14344</v>
      </c>
      <c r="C7910" s="9" t="s">
        <v>443</v>
      </c>
      <c r="D7910" s="9" t="s">
        <v>101</v>
      </c>
      <c r="E7910" s="6" t="s">
        <v>7748</v>
      </c>
      <c r="F7910" s="9" t="s">
        <v>15102</v>
      </c>
    </row>
    <row r="7911" ht="33.75" customHeight="1">
      <c r="A7911" s="7">
        <v>299.0</v>
      </c>
      <c r="B7911" s="9" t="s">
        <v>14344</v>
      </c>
      <c r="C7911" s="9" t="s">
        <v>443</v>
      </c>
      <c r="D7911" s="9" t="s">
        <v>105</v>
      </c>
      <c r="E7911" s="6" t="s">
        <v>7750</v>
      </c>
      <c r="F7911" s="9" t="s">
        <v>15102</v>
      </c>
    </row>
    <row r="7912" ht="33.75" customHeight="1">
      <c r="A7912" s="7">
        <v>299.0</v>
      </c>
      <c r="B7912" s="9" t="s">
        <v>14344</v>
      </c>
      <c r="C7912" s="9" t="s">
        <v>443</v>
      </c>
      <c r="D7912" s="9" t="s">
        <v>107</v>
      </c>
      <c r="E7912" s="6" t="s">
        <v>7752</v>
      </c>
      <c r="F7912" s="9" t="s">
        <v>15102</v>
      </c>
    </row>
    <row r="7913" ht="33.75" customHeight="1">
      <c r="A7913" s="7">
        <v>299.0</v>
      </c>
      <c r="B7913" s="9" t="s">
        <v>14344</v>
      </c>
      <c r="C7913" s="9" t="s">
        <v>443</v>
      </c>
      <c r="D7913" s="9" t="s">
        <v>109</v>
      </c>
      <c r="E7913" s="6" t="s">
        <v>7754</v>
      </c>
      <c r="F7913" s="9" t="s">
        <v>15102</v>
      </c>
    </row>
    <row r="7914" ht="33.75" customHeight="1">
      <c r="A7914" s="7">
        <v>299.0</v>
      </c>
      <c r="B7914" s="9" t="s">
        <v>14344</v>
      </c>
      <c r="C7914" s="9" t="s">
        <v>443</v>
      </c>
      <c r="D7914" s="9" t="s">
        <v>637</v>
      </c>
      <c r="E7914" s="6" t="s">
        <v>7755</v>
      </c>
      <c r="F7914" s="9" t="s">
        <v>15102</v>
      </c>
    </row>
    <row r="7915" ht="33.75" customHeight="1">
      <c r="A7915" s="7">
        <v>299.0</v>
      </c>
      <c r="B7915" s="9" t="s">
        <v>14344</v>
      </c>
      <c r="C7915" s="9" t="s">
        <v>443</v>
      </c>
      <c r="D7915" s="9" t="s">
        <v>642</v>
      </c>
      <c r="E7915" s="6" t="s">
        <v>7757</v>
      </c>
      <c r="F7915" s="9" t="s">
        <v>15102</v>
      </c>
    </row>
    <row r="7916" ht="33.75" customHeight="1">
      <c r="A7916" s="7">
        <v>299.0</v>
      </c>
      <c r="B7916" s="9" t="s">
        <v>14344</v>
      </c>
      <c r="C7916" s="9" t="s">
        <v>443</v>
      </c>
      <c r="D7916" s="9" t="s">
        <v>647</v>
      </c>
      <c r="E7916" s="6" t="s">
        <v>7758</v>
      </c>
      <c r="F7916" s="9" t="s">
        <v>15102</v>
      </c>
    </row>
    <row r="7917" ht="33.75" customHeight="1">
      <c r="A7917" s="7">
        <v>299.0</v>
      </c>
      <c r="B7917" s="9" t="s">
        <v>14344</v>
      </c>
      <c r="C7917" s="9" t="s">
        <v>443</v>
      </c>
      <c r="D7917" s="9" t="s">
        <v>652</v>
      </c>
      <c r="E7917" s="6" t="s">
        <v>7760</v>
      </c>
      <c r="F7917" s="9" t="s">
        <v>15102</v>
      </c>
    </row>
    <row r="7918" ht="33.75" customHeight="1">
      <c r="A7918" s="7">
        <v>299.0</v>
      </c>
      <c r="B7918" s="9" t="s">
        <v>14344</v>
      </c>
      <c r="C7918" s="9" t="s">
        <v>443</v>
      </c>
      <c r="D7918" s="9" t="s">
        <v>1577</v>
      </c>
      <c r="E7918" s="6" t="s">
        <v>7762</v>
      </c>
      <c r="F7918" s="9" t="s">
        <v>15102</v>
      </c>
    </row>
    <row r="7919" ht="33.75" customHeight="1">
      <c r="A7919" s="7">
        <v>300.0</v>
      </c>
      <c r="B7919" s="9" t="s">
        <v>14363</v>
      </c>
      <c r="C7919" s="9" t="s">
        <v>446</v>
      </c>
      <c r="D7919" s="9" t="s">
        <v>67</v>
      </c>
      <c r="E7919" s="6" t="s">
        <v>7763</v>
      </c>
      <c r="F7919" s="9" t="s">
        <v>15123</v>
      </c>
      <c r="G7919" t="inlineStr" s="6">
        <is>
          <t xml:space="preserve">SKITTY has the habit of becoming fascinated by moving objects and chasing them around. This POKéMON is known to chase after its own tail and become dizzy. SKITTY is known to chase around playfully after its own tail. In the wild, this POKéMON lives in holes in the trees of forests. It is very popular as a pet because of its adorable looks. A SKITTY’s adorably cute behavior makes it highly popular. In battle, it makes its tail puff out. It threatens foes with a sharp growl. It is said to be difficult to earn its trust. However, it is extremely popular for its cute looks and behavior. It can’t stop itself from chasing moving things, and it runs in a circle, chasing its own tail. It’s adorable when it chases its own tail. It’s difficult to earn its trust. It shows its cute side by chasing its own tail until it gets dizzy.</t>
        </is>
      </c>
    </row>
    <row r="7920" ht="33.75" customHeight="1">
      <c r="A7920" s="7">
        <v>300.0</v>
      </c>
      <c r="B7920" s="9" t="s">
        <v>14363</v>
      </c>
      <c r="C7920" s="9" t="s">
        <v>446</v>
      </c>
      <c r="D7920" s="9" t="s">
        <v>71</v>
      </c>
      <c r="E7920" s="6" t="s">
        <v>7764</v>
      </c>
      <c r="F7920" s="9" t="s">
        <v>15123</v>
      </c>
    </row>
    <row r="7921" ht="33.75" customHeight="1">
      <c r="A7921" s="7">
        <v>300.0</v>
      </c>
      <c r="B7921" s="9" t="s">
        <v>14363</v>
      </c>
      <c r="C7921" s="9" t="s">
        <v>446</v>
      </c>
      <c r="D7921" s="9" t="s">
        <v>73</v>
      </c>
      <c r="E7921" s="6" t="s">
        <v>7765</v>
      </c>
      <c r="F7921" s="9" t="s">
        <v>15123</v>
      </c>
    </row>
    <row r="7922" ht="33.75" customHeight="1">
      <c r="A7922" s="7">
        <v>300.0</v>
      </c>
      <c r="B7922" s="9" t="s">
        <v>14363</v>
      </c>
      <c r="C7922" s="9" t="s">
        <v>446</v>
      </c>
      <c r="D7922" s="9" t="s">
        <v>75</v>
      </c>
      <c r="E7922" s="6" t="s">
        <v>7766</v>
      </c>
      <c r="F7922" s="9" t="s">
        <v>15123</v>
      </c>
    </row>
    <row r="7923" ht="33.75" customHeight="1">
      <c r="A7923" s="7">
        <v>300.0</v>
      </c>
      <c r="B7923" s="9" t="s">
        <v>14363</v>
      </c>
      <c r="C7923" s="9" t="s">
        <v>446</v>
      </c>
      <c r="D7923" s="9" t="s">
        <v>79</v>
      </c>
      <c r="E7923" s="6" t="s">
        <v>7766</v>
      </c>
      <c r="F7923" s="9" t="s">
        <v>15123</v>
      </c>
    </row>
    <row r="7924" ht="33.75" customHeight="1">
      <c r="A7924" s="7">
        <v>300.0</v>
      </c>
      <c r="B7924" s="9" t="s">
        <v>14363</v>
      </c>
      <c r="C7924" s="9" t="s">
        <v>446</v>
      </c>
      <c r="D7924" s="9" t="s">
        <v>81</v>
      </c>
      <c r="E7924" s="6" t="s">
        <v>7767</v>
      </c>
      <c r="F7924" s="9" t="s">
        <v>15123</v>
      </c>
    </row>
    <row r="7925" ht="33.75" customHeight="1">
      <c r="A7925" s="7">
        <v>300.0</v>
      </c>
      <c r="B7925" s="9" t="s">
        <v>14363</v>
      </c>
      <c r="C7925" s="9" t="s">
        <v>446</v>
      </c>
      <c r="D7925" s="9" t="s">
        <v>84</v>
      </c>
      <c r="E7925" s="6" t="s">
        <v>7767</v>
      </c>
      <c r="F7925" s="9" t="s">
        <v>15123</v>
      </c>
    </row>
    <row r="7926" ht="33.75" customHeight="1">
      <c r="A7926" s="7">
        <v>300.0</v>
      </c>
      <c r="B7926" s="9" t="s">
        <v>14363</v>
      </c>
      <c r="C7926" s="9" t="s">
        <v>446</v>
      </c>
      <c r="D7926" s="9" t="s">
        <v>87</v>
      </c>
      <c r="E7926" s="6" t="s">
        <v>7767</v>
      </c>
      <c r="F7926" s="9" t="s">
        <v>15123</v>
      </c>
    </row>
    <row r="7927" ht="33.75" customHeight="1">
      <c r="A7927" s="7">
        <v>300.0</v>
      </c>
      <c r="B7927" s="9" t="s">
        <v>14363</v>
      </c>
      <c r="C7927" s="9" t="s">
        <v>446</v>
      </c>
      <c r="D7927" s="9" t="s">
        <v>89</v>
      </c>
      <c r="E7927" s="6" t="s">
        <v>7768</v>
      </c>
      <c r="F7927" s="9" t="s">
        <v>15123</v>
      </c>
    </row>
    <row r="7928" ht="33.75" customHeight="1">
      <c r="A7928" s="7">
        <v>300.0</v>
      </c>
      <c r="B7928" s="9" t="s">
        <v>14363</v>
      </c>
      <c r="C7928" s="9" t="s">
        <v>446</v>
      </c>
      <c r="D7928" s="9" t="s">
        <v>91</v>
      </c>
      <c r="E7928" s="6" t="s">
        <v>7768</v>
      </c>
      <c r="F7928" s="9" t="s">
        <v>15123</v>
      </c>
    </row>
    <row r="7929" ht="33.75" customHeight="1">
      <c r="A7929" s="7">
        <v>300.0</v>
      </c>
      <c r="B7929" s="9" t="s">
        <v>14363</v>
      </c>
      <c r="C7929" s="9" t="s">
        <v>446</v>
      </c>
      <c r="D7929" s="9" t="s">
        <v>93</v>
      </c>
      <c r="E7929" s="6" t="s">
        <v>7767</v>
      </c>
      <c r="F7929" s="9" t="s">
        <v>15123</v>
      </c>
    </row>
    <row r="7930" ht="33.75" customHeight="1">
      <c r="A7930" s="7">
        <v>300.0</v>
      </c>
      <c r="B7930" s="9" t="s">
        <v>14363</v>
      </c>
      <c r="C7930" s="9" t="s">
        <v>446</v>
      </c>
      <c r="D7930" s="9" t="s">
        <v>95</v>
      </c>
      <c r="E7930" s="6" t="s">
        <v>7767</v>
      </c>
      <c r="F7930" s="9" t="s">
        <v>15123</v>
      </c>
    </row>
    <row r="7931" ht="33.75" customHeight="1">
      <c r="A7931" s="7">
        <v>300.0</v>
      </c>
      <c r="B7931" s="9" t="s">
        <v>14363</v>
      </c>
      <c r="C7931" s="9" t="s">
        <v>446</v>
      </c>
      <c r="D7931" s="9" t="s">
        <v>98</v>
      </c>
      <c r="E7931" s="6" t="s">
        <v>7769</v>
      </c>
      <c r="F7931" s="9" t="s">
        <v>15123</v>
      </c>
    </row>
    <row r="7932" ht="33.75" customHeight="1">
      <c r="A7932" s="7">
        <v>300.0</v>
      </c>
      <c r="B7932" s="9" t="s">
        <v>14363</v>
      </c>
      <c r="C7932" s="9" t="s">
        <v>446</v>
      </c>
      <c r="D7932" s="9" t="s">
        <v>99</v>
      </c>
      <c r="E7932" s="6" t="s">
        <v>7769</v>
      </c>
      <c r="F7932" s="9" t="s">
        <v>15123</v>
      </c>
    </row>
    <row r="7933" ht="33.75" customHeight="1">
      <c r="A7933" s="7">
        <v>300.0</v>
      </c>
      <c r="B7933" s="9" t="s">
        <v>14363</v>
      </c>
      <c r="C7933" s="9" t="s">
        <v>446</v>
      </c>
      <c r="D7933" s="9" t="s">
        <v>101</v>
      </c>
      <c r="E7933" s="6" t="s">
        <v>7767</v>
      </c>
      <c r="F7933" s="9" t="s">
        <v>15123</v>
      </c>
    </row>
    <row r="7934" ht="33.75" customHeight="1">
      <c r="A7934" s="7">
        <v>300.0</v>
      </c>
      <c r="B7934" s="9" t="s">
        <v>14363</v>
      </c>
      <c r="C7934" s="9" t="s">
        <v>446</v>
      </c>
      <c r="D7934" s="9" t="s">
        <v>105</v>
      </c>
      <c r="E7934" s="6" t="s">
        <v>7769</v>
      </c>
      <c r="F7934" s="9" t="s">
        <v>15123</v>
      </c>
    </row>
    <row r="7935" ht="33.75" customHeight="1">
      <c r="A7935" s="7">
        <v>300.0</v>
      </c>
      <c r="B7935" s="9" t="s">
        <v>14363</v>
      </c>
      <c r="C7935" s="9" t="s">
        <v>446</v>
      </c>
      <c r="D7935" s="9" t="s">
        <v>107</v>
      </c>
      <c r="E7935" s="6" t="s">
        <v>7770</v>
      </c>
      <c r="F7935" s="9" t="s">
        <v>15123</v>
      </c>
    </row>
    <row r="7936" ht="33.75" customHeight="1">
      <c r="A7936" s="7">
        <v>300.0</v>
      </c>
      <c r="B7936" s="9" t="s">
        <v>14363</v>
      </c>
      <c r="C7936" s="9" t="s">
        <v>446</v>
      </c>
      <c r="D7936" s="9" t="s">
        <v>109</v>
      </c>
      <c r="E7936" s="6" t="s">
        <v>7772</v>
      </c>
      <c r="F7936" s="9" t="s">
        <v>15123</v>
      </c>
    </row>
    <row r="7937" ht="33.75" customHeight="1">
      <c r="A7937" s="7">
        <v>301.0</v>
      </c>
      <c r="B7937" s="9" t="s">
        <v>14375</v>
      </c>
      <c r="C7937" s="9" t="s">
        <v>447</v>
      </c>
      <c r="D7937" s="9" t="s">
        <v>67</v>
      </c>
      <c r="E7937" s="6" t="s">
        <v>7773</v>
      </c>
      <c r="F7937" s="9" t="s">
        <v>15140</v>
      </c>
      <c r="G7937" t="inlineStr" s="6">
        <is>
          <t xml:space="preserve">DELCATTY prefers to live an unfettered existence in which it can do as it pleases at Delcatty's own pace. Because this POKéMON eats and sleeps whenever it decides, its daily routines are completely random. DELCATTY sleeps anywhere it wants without keeping a permanent nest. If other POKéMON approach it as it sleeps, this POKéMON will never fight - it will just move away somewhere else. Rather than keeping a permanent lair, it habitually seeks comfortable spots and sleeps there. It is nocturnal and becomes active at dusk. The favorite of trend-conscious female TRAINERS, they are used in competition for their style and fur. It is highly popular among female Trainers for its sublime fur. It does not keep a nest. It dislikes dirty places. It often searches for a comfortable place in which to groom itself. The reason it does not have a nest is that it simply searches for a clean, comfortable place then sleeps there. If other Pokémon approach it as it sleeps, this Pokémon will never fight—it will just move away somewhere else.</t>
        </is>
      </c>
    </row>
    <row r="7938" ht="33.75" customHeight="1">
      <c r="A7938" s="7">
        <v>301.0</v>
      </c>
      <c r="B7938" s="9" t="s">
        <v>14375</v>
      </c>
      <c r="C7938" s="9" t="s">
        <v>447</v>
      </c>
      <c r="D7938" s="9" t="s">
        <v>71</v>
      </c>
      <c r="E7938" s="6" t="s">
        <v>7774</v>
      </c>
      <c r="F7938" s="9" t="s">
        <v>15140</v>
      </c>
    </row>
    <row r="7939" ht="33.75" customHeight="1">
      <c r="A7939" s="7">
        <v>301.0</v>
      </c>
      <c r="B7939" s="9" t="s">
        <v>14375</v>
      </c>
      <c r="C7939" s="9" t="s">
        <v>447</v>
      </c>
      <c r="D7939" s="9" t="s">
        <v>73</v>
      </c>
      <c r="E7939" s="6" t="s">
        <v>7776</v>
      </c>
      <c r="F7939" s="9" t="s">
        <v>15140</v>
      </c>
    </row>
    <row r="7940" ht="33.75" customHeight="1">
      <c r="A7940" s="7">
        <v>301.0</v>
      </c>
      <c r="B7940" s="9" t="s">
        <v>14375</v>
      </c>
      <c r="C7940" s="9" t="s">
        <v>447</v>
      </c>
      <c r="D7940" s="9" t="s">
        <v>75</v>
      </c>
      <c r="E7940" s="6" t="s">
        <v>7778</v>
      </c>
      <c r="F7940" s="9" t="s">
        <v>15140</v>
      </c>
    </row>
    <row r="7941" ht="33.75" customHeight="1">
      <c r="A7941" s="7">
        <v>301.0</v>
      </c>
      <c r="B7941" s="9" t="s">
        <v>14375</v>
      </c>
      <c r="C7941" s="9" t="s">
        <v>447</v>
      </c>
      <c r="D7941" s="9" t="s">
        <v>79</v>
      </c>
      <c r="E7941" s="6" t="s">
        <v>7778</v>
      </c>
      <c r="F7941" s="9" t="s">
        <v>15140</v>
      </c>
    </row>
    <row r="7942" ht="33.75" customHeight="1">
      <c r="A7942" s="7">
        <v>301.0</v>
      </c>
      <c r="B7942" s="9" t="s">
        <v>14375</v>
      </c>
      <c r="C7942" s="9" t="s">
        <v>447</v>
      </c>
      <c r="D7942" s="9" t="s">
        <v>81</v>
      </c>
      <c r="E7942" s="6" t="s">
        <v>7780</v>
      </c>
      <c r="F7942" s="9" t="s">
        <v>15140</v>
      </c>
    </row>
    <row r="7943" ht="33.75" customHeight="1">
      <c r="A7943" s="7">
        <v>301.0</v>
      </c>
      <c r="B7943" s="9" t="s">
        <v>14375</v>
      </c>
      <c r="C7943" s="9" t="s">
        <v>447</v>
      </c>
      <c r="D7943" s="9" t="s">
        <v>84</v>
      </c>
      <c r="E7943" s="6" t="s">
        <v>7780</v>
      </c>
      <c r="F7943" s="9" t="s">
        <v>15140</v>
      </c>
    </row>
    <row r="7944" ht="33.75" customHeight="1">
      <c r="A7944" s="7">
        <v>301.0</v>
      </c>
      <c r="B7944" s="9" t="s">
        <v>14375</v>
      </c>
      <c r="C7944" s="9" t="s">
        <v>447</v>
      </c>
      <c r="D7944" s="9" t="s">
        <v>87</v>
      </c>
      <c r="E7944" s="6" t="s">
        <v>7780</v>
      </c>
      <c r="F7944" s="9" t="s">
        <v>15140</v>
      </c>
    </row>
    <row r="7945" ht="33.75" customHeight="1">
      <c r="A7945" s="7">
        <v>301.0</v>
      </c>
      <c r="B7945" s="9" t="s">
        <v>14375</v>
      </c>
      <c r="C7945" s="9" t="s">
        <v>447</v>
      </c>
      <c r="D7945" s="9" t="s">
        <v>89</v>
      </c>
      <c r="E7945" s="6" t="s">
        <v>7782</v>
      </c>
      <c r="F7945" s="9" t="s">
        <v>15140</v>
      </c>
    </row>
    <row r="7946" ht="33.75" customHeight="1">
      <c r="A7946" s="7">
        <v>301.0</v>
      </c>
      <c r="B7946" s="9" t="s">
        <v>14375</v>
      </c>
      <c r="C7946" s="9" t="s">
        <v>447</v>
      </c>
      <c r="D7946" s="9" t="s">
        <v>91</v>
      </c>
      <c r="E7946" s="6" t="s">
        <v>7782</v>
      </c>
      <c r="F7946" s="9" t="s">
        <v>15140</v>
      </c>
    </row>
    <row r="7947" ht="33.75" customHeight="1">
      <c r="A7947" s="7">
        <v>301.0</v>
      </c>
      <c r="B7947" s="9" t="s">
        <v>14375</v>
      </c>
      <c r="C7947" s="9" t="s">
        <v>447</v>
      </c>
      <c r="D7947" s="9" t="s">
        <v>93</v>
      </c>
      <c r="E7947" s="6" t="s">
        <v>7780</v>
      </c>
      <c r="F7947" s="9" t="s">
        <v>15140</v>
      </c>
    </row>
    <row r="7948" ht="33.75" customHeight="1">
      <c r="A7948" s="7">
        <v>301.0</v>
      </c>
      <c r="B7948" s="9" t="s">
        <v>14375</v>
      </c>
      <c r="C7948" s="9" t="s">
        <v>447</v>
      </c>
      <c r="D7948" s="9" t="s">
        <v>95</v>
      </c>
      <c r="E7948" s="6" t="s">
        <v>7780</v>
      </c>
      <c r="F7948" s="9" t="s">
        <v>15140</v>
      </c>
    </row>
    <row r="7949" ht="33.75" customHeight="1">
      <c r="A7949" s="7">
        <v>301.0</v>
      </c>
      <c r="B7949" s="9" t="s">
        <v>14375</v>
      </c>
      <c r="C7949" s="9" t="s">
        <v>447</v>
      </c>
      <c r="D7949" s="9" t="s">
        <v>98</v>
      </c>
      <c r="E7949" s="6" t="s">
        <v>7783</v>
      </c>
      <c r="F7949" s="9" t="s">
        <v>15140</v>
      </c>
    </row>
    <row r="7950" ht="33.75" customHeight="1">
      <c r="A7950" s="7">
        <v>301.0</v>
      </c>
      <c r="B7950" s="9" t="s">
        <v>14375</v>
      </c>
      <c r="C7950" s="9" t="s">
        <v>447</v>
      </c>
      <c r="D7950" s="9" t="s">
        <v>99</v>
      </c>
      <c r="E7950" s="6" t="s">
        <v>7783</v>
      </c>
      <c r="F7950" s="9" t="s">
        <v>15140</v>
      </c>
    </row>
    <row r="7951" ht="33.75" customHeight="1">
      <c r="A7951" s="7">
        <v>301.0</v>
      </c>
      <c r="B7951" s="9" t="s">
        <v>14375</v>
      </c>
      <c r="C7951" s="9" t="s">
        <v>447</v>
      </c>
      <c r="D7951" s="9" t="s">
        <v>101</v>
      </c>
      <c r="E7951" s="6" t="s">
        <v>7782</v>
      </c>
      <c r="F7951" s="9" t="s">
        <v>15140</v>
      </c>
    </row>
    <row r="7952" ht="33.75" customHeight="1">
      <c r="A7952" s="7">
        <v>301.0</v>
      </c>
      <c r="B7952" s="9" t="s">
        <v>14375</v>
      </c>
      <c r="C7952" s="9" t="s">
        <v>447</v>
      </c>
      <c r="D7952" s="9" t="s">
        <v>105</v>
      </c>
      <c r="E7952" s="6" t="s">
        <v>7780</v>
      </c>
      <c r="F7952" s="9" t="s">
        <v>15140</v>
      </c>
    </row>
    <row r="7953" ht="33.75" customHeight="1">
      <c r="A7953" s="7">
        <v>301.0</v>
      </c>
      <c r="B7953" s="9" t="s">
        <v>14375</v>
      </c>
      <c r="C7953" s="9" t="s">
        <v>447</v>
      </c>
      <c r="D7953" s="9" t="s">
        <v>107</v>
      </c>
      <c r="E7953" s="6" t="s">
        <v>7785</v>
      </c>
      <c r="F7953" s="9" t="s">
        <v>15140</v>
      </c>
    </row>
    <row r="7954" ht="33.75" customHeight="1">
      <c r="A7954" s="7">
        <v>301.0</v>
      </c>
      <c r="B7954" s="9" t="s">
        <v>14375</v>
      </c>
      <c r="C7954" s="9" t="s">
        <v>447</v>
      </c>
      <c r="D7954" s="9" t="s">
        <v>109</v>
      </c>
      <c r="E7954" s="6" t="s">
        <v>7786</v>
      </c>
      <c r="F7954" s="9" t="s">
        <v>15140</v>
      </c>
    </row>
    <row r="7955" ht="33.75" customHeight="1">
      <c r="A7955" s="7">
        <v>302.0</v>
      </c>
      <c r="B7955" s="9" t="s">
        <v>14386</v>
      </c>
      <c r="C7955" s="9" t="s">
        <v>292</v>
      </c>
      <c r="D7955" s="9" t="s">
        <v>67</v>
      </c>
      <c r="E7955" s="6" t="s">
        <v>7788</v>
      </c>
      <c r="F7955" s="9" t="s">
        <v>15163</v>
      </c>
      <c r="G7955" t="inlineStr" s="6">
        <is>
          <t xml:space="preserve">SABLEYE lead quiet lives deep inside caverns. They are feared, however, because these POKéMON are thought to steal the spirits of people when their eyes burn with a sinister glow in the darkness. SABLEYE digs the ground with sharpened claws to find rocks that it eats. Substances in the eaten rocks crystallize and rise up to the POKéMON’s body surface. It digs branching holes in caves using its sharp claws in search of food--raw gems. A SABLEYE lurks in darkness and is seen only rarely. It feeds on gemstone crystals. In darkness, its eyes sparkle with the glitter of jewels. It hides in the darkness of caves. Its diet of gems has transformed its eyes into gemstones. It dwells in the darkness of caves. It uses its sharp claws to dig up gems to nourish itself. It’s a fiend for gemstones, so it stalks Carbink. Unfortunately, Gabite almost always grabs them first. This Pokémon is feared. When its gemstone eyes begin to glow with a sinister shine, it’s believed that Sableye will steal people’s spirits away. It digs through the ground with its hard claws and crunches down gems with its thick pointy teeth. Carbink is its favorite food. Materials from gems it has eaten float to the surface of its body and can form an infinite number of patterns among individuals.</t>
        </is>
      </c>
    </row>
    <row r="7956" ht="33.75" customHeight="1">
      <c r="A7956" s="7">
        <v>302.0</v>
      </c>
      <c r="B7956" s="9" t="s">
        <v>14386</v>
      </c>
      <c r="C7956" s="9" t="s">
        <v>292</v>
      </c>
      <c r="D7956" s="9" t="s">
        <v>71</v>
      </c>
      <c r="E7956" s="6" t="s">
        <v>7789</v>
      </c>
      <c r="F7956" s="9" t="s">
        <v>15163</v>
      </c>
    </row>
    <row r="7957" ht="33.75" customHeight="1">
      <c r="A7957" s="7">
        <v>302.0</v>
      </c>
      <c r="B7957" s="9" t="s">
        <v>14386</v>
      </c>
      <c r="C7957" s="9" t="s">
        <v>292</v>
      </c>
      <c r="D7957" s="9" t="s">
        <v>73</v>
      </c>
      <c r="E7957" s="6" t="s">
        <v>7791</v>
      </c>
      <c r="F7957" s="9" t="s">
        <v>15163</v>
      </c>
    </row>
    <row r="7958" ht="33.75" customHeight="1">
      <c r="A7958" s="7">
        <v>302.0</v>
      </c>
      <c r="B7958" s="9" t="s">
        <v>14386</v>
      </c>
      <c r="C7958" s="9" t="s">
        <v>292</v>
      </c>
      <c r="D7958" s="9" t="s">
        <v>75</v>
      </c>
      <c r="E7958" s="6" t="s">
        <v>7792</v>
      </c>
      <c r="F7958" s="9" t="s">
        <v>15163</v>
      </c>
    </row>
    <row r="7959" ht="33.75" customHeight="1">
      <c r="A7959" s="7">
        <v>302.0</v>
      </c>
      <c r="B7959" s="9" t="s">
        <v>14386</v>
      </c>
      <c r="C7959" s="9" t="s">
        <v>292</v>
      </c>
      <c r="D7959" s="9" t="s">
        <v>79</v>
      </c>
      <c r="E7959" s="6" t="s">
        <v>7792</v>
      </c>
      <c r="F7959" s="9" t="s">
        <v>15163</v>
      </c>
    </row>
    <row r="7960" ht="33.75" customHeight="1">
      <c r="A7960" s="7">
        <v>302.0</v>
      </c>
      <c r="B7960" s="9" t="s">
        <v>14386</v>
      </c>
      <c r="C7960" s="9" t="s">
        <v>292</v>
      </c>
      <c r="D7960" s="9" t="s">
        <v>81</v>
      </c>
      <c r="E7960" s="6" t="s">
        <v>7793</v>
      </c>
      <c r="F7960" s="9" t="s">
        <v>15163</v>
      </c>
    </row>
    <row r="7961" ht="33.75" customHeight="1">
      <c r="A7961" s="7">
        <v>302.0</v>
      </c>
      <c r="B7961" s="9" t="s">
        <v>14386</v>
      </c>
      <c r="C7961" s="9" t="s">
        <v>292</v>
      </c>
      <c r="D7961" s="9" t="s">
        <v>84</v>
      </c>
      <c r="E7961" s="6" t="s">
        <v>7793</v>
      </c>
      <c r="F7961" s="9" t="s">
        <v>15163</v>
      </c>
    </row>
    <row r="7962" ht="33.75" customHeight="1">
      <c r="A7962" s="7">
        <v>302.0</v>
      </c>
      <c r="B7962" s="9" t="s">
        <v>14386</v>
      </c>
      <c r="C7962" s="9" t="s">
        <v>292</v>
      </c>
      <c r="D7962" s="9" t="s">
        <v>87</v>
      </c>
      <c r="E7962" s="6" t="s">
        <v>7793</v>
      </c>
      <c r="F7962" s="9" t="s">
        <v>15163</v>
      </c>
    </row>
    <row r="7963" ht="33.75" customHeight="1">
      <c r="A7963" s="7">
        <v>302.0</v>
      </c>
      <c r="B7963" s="9" t="s">
        <v>14386</v>
      </c>
      <c r="C7963" s="9" t="s">
        <v>292</v>
      </c>
      <c r="D7963" s="9" t="s">
        <v>89</v>
      </c>
      <c r="E7963" s="6" t="s">
        <v>7795</v>
      </c>
      <c r="F7963" s="9" t="s">
        <v>15163</v>
      </c>
    </row>
    <row r="7964" ht="33.75" customHeight="1">
      <c r="A7964" s="7">
        <v>302.0</v>
      </c>
      <c r="B7964" s="9" t="s">
        <v>14386</v>
      </c>
      <c r="C7964" s="9" t="s">
        <v>292</v>
      </c>
      <c r="D7964" s="9" t="s">
        <v>91</v>
      </c>
      <c r="E7964" s="6" t="s">
        <v>7795</v>
      </c>
      <c r="F7964" s="9" t="s">
        <v>15163</v>
      </c>
    </row>
    <row r="7965" ht="33.75" customHeight="1">
      <c r="A7965" s="7">
        <v>302.0</v>
      </c>
      <c r="B7965" s="9" t="s">
        <v>14386</v>
      </c>
      <c r="C7965" s="9" t="s">
        <v>292</v>
      </c>
      <c r="D7965" s="9" t="s">
        <v>93</v>
      </c>
      <c r="E7965" s="6" t="s">
        <v>7793</v>
      </c>
      <c r="F7965" s="9" t="s">
        <v>15163</v>
      </c>
    </row>
    <row r="7966" ht="33.75" customHeight="1">
      <c r="A7966" s="7">
        <v>302.0</v>
      </c>
      <c r="B7966" s="9" t="s">
        <v>14386</v>
      </c>
      <c r="C7966" s="9" t="s">
        <v>292</v>
      </c>
      <c r="D7966" s="9" t="s">
        <v>95</v>
      </c>
      <c r="E7966" s="6" t="s">
        <v>7793</v>
      </c>
      <c r="F7966" s="9" t="s">
        <v>15163</v>
      </c>
    </row>
    <row r="7967" ht="33.75" customHeight="1">
      <c r="A7967" s="7">
        <v>302.0</v>
      </c>
      <c r="B7967" s="9" t="s">
        <v>14386</v>
      </c>
      <c r="C7967" s="9" t="s">
        <v>292</v>
      </c>
      <c r="D7967" s="9" t="s">
        <v>98</v>
      </c>
      <c r="E7967" s="6" t="s">
        <v>7793</v>
      </c>
      <c r="F7967" s="9" t="s">
        <v>15163</v>
      </c>
    </row>
    <row r="7968" ht="33.75" customHeight="1">
      <c r="A7968" s="7">
        <v>302.0</v>
      </c>
      <c r="B7968" s="9" t="s">
        <v>14386</v>
      </c>
      <c r="C7968" s="9" t="s">
        <v>292</v>
      </c>
      <c r="D7968" s="9" t="s">
        <v>99</v>
      </c>
      <c r="E7968" s="6" t="s">
        <v>7793</v>
      </c>
      <c r="F7968" s="9" t="s">
        <v>15163</v>
      </c>
    </row>
    <row r="7969" ht="33.75" customHeight="1">
      <c r="A7969" s="7">
        <v>302.0</v>
      </c>
      <c r="B7969" s="9" t="s">
        <v>14386</v>
      </c>
      <c r="C7969" s="9" t="s">
        <v>292</v>
      </c>
      <c r="D7969" s="9" t="s">
        <v>101</v>
      </c>
      <c r="E7969" s="6" t="s">
        <v>7793</v>
      </c>
      <c r="F7969" s="9" t="s">
        <v>15163</v>
      </c>
    </row>
    <row r="7970" ht="33.75" customHeight="1">
      <c r="A7970" s="7">
        <v>302.0</v>
      </c>
      <c r="B7970" s="9" t="s">
        <v>14386</v>
      </c>
      <c r="C7970" s="9" t="s">
        <v>292</v>
      </c>
      <c r="D7970" s="9" t="s">
        <v>105</v>
      </c>
      <c r="E7970" s="6" t="s">
        <v>7795</v>
      </c>
      <c r="F7970" s="9" t="s">
        <v>15163</v>
      </c>
    </row>
    <row r="7971" ht="33.75" customHeight="1">
      <c r="A7971" s="7">
        <v>302.0</v>
      </c>
      <c r="B7971" s="9" t="s">
        <v>14386</v>
      </c>
      <c r="C7971" s="9" t="s">
        <v>292</v>
      </c>
      <c r="D7971" s="9" t="s">
        <v>107</v>
      </c>
      <c r="E7971" s="6" t="s">
        <v>7796</v>
      </c>
      <c r="F7971" s="9" t="s">
        <v>15163</v>
      </c>
    </row>
    <row r="7972" ht="33.75" customHeight="1">
      <c r="A7972" s="7">
        <v>302.0</v>
      </c>
      <c r="B7972" s="9" t="s">
        <v>14386</v>
      </c>
      <c r="C7972" s="9" t="s">
        <v>292</v>
      </c>
      <c r="D7972" s="9" t="s">
        <v>109</v>
      </c>
      <c r="E7972" s="6" t="s">
        <v>7799</v>
      </c>
      <c r="F7972" s="9" t="s">
        <v>15163</v>
      </c>
    </row>
    <row r="7973" ht="33.75" customHeight="1">
      <c r="A7973" s="7">
        <v>302.0</v>
      </c>
      <c r="B7973" s="9" t="s">
        <v>14386</v>
      </c>
      <c r="C7973" s="9" t="s">
        <v>292</v>
      </c>
      <c r="D7973" s="9" t="s">
        <v>637</v>
      </c>
      <c r="E7973" s="6" t="s">
        <v>7801</v>
      </c>
      <c r="F7973" s="9" t="s">
        <v>15163</v>
      </c>
    </row>
    <row r="7974" ht="33.75" customHeight="1">
      <c r="A7974" s="7">
        <v>302.0</v>
      </c>
      <c r="B7974" s="9" t="s">
        <v>14386</v>
      </c>
      <c r="C7974" s="9" t="s">
        <v>292</v>
      </c>
      <c r="D7974" s="9" t="s">
        <v>642</v>
      </c>
      <c r="E7974" s="6" t="s">
        <v>7802</v>
      </c>
      <c r="F7974" s="9" t="s">
        <v>15163</v>
      </c>
    </row>
    <row r="7975" ht="33.75" customHeight="1">
      <c r="A7975" s="7">
        <v>302.0</v>
      </c>
      <c r="B7975" s="9" t="s">
        <v>14386</v>
      </c>
      <c r="C7975" s="9" t="s">
        <v>292</v>
      </c>
      <c r="D7975" s="9" t="s">
        <v>647</v>
      </c>
      <c r="E7975" s="6" t="s">
        <v>7803</v>
      </c>
      <c r="F7975" s="9" t="s">
        <v>15163</v>
      </c>
    </row>
    <row r="7976" ht="33.75" customHeight="1">
      <c r="A7976" s="7">
        <v>302.0</v>
      </c>
      <c r="B7976" s="9" t="s">
        <v>14386</v>
      </c>
      <c r="C7976" s="9" t="s">
        <v>292</v>
      </c>
      <c r="D7976" s="9" t="s">
        <v>652</v>
      </c>
      <c r="E7976" s="6" t="s">
        <v>7804</v>
      </c>
      <c r="F7976" s="9" t="s">
        <v>15163</v>
      </c>
    </row>
    <row r="7977" ht="33.75" customHeight="1">
      <c r="A7977" s="7">
        <v>302.0</v>
      </c>
      <c r="B7977" s="9" t="s">
        <v>14386</v>
      </c>
      <c r="C7977" s="9" t="s">
        <v>292</v>
      </c>
      <c r="D7977" s="9" t="s">
        <v>114</v>
      </c>
      <c r="E7977" s="6" t="s">
        <v>7802</v>
      </c>
      <c r="F7977" s="9" t="s">
        <v>15163</v>
      </c>
    </row>
    <row r="7978" ht="33.75" customHeight="1">
      <c r="A7978" s="7">
        <v>302.0</v>
      </c>
      <c r="B7978" s="9" t="s">
        <v>14386</v>
      </c>
      <c r="C7978" s="9" t="s">
        <v>292</v>
      </c>
      <c r="D7978" s="9" t="s">
        <v>117</v>
      </c>
      <c r="E7978" s="6" t="s">
        <v>7792</v>
      </c>
      <c r="F7978" s="9" t="s">
        <v>15163</v>
      </c>
    </row>
    <row r="7979" ht="33.75" customHeight="1">
      <c r="A7979" s="7">
        <v>303.0</v>
      </c>
      <c r="B7979" s="9" t="s">
        <v>14400</v>
      </c>
      <c r="C7979" s="9" t="s">
        <v>451</v>
      </c>
      <c r="D7979" s="9" t="s">
        <v>67</v>
      </c>
      <c r="E7979" s="6" t="s">
        <v>7806</v>
      </c>
      <c r="F7979" s="9" t="s">
        <v>15179</v>
      </c>
      <c r="G7979" t="inlineStr" s="6">
        <is>
          <t xml:space="preserve">MAWHILE’s huge jaws are actually steel horns that have been transformed. Its docile-looking face serves to lull its foe into letting down its guard. When the foe least expects it, MAWHILE chomps it with its gaping jaws. Don’t be taken in by this POKéMON’s cute face - it’s very dangerous. MAWILE fools the foe into letting down its guard, then chomps down with its massive jaws. The steel jaws are really horns that have been transformed. Its giant jaws are actually steel horns that transformed. It fools foes into complacency with its adorable gestures, then chomps them with its huge jaws. It uses its docile-looking face to lull foes into complacency, then bites with its huge, relentless jaws. Attached to its head is a huge set of jaws formed by horns. It can chew through iron beams. It chomps with its gaping mouth. Its huge jaws are actually steel horns that have been transformed. Mawile’s huge jaws are actually steel horns that have been transformed. When the foe least expects it, Mawile chomps it with its gaping jaws. Don’t be taken in by this Pokémon’s cute face—it’s very dangerous. A cunning and terrifying Pokémon, its cuteness makes opponents let down their guard—and then it swallows them whole with its huge jaws. It has two mouths. The big jaws on the back of its head can’t taste anything, so that’s the mouth it uses to eat foods it doesn’t like.</t>
        </is>
      </c>
    </row>
    <row r="7980" ht="33.75" customHeight="1">
      <c r="A7980" s="7">
        <v>303.0</v>
      </c>
      <c r="B7980" s="9" t="s">
        <v>14400</v>
      </c>
      <c r="C7980" s="9" t="s">
        <v>451</v>
      </c>
      <c r="D7980" s="9" t="s">
        <v>71</v>
      </c>
      <c r="E7980" s="6" t="s">
        <v>7807</v>
      </c>
      <c r="F7980" s="9" t="s">
        <v>15179</v>
      </c>
    </row>
    <row r="7981" ht="33.75" customHeight="1">
      <c r="A7981" s="7">
        <v>303.0</v>
      </c>
      <c r="B7981" s="9" t="s">
        <v>14400</v>
      </c>
      <c r="C7981" s="9" t="s">
        <v>451</v>
      </c>
      <c r="D7981" s="9" t="s">
        <v>73</v>
      </c>
      <c r="E7981" s="6" t="s">
        <v>7809</v>
      </c>
      <c r="F7981" s="9" t="s">
        <v>15179</v>
      </c>
    </row>
    <row r="7982" ht="33.75" customHeight="1">
      <c r="A7982" s="7">
        <v>303.0</v>
      </c>
      <c r="B7982" s="9" t="s">
        <v>14400</v>
      </c>
      <c r="C7982" s="9" t="s">
        <v>451</v>
      </c>
      <c r="D7982" s="9" t="s">
        <v>75</v>
      </c>
      <c r="E7982" s="6" t="s">
        <v>7810</v>
      </c>
      <c r="F7982" s="9" t="s">
        <v>15179</v>
      </c>
    </row>
    <row r="7983" ht="33.75" customHeight="1">
      <c r="A7983" s="7">
        <v>303.0</v>
      </c>
      <c r="B7983" s="9" t="s">
        <v>14400</v>
      </c>
      <c r="C7983" s="9" t="s">
        <v>451</v>
      </c>
      <c r="D7983" s="9" t="s">
        <v>79</v>
      </c>
      <c r="E7983" s="6" t="s">
        <v>7810</v>
      </c>
      <c r="F7983" s="9" t="s">
        <v>15179</v>
      </c>
    </row>
    <row r="7984" ht="33.75" customHeight="1">
      <c r="A7984" s="7">
        <v>303.0</v>
      </c>
      <c r="B7984" s="9" t="s">
        <v>14400</v>
      </c>
      <c r="C7984" s="9" t="s">
        <v>451</v>
      </c>
      <c r="D7984" s="9" t="s">
        <v>81</v>
      </c>
      <c r="E7984" s="6" t="s">
        <v>7812</v>
      </c>
      <c r="F7984" s="9" t="s">
        <v>15179</v>
      </c>
    </row>
    <row r="7985" ht="33.75" customHeight="1">
      <c r="A7985" s="7">
        <v>303.0</v>
      </c>
      <c r="B7985" s="9" t="s">
        <v>14400</v>
      </c>
      <c r="C7985" s="9" t="s">
        <v>451</v>
      </c>
      <c r="D7985" s="9" t="s">
        <v>84</v>
      </c>
      <c r="E7985" s="6" t="s">
        <v>7812</v>
      </c>
      <c r="F7985" s="9" t="s">
        <v>15179</v>
      </c>
    </row>
    <row r="7986" ht="33.75" customHeight="1">
      <c r="A7986" s="7">
        <v>303.0</v>
      </c>
      <c r="B7986" s="9" t="s">
        <v>14400</v>
      </c>
      <c r="C7986" s="9" t="s">
        <v>451</v>
      </c>
      <c r="D7986" s="9" t="s">
        <v>87</v>
      </c>
      <c r="E7986" s="6" t="s">
        <v>7812</v>
      </c>
      <c r="F7986" s="9" t="s">
        <v>15179</v>
      </c>
    </row>
    <row r="7987" ht="33.75" customHeight="1">
      <c r="A7987" s="7">
        <v>303.0</v>
      </c>
      <c r="B7987" s="9" t="s">
        <v>14400</v>
      </c>
      <c r="C7987" s="9" t="s">
        <v>451</v>
      </c>
      <c r="D7987" s="9" t="s">
        <v>89</v>
      </c>
      <c r="E7987" s="6" t="s">
        <v>7813</v>
      </c>
      <c r="F7987" s="9" t="s">
        <v>15179</v>
      </c>
    </row>
    <row r="7988" ht="33.75" customHeight="1">
      <c r="A7988" s="7">
        <v>303.0</v>
      </c>
      <c r="B7988" s="9" t="s">
        <v>14400</v>
      </c>
      <c r="C7988" s="9" t="s">
        <v>451</v>
      </c>
      <c r="D7988" s="9" t="s">
        <v>91</v>
      </c>
      <c r="E7988" s="6" t="s">
        <v>7813</v>
      </c>
      <c r="F7988" s="9" t="s">
        <v>15179</v>
      </c>
    </row>
    <row r="7989" ht="33.75" customHeight="1">
      <c r="A7989" s="7">
        <v>303.0</v>
      </c>
      <c r="B7989" s="9" t="s">
        <v>14400</v>
      </c>
      <c r="C7989" s="9" t="s">
        <v>451</v>
      </c>
      <c r="D7989" s="9" t="s">
        <v>93</v>
      </c>
      <c r="E7989" s="6" t="s">
        <v>7812</v>
      </c>
      <c r="F7989" s="9" t="s">
        <v>15179</v>
      </c>
    </row>
    <row r="7990" ht="33.75" customHeight="1">
      <c r="A7990" s="7">
        <v>303.0</v>
      </c>
      <c r="B7990" s="9" t="s">
        <v>14400</v>
      </c>
      <c r="C7990" s="9" t="s">
        <v>451</v>
      </c>
      <c r="D7990" s="9" t="s">
        <v>95</v>
      </c>
      <c r="E7990" s="6" t="s">
        <v>7812</v>
      </c>
      <c r="F7990" s="9" t="s">
        <v>15179</v>
      </c>
    </row>
    <row r="7991" ht="33.75" customHeight="1">
      <c r="A7991" s="7">
        <v>303.0</v>
      </c>
      <c r="B7991" s="9" t="s">
        <v>14400</v>
      </c>
      <c r="C7991" s="9" t="s">
        <v>451</v>
      </c>
      <c r="D7991" s="9" t="s">
        <v>98</v>
      </c>
      <c r="E7991" s="6" t="s">
        <v>7812</v>
      </c>
      <c r="F7991" s="9" t="s">
        <v>15179</v>
      </c>
    </row>
    <row r="7992" ht="33.75" customHeight="1">
      <c r="A7992" s="7">
        <v>303.0</v>
      </c>
      <c r="B7992" s="9" t="s">
        <v>14400</v>
      </c>
      <c r="C7992" s="9" t="s">
        <v>451</v>
      </c>
      <c r="D7992" s="9" t="s">
        <v>99</v>
      </c>
      <c r="E7992" s="6" t="s">
        <v>7812</v>
      </c>
      <c r="F7992" s="9" t="s">
        <v>15179</v>
      </c>
    </row>
    <row r="7993" ht="33.75" customHeight="1">
      <c r="A7993" s="7">
        <v>303.0</v>
      </c>
      <c r="B7993" s="9" t="s">
        <v>14400</v>
      </c>
      <c r="C7993" s="9" t="s">
        <v>451</v>
      </c>
      <c r="D7993" s="9" t="s">
        <v>101</v>
      </c>
      <c r="E7993" s="6" t="s">
        <v>7810</v>
      </c>
      <c r="F7993" s="9" t="s">
        <v>15179</v>
      </c>
    </row>
    <row r="7994" ht="33.75" customHeight="1">
      <c r="A7994" s="7">
        <v>303.0</v>
      </c>
      <c r="B7994" s="9" t="s">
        <v>14400</v>
      </c>
      <c r="C7994" s="9" t="s">
        <v>451</v>
      </c>
      <c r="D7994" s="9" t="s">
        <v>105</v>
      </c>
      <c r="E7994" s="6" t="s">
        <v>7812</v>
      </c>
      <c r="F7994" s="9" t="s">
        <v>15179</v>
      </c>
    </row>
    <row r="7995" ht="33.75" customHeight="1">
      <c r="A7995" s="7">
        <v>303.0</v>
      </c>
      <c r="B7995" s="9" t="s">
        <v>14400</v>
      </c>
      <c r="C7995" s="9" t="s">
        <v>451</v>
      </c>
      <c r="D7995" s="9" t="s">
        <v>107</v>
      </c>
      <c r="E7995" s="6" t="s">
        <v>7814</v>
      </c>
      <c r="F7995" s="9" t="s">
        <v>15179</v>
      </c>
    </row>
    <row r="7996" ht="33.75" customHeight="1">
      <c r="A7996" s="7">
        <v>303.0</v>
      </c>
      <c r="B7996" s="9" t="s">
        <v>14400</v>
      </c>
      <c r="C7996" s="9" t="s">
        <v>451</v>
      </c>
      <c r="D7996" s="9" t="s">
        <v>109</v>
      </c>
      <c r="E7996" s="6" t="s">
        <v>7816</v>
      </c>
      <c r="F7996" s="9" t="s">
        <v>15179</v>
      </c>
    </row>
    <row r="7997" ht="33.75" customHeight="1">
      <c r="A7997" s="7">
        <v>303.0</v>
      </c>
      <c r="B7997" s="9" t="s">
        <v>14400</v>
      </c>
      <c r="C7997" s="9" t="s">
        <v>451</v>
      </c>
      <c r="D7997" s="9" t="s">
        <v>647</v>
      </c>
      <c r="E7997" s="6" t="s">
        <v>7817</v>
      </c>
      <c r="F7997" s="9" t="s">
        <v>15179</v>
      </c>
    </row>
    <row r="7998" ht="33.75" customHeight="1">
      <c r="A7998" s="7">
        <v>303.0</v>
      </c>
      <c r="B7998" s="9" t="s">
        <v>14400</v>
      </c>
      <c r="C7998" s="9" t="s">
        <v>451</v>
      </c>
      <c r="D7998" s="9" t="s">
        <v>652</v>
      </c>
      <c r="E7998" s="6" t="s">
        <v>7819</v>
      </c>
      <c r="F7998" s="9" t="s">
        <v>15179</v>
      </c>
    </row>
    <row r="7999" ht="33.75" customHeight="1">
      <c r="A7999" s="7">
        <v>303.0</v>
      </c>
      <c r="B7999" s="9" t="s">
        <v>14400</v>
      </c>
      <c r="C7999" s="9" t="s">
        <v>451</v>
      </c>
      <c r="D7999" s="9" t="s">
        <v>114</v>
      </c>
      <c r="E7999" s="6" t="s">
        <v>7810</v>
      </c>
      <c r="F7999" s="9" t="s">
        <v>15179</v>
      </c>
    </row>
    <row r="8000" ht="33.75" customHeight="1">
      <c r="A8000" s="7">
        <v>303.0</v>
      </c>
      <c r="B8000" s="9" t="s">
        <v>14400</v>
      </c>
      <c r="C8000" s="9" t="s">
        <v>451</v>
      </c>
      <c r="D8000" s="9" t="s">
        <v>117</v>
      </c>
      <c r="E8000" s="6" t="s">
        <v>7813</v>
      </c>
      <c r="F8000" s="9" t="s">
        <v>15179</v>
      </c>
    </row>
    <row r="8001" ht="33.75" customHeight="1">
      <c r="A8001" s="7">
        <v>304.0</v>
      </c>
      <c r="B8001" s="9" t="s">
        <v>14413</v>
      </c>
      <c r="C8001" s="9" t="s">
        <v>453</v>
      </c>
      <c r="D8001" s="9" t="s">
        <v>67</v>
      </c>
      <c r="E8001" s="6" t="s">
        <v>7820</v>
      </c>
      <c r="F8001" s="9" t="s">
        <v>15197</v>
      </c>
      <c r="G8001" t="inlineStr" s="6">
        <is>
          <t xml:space="preserve">This POKéMON has a body of steel. To make its body, ARON feeds on iron ore that it digs from mountains. Occasionally, it causes major trouble by eating bridges and rails. ARON has a body of steel. With one all-out charge, this POKéMON can demolish even a heavy dump truck. The destroyed dump truck then becomes a handy meal for the POKéMON. A POKéMON that is clad in steel armor. A new suit of armor is made when it evolves. The old, discarded armor is salvaged as metal for making iron products. It eats iron to build its steel body. It is a pest that descends from mountains to eat bridges and train tracks. It usually lives deep in mountains. However, hunger may drive it to eat railroad tracks and cars. When it evolves, it sheds the steel carapace that covered its whole body and develops a new one. In order to build up its steel body, it eats iron ore. This pesky Pokémon is known to eat railroad tracks. It eats iron ore—and sometimes railroad tracks— to build up the steel armor that protects its body. When Aron evolves, its steel armor peels off. In ancient times, people would collect Aron’s shed armor and make good use of it in their daily lives.</t>
        </is>
      </c>
    </row>
    <row r="8002" ht="33.75" customHeight="1">
      <c r="A8002" s="7">
        <v>304.0</v>
      </c>
      <c r="B8002" s="9" t="s">
        <v>14413</v>
      </c>
      <c r="C8002" s="9" t="s">
        <v>453</v>
      </c>
      <c r="D8002" s="9" t="s">
        <v>71</v>
      </c>
      <c r="E8002" s="6" t="s">
        <v>7821</v>
      </c>
      <c r="F8002" s="9" t="s">
        <v>15197</v>
      </c>
    </row>
    <row r="8003" ht="33.75" customHeight="1">
      <c r="A8003" s="7">
        <v>304.0</v>
      </c>
      <c r="B8003" s="9" t="s">
        <v>14413</v>
      </c>
      <c r="C8003" s="9" t="s">
        <v>453</v>
      </c>
      <c r="D8003" s="9" t="s">
        <v>73</v>
      </c>
      <c r="E8003" s="6" t="s">
        <v>7823</v>
      </c>
      <c r="F8003" s="9" t="s">
        <v>15197</v>
      </c>
    </row>
    <row r="8004" ht="33.75" customHeight="1">
      <c r="A8004" s="7">
        <v>304.0</v>
      </c>
      <c r="B8004" s="9" t="s">
        <v>14413</v>
      </c>
      <c r="C8004" s="9" t="s">
        <v>453</v>
      </c>
      <c r="D8004" s="9" t="s">
        <v>75</v>
      </c>
      <c r="E8004" s="6" t="s">
        <v>7825</v>
      </c>
      <c r="F8004" s="9" t="s">
        <v>15197</v>
      </c>
    </row>
    <row r="8005" ht="33.75" customHeight="1">
      <c r="A8005" s="7">
        <v>304.0</v>
      </c>
      <c r="B8005" s="9" t="s">
        <v>14413</v>
      </c>
      <c r="C8005" s="9" t="s">
        <v>453</v>
      </c>
      <c r="D8005" s="9" t="s">
        <v>79</v>
      </c>
      <c r="E8005" s="6" t="s">
        <v>7825</v>
      </c>
      <c r="F8005" s="9" t="s">
        <v>15197</v>
      </c>
    </row>
    <row r="8006" ht="33.75" customHeight="1">
      <c r="A8006" s="7">
        <v>304.0</v>
      </c>
      <c r="B8006" s="9" t="s">
        <v>14413</v>
      </c>
      <c r="C8006" s="9" t="s">
        <v>453</v>
      </c>
      <c r="D8006" s="9" t="s">
        <v>81</v>
      </c>
      <c r="E8006" s="6" t="s">
        <v>7826</v>
      </c>
      <c r="F8006" s="9" t="s">
        <v>15197</v>
      </c>
    </row>
    <row r="8007" ht="33.75" customHeight="1">
      <c r="A8007" s="7">
        <v>304.0</v>
      </c>
      <c r="B8007" s="9" t="s">
        <v>14413</v>
      </c>
      <c r="C8007" s="9" t="s">
        <v>453</v>
      </c>
      <c r="D8007" s="9" t="s">
        <v>84</v>
      </c>
      <c r="E8007" s="6" t="s">
        <v>7826</v>
      </c>
      <c r="F8007" s="9" t="s">
        <v>15197</v>
      </c>
    </row>
    <row r="8008" ht="33.75" customHeight="1">
      <c r="A8008" s="7">
        <v>304.0</v>
      </c>
      <c r="B8008" s="9" t="s">
        <v>14413</v>
      </c>
      <c r="C8008" s="9" t="s">
        <v>453</v>
      </c>
      <c r="D8008" s="9" t="s">
        <v>87</v>
      </c>
      <c r="E8008" s="6" t="s">
        <v>7826</v>
      </c>
      <c r="F8008" s="9" t="s">
        <v>15197</v>
      </c>
    </row>
    <row r="8009" ht="33.75" customHeight="1">
      <c r="A8009" s="7">
        <v>304.0</v>
      </c>
      <c r="B8009" s="9" t="s">
        <v>14413</v>
      </c>
      <c r="C8009" s="9" t="s">
        <v>453</v>
      </c>
      <c r="D8009" s="9" t="s">
        <v>89</v>
      </c>
      <c r="E8009" s="6" t="s">
        <v>7827</v>
      </c>
      <c r="F8009" s="9" t="s">
        <v>15197</v>
      </c>
    </row>
    <row r="8010" ht="33.75" customHeight="1">
      <c r="A8010" s="7">
        <v>304.0</v>
      </c>
      <c r="B8010" s="9" t="s">
        <v>14413</v>
      </c>
      <c r="C8010" s="9" t="s">
        <v>453</v>
      </c>
      <c r="D8010" s="9" t="s">
        <v>91</v>
      </c>
      <c r="E8010" s="6" t="s">
        <v>7827</v>
      </c>
      <c r="F8010" s="9" t="s">
        <v>15197</v>
      </c>
    </row>
    <row r="8011" ht="33.75" customHeight="1">
      <c r="A8011" s="7">
        <v>304.0</v>
      </c>
      <c r="B8011" s="9" t="s">
        <v>14413</v>
      </c>
      <c r="C8011" s="9" t="s">
        <v>453</v>
      </c>
      <c r="D8011" s="9" t="s">
        <v>93</v>
      </c>
      <c r="E8011" s="6" t="s">
        <v>7826</v>
      </c>
      <c r="F8011" s="9" t="s">
        <v>15197</v>
      </c>
    </row>
    <row r="8012" ht="33.75" customHeight="1">
      <c r="A8012" s="7">
        <v>304.0</v>
      </c>
      <c r="B8012" s="9" t="s">
        <v>14413</v>
      </c>
      <c r="C8012" s="9" t="s">
        <v>453</v>
      </c>
      <c r="D8012" s="9" t="s">
        <v>95</v>
      </c>
      <c r="E8012" s="6" t="s">
        <v>7826</v>
      </c>
      <c r="F8012" s="9" t="s">
        <v>15197</v>
      </c>
    </row>
    <row r="8013" ht="33.75" customHeight="1">
      <c r="A8013" s="7">
        <v>304.0</v>
      </c>
      <c r="B8013" s="9" t="s">
        <v>14413</v>
      </c>
      <c r="C8013" s="9" t="s">
        <v>453</v>
      </c>
      <c r="D8013" s="9" t="s">
        <v>98</v>
      </c>
      <c r="E8013" s="6" t="s">
        <v>7828</v>
      </c>
      <c r="F8013" s="9" t="s">
        <v>15197</v>
      </c>
    </row>
    <row r="8014" ht="33.75" customHeight="1">
      <c r="A8014" s="7">
        <v>304.0</v>
      </c>
      <c r="B8014" s="9" t="s">
        <v>14413</v>
      </c>
      <c r="C8014" s="9" t="s">
        <v>453</v>
      </c>
      <c r="D8014" s="9" t="s">
        <v>99</v>
      </c>
      <c r="E8014" s="6" t="s">
        <v>7828</v>
      </c>
      <c r="F8014" s="9" t="s">
        <v>15197</v>
      </c>
    </row>
    <row r="8015" ht="33.75" customHeight="1">
      <c r="A8015" s="7">
        <v>304.0</v>
      </c>
      <c r="B8015" s="9" t="s">
        <v>14413</v>
      </c>
      <c r="C8015" s="9" t="s">
        <v>453</v>
      </c>
      <c r="D8015" s="9" t="s">
        <v>101</v>
      </c>
      <c r="E8015" s="6" t="s">
        <v>7826</v>
      </c>
      <c r="F8015" s="9" t="s">
        <v>15197</v>
      </c>
    </row>
    <row r="8016" ht="33.75" customHeight="1">
      <c r="A8016" s="7">
        <v>304.0</v>
      </c>
      <c r="B8016" s="9" t="s">
        <v>14413</v>
      </c>
      <c r="C8016" s="9" t="s">
        <v>453</v>
      </c>
      <c r="D8016" s="9" t="s">
        <v>105</v>
      </c>
      <c r="E8016" s="6" t="s">
        <v>7827</v>
      </c>
      <c r="F8016" s="9" t="s">
        <v>15197</v>
      </c>
    </row>
    <row r="8017" ht="33.75" customHeight="1">
      <c r="A8017" s="7">
        <v>304.0</v>
      </c>
      <c r="B8017" s="9" t="s">
        <v>14413</v>
      </c>
      <c r="C8017" s="9" t="s">
        <v>453</v>
      </c>
      <c r="D8017" s="9" t="s">
        <v>107</v>
      </c>
      <c r="E8017" s="6" t="s">
        <v>7830</v>
      </c>
      <c r="F8017" s="9" t="s">
        <v>15197</v>
      </c>
    </row>
    <row r="8018" ht="33.75" customHeight="1">
      <c r="A8018" s="7">
        <v>304.0</v>
      </c>
      <c r="B8018" s="9" t="s">
        <v>14413</v>
      </c>
      <c r="C8018" s="9" t="s">
        <v>453</v>
      </c>
      <c r="D8018" s="9" t="s">
        <v>109</v>
      </c>
      <c r="E8018" s="6" t="s">
        <v>7831</v>
      </c>
      <c r="F8018" s="9" t="s">
        <v>15197</v>
      </c>
    </row>
    <row r="8019" ht="33.75" customHeight="1">
      <c r="A8019" s="7">
        <v>304.0</v>
      </c>
      <c r="B8019" s="9" t="s">
        <v>14413</v>
      </c>
      <c r="C8019" s="9" t="s">
        <v>453</v>
      </c>
      <c r="D8019" s="9" t="s">
        <v>114</v>
      </c>
      <c r="E8019" s="6" t="s">
        <v>7832</v>
      </c>
      <c r="F8019" s="9" t="s">
        <v>15197</v>
      </c>
    </row>
    <row r="8020" ht="33.75" customHeight="1">
      <c r="A8020" s="7">
        <v>304.0</v>
      </c>
      <c r="B8020" s="9" t="s">
        <v>14413</v>
      </c>
      <c r="C8020" s="9" t="s">
        <v>453</v>
      </c>
      <c r="D8020" s="9" t="s">
        <v>117</v>
      </c>
      <c r="E8020" s="6" t="s">
        <v>7833</v>
      </c>
      <c r="F8020" s="9" t="s">
        <v>15197</v>
      </c>
    </row>
    <row r="8021" ht="33.75" customHeight="1">
      <c r="A8021" s="7">
        <v>305.0</v>
      </c>
      <c r="B8021" s="9" t="s">
        <v>14426</v>
      </c>
      <c r="C8021" s="9" t="s">
        <v>453</v>
      </c>
      <c r="D8021" s="9" t="s">
        <v>67</v>
      </c>
      <c r="E8021" s="6" t="s">
        <v>7835</v>
      </c>
      <c r="F8021" s="9" t="s">
        <v>15213</v>
      </c>
      <c r="G8021" t="inlineStr" s="6">
        <is>
          <t xml:space="preserve">LAIRON tempers Lairon's steel body by drinking highly nutritious mineral springwater until it is bloated. This POKéMON makes its nest close to springs of delicious water. LAIRON feeds on iron contained in rocks and water. It makes its nest on mountains where iron ore is buried. As a result, the POKéMON often clashes with humans mining the iron ore. When two LAIRON meet in the wild, they fight for territory by bashing into each other with their steel bodies. The sound of their collision carries for miles. It habitually shows off its strength with the size of sparks it creates by ramming its steel body into boulders. For food, it digs up iron ore. It smashes its steely body against others to fight over territory. It loves iron ore. Groups of them fight for territory by bashing one another with their steel bodies. Lairon fight over territory, and when their steel bodies collide, sparks fly. Lairon live in mountains brimming with spring water and iron ore, so these Pokémon often came into conflict with humans in the past. During territorial disputes, Lairon fight by slamming into each other. Close inspection of their steel armor reveals scratches and dents.</t>
        </is>
      </c>
    </row>
    <row r="8022" ht="33.75" customHeight="1">
      <c r="A8022" s="7">
        <v>305.0</v>
      </c>
      <c r="B8022" s="9" t="s">
        <v>14426</v>
      </c>
      <c r="C8022" s="9" t="s">
        <v>453</v>
      </c>
      <c r="D8022" s="9" t="s">
        <v>71</v>
      </c>
      <c r="E8022" s="6" t="s">
        <v>7837</v>
      </c>
      <c r="F8022" s="9" t="s">
        <v>15213</v>
      </c>
    </row>
    <row r="8023" ht="33.75" customHeight="1">
      <c r="A8023" s="7">
        <v>305.0</v>
      </c>
      <c r="B8023" s="9" t="s">
        <v>14426</v>
      </c>
      <c r="C8023" s="9" t="s">
        <v>453</v>
      </c>
      <c r="D8023" s="9" t="s">
        <v>73</v>
      </c>
      <c r="E8023" s="6" t="s">
        <v>7838</v>
      </c>
      <c r="F8023" s="9" t="s">
        <v>15213</v>
      </c>
    </row>
    <row r="8024" ht="33.75" customHeight="1">
      <c r="A8024" s="7">
        <v>305.0</v>
      </c>
      <c r="B8024" s="9" t="s">
        <v>14426</v>
      </c>
      <c r="C8024" s="9" t="s">
        <v>453</v>
      </c>
      <c r="D8024" s="9" t="s">
        <v>75</v>
      </c>
      <c r="E8024" s="6" t="s">
        <v>7839</v>
      </c>
      <c r="F8024" s="9" t="s">
        <v>15213</v>
      </c>
    </row>
    <row r="8025" ht="33.75" customHeight="1">
      <c r="A8025" s="7">
        <v>305.0</v>
      </c>
      <c r="B8025" s="9" t="s">
        <v>14426</v>
      </c>
      <c r="C8025" s="9" t="s">
        <v>453</v>
      </c>
      <c r="D8025" s="9" t="s">
        <v>79</v>
      </c>
      <c r="E8025" s="6" t="s">
        <v>7839</v>
      </c>
      <c r="F8025" s="9" t="s">
        <v>15213</v>
      </c>
    </row>
    <row r="8026" ht="33.75" customHeight="1">
      <c r="A8026" s="7">
        <v>305.0</v>
      </c>
      <c r="B8026" s="9" t="s">
        <v>14426</v>
      </c>
      <c r="C8026" s="9" t="s">
        <v>453</v>
      </c>
      <c r="D8026" s="9" t="s">
        <v>81</v>
      </c>
      <c r="E8026" s="6" t="s">
        <v>7840</v>
      </c>
      <c r="F8026" s="9" t="s">
        <v>15213</v>
      </c>
    </row>
    <row r="8027" ht="33.75" customHeight="1">
      <c r="A8027" s="7">
        <v>305.0</v>
      </c>
      <c r="B8027" s="9" t="s">
        <v>14426</v>
      </c>
      <c r="C8027" s="9" t="s">
        <v>453</v>
      </c>
      <c r="D8027" s="9" t="s">
        <v>84</v>
      </c>
      <c r="E8027" s="6" t="s">
        <v>7840</v>
      </c>
      <c r="F8027" s="9" t="s">
        <v>15213</v>
      </c>
    </row>
    <row r="8028" ht="33.75" customHeight="1">
      <c r="A8028" s="7">
        <v>305.0</v>
      </c>
      <c r="B8028" s="9" t="s">
        <v>14426</v>
      </c>
      <c r="C8028" s="9" t="s">
        <v>453</v>
      </c>
      <c r="D8028" s="9" t="s">
        <v>87</v>
      </c>
      <c r="E8028" s="6" t="s">
        <v>7840</v>
      </c>
      <c r="F8028" s="9" t="s">
        <v>15213</v>
      </c>
    </row>
    <row r="8029" ht="33.75" customHeight="1">
      <c r="A8029" s="7">
        <v>305.0</v>
      </c>
      <c r="B8029" s="9" t="s">
        <v>14426</v>
      </c>
      <c r="C8029" s="9" t="s">
        <v>453</v>
      </c>
      <c r="D8029" s="9" t="s">
        <v>89</v>
      </c>
      <c r="E8029" s="6" t="s">
        <v>7841</v>
      </c>
      <c r="F8029" s="9" t="s">
        <v>15213</v>
      </c>
    </row>
    <row r="8030" ht="33.75" customHeight="1">
      <c r="A8030" s="7">
        <v>305.0</v>
      </c>
      <c r="B8030" s="9" t="s">
        <v>14426</v>
      </c>
      <c r="C8030" s="9" t="s">
        <v>453</v>
      </c>
      <c r="D8030" s="9" t="s">
        <v>91</v>
      </c>
      <c r="E8030" s="6" t="s">
        <v>7841</v>
      </c>
      <c r="F8030" s="9" t="s">
        <v>15213</v>
      </c>
    </row>
    <row r="8031" ht="33.75" customHeight="1">
      <c r="A8031" s="7">
        <v>305.0</v>
      </c>
      <c r="B8031" s="9" t="s">
        <v>14426</v>
      </c>
      <c r="C8031" s="9" t="s">
        <v>453</v>
      </c>
      <c r="D8031" s="9" t="s">
        <v>93</v>
      </c>
      <c r="E8031" s="6" t="s">
        <v>7840</v>
      </c>
      <c r="F8031" s="9" t="s">
        <v>15213</v>
      </c>
    </row>
    <row r="8032" ht="33.75" customHeight="1">
      <c r="A8032" s="7">
        <v>305.0</v>
      </c>
      <c r="B8032" s="9" t="s">
        <v>14426</v>
      </c>
      <c r="C8032" s="9" t="s">
        <v>453</v>
      </c>
      <c r="D8032" s="9" t="s">
        <v>95</v>
      </c>
      <c r="E8032" s="6" t="s">
        <v>7840</v>
      </c>
      <c r="F8032" s="9" t="s">
        <v>15213</v>
      </c>
    </row>
    <row r="8033" ht="33.75" customHeight="1">
      <c r="A8033" s="7">
        <v>305.0</v>
      </c>
      <c r="B8033" s="9" t="s">
        <v>14426</v>
      </c>
      <c r="C8033" s="9" t="s">
        <v>453</v>
      </c>
      <c r="D8033" s="9" t="s">
        <v>98</v>
      </c>
      <c r="E8033" s="6" t="s">
        <v>7842</v>
      </c>
      <c r="F8033" s="9" t="s">
        <v>15213</v>
      </c>
    </row>
    <row r="8034" ht="33.75" customHeight="1">
      <c r="A8034" s="7">
        <v>305.0</v>
      </c>
      <c r="B8034" s="9" t="s">
        <v>14426</v>
      </c>
      <c r="C8034" s="9" t="s">
        <v>453</v>
      </c>
      <c r="D8034" s="9" t="s">
        <v>99</v>
      </c>
      <c r="E8034" s="6" t="s">
        <v>7842</v>
      </c>
      <c r="F8034" s="9" t="s">
        <v>15213</v>
      </c>
    </row>
    <row r="8035" ht="33.75" customHeight="1">
      <c r="A8035" s="7">
        <v>305.0</v>
      </c>
      <c r="B8035" s="9" t="s">
        <v>14426</v>
      </c>
      <c r="C8035" s="9" t="s">
        <v>453</v>
      </c>
      <c r="D8035" s="9" t="s">
        <v>101</v>
      </c>
      <c r="E8035" s="6" t="s">
        <v>7841</v>
      </c>
      <c r="F8035" s="9" t="s">
        <v>15213</v>
      </c>
    </row>
    <row r="8036" ht="33.75" customHeight="1">
      <c r="A8036" s="7">
        <v>305.0</v>
      </c>
      <c r="B8036" s="9" t="s">
        <v>14426</v>
      </c>
      <c r="C8036" s="9" t="s">
        <v>453</v>
      </c>
      <c r="D8036" s="9" t="s">
        <v>105</v>
      </c>
      <c r="E8036" s="6" t="s">
        <v>7839</v>
      </c>
      <c r="F8036" s="9" t="s">
        <v>15213</v>
      </c>
    </row>
    <row r="8037" ht="33.75" customHeight="1">
      <c r="A8037" s="7">
        <v>305.0</v>
      </c>
      <c r="B8037" s="9" t="s">
        <v>14426</v>
      </c>
      <c r="C8037" s="9" t="s">
        <v>453</v>
      </c>
      <c r="D8037" s="9" t="s">
        <v>107</v>
      </c>
      <c r="E8037" s="6" t="s">
        <v>7843</v>
      </c>
      <c r="F8037" s="9" t="s">
        <v>15213</v>
      </c>
    </row>
    <row r="8038" ht="33.75" customHeight="1">
      <c r="A8038" s="7">
        <v>305.0</v>
      </c>
      <c r="B8038" s="9" t="s">
        <v>14426</v>
      </c>
      <c r="C8038" s="9" t="s">
        <v>453</v>
      </c>
      <c r="D8038" s="9" t="s">
        <v>109</v>
      </c>
      <c r="E8038" s="6" t="s">
        <v>7844</v>
      </c>
      <c r="F8038" s="9" t="s">
        <v>15213</v>
      </c>
    </row>
    <row r="8039" ht="33.75" customHeight="1">
      <c r="A8039" s="7">
        <v>305.0</v>
      </c>
      <c r="B8039" s="9" t="s">
        <v>14426</v>
      </c>
      <c r="C8039" s="9" t="s">
        <v>453</v>
      </c>
      <c r="D8039" s="9" t="s">
        <v>114</v>
      </c>
      <c r="E8039" s="6" t="s">
        <v>7846</v>
      </c>
      <c r="F8039" s="9" t="s">
        <v>15213</v>
      </c>
    </row>
    <row r="8040" ht="33.75" customHeight="1">
      <c r="A8040" s="7">
        <v>305.0</v>
      </c>
      <c r="B8040" s="9" t="s">
        <v>14426</v>
      </c>
      <c r="C8040" s="9" t="s">
        <v>453</v>
      </c>
      <c r="D8040" s="9" t="s">
        <v>117</v>
      </c>
      <c r="E8040" s="6" t="s">
        <v>7847</v>
      </c>
      <c r="F8040" s="9" t="s">
        <v>15213</v>
      </c>
    </row>
    <row r="8041" ht="33.75" customHeight="1">
      <c r="A8041" s="7">
        <v>306.0</v>
      </c>
      <c r="B8041" s="9" t="s">
        <v>14439</v>
      </c>
      <c r="C8041" s="9" t="s">
        <v>453</v>
      </c>
      <c r="D8041" s="9" t="s">
        <v>67</v>
      </c>
      <c r="E8041" s="6" t="s">
        <v>7848</v>
      </c>
      <c r="F8041" s="9" t="s">
        <v>15227</v>
      </c>
      <c r="G8041" t="inlineStr" s="6">
        <is>
          <t xml:space="preserve">AGGRON claims an entire mountain as Aggron's own territory. It mercilessly beats up anything that violates its environment. This POKéMON vigilantly patrols its territory at all times. AGGRON is surprisingly protective of its environment. If its mountain is ravaged by a landslide or a fire, this POKéMON will haul topsoil to the area, plant trees, and beautifully restore its own territory. Its iron horns grow longer a little at a time. They are used to determine the AGGRON’s age. The gouges in its armor are worn with pride as mementos from battles. It claims a large mountain as its sole territory. It mercilessly thrashes those that violate its space. While seeking iron for food, it digs tunnels by breaking through bedrock with its steel horns. You can tell its age by the length of its iron horns. It claims an entire mountain as its territory. It claims an entire mountain as its own. The more wounds it has, the more it has battled, so don’t take it lightly. Aggron is protective of its environment. Aggron has a horn sharp enough to perforate thick iron sheets. It brings down its opponents by ramming into them horn first. Long ago, there was a king who wore a helmet meant to resemble the head of an Aggron. He was trying to channel the Pokémon’s strength.</t>
        </is>
      </c>
    </row>
    <row r="8042" ht="33.75" customHeight="1">
      <c r="A8042" s="7">
        <v>306.0</v>
      </c>
      <c r="B8042" s="9" t="s">
        <v>14439</v>
      </c>
      <c r="C8042" s="9" t="s">
        <v>453</v>
      </c>
      <c r="D8042" s="9" t="s">
        <v>71</v>
      </c>
      <c r="E8042" s="6" t="s">
        <v>7850</v>
      </c>
      <c r="F8042" s="9" t="s">
        <v>15227</v>
      </c>
    </row>
    <row r="8043" ht="33.75" customHeight="1">
      <c r="A8043" s="7">
        <v>306.0</v>
      </c>
      <c r="B8043" s="9" t="s">
        <v>14439</v>
      </c>
      <c r="C8043" s="9" t="s">
        <v>453</v>
      </c>
      <c r="D8043" s="9" t="s">
        <v>73</v>
      </c>
      <c r="E8043" s="6" t="s">
        <v>7851</v>
      </c>
      <c r="F8043" s="9" t="s">
        <v>15227</v>
      </c>
    </row>
    <row r="8044" ht="33.75" customHeight="1">
      <c r="A8044" s="7">
        <v>306.0</v>
      </c>
      <c r="B8044" s="9" t="s">
        <v>14439</v>
      </c>
      <c r="C8044" s="9" t="s">
        <v>453</v>
      </c>
      <c r="D8044" s="9" t="s">
        <v>75</v>
      </c>
      <c r="E8044" s="6" t="s">
        <v>7852</v>
      </c>
      <c r="F8044" s="9" t="s">
        <v>15227</v>
      </c>
    </row>
    <row r="8045" ht="33.75" customHeight="1">
      <c r="A8045" s="7">
        <v>306.0</v>
      </c>
      <c r="B8045" s="9" t="s">
        <v>14439</v>
      </c>
      <c r="C8045" s="9" t="s">
        <v>453</v>
      </c>
      <c r="D8045" s="9" t="s">
        <v>79</v>
      </c>
      <c r="E8045" s="6" t="s">
        <v>7852</v>
      </c>
      <c r="F8045" s="9" t="s">
        <v>15227</v>
      </c>
    </row>
    <row r="8046" ht="33.75" customHeight="1">
      <c r="A8046" s="7">
        <v>306.0</v>
      </c>
      <c r="B8046" s="9" t="s">
        <v>14439</v>
      </c>
      <c r="C8046" s="9" t="s">
        <v>453</v>
      </c>
      <c r="D8046" s="9" t="s">
        <v>81</v>
      </c>
      <c r="E8046" s="6" t="s">
        <v>7854</v>
      </c>
      <c r="F8046" s="9" t="s">
        <v>15227</v>
      </c>
    </row>
    <row r="8047" ht="33.75" customHeight="1">
      <c r="A8047" s="7">
        <v>306.0</v>
      </c>
      <c r="B8047" s="9" t="s">
        <v>14439</v>
      </c>
      <c r="C8047" s="9" t="s">
        <v>453</v>
      </c>
      <c r="D8047" s="9" t="s">
        <v>84</v>
      </c>
      <c r="E8047" s="6" t="s">
        <v>7854</v>
      </c>
      <c r="F8047" s="9" t="s">
        <v>15227</v>
      </c>
    </row>
    <row r="8048" ht="33.75" customHeight="1">
      <c r="A8048" s="7">
        <v>306.0</v>
      </c>
      <c r="B8048" s="9" t="s">
        <v>14439</v>
      </c>
      <c r="C8048" s="9" t="s">
        <v>453</v>
      </c>
      <c r="D8048" s="9" t="s">
        <v>87</v>
      </c>
      <c r="E8048" s="6" t="s">
        <v>7854</v>
      </c>
      <c r="F8048" s="9" t="s">
        <v>15227</v>
      </c>
    </row>
    <row r="8049" ht="33.75" customHeight="1">
      <c r="A8049" s="7">
        <v>306.0</v>
      </c>
      <c r="B8049" s="9" t="s">
        <v>14439</v>
      </c>
      <c r="C8049" s="9" t="s">
        <v>453</v>
      </c>
      <c r="D8049" s="9" t="s">
        <v>89</v>
      </c>
      <c r="E8049" s="6" t="s">
        <v>7855</v>
      </c>
      <c r="F8049" s="9" t="s">
        <v>15227</v>
      </c>
    </row>
    <row r="8050" ht="33.75" customHeight="1">
      <c r="A8050" s="7">
        <v>306.0</v>
      </c>
      <c r="B8050" s="9" t="s">
        <v>14439</v>
      </c>
      <c r="C8050" s="9" t="s">
        <v>453</v>
      </c>
      <c r="D8050" s="9" t="s">
        <v>91</v>
      </c>
      <c r="E8050" s="6" t="s">
        <v>7855</v>
      </c>
      <c r="F8050" s="9" t="s">
        <v>15227</v>
      </c>
    </row>
    <row r="8051" ht="33.75" customHeight="1">
      <c r="A8051" s="7">
        <v>306.0</v>
      </c>
      <c r="B8051" s="9" t="s">
        <v>14439</v>
      </c>
      <c r="C8051" s="9" t="s">
        <v>453</v>
      </c>
      <c r="D8051" s="9" t="s">
        <v>93</v>
      </c>
      <c r="E8051" s="6" t="s">
        <v>7854</v>
      </c>
      <c r="F8051" s="9" t="s">
        <v>15227</v>
      </c>
    </row>
    <row r="8052" ht="33.75" customHeight="1">
      <c r="A8052" s="7">
        <v>306.0</v>
      </c>
      <c r="B8052" s="9" t="s">
        <v>14439</v>
      </c>
      <c r="C8052" s="9" t="s">
        <v>453</v>
      </c>
      <c r="D8052" s="9" t="s">
        <v>95</v>
      </c>
      <c r="E8052" s="6" t="s">
        <v>7854</v>
      </c>
      <c r="F8052" s="9" t="s">
        <v>15227</v>
      </c>
    </row>
    <row r="8053" ht="33.75" customHeight="1">
      <c r="A8053" s="7">
        <v>306.0</v>
      </c>
      <c r="B8053" s="9" t="s">
        <v>14439</v>
      </c>
      <c r="C8053" s="9" t="s">
        <v>453</v>
      </c>
      <c r="D8053" s="9" t="s">
        <v>98</v>
      </c>
      <c r="E8053" s="6" t="s">
        <v>7857</v>
      </c>
      <c r="F8053" s="9" t="s">
        <v>15227</v>
      </c>
    </row>
    <row r="8054" ht="33.75" customHeight="1">
      <c r="A8054" s="7">
        <v>306.0</v>
      </c>
      <c r="B8054" s="9" t="s">
        <v>14439</v>
      </c>
      <c r="C8054" s="9" t="s">
        <v>453</v>
      </c>
      <c r="D8054" s="9" t="s">
        <v>99</v>
      </c>
      <c r="E8054" s="6" t="s">
        <v>7857</v>
      </c>
      <c r="F8054" s="9" t="s">
        <v>15227</v>
      </c>
    </row>
    <row r="8055" ht="33.75" customHeight="1">
      <c r="A8055" s="7">
        <v>306.0</v>
      </c>
      <c r="B8055" s="9" t="s">
        <v>14439</v>
      </c>
      <c r="C8055" s="9" t="s">
        <v>453</v>
      </c>
      <c r="D8055" s="9" t="s">
        <v>101</v>
      </c>
      <c r="E8055" s="6" t="s">
        <v>7857</v>
      </c>
      <c r="F8055" s="9" t="s">
        <v>15227</v>
      </c>
    </row>
    <row r="8056" ht="33.75" customHeight="1">
      <c r="A8056" s="7">
        <v>306.0</v>
      </c>
      <c r="B8056" s="9" t="s">
        <v>14439</v>
      </c>
      <c r="C8056" s="9" t="s">
        <v>453</v>
      </c>
      <c r="D8056" s="9" t="s">
        <v>105</v>
      </c>
      <c r="E8056" s="6" t="s">
        <v>7854</v>
      </c>
      <c r="F8056" s="9" t="s">
        <v>15227</v>
      </c>
    </row>
    <row r="8057" ht="33.75" customHeight="1">
      <c r="A8057" s="7">
        <v>306.0</v>
      </c>
      <c r="B8057" s="9" t="s">
        <v>14439</v>
      </c>
      <c r="C8057" s="9" t="s">
        <v>453</v>
      </c>
      <c r="D8057" s="9" t="s">
        <v>107</v>
      </c>
      <c r="E8057" s="6" t="s">
        <v>7859</v>
      </c>
      <c r="F8057" s="9" t="s">
        <v>15227</v>
      </c>
    </row>
    <row r="8058" ht="33.75" customHeight="1">
      <c r="A8058" s="7">
        <v>306.0</v>
      </c>
      <c r="B8058" s="9" t="s">
        <v>14439</v>
      </c>
      <c r="C8058" s="9" t="s">
        <v>453</v>
      </c>
      <c r="D8058" s="9" t="s">
        <v>109</v>
      </c>
      <c r="E8058" s="6" t="s">
        <v>7860</v>
      </c>
      <c r="F8058" s="9" t="s">
        <v>15227</v>
      </c>
    </row>
    <row r="8059" ht="33.75" customHeight="1">
      <c r="A8059" s="7">
        <v>306.0</v>
      </c>
      <c r="B8059" s="9" t="s">
        <v>14439</v>
      </c>
      <c r="C8059" s="9" t="s">
        <v>453</v>
      </c>
      <c r="D8059" s="9" t="s">
        <v>114</v>
      </c>
      <c r="E8059" s="6" t="s">
        <v>7862</v>
      </c>
      <c r="F8059" s="9" t="s">
        <v>15227</v>
      </c>
    </row>
    <row r="8060" ht="33.75" customHeight="1">
      <c r="A8060" s="7">
        <v>306.0</v>
      </c>
      <c r="B8060" s="9" t="s">
        <v>14439</v>
      </c>
      <c r="C8060" s="9" t="s">
        <v>453</v>
      </c>
      <c r="D8060" s="9" t="s">
        <v>117</v>
      </c>
      <c r="E8060" s="6" t="s">
        <v>7863</v>
      </c>
      <c r="F8060" s="9" t="s">
        <v>15227</v>
      </c>
    </row>
    <row r="8061" ht="33.75" customHeight="1">
      <c r="A8061" s="7">
        <v>307.0</v>
      </c>
      <c r="B8061" s="9" t="s">
        <v>14452</v>
      </c>
      <c r="C8061" s="9" t="s">
        <v>455</v>
      </c>
      <c r="D8061" s="9" t="s">
        <v>67</v>
      </c>
      <c r="E8061" s="6" t="s">
        <v>7867</v>
      </c>
      <c r="F8061" s="9" t="s">
        <v>15243</v>
      </c>
      <c r="G8061" t="inlineStr" s="6">
        <is>
          <t xml:space="preserve">MEDITITE undertakes rigorous mental training deep in the mountains. However, whenever it meditates, this POKéMON always loses its concentration and focus. As a result, its training never ends. MEDITITE heightens its inner energy through meditation. It survives on just one berry a day. Minimal eating is another aspect of this POKéMON’s training. It continually meditates for hours every day. As a result of rigorous and dedicated yoga training, it has tempered its spiritual power so much it can fly. It never skips its daily yoga training. It heightens its inner strength through meditation. It eats just one berry a day. By enduring hunger, its spirit is tempered and made sharper. It never misses its daily yoga workouts, and it heightens its spiritual power through meditation. It always trains deep in mountains. It levitates when it heightens its spiritual power through meditation. It meditates to heighten its inner energy and to float in the air. It eats one berry a day.</t>
        </is>
      </c>
    </row>
    <row r="8062" ht="33.75" customHeight="1">
      <c r="A8062" s="7">
        <v>307.0</v>
      </c>
      <c r="B8062" s="9" t="s">
        <v>14452</v>
      </c>
      <c r="C8062" s="9" t="s">
        <v>455</v>
      </c>
      <c r="D8062" s="9" t="s">
        <v>71</v>
      </c>
      <c r="E8062" s="6" t="s">
        <v>7869</v>
      </c>
      <c r="F8062" s="9" t="s">
        <v>15243</v>
      </c>
    </row>
    <row r="8063" ht="33.75" customHeight="1">
      <c r="A8063" s="7">
        <v>307.0</v>
      </c>
      <c r="B8063" s="9" t="s">
        <v>14452</v>
      </c>
      <c r="C8063" s="9" t="s">
        <v>455</v>
      </c>
      <c r="D8063" s="9" t="s">
        <v>73</v>
      </c>
      <c r="E8063" s="6" t="s">
        <v>7870</v>
      </c>
      <c r="F8063" s="9" t="s">
        <v>15243</v>
      </c>
    </row>
    <row r="8064" ht="33.75" customHeight="1">
      <c r="A8064" s="7">
        <v>307.0</v>
      </c>
      <c r="B8064" s="9" t="s">
        <v>14452</v>
      </c>
      <c r="C8064" s="9" t="s">
        <v>455</v>
      </c>
      <c r="D8064" s="9" t="s">
        <v>75</v>
      </c>
      <c r="E8064" s="6" t="s">
        <v>7872</v>
      </c>
      <c r="F8064" s="9" t="s">
        <v>15243</v>
      </c>
    </row>
    <row r="8065" ht="33.75" customHeight="1">
      <c r="A8065" s="7">
        <v>307.0</v>
      </c>
      <c r="B8065" s="9" t="s">
        <v>14452</v>
      </c>
      <c r="C8065" s="9" t="s">
        <v>455</v>
      </c>
      <c r="D8065" s="9" t="s">
        <v>79</v>
      </c>
      <c r="E8065" s="6" t="s">
        <v>7872</v>
      </c>
      <c r="F8065" s="9" t="s">
        <v>15243</v>
      </c>
    </row>
    <row r="8066" ht="33.75" customHeight="1">
      <c r="A8066" s="7">
        <v>307.0</v>
      </c>
      <c r="B8066" s="9" t="s">
        <v>14452</v>
      </c>
      <c r="C8066" s="9" t="s">
        <v>455</v>
      </c>
      <c r="D8066" s="9" t="s">
        <v>81</v>
      </c>
      <c r="E8066" s="6" t="s">
        <v>7873</v>
      </c>
      <c r="F8066" s="9" t="s">
        <v>15243</v>
      </c>
    </row>
    <row r="8067" ht="33.75" customHeight="1">
      <c r="A8067" s="7">
        <v>307.0</v>
      </c>
      <c r="B8067" s="9" t="s">
        <v>14452</v>
      </c>
      <c r="C8067" s="9" t="s">
        <v>455</v>
      </c>
      <c r="D8067" s="9" t="s">
        <v>84</v>
      </c>
      <c r="E8067" s="6" t="s">
        <v>7875</v>
      </c>
      <c r="F8067" s="9" t="s">
        <v>15243</v>
      </c>
    </row>
    <row r="8068" ht="33.75" customHeight="1">
      <c r="A8068" s="7">
        <v>307.0</v>
      </c>
      <c r="B8068" s="9" t="s">
        <v>14452</v>
      </c>
      <c r="C8068" s="9" t="s">
        <v>455</v>
      </c>
      <c r="D8068" s="9" t="s">
        <v>87</v>
      </c>
      <c r="E8068" s="6" t="s">
        <v>7877</v>
      </c>
      <c r="F8068" s="9" t="s">
        <v>15243</v>
      </c>
    </row>
    <row r="8069" ht="33.75" customHeight="1">
      <c r="A8069" s="7">
        <v>307.0</v>
      </c>
      <c r="B8069" s="9" t="s">
        <v>14452</v>
      </c>
      <c r="C8069" s="9" t="s">
        <v>455</v>
      </c>
      <c r="D8069" s="9" t="s">
        <v>89</v>
      </c>
      <c r="E8069" s="6" t="s">
        <v>7879</v>
      </c>
      <c r="F8069" s="9" t="s">
        <v>15243</v>
      </c>
    </row>
    <row r="8070" ht="33.75" customHeight="1">
      <c r="A8070" s="7">
        <v>307.0</v>
      </c>
      <c r="B8070" s="9" t="s">
        <v>14452</v>
      </c>
      <c r="C8070" s="9" t="s">
        <v>455</v>
      </c>
      <c r="D8070" s="9" t="s">
        <v>91</v>
      </c>
      <c r="E8070" s="6" t="s">
        <v>7879</v>
      </c>
      <c r="F8070" s="9" t="s">
        <v>15243</v>
      </c>
    </row>
    <row r="8071" ht="33.75" customHeight="1">
      <c r="A8071" s="7">
        <v>307.0</v>
      </c>
      <c r="B8071" s="9" t="s">
        <v>14452</v>
      </c>
      <c r="C8071" s="9" t="s">
        <v>455</v>
      </c>
      <c r="D8071" s="9" t="s">
        <v>93</v>
      </c>
      <c r="E8071" s="6" t="s">
        <v>7877</v>
      </c>
      <c r="F8071" s="9" t="s">
        <v>15243</v>
      </c>
    </row>
    <row r="8072" ht="33.75" customHeight="1">
      <c r="A8072" s="7">
        <v>307.0</v>
      </c>
      <c r="B8072" s="9" t="s">
        <v>14452</v>
      </c>
      <c r="C8072" s="9" t="s">
        <v>455</v>
      </c>
      <c r="D8072" s="9" t="s">
        <v>95</v>
      </c>
      <c r="E8072" s="6" t="s">
        <v>7877</v>
      </c>
      <c r="F8072" s="9" t="s">
        <v>15243</v>
      </c>
    </row>
    <row r="8073" ht="33.75" customHeight="1">
      <c r="A8073" s="7">
        <v>307.0</v>
      </c>
      <c r="B8073" s="9" t="s">
        <v>14452</v>
      </c>
      <c r="C8073" s="9" t="s">
        <v>455</v>
      </c>
      <c r="D8073" s="9" t="s">
        <v>98</v>
      </c>
      <c r="E8073" s="6" t="s">
        <v>7877</v>
      </c>
      <c r="F8073" s="9" t="s">
        <v>15243</v>
      </c>
    </row>
    <row r="8074" ht="33.75" customHeight="1">
      <c r="A8074" s="7">
        <v>307.0</v>
      </c>
      <c r="B8074" s="9" t="s">
        <v>14452</v>
      </c>
      <c r="C8074" s="9" t="s">
        <v>455</v>
      </c>
      <c r="D8074" s="9" t="s">
        <v>99</v>
      </c>
      <c r="E8074" s="6" t="s">
        <v>7877</v>
      </c>
      <c r="F8074" s="9" t="s">
        <v>15243</v>
      </c>
    </row>
    <row r="8075" ht="33.75" customHeight="1">
      <c r="A8075" s="7">
        <v>307.0</v>
      </c>
      <c r="B8075" s="9" t="s">
        <v>14452</v>
      </c>
      <c r="C8075" s="9" t="s">
        <v>455</v>
      </c>
      <c r="D8075" s="9" t="s">
        <v>101</v>
      </c>
      <c r="E8075" s="6" t="s">
        <v>7877</v>
      </c>
      <c r="F8075" s="9" t="s">
        <v>15243</v>
      </c>
    </row>
    <row r="8076" ht="33.75" customHeight="1">
      <c r="A8076" s="7">
        <v>307.0</v>
      </c>
      <c r="B8076" s="9" t="s">
        <v>14452</v>
      </c>
      <c r="C8076" s="9" t="s">
        <v>455</v>
      </c>
      <c r="D8076" s="9" t="s">
        <v>105</v>
      </c>
      <c r="E8076" s="6" t="s">
        <v>7873</v>
      </c>
      <c r="F8076" s="9" t="s">
        <v>15243</v>
      </c>
    </row>
    <row r="8077" ht="33.75" customHeight="1">
      <c r="A8077" s="7">
        <v>307.0</v>
      </c>
      <c r="B8077" s="9" t="s">
        <v>14452</v>
      </c>
      <c r="C8077" s="9" t="s">
        <v>455</v>
      </c>
      <c r="D8077" s="9" t="s">
        <v>107</v>
      </c>
      <c r="E8077" s="6" t="s">
        <v>7880</v>
      </c>
      <c r="F8077" s="9" t="s">
        <v>15243</v>
      </c>
    </row>
    <row r="8078" ht="33.75" customHeight="1">
      <c r="A8078" s="7">
        <v>307.0</v>
      </c>
      <c r="B8078" s="9" t="s">
        <v>14452</v>
      </c>
      <c r="C8078" s="9" t="s">
        <v>455</v>
      </c>
      <c r="D8078" s="9" t="s">
        <v>109</v>
      </c>
      <c r="E8078" s="6" t="s">
        <v>7882</v>
      </c>
      <c r="F8078" s="9" t="s">
        <v>15243</v>
      </c>
    </row>
    <row r="8079" ht="33.75" customHeight="1">
      <c r="A8079" s="7">
        <v>308.0</v>
      </c>
      <c r="B8079" s="9" t="s">
        <v>14465</v>
      </c>
      <c r="C8079" s="9" t="s">
        <v>455</v>
      </c>
      <c r="D8079" s="9" t="s">
        <v>67</v>
      </c>
      <c r="E8079" s="6" t="s">
        <v>7883</v>
      </c>
      <c r="F8079" s="9" t="s">
        <v>15258</v>
      </c>
      <c r="G8079" t="inlineStr" s="6">
        <is>
          <t xml:space="preserve">It is said that through meditation, MEDICHAM heightens energy inside Medicham's body and sharpens its sixth sense. This POKéMON hides its presence by merging itself with fields and mountains. Through the power of meditation, MEDICHAM developed its sixth sense. It gained the ability to use psychokinetic powers. This POKéMON is known to meditate for a whole month without eating. Through crushingly harsh yoga training, it gained the power to foretell its foe’s actions. It battles with elegant, dance- like movement. It elegantly avoids attacks with dance- like steps, then launches a devastating blow in the same motion. Through yoga training, it has honed its sixth sense. Its movements are elegant. Through daily meditation, it hones its spiritual power. It can sense what others are thinking. It gains the ability to see the aura of its opponents by honing its mind through starvation. Through yoga training, it gained the psychic power to predict its foe’s next move. It elegantly avoids attacks with dance-like steps, then launches a devastating blow in the same motion.</t>
        </is>
      </c>
    </row>
    <row r="8080" ht="33.75" customHeight="1">
      <c r="A8080" s="7">
        <v>308.0</v>
      </c>
      <c r="B8080" s="9" t="s">
        <v>14465</v>
      </c>
      <c r="C8080" s="9" t="s">
        <v>455</v>
      </c>
      <c r="D8080" s="9" t="s">
        <v>71</v>
      </c>
      <c r="E8080" s="6" t="s">
        <v>7885</v>
      </c>
      <c r="F8080" s="9" t="s">
        <v>15258</v>
      </c>
    </row>
    <row r="8081" ht="33.75" customHeight="1">
      <c r="A8081" s="7">
        <v>308.0</v>
      </c>
      <c r="B8081" s="9" t="s">
        <v>14465</v>
      </c>
      <c r="C8081" s="9" t="s">
        <v>455</v>
      </c>
      <c r="D8081" s="9" t="s">
        <v>73</v>
      </c>
      <c r="E8081" s="6" t="s">
        <v>7887</v>
      </c>
      <c r="F8081" s="9" t="s">
        <v>15258</v>
      </c>
    </row>
    <row r="8082" ht="33.75" customHeight="1">
      <c r="A8082" s="7">
        <v>308.0</v>
      </c>
      <c r="B8082" s="9" t="s">
        <v>14465</v>
      </c>
      <c r="C8082" s="9" t="s">
        <v>455</v>
      </c>
      <c r="D8082" s="9" t="s">
        <v>75</v>
      </c>
      <c r="E8082" s="6" t="s">
        <v>7888</v>
      </c>
      <c r="F8082" s="9" t="s">
        <v>15258</v>
      </c>
    </row>
    <row r="8083" ht="33.75" customHeight="1">
      <c r="A8083" s="7">
        <v>308.0</v>
      </c>
      <c r="B8083" s="9" t="s">
        <v>14465</v>
      </c>
      <c r="C8083" s="9" t="s">
        <v>455</v>
      </c>
      <c r="D8083" s="9" t="s">
        <v>79</v>
      </c>
      <c r="E8083" s="6" t="s">
        <v>7888</v>
      </c>
      <c r="F8083" s="9" t="s">
        <v>15258</v>
      </c>
    </row>
    <row r="8084" ht="33.75" customHeight="1">
      <c r="A8084" s="7">
        <v>308.0</v>
      </c>
      <c r="B8084" s="9" t="s">
        <v>14465</v>
      </c>
      <c r="C8084" s="9" t="s">
        <v>455</v>
      </c>
      <c r="D8084" s="9" t="s">
        <v>81</v>
      </c>
      <c r="E8084" s="6" t="s">
        <v>7889</v>
      </c>
      <c r="F8084" s="9" t="s">
        <v>15258</v>
      </c>
    </row>
    <row r="8085" ht="33.75" customHeight="1">
      <c r="A8085" s="7">
        <v>308.0</v>
      </c>
      <c r="B8085" s="9" t="s">
        <v>14465</v>
      </c>
      <c r="C8085" s="9" t="s">
        <v>455</v>
      </c>
      <c r="D8085" s="9" t="s">
        <v>84</v>
      </c>
      <c r="E8085" s="6" t="s">
        <v>7891</v>
      </c>
      <c r="F8085" s="9" t="s">
        <v>15258</v>
      </c>
    </row>
    <row r="8086" ht="33.75" customHeight="1">
      <c r="A8086" s="7">
        <v>308.0</v>
      </c>
      <c r="B8086" s="9" t="s">
        <v>14465</v>
      </c>
      <c r="C8086" s="9" t="s">
        <v>455</v>
      </c>
      <c r="D8086" s="9" t="s">
        <v>87</v>
      </c>
      <c r="E8086" s="6" t="s">
        <v>7892</v>
      </c>
      <c r="F8086" s="9" t="s">
        <v>15258</v>
      </c>
    </row>
    <row r="8087" ht="33.75" customHeight="1">
      <c r="A8087" s="7">
        <v>308.0</v>
      </c>
      <c r="B8087" s="9" t="s">
        <v>14465</v>
      </c>
      <c r="C8087" s="9" t="s">
        <v>455</v>
      </c>
      <c r="D8087" s="9" t="s">
        <v>89</v>
      </c>
      <c r="E8087" s="6" t="s">
        <v>7893</v>
      </c>
      <c r="F8087" s="9" t="s">
        <v>15258</v>
      </c>
    </row>
    <row r="8088" ht="33.75" customHeight="1">
      <c r="A8088" s="7">
        <v>308.0</v>
      </c>
      <c r="B8088" s="9" t="s">
        <v>14465</v>
      </c>
      <c r="C8088" s="9" t="s">
        <v>455</v>
      </c>
      <c r="D8088" s="9" t="s">
        <v>91</v>
      </c>
      <c r="E8088" s="6" t="s">
        <v>7893</v>
      </c>
      <c r="F8088" s="9" t="s">
        <v>15258</v>
      </c>
    </row>
    <row r="8089" ht="33.75" customHeight="1">
      <c r="A8089" s="7">
        <v>308.0</v>
      </c>
      <c r="B8089" s="9" t="s">
        <v>14465</v>
      </c>
      <c r="C8089" s="9" t="s">
        <v>455</v>
      </c>
      <c r="D8089" s="9" t="s">
        <v>93</v>
      </c>
      <c r="E8089" s="6" t="s">
        <v>7892</v>
      </c>
      <c r="F8089" s="9" t="s">
        <v>15258</v>
      </c>
    </row>
    <row r="8090" ht="33.75" customHeight="1">
      <c r="A8090" s="7">
        <v>308.0</v>
      </c>
      <c r="B8090" s="9" t="s">
        <v>14465</v>
      </c>
      <c r="C8090" s="9" t="s">
        <v>455</v>
      </c>
      <c r="D8090" s="9" t="s">
        <v>95</v>
      </c>
      <c r="E8090" s="6" t="s">
        <v>7892</v>
      </c>
      <c r="F8090" s="9" t="s">
        <v>15258</v>
      </c>
    </row>
    <row r="8091" ht="33.75" customHeight="1">
      <c r="A8091" s="7">
        <v>308.0</v>
      </c>
      <c r="B8091" s="9" t="s">
        <v>14465</v>
      </c>
      <c r="C8091" s="9" t="s">
        <v>455</v>
      </c>
      <c r="D8091" s="9" t="s">
        <v>98</v>
      </c>
      <c r="E8091" s="6" t="s">
        <v>7892</v>
      </c>
      <c r="F8091" s="9" t="s">
        <v>15258</v>
      </c>
    </row>
    <row r="8092" ht="33.75" customHeight="1">
      <c r="A8092" s="7">
        <v>308.0</v>
      </c>
      <c r="B8092" s="9" t="s">
        <v>14465</v>
      </c>
      <c r="C8092" s="9" t="s">
        <v>455</v>
      </c>
      <c r="D8092" s="9" t="s">
        <v>99</v>
      </c>
      <c r="E8092" s="6" t="s">
        <v>7892</v>
      </c>
      <c r="F8092" s="9" t="s">
        <v>15258</v>
      </c>
    </row>
    <row r="8093" ht="33.75" customHeight="1">
      <c r="A8093" s="7">
        <v>308.0</v>
      </c>
      <c r="B8093" s="9" t="s">
        <v>14465</v>
      </c>
      <c r="C8093" s="9" t="s">
        <v>455</v>
      </c>
      <c r="D8093" s="9" t="s">
        <v>101</v>
      </c>
      <c r="E8093" s="6" t="s">
        <v>7895</v>
      </c>
      <c r="F8093" s="9" t="s">
        <v>15258</v>
      </c>
    </row>
    <row r="8094" ht="33.75" customHeight="1">
      <c r="A8094" s="7">
        <v>308.0</v>
      </c>
      <c r="B8094" s="9" t="s">
        <v>14465</v>
      </c>
      <c r="C8094" s="9" t="s">
        <v>455</v>
      </c>
      <c r="D8094" s="9" t="s">
        <v>105</v>
      </c>
      <c r="E8094" s="6" t="s">
        <v>7893</v>
      </c>
      <c r="F8094" s="9" t="s">
        <v>15258</v>
      </c>
    </row>
    <row r="8095" ht="33.75" customHeight="1">
      <c r="A8095" s="7">
        <v>308.0</v>
      </c>
      <c r="B8095" s="9" t="s">
        <v>14465</v>
      </c>
      <c r="C8095" s="9" t="s">
        <v>455</v>
      </c>
      <c r="D8095" s="9" t="s">
        <v>107</v>
      </c>
      <c r="E8095" s="6" t="s">
        <v>7897</v>
      </c>
      <c r="F8095" s="9" t="s">
        <v>15258</v>
      </c>
    </row>
    <row r="8096" ht="33.75" customHeight="1">
      <c r="A8096" s="7">
        <v>308.0</v>
      </c>
      <c r="B8096" s="9" t="s">
        <v>14465</v>
      </c>
      <c r="C8096" s="9" t="s">
        <v>455</v>
      </c>
      <c r="D8096" s="9" t="s">
        <v>109</v>
      </c>
      <c r="E8096" s="6" t="s">
        <v>7899</v>
      </c>
      <c r="F8096" s="9" t="s">
        <v>15258</v>
      </c>
    </row>
    <row r="8097" ht="33.75" customHeight="1">
      <c r="A8097" s="7">
        <v>309.0</v>
      </c>
      <c r="B8097" s="9" t="s">
        <v>14477</v>
      </c>
      <c r="C8097" s="9" t="s">
        <v>223</v>
      </c>
      <c r="D8097" s="9" t="s">
        <v>67</v>
      </c>
      <c r="E8097" s="6" t="s">
        <v>7900</v>
      </c>
      <c r="F8097" s="9" t="s">
        <v>15274</v>
      </c>
      <c r="G8097" t="inlineStr" s="6">
        <is>
          <t xml:space="preserve">ELECTRIKE stores electricity in Electrike's long body hair. This POKéMON stimulates its leg muscles with electric charges. These jolts of power give its legs explosive acceleration performance. ELECTRIKE runs faster than the human eye can follow. The friction from running is converted into electricity, which is then stored in this POKéMON’s fur. It generates electricity using friction from the atmosphere. In seasons with especially arid air, its entire body blazes with violent showers of sparks. It stores static electricity in its fur for discharging. It gives off sparks if a storm approaches. Using electricity stored in its fur, it stimulates its muscles to heighten its reaction speed. It stores electricity in its fur. It gives off sparks from all over its body in seasons when the air is dry. Friction between the air and its fur produces static electricity. When Electrike runs, it makes a crackling sound. Static electricity builds up all over its body as strands of its long fur rub together. This Pokémon boasts incredible speed.</t>
        </is>
      </c>
    </row>
    <row r="8098" ht="33.75" customHeight="1">
      <c r="A8098" s="7">
        <v>309.0</v>
      </c>
      <c r="B8098" s="9" t="s">
        <v>14477</v>
      </c>
      <c r="C8098" s="9" t="s">
        <v>223</v>
      </c>
      <c r="D8098" s="9" t="s">
        <v>71</v>
      </c>
      <c r="E8098" s="6" t="s">
        <v>7901</v>
      </c>
      <c r="F8098" s="9" t="s">
        <v>15274</v>
      </c>
    </row>
    <row r="8099" ht="33.75" customHeight="1">
      <c r="A8099" s="7">
        <v>309.0</v>
      </c>
      <c r="B8099" s="9" t="s">
        <v>14477</v>
      </c>
      <c r="C8099" s="9" t="s">
        <v>223</v>
      </c>
      <c r="D8099" s="9" t="s">
        <v>73</v>
      </c>
      <c r="E8099" s="6" t="s">
        <v>7903</v>
      </c>
      <c r="F8099" s="9" t="s">
        <v>15274</v>
      </c>
    </row>
    <row r="8100" ht="33.75" customHeight="1">
      <c r="A8100" s="7">
        <v>309.0</v>
      </c>
      <c r="B8100" s="9" t="s">
        <v>14477</v>
      </c>
      <c r="C8100" s="9" t="s">
        <v>223</v>
      </c>
      <c r="D8100" s="9" t="s">
        <v>75</v>
      </c>
      <c r="E8100" s="6" t="s">
        <v>7904</v>
      </c>
      <c r="F8100" s="9" t="s">
        <v>15274</v>
      </c>
    </row>
    <row r="8101" ht="33.75" customHeight="1">
      <c r="A8101" s="7">
        <v>309.0</v>
      </c>
      <c r="B8101" s="9" t="s">
        <v>14477</v>
      </c>
      <c r="C8101" s="9" t="s">
        <v>223</v>
      </c>
      <c r="D8101" s="9" t="s">
        <v>79</v>
      </c>
      <c r="E8101" s="6" t="s">
        <v>7904</v>
      </c>
      <c r="F8101" s="9" t="s">
        <v>15274</v>
      </c>
    </row>
    <row r="8102" ht="33.75" customHeight="1">
      <c r="A8102" s="7">
        <v>309.0</v>
      </c>
      <c r="B8102" s="9" t="s">
        <v>14477</v>
      </c>
      <c r="C8102" s="9" t="s">
        <v>223</v>
      </c>
      <c r="D8102" s="9" t="s">
        <v>81</v>
      </c>
      <c r="E8102" s="6" t="s">
        <v>7905</v>
      </c>
      <c r="F8102" s="9" t="s">
        <v>15274</v>
      </c>
    </row>
    <row r="8103" ht="33.75" customHeight="1">
      <c r="A8103" s="7">
        <v>309.0</v>
      </c>
      <c r="B8103" s="9" t="s">
        <v>14477</v>
      </c>
      <c r="C8103" s="9" t="s">
        <v>223</v>
      </c>
      <c r="D8103" s="9" t="s">
        <v>84</v>
      </c>
      <c r="E8103" s="6" t="s">
        <v>7905</v>
      </c>
      <c r="F8103" s="9" t="s">
        <v>15274</v>
      </c>
    </row>
    <row r="8104" ht="33.75" customHeight="1">
      <c r="A8104" s="7">
        <v>309.0</v>
      </c>
      <c r="B8104" s="9" t="s">
        <v>14477</v>
      </c>
      <c r="C8104" s="9" t="s">
        <v>223</v>
      </c>
      <c r="D8104" s="9" t="s">
        <v>87</v>
      </c>
      <c r="E8104" s="6" t="s">
        <v>7905</v>
      </c>
      <c r="F8104" s="9" t="s">
        <v>15274</v>
      </c>
    </row>
    <row r="8105" ht="33.75" customHeight="1">
      <c r="A8105" s="7">
        <v>309.0</v>
      </c>
      <c r="B8105" s="9" t="s">
        <v>14477</v>
      </c>
      <c r="C8105" s="9" t="s">
        <v>223</v>
      </c>
      <c r="D8105" s="9" t="s">
        <v>89</v>
      </c>
      <c r="E8105" s="6" t="s">
        <v>7906</v>
      </c>
      <c r="F8105" s="9" t="s">
        <v>15274</v>
      </c>
    </row>
    <row r="8106" ht="33.75" customHeight="1">
      <c r="A8106" s="7">
        <v>309.0</v>
      </c>
      <c r="B8106" s="9" t="s">
        <v>14477</v>
      </c>
      <c r="C8106" s="9" t="s">
        <v>223</v>
      </c>
      <c r="D8106" s="9" t="s">
        <v>91</v>
      </c>
      <c r="E8106" s="6" t="s">
        <v>7906</v>
      </c>
      <c r="F8106" s="9" t="s">
        <v>15274</v>
      </c>
    </row>
    <row r="8107" ht="33.75" customHeight="1">
      <c r="A8107" s="7">
        <v>309.0</v>
      </c>
      <c r="B8107" s="9" t="s">
        <v>14477</v>
      </c>
      <c r="C8107" s="9" t="s">
        <v>223</v>
      </c>
      <c r="D8107" s="9" t="s">
        <v>93</v>
      </c>
      <c r="E8107" s="6" t="s">
        <v>7905</v>
      </c>
      <c r="F8107" s="9" t="s">
        <v>15274</v>
      </c>
    </row>
    <row r="8108" ht="33.75" customHeight="1">
      <c r="A8108" s="7">
        <v>309.0</v>
      </c>
      <c r="B8108" s="9" t="s">
        <v>14477</v>
      </c>
      <c r="C8108" s="9" t="s">
        <v>223</v>
      </c>
      <c r="D8108" s="9" t="s">
        <v>95</v>
      </c>
      <c r="E8108" s="6" t="s">
        <v>7905</v>
      </c>
      <c r="F8108" s="9" t="s">
        <v>15274</v>
      </c>
    </row>
    <row r="8109" ht="33.75" customHeight="1">
      <c r="A8109" s="7">
        <v>309.0</v>
      </c>
      <c r="B8109" s="9" t="s">
        <v>14477</v>
      </c>
      <c r="C8109" s="9" t="s">
        <v>223</v>
      </c>
      <c r="D8109" s="9" t="s">
        <v>98</v>
      </c>
      <c r="E8109" s="6" t="s">
        <v>7905</v>
      </c>
      <c r="F8109" s="9" t="s">
        <v>15274</v>
      </c>
    </row>
    <row r="8110" ht="33.75" customHeight="1">
      <c r="A8110" s="7">
        <v>309.0</v>
      </c>
      <c r="B8110" s="9" t="s">
        <v>14477</v>
      </c>
      <c r="C8110" s="9" t="s">
        <v>223</v>
      </c>
      <c r="D8110" s="9" t="s">
        <v>99</v>
      </c>
      <c r="E8110" s="6" t="s">
        <v>7905</v>
      </c>
      <c r="F8110" s="9" t="s">
        <v>15274</v>
      </c>
    </row>
    <row r="8111" ht="33.75" customHeight="1">
      <c r="A8111" s="7">
        <v>309.0</v>
      </c>
      <c r="B8111" s="9" t="s">
        <v>14477</v>
      </c>
      <c r="C8111" s="9" t="s">
        <v>223</v>
      </c>
      <c r="D8111" s="9" t="s">
        <v>101</v>
      </c>
      <c r="E8111" s="6" t="s">
        <v>7905</v>
      </c>
      <c r="F8111" s="9" t="s">
        <v>15274</v>
      </c>
    </row>
    <row r="8112" ht="33.75" customHeight="1">
      <c r="A8112" s="7">
        <v>309.0</v>
      </c>
      <c r="B8112" s="9" t="s">
        <v>14477</v>
      </c>
      <c r="C8112" s="9" t="s">
        <v>223</v>
      </c>
      <c r="D8112" s="9" t="s">
        <v>105</v>
      </c>
      <c r="E8112" s="6" t="s">
        <v>7904</v>
      </c>
      <c r="F8112" s="9" t="s">
        <v>15274</v>
      </c>
    </row>
    <row r="8113" ht="33.75" customHeight="1">
      <c r="A8113" s="7">
        <v>309.0</v>
      </c>
      <c r="B8113" s="9" t="s">
        <v>14477</v>
      </c>
      <c r="C8113" s="9" t="s">
        <v>223</v>
      </c>
      <c r="D8113" s="9" t="s">
        <v>107</v>
      </c>
      <c r="E8113" s="6" t="s">
        <v>7907</v>
      </c>
      <c r="F8113" s="9" t="s">
        <v>15274</v>
      </c>
    </row>
    <row r="8114" ht="33.75" customHeight="1">
      <c r="A8114" s="7">
        <v>309.0</v>
      </c>
      <c r="B8114" s="9" t="s">
        <v>14477</v>
      </c>
      <c r="C8114" s="9" t="s">
        <v>223</v>
      </c>
      <c r="D8114" s="9" t="s">
        <v>109</v>
      </c>
      <c r="E8114" s="6" t="s">
        <v>7909</v>
      </c>
      <c r="F8114" s="9" t="s">
        <v>15274</v>
      </c>
    </row>
    <row r="8115" ht="33.75" customHeight="1">
      <c r="A8115" s="7">
        <v>309.0</v>
      </c>
      <c r="B8115" s="9" t="s">
        <v>14477</v>
      </c>
      <c r="C8115" s="9" t="s">
        <v>223</v>
      </c>
      <c r="D8115" s="9" t="s">
        <v>647</v>
      </c>
      <c r="E8115" s="6" t="s">
        <v>7910</v>
      </c>
      <c r="F8115" s="9" t="s">
        <v>15274</v>
      </c>
    </row>
    <row r="8116" ht="33.75" customHeight="1">
      <c r="A8116" s="7">
        <v>309.0</v>
      </c>
      <c r="B8116" s="9" t="s">
        <v>14477</v>
      </c>
      <c r="C8116" s="9" t="s">
        <v>223</v>
      </c>
      <c r="D8116" s="9" t="s">
        <v>652</v>
      </c>
      <c r="E8116" s="6" t="s">
        <v>7912</v>
      </c>
      <c r="F8116" s="9" t="s">
        <v>15274</v>
      </c>
    </row>
    <row r="8117" ht="33.75" customHeight="1">
      <c r="A8117" s="7">
        <v>309.0</v>
      </c>
      <c r="B8117" s="9" t="s">
        <v>14477</v>
      </c>
      <c r="C8117" s="9" t="s">
        <v>223</v>
      </c>
      <c r="D8117" s="9" t="s">
        <v>114</v>
      </c>
      <c r="E8117" s="6" t="s">
        <v>7904</v>
      </c>
      <c r="F8117" s="9" t="s">
        <v>15274</v>
      </c>
    </row>
    <row r="8118" ht="33.75" customHeight="1">
      <c r="A8118" s="7">
        <v>309.0</v>
      </c>
      <c r="B8118" s="9" t="s">
        <v>14477</v>
      </c>
      <c r="C8118" s="9" t="s">
        <v>223</v>
      </c>
      <c r="D8118" s="9" t="s">
        <v>117</v>
      </c>
      <c r="E8118" s="6" t="s">
        <v>7906</v>
      </c>
      <c r="F8118" s="9" t="s">
        <v>15274</v>
      </c>
    </row>
    <row r="8119" ht="33.75" customHeight="1">
      <c r="A8119" s="7">
        <v>310.0</v>
      </c>
      <c r="B8119" s="9" t="s">
        <v>14489</v>
      </c>
      <c r="C8119" s="9" t="s">
        <v>457</v>
      </c>
      <c r="D8119" s="9" t="s">
        <v>67</v>
      </c>
      <c r="E8119" s="6" t="s">
        <v>7914</v>
      </c>
      <c r="F8119" s="9" t="s">
        <v>15291</v>
      </c>
      <c r="G8119" t="inlineStr" s="6">
        <is>
          <t xml:space="preserve">MANECTRIC is constantly discharging electricity from Manectric's mane. The sparks sometimes ignite forest fires. When it enters a battle, this POKéMON creates thunderclouds. MANECTRIC discharges strong electricity from its mane. The mane is used for collecting electricity in the atmosphere. This POKéMON creates thunderclouds above its head. Because lightning falls in their vicinities, MANECTRIC were thought to have been born from lightning. In battle, they create thunderclouds. It rarely appears before people. It is said to nest where lightning has fallen. It discharges electricity from its mane. It creates a thundercloud overhead to drop lightning bolts. Its nest can be found where a thunderbolt hits. It is discharging electricity from its mane. Manectric can be found beneath unnatural thunderclouds. People say it can run at the same speed as lightning striking. It stimulates its own muscles with electricity, so it can move quickly. It eases its soreness with electricity, too, so it can recover quickly as well.</t>
        </is>
      </c>
    </row>
    <row r="8120" ht="33.75" customHeight="1">
      <c r="A8120" s="7">
        <v>310.0</v>
      </c>
      <c r="B8120" s="9" t="s">
        <v>14489</v>
      </c>
      <c r="C8120" s="9" t="s">
        <v>457</v>
      </c>
      <c r="D8120" s="9" t="s">
        <v>71</v>
      </c>
      <c r="E8120" s="6" t="s">
        <v>7916</v>
      </c>
      <c r="F8120" s="9" t="s">
        <v>15291</v>
      </c>
    </row>
    <row r="8121" ht="33.75" customHeight="1">
      <c r="A8121" s="7">
        <v>310.0</v>
      </c>
      <c r="B8121" s="9" t="s">
        <v>14489</v>
      </c>
      <c r="C8121" s="9" t="s">
        <v>457</v>
      </c>
      <c r="D8121" s="9" t="s">
        <v>73</v>
      </c>
      <c r="E8121" s="6" t="s">
        <v>7917</v>
      </c>
      <c r="F8121" s="9" t="s">
        <v>15291</v>
      </c>
    </row>
    <row r="8122" ht="33.75" customHeight="1">
      <c r="A8122" s="7">
        <v>310.0</v>
      </c>
      <c r="B8122" s="9" t="s">
        <v>14489</v>
      </c>
      <c r="C8122" s="9" t="s">
        <v>457</v>
      </c>
      <c r="D8122" s="9" t="s">
        <v>75</v>
      </c>
      <c r="E8122" s="6" t="s">
        <v>7919</v>
      </c>
      <c r="F8122" s="9" t="s">
        <v>15291</v>
      </c>
    </row>
    <row r="8123" ht="33.75" customHeight="1">
      <c r="A8123" s="7">
        <v>310.0</v>
      </c>
      <c r="B8123" s="9" t="s">
        <v>14489</v>
      </c>
      <c r="C8123" s="9" t="s">
        <v>457</v>
      </c>
      <c r="D8123" s="9" t="s">
        <v>79</v>
      </c>
      <c r="E8123" s="6" t="s">
        <v>7919</v>
      </c>
      <c r="F8123" s="9" t="s">
        <v>15291</v>
      </c>
    </row>
    <row r="8124" ht="33.75" customHeight="1">
      <c r="A8124" s="7">
        <v>310.0</v>
      </c>
      <c r="B8124" s="9" t="s">
        <v>14489</v>
      </c>
      <c r="C8124" s="9" t="s">
        <v>457</v>
      </c>
      <c r="D8124" s="9" t="s">
        <v>81</v>
      </c>
      <c r="E8124" s="6" t="s">
        <v>7921</v>
      </c>
      <c r="F8124" s="9" t="s">
        <v>15291</v>
      </c>
    </row>
    <row r="8125" ht="33.75" customHeight="1">
      <c r="A8125" s="7">
        <v>310.0</v>
      </c>
      <c r="B8125" s="9" t="s">
        <v>14489</v>
      </c>
      <c r="C8125" s="9" t="s">
        <v>457</v>
      </c>
      <c r="D8125" s="9" t="s">
        <v>84</v>
      </c>
      <c r="E8125" s="6" t="s">
        <v>7921</v>
      </c>
      <c r="F8125" s="9" t="s">
        <v>15291</v>
      </c>
    </row>
    <row r="8126" ht="33.75" customHeight="1">
      <c r="A8126" s="7">
        <v>310.0</v>
      </c>
      <c r="B8126" s="9" t="s">
        <v>14489</v>
      </c>
      <c r="C8126" s="9" t="s">
        <v>457</v>
      </c>
      <c r="D8126" s="9" t="s">
        <v>87</v>
      </c>
      <c r="E8126" s="6" t="s">
        <v>7921</v>
      </c>
      <c r="F8126" s="9" t="s">
        <v>15291</v>
      </c>
    </row>
    <row r="8127" ht="33.75" customHeight="1">
      <c r="A8127" s="7">
        <v>310.0</v>
      </c>
      <c r="B8127" s="9" t="s">
        <v>14489</v>
      </c>
      <c r="C8127" s="9" t="s">
        <v>457</v>
      </c>
      <c r="D8127" s="9" t="s">
        <v>89</v>
      </c>
      <c r="E8127" s="6" t="s">
        <v>7922</v>
      </c>
      <c r="F8127" s="9" t="s">
        <v>15291</v>
      </c>
    </row>
    <row r="8128" ht="33.75" customHeight="1">
      <c r="A8128" s="7">
        <v>310.0</v>
      </c>
      <c r="B8128" s="9" t="s">
        <v>14489</v>
      </c>
      <c r="C8128" s="9" t="s">
        <v>457</v>
      </c>
      <c r="D8128" s="9" t="s">
        <v>91</v>
      </c>
      <c r="E8128" s="6" t="s">
        <v>7922</v>
      </c>
      <c r="F8128" s="9" t="s">
        <v>15291</v>
      </c>
    </row>
    <row r="8129" ht="33.75" customHeight="1">
      <c r="A8129" s="7">
        <v>310.0</v>
      </c>
      <c r="B8129" s="9" t="s">
        <v>14489</v>
      </c>
      <c r="C8129" s="9" t="s">
        <v>457</v>
      </c>
      <c r="D8129" s="9" t="s">
        <v>93</v>
      </c>
      <c r="E8129" s="6" t="s">
        <v>7921</v>
      </c>
      <c r="F8129" s="9" t="s">
        <v>15291</v>
      </c>
    </row>
    <row r="8130" ht="33.75" customHeight="1">
      <c r="A8130" s="7">
        <v>310.0</v>
      </c>
      <c r="B8130" s="9" t="s">
        <v>14489</v>
      </c>
      <c r="C8130" s="9" t="s">
        <v>457</v>
      </c>
      <c r="D8130" s="9" t="s">
        <v>95</v>
      </c>
      <c r="E8130" s="6" t="s">
        <v>7921</v>
      </c>
      <c r="F8130" s="9" t="s">
        <v>15291</v>
      </c>
    </row>
    <row r="8131" ht="33.75" customHeight="1">
      <c r="A8131" s="7">
        <v>310.0</v>
      </c>
      <c r="B8131" s="9" t="s">
        <v>14489</v>
      </c>
      <c r="C8131" s="9" t="s">
        <v>457</v>
      </c>
      <c r="D8131" s="9" t="s">
        <v>98</v>
      </c>
      <c r="E8131" s="6" t="s">
        <v>7921</v>
      </c>
      <c r="F8131" s="9" t="s">
        <v>15291</v>
      </c>
    </row>
    <row r="8132" ht="33.75" customHeight="1">
      <c r="A8132" s="7">
        <v>310.0</v>
      </c>
      <c r="B8132" s="9" t="s">
        <v>14489</v>
      </c>
      <c r="C8132" s="9" t="s">
        <v>457</v>
      </c>
      <c r="D8132" s="9" t="s">
        <v>99</v>
      </c>
      <c r="E8132" s="6" t="s">
        <v>7921</v>
      </c>
      <c r="F8132" s="9" t="s">
        <v>15291</v>
      </c>
    </row>
    <row r="8133" ht="33.75" customHeight="1">
      <c r="A8133" s="7">
        <v>310.0</v>
      </c>
      <c r="B8133" s="9" t="s">
        <v>14489</v>
      </c>
      <c r="C8133" s="9" t="s">
        <v>457</v>
      </c>
      <c r="D8133" s="9" t="s">
        <v>101</v>
      </c>
      <c r="E8133" s="6" t="s">
        <v>7919</v>
      </c>
      <c r="F8133" s="9" t="s">
        <v>15291</v>
      </c>
    </row>
    <row r="8134" ht="33.75" customHeight="1">
      <c r="A8134" s="7">
        <v>310.0</v>
      </c>
      <c r="B8134" s="9" t="s">
        <v>14489</v>
      </c>
      <c r="C8134" s="9" t="s">
        <v>457</v>
      </c>
      <c r="D8134" s="9" t="s">
        <v>105</v>
      </c>
      <c r="E8134" s="6" t="s">
        <v>7921</v>
      </c>
      <c r="F8134" s="9" t="s">
        <v>15291</v>
      </c>
    </row>
    <row r="8135" ht="33.75" customHeight="1">
      <c r="A8135" s="7">
        <v>310.0</v>
      </c>
      <c r="B8135" s="9" t="s">
        <v>14489</v>
      </c>
      <c r="C8135" s="9" t="s">
        <v>457</v>
      </c>
      <c r="D8135" s="9" t="s">
        <v>107</v>
      </c>
      <c r="E8135" s="6" t="s">
        <v>7923</v>
      </c>
      <c r="F8135" s="9" t="s">
        <v>15291</v>
      </c>
    </row>
    <row r="8136" ht="33.75" customHeight="1">
      <c r="A8136" s="7">
        <v>310.0</v>
      </c>
      <c r="B8136" s="9" t="s">
        <v>14489</v>
      </c>
      <c r="C8136" s="9" t="s">
        <v>457</v>
      </c>
      <c r="D8136" s="9" t="s">
        <v>109</v>
      </c>
      <c r="E8136" s="6" t="s">
        <v>7925</v>
      </c>
      <c r="F8136" s="9" t="s">
        <v>15291</v>
      </c>
    </row>
    <row r="8137" ht="33.75" customHeight="1">
      <c r="A8137" s="7">
        <v>310.0</v>
      </c>
      <c r="B8137" s="9" t="s">
        <v>14489</v>
      </c>
      <c r="C8137" s="9" t="s">
        <v>457</v>
      </c>
      <c r="D8137" s="9" t="s">
        <v>647</v>
      </c>
      <c r="E8137" s="6" t="s">
        <v>7927</v>
      </c>
      <c r="F8137" s="9" t="s">
        <v>15291</v>
      </c>
    </row>
    <row r="8138" ht="33.75" customHeight="1">
      <c r="A8138" s="7">
        <v>310.0</v>
      </c>
      <c r="B8138" s="9" t="s">
        <v>14489</v>
      </c>
      <c r="C8138" s="9" t="s">
        <v>457</v>
      </c>
      <c r="D8138" s="9" t="s">
        <v>652</v>
      </c>
      <c r="E8138" s="6" t="s">
        <v>7929</v>
      </c>
      <c r="F8138" s="9" t="s">
        <v>15291</v>
      </c>
    </row>
    <row r="8139" ht="33.75" customHeight="1">
      <c r="A8139" s="7">
        <v>310.0</v>
      </c>
      <c r="B8139" s="9" t="s">
        <v>14489</v>
      </c>
      <c r="C8139" s="9" t="s">
        <v>457</v>
      </c>
      <c r="D8139" s="9" t="s">
        <v>114</v>
      </c>
      <c r="E8139" s="6" t="s">
        <v>7929</v>
      </c>
      <c r="F8139" s="9" t="s">
        <v>15291</v>
      </c>
    </row>
    <row r="8140" ht="33.75" customHeight="1">
      <c r="A8140" s="7">
        <v>310.0</v>
      </c>
      <c r="B8140" s="9" t="s">
        <v>14489</v>
      </c>
      <c r="C8140" s="9" t="s">
        <v>457</v>
      </c>
      <c r="D8140" s="9" t="s">
        <v>117</v>
      </c>
      <c r="E8140" s="6" t="s">
        <v>7919</v>
      </c>
      <c r="F8140" s="9" t="s">
        <v>15291</v>
      </c>
    </row>
    <row r="8141" ht="33.75" customHeight="1">
      <c r="A8141" s="7">
        <v>311.0</v>
      </c>
      <c r="B8141" s="9" t="s">
        <v>14502</v>
      </c>
      <c r="C8141" s="9" t="s">
        <v>459</v>
      </c>
      <c r="D8141" s="9" t="s">
        <v>67</v>
      </c>
      <c r="E8141" s="6" t="s">
        <v>7932</v>
      </c>
      <c r="F8141" s="9" t="s">
        <v>15305</v>
      </c>
      <c r="G8141" t="inlineStr" s="6">
        <is>
          <t xml:space="preserve">PLUSLE always acts as a cheerleader for Plusle's partners. Whenever a teammate puts out a good effort in battle, this POKéMON shorts out its body to create the crackling noises of sparks to show its joy. When PLUSLE is cheering on its partner, it flashes with electric sparks from all over its body. If its partner loses, this POKéMON cries loudly. It has the trait of cheering on its fellow POKéMON. By shorting out the electricity it releases from its paws, it creates pom-poms for cheering. It cheers on partners while scattering sparks from its body. It climbs telephone poles to absorb electricity. It cheers on friends with pom-poms made of sparks. It drains power from telephone poles. It absorbs electricity from telephone poles. It shorts out its body to create crackling noises.</t>
        </is>
      </c>
    </row>
    <row r="8142" ht="33.75" customHeight="1">
      <c r="A8142" s="7">
        <v>311.0</v>
      </c>
      <c r="B8142" s="9" t="s">
        <v>14502</v>
      </c>
      <c r="C8142" s="9" t="s">
        <v>459</v>
      </c>
      <c r="D8142" s="9" t="s">
        <v>71</v>
      </c>
      <c r="E8142" s="6" t="s">
        <v>7934</v>
      </c>
      <c r="F8142" s="9" t="s">
        <v>15305</v>
      </c>
    </row>
    <row r="8143" ht="33.75" customHeight="1">
      <c r="A8143" s="7">
        <v>311.0</v>
      </c>
      <c r="B8143" s="9" t="s">
        <v>14502</v>
      </c>
      <c r="C8143" s="9" t="s">
        <v>459</v>
      </c>
      <c r="D8143" s="9" t="s">
        <v>73</v>
      </c>
      <c r="E8143" s="6" t="s">
        <v>7935</v>
      </c>
      <c r="F8143" s="9" t="s">
        <v>15305</v>
      </c>
    </row>
    <row r="8144" ht="33.75" customHeight="1">
      <c r="A8144" s="7">
        <v>311.0</v>
      </c>
      <c r="B8144" s="9" t="s">
        <v>14502</v>
      </c>
      <c r="C8144" s="9" t="s">
        <v>459</v>
      </c>
      <c r="D8144" s="9" t="s">
        <v>75</v>
      </c>
      <c r="E8144" s="6" t="s">
        <v>7937</v>
      </c>
      <c r="F8144" s="9" t="s">
        <v>15305</v>
      </c>
    </row>
    <row r="8145" ht="33.75" customHeight="1">
      <c r="A8145" s="7">
        <v>311.0</v>
      </c>
      <c r="B8145" s="9" t="s">
        <v>14502</v>
      </c>
      <c r="C8145" s="9" t="s">
        <v>459</v>
      </c>
      <c r="D8145" s="9" t="s">
        <v>79</v>
      </c>
      <c r="E8145" s="6" t="s">
        <v>7937</v>
      </c>
      <c r="F8145" s="9" t="s">
        <v>15305</v>
      </c>
    </row>
    <row r="8146" ht="33.75" customHeight="1">
      <c r="A8146" s="7">
        <v>311.0</v>
      </c>
      <c r="B8146" s="9" t="s">
        <v>14502</v>
      </c>
      <c r="C8146" s="9" t="s">
        <v>459</v>
      </c>
      <c r="D8146" s="9" t="s">
        <v>81</v>
      </c>
      <c r="E8146" s="6" t="s">
        <v>7938</v>
      </c>
      <c r="F8146" s="9" t="s">
        <v>15305</v>
      </c>
    </row>
    <row r="8147" ht="33.75" customHeight="1">
      <c r="A8147" s="7">
        <v>311.0</v>
      </c>
      <c r="B8147" s="9" t="s">
        <v>14502</v>
      </c>
      <c r="C8147" s="9" t="s">
        <v>459</v>
      </c>
      <c r="D8147" s="9" t="s">
        <v>84</v>
      </c>
      <c r="E8147" s="6" t="s">
        <v>7938</v>
      </c>
      <c r="F8147" s="9" t="s">
        <v>15305</v>
      </c>
    </row>
    <row r="8148" ht="33.75" customHeight="1">
      <c r="A8148" s="7">
        <v>311.0</v>
      </c>
      <c r="B8148" s="9" t="s">
        <v>14502</v>
      </c>
      <c r="C8148" s="9" t="s">
        <v>459</v>
      </c>
      <c r="D8148" s="9" t="s">
        <v>87</v>
      </c>
      <c r="E8148" s="6" t="s">
        <v>7938</v>
      </c>
      <c r="F8148" s="9" t="s">
        <v>15305</v>
      </c>
    </row>
    <row r="8149" ht="33.75" customHeight="1">
      <c r="A8149" s="7">
        <v>311.0</v>
      </c>
      <c r="B8149" s="9" t="s">
        <v>14502</v>
      </c>
      <c r="C8149" s="9" t="s">
        <v>459</v>
      </c>
      <c r="D8149" s="9" t="s">
        <v>89</v>
      </c>
      <c r="E8149" s="6" t="s">
        <v>7940</v>
      </c>
      <c r="F8149" s="9" t="s">
        <v>15305</v>
      </c>
    </row>
    <row r="8150" ht="33.75" customHeight="1">
      <c r="A8150" s="7">
        <v>311.0</v>
      </c>
      <c r="B8150" s="9" t="s">
        <v>14502</v>
      </c>
      <c r="C8150" s="9" t="s">
        <v>459</v>
      </c>
      <c r="D8150" s="9" t="s">
        <v>91</v>
      </c>
      <c r="E8150" s="6" t="s">
        <v>7940</v>
      </c>
      <c r="F8150" s="9" t="s">
        <v>15305</v>
      </c>
    </row>
    <row r="8151" ht="33.75" customHeight="1">
      <c r="A8151" s="7">
        <v>311.0</v>
      </c>
      <c r="B8151" s="9" t="s">
        <v>14502</v>
      </c>
      <c r="C8151" s="9" t="s">
        <v>459</v>
      </c>
      <c r="D8151" s="9" t="s">
        <v>93</v>
      </c>
      <c r="E8151" s="6" t="s">
        <v>7938</v>
      </c>
      <c r="F8151" s="9" t="s">
        <v>15305</v>
      </c>
    </row>
    <row r="8152" ht="33.75" customHeight="1">
      <c r="A8152" s="7">
        <v>311.0</v>
      </c>
      <c r="B8152" s="9" t="s">
        <v>14502</v>
      </c>
      <c r="C8152" s="9" t="s">
        <v>459</v>
      </c>
      <c r="D8152" s="9" t="s">
        <v>95</v>
      </c>
      <c r="E8152" s="6" t="s">
        <v>7938</v>
      </c>
      <c r="F8152" s="9" t="s">
        <v>15305</v>
      </c>
    </row>
    <row r="8153" ht="33.75" customHeight="1">
      <c r="A8153" s="7">
        <v>311.0</v>
      </c>
      <c r="B8153" s="9" t="s">
        <v>14502</v>
      </c>
      <c r="C8153" s="9" t="s">
        <v>459</v>
      </c>
      <c r="D8153" s="9" t="s">
        <v>98</v>
      </c>
      <c r="E8153" s="6" t="s">
        <v>7938</v>
      </c>
      <c r="F8153" s="9" t="s">
        <v>15305</v>
      </c>
    </row>
    <row r="8154" ht="33.75" customHeight="1">
      <c r="A8154" s="7">
        <v>311.0</v>
      </c>
      <c r="B8154" s="9" t="s">
        <v>14502</v>
      </c>
      <c r="C8154" s="9" t="s">
        <v>459</v>
      </c>
      <c r="D8154" s="9" t="s">
        <v>99</v>
      </c>
      <c r="E8154" s="6" t="s">
        <v>7938</v>
      </c>
      <c r="F8154" s="9" t="s">
        <v>15305</v>
      </c>
    </row>
    <row r="8155" ht="33.75" customHeight="1">
      <c r="A8155" s="7">
        <v>311.0</v>
      </c>
      <c r="B8155" s="9" t="s">
        <v>14502</v>
      </c>
      <c r="C8155" s="9" t="s">
        <v>459</v>
      </c>
      <c r="D8155" s="9" t="s">
        <v>101</v>
      </c>
      <c r="E8155" s="6" t="s">
        <v>7938</v>
      </c>
      <c r="F8155" s="9" t="s">
        <v>15305</v>
      </c>
    </row>
    <row r="8156" ht="33.75" customHeight="1">
      <c r="A8156" s="7">
        <v>311.0</v>
      </c>
      <c r="B8156" s="9" t="s">
        <v>14502</v>
      </c>
      <c r="C8156" s="9" t="s">
        <v>459</v>
      </c>
      <c r="D8156" s="9" t="s">
        <v>105</v>
      </c>
      <c r="E8156" s="6" t="s">
        <v>7940</v>
      </c>
      <c r="F8156" s="9" t="s">
        <v>15305</v>
      </c>
    </row>
    <row r="8157" ht="33.75" customHeight="1">
      <c r="A8157" s="7">
        <v>311.0</v>
      </c>
      <c r="B8157" s="9" t="s">
        <v>14502</v>
      </c>
      <c r="C8157" s="9" t="s">
        <v>459</v>
      </c>
      <c r="D8157" s="9" t="s">
        <v>107</v>
      </c>
      <c r="E8157" s="6" t="s">
        <v>7942</v>
      </c>
      <c r="F8157" s="9" t="s">
        <v>15305</v>
      </c>
    </row>
    <row r="8158" ht="33.75" customHeight="1">
      <c r="A8158" s="7">
        <v>311.0</v>
      </c>
      <c r="B8158" s="9" t="s">
        <v>14502</v>
      </c>
      <c r="C8158" s="9" t="s">
        <v>459</v>
      </c>
      <c r="D8158" s="9" t="s">
        <v>109</v>
      </c>
      <c r="E8158" s="6" t="s">
        <v>7944</v>
      </c>
      <c r="F8158" s="9" t="s">
        <v>15305</v>
      </c>
    </row>
    <row r="8159" ht="33.75" customHeight="1">
      <c r="A8159" s="7">
        <v>312.0</v>
      </c>
      <c r="B8159" s="9" t="s">
        <v>14512</v>
      </c>
      <c r="C8159" s="9" t="s">
        <v>459</v>
      </c>
      <c r="D8159" s="9" t="s">
        <v>67</v>
      </c>
      <c r="E8159" s="6" t="s">
        <v>7946</v>
      </c>
      <c r="F8159" s="9" t="s">
        <v>15313</v>
      </c>
      <c r="G8159" t="inlineStr" s="6">
        <is>
          <t xml:space="preserve">MINUN is more concerned about cheering on Minun's partners than its own safety. It shorts out the electricity in its body to create brilliant showers of sparks to cheer on its teammates. MINUN loves to cheer on its partner in battle. It gives off sparks from its body while it is doing so. If its partner is in trouble, this POKéMON gives off increasing amounts of sparks. At a meeting of POKéMON academics, it was announced that simultaneous exposure to electricity from a PLUSLE and MINUN will promote circulation and boost vitality. Its dislike of water makes it take shelter under the eaves of houses in rain. It uses pom-poms made of sparks for cheering. It cheers on friends. If its friends are losing, its body lets off more and more sparks. Exposure to electricity from MINUN and PLUSLE promotes blood circulation and relaxes muscles.</t>
        </is>
      </c>
    </row>
    <row r="8160" ht="33.75" customHeight="1">
      <c r="A8160" s="7">
        <v>312.0</v>
      </c>
      <c r="B8160" s="9" t="s">
        <v>14512</v>
      </c>
      <c r="C8160" s="9" t="s">
        <v>459</v>
      </c>
      <c r="D8160" s="9" t="s">
        <v>71</v>
      </c>
      <c r="E8160" s="6" t="s">
        <v>7947</v>
      </c>
      <c r="F8160" s="9" t="s">
        <v>15313</v>
      </c>
    </row>
    <row r="8161" ht="33.75" customHeight="1">
      <c r="A8161" s="7">
        <v>312.0</v>
      </c>
      <c r="B8161" s="9" t="s">
        <v>14512</v>
      </c>
      <c r="C8161" s="9" t="s">
        <v>459</v>
      </c>
      <c r="D8161" s="9" t="s">
        <v>73</v>
      </c>
      <c r="E8161" s="6" t="s">
        <v>7948</v>
      </c>
      <c r="F8161" s="9" t="s">
        <v>15313</v>
      </c>
    </row>
    <row r="8162" ht="33.75" customHeight="1">
      <c r="A8162" s="7">
        <v>312.0</v>
      </c>
      <c r="B8162" s="9" t="s">
        <v>14512</v>
      </c>
      <c r="C8162" s="9" t="s">
        <v>459</v>
      </c>
      <c r="D8162" s="9" t="s">
        <v>75</v>
      </c>
      <c r="E8162" s="6" t="s">
        <v>7950</v>
      </c>
      <c r="F8162" s="9" t="s">
        <v>15313</v>
      </c>
    </row>
    <row r="8163" ht="33.75" customHeight="1">
      <c r="A8163" s="7">
        <v>312.0</v>
      </c>
      <c r="B8163" s="9" t="s">
        <v>14512</v>
      </c>
      <c r="C8163" s="9" t="s">
        <v>459</v>
      </c>
      <c r="D8163" s="9" t="s">
        <v>79</v>
      </c>
      <c r="E8163" s="6" t="s">
        <v>7950</v>
      </c>
      <c r="F8163" s="9" t="s">
        <v>15313</v>
      </c>
    </row>
    <row r="8164" ht="33.75" customHeight="1">
      <c r="A8164" s="7">
        <v>312.0</v>
      </c>
      <c r="B8164" s="9" t="s">
        <v>14512</v>
      </c>
      <c r="C8164" s="9" t="s">
        <v>459</v>
      </c>
      <c r="D8164" s="9" t="s">
        <v>81</v>
      </c>
      <c r="E8164" s="6" t="s">
        <v>7952</v>
      </c>
      <c r="F8164" s="9" t="s">
        <v>15313</v>
      </c>
    </row>
    <row r="8165" ht="33.75" customHeight="1">
      <c r="A8165" s="7">
        <v>312.0</v>
      </c>
      <c r="B8165" s="9" t="s">
        <v>14512</v>
      </c>
      <c r="C8165" s="9" t="s">
        <v>459</v>
      </c>
      <c r="D8165" s="9" t="s">
        <v>84</v>
      </c>
      <c r="E8165" s="6" t="s">
        <v>7952</v>
      </c>
      <c r="F8165" s="9" t="s">
        <v>15313</v>
      </c>
    </row>
    <row r="8166" ht="33.75" customHeight="1">
      <c r="A8166" s="7">
        <v>312.0</v>
      </c>
      <c r="B8166" s="9" t="s">
        <v>14512</v>
      </c>
      <c r="C8166" s="9" t="s">
        <v>459</v>
      </c>
      <c r="D8166" s="9" t="s">
        <v>87</v>
      </c>
      <c r="E8166" s="6" t="s">
        <v>7952</v>
      </c>
      <c r="F8166" s="9" t="s">
        <v>15313</v>
      </c>
    </row>
    <row r="8167" ht="33.75" customHeight="1">
      <c r="A8167" s="7">
        <v>312.0</v>
      </c>
      <c r="B8167" s="9" t="s">
        <v>14512</v>
      </c>
      <c r="C8167" s="9" t="s">
        <v>459</v>
      </c>
      <c r="D8167" s="9" t="s">
        <v>89</v>
      </c>
      <c r="E8167" s="6" t="s">
        <v>7954</v>
      </c>
      <c r="F8167" s="9" t="s">
        <v>15313</v>
      </c>
    </row>
    <row r="8168" ht="33.75" customHeight="1">
      <c r="A8168" s="7">
        <v>312.0</v>
      </c>
      <c r="B8168" s="9" t="s">
        <v>14512</v>
      </c>
      <c r="C8168" s="9" t="s">
        <v>459</v>
      </c>
      <c r="D8168" s="9" t="s">
        <v>91</v>
      </c>
      <c r="E8168" s="6" t="s">
        <v>7954</v>
      </c>
      <c r="F8168" s="9" t="s">
        <v>15313</v>
      </c>
    </row>
    <row r="8169" ht="33.75" customHeight="1">
      <c r="A8169" s="7">
        <v>312.0</v>
      </c>
      <c r="B8169" s="9" t="s">
        <v>14512</v>
      </c>
      <c r="C8169" s="9" t="s">
        <v>459</v>
      </c>
      <c r="D8169" s="9" t="s">
        <v>93</v>
      </c>
      <c r="E8169" s="6" t="s">
        <v>7952</v>
      </c>
      <c r="F8169" s="9" t="s">
        <v>15313</v>
      </c>
    </row>
    <row r="8170" ht="33.75" customHeight="1">
      <c r="A8170" s="7">
        <v>312.0</v>
      </c>
      <c r="B8170" s="9" t="s">
        <v>14512</v>
      </c>
      <c r="C8170" s="9" t="s">
        <v>459</v>
      </c>
      <c r="D8170" s="9" t="s">
        <v>95</v>
      </c>
      <c r="E8170" s="6" t="s">
        <v>7952</v>
      </c>
      <c r="F8170" s="9" t="s">
        <v>15313</v>
      </c>
    </row>
    <row r="8171" ht="33.75" customHeight="1">
      <c r="A8171" s="7">
        <v>312.0</v>
      </c>
      <c r="B8171" s="9" t="s">
        <v>14512</v>
      </c>
      <c r="C8171" s="9" t="s">
        <v>459</v>
      </c>
      <c r="D8171" s="9" t="s">
        <v>98</v>
      </c>
      <c r="E8171" s="6" t="s">
        <v>7952</v>
      </c>
      <c r="F8171" s="9" t="s">
        <v>15313</v>
      </c>
    </row>
    <row r="8172" ht="33.75" customHeight="1">
      <c r="A8172" s="7">
        <v>312.0</v>
      </c>
      <c r="B8172" s="9" t="s">
        <v>14512</v>
      </c>
      <c r="C8172" s="9" t="s">
        <v>459</v>
      </c>
      <c r="D8172" s="9" t="s">
        <v>99</v>
      </c>
      <c r="E8172" s="6" t="s">
        <v>7952</v>
      </c>
      <c r="F8172" s="9" t="s">
        <v>15313</v>
      </c>
    </row>
    <row r="8173" ht="33.75" customHeight="1">
      <c r="A8173" s="7">
        <v>312.0</v>
      </c>
      <c r="B8173" s="9" t="s">
        <v>14512</v>
      </c>
      <c r="C8173" s="9" t="s">
        <v>459</v>
      </c>
      <c r="D8173" s="9" t="s">
        <v>101</v>
      </c>
      <c r="E8173" s="6" t="s">
        <v>7955</v>
      </c>
      <c r="F8173" s="9" t="s">
        <v>15313</v>
      </c>
    </row>
    <row r="8174" ht="33.75" customHeight="1">
      <c r="A8174" s="7">
        <v>312.0</v>
      </c>
      <c r="B8174" s="9" t="s">
        <v>14512</v>
      </c>
      <c r="C8174" s="9" t="s">
        <v>459</v>
      </c>
      <c r="D8174" s="9" t="s">
        <v>105</v>
      </c>
      <c r="E8174" s="6" t="s">
        <v>7952</v>
      </c>
      <c r="F8174" s="9" t="s">
        <v>15313</v>
      </c>
    </row>
    <row r="8175" ht="33.75" customHeight="1">
      <c r="A8175" s="7">
        <v>312.0</v>
      </c>
      <c r="B8175" s="9" t="s">
        <v>14512</v>
      </c>
      <c r="C8175" s="9" t="s">
        <v>459</v>
      </c>
      <c r="D8175" s="9" t="s">
        <v>107</v>
      </c>
      <c r="E8175" s="6" t="s">
        <v>7957</v>
      </c>
      <c r="F8175" s="9" t="s">
        <v>15313</v>
      </c>
    </row>
    <row r="8176" ht="33.75" customHeight="1">
      <c r="A8176" s="7">
        <v>312.0</v>
      </c>
      <c r="B8176" s="9" t="s">
        <v>14512</v>
      </c>
      <c r="C8176" s="9" t="s">
        <v>459</v>
      </c>
      <c r="D8176" s="9" t="s">
        <v>109</v>
      </c>
      <c r="E8176" s="6" t="s">
        <v>7958</v>
      </c>
      <c r="F8176" s="9" t="s">
        <v>15313</v>
      </c>
    </row>
    <row r="8177" ht="33.75" customHeight="1">
      <c r="A8177" s="7">
        <v>313.0</v>
      </c>
      <c r="B8177" s="9" t="s">
        <v>14523</v>
      </c>
      <c r="C8177" s="9" t="s">
        <v>464</v>
      </c>
      <c r="D8177" s="9" t="s">
        <v>67</v>
      </c>
      <c r="E8177" s="6" t="s">
        <v>7960</v>
      </c>
      <c r="F8177" s="9" t="s">
        <v>15320</v>
      </c>
      <c r="G8177" t="inlineStr" s="6">
        <is>
          <t xml:space="preserve">With the arrival of night, VOLBEAT emits light from Volbeat's tail. It communicates with others by adjusting the intensity and flashing of its light. This POKéMON is attracted by the sweet aroma of ILLUMISE. VOLBEAT’s tail glows like a lightbulb. With other VOLBEAT, it uses its tail to draw geometric shapes in the night sky. This POKéMON loves the sweet aroma given off by ILLUMISE. With their taillights lit, VOLBEAT fly in a swarm, drawing geometric designs in the night sky. They move their nests if their pond water becomes dirty. It lives around clean ponds. At night, its rear lights up. It converses with others by flashing its light. It communicates with others by lighting up its rear at night. It loves ILLUMISE’s sweet aroma. It emits light from its tail to communicate. It loves the sweet aroma given off by ILLUMISE.</t>
        </is>
      </c>
    </row>
    <row r="8178" ht="33.75" customHeight="1">
      <c r="A8178" s="7">
        <v>313.0</v>
      </c>
      <c r="B8178" s="9" t="s">
        <v>14523</v>
      </c>
      <c r="C8178" s="9" t="s">
        <v>464</v>
      </c>
      <c r="D8178" s="9" t="s">
        <v>71</v>
      </c>
      <c r="E8178" s="6" t="s">
        <v>7961</v>
      </c>
      <c r="F8178" s="9" t="s">
        <v>15320</v>
      </c>
    </row>
    <row r="8179" ht="33.75" customHeight="1">
      <c r="A8179" s="7">
        <v>313.0</v>
      </c>
      <c r="B8179" s="9" t="s">
        <v>14523</v>
      </c>
      <c r="C8179" s="9" t="s">
        <v>464</v>
      </c>
      <c r="D8179" s="9" t="s">
        <v>73</v>
      </c>
      <c r="E8179" s="6" t="s">
        <v>7962</v>
      </c>
      <c r="F8179" s="9" t="s">
        <v>15320</v>
      </c>
    </row>
    <row r="8180" ht="33.75" customHeight="1">
      <c r="A8180" s="7">
        <v>313.0</v>
      </c>
      <c r="B8180" s="9" t="s">
        <v>14523</v>
      </c>
      <c r="C8180" s="9" t="s">
        <v>464</v>
      </c>
      <c r="D8180" s="9" t="s">
        <v>75</v>
      </c>
      <c r="E8180" s="6" t="s">
        <v>7963</v>
      </c>
      <c r="F8180" s="9" t="s">
        <v>15320</v>
      </c>
    </row>
    <row r="8181" ht="33.75" customHeight="1">
      <c r="A8181" s="7">
        <v>313.0</v>
      </c>
      <c r="B8181" s="9" t="s">
        <v>14523</v>
      </c>
      <c r="C8181" s="9" t="s">
        <v>464</v>
      </c>
      <c r="D8181" s="9" t="s">
        <v>79</v>
      </c>
      <c r="E8181" s="6" t="s">
        <v>7963</v>
      </c>
      <c r="F8181" s="9" t="s">
        <v>15320</v>
      </c>
    </row>
    <row r="8182" ht="33.75" customHeight="1">
      <c r="A8182" s="7">
        <v>313.0</v>
      </c>
      <c r="B8182" s="9" t="s">
        <v>14523</v>
      </c>
      <c r="C8182" s="9" t="s">
        <v>464</v>
      </c>
      <c r="D8182" s="9" t="s">
        <v>81</v>
      </c>
      <c r="E8182" s="6" t="s">
        <v>7964</v>
      </c>
      <c r="F8182" s="9" t="s">
        <v>15320</v>
      </c>
    </row>
    <row r="8183" ht="33.75" customHeight="1">
      <c r="A8183" s="7">
        <v>313.0</v>
      </c>
      <c r="B8183" s="9" t="s">
        <v>14523</v>
      </c>
      <c r="C8183" s="9" t="s">
        <v>464</v>
      </c>
      <c r="D8183" s="9" t="s">
        <v>84</v>
      </c>
      <c r="E8183" s="6" t="s">
        <v>7964</v>
      </c>
      <c r="F8183" s="9" t="s">
        <v>15320</v>
      </c>
    </row>
    <row r="8184" ht="33.75" customHeight="1">
      <c r="A8184" s="7">
        <v>313.0</v>
      </c>
      <c r="B8184" s="9" t="s">
        <v>14523</v>
      </c>
      <c r="C8184" s="9" t="s">
        <v>464</v>
      </c>
      <c r="D8184" s="9" t="s">
        <v>87</v>
      </c>
      <c r="E8184" s="6" t="s">
        <v>7964</v>
      </c>
      <c r="F8184" s="9" t="s">
        <v>15320</v>
      </c>
    </row>
    <row r="8185" ht="33.75" customHeight="1">
      <c r="A8185" s="7">
        <v>313.0</v>
      </c>
      <c r="B8185" s="9" t="s">
        <v>14523</v>
      </c>
      <c r="C8185" s="9" t="s">
        <v>464</v>
      </c>
      <c r="D8185" s="9" t="s">
        <v>89</v>
      </c>
      <c r="E8185" s="6" t="s">
        <v>7965</v>
      </c>
      <c r="F8185" s="9" t="s">
        <v>15320</v>
      </c>
    </row>
    <row r="8186" ht="33.75" customHeight="1">
      <c r="A8186" s="7">
        <v>313.0</v>
      </c>
      <c r="B8186" s="9" t="s">
        <v>14523</v>
      </c>
      <c r="C8186" s="9" t="s">
        <v>464</v>
      </c>
      <c r="D8186" s="9" t="s">
        <v>91</v>
      </c>
      <c r="E8186" s="6" t="s">
        <v>7965</v>
      </c>
      <c r="F8186" s="9" t="s">
        <v>15320</v>
      </c>
    </row>
    <row r="8187" ht="33.75" customHeight="1">
      <c r="A8187" s="7">
        <v>313.0</v>
      </c>
      <c r="B8187" s="9" t="s">
        <v>14523</v>
      </c>
      <c r="C8187" s="9" t="s">
        <v>464</v>
      </c>
      <c r="D8187" s="9" t="s">
        <v>93</v>
      </c>
      <c r="E8187" s="6" t="s">
        <v>7967</v>
      </c>
      <c r="F8187" s="9" t="s">
        <v>15320</v>
      </c>
    </row>
    <row r="8188" ht="33.75" customHeight="1">
      <c r="A8188" s="7">
        <v>313.0</v>
      </c>
      <c r="B8188" s="9" t="s">
        <v>14523</v>
      </c>
      <c r="C8188" s="9" t="s">
        <v>464</v>
      </c>
      <c r="D8188" s="9" t="s">
        <v>95</v>
      </c>
      <c r="E8188" s="6" t="s">
        <v>7967</v>
      </c>
      <c r="F8188" s="9" t="s">
        <v>15320</v>
      </c>
    </row>
    <row r="8189" ht="33.75" customHeight="1">
      <c r="A8189" s="7">
        <v>313.0</v>
      </c>
      <c r="B8189" s="9" t="s">
        <v>14523</v>
      </c>
      <c r="C8189" s="9" t="s">
        <v>464</v>
      </c>
      <c r="D8189" s="9" t="s">
        <v>98</v>
      </c>
      <c r="E8189" s="6" t="s">
        <v>7967</v>
      </c>
      <c r="F8189" s="9" t="s">
        <v>15320</v>
      </c>
    </row>
    <row r="8190" ht="33.75" customHeight="1">
      <c r="A8190" s="7">
        <v>313.0</v>
      </c>
      <c r="B8190" s="9" t="s">
        <v>14523</v>
      </c>
      <c r="C8190" s="9" t="s">
        <v>464</v>
      </c>
      <c r="D8190" s="9" t="s">
        <v>99</v>
      </c>
      <c r="E8190" s="6" t="s">
        <v>7967</v>
      </c>
      <c r="F8190" s="9" t="s">
        <v>15320</v>
      </c>
    </row>
    <row r="8191" ht="33.75" customHeight="1">
      <c r="A8191" s="7">
        <v>313.0</v>
      </c>
      <c r="B8191" s="9" t="s">
        <v>14523</v>
      </c>
      <c r="C8191" s="9" t="s">
        <v>464</v>
      </c>
      <c r="D8191" s="9" t="s">
        <v>101</v>
      </c>
      <c r="E8191" s="6" t="s">
        <v>7967</v>
      </c>
      <c r="F8191" s="9" t="s">
        <v>15320</v>
      </c>
    </row>
    <row r="8192" ht="33.75" customHeight="1">
      <c r="A8192" s="7">
        <v>313.0</v>
      </c>
      <c r="B8192" s="9" t="s">
        <v>14523</v>
      </c>
      <c r="C8192" s="9" t="s">
        <v>464</v>
      </c>
      <c r="D8192" s="9" t="s">
        <v>105</v>
      </c>
      <c r="E8192" s="6" t="s">
        <v>7963</v>
      </c>
      <c r="F8192" s="9" t="s">
        <v>15320</v>
      </c>
    </row>
    <row r="8193" ht="33.75" customHeight="1">
      <c r="A8193" s="7">
        <v>313.0</v>
      </c>
      <c r="B8193" s="9" t="s">
        <v>14523</v>
      </c>
      <c r="C8193" s="9" t="s">
        <v>464</v>
      </c>
      <c r="D8193" s="9" t="s">
        <v>107</v>
      </c>
      <c r="E8193" s="6" t="s">
        <v>7968</v>
      </c>
      <c r="F8193" s="9" t="s">
        <v>15320</v>
      </c>
    </row>
    <row r="8194" ht="33.75" customHeight="1">
      <c r="A8194" s="7">
        <v>313.0</v>
      </c>
      <c r="B8194" s="9" t="s">
        <v>14523</v>
      </c>
      <c r="C8194" s="9" t="s">
        <v>464</v>
      </c>
      <c r="D8194" s="9" t="s">
        <v>109</v>
      </c>
      <c r="E8194" s="6" t="s">
        <v>7969</v>
      </c>
      <c r="F8194" s="9" t="s">
        <v>15320</v>
      </c>
    </row>
    <row r="8195" ht="33.75" customHeight="1">
      <c r="A8195" s="7">
        <v>314.0</v>
      </c>
      <c r="B8195" s="9" t="s">
        <v>14535</v>
      </c>
      <c r="C8195" s="9" t="s">
        <v>464</v>
      </c>
      <c r="D8195" s="9" t="s">
        <v>67</v>
      </c>
      <c r="E8195" s="6" t="s">
        <v>7970</v>
      </c>
      <c r="F8195" s="9" t="s">
        <v>15331</v>
      </c>
      <c r="G8195" t="inlineStr" s="6">
        <is>
          <t xml:space="preserve">ILLUMISE attracts a swarm of VOLBEAT using a sweet fragrance. Once the VOLBEAT have gathered, this POKéMON leads the lit-up swarm in drawing geometric designs on the canvas of the night sky. ILLUMISE leads a flight of illuminated VOLBEAT to draw signs in the night sky. This POKéMON is said to earn greater respect from its peers by composing more complex designs in the sky. A nocturnal POKéMON that becomes active upon nightfall. It leads a VOLBEAT swarm to draw patterns in the night sky. Over 200 different patterns have been confirmed. It guides VOLBEAT to draw signs in night skies. There are scientists that study the patterns it creates. With its sweet aroma, it guides VOLBEAT to draw signs with light in the night sky. Its fragrance attracts a swarm of VOLBEAT, so they draw over 200 patterns in the night sky.</t>
        </is>
      </c>
    </row>
    <row r="8196" ht="33.75" customHeight="1">
      <c r="A8196" s="7">
        <v>314.0</v>
      </c>
      <c r="B8196" s="9" t="s">
        <v>14535</v>
      </c>
      <c r="C8196" s="9" t="s">
        <v>464</v>
      </c>
      <c r="D8196" s="9" t="s">
        <v>71</v>
      </c>
      <c r="E8196" s="6" t="s">
        <v>7971</v>
      </c>
      <c r="F8196" s="9" t="s">
        <v>15331</v>
      </c>
    </row>
    <row r="8197" ht="33.75" customHeight="1">
      <c r="A8197" s="7">
        <v>314.0</v>
      </c>
      <c r="B8197" s="9" t="s">
        <v>14535</v>
      </c>
      <c r="C8197" s="9" t="s">
        <v>464</v>
      </c>
      <c r="D8197" s="9" t="s">
        <v>73</v>
      </c>
      <c r="E8197" s="6" t="s">
        <v>7974</v>
      </c>
      <c r="F8197" s="9" t="s">
        <v>15331</v>
      </c>
    </row>
    <row r="8198" ht="33.75" customHeight="1">
      <c r="A8198" s="7">
        <v>314.0</v>
      </c>
      <c r="B8198" s="9" t="s">
        <v>14535</v>
      </c>
      <c r="C8198" s="9" t="s">
        <v>464</v>
      </c>
      <c r="D8198" s="9" t="s">
        <v>75</v>
      </c>
      <c r="E8198" s="6" t="s">
        <v>7975</v>
      </c>
      <c r="F8198" s="9" t="s">
        <v>15331</v>
      </c>
    </row>
    <row r="8199" ht="33.75" customHeight="1">
      <c r="A8199" s="7">
        <v>314.0</v>
      </c>
      <c r="B8199" s="9" t="s">
        <v>14535</v>
      </c>
      <c r="C8199" s="9" t="s">
        <v>464</v>
      </c>
      <c r="D8199" s="9" t="s">
        <v>79</v>
      </c>
      <c r="E8199" s="6" t="s">
        <v>7975</v>
      </c>
      <c r="F8199" s="9" t="s">
        <v>15331</v>
      </c>
    </row>
    <row r="8200" ht="33.75" customHeight="1">
      <c r="A8200" s="7">
        <v>314.0</v>
      </c>
      <c r="B8200" s="9" t="s">
        <v>14535</v>
      </c>
      <c r="C8200" s="9" t="s">
        <v>464</v>
      </c>
      <c r="D8200" s="9" t="s">
        <v>81</v>
      </c>
      <c r="E8200" s="6" t="s">
        <v>7979</v>
      </c>
      <c r="F8200" s="9" t="s">
        <v>15331</v>
      </c>
    </row>
    <row r="8201" ht="33.75" customHeight="1">
      <c r="A8201" s="7">
        <v>314.0</v>
      </c>
      <c r="B8201" s="9" t="s">
        <v>14535</v>
      </c>
      <c r="C8201" s="9" t="s">
        <v>464</v>
      </c>
      <c r="D8201" s="9" t="s">
        <v>84</v>
      </c>
      <c r="E8201" s="6" t="s">
        <v>7979</v>
      </c>
      <c r="F8201" s="9" t="s">
        <v>15331</v>
      </c>
    </row>
    <row r="8202" ht="33.75" customHeight="1">
      <c r="A8202" s="7">
        <v>314.0</v>
      </c>
      <c r="B8202" s="9" t="s">
        <v>14535</v>
      </c>
      <c r="C8202" s="9" t="s">
        <v>464</v>
      </c>
      <c r="D8202" s="9" t="s">
        <v>87</v>
      </c>
      <c r="E8202" s="6" t="s">
        <v>7979</v>
      </c>
      <c r="F8202" s="9" t="s">
        <v>15331</v>
      </c>
    </row>
    <row r="8203" ht="33.75" customHeight="1">
      <c r="A8203" s="7">
        <v>314.0</v>
      </c>
      <c r="B8203" s="9" t="s">
        <v>14535</v>
      </c>
      <c r="C8203" s="9" t="s">
        <v>464</v>
      </c>
      <c r="D8203" s="9" t="s">
        <v>89</v>
      </c>
      <c r="E8203" s="6" t="s">
        <v>7981</v>
      </c>
      <c r="F8203" s="9" t="s">
        <v>15331</v>
      </c>
    </row>
    <row r="8204" ht="33.75" customHeight="1">
      <c r="A8204" s="7">
        <v>314.0</v>
      </c>
      <c r="B8204" s="9" t="s">
        <v>14535</v>
      </c>
      <c r="C8204" s="9" t="s">
        <v>464</v>
      </c>
      <c r="D8204" s="9" t="s">
        <v>91</v>
      </c>
      <c r="E8204" s="6" t="s">
        <v>7981</v>
      </c>
      <c r="F8204" s="9" t="s">
        <v>15331</v>
      </c>
    </row>
    <row r="8205" ht="33.75" customHeight="1">
      <c r="A8205" s="7">
        <v>314.0</v>
      </c>
      <c r="B8205" s="9" t="s">
        <v>14535</v>
      </c>
      <c r="C8205" s="9" t="s">
        <v>464</v>
      </c>
      <c r="D8205" s="9" t="s">
        <v>93</v>
      </c>
      <c r="E8205" s="6" t="s">
        <v>7982</v>
      </c>
      <c r="F8205" s="9" t="s">
        <v>15331</v>
      </c>
    </row>
    <row r="8206" ht="33.75" customHeight="1">
      <c r="A8206" s="7">
        <v>314.0</v>
      </c>
      <c r="B8206" s="9" t="s">
        <v>14535</v>
      </c>
      <c r="C8206" s="9" t="s">
        <v>464</v>
      </c>
      <c r="D8206" s="9" t="s">
        <v>95</v>
      </c>
      <c r="E8206" s="6" t="s">
        <v>7982</v>
      </c>
      <c r="F8206" s="9" t="s">
        <v>15331</v>
      </c>
    </row>
    <row r="8207" ht="33.75" customHeight="1">
      <c r="A8207" s="7">
        <v>314.0</v>
      </c>
      <c r="B8207" s="9" t="s">
        <v>14535</v>
      </c>
      <c r="C8207" s="9" t="s">
        <v>464</v>
      </c>
      <c r="D8207" s="9" t="s">
        <v>98</v>
      </c>
      <c r="E8207" s="6" t="s">
        <v>7982</v>
      </c>
      <c r="F8207" s="9" t="s">
        <v>15331</v>
      </c>
    </row>
    <row r="8208" ht="33.75" customHeight="1">
      <c r="A8208" s="7">
        <v>314.0</v>
      </c>
      <c r="B8208" s="9" t="s">
        <v>14535</v>
      </c>
      <c r="C8208" s="9" t="s">
        <v>464</v>
      </c>
      <c r="D8208" s="9" t="s">
        <v>99</v>
      </c>
      <c r="E8208" s="6" t="s">
        <v>7982</v>
      </c>
      <c r="F8208" s="9" t="s">
        <v>15331</v>
      </c>
    </row>
    <row r="8209" ht="33.75" customHeight="1">
      <c r="A8209" s="7">
        <v>314.0</v>
      </c>
      <c r="B8209" s="9" t="s">
        <v>14535</v>
      </c>
      <c r="C8209" s="9" t="s">
        <v>464</v>
      </c>
      <c r="D8209" s="9" t="s">
        <v>101</v>
      </c>
      <c r="E8209" s="6" t="s">
        <v>7983</v>
      </c>
      <c r="F8209" s="9" t="s">
        <v>15331</v>
      </c>
    </row>
    <row r="8210" ht="33.75" customHeight="1">
      <c r="A8210" s="7">
        <v>314.0</v>
      </c>
      <c r="B8210" s="9" t="s">
        <v>14535</v>
      </c>
      <c r="C8210" s="9" t="s">
        <v>464</v>
      </c>
      <c r="D8210" s="9" t="s">
        <v>105</v>
      </c>
      <c r="E8210" s="6" t="s">
        <v>7982</v>
      </c>
      <c r="F8210" s="9" t="s">
        <v>15331</v>
      </c>
    </row>
    <row r="8211" ht="33.75" customHeight="1">
      <c r="A8211" s="7">
        <v>314.0</v>
      </c>
      <c r="B8211" s="9" t="s">
        <v>14535</v>
      </c>
      <c r="C8211" s="9" t="s">
        <v>464</v>
      </c>
      <c r="D8211" s="9" t="s">
        <v>107</v>
      </c>
      <c r="E8211" s="6" t="s">
        <v>7984</v>
      </c>
      <c r="F8211" s="9" t="s">
        <v>15331</v>
      </c>
    </row>
    <row r="8212" ht="33.75" customHeight="1">
      <c r="A8212" s="7">
        <v>314.0</v>
      </c>
      <c r="B8212" s="9" t="s">
        <v>14535</v>
      </c>
      <c r="C8212" s="9" t="s">
        <v>464</v>
      </c>
      <c r="D8212" s="9" t="s">
        <v>109</v>
      </c>
      <c r="E8212" s="6" t="s">
        <v>7986</v>
      </c>
      <c r="F8212" s="9" t="s">
        <v>15331</v>
      </c>
    </row>
    <row r="8213" ht="33.75" customHeight="1">
      <c r="A8213" s="7">
        <v>315.0</v>
      </c>
      <c r="B8213" s="9" t="s">
        <v>14547</v>
      </c>
      <c r="C8213" s="9" t="s">
        <v>466</v>
      </c>
      <c r="D8213" s="9" t="s">
        <v>67</v>
      </c>
      <c r="E8213" s="6" t="s">
        <v>7988</v>
      </c>
      <c r="F8213" s="9" t="s">
        <v>15343</v>
      </c>
      <c r="G8213" t="inlineStr" s="6">
        <is>
          <t xml:space="preserve">ROSELIA shoots sharp thorns as projectiles at any opponent that tries to steal the flowers on Roselia's arms. The aroma of this POKéMON brings serenity to living things. On extremely rare occasions, a ROSELIA is said to appear with its flowers in unusual colors. The thorns on this POKéMON’s head contain a vicious poison. A ROSELIA that drinks nutritionally rich springwater blooms with lovely flowers. The fragrance of its flowers has the effect of making its foes careless. Its flowers give off a relaxing fragrance. The stronger its aroma, the healthier the ROSELIA is. ROSELIA raised on clean drinking water are known to grow vividly colored flowers. The beautiful flowers on its arms have toxic thorns. Don’t even think about picking those flowers. The more healthy the ROSELIA, the more pleasant its flowers’ aroma. Its scent deeply relaxes people. ROSELIA that drink nutritionally rich springwater are said to reveal rare coloration when they bloom. It uses the different poisons in each hand separately when it attacks. The stronger its aroma, the healthier it is. Though beautiful, it has highly poisonous thorns. There is an old tradition in my homeland wherein one would send these thorns to an opponent to challenge them to a duel.</t>
        </is>
      </c>
    </row>
    <row r="8214" ht="33.75" customHeight="1">
      <c r="A8214" s="7">
        <v>315.0</v>
      </c>
      <c r="B8214" s="9" t="s">
        <v>14547</v>
      </c>
      <c r="C8214" s="9" t="s">
        <v>466</v>
      </c>
      <c r="D8214" s="9" t="s">
        <v>71</v>
      </c>
      <c r="E8214" s="6" t="s">
        <v>7989</v>
      </c>
      <c r="F8214" s="9" t="s">
        <v>15343</v>
      </c>
    </row>
    <row r="8215" ht="33.75" customHeight="1">
      <c r="A8215" s="7">
        <v>315.0</v>
      </c>
      <c r="B8215" s="9" t="s">
        <v>14547</v>
      </c>
      <c r="C8215" s="9" t="s">
        <v>466</v>
      </c>
      <c r="D8215" s="9" t="s">
        <v>73</v>
      </c>
      <c r="E8215" s="6" t="s">
        <v>7993</v>
      </c>
      <c r="F8215" s="9" t="s">
        <v>15343</v>
      </c>
    </row>
    <row r="8216" ht="33.75" customHeight="1">
      <c r="A8216" s="7">
        <v>315.0</v>
      </c>
      <c r="B8216" s="9" t="s">
        <v>14547</v>
      </c>
      <c r="C8216" s="9" t="s">
        <v>466</v>
      </c>
      <c r="D8216" s="9" t="s">
        <v>75</v>
      </c>
      <c r="E8216" s="6" t="s">
        <v>7995</v>
      </c>
      <c r="F8216" s="9" t="s">
        <v>15343</v>
      </c>
    </row>
    <row r="8217" ht="33.75" customHeight="1">
      <c r="A8217" s="7">
        <v>315.0</v>
      </c>
      <c r="B8217" s="9" t="s">
        <v>14547</v>
      </c>
      <c r="C8217" s="9" t="s">
        <v>466</v>
      </c>
      <c r="D8217" s="9" t="s">
        <v>79</v>
      </c>
      <c r="E8217" s="6" t="s">
        <v>7995</v>
      </c>
      <c r="F8217" s="9" t="s">
        <v>15343</v>
      </c>
    </row>
    <row r="8218" ht="33.75" customHeight="1">
      <c r="A8218" s="7">
        <v>315.0</v>
      </c>
      <c r="B8218" s="9" t="s">
        <v>14547</v>
      </c>
      <c r="C8218" s="9" t="s">
        <v>466</v>
      </c>
      <c r="D8218" s="9" t="s">
        <v>81</v>
      </c>
      <c r="E8218" s="6" t="s">
        <v>7996</v>
      </c>
      <c r="F8218" s="9" t="s">
        <v>15343</v>
      </c>
    </row>
    <row r="8219" ht="33.75" customHeight="1">
      <c r="A8219" s="7">
        <v>315.0</v>
      </c>
      <c r="B8219" s="9" t="s">
        <v>14547</v>
      </c>
      <c r="C8219" s="9" t="s">
        <v>466</v>
      </c>
      <c r="D8219" s="9" t="s">
        <v>84</v>
      </c>
      <c r="E8219" s="6" t="s">
        <v>7998</v>
      </c>
      <c r="F8219" s="9" t="s">
        <v>15343</v>
      </c>
    </row>
    <row r="8220" ht="33.75" customHeight="1">
      <c r="A8220" s="7">
        <v>315.0</v>
      </c>
      <c r="B8220" s="9" t="s">
        <v>14547</v>
      </c>
      <c r="C8220" s="9" t="s">
        <v>466</v>
      </c>
      <c r="D8220" s="9" t="s">
        <v>87</v>
      </c>
      <c r="E8220" s="6" t="s">
        <v>7999</v>
      </c>
      <c r="F8220" s="9" t="s">
        <v>15343</v>
      </c>
    </row>
    <row r="8221" ht="33.75" customHeight="1">
      <c r="A8221" s="7">
        <v>315.0</v>
      </c>
      <c r="B8221" s="9" t="s">
        <v>14547</v>
      </c>
      <c r="C8221" s="9" t="s">
        <v>466</v>
      </c>
      <c r="D8221" s="9" t="s">
        <v>89</v>
      </c>
      <c r="E8221" s="6" t="s">
        <v>8001</v>
      </c>
      <c r="F8221" s="9" t="s">
        <v>15343</v>
      </c>
    </row>
    <row r="8222" ht="33.75" customHeight="1">
      <c r="A8222" s="7">
        <v>315.0</v>
      </c>
      <c r="B8222" s="9" t="s">
        <v>14547</v>
      </c>
      <c r="C8222" s="9" t="s">
        <v>466</v>
      </c>
      <c r="D8222" s="9" t="s">
        <v>91</v>
      </c>
      <c r="E8222" s="6" t="s">
        <v>8001</v>
      </c>
      <c r="F8222" s="9" t="s">
        <v>15343</v>
      </c>
    </row>
    <row r="8223" ht="33.75" customHeight="1">
      <c r="A8223" s="7">
        <v>315.0</v>
      </c>
      <c r="B8223" s="9" t="s">
        <v>14547</v>
      </c>
      <c r="C8223" s="9" t="s">
        <v>466</v>
      </c>
      <c r="D8223" s="9" t="s">
        <v>93</v>
      </c>
      <c r="E8223" s="6" t="s">
        <v>8004</v>
      </c>
      <c r="F8223" s="9" t="s">
        <v>15343</v>
      </c>
    </row>
    <row r="8224" ht="33.75" customHeight="1">
      <c r="A8224" s="7">
        <v>315.0</v>
      </c>
      <c r="B8224" s="9" t="s">
        <v>14547</v>
      </c>
      <c r="C8224" s="9" t="s">
        <v>466</v>
      </c>
      <c r="D8224" s="9" t="s">
        <v>95</v>
      </c>
      <c r="E8224" s="6" t="s">
        <v>8004</v>
      </c>
      <c r="F8224" s="9" t="s">
        <v>15343</v>
      </c>
    </row>
    <row r="8225" ht="33.75" customHeight="1">
      <c r="A8225" s="7">
        <v>315.0</v>
      </c>
      <c r="B8225" s="9" t="s">
        <v>14547</v>
      </c>
      <c r="C8225" s="9" t="s">
        <v>466</v>
      </c>
      <c r="D8225" s="9" t="s">
        <v>98</v>
      </c>
      <c r="E8225" s="6" t="s">
        <v>8006</v>
      </c>
      <c r="F8225" s="9" t="s">
        <v>15343</v>
      </c>
    </row>
    <row r="8226" ht="33.75" customHeight="1">
      <c r="A8226" s="7">
        <v>315.0</v>
      </c>
      <c r="B8226" s="9" t="s">
        <v>14547</v>
      </c>
      <c r="C8226" s="9" t="s">
        <v>466</v>
      </c>
      <c r="D8226" s="9" t="s">
        <v>99</v>
      </c>
      <c r="E8226" s="6" t="s">
        <v>8006</v>
      </c>
      <c r="F8226" s="9" t="s">
        <v>15343</v>
      </c>
    </row>
    <row r="8227" ht="33.75" customHeight="1">
      <c r="A8227" s="7">
        <v>315.0</v>
      </c>
      <c r="B8227" s="9" t="s">
        <v>14547</v>
      </c>
      <c r="C8227" s="9" t="s">
        <v>466</v>
      </c>
      <c r="D8227" s="9" t="s">
        <v>101</v>
      </c>
      <c r="E8227" s="6" t="s">
        <v>8006</v>
      </c>
      <c r="F8227" s="9" t="s">
        <v>15343</v>
      </c>
    </row>
    <row r="8228" ht="33.75" customHeight="1">
      <c r="A8228" s="7">
        <v>315.0</v>
      </c>
      <c r="B8228" s="9" t="s">
        <v>14547</v>
      </c>
      <c r="C8228" s="9" t="s">
        <v>466</v>
      </c>
      <c r="D8228" s="9" t="s">
        <v>105</v>
      </c>
      <c r="E8228" s="6" t="s">
        <v>8008</v>
      </c>
      <c r="F8228" s="9" t="s">
        <v>15343</v>
      </c>
    </row>
    <row r="8229" ht="33.75" customHeight="1">
      <c r="A8229" s="7">
        <v>315.0</v>
      </c>
      <c r="B8229" s="9" t="s">
        <v>14547</v>
      </c>
      <c r="C8229" s="9" t="s">
        <v>466</v>
      </c>
      <c r="D8229" s="9" t="s">
        <v>107</v>
      </c>
      <c r="E8229" s="6" t="s">
        <v>8009</v>
      </c>
      <c r="F8229" s="9" t="s">
        <v>15343</v>
      </c>
    </row>
    <row r="8230" ht="33.75" customHeight="1">
      <c r="A8230" s="7">
        <v>315.0</v>
      </c>
      <c r="B8230" s="9" t="s">
        <v>14547</v>
      </c>
      <c r="C8230" s="9" t="s">
        <v>466</v>
      </c>
      <c r="D8230" s="9" t="s">
        <v>109</v>
      </c>
      <c r="E8230" s="6" t="s">
        <v>8011</v>
      </c>
      <c r="F8230" s="9" t="s">
        <v>15343</v>
      </c>
    </row>
    <row r="8231" ht="33.75" customHeight="1">
      <c r="A8231" s="7">
        <v>315.0</v>
      </c>
      <c r="B8231" s="9" t="s">
        <v>14547</v>
      </c>
      <c r="C8231" s="9" t="s">
        <v>466</v>
      </c>
      <c r="D8231" s="9" t="s">
        <v>114</v>
      </c>
      <c r="E8231" s="6" t="s">
        <v>8013</v>
      </c>
      <c r="F8231" s="9" t="s">
        <v>15343</v>
      </c>
    </row>
    <row r="8232" ht="33.75" customHeight="1">
      <c r="A8232" s="7">
        <v>315.0</v>
      </c>
      <c r="B8232" s="9" t="s">
        <v>14547</v>
      </c>
      <c r="C8232" s="9" t="s">
        <v>466</v>
      </c>
      <c r="D8232" s="9" t="s">
        <v>117</v>
      </c>
      <c r="E8232" s="6" t="s">
        <v>8006</v>
      </c>
      <c r="F8232" s="9" t="s">
        <v>15343</v>
      </c>
    </row>
    <row r="8233" ht="33.75" customHeight="1">
      <c r="A8233" s="7">
        <v>315.0</v>
      </c>
      <c r="B8233" s="9" t="s">
        <v>14547</v>
      </c>
      <c r="C8233" s="9" t="s">
        <v>466</v>
      </c>
      <c r="D8233" s="9" t="s">
        <v>1577</v>
      </c>
      <c r="E8233" s="6" t="s">
        <v>8016</v>
      </c>
      <c r="F8233" s="9" t="s">
        <v>15343</v>
      </c>
    </row>
    <row r="8234" ht="33.75" customHeight="1">
      <c r="A8234" s="7">
        <v>316.0</v>
      </c>
      <c r="B8234" s="9" t="s">
        <v>14564</v>
      </c>
      <c r="C8234" s="9" t="s">
        <v>470</v>
      </c>
      <c r="D8234" s="9" t="s">
        <v>67</v>
      </c>
      <c r="E8234" s="6" t="s">
        <v>8017</v>
      </c>
      <c r="F8234" s="9" t="s">
        <v>15353</v>
      </c>
      <c r="G8234" t="inlineStr" s="6">
        <is>
          <t xml:space="preserve">Virtually all of GULPIN’s body is Gulpin's stomach. As a result, it can swallow something its own size. This POKéMON’s stomach contains a special fluid that digests anything. Most of GULPIN’s body is made up of its stomach - its heart and brain are very small in comparison. This POKéMON’s stomach contains special enzymes that dissolve anything. This POKéMON’s stomach fluid can even digest scrap iron. In one gulp, it can swallow something that is as large as itself. There is nothing its stomach can’t digest. While it is digesting, vile, overpowering gases are expelled. Almost all its body is its stomach. Its harsh digestive juices quickly dissolve anything it swallows. It has a small heart and brain. Its stomach comprises most of its body, with enzymes to dissolve anything. Most of Gulpin’s body is made up of its stomach—its heart and brain are very small in comparison.</t>
        </is>
      </c>
    </row>
    <row r="8235" ht="33.75" customHeight="1">
      <c r="A8235" s="7">
        <v>316.0</v>
      </c>
      <c r="B8235" s="9" t="s">
        <v>14564</v>
      </c>
      <c r="C8235" s="9" t="s">
        <v>470</v>
      </c>
      <c r="D8235" s="9" t="s">
        <v>71</v>
      </c>
      <c r="E8235" s="6" t="s">
        <v>8018</v>
      </c>
      <c r="F8235" s="9" t="s">
        <v>15353</v>
      </c>
    </row>
    <row r="8236" ht="33.75" customHeight="1">
      <c r="A8236" s="7">
        <v>316.0</v>
      </c>
      <c r="B8236" s="9" t="s">
        <v>14564</v>
      </c>
      <c r="C8236" s="9" t="s">
        <v>470</v>
      </c>
      <c r="D8236" s="9" t="s">
        <v>73</v>
      </c>
      <c r="E8236" s="6" t="s">
        <v>8020</v>
      </c>
      <c r="F8236" s="9" t="s">
        <v>15353</v>
      </c>
    </row>
    <row r="8237" ht="33.75" customHeight="1">
      <c r="A8237" s="7">
        <v>316.0</v>
      </c>
      <c r="B8237" s="9" t="s">
        <v>14564</v>
      </c>
      <c r="C8237" s="9" t="s">
        <v>470</v>
      </c>
      <c r="D8237" s="9" t="s">
        <v>75</v>
      </c>
      <c r="E8237" s="6" t="s">
        <v>8022</v>
      </c>
      <c r="F8237" s="9" t="s">
        <v>15353</v>
      </c>
    </row>
    <row r="8238" ht="33.75" customHeight="1">
      <c r="A8238" s="7">
        <v>316.0</v>
      </c>
      <c r="B8238" s="9" t="s">
        <v>14564</v>
      </c>
      <c r="C8238" s="9" t="s">
        <v>470</v>
      </c>
      <c r="D8238" s="9" t="s">
        <v>79</v>
      </c>
      <c r="E8238" s="6" t="s">
        <v>8022</v>
      </c>
      <c r="F8238" s="9" t="s">
        <v>15353</v>
      </c>
    </row>
    <row r="8239" ht="33.75" customHeight="1">
      <c r="A8239" s="7">
        <v>316.0</v>
      </c>
      <c r="B8239" s="9" t="s">
        <v>14564</v>
      </c>
      <c r="C8239" s="9" t="s">
        <v>470</v>
      </c>
      <c r="D8239" s="9" t="s">
        <v>81</v>
      </c>
      <c r="E8239" s="6" t="s">
        <v>8023</v>
      </c>
      <c r="F8239" s="9" t="s">
        <v>15353</v>
      </c>
    </row>
    <row r="8240" ht="33.75" customHeight="1">
      <c r="A8240" s="7">
        <v>316.0</v>
      </c>
      <c r="B8240" s="9" t="s">
        <v>14564</v>
      </c>
      <c r="C8240" s="9" t="s">
        <v>470</v>
      </c>
      <c r="D8240" s="9" t="s">
        <v>84</v>
      </c>
      <c r="E8240" s="6" t="s">
        <v>8023</v>
      </c>
      <c r="F8240" s="9" t="s">
        <v>15353</v>
      </c>
    </row>
    <row r="8241" ht="33.75" customHeight="1">
      <c r="A8241" s="7">
        <v>316.0</v>
      </c>
      <c r="B8241" s="9" t="s">
        <v>14564</v>
      </c>
      <c r="C8241" s="9" t="s">
        <v>470</v>
      </c>
      <c r="D8241" s="9" t="s">
        <v>87</v>
      </c>
      <c r="E8241" s="6" t="s">
        <v>8023</v>
      </c>
      <c r="F8241" s="9" t="s">
        <v>15353</v>
      </c>
    </row>
    <row r="8242" ht="33.75" customHeight="1">
      <c r="A8242" s="7">
        <v>316.0</v>
      </c>
      <c r="B8242" s="9" t="s">
        <v>14564</v>
      </c>
      <c r="C8242" s="9" t="s">
        <v>470</v>
      </c>
      <c r="D8242" s="9" t="s">
        <v>89</v>
      </c>
      <c r="E8242" s="6" t="s">
        <v>8024</v>
      </c>
      <c r="F8242" s="9" t="s">
        <v>15353</v>
      </c>
    </row>
    <row r="8243" ht="33.75" customHeight="1">
      <c r="A8243" s="7">
        <v>316.0</v>
      </c>
      <c r="B8243" s="9" t="s">
        <v>14564</v>
      </c>
      <c r="C8243" s="9" t="s">
        <v>470</v>
      </c>
      <c r="D8243" s="9" t="s">
        <v>91</v>
      </c>
      <c r="E8243" s="6" t="s">
        <v>8024</v>
      </c>
      <c r="F8243" s="9" t="s">
        <v>15353</v>
      </c>
    </row>
    <row r="8244" ht="33.75" customHeight="1">
      <c r="A8244" s="7">
        <v>316.0</v>
      </c>
      <c r="B8244" s="9" t="s">
        <v>14564</v>
      </c>
      <c r="C8244" s="9" t="s">
        <v>470</v>
      </c>
      <c r="D8244" s="9" t="s">
        <v>93</v>
      </c>
      <c r="E8244" s="6" t="s">
        <v>8023</v>
      </c>
      <c r="F8244" s="9" t="s">
        <v>15353</v>
      </c>
    </row>
    <row r="8245" ht="33.75" customHeight="1">
      <c r="A8245" s="7">
        <v>316.0</v>
      </c>
      <c r="B8245" s="9" t="s">
        <v>14564</v>
      </c>
      <c r="C8245" s="9" t="s">
        <v>470</v>
      </c>
      <c r="D8245" s="9" t="s">
        <v>95</v>
      </c>
      <c r="E8245" s="6" t="s">
        <v>8023</v>
      </c>
      <c r="F8245" s="9" t="s">
        <v>15353</v>
      </c>
    </row>
    <row r="8246" ht="33.75" customHeight="1">
      <c r="A8246" s="7">
        <v>316.0</v>
      </c>
      <c r="B8246" s="9" t="s">
        <v>14564</v>
      </c>
      <c r="C8246" s="9" t="s">
        <v>470</v>
      </c>
      <c r="D8246" s="9" t="s">
        <v>98</v>
      </c>
      <c r="E8246" s="6" t="s">
        <v>8023</v>
      </c>
      <c r="F8246" s="9" t="s">
        <v>15353</v>
      </c>
    </row>
    <row r="8247" ht="33.75" customHeight="1">
      <c r="A8247" s="7">
        <v>316.0</v>
      </c>
      <c r="B8247" s="9" t="s">
        <v>14564</v>
      </c>
      <c r="C8247" s="9" t="s">
        <v>470</v>
      </c>
      <c r="D8247" s="9" t="s">
        <v>99</v>
      </c>
      <c r="E8247" s="6" t="s">
        <v>8023</v>
      </c>
      <c r="F8247" s="9" t="s">
        <v>15353</v>
      </c>
    </row>
    <row r="8248" ht="33.75" customHeight="1">
      <c r="A8248" s="7">
        <v>316.0</v>
      </c>
      <c r="B8248" s="9" t="s">
        <v>14564</v>
      </c>
      <c r="C8248" s="9" t="s">
        <v>470</v>
      </c>
      <c r="D8248" s="9" t="s">
        <v>101</v>
      </c>
      <c r="E8248" s="6" t="s">
        <v>8024</v>
      </c>
      <c r="F8248" s="9" t="s">
        <v>15353</v>
      </c>
    </row>
    <row r="8249" ht="33.75" customHeight="1">
      <c r="A8249" s="7">
        <v>316.0</v>
      </c>
      <c r="B8249" s="9" t="s">
        <v>14564</v>
      </c>
      <c r="C8249" s="9" t="s">
        <v>470</v>
      </c>
      <c r="D8249" s="9" t="s">
        <v>105</v>
      </c>
      <c r="E8249" s="6" t="s">
        <v>8022</v>
      </c>
      <c r="F8249" s="9" t="s">
        <v>15353</v>
      </c>
    </row>
    <row r="8250" ht="33.75" customHeight="1">
      <c r="A8250" s="7">
        <v>316.0</v>
      </c>
      <c r="B8250" s="9" t="s">
        <v>14564</v>
      </c>
      <c r="C8250" s="9" t="s">
        <v>470</v>
      </c>
      <c r="D8250" s="9" t="s">
        <v>107</v>
      </c>
      <c r="E8250" s="6" t="s">
        <v>8026</v>
      </c>
      <c r="F8250" s="9" t="s">
        <v>15353</v>
      </c>
    </row>
    <row r="8251" ht="33.75" customHeight="1">
      <c r="A8251" s="7">
        <v>316.0</v>
      </c>
      <c r="B8251" s="9" t="s">
        <v>14564</v>
      </c>
      <c r="C8251" s="9" t="s">
        <v>470</v>
      </c>
      <c r="D8251" s="9" t="s">
        <v>109</v>
      </c>
      <c r="E8251" s="6" t="s">
        <v>8027</v>
      </c>
      <c r="F8251" s="9" t="s">
        <v>15353</v>
      </c>
    </row>
    <row r="8252" ht="33.75" customHeight="1">
      <c r="A8252" s="7">
        <v>317.0</v>
      </c>
      <c r="B8252" s="9" t="s">
        <v>14576</v>
      </c>
      <c r="C8252" s="9" t="s">
        <v>472</v>
      </c>
      <c r="D8252" s="9" t="s">
        <v>67</v>
      </c>
      <c r="E8252" s="6" t="s">
        <v>8028</v>
      </c>
      <c r="F8252" s="9" t="s">
        <v>15360</v>
      </c>
      <c r="G8252" t="inlineStr" s="6">
        <is>
          <t xml:space="preserve">When SWALOT spots prey, it spurts out a hideously toxic fluid from Swalot's pores and sprays the target. Once the prey has weakened, this POKéMON gulps it down whole with its cavernous mouth. SWALOT has no teeth, so what it eats, it swallows whole, no matter what. Its cavernous mouth yawns widely. An automobile tire could easily fit inside this POKéMON’s mouth. Its powerful stomach acid is capable of digesting almost anything. The one thing in the whole world a SWALOT can’t digest is its own stomach. It can swallow a tire whole in one gulp. It secretes a horribly toxic fluid from the pores on its body. It swallows anything whole. It sweats toxic fluids from its follicles to douse foes. It gulps anything that fits in its mouth. Its special enzymes can dissolve anything.</t>
        </is>
      </c>
    </row>
    <row r="8253" ht="33.75" customHeight="1">
      <c r="A8253" s="7">
        <v>317.0</v>
      </c>
      <c r="B8253" s="9" t="s">
        <v>14576</v>
      </c>
      <c r="C8253" s="9" t="s">
        <v>472</v>
      </c>
      <c r="D8253" s="9" t="s">
        <v>71</v>
      </c>
      <c r="E8253" s="6" t="s">
        <v>8030</v>
      </c>
      <c r="F8253" s="9" t="s">
        <v>15360</v>
      </c>
    </row>
    <row r="8254" ht="33.75" customHeight="1">
      <c r="A8254" s="7">
        <v>317.0</v>
      </c>
      <c r="B8254" s="9" t="s">
        <v>14576</v>
      </c>
      <c r="C8254" s="9" t="s">
        <v>472</v>
      </c>
      <c r="D8254" s="9" t="s">
        <v>73</v>
      </c>
      <c r="E8254" s="6" t="s">
        <v>8032</v>
      </c>
      <c r="F8254" s="9" t="s">
        <v>15360</v>
      </c>
    </row>
    <row r="8255" ht="33.75" customHeight="1">
      <c r="A8255" s="7">
        <v>317.0</v>
      </c>
      <c r="B8255" s="9" t="s">
        <v>14576</v>
      </c>
      <c r="C8255" s="9" t="s">
        <v>472</v>
      </c>
      <c r="D8255" s="9" t="s">
        <v>75</v>
      </c>
      <c r="E8255" s="6" t="s">
        <v>8034</v>
      </c>
      <c r="F8255" s="9" t="s">
        <v>15360</v>
      </c>
    </row>
    <row r="8256" ht="33.75" customHeight="1">
      <c r="A8256" s="7">
        <v>317.0</v>
      </c>
      <c r="B8256" s="9" t="s">
        <v>14576</v>
      </c>
      <c r="C8256" s="9" t="s">
        <v>472</v>
      </c>
      <c r="D8256" s="9" t="s">
        <v>79</v>
      </c>
      <c r="E8256" s="6" t="s">
        <v>8034</v>
      </c>
      <c r="F8256" s="9" t="s">
        <v>15360</v>
      </c>
    </row>
    <row r="8257" ht="33.75" customHeight="1">
      <c r="A8257" s="7">
        <v>317.0</v>
      </c>
      <c r="B8257" s="9" t="s">
        <v>14576</v>
      </c>
      <c r="C8257" s="9" t="s">
        <v>472</v>
      </c>
      <c r="D8257" s="9" t="s">
        <v>81</v>
      </c>
      <c r="E8257" s="6" t="s">
        <v>8036</v>
      </c>
      <c r="F8257" s="9" t="s">
        <v>15360</v>
      </c>
    </row>
    <row r="8258" ht="33.75" customHeight="1">
      <c r="A8258" s="7">
        <v>317.0</v>
      </c>
      <c r="B8258" s="9" t="s">
        <v>14576</v>
      </c>
      <c r="C8258" s="9" t="s">
        <v>472</v>
      </c>
      <c r="D8258" s="9" t="s">
        <v>84</v>
      </c>
      <c r="E8258" s="6" t="s">
        <v>8036</v>
      </c>
      <c r="F8258" s="9" t="s">
        <v>15360</v>
      </c>
    </row>
    <row r="8259" ht="33.75" customHeight="1">
      <c r="A8259" s="7">
        <v>317.0</v>
      </c>
      <c r="B8259" s="9" t="s">
        <v>14576</v>
      </c>
      <c r="C8259" s="9" t="s">
        <v>472</v>
      </c>
      <c r="D8259" s="9" t="s">
        <v>87</v>
      </c>
      <c r="E8259" s="6" t="s">
        <v>8036</v>
      </c>
      <c r="F8259" s="9" t="s">
        <v>15360</v>
      </c>
    </row>
    <row r="8260" ht="33.75" customHeight="1">
      <c r="A8260" s="7">
        <v>317.0</v>
      </c>
      <c r="B8260" s="9" t="s">
        <v>14576</v>
      </c>
      <c r="C8260" s="9" t="s">
        <v>472</v>
      </c>
      <c r="D8260" s="9" t="s">
        <v>89</v>
      </c>
      <c r="E8260" s="6" t="s">
        <v>8038</v>
      </c>
      <c r="F8260" s="9" t="s">
        <v>15360</v>
      </c>
    </row>
    <row r="8261" ht="33.75" customHeight="1">
      <c r="A8261" s="7">
        <v>317.0</v>
      </c>
      <c r="B8261" s="9" t="s">
        <v>14576</v>
      </c>
      <c r="C8261" s="9" t="s">
        <v>472</v>
      </c>
      <c r="D8261" s="9" t="s">
        <v>91</v>
      </c>
      <c r="E8261" s="6" t="s">
        <v>8038</v>
      </c>
      <c r="F8261" s="9" t="s">
        <v>15360</v>
      </c>
    </row>
    <row r="8262" ht="33.75" customHeight="1">
      <c r="A8262" s="7">
        <v>317.0</v>
      </c>
      <c r="B8262" s="9" t="s">
        <v>14576</v>
      </c>
      <c r="C8262" s="9" t="s">
        <v>472</v>
      </c>
      <c r="D8262" s="9" t="s">
        <v>93</v>
      </c>
      <c r="E8262" s="6" t="s">
        <v>8036</v>
      </c>
      <c r="F8262" s="9" t="s">
        <v>15360</v>
      </c>
    </row>
    <row r="8263" ht="33.75" customHeight="1">
      <c r="A8263" s="7">
        <v>317.0</v>
      </c>
      <c r="B8263" s="9" t="s">
        <v>14576</v>
      </c>
      <c r="C8263" s="9" t="s">
        <v>472</v>
      </c>
      <c r="D8263" s="9" t="s">
        <v>95</v>
      </c>
      <c r="E8263" s="6" t="s">
        <v>8036</v>
      </c>
      <c r="F8263" s="9" t="s">
        <v>15360</v>
      </c>
    </row>
    <row r="8264" ht="33.75" customHeight="1">
      <c r="A8264" s="7">
        <v>317.0</v>
      </c>
      <c r="B8264" s="9" t="s">
        <v>14576</v>
      </c>
      <c r="C8264" s="9" t="s">
        <v>472</v>
      </c>
      <c r="D8264" s="9" t="s">
        <v>98</v>
      </c>
      <c r="E8264" s="6" t="s">
        <v>8036</v>
      </c>
      <c r="F8264" s="9" t="s">
        <v>15360</v>
      </c>
    </row>
    <row r="8265" ht="33.75" customHeight="1">
      <c r="A8265" s="7">
        <v>317.0</v>
      </c>
      <c r="B8265" s="9" t="s">
        <v>14576</v>
      </c>
      <c r="C8265" s="9" t="s">
        <v>472</v>
      </c>
      <c r="D8265" s="9" t="s">
        <v>99</v>
      </c>
      <c r="E8265" s="6" t="s">
        <v>8036</v>
      </c>
      <c r="F8265" s="9" t="s">
        <v>15360</v>
      </c>
    </row>
    <row r="8266" ht="33.75" customHeight="1">
      <c r="A8266" s="7">
        <v>317.0</v>
      </c>
      <c r="B8266" s="9" t="s">
        <v>14576</v>
      </c>
      <c r="C8266" s="9" t="s">
        <v>472</v>
      </c>
      <c r="D8266" s="9" t="s">
        <v>101</v>
      </c>
      <c r="E8266" s="6" t="s">
        <v>8036</v>
      </c>
      <c r="F8266" s="9" t="s">
        <v>15360</v>
      </c>
    </row>
    <row r="8267" ht="33.75" customHeight="1">
      <c r="A8267" s="7">
        <v>317.0</v>
      </c>
      <c r="B8267" s="9" t="s">
        <v>14576</v>
      </c>
      <c r="C8267" s="9" t="s">
        <v>472</v>
      </c>
      <c r="D8267" s="9" t="s">
        <v>105</v>
      </c>
      <c r="E8267" s="6" t="s">
        <v>8038</v>
      </c>
      <c r="F8267" s="9" t="s">
        <v>15360</v>
      </c>
    </row>
    <row r="8268" ht="33.75" customHeight="1">
      <c r="A8268" s="7">
        <v>317.0</v>
      </c>
      <c r="B8268" s="9" t="s">
        <v>14576</v>
      </c>
      <c r="C8268" s="9" t="s">
        <v>472</v>
      </c>
      <c r="D8268" s="9" t="s">
        <v>107</v>
      </c>
      <c r="E8268" s="6" t="s">
        <v>8040</v>
      </c>
      <c r="F8268" s="9" t="s">
        <v>15360</v>
      </c>
    </row>
    <row r="8269" ht="33.75" customHeight="1">
      <c r="A8269" s="7">
        <v>317.0</v>
      </c>
      <c r="B8269" s="9" t="s">
        <v>14576</v>
      </c>
      <c r="C8269" s="9" t="s">
        <v>472</v>
      </c>
      <c r="D8269" s="9" t="s">
        <v>109</v>
      </c>
      <c r="E8269" s="6" t="s">
        <v>8041</v>
      </c>
      <c r="F8269" s="9" t="s">
        <v>15360</v>
      </c>
    </row>
    <row r="8270" ht="33.75" customHeight="1">
      <c r="A8270" s="7">
        <v>318.0</v>
      </c>
      <c r="B8270" s="9" t="s">
        <v>14587</v>
      </c>
      <c r="C8270" s="9" t="s">
        <v>476</v>
      </c>
      <c r="D8270" s="9" t="s">
        <v>67</v>
      </c>
      <c r="E8270" s="6" t="s">
        <v>8043</v>
      </c>
      <c r="F8270" s="9" t="s">
        <v>15377</v>
      </c>
      <c r="G8270" t="inlineStr" s="6">
        <is>
          <t xml:space="preserve">CARVANHA’s strongly developed jaws and Carvanha's sharply pointed fangs pack the destructive power to rip out boat hulls. Many boats have been attacked and sunk by this POKéMON. If anything invades CARVANHA’s territory, it will swarm and tear at the intruder with its pointed fangs. On its own, however, this POKéMON turns suddenly timid. CARVANHA attack ships in swarms, making them sink. Although it is said to be a very vicious POKéMON, it timidly flees as soon as it finds itself alone. It lives in massive rivers that course through jungles. It swarms prey that enter its territory. They swarm any foe that invades their territory. Their sharp fangs can tear out boat hulls. They form packs to attack boats and rip out their hulls to sink them. They live in rivers in the jungle. Each school has its own territory. Any intruders are mercilessly attacked with fangs bared. If they scent the faintest trace of blood, they rush to attack en masse. When alone, they’re rather cowardly. They’re such cowards that they won’t hunt alone. When five or so of them get together, they suddenly turn ferocious! With its sturdy jaws and fangs, it can easily chomp wooden boats to splinters. It fights with Basculin over food. It won’t attack while it’s alone—not even if it spots prey. Instead, it waits for other Carvanha to join it, and then the Pokémon attack as a group. These Pokémon have sharp fangs and powerful jaws. Sailors avoid Carvanha dens at all costs.</t>
        </is>
      </c>
    </row>
    <row r="8271" ht="33.75" customHeight="1">
      <c r="A8271" s="7">
        <v>318.0</v>
      </c>
      <c r="B8271" s="9" t="s">
        <v>14587</v>
      </c>
      <c r="C8271" s="9" t="s">
        <v>476</v>
      </c>
      <c r="D8271" s="9" t="s">
        <v>71</v>
      </c>
      <c r="E8271" s="6" t="s">
        <v>8048</v>
      </c>
      <c r="F8271" s="9" t="s">
        <v>15377</v>
      </c>
    </row>
    <row r="8272" ht="33.75" customHeight="1">
      <c r="A8272" s="7">
        <v>318.0</v>
      </c>
      <c r="B8272" s="9" t="s">
        <v>14587</v>
      </c>
      <c r="C8272" s="9" t="s">
        <v>476</v>
      </c>
      <c r="D8272" s="9" t="s">
        <v>73</v>
      </c>
      <c r="E8272" s="6" t="s">
        <v>8049</v>
      </c>
      <c r="F8272" s="9" t="s">
        <v>15377</v>
      </c>
    </row>
    <row r="8273" ht="33.75" customHeight="1">
      <c r="A8273" s="7">
        <v>318.0</v>
      </c>
      <c r="B8273" s="9" t="s">
        <v>14587</v>
      </c>
      <c r="C8273" s="9" t="s">
        <v>476</v>
      </c>
      <c r="D8273" s="9" t="s">
        <v>75</v>
      </c>
      <c r="E8273" s="6" t="s">
        <v>8051</v>
      </c>
      <c r="F8273" s="9" t="s">
        <v>15377</v>
      </c>
    </row>
    <row r="8274" ht="33.75" customHeight="1">
      <c r="A8274" s="7">
        <v>318.0</v>
      </c>
      <c r="B8274" s="9" t="s">
        <v>14587</v>
      </c>
      <c r="C8274" s="9" t="s">
        <v>476</v>
      </c>
      <c r="D8274" s="9" t="s">
        <v>79</v>
      </c>
      <c r="E8274" s="6" t="s">
        <v>8051</v>
      </c>
      <c r="F8274" s="9" t="s">
        <v>15377</v>
      </c>
    </row>
    <row r="8275" ht="33.75" customHeight="1">
      <c r="A8275" s="7">
        <v>318.0</v>
      </c>
      <c r="B8275" s="9" t="s">
        <v>14587</v>
      </c>
      <c r="C8275" s="9" t="s">
        <v>476</v>
      </c>
      <c r="D8275" s="9" t="s">
        <v>81</v>
      </c>
      <c r="E8275" s="6" t="s">
        <v>8053</v>
      </c>
      <c r="F8275" s="9" t="s">
        <v>15377</v>
      </c>
    </row>
    <row r="8276" ht="33.75" customHeight="1">
      <c r="A8276" s="7">
        <v>318.0</v>
      </c>
      <c r="B8276" s="9" t="s">
        <v>14587</v>
      </c>
      <c r="C8276" s="9" t="s">
        <v>476</v>
      </c>
      <c r="D8276" s="9" t="s">
        <v>84</v>
      </c>
      <c r="E8276" s="6" t="s">
        <v>8053</v>
      </c>
      <c r="F8276" s="9" t="s">
        <v>15377</v>
      </c>
    </row>
    <row r="8277" ht="33.75" customHeight="1">
      <c r="A8277" s="7">
        <v>318.0</v>
      </c>
      <c r="B8277" s="9" t="s">
        <v>14587</v>
      </c>
      <c r="C8277" s="9" t="s">
        <v>476</v>
      </c>
      <c r="D8277" s="9" t="s">
        <v>87</v>
      </c>
      <c r="E8277" s="6" t="s">
        <v>8053</v>
      </c>
      <c r="F8277" s="9" t="s">
        <v>15377</v>
      </c>
    </row>
    <row r="8278" ht="33.75" customHeight="1">
      <c r="A8278" s="7">
        <v>318.0</v>
      </c>
      <c r="B8278" s="9" t="s">
        <v>14587</v>
      </c>
      <c r="C8278" s="9" t="s">
        <v>476</v>
      </c>
      <c r="D8278" s="9" t="s">
        <v>89</v>
      </c>
      <c r="E8278" s="6" t="s">
        <v>8055</v>
      </c>
      <c r="F8278" s="9" t="s">
        <v>15377</v>
      </c>
    </row>
    <row r="8279" ht="33.75" customHeight="1">
      <c r="A8279" s="7">
        <v>318.0</v>
      </c>
      <c r="B8279" s="9" t="s">
        <v>14587</v>
      </c>
      <c r="C8279" s="9" t="s">
        <v>476</v>
      </c>
      <c r="D8279" s="9" t="s">
        <v>91</v>
      </c>
      <c r="E8279" s="6" t="s">
        <v>8055</v>
      </c>
      <c r="F8279" s="9" t="s">
        <v>15377</v>
      </c>
    </row>
    <row r="8280" ht="33.75" customHeight="1">
      <c r="A8280" s="7">
        <v>318.0</v>
      </c>
      <c r="B8280" s="9" t="s">
        <v>14587</v>
      </c>
      <c r="C8280" s="9" t="s">
        <v>476</v>
      </c>
      <c r="D8280" s="9" t="s">
        <v>93</v>
      </c>
      <c r="E8280" s="6" t="s">
        <v>8053</v>
      </c>
      <c r="F8280" s="9" t="s">
        <v>15377</v>
      </c>
    </row>
    <row r="8281" ht="33.75" customHeight="1">
      <c r="A8281" s="7">
        <v>318.0</v>
      </c>
      <c r="B8281" s="9" t="s">
        <v>14587</v>
      </c>
      <c r="C8281" s="9" t="s">
        <v>476</v>
      </c>
      <c r="D8281" s="9" t="s">
        <v>95</v>
      </c>
      <c r="E8281" s="6" t="s">
        <v>8053</v>
      </c>
      <c r="F8281" s="9" t="s">
        <v>15377</v>
      </c>
    </row>
    <row r="8282" ht="33.75" customHeight="1">
      <c r="A8282" s="7">
        <v>318.0</v>
      </c>
      <c r="B8282" s="9" t="s">
        <v>14587</v>
      </c>
      <c r="C8282" s="9" t="s">
        <v>476</v>
      </c>
      <c r="D8282" s="9" t="s">
        <v>98</v>
      </c>
      <c r="E8282" s="6" t="s">
        <v>8053</v>
      </c>
      <c r="F8282" s="9" t="s">
        <v>15377</v>
      </c>
    </row>
    <row r="8283" ht="33.75" customHeight="1">
      <c r="A8283" s="7">
        <v>318.0</v>
      </c>
      <c r="B8283" s="9" t="s">
        <v>14587</v>
      </c>
      <c r="C8283" s="9" t="s">
        <v>476</v>
      </c>
      <c r="D8283" s="9" t="s">
        <v>99</v>
      </c>
      <c r="E8283" s="6" t="s">
        <v>8053</v>
      </c>
      <c r="F8283" s="9" t="s">
        <v>15377</v>
      </c>
    </row>
    <row r="8284" ht="33.75" customHeight="1">
      <c r="A8284" s="7">
        <v>318.0</v>
      </c>
      <c r="B8284" s="9" t="s">
        <v>14587</v>
      </c>
      <c r="C8284" s="9" t="s">
        <v>476</v>
      </c>
      <c r="D8284" s="9" t="s">
        <v>101</v>
      </c>
      <c r="E8284" s="6" t="s">
        <v>8055</v>
      </c>
      <c r="F8284" s="9" t="s">
        <v>15377</v>
      </c>
    </row>
    <row r="8285" ht="33.75" customHeight="1">
      <c r="A8285" s="7">
        <v>318.0</v>
      </c>
      <c r="B8285" s="9" t="s">
        <v>14587</v>
      </c>
      <c r="C8285" s="9" t="s">
        <v>476</v>
      </c>
      <c r="D8285" s="9" t="s">
        <v>105</v>
      </c>
      <c r="E8285" s="6" t="s">
        <v>8051</v>
      </c>
      <c r="F8285" s="9" t="s">
        <v>15377</v>
      </c>
    </row>
    <row r="8286" ht="33.75" customHeight="1">
      <c r="A8286" s="7">
        <v>318.0</v>
      </c>
      <c r="B8286" s="9" t="s">
        <v>14587</v>
      </c>
      <c r="C8286" s="9" t="s">
        <v>476</v>
      </c>
      <c r="D8286" s="9" t="s">
        <v>107</v>
      </c>
      <c r="E8286" s="6" t="s">
        <v>8057</v>
      </c>
      <c r="F8286" s="9" t="s">
        <v>15377</v>
      </c>
    </row>
    <row r="8287" ht="33.75" customHeight="1">
      <c r="A8287" s="7">
        <v>318.0</v>
      </c>
      <c r="B8287" s="9" t="s">
        <v>14587</v>
      </c>
      <c r="C8287" s="9" t="s">
        <v>476</v>
      </c>
      <c r="D8287" s="9" t="s">
        <v>109</v>
      </c>
      <c r="E8287" s="6" t="s">
        <v>8059</v>
      </c>
      <c r="F8287" s="9" t="s">
        <v>15377</v>
      </c>
    </row>
    <row r="8288" ht="33.75" customHeight="1">
      <c r="A8288" s="7">
        <v>318.0</v>
      </c>
      <c r="B8288" s="9" t="s">
        <v>14587</v>
      </c>
      <c r="C8288" s="9" t="s">
        <v>476</v>
      </c>
      <c r="D8288" s="9" t="s">
        <v>637</v>
      </c>
      <c r="E8288" s="6" t="s">
        <v>8061</v>
      </c>
      <c r="F8288" s="9" t="s">
        <v>15377</v>
      </c>
    </row>
    <row r="8289" ht="33.75" customHeight="1">
      <c r="A8289" s="7">
        <v>318.0</v>
      </c>
      <c r="B8289" s="9" t="s">
        <v>14587</v>
      </c>
      <c r="C8289" s="9" t="s">
        <v>476</v>
      </c>
      <c r="D8289" s="9" t="s">
        <v>642</v>
      </c>
      <c r="E8289" s="6" t="s">
        <v>8063</v>
      </c>
      <c r="F8289" s="9" t="s">
        <v>15377</v>
      </c>
    </row>
    <row r="8290" ht="33.75" customHeight="1">
      <c r="A8290" s="7">
        <v>318.0</v>
      </c>
      <c r="B8290" s="9" t="s">
        <v>14587</v>
      </c>
      <c r="C8290" s="9" t="s">
        <v>476</v>
      </c>
      <c r="D8290" s="9" t="s">
        <v>647</v>
      </c>
      <c r="E8290" s="6" t="s">
        <v>8065</v>
      </c>
      <c r="F8290" s="9" t="s">
        <v>15377</v>
      </c>
    </row>
    <row r="8291" ht="33.75" customHeight="1">
      <c r="A8291" s="7">
        <v>318.0</v>
      </c>
      <c r="B8291" s="9" t="s">
        <v>14587</v>
      </c>
      <c r="C8291" s="9" t="s">
        <v>476</v>
      </c>
      <c r="D8291" s="9" t="s">
        <v>652</v>
      </c>
      <c r="E8291" s="6" t="s">
        <v>8067</v>
      </c>
      <c r="F8291" s="9" t="s">
        <v>15377</v>
      </c>
    </row>
    <row r="8292" ht="33.75" customHeight="1">
      <c r="A8292" s="7">
        <v>318.0</v>
      </c>
      <c r="B8292" s="9" t="s">
        <v>14587</v>
      </c>
      <c r="C8292" s="9" t="s">
        <v>476</v>
      </c>
      <c r="D8292" s="9" t="s">
        <v>114</v>
      </c>
      <c r="E8292" s="6" t="s">
        <v>8068</v>
      </c>
      <c r="F8292" s="9" t="s">
        <v>15377</v>
      </c>
    </row>
    <row r="8293" ht="33.75" customHeight="1">
      <c r="A8293" s="7">
        <v>318.0</v>
      </c>
      <c r="B8293" s="9" t="s">
        <v>14587</v>
      </c>
      <c r="C8293" s="9" t="s">
        <v>476</v>
      </c>
      <c r="D8293" s="9" t="s">
        <v>117</v>
      </c>
      <c r="E8293" s="6" t="s">
        <v>8069</v>
      </c>
      <c r="F8293" s="9" t="s">
        <v>15377</v>
      </c>
    </row>
    <row r="8294" ht="33.75" customHeight="1">
      <c r="A8294" s="7">
        <v>319.0</v>
      </c>
      <c r="B8294" s="9" t="s">
        <v>14604</v>
      </c>
      <c r="C8294" s="9" t="s">
        <v>478</v>
      </c>
      <c r="D8294" s="9" t="s">
        <v>67</v>
      </c>
      <c r="E8294" s="6" t="s">
        <v>8070</v>
      </c>
      <c r="F8294" s="9" t="s">
        <v>15409</v>
      </c>
      <c r="G8294" t="inlineStr" s="6">
        <is>
          <t xml:space="preserve">Nicknamed “the bully of the sea,” SHARPEDO is widely feared. Its cruel fangs grow back immediately if they snap off. Just one of these POKéMON can thoroughly tear apart a supertanker. SHARPEDO can swim at speeds of up to 75 mph by jetting seawater out of its backside. This POKéMON’s drawback is its inability to swim long distances. The vicious and sly gangster of the sea. Its skin is specially textured to minimize drag in water. Its speed tops out at over 75 miles per hour. The ruffian of the seas, it has fangs that crunch through iron. It swims by jetting water from its rear. Its fangs rip through sheet iron. It swims at 75 mph and is known as “The Bully of the Sea. It can swim at speeds of 75 mph by jetting seawater through its body. It is the bandit of the sea. It pursues its prey at speeds of 75 mph and finishes them off with fangs that can crush iron. It is known as the bully of the sea. It has a sad history. In the past, its dorsal fin was a treasured foodstuff, so this Pokémon became a victim of overfishing. People believe that carrying one of its discarded fangs will prevent mishaps at sea, so the fangs are made into accessories. It drinks in seawater and jets it from its rear to propel itself. It’s very sensitive to the scent of blood. As soon as it catches the scent of prey, Sharpedo will jet seawater from its backside, hurtling toward the target to attack at 75 mph. This Pokémon is known as the Bully of the Sea. Any ship entering the waters Sharpedo calls home will be attacked—no exceptions.</t>
        </is>
      </c>
    </row>
    <row r="8295" ht="33.75" customHeight="1">
      <c r="A8295" s="7">
        <v>319.0</v>
      </c>
      <c r="B8295" s="9" t="s">
        <v>14604</v>
      </c>
      <c r="C8295" s="9" t="s">
        <v>478</v>
      </c>
      <c r="D8295" s="9" t="s">
        <v>71</v>
      </c>
      <c r="E8295" s="6" t="s">
        <v>8071</v>
      </c>
      <c r="F8295" s="9" t="s">
        <v>15409</v>
      </c>
    </row>
    <row r="8296" ht="33.75" customHeight="1">
      <c r="A8296" s="7">
        <v>319.0</v>
      </c>
      <c r="B8296" s="9" t="s">
        <v>14604</v>
      </c>
      <c r="C8296" s="9" t="s">
        <v>478</v>
      </c>
      <c r="D8296" s="9" t="s">
        <v>73</v>
      </c>
      <c r="E8296" s="6" t="s">
        <v>8072</v>
      </c>
      <c r="F8296" s="9" t="s">
        <v>15409</v>
      </c>
    </row>
    <row r="8297" ht="33.75" customHeight="1">
      <c r="A8297" s="7">
        <v>319.0</v>
      </c>
      <c r="B8297" s="9" t="s">
        <v>14604</v>
      </c>
      <c r="C8297" s="9" t="s">
        <v>478</v>
      </c>
      <c r="D8297" s="9" t="s">
        <v>75</v>
      </c>
      <c r="E8297" s="6" t="s">
        <v>8073</v>
      </c>
      <c r="F8297" s="9" t="s">
        <v>15409</v>
      </c>
    </row>
    <row r="8298" ht="33.75" customHeight="1">
      <c r="A8298" s="7">
        <v>319.0</v>
      </c>
      <c r="B8298" s="9" t="s">
        <v>14604</v>
      </c>
      <c r="C8298" s="9" t="s">
        <v>478</v>
      </c>
      <c r="D8298" s="9" t="s">
        <v>79</v>
      </c>
      <c r="E8298" s="6" t="s">
        <v>8073</v>
      </c>
      <c r="F8298" s="9" t="s">
        <v>15409</v>
      </c>
    </row>
    <row r="8299" ht="33.75" customHeight="1">
      <c r="A8299" s="7">
        <v>319.0</v>
      </c>
      <c r="B8299" s="9" t="s">
        <v>14604</v>
      </c>
      <c r="C8299" s="9" t="s">
        <v>478</v>
      </c>
      <c r="D8299" s="9" t="s">
        <v>81</v>
      </c>
      <c r="E8299" s="6" t="s">
        <v>8074</v>
      </c>
      <c r="F8299" s="9" t="s">
        <v>15409</v>
      </c>
    </row>
    <row r="8300" ht="33.75" customHeight="1">
      <c r="A8300" s="7">
        <v>319.0</v>
      </c>
      <c r="B8300" s="9" t="s">
        <v>14604</v>
      </c>
      <c r="C8300" s="9" t="s">
        <v>478</v>
      </c>
      <c r="D8300" s="9" t="s">
        <v>84</v>
      </c>
      <c r="E8300" s="6" t="s">
        <v>8074</v>
      </c>
      <c r="F8300" s="9" t="s">
        <v>15409</v>
      </c>
    </row>
    <row r="8301" ht="33.75" customHeight="1">
      <c r="A8301" s="7">
        <v>319.0</v>
      </c>
      <c r="B8301" s="9" t="s">
        <v>14604</v>
      </c>
      <c r="C8301" s="9" t="s">
        <v>478</v>
      </c>
      <c r="D8301" s="9" t="s">
        <v>87</v>
      </c>
      <c r="E8301" s="6" t="s">
        <v>8074</v>
      </c>
      <c r="F8301" s="9" t="s">
        <v>15409</v>
      </c>
    </row>
    <row r="8302" ht="33.75" customHeight="1">
      <c r="A8302" s="7">
        <v>319.0</v>
      </c>
      <c r="B8302" s="9" t="s">
        <v>14604</v>
      </c>
      <c r="C8302" s="9" t="s">
        <v>478</v>
      </c>
      <c r="D8302" s="9" t="s">
        <v>89</v>
      </c>
      <c r="E8302" s="6" t="s">
        <v>8075</v>
      </c>
      <c r="F8302" s="9" t="s">
        <v>15409</v>
      </c>
    </row>
    <row r="8303" ht="33.75" customHeight="1">
      <c r="A8303" s="7">
        <v>319.0</v>
      </c>
      <c r="B8303" s="9" t="s">
        <v>14604</v>
      </c>
      <c r="C8303" s="9" t="s">
        <v>478</v>
      </c>
      <c r="D8303" s="9" t="s">
        <v>91</v>
      </c>
      <c r="E8303" s="6" t="s">
        <v>8075</v>
      </c>
      <c r="F8303" s="9" t="s">
        <v>15409</v>
      </c>
    </row>
    <row r="8304" ht="33.75" customHeight="1">
      <c r="A8304" s="7">
        <v>319.0</v>
      </c>
      <c r="B8304" s="9" t="s">
        <v>14604</v>
      </c>
      <c r="C8304" s="9" t="s">
        <v>478</v>
      </c>
      <c r="D8304" s="9" t="s">
        <v>93</v>
      </c>
      <c r="E8304" s="6" t="s">
        <v>8074</v>
      </c>
      <c r="F8304" s="9" t="s">
        <v>15409</v>
      </c>
    </row>
    <row r="8305" ht="33.75" customHeight="1">
      <c r="A8305" s="7">
        <v>319.0</v>
      </c>
      <c r="B8305" s="9" t="s">
        <v>14604</v>
      </c>
      <c r="C8305" s="9" t="s">
        <v>478</v>
      </c>
      <c r="D8305" s="9" t="s">
        <v>95</v>
      </c>
      <c r="E8305" s="6" t="s">
        <v>8074</v>
      </c>
      <c r="F8305" s="9" t="s">
        <v>15409</v>
      </c>
    </row>
    <row r="8306" ht="33.75" customHeight="1">
      <c r="A8306" s="7">
        <v>319.0</v>
      </c>
      <c r="B8306" s="9" t="s">
        <v>14604</v>
      </c>
      <c r="C8306" s="9" t="s">
        <v>478</v>
      </c>
      <c r="D8306" s="9" t="s">
        <v>98</v>
      </c>
      <c r="E8306" s="6" t="s">
        <v>8074</v>
      </c>
      <c r="F8306" s="9" t="s">
        <v>15409</v>
      </c>
    </row>
    <row r="8307" ht="33.75" customHeight="1">
      <c r="A8307" s="7">
        <v>319.0</v>
      </c>
      <c r="B8307" s="9" t="s">
        <v>14604</v>
      </c>
      <c r="C8307" s="9" t="s">
        <v>478</v>
      </c>
      <c r="D8307" s="9" t="s">
        <v>99</v>
      </c>
      <c r="E8307" s="6" t="s">
        <v>8074</v>
      </c>
      <c r="F8307" s="9" t="s">
        <v>15409</v>
      </c>
    </row>
    <row r="8308" ht="33.75" customHeight="1">
      <c r="A8308" s="7">
        <v>319.0</v>
      </c>
      <c r="B8308" s="9" t="s">
        <v>14604</v>
      </c>
      <c r="C8308" s="9" t="s">
        <v>478</v>
      </c>
      <c r="D8308" s="9" t="s">
        <v>101</v>
      </c>
      <c r="E8308" s="6" t="s">
        <v>8074</v>
      </c>
      <c r="F8308" s="9" t="s">
        <v>15409</v>
      </c>
    </row>
    <row r="8309" ht="33.75" customHeight="1">
      <c r="A8309" s="7">
        <v>319.0</v>
      </c>
      <c r="B8309" s="9" t="s">
        <v>14604</v>
      </c>
      <c r="C8309" s="9" t="s">
        <v>478</v>
      </c>
      <c r="D8309" s="9" t="s">
        <v>105</v>
      </c>
      <c r="E8309" s="6" t="s">
        <v>8075</v>
      </c>
      <c r="F8309" s="9" t="s">
        <v>15409</v>
      </c>
    </row>
    <row r="8310" ht="33.75" customHeight="1">
      <c r="A8310" s="7">
        <v>319.0</v>
      </c>
      <c r="B8310" s="9" t="s">
        <v>14604</v>
      </c>
      <c r="C8310" s="9" t="s">
        <v>478</v>
      </c>
      <c r="D8310" s="9" t="s">
        <v>107</v>
      </c>
      <c r="E8310" s="6" t="s">
        <v>8076</v>
      </c>
      <c r="F8310" s="9" t="s">
        <v>15409</v>
      </c>
    </row>
    <row r="8311" ht="33.75" customHeight="1">
      <c r="A8311" s="7">
        <v>319.0</v>
      </c>
      <c r="B8311" s="9" t="s">
        <v>14604</v>
      </c>
      <c r="C8311" s="9" t="s">
        <v>478</v>
      </c>
      <c r="D8311" s="9" t="s">
        <v>109</v>
      </c>
      <c r="E8311" s="6" t="s">
        <v>8077</v>
      </c>
      <c r="F8311" s="9" t="s">
        <v>15409</v>
      </c>
    </row>
    <row r="8312" ht="33.75" customHeight="1">
      <c r="A8312" s="7">
        <v>319.0</v>
      </c>
      <c r="B8312" s="9" t="s">
        <v>14604</v>
      </c>
      <c r="C8312" s="9" t="s">
        <v>478</v>
      </c>
      <c r="D8312" s="9" t="s">
        <v>637</v>
      </c>
      <c r="E8312" s="6" t="s">
        <v>8079</v>
      </c>
      <c r="F8312" s="9" t="s">
        <v>15409</v>
      </c>
    </row>
    <row r="8313" ht="33.75" customHeight="1">
      <c r="A8313" s="7">
        <v>319.0</v>
      </c>
      <c r="B8313" s="9" t="s">
        <v>14604</v>
      </c>
      <c r="C8313" s="9" t="s">
        <v>478</v>
      </c>
      <c r="D8313" s="9" t="s">
        <v>642</v>
      </c>
      <c r="E8313" s="6" t="s">
        <v>8080</v>
      </c>
      <c r="F8313" s="9" t="s">
        <v>15409</v>
      </c>
    </row>
    <row r="8314" ht="33.75" customHeight="1">
      <c r="A8314" s="7">
        <v>319.0</v>
      </c>
      <c r="B8314" s="9" t="s">
        <v>14604</v>
      </c>
      <c r="C8314" s="9" t="s">
        <v>478</v>
      </c>
      <c r="D8314" s="9" t="s">
        <v>647</v>
      </c>
      <c r="E8314" s="6" t="s">
        <v>8081</v>
      </c>
      <c r="F8314" s="9" t="s">
        <v>15409</v>
      </c>
    </row>
    <row r="8315" ht="33.75" customHeight="1">
      <c r="A8315" s="7">
        <v>319.0</v>
      </c>
      <c r="B8315" s="9" t="s">
        <v>14604</v>
      </c>
      <c r="C8315" s="9" t="s">
        <v>478</v>
      </c>
      <c r="D8315" s="9" t="s">
        <v>652</v>
      </c>
      <c r="E8315" s="6" t="s">
        <v>8083</v>
      </c>
      <c r="F8315" s="9" t="s">
        <v>15409</v>
      </c>
    </row>
    <row r="8316" ht="33.75" customHeight="1">
      <c r="A8316" s="7">
        <v>319.0</v>
      </c>
      <c r="B8316" s="9" t="s">
        <v>14604</v>
      </c>
      <c r="C8316" s="9" t="s">
        <v>478</v>
      </c>
      <c r="D8316" s="9" t="s">
        <v>114</v>
      </c>
      <c r="E8316" s="6" t="s">
        <v>8084</v>
      </c>
      <c r="F8316" s="9" t="s">
        <v>15409</v>
      </c>
    </row>
    <row r="8317" ht="33.75" customHeight="1">
      <c r="A8317" s="7">
        <v>319.0</v>
      </c>
      <c r="B8317" s="9" t="s">
        <v>14604</v>
      </c>
      <c r="C8317" s="9" t="s">
        <v>478</v>
      </c>
      <c r="D8317" s="9" t="s">
        <v>117</v>
      </c>
      <c r="E8317" s="6" t="s">
        <v>8085</v>
      </c>
      <c r="F8317" s="9" t="s">
        <v>15409</v>
      </c>
    </row>
    <row r="8318" ht="33.75" customHeight="1">
      <c r="A8318" s="7">
        <v>320.0</v>
      </c>
      <c r="B8318" s="9" t="s">
        <v>14623</v>
      </c>
      <c r="C8318" s="9" t="s">
        <v>480</v>
      </c>
      <c r="D8318" s="9" t="s">
        <v>67</v>
      </c>
      <c r="E8318" s="6" t="s">
        <v>8086</v>
      </c>
      <c r="F8318" s="9" t="s">
        <v>15437</v>
      </c>
      <c r="G8318" t="inlineStr" s="6">
        <is>
          <t xml:space="preserve">WAILMER’s nostrils are located above Wailmer's eyes. This playful POKéMON loves to startle people by forcefully snorting out seawater it stores inside its body out of its nostrils. WAILMER can store water inside its body to transform itself into a ball for bouncing around on the ground. By filling itself up with more water, this POKéMON can elevate the height of its bounces. While this POKéMON usually lives in the sea, it can survive on land, although not too long. It loses vitality if its body becomes dried out. When it sucks in a large volume of seawater, it becomes like a big, bouncy ball. It eats a ton of food daily. On sunny days, it lands on beaches to bounce like a ball and play. It spouts water from its nose. It bounces playfully like a ball. The more seawater it swallows, the higher it bounces. It eats one ton of food every day. It plays by shooting stored seawater out its blowholes with great force. It loves to startle people. It fills itself up with seawater and plays by bouncing around like a ball. It shows off by spraying jets of seawater from the nostrils above its eyes. It eats a solid ton of Wishiwashi every day. It swims along with its mouth open and swallows down seawater along with its food. It sprays excess water out of its nostrils. Due to their memories of when they once lived on land, pods of them will, very rarely, wash up on shore.</t>
        </is>
      </c>
    </row>
    <row r="8319" ht="33.75" customHeight="1">
      <c r="A8319" s="7">
        <v>320.0</v>
      </c>
      <c r="B8319" s="9" t="s">
        <v>14623</v>
      </c>
      <c r="C8319" s="9" t="s">
        <v>480</v>
      </c>
      <c r="D8319" s="9" t="s">
        <v>71</v>
      </c>
      <c r="E8319" s="6" t="s">
        <v>8087</v>
      </c>
      <c r="F8319" s="9" t="s">
        <v>15437</v>
      </c>
    </row>
    <row r="8320" ht="33.75" customHeight="1">
      <c r="A8320" s="7">
        <v>320.0</v>
      </c>
      <c r="B8320" s="9" t="s">
        <v>14623</v>
      </c>
      <c r="C8320" s="9" t="s">
        <v>480</v>
      </c>
      <c r="D8320" s="9" t="s">
        <v>73</v>
      </c>
      <c r="E8320" s="6" t="s">
        <v>8088</v>
      </c>
      <c r="F8320" s="9" t="s">
        <v>15437</v>
      </c>
    </row>
    <row r="8321" ht="33.75" customHeight="1">
      <c r="A8321" s="7">
        <v>320.0</v>
      </c>
      <c r="B8321" s="9" t="s">
        <v>14623</v>
      </c>
      <c r="C8321" s="9" t="s">
        <v>480</v>
      </c>
      <c r="D8321" s="9" t="s">
        <v>75</v>
      </c>
      <c r="E8321" s="6" t="s">
        <v>8090</v>
      </c>
      <c r="F8321" s="9" t="s">
        <v>15437</v>
      </c>
    </row>
    <row r="8322" ht="33.75" customHeight="1">
      <c r="A8322" s="7">
        <v>320.0</v>
      </c>
      <c r="B8322" s="9" t="s">
        <v>14623</v>
      </c>
      <c r="C8322" s="9" t="s">
        <v>480</v>
      </c>
      <c r="D8322" s="9" t="s">
        <v>79</v>
      </c>
      <c r="E8322" s="6" t="s">
        <v>8090</v>
      </c>
      <c r="F8322" s="9" t="s">
        <v>15437</v>
      </c>
    </row>
    <row r="8323" ht="33.75" customHeight="1">
      <c r="A8323" s="7">
        <v>320.0</v>
      </c>
      <c r="B8323" s="9" t="s">
        <v>14623</v>
      </c>
      <c r="C8323" s="9" t="s">
        <v>480</v>
      </c>
      <c r="D8323" s="9" t="s">
        <v>81</v>
      </c>
      <c r="E8323" s="6" t="s">
        <v>8091</v>
      </c>
      <c r="F8323" s="9" t="s">
        <v>15437</v>
      </c>
    </row>
    <row r="8324" ht="33.75" customHeight="1">
      <c r="A8324" s="7">
        <v>320.0</v>
      </c>
      <c r="B8324" s="9" t="s">
        <v>14623</v>
      </c>
      <c r="C8324" s="9" t="s">
        <v>480</v>
      </c>
      <c r="D8324" s="9" t="s">
        <v>84</v>
      </c>
      <c r="E8324" s="6" t="s">
        <v>8091</v>
      </c>
      <c r="F8324" s="9" t="s">
        <v>15437</v>
      </c>
    </row>
    <row r="8325" ht="33.75" customHeight="1">
      <c r="A8325" s="7">
        <v>320.0</v>
      </c>
      <c r="B8325" s="9" t="s">
        <v>14623</v>
      </c>
      <c r="C8325" s="9" t="s">
        <v>480</v>
      </c>
      <c r="D8325" s="9" t="s">
        <v>87</v>
      </c>
      <c r="E8325" s="6" t="s">
        <v>8091</v>
      </c>
      <c r="F8325" s="9" t="s">
        <v>15437</v>
      </c>
    </row>
    <row r="8326" ht="33.75" customHeight="1">
      <c r="A8326" s="7">
        <v>320.0</v>
      </c>
      <c r="B8326" s="9" t="s">
        <v>14623</v>
      </c>
      <c r="C8326" s="9" t="s">
        <v>480</v>
      </c>
      <c r="D8326" s="9" t="s">
        <v>89</v>
      </c>
      <c r="E8326" s="6" t="s">
        <v>8093</v>
      </c>
      <c r="F8326" s="9" t="s">
        <v>15437</v>
      </c>
    </row>
    <row r="8327" ht="33.75" customHeight="1">
      <c r="A8327" s="7">
        <v>320.0</v>
      </c>
      <c r="B8327" s="9" t="s">
        <v>14623</v>
      </c>
      <c r="C8327" s="9" t="s">
        <v>480</v>
      </c>
      <c r="D8327" s="9" t="s">
        <v>91</v>
      </c>
      <c r="E8327" s="6" t="s">
        <v>8093</v>
      </c>
      <c r="F8327" s="9" t="s">
        <v>15437</v>
      </c>
    </row>
    <row r="8328" ht="33.75" customHeight="1">
      <c r="A8328" s="7">
        <v>320.0</v>
      </c>
      <c r="B8328" s="9" t="s">
        <v>14623</v>
      </c>
      <c r="C8328" s="9" t="s">
        <v>480</v>
      </c>
      <c r="D8328" s="9" t="s">
        <v>93</v>
      </c>
      <c r="E8328" s="6" t="s">
        <v>8091</v>
      </c>
      <c r="F8328" s="9" t="s">
        <v>15437</v>
      </c>
    </row>
    <row r="8329" ht="33.75" customHeight="1">
      <c r="A8329" s="7">
        <v>320.0</v>
      </c>
      <c r="B8329" s="9" t="s">
        <v>14623</v>
      </c>
      <c r="C8329" s="9" t="s">
        <v>480</v>
      </c>
      <c r="D8329" s="9" t="s">
        <v>95</v>
      </c>
      <c r="E8329" s="6" t="s">
        <v>8091</v>
      </c>
      <c r="F8329" s="9" t="s">
        <v>15437</v>
      </c>
    </row>
    <row r="8330" ht="33.75" customHeight="1">
      <c r="A8330" s="7">
        <v>320.0</v>
      </c>
      <c r="B8330" s="9" t="s">
        <v>14623</v>
      </c>
      <c r="C8330" s="9" t="s">
        <v>480</v>
      </c>
      <c r="D8330" s="9" t="s">
        <v>98</v>
      </c>
      <c r="E8330" s="6" t="s">
        <v>8094</v>
      </c>
      <c r="F8330" s="9" t="s">
        <v>15437</v>
      </c>
    </row>
    <row r="8331" ht="33.75" customHeight="1">
      <c r="A8331" s="7">
        <v>320.0</v>
      </c>
      <c r="B8331" s="9" t="s">
        <v>14623</v>
      </c>
      <c r="C8331" s="9" t="s">
        <v>480</v>
      </c>
      <c r="D8331" s="9" t="s">
        <v>99</v>
      </c>
      <c r="E8331" s="6" t="s">
        <v>8094</v>
      </c>
      <c r="F8331" s="9" t="s">
        <v>15437</v>
      </c>
    </row>
    <row r="8332" ht="33.75" customHeight="1">
      <c r="A8332" s="7">
        <v>320.0</v>
      </c>
      <c r="B8332" s="9" t="s">
        <v>14623</v>
      </c>
      <c r="C8332" s="9" t="s">
        <v>480</v>
      </c>
      <c r="D8332" s="9" t="s">
        <v>101</v>
      </c>
      <c r="E8332" s="6" t="s">
        <v>8093</v>
      </c>
      <c r="F8332" s="9" t="s">
        <v>15437</v>
      </c>
    </row>
    <row r="8333" ht="33.75" customHeight="1">
      <c r="A8333" s="7">
        <v>320.0</v>
      </c>
      <c r="B8333" s="9" t="s">
        <v>14623</v>
      </c>
      <c r="C8333" s="9" t="s">
        <v>480</v>
      </c>
      <c r="D8333" s="9" t="s">
        <v>105</v>
      </c>
      <c r="E8333" s="6" t="s">
        <v>8094</v>
      </c>
      <c r="F8333" s="9" t="s">
        <v>15437</v>
      </c>
    </row>
    <row r="8334" ht="33.75" customHeight="1">
      <c r="A8334" s="7">
        <v>320.0</v>
      </c>
      <c r="B8334" s="9" t="s">
        <v>14623</v>
      </c>
      <c r="C8334" s="9" t="s">
        <v>480</v>
      </c>
      <c r="D8334" s="9" t="s">
        <v>107</v>
      </c>
      <c r="E8334" s="6" t="s">
        <v>8096</v>
      </c>
      <c r="F8334" s="9" t="s">
        <v>15437</v>
      </c>
    </row>
    <row r="8335" ht="33.75" customHeight="1">
      <c r="A8335" s="7">
        <v>320.0</v>
      </c>
      <c r="B8335" s="9" t="s">
        <v>14623</v>
      </c>
      <c r="C8335" s="9" t="s">
        <v>480</v>
      </c>
      <c r="D8335" s="9" t="s">
        <v>109</v>
      </c>
      <c r="E8335" s="6" t="s">
        <v>8098</v>
      </c>
      <c r="F8335" s="9" t="s">
        <v>15437</v>
      </c>
    </row>
    <row r="8336" ht="33.75" customHeight="1">
      <c r="A8336" s="7">
        <v>320.0</v>
      </c>
      <c r="B8336" s="9" t="s">
        <v>14623</v>
      </c>
      <c r="C8336" s="9" t="s">
        <v>480</v>
      </c>
      <c r="D8336" s="9" t="s">
        <v>637</v>
      </c>
      <c r="E8336" s="6" t="s">
        <v>8100</v>
      </c>
      <c r="F8336" s="9" t="s">
        <v>15437</v>
      </c>
    </row>
    <row r="8337" ht="33.75" customHeight="1">
      <c r="A8337" s="7">
        <v>320.0</v>
      </c>
      <c r="B8337" s="9" t="s">
        <v>14623</v>
      </c>
      <c r="C8337" s="9" t="s">
        <v>480</v>
      </c>
      <c r="D8337" s="9" t="s">
        <v>642</v>
      </c>
      <c r="E8337" s="6" t="s">
        <v>8101</v>
      </c>
      <c r="F8337" s="9" t="s">
        <v>15437</v>
      </c>
    </row>
    <row r="8338" ht="33.75" customHeight="1">
      <c r="A8338" s="7">
        <v>320.0</v>
      </c>
      <c r="B8338" s="9" t="s">
        <v>14623</v>
      </c>
      <c r="C8338" s="9" t="s">
        <v>480</v>
      </c>
      <c r="D8338" s="9" t="s">
        <v>647</v>
      </c>
      <c r="E8338" s="6" t="s">
        <v>8102</v>
      </c>
      <c r="F8338" s="9" t="s">
        <v>15437</v>
      </c>
    </row>
    <row r="8339" ht="33.75" customHeight="1">
      <c r="A8339" s="7">
        <v>320.0</v>
      </c>
      <c r="B8339" s="9" t="s">
        <v>14623</v>
      </c>
      <c r="C8339" s="9" t="s">
        <v>480</v>
      </c>
      <c r="D8339" s="9" t="s">
        <v>652</v>
      </c>
      <c r="E8339" s="6" t="s">
        <v>8104</v>
      </c>
      <c r="F8339" s="9" t="s">
        <v>15437</v>
      </c>
    </row>
    <row r="8340" ht="33.75" customHeight="1">
      <c r="A8340" s="7">
        <v>320.0</v>
      </c>
      <c r="B8340" s="9" t="s">
        <v>14623</v>
      </c>
      <c r="C8340" s="9" t="s">
        <v>480</v>
      </c>
      <c r="D8340" s="9" t="s">
        <v>114</v>
      </c>
      <c r="E8340" s="6" t="s">
        <v>8101</v>
      </c>
      <c r="F8340" s="9" t="s">
        <v>15437</v>
      </c>
    </row>
    <row r="8341" ht="33.75" customHeight="1">
      <c r="A8341" s="7">
        <v>320.0</v>
      </c>
      <c r="B8341" s="9" t="s">
        <v>14623</v>
      </c>
      <c r="C8341" s="9" t="s">
        <v>480</v>
      </c>
      <c r="D8341" s="9" t="s">
        <v>117</v>
      </c>
      <c r="E8341" s="6" t="s">
        <v>8090</v>
      </c>
      <c r="F8341" s="9" t="s">
        <v>15437</v>
      </c>
    </row>
    <row r="8342" ht="33.75" customHeight="1">
      <c r="A8342" s="7">
        <v>321.0</v>
      </c>
      <c r="B8342" s="9" t="s">
        <v>14640</v>
      </c>
      <c r="C8342" s="9" t="s">
        <v>483</v>
      </c>
      <c r="D8342" s="9" t="s">
        <v>67</v>
      </c>
      <c r="E8342" s="6" t="s">
        <v>8106</v>
      </c>
      <c r="F8342" s="9" t="s">
        <v>15462</v>
      </c>
      <c r="G8342" t="inlineStr" s="6">
        <is>
          <t xml:space="preserve">WAILORD is the largest of all identified POKéMON up to now. This giant POKéMON swims languorously in the vast open sea, eating massive amounts of food at once with its enormous mouth. When chasing prey, WAILORD herds them by leaping out of the water and making a humongous splash. It is breathtaking to see this POKéMON leaping out of the sea with others in its pod. It breathes through nostrils that it raises above the sea. By inhaling to its maximum capacity, a WAILORD can dive close to 10,000 feet beneath the waves. It is among the largest of all POKéMON. It herds prey in a pack then swallows the massed prey in one gulp. The biggest of all Pokémon. It can dive to a depth of almost 10,000 feet on only one breath. It is the largest of all identified Pokémon. They jump as a pack to herd their prey. It can sometimes knock out opponents with the shock created by breaching and crashing its big body onto the water. Wailord pursue their prey in pods. With their large mouths, they can swallow entire schools of Wishiwashi whole. Its immense size is the reason for its popularity. Wailord watching is a favorite sightseeing activity in various parts of the world. They eat so many fish Pokémon that when Wailord become too numerous, fishermen have to chase them off. When a small Wailmer is attacked by Sharpedo or Dhelmise, its whole pod works together to protect it.</t>
        </is>
      </c>
    </row>
    <row r="8343" ht="33.75" customHeight="1">
      <c r="A8343" s="7">
        <v>321.0</v>
      </c>
      <c r="B8343" s="9" t="s">
        <v>14640</v>
      </c>
      <c r="C8343" s="9" t="s">
        <v>483</v>
      </c>
      <c r="D8343" s="9" t="s">
        <v>71</v>
      </c>
      <c r="E8343" s="6" t="s">
        <v>8109</v>
      </c>
      <c r="F8343" s="9" t="s">
        <v>15462</v>
      </c>
    </row>
    <row r="8344" ht="33.75" customHeight="1">
      <c r="A8344" s="7">
        <v>321.0</v>
      </c>
      <c r="B8344" s="9" t="s">
        <v>14640</v>
      </c>
      <c r="C8344" s="9" t="s">
        <v>483</v>
      </c>
      <c r="D8344" s="9" t="s">
        <v>73</v>
      </c>
      <c r="E8344" s="6" t="s">
        <v>8111</v>
      </c>
      <c r="F8344" s="9" t="s">
        <v>15462</v>
      </c>
    </row>
    <row r="8345" ht="33.75" customHeight="1">
      <c r="A8345" s="7">
        <v>321.0</v>
      </c>
      <c r="B8345" s="9" t="s">
        <v>14640</v>
      </c>
      <c r="C8345" s="9" t="s">
        <v>483</v>
      </c>
      <c r="D8345" s="9" t="s">
        <v>75</v>
      </c>
      <c r="E8345" s="6" t="s">
        <v>8112</v>
      </c>
      <c r="F8345" s="9" t="s">
        <v>15462</v>
      </c>
    </row>
    <row r="8346" ht="33.75" customHeight="1">
      <c r="A8346" s="7">
        <v>321.0</v>
      </c>
      <c r="B8346" s="9" t="s">
        <v>14640</v>
      </c>
      <c r="C8346" s="9" t="s">
        <v>483</v>
      </c>
      <c r="D8346" s="9" t="s">
        <v>79</v>
      </c>
      <c r="E8346" s="6" t="s">
        <v>8112</v>
      </c>
      <c r="F8346" s="9" t="s">
        <v>15462</v>
      </c>
    </row>
    <row r="8347" ht="33.75" customHeight="1">
      <c r="A8347" s="7">
        <v>321.0</v>
      </c>
      <c r="B8347" s="9" t="s">
        <v>14640</v>
      </c>
      <c r="C8347" s="9" t="s">
        <v>483</v>
      </c>
      <c r="D8347" s="9" t="s">
        <v>81</v>
      </c>
      <c r="E8347" s="6" t="s">
        <v>8113</v>
      </c>
      <c r="F8347" s="9" t="s">
        <v>15462</v>
      </c>
    </row>
    <row r="8348" ht="33.75" customHeight="1">
      <c r="A8348" s="7">
        <v>321.0</v>
      </c>
      <c r="B8348" s="9" t="s">
        <v>14640</v>
      </c>
      <c r="C8348" s="9" t="s">
        <v>483</v>
      </c>
      <c r="D8348" s="9" t="s">
        <v>84</v>
      </c>
      <c r="E8348" s="6" t="s">
        <v>8113</v>
      </c>
      <c r="F8348" s="9" t="s">
        <v>15462</v>
      </c>
    </row>
    <row r="8349" ht="33.75" customHeight="1">
      <c r="A8349" s="7">
        <v>321.0</v>
      </c>
      <c r="B8349" s="9" t="s">
        <v>14640</v>
      </c>
      <c r="C8349" s="9" t="s">
        <v>483</v>
      </c>
      <c r="D8349" s="9" t="s">
        <v>87</v>
      </c>
      <c r="E8349" s="6" t="s">
        <v>8113</v>
      </c>
      <c r="F8349" s="9" t="s">
        <v>15462</v>
      </c>
    </row>
    <row r="8350" ht="33.75" customHeight="1">
      <c r="A8350" s="7">
        <v>321.0</v>
      </c>
      <c r="B8350" s="9" t="s">
        <v>14640</v>
      </c>
      <c r="C8350" s="9" t="s">
        <v>483</v>
      </c>
      <c r="D8350" s="9" t="s">
        <v>89</v>
      </c>
      <c r="E8350" s="6" t="s">
        <v>8115</v>
      </c>
      <c r="F8350" s="9" t="s">
        <v>15462</v>
      </c>
    </row>
    <row r="8351" ht="33.75" customHeight="1">
      <c r="A8351" s="7">
        <v>321.0</v>
      </c>
      <c r="B8351" s="9" t="s">
        <v>14640</v>
      </c>
      <c r="C8351" s="9" t="s">
        <v>483</v>
      </c>
      <c r="D8351" s="9" t="s">
        <v>91</v>
      </c>
      <c r="E8351" s="6" t="s">
        <v>8115</v>
      </c>
      <c r="F8351" s="9" t="s">
        <v>15462</v>
      </c>
    </row>
    <row r="8352" ht="33.75" customHeight="1">
      <c r="A8352" s="7">
        <v>321.0</v>
      </c>
      <c r="B8352" s="9" t="s">
        <v>14640</v>
      </c>
      <c r="C8352" s="9" t="s">
        <v>483</v>
      </c>
      <c r="D8352" s="9" t="s">
        <v>93</v>
      </c>
      <c r="E8352" s="6" t="s">
        <v>8113</v>
      </c>
      <c r="F8352" s="9" t="s">
        <v>15462</v>
      </c>
    </row>
    <row r="8353" ht="33.75" customHeight="1">
      <c r="A8353" s="7">
        <v>321.0</v>
      </c>
      <c r="B8353" s="9" t="s">
        <v>14640</v>
      </c>
      <c r="C8353" s="9" t="s">
        <v>483</v>
      </c>
      <c r="D8353" s="9" t="s">
        <v>95</v>
      </c>
      <c r="E8353" s="6" t="s">
        <v>8113</v>
      </c>
      <c r="F8353" s="9" t="s">
        <v>15462</v>
      </c>
    </row>
    <row r="8354" ht="33.75" customHeight="1">
      <c r="A8354" s="7">
        <v>321.0</v>
      </c>
      <c r="B8354" s="9" t="s">
        <v>14640</v>
      </c>
      <c r="C8354" s="9" t="s">
        <v>483</v>
      </c>
      <c r="D8354" s="9" t="s">
        <v>98</v>
      </c>
      <c r="E8354" s="6" t="s">
        <v>8117</v>
      </c>
      <c r="F8354" s="9" t="s">
        <v>15462</v>
      </c>
    </row>
    <row r="8355" ht="33.75" customHeight="1">
      <c r="A8355" s="7">
        <v>321.0</v>
      </c>
      <c r="B8355" s="9" t="s">
        <v>14640</v>
      </c>
      <c r="C8355" s="9" t="s">
        <v>483</v>
      </c>
      <c r="D8355" s="9" t="s">
        <v>99</v>
      </c>
      <c r="E8355" s="6" t="s">
        <v>8117</v>
      </c>
      <c r="F8355" s="9" t="s">
        <v>15462</v>
      </c>
    </row>
    <row r="8356" ht="33.75" customHeight="1">
      <c r="A8356" s="7">
        <v>321.0</v>
      </c>
      <c r="B8356" s="9" t="s">
        <v>14640</v>
      </c>
      <c r="C8356" s="9" t="s">
        <v>483</v>
      </c>
      <c r="D8356" s="9" t="s">
        <v>101</v>
      </c>
      <c r="E8356" s="6" t="s">
        <v>8117</v>
      </c>
      <c r="F8356" s="9" t="s">
        <v>15462</v>
      </c>
    </row>
    <row r="8357" ht="33.75" customHeight="1">
      <c r="A8357" s="7">
        <v>321.0</v>
      </c>
      <c r="B8357" s="9" t="s">
        <v>14640</v>
      </c>
      <c r="C8357" s="9" t="s">
        <v>483</v>
      </c>
      <c r="D8357" s="9" t="s">
        <v>105</v>
      </c>
      <c r="E8357" s="6" t="s">
        <v>8113</v>
      </c>
      <c r="F8357" s="9" t="s">
        <v>15462</v>
      </c>
    </row>
    <row r="8358" ht="33.75" customHeight="1">
      <c r="A8358" s="7">
        <v>321.0</v>
      </c>
      <c r="B8358" s="9" t="s">
        <v>14640</v>
      </c>
      <c r="C8358" s="9" t="s">
        <v>483</v>
      </c>
      <c r="D8358" s="9" t="s">
        <v>107</v>
      </c>
      <c r="E8358" s="6" t="s">
        <v>8119</v>
      </c>
      <c r="F8358" s="9" t="s">
        <v>15462</v>
      </c>
    </row>
    <row r="8359" ht="33.75" customHeight="1">
      <c r="A8359" s="7">
        <v>321.0</v>
      </c>
      <c r="B8359" s="9" t="s">
        <v>14640</v>
      </c>
      <c r="C8359" s="9" t="s">
        <v>483</v>
      </c>
      <c r="D8359" s="9" t="s">
        <v>109</v>
      </c>
      <c r="E8359" s="6" t="s">
        <v>8121</v>
      </c>
      <c r="F8359" s="9" t="s">
        <v>15462</v>
      </c>
    </row>
    <row r="8360" ht="33.75" customHeight="1">
      <c r="A8360" s="7">
        <v>321.0</v>
      </c>
      <c r="B8360" s="9" t="s">
        <v>14640</v>
      </c>
      <c r="C8360" s="9" t="s">
        <v>483</v>
      </c>
      <c r="D8360" s="9" t="s">
        <v>637</v>
      </c>
      <c r="E8360" s="6" t="s">
        <v>8123</v>
      </c>
      <c r="F8360" s="9" t="s">
        <v>15462</v>
      </c>
    </row>
    <row r="8361" ht="33.75" customHeight="1">
      <c r="A8361" s="7">
        <v>321.0</v>
      </c>
      <c r="B8361" s="9" t="s">
        <v>14640</v>
      </c>
      <c r="C8361" s="9" t="s">
        <v>483</v>
      </c>
      <c r="D8361" s="9" t="s">
        <v>642</v>
      </c>
      <c r="E8361" s="6" t="s">
        <v>8125</v>
      </c>
      <c r="F8361" s="9" t="s">
        <v>15462</v>
      </c>
    </row>
    <row r="8362" ht="33.75" customHeight="1">
      <c r="A8362" s="7">
        <v>321.0</v>
      </c>
      <c r="B8362" s="9" t="s">
        <v>14640</v>
      </c>
      <c r="C8362" s="9" t="s">
        <v>483</v>
      </c>
      <c r="D8362" s="9" t="s">
        <v>647</v>
      </c>
      <c r="E8362" s="6" t="s">
        <v>8127</v>
      </c>
      <c r="F8362" s="9" t="s">
        <v>15462</v>
      </c>
    </row>
    <row r="8363" ht="33.75" customHeight="1">
      <c r="A8363" s="7">
        <v>321.0</v>
      </c>
      <c r="B8363" s="9" t="s">
        <v>14640</v>
      </c>
      <c r="C8363" s="9" t="s">
        <v>483</v>
      </c>
      <c r="D8363" s="9" t="s">
        <v>652</v>
      </c>
      <c r="E8363" s="6" t="s">
        <v>8129</v>
      </c>
      <c r="F8363" s="9" t="s">
        <v>15462</v>
      </c>
    </row>
    <row r="8364" ht="33.75" customHeight="1">
      <c r="A8364" s="7">
        <v>321.0</v>
      </c>
      <c r="B8364" s="9" t="s">
        <v>14640</v>
      </c>
      <c r="C8364" s="9" t="s">
        <v>483</v>
      </c>
      <c r="D8364" s="9" t="s">
        <v>114</v>
      </c>
      <c r="E8364" s="6" t="s">
        <v>8117</v>
      </c>
      <c r="F8364" s="9" t="s">
        <v>15462</v>
      </c>
    </row>
    <row r="8365" ht="33.75" customHeight="1">
      <c r="A8365" s="7">
        <v>321.0</v>
      </c>
      <c r="B8365" s="9" t="s">
        <v>14640</v>
      </c>
      <c r="C8365" s="9" t="s">
        <v>483</v>
      </c>
      <c r="D8365" s="9" t="s">
        <v>117</v>
      </c>
      <c r="E8365" s="6" t="s">
        <v>8125</v>
      </c>
      <c r="F8365" s="9" t="s">
        <v>15462</v>
      </c>
    </row>
    <row r="8366" ht="33.75" customHeight="1">
      <c r="A8366" s="7">
        <v>322.0</v>
      </c>
      <c r="B8366" s="9" t="s">
        <v>14656</v>
      </c>
      <c r="C8366" s="9" t="s">
        <v>485</v>
      </c>
      <c r="D8366" s="9" t="s">
        <v>67</v>
      </c>
      <c r="E8366" s="6" t="s">
        <v>8131</v>
      </c>
      <c r="F8366" s="9" t="s">
        <v>15484</v>
      </c>
      <c r="G8366" t="inlineStr" s="6">
        <is>
          <t xml:space="preserve">NUMEL is extremely dull witted - it doesn’t notice being hit. However, it can’t stand hunger for even a second. This POKéMON’s body is a seething cauldron of boiling magma. NUMEL stores magma of almost 2,200 degrees F within its body. If it gets wet, the magma cools and hardens. In that event, the POKéMON’s body grows heavy and its movements become sluggish. A NUMEL stores boiling magma in the hump on its back. It is a hardy POKéMON that can transport a 220-pound load. It has served humans at work since long ago. Magma of almost 2,200 degrees Fahrenheit courses through its body. When it grows cold, the magma hardens and slows it. Its humped back stores intensely hot magma. In rain, the magma cools, slowing its movement. The flaming magma it stores in the hump on its back is the source of its tremendous power. The magma in its body reaches 2,200 degrees F. Its hump gets smaller when it uses Fire-type moves. The magma in its body reaches 2,200 degrees Fahrenheit. Numel is extremely dull witted—it doesn’t notice being hit. Numel stores magma of almost 2,200 degrees Fahrenheit within its body.</t>
        </is>
      </c>
    </row>
    <row r="8367" ht="33.75" customHeight="1">
      <c r="A8367" s="7">
        <v>322.0</v>
      </c>
      <c r="B8367" s="9" t="s">
        <v>14656</v>
      </c>
      <c r="C8367" s="9" t="s">
        <v>485</v>
      </c>
      <c r="D8367" s="9" t="s">
        <v>71</v>
      </c>
      <c r="E8367" s="6" t="s">
        <v>8134</v>
      </c>
      <c r="F8367" s="9" t="s">
        <v>15484</v>
      </c>
    </row>
    <row r="8368" ht="33.75" customHeight="1">
      <c r="A8368" s="7">
        <v>322.0</v>
      </c>
      <c r="B8368" s="9" t="s">
        <v>14656</v>
      </c>
      <c r="C8368" s="9" t="s">
        <v>485</v>
      </c>
      <c r="D8368" s="9" t="s">
        <v>73</v>
      </c>
      <c r="E8368" s="6" t="s">
        <v>8136</v>
      </c>
      <c r="F8368" s="9" t="s">
        <v>15484</v>
      </c>
    </row>
    <row r="8369" ht="33.75" customHeight="1">
      <c r="A8369" s="7">
        <v>322.0</v>
      </c>
      <c r="B8369" s="9" t="s">
        <v>14656</v>
      </c>
      <c r="C8369" s="9" t="s">
        <v>485</v>
      </c>
      <c r="D8369" s="9" t="s">
        <v>75</v>
      </c>
      <c r="E8369" s="6" t="s">
        <v>8137</v>
      </c>
      <c r="F8369" s="9" t="s">
        <v>15484</v>
      </c>
    </row>
    <row r="8370" ht="33.75" customHeight="1">
      <c r="A8370" s="7">
        <v>322.0</v>
      </c>
      <c r="B8370" s="9" t="s">
        <v>14656</v>
      </c>
      <c r="C8370" s="9" t="s">
        <v>485</v>
      </c>
      <c r="D8370" s="9" t="s">
        <v>79</v>
      </c>
      <c r="E8370" s="6" t="s">
        <v>8137</v>
      </c>
      <c r="F8370" s="9" t="s">
        <v>15484</v>
      </c>
    </row>
    <row r="8371" ht="33.75" customHeight="1">
      <c r="A8371" s="7">
        <v>322.0</v>
      </c>
      <c r="B8371" s="9" t="s">
        <v>14656</v>
      </c>
      <c r="C8371" s="9" t="s">
        <v>485</v>
      </c>
      <c r="D8371" s="9" t="s">
        <v>81</v>
      </c>
      <c r="E8371" s="6" t="s">
        <v>8139</v>
      </c>
      <c r="F8371" s="9" t="s">
        <v>15484</v>
      </c>
    </row>
    <row r="8372" ht="33.75" customHeight="1">
      <c r="A8372" s="7">
        <v>322.0</v>
      </c>
      <c r="B8372" s="9" t="s">
        <v>14656</v>
      </c>
      <c r="C8372" s="9" t="s">
        <v>485</v>
      </c>
      <c r="D8372" s="9" t="s">
        <v>84</v>
      </c>
      <c r="E8372" s="6" t="s">
        <v>8139</v>
      </c>
      <c r="F8372" s="9" t="s">
        <v>15484</v>
      </c>
    </row>
    <row r="8373" ht="33.75" customHeight="1">
      <c r="A8373" s="7">
        <v>322.0</v>
      </c>
      <c r="B8373" s="9" t="s">
        <v>14656</v>
      </c>
      <c r="C8373" s="9" t="s">
        <v>485</v>
      </c>
      <c r="D8373" s="9" t="s">
        <v>87</v>
      </c>
      <c r="E8373" s="6" t="s">
        <v>8139</v>
      </c>
      <c r="F8373" s="9" t="s">
        <v>15484</v>
      </c>
    </row>
    <row r="8374" ht="33.75" customHeight="1">
      <c r="A8374" s="7">
        <v>322.0</v>
      </c>
      <c r="B8374" s="9" t="s">
        <v>14656</v>
      </c>
      <c r="C8374" s="9" t="s">
        <v>485</v>
      </c>
      <c r="D8374" s="9" t="s">
        <v>89</v>
      </c>
      <c r="E8374" s="6" t="s">
        <v>8140</v>
      </c>
      <c r="F8374" s="9" t="s">
        <v>15484</v>
      </c>
    </row>
    <row r="8375" ht="33.75" customHeight="1">
      <c r="A8375" s="7">
        <v>322.0</v>
      </c>
      <c r="B8375" s="9" t="s">
        <v>14656</v>
      </c>
      <c r="C8375" s="9" t="s">
        <v>485</v>
      </c>
      <c r="D8375" s="9" t="s">
        <v>91</v>
      </c>
      <c r="E8375" s="6" t="s">
        <v>8140</v>
      </c>
      <c r="F8375" s="9" t="s">
        <v>15484</v>
      </c>
    </row>
    <row r="8376" ht="33.75" customHeight="1">
      <c r="A8376" s="7">
        <v>322.0</v>
      </c>
      <c r="B8376" s="9" t="s">
        <v>14656</v>
      </c>
      <c r="C8376" s="9" t="s">
        <v>485</v>
      </c>
      <c r="D8376" s="9" t="s">
        <v>93</v>
      </c>
      <c r="E8376" s="6" t="s">
        <v>8139</v>
      </c>
      <c r="F8376" s="9" t="s">
        <v>15484</v>
      </c>
    </row>
    <row r="8377" ht="33.75" customHeight="1">
      <c r="A8377" s="7">
        <v>322.0</v>
      </c>
      <c r="B8377" s="9" t="s">
        <v>14656</v>
      </c>
      <c r="C8377" s="9" t="s">
        <v>485</v>
      </c>
      <c r="D8377" s="9" t="s">
        <v>95</v>
      </c>
      <c r="E8377" s="6" t="s">
        <v>8139</v>
      </c>
      <c r="F8377" s="9" t="s">
        <v>15484</v>
      </c>
    </row>
    <row r="8378" ht="33.75" customHeight="1">
      <c r="A8378" s="7">
        <v>322.0</v>
      </c>
      <c r="B8378" s="9" t="s">
        <v>14656</v>
      </c>
      <c r="C8378" s="9" t="s">
        <v>485</v>
      </c>
      <c r="D8378" s="9" t="s">
        <v>98</v>
      </c>
      <c r="E8378" s="6" t="s">
        <v>8142</v>
      </c>
      <c r="F8378" s="9" t="s">
        <v>15484</v>
      </c>
    </row>
    <row r="8379" ht="33.75" customHeight="1">
      <c r="A8379" s="7">
        <v>322.0</v>
      </c>
      <c r="B8379" s="9" t="s">
        <v>14656</v>
      </c>
      <c r="C8379" s="9" t="s">
        <v>485</v>
      </c>
      <c r="D8379" s="9" t="s">
        <v>99</v>
      </c>
      <c r="E8379" s="6" t="s">
        <v>8142</v>
      </c>
      <c r="F8379" s="9" t="s">
        <v>15484</v>
      </c>
    </row>
    <row r="8380" ht="33.75" customHeight="1">
      <c r="A8380" s="7">
        <v>322.0</v>
      </c>
      <c r="B8380" s="9" t="s">
        <v>14656</v>
      </c>
      <c r="C8380" s="9" t="s">
        <v>485</v>
      </c>
      <c r="D8380" s="9" t="s">
        <v>101</v>
      </c>
      <c r="E8380" s="6" t="s">
        <v>8139</v>
      </c>
      <c r="F8380" s="9" t="s">
        <v>15484</v>
      </c>
    </row>
    <row r="8381" ht="33.75" customHeight="1">
      <c r="A8381" s="7">
        <v>322.0</v>
      </c>
      <c r="B8381" s="9" t="s">
        <v>14656</v>
      </c>
      <c r="C8381" s="9" t="s">
        <v>485</v>
      </c>
      <c r="D8381" s="9" t="s">
        <v>105</v>
      </c>
      <c r="E8381" s="6" t="s">
        <v>8144</v>
      </c>
      <c r="F8381" s="9" t="s">
        <v>15484</v>
      </c>
    </row>
    <row r="8382" ht="33.75" customHeight="1">
      <c r="A8382" s="7">
        <v>322.0</v>
      </c>
      <c r="B8382" s="9" t="s">
        <v>14656</v>
      </c>
      <c r="C8382" s="9" t="s">
        <v>485</v>
      </c>
      <c r="D8382" s="9" t="s">
        <v>107</v>
      </c>
      <c r="E8382" s="6" t="s">
        <v>8146</v>
      </c>
      <c r="F8382" s="9" t="s">
        <v>15484</v>
      </c>
    </row>
    <row r="8383" ht="33.75" customHeight="1">
      <c r="A8383" s="7">
        <v>322.0</v>
      </c>
      <c r="B8383" s="9" t="s">
        <v>14656</v>
      </c>
      <c r="C8383" s="9" t="s">
        <v>485</v>
      </c>
      <c r="D8383" s="9" t="s">
        <v>109</v>
      </c>
      <c r="E8383" s="6" t="s">
        <v>8148</v>
      </c>
      <c r="F8383" s="9" t="s">
        <v>15484</v>
      </c>
    </row>
    <row r="8384" ht="33.75" customHeight="1">
      <c r="A8384" s="7">
        <v>323.0</v>
      </c>
      <c r="B8384" s="9" t="s">
        <v>14669</v>
      </c>
      <c r="C8384" s="9" t="s">
        <v>487</v>
      </c>
      <c r="D8384" s="9" t="s">
        <v>67</v>
      </c>
      <c r="E8384" s="6" t="s">
        <v>8151</v>
      </c>
      <c r="F8384" s="9" t="s">
        <v>15498</v>
      </c>
      <c r="G8384" t="inlineStr" s="6">
        <is>
          <t xml:space="preserve">CAMERUPT has a volcano inside Camerupt's body. Magma of 18,000 degrees F courses through its body. Occasionally, the humps on this POKéMON’s back erupt, spewing the superheated magma. The humps on CAMERUPT’s back are formed by a transformation of its bones. They sometimes blast out molten magma. This POKéMON apparently erupts often when it is enraged. A POKéMON that lives in the crater of a volcano. Every 10 years, the volcanoes on its back erupt violently. Research is under way on the cause of eruption. If angered, the humps on its back erupt in a shower of molten lava. It lives in the craters of volcanoes. It has volcanoes on its back. If magma builds up in its body, it shudders, then erupts violently. It lives in the crater of a volcano. It is well known that the humps on its back erupt every 10 years. The volcanoes on its back have a major eruption every 10 years--or whenever it becomes really angry. Magma of 18,000 degrees Fahrenheit courses through its body.</t>
        </is>
      </c>
    </row>
    <row r="8385" ht="33.75" customHeight="1">
      <c r="A8385" s="7">
        <v>323.0</v>
      </c>
      <c r="B8385" s="9" t="s">
        <v>14669</v>
      </c>
      <c r="C8385" s="9" t="s">
        <v>487</v>
      </c>
      <c r="D8385" s="9" t="s">
        <v>71</v>
      </c>
      <c r="E8385" s="6" t="s">
        <v>8154</v>
      </c>
      <c r="F8385" s="9" t="s">
        <v>15498</v>
      </c>
    </row>
    <row r="8386" ht="33.75" customHeight="1">
      <c r="A8386" s="7">
        <v>323.0</v>
      </c>
      <c r="B8386" s="9" t="s">
        <v>14669</v>
      </c>
      <c r="C8386" s="9" t="s">
        <v>487</v>
      </c>
      <c r="D8386" s="9" t="s">
        <v>73</v>
      </c>
      <c r="E8386" s="6" t="s">
        <v>8155</v>
      </c>
      <c r="F8386" s="9" t="s">
        <v>15498</v>
      </c>
    </row>
    <row r="8387" ht="33.75" customHeight="1">
      <c r="A8387" s="7">
        <v>323.0</v>
      </c>
      <c r="B8387" s="9" t="s">
        <v>14669</v>
      </c>
      <c r="C8387" s="9" t="s">
        <v>487</v>
      </c>
      <c r="D8387" s="9" t="s">
        <v>75</v>
      </c>
      <c r="E8387" s="6" t="s">
        <v>8156</v>
      </c>
      <c r="F8387" s="9" t="s">
        <v>15498</v>
      </c>
    </row>
    <row r="8388" ht="33.75" customHeight="1">
      <c r="A8388" s="7">
        <v>323.0</v>
      </c>
      <c r="B8388" s="9" t="s">
        <v>14669</v>
      </c>
      <c r="C8388" s="9" t="s">
        <v>487</v>
      </c>
      <c r="D8388" s="9" t="s">
        <v>79</v>
      </c>
      <c r="E8388" s="6" t="s">
        <v>8156</v>
      </c>
      <c r="F8388" s="9" t="s">
        <v>15498</v>
      </c>
    </row>
    <row r="8389" ht="33.75" customHeight="1">
      <c r="A8389" s="7">
        <v>323.0</v>
      </c>
      <c r="B8389" s="9" t="s">
        <v>14669</v>
      </c>
      <c r="C8389" s="9" t="s">
        <v>487</v>
      </c>
      <c r="D8389" s="9" t="s">
        <v>81</v>
      </c>
      <c r="E8389" s="6" t="s">
        <v>8158</v>
      </c>
      <c r="F8389" s="9" t="s">
        <v>15498</v>
      </c>
    </row>
    <row r="8390" ht="33.75" customHeight="1">
      <c r="A8390" s="7">
        <v>323.0</v>
      </c>
      <c r="B8390" s="9" t="s">
        <v>14669</v>
      </c>
      <c r="C8390" s="9" t="s">
        <v>487</v>
      </c>
      <c r="D8390" s="9" t="s">
        <v>84</v>
      </c>
      <c r="E8390" s="6" t="s">
        <v>8158</v>
      </c>
      <c r="F8390" s="9" t="s">
        <v>15498</v>
      </c>
    </row>
    <row r="8391" ht="33.75" customHeight="1">
      <c r="A8391" s="7">
        <v>323.0</v>
      </c>
      <c r="B8391" s="9" t="s">
        <v>14669</v>
      </c>
      <c r="C8391" s="9" t="s">
        <v>487</v>
      </c>
      <c r="D8391" s="9" t="s">
        <v>87</v>
      </c>
      <c r="E8391" s="6" t="s">
        <v>8158</v>
      </c>
      <c r="F8391" s="9" t="s">
        <v>15498</v>
      </c>
    </row>
    <row r="8392" ht="33.75" customHeight="1">
      <c r="A8392" s="7">
        <v>323.0</v>
      </c>
      <c r="B8392" s="9" t="s">
        <v>14669</v>
      </c>
      <c r="C8392" s="9" t="s">
        <v>487</v>
      </c>
      <c r="D8392" s="9" t="s">
        <v>89</v>
      </c>
      <c r="E8392" s="6" t="s">
        <v>8161</v>
      </c>
      <c r="F8392" s="9" t="s">
        <v>15498</v>
      </c>
    </row>
    <row r="8393" ht="33.75" customHeight="1">
      <c r="A8393" s="7">
        <v>323.0</v>
      </c>
      <c r="B8393" s="9" t="s">
        <v>14669</v>
      </c>
      <c r="C8393" s="9" t="s">
        <v>487</v>
      </c>
      <c r="D8393" s="9" t="s">
        <v>91</v>
      </c>
      <c r="E8393" s="6" t="s">
        <v>8161</v>
      </c>
      <c r="F8393" s="9" t="s">
        <v>15498</v>
      </c>
    </row>
    <row r="8394" ht="33.75" customHeight="1">
      <c r="A8394" s="7">
        <v>323.0</v>
      </c>
      <c r="B8394" s="9" t="s">
        <v>14669</v>
      </c>
      <c r="C8394" s="9" t="s">
        <v>487</v>
      </c>
      <c r="D8394" s="9" t="s">
        <v>93</v>
      </c>
      <c r="E8394" s="6" t="s">
        <v>8158</v>
      </c>
      <c r="F8394" s="9" t="s">
        <v>15498</v>
      </c>
    </row>
    <row r="8395" ht="33.75" customHeight="1">
      <c r="A8395" s="7">
        <v>323.0</v>
      </c>
      <c r="B8395" s="9" t="s">
        <v>14669</v>
      </c>
      <c r="C8395" s="9" t="s">
        <v>487</v>
      </c>
      <c r="D8395" s="9" t="s">
        <v>95</v>
      </c>
      <c r="E8395" s="6" t="s">
        <v>8158</v>
      </c>
      <c r="F8395" s="9" t="s">
        <v>15498</v>
      </c>
    </row>
    <row r="8396" ht="33.75" customHeight="1">
      <c r="A8396" s="7">
        <v>323.0</v>
      </c>
      <c r="B8396" s="9" t="s">
        <v>14669</v>
      </c>
      <c r="C8396" s="9" t="s">
        <v>487</v>
      </c>
      <c r="D8396" s="9" t="s">
        <v>98</v>
      </c>
      <c r="E8396" s="6" t="s">
        <v>8164</v>
      </c>
      <c r="F8396" s="9" t="s">
        <v>15498</v>
      </c>
    </row>
    <row r="8397" ht="33.75" customHeight="1">
      <c r="A8397" s="7">
        <v>323.0</v>
      </c>
      <c r="B8397" s="9" t="s">
        <v>14669</v>
      </c>
      <c r="C8397" s="9" t="s">
        <v>487</v>
      </c>
      <c r="D8397" s="9" t="s">
        <v>99</v>
      </c>
      <c r="E8397" s="6" t="s">
        <v>8164</v>
      </c>
      <c r="F8397" s="9" t="s">
        <v>15498</v>
      </c>
    </row>
    <row r="8398" ht="33.75" customHeight="1">
      <c r="A8398" s="7">
        <v>323.0</v>
      </c>
      <c r="B8398" s="9" t="s">
        <v>14669</v>
      </c>
      <c r="C8398" s="9" t="s">
        <v>487</v>
      </c>
      <c r="D8398" s="9" t="s">
        <v>101</v>
      </c>
      <c r="E8398" s="6" t="s">
        <v>8164</v>
      </c>
      <c r="F8398" s="9" t="s">
        <v>15498</v>
      </c>
    </row>
    <row r="8399" ht="33.75" customHeight="1">
      <c r="A8399" s="7">
        <v>323.0</v>
      </c>
      <c r="B8399" s="9" t="s">
        <v>14669</v>
      </c>
      <c r="C8399" s="9" t="s">
        <v>487</v>
      </c>
      <c r="D8399" s="9" t="s">
        <v>105</v>
      </c>
      <c r="E8399" s="6" t="s">
        <v>8156</v>
      </c>
      <c r="F8399" s="9" t="s">
        <v>15498</v>
      </c>
    </row>
    <row r="8400" ht="33.75" customHeight="1">
      <c r="A8400" s="7">
        <v>323.0</v>
      </c>
      <c r="B8400" s="9" t="s">
        <v>14669</v>
      </c>
      <c r="C8400" s="9" t="s">
        <v>487</v>
      </c>
      <c r="D8400" s="9" t="s">
        <v>107</v>
      </c>
      <c r="E8400" s="6" t="s">
        <v>8166</v>
      </c>
      <c r="F8400" s="9" t="s">
        <v>15498</v>
      </c>
    </row>
    <row r="8401" ht="33.75" customHeight="1">
      <c r="A8401" s="7">
        <v>323.0</v>
      </c>
      <c r="B8401" s="9" t="s">
        <v>14669</v>
      </c>
      <c r="C8401" s="9" t="s">
        <v>487</v>
      </c>
      <c r="D8401" s="9" t="s">
        <v>109</v>
      </c>
      <c r="E8401" s="6" t="s">
        <v>8169</v>
      </c>
      <c r="F8401" s="9" t="s">
        <v>15498</v>
      </c>
    </row>
    <row r="8402" ht="33.75" customHeight="1">
      <c r="A8402" s="7">
        <v>324.0</v>
      </c>
      <c r="B8402" s="9" t="s">
        <v>14681</v>
      </c>
      <c r="C8402" s="9" t="s">
        <v>489</v>
      </c>
      <c r="D8402" s="9" t="s">
        <v>67</v>
      </c>
      <c r="E8402" s="6" t="s">
        <v>8171</v>
      </c>
      <c r="F8402" s="9" t="s">
        <v>15509</v>
      </c>
      <c r="G8402" t="inlineStr" s="6">
        <is>
          <t xml:space="preserve">TORKOAL digs through mountains in search of coal. If it finds some, it fills hollow spaces on its shell with the coal and burns it. If it is attacked, this POKéMON spouts thick black smoke to beat a retreat. TORKOAL generates energy by burning coal. It grows weaker as the fire dies down. When it is preparing for battle, this POKéMON burns more coal. It battles using energy it gets from burning coal. When loosing smoke from its nostrils, it lets off a sound that is similar to a locomotive’s horn. It burns coal inside its shell. If it is attacked, it belches thick, black smoke and flees. It burns coal inside its shell for energy. It blows out black soot if it is endangered. You find abandoned coal mines full of them. They dig tirelessly in search of coal. Coal is the source of Torkoal’s energy. Large amounts of coal can be found in the mountains where they live. If the fire burning within its shell goes out, it will die. Those who wish to raise one in their home must always keep something flammable at hand. You can tell how it’s feeling by the smoke spouting from its shell. Tremendous velocity is a sign of good health. It burns coal to produce energy. When it has burned through all of its coal, it becomes unable to move.</t>
        </is>
      </c>
    </row>
    <row r="8403" ht="33.75" customHeight="1">
      <c r="A8403" s="7">
        <v>324.0</v>
      </c>
      <c r="B8403" s="9" t="s">
        <v>14681</v>
      </c>
      <c r="C8403" s="9" t="s">
        <v>489</v>
      </c>
      <c r="D8403" s="9" t="s">
        <v>71</v>
      </c>
      <c r="E8403" s="6" t="s">
        <v>8173</v>
      </c>
      <c r="F8403" s="9" t="s">
        <v>15509</v>
      </c>
    </row>
    <row r="8404" ht="33.75" customHeight="1">
      <c r="A8404" s="7">
        <v>324.0</v>
      </c>
      <c r="B8404" s="9" t="s">
        <v>14681</v>
      </c>
      <c r="C8404" s="9" t="s">
        <v>489</v>
      </c>
      <c r="D8404" s="9" t="s">
        <v>73</v>
      </c>
      <c r="E8404" s="6" t="s">
        <v>8176</v>
      </c>
      <c r="F8404" s="9" t="s">
        <v>15509</v>
      </c>
    </row>
    <row r="8405" ht="33.75" customHeight="1">
      <c r="A8405" s="7">
        <v>324.0</v>
      </c>
      <c r="B8405" s="9" t="s">
        <v>14681</v>
      </c>
      <c r="C8405" s="9" t="s">
        <v>489</v>
      </c>
      <c r="D8405" s="9" t="s">
        <v>75</v>
      </c>
      <c r="E8405" s="6" t="s">
        <v>8178</v>
      </c>
      <c r="F8405" s="9" t="s">
        <v>15509</v>
      </c>
    </row>
    <row r="8406" ht="33.75" customHeight="1">
      <c r="A8406" s="7">
        <v>324.0</v>
      </c>
      <c r="B8406" s="9" t="s">
        <v>14681</v>
      </c>
      <c r="C8406" s="9" t="s">
        <v>489</v>
      </c>
      <c r="D8406" s="9" t="s">
        <v>79</v>
      </c>
      <c r="E8406" s="6" t="s">
        <v>8178</v>
      </c>
      <c r="F8406" s="9" t="s">
        <v>15509</v>
      </c>
    </row>
    <row r="8407" ht="33.75" customHeight="1">
      <c r="A8407" s="7">
        <v>324.0</v>
      </c>
      <c r="B8407" s="9" t="s">
        <v>14681</v>
      </c>
      <c r="C8407" s="9" t="s">
        <v>489</v>
      </c>
      <c r="D8407" s="9" t="s">
        <v>81</v>
      </c>
      <c r="E8407" s="6" t="s">
        <v>8179</v>
      </c>
      <c r="F8407" s="9" t="s">
        <v>15509</v>
      </c>
    </row>
    <row r="8408" ht="33.75" customHeight="1">
      <c r="A8408" s="7">
        <v>324.0</v>
      </c>
      <c r="B8408" s="9" t="s">
        <v>14681</v>
      </c>
      <c r="C8408" s="9" t="s">
        <v>489</v>
      </c>
      <c r="D8408" s="9" t="s">
        <v>84</v>
      </c>
      <c r="E8408" s="6" t="s">
        <v>8179</v>
      </c>
      <c r="F8408" s="9" t="s">
        <v>15509</v>
      </c>
    </row>
    <row r="8409" ht="33.75" customHeight="1">
      <c r="A8409" s="7">
        <v>324.0</v>
      </c>
      <c r="B8409" s="9" t="s">
        <v>14681</v>
      </c>
      <c r="C8409" s="9" t="s">
        <v>489</v>
      </c>
      <c r="D8409" s="9" t="s">
        <v>87</v>
      </c>
      <c r="E8409" s="6" t="s">
        <v>8179</v>
      </c>
      <c r="F8409" s="9" t="s">
        <v>15509</v>
      </c>
    </row>
    <row r="8410" ht="33.75" customHeight="1">
      <c r="A8410" s="7">
        <v>324.0</v>
      </c>
      <c r="B8410" s="9" t="s">
        <v>14681</v>
      </c>
      <c r="C8410" s="9" t="s">
        <v>489</v>
      </c>
      <c r="D8410" s="9" t="s">
        <v>89</v>
      </c>
      <c r="E8410" s="6" t="s">
        <v>8181</v>
      </c>
      <c r="F8410" s="9" t="s">
        <v>15509</v>
      </c>
    </row>
    <row r="8411" ht="33.75" customHeight="1">
      <c r="A8411" s="7">
        <v>324.0</v>
      </c>
      <c r="B8411" s="9" t="s">
        <v>14681</v>
      </c>
      <c r="C8411" s="9" t="s">
        <v>489</v>
      </c>
      <c r="D8411" s="9" t="s">
        <v>91</v>
      </c>
      <c r="E8411" s="6" t="s">
        <v>8181</v>
      </c>
      <c r="F8411" s="9" t="s">
        <v>15509</v>
      </c>
    </row>
    <row r="8412" ht="33.75" customHeight="1">
      <c r="A8412" s="7">
        <v>324.0</v>
      </c>
      <c r="B8412" s="9" t="s">
        <v>14681</v>
      </c>
      <c r="C8412" s="9" t="s">
        <v>489</v>
      </c>
      <c r="D8412" s="9" t="s">
        <v>93</v>
      </c>
      <c r="E8412" s="6" t="s">
        <v>8179</v>
      </c>
      <c r="F8412" s="9" t="s">
        <v>15509</v>
      </c>
    </row>
    <row r="8413" ht="33.75" customHeight="1">
      <c r="A8413" s="7">
        <v>324.0</v>
      </c>
      <c r="B8413" s="9" t="s">
        <v>14681</v>
      </c>
      <c r="C8413" s="9" t="s">
        <v>489</v>
      </c>
      <c r="D8413" s="9" t="s">
        <v>95</v>
      </c>
      <c r="E8413" s="6" t="s">
        <v>8179</v>
      </c>
      <c r="F8413" s="9" t="s">
        <v>15509</v>
      </c>
    </row>
    <row r="8414" ht="33.75" customHeight="1">
      <c r="A8414" s="7">
        <v>324.0</v>
      </c>
      <c r="B8414" s="9" t="s">
        <v>14681</v>
      </c>
      <c r="C8414" s="9" t="s">
        <v>489</v>
      </c>
      <c r="D8414" s="9" t="s">
        <v>98</v>
      </c>
      <c r="E8414" s="6" t="s">
        <v>8179</v>
      </c>
      <c r="F8414" s="9" t="s">
        <v>15509</v>
      </c>
    </row>
    <row r="8415" ht="33.75" customHeight="1">
      <c r="A8415" s="7">
        <v>324.0</v>
      </c>
      <c r="B8415" s="9" t="s">
        <v>14681</v>
      </c>
      <c r="C8415" s="9" t="s">
        <v>489</v>
      </c>
      <c r="D8415" s="9" t="s">
        <v>99</v>
      </c>
      <c r="E8415" s="6" t="s">
        <v>8179</v>
      </c>
      <c r="F8415" s="9" t="s">
        <v>15509</v>
      </c>
    </row>
    <row r="8416" ht="33.75" customHeight="1">
      <c r="A8416" s="7">
        <v>324.0</v>
      </c>
      <c r="B8416" s="9" t="s">
        <v>14681</v>
      </c>
      <c r="C8416" s="9" t="s">
        <v>489</v>
      </c>
      <c r="D8416" s="9" t="s">
        <v>101</v>
      </c>
      <c r="E8416" s="6" t="s">
        <v>8181</v>
      </c>
      <c r="F8416" s="9" t="s">
        <v>15509</v>
      </c>
    </row>
    <row r="8417" ht="33.75" customHeight="1">
      <c r="A8417" s="7">
        <v>324.0</v>
      </c>
      <c r="B8417" s="9" t="s">
        <v>14681</v>
      </c>
      <c r="C8417" s="9" t="s">
        <v>489</v>
      </c>
      <c r="D8417" s="9" t="s">
        <v>105</v>
      </c>
      <c r="E8417" s="6" t="s">
        <v>8179</v>
      </c>
      <c r="F8417" s="9" t="s">
        <v>15509</v>
      </c>
    </row>
    <row r="8418" ht="33.75" customHeight="1">
      <c r="A8418" s="7">
        <v>324.0</v>
      </c>
      <c r="B8418" s="9" t="s">
        <v>14681</v>
      </c>
      <c r="C8418" s="9" t="s">
        <v>489</v>
      </c>
      <c r="D8418" s="9" t="s">
        <v>107</v>
      </c>
      <c r="E8418" s="6" t="s">
        <v>8183</v>
      </c>
      <c r="F8418" s="9" t="s">
        <v>15509</v>
      </c>
    </row>
    <row r="8419" ht="33.75" customHeight="1">
      <c r="A8419" s="7">
        <v>324.0</v>
      </c>
      <c r="B8419" s="9" t="s">
        <v>14681</v>
      </c>
      <c r="C8419" s="9" t="s">
        <v>489</v>
      </c>
      <c r="D8419" s="9" t="s">
        <v>109</v>
      </c>
      <c r="E8419" s="6" t="s">
        <v>8185</v>
      </c>
      <c r="F8419" s="9" t="s">
        <v>15509</v>
      </c>
    </row>
    <row r="8420" ht="33.75" customHeight="1">
      <c r="A8420" s="7">
        <v>324.0</v>
      </c>
      <c r="B8420" s="9" t="s">
        <v>14681</v>
      </c>
      <c r="C8420" s="9" t="s">
        <v>489</v>
      </c>
      <c r="D8420" s="9" t="s">
        <v>637</v>
      </c>
      <c r="E8420" s="6" t="s">
        <v>8186</v>
      </c>
      <c r="F8420" s="9" t="s">
        <v>15509</v>
      </c>
    </row>
    <row r="8421" ht="33.75" customHeight="1">
      <c r="A8421" s="7">
        <v>324.0</v>
      </c>
      <c r="B8421" s="9" t="s">
        <v>14681</v>
      </c>
      <c r="C8421" s="9" t="s">
        <v>489</v>
      </c>
      <c r="D8421" s="9" t="s">
        <v>642</v>
      </c>
      <c r="E8421" s="6" t="s">
        <v>8187</v>
      </c>
      <c r="F8421" s="9" t="s">
        <v>15509</v>
      </c>
    </row>
    <row r="8422" ht="33.75" customHeight="1">
      <c r="A8422" s="7">
        <v>324.0</v>
      </c>
      <c r="B8422" s="9" t="s">
        <v>14681</v>
      </c>
      <c r="C8422" s="9" t="s">
        <v>489</v>
      </c>
      <c r="D8422" s="9" t="s">
        <v>647</v>
      </c>
      <c r="E8422" s="6" t="s">
        <v>8188</v>
      </c>
      <c r="F8422" s="9" t="s">
        <v>15509</v>
      </c>
    </row>
    <row r="8423" ht="33.75" customHeight="1">
      <c r="A8423" s="7">
        <v>324.0</v>
      </c>
      <c r="B8423" s="9" t="s">
        <v>14681</v>
      </c>
      <c r="C8423" s="9" t="s">
        <v>489</v>
      </c>
      <c r="D8423" s="9" t="s">
        <v>652</v>
      </c>
      <c r="E8423" s="6" t="s">
        <v>8190</v>
      </c>
      <c r="F8423" s="9" t="s">
        <v>15509</v>
      </c>
    </row>
    <row r="8424" ht="33.75" customHeight="1">
      <c r="A8424" s="7">
        <v>324.0</v>
      </c>
      <c r="B8424" s="9" t="s">
        <v>14681</v>
      </c>
      <c r="C8424" s="9" t="s">
        <v>489</v>
      </c>
      <c r="D8424" s="9" t="s">
        <v>114</v>
      </c>
      <c r="E8424" s="6" t="s">
        <v>8179</v>
      </c>
      <c r="F8424" s="9" t="s">
        <v>15509</v>
      </c>
    </row>
    <row r="8425" ht="33.75" customHeight="1">
      <c r="A8425" s="7">
        <v>324.0</v>
      </c>
      <c r="B8425" s="9" t="s">
        <v>14681</v>
      </c>
      <c r="C8425" s="9" t="s">
        <v>489</v>
      </c>
      <c r="D8425" s="9" t="s">
        <v>117</v>
      </c>
      <c r="E8425" s="6" t="s">
        <v>8181</v>
      </c>
      <c r="F8425" s="9" t="s">
        <v>15509</v>
      </c>
    </row>
    <row r="8426" ht="33.75" customHeight="1">
      <c r="A8426" s="7">
        <v>325.0</v>
      </c>
      <c r="B8426" s="9" t="s">
        <v>14697</v>
      </c>
      <c r="C8426" s="9" t="s">
        <v>490</v>
      </c>
      <c r="D8426" s="9" t="s">
        <v>67</v>
      </c>
      <c r="E8426" s="6" t="s">
        <v>8192</v>
      </c>
      <c r="F8426" s="9" t="s">
        <v>15519</v>
      </c>
      <c r="G8426" t="inlineStr" s="6">
        <is>
          <t xml:space="preserve">SPOINK bounces around on Spoink's tail. The shock of its bouncing makes its heart pump. As a result, this POKéMON cannot afford to stop bouncing - if it stops, its heart will stop. SPOINK keeps a pearl on top of its head. The pearl functions to amplify this POKéMON’s psychokinetic powers. It is therefore on a constant search for a bigger pearl. A POKéMON that manipulates psychic power at will. It doesn’t stop bouncing even when it is asleep. It loves eating mushrooms that grow underground. It apparently dies if it stops bouncing about. It carries a pearl from CLAMPERL on its head. It bounces constantly, using its tail like a spring. The shock of bouncing keeps its heart beating. It bounces around on its tail to keep its heart pumping. Using its tail like a spring, it keeps its heart beating by bouncing constantly. If it stops, it dies. As a result, this Pokémon cannot afford to stop bouncing—if it stops, its heart will stop.</t>
        </is>
      </c>
    </row>
    <row r="8427" ht="33.75" customHeight="1">
      <c r="A8427" s="7">
        <v>325.0</v>
      </c>
      <c r="B8427" s="9" t="s">
        <v>14697</v>
      </c>
      <c r="C8427" s="9" t="s">
        <v>490</v>
      </c>
      <c r="D8427" s="9" t="s">
        <v>71</v>
      </c>
      <c r="E8427" s="6" t="s">
        <v>8193</v>
      </c>
      <c r="F8427" s="9" t="s">
        <v>15519</v>
      </c>
    </row>
    <row r="8428" ht="33.75" customHeight="1">
      <c r="A8428" s="7">
        <v>325.0</v>
      </c>
      <c r="B8428" s="9" t="s">
        <v>14697</v>
      </c>
      <c r="C8428" s="9" t="s">
        <v>490</v>
      </c>
      <c r="D8428" s="9" t="s">
        <v>73</v>
      </c>
      <c r="E8428" s="6" t="s">
        <v>8195</v>
      </c>
      <c r="F8428" s="9" t="s">
        <v>15519</v>
      </c>
    </row>
    <row r="8429" ht="33.75" customHeight="1">
      <c r="A8429" s="7">
        <v>325.0</v>
      </c>
      <c r="B8429" s="9" t="s">
        <v>14697</v>
      </c>
      <c r="C8429" s="9" t="s">
        <v>490</v>
      </c>
      <c r="D8429" s="9" t="s">
        <v>75</v>
      </c>
      <c r="E8429" s="6" t="s">
        <v>8196</v>
      </c>
      <c r="F8429" s="9" t="s">
        <v>15519</v>
      </c>
    </row>
    <row r="8430" ht="33.75" customHeight="1">
      <c r="A8430" s="7">
        <v>325.0</v>
      </c>
      <c r="B8430" s="9" t="s">
        <v>14697</v>
      </c>
      <c r="C8430" s="9" t="s">
        <v>490</v>
      </c>
      <c r="D8430" s="9" t="s">
        <v>79</v>
      </c>
      <c r="E8430" s="6" t="s">
        <v>8196</v>
      </c>
      <c r="F8430" s="9" t="s">
        <v>15519</v>
      </c>
    </row>
    <row r="8431" ht="33.75" customHeight="1">
      <c r="A8431" s="7">
        <v>325.0</v>
      </c>
      <c r="B8431" s="9" t="s">
        <v>14697</v>
      </c>
      <c r="C8431" s="9" t="s">
        <v>490</v>
      </c>
      <c r="D8431" s="9" t="s">
        <v>81</v>
      </c>
      <c r="E8431" s="6" t="s">
        <v>8197</v>
      </c>
      <c r="F8431" s="9" t="s">
        <v>15519</v>
      </c>
    </row>
    <row r="8432" ht="33.75" customHeight="1">
      <c r="A8432" s="7">
        <v>325.0</v>
      </c>
      <c r="B8432" s="9" t="s">
        <v>14697</v>
      </c>
      <c r="C8432" s="9" t="s">
        <v>490</v>
      </c>
      <c r="D8432" s="9" t="s">
        <v>84</v>
      </c>
      <c r="E8432" s="6" t="s">
        <v>8197</v>
      </c>
      <c r="F8432" s="9" t="s">
        <v>15519</v>
      </c>
    </row>
    <row r="8433" ht="33.75" customHeight="1">
      <c r="A8433" s="7">
        <v>325.0</v>
      </c>
      <c r="B8433" s="9" t="s">
        <v>14697</v>
      </c>
      <c r="C8433" s="9" t="s">
        <v>490</v>
      </c>
      <c r="D8433" s="9" t="s">
        <v>87</v>
      </c>
      <c r="E8433" s="6" t="s">
        <v>8197</v>
      </c>
      <c r="F8433" s="9" t="s">
        <v>15519</v>
      </c>
    </row>
    <row r="8434" ht="33.75" customHeight="1">
      <c r="A8434" s="7">
        <v>325.0</v>
      </c>
      <c r="B8434" s="9" t="s">
        <v>14697</v>
      </c>
      <c r="C8434" s="9" t="s">
        <v>490</v>
      </c>
      <c r="D8434" s="9" t="s">
        <v>89</v>
      </c>
      <c r="E8434" s="6" t="s">
        <v>8199</v>
      </c>
      <c r="F8434" s="9" t="s">
        <v>15519</v>
      </c>
    </row>
    <row r="8435" ht="33.75" customHeight="1">
      <c r="A8435" s="7">
        <v>325.0</v>
      </c>
      <c r="B8435" s="9" t="s">
        <v>14697</v>
      </c>
      <c r="C8435" s="9" t="s">
        <v>490</v>
      </c>
      <c r="D8435" s="9" t="s">
        <v>91</v>
      </c>
      <c r="E8435" s="6" t="s">
        <v>8199</v>
      </c>
      <c r="F8435" s="9" t="s">
        <v>15519</v>
      </c>
    </row>
    <row r="8436" ht="33.75" customHeight="1">
      <c r="A8436" s="7">
        <v>325.0</v>
      </c>
      <c r="B8436" s="9" t="s">
        <v>14697</v>
      </c>
      <c r="C8436" s="9" t="s">
        <v>490</v>
      </c>
      <c r="D8436" s="9" t="s">
        <v>93</v>
      </c>
      <c r="E8436" s="6" t="s">
        <v>8197</v>
      </c>
      <c r="F8436" s="9" t="s">
        <v>15519</v>
      </c>
    </row>
    <row r="8437" ht="33.75" customHeight="1">
      <c r="A8437" s="7">
        <v>325.0</v>
      </c>
      <c r="B8437" s="9" t="s">
        <v>14697</v>
      </c>
      <c r="C8437" s="9" t="s">
        <v>490</v>
      </c>
      <c r="D8437" s="9" t="s">
        <v>95</v>
      </c>
      <c r="E8437" s="6" t="s">
        <v>8197</v>
      </c>
      <c r="F8437" s="9" t="s">
        <v>15519</v>
      </c>
    </row>
    <row r="8438" ht="33.75" customHeight="1">
      <c r="A8438" s="7">
        <v>325.0</v>
      </c>
      <c r="B8438" s="9" t="s">
        <v>14697</v>
      </c>
      <c r="C8438" s="9" t="s">
        <v>490</v>
      </c>
      <c r="D8438" s="9" t="s">
        <v>98</v>
      </c>
      <c r="E8438" s="6" t="s">
        <v>8200</v>
      </c>
      <c r="F8438" s="9" t="s">
        <v>15519</v>
      </c>
    </row>
    <row r="8439" ht="33.75" customHeight="1">
      <c r="A8439" s="7">
        <v>325.0</v>
      </c>
      <c r="B8439" s="9" t="s">
        <v>14697</v>
      </c>
      <c r="C8439" s="9" t="s">
        <v>490</v>
      </c>
      <c r="D8439" s="9" t="s">
        <v>99</v>
      </c>
      <c r="E8439" s="6" t="s">
        <v>8200</v>
      </c>
      <c r="F8439" s="9" t="s">
        <v>15519</v>
      </c>
    </row>
    <row r="8440" ht="33.75" customHeight="1">
      <c r="A8440" s="7">
        <v>325.0</v>
      </c>
      <c r="B8440" s="9" t="s">
        <v>14697</v>
      </c>
      <c r="C8440" s="9" t="s">
        <v>490</v>
      </c>
      <c r="D8440" s="9" t="s">
        <v>101</v>
      </c>
      <c r="E8440" s="6" t="s">
        <v>8197</v>
      </c>
      <c r="F8440" s="9" t="s">
        <v>15519</v>
      </c>
    </row>
    <row r="8441" ht="33.75" customHeight="1">
      <c r="A8441" s="7">
        <v>325.0</v>
      </c>
      <c r="B8441" s="9" t="s">
        <v>14697</v>
      </c>
      <c r="C8441" s="9" t="s">
        <v>490</v>
      </c>
      <c r="D8441" s="9" t="s">
        <v>105</v>
      </c>
      <c r="E8441" s="6" t="s">
        <v>8202</v>
      </c>
      <c r="F8441" s="9" t="s">
        <v>15519</v>
      </c>
    </row>
    <row r="8442" ht="33.75" customHeight="1">
      <c r="A8442" s="7">
        <v>325.0</v>
      </c>
      <c r="B8442" s="9" t="s">
        <v>14697</v>
      </c>
      <c r="C8442" s="9" t="s">
        <v>490</v>
      </c>
      <c r="D8442" s="9" t="s">
        <v>107</v>
      </c>
      <c r="E8442" s="6" t="s">
        <v>8204</v>
      </c>
      <c r="F8442" s="9" t="s">
        <v>15519</v>
      </c>
    </row>
    <row r="8443" ht="33.75" customHeight="1">
      <c r="A8443" s="7">
        <v>325.0</v>
      </c>
      <c r="B8443" s="9" t="s">
        <v>14697</v>
      </c>
      <c r="C8443" s="9" t="s">
        <v>490</v>
      </c>
      <c r="D8443" s="9" t="s">
        <v>109</v>
      </c>
      <c r="E8443" s="6" t="s">
        <v>8206</v>
      </c>
      <c r="F8443" s="9" t="s">
        <v>15519</v>
      </c>
    </row>
    <row r="8444" ht="33.75" customHeight="1">
      <c r="A8444" s="7">
        <v>326.0</v>
      </c>
      <c r="B8444" s="9" t="s">
        <v>14710</v>
      </c>
      <c r="C8444" s="9" t="s">
        <v>493</v>
      </c>
      <c r="D8444" s="9" t="s">
        <v>67</v>
      </c>
      <c r="E8444" s="6" t="s">
        <v>8208</v>
      </c>
      <c r="F8444" s="9" t="s">
        <v>15525</v>
      </c>
      <c r="G8444" t="inlineStr" s="6">
        <is>
          <t xml:space="preserve">GRUMPIG uses the black pearls on Grumpig's body to amplify its psychic power waves for gaining total control over its foe. When this POKéMON uses its special power, its snorting breath grows labored. GRUMPIG uses the black pearls on its body to wield its fantastic powers. When it is doing so, it dances bizarrely. This POKéMON’s black pearls are valuable as works of art. It stores power in the black pearls on its forehead. When it uses psychic power, it performs an odd dance step. Its style of dancing became hugely popular overseas. It can gain control over foes by doing odd dance steps. The black pearls on its forehead are precious gems. It uses black pearls to amplify its psycho-power. It does an odd dance to gain control over foes. It can perform odd dance steps to influence foes. It uses black pearls to amplify its psychic power. It does a strange dance to control foes’ minds.</t>
        </is>
      </c>
    </row>
    <row r="8445" ht="33.75" customHeight="1">
      <c r="A8445" s="7">
        <v>326.0</v>
      </c>
      <c r="B8445" s="9" t="s">
        <v>14710</v>
      </c>
      <c r="C8445" s="9" t="s">
        <v>493</v>
      </c>
      <c r="D8445" s="9" t="s">
        <v>71</v>
      </c>
      <c r="E8445" s="6" t="s">
        <v>8210</v>
      </c>
      <c r="F8445" s="9" t="s">
        <v>15525</v>
      </c>
    </row>
    <row r="8446" ht="33.75" customHeight="1">
      <c r="A8446" s="7">
        <v>326.0</v>
      </c>
      <c r="B8446" s="9" t="s">
        <v>14710</v>
      </c>
      <c r="C8446" s="9" t="s">
        <v>493</v>
      </c>
      <c r="D8446" s="9" t="s">
        <v>73</v>
      </c>
      <c r="E8446" s="6" t="s">
        <v>8212</v>
      </c>
      <c r="F8446" s="9" t="s">
        <v>15525</v>
      </c>
    </row>
    <row r="8447" ht="33.75" customHeight="1">
      <c r="A8447" s="7">
        <v>326.0</v>
      </c>
      <c r="B8447" s="9" t="s">
        <v>14710</v>
      </c>
      <c r="C8447" s="9" t="s">
        <v>493</v>
      </c>
      <c r="D8447" s="9" t="s">
        <v>75</v>
      </c>
      <c r="E8447" s="6" t="s">
        <v>8213</v>
      </c>
      <c r="F8447" s="9" t="s">
        <v>15525</v>
      </c>
    </row>
    <row r="8448" ht="33.75" customHeight="1">
      <c r="A8448" s="7">
        <v>326.0</v>
      </c>
      <c r="B8448" s="9" t="s">
        <v>14710</v>
      </c>
      <c r="C8448" s="9" t="s">
        <v>493</v>
      </c>
      <c r="D8448" s="9" t="s">
        <v>79</v>
      </c>
      <c r="E8448" s="6" t="s">
        <v>8213</v>
      </c>
      <c r="F8448" s="9" t="s">
        <v>15525</v>
      </c>
    </row>
    <row r="8449" ht="33.75" customHeight="1">
      <c r="A8449" s="7">
        <v>326.0</v>
      </c>
      <c r="B8449" s="9" t="s">
        <v>14710</v>
      </c>
      <c r="C8449" s="9" t="s">
        <v>493</v>
      </c>
      <c r="D8449" s="9" t="s">
        <v>81</v>
      </c>
      <c r="E8449" s="6" t="s">
        <v>8214</v>
      </c>
      <c r="F8449" s="9" t="s">
        <v>15525</v>
      </c>
    </row>
    <row r="8450" ht="33.75" customHeight="1">
      <c r="A8450" s="7">
        <v>326.0</v>
      </c>
      <c r="B8450" s="9" t="s">
        <v>14710</v>
      </c>
      <c r="C8450" s="9" t="s">
        <v>493</v>
      </c>
      <c r="D8450" s="9" t="s">
        <v>84</v>
      </c>
      <c r="E8450" s="6" t="s">
        <v>8214</v>
      </c>
      <c r="F8450" s="9" t="s">
        <v>15525</v>
      </c>
    </row>
    <row r="8451" ht="33.75" customHeight="1">
      <c r="A8451" s="7">
        <v>326.0</v>
      </c>
      <c r="B8451" s="9" t="s">
        <v>14710</v>
      </c>
      <c r="C8451" s="9" t="s">
        <v>493</v>
      </c>
      <c r="D8451" s="9" t="s">
        <v>87</v>
      </c>
      <c r="E8451" s="6" t="s">
        <v>8214</v>
      </c>
      <c r="F8451" s="9" t="s">
        <v>15525</v>
      </c>
    </row>
    <row r="8452" ht="33.75" customHeight="1">
      <c r="A8452" s="7">
        <v>326.0</v>
      </c>
      <c r="B8452" s="9" t="s">
        <v>14710</v>
      </c>
      <c r="C8452" s="9" t="s">
        <v>493</v>
      </c>
      <c r="D8452" s="9" t="s">
        <v>89</v>
      </c>
      <c r="E8452" s="6" t="s">
        <v>8215</v>
      </c>
      <c r="F8452" s="9" t="s">
        <v>15525</v>
      </c>
    </row>
    <row r="8453" ht="33.75" customHeight="1">
      <c r="A8453" s="7">
        <v>326.0</v>
      </c>
      <c r="B8453" s="9" t="s">
        <v>14710</v>
      </c>
      <c r="C8453" s="9" t="s">
        <v>493</v>
      </c>
      <c r="D8453" s="9" t="s">
        <v>91</v>
      </c>
      <c r="E8453" s="6" t="s">
        <v>8215</v>
      </c>
      <c r="F8453" s="9" t="s">
        <v>15525</v>
      </c>
    </row>
    <row r="8454" ht="33.75" customHeight="1">
      <c r="A8454" s="7">
        <v>326.0</v>
      </c>
      <c r="B8454" s="9" t="s">
        <v>14710</v>
      </c>
      <c r="C8454" s="9" t="s">
        <v>493</v>
      </c>
      <c r="D8454" s="9" t="s">
        <v>93</v>
      </c>
      <c r="E8454" s="6" t="s">
        <v>8214</v>
      </c>
      <c r="F8454" s="9" t="s">
        <v>15525</v>
      </c>
    </row>
    <row r="8455" ht="33.75" customHeight="1">
      <c r="A8455" s="7">
        <v>326.0</v>
      </c>
      <c r="B8455" s="9" t="s">
        <v>14710</v>
      </c>
      <c r="C8455" s="9" t="s">
        <v>493</v>
      </c>
      <c r="D8455" s="9" t="s">
        <v>95</v>
      </c>
      <c r="E8455" s="6" t="s">
        <v>8214</v>
      </c>
      <c r="F8455" s="9" t="s">
        <v>15525</v>
      </c>
    </row>
    <row r="8456" ht="33.75" customHeight="1">
      <c r="A8456" s="7">
        <v>326.0</v>
      </c>
      <c r="B8456" s="9" t="s">
        <v>14710</v>
      </c>
      <c r="C8456" s="9" t="s">
        <v>493</v>
      </c>
      <c r="D8456" s="9" t="s">
        <v>98</v>
      </c>
      <c r="E8456" s="6" t="s">
        <v>8217</v>
      </c>
      <c r="F8456" s="9" t="s">
        <v>15525</v>
      </c>
    </row>
    <row r="8457" ht="33.75" customHeight="1">
      <c r="A8457" s="7">
        <v>326.0</v>
      </c>
      <c r="B8457" s="9" t="s">
        <v>14710</v>
      </c>
      <c r="C8457" s="9" t="s">
        <v>493</v>
      </c>
      <c r="D8457" s="9" t="s">
        <v>99</v>
      </c>
      <c r="E8457" s="6" t="s">
        <v>8217</v>
      </c>
      <c r="F8457" s="9" t="s">
        <v>15525</v>
      </c>
    </row>
    <row r="8458" ht="33.75" customHeight="1">
      <c r="A8458" s="7">
        <v>326.0</v>
      </c>
      <c r="B8458" s="9" t="s">
        <v>14710</v>
      </c>
      <c r="C8458" s="9" t="s">
        <v>493</v>
      </c>
      <c r="D8458" s="9" t="s">
        <v>101</v>
      </c>
      <c r="E8458" s="6" t="s">
        <v>8217</v>
      </c>
      <c r="F8458" s="9" t="s">
        <v>15525</v>
      </c>
    </row>
    <row r="8459" ht="33.75" customHeight="1">
      <c r="A8459" s="7">
        <v>326.0</v>
      </c>
      <c r="B8459" s="9" t="s">
        <v>14710</v>
      </c>
      <c r="C8459" s="9" t="s">
        <v>493</v>
      </c>
      <c r="D8459" s="9" t="s">
        <v>105</v>
      </c>
      <c r="E8459" s="6" t="s">
        <v>8218</v>
      </c>
      <c r="F8459" s="9" t="s">
        <v>15525</v>
      </c>
    </row>
    <row r="8460" ht="33.75" customHeight="1">
      <c r="A8460" s="7">
        <v>326.0</v>
      </c>
      <c r="B8460" s="9" t="s">
        <v>14710</v>
      </c>
      <c r="C8460" s="9" t="s">
        <v>493</v>
      </c>
      <c r="D8460" s="9" t="s">
        <v>107</v>
      </c>
      <c r="E8460" s="6" t="s">
        <v>8219</v>
      </c>
      <c r="F8460" s="9" t="s">
        <v>15525</v>
      </c>
    </row>
    <row r="8461" ht="33.75" customHeight="1">
      <c r="A8461" s="7">
        <v>326.0</v>
      </c>
      <c r="B8461" s="9" t="s">
        <v>14710</v>
      </c>
      <c r="C8461" s="9" t="s">
        <v>493</v>
      </c>
      <c r="D8461" s="9" t="s">
        <v>109</v>
      </c>
      <c r="E8461" s="6" t="s">
        <v>8222</v>
      </c>
      <c r="F8461" s="9" t="s">
        <v>15525</v>
      </c>
    </row>
    <row r="8462" ht="33.75" customHeight="1">
      <c r="A8462" s="7">
        <v>327.0</v>
      </c>
      <c r="B8462" s="9" t="s">
        <v>14722</v>
      </c>
      <c r="C8462" s="9" t="s">
        <v>495</v>
      </c>
      <c r="D8462" s="9" t="s">
        <v>67</v>
      </c>
      <c r="E8462" s="6" t="s">
        <v>8225</v>
      </c>
      <c r="F8462" s="9" t="s">
        <v>15536</v>
      </c>
      <c r="G8462" t="inlineStr" s="6">
        <is>
          <t xml:space="preserve">All the SPINDA that exist in the world are said to have utterly unique spot patterns. The shaky, tottering steps of this POKéMON give it the appearance of dancing. No two SPINDA are said to have identical spot patterns on their hides. This POKéMON moves in a curious manner as if it is stumbling in dizziness. Its lurching movements can cause the opponent to become confused. It is distinguished by a pattern of spots that is always different. Its unsteady, tottering walk has the effect of fouling its foe’s aim. No two SPINDA are said to have identical patterns. It confuses foes with its stumbling motions. No two SPINDA have the same pattern of spots. Its tottering step fouls the aim of foes. The chances of two SPINDA having identical spot patterns is less than one in four billion. Its steps are staggering and unsteady, but Spinda thinks it’s walking in a straight line. Each and every Spinda has a slightly different configuration of spots. There are collectors who enjoy the tiny differences in their spot patterns. Its steps are shaky and stumbling. Walking for a long time makes it feel sick. Each Spinda’s spot pattern is different. With its stumbling movements, it evades opponents’ attacks brilliantly!</t>
        </is>
      </c>
    </row>
    <row r="8463" ht="33.75" customHeight="1">
      <c r="A8463" s="7">
        <v>327.0</v>
      </c>
      <c r="B8463" s="9" t="s">
        <v>14722</v>
      </c>
      <c r="C8463" s="9" t="s">
        <v>495</v>
      </c>
      <c r="D8463" s="9" t="s">
        <v>71</v>
      </c>
      <c r="E8463" s="6" t="s">
        <v>8226</v>
      </c>
      <c r="F8463" s="9" t="s">
        <v>15536</v>
      </c>
    </row>
    <row r="8464" ht="33.75" customHeight="1">
      <c r="A8464" s="7">
        <v>327.0</v>
      </c>
      <c r="B8464" s="9" t="s">
        <v>14722</v>
      </c>
      <c r="C8464" s="9" t="s">
        <v>495</v>
      </c>
      <c r="D8464" s="9" t="s">
        <v>73</v>
      </c>
      <c r="E8464" s="6" t="s">
        <v>8227</v>
      </c>
      <c r="F8464" s="9" t="s">
        <v>15536</v>
      </c>
    </row>
    <row r="8465" ht="33.75" customHeight="1">
      <c r="A8465" s="7">
        <v>327.0</v>
      </c>
      <c r="B8465" s="9" t="s">
        <v>14722</v>
      </c>
      <c r="C8465" s="9" t="s">
        <v>495</v>
      </c>
      <c r="D8465" s="9" t="s">
        <v>75</v>
      </c>
      <c r="E8465" s="6" t="s">
        <v>8229</v>
      </c>
      <c r="F8465" s="9" t="s">
        <v>15536</v>
      </c>
    </row>
    <row r="8466" ht="33.75" customHeight="1">
      <c r="A8466" s="7">
        <v>327.0</v>
      </c>
      <c r="B8466" s="9" t="s">
        <v>14722</v>
      </c>
      <c r="C8466" s="9" t="s">
        <v>495</v>
      </c>
      <c r="D8466" s="9" t="s">
        <v>79</v>
      </c>
      <c r="E8466" s="6" t="s">
        <v>8229</v>
      </c>
      <c r="F8466" s="9" t="s">
        <v>15536</v>
      </c>
    </row>
    <row r="8467" ht="33.75" customHeight="1">
      <c r="A8467" s="7">
        <v>327.0</v>
      </c>
      <c r="B8467" s="9" t="s">
        <v>14722</v>
      </c>
      <c r="C8467" s="9" t="s">
        <v>495</v>
      </c>
      <c r="D8467" s="9" t="s">
        <v>81</v>
      </c>
      <c r="E8467" s="6" t="s">
        <v>8231</v>
      </c>
      <c r="F8467" s="9" t="s">
        <v>15536</v>
      </c>
    </row>
    <row r="8468" ht="33.75" customHeight="1">
      <c r="A8468" s="7">
        <v>327.0</v>
      </c>
      <c r="B8468" s="9" t="s">
        <v>14722</v>
      </c>
      <c r="C8468" s="9" t="s">
        <v>495</v>
      </c>
      <c r="D8468" s="9" t="s">
        <v>84</v>
      </c>
      <c r="E8468" s="6" t="s">
        <v>8231</v>
      </c>
      <c r="F8468" s="9" t="s">
        <v>15536</v>
      </c>
    </row>
    <row r="8469" ht="33.75" customHeight="1">
      <c r="A8469" s="7">
        <v>327.0</v>
      </c>
      <c r="B8469" s="9" t="s">
        <v>14722</v>
      </c>
      <c r="C8469" s="9" t="s">
        <v>495</v>
      </c>
      <c r="D8469" s="9" t="s">
        <v>87</v>
      </c>
      <c r="E8469" s="6" t="s">
        <v>8231</v>
      </c>
      <c r="F8469" s="9" t="s">
        <v>15536</v>
      </c>
    </row>
    <row r="8470" ht="33.75" customHeight="1">
      <c r="A8470" s="7">
        <v>327.0</v>
      </c>
      <c r="B8470" s="9" t="s">
        <v>14722</v>
      </c>
      <c r="C8470" s="9" t="s">
        <v>495</v>
      </c>
      <c r="D8470" s="9" t="s">
        <v>89</v>
      </c>
      <c r="E8470" s="6" t="s">
        <v>8233</v>
      </c>
      <c r="F8470" s="9" t="s">
        <v>15536</v>
      </c>
    </row>
    <row r="8471" ht="33.75" customHeight="1">
      <c r="A8471" s="7">
        <v>327.0</v>
      </c>
      <c r="B8471" s="9" t="s">
        <v>14722</v>
      </c>
      <c r="C8471" s="9" t="s">
        <v>495</v>
      </c>
      <c r="D8471" s="9" t="s">
        <v>91</v>
      </c>
      <c r="E8471" s="6" t="s">
        <v>8233</v>
      </c>
      <c r="F8471" s="9" t="s">
        <v>15536</v>
      </c>
    </row>
    <row r="8472" ht="33.75" customHeight="1">
      <c r="A8472" s="7">
        <v>327.0</v>
      </c>
      <c r="B8472" s="9" t="s">
        <v>14722</v>
      </c>
      <c r="C8472" s="9" t="s">
        <v>495</v>
      </c>
      <c r="D8472" s="9" t="s">
        <v>93</v>
      </c>
      <c r="E8472" s="6" t="s">
        <v>8235</v>
      </c>
      <c r="F8472" s="9" t="s">
        <v>15536</v>
      </c>
    </row>
    <row r="8473" ht="33.75" customHeight="1">
      <c r="A8473" s="7">
        <v>327.0</v>
      </c>
      <c r="B8473" s="9" t="s">
        <v>14722</v>
      </c>
      <c r="C8473" s="9" t="s">
        <v>495</v>
      </c>
      <c r="D8473" s="9" t="s">
        <v>95</v>
      </c>
      <c r="E8473" s="6" t="s">
        <v>8235</v>
      </c>
      <c r="F8473" s="9" t="s">
        <v>15536</v>
      </c>
    </row>
    <row r="8474" ht="33.75" customHeight="1">
      <c r="A8474" s="7">
        <v>327.0</v>
      </c>
      <c r="B8474" s="9" t="s">
        <v>14722</v>
      </c>
      <c r="C8474" s="9" t="s">
        <v>495</v>
      </c>
      <c r="D8474" s="9" t="s">
        <v>98</v>
      </c>
      <c r="E8474" s="6" t="s">
        <v>8235</v>
      </c>
      <c r="F8474" s="9" t="s">
        <v>15536</v>
      </c>
    </row>
    <row r="8475" ht="33.75" customHeight="1">
      <c r="A8475" s="7">
        <v>327.0</v>
      </c>
      <c r="B8475" s="9" t="s">
        <v>14722</v>
      </c>
      <c r="C8475" s="9" t="s">
        <v>495</v>
      </c>
      <c r="D8475" s="9" t="s">
        <v>99</v>
      </c>
      <c r="E8475" s="6" t="s">
        <v>8235</v>
      </c>
      <c r="F8475" s="9" t="s">
        <v>15536</v>
      </c>
    </row>
    <row r="8476" ht="33.75" customHeight="1">
      <c r="A8476" s="7">
        <v>327.0</v>
      </c>
      <c r="B8476" s="9" t="s">
        <v>14722</v>
      </c>
      <c r="C8476" s="9" t="s">
        <v>495</v>
      </c>
      <c r="D8476" s="9" t="s">
        <v>101</v>
      </c>
      <c r="E8476" s="6" t="s">
        <v>8235</v>
      </c>
      <c r="F8476" s="9" t="s">
        <v>15536</v>
      </c>
    </row>
    <row r="8477" ht="33.75" customHeight="1">
      <c r="A8477" s="7">
        <v>327.0</v>
      </c>
      <c r="B8477" s="9" t="s">
        <v>14722</v>
      </c>
      <c r="C8477" s="9" t="s">
        <v>495</v>
      </c>
      <c r="D8477" s="9" t="s">
        <v>105</v>
      </c>
      <c r="E8477" s="6" t="s">
        <v>8236</v>
      </c>
      <c r="F8477" s="9" t="s">
        <v>15536</v>
      </c>
    </row>
    <row r="8478" ht="33.75" customHeight="1">
      <c r="A8478" s="7">
        <v>327.0</v>
      </c>
      <c r="B8478" s="9" t="s">
        <v>14722</v>
      </c>
      <c r="C8478" s="9" t="s">
        <v>495</v>
      </c>
      <c r="D8478" s="9" t="s">
        <v>107</v>
      </c>
      <c r="E8478" s="6" t="s">
        <v>8238</v>
      </c>
      <c r="F8478" s="9" t="s">
        <v>15536</v>
      </c>
    </row>
    <row r="8479" ht="33.75" customHeight="1">
      <c r="A8479" s="7">
        <v>327.0</v>
      </c>
      <c r="B8479" s="9" t="s">
        <v>14722</v>
      </c>
      <c r="C8479" s="9" t="s">
        <v>495</v>
      </c>
      <c r="D8479" s="9" t="s">
        <v>109</v>
      </c>
      <c r="E8479" s="6" t="s">
        <v>8239</v>
      </c>
      <c r="F8479" s="9" t="s">
        <v>15536</v>
      </c>
    </row>
    <row r="8480" ht="33.75" customHeight="1">
      <c r="A8480" s="7">
        <v>327.0</v>
      </c>
      <c r="B8480" s="9" t="s">
        <v>14722</v>
      </c>
      <c r="C8480" s="9" t="s">
        <v>495</v>
      </c>
      <c r="D8480" s="9" t="s">
        <v>637</v>
      </c>
      <c r="E8480" s="6" t="s">
        <v>8240</v>
      </c>
      <c r="F8480" s="9" t="s">
        <v>15536</v>
      </c>
    </row>
    <row r="8481" ht="33.75" customHeight="1">
      <c r="A8481" s="7">
        <v>327.0</v>
      </c>
      <c r="B8481" s="9" t="s">
        <v>14722</v>
      </c>
      <c r="C8481" s="9" t="s">
        <v>495</v>
      </c>
      <c r="D8481" s="9" t="s">
        <v>642</v>
      </c>
      <c r="E8481" s="6" t="s">
        <v>8241</v>
      </c>
      <c r="F8481" s="9" t="s">
        <v>15536</v>
      </c>
    </row>
    <row r="8482" ht="33.75" customHeight="1">
      <c r="A8482" s="7">
        <v>327.0</v>
      </c>
      <c r="B8482" s="9" t="s">
        <v>14722</v>
      </c>
      <c r="C8482" s="9" t="s">
        <v>495</v>
      </c>
      <c r="D8482" s="9" t="s">
        <v>647</v>
      </c>
      <c r="E8482" s="6" t="s">
        <v>8242</v>
      </c>
      <c r="F8482" s="9" t="s">
        <v>15536</v>
      </c>
    </row>
    <row r="8483" ht="33.75" customHeight="1">
      <c r="A8483" s="7">
        <v>327.0</v>
      </c>
      <c r="B8483" s="9" t="s">
        <v>14722</v>
      </c>
      <c r="C8483" s="9" t="s">
        <v>495</v>
      </c>
      <c r="D8483" s="9" t="s">
        <v>652</v>
      </c>
      <c r="E8483" s="6" t="s">
        <v>8245</v>
      </c>
      <c r="F8483" s="9" t="s">
        <v>15536</v>
      </c>
    </row>
    <row r="8484" ht="33.75" customHeight="1">
      <c r="A8484" s="7">
        <v>328.0</v>
      </c>
      <c r="B8484" s="9" t="s">
        <v>14740</v>
      </c>
      <c r="C8484" s="9" t="s">
        <v>497</v>
      </c>
      <c r="D8484" s="9" t="s">
        <v>67</v>
      </c>
      <c r="E8484" s="6" t="s">
        <v>8246</v>
      </c>
      <c r="F8484" s="9" t="s">
        <v>15543</v>
      </c>
      <c r="G8484" t="inlineStr" s="6">
        <is>
          <t xml:space="preserve">TRAPINCH’s nest is a sloped, bowl-like pit dug in sand. This POKéMON patiently waits for prey to tumble down the pit. Its giant jaws have enough strength to crush even boulders. TRAPINCH is a patient hunter. It digs an inescapable pit in a desert and waits for its prey to come tumbling down. This POKéMON can go a whole week without access to any water. Its big jaws crunch through boulders. Because its head is so big, it has a hard time getting back upright if it tips over onto its back. It lives in arid deserts. It makes a sloping pit trap in sand where it patiently awaits prey. It makes a conical pit in desert sand and lies in wait at the bottom for prey to come tumbling down. Its nest is a sloped, bowl-like pit in the desert. Once something has fallen in, there is no escape. It makes an inescapable conical pit and lies in wait at the bottom for prey to come tumbling down. It can live for a week without eating a thing. It waits patiently at the bottom of its nest for prey to appear. As it digs through the sand, its giant jaws crush any rocks that obstruct its path. It builds a funnel-shaped nest. Its jaws are strong enough to crush rocks but so heavy that it can’t get up if it flips over. Sandile seize those moments as their chance. It builds nests that double as traps, lying in wait for its prey to get caught. When night falls, it digs itself a spot beneath the sand to sleep.</t>
        </is>
      </c>
    </row>
    <row r="8485" ht="33.75" customHeight="1">
      <c r="A8485" s="7">
        <v>328.0</v>
      </c>
      <c r="B8485" s="9" t="s">
        <v>14740</v>
      </c>
      <c r="C8485" s="9" t="s">
        <v>497</v>
      </c>
      <c r="D8485" s="9" t="s">
        <v>71</v>
      </c>
      <c r="E8485" s="6" t="s">
        <v>8248</v>
      </c>
      <c r="F8485" s="9" t="s">
        <v>15543</v>
      </c>
    </row>
    <row r="8486" ht="33.75" customHeight="1">
      <c r="A8486" s="7">
        <v>328.0</v>
      </c>
      <c r="B8486" s="9" t="s">
        <v>14740</v>
      </c>
      <c r="C8486" s="9" t="s">
        <v>497</v>
      </c>
      <c r="D8486" s="9" t="s">
        <v>73</v>
      </c>
      <c r="E8486" s="6" t="s">
        <v>8249</v>
      </c>
      <c r="F8486" s="9" t="s">
        <v>15543</v>
      </c>
    </row>
    <row r="8487" ht="33.75" customHeight="1">
      <c r="A8487" s="7">
        <v>328.0</v>
      </c>
      <c r="B8487" s="9" t="s">
        <v>14740</v>
      </c>
      <c r="C8487" s="9" t="s">
        <v>497</v>
      </c>
      <c r="D8487" s="9" t="s">
        <v>75</v>
      </c>
      <c r="E8487" s="6" t="s">
        <v>8250</v>
      </c>
      <c r="F8487" s="9" t="s">
        <v>15543</v>
      </c>
    </row>
    <row r="8488" ht="33.75" customHeight="1">
      <c r="A8488" s="7">
        <v>328.0</v>
      </c>
      <c r="B8488" s="9" t="s">
        <v>14740</v>
      </c>
      <c r="C8488" s="9" t="s">
        <v>497</v>
      </c>
      <c r="D8488" s="9" t="s">
        <v>79</v>
      </c>
      <c r="E8488" s="6" t="s">
        <v>8250</v>
      </c>
      <c r="F8488" s="9" t="s">
        <v>15543</v>
      </c>
    </row>
    <row r="8489" ht="33.75" customHeight="1">
      <c r="A8489" s="7">
        <v>328.0</v>
      </c>
      <c r="B8489" s="9" t="s">
        <v>14740</v>
      </c>
      <c r="C8489" s="9" t="s">
        <v>497</v>
      </c>
      <c r="D8489" s="9" t="s">
        <v>81</v>
      </c>
      <c r="E8489" s="6" t="s">
        <v>8252</v>
      </c>
      <c r="F8489" s="9" t="s">
        <v>15543</v>
      </c>
    </row>
    <row r="8490" ht="33.75" customHeight="1">
      <c r="A8490" s="7">
        <v>328.0</v>
      </c>
      <c r="B8490" s="9" t="s">
        <v>14740</v>
      </c>
      <c r="C8490" s="9" t="s">
        <v>497</v>
      </c>
      <c r="D8490" s="9" t="s">
        <v>84</v>
      </c>
      <c r="E8490" s="6" t="s">
        <v>8252</v>
      </c>
      <c r="F8490" s="9" t="s">
        <v>15543</v>
      </c>
    </row>
    <row r="8491" ht="33.75" customHeight="1">
      <c r="A8491" s="7">
        <v>328.0</v>
      </c>
      <c r="B8491" s="9" t="s">
        <v>14740</v>
      </c>
      <c r="C8491" s="9" t="s">
        <v>497</v>
      </c>
      <c r="D8491" s="9" t="s">
        <v>87</v>
      </c>
      <c r="E8491" s="6" t="s">
        <v>8252</v>
      </c>
      <c r="F8491" s="9" t="s">
        <v>15543</v>
      </c>
    </row>
    <row r="8492" ht="33.75" customHeight="1">
      <c r="A8492" s="7">
        <v>328.0</v>
      </c>
      <c r="B8492" s="9" t="s">
        <v>14740</v>
      </c>
      <c r="C8492" s="9" t="s">
        <v>497</v>
      </c>
      <c r="D8492" s="9" t="s">
        <v>89</v>
      </c>
      <c r="E8492" s="6" t="s">
        <v>8253</v>
      </c>
      <c r="F8492" s="9" t="s">
        <v>15543</v>
      </c>
    </row>
    <row r="8493" ht="33.75" customHeight="1">
      <c r="A8493" s="7">
        <v>328.0</v>
      </c>
      <c r="B8493" s="9" t="s">
        <v>14740</v>
      </c>
      <c r="C8493" s="9" t="s">
        <v>497</v>
      </c>
      <c r="D8493" s="9" t="s">
        <v>91</v>
      </c>
      <c r="E8493" s="6" t="s">
        <v>8253</v>
      </c>
      <c r="F8493" s="9" t="s">
        <v>15543</v>
      </c>
    </row>
    <row r="8494" ht="33.75" customHeight="1">
      <c r="A8494" s="7">
        <v>328.0</v>
      </c>
      <c r="B8494" s="9" t="s">
        <v>14740</v>
      </c>
      <c r="C8494" s="9" t="s">
        <v>497</v>
      </c>
      <c r="D8494" s="9" t="s">
        <v>93</v>
      </c>
      <c r="E8494" s="6" t="s">
        <v>8252</v>
      </c>
      <c r="F8494" s="9" t="s">
        <v>15543</v>
      </c>
    </row>
    <row r="8495" ht="33.75" customHeight="1">
      <c r="A8495" s="7">
        <v>328.0</v>
      </c>
      <c r="B8495" s="9" t="s">
        <v>14740</v>
      </c>
      <c r="C8495" s="9" t="s">
        <v>497</v>
      </c>
      <c r="D8495" s="9" t="s">
        <v>95</v>
      </c>
      <c r="E8495" s="6" t="s">
        <v>8252</v>
      </c>
      <c r="F8495" s="9" t="s">
        <v>15543</v>
      </c>
    </row>
    <row r="8496" ht="33.75" customHeight="1">
      <c r="A8496" s="7">
        <v>328.0</v>
      </c>
      <c r="B8496" s="9" t="s">
        <v>14740</v>
      </c>
      <c r="C8496" s="9" t="s">
        <v>497</v>
      </c>
      <c r="D8496" s="9" t="s">
        <v>98</v>
      </c>
      <c r="E8496" s="6" t="s">
        <v>8254</v>
      </c>
      <c r="F8496" s="9" t="s">
        <v>15543</v>
      </c>
    </row>
    <row r="8497" ht="33.75" customHeight="1">
      <c r="A8497" s="7">
        <v>328.0</v>
      </c>
      <c r="B8497" s="9" t="s">
        <v>14740</v>
      </c>
      <c r="C8497" s="9" t="s">
        <v>497</v>
      </c>
      <c r="D8497" s="9" t="s">
        <v>99</v>
      </c>
      <c r="E8497" s="6" t="s">
        <v>8254</v>
      </c>
      <c r="F8497" s="9" t="s">
        <v>15543</v>
      </c>
    </row>
    <row r="8498" ht="33.75" customHeight="1">
      <c r="A8498" s="7">
        <v>328.0</v>
      </c>
      <c r="B8498" s="9" t="s">
        <v>14740</v>
      </c>
      <c r="C8498" s="9" t="s">
        <v>497</v>
      </c>
      <c r="D8498" s="9" t="s">
        <v>101</v>
      </c>
      <c r="E8498" s="6" t="s">
        <v>8250</v>
      </c>
      <c r="F8498" s="9" t="s">
        <v>15543</v>
      </c>
    </row>
    <row r="8499" ht="33.75" customHeight="1">
      <c r="A8499" s="7">
        <v>328.0</v>
      </c>
      <c r="B8499" s="9" t="s">
        <v>14740</v>
      </c>
      <c r="C8499" s="9" t="s">
        <v>497</v>
      </c>
      <c r="D8499" s="9" t="s">
        <v>105</v>
      </c>
      <c r="E8499" s="6" t="s">
        <v>8254</v>
      </c>
      <c r="F8499" s="9" t="s">
        <v>15543</v>
      </c>
    </row>
    <row r="8500" ht="33.75" customHeight="1">
      <c r="A8500" s="7">
        <v>328.0</v>
      </c>
      <c r="B8500" s="9" t="s">
        <v>14740</v>
      </c>
      <c r="C8500" s="9" t="s">
        <v>497</v>
      </c>
      <c r="D8500" s="9" t="s">
        <v>107</v>
      </c>
      <c r="E8500" s="6" t="s">
        <v>8255</v>
      </c>
      <c r="F8500" s="9" t="s">
        <v>15543</v>
      </c>
    </row>
    <row r="8501" ht="33.75" customHeight="1">
      <c r="A8501" s="7">
        <v>328.0</v>
      </c>
      <c r="B8501" s="9" t="s">
        <v>14740</v>
      </c>
      <c r="C8501" s="9" t="s">
        <v>497</v>
      </c>
      <c r="D8501" s="9" t="s">
        <v>109</v>
      </c>
      <c r="E8501" s="6" t="s">
        <v>8257</v>
      </c>
      <c r="F8501" s="9" t="s">
        <v>15543</v>
      </c>
    </row>
    <row r="8502" ht="33.75" customHeight="1">
      <c r="A8502" s="7">
        <v>328.0</v>
      </c>
      <c r="B8502" s="9" t="s">
        <v>14740</v>
      </c>
      <c r="C8502" s="9" t="s">
        <v>497</v>
      </c>
      <c r="D8502" s="9" t="s">
        <v>637</v>
      </c>
      <c r="E8502" s="6" t="s">
        <v>8258</v>
      </c>
      <c r="F8502" s="9" t="s">
        <v>15543</v>
      </c>
    </row>
    <row r="8503" ht="33.75" customHeight="1">
      <c r="A8503" s="7">
        <v>328.0</v>
      </c>
      <c r="B8503" s="9" t="s">
        <v>14740</v>
      </c>
      <c r="C8503" s="9" t="s">
        <v>497</v>
      </c>
      <c r="D8503" s="9" t="s">
        <v>642</v>
      </c>
      <c r="E8503" s="6" t="s">
        <v>8259</v>
      </c>
      <c r="F8503" s="9" t="s">
        <v>15543</v>
      </c>
    </row>
    <row r="8504" ht="33.75" customHeight="1">
      <c r="A8504" s="7">
        <v>328.0</v>
      </c>
      <c r="B8504" s="9" t="s">
        <v>14740</v>
      </c>
      <c r="C8504" s="9" t="s">
        <v>497</v>
      </c>
      <c r="D8504" s="9" t="s">
        <v>647</v>
      </c>
      <c r="E8504" s="6" t="s">
        <v>8260</v>
      </c>
      <c r="F8504" s="9" t="s">
        <v>15543</v>
      </c>
    </row>
    <row r="8505" ht="33.75" customHeight="1">
      <c r="A8505" s="7">
        <v>328.0</v>
      </c>
      <c r="B8505" s="9" t="s">
        <v>14740</v>
      </c>
      <c r="C8505" s="9" t="s">
        <v>497</v>
      </c>
      <c r="D8505" s="9" t="s">
        <v>652</v>
      </c>
      <c r="E8505" s="6" t="s">
        <v>8261</v>
      </c>
      <c r="F8505" s="9" t="s">
        <v>15543</v>
      </c>
    </row>
    <row r="8506" ht="33.75" customHeight="1">
      <c r="A8506" s="7">
        <v>328.0</v>
      </c>
      <c r="B8506" s="9" t="s">
        <v>14740</v>
      </c>
      <c r="C8506" s="9" t="s">
        <v>497</v>
      </c>
      <c r="D8506" s="9" t="s">
        <v>114</v>
      </c>
      <c r="E8506" s="6" t="s">
        <v>8253</v>
      </c>
      <c r="F8506" s="9" t="s">
        <v>15543</v>
      </c>
    </row>
    <row r="8507" ht="33.75" customHeight="1">
      <c r="A8507" s="7">
        <v>328.0</v>
      </c>
      <c r="B8507" s="9" t="s">
        <v>14740</v>
      </c>
      <c r="C8507" s="9" t="s">
        <v>497</v>
      </c>
      <c r="D8507" s="9" t="s">
        <v>117</v>
      </c>
      <c r="E8507" s="6" t="s">
        <v>8254</v>
      </c>
      <c r="F8507" s="9" t="s">
        <v>15543</v>
      </c>
    </row>
    <row r="8508" ht="33.75" customHeight="1">
      <c r="A8508" s="7">
        <v>329.0</v>
      </c>
      <c r="B8508" s="9" t="s">
        <v>14756</v>
      </c>
      <c r="C8508" s="9" t="s">
        <v>498</v>
      </c>
      <c r="D8508" s="9" t="s">
        <v>67</v>
      </c>
      <c r="E8508" s="6" t="s">
        <v>8262</v>
      </c>
      <c r="F8508" s="9" t="s">
        <v>15549</v>
      </c>
      <c r="G8508" t="inlineStr" s="6">
        <is>
          <t xml:space="preserve">To make prey faint, VIBRAVA generates ultrasonic waves by vigorously making Vibrava's two wings vibrate. This POKéMON’s ultrasonic waves are so powerful, they can bring on headaches in people. VIBRAVA’s wings have not yet completed the process of growing. Rather than flying long distances, they are more useful for generating ultrasonic waves by vibrating. It looses ultrasonic waves by rubbing its wings together. Since a VIBRAVA’s wings are still in the process of growing, it can only fly short distances. It generates ultrasonic waves by violently flapping its wings. After making its prey faint, it melts the prey with acid. It violently shudders its wings, generating ultrasonic waves to induce headaches in people. It vibrates its wings vigorously, creating ultrasonic waves that cause serious headaches. The ultrasonic waves it generates by rubbing its two wings together cause severe headaches. Rather than using its underdeveloped wings for flight, it rubs them together, producing ultrasonic waves to attack its enemies. To help make its wings grow, it dissolves quantities of prey in its digestive juices and guzzles them down every day. It vibrates its wings to generate ultrasonic waves, causing its prey to faint. Then it buries the prey alive in the sand to preserve it. It vibrates its wings to send out odd sound waves. Trainers who are with it need earplugs.</t>
        </is>
      </c>
    </row>
    <row r="8509" ht="33.75" customHeight="1">
      <c r="A8509" s="7">
        <v>329.0</v>
      </c>
      <c r="B8509" s="9" t="s">
        <v>14756</v>
      </c>
      <c r="C8509" s="9" t="s">
        <v>498</v>
      </c>
      <c r="D8509" s="9" t="s">
        <v>71</v>
      </c>
      <c r="E8509" s="6" t="s">
        <v>8264</v>
      </c>
      <c r="F8509" s="9" t="s">
        <v>15549</v>
      </c>
    </row>
    <row r="8510" ht="33.75" customHeight="1">
      <c r="A8510" s="7">
        <v>329.0</v>
      </c>
      <c r="B8510" s="9" t="s">
        <v>14756</v>
      </c>
      <c r="C8510" s="9" t="s">
        <v>498</v>
      </c>
      <c r="D8510" s="9" t="s">
        <v>73</v>
      </c>
      <c r="E8510" s="6" t="s">
        <v>8265</v>
      </c>
      <c r="F8510" s="9" t="s">
        <v>15549</v>
      </c>
    </row>
    <row r="8511" ht="33.75" customHeight="1">
      <c r="A8511" s="7">
        <v>329.0</v>
      </c>
      <c r="B8511" s="9" t="s">
        <v>14756</v>
      </c>
      <c r="C8511" s="9" t="s">
        <v>498</v>
      </c>
      <c r="D8511" s="9" t="s">
        <v>75</v>
      </c>
      <c r="E8511" s="6" t="s">
        <v>8266</v>
      </c>
      <c r="F8511" s="9" t="s">
        <v>15549</v>
      </c>
    </row>
    <row r="8512" ht="33.75" customHeight="1">
      <c r="A8512" s="7">
        <v>329.0</v>
      </c>
      <c r="B8512" s="9" t="s">
        <v>14756</v>
      </c>
      <c r="C8512" s="9" t="s">
        <v>498</v>
      </c>
      <c r="D8512" s="9" t="s">
        <v>79</v>
      </c>
      <c r="E8512" s="6" t="s">
        <v>8266</v>
      </c>
      <c r="F8512" s="9" t="s">
        <v>15549</v>
      </c>
    </row>
    <row r="8513" ht="33.75" customHeight="1">
      <c r="A8513" s="7">
        <v>329.0</v>
      </c>
      <c r="B8513" s="9" t="s">
        <v>14756</v>
      </c>
      <c r="C8513" s="9" t="s">
        <v>498</v>
      </c>
      <c r="D8513" s="9" t="s">
        <v>81</v>
      </c>
      <c r="E8513" s="6" t="s">
        <v>8268</v>
      </c>
      <c r="F8513" s="9" t="s">
        <v>15549</v>
      </c>
    </row>
    <row r="8514" ht="33.75" customHeight="1">
      <c r="A8514" s="7">
        <v>329.0</v>
      </c>
      <c r="B8514" s="9" t="s">
        <v>14756</v>
      </c>
      <c r="C8514" s="9" t="s">
        <v>498</v>
      </c>
      <c r="D8514" s="9" t="s">
        <v>84</v>
      </c>
      <c r="E8514" s="6" t="s">
        <v>8268</v>
      </c>
      <c r="F8514" s="9" t="s">
        <v>15549</v>
      </c>
    </row>
    <row r="8515" ht="33.75" customHeight="1">
      <c r="A8515" s="7">
        <v>329.0</v>
      </c>
      <c r="B8515" s="9" t="s">
        <v>14756</v>
      </c>
      <c r="C8515" s="9" t="s">
        <v>498</v>
      </c>
      <c r="D8515" s="9" t="s">
        <v>87</v>
      </c>
      <c r="E8515" s="6" t="s">
        <v>8268</v>
      </c>
      <c r="F8515" s="9" t="s">
        <v>15549</v>
      </c>
    </row>
    <row r="8516" ht="33.75" customHeight="1">
      <c r="A8516" s="7">
        <v>329.0</v>
      </c>
      <c r="B8516" s="9" t="s">
        <v>14756</v>
      </c>
      <c r="C8516" s="9" t="s">
        <v>498</v>
      </c>
      <c r="D8516" s="9" t="s">
        <v>89</v>
      </c>
      <c r="E8516" s="6" t="s">
        <v>8269</v>
      </c>
      <c r="F8516" s="9" t="s">
        <v>15549</v>
      </c>
    </row>
    <row r="8517" ht="33.75" customHeight="1">
      <c r="A8517" s="7">
        <v>329.0</v>
      </c>
      <c r="B8517" s="9" t="s">
        <v>14756</v>
      </c>
      <c r="C8517" s="9" t="s">
        <v>498</v>
      </c>
      <c r="D8517" s="9" t="s">
        <v>91</v>
      </c>
      <c r="E8517" s="6" t="s">
        <v>8269</v>
      </c>
      <c r="F8517" s="9" t="s">
        <v>15549</v>
      </c>
    </row>
    <row r="8518" ht="33.75" customHeight="1">
      <c r="A8518" s="7">
        <v>329.0</v>
      </c>
      <c r="B8518" s="9" t="s">
        <v>14756</v>
      </c>
      <c r="C8518" s="9" t="s">
        <v>498</v>
      </c>
      <c r="D8518" s="9" t="s">
        <v>93</v>
      </c>
      <c r="E8518" s="6" t="s">
        <v>8268</v>
      </c>
      <c r="F8518" s="9" t="s">
        <v>15549</v>
      </c>
    </row>
    <row r="8519" ht="33.75" customHeight="1">
      <c r="A8519" s="7">
        <v>329.0</v>
      </c>
      <c r="B8519" s="9" t="s">
        <v>14756</v>
      </c>
      <c r="C8519" s="9" t="s">
        <v>498</v>
      </c>
      <c r="D8519" s="9" t="s">
        <v>95</v>
      </c>
      <c r="E8519" s="6" t="s">
        <v>8268</v>
      </c>
      <c r="F8519" s="9" t="s">
        <v>15549</v>
      </c>
    </row>
    <row r="8520" ht="33.75" customHeight="1">
      <c r="A8520" s="7">
        <v>329.0</v>
      </c>
      <c r="B8520" s="9" t="s">
        <v>14756</v>
      </c>
      <c r="C8520" s="9" t="s">
        <v>498</v>
      </c>
      <c r="D8520" s="9" t="s">
        <v>98</v>
      </c>
      <c r="E8520" s="6" t="s">
        <v>8270</v>
      </c>
      <c r="F8520" s="9" t="s">
        <v>15549</v>
      </c>
    </row>
    <row r="8521" ht="33.75" customHeight="1">
      <c r="A8521" s="7">
        <v>329.0</v>
      </c>
      <c r="B8521" s="9" t="s">
        <v>14756</v>
      </c>
      <c r="C8521" s="9" t="s">
        <v>498</v>
      </c>
      <c r="D8521" s="9" t="s">
        <v>99</v>
      </c>
      <c r="E8521" s="6" t="s">
        <v>8270</v>
      </c>
      <c r="F8521" s="9" t="s">
        <v>15549</v>
      </c>
    </row>
    <row r="8522" ht="33.75" customHeight="1">
      <c r="A8522" s="7">
        <v>329.0</v>
      </c>
      <c r="B8522" s="9" t="s">
        <v>14756</v>
      </c>
      <c r="C8522" s="9" t="s">
        <v>498</v>
      </c>
      <c r="D8522" s="9" t="s">
        <v>101</v>
      </c>
      <c r="E8522" s="6" t="s">
        <v>8270</v>
      </c>
      <c r="F8522" s="9" t="s">
        <v>15549</v>
      </c>
    </row>
    <row r="8523" ht="33.75" customHeight="1">
      <c r="A8523" s="7">
        <v>329.0</v>
      </c>
      <c r="B8523" s="9" t="s">
        <v>14756</v>
      </c>
      <c r="C8523" s="9" t="s">
        <v>498</v>
      </c>
      <c r="D8523" s="9" t="s">
        <v>105</v>
      </c>
      <c r="E8523" s="6" t="s">
        <v>8266</v>
      </c>
      <c r="F8523" s="9" t="s">
        <v>15549</v>
      </c>
    </row>
    <row r="8524" ht="33.75" customHeight="1">
      <c r="A8524" s="7">
        <v>329.0</v>
      </c>
      <c r="B8524" s="9" t="s">
        <v>14756</v>
      </c>
      <c r="C8524" s="9" t="s">
        <v>498</v>
      </c>
      <c r="D8524" s="9" t="s">
        <v>107</v>
      </c>
      <c r="E8524" s="6" t="s">
        <v>8271</v>
      </c>
      <c r="F8524" s="9" t="s">
        <v>15549</v>
      </c>
    </row>
    <row r="8525" ht="33.75" customHeight="1">
      <c r="A8525" s="7">
        <v>329.0</v>
      </c>
      <c r="B8525" s="9" t="s">
        <v>14756</v>
      </c>
      <c r="C8525" s="9" t="s">
        <v>498</v>
      </c>
      <c r="D8525" s="9" t="s">
        <v>109</v>
      </c>
      <c r="E8525" s="6" t="s">
        <v>8273</v>
      </c>
      <c r="F8525" s="9" t="s">
        <v>15549</v>
      </c>
    </row>
    <row r="8526" ht="33.75" customHeight="1">
      <c r="A8526" s="7">
        <v>329.0</v>
      </c>
      <c r="B8526" s="9" t="s">
        <v>14756</v>
      </c>
      <c r="C8526" s="9" t="s">
        <v>498</v>
      </c>
      <c r="D8526" s="9" t="s">
        <v>637</v>
      </c>
      <c r="E8526" s="6" t="s">
        <v>8274</v>
      </c>
      <c r="F8526" s="9" t="s">
        <v>15549</v>
      </c>
    </row>
    <row r="8527" ht="33.75" customHeight="1">
      <c r="A8527" s="7">
        <v>329.0</v>
      </c>
      <c r="B8527" s="9" t="s">
        <v>14756</v>
      </c>
      <c r="C8527" s="9" t="s">
        <v>498</v>
      </c>
      <c r="D8527" s="9" t="s">
        <v>642</v>
      </c>
      <c r="E8527" s="6" t="s">
        <v>8275</v>
      </c>
      <c r="F8527" s="9" t="s">
        <v>15549</v>
      </c>
    </row>
    <row r="8528" ht="33.75" customHeight="1">
      <c r="A8528" s="7">
        <v>329.0</v>
      </c>
      <c r="B8528" s="9" t="s">
        <v>14756</v>
      </c>
      <c r="C8528" s="9" t="s">
        <v>498</v>
      </c>
      <c r="D8528" s="9" t="s">
        <v>647</v>
      </c>
      <c r="E8528" s="6" t="s">
        <v>8277</v>
      </c>
      <c r="F8528" s="9" t="s">
        <v>15549</v>
      </c>
    </row>
    <row r="8529" ht="33.75" customHeight="1">
      <c r="A8529" s="7">
        <v>329.0</v>
      </c>
      <c r="B8529" s="9" t="s">
        <v>14756</v>
      </c>
      <c r="C8529" s="9" t="s">
        <v>498</v>
      </c>
      <c r="D8529" s="9" t="s">
        <v>652</v>
      </c>
      <c r="E8529" s="6" t="s">
        <v>8279</v>
      </c>
      <c r="F8529" s="9" t="s">
        <v>15549</v>
      </c>
    </row>
    <row r="8530" ht="33.75" customHeight="1">
      <c r="A8530" s="7">
        <v>329.0</v>
      </c>
      <c r="B8530" s="9" t="s">
        <v>14756</v>
      </c>
      <c r="C8530" s="9" t="s">
        <v>498</v>
      </c>
      <c r="D8530" s="9" t="s">
        <v>114</v>
      </c>
      <c r="E8530" s="6" t="s">
        <v>8270</v>
      </c>
      <c r="F8530" s="9" t="s">
        <v>15549</v>
      </c>
    </row>
    <row r="8531" ht="33.75" customHeight="1">
      <c r="A8531" s="7">
        <v>329.0</v>
      </c>
      <c r="B8531" s="9" t="s">
        <v>14756</v>
      </c>
      <c r="C8531" s="9" t="s">
        <v>498</v>
      </c>
      <c r="D8531" s="9" t="s">
        <v>117</v>
      </c>
      <c r="E8531" s="6" t="s">
        <v>8275</v>
      </c>
      <c r="F8531" s="9" t="s">
        <v>15549</v>
      </c>
    </row>
    <row r="8532" ht="33.75" customHeight="1">
      <c r="A8532" s="7">
        <v>330.0</v>
      </c>
      <c r="B8532" s="9" t="s">
        <v>14772</v>
      </c>
      <c r="C8532" s="9" t="s">
        <v>275</v>
      </c>
      <c r="D8532" s="9" t="s">
        <v>67</v>
      </c>
      <c r="E8532" s="6" t="s">
        <v>8280</v>
      </c>
      <c r="F8532" s="9" t="s">
        <v>15562</v>
      </c>
      <c r="G8532" t="inlineStr" s="6">
        <is>
          <t xml:space="preserve">FLYGON is nicknamed “the elemental spirit of the desert. Because its flapping wings whip up a cloud of sand, this POKéMON is always enveloped in a sandstorm while flying. FLYGON whips up a sandstorm by flapping its wings. The wings create a series of notes that sound like singing. Because the “singing” is the only thing that can be heard in a sandstorm, this POKéMON is said to be the desert spirit. The flapping of its wings sounds like singing. To prevent detection by enemies, it hides itself by flapping up a cloud of desert sand. It hides itself by kicking up desert sand with its wings. Red covers shield its eyes from sand. It whips up sandstorms with powerful flaps of its wings. It is known as “The Desert Spirit. It is nicknamed “The Desert Spirit” because the flapping of its wings sounds like a woman singing. Known as “The Desert Spirit,” this Pokémon hides in the sandstorms it causes by beating its wings. The flapping of its wings sounds something like singing. Those lured by the sound are enveloped in a sandstorm, becoming Flygon’s prey. This Pokémon hides in the heart of sandstorms it creates and seldom appears where people can see it. By flapping their wings, Flygon cause sandstorms that conceal Krookodile. The team then splits the prey they catch. People continue to have their hearts stolen by its enchanting songs and find themselves stranded in the desert. It is nicknamed the Desert Spirit because the flapping of its wings sounds like a woman singing.</t>
        </is>
      </c>
    </row>
    <row r="8533" ht="33.75" customHeight="1">
      <c r="A8533" s="7">
        <v>330.0</v>
      </c>
      <c r="B8533" s="9" t="s">
        <v>14772</v>
      </c>
      <c r="C8533" s="9" t="s">
        <v>275</v>
      </c>
      <c r="D8533" s="9" t="s">
        <v>71</v>
      </c>
      <c r="E8533" s="6" t="s">
        <v>8282</v>
      </c>
      <c r="F8533" s="9" t="s">
        <v>15562</v>
      </c>
    </row>
    <row r="8534" ht="33.75" customHeight="1">
      <c r="A8534" s="7">
        <v>330.0</v>
      </c>
      <c r="B8534" s="9" t="s">
        <v>14772</v>
      </c>
      <c r="C8534" s="9" t="s">
        <v>275</v>
      </c>
      <c r="D8534" s="9" t="s">
        <v>73</v>
      </c>
      <c r="E8534" s="6" t="s">
        <v>8284</v>
      </c>
      <c r="F8534" s="9" t="s">
        <v>15562</v>
      </c>
    </row>
    <row r="8535" ht="33.75" customHeight="1">
      <c r="A8535" s="7">
        <v>330.0</v>
      </c>
      <c r="B8535" s="9" t="s">
        <v>14772</v>
      </c>
      <c r="C8535" s="9" t="s">
        <v>275</v>
      </c>
      <c r="D8535" s="9" t="s">
        <v>75</v>
      </c>
      <c r="E8535" s="6" t="s">
        <v>8286</v>
      </c>
      <c r="F8535" s="9" t="s">
        <v>15562</v>
      </c>
    </row>
    <row r="8536" ht="33.75" customHeight="1">
      <c r="A8536" s="7">
        <v>330.0</v>
      </c>
      <c r="B8536" s="9" t="s">
        <v>14772</v>
      </c>
      <c r="C8536" s="9" t="s">
        <v>275</v>
      </c>
      <c r="D8536" s="9" t="s">
        <v>79</v>
      </c>
      <c r="E8536" s="6" t="s">
        <v>8286</v>
      </c>
      <c r="F8536" s="9" t="s">
        <v>15562</v>
      </c>
    </row>
    <row r="8537" ht="33.75" customHeight="1">
      <c r="A8537" s="7">
        <v>330.0</v>
      </c>
      <c r="B8537" s="9" t="s">
        <v>14772</v>
      </c>
      <c r="C8537" s="9" t="s">
        <v>275</v>
      </c>
      <c r="D8537" s="9" t="s">
        <v>81</v>
      </c>
      <c r="E8537" s="6" t="s">
        <v>8287</v>
      </c>
      <c r="F8537" s="9" t="s">
        <v>15562</v>
      </c>
    </row>
    <row r="8538" ht="33.75" customHeight="1">
      <c r="A8538" s="7">
        <v>330.0</v>
      </c>
      <c r="B8538" s="9" t="s">
        <v>14772</v>
      </c>
      <c r="C8538" s="9" t="s">
        <v>275</v>
      </c>
      <c r="D8538" s="9" t="s">
        <v>84</v>
      </c>
      <c r="E8538" s="6" t="s">
        <v>8287</v>
      </c>
      <c r="F8538" s="9" t="s">
        <v>15562</v>
      </c>
    </row>
    <row r="8539" ht="33.75" customHeight="1">
      <c r="A8539" s="7">
        <v>330.0</v>
      </c>
      <c r="B8539" s="9" t="s">
        <v>14772</v>
      </c>
      <c r="C8539" s="9" t="s">
        <v>275</v>
      </c>
      <c r="D8539" s="9" t="s">
        <v>87</v>
      </c>
      <c r="E8539" s="6" t="s">
        <v>8287</v>
      </c>
      <c r="F8539" s="9" t="s">
        <v>15562</v>
      </c>
    </row>
    <row r="8540" ht="33.75" customHeight="1">
      <c r="A8540" s="7">
        <v>330.0</v>
      </c>
      <c r="B8540" s="9" t="s">
        <v>14772</v>
      </c>
      <c r="C8540" s="9" t="s">
        <v>275</v>
      </c>
      <c r="D8540" s="9" t="s">
        <v>89</v>
      </c>
      <c r="E8540" s="6" t="s">
        <v>8289</v>
      </c>
      <c r="F8540" s="9" t="s">
        <v>15562</v>
      </c>
    </row>
    <row r="8541" ht="33.75" customHeight="1">
      <c r="A8541" s="7">
        <v>330.0</v>
      </c>
      <c r="B8541" s="9" t="s">
        <v>14772</v>
      </c>
      <c r="C8541" s="9" t="s">
        <v>275</v>
      </c>
      <c r="D8541" s="9" t="s">
        <v>91</v>
      </c>
      <c r="E8541" s="6" t="s">
        <v>8289</v>
      </c>
      <c r="F8541" s="9" t="s">
        <v>15562</v>
      </c>
    </row>
    <row r="8542" ht="33.75" customHeight="1">
      <c r="A8542" s="7">
        <v>330.0</v>
      </c>
      <c r="B8542" s="9" t="s">
        <v>14772</v>
      </c>
      <c r="C8542" s="9" t="s">
        <v>275</v>
      </c>
      <c r="D8542" s="9" t="s">
        <v>93</v>
      </c>
      <c r="E8542" s="6" t="s">
        <v>8287</v>
      </c>
      <c r="F8542" s="9" t="s">
        <v>15562</v>
      </c>
    </row>
    <row r="8543" ht="33.75" customHeight="1">
      <c r="A8543" s="7">
        <v>330.0</v>
      </c>
      <c r="B8543" s="9" t="s">
        <v>14772</v>
      </c>
      <c r="C8543" s="9" t="s">
        <v>275</v>
      </c>
      <c r="D8543" s="9" t="s">
        <v>95</v>
      </c>
      <c r="E8543" s="6" t="s">
        <v>8287</v>
      </c>
      <c r="F8543" s="9" t="s">
        <v>15562</v>
      </c>
    </row>
    <row r="8544" ht="33.75" customHeight="1">
      <c r="A8544" s="7">
        <v>330.0</v>
      </c>
      <c r="B8544" s="9" t="s">
        <v>14772</v>
      </c>
      <c r="C8544" s="9" t="s">
        <v>275</v>
      </c>
      <c r="D8544" s="9" t="s">
        <v>98</v>
      </c>
      <c r="E8544" s="6" t="s">
        <v>8291</v>
      </c>
      <c r="F8544" s="9" t="s">
        <v>15562</v>
      </c>
    </row>
    <row r="8545" ht="33.75" customHeight="1">
      <c r="A8545" s="7">
        <v>330.0</v>
      </c>
      <c r="B8545" s="9" t="s">
        <v>14772</v>
      </c>
      <c r="C8545" s="9" t="s">
        <v>275</v>
      </c>
      <c r="D8545" s="9" t="s">
        <v>99</v>
      </c>
      <c r="E8545" s="6" t="s">
        <v>8291</v>
      </c>
      <c r="F8545" s="9" t="s">
        <v>15562</v>
      </c>
    </row>
    <row r="8546" ht="33.75" customHeight="1">
      <c r="A8546" s="7">
        <v>330.0</v>
      </c>
      <c r="B8546" s="9" t="s">
        <v>14772</v>
      </c>
      <c r="C8546" s="9" t="s">
        <v>275</v>
      </c>
      <c r="D8546" s="9" t="s">
        <v>101</v>
      </c>
      <c r="E8546" s="6" t="s">
        <v>8286</v>
      </c>
      <c r="F8546" s="9" t="s">
        <v>15562</v>
      </c>
    </row>
    <row r="8547" ht="33.75" customHeight="1">
      <c r="A8547" s="7">
        <v>330.0</v>
      </c>
      <c r="B8547" s="9" t="s">
        <v>14772</v>
      </c>
      <c r="C8547" s="9" t="s">
        <v>275</v>
      </c>
      <c r="D8547" s="9" t="s">
        <v>105</v>
      </c>
      <c r="E8547" s="6" t="s">
        <v>8291</v>
      </c>
      <c r="F8547" s="9" t="s">
        <v>15562</v>
      </c>
    </row>
    <row r="8548" ht="33.75" customHeight="1">
      <c r="A8548" s="7">
        <v>330.0</v>
      </c>
      <c r="B8548" s="9" t="s">
        <v>14772</v>
      </c>
      <c r="C8548" s="9" t="s">
        <v>275</v>
      </c>
      <c r="D8548" s="9" t="s">
        <v>107</v>
      </c>
      <c r="E8548" s="6" t="s">
        <v>8294</v>
      </c>
      <c r="F8548" s="9" t="s">
        <v>15562</v>
      </c>
    </row>
    <row r="8549" ht="33.75" customHeight="1">
      <c r="A8549" s="7">
        <v>330.0</v>
      </c>
      <c r="B8549" s="9" t="s">
        <v>14772</v>
      </c>
      <c r="C8549" s="9" t="s">
        <v>275</v>
      </c>
      <c r="D8549" s="9" t="s">
        <v>109</v>
      </c>
      <c r="E8549" s="6" t="s">
        <v>8296</v>
      </c>
      <c r="F8549" s="9" t="s">
        <v>15562</v>
      </c>
    </row>
    <row r="8550" ht="33.75" customHeight="1">
      <c r="A8550" s="7">
        <v>330.0</v>
      </c>
      <c r="B8550" s="9" t="s">
        <v>14772</v>
      </c>
      <c r="C8550" s="9" t="s">
        <v>275</v>
      </c>
      <c r="D8550" s="9" t="s">
        <v>637</v>
      </c>
      <c r="E8550" s="6" t="s">
        <v>8297</v>
      </c>
      <c r="F8550" s="9" t="s">
        <v>15562</v>
      </c>
    </row>
    <row r="8551" ht="33.75" customHeight="1">
      <c r="A8551" s="7">
        <v>330.0</v>
      </c>
      <c r="B8551" s="9" t="s">
        <v>14772</v>
      </c>
      <c r="C8551" s="9" t="s">
        <v>275</v>
      </c>
      <c r="D8551" s="9" t="s">
        <v>642</v>
      </c>
      <c r="E8551" s="6" t="s">
        <v>8299</v>
      </c>
      <c r="F8551" s="9" t="s">
        <v>15562</v>
      </c>
    </row>
    <row r="8552" ht="33.75" customHeight="1">
      <c r="A8552" s="7">
        <v>330.0</v>
      </c>
      <c r="B8552" s="9" t="s">
        <v>14772</v>
      </c>
      <c r="C8552" s="9" t="s">
        <v>275</v>
      </c>
      <c r="D8552" s="9" t="s">
        <v>647</v>
      </c>
      <c r="E8552" s="6" t="s">
        <v>8301</v>
      </c>
      <c r="F8552" s="9" t="s">
        <v>15562</v>
      </c>
    </row>
    <row r="8553" ht="33.75" customHeight="1">
      <c r="A8553" s="7">
        <v>330.0</v>
      </c>
      <c r="B8553" s="9" t="s">
        <v>14772</v>
      </c>
      <c r="C8553" s="9" t="s">
        <v>275</v>
      </c>
      <c r="D8553" s="9" t="s">
        <v>652</v>
      </c>
      <c r="E8553" s="6" t="s">
        <v>8303</v>
      </c>
      <c r="F8553" s="9" t="s">
        <v>15562</v>
      </c>
    </row>
    <row r="8554" ht="33.75" customHeight="1">
      <c r="A8554" s="7">
        <v>330.0</v>
      </c>
      <c r="B8554" s="9" t="s">
        <v>14772</v>
      </c>
      <c r="C8554" s="9" t="s">
        <v>275</v>
      </c>
      <c r="D8554" s="9" t="s">
        <v>114</v>
      </c>
      <c r="E8554" s="6" t="s">
        <v>8299</v>
      </c>
      <c r="F8554" s="9" t="s">
        <v>15562</v>
      </c>
    </row>
    <row r="8555" ht="33.75" customHeight="1">
      <c r="A8555" s="7">
        <v>330.0</v>
      </c>
      <c r="B8555" s="9" t="s">
        <v>14772</v>
      </c>
      <c r="C8555" s="9" t="s">
        <v>275</v>
      </c>
      <c r="D8555" s="9" t="s">
        <v>117</v>
      </c>
      <c r="E8555" s="6" t="s">
        <v>8304</v>
      </c>
      <c r="F8555" s="9" t="s">
        <v>15562</v>
      </c>
    </row>
    <row r="8556" ht="33.75" customHeight="1">
      <c r="A8556" s="7">
        <v>331.0</v>
      </c>
      <c r="B8556" s="9" t="s">
        <v>14789</v>
      </c>
      <c r="C8556" s="9" t="s">
        <v>499</v>
      </c>
      <c r="D8556" s="9" t="s">
        <v>67</v>
      </c>
      <c r="E8556" s="6" t="s">
        <v>8306</v>
      </c>
      <c r="F8556" s="9" t="s">
        <v>15573</v>
      </c>
      <c r="G8556" t="inlineStr" s="6">
        <is>
          <t xml:space="preserve">CACNEA lives in arid locations such as deserts. It releases a strong aroma from its flower to attract prey. When prey comes near, this POKéMON shoots sharp thorns from its body to bring the victim down. The more arid and harsh the environment, the more pretty and fragrant a flower CACNEA grows. This POKéMON battles by wildly swinging its thorny arms. CACNEA live in deserts with virtually no rainfall. It battles by swinging its thick, spiked arms. Once a year, a yellow flower blooms. It prefers harsh environments such as deserts. It can survive for 30 days on water stored in its body. By storing water in its body, this desert dweller can survive for 30 days without water. It lives in arid locations. Its yellow flowers bloom once a year.</t>
        </is>
      </c>
    </row>
    <row r="8557" ht="33.75" customHeight="1">
      <c r="A8557" s="7">
        <v>331.0</v>
      </c>
      <c r="B8557" s="9" t="s">
        <v>14789</v>
      </c>
      <c r="C8557" s="9" t="s">
        <v>499</v>
      </c>
      <c r="D8557" s="9" t="s">
        <v>71</v>
      </c>
      <c r="E8557" s="6" t="s">
        <v>8308</v>
      </c>
      <c r="F8557" s="9" t="s">
        <v>15573</v>
      </c>
    </row>
    <row r="8558" ht="33.75" customHeight="1">
      <c r="A8558" s="7">
        <v>331.0</v>
      </c>
      <c r="B8558" s="9" t="s">
        <v>14789</v>
      </c>
      <c r="C8558" s="9" t="s">
        <v>499</v>
      </c>
      <c r="D8558" s="9" t="s">
        <v>73</v>
      </c>
      <c r="E8558" s="6" t="s">
        <v>8309</v>
      </c>
      <c r="F8558" s="9" t="s">
        <v>15573</v>
      </c>
    </row>
    <row r="8559" ht="33.75" customHeight="1">
      <c r="A8559" s="7">
        <v>331.0</v>
      </c>
      <c r="B8559" s="9" t="s">
        <v>14789</v>
      </c>
      <c r="C8559" s="9" t="s">
        <v>499</v>
      </c>
      <c r="D8559" s="9" t="s">
        <v>75</v>
      </c>
      <c r="E8559" s="6" t="s">
        <v>8311</v>
      </c>
      <c r="F8559" s="9" t="s">
        <v>15573</v>
      </c>
    </row>
    <row r="8560" ht="33.75" customHeight="1">
      <c r="A8560" s="7">
        <v>331.0</v>
      </c>
      <c r="B8560" s="9" t="s">
        <v>14789</v>
      </c>
      <c r="C8560" s="9" t="s">
        <v>499</v>
      </c>
      <c r="D8560" s="9" t="s">
        <v>79</v>
      </c>
      <c r="E8560" s="6" t="s">
        <v>8311</v>
      </c>
      <c r="F8560" s="9" t="s">
        <v>15573</v>
      </c>
    </row>
    <row r="8561" ht="33.75" customHeight="1">
      <c r="A8561" s="7">
        <v>331.0</v>
      </c>
      <c r="B8561" s="9" t="s">
        <v>14789</v>
      </c>
      <c r="C8561" s="9" t="s">
        <v>499</v>
      </c>
      <c r="D8561" s="9" t="s">
        <v>81</v>
      </c>
      <c r="E8561" s="6" t="s">
        <v>8312</v>
      </c>
      <c r="F8561" s="9" t="s">
        <v>15573</v>
      </c>
    </row>
    <row r="8562" ht="33.75" customHeight="1">
      <c r="A8562" s="7">
        <v>331.0</v>
      </c>
      <c r="B8562" s="9" t="s">
        <v>14789</v>
      </c>
      <c r="C8562" s="9" t="s">
        <v>499</v>
      </c>
      <c r="D8562" s="9" t="s">
        <v>84</v>
      </c>
      <c r="E8562" s="6" t="s">
        <v>8312</v>
      </c>
      <c r="F8562" s="9" t="s">
        <v>15573</v>
      </c>
    </row>
    <row r="8563" ht="33.75" customHeight="1">
      <c r="A8563" s="7">
        <v>331.0</v>
      </c>
      <c r="B8563" s="9" t="s">
        <v>14789</v>
      </c>
      <c r="C8563" s="9" t="s">
        <v>499</v>
      </c>
      <c r="D8563" s="9" t="s">
        <v>87</v>
      </c>
      <c r="E8563" s="6" t="s">
        <v>8312</v>
      </c>
      <c r="F8563" s="9" t="s">
        <v>15573</v>
      </c>
    </row>
    <row r="8564" ht="33.75" customHeight="1">
      <c r="A8564" s="7">
        <v>331.0</v>
      </c>
      <c r="B8564" s="9" t="s">
        <v>14789</v>
      </c>
      <c r="C8564" s="9" t="s">
        <v>499</v>
      </c>
      <c r="D8564" s="9" t="s">
        <v>89</v>
      </c>
      <c r="E8564" s="6" t="s">
        <v>8314</v>
      </c>
      <c r="F8564" s="9" t="s">
        <v>15573</v>
      </c>
    </row>
    <row r="8565" ht="33.75" customHeight="1">
      <c r="A8565" s="7">
        <v>331.0</v>
      </c>
      <c r="B8565" s="9" t="s">
        <v>14789</v>
      </c>
      <c r="C8565" s="9" t="s">
        <v>499</v>
      </c>
      <c r="D8565" s="9" t="s">
        <v>91</v>
      </c>
      <c r="E8565" s="6" t="s">
        <v>8314</v>
      </c>
      <c r="F8565" s="9" t="s">
        <v>15573</v>
      </c>
    </row>
    <row r="8566" ht="33.75" customHeight="1">
      <c r="A8566" s="7">
        <v>331.0</v>
      </c>
      <c r="B8566" s="9" t="s">
        <v>14789</v>
      </c>
      <c r="C8566" s="9" t="s">
        <v>499</v>
      </c>
      <c r="D8566" s="9" t="s">
        <v>93</v>
      </c>
      <c r="E8566" s="6" t="s">
        <v>8312</v>
      </c>
      <c r="F8566" s="9" t="s">
        <v>15573</v>
      </c>
    </row>
    <row r="8567" ht="33.75" customHeight="1">
      <c r="A8567" s="7">
        <v>331.0</v>
      </c>
      <c r="B8567" s="9" t="s">
        <v>14789</v>
      </c>
      <c r="C8567" s="9" t="s">
        <v>499</v>
      </c>
      <c r="D8567" s="9" t="s">
        <v>95</v>
      </c>
      <c r="E8567" s="6" t="s">
        <v>8312</v>
      </c>
      <c r="F8567" s="9" t="s">
        <v>15573</v>
      </c>
    </row>
    <row r="8568" ht="33.75" customHeight="1">
      <c r="A8568" s="7">
        <v>331.0</v>
      </c>
      <c r="B8568" s="9" t="s">
        <v>14789</v>
      </c>
      <c r="C8568" s="9" t="s">
        <v>499</v>
      </c>
      <c r="D8568" s="9" t="s">
        <v>98</v>
      </c>
      <c r="E8568" s="6" t="s">
        <v>8312</v>
      </c>
      <c r="F8568" s="9" t="s">
        <v>15573</v>
      </c>
    </row>
    <row r="8569" ht="33.75" customHeight="1">
      <c r="A8569" s="7">
        <v>331.0</v>
      </c>
      <c r="B8569" s="9" t="s">
        <v>14789</v>
      </c>
      <c r="C8569" s="9" t="s">
        <v>499</v>
      </c>
      <c r="D8569" s="9" t="s">
        <v>99</v>
      </c>
      <c r="E8569" s="6" t="s">
        <v>8312</v>
      </c>
      <c r="F8569" s="9" t="s">
        <v>15573</v>
      </c>
    </row>
    <row r="8570" ht="33.75" customHeight="1">
      <c r="A8570" s="7">
        <v>331.0</v>
      </c>
      <c r="B8570" s="9" t="s">
        <v>14789</v>
      </c>
      <c r="C8570" s="9" t="s">
        <v>499</v>
      </c>
      <c r="D8570" s="9" t="s">
        <v>101</v>
      </c>
      <c r="E8570" s="6" t="s">
        <v>8314</v>
      </c>
      <c r="F8570" s="9" t="s">
        <v>15573</v>
      </c>
    </row>
    <row r="8571" ht="33.75" customHeight="1">
      <c r="A8571" s="7">
        <v>331.0</v>
      </c>
      <c r="B8571" s="9" t="s">
        <v>14789</v>
      </c>
      <c r="C8571" s="9" t="s">
        <v>499</v>
      </c>
      <c r="D8571" s="9" t="s">
        <v>105</v>
      </c>
      <c r="E8571" s="6" t="s">
        <v>8311</v>
      </c>
      <c r="F8571" s="9" t="s">
        <v>15573</v>
      </c>
    </row>
    <row r="8572" ht="33.75" customHeight="1">
      <c r="A8572" s="7">
        <v>331.0</v>
      </c>
      <c r="B8572" s="9" t="s">
        <v>14789</v>
      </c>
      <c r="C8572" s="9" t="s">
        <v>499</v>
      </c>
      <c r="D8572" s="9" t="s">
        <v>107</v>
      </c>
      <c r="E8572" s="6" t="s">
        <v>8315</v>
      </c>
      <c r="F8572" s="9" t="s">
        <v>15573</v>
      </c>
    </row>
    <row r="8573" ht="33.75" customHeight="1">
      <c r="A8573" s="7">
        <v>331.0</v>
      </c>
      <c r="B8573" s="9" t="s">
        <v>14789</v>
      </c>
      <c r="C8573" s="9" t="s">
        <v>499</v>
      </c>
      <c r="D8573" s="9" t="s">
        <v>109</v>
      </c>
      <c r="E8573" s="6" t="s">
        <v>8317</v>
      </c>
      <c r="F8573" s="9" t="s">
        <v>15573</v>
      </c>
    </row>
    <row r="8574" ht="33.75" customHeight="1">
      <c r="A8574" s="7">
        <v>332.0</v>
      </c>
      <c r="B8574" s="9" t="s">
        <v>14800</v>
      </c>
      <c r="C8574" s="9" t="s">
        <v>501</v>
      </c>
      <c r="D8574" s="9" t="s">
        <v>67</v>
      </c>
      <c r="E8574" s="6" t="s">
        <v>8319</v>
      </c>
      <c r="F8574" s="9" t="s">
        <v>15584</v>
      </c>
      <c r="G8574" t="inlineStr" s="6">
        <is>
          <t xml:space="preserve">During the daytime, CACTURNE remains unmoving so that Cacturne does not lose any moisture to the harsh desert sun. This POKéMON becomes active at night when the temperature drops. If a traveler is going through a desert in the thick of night, CACTURNE will follow in a ragtag group. The POKéMON are biding their time, waiting for the traveler to tire and become incapable of moving. After spending thousands of years in harsh deserts, its blood transformed into the same substances as sand. It is nocturnal, so it hunts at night. It lives in deserts. It becomes active at night when it hunts for prey exhausted from the desert’s heat. It becomes active at night, seeking prey that is exhausted from the day’s desert heat. Packs of them follow travelers through the desert until the travelers can no longer move.</t>
        </is>
      </c>
    </row>
    <row r="8575" ht="33.75" customHeight="1">
      <c r="A8575" s="7">
        <v>332.0</v>
      </c>
      <c r="B8575" s="9" t="s">
        <v>14800</v>
      </c>
      <c r="C8575" s="9" t="s">
        <v>501</v>
      </c>
      <c r="D8575" s="9" t="s">
        <v>71</v>
      </c>
      <c r="E8575" s="6" t="s">
        <v>8320</v>
      </c>
      <c r="F8575" s="9" t="s">
        <v>15584</v>
      </c>
    </row>
    <row r="8576" ht="33.75" customHeight="1">
      <c r="A8576" s="7">
        <v>332.0</v>
      </c>
      <c r="B8576" s="9" t="s">
        <v>14800</v>
      </c>
      <c r="C8576" s="9" t="s">
        <v>501</v>
      </c>
      <c r="D8576" s="9" t="s">
        <v>73</v>
      </c>
      <c r="E8576" s="6" t="s">
        <v>8321</v>
      </c>
      <c r="F8576" s="9" t="s">
        <v>15584</v>
      </c>
    </row>
    <row r="8577" ht="33.75" customHeight="1">
      <c r="A8577" s="7">
        <v>332.0</v>
      </c>
      <c r="B8577" s="9" t="s">
        <v>14800</v>
      </c>
      <c r="C8577" s="9" t="s">
        <v>501</v>
      </c>
      <c r="D8577" s="9" t="s">
        <v>75</v>
      </c>
      <c r="E8577" s="6" t="s">
        <v>8322</v>
      </c>
      <c r="F8577" s="9" t="s">
        <v>15584</v>
      </c>
    </row>
    <row r="8578" ht="33.75" customHeight="1">
      <c r="A8578" s="7">
        <v>332.0</v>
      </c>
      <c r="B8578" s="9" t="s">
        <v>14800</v>
      </c>
      <c r="C8578" s="9" t="s">
        <v>501</v>
      </c>
      <c r="D8578" s="9" t="s">
        <v>79</v>
      </c>
      <c r="E8578" s="6" t="s">
        <v>8322</v>
      </c>
      <c r="F8578" s="9" t="s">
        <v>15584</v>
      </c>
    </row>
    <row r="8579" ht="33.75" customHeight="1">
      <c r="A8579" s="7">
        <v>332.0</v>
      </c>
      <c r="B8579" s="9" t="s">
        <v>14800</v>
      </c>
      <c r="C8579" s="9" t="s">
        <v>501</v>
      </c>
      <c r="D8579" s="9" t="s">
        <v>81</v>
      </c>
      <c r="E8579" s="6" t="s">
        <v>8323</v>
      </c>
      <c r="F8579" s="9" t="s">
        <v>15584</v>
      </c>
    </row>
    <row r="8580" ht="33.75" customHeight="1">
      <c r="A8580" s="7">
        <v>332.0</v>
      </c>
      <c r="B8580" s="9" t="s">
        <v>14800</v>
      </c>
      <c r="C8580" s="9" t="s">
        <v>501</v>
      </c>
      <c r="D8580" s="9" t="s">
        <v>84</v>
      </c>
      <c r="E8580" s="6" t="s">
        <v>8323</v>
      </c>
      <c r="F8580" s="9" t="s">
        <v>15584</v>
      </c>
    </row>
    <row r="8581" ht="33.75" customHeight="1">
      <c r="A8581" s="7">
        <v>332.0</v>
      </c>
      <c r="B8581" s="9" t="s">
        <v>14800</v>
      </c>
      <c r="C8581" s="9" t="s">
        <v>501</v>
      </c>
      <c r="D8581" s="9" t="s">
        <v>87</v>
      </c>
      <c r="E8581" s="6" t="s">
        <v>8323</v>
      </c>
      <c r="F8581" s="9" t="s">
        <v>15584</v>
      </c>
    </row>
    <row r="8582" ht="33.75" customHeight="1">
      <c r="A8582" s="7">
        <v>332.0</v>
      </c>
      <c r="B8582" s="9" t="s">
        <v>14800</v>
      </c>
      <c r="C8582" s="9" t="s">
        <v>501</v>
      </c>
      <c r="D8582" s="9" t="s">
        <v>89</v>
      </c>
      <c r="E8582" s="6" t="s">
        <v>8324</v>
      </c>
      <c r="F8582" s="9" t="s">
        <v>15584</v>
      </c>
    </row>
    <row r="8583" ht="33.75" customHeight="1">
      <c r="A8583" s="7">
        <v>332.0</v>
      </c>
      <c r="B8583" s="9" t="s">
        <v>14800</v>
      </c>
      <c r="C8583" s="9" t="s">
        <v>501</v>
      </c>
      <c r="D8583" s="9" t="s">
        <v>91</v>
      </c>
      <c r="E8583" s="6" t="s">
        <v>8324</v>
      </c>
      <c r="F8583" s="9" t="s">
        <v>15584</v>
      </c>
    </row>
    <row r="8584" ht="33.75" customHeight="1">
      <c r="A8584" s="7">
        <v>332.0</v>
      </c>
      <c r="B8584" s="9" t="s">
        <v>14800</v>
      </c>
      <c r="C8584" s="9" t="s">
        <v>501</v>
      </c>
      <c r="D8584" s="9" t="s">
        <v>93</v>
      </c>
      <c r="E8584" s="6" t="s">
        <v>8323</v>
      </c>
      <c r="F8584" s="9" t="s">
        <v>15584</v>
      </c>
    </row>
    <row r="8585" ht="33.75" customHeight="1">
      <c r="A8585" s="7">
        <v>332.0</v>
      </c>
      <c r="B8585" s="9" t="s">
        <v>14800</v>
      </c>
      <c r="C8585" s="9" t="s">
        <v>501</v>
      </c>
      <c r="D8585" s="9" t="s">
        <v>95</v>
      </c>
      <c r="E8585" s="6" t="s">
        <v>8323</v>
      </c>
      <c r="F8585" s="9" t="s">
        <v>15584</v>
      </c>
    </row>
    <row r="8586" ht="33.75" customHeight="1">
      <c r="A8586" s="7">
        <v>332.0</v>
      </c>
      <c r="B8586" s="9" t="s">
        <v>14800</v>
      </c>
      <c r="C8586" s="9" t="s">
        <v>501</v>
      </c>
      <c r="D8586" s="9" t="s">
        <v>98</v>
      </c>
      <c r="E8586" s="6" t="s">
        <v>8323</v>
      </c>
      <c r="F8586" s="9" t="s">
        <v>15584</v>
      </c>
    </row>
    <row r="8587" ht="33.75" customHeight="1">
      <c r="A8587" s="7">
        <v>332.0</v>
      </c>
      <c r="B8587" s="9" t="s">
        <v>14800</v>
      </c>
      <c r="C8587" s="9" t="s">
        <v>501</v>
      </c>
      <c r="D8587" s="9" t="s">
        <v>99</v>
      </c>
      <c r="E8587" s="6" t="s">
        <v>8323</v>
      </c>
      <c r="F8587" s="9" t="s">
        <v>15584</v>
      </c>
    </row>
    <row r="8588" ht="33.75" customHeight="1">
      <c r="A8588" s="7">
        <v>332.0</v>
      </c>
      <c r="B8588" s="9" t="s">
        <v>14800</v>
      </c>
      <c r="C8588" s="9" t="s">
        <v>501</v>
      </c>
      <c r="D8588" s="9" t="s">
        <v>101</v>
      </c>
      <c r="E8588" s="6" t="s">
        <v>8323</v>
      </c>
      <c r="F8588" s="9" t="s">
        <v>15584</v>
      </c>
    </row>
    <row r="8589" ht="33.75" customHeight="1">
      <c r="A8589" s="7">
        <v>332.0</v>
      </c>
      <c r="B8589" s="9" t="s">
        <v>14800</v>
      </c>
      <c r="C8589" s="9" t="s">
        <v>501</v>
      </c>
      <c r="D8589" s="9" t="s">
        <v>105</v>
      </c>
      <c r="E8589" s="6" t="s">
        <v>8324</v>
      </c>
      <c r="F8589" s="9" t="s">
        <v>15584</v>
      </c>
    </row>
    <row r="8590" ht="33.75" customHeight="1">
      <c r="A8590" s="7">
        <v>332.0</v>
      </c>
      <c r="B8590" s="9" t="s">
        <v>14800</v>
      </c>
      <c r="C8590" s="9" t="s">
        <v>501</v>
      </c>
      <c r="D8590" s="9" t="s">
        <v>107</v>
      </c>
      <c r="E8590" s="6" t="s">
        <v>8325</v>
      </c>
      <c r="F8590" s="9" t="s">
        <v>15584</v>
      </c>
    </row>
    <row r="8591" ht="33.75" customHeight="1">
      <c r="A8591" s="7">
        <v>332.0</v>
      </c>
      <c r="B8591" s="9" t="s">
        <v>14800</v>
      </c>
      <c r="C8591" s="9" t="s">
        <v>501</v>
      </c>
      <c r="D8591" s="9" t="s">
        <v>109</v>
      </c>
      <c r="E8591" s="6" t="s">
        <v>8327</v>
      </c>
      <c r="F8591" s="9" t="s">
        <v>15584</v>
      </c>
    </row>
    <row r="8592" ht="33.75" customHeight="1">
      <c r="A8592" s="7">
        <v>333.0</v>
      </c>
      <c r="B8592" s="9" t="s">
        <v>14811</v>
      </c>
      <c r="C8592" s="9" t="s">
        <v>502</v>
      </c>
      <c r="D8592" s="9" t="s">
        <v>67</v>
      </c>
      <c r="E8592" s="6" t="s">
        <v>8328</v>
      </c>
      <c r="F8592" s="9" t="s">
        <v>15592</v>
      </c>
      <c r="G8592" t="inlineStr" s="6">
        <is>
          <t xml:space="preserve">SWABLU has light and fluffy wings that are like cottony clouds. This POKéMON is not frightened of people. It lands on the heads of people and sits there like a cotton-fluff hat. SWABLU loves to make things clean. If it spots something dirty, it will wipe and polish it with its cottony wings. If its wings become dirty, this POKéMON finds a stream and showers itself. A POKéMON that has wings like cottony clouds. After enduring winter, in which little food is available, SWABLU flocks move closer to towns in the spring. It constantly grooms its cotton-like wings. It takes a shower to clean itself if it becomes dirty. Its wings are like cotton tufts. If it perches on someone’s head, it looks like a cotton hat. It can’t relax if it or its surroundings are not clean. It wipes off dirt with its wings. Its wings bring cottony clouds to mind. It grooms with springwater and loves to sit on heads. For some reason, it likes to land on people’s heads softly and act like it’s a hat. Its cottony wings are full of air, making them light and fluffy to the touch. Swablu takes diligent care of its wings. Since Swablu looks like a cumulus cloud, foes can have a hard time finding it. Apparently its wings turned white over many generations.</t>
        </is>
      </c>
    </row>
    <row r="8593" ht="33.75" customHeight="1">
      <c r="A8593" s="7">
        <v>333.0</v>
      </c>
      <c r="B8593" s="9" t="s">
        <v>14811</v>
      </c>
      <c r="C8593" s="9" t="s">
        <v>502</v>
      </c>
      <c r="D8593" s="9" t="s">
        <v>71</v>
      </c>
      <c r="E8593" s="6" t="s">
        <v>8329</v>
      </c>
      <c r="F8593" s="9" t="s">
        <v>15592</v>
      </c>
    </row>
    <row r="8594" ht="33.75" customHeight="1">
      <c r="A8594" s="7">
        <v>333.0</v>
      </c>
      <c r="B8594" s="9" t="s">
        <v>14811</v>
      </c>
      <c r="C8594" s="9" t="s">
        <v>502</v>
      </c>
      <c r="D8594" s="9" t="s">
        <v>73</v>
      </c>
      <c r="E8594" s="6" t="s">
        <v>8331</v>
      </c>
      <c r="F8594" s="9" t="s">
        <v>15592</v>
      </c>
    </row>
    <row r="8595" ht="33.75" customHeight="1">
      <c r="A8595" s="7">
        <v>333.0</v>
      </c>
      <c r="B8595" s="9" t="s">
        <v>14811</v>
      </c>
      <c r="C8595" s="9" t="s">
        <v>502</v>
      </c>
      <c r="D8595" s="9" t="s">
        <v>75</v>
      </c>
      <c r="E8595" s="6" t="s">
        <v>8332</v>
      </c>
      <c r="F8595" s="9" t="s">
        <v>15592</v>
      </c>
    </row>
    <row r="8596" ht="33.75" customHeight="1">
      <c r="A8596" s="7">
        <v>333.0</v>
      </c>
      <c r="B8596" s="9" t="s">
        <v>14811</v>
      </c>
      <c r="C8596" s="9" t="s">
        <v>502</v>
      </c>
      <c r="D8596" s="9" t="s">
        <v>79</v>
      </c>
      <c r="E8596" s="6" t="s">
        <v>8332</v>
      </c>
      <c r="F8596" s="9" t="s">
        <v>15592</v>
      </c>
    </row>
    <row r="8597" ht="33.75" customHeight="1">
      <c r="A8597" s="7">
        <v>333.0</v>
      </c>
      <c r="B8597" s="9" t="s">
        <v>14811</v>
      </c>
      <c r="C8597" s="9" t="s">
        <v>502</v>
      </c>
      <c r="D8597" s="9" t="s">
        <v>81</v>
      </c>
      <c r="E8597" s="6" t="s">
        <v>8333</v>
      </c>
      <c r="F8597" s="9" t="s">
        <v>15592</v>
      </c>
    </row>
    <row r="8598" ht="33.75" customHeight="1">
      <c r="A8598" s="7">
        <v>333.0</v>
      </c>
      <c r="B8598" s="9" t="s">
        <v>14811</v>
      </c>
      <c r="C8598" s="9" t="s">
        <v>502</v>
      </c>
      <c r="D8598" s="9" t="s">
        <v>84</v>
      </c>
      <c r="E8598" s="6" t="s">
        <v>8333</v>
      </c>
      <c r="F8598" s="9" t="s">
        <v>15592</v>
      </c>
    </row>
    <row r="8599" ht="33.75" customHeight="1">
      <c r="A8599" s="7">
        <v>333.0</v>
      </c>
      <c r="B8599" s="9" t="s">
        <v>14811</v>
      </c>
      <c r="C8599" s="9" t="s">
        <v>502</v>
      </c>
      <c r="D8599" s="9" t="s">
        <v>87</v>
      </c>
      <c r="E8599" s="6" t="s">
        <v>8335</v>
      </c>
      <c r="F8599" s="9" t="s">
        <v>15592</v>
      </c>
    </row>
    <row r="8600" ht="33.75" customHeight="1">
      <c r="A8600" s="7">
        <v>333.0</v>
      </c>
      <c r="B8600" s="9" t="s">
        <v>14811</v>
      </c>
      <c r="C8600" s="9" t="s">
        <v>502</v>
      </c>
      <c r="D8600" s="9" t="s">
        <v>89</v>
      </c>
      <c r="E8600" s="6" t="s">
        <v>8336</v>
      </c>
      <c r="F8600" s="9" t="s">
        <v>15592</v>
      </c>
    </row>
    <row r="8601" ht="33.75" customHeight="1">
      <c r="A8601" s="7">
        <v>333.0</v>
      </c>
      <c r="B8601" s="9" t="s">
        <v>14811</v>
      </c>
      <c r="C8601" s="9" t="s">
        <v>502</v>
      </c>
      <c r="D8601" s="9" t="s">
        <v>91</v>
      </c>
      <c r="E8601" s="6" t="s">
        <v>8336</v>
      </c>
      <c r="F8601" s="9" t="s">
        <v>15592</v>
      </c>
    </row>
    <row r="8602" ht="33.75" customHeight="1">
      <c r="A8602" s="7">
        <v>333.0</v>
      </c>
      <c r="B8602" s="9" t="s">
        <v>14811</v>
      </c>
      <c r="C8602" s="9" t="s">
        <v>502</v>
      </c>
      <c r="D8602" s="9" t="s">
        <v>93</v>
      </c>
      <c r="E8602" s="6" t="s">
        <v>8335</v>
      </c>
      <c r="F8602" s="9" t="s">
        <v>15592</v>
      </c>
    </row>
    <row r="8603" ht="33.75" customHeight="1">
      <c r="A8603" s="7">
        <v>333.0</v>
      </c>
      <c r="B8603" s="9" t="s">
        <v>14811</v>
      </c>
      <c r="C8603" s="9" t="s">
        <v>502</v>
      </c>
      <c r="D8603" s="9" t="s">
        <v>95</v>
      </c>
      <c r="E8603" s="6" t="s">
        <v>8335</v>
      </c>
      <c r="F8603" s="9" t="s">
        <v>15592</v>
      </c>
    </row>
    <row r="8604" ht="33.75" customHeight="1">
      <c r="A8604" s="7">
        <v>333.0</v>
      </c>
      <c r="B8604" s="9" t="s">
        <v>14811</v>
      </c>
      <c r="C8604" s="9" t="s">
        <v>502</v>
      </c>
      <c r="D8604" s="9" t="s">
        <v>98</v>
      </c>
      <c r="E8604" s="6" t="s">
        <v>8338</v>
      </c>
      <c r="F8604" s="9" t="s">
        <v>15592</v>
      </c>
    </row>
    <row r="8605" ht="33.75" customHeight="1">
      <c r="A8605" s="7">
        <v>333.0</v>
      </c>
      <c r="B8605" s="9" t="s">
        <v>14811</v>
      </c>
      <c r="C8605" s="9" t="s">
        <v>502</v>
      </c>
      <c r="D8605" s="9" t="s">
        <v>99</v>
      </c>
      <c r="E8605" s="6" t="s">
        <v>8338</v>
      </c>
      <c r="F8605" s="9" t="s">
        <v>15592</v>
      </c>
    </row>
    <row r="8606" ht="33.75" customHeight="1">
      <c r="A8606" s="7">
        <v>333.0</v>
      </c>
      <c r="B8606" s="9" t="s">
        <v>14811</v>
      </c>
      <c r="C8606" s="9" t="s">
        <v>502</v>
      </c>
      <c r="D8606" s="9" t="s">
        <v>101</v>
      </c>
      <c r="E8606" s="6" t="s">
        <v>8338</v>
      </c>
      <c r="F8606" s="9" t="s">
        <v>15592</v>
      </c>
    </row>
    <row r="8607" ht="33.75" customHeight="1">
      <c r="A8607" s="7">
        <v>333.0</v>
      </c>
      <c r="B8607" s="9" t="s">
        <v>14811</v>
      </c>
      <c r="C8607" s="9" t="s">
        <v>502</v>
      </c>
      <c r="D8607" s="9" t="s">
        <v>105</v>
      </c>
      <c r="E8607" s="6" t="s">
        <v>8332</v>
      </c>
      <c r="F8607" s="9" t="s">
        <v>15592</v>
      </c>
    </row>
    <row r="8608" ht="33.75" customHeight="1">
      <c r="A8608" s="7">
        <v>333.0</v>
      </c>
      <c r="B8608" s="9" t="s">
        <v>14811</v>
      </c>
      <c r="C8608" s="9" t="s">
        <v>502</v>
      </c>
      <c r="D8608" s="9" t="s">
        <v>107</v>
      </c>
      <c r="E8608" s="6" t="s">
        <v>8339</v>
      </c>
      <c r="F8608" s="9" t="s">
        <v>15592</v>
      </c>
    </row>
    <row r="8609" ht="33.75" customHeight="1">
      <c r="A8609" s="7">
        <v>333.0</v>
      </c>
      <c r="B8609" s="9" t="s">
        <v>14811</v>
      </c>
      <c r="C8609" s="9" t="s">
        <v>502</v>
      </c>
      <c r="D8609" s="9" t="s">
        <v>109</v>
      </c>
      <c r="E8609" s="6" t="s">
        <v>8341</v>
      </c>
      <c r="F8609" s="9" t="s">
        <v>15592</v>
      </c>
    </row>
    <row r="8610" ht="33.75" customHeight="1">
      <c r="A8610" s="7">
        <v>333.0</v>
      </c>
      <c r="B8610" s="9" t="s">
        <v>14811</v>
      </c>
      <c r="C8610" s="9" t="s">
        <v>502</v>
      </c>
      <c r="D8610" s="9" t="s">
        <v>114</v>
      </c>
      <c r="E8610" s="6" t="s">
        <v>8342</v>
      </c>
      <c r="F8610" s="9" t="s">
        <v>15592</v>
      </c>
    </row>
    <row r="8611" ht="33.75" customHeight="1">
      <c r="A8611" s="7">
        <v>333.0</v>
      </c>
      <c r="B8611" s="9" t="s">
        <v>14811</v>
      </c>
      <c r="C8611" s="9" t="s">
        <v>502</v>
      </c>
      <c r="D8611" s="9" t="s">
        <v>117</v>
      </c>
      <c r="E8611" s="6" t="s">
        <v>8344</v>
      </c>
      <c r="F8611" s="9" t="s">
        <v>15592</v>
      </c>
    </row>
    <row r="8612" ht="33.75" customHeight="1">
      <c r="A8612" s="7">
        <v>334.0</v>
      </c>
      <c r="B8612" s="9" t="s">
        <v>14826</v>
      </c>
      <c r="C8612" s="9" t="s">
        <v>504</v>
      </c>
      <c r="D8612" s="9" t="s">
        <v>67</v>
      </c>
      <c r="E8612" s="6" t="s">
        <v>8346</v>
      </c>
      <c r="F8612" s="9" t="s">
        <v>15604</v>
      </c>
      <c r="G8612" t="inlineStr" s="6">
        <is>
          <t xml:space="preserve">ALTARIA dances and wheels through the sky among billowing, cotton-like clouds. By singing melodies in its crystal-clear voice, this POKéMON makes its listeners experience dreamy wonderment. ALTARIA sings in a gorgeous soprano. Its wings are like cotton clouds. This POKéMON catches updrafts with its buoyant wings and soars way up into the wild blue yonder. It hums in a beautiful soprano voice. It flies among white clouds in the blue sky. It launches intensely hot fireballs from its mouth. If you hear a beautiful melody trilling deep among mountains far from people, it is ALTARIA’s humming. It looks like a fluffy cloud when it is in flight. It hums with its soprano voice. If it bonds with a person, it will gently envelop the friend with its soft wings, then hum. It flies gracefully through the sky. Its melodic humming makes you feel like you’re in a dream. On sunny days, it flies freely through the sky and blends into the clouds. It sings in a beautiful soprano. As it flies in a calm and relaxed manner, Altaria performs a humming song that would enrapture any audience. This Pokémon has a kind disposition, but if it’s provoked, it will threaten opponents with shrill cries before attacking them without mercy.</t>
        </is>
      </c>
    </row>
    <row r="8613" ht="33.75" customHeight="1">
      <c r="A8613" s="7">
        <v>334.0</v>
      </c>
      <c r="B8613" s="9" t="s">
        <v>14826</v>
      </c>
      <c r="C8613" s="9" t="s">
        <v>504</v>
      </c>
      <c r="D8613" s="9" t="s">
        <v>71</v>
      </c>
      <c r="E8613" s="6" t="s">
        <v>8348</v>
      </c>
      <c r="F8613" s="9" t="s">
        <v>15604</v>
      </c>
    </row>
    <row r="8614" ht="33.75" customHeight="1">
      <c r="A8614" s="7">
        <v>334.0</v>
      </c>
      <c r="B8614" s="9" t="s">
        <v>14826</v>
      </c>
      <c r="C8614" s="9" t="s">
        <v>504</v>
      </c>
      <c r="D8614" s="9" t="s">
        <v>73</v>
      </c>
      <c r="E8614" s="6" t="s">
        <v>8349</v>
      </c>
      <c r="F8614" s="9" t="s">
        <v>15604</v>
      </c>
    </row>
    <row r="8615" ht="33.75" customHeight="1">
      <c r="A8615" s="7">
        <v>334.0</v>
      </c>
      <c r="B8615" s="9" t="s">
        <v>14826</v>
      </c>
      <c r="C8615" s="9" t="s">
        <v>504</v>
      </c>
      <c r="D8615" s="9" t="s">
        <v>75</v>
      </c>
      <c r="E8615" s="6" t="s">
        <v>8350</v>
      </c>
      <c r="F8615" s="9" t="s">
        <v>15604</v>
      </c>
    </row>
    <row r="8616" ht="33.75" customHeight="1">
      <c r="A8616" s="7">
        <v>334.0</v>
      </c>
      <c r="B8616" s="9" t="s">
        <v>14826</v>
      </c>
      <c r="C8616" s="9" t="s">
        <v>504</v>
      </c>
      <c r="D8616" s="9" t="s">
        <v>79</v>
      </c>
      <c r="E8616" s="6" t="s">
        <v>8350</v>
      </c>
      <c r="F8616" s="9" t="s">
        <v>15604</v>
      </c>
    </row>
    <row r="8617" ht="33.75" customHeight="1">
      <c r="A8617" s="7">
        <v>334.0</v>
      </c>
      <c r="B8617" s="9" t="s">
        <v>14826</v>
      </c>
      <c r="C8617" s="9" t="s">
        <v>504</v>
      </c>
      <c r="D8617" s="9" t="s">
        <v>81</v>
      </c>
      <c r="E8617" s="6" t="s">
        <v>8351</v>
      </c>
      <c r="F8617" s="9" t="s">
        <v>15604</v>
      </c>
    </row>
    <row r="8618" ht="33.75" customHeight="1">
      <c r="A8618" s="7">
        <v>334.0</v>
      </c>
      <c r="B8618" s="9" t="s">
        <v>14826</v>
      </c>
      <c r="C8618" s="9" t="s">
        <v>504</v>
      </c>
      <c r="D8618" s="9" t="s">
        <v>84</v>
      </c>
      <c r="E8618" s="6" t="s">
        <v>8351</v>
      </c>
      <c r="F8618" s="9" t="s">
        <v>15604</v>
      </c>
    </row>
    <row r="8619" ht="33.75" customHeight="1">
      <c r="A8619" s="7">
        <v>334.0</v>
      </c>
      <c r="B8619" s="9" t="s">
        <v>14826</v>
      </c>
      <c r="C8619" s="9" t="s">
        <v>504</v>
      </c>
      <c r="D8619" s="9" t="s">
        <v>87</v>
      </c>
      <c r="E8619" s="6" t="s">
        <v>8352</v>
      </c>
      <c r="F8619" s="9" t="s">
        <v>15604</v>
      </c>
    </row>
    <row r="8620" ht="33.75" customHeight="1">
      <c r="A8620" s="7">
        <v>334.0</v>
      </c>
      <c r="B8620" s="9" t="s">
        <v>14826</v>
      </c>
      <c r="C8620" s="9" t="s">
        <v>504</v>
      </c>
      <c r="D8620" s="9" t="s">
        <v>89</v>
      </c>
      <c r="E8620" s="6" t="s">
        <v>8354</v>
      </c>
      <c r="F8620" s="9" t="s">
        <v>15604</v>
      </c>
    </row>
    <row r="8621" ht="33.75" customHeight="1">
      <c r="A8621" s="7">
        <v>334.0</v>
      </c>
      <c r="B8621" s="9" t="s">
        <v>14826</v>
      </c>
      <c r="C8621" s="9" t="s">
        <v>504</v>
      </c>
      <c r="D8621" s="9" t="s">
        <v>91</v>
      </c>
      <c r="E8621" s="6" t="s">
        <v>8354</v>
      </c>
      <c r="F8621" s="9" t="s">
        <v>15604</v>
      </c>
    </row>
    <row r="8622" ht="33.75" customHeight="1">
      <c r="A8622" s="7">
        <v>334.0</v>
      </c>
      <c r="B8622" s="9" t="s">
        <v>14826</v>
      </c>
      <c r="C8622" s="9" t="s">
        <v>504</v>
      </c>
      <c r="D8622" s="9" t="s">
        <v>93</v>
      </c>
      <c r="E8622" s="6" t="s">
        <v>8352</v>
      </c>
      <c r="F8622" s="9" t="s">
        <v>15604</v>
      </c>
    </row>
    <row r="8623" ht="33.75" customHeight="1">
      <c r="A8623" s="7">
        <v>334.0</v>
      </c>
      <c r="B8623" s="9" t="s">
        <v>14826</v>
      </c>
      <c r="C8623" s="9" t="s">
        <v>504</v>
      </c>
      <c r="D8623" s="9" t="s">
        <v>95</v>
      </c>
      <c r="E8623" s="6" t="s">
        <v>8352</v>
      </c>
      <c r="F8623" s="9" t="s">
        <v>15604</v>
      </c>
    </row>
    <row r="8624" ht="33.75" customHeight="1">
      <c r="A8624" s="7">
        <v>334.0</v>
      </c>
      <c r="B8624" s="9" t="s">
        <v>14826</v>
      </c>
      <c r="C8624" s="9" t="s">
        <v>504</v>
      </c>
      <c r="D8624" s="9" t="s">
        <v>98</v>
      </c>
      <c r="E8624" s="6" t="s">
        <v>8358</v>
      </c>
      <c r="F8624" s="9" t="s">
        <v>15604</v>
      </c>
    </row>
    <row r="8625" ht="33.75" customHeight="1">
      <c r="A8625" s="7">
        <v>334.0</v>
      </c>
      <c r="B8625" s="9" t="s">
        <v>14826</v>
      </c>
      <c r="C8625" s="9" t="s">
        <v>504</v>
      </c>
      <c r="D8625" s="9" t="s">
        <v>99</v>
      </c>
      <c r="E8625" s="6" t="s">
        <v>8358</v>
      </c>
      <c r="F8625" s="9" t="s">
        <v>15604</v>
      </c>
    </row>
    <row r="8626" ht="33.75" customHeight="1">
      <c r="A8626" s="7">
        <v>334.0</v>
      </c>
      <c r="B8626" s="9" t="s">
        <v>14826</v>
      </c>
      <c r="C8626" s="9" t="s">
        <v>504</v>
      </c>
      <c r="D8626" s="9" t="s">
        <v>101</v>
      </c>
      <c r="E8626" s="6" t="s">
        <v>8354</v>
      </c>
      <c r="F8626" s="9" t="s">
        <v>15604</v>
      </c>
    </row>
    <row r="8627" ht="33.75" customHeight="1">
      <c r="A8627" s="7">
        <v>334.0</v>
      </c>
      <c r="B8627" s="9" t="s">
        <v>14826</v>
      </c>
      <c r="C8627" s="9" t="s">
        <v>504</v>
      </c>
      <c r="D8627" s="9" t="s">
        <v>105</v>
      </c>
      <c r="E8627" s="6" t="s">
        <v>8358</v>
      </c>
      <c r="F8627" s="9" t="s">
        <v>15604</v>
      </c>
    </row>
    <row r="8628" ht="33.75" customHeight="1">
      <c r="A8628" s="7">
        <v>334.0</v>
      </c>
      <c r="B8628" s="9" t="s">
        <v>14826</v>
      </c>
      <c r="C8628" s="9" t="s">
        <v>504</v>
      </c>
      <c r="D8628" s="9" t="s">
        <v>107</v>
      </c>
      <c r="E8628" s="6" t="s">
        <v>8359</v>
      </c>
      <c r="F8628" s="9" t="s">
        <v>15604</v>
      </c>
    </row>
    <row r="8629" ht="33.75" customHeight="1">
      <c r="A8629" s="7">
        <v>334.0</v>
      </c>
      <c r="B8629" s="9" t="s">
        <v>14826</v>
      </c>
      <c r="C8629" s="9" t="s">
        <v>504</v>
      </c>
      <c r="D8629" s="9" t="s">
        <v>109</v>
      </c>
      <c r="E8629" s="6" t="s">
        <v>8361</v>
      </c>
      <c r="F8629" s="9" t="s">
        <v>15604</v>
      </c>
    </row>
    <row r="8630" ht="33.75" customHeight="1">
      <c r="A8630" s="7">
        <v>334.0</v>
      </c>
      <c r="B8630" s="9" t="s">
        <v>14826</v>
      </c>
      <c r="C8630" s="9" t="s">
        <v>504</v>
      </c>
      <c r="D8630" s="9" t="s">
        <v>114</v>
      </c>
      <c r="E8630" s="6" t="s">
        <v>8363</v>
      </c>
      <c r="F8630" s="9" t="s">
        <v>15604</v>
      </c>
    </row>
    <row r="8631" ht="33.75" customHeight="1">
      <c r="A8631" s="7">
        <v>334.0</v>
      </c>
      <c r="B8631" s="9" t="s">
        <v>14826</v>
      </c>
      <c r="C8631" s="9" t="s">
        <v>504</v>
      </c>
      <c r="D8631" s="9" t="s">
        <v>117</v>
      </c>
      <c r="E8631" s="6" t="s">
        <v>8366</v>
      </c>
      <c r="F8631" s="9" t="s">
        <v>15604</v>
      </c>
    </row>
    <row r="8632" ht="33.75" customHeight="1">
      <c r="A8632" s="7">
        <v>335.0</v>
      </c>
      <c r="B8632" s="9" t="s">
        <v>14841</v>
      </c>
      <c r="C8632" s="9" t="s">
        <v>506</v>
      </c>
      <c r="D8632" s="9" t="s">
        <v>67</v>
      </c>
      <c r="E8632" s="6" t="s">
        <v>8368</v>
      </c>
      <c r="F8632" s="9" t="s">
        <v>15620</v>
      </c>
      <c r="G8632" t="inlineStr" s="6">
        <is>
          <t xml:space="preserve">Memories of battling Zangoose's arch-rival SEVIPER are etched into every cell of ZANGOOSE’s body. This POKéMON adroitly dodges attacks with incredible agility. ZANGOOSE usually stays on all fours, but when angered, it gets up on its hind legs and extends its claws. This POKéMON shares a bitter rivalry with SEVIPER that dates back over generations. When it battles, it stands on its hind legs and attacks with its sharply clawed forelegs. Its fur bristles if it encounters any SEVIPER. If it comes across a SEVIPER, its fur bristles and it assumes its battle pose. Its sharp claws are its best weapon. It has feuded with SEVIPER for many generations. Its sharp claws are its biggest weapons. Its fur would all stand on end if it smelled a SEVIPER nearby. Its sharp claws tear up its foes. It’s Seviper’s archrival. To threaten those it encounters, it fans out the claws on its front paws. Memories of battling its archrival Seviper are etched into every cell of Zangoose’s body.</t>
        </is>
      </c>
    </row>
    <row r="8633" ht="33.75" customHeight="1">
      <c r="A8633" s="7">
        <v>335.0</v>
      </c>
      <c r="B8633" s="9" t="s">
        <v>14841</v>
      </c>
      <c r="C8633" s="9" t="s">
        <v>506</v>
      </c>
      <c r="D8633" s="9" t="s">
        <v>71</v>
      </c>
      <c r="E8633" s="6" t="s">
        <v>8369</v>
      </c>
      <c r="F8633" s="9" t="s">
        <v>15620</v>
      </c>
    </row>
    <row r="8634" ht="33.75" customHeight="1">
      <c r="A8634" s="7">
        <v>335.0</v>
      </c>
      <c r="B8634" s="9" t="s">
        <v>14841</v>
      </c>
      <c r="C8634" s="9" t="s">
        <v>506</v>
      </c>
      <c r="D8634" s="9" t="s">
        <v>73</v>
      </c>
      <c r="E8634" s="6" t="s">
        <v>8370</v>
      </c>
      <c r="F8634" s="9" t="s">
        <v>15620</v>
      </c>
    </row>
    <row r="8635" ht="33.75" customHeight="1">
      <c r="A8635" s="7">
        <v>335.0</v>
      </c>
      <c r="B8635" s="9" t="s">
        <v>14841</v>
      </c>
      <c r="C8635" s="9" t="s">
        <v>506</v>
      </c>
      <c r="D8635" s="9" t="s">
        <v>75</v>
      </c>
      <c r="E8635" s="6" t="s">
        <v>8372</v>
      </c>
      <c r="F8635" s="9" t="s">
        <v>15620</v>
      </c>
    </row>
    <row r="8636" ht="33.75" customHeight="1">
      <c r="A8636" s="7">
        <v>335.0</v>
      </c>
      <c r="B8636" s="9" t="s">
        <v>14841</v>
      </c>
      <c r="C8636" s="9" t="s">
        <v>506</v>
      </c>
      <c r="D8636" s="9" t="s">
        <v>79</v>
      </c>
      <c r="E8636" s="6" t="s">
        <v>8372</v>
      </c>
      <c r="F8636" s="9" t="s">
        <v>15620</v>
      </c>
    </row>
    <row r="8637" ht="33.75" customHeight="1">
      <c r="A8637" s="7">
        <v>335.0</v>
      </c>
      <c r="B8637" s="9" t="s">
        <v>14841</v>
      </c>
      <c r="C8637" s="9" t="s">
        <v>506</v>
      </c>
      <c r="D8637" s="9" t="s">
        <v>81</v>
      </c>
      <c r="E8637" s="6" t="s">
        <v>8375</v>
      </c>
      <c r="F8637" s="9" t="s">
        <v>15620</v>
      </c>
    </row>
    <row r="8638" ht="33.75" customHeight="1">
      <c r="A8638" s="7">
        <v>335.0</v>
      </c>
      <c r="B8638" s="9" t="s">
        <v>14841</v>
      </c>
      <c r="C8638" s="9" t="s">
        <v>506</v>
      </c>
      <c r="D8638" s="9" t="s">
        <v>84</v>
      </c>
      <c r="E8638" s="6" t="s">
        <v>8375</v>
      </c>
      <c r="F8638" s="9" t="s">
        <v>15620</v>
      </c>
    </row>
    <row r="8639" ht="33.75" customHeight="1">
      <c r="A8639" s="7">
        <v>335.0</v>
      </c>
      <c r="B8639" s="9" t="s">
        <v>14841</v>
      </c>
      <c r="C8639" s="9" t="s">
        <v>506</v>
      </c>
      <c r="D8639" s="9" t="s">
        <v>87</v>
      </c>
      <c r="E8639" s="6" t="s">
        <v>8375</v>
      </c>
      <c r="F8639" s="9" t="s">
        <v>15620</v>
      </c>
    </row>
    <row r="8640" ht="33.75" customHeight="1">
      <c r="A8640" s="7">
        <v>335.0</v>
      </c>
      <c r="B8640" s="9" t="s">
        <v>14841</v>
      </c>
      <c r="C8640" s="9" t="s">
        <v>506</v>
      </c>
      <c r="D8640" s="9" t="s">
        <v>89</v>
      </c>
      <c r="E8640" s="6" t="s">
        <v>8377</v>
      </c>
      <c r="F8640" s="9" t="s">
        <v>15620</v>
      </c>
    </row>
    <row r="8641" ht="33.75" customHeight="1">
      <c r="A8641" s="7">
        <v>335.0</v>
      </c>
      <c r="B8641" s="9" t="s">
        <v>14841</v>
      </c>
      <c r="C8641" s="9" t="s">
        <v>506</v>
      </c>
      <c r="D8641" s="9" t="s">
        <v>91</v>
      </c>
      <c r="E8641" s="6" t="s">
        <v>8377</v>
      </c>
      <c r="F8641" s="9" t="s">
        <v>15620</v>
      </c>
    </row>
    <row r="8642" ht="33.75" customHeight="1">
      <c r="A8642" s="7">
        <v>335.0</v>
      </c>
      <c r="B8642" s="9" t="s">
        <v>14841</v>
      </c>
      <c r="C8642" s="9" t="s">
        <v>506</v>
      </c>
      <c r="D8642" s="9" t="s">
        <v>93</v>
      </c>
      <c r="E8642" s="6" t="s">
        <v>8378</v>
      </c>
      <c r="F8642" s="9" t="s">
        <v>15620</v>
      </c>
    </row>
    <row r="8643" ht="33.75" customHeight="1">
      <c r="A8643" s="7">
        <v>335.0</v>
      </c>
      <c r="B8643" s="9" t="s">
        <v>14841</v>
      </c>
      <c r="C8643" s="9" t="s">
        <v>506</v>
      </c>
      <c r="D8643" s="9" t="s">
        <v>95</v>
      </c>
      <c r="E8643" s="6" t="s">
        <v>8378</v>
      </c>
      <c r="F8643" s="9" t="s">
        <v>15620</v>
      </c>
    </row>
    <row r="8644" ht="33.75" customHeight="1">
      <c r="A8644" s="7">
        <v>335.0</v>
      </c>
      <c r="B8644" s="9" t="s">
        <v>14841</v>
      </c>
      <c r="C8644" s="9" t="s">
        <v>506</v>
      </c>
      <c r="D8644" s="9" t="s">
        <v>98</v>
      </c>
      <c r="E8644" s="6" t="s">
        <v>8380</v>
      </c>
      <c r="F8644" s="9" t="s">
        <v>15620</v>
      </c>
    </row>
    <row r="8645" ht="33.75" customHeight="1">
      <c r="A8645" s="7">
        <v>335.0</v>
      </c>
      <c r="B8645" s="9" t="s">
        <v>14841</v>
      </c>
      <c r="C8645" s="9" t="s">
        <v>506</v>
      </c>
      <c r="D8645" s="9" t="s">
        <v>99</v>
      </c>
      <c r="E8645" s="6" t="s">
        <v>8380</v>
      </c>
      <c r="F8645" s="9" t="s">
        <v>15620</v>
      </c>
    </row>
    <row r="8646" ht="33.75" customHeight="1">
      <c r="A8646" s="7">
        <v>335.0</v>
      </c>
      <c r="B8646" s="9" t="s">
        <v>14841</v>
      </c>
      <c r="C8646" s="9" t="s">
        <v>506</v>
      </c>
      <c r="D8646" s="9" t="s">
        <v>101</v>
      </c>
      <c r="E8646" s="6" t="s">
        <v>8378</v>
      </c>
      <c r="F8646" s="9" t="s">
        <v>15620</v>
      </c>
    </row>
    <row r="8647" ht="33.75" customHeight="1">
      <c r="A8647" s="7">
        <v>335.0</v>
      </c>
      <c r="B8647" s="9" t="s">
        <v>14841</v>
      </c>
      <c r="C8647" s="9" t="s">
        <v>506</v>
      </c>
      <c r="D8647" s="9" t="s">
        <v>105</v>
      </c>
      <c r="E8647" s="6" t="s">
        <v>8382</v>
      </c>
      <c r="F8647" s="9" t="s">
        <v>15620</v>
      </c>
    </row>
    <row r="8648" ht="33.75" customHeight="1">
      <c r="A8648" s="7">
        <v>335.0</v>
      </c>
      <c r="B8648" s="9" t="s">
        <v>14841</v>
      </c>
      <c r="C8648" s="9" t="s">
        <v>506</v>
      </c>
      <c r="D8648" s="9" t="s">
        <v>107</v>
      </c>
      <c r="E8648" s="6" t="s">
        <v>8383</v>
      </c>
      <c r="F8648" s="9" t="s">
        <v>15620</v>
      </c>
    </row>
    <row r="8649" ht="33.75" customHeight="1">
      <c r="A8649" s="7">
        <v>335.0</v>
      </c>
      <c r="B8649" s="9" t="s">
        <v>14841</v>
      </c>
      <c r="C8649" s="9" t="s">
        <v>506</v>
      </c>
      <c r="D8649" s="9" t="s">
        <v>109</v>
      </c>
      <c r="E8649" s="6" t="s">
        <v>8384</v>
      </c>
      <c r="F8649" s="9" t="s">
        <v>15620</v>
      </c>
    </row>
    <row r="8650" ht="33.75" customHeight="1">
      <c r="A8650" s="7">
        <v>336.0</v>
      </c>
      <c r="B8650" s="9" t="s">
        <v>14855</v>
      </c>
      <c r="C8650" s="9" t="s">
        <v>509</v>
      </c>
      <c r="D8650" s="9" t="s">
        <v>67</v>
      </c>
      <c r="E8650" s="6" t="s">
        <v>8385</v>
      </c>
      <c r="F8650" s="9" t="s">
        <v>15631</v>
      </c>
      <c r="G8650" t="inlineStr" s="6">
        <is>
          <t xml:space="preserve">SEVIPER shares a generations-long feud with ZANGOOSE. The scars on its body are evidence of vicious battles. This POKéMON attacks using its sword- edged tail. SEVIPER’s swordlike tail serves two purposes - it slashes foes and douses them with secreted poison. This POKéMON will not give up its long- running blood feud with ZANGOOSE. SEVIPER and ZANGOOSE are eternal rivals. It counters a ZANGOOSE’s dazzling agility with its swordlike tail, which also oozes a horrible poison. It sharpens its swordlike tail on hard rocks. It hides in tall grass and strikes unwary prey with venomous fangs. For many generations, it has feuded with ZANGOOSE. It whets its bladed tail on rocks for battle. In battle, it uses its bladed tail to counter any ZANGOOSE. It secretes a deadly venom in its tail. Constant polishing makes the edge of the blade on its tail extremely sharp. It’s Zangoose’s archrival. This Pokémon attacks using its sword-edged tail. Seviper’s swordlike tail serves two purposes—it slashes foes and douses them with secreted poison. This Pokémon will not give up its long-running blood feud with Zangoose.</t>
        </is>
      </c>
    </row>
    <row r="8651" ht="33.75" customHeight="1">
      <c r="A8651" s="7">
        <v>336.0</v>
      </c>
      <c r="B8651" s="9" t="s">
        <v>14855</v>
      </c>
      <c r="C8651" s="9" t="s">
        <v>509</v>
      </c>
      <c r="D8651" s="9" t="s">
        <v>71</v>
      </c>
      <c r="E8651" s="6" t="s">
        <v>8386</v>
      </c>
      <c r="F8651" s="9" t="s">
        <v>15631</v>
      </c>
    </row>
    <row r="8652" ht="33.75" customHeight="1">
      <c r="A8652" s="7">
        <v>336.0</v>
      </c>
      <c r="B8652" s="9" t="s">
        <v>14855</v>
      </c>
      <c r="C8652" s="9" t="s">
        <v>509</v>
      </c>
      <c r="D8652" s="9" t="s">
        <v>73</v>
      </c>
      <c r="E8652" s="6" t="s">
        <v>8388</v>
      </c>
      <c r="F8652" s="9" t="s">
        <v>15631</v>
      </c>
    </row>
    <row r="8653" ht="33.75" customHeight="1">
      <c r="A8653" s="7">
        <v>336.0</v>
      </c>
      <c r="B8653" s="9" t="s">
        <v>14855</v>
      </c>
      <c r="C8653" s="9" t="s">
        <v>509</v>
      </c>
      <c r="D8653" s="9" t="s">
        <v>75</v>
      </c>
      <c r="E8653" s="6" t="s">
        <v>8389</v>
      </c>
      <c r="F8653" s="9" t="s">
        <v>15631</v>
      </c>
    </row>
    <row r="8654" ht="33.75" customHeight="1">
      <c r="A8654" s="7">
        <v>336.0</v>
      </c>
      <c r="B8654" s="9" t="s">
        <v>14855</v>
      </c>
      <c r="C8654" s="9" t="s">
        <v>509</v>
      </c>
      <c r="D8654" s="9" t="s">
        <v>79</v>
      </c>
      <c r="E8654" s="6" t="s">
        <v>8389</v>
      </c>
      <c r="F8654" s="9" t="s">
        <v>15631</v>
      </c>
    </row>
    <row r="8655" ht="33.75" customHeight="1">
      <c r="A8655" s="7">
        <v>336.0</v>
      </c>
      <c r="B8655" s="9" t="s">
        <v>14855</v>
      </c>
      <c r="C8655" s="9" t="s">
        <v>509</v>
      </c>
      <c r="D8655" s="9" t="s">
        <v>81</v>
      </c>
      <c r="E8655" s="6" t="s">
        <v>8390</v>
      </c>
      <c r="F8655" s="9" t="s">
        <v>15631</v>
      </c>
    </row>
    <row r="8656" ht="33.75" customHeight="1">
      <c r="A8656" s="7">
        <v>336.0</v>
      </c>
      <c r="B8656" s="9" t="s">
        <v>14855</v>
      </c>
      <c r="C8656" s="9" t="s">
        <v>509</v>
      </c>
      <c r="D8656" s="9" t="s">
        <v>84</v>
      </c>
      <c r="E8656" s="6" t="s">
        <v>8390</v>
      </c>
      <c r="F8656" s="9" t="s">
        <v>15631</v>
      </c>
    </row>
    <row r="8657" ht="33.75" customHeight="1">
      <c r="A8657" s="7">
        <v>336.0</v>
      </c>
      <c r="B8657" s="9" t="s">
        <v>14855</v>
      </c>
      <c r="C8657" s="9" t="s">
        <v>509</v>
      </c>
      <c r="D8657" s="9" t="s">
        <v>87</v>
      </c>
      <c r="E8657" s="6" t="s">
        <v>8390</v>
      </c>
      <c r="F8657" s="9" t="s">
        <v>15631</v>
      </c>
    </row>
    <row r="8658" ht="33.75" customHeight="1">
      <c r="A8658" s="7">
        <v>336.0</v>
      </c>
      <c r="B8658" s="9" t="s">
        <v>14855</v>
      </c>
      <c r="C8658" s="9" t="s">
        <v>509</v>
      </c>
      <c r="D8658" s="9" t="s">
        <v>89</v>
      </c>
      <c r="E8658" s="6" t="s">
        <v>8391</v>
      </c>
      <c r="F8658" s="9" t="s">
        <v>15631</v>
      </c>
    </row>
    <row r="8659" ht="33.75" customHeight="1">
      <c r="A8659" s="7">
        <v>336.0</v>
      </c>
      <c r="B8659" s="9" t="s">
        <v>14855</v>
      </c>
      <c r="C8659" s="9" t="s">
        <v>509</v>
      </c>
      <c r="D8659" s="9" t="s">
        <v>91</v>
      </c>
      <c r="E8659" s="6" t="s">
        <v>8391</v>
      </c>
      <c r="F8659" s="9" t="s">
        <v>15631</v>
      </c>
    </row>
    <row r="8660" ht="33.75" customHeight="1">
      <c r="A8660" s="7">
        <v>336.0</v>
      </c>
      <c r="B8660" s="9" t="s">
        <v>14855</v>
      </c>
      <c r="C8660" s="9" t="s">
        <v>509</v>
      </c>
      <c r="D8660" s="9" t="s">
        <v>93</v>
      </c>
      <c r="E8660" s="6" t="s">
        <v>8392</v>
      </c>
      <c r="F8660" s="9" t="s">
        <v>15631</v>
      </c>
    </row>
    <row r="8661" ht="33.75" customHeight="1">
      <c r="A8661" s="7">
        <v>336.0</v>
      </c>
      <c r="B8661" s="9" t="s">
        <v>14855</v>
      </c>
      <c r="C8661" s="9" t="s">
        <v>509</v>
      </c>
      <c r="D8661" s="9" t="s">
        <v>95</v>
      </c>
      <c r="E8661" s="6" t="s">
        <v>8392</v>
      </c>
      <c r="F8661" s="9" t="s">
        <v>15631</v>
      </c>
    </row>
    <row r="8662" ht="33.75" customHeight="1">
      <c r="A8662" s="7">
        <v>336.0</v>
      </c>
      <c r="B8662" s="9" t="s">
        <v>14855</v>
      </c>
      <c r="C8662" s="9" t="s">
        <v>509</v>
      </c>
      <c r="D8662" s="9" t="s">
        <v>98</v>
      </c>
      <c r="E8662" s="6" t="s">
        <v>8393</v>
      </c>
      <c r="F8662" s="9" t="s">
        <v>15631</v>
      </c>
    </row>
    <row r="8663" ht="33.75" customHeight="1">
      <c r="A8663" s="7">
        <v>336.0</v>
      </c>
      <c r="B8663" s="9" t="s">
        <v>14855</v>
      </c>
      <c r="C8663" s="9" t="s">
        <v>509</v>
      </c>
      <c r="D8663" s="9" t="s">
        <v>99</v>
      </c>
      <c r="E8663" s="6" t="s">
        <v>8393</v>
      </c>
      <c r="F8663" s="9" t="s">
        <v>15631</v>
      </c>
    </row>
    <row r="8664" ht="33.75" customHeight="1">
      <c r="A8664" s="7">
        <v>336.0</v>
      </c>
      <c r="B8664" s="9" t="s">
        <v>14855</v>
      </c>
      <c r="C8664" s="9" t="s">
        <v>509</v>
      </c>
      <c r="D8664" s="9" t="s">
        <v>101</v>
      </c>
      <c r="E8664" s="6" t="s">
        <v>8395</v>
      </c>
      <c r="F8664" s="9" t="s">
        <v>15631</v>
      </c>
    </row>
    <row r="8665" ht="33.75" customHeight="1">
      <c r="A8665" s="7">
        <v>336.0</v>
      </c>
      <c r="B8665" s="9" t="s">
        <v>14855</v>
      </c>
      <c r="C8665" s="9" t="s">
        <v>509</v>
      </c>
      <c r="D8665" s="9" t="s">
        <v>105</v>
      </c>
      <c r="E8665" s="6" t="s">
        <v>8393</v>
      </c>
      <c r="F8665" s="9" t="s">
        <v>15631</v>
      </c>
    </row>
    <row r="8666" ht="33.75" customHeight="1">
      <c r="A8666" s="7">
        <v>336.0</v>
      </c>
      <c r="B8666" s="9" t="s">
        <v>14855</v>
      </c>
      <c r="C8666" s="9" t="s">
        <v>509</v>
      </c>
      <c r="D8666" s="9" t="s">
        <v>107</v>
      </c>
      <c r="E8666" s="6" t="s">
        <v>8396</v>
      </c>
      <c r="F8666" s="9" t="s">
        <v>15631</v>
      </c>
    </row>
    <row r="8667" ht="33.75" customHeight="1">
      <c r="A8667" s="7">
        <v>336.0</v>
      </c>
      <c r="B8667" s="9" t="s">
        <v>14855</v>
      </c>
      <c r="C8667" s="9" t="s">
        <v>509</v>
      </c>
      <c r="D8667" s="9" t="s">
        <v>109</v>
      </c>
      <c r="E8667" s="6" t="s">
        <v>8397</v>
      </c>
      <c r="F8667" s="9" t="s">
        <v>15631</v>
      </c>
    </row>
    <row r="8668" ht="33.75" customHeight="1">
      <c r="A8668" s="7">
        <v>337.0</v>
      </c>
      <c r="B8668" s="9" t="s">
        <v>14870</v>
      </c>
      <c r="C8668" s="9" t="s">
        <v>511</v>
      </c>
      <c r="D8668" s="9" t="s">
        <v>67</v>
      </c>
      <c r="E8668" s="6" t="s">
        <v>8399</v>
      </c>
      <c r="F8668" s="9" t="s">
        <v>15644</v>
      </c>
      <c r="G8668" t="inlineStr" s="6">
        <is>
          <t xml:space="preserve">LUNATONE was discovered at a location where a meteorite fell. As a result, some people theorize that this POKéMON came from space. However, no one has been able to prove this theory so far. LUNATONE becomes active around the time of the full moon. Instead of walking, it moves by floating in midair. The POKéMON’s intimidating red eyes cause all those who see it to become transfixed with fear. It becomes very active on the night of a full moon. This POKéMON was first discovered 40 years ago at the site of a meteor strike. Its health ebbs and flows with the lunar cycle. It brims with power when exposed to the light of the full moon. Because it turns active on nights of the full moon, it is said to have some link to the lunar phases. It was discovered at the site of a meteor strike 40 years ago. Its stare can lull its foes to sleep. The phase of the moon apparently has some effect on its power. It’s active on the night of a full moon. Lunatone was discovered at a location where a meteoroid fell.</t>
        </is>
      </c>
    </row>
    <row r="8669" ht="33.75" customHeight="1">
      <c r="A8669" s="7">
        <v>337.0</v>
      </c>
      <c r="B8669" s="9" t="s">
        <v>14870</v>
      </c>
      <c r="C8669" s="9" t="s">
        <v>511</v>
      </c>
      <c r="D8669" s="9" t="s">
        <v>71</v>
      </c>
      <c r="E8669" s="6" t="s">
        <v>8401</v>
      </c>
      <c r="F8669" s="9" t="s">
        <v>15644</v>
      </c>
    </row>
    <row r="8670" ht="33.75" customHeight="1">
      <c r="A8670" s="7">
        <v>337.0</v>
      </c>
      <c r="B8670" s="9" t="s">
        <v>14870</v>
      </c>
      <c r="C8670" s="9" t="s">
        <v>511</v>
      </c>
      <c r="D8670" s="9" t="s">
        <v>73</v>
      </c>
      <c r="E8670" s="6" t="s">
        <v>8403</v>
      </c>
      <c r="F8670" s="9" t="s">
        <v>15644</v>
      </c>
    </row>
    <row r="8671" ht="33.75" customHeight="1">
      <c r="A8671" s="7">
        <v>337.0</v>
      </c>
      <c r="B8671" s="9" t="s">
        <v>14870</v>
      </c>
      <c r="C8671" s="9" t="s">
        <v>511</v>
      </c>
      <c r="D8671" s="9" t="s">
        <v>75</v>
      </c>
      <c r="E8671" s="6" t="s">
        <v>8404</v>
      </c>
      <c r="F8671" s="9" t="s">
        <v>15644</v>
      </c>
    </row>
    <row r="8672" ht="33.75" customHeight="1">
      <c r="A8672" s="7">
        <v>337.0</v>
      </c>
      <c r="B8672" s="9" t="s">
        <v>14870</v>
      </c>
      <c r="C8672" s="9" t="s">
        <v>511</v>
      </c>
      <c r="D8672" s="9" t="s">
        <v>79</v>
      </c>
      <c r="E8672" s="6" t="s">
        <v>8404</v>
      </c>
      <c r="F8672" s="9" t="s">
        <v>15644</v>
      </c>
    </row>
    <row r="8673" ht="33.75" customHeight="1">
      <c r="A8673" s="7">
        <v>337.0</v>
      </c>
      <c r="B8673" s="9" t="s">
        <v>14870</v>
      </c>
      <c r="C8673" s="9" t="s">
        <v>511</v>
      </c>
      <c r="D8673" s="9" t="s">
        <v>81</v>
      </c>
      <c r="E8673" s="6" t="s">
        <v>8406</v>
      </c>
      <c r="F8673" s="9" t="s">
        <v>15644</v>
      </c>
    </row>
    <row r="8674" ht="33.75" customHeight="1">
      <c r="A8674" s="7">
        <v>337.0</v>
      </c>
      <c r="B8674" s="9" t="s">
        <v>14870</v>
      </c>
      <c r="C8674" s="9" t="s">
        <v>511</v>
      </c>
      <c r="D8674" s="9" t="s">
        <v>84</v>
      </c>
      <c r="E8674" s="6" t="s">
        <v>8406</v>
      </c>
      <c r="F8674" s="9" t="s">
        <v>15644</v>
      </c>
    </row>
    <row r="8675" ht="33.75" customHeight="1">
      <c r="A8675" s="7">
        <v>337.0</v>
      </c>
      <c r="B8675" s="9" t="s">
        <v>14870</v>
      </c>
      <c r="C8675" s="9" t="s">
        <v>511</v>
      </c>
      <c r="D8675" s="9" t="s">
        <v>87</v>
      </c>
      <c r="E8675" s="6" t="s">
        <v>8406</v>
      </c>
      <c r="F8675" s="9" t="s">
        <v>15644</v>
      </c>
    </row>
    <row r="8676" ht="33.75" customHeight="1">
      <c r="A8676" s="7">
        <v>337.0</v>
      </c>
      <c r="B8676" s="9" t="s">
        <v>14870</v>
      </c>
      <c r="C8676" s="9" t="s">
        <v>511</v>
      </c>
      <c r="D8676" s="9" t="s">
        <v>89</v>
      </c>
      <c r="E8676" s="6" t="s">
        <v>8407</v>
      </c>
      <c r="F8676" s="9" t="s">
        <v>15644</v>
      </c>
    </row>
    <row r="8677" ht="33.75" customHeight="1">
      <c r="A8677" s="7">
        <v>337.0</v>
      </c>
      <c r="B8677" s="9" t="s">
        <v>14870</v>
      </c>
      <c r="C8677" s="9" t="s">
        <v>511</v>
      </c>
      <c r="D8677" s="9" t="s">
        <v>91</v>
      </c>
      <c r="E8677" s="6" t="s">
        <v>8407</v>
      </c>
      <c r="F8677" s="9" t="s">
        <v>15644</v>
      </c>
    </row>
    <row r="8678" ht="33.75" customHeight="1">
      <c r="A8678" s="7">
        <v>337.0</v>
      </c>
      <c r="B8678" s="9" t="s">
        <v>14870</v>
      </c>
      <c r="C8678" s="9" t="s">
        <v>511</v>
      </c>
      <c r="D8678" s="9" t="s">
        <v>93</v>
      </c>
      <c r="E8678" s="6" t="s">
        <v>8406</v>
      </c>
      <c r="F8678" s="9" t="s">
        <v>15644</v>
      </c>
    </row>
    <row r="8679" ht="33.75" customHeight="1">
      <c r="A8679" s="7">
        <v>337.0</v>
      </c>
      <c r="B8679" s="9" t="s">
        <v>14870</v>
      </c>
      <c r="C8679" s="9" t="s">
        <v>511</v>
      </c>
      <c r="D8679" s="9" t="s">
        <v>95</v>
      </c>
      <c r="E8679" s="6" t="s">
        <v>8406</v>
      </c>
      <c r="F8679" s="9" t="s">
        <v>15644</v>
      </c>
    </row>
    <row r="8680" ht="33.75" customHeight="1">
      <c r="A8680" s="7">
        <v>337.0</v>
      </c>
      <c r="B8680" s="9" t="s">
        <v>14870</v>
      </c>
      <c r="C8680" s="9" t="s">
        <v>511</v>
      </c>
      <c r="D8680" s="9" t="s">
        <v>98</v>
      </c>
      <c r="E8680" s="6" t="s">
        <v>8409</v>
      </c>
      <c r="F8680" s="9" t="s">
        <v>15644</v>
      </c>
    </row>
    <row r="8681" ht="33.75" customHeight="1">
      <c r="A8681" s="7">
        <v>337.0</v>
      </c>
      <c r="B8681" s="9" t="s">
        <v>14870</v>
      </c>
      <c r="C8681" s="9" t="s">
        <v>511</v>
      </c>
      <c r="D8681" s="9" t="s">
        <v>99</v>
      </c>
      <c r="E8681" s="6" t="s">
        <v>8409</v>
      </c>
      <c r="F8681" s="9" t="s">
        <v>15644</v>
      </c>
    </row>
    <row r="8682" ht="33.75" customHeight="1">
      <c r="A8682" s="7">
        <v>337.0</v>
      </c>
      <c r="B8682" s="9" t="s">
        <v>14870</v>
      </c>
      <c r="C8682" s="9" t="s">
        <v>511</v>
      </c>
      <c r="D8682" s="9" t="s">
        <v>101</v>
      </c>
      <c r="E8682" s="6" t="s">
        <v>8406</v>
      </c>
      <c r="F8682" s="9" t="s">
        <v>15644</v>
      </c>
    </row>
    <row r="8683" ht="33.75" customHeight="1">
      <c r="A8683" s="7">
        <v>337.0</v>
      </c>
      <c r="B8683" s="9" t="s">
        <v>14870</v>
      </c>
      <c r="C8683" s="9" t="s">
        <v>511</v>
      </c>
      <c r="D8683" s="9" t="s">
        <v>105</v>
      </c>
      <c r="E8683" s="6" t="s">
        <v>8407</v>
      </c>
      <c r="F8683" s="9" t="s">
        <v>15644</v>
      </c>
    </row>
    <row r="8684" ht="33.75" customHeight="1">
      <c r="A8684" s="7">
        <v>337.0</v>
      </c>
      <c r="B8684" s="9" t="s">
        <v>14870</v>
      </c>
      <c r="C8684" s="9" t="s">
        <v>511</v>
      </c>
      <c r="D8684" s="9" t="s">
        <v>107</v>
      </c>
      <c r="E8684" s="6" t="s">
        <v>8411</v>
      </c>
      <c r="F8684" s="9" t="s">
        <v>15644</v>
      </c>
    </row>
    <row r="8685" ht="33.75" customHeight="1">
      <c r="A8685" s="7">
        <v>337.0</v>
      </c>
      <c r="B8685" s="9" t="s">
        <v>14870</v>
      </c>
      <c r="C8685" s="9" t="s">
        <v>511</v>
      </c>
      <c r="D8685" s="9" t="s">
        <v>109</v>
      </c>
      <c r="E8685" s="6" t="s">
        <v>8412</v>
      </c>
      <c r="F8685" s="9" t="s">
        <v>15644</v>
      </c>
    </row>
    <row r="8686" ht="33.75" customHeight="1">
      <c r="A8686" s="7">
        <v>337.0</v>
      </c>
      <c r="B8686" s="9" t="s">
        <v>14870</v>
      </c>
      <c r="C8686" s="9" t="s">
        <v>511</v>
      </c>
      <c r="D8686" s="9" t="s">
        <v>114</v>
      </c>
      <c r="E8686" s="6" t="s">
        <v>8409</v>
      </c>
      <c r="F8686" s="9" t="s">
        <v>15644</v>
      </c>
    </row>
    <row r="8687" ht="33.75" customHeight="1">
      <c r="A8687" s="7">
        <v>337.0</v>
      </c>
      <c r="B8687" s="9" t="s">
        <v>14870</v>
      </c>
      <c r="C8687" s="9" t="s">
        <v>511</v>
      </c>
      <c r="D8687" s="9" t="s">
        <v>117</v>
      </c>
      <c r="E8687" s="6" t="s">
        <v>8407</v>
      </c>
      <c r="F8687" s="9" t="s">
        <v>15644</v>
      </c>
    </row>
    <row r="8688" ht="33.75" customHeight="1">
      <c r="A8688" s="7">
        <v>338.0</v>
      </c>
      <c r="B8688" s="9" t="s">
        <v>14882</v>
      </c>
      <c r="C8688" s="9" t="s">
        <v>511</v>
      </c>
      <c r="D8688" s="9" t="s">
        <v>67</v>
      </c>
      <c r="E8688" s="6" t="s">
        <v>8413</v>
      </c>
      <c r="F8688" s="9" t="s">
        <v>15657</v>
      </c>
      <c r="G8688" t="inlineStr" s="6">
        <is>
          <t xml:space="preserve">SOLROCK is a new species of POKéMON that is said to have fallen from space. It floats in air and moves silently. In battle, this POKéMON releases intensely bright light. Sunlight is the source of SOLROCK’s power. It is said to possess the ability to read the emotions of others. This POKéMON gives off intense heat while rotating its body. Solar energy is the source of this POKéMON’s power. On sunny days, groups of SOLROCK line up facing the sun and absorb its light. It absorbs solar energy during the day. Always expressionless, it can sense what its foe is thinking. A new Pokémon species, rumored to be from the sun. It gives off light while spinning. When it rotates itself, it gives off light similar to the sun, thus blinding its foes. Solar energy is the source of its power, so it is strong during the daytime. When it spins, its body shines.</t>
        </is>
      </c>
    </row>
    <row r="8689" ht="33.75" customHeight="1">
      <c r="A8689" s="7">
        <v>338.0</v>
      </c>
      <c r="B8689" s="9" t="s">
        <v>14882</v>
      </c>
      <c r="C8689" s="9" t="s">
        <v>511</v>
      </c>
      <c r="D8689" s="9" t="s">
        <v>71</v>
      </c>
      <c r="E8689" s="6" t="s">
        <v>8414</v>
      </c>
      <c r="F8689" s="9" t="s">
        <v>15657</v>
      </c>
    </row>
    <row r="8690" ht="33.75" customHeight="1">
      <c r="A8690" s="7">
        <v>338.0</v>
      </c>
      <c r="B8690" s="9" t="s">
        <v>14882</v>
      </c>
      <c r="C8690" s="9" t="s">
        <v>511</v>
      </c>
      <c r="D8690" s="9" t="s">
        <v>73</v>
      </c>
      <c r="E8690" s="6" t="s">
        <v>8416</v>
      </c>
      <c r="F8690" s="9" t="s">
        <v>15657</v>
      </c>
    </row>
    <row r="8691" ht="33.75" customHeight="1">
      <c r="A8691" s="7">
        <v>338.0</v>
      </c>
      <c r="B8691" s="9" t="s">
        <v>14882</v>
      </c>
      <c r="C8691" s="9" t="s">
        <v>511</v>
      </c>
      <c r="D8691" s="9" t="s">
        <v>75</v>
      </c>
      <c r="E8691" s="6" t="s">
        <v>8419</v>
      </c>
      <c r="F8691" s="9" t="s">
        <v>15657</v>
      </c>
    </row>
    <row r="8692" ht="33.75" customHeight="1">
      <c r="A8692" s="7">
        <v>338.0</v>
      </c>
      <c r="B8692" s="9" t="s">
        <v>14882</v>
      </c>
      <c r="C8692" s="9" t="s">
        <v>511</v>
      </c>
      <c r="D8692" s="9" t="s">
        <v>79</v>
      </c>
      <c r="E8692" s="6" t="s">
        <v>8419</v>
      </c>
      <c r="F8692" s="9" t="s">
        <v>15657</v>
      </c>
    </row>
    <row r="8693" ht="33.75" customHeight="1">
      <c r="A8693" s="7">
        <v>338.0</v>
      </c>
      <c r="B8693" s="9" t="s">
        <v>14882</v>
      </c>
      <c r="C8693" s="9" t="s">
        <v>511</v>
      </c>
      <c r="D8693" s="9" t="s">
        <v>81</v>
      </c>
      <c r="E8693" s="6" t="s">
        <v>8421</v>
      </c>
      <c r="F8693" s="9" t="s">
        <v>15657</v>
      </c>
    </row>
    <row r="8694" ht="33.75" customHeight="1">
      <c r="A8694" s="7">
        <v>338.0</v>
      </c>
      <c r="B8694" s="9" t="s">
        <v>14882</v>
      </c>
      <c r="C8694" s="9" t="s">
        <v>511</v>
      </c>
      <c r="D8694" s="9" t="s">
        <v>84</v>
      </c>
      <c r="E8694" s="6" t="s">
        <v>8421</v>
      </c>
      <c r="F8694" s="9" t="s">
        <v>15657</v>
      </c>
    </row>
    <row r="8695" ht="33.75" customHeight="1">
      <c r="A8695" s="7">
        <v>338.0</v>
      </c>
      <c r="B8695" s="9" t="s">
        <v>14882</v>
      </c>
      <c r="C8695" s="9" t="s">
        <v>511</v>
      </c>
      <c r="D8695" s="9" t="s">
        <v>87</v>
      </c>
      <c r="E8695" s="6" t="s">
        <v>8421</v>
      </c>
      <c r="F8695" s="9" t="s">
        <v>15657</v>
      </c>
    </row>
    <row r="8696" ht="33.75" customHeight="1">
      <c r="A8696" s="7">
        <v>338.0</v>
      </c>
      <c r="B8696" s="9" t="s">
        <v>14882</v>
      </c>
      <c r="C8696" s="9" t="s">
        <v>511</v>
      </c>
      <c r="D8696" s="9" t="s">
        <v>89</v>
      </c>
      <c r="E8696" s="6" t="s">
        <v>8422</v>
      </c>
      <c r="F8696" s="9" t="s">
        <v>15657</v>
      </c>
    </row>
    <row r="8697" ht="33.75" customHeight="1">
      <c r="A8697" s="7">
        <v>338.0</v>
      </c>
      <c r="B8697" s="9" t="s">
        <v>14882</v>
      </c>
      <c r="C8697" s="9" t="s">
        <v>511</v>
      </c>
      <c r="D8697" s="9" t="s">
        <v>91</v>
      </c>
      <c r="E8697" s="6" t="s">
        <v>8422</v>
      </c>
      <c r="F8697" s="9" t="s">
        <v>15657</v>
      </c>
    </row>
    <row r="8698" ht="33.75" customHeight="1">
      <c r="A8698" s="7">
        <v>338.0</v>
      </c>
      <c r="B8698" s="9" t="s">
        <v>14882</v>
      </c>
      <c r="C8698" s="9" t="s">
        <v>511</v>
      </c>
      <c r="D8698" s="9" t="s">
        <v>93</v>
      </c>
      <c r="E8698" s="6" t="s">
        <v>8421</v>
      </c>
      <c r="F8698" s="9" t="s">
        <v>15657</v>
      </c>
    </row>
    <row r="8699" ht="33.75" customHeight="1">
      <c r="A8699" s="7">
        <v>338.0</v>
      </c>
      <c r="B8699" s="9" t="s">
        <v>14882</v>
      </c>
      <c r="C8699" s="9" t="s">
        <v>511</v>
      </c>
      <c r="D8699" s="9" t="s">
        <v>95</v>
      </c>
      <c r="E8699" s="6" t="s">
        <v>8421</v>
      </c>
      <c r="F8699" s="9" t="s">
        <v>15657</v>
      </c>
    </row>
    <row r="8700" ht="33.75" customHeight="1">
      <c r="A8700" s="7">
        <v>338.0</v>
      </c>
      <c r="B8700" s="9" t="s">
        <v>14882</v>
      </c>
      <c r="C8700" s="9" t="s">
        <v>511</v>
      </c>
      <c r="D8700" s="9" t="s">
        <v>98</v>
      </c>
      <c r="E8700" s="6" t="s">
        <v>8423</v>
      </c>
      <c r="F8700" s="9" t="s">
        <v>15657</v>
      </c>
    </row>
    <row r="8701" ht="33.75" customHeight="1">
      <c r="A8701" s="7">
        <v>338.0</v>
      </c>
      <c r="B8701" s="9" t="s">
        <v>14882</v>
      </c>
      <c r="C8701" s="9" t="s">
        <v>511</v>
      </c>
      <c r="D8701" s="9" t="s">
        <v>99</v>
      </c>
      <c r="E8701" s="6" t="s">
        <v>8423</v>
      </c>
      <c r="F8701" s="9" t="s">
        <v>15657</v>
      </c>
    </row>
    <row r="8702" ht="33.75" customHeight="1">
      <c r="A8702" s="7">
        <v>338.0</v>
      </c>
      <c r="B8702" s="9" t="s">
        <v>14882</v>
      </c>
      <c r="C8702" s="9" t="s">
        <v>511</v>
      </c>
      <c r="D8702" s="9" t="s">
        <v>101</v>
      </c>
      <c r="E8702" s="6" t="s">
        <v>8423</v>
      </c>
      <c r="F8702" s="9" t="s">
        <v>15657</v>
      </c>
    </row>
    <row r="8703" ht="33.75" customHeight="1">
      <c r="A8703" s="7">
        <v>338.0</v>
      </c>
      <c r="B8703" s="9" t="s">
        <v>14882</v>
      </c>
      <c r="C8703" s="9" t="s">
        <v>511</v>
      </c>
      <c r="D8703" s="9" t="s">
        <v>105</v>
      </c>
      <c r="E8703" s="6" t="s">
        <v>8419</v>
      </c>
      <c r="F8703" s="9" t="s">
        <v>15657</v>
      </c>
    </row>
    <row r="8704" ht="33.75" customHeight="1">
      <c r="A8704" s="7">
        <v>338.0</v>
      </c>
      <c r="B8704" s="9" t="s">
        <v>14882</v>
      </c>
      <c r="C8704" s="9" t="s">
        <v>511</v>
      </c>
      <c r="D8704" s="9" t="s">
        <v>107</v>
      </c>
      <c r="E8704" s="6" t="s">
        <v>8425</v>
      </c>
      <c r="F8704" s="9" t="s">
        <v>15657</v>
      </c>
    </row>
    <row r="8705" ht="33.75" customHeight="1">
      <c r="A8705" s="7">
        <v>338.0</v>
      </c>
      <c r="B8705" s="9" t="s">
        <v>14882</v>
      </c>
      <c r="C8705" s="9" t="s">
        <v>511</v>
      </c>
      <c r="D8705" s="9" t="s">
        <v>109</v>
      </c>
      <c r="E8705" s="6" t="s">
        <v>8427</v>
      </c>
      <c r="F8705" s="9" t="s">
        <v>15657</v>
      </c>
    </row>
    <row r="8706" ht="33.75" customHeight="1">
      <c r="A8706" s="7">
        <v>338.0</v>
      </c>
      <c r="B8706" s="9" t="s">
        <v>14882</v>
      </c>
      <c r="C8706" s="9" t="s">
        <v>511</v>
      </c>
      <c r="D8706" s="9" t="s">
        <v>114</v>
      </c>
      <c r="E8706" s="6" t="s">
        <v>8422</v>
      </c>
      <c r="F8706" s="9" t="s">
        <v>15657</v>
      </c>
    </row>
    <row r="8707" ht="33.75" customHeight="1">
      <c r="A8707" s="7">
        <v>338.0</v>
      </c>
      <c r="B8707" s="9" t="s">
        <v>14882</v>
      </c>
      <c r="C8707" s="9" t="s">
        <v>511</v>
      </c>
      <c r="D8707" s="9" t="s">
        <v>117</v>
      </c>
      <c r="E8707" s="6" t="s">
        <v>8423</v>
      </c>
      <c r="F8707" s="9" t="s">
        <v>15657</v>
      </c>
    </row>
    <row r="8708" ht="33.75" customHeight="1">
      <c r="A8708" s="7">
        <v>339.0</v>
      </c>
      <c r="B8708" s="9" t="s">
        <v>14893</v>
      </c>
      <c r="C8708" s="9" t="s">
        <v>513</v>
      </c>
      <c r="D8708" s="9" t="s">
        <v>67</v>
      </c>
      <c r="E8708" s="6" t="s">
        <v>8429</v>
      </c>
      <c r="F8708" s="9" t="s">
        <v>15666</v>
      </c>
      <c r="G8708" t="inlineStr" s="6">
        <is>
          <t xml:space="preserve">BARBOACH’s sensitive whiskers serve as a superb radar system. This POKéMON hides in mud, leaving only its two whiskers exposed while it waits for prey to come along. BARBOACH’s body is covered with a slimy film. If a foe grabs it, this POKéMON just slips out of the enemy’s grip. This POKéMON grows weak if the slimy coating dries up. Its body is covered with a slimy film. The film acts as a barrier to prevent germs in muddy water from entering the BARBOACH’s body. It probes muddy riverbeds with its two long whiskers. A slimy film protects its body. It coats its entire body with a slimy fluid so it can squirm and slip away if grabbed. Its whiskers make a superb radar. They are used to locate prey, even in the murkiest of water. Its slimy body is hard to grasp. In one region, it is said to have been born from hardened mud. BARBOACH uses its whiskers to taste things just as a person uses his or her tongue to taste things. Its two whiskers provide a sensitive radar. Even in muddy waters, it can detect its prey’s location. Its slippery body is hard to grasp, so much so that there are festivals where people compete to see how many they can catch barehanded. Its entire body is gooey. When pecked at by bird Pokémon, it slips and slides its way to freedom. Its whiskers are filled with nerves. They can sense smells and flavors just as a person’s nose or tongue would. Makes its home in swamps with murky water. The poor visibility hides this Pokémon from predators, and the slime on its body makes grasping it difficult.</t>
        </is>
      </c>
    </row>
    <row r="8709" ht="33.75" customHeight="1">
      <c r="A8709" s="7">
        <v>339.0</v>
      </c>
      <c r="B8709" s="9" t="s">
        <v>14893</v>
      </c>
      <c r="C8709" s="9" t="s">
        <v>513</v>
      </c>
      <c r="D8709" s="9" t="s">
        <v>71</v>
      </c>
      <c r="E8709" s="6" t="s">
        <v>8431</v>
      </c>
      <c r="F8709" s="9" t="s">
        <v>15666</v>
      </c>
    </row>
    <row r="8710" ht="33.75" customHeight="1">
      <c r="A8710" s="7">
        <v>339.0</v>
      </c>
      <c r="B8710" s="9" t="s">
        <v>14893</v>
      </c>
      <c r="C8710" s="9" t="s">
        <v>513</v>
      </c>
      <c r="D8710" s="9" t="s">
        <v>73</v>
      </c>
      <c r="E8710" s="6" t="s">
        <v>8433</v>
      </c>
      <c r="F8710" s="9" t="s">
        <v>15666</v>
      </c>
    </row>
    <row r="8711" ht="33.75" customHeight="1">
      <c r="A8711" s="7">
        <v>339.0</v>
      </c>
      <c r="B8711" s="9" t="s">
        <v>14893</v>
      </c>
      <c r="C8711" s="9" t="s">
        <v>513</v>
      </c>
      <c r="D8711" s="9" t="s">
        <v>75</v>
      </c>
      <c r="E8711" s="6" t="s">
        <v>8434</v>
      </c>
      <c r="F8711" s="9" t="s">
        <v>15666</v>
      </c>
    </row>
    <row r="8712" ht="33.75" customHeight="1">
      <c r="A8712" s="7">
        <v>339.0</v>
      </c>
      <c r="B8712" s="9" t="s">
        <v>14893</v>
      </c>
      <c r="C8712" s="9" t="s">
        <v>513</v>
      </c>
      <c r="D8712" s="9" t="s">
        <v>79</v>
      </c>
      <c r="E8712" s="6" t="s">
        <v>8434</v>
      </c>
      <c r="F8712" s="9" t="s">
        <v>15666</v>
      </c>
    </row>
    <row r="8713" ht="33.75" customHeight="1">
      <c r="A8713" s="7">
        <v>339.0</v>
      </c>
      <c r="B8713" s="9" t="s">
        <v>14893</v>
      </c>
      <c r="C8713" s="9" t="s">
        <v>513</v>
      </c>
      <c r="D8713" s="9" t="s">
        <v>81</v>
      </c>
      <c r="E8713" s="6" t="s">
        <v>8435</v>
      </c>
      <c r="F8713" s="9" t="s">
        <v>15666</v>
      </c>
    </row>
    <row r="8714" ht="33.75" customHeight="1">
      <c r="A8714" s="7">
        <v>339.0</v>
      </c>
      <c r="B8714" s="9" t="s">
        <v>14893</v>
      </c>
      <c r="C8714" s="9" t="s">
        <v>513</v>
      </c>
      <c r="D8714" s="9" t="s">
        <v>84</v>
      </c>
      <c r="E8714" s="6" t="s">
        <v>8437</v>
      </c>
      <c r="F8714" s="9" t="s">
        <v>15666</v>
      </c>
    </row>
    <row r="8715" ht="33.75" customHeight="1">
      <c r="A8715" s="7">
        <v>339.0</v>
      </c>
      <c r="B8715" s="9" t="s">
        <v>14893</v>
      </c>
      <c r="C8715" s="9" t="s">
        <v>513</v>
      </c>
      <c r="D8715" s="9" t="s">
        <v>87</v>
      </c>
      <c r="E8715" s="6" t="s">
        <v>8439</v>
      </c>
      <c r="F8715" s="9" t="s">
        <v>15666</v>
      </c>
    </row>
    <row r="8716" ht="33.75" customHeight="1">
      <c r="A8716" s="7">
        <v>339.0</v>
      </c>
      <c r="B8716" s="9" t="s">
        <v>14893</v>
      </c>
      <c r="C8716" s="9" t="s">
        <v>513</v>
      </c>
      <c r="D8716" s="9" t="s">
        <v>89</v>
      </c>
      <c r="E8716" s="6" t="s">
        <v>8440</v>
      </c>
      <c r="F8716" s="9" t="s">
        <v>15666</v>
      </c>
    </row>
    <row r="8717" ht="33.75" customHeight="1">
      <c r="A8717" s="7">
        <v>339.0</v>
      </c>
      <c r="B8717" s="9" t="s">
        <v>14893</v>
      </c>
      <c r="C8717" s="9" t="s">
        <v>513</v>
      </c>
      <c r="D8717" s="9" t="s">
        <v>91</v>
      </c>
      <c r="E8717" s="6" t="s">
        <v>8440</v>
      </c>
      <c r="F8717" s="9" t="s">
        <v>15666</v>
      </c>
    </row>
    <row r="8718" ht="33.75" customHeight="1">
      <c r="A8718" s="7">
        <v>339.0</v>
      </c>
      <c r="B8718" s="9" t="s">
        <v>14893</v>
      </c>
      <c r="C8718" s="9" t="s">
        <v>513</v>
      </c>
      <c r="D8718" s="9" t="s">
        <v>93</v>
      </c>
      <c r="E8718" s="6" t="s">
        <v>8439</v>
      </c>
      <c r="F8718" s="9" t="s">
        <v>15666</v>
      </c>
    </row>
    <row r="8719" ht="33.75" customHeight="1">
      <c r="A8719" s="7">
        <v>339.0</v>
      </c>
      <c r="B8719" s="9" t="s">
        <v>14893</v>
      </c>
      <c r="C8719" s="9" t="s">
        <v>513</v>
      </c>
      <c r="D8719" s="9" t="s">
        <v>95</v>
      </c>
      <c r="E8719" s="6" t="s">
        <v>8439</v>
      </c>
      <c r="F8719" s="9" t="s">
        <v>15666</v>
      </c>
    </row>
    <row r="8720" ht="33.75" customHeight="1">
      <c r="A8720" s="7">
        <v>339.0</v>
      </c>
      <c r="B8720" s="9" t="s">
        <v>14893</v>
      </c>
      <c r="C8720" s="9" t="s">
        <v>513</v>
      </c>
      <c r="D8720" s="9" t="s">
        <v>98</v>
      </c>
      <c r="E8720" s="6" t="s">
        <v>8439</v>
      </c>
      <c r="F8720" s="9" t="s">
        <v>15666</v>
      </c>
    </row>
    <row r="8721" ht="33.75" customHeight="1">
      <c r="A8721" s="7">
        <v>339.0</v>
      </c>
      <c r="B8721" s="9" t="s">
        <v>14893</v>
      </c>
      <c r="C8721" s="9" t="s">
        <v>513</v>
      </c>
      <c r="D8721" s="9" t="s">
        <v>99</v>
      </c>
      <c r="E8721" s="6" t="s">
        <v>8439</v>
      </c>
      <c r="F8721" s="9" t="s">
        <v>15666</v>
      </c>
    </row>
    <row r="8722" ht="33.75" customHeight="1">
      <c r="A8722" s="7">
        <v>339.0</v>
      </c>
      <c r="B8722" s="9" t="s">
        <v>14893</v>
      </c>
      <c r="C8722" s="9" t="s">
        <v>513</v>
      </c>
      <c r="D8722" s="9" t="s">
        <v>101</v>
      </c>
      <c r="E8722" s="6" t="s">
        <v>8435</v>
      </c>
      <c r="F8722" s="9" t="s">
        <v>15666</v>
      </c>
    </row>
    <row r="8723" ht="33.75" customHeight="1">
      <c r="A8723" s="7">
        <v>339.0</v>
      </c>
      <c r="B8723" s="9" t="s">
        <v>14893</v>
      </c>
      <c r="C8723" s="9" t="s">
        <v>513</v>
      </c>
      <c r="D8723" s="9" t="s">
        <v>105</v>
      </c>
      <c r="E8723" s="6" t="s">
        <v>8437</v>
      </c>
      <c r="F8723" s="9" t="s">
        <v>15666</v>
      </c>
    </row>
    <row r="8724" ht="33.75" customHeight="1">
      <c r="A8724" s="7">
        <v>339.0</v>
      </c>
      <c r="B8724" s="9" t="s">
        <v>14893</v>
      </c>
      <c r="C8724" s="9" t="s">
        <v>513</v>
      </c>
      <c r="D8724" s="9" t="s">
        <v>107</v>
      </c>
      <c r="E8724" s="6" t="s">
        <v>8441</v>
      </c>
      <c r="F8724" s="9" t="s">
        <v>15666</v>
      </c>
    </row>
    <row r="8725" ht="33.75" customHeight="1">
      <c r="A8725" s="7">
        <v>339.0</v>
      </c>
      <c r="B8725" s="9" t="s">
        <v>14893</v>
      </c>
      <c r="C8725" s="9" t="s">
        <v>513</v>
      </c>
      <c r="D8725" s="9" t="s">
        <v>109</v>
      </c>
      <c r="E8725" s="6" t="s">
        <v>8443</v>
      </c>
      <c r="F8725" s="9" t="s">
        <v>15666</v>
      </c>
    </row>
    <row r="8726" ht="33.75" customHeight="1">
      <c r="A8726" s="7">
        <v>339.0</v>
      </c>
      <c r="B8726" s="9" t="s">
        <v>14893</v>
      </c>
      <c r="C8726" s="9" t="s">
        <v>513</v>
      </c>
      <c r="D8726" s="9" t="s">
        <v>637</v>
      </c>
      <c r="E8726" s="6" t="s">
        <v>8444</v>
      </c>
      <c r="F8726" s="9" t="s">
        <v>15666</v>
      </c>
    </row>
    <row r="8727" ht="33.75" customHeight="1">
      <c r="A8727" s="7">
        <v>339.0</v>
      </c>
      <c r="B8727" s="9" t="s">
        <v>14893</v>
      </c>
      <c r="C8727" s="9" t="s">
        <v>513</v>
      </c>
      <c r="D8727" s="9" t="s">
        <v>642</v>
      </c>
      <c r="E8727" s="6" t="s">
        <v>8446</v>
      </c>
      <c r="F8727" s="9" t="s">
        <v>15666</v>
      </c>
    </row>
    <row r="8728" ht="33.75" customHeight="1">
      <c r="A8728" s="7">
        <v>339.0</v>
      </c>
      <c r="B8728" s="9" t="s">
        <v>14893</v>
      </c>
      <c r="C8728" s="9" t="s">
        <v>513</v>
      </c>
      <c r="D8728" s="9" t="s">
        <v>647</v>
      </c>
      <c r="E8728" s="6" t="s">
        <v>8447</v>
      </c>
      <c r="F8728" s="9" t="s">
        <v>15666</v>
      </c>
    </row>
    <row r="8729" ht="33.75" customHeight="1">
      <c r="A8729" s="7">
        <v>339.0</v>
      </c>
      <c r="B8729" s="9" t="s">
        <v>14893</v>
      </c>
      <c r="C8729" s="9" t="s">
        <v>513</v>
      </c>
      <c r="D8729" s="9" t="s">
        <v>652</v>
      </c>
      <c r="E8729" s="6" t="s">
        <v>8448</v>
      </c>
      <c r="F8729" s="9" t="s">
        <v>15666</v>
      </c>
    </row>
    <row r="8730" ht="33.75" customHeight="1">
      <c r="A8730" s="7">
        <v>339.0</v>
      </c>
      <c r="B8730" s="9" t="s">
        <v>14893</v>
      </c>
      <c r="C8730" s="9" t="s">
        <v>513</v>
      </c>
      <c r="D8730" s="9" t="s">
        <v>114</v>
      </c>
      <c r="E8730" s="6" t="s">
        <v>8439</v>
      </c>
      <c r="F8730" s="9" t="s">
        <v>15666</v>
      </c>
    </row>
    <row r="8731" ht="33.75" customHeight="1">
      <c r="A8731" s="7">
        <v>339.0</v>
      </c>
      <c r="B8731" s="9" t="s">
        <v>14893</v>
      </c>
      <c r="C8731" s="9" t="s">
        <v>513</v>
      </c>
      <c r="D8731" s="9" t="s">
        <v>117</v>
      </c>
      <c r="E8731" s="6" t="s">
        <v>8434</v>
      </c>
      <c r="F8731" s="9" t="s">
        <v>15666</v>
      </c>
    </row>
    <row r="8732" ht="33.75" customHeight="1">
      <c r="A8732" s="7">
        <v>339.0</v>
      </c>
      <c r="B8732" s="9" t="s">
        <v>14893</v>
      </c>
      <c r="C8732" s="9" t="s">
        <v>513</v>
      </c>
      <c r="D8732" s="9" t="s">
        <v>1577</v>
      </c>
      <c r="E8732" s="6" t="s">
        <v>8449</v>
      </c>
      <c r="F8732" s="9" t="s">
        <v>15666</v>
      </c>
    </row>
    <row r="8733" ht="33.75" customHeight="1">
      <c r="A8733" s="7">
        <v>340.0</v>
      </c>
      <c r="B8733" s="9" t="s">
        <v>14912</v>
      </c>
      <c r="C8733" s="9" t="s">
        <v>513</v>
      </c>
      <c r="D8733" s="9" t="s">
        <v>67</v>
      </c>
      <c r="E8733" s="6" t="s">
        <v>8450</v>
      </c>
      <c r="F8733" s="9" t="s">
        <v>15681</v>
      </c>
      <c r="G8733" t="inlineStr" s="6">
        <is>
          <t xml:space="preserve">WHISCASH is extremely territorial. Just one of these POKéMON will claim a large pond as its exclusive territory. If a foe approaches it, it thrashes about and triggers a massive earthquake. If WHISCASH goes on a wild rampage, it sets off a quake-like tremor with a radius of over three miles. This POKéMON has the ability to predict real earthquakes. Mysteriously, it can foretell earthquakes. In the daytime, it sleeps in mud at the bottom of a pond. When it awakens, it continually feeds throughout the night. It makes its nest at the bottom of swamps. It will eat anything - if it is alive, WHISCASH will eat it. It is very territorial. It repels foes by setting off tremors that extend over a three-mile radius. As a result of causing tremors by thrashing about, it developed the ability to foretell real quakes. It is extremely protective of its territory. If any foe approaches, it attacks using vicious tremors. It claims a large swamp to itself. If a foe comes near it, it sets off tremors by thrashing around. It will eat anything--if it is alive, Whiscash will eat it. A glutton that devours anything that moves, it quietly lurks at the bottom of swamps, lying in wait for prey. Sighting Whiscash leaping from the water is believed to herald an earthquake. Whiscash shakes the ground at high intensities to intimidate its opponents. It swallows its prey whole—along with mud from the swamp floor. Its vision is not that good. It senses vibrations in the water with its whiskers to determine the location of its prey. It will eat anything—if it is alive, Whiscash will eat it. Strikes its caudal fin against the swamp bed to shake the ground and startle its prey. It will then swallow the fleeing prey whole. People mistook this behavior as the cause of earthquakes.</t>
        </is>
      </c>
    </row>
    <row r="8734" ht="33.75" customHeight="1">
      <c r="A8734" s="7">
        <v>340.0</v>
      </c>
      <c r="B8734" s="9" t="s">
        <v>14912</v>
      </c>
      <c r="C8734" s="9" t="s">
        <v>513</v>
      </c>
      <c r="D8734" s="9" t="s">
        <v>71</v>
      </c>
      <c r="E8734" s="6" t="s">
        <v>8451</v>
      </c>
      <c r="F8734" s="9" t="s">
        <v>15681</v>
      </c>
    </row>
    <row r="8735" ht="33.75" customHeight="1">
      <c r="A8735" s="7">
        <v>340.0</v>
      </c>
      <c r="B8735" s="9" t="s">
        <v>14912</v>
      </c>
      <c r="C8735" s="9" t="s">
        <v>513</v>
      </c>
      <c r="D8735" s="9" t="s">
        <v>73</v>
      </c>
      <c r="E8735" s="6" t="s">
        <v>8452</v>
      </c>
      <c r="F8735" s="9" t="s">
        <v>15681</v>
      </c>
    </row>
    <row r="8736" ht="33.75" customHeight="1">
      <c r="A8736" s="7">
        <v>340.0</v>
      </c>
      <c r="B8736" s="9" t="s">
        <v>14912</v>
      </c>
      <c r="C8736" s="9" t="s">
        <v>513</v>
      </c>
      <c r="D8736" s="9" t="s">
        <v>75</v>
      </c>
      <c r="E8736" s="6" t="s">
        <v>8454</v>
      </c>
      <c r="F8736" s="9" t="s">
        <v>15681</v>
      </c>
    </row>
    <row r="8737" ht="33.75" customHeight="1">
      <c r="A8737" s="7">
        <v>340.0</v>
      </c>
      <c r="B8737" s="9" t="s">
        <v>14912</v>
      </c>
      <c r="C8737" s="9" t="s">
        <v>513</v>
      </c>
      <c r="D8737" s="9" t="s">
        <v>79</v>
      </c>
      <c r="E8737" s="6" t="s">
        <v>8454</v>
      </c>
      <c r="F8737" s="9" t="s">
        <v>15681</v>
      </c>
    </row>
    <row r="8738" ht="33.75" customHeight="1">
      <c r="A8738" s="7">
        <v>340.0</v>
      </c>
      <c r="B8738" s="9" t="s">
        <v>14912</v>
      </c>
      <c r="C8738" s="9" t="s">
        <v>513</v>
      </c>
      <c r="D8738" s="9" t="s">
        <v>81</v>
      </c>
      <c r="E8738" s="6" t="s">
        <v>8455</v>
      </c>
      <c r="F8738" s="9" t="s">
        <v>15681</v>
      </c>
    </row>
    <row r="8739" ht="33.75" customHeight="1">
      <c r="A8739" s="7">
        <v>340.0</v>
      </c>
      <c r="B8739" s="9" t="s">
        <v>14912</v>
      </c>
      <c r="C8739" s="9" t="s">
        <v>513</v>
      </c>
      <c r="D8739" s="9" t="s">
        <v>84</v>
      </c>
      <c r="E8739" s="6" t="s">
        <v>8456</v>
      </c>
      <c r="F8739" s="9" t="s">
        <v>15681</v>
      </c>
    </row>
    <row r="8740" ht="33.75" customHeight="1">
      <c r="A8740" s="7">
        <v>340.0</v>
      </c>
      <c r="B8740" s="9" t="s">
        <v>14912</v>
      </c>
      <c r="C8740" s="9" t="s">
        <v>513</v>
      </c>
      <c r="D8740" s="9" t="s">
        <v>87</v>
      </c>
      <c r="E8740" s="6" t="s">
        <v>8457</v>
      </c>
      <c r="F8740" s="9" t="s">
        <v>15681</v>
      </c>
    </row>
    <row r="8741" ht="33.75" customHeight="1">
      <c r="A8741" s="7">
        <v>340.0</v>
      </c>
      <c r="B8741" s="9" t="s">
        <v>14912</v>
      </c>
      <c r="C8741" s="9" t="s">
        <v>513</v>
      </c>
      <c r="D8741" s="9" t="s">
        <v>89</v>
      </c>
      <c r="E8741" s="6" t="s">
        <v>8458</v>
      </c>
      <c r="F8741" s="9" t="s">
        <v>15681</v>
      </c>
    </row>
    <row r="8742" ht="33.75" customHeight="1">
      <c r="A8742" s="7">
        <v>340.0</v>
      </c>
      <c r="B8742" s="9" t="s">
        <v>14912</v>
      </c>
      <c r="C8742" s="9" t="s">
        <v>513</v>
      </c>
      <c r="D8742" s="9" t="s">
        <v>91</v>
      </c>
      <c r="E8742" s="6" t="s">
        <v>8458</v>
      </c>
      <c r="F8742" s="9" t="s">
        <v>15681</v>
      </c>
    </row>
    <row r="8743" ht="33.75" customHeight="1">
      <c r="A8743" s="7">
        <v>340.0</v>
      </c>
      <c r="B8743" s="9" t="s">
        <v>14912</v>
      </c>
      <c r="C8743" s="9" t="s">
        <v>513</v>
      </c>
      <c r="D8743" s="9" t="s">
        <v>93</v>
      </c>
      <c r="E8743" s="6" t="s">
        <v>8457</v>
      </c>
      <c r="F8743" s="9" t="s">
        <v>15681</v>
      </c>
    </row>
    <row r="8744" ht="33.75" customHeight="1">
      <c r="A8744" s="7">
        <v>340.0</v>
      </c>
      <c r="B8744" s="9" t="s">
        <v>14912</v>
      </c>
      <c r="C8744" s="9" t="s">
        <v>513</v>
      </c>
      <c r="D8744" s="9" t="s">
        <v>95</v>
      </c>
      <c r="E8744" s="6" t="s">
        <v>8457</v>
      </c>
      <c r="F8744" s="9" t="s">
        <v>15681</v>
      </c>
    </row>
    <row r="8745" ht="33.75" customHeight="1">
      <c r="A8745" s="7">
        <v>340.0</v>
      </c>
      <c r="B8745" s="9" t="s">
        <v>14912</v>
      </c>
      <c r="C8745" s="9" t="s">
        <v>513</v>
      </c>
      <c r="D8745" s="9" t="s">
        <v>98</v>
      </c>
      <c r="E8745" s="6" t="s">
        <v>8457</v>
      </c>
      <c r="F8745" s="9" t="s">
        <v>15681</v>
      </c>
    </row>
    <row r="8746" ht="33.75" customHeight="1">
      <c r="A8746" s="7">
        <v>340.0</v>
      </c>
      <c r="B8746" s="9" t="s">
        <v>14912</v>
      </c>
      <c r="C8746" s="9" t="s">
        <v>513</v>
      </c>
      <c r="D8746" s="9" t="s">
        <v>99</v>
      </c>
      <c r="E8746" s="6" t="s">
        <v>8457</v>
      </c>
      <c r="F8746" s="9" t="s">
        <v>15681</v>
      </c>
    </row>
    <row r="8747" ht="33.75" customHeight="1">
      <c r="A8747" s="7">
        <v>340.0</v>
      </c>
      <c r="B8747" s="9" t="s">
        <v>14912</v>
      </c>
      <c r="C8747" s="9" t="s">
        <v>513</v>
      </c>
      <c r="D8747" s="9" t="s">
        <v>101</v>
      </c>
      <c r="E8747" s="6" t="s">
        <v>8458</v>
      </c>
      <c r="F8747" s="9" t="s">
        <v>15681</v>
      </c>
    </row>
    <row r="8748" ht="33.75" customHeight="1">
      <c r="A8748" s="7">
        <v>340.0</v>
      </c>
      <c r="B8748" s="9" t="s">
        <v>14912</v>
      </c>
      <c r="C8748" s="9" t="s">
        <v>513</v>
      </c>
      <c r="D8748" s="9" t="s">
        <v>105</v>
      </c>
      <c r="E8748" s="6" t="s">
        <v>8460</v>
      </c>
      <c r="F8748" s="9" t="s">
        <v>15681</v>
      </c>
    </row>
    <row r="8749" ht="33.75" customHeight="1">
      <c r="A8749" s="7">
        <v>340.0</v>
      </c>
      <c r="B8749" s="9" t="s">
        <v>14912</v>
      </c>
      <c r="C8749" s="9" t="s">
        <v>513</v>
      </c>
      <c r="D8749" s="9" t="s">
        <v>107</v>
      </c>
      <c r="E8749" s="6" t="s">
        <v>8461</v>
      </c>
      <c r="F8749" s="9" t="s">
        <v>15681</v>
      </c>
    </row>
    <row r="8750" ht="33.75" customHeight="1">
      <c r="A8750" s="7">
        <v>340.0</v>
      </c>
      <c r="B8750" s="9" t="s">
        <v>14912</v>
      </c>
      <c r="C8750" s="9" t="s">
        <v>513</v>
      </c>
      <c r="D8750" s="9" t="s">
        <v>109</v>
      </c>
      <c r="E8750" s="6" t="s">
        <v>8463</v>
      </c>
      <c r="F8750" s="9" t="s">
        <v>15681</v>
      </c>
    </row>
    <row r="8751" ht="33.75" customHeight="1">
      <c r="A8751" s="7">
        <v>340.0</v>
      </c>
      <c r="B8751" s="9" t="s">
        <v>14912</v>
      </c>
      <c r="C8751" s="9" t="s">
        <v>513</v>
      </c>
      <c r="D8751" s="9" t="s">
        <v>637</v>
      </c>
      <c r="E8751" s="6" t="s">
        <v>8464</v>
      </c>
      <c r="F8751" s="9" t="s">
        <v>15681</v>
      </c>
    </row>
    <row r="8752" ht="33.75" customHeight="1">
      <c r="A8752" s="7">
        <v>340.0</v>
      </c>
      <c r="B8752" s="9" t="s">
        <v>14912</v>
      </c>
      <c r="C8752" s="9" t="s">
        <v>513</v>
      </c>
      <c r="D8752" s="9" t="s">
        <v>642</v>
      </c>
      <c r="E8752" s="6" t="s">
        <v>8466</v>
      </c>
      <c r="F8752" s="9" t="s">
        <v>15681</v>
      </c>
    </row>
    <row r="8753" ht="33.75" customHeight="1">
      <c r="A8753" s="7">
        <v>340.0</v>
      </c>
      <c r="B8753" s="9" t="s">
        <v>14912</v>
      </c>
      <c r="C8753" s="9" t="s">
        <v>513</v>
      </c>
      <c r="D8753" s="9" t="s">
        <v>647</v>
      </c>
      <c r="E8753" s="6" t="s">
        <v>8467</v>
      </c>
      <c r="F8753" s="9" t="s">
        <v>15681</v>
      </c>
    </row>
    <row r="8754" ht="33.75" customHeight="1">
      <c r="A8754" s="7">
        <v>340.0</v>
      </c>
      <c r="B8754" s="9" t="s">
        <v>14912</v>
      </c>
      <c r="C8754" s="9" t="s">
        <v>513</v>
      </c>
      <c r="D8754" s="9" t="s">
        <v>652</v>
      </c>
      <c r="E8754" s="6" t="s">
        <v>8469</v>
      </c>
      <c r="F8754" s="9" t="s">
        <v>15681</v>
      </c>
    </row>
    <row r="8755" ht="33.75" customHeight="1">
      <c r="A8755" s="7">
        <v>340.0</v>
      </c>
      <c r="B8755" s="9" t="s">
        <v>14912</v>
      </c>
      <c r="C8755" s="9" t="s">
        <v>513</v>
      </c>
      <c r="D8755" s="9" t="s">
        <v>114</v>
      </c>
      <c r="E8755" s="6" t="s">
        <v>8470</v>
      </c>
      <c r="F8755" s="9" t="s">
        <v>15681</v>
      </c>
    </row>
    <row r="8756" ht="33.75" customHeight="1">
      <c r="A8756" s="7">
        <v>340.0</v>
      </c>
      <c r="B8756" s="9" t="s">
        <v>14912</v>
      </c>
      <c r="C8756" s="9" t="s">
        <v>513</v>
      </c>
      <c r="D8756" s="9" t="s">
        <v>117</v>
      </c>
      <c r="E8756" s="6" t="s">
        <v>8458</v>
      </c>
      <c r="F8756" s="9" t="s">
        <v>15681</v>
      </c>
    </row>
    <row r="8757" ht="33.75" customHeight="1">
      <c r="A8757" s="7">
        <v>340.0</v>
      </c>
      <c r="B8757" s="9" t="s">
        <v>14912</v>
      </c>
      <c r="C8757" s="9" t="s">
        <v>513</v>
      </c>
      <c r="D8757" s="9" t="s">
        <v>1577</v>
      </c>
      <c r="E8757" s="6" t="s">
        <v>8472</v>
      </c>
      <c r="F8757" s="9" t="s">
        <v>15681</v>
      </c>
    </row>
    <row r="8758" ht="33.75" customHeight="1">
      <c r="A8758" s="7">
        <v>341.0</v>
      </c>
      <c r="B8758" s="9" t="s">
        <v>14931</v>
      </c>
      <c r="C8758" s="9" t="s">
        <v>516</v>
      </c>
      <c r="D8758" s="9" t="s">
        <v>67</v>
      </c>
      <c r="E8758" s="6" t="s">
        <v>8473</v>
      </c>
      <c r="F8758" s="9" t="s">
        <v>15696</v>
      </c>
      <c r="G8758" t="inlineStr" s="6">
        <is>
          <t xml:space="preserve">CORPHISH were originally foreign POKéMON that were imported as pets. They eventually turned up in the wild. This POKéMON is very hardy and has greatly increased its population. CORPHISH catches prey with its sharp claws. It has no likes or dislikes when it comes to food - it will eat anything. This POKéMON has no trouble living in filthy water. Once it grips prey with its large pincers, it will never let go, no matter what. It is a hardy POKéMON that can thrive in any environment. It came from overseas. It is a very hardy creature that will quickly proliferate, even in polluted streams. Its hardy vitality enables it to adapt to any environment. Its pincers will never release prey. It was originally a Pokémon from afar that escaped to the wild. It can adapt to the dirtiest river. No matter how dirty the water in the river, it will adapt and thrive. It has a strong will to survive. It has no likes or dislikes when it comes to food—it will eat anything. Individuals that have been set free by Trainers who could no longer raise them have become common, and they can now be found in Alola. It can adapt very well to its environment. Feebas and Corphish are about the only Pokémon to live in stagnant ditches.</t>
        </is>
      </c>
    </row>
    <row r="8759" ht="33.75" customHeight="1">
      <c r="A8759" s="7">
        <v>341.0</v>
      </c>
      <c r="B8759" s="9" t="s">
        <v>14931</v>
      </c>
      <c r="C8759" s="9" t="s">
        <v>516</v>
      </c>
      <c r="D8759" s="9" t="s">
        <v>71</v>
      </c>
      <c r="E8759" s="6" t="s">
        <v>8475</v>
      </c>
      <c r="F8759" s="9" t="s">
        <v>15696</v>
      </c>
    </row>
    <row r="8760" ht="33.75" customHeight="1">
      <c r="A8760" s="7">
        <v>341.0</v>
      </c>
      <c r="B8760" s="9" t="s">
        <v>14931</v>
      </c>
      <c r="C8760" s="9" t="s">
        <v>516</v>
      </c>
      <c r="D8760" s="9" t="s">
        <v>73</v>
      </c>
      <c r="E8760" s="6" t="s">
        <v>8476</v>
      </c>
      <c r="F8760" s="9" t="s">
        <v>15696</v>
      </c>
    </row>
    <row r="8761" ht="33.75" customHeight="1">
      <c r="A8761" s="7">
        <v>341.0</v>
      </c>
      <c r="B8761" s="9" t="s">
        <v>14931</v>
      </c>
      <c r="C8761" s="9" t="s">
        <v>516</v>
      </c>
      <c r="D8761" s="9" t="s">
        <v>75</v>
      </c>
      <c r="E8761" s="6" t="s">
        <v>8477</v>
      </c>
      <c r="F8761" s="9" t="s">
        <v>15696</v>
      </c>
    </row>
    <row r="8762" ht="33.75" customHeight="1">
      <c r="A8762" s="7">
        <v>341.0</v>
      </c>
      <c r="B8762" s="9" t="s">
        <v>14931</v>
      </c>
      <c r="C8762" s="9" t="s">
        <v>516</v>
      </c>
      <c r="D8762" s="9" t="s">
        <v>79</v>
      </c>
      <c r="E8762" s="6" t="s">
        <v>8477</v>
      </c>
      <c r="F8762" s="9" t="s">
        <v>15696</v>
      </c>
    </row>
    <row r="8763" ht="33.75" customHeight="1">
      <c r="A8763" s="7">
        <v>341.0</v>
      </c>
      <c r="B8763" s="9" t="s">
        <v>14931</v>
      </c>
      <c r="C8763" s="9" t="s">
        <v>516</v>
      </c>
      <c r="D8763" s="9" t="s">
        <v>81</v>
      </c>
      <c r="E8763" s="6" t="s">
        <v>8478</v>
      </c>
      <c r="F8763" s="9" t="s">
        <v>15696</v>
      </c>
    </row>
    <row r="8764" ht="33.75" customHeight="1">
      <c r="A8764" s="7">
        <v>341.0</v>
      </c>
      <c r="B8764" s="9" t="s">
        <v>14931</v>
      </c>
      <c r="C8764" s="9" t="s">
        <v>516</v>
      </c>
      <c r="D8764" s="9" t="s">
        <v>84</v>
      </c>
      <c r="E8764" s="6" t="s">
        <v>8478</v>
      </c>
      <c r="F8764" s="9" t="s">
        <v>15696</v>
      </c>
    </row>
    <row r="8765" ht="33.75" customHeight="1">
      <c r="A8765" s="7">
        <v>341.0</v>
      </c>
      <c r="B8765" s="9" t="s">
        <v>14931</v>
      </c>
      <c r="C8765" s="9" t="s">
        <v>516</v>
      </c>
      <c r="D8765" s="9" t="s">
        <v>87</v>
      </c>
      <c r="E8765" s="6" t="s">
        <v>8478</v>
      </c>
      <c r="F8765" s="9" t="s">
        <v>15696</v>
      </c>
    </row>
    <row r="8766" ht="33.75" customHeight="1">
      <c r="A8766" s="7">
        <v>341.0</v>
      </c>
      <c r="B8766" s="9" t="s">
        <v>14931</v>
      </c>
      <c r="C8766" s="9" t="s">
        <v>516</v>
      </c>
      <c r="D8766" s="9" t="s">
        <v>89</v>
      </c>
      <c r="E8766" s="6" t="s">
        <v>8479</v>
      </c>
      <c r="F8766" s="9" t="s">
        <v>15696</v>
      </c>
    </row>
    <row r="8767" ht="33.75" customHeight="1">
      <c r="A8767" s="7">
        <v>341.0</v>
      </c>
      <c r="B8767" s="9" t="s">
        <v>14931</v>
      </c>
      <c r="C8767" s="9" t="s">
        <v>516</v>
      </c>
      <c r="D8767" s="9" t="s">
        <v>91</v>
      </c>
      <c r="E8767" s="6" t="s">
        <v>8479</v>
      </c>
      <c r="F8767" s="9" t="s">
        <v>15696</v>
      </c>
    </row>
    <row r="8768" ht="33.75" customHeight="1">
      <c r="A8768" s="7">
        <v>341.0</v>
      </c>
      <c r="B8768" s="9" t="s">
        <v>14931</v>
      </c>
      <c r="C8768" s="9" t="s">
        <v>516</v>
      </c>
      <c r="D8768" s="9" t="s">
        <v>93</v>
      </c>
      <c r="E8768" s="6" t="s">
        <v>8478</v>
      </c>
      <c r="F8768" s="9" t="s">
        <v>15696</v>
      </c>
    </row>
    <row r="8769" ht="33.75" customHeight="1">
      <c r="A8769" s="7">
        <v>341.0</v>
      </c>
      <c r="B8769" s="9" t="s">
        <v>14931</v>
      </c>
      <c r="C8769" s="9" t="s">
        <v>516</v>
      </c>
      <c r="D8769" s="9" t="s">
        <v>95</v>
      </c>
      <c r="E8769" s="6" t="s">
        <v>8478</v>
      </c>
      <c r="F8769" s="9" t="s">
        <v>15696</v>
      </c>
    </row>
    <row r="8770" ht="33.75" customHeight="1">
      <c r="A8770" s="7">
        <v>341.0</v>
      </c>
      <c r="B8770" s="9" t="s">
        <v>14931</v>
      </c>
      <c r="C8770" s="9" t="s">
        <v>516</v>
      </c>
      <c r="D8770" s="9" t="s">
        <v>98</v>
      </c>
      <c r="E8770" s="6" t="s">
        <v>8481</v>
      </c>
      <c r="F8770" s="9" t="s">
        <v>15696</v>
      </c>
    </row>
    <row r="8771" ht="33.75" customHeight="1">
      <c r="A8771" s="7">
        <v>341.0</v>
      </c>
      <c r="B8771" s="9" t="s">
        <v>14931</v>
      </c>
      <c r="C8771" s="9" t="s">
        <v>516</v>
      </c>
      <c r="D8771" s="9" t="s">
        <v>99</v>
      </c>
      <c r="E8771" s="6" t="s">
        <v>8481</v>
      </c>
      <c r="F8771" s="9" t="s">
        <v>15696</v>
      </c>
    </row>
    <row r="8772" ht="33.75" customHeight="1">
      <c r="A8772" s="7">
        <v>341.0</v>
      </c>
      <c r="B8772" s="9" t="s">
        <v>14931</v>
      </c>
      <c r="C8772" s="9" t="s">
        <v>516</v>
      </c>
      <c r="D8772" s="9" t="s">
        <v>101</v>
      </c>
      <c r="E8772" s="6" t="s">
        <v>8481</v>
      </c>
      <c r="F8772" s="9" t="s">
        <v>15696</v>
      </c>
    </row>
    <row r="8773" ht="33.75" customHeight="1">
      <c r="A8773" s="7">
        <v>341.0</v>
      </c>
      <c r="B8773" s="9" t="s">
        <v>14931</v>
      </c>
      <c r="C8773" s="9" t="s">
        <v>516</v>
      </c>
      <c r="D8773" s="9" t="s">
        <v>105</v>
      </c>
      <c r="E8773" s="6" t="s">
        <v>8478</v>
      </c>
      <c r="F8773" s="9" t="s">
        <v>15696</v>
      </c>
    </row>
    <row r="8774" ht="33.75" customHeight="1">
      <c r="A8774" s="7">
        <v>341.0</v>
      </c>
      <c r="B8774" s="9" t="s">
        <v>14931</v>
      </c>
      <c r="C8774" s="9" t="s">
        <v>516</v>
      </c>
      <c r="D8774" s="9" t="s">
        <v>107</v>
      </c>
      <c r="E8774" s="6" t="s">
        <v>8482</v>
      </c>
      <c r="F8774" s="9" t="s">
        <v>15696</v>
      </c>
    </row>
    <row r="8775" ht="33.75" customHeight="1">
      <c r="A8775" s="7">
        <v>341.0</v>
      </c>
      <c r="B8775" s="9" t="s">
        <v>14931</v>
      </c>
      <c r="C8775" s="9" t="s">
        <v>516</v>
      </c>
      <c r="D8775" s="9" t="s">
        <v>109</v>
      </c>
      <c r="E8775" s="6" t="s">
        <v>8483</v>
      </c>
      <c r="F8775" s="9" t="s">
        <v>15696</v>
      </c>
    </row>
    <row r="8776" ht="33.75" customHeight="1">
      <c r="A8776" s="7">
        <v>341.0</v>
      </c>
      <c r="B8776" s="9" t="s">
        <v>14931</v>
      </c>
      <c r="C8776" s="9" t="s">
        <v>516</v>
      </c>
      <c r="D8776" s="9" t="s">
        <v>647</v>
      </c>
      <c r="E8776" s="6" t="s">
        <v>8485</v>
      </c>
      <c r="F8776" s="9" t="s">
        <v>15696</v>
      </c>
    </row>
    <row r="8777" ht="33.75" customHeight="1">
      <c r="A8777" s="7">
        <v>341.0</v>
      </c>
      <c r="B8777" s="9" t="s">
        <v>14931</v>
      </c>
      <c r="C8777" s="9" t="s">
        <v>516</v>
      </c>
      <c r="D8777" s="9" t="s">
        <v>652</v>
      </c>
      <c r="E8777" s="6" t="s">
        <v>8488</v>
      </c>
      <c r="F8777" s="9" t="s">
        <v>15696</v>
      </c>
    </row>
    <row r="8778" ht="33.75" customHeight="1">
      <c r="A8778" s="7">
        <v>341.0</v>
      </c>
      <c r="B8778" s="9" t="s">
        <v>14931</v>
      </c>
      <c r="C8778" s="9" t="s">
        <v>516</v>
      </c>
      <c r="D8778" s="9" t="s">
        <v>114</v>
      </c>
      <c r="E8778" s="6" t="s">
        <v>8481</v>
      </c>
      <c r="F8778" s="9" t="s">
        <v>15696</v>
      </c>
    </row>
    <row r="8779" ht="33.75" customHeight="1">
      <c r="A8779" s="7">
        <v>341.0</v>
      </c>
      <c r="B8779" s="9" t="s">
        <v>14931</v>
      </c>
      <c r="C8779" s="9" t="s">
        <v>516</v>
      </c>
      <c r="D8779" s="9" t="s">
        <v>117</v>
      </c>
      <c r="E8779" s="6" t="s">
        <v>8479</v>
      </c>
      <c r="F8779" s="9" t="s">
        <v>15696</v>
      </c>
    </row>
    <row r="8780" ht="33.75" customHeight="1">
      <c r="A8780" s="7">
        <v>342.0</v>
      </c>
      <c r="B8780" s="9" t="s">
        <v>14946</v>
      </c>
      <c r="C8780" s="9" t="s">
        <v>518</v>
      </c>
      <c r="D8780" s="9" t="s">
        <v>67</v>
      </c>
      <c r="E8780" s="6" t="s">
        <v>8490</v>
      </c>
      <c r="F8780" s="9" t="s">
        <v>15704</v>
      </c>
      <c r="G8780" t="inlineStr" s="6">
        <is>
          <t xml:space="preserve">CRAWDAUNT has an extremely violent nature that compels it to challenge other living things to battle. Other life-forms refuse to live in ponds inhabited by this POKéMON, making them desolate places. CRAWDAUNT molts (sheds) its shell regularly. Immediately after molting, its shell is soft and tender. Until the shell hardens, this POKéMON hides in its streambed burrow to avoid attack from its foes. A brutish POKéMON that loves to battle. A veteran CRAWDAUNT that has prevailed in hundreds of battles has giant pincers marked with countless scars. A rough customer that wildly flails its giant claws. It is said to be extremely hard to raise. It is a ruffian that uses its pincers to pick up and toss out other Pokémon from its pond. It will crash itself into any foe that approaches its nest. Loving to battle, this Pokémon pinches all Pokémon that enter its territory with its pincers and throws them out. Its temperament is rough and it loves to fight, but as soon as its pincers break off, it turns cowardly. It stays timid until they grow back. Its pincers often fall off. Unlike with Crabrawler or Clauncher, the meat in its claws is utterly nasty and stinking.</t>
        </is>
      </c>
    </row>
    <row r="8781" ht="33.75" customHeight="1">
      <c r="A8781" s="7">
        <v>342.0</v>
      </c>
      <c r="B8781" s="9" t="s">
        <v>14946</v>
      </c>
      <c r="C8781" s="9" t="s">
        <v>518</v>
      </c>
      <c r="D8781" s="9" t="s">
        <v>71</v>
      </c>
      <c r="E8781" s="6" t="s">
        <v>8491</v>
      </c>
      <c r="F8781" s="9" t="s">
        <v>15704</v>
      </c>
    </row>
    <row r="8782" ht="33.75" customHeight="1">
      <c r="A8782" s="7">
        <v>342.0</v>
      </c>
      <c r="B8782" s="9" t="s">
        <v>14946</v>
      </c>
      <c r="C8782" s="9" t="s">
        <v>518</v>
      </c>
      <c r="D8782" s="9" t="s">
        <v>73</v>
      </c>
      <c r="E8782" s="6" t="s">
        <v>8492</v>
      </c>
      <c r="F8782" s="9" t="s">
        <v>15704</v>
      </c>
    </row>
    <row r="8783" ht="33.75" customHeight="1">
      <c r="A8783" s="7">
        <v>342.0</v>
      </c>
      <c r="B8783" s="9" t="s">
        <v>14946</v>
      </c>
      <c r="C8783" s="9" t="s">
        <v>518</v>
      </c>
      <c r="D8783" s="9" t="s">
        <v>75</v>
      </c>
      <c r="E8783" s="6" t="s">
        <v>8494</v>
      </c>
      <c r="F8783" s="9" t="s">
        <v>15704</v>
      </c>
    </row>
    <row r="8784" ht="33.75" customHeight="1">
      <c r="A8784" s="7">
        <v>342.0</v>
      </c>
      <c r="B8784" s="9" t="s">
        <v>14946</v>
      </c>
      <c r="C8784" s="9" t="s">
        <v>518</v>
      </c>
      <c r="D8784" s="9" t="s">
        <v>79</v>
      </c>
      <c r="E8784" s="6" t="s">
        <v>8494</v>
      </c>
      <c r="F8784" s="9" t="s">
        <v>15704</v>
      </c>
    </row>
    <row r="8785" ht="33.75" customHeight="1">
      <c r="A8785" s="7">
        <v>342.0</v>
      </c>
      <c r="B8785" s="9" t="s">
        <v>14946</v>
      </c>
      <c r="C8785" s="9" t="s">
        <v>518</v>
      </c>
      <c r="D8785" s="9" t="s">
        <v>81</v>
      </c>
      <c r="E8785" s="6" t="s">
        <v>8495</v>
      </c>
      <c r="F8785" s="9" t="s">
        <v>15704</v>
      </c>
    </row>
    <row r="8786" ht="33.75" customHeight="1">
      <c r="A8786" s="7">
        <v>342.0</v>
      </c>
      <c r="B8786" s="9" t="s">
        <v>14946</v>
      </c>
      <c r="C8786" s="9" t="s">
        <v>518</v>
      </c>
      <c r="D8786" s="9" t="s">
        <v>84</v>
      </c>
      <c r="E8786" s="6" t="s">
        <v>8495</v>
      </c>
      <c r="F8786" s="9" t="s">
        <v>15704</v>
      </c>
    </row>
    <row r="8787" ht="33.75" customHeight="1">
      <c r="A8787" s="7">
        <v>342.0</v>
      </c>
      <c r="B8787" s="9" t="s">
        <v>14946</v>
      </c>
      <c r="C8787" s="9" t="s">
        <v>518</v>
      </c>
      <c r="D8787" s="9" t="s">
        <v>87</v>
      </c>
      <c r="E8787" s="6" t="s">
        <v>8495</v>
      </c>
      <c r="F8787" s="9" t="s">
        <v>15704</v>
      </c>
    </row>
    <row r="8788" ht="33.75" customHeight="1">
      <c r="A8788" s="7">
        <v>342.0</v>
      </c>
      <c r="B8788" s="9" t="s">
        <v>14946</v>
      </c>
      <c r="C8788" s="9" t="s">
        <v>518</v>
      </c>
      <c r="D8788" s="9" t="s">
        <v>89</v>
      </c>
      <c r="E8788" s="6" t="s">
        <v>8497</v>
      </c>
      <c r="F8788" s="9" t="s">
        <v>15704</v>
      </c>
    </row>
    <row r="8789" ht="33.75" customHeight="1">
      <c r="A8789" s="7">
        <v>342.0</v>
      </c>
      <c r="B8789" s="9" t="s">
        <v>14946</v>
      </c>
      <c r="C8789" s="9" t="s">
        <v>518</v>
      </c>
      <c r="D8789" s="9" t="s">
        <v>91</v>
      </c>
      <c r="E8789" s="6" t="s">
        <v>8497</v>
      </c>
      <c r="F8789" s="9" t="s">
        <v>15704</v>
      </c>
    </row>
    <row r="8790" ht="33.75" customHeight="1">
      <c r="A8790" s="7">
        <v>342.0</v>
      </c>
      <c r="B8790" s="9" t="s">
        <v>14946</v>
      </c>
      <c r="C8790" s="9" t="s">
        <v>518</v>
      </c>
      <c r="D8790" s="9" t="s">
        <v>93</v>
      </c>
      <c r="E8790" s="6" t="s">
        <v>8495</v>
      </c>
      <c r="F8790" s="9" t="s">
        <v>15704</v>
      </c>
    </row>
    <row r="8791" ht="33.75" customHeight="1">
      <c r="A8791" s="7">
        <v>342.0</v>
      </c>
      <c r="B8791" s="9" t="s">
        <v>14946</v>
      </c>
      <c r="C8791" s="9" t="s">
        <v>518</v>
      </c>
      <c r="D8791" s="9" t="s">
        <v>95</v>
      </c>
      <c r="E8791" s="6" t="s">
        <v>8495</v>
      </c>
      <c r="F8791" s="9" t="s">
        <v>15704</v>
      </c>
    </row>
    <row r="8792" ht="33.75" customHeight="1">
      <c r="A8792" s="7">
        <v>342.0</v>
      </c>
      <c r="B8792" s="9" t="s">
        <v>14946</v>
      </c>
      <c r="C8792" s="9" t="s">
        <v>518</v>
      </c>
      <c r="D8792" s="9" t="s">
        <v>98</v>
      </c>
      <c r="E8792" s="6" t="s">
        <v>8498</v>
      </c>
      <c r="F8792" s="9" t="s">
        <v>15704</v>
      </c>
    </row>
    <row r="8793" ht="33.75" customHeight="1">
      <c r="A8793" s="7">
        <v>342.0</v>
      </c>
      <c r="B8793" s="9" t="s">
        <v>14946</v>
      </c>
      <c r="C8793" s="9" t="s">
        <v>518</v>
      </c>
      <c r="D8793" s="9" t="s">
        <v>99</v>
      </c>
      <c r="E8793" s="6" t="s">
        <v>8498</v>
      </c>
      <c r="F8793" s="9" t="s">
        <v>15704</v>
      </c>
    </row>
    <row r="8794" ht="33.75" customHeight="1">
      <c r="A8794" s="7">
        <v>342.0</v>
      </c>
      <c r="B8794" s="9" t="s">
        <v>14946</v>
      </c>
      <c r="C8794" s="9" t="s">
        <v>518</v>
      </c>
      <c r="D8794" s="9" t="s">
        <v>101</v>
      </c>
      <c r="E8794" s="6" t="s">
        <v>8495</v>
      </c>
      <c r="F8794" s="9" t="s">
        <v>15704</v>
      </c>
    </row>
    <row r="8795" ht="33.75" customHeight="1">
      <c r="A8795" s="7">
        <v>342.0</v>
      </c>
      <c r="B8795" s="9" t="s">
        <v>14946</v>
      </c>
      <c r="C8795" s="9" t="s">
        <v>518</v>
      </c>
      <c r="D8795" s="9" t="s">
        <v>105</v>
      </c>
      <c r="E8795" s="6" t="s">
        <v>8498</v>
      </c>
      <c r="F8795" s="9" t="s">
        <v>15704</v>
      </c>
    </row>
    <row r="8796" ht="33.75" customHeight="1">
      <c r="A8796" s="7">
        <v>342.0</v>
      </c>
      <c r="B8796" s="9" t="s">
        <v>14946</v>
      </c>
      <c r="C8796" s="9" t="s">
        <v>518</v>
      </c>
      <c r="D8796" s="9" t="s">
        <v>107</v>
      </c>
      <c r="E8796" s="6" t="s">
        <v>8499</v>
      </c>
      <c r="F8796" s="9" t="s">
        <v>15704</v>
      </c>
    </row>
    <row r="8797" ht="33.75" customHeight="1">
      <c r="A8797" s="7">
        <v>342.0</v>
      </c>
      <c r="B8797" s="9" t="s">
        <v>14946</v>
      </c>
      <c r="C8797" s="9" t="s">
        <v>518</v>
      </c>
      <c r="D8797" s="9" t="s">
        <v>109</v>
      </c>
      <c r="E8797" s="6" t="s">
        <v>8501</v>
      </c>
      <c r="F8797" s="9" t="s">
        <v>15704</v>
      </c>
    </row>
    <row r="8798" ht="33.75" customHeight="1">
      <c r="A8798" s="7">
        <v>342.0</v>
      </c>
      <c r="B8798" s="9" t="s">
        <v>14946</v>
      </c>
      <c r="C8798" s="9" t="s">
        <v>518</v>
      </c>
      <c r="D8798" s="9" t="s">
        <v>647</v>
      </c>
      <c r="E8798" s="6" t="s">
        <v>8502</v>
      </c>
      <c r="F8798" s="9" t="s">
        <v>15704</v>
      </c>
    </row>
    <row r="8799" ht="33.75" customHeight="1">
      <c r="A8799" s="7">
        <v>342.0</v>
      </c>
      <c r="B8799" s="9" t="s">
        <v>14946</v>
      </c>
      <c r="C8799" s="9" t="s">
        <v>518</v>
      </c>
      <c r="D8799" s="9" t="s">
        <v>652</v>
      </c>
      <c r="E8799" s="6" t="s">
        <v>8504</v>
      </c>
      <c r="F8799" s="9" t="s">
        <v>15704</v>
      </c>
    </row>
    <row r="8800" ht="33.75" customHeight="1">
      <c r="A8800" s="7">
        <v>342.0</v>
      </c>
      <c r="B8800" s="9" t="s">
        <v>14946</v>
      </c>
      <c r="C8800" s="9" t="s">
        <v>518</v>
      </c>
      <c r="D8800" s="9" t="s">
        <v>114</v>
      </c>
      <c r="E8800" s="6" t="s">
        <v>8494</v>
      </c>
      <c r="F8800" s="9" t="s">
        <v>15704</v>
      </c>
    </row>
    <row r="8801" ht="33.75" customHeight="1">
      <c r="A8801" s="7">
        <v>342.0</v>
      </c>
      <c r="B8801" s="9" t="s">
        <v>14946</v>
      </c>
      <c r="C8801" s="9" t="s">
        <v>518</v>
      </c>
      <c r="D8801" s="9" t="s">
        <v>117</v>
      </c>
      <c r="E8801" s="6" t="s">
        <v>8497</v>
      </c>
      <c r="F8801" s="9" t="s">
        <v>15704</v>
      </c>
    </row>
    <row r="8802" ht="33.75" customHeight="1">
      <c r="A8802" s="7">
        <v>343.0</v>
      </c>
      <c r="B8802" s="9" t="s">
        <v>14961</v>
      </c>
      <c r="C8802" s="9" t="s">
        <v>521</v>
      </c>
      <c r="D8802" s="9" t="s">
        <v>67</v>
      </c>
      <c r="E8802" s="6" t="s">
        <v>8505</v>
      </c>
      <c r="F8802" s="9" t="s">
        <v>15714</v>
      </c>
      <c r="G8802" t="inlineStr" s="6">
        <is>
          <t xml:space="preserve">BALTOY moves while spinning around on Baltoy's one foot. Primitive wall paintings depicting this POKéMON living among people were discovered in some ancient ruins. As soon as it spots others of its kind, BALTOY congregates with them and then begins crying noisily in unison. This POKéMON sleeps while cleverly balancing itself on its one foot. A BALTOY moves by spinning on its single foot. It has been depicted in murals adorning the walls of a once-bustling city in an ancient age. It was discovered in ancient ruins. While moving, it constantly spins. It stands on one foot even when asleep. It moves by spinning on its foot. It is a rare Pokémon that was discovered in ancient ruins. It moves while spinning around on its single foot. Some BALTOY have been seen spinning on their heads. Discovered in ancient ruins, it moves by spinning around and forms a group when it finds others. Depictions of Pokémon similar to Baltoy have been found on the walls of caves where primitive humans lived. When they find others of their kind, they cry out loudly and gather together. Large numbers of them can be found in old graveyards.</t>
        </is>
      </c>
    </row>
    <row r="8803" ht="33.75" customHeight="1">
      <c r="A8803" s="7">
        <v>343.0</v>
      </c>
      <c r="B8803" s="9" t="s">
        <v>14961</v>
      </c>
      <c r="C8803" s="9" t="s">
        <v>521</v>
      </c>
      <c r="D8803" s="9" t="s">
        <v>71</v>
      </c>
      <c r="E8803" s="6" t="s">
        <v>8506</v>
      </c>
      <c r="F8803" s="9" t="s">
        <v>15714</v>
      </c>
    </row>
    <row r="8804" ht="33.75" customHeight="1">
      <c r="A8804" s="7">
        <v>343.0</v>
      </c>
      <c r="B8804" s="9" t="s">
        <v>14961</v>
      </c>
      <c r="C8804" s="9" t="s">
        <v>521</v>
      </c>
      <c r="D8804" s="9" t="s">
        <v>73</v>
      </c>
      <c r="E8804" s="6" t="s">
        <v>8508</v>
      </c>
      <c r="F8804" s="9" t="s">
        <v>15714</v>
      </c>
    </row>
    <row r="8805" ht="33.75" customHeight="1">
      <c r="A8805" s="7">
        <v>343.0</v>
      </c>
      <c r="B8805" s="9" t="s">
        <v>14961</v>
      </c>
      <c r="C8805" s="9" t="s">
        <v>521</v>
      </c>
      <c r="D8805" s="9" t="s">
        <v>75</v>
      </c>
      <c r="E8805" s="6" t="s">
        <v>8509</v>
      </c>
      <c r="F8805" s="9" t="s">
        <v>15714</v>
      </c>
    </row>
    <row r="8806" ht="33.75" customHeight="1">
      <c r="A8806" s="7">
        <v>343.0</v>
      </c>
      <c r="B8806" s="9" t="s">
        <v>14961</v>
      </c>
      <c r="C8806" s="9" t="s">
        <v>521</v>
      </c>
      <c r="D8806" s="9" t="s">
        <v>79</v>
      </c>
      <c r="E8806" s="6" t="s">
        <v>8509</v>
      </c>
      <c r="F8806" s="9" t="s">
        <v>15714</v>
      </c>
    </row>
    <row r="8807" ht="33.75" customHeight="1">
      <c r="A8807" s="7">
        <v>343.0</v>
      </c>
      <c r="B8807" s="9" t="s">
        <v>14961</v>
      </c>
      <c r="C8807" s="9" t="s">
        <v>521</v>
      </c>
      <c r="D8807" s="9" t="s">
        <v>81</v>
      </c>
      <c r="E8807" s="6" t="s">
        <v>8510</v>
      </c>
      <c r="F8807" s="9" t="s">
        <v>15714</v>
      </c>
    </row>
    <row r="8808" ht="33.75" customHeight="1">
      <c r="A8808" s="7">
        <v>343.0</v>
      </c>
      <c r="B8808" s="9" t="s">
        <v>14961</v>
      </c>
      <c r="C8808" s="9" t="s">
        <v>521</v>
      </c>
      <c r="D8808" s="9" t="s">
        <v>84</v>
      </c>
      <c r="E8808" s="6" t="s">
        <v>8510</v>
      </c>
      <c r="F8808" s="9" t="s">
        <v>15714</v>
      </c>
    </row>
    <row r="8809" ht="33.75" customHeight="1">
      <c r="A8809" s="7">
        <v>343.0</v>
      </c>
      <c r="B8809" s="9" t="s">
        <v>14961</v>
      </c>
      <c r="C8809" s="9" t="s">
        <v>521</v>
      </c>
      <c r="D8809" s="9" t="s">
        <v>87</v>
      </c>
      <c r="E8809" s="6" t="s">
        <v>8510</v>
      </c>
      <c r="F8809" s="9" t="s">
        <v>15714</v>
      </c>
    </row>
    <row r="8810" ht="33.75" customHeight="1">
      <c r="A8810" s="7">
        <v>343.0</v>
      </c>
      <c r="B8810" s="9" t="s">
        <v>14961</v>
      </c>
      <c r="C8810" s="9" t="s">
        <v>521</v>
      </c>
      <c r="D8810" s="9" t="s">
        <v>89</v>
      </c>
      <c r="E8810" s="6" t="s">
        <v>8512</v>
      </c>
      <c r="F8810" s="9" t="s">
        <v>15714</v>
      </c>
    </row>
    <row r="8811" ht="33.75" customHeight="1">
      <c r="A8811" s="7">
        <v>343.0</v>
      </c>
      <c r="B8811" s="9" t="s">
        <v>14961</v>
      </c>
      <c r="C8811" s="9" t="s">
        <v>521</v>
      </c>
      <c r="D8811" s="9" t="s">
        <v>91</v>
      </c>
      <c r="E8811" s="6" t="s">
        <v>8512</v>
      </c>
      <c r="F8811" s="9" t="s">
        <v>15714</v>
      </c>
    </row>
    <row r="8812" ht="33.75" customHeight="1">
      <c r="A8812" s="7">
        <v>343.0</v>
      </c>
      <c r="B8812" s="9" t="s">
        <v>14961</v>
      </c>
      <c r="C8812" s="9" t="s">
        <v>521</v>
      </c>
      <c r="D8812" s="9" t="s">
        <v>93</v>
      </c>
      <c r="E8812" s="6" t="s">
        <v>8510</v>
      </c>
      <c r="F8812" s="9" t="s">
        <v>15714</v>
      </c>
    </row>
    <row r="8813" ht="33.75" customHeight="1">
      <c r="A8813" s="7">
        <v>343.0</v>
      </c>
      <c r="B8813" s="9" t="s">
        <v>14961</v>
      </c>
      <c r="C8813" s="9" t="s">
        <v>521</v>
      </c>
      <c r="D8813" s="9" t="s">
        <v>95</v>
      </c>
      <c r="E8813" s="6" t="s">
        <v>8510</v>
      </c>
      <c r="F8813" s="9" t="s">
        <v>15714</v>
      </c>
    </row>
    <row r="8814" ht="33.75" customHeight="1">
      <c r="A8814" s="7">
        <v>343.0</v>
      </c>
      <c r="B8814" s="9" t="s">
        <v>14961</v>
      </c>
      <c r="C8814" s="9" t="s">
        <v>521</v>
      </c>
      <c r="D8814" s="9" t="s">
        <v>98</v>
      </c>
      <c r="E8814" s="6" t="s">
        <v>8513</v>
      </c>
      <c r="F8814" s="9" t="s">
        <v>15714</v>
      </c>
    </row>
    <row r="8815" ht="33.75" customHeight="1">
      <c r="A8815" s="7">
        <v>343.0</v>
      </c>
      <c r="B8815" s="9" t="s">
        <v>14961</v>
      </c>
      <c r="C8815" s="9" t="s">
        <v>521</v>
      </c>
      <c r="D8815" s="9" t="s">
        <v>99</v>
      </c>
      <c r="E8815" s="6" t="s">
        <v>8513</v>
      </c>
      <c r="F8815" s="9" t="s">
        <v>15714</v>
      </c>
    </row>
    <row r="8816" ht="33.75" customHeight="1">
      <c r="A8816" s="7">
        <v>343.0</v>
      </c>
      <c r="B8816" s="9" t="s">
        <v>14961</v>
      </c>
      <c r="C8816" s="9" t="s">
        <v>521</v>
      </c>
      <c r="D8816" s="9" t="s">
        <v>101</v>
      </c>
      <c r="E8816" s="6" t="s">
        <v>8514</v>
      </c>
      <c r="F8816" s="9" t="s">
        <v>15714</v>
      </c>
    </row>
    <row r="8817" ht="33.75" customHeight="1">
      <c r="A8817" s="7">
        <v>343.0</v>
      </c>
      <c r="B8817" s="9" t="s">
        <v>14961</v>
      </c>
      <c r="C8817" s="9" t="s">
        <v>521</v>
      </c>
      <c r="D8817" s="9" t="s">
        <v>105</v>
      </c>
      <c r="E8817" s="6" t="s">
        <v>8510</v>
      </c>
      <c r="F8817" s="9" t="s">
        <v>15714</v>
      </c>
    </row>
    <row r="8818" ht="33.75" customHeight="1">
      <c r="A8818" s="7">
        <v>343.0</v>
      </c>
      <c r="B8818" s="9" t="s">
        <v>14961</v>
      </c>
      <c r="C8818" s="9" t="s">
        <v>521</v>
      </c>
      <c r="D8818" s="9" t="s">
        <v>107</v>
      </c>
      <c r="E8818" s="6" t="s">
        <v>8515</v>
      </c>
      <c r="F8818" s="9" t="s">
        <v>15714</v>
      </c>
    </row>
    <row r="8819" ht="33.75" customHeight="1">
      <c r="A8819" s="7">
        <v>343.0</v>
      </c>
      <c r="B8819" s="9" t="s">
        <v>14961</v>
      </c>
      <c r="C8819" s="9" t="s">
        <v>521</v>
      </c>
      <c r="D8819" s="9" t="s">
        <v>109</v>
      </c>
      <c r="E8819" s="6" t="s">
        <v>8516</v>
      </c>
      <c r="F8819" s="9" t="s">
        <v>15714</v>
      </c>
    </row>
    <row r="8820" ht="33.75" customHeight="1">
      <c r="A8820" s="7">
        <v>343.0</v>
      </c>
      <c r="B8820" s="9" t="s">
        <v>14961</v>
      </c>
      <c r="C8820" s="9" t="s">
        <v>521</v>
      </c>
      <c r="D8820" s="9" t="s">
        <v>647</v>
      </c>
      <c r="E8820" s="6" t="s">
        <v>8518</v>
      </c>
      <c r="F8820" s="9" t="s">
        <v>15714</v>
      </c>
    </row>
    <row r="8821" ht="33.75" customHeight="1">
      <c r="A8821" s="7">
        <v>343.0</v>
      </c>
      <c r="B8821" s="9" t="s">
        <v>14961</v>
      </c>
      <c r="C8821" s="9" t="s">
        <v>521</v>
      </c>
      <c r="D8821" s="9" t="s">
        <v>652</v>
      </c>
      <c r="E8821" s="6" t="s">
        <v>8519</v>
      </c>
      <c r="F8821" s="9" t="s">
        <v>15714</v>
      </c>
    </row>
    <row r="8822" ht="33.75" customHeight="1">
      <c r="A8822" s="7">
        <v>343.0</v>
      </c>
      <c r="B8822" s="9" t="s">
        <v>14961</v>
      </c>
      <c r="C8822" s="9" t="s">
        <v>521</v>
      </c>
      <c r="D8822" s="9" t="s">
        <v>114</v>
      </c>
      <c r="E8822" s="6" t="s">
        <v>8514</v>
      </c>
      <c r="F8822" s="9" t="s">
        <v>15714</v>
      </c>
    </row>
    <row r="8823" ht="33.75" customHeight="1">
      <c r="A8823" s="7">
        <v>343.0</v>
      </c>
      <c r="B8823" s="9" t="s">
        <v>14961</v>
      </c>
      <c r="C8823" s="9" t="s">
        <v>521</v>
      </c>
      <c r="D8823" s="9" t="s">
        <v>117</v>
      </c>
      <c r="E8823" s="6" t="s">
        <v>8509</v>
      </c>
      <c r="F8823" s="9" t="s">
        <v>15714</v>
      </c>
    </row>
    <row r="8824" ht="33.75" customHeight="1">
      <c r="A8824" s="7">
        <v>344.0</v>
      </c>
      <c r="B8824" s="9" t="s">
        <v>14976</v>
      </c>
      <c r="C8824" s="9" t="s">
        <v>521</v>
      </c>
      <c r="D8824" s="9" t="s">
        <v>67</v>
      </c>
      <c r="E8824" s="6" t="s">
        <v>8521</v>
      </c>
      <c r="F8824" s="9" t="s">
        <v>15723</v>
      </c>
      <c r="G8824" t="inlineStr" s="6">
        <is>
          <t xml:space="preserve">CLAYDOL are said to be dolls of mud made by primitive humans and brought to life by exposure to a mysterious ray. This POKéMON moves about while levitating. CLAYDOL is an enigma that appeared from a clay statue made by an ancient civilization dating back 20,000 years. This POKéMON shoots beams from both its hands. A CLAYDOL sleeps while hovering in midair. Its arms are separate from its body. They are kept floating by the POKéMON’s manipulation of psychic power. It appears to have been born from clay dolls made by ancient people. It uses telekinesis to float and move. An ancient clay figurine that came to life as a Pokémon from exposure to a mysterious ray of light. It is said that it originates from clay dolls made by an ancient civilization. This mysterious Pokémon started life as an ancient clay figurine made over 20,000 years ago. If it gets wet, its body melts. When rain starts to fall, it wraps its whole body up with its psychic powers to protect itself. The ancient people who made it apparently modeled it after something that descended from the sky. It fires beams from both arms.</t>
        </is>
      </c>
    </row>
    <row r="8825" ht="33.75" customHeight="1">
      <c r="A8825" s="7">
        <v>344.0</v>
      </c>
      <c r="B8825" s="9" t="s">
        <v>14976</v>
      </c>
      <c r="C8825" s="9" t="s">
        <v>521</v>
      </c>
      <c r="D8825" s="9" t="s">
        <v>71</v>
      </c>
      <c r="E8825" s="6" t="s">
        <v>8522</v>
      </c>
      <c r="F8825" s="9" t="s">
        <v>15723</v>
      </c>
    </row>
    <row r="8826" ht="33.75" customHeight="1">
      <c r="A8826" s="7">
        <v>344.0</v>
      </c>
      <c r="B8826" s="9" t="s">
        <v>14976</v>
      </c>
      <c r="C8826" s="9" t="s">
        <v>521</v>
      </c>
      <c r="D8826" s="9" t="s">
        <v>73</v>
      </c>
      <c r="E8826" s="6" t="s">
        <v>8523</v>
      </c>
      <c r="F8826" s="9" t="s">
        <v>15723</v>
      </c>
    </row>
    <row r="8827" ht="33.75" customHeight="1">
      <c r="A8827" s="7">
        <v>344.0</v>
      </c>
      <c r="B8827" s="9" t="s">
        <v>14976</v>
      </c>
      <c r="C8827" s="9" t="s">
        <v>521</v>
      </c>
      <c r="D8827" s="9" t="s">
        <v>75</v>
      </c>
      <c r="E8827" s="6" t="s">
        <v>8525</v>
      </c>
      <c r="F8827" s="9" t="s">
        <v>15723</v>
      </c>
    </row>
    <row r="8828" ht="33.75" customHeight="1">
      <c r="A8828" s="7">
        <v>344.0</v>
      </c>
      <c r="B8828" s="9" t="s">
        <v>14976</v>
      </c>
      <c r="C8828" s="9" t="s">
        <v>521</v>
      </c>
      <c r="D8828" s="9" t="s">
        <v>79</v>
      </c>
      <c r="E8828" s="6" t="s">
        <v>8525</v>
      </c>
      <c r="F8828" s="9" t="s">
        <v>15723</v>
      </c>
    </row>
    <row r="8829" ht="33.75" customHeight="1">
      <c r="A8829" s="7">
        <v>344.0</v>
      </c>
      <c r="B8829" s="9" t="s">
        <v>14976</v>
      </c>
      <c r="C8829" s="9" t="s">
        <v>521</v>
      </c>
      <c r="D8829" s="9" t="s">
        <v>81</v>
      </c>
      <c r="E8829" s="6" t="s">
        <v>8526</v>
      </c>
      <c r="F8829" s="9" t="s">
        <v>15723</v>
      </c>
    </row>
    <row r="8830" ht="33.75" customHeight="1">
      <c r="A8830" s="7">
        <v>344.0</v>
      </c>
      <c r="B8830" s="9" t="s">
        <v>14976</v>
      </c>
      <c r="C8830" s="9" t="s">
        <v>521</v>
      </c>
      <c r="D8830" s="9" t="s">
        <v>84</v>
      </c>
      <c r="E8830" s="6" t="s">
        <v>8526</v>
      </c>
      <c r="F8830" s="9" t="s">
        <v>15723</v>
      </c>
    </row>
    <row r="8831" ht="33.75" customHeight="1">
      <c r="A8831" s="7">
        <v>344.0</v>
      </c>
      <c r="B8831" s="9" t="s">
        <v>14976</v>
      </c>
      <c r="C8831" s="9" t="s">
        <v>521</v>
      </c>
      <c r="D8831" s="9" t="s">
        <v>87</v>
      </c>
      <c r="E8831" s="6" t="s">
        <v>8526</v>
      </c>
      <c r="F8831" s="9" t="s">
        <v>15723</v>
      </c>
    </row>
    <row r="8832" ht="33.75" customHeight="1">
      <c r="A8832" s="7">
        <v>344.0</v>
      </c>
      <c r="B8832" s="9" t="s">
        <v>14976</v>
      </c>
      <c r="C8832" s="9" t="s">
        <v>521</v>
      </c>
      <c r="D8832" s="9" t="s">
        <v>89</v>
      </c>
      <c r="E8832" s="6" t="s">
        <v>8527</v>
      </c>
      <c r="F8832" s="9" t="s">
        <v>15723</v>
      </c>
    </row>
    <row r="8833" ht="33.75" customHeight="1">
      <c r="A8833" s="7">
        <v>344.0</v>
      </c>
      <c r="B8833" s="9" t="s">
        <v>14976</v>
      </c>
      <c r="C8833" s="9" t="s">
        <v>521</v>
      </c>
      <c r="D8833" s="9" t="s">
        <v>91</v>
      </c>
      <c r="E8833" s="6" t="s">
        <v>8527</v>
      </c>
      <c r="F8833" s="9" t="s">
        <v>15723</v>
      </c>
    </row>
    <row r="8834" ht="33.75" customHeight="1">
      <c r="A8834" s="7">
        <v>344.0</v>
      </c>
      <c r="B8834" s="9" t="s">
        <v>14976</v>
      </c>
      <c r="C8834" s="9" t="s">
        <v>521</v>
      </c>
      <c r="D8834" s="9" t="s">
        <v>93</v>
      </c>
      <c r="E8834" s="6" t="s">
        <v>8526</v>
      </c>
      <c r="F8834" s="9" t="s">
        <v>15723</v>
      </c>
    </row>
    <row r="8835" ht="33.75" customHeight="1">
      <c r="A8835" s="7">
        <v>344.0</v>
      </c>
      <c r="B8835" s="9" t="s">
        <v>14976</v>
      </c>
      <c r="C8835" s="9" t="s">
        <v>521</v>
      </c>
      <c r="D8835" s="9" t="s">
        <v>95</v>
      </c>
      <c r="E8835" s="6" t="s">
        <v>8526</v>
      </c>
      <c r="F8835" s="9" t="s">
        <v>15723</v>
      </c>
    </row>
    <row r="8836" ht="33.75" customHeight="1">
      <c r="A8836" s="7">
        <v>344.0</v>
      </c>
      <c r="B8836" s="9" t="s">
        <v>14976</v>
      </c>
      <c r="C8836" s="9" t="s">
        <v>521</v>
      </c>
      <c r="D8836" s="9" t="s">
        <v>98</v>
      </c>
      <c r="E8836" s="6" t="s">
        <v>8529</v>
      </c>
      <c r="F8836" s="9" t="s">
        <v>15723</v>
      </c>
    </row>
    <row r="8837" ht="33.75" customHeight="1">
      <c r="A8837" s="7">
        <v>344.0</v>
      </c>
      <c r="B8837" s="9" t="s">
        <v>14976</v>
      </c>
      <c r="C8837" s="9" t="s">
        <v>521</v>
      </c>
      <c r="D8837" s="9" t="s">
        <v>99</v>
      </c>
      <c r="E8837" s="6" t="s">
        <v>8529</v>
      </c>
      <c r="F8837" s="9" t="s">
        <v>15723</v>
      </c>
    </row>
    <row r="8838" ht="33.75" customHeight="1">
      <c r="A8838" s="7">
        <v>344.0</v>
      </c>
      <c r="B8838" s="9" t="s">
        <v>14976</v>
      </c>
      <c r="C8838" s="9" t="s">
        <v>521</v>
      </c>
      <c r="D8838" s="9" t="s">
        <v>101</v>
      </c>
      <c r="E8838" s="6" t="s">
        <v>8526</v>
      </c>
      <c r="F8838" s="9" t="s">
        <v>15723</v>
      </c>
    </row>
    <row r="8839" ht="33.75" customHeight="1">
      <c r="A8839" s="7">
        <v>344.0</v>
      </c>
      <c r="B8839" s="9" t="s">
        <v>14976</v>
      </c>
      <c r="C8839" s="9" t="s">
        <v>521</v>
      </c>
      <c r="D8839" s="9" t="s">
        <v>105</v>
      </c>
      <c r="E8839" s="6" t="s">
        <v>8527</v>
      </c>
      <c r="F8839" s="9" t="s">
        <v>15723</v>
      </c>
    </row>
    <row r="8840" ht="33.75" customHeight="1">
      <c r="A8840" s="7">
        <v>344.0</v>
      </c>
      <c r="B8840" s="9" t="s">
        <v>14976</v>
      </c>
      <c r="C8840" s="9" t="s">
        <v>521</v>
      </c>
      <c r="D8840" s="9" t="s">
        <v>107</v>
      </c>
      <c r="E8840" s="6" t="s">
        <v>8530</v>
      </c>
      <c r="F8840" s="9" t="s">
        <v>15723</v>
      </c>
    </row>
    <row r="8841" ht="33.75" customHeight="1">
      <c r="A8841" s="7">
        <v>344.0</v>
      </c>
      <c r="B8841" s="9" t="s">
        <v>14976</v>
      </c>
      <c r="C8841" s="9" t="s">
        <v>521</v>
      </c>
      <c r="D8841" s="9" t="s">
        <v>109</v>
      </c>
      <c r="E8841" s="6" t="s">
        <v>8531</v>
      </c>
      <c r="F8841" s="9" t="s">
        <v>15723</v>
      </c>
    </row>
    <row r="8842" ht="33.75" customHeight="1">
      <c r="A8842" s="7">
        <v>344.0</v>
      </c>
      <c r="B8842" s="9" t="s">
        <v>14976</v>
      </c>
      <c r="C8842" s="9" t="s">
        <v>521</v>
      </c>
      <c r="D8842" s="9" t="s">
        <v>647</v>
      </c>
      <c r="E8842" s="6" t="s">
        <v>8532</v>
      </c>
      <c r="F8842" s="9" t="s">
        <v>15723</v>
      </c>
    </row>
    <row r="8843" ht="33.75" customHeight="1">
      <c r="A8843" s="7">
        <v>344.0</v>
      </c>
      <c r="B8843" s="9" t="s">
        <v>14976</v>
      </c>
      <c r="C8843" s="9" t="s">
        <v>521</v>
      </c>
      <c r="D8843" s="9" t="s">
        <v>652</v>
      </c>
      <c r="E8843" s="6" t="s">
        <v>8533</v>
      </c>
      <c r="F8843" s="9" t="s">
        <v>15723</v>
      </c>
    </row>
    <row r="8844" ht="33.75" customHeight="1">
      <c r="A8844" s="7">
        <v>344.0</v>
      </c>
      <c r="B8844" s="9" t="s">
        <v>14976</v>
      </c>
      <c r="C8844" s="9" t="s">
        <v>521</v>
      </c>
      <c r="D8844" s="9" t="s">
        <v>114</v>
      </c>
      <c r="E8844" s="6" t="s">
        <v>8529</v>
      </c>
      <c r="F8844" s="9" t="s">
        <v>15723</v>
      </c>
    </row>
    <row r="8845" ht="33.75" customHeight="1">
      <c r="A8845" s="7">
        <v>344.0</v>
      </c>
      <c r="B8845" s="9" t="s">
        <v>14976</v>
      </c>
      <c r="C8845" s="9" t="s">
        <v>521</v>
      </c>
      <c r="D8845" s="9" t="s">
        <v>117</v>
      </c>
      <c r="E8845" s="6" t="s">
        <v>8525</v>
      </c>
      <c r="F8845" s="9" t="s">
        <v>15723</v>
      </c>
    </row>
    <row r="8846" ht="33.75" customHeight="1">
      <c r="A8846" s="7">
        <v>345.0</v>
      </c>
      <c r="B8846" s="9" t="s">
        <v>14990</v>
      </c>
      <c r="C8846" s="9" t="s">
        <v>524</v>
      </c>
      <c r="D8846" s="9" t="s">
        <v>67</v>
      </c>
      <c r="E8846" s="6" t="s">
        <v>8535</v>
      </c>
      <c r="F8846" s="9" t="s">
        <v>15732</v>
      </c>
      <c r="G8846" t="inlineStr" s="6">
        <is>
          <t xml:space="preserve">LILEEP became extinct approximately a hundred million years ago. This ancient POKéMON attaches itself to a rock on the seafloor and catches approaching prey using tentacles shaped like flower petals. LILEEP is an ancient POKéMON that was regenerated from a fossil. It remains permanently anchored to a rock. From its immobile perch, this POKéMON intently scans for prey with its two eyes. It disguises itself as seaweed by making its tentacles sway. Unsuspecting prey that come too close are swallowed whole. It became extinct 100 million years ago. It became extinct roughly 100 million years ago. It was regenerated from a fossil using advanced techniques. It lived on the seafloor 100 million years ago and was reanimated scientifically. It disguises its tentacles as flowers to attract and catch prey. It became extinct in ancient times. In ancient times, it lived in warm seas. It disguised itself as seaweed to ambush its prey and devoured them whole when they got close. It sticks to rocks with its powerful suckers and can’t be washed away no matter how rough the surf gets. This Pokémon was restored from a fossil. Lileep once lived in warm seas that existed approximately 100,000,000 years ago. Lileep clings to rocks on the seabed. When prey comes close, this Pokémon entangles it with petallike tentacles.</t>
        </is>
      </c>
    </row>
    <row r="8847" ht="33.75" customHeight="1">
      <c r="A8847" s="7">
        <v>345.0</v>
      </c>
      <c r="B8847" s="9" t="s">
        <v>14990</v>
      </c>
      <c r="C8847" s="9" t="s">
        <v>524</v>
      </c>
      <c r="D8847" s="9" t="s">
        <v>71</v>
      </c>
      <c r="E8847" s="6" t="s">
        <v>8536</v>
      </c>
      <c r="F8847" s="9" t="s">
        <v>15732</v>
      </c>
    </row>
    <row r="8848" ht="33.75" customHeight="1">
      <c r="A8848" s="7">
        <v>345.0</v>
      </c>
      <c r="B8848" s="9" t="s">
        <v>14990</v>
      </c>
      <c r="C8848" s="9" t="s">
        <v>524</v>
      </c>
      <c r="D8848" s="9" t="s">
        <v>73</v>
      </c>
      <c r="E8848" s="6" t="s">
        <v>8537</v>
      </c>
      <c r="F8848" s="9" t="s">
        <v>15732</v>
      </c>
    </row>
    <row r="8849" ht="33.75" customHeight="1">
      <c r="A8849" s="7">
        <v>345.0</v>
      </c>
      <c r="B8849" s="9" t="s">
        <v>14990</v>
      </c>
      <c r="C8849" s="9" t="s">
        <v>524</v>
      </c>
      <c r="D8849" s="9" t="s">
        <v>75</v>
      </c>
      <c r="E8849" s="6" t="s">
        <v>8538</v>
      </c>
      <c r="F8849" s="9" t="s">
        <v>15732</v>
      </c>
    </row>
    <row r="8850" ht="33.75" customHeight="1">
      <c r="A8850" s="7">
        <v>345.0</v>
      </c>
      <c r="B8850" s="9" t="s">
        <v>14990</v>
      </c>
      <c r="C8850" s="9" t="s">
        <v>524</v>
      </c>
      <c r="D8850" s="9" t="s">
        <v>79</v>
      </c>
      <c r="E8850" s="6" t="s">
        <v>8538</v>
      </c>
      <c r="F8850" s="9" t="s">
        <v>15732</v>
      </c>
    </row>
    <row r="8851" ht="33.75" customHeight="1">
      <c r="A8851" s="7">
        <v>345.0</v>
      </c>
      <c r="B8851" s="9" t="s">
        <v>14990</v>
      </c>
      <c r="C8851" s="9" t="s">
        <v>524</v>
      </c>
      <c r="D8851" s="9" t="s">
        <v>81</v>
      </c>
      <c r="E8851" s="6" t="s">
        <v>8539</v>
      </c>
      <c r="F8851" s="9" t="s">
        <v>15732</v>
      </c>
    </row>
    <row r="8852" ht="33.75" customHeight="1">
      <c r="A8852" s="7">
        <v>345.0</v>
      </c>
      <c r="B8852" s="9" t="s">
        <v>14990</v>
      </c>
      <c r="C8852" s="9" t="s">
        <v>524</v>
      </c>
      <c r="D8852" s="9" t="s">
        <v>84</v>
      </c>
      <c r="E8852" s="6" t="s">
        <v>8539</v>
      </c>
      <c r="F8852" s="9" t="s">
        <v>15732</v>
      </c>
    </row>
    <row r="8853" ht="33.75" customHeight="1">
      <c r="A8853" s="7">
        <v>345.0</v>
      </c>
      <c r="B8853" s="9" t="s">
        <v>14990</v>
      </c>
      <c r="C8853" s="9" t="s">
        <v>524</v>
      </c>
      <c r="D8853" s="9" t="s">
        <v>87</v>
      </c>
      <c r="E8853" s="6" t="s">
        <v>8539</v>
      </c>
      <c r="F8853" s="9" t="s">
        <v>15732</v>
      </c>
    </row>
    <row r="8854" ht="33.75" customHeight="1">
      <c r="A8854" s="7">
        <v>345.0</v>
      </c>
      <c r="B8854" s="9" t="s">
        <v>14990</v>
      </c>
      <c r="C8854" s="9" t="s">
        <v>524</v>
      </c>
      <c r="D8854" s="9" t="s">
        <v>89</v>
      </c>
      <c r="E8854" s="6" t="s">
        <v>8540</v>
      </c>
      <c r="F8854" s="9" t="s">
        <v>15732</v>
      </c>
    </row>
    <row r="8855" ht="33.75" customHeight="1">
      <c r="A8855" s="7">
        <v>345.0</v>
      </c>
      <c r="B8855" s="9" t="s">
        <v>14990</v>
      </c>
      <c r="C8855" s="9" t="s">
        <v>524</v>
      </c>
      <c r="D8855" s="9" t="s">
        <v>91</v>
      </c>
      <c r="E8855" s="6" t="s">
        <v>8540</v>
      </c>
      <c r="F8855" s="9" t="s">
        <v>15732</v>
      </c>
    </row>
    <row r="8856" ht="33.75" customHeight="1">
      <c r="A8856" s="7">
        <v>345.0</v>
      </c>
      <c r="B8856" s="9" t="s">
        <v>14990</v>
      </c>
      <c r="C8856" s="9" t="s">
        <v>524</v>
      </c>
      <c r="D8856" s="9" t="s">
        <v>93</v>
      </c>
      <c r="E8856" s="6" t="s">
        <v>8539</v>
      </c>
      <c r="F8856" s="9" t="s">
        <v>15732</v>
      </c>
    </row>
    <row r="8857" ht="33.75" customHeight="1">
      <c r="A8857" s="7">
        <v>345.0</v>
      </c>
      <c r="B8857" s="9" t="s">
        <v>14990</v>
      </c>
      <c r="C8857" s="9" t="s">
        <v>524</v>
      </c>
      <c r="D8857" s="9" t="s">
        <v>95</v>
      </c>
      <c r="E8857" s="6" t="s">
        <v>8539</v>
      </c>
      <c r="F8857" s="9" t="s">
        <v>15732</v>
      </c>
    </row>
    <row r="8858" ht="33.75" customHeight="1">
      <c r="A8858" s="7">
        <v>345.0</v>
      </c>
      <c r="B8858" s="9" t="s">
        <v>14990</v>
      </c>
      <c r="C8858" s="9" t="s">
        <v>524</v>
      </c>
      <c r="D8858" s="9" t="s">
        <v>98</v>
      </c>
      <c r="E8858" s="6" t="s">
        <v>8539</v>
      </c>
      <c r="F8858" s="9" t="s">
        <v>15732</v>
      </c>
    </row>
    <row r="8859" ht="33.75" customHeight="1">
      <c r="A8859" s="7">
        <v>345.0</v>
      </c>
      <c r="B8859" s="9" t="s">
        <v>14990</v>
      </c>
      <c r="C8859" s="9" t="s">
        <v>524</v>
      </c>
      <c r="D8859" s="9" t="s">
        <v>99</v>
      </c>
      <c r="E8859" s="6" t="s">
        <v>8539</v>
      </c>
      <c r="F8859" s="9" t="s">
        <v>15732</v>
      </c>
    </row>
    <row r="8860" ht="33.75" customHeight="1">
      <c r="A8860" s="7">
        <v>345.0</v>
      </c>
      <c r="B8860" s="9" t="s">
        <v>14990</v>
      </c>
      <c r="C8860" s="9" t="s">
        <v>524</v>
      </c>
      <c r="D8860" s="9" t="s">
        <v>101</v>
      </c>
      <c r="E8860" s="6" t="s">
        <v>8540</v>
      </c>
      <c r="F8860" s="9" t="s">
        <v>15732</v>
      </c>
    </row>
    <row r="8861" ht="33.75" customHeight="1">
      <c r="A8861" s="7">
        <v>345.0</v>
      </c>
      <c r="B8861" s="9" t="s">
        <v>14990</v>
      </c>
      <c r="C8861" s="9" t="s">
        <v>524</v>
      </c>
      <c r="D8861" s="9" t="s">
        <v>105</v>
      </c>
      <c r="E8861" s="6" t="s">
        <v>8539</v>
      </c>
      <c r="F8861" s="9" t="s">
        <v>15732</v>
      </c>
    </row>
    <row r="8862" ht="33.75" customHeight="1">
      <c r="A8862" s="7">
        <v>345.0</v>
      </c>
      <c r="B8862" s="9" t="s">
        <v>14990</v>
      </c>
      <c r="C8862" s="9" t="s">
        <v>524</v>
      </c>
      <c r="D8862" s="9" t="s">
        <v>107</v>
      </c>
      <c r="E8862" s="6" t="s">
        <v>8541</v>
      </c>
      <c r="F8862" s="9" t="s">
        <v>15732</v>
      </c>
    </row>
    <row r="8863" ht="33.75" customHeight="1">
      <c r="A8863" s="7">
        <v>345.0</v>
      </c>
      <c r="B8863" s="9" t="s">
        <v>14990</v>
      </c>
      <c r="C8863" s="9" t="s">
        <v>524</v>
      </c>
      <c r="D8863" s="9" t="s">
        <v>109</v>
      </c>
      <c r="E8863" s="6" t="s">
        <v>8542</v>
      </c>
      <c r="F8863" s="9" t="s">
        <v>15732</v>
      </c>
    </row>
    <row r="8864" ht="33.75" customHeight="1">
      <c r="A8864" s="7">
        <v>345.0</v>
      </c>
      <c r="B8864" s="9" t="s">
        <v>14990</v>
      </c>
      <c r="C8864" s="9" t="s">
        <v>524</v>
      </c>
      <c r="D8864" s="9" t="s">
        <v>647</v>
      </c>
      <c r="E8864" s="6" t="s">
        <v>8543</v>
      </c>
      <c r="F8864" s="9" t="s">
        <v>15732</v>
      </c>
    </row>
    <row r="8865" ht="33.75" customHeight="1">
      <c r="A8865" s="7">
        <v>345.0</v>
      </c>
      <c r="B8865" s="9" t="s">
        <v>14990</v>
      </c>
      <c r="C8865" s="9" t="s">
        <v>524</v>
      </c>
      <c r="D8865" s="9" t="s">
        <v>652</v>
      </c>
      <c r="E8865" s="6" t="s">
        <v>8544</v>
      </c>
      <c r="F8865" s="9" t="s">
        <v>15732</v>
      </c>
    </row>
    <row r="8866" ht="33.75" customHeight="1">
      <c r="A8866" s="7">
        <v>345.0</v>
      </c>
      <c r="B8866" s="9" t="s">
        <v>14990</v>
      </c>
      <c r="C8866" s="9" t="s">
        <v>524</v>
      </c>
      <c r="D8866" s="9" t="s">
        <v>114</v>
      </c>
      <c r="E8866" s="6" t="s">
        <v>8545</v>
      </c>
      <c r="F8866" s="9" t="s">
        <v>15732</v>
      </c>
    </row>
    <row r="8867" ht="33.75" customHeight="1">
      <c r="A8867" s="7">
        <v>345.0</v>
      </c>
      <c r="B8867" s="9" t="s">
        <v>14990</v>
      </c>
      <c r="C8867" s="9" t="s">
        <v>524</v>
      </c>
      <c r="D8867" s="9" t="s">
        <v>117</v>
      </c>
      <c r="E8867" s="6" t="s">
        <v>8547</v>
      </c>
      <c r="F8867" s="9" t="s">
        <v>15732</v>
      </c>
    </row>
    <row r="8868" ht="33.75" customHeight="1">
      <c r="A8868" s="7">
        <v>346.0</v>
      </c>
      <c r="B8868" s="9" t="s">
        <v>15005</v>
      </c>
      <c r="C8868" s="9" t="s">
        <v>525</v>
      </c>
      <c r="D8868" s="9" t="s">
        <v>67</v>
      </c>
      <c r="E8868" s="6" t="s">
        <v>8548</v>
      </c>
      <c r="F8868" s="9" t="s">
        <v>15745</v>
      </c>
      <c r="G8868" t="inlineStr" s="6">
        <is>
          <t xml:space="preserve">CRADILY roams around the ocean floor in search of food. This POKéMON freely extends its tree trunk-like neck and captures unwary prey using its eight tentacles. CRADILY’s body serves as an anchor, preventing it from being washed away in rough seas. This POKéMON secretes a strong digestive fluid from its tentacles. It drags its heavy body along the seafloor. It makes its nest in the shallows of warm seas. CRADILY can be seen on beaches when the tide goes out. It ensnares prey with its eight tentacles. It then melts the prey with a strong acid before feeding. It lives in the shallows of warm seas. When the tide goes out, it digs up prey from beaches. It lives in warm seas. Its heavy body weighs it down so it won’t get washed away in rough weather. Normally, it lived on shallow sea shoals. When the tide went out, this Pokémon came up on land to search for prey. This carnivorous Pokémon lived in primordial seas. It catches prey in its eight tentacles and dissolves them with digestive fluid as it eats. It has short legs and can’t walk very fast, but its neck and tentacles can extend to over three times their usual length to nab distant prey. Once Cradily catches prey in its tentacles, it digests them whole and absorbs their nutrients.</t>
        </is>
      </c>
    </row>
    <row r="8869" ht="33.75" customHeight="1">
      <c r="A8869" s="7">
        <v>346.0</v>
      </c>
      <c r="B8869" s="9" t="s">
        <v>15005</v>
      </c>
      <c r="C8869" s="9" t="s">
        <v>525</v>
      </c>
      <c r="D8869" s="9" t="s">
        <v>71</v>
      </c>
      <c r="E8869" s="6" t="s">
        <v>8549</v>
      </c>
      <c r="F8869" s="9" t="s">
        <v>15745</v>
      </c>
    </row>
    <row r="8870" ht="33.75" customHeight="1">
      <c r="A8870" s="7">
        <v>346.0</v>
      </c>
      <c r="B8870" s="9" t="s">
        <v>15005</v>
      </c>
      <c r="C8870" s="9" t="s">
        <v>525</v>
      </c>
      <c r="D8870" s="9" t="s">
        <v>73</v>
      </c>
      <c r="E8870" s="6" t="s">
        <v>8550</v>
      </c>
      <c r="F8870" s="9" t="s">
        <v>15745</v>
      </c>
    </row>
    <row r="8871" ht="33.75" customHeight="1">
      <c r="A8871" s="7">
        <v>346.0</v>
      </c>
      <c r="B8871" s="9" t="s">
        <v>15005</v>
      </c>
      <c r="C8871" s="9" t="s">
        <v>525</v>
      </c>
      <c r="D8871" s="9" t="s">
        <v>75</v>
      </c>
      <c r="E8871" s="6" t="s">
        <v>8551</v>
      </c>
      <c r="F8871" s="9" t="s">
        <v>15745</v>
      </c>
    </row>
    <row r="8872" ht="33.75" customHeight="1">
      <c r="A8872" s="7">
        <v>346.0</v>
      </c>
      <c r="B8872" s="9" t="s">
        <v>15005</v>
      </c>
      <c r="C8872" s="9" t="s">
        <v>525</v>
      </c>
      <c r="D8872" s="9" t="s">
        <v>79</v>
      </c>
      <c r="E8872" s="6" t="s">
        <v>8551</v>
      </c>
      <c r="F8872" s="9" t="s">
        <v>15745</v>
      </c>
    </row>
    <row r="8873" ht="33.75" customHeight="1">
      <c r="A8873" s="7">
        <v>346.0</v>
      </c>
      <c r="B8873" s="9" t="s">
        <v>15005</v>
      </c>
      <c r="C8873" s="9" t="s">
        <v>525</v>
      </c>
      <c r="D8873" s="9" t="s">
        <v>81</v>
      </c>
      <c r="E8873" s="6" t="s">
        <v>8552</v>
      </c>
      <c r="F8873" s="9" t="s">
        <v>15745</v>
      </c>
    </row>
    <row r="8874" ht="33.75" customHeight="1">
      <c r="A8874" s="7">
        <v>346.0</v>
      </c>
      <c r="B8874" s="9" t="s">
        <v>15005</v>
      </c>
      <c r="C8874" s="9" t="s">
        <v>525</v>
      </c>
      <c r="D8874" s="9" t="s">
        <v>84</v>
      </c>
      <c r="E8874" s="6" t="s">
        <v>8552</v>
      </c>
      <c r="F8874" s="9" t="s">
        <v>15745</v>
      </c>
    </row>
    <row r="8875" ht="33.75" customHeight="1">
      <c r="A8875" s="7">
        <v>346.0</v>
      </c>
      <c r="B8875" s="9" t="s">
        <v>15005</v>
      </c>
      <c r="C8875" s="9" t="s">
        <v>525</v>
      </c>
      <c r="D8875" s="9" t="s">
        <v>87</v>
      </c>
      <c r="E8875" s="6" t="s">
        <v>8552</v>
      </c>
      <c r="F8875" s="9" t="s">
        <v>15745</v>
      </c>
    </row>
    <row r="8876" ht="33.75" customHeight="1">
      <c r="A8876" s="7">
        <v>346.0</v>
      </c>
      <c r="B8876" s="9" t="s">
        <v>15005</v>
      </c>
      <c r="C8876" s="9" t="s">
        <v>525</v>
      </c>
      <c r="D8876" s="9" t="s">
        <v>89</v>
      </c>
      <c r="E8876" s="6" t="s">
        <v>8553</v>
      </c>
      <c r="F8876" s="9" t="s">
        <v>15745</v>
      </c>
    </row>
    <row r="8877" ht="33.75" customHeight="1">
      <c r="A8877" s="7">
        <v>346.0</v>
      </c>
      <c r="B8877" s="9" t="s">
        <v>15005</v>
      </c>
      <c r="C8877" s="9" t="s">
        <v>525</v>
      </c>
      <c r="D8877" s="9" t="s">
        <v>91</v>
      </c>
      <c r="E8877" s="6" t="s">
        <v>8553</v>
      </c>
      <c r="F8877" s="9" t="s">
        <v>15745</v>
      </c>
    </row>
    <row r="8878" ht="33.75" customHeight="1">
      <c r="A8878" s="7">
        <v>346.0</v>
      </c>
      <c r="B8878" s="9" t="s">
        <v>15005</v>
      </c>
      <c r="C8878" s="9" t="s">
        <v>525</v>
      </c>
      <c r="D8878" s="9" t="s">
        <v>93</v>
      </c>
      <c r="E8878" s="6" t="s">
        <v>8552</v>
      </c>
      <c r="F8878" s="9" t="s">
        <v>15745</v>
      </c>
    </row>
    <row r="8879" ht="33.75" customHeight="1">
      <c r="A8879" s="7">
        <v>346.0</v>
      </c>
      <c r="B8879" s="9" t="s">
        <v>15005</v>
      </c>
      <c r="C8879" s="9" t="s">
        <v>525</v>
      </c>
      <c r="D8879" s="9" t="s">
        <v>95</v>
      </c>
      <c r="E8879" s="6" t="s">
        <v>8552</v>
      </c>
      <c r="F8879" s="9" t="s">
        <v>15745</v>
      </c>
    </row>
    <row r="8880" ht="33.75" customHeight="1">
      <c r="A8880" s="7">
        <v>346.0</v>
      </c>
      <c r="B8880" s="9" t="s">
        <v>15005</v>
      </c>
      <c r="C8880" s="9" t="s">
        <v>525</v>
      </c>
      <c r="D8880" s="9" t="s">
        <v>98</v>
      </c>
      <c r="E8880" s="6" t="s">
        <v>8552</v>
      </c>
      <c r="F8880" s="9" t="s">
        <v>15745</v>
      </c>
    </row>
    <row r="8881" ht="33.75" customHeight="1">
      <c r="A8881" s="7">
        <v>346.0</v>
      </c>
      <c r="B8881" s="9" t="s">
        <v>15005</v>
      </c>
      <c r="C8881" s="9" t="s">
        <v>525</v>
      </c>
      <c r="D8881" s="9" t="s">
        <v>99</v>
      </c>
      <c r="E8881" s="6" t="s">
        <v>8552</v>
      </c>
      <c r="F8881" s="9" t="s">
        <v>15745</v>
      </c>
    </row>
    <row r="8882" ht="33.75" customHeight="1">
      <c r="A8882" s="7">
        <v>346.0</v>
      </c>
      <c r="B8882" s="9" t="s">
        <v>15005</v>
      </c>
      <c r="C8882" s="9" t="s">
        <v>525</v>
      </c>
      <c r="D8882" s="9" t="s">
        <v>101</v>
      </c>
      <c r="E8882" s="6" t="s">
        <v>8552</v>
      </c>
      <c r="F8882" s="9" t="s">
        <v>15745</v>
      </c>
    </row>
    <row r="8883" ht="33.75" customHeight="1">
      <c r="A8883" s="7">
        <v>346.0</v>
      </c>
      <c r="B8883" s="9" t="s">
        <v>15005</v>
      </c>
      <c r="C8883" s="9" t="s">
        <v>525</v>
      </c>
      <c r="D8883" s="9" t="s">
        <v>105</v>
      </c>
      <c r="E8883" s="6" t="s">
        <v>8551</v>
      </c>
      <c r="F8883" s="9" t="s">
        <v>15745</v>
      </c>
    </row>
    <row r="8884" ht="33.75" customHeight="1">
      <c r="A8884" s="7">
        <v>346.0</v>
      </c>
      <c r="B8884" s="9" t="s">
        <v>15005</v>
      </c>
      <c r="C8884" s="9" t="s">
        <v>525</v>
      </c>
      <c r="D8884" s="9" t="s">
        <v>107</v>
      </c>
      <c r="E8884" s="6" t="s">
        <v>8555</v>
      </c>
      <c r="F8884" s="9" t="s">
        <v>15745</v>
      </c>
    </row>
    <row r="8885" ht="33.75" customHeight="1">
      <c r="A8885" s="7">
        <v>346.0</v>
      </c>
      <c r="B8885" s="9" t="s">
        <v>15005</v>
      </c>
      <c r="C8885" s="9" t="s">
        <v>525</v>
      </c>
      <c r="D8885" s="9" t="s">
        <v>109</v>
      </c>
      <c r="E8885" s="6" t="s">
        <v>8556</v>
      </c>
      <c r="F8885" s="9" t="s">
        <v>15745</v>
      </c>
    </row>
    <row r="8886" ht="33.75" customHeight="1">
      <c r="A8886" s="7">
        <v>346.0</v>
      </c>
      <c r="B8886" s="9" t="s">
        <v>15005</v>
      </c>
      <c r="C8886" s="9" t="s">
        <v>525</v>
      </c>
      <c r="D8886" s="9" t="s">
        <v>647</v>
      </c>
      <c r="E8886" s="6" t="s">
        <v>8557</v>
      </c>
      <c r="F8886" s="9" t="s">
        <v>15745</v>
      </c>
    </row>
    <row r="8887" ht="33.75" customHeight="1">
      <c r="A8887" s="7">
        <v>346.0</v>
      </c>
      <c r="B8887" s="9" t="s">
        <v>15005</v>
      </c>
      <c r="C8887" s="9" t="s">
        <v>525</v>
      </c>
      <c r="D8887" s="9" t="s">
        <v>652</v>
      </c>
      <c r="E8887" s="6" t="s">
        <v>8559</v>
      </c>
      <c r="F8887" s="9" t="s">
        <v>15745</v>
      </c>
    </row>
    <row r="8888" ht="33.75" customHeight="1">
      <c r="A8888" s="7">
        <v>346.0</v>
      </c>
      <c r="B8888" s="9" t="s">
        <v>15005</v>
      </c>
      <c r="C8888" s="9" t="s">
        <v>525</v>
      </c>
      <c r="D8888" s="9" t="s">
        <v>114</v>
      </c>
      <c r="E8888" s="6" t="s">
        <v>8561</v>
      </c>
      <c r="F8888" s="9" t="s">
        <v>15745</v>
      </c>
    </row>
    <row r="8889" ht="33.75" customHeight="1">
      <c r="A8889" s="7">
        <v>346.0</v>
      </c>
      <c r="B8889" s="9" t="s">
        <v>15005</v>
      </c>
      <c r="C8889" s="9" t="s">
        <v>525</v>
      </c>
      <c r="D8889" s="9" t="s">
        <v>117</v>
      </c>
      <c r="E8889" s="6" t="s">
        <v>8562</v>
      </c>
      <c r="F8889" s="9" t="s">
        <v>15745</v>
      </c>
    </row>
    <row r="8890" ht="33.75" customHeight="1">
      <c r="A8890" s="7">
        <v>347.0</v>
      </c>
      <c r="B8890" s="9" t="s">
        <v>15020</v>
      </c>
      <c r="C8890" s="9" t="s">
        <v>527</v>
      </c>
      <c r="D8890" s="9" t="s">
        <v>67</v>
      </c>
      <c r="E8890" s="6" t="s">
        <v>8564</v>
      </c>
      <c r="F8890" s="9" t="s">
        <v>15755</v>
      </c>
      <c r="G8890" t="inlineStr" s="6">
        <is>
          <t xml:space="preserve">ANORITH was regenerated from a prehistoric fossil. This primitive POKéMON once lived in warm seas. It grips its prey firmly between its two large claws. ANORITH is said to be a type of POKéMON predecessor, with eight wings at the sides of its body. This POKéMON swam in the primordial sea by undulating these eight wings. It was resurrected from a fossil using the power of science. It swims by undulating the eight wings at its sides. They were feet that adapted to life in the sea. It is a kind of POKéMON progenitor. It uses its extending claws to catch prey hiding among rocks on the seafloor. A Pokémon ancestor that was reanimated from a fossil. It lived in the sea and hunted with claws. An ancestral Pokémon that lived in the ocean. Over time, its eight feet transformed into wings. When restored Anorith are released into the ocean, they don’t thrive, because the water composition has changed since their era. This is one kind of primeval bug Pokémon. With eight wings, it could apparently swim a lot faster than you’d expect. This Pokémon was restored from a fossil. Anorith lived in the ocean about 100,000,000 years ago, hunting with its pair of claws. Anorith can swim swiftly by pulling its eight wings through the water like oars on a boat. This Pokémon is an ancestor of modern bug Pokémon.</t>
        </is>
      </c>
    </row>
    <row r="8891" ht="33.75" customHeight="1">
      <c r="A8891" s="7">
        <v>347.0</v>
      </c>
      <c r="B8891" s="9" t="s">
        <v>15020</v>
      </c>
      <c r="C8891" s="9" t="s">
        <v>527</v>
      </c>
      <c r="D8891" s="9" t="s">
        <v>71</v>
      </c>
      <c r="E8891" s="6" t="s">
        <v>8565</v>
      </c>
      <c r="F8891" s="9" t="s">
        <v>15755</v>
      </c>
    </row>
    <row r="8892" ht="33.75" customHeight="1">
      <c r="A8892" s="7">
        <v>347.0</v>
      </c>
      <c r="B8892" s="9" t="s">
        <v>15020</v>
      </c>
      <c r="C8892" s="9" t="s">
        <v>527</v>
      </c>
      <c r="D8892" s="9" t="s">
        <v>73</v>
      </c>
      <c r="E8892" s="6" t="s">
        <v>8567</v>
      </c>
      <c r="F8892" s="9" t="s">
        <v>15755</v>
      </c>
    </row>
    <row r="8893" ht="33.75" customHeight="1">
      <c r="A8893" s="7">
        <v>347.0</v>
      </c>
      <c r="B8893" s="9" t="s">
        <v>15020</v>
      </c>
      <c r="C8893" s="9" t="s">
        <v>527</v>
      </c>
      <c r="D8893" s="9" t="s">
        <v>75</v>
      </c>
      <c r="E8893" s="6" t="s">
        <v>8568</v>
      </c>
      <c r="F8893" s="9" t="s">
        <v>15755</v>
      </c>
    </row>
    <row r="8894" ht="33.75" customHeight="1">
      <c r="A8894" s="7">
        <v>347.0</v>
      </c>
      <c r="B8894" s="9" t="s">
        <v>15020</v>
      </c>
      <c r="C8894" s="9" t="s">
        <v>527</v>
      </c>
      <c r="D8894" s="9" t="s">
        <v>79</v>
      </c>
      <c r="E8894" s="6" t="s">
        <v>8568</v>
      </c>
      <c r="F8894" s="9" t="s">
        <v>15755</v>
      </c>
    </row>
    <row r="8895" ht="33.75" customHeight="1">
      <c r="A8895" s="7">
        <v>347.0</v>
      </c>
      <c r="B8895" s="9" t="s">
        <v>15020</v>
      </c>
      <c r="C8895" s="9" t="s">
        <v>527</v>
      </c>
      <c r="D8895" s="9" t="s">
        <v>81</v>
      </c>
      <c r="E8895" s="6" t="s">
        <v>8570</v>
      </c>
      <c r="F8895" s="9" t="s">
        <v>15755</v>
      </c>
    </row>
    <row r="8896" ht="33.75" customHeight="1">
      <c r="A8896" s="7">
        <v>347.0</v>
      </c>
      <c r="B8896" s="9" t="s">
        <v>15020</v>
      </c>
      <c r="C8896" s="9" t="s">
        <v>527</v>
      </c>
      <c r="D8896" s="9" t="s">
        <v>84</v>
      </c>
      <c r="E8896" s="6" t="s">
        <v>8570</v>
      </c>
      <c r="F8896" s="9" t="s">
        <v>15755</v>
      </c>
    </row>
    <row r="8897" ht="33.75" customHeight="1">
      <c r="A8897" s="7">
        <v>347.0</v>
      </c>
      <c r="B8897" s="9" t="s">
        <v>15020</v>
      </c>
      <c r="C8897" s="9" t="s">
        <v>527</v>
      </c>
      <c r="D8897" s="9" t="s">
        <v>87</v>
      </c>
      <c r="E8897" s="6" t="s">
        <v>8570</v>
      </c>
      <c r="F8897" s="9" t="s">
        <v>15755</v>
      </c>
    </row>
    <row r="8898" ht="33.75" customHeight="1">
      <c r="A8898" s="7">
        <v>347.0</v>
      </c>
      <c r="B8898" s="9" t="s">
        <v>15020</v>
      </c>
      <c r="C8898" s="9" t="s">
        <v>527</v>
      </c>
      <c r="D8898" s="9" t="s">
        <v>89</v>
      </c>
      <c r="E8898" s="6" t="s">
        <v>8571</v>
      </c>
      <c r="F8898" s="9" t="s">
        <v>15755</v>
      </c>
    </row>
    <row r="8899" ht="33.75" customHeight="1">
      <c r="A8899" s="7">
        <v>347.0</v>
      </c>
      <c r="B8899" s="9" t="s">
        <v>15020</v>
      </c>
      <c r="C8899" s="9" t="s">
        <v>527</v>
      </c>
      <c r="D8899" s="9" t="s">
        <v>91</v>
      </c>
      <c r="E8899" s="6" t="s">
        <v>8571</v>
      </c>
      <c r="F8899" s="9" t="s">
        <v>15755</v>
      </c>
    </row>
    <row r="8900" ht="33.75" customHeight="1">
      <c r="A8900" s="7">
        <v>347.0</v>
      </c>
      <c r="B8900" s="9" t="s">
        <v>15020</v>
      </c>
      <c r="C8900" s="9" t="s">
        <v>527</v>
      </c>
      <c r="D8900" s="9" t="s">
        <v>93</v>
      </c>
      <c r="E8900" s="6" t="s">
        <v>8570</v>
      </c>
      <c r="F8900" s="9" t="s">
        <v>15755</v>
      </c>
    </row>
    <row r="8901" ht="33.75" customHeight="1">
      <c r="A8901" s="7">
        <v>347.0</v>
      </c>
      <c r="B8901" s="9" t="s">
        <v>15020</v>
      </c>
      <c r="C8901" s="9" t="s">
        <v>527</v>
      </c>
      <c r="D8901" s="9" t="s">
        <v>95</v>
      </c>
      <c r="E8901" s="6" t="s">
        <v>8570</v>
      </c>
      <c r="F8901" s="9" t="s">
        <v>15755</v>
      </c>
    </row>
    <row r="8902" ht="33.75" customHeight="1">
      <c r="A8902" s="7">
        <v>347.0</v>
      </c>
      <c r="B8902" s="9" t="s">
        <v>15020</v>
      </c>
      <c r="C8902" s="9" t="s">
        <v>527</v>
      </c>
      <c r="D8902" s="9" t="s">
        <v>98</v>
      </c>
      <c r="E8902" s="6" t="s">
        <v>8570</v>
      </c>
      <c r="F8902" s="9" t="s">
        <v>15755</v>
      </c>
    </row>
    <row r="8903" ht="33.75" customHeight="1">
      <c r="A8903" s="7">
        <v>347.0</v>
      </c>
      <c r="B8903" s="9" t="s">
        <v>15020</v>
      </c>
      <c r="C8903" s="9" t="s">
        <v>527</v>
      </c>
      <c r="D8903" s="9" t="s">
        <v>99</v>
      </c>
      <c r="E8903" s="6" t="s">
        <v>8570</v>
      </c>
      <c r="F8903" s="9" t="s">
        <v>15755</v>
      </c>
    </row>
    <row r="8904" ht="33.75" customHeight="1">
      <c r="A8904" s="7">
        <v>347.0</v>
      </c>
      <c r="B8904" s="9" t="s">
        <v>15020</v>
      </c>
      <c r="C8904" s="9" t="s">
        <v>527</v>
      </c>
      <c r="D8904" s="9" t="s">
        <v>101</v>
      </c>
      <c r="E8904" s="6" t="s">
        <v>8572</v>
      </c>
      <c r="F8904" s="9" t="s">
        <v>15755</v>
      </c>
    </row>
    <row r="8905" ht="33.75" customHeight="1">
      <c r="A8905" s="7">
        <v>347.0</v>
      </c>
      <c r="B8905" s="9" t="s">
        <v>15020</v>
      </c>
      <c r="C8905" s="9" t="s">
        <v>527</v>
      </c>
      <c r="D8905" s="9" t="s">
        <v>105</v>
      </c>
      <c r="E8905" s="6" t="s">
        <v>8570</v>
      </c>
      <c r="F8905" s="9" t="s">
        <v>15755</v>
      </c>
    </row>
    <row r="8906" ht="33.75" customHeight="1">
      <c r="A8906" s="7">
        <v>347.0</v>
      </c>
      <c r="B8906" s="9" t="s">
        <v>15020</v>
      </c>
      <c r="C8906" s="9" t="s">
        <v>527</v>
      </c>
      <c r="D8906" s="9" t="s">
        <v>107</v>
      </c>
      <c r="E8906" s="6" t="s">
        <v>8573</v>
      </c>
      <c r="F8906" s="9" t="s">
        <v>15755</v>
      </c>
    </row>
    <row r="8907" ht="33.75" customHeight="1">
      <c r="A8907" s="7">
        <v>347.0</v>
      </c>
      <c r="B8907" s="9" t="s">
        <v>15020</v>
      </c>
      <c r="C8907" s="9" t="s">
        <v>527</v>
      </c>
      <c r="D8907" s="9" t="s">
        <v>109</v>
      </c>
      <c r="E8907" s="6" t="s">
        <v>8574</v>
      </c>
      <c r="F8907" s="9" t="s">
        <v>15755</v>
      </c>
    </row>
    <row r="8908" ht="33.75" customHeight="1">
      <c r="A8908" s="7">
        <v>347.0</v>
      </c>
      <c r="B8908" s="9" t="s">
        <v>15020</v>
      </c>
      <c r="C8908" s="9" t="s">
        <v>527</v>
      </c>
      <c r="D8908" s="9" t="s">
        <v>647</v>
      </c>
      <c r="E8908" s="6" t="s">
        <v>8575</v>
      </c>
      <c r="F8908" s="9" t="s">
        <v>15755</v>
      </c>
    </row>
    <row r="8909" ht="33.75" customHeight="1">
      <c r="A8909" s="7">
        <v>347.0</v>
      </c>
      <c r="B8909" s="9" t="s">
        <v>15020</v>
      </c>
      <c r="C8909" s="9" t="s">
        <v>527</v>
      </c>
      <c r="D8909" s="9" t="s">
        <v>652</v>
      </c>
      <c r="E8909" s="6" t="s">
        <v>8576</v>
      </c>
      <c r="F8909" s="9" t="s">
        <v>15755</v>
      </c>
    </row>
    <row r="8910" ht="33.75" customHeight="1">
      <c r="A8910" s="7">
        <v>347.0</v>
      </c>
      <c r="B8910" s="9" t="s">
        <v>15020</v>
      </c>
      <c r="C8910" s="9" t="s">
        <v>527</v>
      </c>
      <c r="D8910" s="9" t="s">
        <v>114</v>
      </c>
      <c r="E8910" s="6" t="s">
        <v>8577</v>
      </c>
      <c r="F8910" s="9" t="s">
        <v>15755</v>
      </c>
    </row>
    <row r="8911" ht="33.75" customHeight="1">
      <c r="A8911" s="7">
        <v>347.0</v>
      </c>
      <c r="B8911" s="9" t="s">
        <v>15020</v>
      </c>
      <c r="C8911" s="9" t="s">
        <v>527</v>
      </c>
      <c r="D8911" s="9" t="s">
        <v>117</v>
      </c>
      <c r="E8911" s="6" t="s">
        <v>8579</v>
      </c>
      <c r="F8911" s="9" t="s">
        <v>15755</v>
      </c>
    </row>
    <row r="8912" ht="33.75" customHeight="1">
      <c r="A8912" s="7">
        <v>348.0</v>
      </c>
      <c r="B8912" s="9" t="s">
        <v>15036</v>
      </c>
      <c r="C8912" s="9" t="s">
        <v>529</v>
      </c>
      <c r="D8912" s="9" t="s">
        <v>67</v>
      </c>
      <c r="E8912" s="6" t="s">
        <v>8581</v>
      </c>
      <c r="F8912" s="9" t="s">
        <v>15776</v>
      </c>
      <c r="G8912" t="inlineStr" s="6">
        <is>
          <t xml:space="preserve">ARMALDO’s tough armor makes all attacks bounce off. This POKéMON’s two enormous claws can be freely extended or contracted. They have the power to punch right through a steel slab. ARMALDO is a POKéMON species that became extinct in prehistoric times. This POKéMON is said to have walked on its hind legs, which would have been more convenient for life on land. ARMALDO usually lives on land. However, when it hunts for prey, it dives beneath the ocean. It swims around using its two large wings. Protected by a hard shell, its body is very sturdy. It skewers prey with its claws to feed. It went ashore after evolving. Its entire body is clad in a sturdy armor. Its enormous, retractable claws can cut through most anything. Its entire body is clad in sturdy plates. It lived on land and went out into the sea to hunt for prey. Its sharp claws were its greatest weapon. Armaldo adapted from living in water to living on land. It has been determined that it is the ancestor of some bug Pokémon. After evolution, this Pokémon emerged onto land. Its lower body has become stronger, and blows from its tail are devastating. Though it lives on land, it’s also a good swimmer. It dives into the ocean in search of prey, using its sharp claws to take down its quarry.</t>
        </is>
      </c>
    </row>
    <row r="8913" ht="33.75" customHeight="1">
      <c r="A8913" s="7">
        <v>348.0</v>
      </c>
      <c r="B8913" s="9" t="s">
        <v>15036</v>
      </c>
      <c r="C8913" s="9" t="s">
        <v>529</v>
      </c>
      <c r="D8913" s="9" t="s">
        <v>71</v>
      </c>
      <c r="E8913" s="6" t="s">
        <v>8583</v>
      </c>
      <c r="F8913" s="9" t="s">
        <v>15776</v>
      </c>
    </row>
    <row r="8914" ht="33.75" customHeight="1">
      <c r="A8914" s="7">
        <v>348.0</v>
      </c>
      <c r="B8914" s="9" t="s">
        <v>15036</v>
      </c>
      <c r="C8914" s="9" t="s">
        <v>529</v>
      </c>
      <c r="D8914" s="9" t="s">
        <v>73</v>
      </c>
      <c r="E8914" s="6" t="s">
        <v>8585</v>
      </c>
      <c r="F8914" s="9" t="s">
        <v>15776</v>
      </c>
    </row>
    <row r="8915" ht="33.75" customHeight="1">
      <c r="A8915" s="7">
        <v>348.0</v>
      </c>
      <c r="B8915" s="9" t="s">
        <v>15036</v>
      </c>
      <c r="C8915" s="9" t="s">
        <v>529</v>
      </c>
      <c r="D8915" s="9" t="s">
        <v>75</v>
      </c>
      <c r="E8915" s="6" t="s">
        <v>8586</v>
      </c>
      <c r="F8915" s="9" t="s">
        <v>15776</v>
      </c>
    </row>
    <row r="8916" ht="33.75" customHeight="1">
      <c r="A8916" s="7">
        <v>348.0</v>
      </c>
      <c r="B8916" s="9" t="s">
        <v>15036</v>
      </c>
      <c r="C8916" s="9" t="s">
        <v>529</v>
      </c>
      <c r="D8916" s="9" t="s">
        <v>79</v>
      </c>
      <c r="E8916" s="6" t="s">
        <v>8586</v>
      </c>
      <c r="F8916" s="9" t="s">
        <v>15776</v>
      </c>
    </row>
    <row r="8917" ht="33.75" customHeight="1">
      <c r="A8917" s="7">
        <v>348.0</v>
      </c>
      <c r="B8917" s="9" t="s">
        <v>15036</v>
      </c>
      <c r="C8917" s="9" t="s">
        <v>529</v>
      </c>
      <c r="D8917" s="9" t="s">
        <v>81</v>
      </c>
      <c r="E8917" s="6" t="s">
        <v>8587</v>
      </c>
      <c r="F8917" s="9" t="s">
        <v>15776</v>
      </c>
    </row>
    <row r="8918" ht="33.75" customHeight="1">
      <c r="A8918" s="7">
        <v>348.0</v>
      </c>
      <c r="B8918" s="9" t="s">
        <v>15036</v>
      </c>
      <c r="C8918" s="9" t="s">
        <v>529</v>
      </c>
      <c r="D8918" s="9" t="s">
        <v>84</v>
      </c>
      <c r="E8918" s="6" t="s">
        <v>8587</v>
      </c>
      <c r="F8918" s="9" t="s">
        <v>15776</v>
      </c>
    </row>
    <row r="8919" ht="33.75" customHeight="1">
      <c r="A8919" s="7">
        <v>348.0</v>
      </c>
      <c r="B8919" s="9" t="s">
        <v>15036</v>
      </c>
      <c r="C8919" s="9" t="s">
        <v>529</v>
      </c>
      <c r="D8919" s="9" t="s">
        <v>87</v>
      </c>
      <c r="E8919" s="6" t="s">
        <v>8587</v>
      </c>
      <c r="F8919" s="9" t="s">
        <v>15776</v>
      </c>
    </row>
    <row r="8920" ht="33.75" customHeight="1">
      <c r="A8920" s="7">
        <v>348.0</v>
      </c>
      <c r="B8920" s="9" t="s">
        <v>15036</v>
      </c>
      <c r="C8920" s="9" t="s">
        <v>529</v>
      </c>
      <c r="D8920" s="9" t="s">
        <v>89</v>
      </c>
      <c r="E8920" s="6" t="s">
        <v>8588</v>
      </c>
      <c r="F8920" s="9" t="s">
        <v>15776</v>
      </c>
    </row>
    <row r="8921" ht="33.75" customHeight="1">
      <c r="A8921" s="7">
        <v>348.0</v>
      </c>
      <c r="B8921" s="9" t="s">
        <v>15036</v>
      </c>
      <c r="C8921" s="9" t="s">
        <v>529</v>
      </c>
      <c r="D8921" s="9" t="s">
        <v>91</v>
      </c>
      <c r="E8921" s="6" t="s">
        <v>8588</v>
      </c>
      <c r="F8921" s="9" t="s">
        <v>15776</v>
      </c>
    </row>
    <row r="8922" ht="33.75" customHeight="1">
      <c r="A8922" s="7">
        <v>348.0</v>
      </c>
      <c r="B8922" s="9" t="s">
        <v>15036</v>
      </c>
      <c r="C8922" s="9" t="s">
        <v>529</v>
      </c>
      <c r="D8922" s="9" t="s">
        <v>93</v>
      </c>
      <c r="E8922" s="6" t="s">
        <v>8587</v>
      </c>
      <c r="F8922" s="9" t="s">
        <v>15776</v>
      </c>
    </row>
    <row r="8923" ht="33.75" customHeight="1">
      <c r="A8923" s="7">
        <v>348.0</v>
      </c>
      <c r="B8923" s="9" t="s">
        <v>15036</v>
      </c>
      <c r="C8923" s="9" t="s">
        <v>529</v>
      </c>
      <c r="D8923" s="9" t="s">
        <v>95</v>
      </c>
      <c r="E8923" s="6" t="s">
        <v>8587</v>
      </c>
      <c r="F8923" s="9" t="s">
        <v>15776</v>
      </c>
    </row>
    <row r="8924" ht="33.75" customHeight="1">
      <c r="A8924" s="7">
        <v>348.0</v>
      </c>
      <c r="B8924" s="9" t="s">
        <v>15036</v>
      </c>
      <c r="C8924" s="9" t="s">
        <v>529</v>
      </c>
      <c r="D8924" s="9" t="s">
        <v>98</v>
      </c>
      <c r="E8924" s="6" t="s">
        <v>8587</v>
      </c>
      <c r="F8924" s="9" t="s">
        <v>15776</v>
      </c>
    </row>
    <row r="8925" ht="33.75" customHeight="1">
      <c r="A8925" s="7">
        <v>348.0</v>
      </c>
      <c r="B8925" s="9" t="s">
        <v>15036</v>
      </c>
      <c r="C8925" s="9" t="s">
        <v>529</v>
      </c>
      <c r="D8925" s="9" t="s">
        <v>99</v>
      </c>
      <c r="E8925" s="6" t="s">
        <v>8587</v>
      </c>
      <c r="F8925" s="9" t="s">
        <v>15776</v>
      </c>
    </row>
    <row r="8926" ht="33.75" customHeight="1">
      <c r="A8926" s="7">
        <v>348.0</v>
      </c>
      <c r="B8926" s="9" t="s">
        <v>15036</v>
      </c>
      <c r="C8926" s="9" t="s">
        <v>529</v>
      </c>
      <c r="D8926" s="9" t="s">
        <v>101</v>
      </c>
      <c r="E8926" s="6" t="s">
        <v>8588</v>
      </c>
      <c r="F8926" s="9" t="s">
        <v>15776</v>
      </c>
    </row>
    <row r="8927" ht="33.75" customHeight="1">
      <c r="A8927" s="7">
        <v>348.0</v>
      </c>
      <c r="B8927" s="9" t="s">
        <v>15036</v>
      </c>
      <c r="C8927" s="9" t="s">
        <v>529</v>
      </c>
      <c r="D8927" s="9" t="s">
        <v>105</v>
      </c>
      <c r="E8927" s="6" t="s">
        <v>8586</v>
      </c>
      <c r="F8927" s="9" t="s">
        <v>15776</v>
      </c>
    </row>
    <row r="8928" ht="33.75" customHeight="1">
      <c r="A8928" s="7">
        <v>348.0</v>
      </c>
      <c r="B8928" s="9" t="s">
        <v>15036</v>
      </c>
      <c r="C8928" s="9" t="s">
        <v>529</v>
      </c>
      <c r="D8928" s="9" t="s">
        <v>107</v>
      </c>
      <c r="E8928" s="6" t="s">
        <v>8589</v>
      </c>
      <c r="F8928" s="9" t="s">
        <v>15776</v>
      </c>
    </row>
    <row r="8929" ht="33.75" customHeight="1">
      <c r="A8929" s="7">
        <v>348.0</v>
      </c>
      <c r="B8929" s="9" t="s">
        <v>15036</v>
      </c>
      <c r="C8929" s="9" t="s">
        <v>529</v>
      </c>
      <c r="D8929" s="9" t="s">
        <v>109</v>
      </c>
      <c r="E8929" s="6" t="s">
        <v>8591</v>
      </c>
      <c r="F8929" s="9" t="s">
        <v>15776</v>
      </c>
    </row>
    <row r="8930" ht="33.75" customHeight="1">
      <c r="A8930" s="7">
        <v>348.0</v>
      </c>
      <c r="B8930" s="9" t="s">
        <v>15036</v>
      </c>
      <c r="C8930" s="9" t="s">
        <v>529</v>
      </c>
      <c r="D8930" s="9" t="s">
        <v>647</v>
      </c>
      <c r="E8930" s="6" t="s">
        <v>8593</v>
      </c>
      <c r="F8930" s="9" t="s">
        <v>15776</v>
      </c>
    </row>
    <row r="8931" ht="33.75" customHeight="1">
      <c r="A8931" s="7">
        <v>348.0</v>
      </c>
      <c r="B8931" s="9" t="s">
        <v>15036</v>
      </c>
      <c r="C8931" s="9" t="s">
        <v>529</v>
      </c>
      <c r="D8931" s="9" t="s">
        <v>652</v>
      </c>
      <c r="E8931" s="6" t="s">
        <v>8595</v>
      </c>
      <c r="F8931" s="9" t="s">
        <v>15776</v>
      </c>
    </row>
    <row r="8932" ht="33.75" customHeight="1">
      <c r="A8932" s="7">
        <v>348.0</v>
      </c>
      <c r="B8932" s="9" t="s">
        <v>15036</v>
      </c>
      <c r="C8932" s="9" t="s">
        <v>529</v>
      </c>
      <c r="D8932" s="9" t="s">
        <v>114</v>
      </c>
      <c r="E8932" s="6" t="s">
        <v>8596</v>
      </c>
      <c r="F8932" s="9" t="s">
        <v>15776</v>
      </c>
    </row>
    <row r="8933" ht="33.75" customHeight="1">
      <c r="A8933" s="7">
        <v>348.0</v>
      </c>
      <c r="B8933" s="9" t="s">
        <v>15036</v>
      </c>
      <c r="C8933" s="9" t="s">
        <v>529</v>
      </c>
      <c r="D8933" s="9" t="s">
        <v>117</v>
      </c>
      <c r="E8933" s="6" t="s">
        <v>8597</v>
      </c>
      <c r="F8933" s="9" t="s">
        <v>15776</v>
      </c>
    </row>
    <row r="8934" ht="33.75" customHeight="1">
      <c r="A8934" s="7">
        <v>349.0</v>
      </c>
      <c r="B8934" s="9" t="s">
        <v>15051</v>
      </c>
      <c r="C8934" s="9" t="s">
        <v>217</v>
      </c>
      <c r="D8934" s="9" t="s">
        <v>67</v>
      </c>
      <c r="E8934" s="6" t="s">
        <v>8598</v>
      </c>
      <c r="F8934" s="9" t="s">
        <v>15781</v>
      </c>
      <c r="G8934" t="inlineStr" s="6">
        <is>
          <t xml:space="preserve">FEEBAS’s fins are ragged and tattered from the start of Feebas's life. Because of its shoddy appearance, this POKéMON is largely ignored. It is capable of living in both the sea and in rivers. While FEEBAS’s body is in tatters, it has a hardy and tenacious life force that enables it to live anywhere. However, this POKéMON is also slow and dimwitted, making it an easy catch. FEEBAS live in ponds that are heavily infested with weeds. Because of its hopelessly shabby appearance, it seems as if few TRAINERS raise it. Ridiculed for its shabby appearance, it is ignored by researchers. It lives in ponds choked with weeds. It is famous for its shabby appearance. While populous, they tend to cluster in set locations. It eats anything, so it can even live in polluted streams and lakes. No one pays any attention to it. It is a shabby and ugly Pokémon. However, it is very hardy and can survive on little water. It is the shabbiest Pokémon of all. It forms in schools and lives at the bottom of rivers. A tough Pokémon that is perfectly fine even in dirty water. However, due to its ragged, shabby appearance, it isn’t popular. Although unattractive and unpopular, this Pokémon’s marvelous vitality has made it a subject of research. They look ragged, so no one catches them. They look like they’d taste bad, so predators won’t eat them. And their numbers continue to grow. Because of its wretched appearance, most people pay it no attention, but there are some who collect Feebas—and Feebas alone!</t>
        </is>
      </c>
    </row>
    <row r="8935" ht="33.75" customHeight="1">
      <c r="A8935" s="7">
        <v>349.0</v>
      </c>
      <c r="B8935" s="9" t="s">
        <v>15051</v>
      </c>
      <c r="C8935" s="9" t="s">
        <v>217</v>
      </c>
      <c r="D8935" s="9" t="s">
        <v>71</v>
      </c>
      <c r="E8935" s="6" t="s">
        <v>8600</v>
      </c>
      <c r="F8935" s="9" t="s">
        <v>15781</v>
      </c>
    </row>
    <row r="8936" ht="33.75" customHeight="1">
      <c r="A8936" s="7">
        <v>349.0</v>
      </c>
      <c r="B8936" s="9" t="s">
        <v>15051</v>
      </c>
      <c r="C8936" s="9" t="s">
        <v>217</v>
      </c>
      <c r="D8936" s="9" t="s">
        <v>73</v>
      </c>
      <c r="E8936" s="6" t="s">
        <v>8601</v>
      </c>
      <c r="F8936" s="9" t="s">
        <v>15781</v>
      </c>
    </row>
    <row r="8937" ht="33.75" customHeight="1">
      <c r="A8937" s="7">
        <v>349.0</v>
      </c>
      <c r="B8937" s="9" t="s">
        <v>15051</v>
      </c>
      <c r="C8937" s="9" t="s">
        <v>217</v>
      </c>
      <c r="D8937" s="9" t="s">
        <v>75</v>
      </c>
      <c r="E8937" s="6" t="s">
        <v>8602</v>
      </c>
      <c r="F8937" s="9" t="s">
        <v>15781</v>
      </c>
    </row>
    <row r="8938" ht="33.75" customHeight="1">
      <c r="A8938" s="7">
        <v>349.0</v>
      </c>
      <c r="B8938" s="9" t="s">
        <v>15051</v>
      </c>
      <c r="C8938" s="9" t="s">
        <v>217</v>
      </c>
      <c r="D8938" s="9" t="s">
        <v>79</v>
      </c>
      <c r="E8938" s="6" t="s">
        <v>8602</v>
      </c>
      <c r="F8938" s="9" t="s">
        <v>15781</v>
      </c>
    </row>
    <row r="8939" ht="33.75" customHeight="1">
      <c r="A8939" s="7">
        <v>349.0</v>
      </c>
      <c r="B8939" s="9" t="s">
        <v>15051</v>
      </c>
      <c r="C8939" s="9" t="s">
        <v>217</v>
      </c>
      <c r="D8939" s="9" t="s">
        <v>81</v>
      </c>
      <c r="E8939" s="6" t="s">
        <v>8604</v>
      </c>
      <c r="F8939" s="9" t="s">
        <v>15781</v>
      </c>
    </row>
    <row r="8940" ht="33.75" customHeight="1">
      <c r="A8940" s="7">
        <v>349.0</v>
      </c>
      <c r="B8940" s="9" t="s">
        <v>15051</v>
      </c>
      <c r="C8940" s="9" t="s">
        <v>217</v>
      </c>
      <c r="D8940" s="9" t="s">
        <v>84</v>
      </c>
      <c r="E8940" s="6" t="s">
        <v>8605</v>
      </c>
      <c r="F8940" s="9" t="s">
        <v>15781</v>
      </c>
    </row>
    <row r="8941" ht="33.75" customHeight="1">
      <c r="A8941" s="7">
        <v>349.0</v>
      </c>
      <c r="B8941" s="9" t="s">
        <v>15051</v>
      </c>
      <c r="C8941" s="9" t="s">
        <v>217</v>
      </c>
      <c r="D8941" s="9" t="s">
        <v>87</v>
      </c>
      <c r="E8941" s="6" t="s">
        <v>8606</v>
      </c>
      <c r="F8941" s="9" t="s">
        <v>15781</v>
      </c>
    </row>
    <row r="8942" ht="33.75" customHeight="1">
      <c r="A8942" s="7">
        <v>349.0</v>
      </c>
      <c r="B8942" s="9" t="s">
        <v>15051</v>
      </c>
      <c r="C8942" s="9" t="s">
        <v>217</v>
      </c>
      <c r="D8942" s="9" t="s">
        <v>89</v>
      </c>
      <c r="E8942" s="6" t="s">
        <v>8608</v>
      </c>
      <c r="F8942" s="9" t="s">
        <v>15781</v>
      </c>
    </row>
    <row r="8943" ht="33.75" customHeight="1">
      <c r="A8943" s="7">
        <v>349.0</v>
      </c>
      <c r="B8943" s="9" t="s">
        <v>15051</v>
      </c>
      <c r="C8943" s="9" t="s">
        <v>217</v>
      </c>
      <c r="D8943" s="9" t="s">
        <v>91</v>
      </c>
      <c r="E8943" s="6" t="s">
        <v>8608</v>
      </c>
      <c r="F8943" s="9" t="s">
        <v>15781</v>
      </c>
    </row>
    <row r="8944" ht="33.75" customHeight="1">
      <c r="A8944" s="7">
        <v>349.0</v>
      </c>
      <c r="B8944" s="9" t="s">
        <v>15051</v>
      </c>
      <c r="C8944" s="9" t="s">
        <v>217</v>
      </c>
      <c r="D8944" s="9" t="s">
        <v>93</v>
      </c>
      <c r="E8944" s="6" t="s">
        <v>8606</v>
      </c>
      <c r="F8944" s="9" t="s">
        <v>15781</v>
      </c>
    </row>
    <row r="8945" ht="33.75" customHeight="1">
      <c r="A8945" s="7">
        <v>349.0</v>
      </c>
      <c r="B8945" s="9" t="s">
        <v>15051</v>
      </c>
      <c r="C8945" s="9" t="s">
        <v>217</v>
      </c>
      <c r="D8945" s="9" t="s">
        <v>95</v>
      </c>
      <c r="E8945" s="6" t="s">
        <v>8606</v>
      </c>
      <c r="F8945" s="9" t="s">
        <v>15781</v>
      </c>
    </row>
    <row r="8946" ht="33.75" customHeight="1">
      <c r="A8946" s="7">
        <v>349.0</v>
      </c>
      <c r="B8946" s="9" t="s">
        <v>15051</v>
      </c>
      <c r="C8946" s="9" t="s">
        <v>217</v>
      </c>
      <c r="D8946" s="9" t="s">
        <v>98</v>
      </c>
      <c r="E8946" s="6" t="s">
        <v>8606</v>
      </c>
      <c r="F8946" s="9" t="s">
        <v>15781</v>
      </c>
    </row>
    <row r="8947" ht="33.75" customHeight="1">
      <c r="A8947" s="7">
        <v>349.0</v>
      </c>
      <c r="B8947" s="9" t="s">
        <v>15051</v>
      </c>
      <c r="C8947" s="9" t="s">
        <v>217</v>
      </c>
      <c r="D8947" s="9" t="s">
        <v>99</v>
      </c>
      <c r="E8947" s="6" t="s">
        <v>8606</v>
      </c>
      <c r="F8947" s="9" t="s">
        <v>15781</v>
      </c>
    </row>
    <row r="8948" ht="33.75" customHeight="1">
      <c r="A8948" s="7">
        <v>349.0</v>
      </c>
      <c r="B8948" s="9" t="s">
        <v>15051</v>
      </c>
      <c r="C8948" s="9" t="s">
        <v>217</v>
      </c>
      <c r="D8948" s="9" t="s">
        <v>101</v>
      </c>
      <c r="E8948" s="6" t="s">
        <v>8605</v>
      </c>
      <c r="F8948" s="9" t="s">
        <v>15781</v>
      </c>
    </row>
    <row r="8949" ht="33.75" customHeight="1">
      <c r="A8949" s="7">
        <v>349.0</v>
      </c>
      <c r="B8949" s="9" t="s">
        <v>15051</v>
      </c>
      <c r="C8949" s="9" t="s">
        <v>217</v>
      </c>
      <c r="D8949" s="9" t="s">
        <v>105</v>
      </c>
      <c r="E8949" s="6" t="s">
        <v>8608</v>
      </c>
      <c r="F8949" s="9" t="s">
        <v>15781</v>
      </c>
    </row>
    <row r="8950" ht="33.75" customHeight="1">
      <c r="A8950" s="7">
        <v>349.0</v>
      </c>
      <c r="B8950" s="9" t="s">
        <v>15051</v>
      </c>
      <c r="C8950" s="9" t="s">
        <v>217</v>
      </c>
      <c r="D8950" s="9" t="s">
        <v>107</v>
      </c>
      <c r="E8950" s="6" t="s">
        <v>8610</v>
      </c>
      <c r="F8950" s="9" t="s">
        <v>15781</v>
      </c>
    </row>
    <row r="8951" ht="33.75" customHeight="1">
      <c r="A8951" s="7">
        <v>349.0</v>
      </c>
      <c r="B8951" s="9" t="s">
        <v>15051</v>
      </c>
      <c r="C8951" s="9" t="s">
        <v>217</v>
      </c>
      <c r="D8951" s="9" t="s">
        <v>109</v>
      </c>
      <c r="E8951" s="6" t="s">
        <v>8612</v>
      </c>
      <c r="F8951" s="9" t="s">
        <v>15781</v>
      </c>
    </row>
    <row r="8952" ht="33.75" customHeight="1">
      <c r="A8952" s="7">
        <v>349.0</v>
      </c>
      <c r="B8952" s="9" t="s">
        <v>15051</v>
      </c>
      <c r="C8952" s="9" t="s">
        <v>217</v>
      </c>
      <c r="D8952" s="9" t="s">
        <v>637</v>
      </c>
      <c r="E8952" s="6" t="s">
        <v>8615</v>
      </c>
      <c r="F8952" s="9" t="s">
        <v>15781</v>
      </c>
    </row>
    <row r="8953" ht="33.75" customHeight="1">
      <c r="A8953" s="7">
        <v>349.0</v>
      </c>
      <c r="B8953" s="9" t="s">
        <v>15051</v>
      </c>
      <c r="C8953" s="9" t="s">
        <v>217</v>
      </c>
      <c r="D8953" s="9" t="s">
        <v>642</v>
      </c>
      <c r="E8953" s="6" t="s">
        <v>8617</v>
      </c>
      <c r="F8953" s="9" t="s">
        <v>15781</v>
      </c>
    </row>
    <row r="8954" ht="33.75" customHeight="1">
      <c r="A8954" s="7">
        <v>349.0</v>
      </c>
      <c r="B8954" s="9" t="s">
        <v>15051</v>
      </c>
      <c r="C8954" s="9" t="s">
        <v>217</v>
      </c>
      <c r="D8954" s="9" t="s">
        <v>647</v>
      </c>
      <c r="E8954" s="6" t="s">
        <v>8619</v>
      </c>
      <c r="F8954" s="9" t="s">
        <v>15781</v>
      </c>
    </row>
    <row r="8955" ht="33.75" customHeight="1">
      <c r="A8955" s="7">
        <v>349.0</v>
      </c>
      <c r="B8955" s="9" t="s">
        <v>15051</v>
      </c>
      <c r="C8955" s="9" t="s">
        <v>217</v>
      </c>
      <c r="D8955" s="9" t="s">
        <v>652</v>
      </c>
      <c r="E8955" s="6" t="s">
        <v>8620</v>
      </c>
      <c r="F8955" s="9" t="s">
        <v>15781</v>
      </c>
    </row>
    <row r="8956" ht="33.75" customHeight="1">
      <c r="A8956" s="7">
        <v>349.0</v>
      </c>
      <c r="B8956" s="9" t="s">
        <v>15051</v>
      </c>
      <c r="C8956" s="9" t="s">
        <v>217</v>
      </c>
      <c r="D8956" s="9" t="s">
        <v>114</v>
      </c>
      <c r="E8956" s="6" t="s">
        <v>8617</v>
      </c>
      <c r="F8956" s="9" t="s">
        <v>15781</v>
      </c>
    </row>
    <row r="8957" ht="33.75" customHeight="1">
      <c r="A8957" s="7">
        <v>349.0</v>
      </c>
      <c r="B8957" s="9" t="s">
        <v>15051</v>
      </c>
      <c r="C8957" s="9" t="s">
        <v>217</v>
      </c>
      <c r="D8957" s="9" t="s">
        <v>117</v>
      </c>
      <c r="E8957" s="6" t="s">
        <v>8606</v>
      </c>
      <c r="F8957" s="9" t="s">
        <v>15781</v>
      </c>
    </row>
    <row r="8958" ht="33.75" customHeight="1">
      <c r="A8958" s="7">
        <v>350.0</v>
      </c>
      <c r="B8958" s="9" t="s">
        <v>15067</v>
      </c>
      <c r="C8958" s="9" t="s">
        <v>532</v>
      </c>
      <c r="D8958" s="9" t="s">
        <v>67</v>
      </c>
      <c r="E8958" s="6" t="s">
        <v>8622</v>
      </c>
      <c r="F8958" s="9" t="s">
        <v>15790</v>
      </c>
      <c r="G8958" t="inlineStr" s="6">
        <is>
          <t xml:space="preserve">MILOTIC is said to be the most beautiful of all the POKéMON. It has the power to becalm such emotions as anger and hostility to quell bitter feuding. MILOTIC live at the bottom of large lakes. When this POKéMON’s body glows a vivid pink, it releases a pulsing wave of energy that brings soothing calm to restless spirits. It is said to live at the bottom of large lakes. Considered to be the most beautiful of all POKéMON, it has been depicted in paintings and statues. MILOTIC is breathtakingly beautiful. Those that see it are said to forget their combative spirits. When people bicker, it is said to arise from the depths of lakes to becalm violent hearts. It is the world’s most beautiful Pokémon. There are many works of art featuring MILOTIC. Its lovely scales are described as rainbow colored. They change color depending on the viewing angle. It’s said that a glimpse of a MILOTIC and its beauty will calm any hostile emotions you’re feeling. When this Pokémon’s body glows a vivid pink, it releases a pulsing wave of energy that brings soothing calm to troubled hearts. Milotic has provided inspiration to many artists. It has even been referred to as the most beautiful Pokémon of all. It lives at the bottom of clear lakes. In times of war, it shows itself, which soothes people’s minds and hearts. While Milotic is said to be the most beautiful Pokémon, Trainers who like Feebas and have raised it are seemingly disappointed by Milotic. Its dwelling place is the bottom of big lakes. Those who behold its loveliness are said to have their hearts purified.</t>
        </is>
      </c>
    </row>
    <row r="8959" ht="33.75" customHeight="1">
      <c r="A8959" s="7">
        <v>350.0</v>
      </c>
      <c r="B8959" s="9" t="s">
        <v>15067</v>
      </c>
      <c r="C8959" s="9" t="s">
        <v>532</v>
      </c>
      <c r="D8959" s="9" t="s">
        <v>71</v>
      </c>
      <c r="E8959" s="6" t="s">
        <v>8623</v>
      </c>
      <c r="F8959" s="9" t="s">
        <v>15790</v>
      </c>
    </row>
    <row r="8960" ht="33.75" customHeight="1">
      <c r="A8960" s="7">
        <v>350.0</v>
      </c>
      <c r="B8960" s="9" t="s">
        <v>15067</v>
      </c>
      <c r="C8960" s="9" t="s">
        <v>532</v>
      </c>
      <c r="D8960" s="9" t="s">
        <v>73</v>
      </c>
      <c r="E8960" s="6" t="s">
        <v>8624</v>
      </c>
      <c r="F8960" s="9" t="s">
        <v>15790</v>
      </c>
    </row>
    <row r="8961" ht="33.75" customHeight="1">
      <c r="A8961" s="7">
        <v>350.0</v>
      </c>
      <c r="B8961" s="9" t="s">
        <v>15067</v>
      </c>
      <c r="C8961" s="9" t="s">
        <v>532</v>
      </c>
      <c r="D8961" s="9" t="s">
        <v>75</v>
      </c>
      <c r="E8961" s="6" t="s">
        <v>8625</v>
      </c>
      <c r="F8961" s="9" t="s">
        <v>15790</v>
      </c>
    </row>
    <row r="8962" ht="33.75" customHeight="1">
      <c r="A8962" s="7">
        <v>350.0</v>
      </c>
      <c r="B8962" s="9" t="s">
        <v>15067</v>
      </c>
      <c r="C8962" s="9" t="s">
        <v>532</v>
      </c>
      <c r="D8962" s="9" t="s">
        <v>79</v>
      </c>
      <c r="E8962" s="6" t="s">
        <v>8625</v>
      </c>
      <c r="F8962" s="9" t="s">
        <v>15790</v>
      </c>
    </row>
    <row r="8963" ht="33.75" customHeight="1">
      <c r="A8963" s="7">
        <v>350.0</v>
      </c>
      <c r="B8963" s="9" t="s">
        <v>15067</v>
      </c>
      <c r="C8963" s="9" t="s">
        <v>532</v>
      </c>
      <c r="D8963" s="9" t="s">
        <v>81</v>
      </c>
      <c r="E8963" s="6" t="s">
        <v>8626</v>
      </c>
      <c r="F8963" s="9" t="s">
        <v>15790</v>
      </c>
    </row>
    <row r="8964" ht="33.75" customHeight="1">
      <c r="A8964" s="7">
        <v>350.0</v>
      </c>
      <c r="B8964" s="9" t="s">
        <v>15067</v>
      </c>
      <c r="C8964" s="9" t="s">
        <v>532</v>
      </c>
      <c r="D8964" s="9" t="s">
        <v>84</v>
      </c>
      <c r="E8964" s="6" t="s">
        <v>8628</v>
      </c>
      <c r="F8964" s="9" t="s">
        <v>15790</v>
      </c>
    </row>
    <row r="8965" ht="33.75" customHeight="1">
      <c r="A8965" s="7">
        <v>350.0</v>
      </c>
      <c r="B8965" s="9" t="s">
        <v>15067</v>
      </c>
      <c r="C8965" s="9" t="s">
        <v>532</v>
      </c>
      <c r="D8965" s="9" t="s">
        <v>87</v>
      </c>
      <c r="E8965" s="6" t="s">
        <v>8629</v>
      </c>
      <c r="F8965" s="9" t="s">
        <v>15790</v>
      </c>
    </row>
    <row r="8966" ht="33.75" customHeight="1">
      <c r="A8966" s="7">
        <v>350.0</v>
      </c>
      <c r="B8966" s="9" t="s">
        <v>15067</v>
      </c>
      <c r="C8966" s="9" t="s">
        <v>532</v>
      </c>
      <c r="D8966" s="9" t="s">
        <v>89</v>
      </c>
      <c r="E8966" s="6" t="s">
        <v>8631</v>
      </c>
      <c r="F8966" s="9" t="s">
        <v>15790</v>
      </c>
    </row>
    <row r="8967" ht="33.75" customHeight="1">
      <c r="A8967" s="7">
        <v>350.0</v>
      </c>
      <c r="B8967" s="9" t="s">
        <v>15067</v>
      </c>
      <c r="C8967" s="9" t="s">
        <v>532</v>
      </c>
      <c r="D8967" s="9" t="s">
        <v>91</v>
      </c>
      <c r="E8967" s="6" t="s">
        <v>8631</v>
      </c>
      <c r="F8967" s="9" t="s">
        <v>15790</v>
      </c>
    </row>
    <row r="8968" ht="33.75" customHeight="1">
      <c r="A8968" s="7">
        <v>350.0</v>
      </c>
      <c r="B8968" s="9" t="s">
        <v>15067</v>
      </c>
      <c r="C8968" s="9" t="s">
        <v>532</v>
      </c>
      <c r="D8968" s="9" t="s">
        <v>93</v>
      </c>
      <c r="E8968" s="6" t="s">
        <v>8629</v>
      </c>
      <c r="F8968" s="9" t="s">
        <v>15790</v>
      </c>
    </row>
    <row r="8969" ht="33.75" customHeight="1">
      <c r="A8969" s="7">
        <v>350.0</v>
      </c>
      <c r="B8969" s="9" t="s">
        <v>15067</v>
      </c>
      <c r="C8969" s="9" t="s">
        <v>532</v>
      </c>
      <c r="D8969" s="9" t="s">
        <v>95</v>
      </c>
      <c r="E8969" s="6" t="s">
        <v>8629</v>
      </c>
      <c r="F8969" s="9" t="s">
        <v>15790</v>
      </c>
    </row>
    <row r="8970" ht="33.75" customHeight="1">
      <c r="A8970" s="7">
        <v>350.0</v>
      </c>
      <c r="B8970" s="9" t="s">
        <v>15067</v>
      </c>
      <c r="C8970" s="9" t="s">
        <v>532</v>
      </c>
      <c r="D8970" s="9" t="s">
        <v>98</v>
      </c>
      <c r="E8970" s="6" t="s">
        <v>8629</v>
      </c>
      <c r="F8970" s="9" t="s">
        <v>15790</v>
      </c>
    </row>
    <row r="8971" ht="33.75" customHeight="1">
      <c r="A8971" s="7">
        <v>350.0</v>
      </c>
      <c r="B8971" s="9" t="s">
        <v>15067</v>
      </c>
      <c r="C8971" s="9" t="s">
        <v>532</v>
      </c>
      <c r="D8971" s="9" t="s">
        <v>99</v>
      </c>
      <c r="E8971" s="6" t="s">
        <v>8629</v>
      </c>
      <c r="F8971" s="9" t="s">
        <v>15790</v>
      </c>
    </row>
    <row r="8972" ht="33.75" customHeight="1">
      <c r="A8972" s="7">
        <v>350.0</v>
      </c>
      <c r="B8972" s="9" t="s">
        <v>15067</v>
      </c>
      <c r="C8972" s="9" t="s">
        <v>532</v>
      </c>
      <c r="D8972" s="9" t="s">
        <v>101</v>
      </c>
      <c r="E8972" s="6" t="s">
        <v>8633</v>
      </c>
      <c r="F8972" s="9" t="s">
        <v>15790</v>
      </c>
    </row>
    <row r="8973" ht="33.75" customHeight="1">
      <c r="A8973" s="7">
        <v>350.0</v>
      </c>
      <c r="B8973" s="9" t="s">
        <v>15067</v>
      </c>
      <c r="C8973" s="9" t="s">
        <v>532</v>
      </c>
      <c r="D8973" s="9" t="s">
        <v>105</v>
      </c>
      <c r="E8973" s="6" t="s">
        <v>8635</v>
      </c>
      <c r="F8973" s="9" t="s">
        <v>15790</v>
      </c>
    </row>
    <row r="8974" ht="33.75" customHeight="1">
      <c r="A8974" s="7">
        <v>350.0</v>
      </c>
      <c r="B8974" s="9" t="s">
        <v>15067</v>
      </c>
      <c r="C8974" s="9" t="s">
        <v>532</v>
      </c>
      <c r="D8974" s="9" t="s">
        <v>107</v>
      </c>
      <c r="E8974" s="6" t="s">
        <v>8637</v>
      </c>
      <c r="F8974" s="9" t="s">
        <v>15790</v>
      </c>
    </row>
    <row r="8975" ht="33.75" customHeight="1">
      <c r="A8975" s="7">
        <v>350.0</v>
      </c>
      <c r="B8975" s="9" t="s">
        <v>15067</v>
      </c>
      <c r="C8975" s="9" t="s">
        <v>532</v>
      </c>
      <c r="D8975" s="9" t="s">
        <v>109</v>
      </c>
      <c r="E8975" s="6" t="s">
        <v>8638</v>
      </c>
      <c r="F8975" s="9" t="s">
        <v>15790</v>
      </c>
    </row>
    <row r="8976" ht="33.75" customHeight="1">
      <c r="A8976" s="7">
        <v>350.0</v>
      </c>
      <c r="B8976" s="9" t="s">
        <v>15067</v>
      </c>
      <c r="C8976" s="9" t="s">
        <v>532</v>
      </c>
      <c r="D8976" s="9" t="s">
        <v>637</v>
      </c>
      <c r="E8976" s="6" t="s">
        <v>8640</v>
      </c>
      <c r="F8976" s="9" t="s">
        <v>15790</v>
      </c>
    </row>
    <row r="8977" ht="33.75" customHeight="1">
      <c r="A8977" s="7">
        <v>350.0</v>
      </c>
      <c r="B8977" s="9" t="s">
        <v>15067</v>
      </c>
      <c r="C8977" s="9" t="s">
        <v>532</v>
      </c>
      <c r="D8977" s="9" t="s">
        <v>642</v>
      </c>
      <c r="E8977" s="6" t="s">
        <v>8641</v>
      </c>
      <c r="F8977" s="9" t="s">
        <v>15790</v>
      </c>
    </row>
    <row r="8978" ht="33.75" customHeight="1">
      <c r="A8978" s="7">
        <v>350.0</v>
      </c>
      <c r="B8978" s="9" t="s">
        <v>15067</v>
      </c>
      <c r="C8978" s="9" t="s">
        <v>532</v>
      </c>
      <c r="D8978" s="9" t="s">
        <v>647</v>
      </c>
      <c r="E8978" s="6" t="s">
        <v>8643</v>
      </c>
      <c r="F8978" s="9" t="s">
        <v>15790</v>
      </c>
    </row>
    <row r="8979" ht="33.75" customHeight="1">
      <c r="A8979" s="7">
        <v>350.0</v>
      </c>
      <c r="B8979" s="9" t="s">
        <v>15067</v>
      </c>
      <c r="C8979" s="9" t="s">
        <v>532</v>
      </c>
      <c r="D8979" s="9" t="s">
        <v>652</v>
      </c>
      <c r="E8979" s="6" t="s">
        <v>8644</v>
      </c>
      <c r="F8979" s="9" t="s">
        <v>15790</v>
      </c>
    </row>
    <row r="8980" ht="33.75" customHeight="1">
      <c r="A8980" s="7">
        <v>350.0</v>
      </c>
      <c r="B8980" s="9" t="s">
        <v>15067</v>
      </c>
      <c r="C8980" s="9" t="s">
        <v>532</v>
      </c>
      <c r="D8980" s="9" t="s">
        <v>114</v>
      </c>
      <c r="E8980" s="6" t="s">
        <v>8640</v>
      </c>
      <c r="F8980" s="9" t="s">
        <v>15790</v>
      </c>
    </row>
    <row r="8981" ht="33.75" customHeight="1">
      <c r="A8981" s="7">
        <v>350.0</v>
      </c>
      <c r="B8981" s="9" t="s">
        <v>15067</v>
      </c>
      <c r="C8981" s="9" t="s">
        <v>532</v>
      </c>
      <c r="D8981" s="9" t="s">
        <v>117</v>
      </c>
      <c r="E8981" s="6" t="s">
        <v>8646</v>
      </c>
      <c r="F8981" s="9" t="s">
        <v>15790</v>
      </c>
    </row>
    <row r="8982" ht="33.75" customHeight="1">
      <c r="A8982" s="7">
        <v>351.0</v>
      </c>
      <c r="B8982" s="9" t="s">
        <v>15087</v>
      </c>
      <c r="C8982" s="9" t="s">
        <v>533</v>
      </c>
      <c r="D8982" s="9" t="s">
        <v>67</v>
      </c>
      <c r="E8982" s="6" t="s">
        <v>8650</v>
      </c>
      <c r="F8982" s="9" t="s">
        <v>15808</v>
      </c>
      <c r="G8982" t="inlineStr" s="6">
        <is>
          <t xml:space="preserve">CASTFORM’s appearance changes with the weather. This POKéMON gained the ability to use the vast power of nature to protect its tiny body. CASTFORM borrows the power of nature to transform itself into the guises of the sun, rain clouds, and snow clouds. This POKéMON’s feelings change with the weather. It alters its form depending on the weather. Changes in the climate such as the temperature and humidity appear to affect its cellular structure. It has the ability to change its form into the sun, the rain, or a snow cloud, depending on the weather. Its appearance changes with the weather. Recently, its molecules were found to be just like water. This Pokémon can change its cells, taking different forms based on the temperature and humidity. Temperature and weather affect its cellular structure, so this Pokémon changes form according to the weather. Castform borrows the power of nature to transform itself into the guises of the sun, rain, and snow-clouds. It changes its form depending on the weather. Changes in the temperature or humidity appear to affect its cellular structure. Its form changes on its own, due to its cells’ sensitive reactions to temperature and humidity. Although its form changes with the weather, that is apparently the result of a chemical reaction and not the result of its own free will. Its form changes depending on the weather. The rougher conditions get, the rougher Castform’s disposition!</t>
        </is>
      </c>
    </row>
    <row r="8983" ht="33.75" customHeight="1">
      <c r="A8983" s="7">
        <v>351.0</v>
      </c>
      <c r="B8983" s="9" t="s">
        <v>15087</v>
      </c>
      <c r="C8983" s="9" t="s">
        <v>533</v>
      </c>
      <c r="D8983" s="9" t="s">
        <v>71</v>
      </c>
      <c r="E8983" s="6" t="s">
        <v>8651</v>
      </c>
      <c r="F8983" s="9" t="s">
        <v>15808</v>
      </c>
    </row>
    <row r="8984" ht="33.75" customHeight="1">
      <c r="A8984" s="7">
        <v>351.0</v>
      </c>
      <c r="B8984" s="9" t="s">
        <v>15087</v>
      </c>
      <c r="C8984" s="9" t="s">
        <v>533</v>
      </c>
      <c r="D8984" s="9" t="s">
        <v>73</v>
      </c>
      <c r="E8984" s="6" t="s">
        <v>8653</v>
      </c>
      <c r="F8984" s="9" t="s">
        <v>15808</v>
      </c>
    </row>
    <row r="8985" ht="33.75" customHeight="1">
      <c r="A8985" s="7">
        <v>351.0</v>
      </c>
      <c r="B8985" s="9" t="s">
        <v>15087</v>
      </c>
      <c r="C8985" s="9" t="s">
        <v>533</v>
      </c>
      <c r="D8985" s="9" t="s">
        <v>75</v>
      </c>
      <c r="E8985" s="6" t="s">
        <v>8655</v>
      </c>
      <c r="F8985" s="9" t="s">
        <v>15808</v>
      </c>
    </row>
    <row r="8986" ht="33.75" customHeight="1">
      <c r="A8986" s="7">
        <v>351.0</v>
      </c>
      <c r="B8986" s="9" t="s">
        <v>15087</v>
      </c>
      <c r="C8986" s="9" t="s">
        <v>533</v>
      </c>
      <c r="D8986" s="9" t="s">
        <v>79</v>
      </c>
      <c r="E8986" s="6" t="s">
        <v>8655</v>
      </c>
      <c r="F8986" s="9" t="s">
        <v>15808</v>
      </c>
    </row>
    <row r="8987" ht="33.75" customHeight="1">
      <c r="A8987" s="7">
        <v>351.0</v>
      </c>
      <c r="B8987" s="9" t="s">
        <v>15087</v>
      </c>
      <c r="C8987" s="9" t="s">
        <v>533</v>
      </c>
      <c r="D8987" s="9" t="s">
        <v>81</v>
      </c>
      <c r="E8987" s="6" t="s">
        <v>8657</v>
      </c>
      <c r="F8987" s="9" t="s">
        <v>15808</v>
      </c>
    </row>
    <row r="8988" ht="33.75" customHeight="1">
      <c r="A8988" s="7">
        <v>351.0</v>
      </c>
      <c r="B8988" s="9" t="s">
        <v>15087</v>
      </c>
      <c r="C8988" s="9" t="s">
        <v>533</v>
      </c>
      <c r="D8988" s="9" t="s">
        <v>84</v>
      </c>
      <c r="E8988" s="6" t="s">
        <v>8657</v>
      </c>
      <c r="F8988" s="9" t="s">
        <v>15808</v>
      </c>
    </row>
    <row r="8989" ht="33.75" customHeight="1">
      <c r="A8989" s="7">
        <v>351.0</v>
      </c>
      <c r="B8989" s="9" t="s">
        <v>15087</v>
      </c>
      <c r="C8989" s="9" t="s">
        <v>533</v>
      </c>
      <c r="D8989" s="9" t="s">
        <v>87</v>
      </c>
      <c r="E8989" s="6" t="s">
        <v>8657</v>
      </c>
      <c r="F8989" s="9" t="s">
        <v>15808</v>
      </c>
    </row>
    <row r="8990" ht="33.75" customHeight="1">
      <c r="A8990" s="7">
        <v>351.0</v>
      </c>
      <c r="B8990" s="9" t="s">
        <v>15087</v>
      </c>
      <c r="C8990" s="9" t="s">
        <v>533</v>
      </c>
      <c r="D8990" s="9" t="s">
        <v>89</v>
      </c>
      <c r="E8990" s="6" t="s">
        <v>8659</v>
      </c>
      <c r="F8990" s="9" t="s">
        <v>15808</v>
      </c>
    </row>
    <row r="8991" ht="33.75" customHeight="1">
      <c r="A8991" s="7">
        <v>351.0</v>
      </c>
      <c r="B8991" s="9" t="s">
        <v>15087</v>
      </c>
      <c r="C8991" s="9" t="s">
        <v>533</v>
      </c>
      <c r="D8991" s="9" t="s">
        <v>91</v>
      </c>
      <c r="E8991" s="6" t="s">
        <v>8659</v>
      </c>
      <c r="F8991" s="9" t="s">
        <v>15808</v>
      </c>
    </row>
    <row r="8992" ht="33.75" customHeight="1">
      <c r="A8992" s="7">
        <v>351.0</v>
      </c>
      <c r="B8992" s="9" t="s">
        <v>15087</v>
      </c>
      <c r="C8992" s="9" t="s">
        <v>533</v>
      </c>
      <c r="D8992" s="9" t="s">
        <v>93</v>
      </c>
      <c r="E8992" s="6" t="s">
        <v>8657</v>
      </c>
      <c r="F8992" s="9" t="s">
        <v>15808</v>
      </c>
    </row>
    <row r="8993" ht="33.75" customHeight="1">
      <c r="A8993" s="7">
        <v>351.0</v>
      </c>
      <c r="B8993" s="9" t="s">
        <v>15087</v>
      </c>
      <c r="C8993" s="9" t="s">
        <v>533</v>
      </c>
      <c r="D8993" s="9" t="s">
        <v>95</v>
      </c>
      <c r="E8993" s="6" t="s">
        <v>8657</v>
      </c>
      <c r="F8993" s="9" t="s">
        <v>15808</v>
      </c>
    </row>
    <row r="8994" ht="33.75" customHeight="1">
      <c r="A8994" s="7">
        <v>351.0</v>
      </c>
      <c r="B8994" s="9" t="s">
        <v>15087</v>
      </c>
      <c r="C8994" s="9" t="s">
        <v>533</v>
      </c>
      <c r="D8994" s="9" t="s">
        <v>98</v>
      </c>
      <c r="E8994" s="6" t="s">
        <v>8661</v>
      </c>
      <c r="F8994" s="9" t="s">
        <v>15808</v>
      </c>
    </row>
    <row r="8995" ht="33.75" customHeight="1">
      <c r="A8995" s="7">
        <v>351.0</v>
      </c>
      <c r="B8995" s="9" t="s">
        <v>15087</v>
      </c>
      <c r="C8995" s="9" t="s">
        <v>533</v>
      </c>
      <c r="D8995" s="9" t="s">
        <v>99</v>
      </c>
      <c r="E8995" s="6" t="s">
        <v>8661</v>
      </c>
      <c r="F8995" s="9" t="s">
        <v>15808</v>
      </c>
    </row>
    <row r="8996" ht="33.75" customHeight="1">
      <c r="A8996" s="7">
        <v>351.0</v>
      </c>
      <c r="B8996" s="9" t="s">
        <v>15087</v>
      </c>
      <c r="C8996" s="9" t="s">
        <v>533</v>
      </c>
      <c r="D8996" s="9" t="s">
        <v>101</v>
      </c>
      <c r="E8996" s="6" t="s">
        <v>8659</v>
      </c>
      <c r="F8996" s="9" t="s">
        <v>15808</v>
      </c>
    </row>
    <row r="8997" ht="33.75" customHeight="1">
      <c r="A8997" s="7">
        <v>351.0</v>
      </c>
      <c r="B8997" s="9" t="s">
        <v>15087</v>
      </c>
      <c r="C8997" s="9" t="s">
        <v>533</v>
      </c>
      <c r="D8997" s="9" t="s">
        <v>105</v>
      </c>
      <c r="E8997" s="6" t="s">
        <v>8655</v>
      </c>
      <c r="F8997" s="9" t="s">
        <v>15808</v>
      </c>
    </row>
    <row r="8998" ht="33.75" customHeight="1">
      <c r="A8998" s="7">
        <v>351.0</v>
      </c>
      <c r="B8998" s="9" t="s">
        <v>15087</v>
      </c>
      <c r="C8998" s="9" t="s">
        <v>533</v>
      </c>
      <c r="D8998" s="9" t="s">
        <v>107</v>
      </c>
      <c r="E8998" s="6" t="s">
        <v>8662</v>
      </c>
      <c r="F8998" s="9" t="s">
        <v>15808</v>
      </c>
    </row>
    <row r="8999" ht="33.75" customHeight="1">
      <c r="A8999" s="7">
        <v>351.0</v>
      </c>
      <c r="B8999" s="9" t="s">
        <v>15087</v>
      </c>
      <c r="C8999" s="9" t="s">
        <v>533</v>
      </c>
      <c r="D8999" s="9" t="s">
        <v>109</v>
      </c>
      <c r="E8999" s="6" t="s">
        <v>8664</v>
      </c>
      <c r="F8999" s="9" t="s">
        <v>15808</v>
      </c>
    </row>
    <row r="9000" ht="33.75" customHeight="1">
      <c r="A9000" s="7">
        <v>351.0</v>
      </c>
      <c r="B9000" s="9" t="s">
        <v>15087</v>
      </c>
      <c r="C9000" s="9" t="s">
        <v>533</v>
      </c>
      <c r="D9000" s="9" t="s">
        <v>637</v>
      </c>
      <c r="E9000" s="6" t="s">
        <v>8666</v>
      </c>
      <c r="F9000" s="9" t="s">
        <v>15808</v>
      </c>
    </row>
    <row r="9001" ht="33.75" customHeight="1">
      <c r="A9001" s="7">
        <v>351.0</v>
      </c>
      <c r="B9001" s="9" t="s">
        <v>15087</v>
      </c>
      <c r="C9001" s="9" t="s">
        <v>533</v>
      </c>
      <c r="D9001" s="9" t="s">
        <v>642</v>
      </c>
      <c r="E9001" s="6" t="s">
        <v>8668</v>
      </c>
      <c r="F9001" s="9" t="s">
        <v>15808</v>
      </c>
    </row>
    <row r="9002" ht="33.75" customHeight="1">
      <c r="A9002" s="7">
        <v>351.0</v>
      </c>
      <c r="B9002" s="9" t="s">
        <v>15087</v>
      </c>
      <c r="C9002" s="9" t="s">
        <v>533</v>
      </c>
      <c r="D9002" s="9" t="s">
        <v>647</v>
      </c>
      <c r="E9002" s="6" t="s">
        <v>8670</v>
      </c>
      <c r="F9002" s="9" t="s">
        <v>15808</v>
      </c>
    </row>
    <row r="9003" ht="33.75" customHeight="1">
      <c r="A9003" s="7">
        <v>351.0</v>
      </c>
      <c r="B9003" s="9" t="s">
        <v>15087</v>
      </c>
      <c r="C9003" s="9" t="s">
        <v>533</v>
      </c>
      <c r="D9003" s="9" t="s">
        <v>652</v>
      </c>
      <c r="E9003" s="6" t="s">
        <v>8672</v>
      </c>
      <c r="F9003" s="9" t="s">
        <v>15808</v>
      </c>
    </row>
    <row r="9004" ht="33.75" customHeight="1">
      <c r="A9004" s="7">
        <v>352.0</v>
      </c>
      <c r="B9004" s="9" t="s">
        <v>15103</v>
      </c>
      <c r="C9004" s="9" t="s">
        <v>535</v>
      </c>
      <c r="D9004" s="9" t="s">
        <v>67</v>
      </c>
      <c r="E9004" s="6" t="s">
        <v>8674</v>
      </c>
      <c r="F9004" s="9" t="s">
        <v>15811</v>
      </c>
      <c r="G9004" t="inlineStr" s="6">
        <is>
          <t xml:space="preserve">KECLEON is capable of changing Kecleon's body colors at will to blend in with its surroundings. There is one exception - this POKéMON can’t change the zigzag pattern on its belly. KECLEON alters its body coloration to blend in with its surroundings, allowing it to sneak up on its prey unnoticed. Then it lashes out with its long, stretchy tongue to instantly ensnare the unsuspecting target. A POKéMON that has the ability to alter its body colors to match its surroundings. A KECLEON reverts to its original colors if it is startled. It changes body color to blend in with its surroundings. It also changes color if it is happy or sad. It can freely change its body’s color. The zigzag pattern on its belly doesn’t change, however. It changes its shading to match its surroundings so it can sneak up on prey. Only its belly patterns stay fixed. There is one exception—this Pokémon can’t change the zigzag pattern on its belly. It changes its hue to blend into its surroundings. If no one takes notice of it for too long, it will pout and never reveal itself. Its color changes for concealment and also when its mood or health changes. The darker the color, the healthier it is.</t>
        </is>
      </c>
    </row>
    <row r="9005" ht="33.75" customHeight="1">
      <c r="A9005" s="7">
        <v>352.0</v>
      </c>
      <c r="B9005" s="9" t="s">
        <v>15103</v>
      </c>
      <c r="C9005" s="9" t="s">
        <v>535</v>
      </c>
      <c r="D9005" s="9" t="s">
        <v>71</v>
      </c>
      <c r="E9005" s="6" t="s">
        <v>8675</v>
      </c>
      <c r="F9005" s="9" t="s">
        <v>15811</v>
      </c>
    </row>
    <row r="9006" ht="33.75" customHeight="1">
      <c r="A9006" s="7">
        <v>352.0</v>
      </c>
      <c r="B9006" s="9" t="s">
        <v>15103</v>
      </c>
      <c r="C9006" s="9" t="s">
        <v>535</v>
      </c>
      <c r="D9006" s="9" t="s">
        <v>73</v>
      </c>
      <c r="E9006" s="6" t="s">
        <v>8678</v>
      </c>
      <c r="F9006" s="9" t="s">
        <v>15811</v>
      </c>
    </row>
    <row r="9007" ht="33.75" customHeight="1">
      <c r="A9007" s="7">
        <v>352.0</v>
      </c>
      <c r="B9007" s="9" t="s">
        <v>15103</v>
      </c>
      <c r="C9007" s="9" t="s">
        <v>535</v>
      </c>
      <c r="D9007" s="9" t="s">
        <v>75</v>
      </c>
      <c r="E9007" s="6" t="s">
        <v>8679</v>
      </c>
      <c r="F9007" s="9" t="s">
        <v>15811</v>
      </c>
    </row>
    <row r="9008" ht="33.75" customHeight="1">
      <c r="A9008" s="7">
        <v>352.0</v>
      </c>
      <c r="B9008" s="9" t="s">
        <v>15103</v>
      </c>
      <c r="C9008" s="9" t="s">
        <v>535</v>
      </c>
      <c r="D9008" s="9" t="s">
        <v>79</v>
      </c>
      <c r="E9008" s="6" t="s">
        <v>8679</v>
      </c>
      <c r="F9008" s="9" t="s">
        <v>15811</v>
      </c>
    </row>
    <row r="9009" ht="33.75" customHeight="1">
      <c r="A9009" s="7">
        <v>352.0</v>
      </c>
      <c r="B9009" s="9" t="s">
        <v>15103</v>
      </c>
      <c r="C9009" s="9" t="s">
        <v>535</v>
      </c>
      <c r="D9009" s="9" t="s">
        <v>81</v>
      </c>
      <c r="E9009" s="6" t="s">
        <v>8680</v>
      </c>
      <c r="F9009" s="9" t="s">
        <v>15811</v>
      </c>
    </row>
    <row r="9010" ht="33.75" customHeight="1">
      <c r="A9010" s="7">
        <v>352.0</v>
      </c>
      <c r="B9010" s="9" t="s">
        <v>15103</v>
      </c>
      <c r="C9010" s="9" t="s">
        <v>535</v>
      </c>
      <c r="D9010" s="9" t="s">
        <v>84</v>
      </c>
      <c r="E9010" s="6" t="s">
        <v>8680</v>
      </c>
      <c r="F9010" s="9" t="s">
        <v>15811</v>
      </c>
    </row>
    <row r="9011" ht="33.75" customHeight="1">
      <c r="A9011" s="7">
        <v>352.0</v>
      </c>
      <c r="B9011" s="9" t="s">
        <v>15103</v>
      </c>
      <c r="C9011" s="9" t="s">
        <v>535</v>
      </c>
      <c r="D9011" s="9" t="s">
        <v>87</v>
      </c>
      <c r="E9011" s="6" t="s">
        <v>8680</v>
      </c>
      <c r="F9011" s="9" t="s">
        <v>15811</v>
      </c>
    </row>
    <row r="9012" ht="33.75" customHeight="1">
      <c r="A9012" s="7">
        <v>352.0</v>
      </c>
      <c r="B9012" s="9" t="s">
        <v>15103</v>
      </c>
      <c r="C9012" s="9" t="s">
        <v>535</v>
      </c>
      <c r="D9012" s="9" t="s">
        <v>89</v>
      </c>
      <c r="E9012" s="6" t="s">
        <v>8681</v>
      </c>
      <c r="F9012" s="9" t="s">
        <v>15811</v>
      </c>
    </row>
    <row r="9013" ht="33.75" customHeight="1">
      <c r="A9013" s="7">
        <v>352.0</v>
      </c>
      <c r="B9013" s="9" t="s">
        <v>15103</v>
      </c>
      <c r="C9013" s="9" t="s">
        <v>535</v>
      </c>
      <c r="D9013" s="9" t="s">
        <v>91</v>
      </c>
      <c r="E9013" s="6" t="s">
        <v>8681</v>
      </c>
      <c r="F9013" s="9" t="s">
        <v>15811</v>
      </c>
    </row>
    <row r="9014" ht="33.75" customHeight="1">
      <c r="A9014" s="7">
        <v>352.0</v>
      </c>
      <c r="B9014" s="9" t="s">
        <v>15103</v>
      </c>
      <c r="C9014" s="9" t="s">
        <v>535</v>
      </c>
      <c r="D9014" s="9" t="s">
        <v>93</v>
      </c>
      <c r="E9014" s="6" t="s">
        <v>8680</v>
      </c>
      <c r="F9014" s="9" t="s">
        <v>15811</v>
      </c>
    </row>
    <row r="9015" ht="33.75" customHeight="1">
      <c r="A9015" s="7">
        <v>352.0</v>
      </c>
      <c r="B9015" s="9" t="s">
        <v>15103</v>
      </c>
      <c r="C9015" s="9" t="s">
        <v>535</v>
      </c>
      <c r="D9015" s="9" t="s">
        <v>95</v>
      </c>
      <c r="E9015" s="6" t="s">
        <v>8680</v>
      </c>
      <c r="F9015" s="9" t="s">
        <v>15811</v>
      </c>
    </row>
    <row r="9016" ht="33.75" customHeight="1">
      <c r="A9016" s="7">
        <v>352.0</v>
      </c>
      <c r="B9016" s="9" t="s">
        <v>15103</v>
      </c>
      <c r="C9016" s="9" t="s">
        <v>535</v>
      </c>
      <c r="D9016" s="9" t="s">
        <v>98</v>
      </c>
      <c r="E9016" s="6" t="s">
        <v>8680</v>
      </c>
      <c r="F9016" s="9" t="s">
        <v>15811</v>
      </c>
    </row>
    <row r="9017" ht="33.75" customHeight="1">
      <c r="A9017" s="7">
        <v>352.0</v>
      </c>
      <c r="B9017" s="9" t="s">
        <v>15103</v>
      </c>
      <c r="C9017" s="9" t="s">
        <v>535</v>
      </c>
      <c r="D9017" s="9" t="s">
        <v>99</v>
      </c>
      <c r="E9017" s="6" t="s">
        <v>8680</v>
      </c>
      <c r="F9017" s="9" t="s">
        <v>15811</v>
      </c>
    </row>
    <row r="9018" ht="33.75" customHeight="1">
      <c r="A9018" s="7">
        <v>352.0</v>
      </c>
      <c r="B9018" s="9" t="s">
        <v>15103</v>
      </c>
      <c r="C9018" s="9" t="s">
        <v>535</v>
      </c>
      <c r="D9018" s="9" t="s">
        <v>101</v>
      </c>
      <c r="E9018" s="6" t="s">
        <v>8680</v>
      </c>
      <c r="F9018" s="9" t="s">
        <v>15811</v>
      </c>
    </row>
    <row r="9019" ht="33.75" customHeight="1">
      <c r="A9019" s="7">
        <v>352.0</v>
      </c>
      <c r="B9019" s="9" t="s">
        <v>15103</v>
      </c>
      <c r="C9019" s="9" t="s">
        <v>535</v>
      </c>
      <c r="D9019" s="9" t="s">
        <v>105</v>
      </c>
      <c r="E9019" s="6" t="s">
        <v>8681</v>
      </c>
      <c r="F9019" s="9" t="s">
        <v>15811</v>
      </c>
    </row>
    <row r="9020" ht="33.75" customHeight="1">
      <c r="A9020" s="7">
        <v>352.0</v>
      </c>
      <c r="B9020" s="9" t="s">
        <v>15103</v>
      </c>
      <c r="C9020" s="9" t="s">
        <v>535</v>
      </c>
      <c r="D9020" s="9" t="s">
        <v>107</v>
      </c>
      <c r="E9020" s="6" t="s">
        <v>8682</v>
      </c>
      <c r="F9020" s="9" t="s">
        <v>15811</v>
      </c>
    </row>
    <row r="9021" ht="33.75" customHeight="1">
      <c r="A9021" s="7">
        <v>352.0</v>
      </c>
      <c r="B9021" s="9" t="s">
        <v>15103</v>
      </c>
      <c r="C9021" s="9" t="s">
        <v>535</v>
      </c>
      <c r="D9021" s="9" t="s">
        <v>109</v>
      </c>
      <c r="E9021" s="6" t="s">
        <v>8683</v>
      </c>
      <c r="F9021" s="9" t="s">
        <v>15811</v>
      </c>
    </row>
    <row r="9022" ht="33.75" customHeight="1">
      <c r="A9022" s="7">
        <v>352.0</v>
      </c>
      <c r="B9022" s="9" t="s">
        <v>15103</v>
      </c>
      <c r="C9022" s="9" t="s">
        <v>535</v>
      </c>
      <c r="D9022" s="9" t="s">
        <v>647</v>
      </c>
      <c r="E9022" s="6" t="s">
        <v>8685</v>
      </c>
      <c r="F9022" s="9" t="s">
        <v>15811</v>
      </c>
    </row>
    <row r="9023" ht="33.75" customHeight="1">
      <c r="A9023" s="7">
        <v>352.0</v>
      </c>
      <c r="B9023" s="9" t="s">
        <v>15103</v>
      </c>
      <c r="C9023" s="9" t="s">
        <v>535</v>
      </c>
      <c r="D9023" s="9" t="s">
        <v>652</v>
      </c>
      <c r="E9023" s="6" t="s">
        <v>8687</v>
      </c>
      <c r="F9023" s="9" t="s">
        <v>15811</v>
      </c>
    </row>
    <row r="9024" ht="33.75" customHeight="1">
      <c r="A9024" s="7">
        <v>353.0</v>
      </c>
      <c r="B9024" s="9" t="s">
        <v>15115</v>
      </c>
      <c r="C9024" s="9" t="s">
        <v>537</v>
      </c>
      <c r="D9024" s="9" t="s">
        <v>67</v>
      </c>
      <c r="E9024" s="6" t="s">
        <v>8689</v>
      </c>
      <c r="F9024" s="9" t="s">
        <v>15828</v>
      </c>
      <c r="G9024" t="inlineStr" s="6">
        <is>
          <t xml:space="preserve">SHUPPET is attracted by feelings of jealousy and vindictiveness. If someone develops strong feelings of vengeance, this POKéMON will appear in a swarm and line up beneath the eaves of that person’s home. SHUPPET grows by feeding on dark emotions, such as vengefulness and envy, in the hearts of people. It roams through cities in search of grudges that taint people. This POKéMON roams about deep in the night seeking such negative emotions as grudges and envy. It retreats to its nest when the sun begins to rise. It loves to feed on feelings like envy and malice. Its upright horn catches the emotions of people. It loves vengeful emotions and hangs in rows under the eaves of houses where vengeful people live. It uses its horn to feed on envy and malice, or so it’s said. It’s very active at night. It feeds on the dark emotions of sadness and hatred, which make it grow steadily stronger. It uses its horn to feed on envy and malice-- or so it’s said. It eats up emotions like malice, jealousy, and resentment, so some people are grateful for its presence. There’s a proverb that says, “Shun the house where Shuppet gather in the growing dusk.”</t>
        </is>
      </c>
    </row>
    <row r="9025" ht="33.75" customHeight="1">
      <c r="A9025" s="7">
        <v>353.0</v>
      </c>
      <c r="B9025" s="9" t="s">
        <v>15115</v>
      </c>
      <c r="C9025" s="9" t="s">
        <v>537</v>
      </c>
      <c r="D9025" s="9" t="s">
        <v>71</v>
      </c>
      <c r="E9025" s="6" t="s">
        <v>8691</v>
      </c>
      <c r="F9025" s="9" t="s">
        <v>15828</v>
      </c>
    </row>
    <row r="9026" ht="33.75" customHeight="1">
      <c r="A9026" s="7">
        <v>353.0</v>
      </c>
      <c r="B9026" s="9" t="s">
        <v>15115</v>
      </c>
      <c r="C9026" s="9" t="s">
        <v>537</v>
      </c>
      <c r="D9026" s="9" t="s">
        <v>73</v>
      </c>
      <c r="E9026" s="6" t="s">
        <v>8693</v>
      </c>
      <c r="F9026" s="9" t="s">
        <v>15828</v>
      </c>
    </row>
    <row r="9027" ht="33.75" customHeight="1">
      <c r="A9027" s="7">
        <v>353.0</v>
      </c>
      <c r="B9027" s="9" t="s">
        <v>15115</v>
      </c>
      <c r="C9027" s="9" t="s">
        <v>537</v>
      </c>
      <c r="D9027" s="9" t="s">
        <v>75</v>
      </c>
      <c r="E9027" s="6" t="s">
        <v>8694</v>
      </c>
      <c r="F9027" s="9" t="s">
        <v>15828</v>
      </c>
    </row>
    <row r="9028" ht="33.75" customHeight="1">
      <c r="A9028" s="7">
        <v>353.0</v>
      </c>
      <c r="B9028" s="9" t="s">
        <v>15115</v>
      </c>
      <c r="C9028" s="9" t="s">
        <v>537</v>
      </c>
      <c r="D9028" s="9" t="s">
        <v>79</v>
      </c>
      <c r="E9028" s="6" t="s">
        <v>8694</v>
      </c>
      <c r="F9028" s="9" t="s">
        <v>15828</v>
      </c>
    </row>
    <row r="9029" ht="33.75" customHeight="1">
      <c r="A9029" s="7">
        <v>353.0</v>
      </c>
      <c r="B9029" s="9" t="s">
        <v>15115</v>
      </c>
      <c r="C9029" s="9" t="s">
        <v>537</v>
      </c>
      <c r="D9029" s="9" t="s">
        <v>81</v>
      </c>
      <c r="E9029" s="6" t="s">
        <v>8696</v>
      </c>
      <c r="F9029" s="9" t="s">
        <v>15828</v>
      </c>
    </row>
    <row r="9030" ht="33.75" customHeight="1">
      <c r="A9030" s="7">
        <v>353.0</v>
      </c>
      <c r="B9030" s="9" t="s">
        <v>15115</v>
      </c>
      <c r="C9030" s="9" t="s">
        <v>537</v>
      </c>
      <c r="D9030" s="9" t="s">
        <v>84</v>
      </c>
      <c r="E9030" s="6" t="s">
        <v>8696</v>
      </c>
      <c r="F9030" s="9" t="s">
        <v>15828</v>
      </c>
    </row>
    <row r="9031" ht="33.75" customHeight="1">
      <c r="A9031" s="7">
        <v>353.0</v>
      </c>
      <c r="B9031" s="9" t="s">
        <v>15115</v>
      </c>
      <c r="C9031" s="9" t="s">
        <v>537</v>
      </c>
      <c r="D9031" s="9" t="s">
        <v>87</v>
      </c>
      <c r="E9031" s="6" t="s">
        <v>8696</v>
      </c>
      <c r="F9031" s="9" t="s">
        <v>15828</v>
      </c>
    </row>
    <row r="9032" ht="33.75" customHeight="1">
      <c r="A9032" s="7">
        <v>353.0</v>
      </c>
      <c r="B9032" s="9" t="s">
        <v>15115</v>
      </c>
      <c r="C9032" s="9" t="s">
        <v>537</v>
      </c>
      <c r="D9032" s="9" t="s">
        <v>89</v>
      </c>
      <c r="E9032" s="6" t="s">
        <v>8698</v>
      </c>
      <c r="F9032" s="9" t="s">
        <v>15828</v>
      </c>
    </row>
    <row r="9033" ht="33.75" customHeight="1">
      <c r="A9033" s="7">
        <v>353.0</v>
      </c>
      <c r="B9033" s="9" t="s">
        <v>15115</v>
      </c>
      <c r="C9033" s="9" t="s">
        <v>537</v>
      </c>
      <c r="D9033" s="9" t="s">
        <v>91</v>
      </c>
      <c r="E9033" s="6" t="s">
        <v>8698</v>
      </c>
      <c r="F9033" s="9" t="s">
        <v>15828</v>
      </c>
    </row>
    <row r="9034" ht="33.75" customHeight="1">
      <c r="A9034" s="7">
        <v>353.0</v>
      </c>
      <c r="B9034" s="9" t="s">
        <v>15115</v>
      </c>
      <c r="C9034" s="9" t="s">
        <v>537</v>
      </c>
      <c r="D9034" s="9" t="s">
        <v>93</v>
      </c>
      <c r="E9034" s="6" t="s">
        <v>8696</v>
      </c>
      <c r="F9034" s="9" t="s">
        <v>15828</v>
      </c>
    </row>
    <row r="9035" ht="33.75" customHeight="1">
      <c r="A9035" s="7">
        <v>353.0</v>
      </c>
      <c r="B9035" s="9" t="s">
        <v>15115</v>
      </c>
      <c r="C9035" s="9" t="s">
        <v>537</v>
      </c>
      <c r="D9035" s="9" t="s">
        <v>95</v>
      </c>
      <c r="E9035" s="6" t="s">
        <v>8696</v>
      </c>
      <c r="F9035" s="9" t="s">
        <v>15828</v>
      </c>
    </row>
    <row r="9036" ht="33.75" customHeight="1">
      <c r="A9036" s="7">
        <v>353.0</v>
      </c>
      <c r="B9036" s="9" t="s">
        <v>15115</v>
      </c>
      <c r="C9036" s="9" t="s">
        <v>537</v>
      </c>
      <c r="D9036" s="9" t="s">
        <v>98</v>
      </c>
      <c r="E9036" s="6" t="s">
        <v>8699</v>
      </c>
      <c r="F9036" s="9" t="s">
        <v>15828</v>
      </c>
    </row>
    <row r="9037" ht="33.75" customHeight="1">
      <c r="A9037" s="7">
        <v>353.0</v>
      </c>
      <c r="B9037" s="9" t="s">
        <v>15115</v>
      </c>
      <c r="C9037" s="9" t="s">
        <v>537</v>
      </c>
      <c r="D9037" s="9" t="s">
        <v>99</v>
      </c>
      <c r="E9037" s="6" t="s">
        <v>8699</v>
      </c>
      <c r="F9037" s="9" t="s">
        <v>15828</v>
      </c>
    </row>
    <row r="9038" ht="33.75" customHeight="1">
      <c r="A9038" s="7">
        <v>353.0</v>
      </c>
      <c r="B9038" s="9" t="s">
        <v>15115</v>
      </c>
      <c r="C9038" s="9" t="s">
        <v>537</v>
      </c>
      <c r="D9038" s="9" t="s">
        <v>101</v>
      </c>
      <c r="E9038" s="6" t="s">
        <v>8700</v>
      </c>
      <c r="F9038" s="9" t="s">
        <v>15828</v>
      </c>
    </row>
    <row r="9039" ht="33.75" customHeight="1">
      <c r="A9039" s="7">
        <v>353.0</v>
      </c>
      <c r="B9039" s="9" t="s">
        <v>15115</v>
      </c>
      <c r="C9039" s="9" t="s">
        <v>537</v>
      </c>
      <c r="D9039" s="9" t="s">
        <v>105</v>
      </c>
      <c r="E9039" s="6" t="s">
        <v>8696</v>
      </c>
      <c r="F9039" s="9" t="s">
        <v>15828</v>
      </c>
    </row>
    <row r="9040" ht="33.75" customHeight="1">
      <c r="A9040" s="7">
        <v>353.0</v>
      </c>
      <c r="B9040" s="9" t="s">
        <v>15115</v>
      </c>
      <c r="C9040" s="9" t="s">
        <v>537</v>
      </c>
      <c r="D9040" s="9" t="s">
        <v>107</v>
      </c>
      <c r="E9040" s="6" t="s">
        <v>8702</v>
      </c>
      <c r="F9040" s="9" t="s">
        <v>15828</v>
      </c>
    </row>
    <row r="9041" ht="33.75" customHeight="1">
      <c r="A9041" s="7">
        <v>353.0</v>
      </c>
      <c r="B9041" s="9" t="s">
        <v>15115</v>
      </c>
      <c r="C9041" s="9" t="s">
        <v>537</v>
      </c>
      <c r="D9041" s="9" t="s">
        <v>109</v>
      </c>
      <c r="E9041" s="6" t="s">
        <v>8704</v>
      </c>
      <c r="F9041" s="9" t="s">
        <v>15828</v>
      </c>
    </row>
    <row r="9042" ht="33.75" customHeight="1">
      <c r="A9042" s="7">
        <v>353.0</v>
      </c>
      <c r="B9042" s="9" t="s">
        <v>15115</v>
      </c>
      <c r="C9042" s="9" t="s">
        <v>537</v>
      </c>
      <c r="D9042" s="9" t="s">
        <v>647</v>
      </c>
      <c r="E9042" s="6" t="s">
        <v>8705</v>
      </c>
      <c r="F9042" s="9" t="s">
        <v>15828</v>
      </c>
    </row>
    <row r="9043" ht="33.75" customHeight="1">
      <c r="A9043" s="7">
        <v>353.0</v>
      </c>
      <c r="B9043" s="9" t="s">
        <v>15115</v>
      </c>
      <c r="C9043" s="9" t="s">
        <v>537</v>
      </c>
      <c r="D9043" s="9" t="s">
        <v>652</v>
      </c>
      <c r="E9043" s="6" t="s">
        <v>8707</v>
      </c>
      <c r="F9043" s="9" t="s">
        <v>15828</v>
      </c>
    </row>
    <row r="9044" ht="33.75" customHeight="1">
      <c r="A9044" s="7">
        <v>354.0</v>
      </c>
      <c r="B9044" s="9" t="s">
        <v>15130</v>
      </c>
      <c r="C9044" s="9" t="s">
        <v>539</v>
      </c>
      <c r="D9044" s="9" t="s">
        <v>67</v>
      </c>
      <c r="E9044" s="6" t="s">
        <v>8711</v>
      </c>
      <c r="F9044" s="9" t="s">
        <v>15841</v>
      </c>
      <c r="G9044" t="inlineStr" s="6">
        <is>
          <t xml:space="preserve">BANETTE generates energy for laying strong curses by sticking pins into Banette's own body. This POKéMON was originally a pitiful plush doll that was thrown away. A cursed energy permeated the stuffing of a discarded and forgotten plush doll, giving it new life as BANETTE. The POKéMON’s energy would escape if it were to ever open its mouth. An abandoned plush doll became this POKéMON. They are said to live in garbage dumps and wander about in search of the children that threw them away. Strong feelings of hatred turned a puppet into a POKéMON. If it opens its mouth, its cursed energy escapes. A doll that became a Pokémon over its grudge from being junked. It seeks the child that disowned it. This Pokémon developed from an abandoned doll that amassed a grudge. It is seen in dark alleys. A doll that became a Pokémon over its grudge of being thrown away. It seeks the child who disowned it. It’s a stuffed toy that was thrown away and became possessed, ever searching for the one who threw it away so it can exact its revenge. Resentment at being cast off made it spring into being. Some say that treating it well will satisfy it, and it will once more become a stuffed toy.</t>
        </is>
      </c>
    </row>
    <row r="9045" ht="33.75" customHeight="1">
      <c r="A9045" s="7">
        <v>354.0</v>
      </c>
      <c r="B9045" s="9" t="s">
        <v>15130</v>
      </c>
      <c r="C9045" s="9" t="s">
        <v>539</v>
      </c>
      <c r="D9045" s="9" t="s">
        <v>71</v>
      </c>
      <c r="E9045" s="6" t="s">
        <v>8712</v>
      </c>
      <c r="F9045" s="9" t="s">
        <v>15841</v>
      </c>
    </row>
    <row r="9046" ht="33.75" customHeight="1">
      <c r="A9046" s="7">
        <v>354.0</v>
      </c>
      <c r="B9046" s="9" t="s">
        <v>15130</v>
      </c>
      <c r="C9046" s="9" t="s">
        <v>539</v>
      </c>
      <c r="D9046" s="9" t="s">
        <v>73</v>
      </c>
      <c r="E9046" s="6" t="s">
        <v>8713</v>
      </c>
      <c r="F9046" s="9" t="s">
        <v>15841</v>
      </c>
    </row>
    <row r="9047" ht="33.75" customHeight="1">
      <c r="A9047" s="7">
        <v>354.0</v>
      </c>
      <c r="B9047" s="9" t="s">
        <v>15130</v>
      </c>
      <c r="C9047" s="9" t="s">
        <v>539</v>
      </c>
      <c r="D9047" s="9" t="s">
        <v>75</v>
      </c>
      <c r="E9047" s="6" t="s">
        <v>8715</v>
      </c>
      <c r="F9047" s="9" t="s">
        <v>15841</v>
      </c>
    </row>
    <row r="9048" ht="33.75" customHeight="1">
      <c r="A9048" s="7">
        <v>354.0</v>
      </c>
      <c r="B9048" s="9" t="s">
        <v>15130</v>
      </c>
      <c r="C9048" s="9" t="s">
        <v>539</v>
      </c>
      <c r="D9048" s="9" t="s">
        <v>79</v>
      </c>
      <c r="E9048" s="6" t="s">
        <v>8715</v>
      </c>
      <c r="F9048" s="9" t="s">
        <v>15841</v>
      </c>
    </row>
    <row r="9049" ht="33.75" customHeight="1">
      <c r="A9049" s="7">
        <v>354.0</v>
      </c>
      <c r="B9049" s="9" t="s">
        <v>15130</v>
      </c>
      <c r="C9049" s="9" t="s">
        <v>539</v>
      </c>
      <c r="D9049" s="9" t="s">
        <v>81</v>
      </c>
      <c r="E9049" s="6" t="s">
        <v>8716</v>
      </c>
      <c r="F9049" s="9" t="s">
        <v>15841</v>
      </c>
    </row>
    <row r="9050" ht="33.75" customHeight="1">
      <c r="A9050" s="7">
        <v>354.0</v>
      </c>
      <c r="B9050" s="9" t="s">
        <v>15130</v>
      </c>
      <c r="C9050" s="9" t="s">
        <v>539</v>
      </c>
      <c r="D9050" s="9" t="s">
        <v>84</v>
      </c>
      <c r="E9050" s="6" t="s">
        <v>8716</v>
      </c>
      <c r="F9050" s="9" t="s">
        <v>15841</v>
      </c>
    </row>
    <row r="9051" ht="33.75" customHeight="1">
      <c r="A9051" s="7">
        <v>354.0</v>
      </c>
      <c r="B9051" s="9" t="s">
        <v>15130</v>
      </c>
      <c r="C9051" s="9" t="s">
        <v>539</v>
      </c>
      <c r="D9051" s="9" t="s">
        <v>87</v>
      </c>
      <c r="E9051" s="6" t="s">
        <v>8716</v>
      </c>
      <c r="F9051" s="9" t="s">
        <v>15841</v>
      </c>
    </row>
    <row r="9052" ht="33.75" customHeight="1">
      <c r="A9052" s="7">
        <v>354.0</v>
      </c>
      <c r="B9052" s="9" t="s">
        <v>15130</v>
      </c>
      <c r="C9052" s="9" t="s">
        <v>539</v>
      </c>
      <c r="D9052" s="9" t="s">
        <v>89</v>
      </c>
      <c r="E9052" s="6" t="s">
        <v>8718</v>
      </c>
      <c r="F9052" s="9" t="s">
        <v>15841</v>
      </c>
    </row>
    <row r="9053" ht="33.75" customHeight="1">
      <c r="A9053" s="7">
        <v>354.0</v>
      </c>
      <c r="B9053" s="9" t="s">
        <v>15130</v>
      </c>
      <c r="C9053" s="9" t="s">
        <v>539</v>
      </c>
      <c r="D9053" s="9" t="s">
        <v>91</v>
      </c>
      <c r="E9053" s="6" t="s">
        <v>8718</v>
      </c>
      <c r="F9053" s="9" t="s">
        <v>15841</v>
      </c>
    </row>
    <row r="9054" ht="33.75" customHeight="1">
      <c r="A9054" s="7">
        <v>354.0</v>
      </c>
      <c r="B9054" s="9" t="s">
        <v>15130</v>
      </c>
      <c r="C9054" s="9" t="s">
        <v>539</v>
      </c>
      <c r="D9054" s="9" t="s">
        <v>93</v>
      </c>
      <c r="E9054" s="6" t="s">
        <v>8716</v>
      </c>
      <c r="F9054" s="9" t="s">
        <v>15841</v>
      </c>
    </row>
    <row r="9055" ht="33.75" customHeight="1">
      <c r="A9055" s="7">
        <v>354.0</v>
      </c>
      <c r="B9055" s="9" t="s">
        <v>15130</v>
      </c>
      <c r="C9055" s="9" t="s">
        <v>539</v>
      </c>
      <c r="D9055" s="9" t="s">
        <v>95</v>
      </c>
      <c r="E9055" s="6" t="s">
        <v>8716</v>
      </c>
      <c r="F9055" s="9" t="s">
        <v>15841</v>
      </c>
    </row>
    <row r="9056" ht="33.75" customHeight="1">
      <c r="A9056" s="7">
        <v>354.0</v>
      </c>
      <c r="B9056" s="9" t="s">
        <v>15130</v>
      </c>
      <c r="C9056" s="9" t="s">
        <v>539</v>
      </c>
      <c r="D9056" s="9" t="s">
        <v>98</v>
      </c>
      <c r="E9056" s="6" t="s">
        <v>8720</v>
      </c>
      <c r="F9056" s="9" t="s">
        <v>15841</v>
      </c>
    </row>
    <row r="9057" ht="33.75" customHeight="1">
      <c r="A9057" s="7">
        <v>354.0</v>
      </c>
      <c r="B9057" s="9" t="s">
        <v>15130</v>
      </c>
      <c r="C9057" s="9" t="s">
        <v>539</v>
      </c>
      <c r="D9057" s="9" t="s">
        <v>99</v>
      </c>
      <c r="E9057" s="6" t="s">
        <v>8720</v>
      </c>
      <c r="F9057" s="9" t="s">
        <v>15841</v>
      </c>
    </row>
    <row r="9058" ht="33.75" customHeight="1">
      <c r="A9058" s="7">
        <v>354.0</v>
      </c>
      <c r="B9058" s="9" t="s">
        <v>15130</v>
      </c>
      <c r="C9058" s="9" t="s">
        <v>539</v>
      </c>
      <c r="D9058" s="9" t="s">
        <v>101</v>
      </c>
      <c r="E9058" s="6" t="s">
        <v>8716</v>
      </c>
      <c r="F9058" s="9" t="s">
        <v>15841</v>
      </c>
    </row>
    <row r="9059" ht="33.75" customHeight="1">
      <c r="A9059" s="7">
        <v>354.0</v>
      </c>
      <c r="B9059" s="9" t="s">
        <v>15130</v>
      </c>
      <c r="C9059" s="9" t="s">
        <v>539</v>
      </c>
      <c r="D9059" s="9" t="s">
        <v>105</v>
      </c>
      <c r="E9059" s="6" t="s">
        <v>8722</v>
      </c>
      <c r="F9059" s="9" t="s">
        <v>15841</v>
      </c>
    </row>
    <row r="9060" ht="33.75" customHeight="1">
      <c r="A9060" s="7">
        <v>354.0</v>
      </c>
      <c r="B9060" s="9" t="s">
        <v>15130</v>
      </c>
      <c r="C9060" s="9" t="s">
        <v>539</v>
      </c>
      <c r="D9060" s="9" t="s">
        <v>107</v>
      </c>
      <c r="E9060" s="6" t="s">
        <v>8724</v>
      </c>
      <c r="F9060" s="9" t="s">
        <v>15841</v>
      </c>
    </row>
    <row r="9061" ht="33.75" customHeight="1">
      <c r="A9061" s="7">
        <v>354.0</v>
      </c>
      <c r="B9061" s="9" t="s">
        <v>15130</v>
      </c>
      <c r="C9061" s="9" t="s">
        <v>539</v>
      </c>
      <c r="D9061" s="9" t="s">
        <v>109</v>
      </c>
      <c r="E9061" s="6" t="s">
        <v>8725</v>
      </c>
      <c r="F9061" s="9" t="s">
        <v>15841</v>
      </c>
    </row>
    <row r="9062" ht="33.75" customHeight="1">
      <c r="A9062" s="7">
        <v>354.0</v>
      </c>
      <c r="B9062" s="9" t="s">
        <v>15130</v>
      </c>
      <c r="C9062" s="9" t="s">
        <v>539</v>
      </c>
      <c r="D9062" s="9" t="s">
        <v>647</v>
      </c>
      <c r="E9062" s="6" t="s">
        <v>8726</v>
      </c>
      <c r="F9062" s="9" t="s">
        <v>15841</v>
      </c>
    </row>
    <row r="9063" ht="33.75" customHeight="1">
      <c r="A9063" s="7">
        <v>354.0</v>
      </c>
      <c r="B9063" s="9" t="s">
        <v>15130</v>
      </c>
      <c r="C9063" s="9" t="s">
        <v>539</v>
      </c>
      <c r="D9063" s="9" t="s">
        <v>652</v>
      </c>
      <c r="E9063" s="6" t="s">
        <v>8728</v>
      </c>
      <c r="F9063" s="9" t="s">
        <v>15841</v>
      </c>
    </row>
    <row r="9064" ht="33.75" customHeight="1">
      <c r="A9064" s="7">
        <v>355.0</v>
      </c>
      <c r="B9064" s="9" t="s">
        <v>15145</v>
      </c>
      <c r="C9064" s="9" t="s">
        <v>542</v>
      </c>
      <c r="D9064" s="9" t="s">
        <v>67</v>
      </c>
      <c r="E9064" s="6" t="s">
        <v>8730</v>
      </c>
      <c r="F9064" s="9" t="s">
        <v>15844</v>
      </c>
      <c r="G9064" t="inlineStr" s="6">
        <is>
          <t xml:space="preserve">DUSKULL can pass through any wall no matter how thick it may be. Once this POKéMON chooses a target, it will doggedly pursue the intended victim until the break of dawn. DUSKULL wanders lost among the deep darkness of midnight. There is an oft- told admonishment given to misbehaving children that this POKéMON will spirit away bad children who earn scoldings from their mothers. A glare from its single scarlet eye makes even burly grown-ups freeze in utter fear. It is a nocturnal POKéMON that roams about under the cloak of darkness. Making itself invisible, it silently sneaks up to prey. It has the ability to slip through thick walls. It doggedly pursues its prey wherever it goes. However, the chase is abandoned at sunrise. It loves the crying of children. It startles bad kids by passing through walls and making them cry. If it finds bad children who won’t listen to their parents, it will spirit them away--or so it’s said. There is an oft-told admonishment given to misbehaving children that this Pokémon will spirit away bad children who earn scoldings from their mothers. If it finds bad children who won’t listen to their parents, it will spirit them away—or so it’s said. I've heard that the children of Hisui all begin to behave once they've been told the story of how this Pokémon roams about before the witching hour to spirit away misbehaving children.</t>
        </is>
      </c>
    </row>
    <row r="9065" ht="33.75" customHeight="1">
      <c r="A9065" s="7">
        <v>355.0</v>
      </c>
      <c r="B9065" s="9" t="s">
        <v>15145</v>
      </c>
      <c r="C9065" s="9" t="s">
        <v>542</v>
      </c>
      <c r="D9065" s="9" t="s">
        <v>71</v>
      </c>
      <c r="E9065" s="6" t="s">
        <v>8731</v>
      </c>
      <c r="F9065" s="9" t="s">
        <v>15844</v>
      </c>
    </row>
    <row r="9066" ht="33.75" customHeight="1">
      <c r="A9066" s="7">
        <v>355.0</v>
      </c>
      <c r="B9066" s="9" t="s">
        <v>15145</v>
      </c>
      <c r="C9066" s="9" t="s">
        <v>542</v>
      </c>
      <c r="D9066" s="9" t="s">
        <v>73</v>
      </c>
      <c r="E9066" s="6" t="s">
        <v>8733</v>
      </c>
      <c r="F9066" s="9" t="s">
        <v>15844</v>
      </c>
    </row>
    <row r="9067" ht="33.75" customHeight="1">
      <c r="A9067" s="7">
        <v>355.0</v>
      </c>
      <c r="B9067" s="9" t="s">
        <v>15145</v>
      </c>
      <c r="C9067" s="9" t="s">
        <v>542</v>
      </c>
      <c r="D9067" s="9" t="s">
        <v>75</v>
      </c>
      <c r="E9067" s="6" t="s">
        <v>8735</v>
      </c>
      <c r="F9067" s="9" t="s">
        <v>15844</v>
      </c>
    </row>
    <row r="9068" ht="33.75" customHeight="1">
      <c r="A9068" s="7">
        <v>355.0</v>
      </c>
      <c r="B9068" s="9" t="s">
        <v>15145</v>
      </c>
      <c r="C9068" s="9" t="s">
        <v>542</v>
      </c>
      <c r="D9068" s="9" t="s">
        <v>79</v>
      </c>
      <c r="E9068" s="6" t="s">
        <v>8735</v>
      </c>
      <c r="F9068" s="9" t="s">
        <v>15844</v>
      </c>
    </row>
    <row r="9069" ht="33.75" customHeight="1">
      <c r="A9069" s="7">
        <v>355.0</v>
      </c>
      <c r="B9069" s="9" t="s">
        <v>15145</v>
      </c>
      <c r="C9069" s="9" t="s">
        <v>542</v>
      </c>
      <c r="D9069" s="9" t="s">
        <v>81</v>
      </c>
      <c r="E9069" s="6" t="s">
        <v>8736</v>
      </c>
      <c r="F9069" s="9" t="s">
        <v>15844</v>
      </c>
    </row>
    <row r="9070" ht="33.75" customHeight="1">
      <c r="A9070" s="7">
        <v>355.0</v>
      </c>
      <c r="B9070" s="9" t="s">
        <v>15145</v>
      </c>
      <c r="C9070" s="9" t="s">
        <v>542</v>
      </c>
      <c r="D9070" s="9" t="s">
        <v>84</v>
      </c>
      <c r="E9070" s="6" t="s">
        <v>8736</v>
      </c>
      <c r="F9070" s="9" t="s">
        <v>15844</v>
      </c>
    </row>
    <row r="9071" ht="33.75" customHeight="1">
      <c r="A9071" s="7">
        <v>355.0</v>
      </c>
      <c r="B9071" s="9" t="s">
        <v>15145</v>
      </c>
      <c r="C9071" s="9" t="s">
        <v>542</v>
      </c>
      <c r="D9071" s="9" t="s">
        <v>87</v>
      </c>
      <c r="E9071" s="6" t="s">
        <v>8737</v>
      </c>
      <c r="F9071" s="9" t="s">
        <v>15844</v>
      </c>
    </row>
    <row r="9072" ht="33.75" customHeight="1">
      <c r="A9072" s="7">
        <v>355.0</v>
      </c>
      <c r="B9072" s="9" t="s">
        <v>15145</v>
      </c>
      <c r="C9072" s="9" t="s">
        <v>542</v>
      </c>
      <c r="D9072" s="9" t="s">
        <v>89</v>
      </c>
      <c r="E9072" s="6" t="s">
        <v>8738</v>
      </c>
      <c r="F9072" s="9" t="s">
        <v>15844</v>
      </c>
    </row>
    <row r="9073" ht="33.75" customHeight="1">
      <c r="A9073" s="7">
        <v>355.0</v>
      </c>
      <c r="B9073" s="9" t="s">
        <v>15145</v>
      </c>
      <c r="C9073" s="9" t="s">
        <v>542</v>
      </c>
      <c r="D9073" s="9" t="s">
        <v>91</v>
      </c>
      <c r="E9073" s="6" t="s">
        <v>8738</v>
      </c>
      <c r="F9073" s="9" t="s">
        <v>15844</v>
      </c>
    </row>
    <row r="9074" ht="33.75" customHeight="1">
      <c r="A9074" s="7">
        <v>355.0</v>
      </c>
      <c r="B9074" s="9" t="s">
        <v>15145</v>
      </c>
      <c r="C9074" s="9" t="s">
        <v>542</v>
      </c>
      <c r="D9074" s="9" t="s">
        <v>93</v>
      </c>
      <c r="E9074" s="6" t="s">
        <v>8737</v>
      </c>
      <c r="F9074" s="9" t="s">
        <v>15844</v>
      </c>
    </row>
    <row r="9075" ht="33.75" customHeight="1">
      <c r="A9075" s="7">
        <v>355.0</v>
      </c>
      <c r="B9075" s="9" t="s">
        <v>15145</v>
      </c>
      <c r="C9075" s="9" t="s">
        <v>542</v>
      </c>
      <c r="D9075" s="9" t="s">
        <v>95</v>
      </c>
      <c r="E9075" s="6" t="s">
        <v>8737</v>
      </c>
      <c r="F9075" s="9" t="s">
        <v>15844</v>
      </c>
    </row>
    <row r="9076" ht="33.75" customHeight="1">
      <c r="A9076" s="7">
        <v>355.0</v>
      </c>
      <c r="B9076" s="9" t="s">
        <v>15145</v>
      </c>
      <c r="C9076" s="9" t="s">
        <v>542</v>
      </c>
      <c r="D9076" s="9" t="s">
        <v>98</v>
      </c>
      <c r="E9076" s="6" t="s">
        <v>8737</v>
      </c>
      <c r="F9076" s="9" t="s">
        <v>15844</v>
      </c>
    </row>
    <row r="9077" ht="33.75" customHeight="1">
      <c r="A9077" s="7">
        <v>355.0</v>
      </c>
      <c r="B9077" s="9" t="s">
        <v>15145</v>
      </c>
      <c r="C9077" s="9" t="s">
        <v>542</v>
      </c>
      <c r="D9077" s="9" t="s">
        <v>99</v>
      </c>
      <c r="E9077" s="6" t="s">
        <v>8737</v>
      </c>
      <c r="F9077" s="9" t="s">
        <v>15844</v>
      </c>
    </row>
    <row r="9078" ht="33.75" customHeight="1">
      <c r="A9078" s="7">
        <v>355.0</v>
      </c>
      <c r="B9078" s="9" t="s">
        <v>15145</v>
      </c>
      <c r="C9078" s="9" t="s">
        <v>542</v>
      </c>
      <c r="D9078" s="9" t="s">
        <v>101</v>
      </c>
      <c r="E9078" s="6" t="s">
        <v>8736</v>
      </c>
      <c r="F9078" s="9" t="s">
        <v>15844</v>
      </c>
    </row>
    <row r="9079" ht="33.75" customHeight="1">
      <c r="A9079" s="7">
        <v>355.0</v>
      </c>
      <c r="B9079" s="9" t="s">
        <v>15145</v>
      </c>
      <c r="C9079" s="9" t="s">
        <v>542</v>
      </c>
      <c r="D9079" s="9" t="s">
        <v>105</v>
      </c>
      <c r="E9079" s="6" t="s">
        <v>8738</v>
      </c>
      <c r="F9079" s="9" t="s">
        <v>15844</v>
      </c>
    </row>
    <row r="9080" ht="33.75" customHeight="1">
      <c r="A9080" s="7">
        <v>355.0</v>
      </c>
      <c r="B9080" s="9" t="s">
        <v>15145</v>
      </c>
      <c r="C9080" s="9" t="s">
        <v>542</v>
      </c>
      <c r="D9080" s="9" t="s">
        <v>107</v>
      </c>
      <c r="E9080" s="6" t="s">
        <v>8740</v>
      </c>
      <c r="F9080" s="9" t="s">
        <v>15844</v>
      </c>
    </row>
    <row r="9081" ht="33.75" customHeight="1">
      <c r="A9081" s="7">
        <v>355.0</v>
      </c>
      <c r="B9081" s="9" t="s">
        <v>15145</v>
      </c>
      <c r="C9081" s="9" t="s">
        <v>542</v>
      </c>
      <c r="D9081" s="9" t="s">
        <v>109</v>
      </c>
      <c r="E9081" s="6" t="s">
        <v>8742</v>
      </c>
      <c r="F9081" s="9" t="s">
        <v>15844</v>
      </c>
    </row>
    <row r="9082" ht="33.75" customHeight="1">
      <c r="A9082" s="7">
        <v>355.0</v>
      </c>
      <c r="B9082" s="9" t="s">
        <v>15145</v>
      </c>
      <c r="C9082" s="9" t="s">
        <v>542</v>
      </c>
      <c r="D9082" s="9" t="s">
        <v>114</v>
      </c>
      <c r="E9082" s="6" t="s">
        <v>8743</v>
      </c>
      <c r="F9082" s="9" t="s">
        <v>15844</v>
      </c>
    </row>
    <row r="9083" ht="33.75" customHeight="1">
      <c r="A9083" s="7">
        <v>355.0</v>
      </c>
      <c r="B9083" s="9" t="s">
        <v>15145</v>
      </c>
      <c r="C9083" s="9" t="s">
        <v>542</v>
      </c>
      <c r="D9083" s="9" t="s">
        <v>117</v>
      </c>
      <c r="E9083" s="6" t="s">
        <v>8735</v>
      </c>
      <c r="F9083" s="9" t="s">
        <v>15844</v>
      </c>
    </row>
    <row r="9084" ht="33.75" customHeight="1">
      <c r="A9084" s="7">
        <v>355.0</v>
      </c>
      <c r="B9084" s="9" t="s">
        <v>15145</v>
      </c>
      <c r="C9084" s="9" t="s">
        <v>542</v>
      </c>
      <c r="D9084" s="9" t="s">
        <v>1577</v>
      </c>
      <c r="E9084" s="6" t="s">
        <v>8744</v>
      </c>
      <c r="F9084" s="9" t="s">
        <v>15844</v>
      </c>
    </row>
    <row r="9085" ht="33.75" customHeight="1">
      <c r="A9085" s="7">
        <v>356.0</v>
      </c>
      <c r="B9085" s="9" t="s">
        <v>15157</v>
      </c>
      <c r="C9085" s="9" t="s">
        <v>545</v>
      </c>
      <c r="D9085" s="9" t="s">
        <v>67</v>
      </c>
      <c r="E9085" s="6" t="s">
        <v>8745</v>
      </c>
      <c r="F9085" s="9" t="s">
        <v>15859</v>
      </c>
      <c r="G9085" t="inlineStr" s="6">
        <is>
          <t xml:space="preserve">DUSCLOPS’s body is completely hollow - there is nothing at all inside. It is said that its body is like a black hole. This POKéMON will absorb anything into its body, but nothing will ever come back out. DUSCLOPS absorbs anything, however large the object may be. This POKéMON hypnotizes its foe by waving its hands in a macabre manner and by bringing its single eye to bear. The hypnotized foe is made to do DUSCLOPS’s bidding. It is thought that its body is hollow with only a spectral ball of fire burning inside. However, no one has been able to confirm this theory as fact. Its body is entirely hollow. When it opens its mouth, it sucks everything in as if it were a black hole. Its body is hollow. It is said that those who look into its body are sucked into the void. It seeks drifting will-o’-the-wisps and sucks them into its empty body. What happens inside is a mystery. Anyone who dares peer into its body to see its spectral ball of fire will have their spirit stolen away. Dusclops’s body is completely hollow—there is nothing at all inside. There are rumors that peeking inside its bandage-wrapped body will cause one to get pulled in through the gaps between the bandages, never to return. I've been too scared to verify.</t>
        </is>
      </c>
    </row>
    <row r="9086" ht="33.75" customHeight="1">
      <c r="A9086" s="7">
        <v>356.0</v>
      </c>
      <c r="B9086" s="9" t="s">
        <v>15157</v>
      </c>
      <c r="C9086" s="9" t="s">
        <v>545</v>
      </c>
      <c r="D9086" s="9" t="s">
        <v>71</v>
      </c>
      <c r="E9086" s="6" t="s">
        <v>8746</v>
      </c>
      <c r="F9086" s="9" t="s">
        <v>15859</v>
      </c>
    </row>
    <row r="9087" ht="33.75" customHeight="1">
      <c r="A9087" s="7">
        <v>356.0</v>
      </c>
      <c r="B9087" s="9" t="s">
        <v>15157</v>
      </c>
      <c r="C9087" s="9" t="s">
        <v>545</v>
      </c>
      <c r="D9087" s="9" t="s">
        <v>73</v>
      </c>
      <c r="E9087" s="6" t="s">
        <v>8747</v>
      </c>
      <c r="F9087" s="9" t="s">
        <v>15859</v>
      </c>
    </row>
    <row r="9088" ht="33.75" customHeight="1">
      <c r="A9088" s="7">
        <v>356.0</v>
      </c>
      <c r="B9088" s="9" t="s">
        <v>15157</v>
      </c>
      <c r="C9088" s="9" t="s">
        <v>545</v>
      </c>
      <c r="D9088" s="9" t="s">
        <v>75</v>
      </c>
      <c r="E9088" s="6" t="s">
        <v>8748</v>
      </c>
      <c r="F9088" s="9" t="s">
        <v>15859</v>
      </c>
    </row>
    <row r="9089" ht="33.75" customHeight="1">
      <c r="A9089" s="7">
        <v>356.0</v>
      </c>
      <c r="B9089" s="9" t="s">
        <v>15157</v>
      </c>
      <c r="C9089" s="9" t="s">
        <v>545</v>
      </c>
      <c r="D9089" s="9" t="s">
        <v>79</v>
      </c>
      <c r="E9089" s="6" t="s">
        <v>8748</v>
      </c>
      <c r="F9089" s="9" t="s">
        <v>15859</v>
      </c>
    </row>
    <row r="9090" ht="33.75" customHeight="1">
      <c r="A9090" s="7">
        <v>356.0</v>
      </c>
      <c r="B9090" s="9" t="s">
        <v>15157</v>
      </c>
      <c r="C9090" s="9" t="s">
        <v>545</v>
      </c>
      <c r="D9090" s="9" t="s">
        <v>81</v>
      </c>
      <c r="E9090" s="6" t="s">
        <v>8749</v>
      </c>
      <c r="F9090" s="9" t="s">
        <v>15859</v>
      </c>
    </row>
    <row r="9091" ht="33.75" customHeight="1">
      <c r="A9091" s="7">
        <v>356.0</v>
      </c>
      <c r="B9091" s="9" t="s">
        <v>15157</v>
      </c>
      <c r="C9091" s="9" t="s">
        <v>545</v>
      </c>
      <c r="D9091" s="9" t="s">
        <v>84</v>
      </c>
      <c r="E9091" s="6" t="s">
        <v>8749</v>
      </c>
      <c r="F9091" s="9" t="s">
        <v>15859</v>
      </c>
    </row>
    <row r="9092" ht="33.75" customHeight="1">
      <c r="A9092" s="7">
        <v>356.0</v>
      </c>
      <c r="B9092" s="9" t="s">
        <v>15157</v>
      </c>
      <c r="C9092" s="9" t="s">
        <v>545</v>
      </c>
      <c r="D9092" s="9" t="s">
        <v>87</v>
      </c>
      <c r="E9092" s="6" t="s">
        <v>8750</v>
      </c>
      <c r="F9092" s="9" t="s">
        <v>15859</v>
      </c>
    </row>
    <row r="9093" ht="33.75" customHeight="1">
      <c r="A9093" s="7">
        <v>356.0</v>
      </c>
      <c r="B9093" s="9" t="s">
        <v>15157</v>
      </c>
      <c r="C9093" s="9" t="s">
        <v>545</v>
      </c>
      <c r="D9093" s="9" t="s">
        <v>89</v>
      </c>
      <c r="E9093" s="6" t="s">
        <v>8752</v>
      </c>
      <c r="F9093" s="9" t="s">
        <v>15859</v>
      </c>
    </row>
    <row r="9094" ht="33.75" customHeight="1">
      <c r="A9094" s="7">
        <v>356.0</v>
      </c>
      <c r="B9094" s="9" t="s">
        <v>15157</v>
      </c>
      <c r="C9094" s="9" t="s">
        <v>545</v>
      </c>
      <c r="D9094" s="9" t="s">
        <v>91</v>
      </c>
      <c r="E9094" s="6" t="s">
        <v>8752</v>
      </c>
      <c r="F9094" s="9" t="s">
        <v>15859</v>
      </c>
    </row>
    <row r="9095" ht="33.75" customHeight="1">
      <c r="A9095" s="7">
        <v>356.0</v>
      </c>
      <c r="B9095" s="9" t="s">
        <v>15157</v>
      </c>
      <c r="C9095" s="9" t="s">
        <v>545</v>
      </c>
      <c r="D9095" s="9" t="s">
        <v>93</v>
      </c>
      <c r="E9095" s="6" t="s">
        <v>8750</v>
      </c>
      <c r="F9095" s="9" t="s">
        <v>15859</v>
      </c>
    </row>
    <row r="9096" ht="33.75" customHeight="1">
      <c r="A9096" s="7">
        <v>356.0</v>
      </c>
      <c r="B9096" s="9" t="s">
        <v>15157</v>
      </c>
      <c r="C9096" s="9" t="s">
        <v>545</v>
      </c>
      <c r="D9096" s="9" t="s">
        <v>95</v>
      </c>
      <c r="E9096" s="6" t="s">
        <v>8750</v>
      </c>
      <c r="F9096" s="9" t="s">
        <v>15859</v>
      </c>
    </row>
    <row r="9097" ht="33.75" customHeight="1">
      <c r="A9097" s="7">
        <v>356.0</v>
      </c>
      <c r="B9097" s="9" t="s">
        <v>15157</v>
      </c>
      <c r="C9097" s="9" t="s">
        <v>545</v>
      </c>
      <c r="D9097" s="9" t="s">
        <v>98</v>
      </c>
      <c r="E9097" s="6" t="s">
        <v>8750</v>
      </c>
      <c r="F9097" s="9" t="s">
        <v>15859</v>
      </c>
    </row>
    <row r="9098" ht="33.75" customHeight="1">
      <c r="A9098" s="7">
        <v>356.0</v>
      </c>
      <c r="B9098" s="9" t="s">
        <v>15157</v>
      </c>
      <c r="C9098" s="9" t="s">
        <v>545</v>
      </c>
      <c r="D9098" s="9" t="s">
        <v>99</v>
      </c>
      <c r="E9098" s="6" t="s">
        <v>8750</v>
      </c>
      <c r="F9098" s="9" t="s">
        <v>15859</v>
      </c>
    </row>
    <row r="9099" ht="33.75" customHeight="1">
      <c r="A9099" s="7">
        <v>356.0</v>
      </c>
      <c r="B9099" s="9" t="s">
        <v>15157</v>
      </c>
      <c r="C9099" s="9" t="s">
        <v>545</v>
      </c>
      <c r="D9099" s="9" t="s">
        <v>101</v>
      </c>
      <c r="E9099" s="6" t="s">
        <v>8752</v>
      </c>
      <c r="F9099" s="9" t="s">
        <v>15859</v>
      </c>
    </row>
    <row r="9100" ht="33.75" customHeight="1">
      <c r="A9100" s="7">
        <v>356.0</v>
      </c>
      <c r="B9100" s="9" t="s">
        <v>15157</v>
      </c>
      <c r="C9100" s="9" t="s">
        <v>545</v>
      </c>
      <c r="D9100" s="9" t="s">
        <v>105</v>
      </c>
      <c r="E9100" s="6" t="s">
        <v>8749</v>
      </c>
      <c r="F9100" s="9" t="s">
        <v>15859</v>
      </c>
    </row>
    <row r="9101" ht="33.75" customHeight="1">
      <c r="A9101" s="7">
        <v>356.0</v>
      </c>
      <c r="B9101" s="9" t="s">
        <v>15157</v>
      </c>
      <c r="C9101" s="9" t="s">
        <v>545</v>
      </c>
      <c r="D9101" s="9" t="s">
        <v>107</v>
      </c>
      <c r="E9101" s="6" t="s">
        <v>8753</v>
      </c>
      <c r="F9101" s="9" t="s">
        <v>15859</v>
      </c>
    </row>
    <row r="9102" ht="33.75" customHeight="1">
      <c r="A9102" s="7">
        <v>356.0</v>
      </c>
      <c r="B9102" s="9" t="s">
        <v>15157</v>
      </c>
      <c r="C9102" s="9" t="s">
        <v>545</v>
      </c>
      <c r="D9102" s="9" t="s">
        <v>109</v>
      </c>
      <c r="E9102" s="6" t="s">
        <v>8756</v>
      </c>
      <c r="F9102" s="9" t="s">
        <v>15859</v>
      </c>
    </row>
    <row r="9103" ht="33.75" customHeight="1">
      <c r="A9103" s="7">
        <v>356.0</v>
      </c>
      <c r="B9103" s="9" t="s">
        <v>15157</v>
      </c>
      <c r="C9103" s="9" t="s">
        <v>545</v>
      </c>
      <c r="D9103" s="9" t="s">
        <v>114</v>
      </c>
      <c r="E9103" s="6" t="s">
        <v>8748</v>
      </c>
      <c r="F9103" s="9" t="s">
        <v>15859</v>
      </c>
    </row>
    <row r="9104" ht="33.75" customHeight="1">
      <c r="A9104" s="7">
        <v>356.0</v>
      </c>
      <c r="B9104" s="9" t="s">
        <v>15157</v>
      </c>
      <c r="C9104" s="9" t="s">
        <v>545</v>
      </c>
      <c r="D9104" s="9" t="s">
        <v>117</v>
      </c>
      <c r="E9104" s="6" t="s">
        <v>8750</v>
      </c>
      <c r="F9104" s="9" t="s">
        <v>15859</v>
      </c>
    </row>
    <row r="9105" ht="33.75" customHeight="1">
      <c r="A9105" s="7">
        <v>356.0</v>
      </c>
      <c r="B9105" s="9" t="s">
        <v>15157</v>
      </c>
      <c r="C9105" s="9" t="s">
        <v>545</v>
      </c>
      <c r="D9105" s="9" t="s">
        <v>1577</v>
      </c>
      <c r="E9105" s="6" t="s">
        <v>8757</v>
      </c>
      <c r="F9105" s="9" t="s">
        <v>15859</v>
      </c>
    </row>
    <row r="9106" ht="33.75" customHeight="1">
      <c r="A9106" s="7">
        <v>357.0</v>
      </c>
      <c r="B9106" s="9" t="s">
        <v>15170</v>
      </c>
      <c r="C9106" s="9" t="s">
        <v>547</v>
      </c>
      <c r="D9106" s="9" t="s">
        <v>67</v>
      </c>
      <c r="E9106" s="6" t="s">
        <v>8759</v>
      </c>
      <c r="F9106" s="9" t="s">
        <v>15877</v>
      </c>
      <c r="G9106" t="inlineStr" s="6">
        <is>
          <t xml:space="preserve">The bunches of fruit around TROPIUS’s neck are very popular with children. This POKéMON loves fruit, and eats it continuously. Apparently, its love for fruit resulted in its own outgrowth of fruit. Children of the southern tropics eat as snacks the fruit that grows in bunches around the neck of TROPIUS. This POKéMON flies by flapping the leaves on its back as if they were wings. It flies by flapping its broad leaves. The bunch of fruit that grows around its neck is deliciously sweet. In the spring, it scatters pollen from its neck. It lives in tropical jungles. The bunch of fruit around its neck is delicious. The fruit grows twice a year. Because it continually ate only its favorite fruit, the fruit started growing around its neck. Delicious fruits grew out from around its neck because it always ate the same kind of fruit. The bunch of fruit around its neck ripens twice a year and is delicious. It’s a highly favored tropical snack. It flies by flapping its broad leaves and gives the sweet, delicious fruit around its neck to children. The bunches of fruit growing around the necks of Tropius in Alola are especially sweet compared to those in other regions. Bunches of delicious fruit grow around its neck. In warm areas, many ranches raise Tropius.</t>
        </is>
      </c>
    </row>
    <row r="9107" ht="33.75" customHeight="1">
      <c r="A9107" s="7">
        <v>357.0</v>
      </c>
      <c r="B9107" s="9" t="s">
        <v>15170</v>
      </c>
      <c r="C9107" s="9" t="s">
        <v>547</v>
      </c>
      <c r="D9107" s="9" t="s">
        <v>71</v>
      </c>
      <c r="E9107" s="6" t="s">
        <v>8760</v>
      </c>
      <c r="F9107" s="9" t="s">
        <v>15877</v>
      </c>
    </row>
    <row r="9108" ht="33.75" customHeight="1">
      <c r="A9108" s="7">
        <v>357.0</v>
      </c>
      <c r="B9108" s="9" t="s">
        <v>15170</v>
      </c>
      <c r="C9108" s="9" t="s">
        <v>547</v>
      </c>
      <c r="D9108" s="9" t="s">
        <v>73</v>
      </c>
      <c r="E9108" s="6" t="s">
        <v>8762</v>
      </c>
      <c r="F9108" s="9" t="s">
        <v>15877</v>
      </c>
    </row>
    <row r="9109" ht="33.75" customHeight="1">
      <c r="A9109" s="7">
        <v>357.0</v>
      </c>
      <c r="B9109" s="9" t="s">
        <v>15170</v>
      </c>
      <c r="C9109" s="9" t="s">
        <v>547</v>
      </c>
      <c r="D9109" s="9" t="s">
        <v>75</v>
      </c>
      <c r="E9109" s="6" t="s">
        <v>8764</v>
      </c>
      <c r="F9109" s="9" t="s">
        <v>15877</v>
      </c>
    </row>
    <row r="9110" ht="33.75" customHeight="1">
      <c r="A9110" s="7">
        <v>357.0</v>
      </c>
      <c r="B9110" s="9" t="s">
        <v>15170</v>
      </c>
      <c r="C9110" s="9" t="s">
        <v>547</v>
      </c>
      <c r="D9110" s="9" t="s">
        <v>79</v>
      </c>
      <c r="E9110" s="6" t="s">
        <v>8764</v>
      </c>
      <c r="F9110" s="9" t="s">
        <v>15877</v>
      </c>
    </row>
    <row r="9111" ht="33.75" customHeight="1">
      <c r="A9111" s="7">
        <v>357.0</v>
      </c>
      <c r="B9111" s="9" t="s">
        <v>15170</v>
      </c>
      <c r="C9111" s="9" t="s">
        <v>547</v>
      </c>
      <c r="D9111" s="9" t="s">
        <v>81</v>
      </c>
      <c r="E9111" s="6" t="s">
        <v>8765</v>
      </c>
      <c r="F9111" s="9" t="s">
        <v>15877</v>
      </c>
    </row>
    <row r="9112" ht="33.75" customHeight="1">
      <c r="A9112" s="7">
        <v>357.0</v>
      </c>
      <c r="B9112" s="9" t="s">
        <v>15170</v>
      </c>
      <c r="C9112" s="9" t="s">
        <v>547</v>
      </c>
      <c r="D9112" s="9" t="s">
        <v>84</v>
      </c>
      <c r="E9112" s="6" t="s">
        <v>8765</v>
      </c>
      <c r="F9112" s="9" t="s">
        <v>15877</v>
      </c>
    </row>
    <row r="9113" ht="33.75" customHeight="1">
      <c r="A9113" s="7">
        <v>357.0</v>
      </c>
      <c r="B9113" s="9" t="s">
        <v>15170</v>
      </c>
      <c r="C9113" s="9" t="s">
        <v>547</v>
      </c>
      <c r="D9113" s="9" t="s">
        <v>87</v>
      </c>
      <c r="E9113" s="6" t="s">
        <v>8767</v>
      </c>
      <c r="F9113" s="9" t="s">
        <v>15877</v>
      </c>
    </row>
    <row r="9114" ht="33.75" customHeight="1">
      <c r="A9114" s="7">
        <v>357.0</v>
      </c>
      <c r="B9114" s="9" t="s">
        <v>15170</v>
      </c>
      <c r="C9114" s="9" t="s">
        <v>547</v>
      </c>
      <c r="D9114" s="9" t="s">
        <v>89</v>
      </c>
      <c r="E9114" s="6" t="s">
        <v>8768</v>
      </c>
      <c r="F9114" s="9" t="s">
        <v>15877</v>
      </c>
    </row>
    <row r="9115" ht="33.75" customHeight="1">
      <c r="A9115" s="7">
        <v>357.0</v>
      </c>
      <c r="B9115" s="9" t="s">
        <v>15170</v>
      </c>
      <c r="C9115" s="9" t="s">
        <v>547</v>
      </c>
      <c r="D9115" s="9" t="s">
        <v>91</v>
      </c>
      <c r="E9115" s="6" t="s">
        <v>8768</v>
      </c>
      <c r="F9115" s="9" t="s">
        <v>15877</v>
      </c>
    </row>
    <row r="9116" ht="33.75" customHeight="1">
      <c r="A9116" s="7">
        <v>357.0</v>
      </c>
      <c r="B9116" s="9" t="s">
        <v>15170</v>
      </c>
      <c r="C9116" s="9" t="s">
        <v>547</v>
      </c>
      <c r="D9116" s="9" t="s">
        <v>93</v>
      </c>
      <c r="E9116" s="6" t="s">
        <v>8767</v>
      </c>
      <c r="F9116" s="9" t="s">
        <v>15877</v>
      </c>
    </row>
    <row r="9117" ht="33.75" customHeight="1">
      <c r="A9117" s="7">
        <v>357.0</v>
      </c>
      <c r="B9117" s="9" t="s">
        <v>15170</v>
      </c>
      <c r="C9117" s="9" t="s">
        <v>547</v>
      </c>
      <c r="D9117" s="9" t="s">
        <v>95</v>
      </c>
      <c r="E9117" s="6" t="s">
        <v>8767</v>
      </c>
      <c r="F9117" s="9" t="s">
        <v>15877</v>
      </c>
    </row>
    <row r="9118" ht="33.75" customHeight="1">
      <c r="A9118" s="7">
        <v>357.0</v>
      </c>
      <c r="B9118" s="9" t="s">
        <v>15170</v>
      </c>
      <c r="C9118" s="9" t="s">
        <v>547</v>
      </c>
      <c r="D9118" s="9" t="s">
        <v>98</v>
      </c>
      <c r="E9118" s="6" t="s">
        <v>8771</v>
      </c>
      <c r="F9118" s="9" t="s">
        <v>15877</v>
      </c>
    </row>
    <row r="9119" ht="33.75" customHeight="1">
      <c r="A9119" s="7">
        <v>357.0</v>
      </c>
      <c r="B9119" s="9" t="s">
        <v>15170</v>
      </c>
      <c r="C9119" s="9" t="s">
        <v>547</v>
      </c>
      <c r="D9119" s="9" t="s">
        <v>99</v>
      </c>
      <c r="E9119" s="6" t="s">
        <v>8771</v>
      </c>
      <c r="F9119" s="9" t="s">
        <v>15877</v>
      </c>
    </row>
    <row r="9120" ht="33.75" customHeight="1">
      <c r="A9120" s="7">
        <v>357.0</v>
      </c>
      <c r="B9120" s="9" t="s">
        <v>15170</v>
      </c>
      <c r="C9120" s="9" t="s">
        <v>547</v>
      </c>
      <c r="D9120" s="9" t="s">
        <v>101</v>
      </c>
      <c r="E9120" s="6" t="s">
        <v>8771</v>
      </c>
      <c r="F9120" s="9" t="s">
        <v>15877</v>
      </c>
    </row>
    <row r="9121" ht="33.75" customHeight="1">
      <c r="A9121" s="7">
        <v>357.0</v>
      </c>
      <c r="B9121" s="9" t="s">
        <v>15170</v>
      </c>
      <c r="C9121" s="9" t="s">
        <v>547</v>
      </c>
      <c r="D9121" s="9" t="s">
        <v>105</v>
      </c>
      <c r="E9121" s="6" t="s">
        <v>8768</v>
      </c>
      <c r="F9121" s="9" t="s">
        <v>15877</v>
      </c>
    </row>
    <row r="9122" ht="33.75" customHeight="1">
      <c r="A9122" s="7">
        <v>357.0</v>
      </c>
      <c r="B9122" s="9" t="s">
        <v>15170</v>
      </c>
      <c r="C9122" s="9" t="s">
        <v>547</v>
      </c>
      <c r="D9122" s="9" t="s">
        <v>107</v>
      </c>
      <c r="E9122" s="6" t="s">
        <v>8773</v>
      </c>
      <c r="F9122" s="9" t="s">
        <v>15877</v>
      </c>
    </row>
    <row r="9123" ht="33.75" customHeight="1">
      <c r="A9123" s="7">
        <v>357.0</v>
      </c>
      <c r="B9123" s="9" t="s">
        <v>15170</v>
      </c>
      <c r="C9123" s="9" t="s">
        <v>547</v>
      </c>
      <c r="D9123" s="9" t="s">
        <v>109</v>
      </c>
      <c r="E9123" s="6" t="s">
        <v>8774</v>
      </c>
      <c r="F9123" s="9" t="s">
        <v>15877</v>
      </c>
    </row>
    <row r="9124" ht="33.75" customHeight="1">
      <c r="A9124" s="7">
        <v>357.0</v>
      </c>
      <c r="B9124" s="9" t="s">
        <v>15170</v>
      </c>
      <c r="C9124" s="9" t="s">
        <v>547</v>
      </c>
      <c r="D9124" s="9" t="s">
        <v>647</v>
      </c>
      <c r="E9124" s="6" t="s">
        <v>8775</v>
      </c>
      <c r="F9124" s="9" t="s">
        <v>15877</v>
      </c>
    </row>
    <row r="9125" ht="33.75" customHeight="1">
      <c r="A9125" s="7">
        <v>357.0</v>
      </c>
      <c r="B9125" s="9" t="s">
        <v>15170</v>
      </c>
      <c r="C9125" s="9" t="s">
        <v>547</v>
      </c>
      <c r="D9125" s="9" t="s">
        <v>652</v>
      </c>
      <c r="E9125" s="6" t="s">
        <v>8777</v>
      </c>
      <c r="F9125" s="9" t="s">
        <v>15877</v>
      </c>
    </row>
    <row r="9126" ht="33.75" customHeight="1">
      <c r="A9126" s="7">
        <v>358.0</v>
      </c>
      <c r="B9126" s="9" t="s">
        <v>15185</v>
      </c>
      <c r="C9126" s="9" t="s">
        <v>548</v>
      </c>
      <c r="D9126" s="9" t="s">
        <v>67</v>
      </c>
      <c r="E9126" s="6" t="s">
        <v>8779</v>
      </c>
      <c r="F9126" s="9" t="s">
        <v>15883</v>
      </c>
      <c r="G9126" t="inlineStr" s="6">
        <is>
          <t xml:space="preserve">CHIMECHO makes Chimecho's cries echo inside its hollow body. When this POKéMON becomes enraged, its cries result in ultrasonic waves that have the power to knock foes flying. In high winds, CHIMECHO cries as it hangs from a tree branch or the eaves of a building using a suction cup on its head. This POKéMON plucks berries with its long tail and eats them. They fly about very actively when the hot season arrives. They communicate among themselves using seven different and distinguishing cries. It travels by riding on winds. It cleverly uses its long tail to pluck nuts and berries, which it loves to eat. To knock foes flying, it makes the air shudder with its cries. It converses using seven cries. Emitting ultrasonic cries, it floats on winds to travel great distances. Its cries echo inside its hollow body to emerge as beautiful notes for startling and repelling foes. It uses the sucker on its head to hang from a tree or from eaves. It can produce seven different tones. Can emit waves of air powerful enough to knock out prey taller than itself. I hypothesize that it amplifies the faint sound of wind within its body.</t>
        </is>
      </c>
    </row>
    <row r="9127" ht="33.75" customHeight="1">
      <c r="A9127" s="7">
        <v>358.0</v>
      </c>
      <c r="B9127" s="9" t="s">
        <v>15185</v>
      </c>
      <c r="C9127" s="9" t="s">
        <v>548</v>
      </c>
      <c r="D9127" s="9" t="s">
        <v>71</v>
      </c>
      <c r="E9127" s="6" t="s">
        <v>8781</v>
      </c>
      <c r="F9127" s="9" t="s">
        <v>15883</v>
      </c>
    </row>
    <row r="9128" ht="33.75" customHeight="1">
      <c r="A9128" s="7">
        <v>358.0</v>
      </c>
      <c r="B9128" s="9" t="s">
        <v>15185</v>
      </c>
      <c r="C9128" s="9" t="s">
        <v>548</v>
      </c>
      <c r="D9128" s="9" t="s">
        <v>73</v>
      </c>
      <c r="E9128" s="6" t="s">
        <v>8782</v>
      </c>
      <c r="F9128" s="9" t="s">
        <v>15883</v>
      </c>
    </row>
    <row r="9129" ht="33.75" customHeight="1">
      <c r="A9129" s="7">
        <v>358.0</v>
      </c>
      <c r="B9129" s="9" t="s">
        <v>15185</v>
      </c>
      <c r="C9129" s="9" t="s">
        <v>548</v>
      </c>
      <c r="D9129" s="9" t="s">
        <v>75</v>
      </c>
      <c r="E9129" s="6" t="s">
        <v>8784</v>
      </c>
      <c r="F9129" s="9" t="s">
        <v>15883</v>
      </c>
    </row>
    <row r="9130" ht="33.75" customHeight="1">
      <c r="A9130" s="7">
        <v>358.0</v>
      </c>
      <c r="B9130" s="9" t="s">
        <v>15185</v>
      </c>
      <c r="C9130" s="9" t="s">
        <v>548</v>
      </c>
      <c r="D9130" s="9" t="s">
        <v>79</v>
      </c>
      <c r="E9130" s="6" t="s">
        <v>8784</v>
      </c>
      <c r="F9130" s="9" t="s">
        <v>15883</v>
      </c>
    </row>
    <row r="9131" ht="33.75" customHeight="1">
      <c r="A9131" s="7">
        <v>358.0</v>
      </c>
      <c r="B9131" s="9" t="s">
        <v>15185</v>
      </c>
      <c r="C9131" s="9" t="s">
        <v>548</v>
      </c>
      <c r="D9131" s="9" t="s">
        <v>81</v>
      </c>
      <c r="E9131" s="6" t="s">
        <v>8786</v>
      </c>
      <c r="F9131" s="9" t="s">
        <v>15883</v>
      </c>
    </row>
    <row r="9132" ht="33.75" customHeight="1">
      <c r="A9132" s="7">
        <v>358.0</v>
      </c>
      <c r="B9132" s="9" t="s">
        <v>15185</v>
      </c>
      <c r="C9132" s="9" t="s">
        <v>548</v>
      </c>
      <c r="D9132" s="9" t="s">
        <v>84</v>
      </c>
      <c r="E9132" s="6" t="s">
        <v>8787</v>
      </c>
      <c r="F9132" s="9" t="s">
        <v>15883</v>
      </c>
    </row>
    <row r="9133" ht="33.75" customHeight="1">
      <c r="A9133" s="7">
        <v>358.0</v>
      </c>
      <c r="B9133" s="9" t="s">
        <v>15185</v>
      </c>
      <c r="C9133" s="9" t="s">
        <v>548</v>
      </c>
      <c r="D9133" s="9" t="s">
        <v>87</v>
      </c>
      <c r="E9133" s="6" t="s">
        <v>8789</v>
      </c>
      <c r="F9133" s="9" t="s">
        <v>15883</v>
      </c>
    </row>
    <row r="9134" ht="33.75" customHeight="1">
      <c r="A9134" s="7">
        <v>358.0</v>
      </c>
      <c r="B9134" s="9" t="s">
        <v>15185</v>
      </c>
      <c r="C9134" s="9" t="s">
        <v>548</v>
      </c>
      <c r="D9134" s="9" t="s">
        <v>89</v>
      </c>
      <c r="E9134" s="6" t="s">
        <v>8791</v>
      </c>
      <c r="F9134" s="9" t="s">
        <v>15883</v>
      </c>
    </row>
    <row r="9135" ht="33.75" customHeight="1">
      <c r="A9135" s="7">
        <v>358.0</v>
      </c>
      <c r="B9135" s="9" t="s">
        <v>15185</v>
      </c>
      <c r="C9135" s="9" t="s">
        <v>548</v>
      </c>
      <c r="D9135" s="9" t="s">
        <v>91</v>
      </c>
      <c r="E9135" s="6" t="s">
        <v>8791</v>
      </c>
      <c r="F9135" s="9" t="s">
        <v>15883</v>
      </c>
    </row>
    <row r="9136" ht="33.75" customHeight="1">
      <c r="A9136" s="7">
        <v>358.0</v>
      </c>
      <c r="B9136" s="9" t="s">
        <v>15185</v>
      </c>
      <c r="C9136" s="9" t="s">
        <v>548</v>
      </c>
      <c r="D9136" s="9" t="s">
        <v>93</v>
      </c>
      <c r="E9136" s="6" t="s">
        <v>8789</v>
      </c>
      <c r="F9136" s="9" t="s">
        <v>15883</v>
      </c>
    </row>
    <row r="9137" ht="33.75" customHeight="1">
      <c r="A9137" s="7">
        <v>358.0</v>
      </c>
      <c r="B9137" s="9" t="s">
        <v>15185</v>
      </c>
      <c r="C9137" s="9" t="s">
        <v>548</v>
      </c>
      <c r="D9137" s="9" t="s">
        <v>95</v>
      </c>
      <c r="E9137" s="6" t="s">
        <v>8789</v>
      </c>
      <c r="F9137" s="9" t="s">
        <v>15883</v>
      </c>
    </row>
    <row r="9138" ht="33.75" customHeight="1">
      <c r="A9138" s="7">
        <v>358.0</v>
      </c>
      <c r="B9138" s="9" t="s">
        <v>15185</v>
      </c>
      <c r="C9138" s="9" t="s">
        <v>548</v>
      </c>
      <c r="D9138" s="9" t="s">
        <v>98</v>
      </c>
      <c r="E9138" s="6" t="s">
        <v>8789</v>
      </c>
      <c r="F9138" s="9" t="s">
        <v>15883</v>
      </c>
    </row>
    <row r="9139" ht="33.75" customHeight="1">
      <c r="A9139" s="7">
        <v>358.0</v>
      </c>
      <c r="B9139" s="9" t="s">
        <v>15185</v>
      </c>
      <c r="C9139" s="9" t="s">
        <v>548</v>
      </c>
      <c r="D9139" s="9" t="s">
        <v>99</v>
      </c>
      <c r="E9139" s="6" t="s">
        <v>8789</v>
      </c>
      <c r="F9139" s="9" t="s">
        <v>15883</v>
      </c>
    </row>
    <row r="9140" ht="33.75" customHeight="1">
      <c r="A9140" s="7">
        <v>358.0</v>
      </c>
      <c r="B9140" s="9" t="s">
        <v>15185</v>
      </c>
      <c r="C9140" s="9" t="s">
        <v>548</v>
      </c>
      <c r="D9140" s="9" t="s">
        <v>101</v>
      </c>
      <c r="E9140" s="6" t="s">
        <v>8791</v>
      </c>
      <c r="F9140" s="9" t="s">
        <v>15883</v>
      </c>
    </row>
    <row r="9141" ht="33.75" customHeight="1">
      <c r="A9141" s="7">
        <v>358.0</v>
      </c>
      <c r="B9141" s="9" t="s">
        <v>15185</v>
      </c>
      <c r="C9141" s="9" t="s">
        <v>548</v>
      </c>
      <c r="D9141" s="9" t="s">
        <v>105</v>
      </c>
      <c r="E9141" s="6" t="s">
        <v>8787</v>
      </c>
      <c r="F9141" s="9" t="s">
        <v>15883</v>
      </c>
    </row>
    <row r="9142" ht="33.75" customHeight="1">
      <c r="A9142" s="7">
        <v>358.0</v>
      </c>
      <c r="B9142" s="9" t="s">
        <v>15185</v>
      </c>
      <c r="C9142" s="9" t="s">
        <v>548</v>
      </c>
      <c r="D9142" s="9" t="s">
        <v>107</v>
      </c>
      <c r="E9142" s="6" t="s">
        <v>8792</v>
      </c>
      <c r="F9142" s="9" t="s">
        <v>15883</v>
      </c>
    </row>
    <row r="9143" ht="33.75" customHeight="1">
      <c r="A9143" s="7">
        <v>358.0</v>
      </c>
      <c r="B9143" s="9" t="s">
        <v>15185</v>
      </c>
      <c r="C9143" s="9" t="s">
        <v>548</v>
      </c>
      <c r="D9143" s="9" t="s">
        <v>109</v>
      </c>
      <c r="E9143" s="6" t="s">
        <v>8794</v>
      </c>
      <c r="F9143" s="9" t="s">
        <v>15883</v>
      </c>
    </row>
    <row r="9144" ht="33.75" customHeight="1">
      <c r="A9144" s="7">
        <v>358.0</v>
      </c>
      <c r="B9144" s="9" t="s">
        <v>15185</v>
      </c>
      <c r="C9144" s="9" t="s">
        <v>548</v>
      </c>
      <c r="D9144" s="9" t="s">
        <v>1577</v>
      </c>
      <c r="E9144" s="6" t="s">
        <v>8796</v>
      </c>
      <c r="F9144" s="9" t="s">
        <v>15883</v>
      </c>
    </row>
    <row r="9145" ht="33.75" customHeight="1">
      <c r="A9145" s="7">
        <v>359.0</v>
      </c>
      <c r="B9145" s="9" t="s">
        <v>15199</v>
      </c>
      <c r="C9145" s="9" t="s">
        <v>551</v>
      </c>
      <c r="D9145" s="9" t="s">
        <v>67</v>
      </c>
      <c r="E9145" s="6" t="s">
        <v>8797</v>
      </c>
      <c r="F9145" s="9" t="s">
        <v>15893</v>
      </c>
      <c r="G9145" t="inlineStr" s="6">
        <is>
          <t xml:space="preserve">Every time ABSOL appears before people, Absol is followed by a disaster such as an earthquake or a tidal wave. As a result, it came to be known as the disaster POKéMON. ABSOL has the ability to foretell the coming of natural disasters. It lives in a harsh, rugged mountain environment. This POKéMON very rarely ventures down from the mountains. It sharply senses even subtle changes in the sky and the land to predict natural disasters. It is a long-lived POKéMON that has a life-span of 100 years. It appears when it senses an impending natural disaster. As a result, it was mistaken as a doom-bringer. It senses coming disasters and appears before people only to warn them of impending danger. Rumored to sense disasters with its horn, it became a target. It fled deep into the mountains. It has the ability to foretell natural disasters. Its life span is over a hundred years. It appears from deep in the mountains to warn people about upcoming disasters it has sensed with its horn. As a result, it was mistaken as a doom bringer. Long ago, superstitions were spread about it, saying it brought disaster. This fed a hatred of it, and it was driven deep into the mountains. Although it’s said to bring disaster, in actuality, this Pokémon possesses a calm disposition and warns people of any crises that loom. The only thing unlucky about Absol is its appearance. It protects fields and warns people of disaster, so one ought to be grateful for it. The elderly call it the disaster Pokémon and detest it, but interest in its power to predict disasters is on the rise. Swift as the wind, Absol races through fields and mountains. Its curved, bow-like horn is acutely sensitive to the warning signs of natural disasters. Because of this Pokémon’s ability to detect danger, people mistook Absol as a bringer of doom.</t>
        </is>
      </c>
    </row>
    <row r="9146" ht="33.75" customHeight="1">
      <c r="A9146" s="7">
        <v>359.0</v>
      </c>
      <c r="B9146" s="9" t="s">
        <v>15199</v>
      </c>
      <c r="C9146" s="9" t="s">
        <v>551</v>
      </c>
      <c r="D9146" s="9" t="s">
        <v>71</v>
      </c>
      <c r="E9146" s="6" t="s">
        <v>8798</v>
      </c>
      <c r="F9146" s="9" t="s">
        <v>15893</v>
      </c>
    </row>
    <row r="9147" ht="33.75" customHeight="1">
      <c r="A9147" s="7">
        <v>359.0</v>
      </c>
      <c r="B9147" s="9" t="s">
        <v>15199</v>
      </c>
      <c r="C9147" s="9" t="s">
        <v>551</v>
      </c>
      <c r="D9147" s="9" t="s">
        <v>73</v>
      </c>
      <c r="E9147" s="6" t="s">
        <v>8799</v>
      </c>
      <c r="F9147" s="9" t="s">
        <v>15893</v>
      </c>
    </row>
    <row r="9148" ht="33.75" customHeight="1">
      <c r="A9148" s="7">
        <v>359.0</v>
      </c>
      <c r="B9148" s="9" t="s">
        <v>15199</v>
      </c>
      <c r="C9148" s="9" t="s">
        <v>551</v>
      </c>
      <c r="D9148" s="9" t="s">
        <v>75</v>
      </c>
      <c r="E9148" s="6" t="s">
        <v>8800</v>
      </c>
      <c r="F9148" s="9" t="s">
        <v>15893</v>
      </c>
    </row>
    <row r="9149" ht="33.75" customHeight="1">
      <c r="A9149" s="7">
        <v>359.0</v>
      </c>
      <c r="B9149" s="9" t="s">
        <v>15199</v>
      </c>
      <c r="C9149" s="9" t="s">
        <v>551</v>
      </c>
      <c r="D9149" s="9" t="s">
        <v>79</v>
      </c>
      <c r="E9149" s="6" t="s">
        <v>8800</v>
      </c>
      <c r="F9149" s="9" t="s">
        <v>15893</v>
      </c>
    </row>
    <row r="9150" ht="33.75" customHeight="1">
      <c r="A9150" s="7">
        <v>359.0</v>
      </c>
      <c r="B9150" s="9" t="s">
        <v>15199</v>
      </c>
      <c r="C9150" s="9" t="s">
        <v>551</v>
      </c>
      <c r="D9150" s="9" t="s">
        <v>81</v>
      </c>
      <c r="E9150" s="6" t="s">
        <v>8801</v>
      </c>
      <c r="F9150" s="9" t="s">
        <v>15893</v>
      </c>
    </row>
    <row r="9151" ht="33.75" customHeight="1">
      <c r="A9151" s="7">
        <v>359.0</v>
      </c>
      <c r="B9151" s="9" t="s">
        <v>15199</v>
      </c>
      <c r="C9151" s="9" t="s">
        <v>551</v>
      </c>
      <c r="D9151" s="9" t="s">
        <v>84</v>
      </c>
      <c r="E9151" s="6" t="s">
        <v>8801</v>
      </c>
      <c r="F9151" s="9" t="s">
        <v>15893</v>
      </c>
    </row>
    <row r="9152" ht="33.75" customHeight="1">
      <c r="A9152" s="7">
        <v>359.0</v>
      </c>
      <c r="B9152" s="9" t="s">
        <v>15199</v>
      </c>
      <c r="C9152" s="9" t="s">
        <v>551</v>
      </c>
      <c r="D9152" s="9" t="s">
        <v>87</v>
      </c>
      <c r="E9152" s="6" t="s">
        <v>8802</v>
      </c>
      <c r="F9152" s="9" t="s">
        <v>15893</v>
      </c>
    </row>
    <row r="9153" ht="33.75" customHeight="1">
      <c r="A9153" s="7">
        <v>359.0</v>
      </c>
      <c r="B9153" s="9" t="s">
        <v>15199</v>
      </c>
      <c r="C9153" s="9" t="s">
        <v>551</v>
      </c>
      <c r="D9153" s="9" t="s">
        <v>89</v>
      </c>
      <c r="E9153" s="6" t="s">
        <v>8803</v>
      </c>
      <c r="F9153" s="9" t="s">
        <v>15893</v>
      </c>
    </row>
    <row r="9154" ht="33.75" customHeight="1">
      <c r="A9154" s="7">
        <v>359.0</v>
      </c>
      <c r="B9154" s="9" t="s">
        <v>15199</v>
      </c>
      <c r="C9154" s="9" t="s">
        <v>551</v>
      </c>
      <c r="D9154" s="9" t="s">
        <v>91</v>
      </c>
      <c r="E9154" s="6" t="s">
        <v>8803</v>
      </c>
      <c r="F9154" s="9" t="s">
        <v>15893</v>
      </c>
    </row>
    <row r="9155" ht="33.75" customHeight="1">
      <c r="A9155" s="7">
        <v>359.0</v>
      </c>
      <c r="B9155" s="9" t="s">
        <v>15199</v>
      </c>
      <c r="C9155" s="9" t="s">
        <v>551</v>
      </c>
      <c r="D9155" s="9" t="s">
        <v>93</v>
      </c>
      <c r="E9155" s="6" t="s">
        <v>8802</v>
      </c>
      <c r="F9155" s="9" t="s">
        <v>15893</v>
      </c>
    </row>
    <row r="9156" ht="33.75" customHeight="1">
      <c r="A9156" s="7">
        <v>359.0</v>
      </c>
      <c r="B9156" s="9" t="s">
        <v>15199</v>
      </c>
      <c r="C9156" s="9" t="s">
        <v>551</v>
      </c>
      <c r="D9156" s="9" t="s">
        <v>95</v>
      </c>
      <c r="E9156" s="6" t="s">
        <v>8802</v>
      </c>
      <c r="F9156" s="9" t="s">
        <v>15893</v>
      </c>
    </row>
    <row r="9157" ht="33.75" customHeight="1">
      <c r="A9157" s="7">
        <v>359.0</v>
      </c>
      <c r="B9157" s="9" t="s">
        <v>15199</v>
      </c>
      <c r="C9157" s="9" t="s">
        <v>551</v>
      </c>
      <c r="D9157" s="9" t="s">
        <v>98</v>
      </c>
      <c r="E9157" s="6" t="s">
        <v>8804</v>
      </c>
      <c r="F9157" s="9" t="s">
        <v>15893</v>
      </c>
    </row>
    <row r="9158" ht="33.75" customHeight="1">
      <c r="A9158" s="7">
        <v>359.0</v>
      </c>
      <c r="B9158" s="9" t="s">
        <v>15199</v>
      </c>
      <c r="C9158" s="9" t="s">
        <v>551</v>
      </c>
      <c r="D9158" s="9" t="s">
        <v>99</v>
      </c>
      <c r="E9158" s="6" t="s">
        <v>8804</v>
      </c>
      <c r="F9158" s="9" t="s">
        <v>15893</v>
      </c>
    </row>
    <row r="9159" ht="33.75" customHeight="1">
      <c r="A9159" s="7">
        <v>359.0</v>
      </c>
      <c r="B9159" s="9" t="s">
        <v>15199</v>
      </c>
      <c r="C9159" s="9" t="s">
        <v>551</v>
      </c>
      <c r="D9159" s="9" t="s">
        <v>101</v>
      </c>
      <c r="E9159" s="6" t="s">
        <v>8801</v>
      </c>
      <c r="F9159" s="9" t="s">
        <v>15893</v>
      </c>
    </row>
    <row r="9160" ht="33.75" customHeight="1">
      <c r="A9160" s="7">
        <v>359.0</v>
      </c>
      <c r="B9160" s="9" t="s">
        <v>15199</v>
      </c>
      <c r="C9160" s="9" t="s">
        <v>551</v>
      </c>
      <c r="D9160" s="9" t="s">
        <v>105</v>
      </c>
      <c r="E9160" s="6" t="s">
        <v>8805</v>
      </c>
      <c r="F9160" s="9" t="s">
        <v>15893</v>
      </c>
    </row>
    <row r="9161" ht="33.75" customHeight="1">
      <c r="A9161" s="7">
        <v>359.0</v>
      </c>
      <c r="B9161" s="9" t="s">
        <v>15199</v>
      </c>
      <c r="C9161" s="9" t="s">
        <v>551</v>
      </c>
      <c r="D9161" s="9" t="s">
        <v>107</v>
      </c>
      <c r="E9161" s="6" t="s">
        <v>8806</v>
      </c>
      <c r="F9161" s="9" t="s">
        <v>15893</v>
      </c>
    </row>
    <row r="9162" ht="33.75" customHeight="1">
      <c r="A9162" s="7">
        <v>359.0</v>
      </c>
      <c r="B9162" s="9" t="s">
        <v>15199</v>
      </c>
      <c r="C9162" s="9" t="s">
        <v>551</v>
      </c>
      <c r="D9162" s="9" t="s">
        <v>109</v>
      </c>
      <c r="E9162" s="6" t="s">
        <v>8807</v>
      </c>
      <c r="F9162" s="9" t="s">
        <v>15893</v>
      </c>
    </row>
    <row r="9163" ht="33.75" customHeight="1">
      <c r="A9163" s="7">
        <v>359.0</v>
      </c>
      <c r="B9163" s="9" t="s">
        <v>15199</v>
      </c>
      <c r="C9163" s="9" t="s">
        <v>551</v>
      </c>
      <c r="D9163" s="9" t="s">
        <v>637</v>
      </c>
      <c r="E9163" s="6" t="s">
        <v>8808</v>
      </c>
      <c r="F9163" s="9" t="s">
        <v>15893</v>
      </c>
    </row>
    <row r="9164" ht="33.75" customHeight="1">
      <c r="A9164" s="7">
        <v>359.0</v>
      </c>
      <c r="B9164" s="9" t="s">
        <v>15199</v>
      </c>
      <c r="C9164" s="9" t="s">
        <v>551</v>
      </c>
      <c r="D9164" s="9" t="s">
        <v>642</v>
      </c>
      <c r="E9164" s="6" t="s">
        <v>8809</v>
      </c>
      <c r="F9164" s="9" t="s">
        <v>15893</v>
      </c>
    </row>
    <row r="9165" ht="33.75" customHeight="1">
      <c r="A9165" s="7">
        <v>359.0</v>
      </c>
      <c r="B9165" s="9" t="s">
        <v>15199</v>
      </c>
      <c r="C9165" s="9" t="s">
        <v>551</v>
      </c>
      <c r="D9165" s="9" t="s">
        <v>647</v>
      </c>
      <c r="E9165" s="6" t="s">
        <v>8810</v>
      </c>
      <c r="F9165" s="9" t="s">
        <v>15893</v>
      </c>
    </row>
    <row r="9166" ht="33.75" customHeight="1">
      <c r="A9166" s="7">
        <v>359.0</v>
      </c>
      <c r="B9166" s="9" t="s">
        <v>15199</v>
      </c>
      <c r="C9166" s="9" t="s">
        <v>551</v>
      </c>
      <c r="D9166" s="9" t="s">
        <v>652</v>
      </c>
      <c r="E9166" s="6" t="s">
        <v>8812</v>
      </c>
      <c r="F9166" s="9" t="s">
        <v>15893</v>
      </c>
    </row>
    <row r="9167" ht="33.75" customHeight="1">
      <c r="A9167" s="7">
        <v>359.0</v>
      </c>
      <c r="B9167" s="9" t="s">
        <v>15199</v>
      </c>
      <c r="C9167" s="9" t="s">
        <v>551</v>
      </c>
      <c r="D9167" s="9" t="s">
        <v>114</v>
      </c>
      <c r="E9167" s="6" t="s">
        <v>8813</v>
      </c>
      <c r="F9167" s="9" t="s">
        <v>15893</v>
      </c>
    </row>
    <row r="9168" ht="33.75" customHeight="1">
      <c r="A9168" s="7">
        <v>359.0</v>
      </c>
      <c r="B9168" s="9" t="s">
        <v>15199</v>
      </c>
      <c r="C9168" s="9" t="s">
        <v>551</v>
      </c>
      <c r="D9168" s="9" t="s">
        <v>117</v>
      </c>
      <c r="E9168" s="6" t="s">
        <v>8815</v>
      </c>
      <c r="F9168" s="9" t="s">
        <v>15893</v>
      </c>
    </row>
    <row r="9169" ht="33.75" customHeight="1">
      <c r="A9169" s="7">
        <v>360.0</v>
      </c>
      <c r="B9169" s="9" t="s">
        <v>15218</v>
      </c>
      <c r="C9169" s="9" t="s">
        <v>553</v>
      </c>
      <c r="D9169" s="9" t="s">
        <v>67</v>
      </c>
      <c r="E9169" s="6" t="s">
        <v>8816</v>
      </c>
      <c r="F9169" s="9" t="s">
        <v>15908</v>
      </c>
      <c r="G9169" t="inlineStr" s="6">
        <is>
          <t xml:space="preserve">WYNAUT can always be seen with a big, happy smile on Wynaut's face. Look at its tail to determine if it is angry. When angered, this POKéMON will be slapping the ground with its tail. WYNAUT gather on moonlit nights to play by squeezing up against each other. By being squeezed, this POKéMON gains endurance and is trained to dole out powerful counterattacks. A WYNAUT loves to eat sweet fruits. It cleverly picks fruits using its earlike arms. They gather in fruit gardens, drawn by the fragrance. It tends to move in a pack with others. They cluster in a tight group to sleep in a cave. It grows strong by pushing up against others en masse. It loves eating sweet fruit. It tends to move in a pack. Individuals squash against one another to toughen their spirits.</t>
        </is>
      </c>
    </row>
    <row r="9170" ht="33.75" customHeight="1">
      <c r="A9170" s="7">
        <v>360.0</v>
      </c>
      <c r="B9170" s="9" t="s">
        <v>15218</v>
      </c>
      <c r="C9170" s="9" t="s">
        <v>553</v>
      </c>
      <c r="D9170" s="9" t="s">
        <v>71</v>
      </c>
      <c r="E9170" s="6" t="s">
        <v>8818</v>
      </c>
      <c r="F9170" s="9" t="s">
        <v>15908</v>
      </c>
    </row>
    <row r="9171" ht="33.75" customHeight="1">
      <c r="A9171" s="7">
        <v>360.0</v>
      </c>
      <c r="B9171" s="9" t="s">
        <v>15218</v>
      </c>
      <c r="C9171" s="9" t="s">
        <v>553</v>
      </c>
      <c r="D9171" s="9" t="s">
        <v>73</v>
      </c>
      <c r="E9171" s="6" t="s">
        <v>8820</v>
      </c>
      <c r="F9171" s="9" t="s">
        <v>15908</v>
      </c>
    </row>
    <row r="9172" ht="33.75" customHeight="1">
      <c r="A9172" s="7">
        <v>360.0</v>
      </c>
      <c r="B9172" s="9" t="s">
        <v>15218</v>
      </c>
      <c r="C9172" s="9" t="s">
        <v>553</v>
      </c>
      <c r="D9172" s="9" t="s">
        <v>75</v>
      </c>
      <c r="E9172" s="6" t="s">
        <v>8821</v>
      </c>
      <c r="F9172" s="9" t="s">
        <v>15908</v>
      </c>
    </row>
    <row r="9173" ht="33.75" customHeight="1">
      <c r="A9173" s="7">
        <v>360.0</v>
      </c>
      <c r="B9173" s="9" t="s">
        <v>15218</v>
      </c>
      <c r="C9173" s="9" t="s">
        <v>553</v>
      </c>
      <c r="D9173" s="9" t="s">
        <v>79</v>
      </c>
      <c r="E9173" s="6" t="s">
        <v>8821</v>
      </c>
      <c r="F9173" s="9" t="s">
        <v>15908</v>
      </c>
    </row>
    <row r="9174" ht="33.75" customHeight="1">
      <c r="A9174" s="7">
        <v>360.0</v>
      </c>
      <c r="B9174" s="9" t="s">
        <v>15218</v>
      </c>
      <c r="C9174" s="9" t="s">
        <v>553</v>
      </c>
      <c r="D9174" s="9" t="s">
        <v>81</v>
      </c>
      <c r="E9174" s="6" t="s">
        <v>8822</v>
      </c>
      <c r="F9174" s="9" t="s">
        <v>15908</v>
      </c>
    </row>
    <row r="9175" ht="33.75" customHeight="1">
      <c r="A9175" s="7">
        <v>360.0</v>
      </c>
      <c r="B9175" s="9" t="s">
        <v>15218</v>
      </c>
      <c r="C9175" s="9" t="s">
        <v>553</v>
      </c>
      <c r="D9175" s="9" t="s">
        <v>84</v>
      </c>
      <c r="E9175" s="6" t="s">
        <v>8822</v>
      </c>
      <c r="F9175" s="9" t="s">
        <v>15908</v>
      </c>
    </row>
    <row r="9176" ht="33.75" customHeight="1">
      <c r="A9176" s="7">
        <v>360.0</v>
      </c>
      <c r="B9176" s="9" t="s">
        <v>15218</v>
      </c>
      <c r="C9176" s="9" t="s">
        <v>553</v>
      </c>
      <c r="D9176" s="9" t="s">
        <v>87</v>
      </c>
      <c r="E9176" s="6" t="s">
        <v>8822</v>
      </c>
      <c r="F9176" s="9" t="s">
        <v>15908</v>
      </c>
    </row>
    <row r="9177" ht="33.75" customHeight="1">
      <c r="A9177" s="7">
        <v>360.0</v>
      </c>
      <c r="B9177" s="9" t="s">
        <v>15218</v>
      </c>
      <c r="C9177" s="9" t="s">
        <v>553</v>
      </c>
      <c r="D9177" s="9" t="s">
        <v>89</v>
      </c>
      <c r="E9177" s="6" t="s">
        <v>8824</v>
      </c>
      <c r="F9177" s="9" t="s">
        <v>15908</v>
      </c>
    </row>
    <row r="9178" ht="33.75" customHeight="1">
      <c r="A9178" s="7">
        <v>360.0</v>
      </c>
      <c r="B9178" s="9" t="s">
        <v>15218</v>
      </c>
      <c r="C9178" s="9" t="s">
        <v>553</v>
      </c>
      <c r="D9178" s="9" t="s">
        <v>91</v>
      </c>
      <c r="E9178" s="6" t="s">
        <v>8824</v>
      </c>
      <c r="F9178" s="9" t="s">
        <v>15908</v>
      </c>
    </row>
    <row r="9179" ht="33.75" customHeight="1">
      <c r="A9179" s="7">
        <v>360.0</v>
      </c>
      <c r="B9179" s="9" t="s">
        <v>15218</v>
      </c>
      <c r="C9179" s="9" t="s">
        <v>553</v>
      </c>
      <c r="D9179" s="9" t="s">
        <v>93</v>
      </c>
      <c r="E9179" s="6" t="s">
        <v>8822</v>
      </c>
      <c r="F9179" s="9" t="s">
        <v>15908</v>
      </c>
    </row>
    <row r="9180" ht="33.75" customHeight="1">
      <c r="A9180" s="7">
        <v>360.0</v>
      </c>
      <c r="B9180" s="9" t="s">
        <v>15218</v>
      </c>
      <c r="C9180" s="9" t="s">
        <v>553</v>
      </c>
      <c r="D9180" s="9" t="s">
        <v>95</v>
      </c>
      <c r="E9180" s="6" t="s">
        <v>8822</v>
      </c>
      <c r="F9180" s="9" t="s">
        <v>15908</v>
      </c>
    </row>
    <row r="9181" ht="33.75" customHeight="1">
      <c r="A9181" s="7">
        <v>360.0</v>
      </c>
      <c r="B9181" s="9" t="s">
        <v>15218</v>
      </c>
      <c r="C9181" s="9" t="s">
        <v>553</v>
      </c>
      <c r="D9181" s="9" t="s">
        <v>98</v>
      </c>
      <c r="E9181" s="6" t="s">
        <v>8822</v>
      </c>
      <c r="F9181" s="9" t="s">
        <v>15908</v>
      </c>
    </row>
    <row r="9182" ht="33.75" customHeight="1">
      <c r="A9182" s="7">
        <v>360.0</v>
      </c>
      <c r="B9182" s="9" t="s">
        <v>15218</v>
      </c>
      <c r="C9182" s="9" t="s">
        <v>553</v>
      </c>
      <c r="D9182" s="9" t="s">
        <v>99</v>
      </c>
      <c r="E9182" s="6" t="s">
        <v>8822</v>
      </c>
      <c r="F9182" s="9" t="s">
        <v>15908</v>
      </c>
    </row>
    <row r="9183" ht="33.75" customHeight="1">
      <c r="A9183" s="7">
        <v>360.0</v>
      </c>
      <c r="B9183" s="9" t="s">
        <v>15218</v>
      </c>
      <c r="C9183" s="9" t="s">
        <v>553</v>
      </c>
      <c r="D9183" s="9" t="s">
        <v>101</v>
      </c>
      <c r="E9183" s="6" t="s">
        <v>8821</v>
      </c>
      <c r="F9183" s="9" t="s">
        <v>15908</v>
      </c>
    </row>
    <row r="9184" ht="33.75" customHeight="1">
      <c r="A9184" s="7">
        <v>360.0</v>
      </c>
      <c r="B9184" s="9" t="s">
        <v>15218</v>
      </c>
      <c r="C9184" s="9" t="s">
        <v>553</v>
      </c>
      <c r="D9184" s="9" t="s">
        <v>105</v>
      </c>
      <c r="E9184" s="6" t="s">
        <v>8822</v>
      </c>
      <c r="F9184" s="9" t="s">
        <v>15908</v>
      </c>
    </row>
    <row r="9185" ht="33.75" customHeight="1">
      <c r="A9185" s="7">
        <v>360.0</v>
      </c>
      <c r="B9185" s="9" t="s">
        <v>15218</v>
      </c>
      <c r="C9185" s="9" t="s">
        <v>553</v>
      </c>
      <c r="D9185" s="9" t="s">
        <v>107</v>
      </c>
      <c r="E9185" s="6" t="s">
        <v>8826</v>
      </c>
      <c r="F9185" s="9" t="s">
        <v>15908</v>
      </c>
    </row>
    <row r="9186" ht="33.75" customHeight="1">
      <c r="A9186" s="7">
        <v>360.0</v>
      </c>
      <c r="B9186" s="9" t="s">
        <v>15218</v>
      </c>
      <c r="C9186" s="9" t="s">
        <v>553</v>
      </c>
      <c r="D9186" s="9" t="s">
        <v>109</v>
      </c>
      <c r="E9186" s="6" t="s">
        <v>8828</v>
      </c>
      <c r="F9186" s="9" t="s">
        <v>15908</v>
      </c>
    </row>
    <row r="9187" ht="33.75" customHeight="1">
      <c r="A9187" s="7">
        <v>360.0</v>
      </c>
      <c r="B9187" s="9" t="s">
        <v>15218</v>
      </c>
      <c r="C9187" s="9" t="s">
        <v>553</v>
      </c>
      <c r="D9187" s="9" t="s">
        <v>114</v>
      </c>
      <c r="E9187" s="6" t="s">
        <v>8824</v>
      </c>
      <c r="F9187" s="9" t="s">
        <v>15908</v>
      </c>
    </row>
    <row r="9188" ht="33.75" customHeight="1">
      <c r="A9188" s="7">
        <v>360.0</v>
      </c>
      <c r="B9188" s="9" t="s">
        <v>15218</v>
      </c>
      <c r="C9188" s="9" t="s">
        <v>553</v>
      </c>
      <c r="D9188" s="9" t="s">
        <v>117</v>
      </c>
      <c r="E9188" s="6" t="s">
        <v>8821</v>
      </c>
      <c r="F9188" s="9" t="s">
        <v>15908</v>
      </c>
    </row>
    <row r="9189" ht="33.75" customHeight="1">
      <c r="A9189" s="7">
        <v>361.0</v>
      </c>
      <c r="B9189" s="9" t="s">
        <v>15229</v>
      </c>
      <c r="C9189" s="9" t="s">
        <v>554</v>
      </c>
      <c r="D9189" s="9" t="s">
        <v>67</v>
      </c>
      <c r="E9189" s="6" t="s">
        <v>8830</v>
      </c>
      <c r="F9189" s="9" t="s">
        <v>15917</v>
      </c>
      <c r="G9189" t="inlineStr" s="6">
        <is>
          <t xml:space="preserve">SNORUNT live in regions with heavy snowfall. In seasons without snow, such as spring and summer, this POKéMON steals away to live quietly among stalactites and stalagmites deep in caverns. SNORUNT survives by eating only snow and ice. Old folklore claims that a house visited by this POKéMON is sure to prosper for many generations to come. They tend to move about in groups of around five SNORUNT. In snowy regions, it is said that when they are seen late at night, snowfall will arrive by morning. It is said that a home visited by a SNORUNT will prosper. It can withstand cold of minus 150 degrees Fahrenheit. In the snow country, certain folklore says a house will prosper if a SNORUNT lives there. It is said that several SNORUNT gather under giant leaves and live together in harmony. It’s said that if they are seen at midnight, they’ll cause heavy snow. They eat snow and ice to survive. Their numbers seem to have rapidly increased in Alola. Custom has it that houses where Snorunt live will be prosperous for generations to come. It can only survive in cold areas. It bounces happily around, even in environments as cold as -150 degrees Fahrenheit. It feeds mainly on ice and snow. It’s only able to survive in a limited number of places in the warm Alola region. Rich people from cold areas all share childhood memories of playing with Snorunt. It bounces happily around, even in environments as cold as −150 degrees Fahrenheit. Arrives alongside the first snow. It's thought that homes Snorunt visit will prosper for many generations. By tradition, one might offer a lump of ice made from pure water at one's front door.</t>
        </is>
      </c>
    </row>
    <row r="9190" ht="33.75" customHeight="1">
      <c r="A9190" s="7">
        <v>361.0</v>
      </c>
      <c r="B9190" s="9" t="s">
        <v>15229</v>
      </c>
      <c r="C9190" s="9" t="s">
        <v>554</v>
      </c>
      <c r="D9190" s="9" t="s">
        <v>71</v>
      </c>
      <c r="E9190" s="6" t="s">
        <v>8831</v>
      </c>
      <c r="F9190" s="9" t="s">
        <v>15917</v>
      </c>
    </row>
    <row r="9191" ht="33.75" customHeight="1">
      <c r="A9191" s="7">
        <v>361.0</v>
      </c>
      <c r="B9191" s="9" t="s">
        <v>15229</v>
      </c>
      <c r="C9191" s="9" t="s">
        <v>554</v>
      </c>
      <c r="D9191" s="9" t="s">
        <v>73</v>
      </c>
      <c r="E9191" s="6" t="s">
        <v>8833</v>
      </c>
      <c r="F9191" s="9" t="s">
        <v>15917</v>
      </c>
    </row>
    <row r="9192" ht="33.75" customHeight="1">
      <c r="A9192" s="7">
        <v>361.0</v>
      </c>
      <c r="B9192" s="9" t="s">
        <v>15229</v>
      </c>
      <c r="C9192" s="9" t="s">
        <v>554</v>
      </c>
      <c r="D9192" s="9" t="s">
        <v>75</v>
      </c>
      <c r="E9192" s="6" t="s">
        <v>8835</v>
      </c>
      <c r="F9192" s="9" t="s">
        <v>15917</v>
      </c>
    </row>
    <row r="9193" ht="33.75" customHeight="1">
      <c r="A9193" s="7">
        <v>361.0</v>
      </c>
      <c r="B9193" s="9" t="s">
        <v>15229</v>
      </c>
      <c r="C9193" s="9" t="s">
        <v>554</v>
      </c>
      <c r="D9193" s="9" t="s">
        <v>79</v>
      </c>
      <c r="E9193" s="6" t="s">
        <v>8835</v>
      </c>
      <c r="F9193" s="9" t="s">
        <v>15917</v>
      </c>
    </row>
    <row r="9194" ht="33.75" customHeight="1">
      <c r="A9194" s="7">
        <v>361.0</v>
      </c>
      <c r="B9194" s="9" t="s">
        <v>15229</v>
      </c>
      <c r="C9194" s="9" t="s">
        <v>554</v>
      </c>
      <c r="D9194" s="9" t="s">
        <v>81</v>
      </c>
      <c r="E9194" s="6" t="s">
        <v>8836</v>
      </c>
      <c r="F9194" s="9" t="s">
        <v>15917</v>
      </c>
    </row>
    <row r="9195" ht="33.75" customHeight="1">
      <c r="A9195" s="7">
        <v>361.0</v>
      </c>
      <c r="B9195" s="9" t="s">
        <v>15229</v>
      </c>
      <c r="C9195" s="9" t="s">
        <v>554</v>
      </c>
      <c r="D9195" s="9" t="s">
        <v>84</v>
      </c>
      <c r="E9195" s="6" t="s">
        <v>8836</v>
      </c>
      <c r="F9195" s="9" t="s">
        <v>15917</v>
      </c>
    </row>
    <row r="9196" ht="33.75" customHeight="1">
      <c r="A9196" s="7">
        <v>361.0</v>
      </c>
      <c r="B9196" s="9" t="s">
        <v>15229</v>
      </c>
      <c r="C9196" s="9" t="s">
        <v>554</v>
      </c>
      <c r="D9196" s="9" t="s">
        <v>87</v>
      </c>
      <c r="E9196" s="6" t="s">
        <v>8838</v>
      </c>
      <c r="F9196" s="9" t="s">
        <v>15917</v>
      </c>
    </row>
    <row r="9197" ht="33.75" customHeight="1">
      <c r="A9197" s="7">
        <v>361.0</v>
      </c>
      <c r="B9197" s="9" t="s">
        <v>15229</v>
      </c>
      <c r="C9197" s="9" t="s">
        <v>554</v>
      </c>
      <c r="D9197" s="9" t="s">
        <v>89</v>
      </c>
      <c r="E9197" s="6" t="s">
        <v>8840</v>
      </c>
      <c r="F9197" s="9" t="s">
        <v>15917</v>
      </c>
    </row>
    <row r="9198" ht="33.75" customHeight="1">
      <c r="A9198" s="7">
        <v>361.0</v>
      </c>
      <c r="B9198" s="9" t="s">
        <v>15229</v>
      </c>
      <c r="C9198" s="9" t="s">
        <v>554</v>
      </c>
      <c r="D9198" s="9" t="s">
        <v>91</v>
      </c>
      <c r="E9198" s="6" t="s">
        <v>8840</v>
      </c>
      <c r="F9198" s="9" t="s">
        <v>15917</v>
      </c>
    </row>
    <row r="9199" ht="33.75" customHeight="1">
      <c r="A9199" s="7">
        <v>361.0</v>
      </c>
      <c r="B9199" s="9" t="s">
        <v>15229</v>
      </c>
      <c r="C9199" s="9" t="s">
        <v>554</v>
      </c>
      <c r="D9199" s="9" t="s">
        <v>93</v>
      </c>
      <c r="E9199" s="6" t="s">
        <v>8841</v>
      </c>
      <c r="F9199" s="9" t="s">
        <v>15917</v>
      </c>
    </row>
    <row r="9200" ht="33.75" customHeight="1">
      <c r="A9200" s="7">
        <v>361.0</v>
      </c>
      <c r="B9200" s="9" t="s">
        <v>15229</v>
      </c>
      <c r="C9200" s="9" t="s">
        <v>554</v>
      </c>
      <c r="D9200" s="9" t="s">
        <v>95</v>
      </c>
      <c r="E9200" s="6" t="s">
        <v>8841</v>
      </c>
      <c r="F9200" s="9" t="s">
        <v>15917</v>
      </c>
    </row>
    <row r="9201" ht="33.75" customHeight="1">
      <c r="A9201" s="7">
        <v>361.0</v>
      </c>
      <c r="B9201" s="9" t="s">
        <v>15229</v>
      </c>
      <c r="C9201" s="9" t="s">
        <v>554</v>
      </c>
      <c r="D9201" s="9" t="s">
        <v>98</v>
      </c>
      <c r="E9201" s="6" t="s">
        <v>8841</v>
      </c>
      <c r="F9201" s="9" t="s">
        <v>15917</v>
      </c>
    </row>
    <row r="9202" ht="33.75" customHeight="1">
      <c r="A9202" s="7">
        <v>361.0</v>
      </c>
      <c r="B9202" s="9" t="s">
        <v>15229</v>
      </c>
      <c r="C9202" s="9" t="s">
        <v>554</v>
      </c>
      <c r="D9202" s="9" t="s">
        <v>99</v>
      </c>
      <c r="E9202" s="6" t="s">
        <v>8841</v>
      </c>
      <c r="F9202" s="9" t="s">
        <v>15917</v>
      </c>
    </row>
    <row r="9203" ht="33.75" customHeight="1">
      <c r="A9203" s="7">
        <v>361.0</v>
      </c>
      <c r="B9203" s="9" t="s">
        <v>15229</v>
      </c>
      <c r="C9203" s="9" t="s">
        <v>554</v>
      </c>
      <c r="D9203" s="9" t="s">
        <v>101</v>
      </c>
      <c r="E9203" s="6" t="s">
        <v>8841</v>
      </c>
      <c r="F9203" s="9" t="s">
        <v>15917</v>
      </c>
    </row>
    <row r="9204" ht="33.75" customHeight="1">
      <c r="A9204" s="7">
        <v>361.0</v>
      </c>
      <c r="B9204" s="9" t="s">
        <v>15229</v>
      </c>
      <c r="C9204" s="9" t="s">
        <v>554</v>
      </c>
      <c r="D9204" s="9" t="s">
        <v>105</v>
      </c>
      <c r="E9204" s="6" t="s">
        <v>8843</v>
      </c>
      <c r="F9204" s="9" t="s">
        <v>15917</v>
      </c>
    </row>
    <row r="9205" ht="33.75" customHeight="1">
      <c r="A9205" s="7">
        <v>361.0</v>
      </c>
      <c r="B9205" s="9" t="s">
        <v>15229</v>
      </c>
      <c r="C9205" s="9" t="s">
        <v>554</v>
      </c>
      <c r="D9205" s="9" t="s">
        <v>107</v>
      </c>
      <c r="E9205" s="6" t="s">
        <v>8844</v>
      </c>
      <c r="F9205" s="9" t="s">
        <v>15917</v>
      </c>
    </row>
    <row r="9206" ht="33.75" customHeight="1">
      <c r="A9206" s="7">
        <v>361.0</v>
      </c>
      <c r="B9206" s="9" t="s">
        <v>15229</v>
      </c>
      <c r="C9206" s="9" t="s">
        <v>554</v>
      </c>
      <c r="D9206" s="9" t="s">
        <v>109</v>
      </c>
      <c r="E9206" s="6" t="s">
        <v>8846</v>
      </c>
      <c r="F9206" s="9" t="s">
        <v>15917</v>
      </c>
    </row>
    <row r="9207" ht="33.75" customHeight="1">
      <c r="A9207" s="7">
        <v>361.0</v>
      </c>
      <c r="B9207" s="9" t="s">
        <v>15229</v>
      </c>
      <c r="C9207" s="9" t="s">
        <v>554</v>
      </c>
      <c r="D9207" s="9" t="s">
        <v>637</v>
      </c>
      <c r="E9207" s="6" t="s">
        <v>8847</v>
      </c>
      <c r="F9207" s="9" t="s">
        <v>15917</v>
      </c>
    </row>
    <row r="9208" ht="33.75" customHeight="1">
      <c r="A9208" s="7">
        <v>361.0</v>
      </c>
      <c r="B9208" s="9" t="s">
        <v>15229</v>
      </c>
      <c r="C9208" s="9" t="s">
        <v>554</v>
      </c>
      <c r="D9208" s="9" t="s">
        <v>642</v>
      </c>
      <c r="E9208" s="6" t="s">
        <v>8849</v>
      </c>
      <c r="F9208" s="9" t="s">
        <v>15917</v>
      </c>
    </row>
    <row r="9209" ht="33.75" customHeight="1">
      <c r="A9209" s="7">
        <v>361.0</v>
      </c>
      <c r="B9209" s="9" t="s">
        <v>15229</v>
      </c>
      <c r="C9209" s="9" t="s">
        <v>554</v>
      </c>
      <c r="D9209" s="9" t="s">
        <v>647</v>
      </c>
      <c r="E9209" s="6" t="s">
        <v>8851</v>
      </c>
      <c r="F9209" s="9" t="s">
        <v>15917</v>
      </c>
    </row>
    <row r="9210" ht="33.75" customHeight="1">
      <c r="A9210" s="7">
        <v>361.0</v>
      </c>
      <c r="B9210" s="9" t="s">
        <v>15229</v>
      </c>
      <c r="C9210" s="9" t="s">
        <v>554</v>
      </c>
      <c r="D9210" s="9" t="s">
        <v>652</v>
      </c>
      <c r="E9210" s="6" t="s">
        <v>8853</v>
      </c>
      <c r="F9210" s="9" t="s">
        <v>15917</v>
      </c>
    </row>
    <row r="9211" ht="33.75" customHeight="1">
      <c r="A9211" s="7">
        <v>361.0</v>
      </c>
      <c r="B9211" s="9" t="s">
        <v>15229</v>
      </c>
      <c r="C9211" s="9" t="s">
        <v>554</v>
      </c>
      <c r="D9211" s="9" t="s">
        <v>114</v>
      </c>
      <c r="E9211" s="6" t="s">
        <v>8840</v>
      </c>
      <c r="F9211" s="9" t="s">
        <v>15917</v>
      </c>
    </row>
    <row r="9212" ht="33.75" customHeight="1">
      <c r="A9212" s="7">
        <v>361.0</v>
      </c>
      <c r="B9212" s="9" t="s">
        <v>15229</v>
      </c>
      <c r="C9212" s="9" t="s">
        <v>554</v>
      </c>
      <c r="D9212" s="9" t="s">
        <v>117</v>
      </c>
      <c r="E9212" s="6" t="s">
        <v>8854</v>
      </c>
      <c r="F9212" s="9" t="s">
        <v>15917</v>
      </c>
    </row>
    <row r="9213" ht="33.75" customHeight="1">
      <c r="A9213" s="7">
        <v>361.0</v>
      </c>
      <c r="B9213" s="9" t="s">
        <v>15229</v>
      </c>
      <c r="C9213" s="9" t="s">
        <v>554</v>
      </c>
      <c r="D9213" s="9" t="s">
        <v>1577</v>
      </c>
      <c r="E9213" s="6" t="s">
        <v>8856</v>
      </c>
      <c r="F9213" s="9" t="s">
        <v>15917</v>
      </c>
    </row>
    <row r="9214" ht="33.75" customHeight="1">
      <c r="A9214" s="7">
        <v>362.0</v>
      </c>
      <c r="B9214" s="9" t="s">
        <v>15249</v>
      </c>
      <c r="C9214" s="9" t="s">
        <v>555</v>
      </c>
      <c r="D9214" s="9" t="s">
        <v>67</v>
      </c>
      <c r="E9214" s="6" t="s">
        <v>8857</v>
      </c>
      <c r="F9214" s="9" t="s">
        <v>15936</v>
      </c>
      <c r="G9214" t="inlineStr" s="6">
        <is>
          <t xml:space="preserve">GLALIE has a body made of rock, which it hardens with an armor of ice. This POKéMON has the ability to freeze moisture in the atmosphere into any shape it desires. GLALIE has the ability to freely control ice. For example, it can instantly freeze its foe solid. After immobilizing its foe in ice, this POKéMON enjoys eating it in leisurely fashion. A GLALIE has the power to instantaneously freeze moisture in the atmosphere. A dazzling cloud of diamondlike ice crystals forms around its body. It has a body of ice that won’t melt, even with fire. It can instantly freeze moisture in the atmosphere. To protect itself, it clads its body in an armor of ice, made by freezing moisture in the air. It prevents prey from escaping by instantaneously freezing moisture in the air. It uses this power to freeze its foes. To protect itself, it clad its body in an armor of ice, made by freezing moisture in the air. For example, it can instantly freeze its prey solid. After immobilizing its prey in ice, this Pokémon enjoys eating it in leisurely fashion. Legend says a boulder on an icy mountain absorbed the distress and regrets of a stranded mountaineer, giving rise to Glalie. Its prey is instantaneously frozen stiff by the cold air it exhales from its huge mouth. While they’re in that frozen state, it gobbles them up. It freezes its prey and chews them whole. However, it prefers to eat Pokémon like Vanillite that are already frozen. Its actual body is a rock that isn’t particularly hard. Glalie absorbs moisture from the air and drapes itself in an armor of ice. It covers its body with an armor of ice harder than steel. Uses its breath to freeze prey, which it then devours as if they were frozen desserts.</t>
        </is>
      </c>
    </row>
    <row r="9215" ht="33.75" customHeight="1">
      <c r="A9215" s="7">
        <v>362.0</v>
      </c>
      <c r="B9215" s="9" t="s">
        <v>15249</v>
      </c>
      <c r="C9215" s="9" t="s">
        <v>555</v>
      </c>
      <c r="D9215" s="9" t="s">
        <v>71</v>
      </c>
      <c r="E9215" s="6" t="s">
        <v>8858</v>
      </c>
      <c r="F9215" s="9" t="s">
        <v>15936</v>
      </c>
    </row>
    <row r="9216" ht="33.75" customHeight="1">
      <c r="A9216" s="7">
        <v>362.0</v>
      </c>
      <c r="B9216" s="9" t="s">
        <v>15249</v>
      </c>
      <c r="C9216" s="9" t="s">
        <v>555</v>
      </c>
      <c r="D9216" s="9" t="s">
        <v>73</v>
      </c>
      <c r="E9216" s="6" t="s">
        <v>8860</v>
      </c>
      <c r="F9216" s="9" t="s">
        <v>15936</v>
      </c>
    </row>
    <row r="9217" ht="33.75" customHeight="1">
      <c r="A9217" s="7">
        <v>362.0</v>
      </c>
      <c r="B9217" s="9" t="s">
        <v>15249</v>
      </c>
      <c r="C9217" s="9" t="s">
        <v>555</v>
      </c>
      <c r="D9217" s="9" t="s">
        <v>75</v>
      </c>
      <c r="E9217" s="6" t="s">
        <v>8861</v>
      </c>
      <c r="F9217" s="9" t="s">
        <v>15936</v>
      </c>
    </row>
    <row r="9218" ht="33.75" customHeight="1">
      <c r="A9218" s="7">
        <v>362.0</v>
      </c>
      <c r="B9218" s="9" t="s">
        <v>15249</v>
      </c>
      <c r="C9218" s="9" t="s">
        <v>555</v>
      </c>
      <c r="D9218" s="9" t="s">
        <v>79</v>
      </c>
      <c r="E9218" s="6" t="s">
        <v>8861</v>
      </c>
      <c r="F9218" s="9" t="s">
        <v>15936</v>
      </c>
    </row>
    <row r="9219" ht="33.75" customHeight="1">
      <c r="A9219" s="7">
        <v>362.0</v>
      </c>
      <c r="B9219" s="9" t="s">
        <v>15249</v>
      </c>
      <c r="C9219" s="9" t="s">
        <v>555</v>
      </c>
      <c r="D9219" s="9" t="s">
        <v>81</v>
      </c>
      <c r="E9219" s="6" t="s">
        <v>8862</v>
      </c>
      <c r="F9219" s="9" t="s">
        <v>15936</v>
      </c>
    </row>
    <row r="9220" ht="33.75" customHeight="1">
      <c r="A9220" s="7">
        <v>362.0</v>
      </c>
      <c r="B9220" s="9" t="s">
        <v>15249</v>
      </c>
      <c r="C9220" s="9" t="s">
        <v>555</v>
      </c>
      <c r="D9220" s="9" t="s">
        <v>84</v>
      </c>
      <c r="E9220" s="6" t="s">
        <v>8862</v>
      </c>
      <c r="F9220" s="9" t="s">
        <v>15936</v>
      </c>
    </row>
    <row r="9221" ht="33.75" customHeight="1">
      <c r="A9221" s="7">
        <v>362.0</v>
      </c>
      <c r="B9221" s="9" t="s">
        <v>15249</v>
      </c>
      <c r="C9221" s="9" t="s">
        <v>555</v>
      </c>
      <c r="D9221" s="9" t="s">
        <v>87</v>
      </c>
      <c r="E9221" s="6" t="s">
        <v>8863</v>
      </c>
      <c r="F9221" s="9" t="s">
        <v>15936</v>
      </c>
    </row>
    <row r="9222" ht="33.75" customHeight="1">
      <c r="A9222" s="7">
        <v>362.0</v>
      </c>
      <c r="B9222" s="9" t="s">
        <v>15249</v>
      </c>
      <c r="C9222" s="9" t="s">
        <v>555</v>
      </c>
      <c r="D9222" s="9" t="s">
        <v>89</v>
      </c>
      <c r="E9222" s="6" t="s">
        <v>8864</v>
      </c>
      <c r="F9222" s="9" t="s">
        <v>15936</v>
      </c>
    </row>
    <row r="9223" ht="33.75" customHeight="1">
      <c r="A9223" s="7">
        <v>362.0</v>
      </c>
      <c r="B9223" s="9" t="s">
        <v>15249</v>
      </c>
      <c r="C9223" s="9" t="s">
        <v>555</v>
      </c>
      <c r="D9223" s="9" t="s">
        <v>91</v>
      </c>
      <c r="E9223" s="6" t="s">
        <v>8864</v>
      </c>
      <c r="F9223" s="9" t="s">
        <v>15936</v>
      </c>
    </row>
    <row r="9224" ht="33.75" customHeight="1">
      <c r="A9224" s="7">
        <v>362.0</v>
      </c>
      <c r="B9224" s="9" t="s">
        <v>15249</v>
      </c>
      <c r="C9224" s="9" t="s">
        <v>555</v>
      </c>
      <c r="D9224" s="9" t="s">
        <v>93</v>
      </c>
      <c r="E9224" s="6" t="s">
        <v>8863</v>
      </c>
      <c r="F9224" s="9" t="s">
        <v>15936</v>
      </c>
    </row>
    <row r="9225" ht="33.75" customHeight="1">
      <c r="A9225" s="7">
        <v>362.0</v>
      </c>
      <c r="B9225" s="9" t="s">
        <v>15249</v>
      </c>
      <c r="C9225" s="9" t="s">
        <v>555</v>
      </c>
      <c r="D9225" s="9" t="s">
        <v>95</v>
      </c>
      <c r="E9225" s="6" t="s">
        <v>8863</v>
      </c>
      <c r="F9225" s="9" t="s">
        <v>15936</v>
      </c>
    </row>
    <row r="9226" ht="33.75" customHeight="1">
      <c r="A9226" s="7">
        <v>362.0</v>
      </c>
      <c r="B9226" s="9" t="s">
        <v>15249</v>
      </c>
      <c r="C9226" s="9" t="s">
        <v>555</v>
      </c>
      <c r="D9226" s="9" t="s">
        <v>98</v>
      </c>
      <c r="E9226" s="6" t="s">
        <v>8863</v>
      </c>
      <c r="F9226" s="9" t="s">
        <v>15936</v>
      </c>
    </row>
    <row r="9227" ht="33.75" customHeight="1">
      <c r="A9227" s="7">
        <v>362.0</v>
      </c>
      <c r="B9227" s="9" t="s">
        <v>15249</v>
      </c>
      <c r="C9227" s="9" t="s">
        <v>555</v>
      </c>
      <c r="D9227" s="9" t="s">
        <v>99</v>
      </c>
      <c r="E9227" s="6" t="s">
        <v>8863</v>
      </c>
      <c r="F9227" s="9" t="s">
        <v>15936</v>
      </c>
    </row>
    <row r="9228" ht="33.75" customHeight="1">
      <c r="A9228" s="7">
        <v>362.0</v>
      </c>
      <c r="B9228" s="9" t="s">
        <v>15249</v>
      </c>
      <c r="C9228" s="9" t="s">
        <v>555</v>
      </c>
      <c r="D9228" s="9" t="s">
        <v>101</v>
      </c>
      <c r="E9228" s="6" t="s">
        <v>8865</v>
      </c>
      <c r="F9228" s="9" t="s">
        <v>15936</v>
      </c>
    </row>
    <row r="9229" ht="33.75" customHeight="1">
      <c r="A9229" s="7">
        <v>362.0</v>
      </c>
      <c r="B9229" s="9" t="s">
        <v>15249</v>
      </c>
      <c r="C9229" s="9" t="s">
        <v>555</v>
      </c>
      <c r="D9229" s="9" t="s">
        <v>105</v>
      </c>
      <c r="E9229" s="6" t="s">
        <v>8864</v>
      </c>
      <c r="F9229" s="9" t="s">
        <v>15936</v>
      </c>
    </row>
    <row r="9230" ht="33.75" customHeight="1">
      <c r="A9230" s="7">
        <v>362.0</v>
      </c>
      <c r="B9230" s="9" t="s">
        <v>15249</v>
      </c>
      <c r="C9230" s="9" t="s">
        <v>555</v>
      </c>
      <c r="D9230" s="9" t="s">
        <v>107</v>
      </c>
      <c r="E9230" s="6" t="s">
        <v>8866</v>
      </c>
      <c r="F9230" s="9" t="s">
        <v>15936</v>
      </c>
    </row>
    <row r="9231" ht="33.75" customHeight="1">
      <c r="A9231" s="7">
        <v>362.0</v>
      </c>
      <c r="B9231" s="9" t="s">
        <v>15249</v>
      </c>
      <c r="C9231" s="9" t="s">
        <v>555</v>
      </c>
      <c r="D9231" s="9" t="s">
        <v>109</v>
      </c>
      <c r="E9231" s="6" t="s">
        <v>8868</v>
      </c>
      <c r="F9231" s="9" t="s">
        <v>15936</v>
      </c>
    </row>
    <row r="9232" ht="33.75" customHeight="1">
      <c r="A9232" s="7">
        <v>362.0</v>
      </c>
      <c r="B9232" s="9" t="s">
        <v>15249</v>
      </c>
      <c r="C9232" s="9" t="s">
        <v>555</v>
      </c>
      <c r="D9232" s="9" t="s">
        <v>637</v>
      </c>
      <c r="E9232" s="6" t="s">
        <v>8869</v>
      </c>
      <c r="F9232" s="9" t="s">
        <v>15936</v>
      </c>
    </row>
    <row r="9233" ht="33.75" customHeight="1">
      <c r="A9233" s="7">
        <v>362.0</v>
      </c>
      <c r="B9233" s="9" t="s">
        <v>15249</v>
      </c>
      <c r="C9233" s="9" t="s">
        <v>555</v>
      </c>
      <c r="D9233" s="9" t="s">
        <v>642</v>
      </c>
      <c r="E9233" s="6" t="s">
        <v>8871</v>
      </c>
      <c r="F9233" s="9" t="s">
        <v>15936</v>
      </c>
    </row>
    <row r="9234" ht="33.75" customHeight="1">
      <c r="A9234" s="7">
        <v>362.0</v>
      </c>
      <c r="B9234" s="9" t="s">
        <v>15249</v>
      </c>
      <c r="C9234" s="9" t="s">
        <v>555</v>
      </c>
      <c r="D9234" s="9" t="s">
        <v>647</v>
      </c>
      <c r="E9234" s="6" t="s">
        <v>8872</v>
      </c>
      <c r="F9234" s="9" t="s">
        <v>15936</v>
      </c>
    </row>
    <row r="9235" ht="33.75" customHeight="1">
      <c r="A9235" s="7">
        <v>362.0</v>
      </c>
      <c r="B9235" s="9" t="s">
        <v>15249</v>
      </c>
      <c r="C9235" s="9" t="s">
        <v>555</v>
      </c>
      <c r="D9235" s="9" t="s">
        <v>652</v>
      </c>
      <c r="E9235" s="6" t="s">
        <v>8874</v>
      </c>
      <c r="F9235" s="9" t="s">
        <v>15936</v>
      </c>
    </row>
    <row r="9236" ht="33.75" customHeight="1">
      <c r="A9236" s="7">
        <v>362.0</v>
      </c>
      <c r="B9236" s="9" t="s">
        <v>15249</v>
      </c>
      <c r="C9236" s="9" t="s">
        <v>555</v>
      </c>
      <c r="D9236" s="9" t="s">
        <v>114</v>
      </c>
      <c r="E9236" s="6" t="s">
        <v>8861</v>
      </c>
      <c r="F9236" s="9" t="s">
        <v>15936</v>
      </c>
    </row>
    <row r="9237" ht="33.75" customHeight="1">
      <c r="A9237" s="7">
        <v>362.0</v>
      </c>
      <c r="B9237" s="9" t="s">
        <v>15249</v>
      </c>
      <c r="C9237" s="9" t="s">
        <v>555</v>
      </c>
      <c r="D9237" s="9" t="s">
        <v>117</v>
      </c>
      <c r="E9237" s="6" t="s">
        <v>8864</v>
      </c>
      <c r="F9237" s="9" t="s">
        <v>15936</v>
      </c>
    </row>
    <row r="9238" ht="33.75" customHeight="1">
      <c r="A9238" s="7">
        <v>362.0</v>
      </c>
      <c r="B9238" s="9" t="s">
        <v>15249</v>
      </c>
      <c r="C9238" s="9" t="s">
        <v>555</v>
      </c>
      <c r="D9238" s="9" t="s">
        <v>1577</v>
      </c>
      <c r="E9238" s="6" t="s">
        <v>8875</v>
      </c>
      <c r="F9238" s="9" t="s">
        <v>15936</v>
      </c>
    </row>
    <row r="9239" ht="33.75" customHeight="1">
      <c r="A9239" s="7">
        <v>363.0</v>
      </c>
      <c r="B9239" s="9" t="s">
        <v>15267</v>
      </c>
      <c r="C9239" s="9" t="s">
        <v>557</v>
      </c>
      <c r="D9239" s="9" t="s">
        <v>67</v>
      </c>
      <c r="E9239" s="6" t="s">
        <v>8877</v>
      </c>
      <c r="F9239" s="9" t="s">
        <v>15950</v>
      </c>
      <c r="G9239" t="inlineStr" s="6">
        <is>
          <t xml:space="preserve">SPHEAL is much faster rolling than walking to get around. When groups of this POKéMON eat, they all clap at once to show their pleasure. Because of this, their mealtimes are noisy. SPHEAL always travels by rolling around on its ball-like body. When the season for ice floes arrives, this POKéMON can be seen rolling about on ice and crossing the sea. It is completely covered with plushy fur. As a result, it never feels the cold even when it is rolling about on ice floes or diving in the sea. Its body is covered in fluffy fur. The fur keeps it from feeling cold while it is rolling on ice. It rolls across ice floes to reach shore because its body is poorly shaped for swimming. It crosses the oceans by rolling itself on drifting ice. Fluffy fur keeps it warm when the temperature is below freezing. They can’t swim well yet, and they move much faster by rolling. When they’re happy, they clap fins. This Pokémon’s body is covered in blubber and impressively round. It’s faster for Spheal to roll around than walk. As it drifts among the waves, Spheal probes the sea. As soon as it spots prey, it informs the Walrein in its herd. During the season when drift ice approaches the shore, Spheal prefers living on the ice—where fewer predators lurk—rather than the land. Its fur retains heat superbly and resists harsh cold.</t>
        </is>
      </c>
    </row>
    <row r="9240" ht="33.75" customHeight="1">
      <c r="A9240" s="7">
        <v>363.0</v>
      </c>
      <c r="B9240" s="9" t="s">
        <v>15267</v>
      </c>
      <c r="C9240" s="9" t="s">
        <v>557</v>
      </c>
      <c r="D9240" s="9" t="s">
        <v>71</v>
      </c>
      <c r="E9240" s="6" t="s">
        <v>8879</v>
      </c>
      <c r="F9240" s="9" t="s">
        <v>15950</v>
      </c>
    </row>
    <row r="9241" ht="33.75" customHeight="1">
      <c r="A9241" s="7">
        <v>363.0</v>
      </c>
      <c r="B9241" s="9" t="s">
        <v>15267</v>
      </c>
      <c r="C9241" s="9" t="s">
        <v>557</v>
      </c>
      <c r="D9241" s="9" t="s">
        <v>73</v>
      </c>
      <c r="E9241" s="6" t="s">
        <v>8880</v>
      </c>
      <c r="F9241" s="9" t="s">
        <v>15950</v>
      </c>
    </row>
    <row r="9242" ht="33.75" customHeight="1">
      <c r="A9242" s="7">
        <v>363.0</v>
      </c>
      <c r="B9242" s="9" t="s">
        <v>15267</v>
      </c>
      <c r="C9242" s="9" t="s">
        <v>557</v>
      </c>
      <c r="D9242" s="9" t="s">
        <v>75</v>
      </c>
      <c r="E9242" s="6" t="s">
        <v>8881</v>
      </c>
      <c r="F9242" s="9" t="s">
        <v>15950</v>
      </c>
    </row>
    <row r="9243" ht="33.75" customHeight="1">
      <c r="A9243" s="7">
        <v>363.0</v>
      </c>
      <c r="B9243" s="9" t="s">
        <v>15267</v>
      </c>
      <c r="C9243" s="9" t="s">
        <v>557</v>
      </c>
      <c r="D9243" s="9" t="s">
        <v>79</v>
      </c>
      <c r="E9243" s="6" t="s">
        <v>8881</v>
      </c>
      <c r="F9243" s="9" t="s">
        <v>15950</v>
      </c>
    </row>
    <row r="9244" ht="33.75" customHeight="1">
      <c r="A9244" s="7">
        <v>363.0</v>
      </c>
      <c r="B9244" s="9" t="s">
        <v>15267</v>
      </c>
      <c r="C9244" s="9" t="s">
        <v>557</v>
      </c>
      <c r="D9244" s="9" t="s">
        <v>81</v>
      </c>
      <c r="E9244" s="6" t="s">
        <v>8883</v>
      </c>
      <c r="F9244" s="9" t="s">
        <v>15950</v>
      </c>
    </row>
    <row r="9245" ht="33.75" customHeight="1">
      <c r="A9245" s="7">
        <v>363.0</v>
      </c>
      <c r="B9245" s="9" t="s">
        <v>15267</v>
      </c>
      <c r="C9245" s="9" t="s">
        <v>557</v>
      </c>
      <c r="D9245" s="9" t="s">
        <v>84</v>
      </c>
      <c r="E9245" s="6" t="s">
        <v>8883</v>
      </c>
      <c r="F9245" s="9" t="s">
        <v>15950</v>
      </c>
    </row>
    <row r="9246" ht="33.75" customHeight="1">
      <c r="A9246" s="7">
        <v>363.0</v>
      </c>
      <c r="B9246" s="9" t="s">
        <v>15267</v>
      </c>
      <c r="C9246" s="9" t="s">
        <v>557</v>
      </c>
      <c r="D9246" s="9" t="s">
        <v>87</v>
      </c>
      <c r="E9246" s="6" t="s">
        <v>8883</v>
      </c>
      <c r="F9246" s="9" t="s">
        <v>15950</v>
      </c>
    </row>
    <row r="9247" ht="33.75" customHeight="1">
      <c r="A9247" s="7">
        <v>363.0</v>
      </c>
      <c r="B9247" s="9" t="s">
        <v>15267</v>
      </c>
      <c r="C9247" s="9" t="s">
        <v>557</v>
      </c>
      <c r="D9247" s="9" t="s">
        <v>89</v>
      </c>
      <c r="E9247" s="6" t="s">
        <v>8885</v>
      </c>
      <c r="F9247" s="9" t="s">
        <v>15950</v>
      </c>
    </row>
    <row r="9248" ht="33.75" customHeight="1">
      <c r="A9248" s="7">
        <v>363.0</v>
      </c>
      <c r="B9248" s="9" t="s">
        <v>15267</v>
      </c>
      <c r="C9248" s="9" t="s">
        <v>557</v>
      </c>
      <c r="D9248" s="9" t="s">
        <v>91</v>
      </c>
      <c r="E9248" s="6" t="s">
        <v>8885</v>
      </c>
      <c r="F9248" s="9" t="s">
        <v>15950</v>
      </c>
    </row>
    <row r="9249" ht="33.75" customHeight="1">
      <c r="A9249" s="7">
        <v>363.0</v>
      </c>
      <c r="B9249" s="9" t="s">
        <v>15267</v>
      </c>
      <c r="C9249" s="9" t="s">
        <v>557</v>
      </c>
      <c r="D9249" s="9" t="s">
        <v>93</v>
      </c>
      <c r="E9249" s="6" t="s">
        <v>8883</v>
      </c>
      <c r="F9249" s="9" t="s">
        <v>15950</v>
      </c>
    </row>
    <row r="9250" ht="33.75" customHeight="1">
      <c r="A9250" s="7">
        <v>363.0</v>
      </c>
      <c r="B9250" s="9" t="s">
        <v>15267</v>
      </c>
      <c r="C9250" s="9" t="s">
        <v>557</v>
      </c>
      <c r="D9250" s="9" t="s">
        <v>95</v>
      </c>
      <c r="E9250" s="6" t="s">
        <v>8883</v>
      </c>
      <c r="F9250" s="9" t="s">
        <v>15950</v>
      </c>
    </row>
    <row r="9251" ht="33.75" customHeight="1">
      <c r="A9251" s="7">
        <v>363.0</v>
      </c>
      <c r="B9251" s="9" t="s">
        <v>15267</v>
      </c>
      <c r="C9251" s="9" t="s">
        <v>557</v>
      </c>
      <c r="D9251" s="9" t="s">
        <v>98</v>
      </c>
      <c r="E9251" s="6" t="s">
        <v>8888</v>
      </c>
      <c r="F9251" s="9" t="s">
        <v>15950</v>
      </c>
    </row>
    <row r="9252" ht="33.75" customHeight="1">
      <c r="A9252" s="7">
        <v>363.0</v>
      </c>
      <c r="B9252" s="9" t="s">
        <v>15267</v>
      </c>
      <c r="C9252" s="9" t="s">
        <v>557</v>
      </c>
      <c r="D9252" s="9" t="s">
        <v>99</v>
      </c>
      <c r="E9252" s="6" t="s">
        <v>8888</v>
      </c>
      <c r="F9252" s="9" t="s">
        <v>15950</v>
      </c>
    </row>
    <row r="9253" ht="33.75" customHeight="1">
      <c r="A9253" s="7">
        <v>363.0</v>
      </c>
      <c r="B9253" s="9" t="s">
        <v>15267</v>
      </c>
      <c r="C9253" s="9" t="s">
        <v>557</v>
      </c>
      <c r="D9253" s="9" t="s">
        <v>101</v>
      </c>
      <c r="E9253" s="6" t="s">
        <v>8888</v>
      </c>
      <c r="F9253" s="9" t="s">
        <v>15950</v>
      </c>
    </row>
    <row r="9254" ht="33.75" customHeight="1">
      <c r="A9254" s="7">
        <v>363.0</v>
      </c>
      <c r="B9254" s="9" t="s">
        <v>15267</v>
      </c>
      <c r="C9254" s="9" t="s">
        <v>557</v>
      </c>
      <c r="D9254" s="9" t="s">
        <v>105</v>
      </c>
      <c r="E9254" s="6" t="s">
        <v>8881</v>
      </c>
      <c r="F9254" s="9" t="s">
        <v>15950</v>
      </c>
    </row>
    <row r="9255" ht="33.75" customHeight="1">
      <c r="A9255" s="7">
        <v>363.0</v>
      </c>
      <c r="B9255" s="9" t="s">
        <v>15267</v>
      </c>
      <c r="C9255" s="9" t="s">
        <v>557</v>
      </c>
      <c r="D9255" s="9" t="s">
        <v>107</v>
      </c>
      <c r="E9255" s="6" t="s">
        <v>8889</v>
      </c>
      <c r="F9255" s="9" t="s">
        <v>15950</v>
      </c>
    </row>
    <row r="9256" ht="33.75" customHeight="1">
      <c r="A9256" s="7">
        <v>363.0</v>
      </c>
      <c r="B9256" s="9" t="s">
        <v>15267</v>
      </c>
      <c r="C9256" s="9" t="s">
        <v>557</v>
      </c>
      <c r="D9256" s="9" t="s">
        <v>109</v>
      </c>
      <c r="E9256" s="6" t="s">
        <v>8891</v>
      </c>
      <c r="F9256" s="9" t="s">
        <v>15950</v>
      </c>
    </row>
    <row r="9257" ht="33.75" customHeight="1">
      <c r="A9257" s="7">
        <v>363.0</v>
      </c>
      <c r="B9257" s="9" t="s">
        <v>15267</v>
      </c>
      <c r="C9257" s="9" t="s">
        <v>557</v>
      </c>
      <c r="D9257" s="9" t="s">
        <v>114</v>
      </c>
      <c r="E9257" s="6" t="s">
        <v>8892</v>
      </c>
      <c r="F9257" s="9" t="s">
        <v>15950</v>
      </c>
    </row>
    <row r="9258" ht="33.75" customHeight="1">
      <c r="A9258" s="7">
        <v>363.0</v>
      </c>
      <c r="B9258" s="9" t="s">
        <v>15267</v>
      </c>
      <c r="C9258" s="9" t="s">
        <v>557</v>
      </c>
      <c r="D9258" s="9" t="s">
        <v>117</v>
      </c>
      <c r="E9258" s="6" t="s">
        <v>8894</v>
      </c>
      <c r="F9258" s="9" t="s">
        <v>15950</v>
      </c>
    </row>
    <row r="9259" ht="33.75" customHeight="1">
      <c r="A9259" s="7">
        <v>363.0</v>
      </c>
      <c r="B9259" s="9" t="s">
        <v>15267</v>
      </c>
      <c r="C9259" s="9" t="s">
        <v>557</v>
      </c>
      <c r="D9259" s="9" t="s">
        <v>1577</v>
      </c>
      <c r="E9259" s="6" t="s">
        <v>8896</v>
      </c>
      <c r="F9259" s="9" t="s">
        <v>15950</v>
      </c>
    </row>
    <row r="9260" ht="33.75" customHeight="1">
      <c r="A9260" s="7">
        <v>364.0</v>
      </c>
      <c r="B9260" s="9" t="s">
        <v>15282</v>
      </c>
      <c r="C9260" s="9" t="s">
        <v>558</v>
      </c>
      <c r="D9260" s="9" t="s">
        <v>67</v>
      </c>
      <c r="E9260" s="6" t="s">
        <v>8898</v>
      </c>
      <c r="F9260" s="9" t="s">
        <v>15964</v>
      </c>
      <c r="G9260" t="inlineStr" s="6">
        <is>
          <t xml:space="preserve">SEALEO has the habit of always juggling on the tip of Sealeo's nose anything it sees for the first time. This POKéMON occasionally entertains itself by balancing and rolling a SPHEAL on its nose. SEALEO often balances and rolls things on the tip of its nose. While the POKéMON is rolling something, it checks the object’s aroma and texture to determine whether it likes the object or not. SEALEO live in herds on ice floes. Using its powerful flippers, it shatters ice. It dives into the sea to hunt prey five times a day. It touches new things with its nose to test for smell and feel. It plays by spinning SPHEAL on its nose. It habitually spins things on its nose. By doing so, it learns textures and odors. It has a very sensitive nose. It touches new things with its nose to examine them. Be it Spheal or Poké Ball, it will spin any round object on its nose with the greatest of ease. Sealeo live on top of drift ice. They go swimming when they’re on the hunt, seeking out their prey by scent. This Pokémon has a habit of spinning round things on its nose, whether those things are Poké Balls or Spheal. Its white whiskers are very sensitive. Sealeo will balance Spheal on the tip of its nose, checking its scent and its feel to be sure the Spheal is healthy.</t>
        </is>
      </c>
    </row>
    <row r="9261" ht="33.75" customHeight="1">
      <c r="A9261" s="7">
        <v>364.0</v>
      </c>
      <c r="B9261" s="9" t="s">
        <v>15282</v>
      </c>
      <c r="C9261" s="9" t="s">
        <v>558</v>
      </c>
      <c r="D9261" s="9" t="s">
        <v>71</v>
      </c>
      <c r="E9261" s="6" t="s">
        <v>8899</v>
      </c>
      <c r="F9261" s="9" t="s">
        <v>15964</v>
      </c>
    </row>
    <row r="9262" ht="33.75" customHeight="1">
      <c r="A9262" s="7">
        <v>364.0</v>
      </c>
      <c r="B9262" s="9" t="s">
        <v>15282</v>
      </c>
      <c r="C9262" s="9" t="s">
        <v>558</v>
      </c>
      <c r="D9262" s="9" t="s">
        <v>73</v>
      </c>
      <c r="E9262" s="6" t="s">
        <v>8901</v>
      </c>
      <c r="F9262" s="9" t="s">
        <v>15964</v>
      </c>
    </row>
    <row r="9263" ht="33.75" customHeight="1">
      <c r="A9263" s="7">
        <v>364.0</v>
      </c>
      <c r="B9263" s="9" t="s">
        <v>15282</v>
      </c>
      <c r="C9263" s="9" t="s">
        <v>558</v>
      </c>
      <c r="D9263" s="9" t="s">
        <v>75</v>
      </c>
      <c r="E9263" s="6" t="s">
        <v>8902</v>
      </c>
      <c r="F9263" s="9" t="s">
        <v>15964</v>
      </c>
    </row>
    <row r="9264" ht="33.75" customHeight="1">
      <c r="A9264" s="7">
        <v>364.0</v>
      </c>
      <c r="B9264" s="9" t="s">
        <v>15282</v>
      </c>
      <c r="C9264" s="9" t="s">
        <v>558</v>
      </c>
      <c r="D9264" s="9" t="s">
        <v>79</v>
      </c>
      <c r="E9264" s="6" t="s">
        <v>8902</v>
      </c>
      <c r="F9264" s="9" t="s">
        <v>15964</v>
      </c>
    </row>
    <row r="9265" ht="33.75" customHeight="1">
      <c r="A9265" s="7">
        <v>364.0</v>
      </c>
      <c r="B9265" s="9" t="s">
        <v>15282</v>
      </c>
      <c r="C9265" s="9" t="s">
        <v>558</v>
      </c>
      <c r="D9265" s="9" t="s">
        <v>81</v>
      </c>
      <c r="E9265" s="6" t="s">
        <v>8903</v>
      </c>
      <c r="F9265" s="9" t="s">
        <v>15964</v>
      </c>
    </row>
    <row r="9266" ht="33.75" customHeight="1">
      <c r="A9266" s="7">
        <v>364.0</v>
      </c>
      <c r="B9266" s="9" t="s">
        <v>15282</v>
      </c>
      <c r="C9266" s="9" t="s">
        <v>558</v>
      </c>
      <c r="D9266" s="9" t="s">
        <v>84</v>
      </c>
      <c r="E9266" s="6" t="s">
        <v>8903</v>
      </c>
      <c r="F9266" s="9" t="s">
        <v>15964</v>
      </c>
    </row>
    <row r="9267" ht="33.75" customHeight="1">
      <c r="A9267" s="7">
        <v>364.0</v>
      </c>
      <c r="B9267" s="9" t="s">
        <v>15282</v>
      </c>
      <c r="C9267" s="9" t="s">
        <v>558</v>
      </c>
      <c r="D9267" s="9" t="s">
        <v>87</v>
      </c>
      <c r="E9267" s="6" t="s">
        <v>8903</v>
      </c>
      <c r="F9267" s="9" t="s">
        <v>15964</v>
      </c>
    </row>
    <row r="9268" ht="33.75" customHeight="1">
      <c r="A9268" s="7">
        <v>364.0</v>
      </c>
      <c r="B9268" s="9" t="s">
        <v>15282</v>
      </c>
      <c r="C9268" s="9" t="s">
        <v>558</v>
      </c>
      <c r="D9268" s="9" t="s">
        <v>89</v>
      </c>
      <c r="E9268" s="6" t="s">
        <v>8905</v>
      </c>
      <c r="F9268" s="9" t="s">
        <v>15964</v>
      </c>
    </row>
    <row r="9269" ht="33.75" customHeight="1">
      <c r="A9269" s="7">
        <v>364.0</v>
      </c>
      <c r="B9269" s="9" t="s">
        <v>15282</v>
      </c>
      <c r="C9269" s="9" t="s">
        <v>558</v>
      </c>
      <c r="D9269" s="9" t="s">
        <v>91</v>
      </c>
      <c r="E9269" s="6" t="s">
        <v>8905</v>
      </c>
      <c r="F9269" s="9" t="s">
        <v>15964</v>
      </c>
    </row>
    <row r="9270" ht="33.75" customHeight="1">
      <c r="A9270" s="7">
        <v>364.0</v>
      </c>
      <c r="B9270" s="9" t="s">
        <v>15282</v>
      </c>
      <c r="C9270" s="9" t="s">
        <v>558</v>
      </c>
      <c r="D9270" s="9" t="s">
        <v>93</v>
      </c>
      <c r="E9270" s="6" t="s">
        <v>8903</v>
      </c>
      <c r="F9270" s="9" t="s">
        <v>15964</v>
      </c>
    </row>
    <row r="9271" ht="33.75" customHeight="1">
      <c r="A9271" s="7">
        <v>364.0</v>
      </c>
      <c r="B9271" s="9" t="s">
        <v>15282</v>
      </c>
      <c r="C9271" s="9" t="s">
        <v>558</v>
      </c>
      <c r="D9271" s="9" t="s">
        <v>95</v>
      </c>
      <c r="E9271" s="6" t="s">
        <v>8903</v>
      </c>
      <c r="F9271" s="9" t="s">
        <v>15964</v>
      </c>
    </row>
    <row r="9272" ht="33.75" customHeight="1">
      <c r="A9272" s="7">
        <v>364.0</v>
      </c>
      <c r="B9272" s="9" t="s">
        <v>15282</v>
      </c>
      <c r="C9272" s="9" t="s">
        <v>558</v>
      </c>
      <c r="D9272" s="9" t="s">
        <v>98</v>
      </c>
      <c r="E9272" s="6" t="s">
        <v>8907</v>
      </c>
      <c r="F9272" s="9" t="s">
        <v>15964</v>
      </c>
    </row>
    <row r="9273" ht="33.75" customHeight="1">
      <c r="A9273" s="7">
        <v>364.0</v>
      </c>
      <c r="B9273" s="9" t="s">
        <v>15282</v>
      </c>
      <c r="C9273" s="9" t="s">
        <v>558</v>
      </c>
      <c r="D9273" s="9" t="s">
        <v>99</v>
      </c>
      <c r="E9273" s="6" t="s">
        <v>8907</v>
      </c>
      <c r="F9273" s="9" t="s">
        <v>15964</v>
      </c>
    </row>
    <row r="9274" ht="33.75" customHeight="1">
      <c r="A9274" s="7">
        <v>364.0</v>
      </c>
      <c r="B9274" s="9" t="s">
        <v>15282</v>
      </c>
      <c r="C9274" s="9" t="s">
        <v>558</v>
      </c>
      <c r="D9274" s="9" t="s">
        <v>101</v>
      </c>
      <c r="E9274" s="6" t="s">
        <v>8905</v>
      </c>
      <c r="F9274" s="9" t="s">
        <v>15964</v>
      </c>
    </row>
    <row r="9275" ht="33.75" customHeight="1">
      <c r="A9275" s="7">
        <v>364.0</v>
      </c>
      <c r="B9275" s="9" t="s">
        <v>15282</v>
      </c>
      <c r="C9275" s="9" t="s">
        <v>558</v>
      </c>
      <c r="D9275" s="9" t="s">
        <v>105</v>
      </c>
      <c r="E9275" s="6" t="s">
        <v>8907</v>
      </c>
      <c r="F9275" s="9" t="s">
        <v>15964</v>
      </c>
    </row>
    <row r="9276" ht="33.75" customHeight="1">
      <c r="A9276" s="7">
        <v>364.0</v>
      </c>
      <c r="B9276" s="9" t="s">
        <v>15282</v>
      </c>
      <c r="C9276" s="9" t="s">
        <v>558</v>
      </c>
      <c r="D9276" s="9" t="s">
        <v>107</v>
      </c>
      <c r="E9276" s="6" t="s">
        <v>8909</v>
      </c>
      <c r="F9276" s="9" t="s">
        <v>15964</v>
      </c>
    </row>
    <row r="9277" ht="33.75" customHeight="1">
      <c r="A9277" s="7">
        <v>364.0</v>
      </c>
      <c r="B9277" s="9" t="s">
        <v>15282</v>
      </c>
      <c r="C9277" s="9" t="s">
        <v>558</v>
      </c>
      <c r="D9277" s="9" t="s">
        <v>109</v>
      </c>
      <c r="E9277" s="6" t="s">
        <v>8911</v>
      </c>
      <c r="F9277" s="9" t="s">
        <v>15964</v>
      </c>
    </row>
    <row r="9278" ht="33.75" customHeight="1">
      <c r="A9278" s="7">
        <v>364.0</v>
      </c>
      <c r="B9278" s="9" t="s">
        <v>15282</v>
      </c>
      <c r="C9278" s="9" t="s">
        <v>558</v>
      </c>
      <c r="D9278" s="9" t="s">
        <v>114</v>
      </c>
      <c r="E9278" s="6" t="s">
        <v>8912</v>
      </c>
      <c r="F9278" s="9" t="s">
        <v>15964</v>
      </c>
    </row>
    <row r="9279" ht="33.75" customHeight="1">
      <c r="A9279" s="7">
        <v>364.0</v>
      </c>
      <c r="B9279" s="9" t="s">
        <v>15282</v>
      </c>
      <c r="C9279" s="9" t="s">
        <v>558</v>
      </c>
      <c r="D9279" s="9" t="s">
        <v>117</v>
      </c>
      <c r="E9279" s="6" t="s">
        <v>8913</v>
      </c>
      <c r="F9279" s="9" t="s">
        <v>15964</v>
      </c>
    </row>
    <row r="9280" ht="33.75" customHeight="1">
      <c r="A9280" s="7">
        <v>364.0</v>
      </c>
      <c r="B9280" s="9" t="s">
        <v>15282</v>
      </c>
      <c r="C9280" s="9" t="s">
        <v>558</v>
      </c>
      <c r="D9280" s="9" t="s">
        <v>1577</v>
      </c>
      <c r="E9280" s="6" t="s">
        <v>8914</v>
      </c>
      <c r="F9280" s="9" t="s">
        <v>15964</v>
      </c>
    </row>
    <row r="9281" ht="33.75" customHeight="1">
      <c r="A9281" s="7">
        <v>365.0</v>
      </c>
      <c r="B9281" s="9" t="s">
        <v>15297</v>
      </c>
      <c r="C9281" s="9" t="s">
        <v>559</v>
      </c>
      <c r="D9281" s="9" t="s">
        <v>67</v>
      </c>
      <c r="E9281" s="6" t="s">
        <v>8915</v>
      </c>
      <c r="F9281" s="9" t="s">
        <v>15978</v>
      </c>
      <c r="G9281" t="inlineStr" s="6">
        <is>
          <t xml:space="preserve">WALREIN’s two massively developed tusks can totally shatter blocks of ice weighing ten tons with one blow. This POKéMON’s thick coat of blubber insulates it from subzero temperatures. WALREIN swims all over in frigid seawater while crushing icebergs with its grand, imposing tusks. Its thick layer of blubber makes enemy attacks bounce off harmlessly. To protect its herd, the leader battles anything that invades its territory, even at the cost of its life. Its tusks may snap off in battle. It swims through icy seas while shattering ice floes with its large tusks. It is protected by its thick blubber. It shatters ice with its big tusks. Its thick blubber repels not only the cold, but also enemy attacks. It shatters drift ice with its strong tusks. Its thick layer of blubber repels enemy attacks. Not only does its thick blubber keep it warm, it also protects it from attacks. It shatters ice with its prized tusks. Walrein’s two massively developed tusks can totally shatter blocks of ice weighing 10 tons with one blow. Walrein form herds of 20 to 30 individuals. When a threat appears, the herd’s leader will protect the group with its life. Walrein’s tusks keep growing throughout its life. Tusks broken in battle will grow back to their usual impressive size in a year. Its thick tusks are strong enough to shatter drift ice. They have been known to break, but they will grow back by the next year. The Hisui region is well known for these broken tusks.</t>
        </is>
      </c>
    </row>
    <row r="9282" ht="33.75" customHeight="1">
      <c r="A9282" s="7">
        <v>365.0</v>
      </c>
      <c r="B9282" s="9" t="s">
        <v>15297</v>
      </c>
      <c r="C9282" s="9" t="s">
        <v>559</v>
      </c>
      <c r="D9282" s="9" t="s">
        <v>71</v>
      </c>
      <c r="E9282" s="6" t="s">
        <v>8916</v>
      </c>
      <c r="F9282" s="9" t="s">
        <v>15978</v>
      </c>
    </row>
    <row r="9283" ht="33.75" customHeight="1">
      <c r="A9283" s="7">
        <v>365.0</v>
      </c>
      <c r="B9283" s="9" t="s">
        <v>15297</v>
      </c>
      <c r="C9283" s="9" t="s">
        <v>559</v>
      </c>
      <c r="D9283" s="9" t="s">
        <v>73</v>
      </c>
      <c r="E9283" s="6" t="s">
        <v>8917</v>
      </c>
      <c r="F9283" s="9" t="s">
        <v>15978</v>
      </c>
    </row>
    <row r="9284" ht="33.75" customHeight="1">
      <c r="A9284" s="7">
        <v>365.0</v>
      </c>
      <c r="B9284" s="9" t="s">
        <v>15297</v>
      </c>
      <c r="C9284" s="9" t="s">
        <v>559</v>
      </c>
      <c r="D9284" s="9" t="s">
        <v>75</v>
      </c>
      <c r="E9284" s="6" t="s">
        <v>8918</v>
      </c>
      <c r="F9284" s="9" t="s">
        <v>15978</v>
      </c>
    </row>
    <row r="9285" ht="33.75" customHeight="1">
      <c r="A9285" s="7">
        <v>365.0</v>
      </c>
      <c r="B9285" s="9" t="s">
        <v>15297</v>
      </c>
      <c r="C9285" s="9" t="s">
        <v>559</v>
      </c>
      <c r="D9285" s="9" t="s">
        <v>79</v>
      </c>
      <c r="E9285" s="6" t="s">
        <v>8918</v>
      </c>
      <c r="F9285" s="9" t="s">
        <v>15978</v>
      </c>
    </row>
    <row r="9286" ht="33.75" customHeight="1">
      <c r="A9286" s="7">
        <v>365.0</v>
      </c>
      <c r="B9286" s="9" t="s">
        <v>15297</v>
      </c>
      <c r="C9286" s="9" t="s">
        <v>559</v>
      </c>
      <c r="D9286" s="9" t="s">
        <v>81</v>
      </c>
      <c r="E9286" s="6" t="s">
        <v>8920</v>
      </c>
      <c r="F9286" s="9" t="s">
        <v>15978</v>
      </c>
    </row>
    <row r="9287" ht="33.75" customHeight="1">
      <c r="A9287" s="7">
        <v>365.0</v>
      </c>
      <c r="B9287" s="9" t="s">
        <v>15297</v>
      </c>
      <c r="C9287" s="9" t="s">
        <v>559</v>
      </c>
      <c r="D9287" s="9" t="s">
        <v>84</v>
      </c>
      <c r="E9287" s="6" t="s">
        <v>8920</v>
      </c>
      <c r="F9287" s="9" t="s">
        <v>15978</v>
      </c>
    </row>
    <row r="9288" ht="33.75" customHeight="1">
      <c r="A9288" s="7">
        <v>365.0</v>
      </c>
      <c r="B9288" s="9" t="s">
        <v>15297</v>
      </c>
      <c r="C9288" s="9" t="s">
        <v>559</v>
      </c>
      <c r="D9288" s="9" t="s">
        <v>87</v>
      </c>
      <c r="E9288" s="6" t="s">
        <v>8920</v>
      </c>
      <c r="F9288" s="9" t="s">
        <v>15978</v>
      </c>
    </row>
    <row r="9289" ht="33.75" customHeight="1">
      <c r="A9289" s="7">
        <v>365.0</v>
      </c>
      <c r="B9289" s="9" t="s">
        <v>15297</v>
      </c>
      <c r="C9289" s="9" t="s">
        <v>559</v>
      </c>
      <c r="D9289" s="9" t="s">
        <v>89</v>
      </c>
      <c r="E9289" s="6" t="s">
        <v>8921</v>
      </c>
      <c r="F9289" s="9" t="s">
        <v>15978</v>
      </c>
    </row>
    <row r="9290" ht="33.75" customHeight="1">
      <c r="A9290" s="7">
        <v>365.0</v>
      </c>
      <c r="B9290" s="9" t="s">
        <v>15297</v>
      </c>
      <c r="C9290" s="9" t="s">
        <v>559</v>
      </c>
      <c r="D9290" s="9" t="s">
        <v>91</v>
      </c>
      <c r="E9290" s="6" t="s">
        <v>8921</v>
      </c>
      <c r="F9290" s="9" t="s">
        <v>15978</v>
      </c>
    </row>
    <row r="9291" ht="33.75" customHeight="1">
      <c r="A9291" s="7">
        <v>365.0</v>
      </c>
      <c r="B9291" s="9" t="s">
        <v>15297</v>
      </c>
      <c r="C9291" s="9" t="s">
        <v>559</v>
      </c>
      <c r="D9291" s="9" t="s">
        <v>93</v>
      </c>
      <c r="E9291" s="6" t="s">
        <v>8920</v>
      </c>
      <c r="F9291" s="9" t="s">
        <v>15978</v>
      </c>
    </row>
    <row r="9292" ht="33.75" customHeight="1">
      <c r="A9292" s="7">
        <v>365.0</v>
      </c>
      <c r="B9292" s="9" t="s">
        <v>15297</v>
      </c>
      <c r="C9292" s="9" t="s">
        <v>559</v>
      </c>
      <c r="D9292" s="9" t="s">
        <v>95</v>
      </c>
      <c r="E9292" s="6" t="s">
        <v>8920</v>
      </c>
      <c r="F9292" s="9" t="s">
        <v>15978</v>
      </c>
    </row>
    <row r="9293" ht="33.75" customHeight="1">
      <c r="A9293" s="7">
        <v>365.0</v>
      </c>
      <c r="B9293" s="9" t="s">
        <v>15297</v>
      </c>
      <c r="C9293" s="9" t="s">
        <v>559</v>
      </c>
      <c r="D9293" s="9" t="s">
        <v>98</v>
      </c>
      <c r="E9293" s="6" t="s">
        <v>8922</v>
      </c>
      <c r="F9293" s="9" t="s">
        <v>15978</v>
      </c>
    </row>
    <row r="9294" ht="33.75" customHeight="1">
      <c r="A9294" s="7">
        <v>365.0</v>
      </c>
      <c r="B9294" s="9" t="s">
        <v>15297</v>
      </c>
      <c r="C9294" s="9" t="s">
        <v>559</v>
      </c>
      <c r="D9294" s="9" t="s">
        <v>99</v>
      </c>
      <c r="E9294" s="6" t="s">
        <v>8922</v>
      </c>
      <c r="F9294" s="9" t="s">
        <v>15978</v>
      </c>
    </row>
    <row r="9295" ht="33.75" customHeight="1">
      <c r="A9295" s="7">
        <v>365.0</v>
      </c>
      <c r="B9295" s="9" t="s">
        <v>15297</v>
      </c>
      <c r="C9295" s="9" t="s">
        <v>559</v>
      </c>
      <c r="D9295" s="9" t="s">
        <v>101</v>
      </c>
      <c r="E9295" s="6" t="s">
        <v>8920</v>
      </c>
      <c r="F9295" s="9" t="s">
        <v>15978</v>
      </c>
    </row>
    <row r="9296" ht="33.75" customHeight="1">
      <c r="A9296" s="7">
        <v>365.0</v>
      </c>
      <c r="B9296" s="9" t="s">
        <v>15297</v>
      </c>
      <c r="C9296" s="9" t="s">
        <v>559</v>
      </c>
      <c r="D9296" s="9" t="s">
        <v>105</v>
      </c>
      <c r="E9296" s="6" t="s">
        <v>8921</v>
      </c>
      <c r="F9296" s="9" t="s">
        <v>15978</v>
      </c>
    </row>
    <row r="9297" ht="33.75" customHeight="1">
      <c r="A9297" s="7">
        <v>365.0</v>
      </c>
      <c r="B9297" s="9" t="s">
        <v>15297</v>
      </c>
      <c r="C9297" s="9" t="s">
        <v>559</v>
      </c>
      <c r="D9297" s="9" t="s">
        <v>107</v>
      </c>
      <c r="E9297" s="6" t="s">
        <v>8923</v>
      </c>
      <c r="F9297" s="9" t="s">
        <v>15978</v>
      </c>
    </row>
    <row r="9298" ht="33.75" customHeight="1">
      <c r="A9298" s="7">
        <v>365.0</v>
      </c>
      <c r="B9298" s="9" t="s">
        <v>15297</v>
      </c>
      <c r="C9298" s="9" t="s">
        <v>559</v>
      </c>
      <c r="D9298" s="9" t="s">
        <v>109</v>
      </c>
      <c r="E9298" s="6" t="s">
        <v>8925</v>
      </c>
      <c r="F9298" s="9" t="s">
        <v>15978</v>
      </c>
    </row>
    <row r="9299" ht="33.75" customHeight="1">
      <c r="A9299" s="7">
        <v>365.0</v>
      </c>
      <c r="B9299" s="9" t="s">
        <v>15297</v>
      </c>
      <c r="C9299" s="9" t="s">
        <v>559</v>
      </c>
      <c r="D9299" s="9" t="s">
        <v>114</v>
      </c>
      <c r="E9299" s="6" t="s">
        <v>8927</v>
      </c>
      <c r="F9299" s="9" t="s">
        <v>15978</v>
      </c>
    </row>
    <row r="9300" ht="33.75" customHeight="1">
      <c r="A9300" s="7">
        <v>365.0</v>
      </c>
      <c r="B9300" s="9" t="s">
        <v>15297</v>
      </c>
      <c r="C9300" s="9" t="s">
        <v>559</v>
      </c>
      <c r="D9300" s="9" t="s">
        <v>117</v>
      </c>
      <c r="E9300" s="6" t="s">
        <v>8929</v>
      </c>
      <c r="F9300" s="9" t="s">
        <v>15978</v>
      </c>
    </row>
    <row r="9301" ht="33.75" customHeight="1">
      <c r="A9301" s="7">
        <v>365.0</v>
      </c>
      <c r="B9301" s="9" t="s">
        <v>15297</v>
      </c>
      <c r="C9301" s="9" t="s">
        <v>559</v>
      </c>
      <c r="D9301" s="9" t="s">
        <v>1577</v>
      </c>
      <c r="E9301" s="6" t="s">
        <v>8930</v>
      </c>
      <c r="F9301" s="9" t="s">
        <v>15978</v>
      </c>
    </row>
    <row r="9302" ht="33.75" customHeight="1">
      <c r="A9302" s="7">
        <v>366.0</v>
      </c>
      <c r="B9302" s="9" t="s">
        <v>15312</v>
      </c>
      <c r="C9302" s="9" t="s">
        <v>161</v>
      </c>
      <c r="D9302" s="9" t="s">
        <v>67</v>
      </c>
      <c r="E9302" s="6" t="s">
        <v>8932</v>
      </c>
      <c r="F9302" s="9" t="s">
        <v>15991</v>
      </c>
      <c r="G9302" t="inlineStr" s="6">
        <is>
          <t xml:space="preserve">CLAMPERL’s sturdy shell is not only good for protection - Clamperl is also used for clamping and catching prey. A fully grown CLAMPERL’s shell will be scored with nicks and scratches all over. CLAMPERL grows while being protected by its rock-hard shell. When its body becomes too large to fit inside the shell, it is sure evidence that this POKéMON is getting close to evolution. A CLAMPERL slams its shell closed on prey to prevent escape. The pearl it creates upon evolution is said to be infused with a mysterious energy. It is protected by a sturdy shell. Once in a lifetime, it makes a magnificent pearl. It makes a single pearl during its lifetime. The pearl is said to amplify psychic power. When it evolves, it makes a mysterious pearl that amplifies psychic powers when it’s held. Clamperl’s sturdy shell is not only good for protection—it is also used for clamping and catching prey. Despite its appearance, it’s carnivorous. It clamps down on its prey with both sides of its shell and doesn’t let go until they stop moving. Clamperl’s pearls are exceedingly precious. They can be more than 10 times as costly as Shellder’s pearls.</t>
        </is>
      </c>
    </row>
    <row r="9303" ht="33.75" customHeight="1">
      <c r="A9303" s="7">
        <v>366.0</v>
      </c>
      <c r="B9303" s="9" t="s">
        <v>15312</v>
      </c>
      <c r="C9303" s="9" t="s">
        <v>161</v>
      </c>
      <c r="D9303" s="9" t="s">
        <v>71</v>
      </c>
      <c r="E9303" s="6" t="s">
        <v>8934</v>
      </c>
      <c r="F9303" s="9" t="s">
        <v>15991</v>
      </c>
    </row>
    <row r="9304" ht="33.75" customHeight="1">
      <c r="A9304" s="7">
        <v>366.0</v>
      </c>
      <c r="B9304" s="9" t="s">
        <v>15312</v>
      </c>
      <c r="C9304" s="9" t="s">
        <v>161</v>
      </c>
      <c r="D9304" s="9" t="s">
        <v>73</v>
      </c>
      <c r="E9304" s="6" t="s">
        <v>8937</v>
      </c>
      <c r="F9304" s="9" t="s">
        <v>15991</v>
      </c>
    </row>
    <row r="9305" ht="33.75" customHeight="1">
      <c r="A9305" s="7">
        <v>366.0</v>
      </c>
      <c r="B9305" s="9" t="s">
        <v>15312</v>
      </c>
      <c r="C9305" s="9" t="s">
        <v>161</v>
      </c>
      <c r="D9305" s="9" t="s">
        <v>75</v>
      </c>
      <c r="E9305" s="6" t="s">
        <v>8941</v>
      </c>
      <c r="F9305" s="9" t="s">
        <v>15991</v>
      </c>
    </row>
    <row r="9306" ht="33.75" customHeight="1">
      <c r="A9306" s="7">
        <v>366.0</v>
      </c>
      <c r="B9306" s="9" t="s">
        <v>15312</v>
      </c>
      <c r="C9306" s="9" t="s">
        <v>161</v>
      </c>
      <c r="D9306" s="9" t="s">
        <v>79</v>
      </c>
      <c r="E9306" s="6" t="s">
        <v>8941</v>
      </c>
      <c r="F9306" s="9" t="s">
        <v>15991</v>
      </c>
    </row>
    <row r="9307" ht="33.75" customHeight="1">
      <c r="A9307" s="7">
        <v>366.0</v>
      </c>
      <c r="B9307" s="9" t="s">
        <v>15312</v>
      </c>
      <c r="C9307" s="9" t="s">
        <v>161</v>
      </c>
      <c r="D9307" s="9" t="s">
        <v>81</v>
      </c>
      <c r="E9307" s="6" t="s">
        <v>8942</v>
      </c>
      <c r="F9307" s="9" t="s">
        <v>15991</v>
      </c>
    </row>
    <row r="9308" ht="33.75" customHeight="1">
      <c r="A9308" s="7">
        <v>366.0</v>
      </c>
      <c r="B9308" s="9" t="s">
        <v>15312</v>
      </c>
      <c r="C9308" s="9" t="s">
        <v>161</v>
      </c>
      <c r="D9308" s="9" t="s">
        <v>84</v>
      </c>
      <c r="E9308" s="6" t="s">
        <v>8942</v>
      </c>
      <c r="F9308" s="9" t="s">
        <v>15991</v>
      </c>
    </row>
    <row r="9309" ht="33.75" customHeight="1">
      <c r="A9309" s="7">
        <v>366.0</v>
      </c>
      <c r="B9309" s="9" t="s">
        <v>15312</v>
      </c>
      <c r="C9309" s="9" t="s">
        <v>161</v>
      </c>
      <c r="D9309" s="9" t="s">
        <v>87</v>
      </c>
      <c r="E9309" s="6" t="s">
        <v>8942</v>
      </c>
      <c r="F9309" s="9" t="s">
        <v>15991</v>
      </c>
    </row>
    <row r="9310" ht="33.75" customHeight="1">
      <c r="A9310" s="7">
        <v>366.0</v>
      </c>
      <c r="B9310" s="9" t="s">
        <v>15312</v>
      </c>
      <c r="C9310" s="9" t="s">
        <v>161</v>
      </c>
      <c r="D9310" s="9" t="s">
        <v>89</v>
      </c>
      <c r="E9310" s="6" t="s">
        <v>8944</v>
      </c>
      <c r="F9310" s="9" t="s">
        <v>15991</v>
      </c>
    </row>
    <row r="9311" ht="33.75" customHeight="1">
      <c r="A9311" s="7">
        <v>366.0</v>
      </c>
      <c r="B9311" s="9" t="s">
        <v>15312</v>
      </c>
      <c r="C9311" s="9" t="s">
        <v>161</v>
      </c>
      <c r="D9311" s="9" t="s">
        <v>91</v>
      </c>
      <c r="E9311" s="6" t="s">
        <v>8944</v>
      </c>
      <c r="F9311" s="9" t="s">
        <v>15991</v>
      </c>
    </row>
    <row r="9312" ht="33.75" customHeight="1">
      <c r="A9312" s="7">
        <v>366.0</v>
      </c>
      <c r="B9312" s="9" t="s">
        <v>15312</v>
      </c>
      <c r="C9312" s="9" t="s">
        <v>161</v>
      </c>
      <c r="D9312" s="9" t="s">
        <v>93</v>
      </c>
      <c r="E9312" s="6" t="s">
        <v>8942</v>
      </c>
      <c r="F9312" s="9" t="s">
        <v>15991</v>
      </c>
    </row>
    <row r="9313" ht="33.75" customHeight="1">
      <c r="A9313" s="7">
        <v>366.0</v>
      </c>
      <c r="B9313" s="9" t="s">
        <v>15312</v>
      </c>
      <c r="C9313" s="9" t="s">
        <v>161</v>
      </c>
      <c r="D9313" s="9" t="s">
        <v>95</v>
      </c>
      <c r="E9313" s="6" t="s">
        <v>8942</v>
      </c>
      <c r="F9313" s="9" t="s">
        <v>15991</v>
      </c>
    </row>
    <row r="9314" ht="33.75" customHeight="1">
      <c r="A9314" s="7">
        <v>366.0</v>
      </c>
      <c r="B9314" s="9" t="s">
        <v>15312</v>
      </c>
      <c r="C9314" s="9" t="s">
        <v>161</v>
      </c>
      <c r="D9314" s="9" t="s">
        <v>98</v>
      </c>
      <c r="E9314" s="6" t="s">
        <v>8942</v>
      </c>
      <c r="F9314" s="9" t="s">
        <v>15991</v>
      </c>
    </row>
    <row r="9315" ht="33.75" customHeight="1">
      <c r="A9315" s="7">
        <v>366.0</v>
      </c>
      <c r="B9315" s="9" t="s">
        <v>15312</v>
      </c>
      <c r="C9315" s="9" t="s">
        <v>161</v>
      </c>
      <c r="D9315" s="9" t="s">
        <v>99</v>
      </c>
      <c r="E9315" s="6" t="s">
        <v>8942</v>
      </c>
      <c r="F9315" s="9" t="s">
        <v>15991</v>
      </c>
    </row>
    <row r="9316" ht="33.75" customHeight="1">
      <c r="A9316" s="7">
        <v>366.0</v>
      </c>
      <c r="B9316" s="9" t="s">
        <v>15312</v>
      </c>
      <c r="C9316" s="9" t="s">
        <v>161</v>
      </c>
      <c r="D9316" s="9" t="s">
        <v>101</v>
      </c>
      <c r="E9316" s="6" t="s">
        <v>8944</v>
      </c>
      <c r="F9316" s="9" t="s">
        <v>15991</v>
      </c>
    </row>
    <row r="9317" ht="33.75" customHeight="1">
      <c r="A9317" s="7">
        <v>366.0</v>
      </c>
      <c r="B9317" s="9" t="s">
        <v>15312</v>
      </c>
      <c r="C9317" s="9" t="s">
        <v>161</v>
      </c>
      <c r="D9317" s="9" t="s">
        <v>105</v>
      </c>
      <c r="E9317" s="6" t="s">
        <v>8941</v>
      </c>
      <c r="F9317" s="9" t="s">
        <v>15991</v>
      </c>
    </row>
    <row r="9318" ht="33.75" customHeight="1">
      <c r="A9318" s="7">
        <v>366.0</v>
      </c>
      <c r="B9318" s="9" t="s">
        <v>15312</v>
      </c>
      <c r="C9318" s="9" t="s">
        <v>161</v>
      </c>
      <c r="D9318" s="9" t="s">
        <v>107</v>
      </c>
      <c r="E9318" s="6" t="s">
        <v>8946</v>
      </c>
      <c r="F9318" s="9" t="s">
        <v>15991</v>
      </c>
    </row>
    <row r="9319" ht="33.75" customHeight="1">
      <c r="A9319" s="7">
        <v>366.0</v>
      </c>
      <c r="B9319" s="9" t="s">
        <v>15312</v>
      </c>
      <c r="C9319" s="9" t="s">
        <v>161</v>
      </c>
      <c r="D9319" s="9" t="s">
        <v>109</v>
      </c>
      <c r="E9319" s="6" t="s">
        <v>8948</v>
      </c>
      <c r="F9319" s="9" t="s">
        <v>15991</v>
      </c>
    </row>
    <row r="9320" ht="33.75" customHeight="1">
      <c r="A9320" s="7">
        <v>366.0</v>
      </c>
      <c r="B9320" s="9" t="s">
        <v>15312</v>
      </c>
      <c r="C9320" s="9" t="s">
        <v>161</v>
      </c>
      <c r="D9320" s="9" t="s">
        <v>647</v>
      </c>
      <c r="E9320" s="6" t="s">
        <v>8950</v>
      </c>
      <c r="F9320" s="9" t="s">
        <v>15991</v>
      </c>
    </row>
    <row r="9321" ht="33.75" customHeight="1">
      <c r="A9321" s="7">
        <v>366.0</v>
      </c>
      <c r="B9321" s="9" t="s">
        <v>15312</v>
      </c>
      <c r="C9321" s="9" t="s">
        <v>161</v>
      </c>
      <c r="D9321" s="9" t="s">
        <v>652</v>
      </c>
      <c r="E9321" s="6" t="s">
        <v>8952</v>
      </c>
      <c r="F9321" s="9" t="s">
        <v>15991</v>
      </c>
    </row>
    <row r="9322" ht="33.75" customHeight="1">
      <c r="A9322" s="7">
        <v>367.0</v>
      </c>
      <c r="B9322" s="9" t="s">
        <v>15325</v>
      </c>
      <c r="C9322" s="9" t="s">
        <v>560</v>
      </c>
      <c r="D9322" s="9" t="s">
        <v>67</v>
      </c>
      <c r="E9322" s="6" t="s">
        <v>8953</v>
      </c>
      <c r="F9322" s="9" t="s">
        <v>16004</v>
      </c>
      <c r="G9322" t="inlineStr" s="6">
        <is>
          <t xml:space="preserve">HUNTAIL’s presence went unnoticed by people for a long time because Huntail lives at extreme depths in the sea. This POKéMON’s eyes can see clearly even in the murky dark depths of the ocean. HUNTAIL’s tail is shaped like a fish. It uses the tail to attract prey, then swallows the prey whole with its large, gaping mouth. This POKéMON swims by wiggling its slender body like a snake. To withstand the crushing pressure of water deep under the sea, its spine is very thick and sturdy. Its tail, which is shaped like a small fish, has eyes that light up. It lives deep in the sea where no light ever filters down. It lights up its small fishlike tail to attract prey. It lives deep in the sea. With a tail shaped like a small fish, it attracts unsuspecting prey. It lives deep in the pitch-dark sea. It attracts prey by moving its tail in mimicry of a small animal. It’s not the strongest swimmer. It wags its tail to lure in its prey and then gulps them down as soon as they get close. Deep seas are their habitat. According to tradition, when Huntail wash up onshore, something unfortunate will happen.</t>
        </is>
      </c>
    </row>
    <row r="9323" ht="33.75" customHeight="1">
      <c r="A9323" s="7">
        <v>367.0</v>
      </c>
      <c r="B9323" s="9" t="s">
        <v>15325</v>
      </c>
      <c r="C9323" s="9" t="s">
        <v>560</v>
      </c>
      <c r="D9323" s="9" t="s">
        <v>71</v>
      </c>
      <c r="E9323" s="6" t="s">
        <v>8954</v>
      </c>
      <c r="F9323" s="9" t="s">
        <v>16004</v>
      </c>
    </row>
    <row r="9324" ht="33.75" customHeight="1">
      <c r="A9324" s="7">
        <v>367.0</v>
      </c>
      <c r="B9324" s="9" t="s">
        <v>15325</v>
      </c>
      <c r="C9324" s="9" t="s">
        <v>560</v>
      </c>
      <c r="D9324" s="9" t="s">
        <v>73</v>
      </c>
      <c r="E9324" s="6" t="s">
        <v>8956</v>
      </c>
      <c r="F9324" s="9" t="s">
        <v>16004</v>
      </c>
    </row>
    <row r="9325" ht="33.75" customHeight="1">
      <c r="A9325" s="7">
        <v>367.0</v>
      </c>
      <c r="B9325" s="9" t="s">
        <v>15325</v>
      </c>
      <c r="C9325" s="9" t="s">
        <v>560</v>
      </c>
      <c r="D9325" s="9" t="s">
        <v>75</v>
      </c>
      <c r="E9325" s="6" t="s">
        <v>8958</v>
      </c>
      <c r="F9325" s="9" t="s">
        <v>16004</v>
      </c>
    </row>
    <row r="9326" ht="33.75" customHeight="1">
      <c r="A9326" s="7">
        <v>367.0</v>
      </c>
      <c r="B9326" s="9" t="s">
        <v>15325</v>
      </c>
      <c r="C9326" s="9" t="s">
        <v>560</v>
      </c>
      <c r="D9326" s="9" t="s">
        <v>79</v>
      </c>
      <c r="E9326" s="6" t="s">
        <v>8958</v>
      </c>
      <c r="F9326" s="9" t="s">
        <v>16004</v>
      </c>
    </row>
    <row r="9327" ht="33.75" customHeight="1">
      <c r="A9327" s="7">
        <v>367.0</v>
      </c>
      <c r="B9327" s="9" t="s">
        <v>15325</v>
      </c>
      <c r="C9327" s="9" t="s">
        <v>560</v>
      </c>
      <c r="D9327" s="9" t="s">
        <v>81</v>
      </c>
      <c r="E9327" s="6" t="s">
        <v>8959</v>
      </c>
      <c r="F9327" s="9" t="s">
        <v>16004</v>
      </c>
    </row>
    <row r="9328" ht="33.75" customHeight="1">
      <c r="A9328" s="7">
        <v>367.0</v>
      </c>
      <c r="B9328" s="9" t="s">
        <v>15325</v>
      </c>
      <c r="C9328" s="9" t="s">
        <v>560</v>
      </c>
      <c r="D9328" s="9" t="s">
        <v>84</v>
      </c>
      <c r="E9328" s="6" t="s">
        <v>8959</v>
      </c>
      <c r="F9328" s="9" t="s">
        <v>16004</v>
      </c>
    </row>
    <row r="9329" ht="33.75" customHeight="1">
      <c r="A9329" s="7">
        <v>367.0</v>
      </c>
      <c r="B9329" s="9" t="s">
        <v>15325</v>
      </c>
      <c r="C9329" s="9" t="s">
        <v>560</v>
      </c>
      <c r="D9329" s="9" t="s">
        <v>87</v>
      </c>
      <c r="E9329" s="6" t="s">
        <v>8959</v>
      </c>
      <c r="F9329" s="9" t="s">
        <v>16004</v>
      </c>
    </row>
    <row r="9330" ht="33.75" customHeight="1">
      <c r="A9330" s="7">
        <v>367.0</v>
      </c>
      <c r="B9330" s="9" t="s">
        <v>15325</v>
      </c>
      <c r="C9330" s="9" t="s">
        <v>560</v>
      </c>
      <c r="D9330" s="9" t="s">
        <v>89</v>
      </c>
      <c r="E9330" s="6" t="s">
        <v>8961</v>
      </c>
      <c r="F9330" s="9" t="s">
        <v>16004</v>
      </c>
    </row>
    <row r="9331" ht="33.75" customHeight="1">
      <c r="A9331" s="7">
        <v>367.0</v>
      </c>
      <c r="B9331" s="9" t="s">
        <v>15325</v>
      </c>
      <c r="C9331" s="9" t="s">
        <v>560</v>
      </c>
      <c r="D9331" s="9" t="s">
        <v>91</v>
      </c>
      <c r="E9331" s="6" t="s">
        <v>8961</v>
      </c>
      <c r="F9331" s="9" t="s">
        <v>16004</v>
      </c>
    </row>
    <row r="9332" ht="33.75" customHeight="1">
      <c r="A9332" s="7">
        <v>367.0</v>
      </c>
      <c r="B9332" s="9" t="s">
        <v>15325</v>
      </c>
      <c r="C9332" s="9" t="s">
        <v>560</v>
      </c>
      <c r="D9332" s="9" t="s">
        <v>93</v>
      </c>
      <c r="E9332" s="6" t="s">
        <v>8959</v>
      </c>
      <c r="F9332" s="9" t="s">
        <v>16004</v>
      </c>
    </row>
    <row r="9333" ht="33.75" customHeight="1">
      <c r="A9333" s="7">
        <v>367.0</v>
      </c>
      <c r="B9333" s="9" t="s">
        <v>15325</v>
      </c>
      <c r="C9333" s="9" t="s">
        <v>560</v>
      </c>
      <c r="D9333" s="9" t="s">
        <v>95</v>
      </c>
      <c r="E9333" s="6" t="s">
        <v>8959</v>
      </c>
      <c r="F9333" s="9" t="s">
        <v>16004</v>
      </c>
    </row>
    <row r="9334" ht="33.75" customHeight="1">
      <c r="A9334" s="7">
        <v>367.0</v>
      </c>
      <c r="B9334" s="9" t="s">
        <v>15325</v>
      </c>
      <c r="C9334" s="9" t="s">
        <v>560</v>
      </c>
      <c r="D9334" s="9" t="s">
        <v>98</v>
      </c>
      <c r="E9334" s="6" t="s">
        <v>8959</v>
      </c>
      <c r="F9334" s="9" t="s">
        <v>16004</v>
      </c>
    </row>
    <row r="9335" ht="33.75" customHeight="1">
      <c r="A9335" s="7">
        <v>367.0</v>
      </c>
      <c r="B9335" s="9" t="s">
        <v>15325</v>
      </c>
      <c r="C9335" s="9" t="s">
        <v>560</v>
      </c>
      <c r="D9335" s="9" t="s">
        <v>99</v>
      </c>
      <c r="E9335" s="6" t="s">
        <v>8959</v>
      </c>
      <c r="F9335" s="9" t="s">
        <v>16004</v>
      </c>
    </row>
    <row r="9336" ht="33.75" customHeight="1">
      <c r="A9336" s="7">
        <v>367.0</v>
      </c>
      <c r="B9336" s="9" t="s">
        <v>15325</v>
      </c>
      <c r="C9336" s="9" t="s">
        <v>560</v>
      </c>
      <c r="D9336" s="9" t="s">
        <v>101</v>
      </c>
      <c r="E9336" s="6" t="s">
        <v>8958</v>
      </c>
      <c r="F9336" s="9" t="s">
        <v>16004</v>
      </c>
    </row>
    <row r="9337" ht="33.75" customHeight="1">
      <c r="A9337" s="7">
        <v>367.0</v>
      </c>
      <c r="B9337" s="9" t="s">
        <v>15325</v>
      </c>
      <c r="C9337" s="9" t="s">
        <v>560</v>
      </c>
      <c r="D9337" s="9" t="s">
        <v>105</v>
      </c>
      <c r="E9337" s="6" t="s">
        <v>8959</v>
      </c>
      <c r="F9337" s="9" t="s">
        <v>16004</v>
      </c>
    </row>
    <row r="9338" ht="33.75" customHeight="1">
      <c r="A9338" s="7">
        <v>367.0</v>
      </c>
      <c r="B9338" s="9" t="s">
        <v>15325</v>
      </c>
      <c r="C9338" s="9" t="s">
        <v>560</v>
      </c>
      <c r="D9338" s="9" t="s">
        <v>107</v>
      </c>
      <c r="E9338" s="6" t="s">
        <v>8962</v>
      </c>
      <c r="F9338" s="9" t="s">
        <v>16004</v>
      </c>
    </row>
    <row r="9339" ht="33.75" customHeight="1">
      <c r="A9339" s="7">
        <v>367.0</v>
      </c>
      <c r="B9339" s="9" t="s">
        <v>15325</v>
      </c>
      <c r="C9339" s="9" t="s">
        <v>560</v>
      </c>
      <c r="D9339" s="9" t="s">
        <v>109</v>
      </c>
      <c r="E9339" s="6" t="s">
        <v>8963</v>
      </c>
      <c r="F9339" s="9" t="s">
        <v>16004</v>
      </c>
    </row>
    <row r="9340" ht="33.75" customHeight="1">
      <c r="A9340" s="7">
        <v>367.0</v>
      </c>
      <c r="B9340" s="9" t="s">
        <v>15325</v>
      </c>
      <c r="C9340" s="9" t="s">
        <v>560</v>
      </c>
      <c r="D9340" s="9" t="s">
        <v>647</v>
      </c>
      <c r="E9340" s="6" t="s">
        <v>8964</v>
      </c>
      <c r="F9340" s="9" t="s">
        <v>16004</v>
      </c>
    </row>
    <row r="9341" ht="33.75" customHeight="1">
      <c r="A9341" s="7">
        <v>367.0</v>
      </c>
      <c r="B9341" s="9" t="s">
        <v>15325</v>
      </c>
      <c r="C9341" s="9" t="s">
        <v>560</v>
      </c>
      <c r="D9341" s="9" t="s">
        <v>652</v>
      </c>
      <c r="E9341" s="6" t="s">
        <v>8966</v>
      </c>
      <c r="F9341" s="9" t="s">
        <v>16004</v>
      </c>
    </row>
    <row r="9342" ht="33.75" customHeight="1">
      <c r="A9342" s="7">
        <v>368.0</v>
      </c>
      <c r="B9342" s="9" t="s">
        <v>15338</v>
      </c>
      <c r="C9342" s="9" t="s">
        <v>561</v>
      </c>
      <c r="D9342" s="9" t="s">
        <v>67</v>
      </c>
      <c r="E9342" s="6" t="s">
        <v>8968</v>
      </c>
      <c r="F9342" s="9" t="s">
        <v>16019</v>
      </c>
      <c r="G9342" t="inlineStr" s="6">
        <is>
          <t xml:space="preserve">GOREBYSS lives in the southern seas at extreme depths. Its body is built to withstand the enormous pressure of water at incredible depths. Because of this, this POKéMON’s body is unharmed by ordinary attacks. Although GOREBYSS is the very picture of elegance and beauty while swimming, it is also cruel. When it spots prey, this POKéMON inserts its thin mouth into the prey’s body and drains the prey of its body fluids. A GOREBYSS siphons the body fluids of prey through its thin, tubular mouth. Its light pink body color turns vivid when it finishes feeding. Its swimming form is exquisitely elegant. With its thin mouth, it feeds on seaweed that grows between rocks. It lives at the bottom of the sea. In the springtime, its pink body turns more vivid for some reason. Its pink body becomes more vivid with the rise of water temperatures in the springtime. The color of its body changes with the water temperature. The coloration of Gorebyss in Alola is almost blindingly vivid. It sucks bodily fluids out of its prey. The leftover meat sinks to the seafloor, where it becomes food for other Pokémon.</t>
        </is>
      </c>
    </row>
    <row r="9343" ht="33.75" customHeight="1">
      <c r="A9343" s="7">
        <v>368.0</v>
      </c>
      <c r="B9343" s="9" t="s">
        <v>15338</v>
      </c>
      <c r="C9343" s="9" t="s">
        <v>561</v>
      </c>
      <c r="D9343" s="9" t="s">
        <v>71</v>
      </c>
      <c r="E9343" s="6" t="s">
        <v>8969</v>
      </c>
      <c r="F9343" s="9" t="s">
        <v>16019</v>
      </c>
    </row>
    <row r="9344" ht="33.75" customHeight="1">
      <c r="A9344" s="7">
        <v>368.0</v>
      </c>
      <c r="B9344" s="9" t="s">
        <v>15338</v>
      </c>
      <c r="C9344" s="9" t="s">
        <v>561</v>
      </c>
      <c r="D9344" s="9" t="s">
        <v>73</v>
      </c>
      <c r="E9344" s="6" t="s">
        <v>8970</v>
      </c>
      <c r="F9344" s="9" t="s">
        <v>16019</v>
      </c>
    </row>
    <row r="9345" ht="33.75" customHeight="1">
      <c r="A9345" s="7">
        <v>368.0</v>
      </c>
      <c r="B9345" s="9" t="s">
        <v>15338</v>
      </c>
      <c r="C9345" s="9" t="s">
        <v>561</v>
      </c>
      <c r="D9345" s="9" t="s">
        <v>75</v>
      </c>
      <c r="E9345" s="6" t="s">
        <v>8971</v>
      </c>
      <c r="F9345" s="9" t="s">
        <v>16019</v>
      </c>
    </row>
    <row r="9346" ht="33.75" customHeight="1">
      <c r="A9346" s="7">
        <v>368.0</v>
      </c>
      <c r="B9346" s="9" t="s">
        <v>15338</v>
      </c>
      <c r="C9346" s="9" t="s">
        <v>561</v>
      </c>
      <c r="D9346" s="9" t="s">
        <v>79</v>
      </c>
      <c r="E9346" s="6" t="s">
        <v>8971</v>
      </c>
      <c r="F9346" s="9" t="s">
        <v>16019</v>
      </c>
    </row>
    <row r="9347" ht="33.75" customHeight="1">
      <c r="A9347" s="7">
        <v>368.0</v>
      </c>
      <c r="B9347" s="9" t="s">
        <v>15338</v>
      </c>
      <c r="C9347" s="9" t="s">
        <v>561</v>
      </c>
      <c r="D9347" s="9" t="s">
        <v>81</v>
      </c>
      <c r="E9347" s="6" t="s">
        <v>8972</v>
      </c>
      <c r="F9347" s="9" t="s">
        <v>16019</v>
      </c>
    </row>
    <row r="9348" ht="33.75" customHeight="1">
      <c r="A9348" s="7">
        <v>368.0</v>
      </c>
      <c r="B9348" s="9" t="s">
        <v>15338</v>
      </c>
      <c r="C9348" s="9" t="s">
        <v>561</v>
      </c>
      <c r="D9348" s="9" t="s">
        <v>84</v>
      </c>
      <c r="E9348" s="6" t="s">
        <v>8972</v>
      </c>
      <c r="F9348" s="9" t="s">
        <v>16019</v>
      </c>
    </row>
    <row r="9349" ht="33.75" customHeight="1">
      <c r="A9349" s="7">
        <v>368.0</v>
      </c>
      <c r="B9349" s="9" t="s">
        <v>15338</v>
      </c>
      <c r="C9349" s="9" t="s">
        <v>561</v>
      </c>
      <c r="D9349" s="9" t="s">
        <v>87</v>
      </c>
      <c r="E9349" s="6" t="s">
        <v>8972</v>
      </c>
      <c r="F9349" s="9" t="s">
        <v>16019</v>
      </c>
    </row>
    <row r="9350" ht="33.75" customHeight="1">
      <c r="A9350" s="7">
        <v>368.0</v>
      </c>
      <c r="B9350" s="9" t="s">
        <v>15338</v>
      </c>
      <c r="C9350" s="9" t="s">
        <v>561</v>
      </c>
      <c r="D9350" s="9" t="s">
        <v>89</v>
      </c>
      <c r="E9350" s="6" t="s">
        <v>8973</v>
      </c>
      <c r="F9350" s="9" t="s">
        <v>16019</v>
      </c>
    </row>
    <row r="9351" ht="33.75" customHeight="1">
      <c r="A9351" s="7">
        <v>368.0</v>
      </c>
      <c r="B9351" s="9" t="s">
        <v>15338</v>
      </c>
      <c r="C9351" s="9" t="s">
        <v>561</v>
      </c>
      <c r="D9351" s="9" t="s">
        <v>91</v>
      </c>
      <c r="E9351" s="6" t="s">
        <v>8973</v>
      </c>
      <c r="F9351" s="9" t="s">
        <v>16019</v>
      </c>
    </row>
    <row r="9352" ht="33.75" customHeight="1">
      <c r="A9352" s="7">
        <v>368.0</v>
      </c>
      <c r="B9352" s="9" t="s">
        <v>15338</v>
      </c>
      <c r="C9352" s="9" t="s">
        <v>561</v>
      </c>
      <c r="D9352" s="9" t="s">
        <v>93</v>
      </c>
      <c r="E9352" s="6" t="s">
        <v>8972</v>
      </c>
      <c r="F9352" s="9" t="s">
        <v>16019</v>
      </c>
    </row>
    <row r="9353" ht="33.75" customHeight="1">
      <c r="A9353" s="7">
        <v>368.0</v>
      </c>
      <c r="B9353" s="9" t="s">
        <v>15338</v>
      </c>
      <c r="C9353" s="9" t="s">
        <v>561</v>
      </c>
      <c r="D9353" s="9" t="s">
        <v>95</v>
      </c>
      <c r="E9353" s="6" t="s">
        <v>8972</v>
      </c>
      <c r="F9353" s="9" t="s">
        <v>16019</v>
      </c>
    </row>
    <row r="9354" ht="33.75" customHeight="1">
      <c r="A9354" s="7">
        <v>368.0</v>
      </c>
      <c r="B9354" s="9" t="s">
        <v>15338</v>
      </c>
      <c r="C9354" s="9" t="s">
        <v>561</v>
      </c>
      <c r="D9354" s="9" t="s">
        <v>98</v>
      </c>
      <c r="E9354" s="6" t="s">
        <v>8972</v>
      </c>
      <c r="F9354" s="9" t="s">
        <v>16019</v>
      </c>
    </row>
    <row r="9355" ht="33.75" customHeight="1">
      <c r="A9355" s="7">
        <v>368.0</v>
      </c>
      <c r="B9355" s="9" t="s">
        <v>15338</v>
      </c>
      <c r="C9355" s="9" t="s">
        <v>561</v>
      </c>
      <c r="D9355" s="9" t="s">
        <v>99</v>
      </c>
      <c r="E9355" s="6" t="s">
        <v>8972</v>
      </c>
      <c r="F9355" s="9" t="s">
        <v>16019</v>
      </c>
    </row>
    <row r="9356" ht="33.75" customHeight="1">
      <c r="A9356" s="7">
        <v>368.0</v>
      </c>
      <c r="B9356" s="9" t="s">
        <v>15338</v>
      </c>
      <c r="C9356" s="9" t="s">
        <v>561</v>
      </c>
      <c r="D9356" s="9" t="s">
        <v>101</v>
      </c>
      <c r="E9356" s="6" t="s">
        <v>8972</v>
      </c>
      <c r="F9356" s="9" t="s">
        <v>16019</v>
      </c>
    </row>
    <row r="9357" ht="33.75" customHeight="1">
      <c r="A9357" s="7">
        <v>368.0</v>
      </c>
      <c r="B9357" s="9" t="s">
        <v>15338</v>
      </c>
      <c r="C9357" s="9" t="s">
        <v>561</v>
      </c>
      <c r="D9357" s="9" t="s">
        <v>105</v>
      </c>
      <c r="E9357" s="6" t="s">
        <v>8971</v>
      </c>
      <c r="F9357" s="9" t="s">
        <v>16019</v>
      </c>
    </row>
    <row r="9358" ht="33.75" customHeight="1">
      <c r="A9358" s="7">
        <v>368.0</v>
      </c>
      <c r="B9358" s="9" t="s">
        <v>15338</v>
      </c>
      <c r="C9358" s="9" t="s">
        <v>561</v>
      </c>
      <c r="D9358" s="9" t="s">
        <v>107</v>
      </c>
      <c r="E9358" s="6" t="s">
        <v>8974</v>
      </c>
      <c r="F9358" s="9" t="s">
        <v>16019</v>
      </c>
    </row>
    <row r="9359" ht="33.75" customHeight="1">
      <c r="A9359" s="7">
        <v>368.0</v>
      </c>
      <c r="B9359" s="9" t="s">
        <v>15338</v>
      </c>
      <c r="C9359" s="9" t="s">
        <v>561</v>
      </c>
      <c r="D9359" s="9" t="s">
        <v>109</v>
      </c>
      <c r="E9359" s="6" t="s">
        <v>8975</v>
      </c>
      <c r="F9359" s="9" t="s">
        <v>16019</v>
      </c>
    </row>
    <row r="9360" ht="33.75" customHeight="1">
      <c r="A9360" s="7">
        <v>368.0</v>
      </c>
      <c r="B9360" s="9" t="s">
        <v>15338</v>
      </c>
      <c r="C9360" s="9" t="s">
        <v>561</v>
      </c>
      <c r="D9360" s="9" t="s">
        <v>647</v>
      </c>
      <c r="E9360" s="6" t="s">
        <v>8976</v>
      </c>
      <c r="F9360" s="9" t="s">
        <v>16019</v>
      </c>
    </row>
    <row r="9361" ht="33.75" customHeight="1">
      <c r="A9361" s="7">
        <v>368.0</v>
      </c>
      <c r="B9361" s="9" t="s">
        <v>15338</v>
      </c>
      <c r="C9361" s="9" t="s">
        <v>561</v>
      </c>
      <c r="D9361" s="9" t="s">
        <v>652</v>
      </c>
      <c r="E9361" s="6" t="s">
        <v>8978</v>
      </c>
      <c r="F9361" s="9" t="s">
        <v>16019</v>
      </c>
    </row>
    <row r="9362" ht="33.75" customHeight="1">
      <c r="A9362" s="7">
        <v>369.0</v>
      </c>
      <c r="B9362" s="9" t="s">
        <v>15351</v>
      </c>
      <c r="C9362" s="9" t="s">
        <v>563</v>
      </c>
      <c r="D9362" s="9" t="s">
        <v>67</v>
      </c>
      <c r="E9362" s="6" t="s">
        <v>8979</v>
      </c>
      <c r="F9362" s="9" t="s">
        <v>16035</v>
      </c>
      <c r="G9362" t="inlineStr" s="6">
        <is>
          <t xml:space="preserve">RELICANTH is a POKéMON species that existed for a hundred million years without ever changing Relicanth's form. This ancient POKéMON feeds on microscopic organisms with its toothless mouth. RELICANTH is a rare species that was discovered in deep-sea explorations. This POKéMON’s body withstands the enormous water pressure of the ocean depths. Its body is covered in tough scales that are like craggy rocks. A POKéMON that was once believed to have been extinct. The species has not changed its form for 100 million years. It walks on the seafloor using its pectoral fins. It has remained unchanged for 100 million years. It was discovered during a deep-sea exploration. A rare Pokémon discovered during a deep-sea exploration. It has not changed in over 100 million years. Discovered by chance during deep-sea explorations, it has not changed since ancient times. Its form has remained the same for one hundred million years. Its body is filled with fat, so it can withstand the water pressure of the deep sea. It was fortuitously discovered during a deep sea expedition. Its teeth have atrophied, so it now survives on microscopic organisms it sucks up. Thought to have gone extinct, Relicanth was given a name that is a variation of the name of the person who discovered it. The reason it hasn’t changed at all in a hundred million years is that it’s apparently already a perfect life-form. Rock-hard scales and oil-filled swim bladders allow this Pokémon to survive the intense water pressure of the deep sea. This Pokémon was discovered during deep-sea exploration. Its appearance hasn’t changed in 100,000,000 years, so it’s called a living fossil.</t>
        </is>
      </c>
    </row>
    <row r="9363" ht="33.75" customHeight="1">
      <c r="A9363" s="7">
        <v>369.0</v>
      </c>
      <c r="B9363" s="9" t="s">
        <v>15351</v>
      </c>
      <c r="C9363" s="9" t="s">
        <v>563</v>
      </c>
      <c r="D9363" s="9" t="s">
        <v>71</v>
      </c>
      <c r="E9363" s="6" t="s">
        <v>8981</v>
      </c>
      <c r="F9363" s="9" t="s">
        <v>16035</v>
      </c>
    </row>
    <row r="9364" ht="33.75" customHeight="1">
      <c r="A9364" s="7">
        <v>369.0</v>
      </c>
      <c r="B9364" s="9" t="s">
        <v>15351</v>
      </c>
      <c r="C9364" s="9" t="s">
        <v>563</v>
      </c>
      <c r="D9364" s="9" t="s">
        <v>73</v>
      </c>
      <c r="E9364" s="6" t="s">
        <v>8983</v>
      </c>
      <c r="F9364" s="9" t="s">
        <v>16035</v>
      </c>
    </row>
    <row r="9365" ht="33.75" customHeight="1">
      <c r="A9365" s="7">
        <v>369.0</v>
      </c>
      <c r="B9365" s="9" t="s">
        <v>15351</v>
      </c>
      <c r="C9365" s="9" t="s">
        <v>563</v>
      </c>
      <c r="D9365" s="9" t="s">
        <v>75</v>
      </c>
      <c r="E9365" s="6" t="s">
        <v>8984</v>
      </c>
      <c r="F9365" s="9" t="s">
        <v>16035</v>
      </c>
    </row>
    <row r="9366" ht="33.75" customHeight="1">
      <c r="A9366" s="7">
        <v>369.0</v>
      </c>
      <c r="B9366" s="9" t="s">
        <v>15351</v>
      </c>
      <c r="C9366" s="9" t="s">
        <v>563</v>
      </c>
      <c r="D9366" s="9" t="s">
        <v>79</v>
      </c>
      <c r="E9366" s="6" t="s">
        <v>8984</v>
      </c>
      <c r="F9366" s="9" t="s">
        <v>16035</v>
      </c>
    </row>
    <row r="9367" ht="33.75" customHeight="1">
      <c r="A9367" s="7">
        <v>369.0</v>
      </c>
      <c r="B9367" s="9" t="s">
        <v>15351</v>
      </c>
      <c r="C9367" s="9" t="s">
        <v>563</v>
      </c>
      <c r="D9367" s="9" t="s">
        <v>81</v>
      </c>
      <c r="E9367" s="6" t="s">
        <v>8986</v>
      </c>
      <c r="F9367" s="9" t="s">
        <v>16035</v>
      </c>
    </row>
    <row r="9368" ht="33.75" customHeight="1">
      <c r="A9368" s="7">
        <v>369.0</v>
      </c>
      <c r="B9368" s="9" t="s">
        <v>15351</v>
      </c>
      <c r="C9368" s="9" t="s">
        <v>563</v>
      </c>
      <c r="D9368" s="9" t="s">
        <v>84</v>
      </c>
      <c r="E9368" s="6" t="s">
        <v>8986</v>
      </c>
      <c r="F9368" s="9" t="s">
        <v>16035</v>
      </c>
    </row>
    <row r="9369" ht="33.75" customHeight="1">
      <c r="A9369" s="7">
        <v>369.0</v>
      </c>
      <c r="B9369" s="9" t="s">
        <v>15351</v>
      </c>
      <c r="C9369" s="9" t="s">
        <v>563</v>
      </c>
      <c r="D9369" s="9" t="s">
        <v>87</v>
      </c>
      <c r="E9369" s="6" t="s">
        <v>8986</v>
      </c>
      <c r="F9369" s="9" t="s">
        <v>16035</v>
      </c>
    </row>
    <row r="9370" ht="33.75" customHeight="1">
      <c r="A9370" s="7">
        <v>369.0</v>
      </c>
      <c r="B9370" s="9" t="s">
        <v>15351</v>
      </c>
      <c r="C9370" s="9" t="s">
        <v>563</v>
      </c>
      <c r="D9370" s="9" t="s">
        <v>89</v>
      </c>
      <c r="E9370" s="6" t="s">
        <v>8988</v>
      </c>
      <c r="F9370" s="9" t="s">
        <v>16035</v>
      </c>
    </row>
    <row r="9371" ht="33.75" customHeight="1">
      <c r="A9371" s="7">
        <v>369.0</v>
      </c>
      <c r="B9371" s="9" t="s">
        <v>15351</v>
      </c>
      <c r="C9371" s="9" t="s">
        <v>563</v>
      </c>
      <c r="D9371" s="9" t="s">
        <v>91</v>
      </c>
      <c r="E9371" s="6" t="s">
        <v>8988</v>
      </c>
      <c r="F9371" s="9" t="s">
        <v>16035</v>
      </c>
    </row>
    <row r="9372" ht="33.75" customHeight="1">
      <c r="A9372" s="7">
        <v>369.0</v>
      </c>
      <c r="B9372" s="9" t="s">
        <v>15351</v>
      </c>
      <c r="C9372" s="9" t="s">
        <v>563</v>
      </c>
      <c r="D9372" s="9" t="s">
        <v>93</v>
      </c>
      <c r="E9372" s="6" t="s">
        <v>8986</v>
      </c>
      <c r="F9372" s="9" t="s">
        <v>16035</v>
      </c>
    </row>
    <row r="9373" ht="33.75" customHeight="1">
      <c r="A9373" s="7">
        <v>369.0</v>
      </c>
      <c r="B9373" s="9" t="s">
        <v>15351</v>
      </c>
      <c r="C9373" s="9" t="s">
        <v>563</v>
      </c>
      <c r="D9373" s="9" t="s">
        <v>95</v>
      </c>
      <c r="E9373" s="6" t="s">
        <v>8986</v>
      </c>
      <c r="F9373" s="9" t="s">
        <v>16035</v>
      </c>
    </row>
    <row r="9374" ht="33.75" customHeight="1">
      <c r="A9374" s="7">
        <v>369.0</v>
      </c>
      <c r="B9374" s="9" t="s">
        <v>15351</v>
      </c>
      <c r="C9374" s="9" t="s">
        <v>563</v>
      </c>
      <c r="D9374" s="9" t="s">
        <v>98</v>
      </c>
      <c r="E9374" s="6" t="s">
        <v>8986</v>
      </c>
      <c r="F9374" s="9" t="s">
        <v>16035</v>
      </c>
    </row>
    <row r="9375" ht="33.75" customHeight="1">
      <c r="A9375" s="7">
        <v>369.0</v>
      </c>
      <c r="B9375" s="9" t="s">
        <v>15351</v>
      </c>
      <c r="C9375" s="9" t="s">
        <v>563</v>
      </c>
      <c r="D9375" s="9" t="s">
        <v>99</v>
      </c>
      <c r="E9375" s="6" t="s">
        <v>8986</v>
      </c>
      <c r="F9375" s="9" t="s">
        <v>16035</v>
      </c>
    </row>
    <row r="9376" ht="33.75" customHeight="1">
      <c r="A9376" s="7">
        <v>369.0</v>
      </c>
      <c r="B9376" s="9" t="s">
        <v>15351</v>
      </c>
      <c r="C9376" s="9" t="s">
        <v>563</v>
      </c>
      <c r="D9376" s="9" t="s">
        <v>101</v>
      </c>
      <c r="E9376" s="6" t="s">
        <v>8984</v>
      </c>
      <c r="F9376" s="9" t="s">
        <v>16035</v>
      </c>
    </row>
    <row r="9377" ht="33.75" customHeight="1">
      <c r="A9377" s="7">
        <v>369.0</v>
      </c>
      <c r="B9377" s="9" t="s">
        <v>15351</v>
      </c>
      <c r="C9377" s="9" t="s">
        <v>563</v>
      </c>
      <c r="D9377" s="9" t="s">
        <v>105</v>
      </c>
      <c r="E9377" s="6" t="s">
        <v>8986</v>
      </c>
      <c r="F9377" s="9" t="s">
        <v>16035</v>
      </c>
    </row>
    <row r="9378" ht="33.75" customHeight="1">
      <c r="A9378" s="7">
        <v>369.0</v>
      </c>
      <c r="B9378" s="9" t="s">
        <v>15351</v>
      </c>
      <c r="C9378" s="9" t="s">
        <v>563</v>
      </c>
      <c r="D9378" s="9" t="s">
        <v>107</v>
      </c>
      <c r="E9378" s="6" t="s">
        <v>8990</v>
      </c>
      <c r="F9378" s="9" t="s">
        <v>16035</v>
      </c>
    </row>
    <row r="9379" ht="33.75" customHeight="1">
      <c r="A9379" s="7">
        <v>369.0</v>
      </c>
      <c r="B9379" s="9" t="s">
        <v>15351</v>
      </c>
      <c r="C9379" s="9" t="s">
        <v>563</v>
      </c>
      <c r="D9379" s="9" t="s">
        <v>109</v>
      </c>
      <c r="E9379" s="6" t="s">
        <v>8991</v>
      </c>
      <c r="F9379" s="9" t="s">
        <v>16035</v>
      </c>
    </row>
    <row r="9380" ht="33.75" customHeight="1">
      <c r="A9380" s="7">
        <v>369.0</v>
      </c>
      <c r="B9380" s="9" t="s">
        <v>15351</v>
      </c>
      <c r="C9380" s="9" t="s">
        <v>563</v>
      </c>
      <c r="D9380" s="9" t="s">
        <v>637</v>
      </c>
      <c r="E9380" s="6" t="s">
        <v>8993</v>
      </c>
      <c r="F9380" s="9" t="s">
        <v>16035</v>
      </c>
    </row>
    <row r="9381" ht="33.75" customHeight="1">
      <c r="A9381" s="7">
        <v>369.0</v>
      </c>
      <c r="B9381" s="9" t="s">
        <v>15351</v>
      </c>
      <c r="C9381" s="9" t="s">
        <v>563</v>
      </c>
      <c r="D9381" s="9" t="s">
        <v>642</v>
      </c>
      <c r="E9381" s="6" t="s">
        <v>8994</v>
      </c>
      <c r="F9381" s="9" t="s">
        <v>16035</v>
      </c>
    </row>
    <row r="9382" ht="33.75" customHeight="1">
      <c r="A9382" s="7">
        <v>369.0</v>
      </c>
      <c r="B9382" s="9" t="s">
        <v>15351</v>
      </c>
      <c r="C9382" s="9" t="s">
        <v>563</v>
      </c>
      <c r="D9382" s="9" t="s">
        <v>647</v>
      </c>
      <c r="E9382" s="6" t="s">
        <v>8997</v>
      </c>
      <c r="F9382" s="9" t="s">
        <v>16035</v>
      </c>
    </row>
    <row r="9383" ht="33.75" customHeight="1">
      <c r="A9383" s="7">
        <v>369.0</v>
      </c>
      <c r="B9383" s="9" t="s">
        <v>15351</v>
      </c>
      <c r="C9383" s="9" t="s">
        <v>563</v>
      </c>
      <c r="D9383" s="9" t="s">
        <v>652</v>
      </c>
      <c r="E9383" s="6" t="s">
        <v>9000</v>
      </c>
      <c r="F9383" s="9" t="s">
        <v>16035</v>
      </c>
    </row>
    <row r="9384" ht="33.75" customHeight="1">
      <c r="A9384" s="7">
        <v>369.0</v>
      </c>
      <c r="B9384" s="9" t="s">
        <v>15351</v>
      </c>
      <c r="C9384" s="9" t="s">
        <v>563</v>
      </c>
      <c r="D9384" s="9" t="s">
        <v>114</v>
      </c>
      <c r="E9384" s="6" t="s">
        <v>9001</v>
      </c>
      <c r="F9384" s="9" t="s">
        <v>16035</v>
      </c>
    </row>
    <row r="9385" ht="33.75" customHeight="1">
      <c r="A9385" s="7">
        <v>369.0</v>
      </c>
      <c r="B9385" s="9" t="s">
        <v>15351</v>
      </c>
      <c r="C9385" s="9" t="s">
        <v>563</v>
      </c>
      <c r="D9385" s="9" t="s">
        <v>117</v>
      </c>
      <c r="E9385" s="6" t="s">
        <v>9003</v>
      </c>
      <c r="F9385" s="9" t="s">
        <v>16035</v>
      </c>
    </row>
    <row r="9386" ht="33.75" customHeight="1">
      <c r="A9386" s="7">
        <v>370.0</v>
      </c>
      <c r="B9386" s="9" t="s">
        <v>15369</v>
      </c>
      <c r="C9386" s="9" t="s">
        <v>564</v>
      </c>
      <c r="D9386" s="9" t="s">
        <v>67</v>
      </c>
      <c r="E9386" s="6" t="s">
        <v>9005</v>
      </c>
      <c r="F9386" s="9" t="s">
        <v>16053</v>
      </c>
      <c r="G9386" t="inlineStr" s="6">
        <is>
          <t xml:space="preserve">LUVDISC live in shallow seas in the tropics. This heart-shaped POKéMON earned its name by swimming after loving couples it spotted in the ocean’s waves. LUVDISC’s heart-shaped body is a symbol of love and romance. It is said that any couple meeting this POKéMON is promised a loving relationship that never ends. LUVDISC make the branches of CORSOLA their nests. There is a custom from long ago of giving a LUVDISC as a gift to express one’s feelings of love. During the spawning season, countless LUVDISC congregate at coral reefs, turning the waters pink. It lives in warm seas. It is said that a couple finding this Pokémon will be blessed with eternal love. Its heart-shaped body makes it popular. In some places, you would give a LUVDISC to someone you love. If a Luvdisc is left on its own, it becomes despondent, leaving itself open to attack. That is when Pelipper snatch them up. Loving couples have a soft spot for this Pokémon, so honeymoon hotels often release this Pokémon into their pools. There was an era when it was overfished due to the rumor that having one of its heart-shaped scales would enable you to find a sweetheart. Luvdisc makes its home in coral reefs in warm seas. It especially likes sleeping in the space between Corsola’s branches.</t>
        </is>
      </c>
    </row>
    <row r="9387" ht="33.75" customHeight="1">
      <c r="A9387" s="7">
        <v>370.0</v>
      </c>
      <c r="B9387" s="9" t="s">
        <v>15369</v>
      </c>
      <c r="C9387" s="9" t="s">
        <v>564</v>
      </c>
      <c r="D9387" s="9" t="s">
        <v>71</v>
      </c>
      <c r="E9387" s="6" t="s">
        <v>9008</v>
      </c>
      <c r="F9387" s="9" t="s">
        <v>16053</v>
      </c>
    </row>
    <row r="9388" ht="33.75" customHeight="1">
      <c r="A9388" s="7">
        <v>370.0</v>
      </c>
      <c r="B9388" s="9" t="s">
        <v>15369</v>
      </c>
      <c r="C9388" s="9" t="s">
        <v>564</v>
      </c>
      <c r="D9388" s="9" t="s">
        <v>73</v>
      </c>
      <c r="E9388" s="6" t="s">
        <v>9009</v>
      </c>
      <c r="F9388" s="9" t="s">
        <v>16053</v>
      </c>
    </row>
    <row r="9389" ht="33.75" customHeight="1">
      <c r="A9389" s="7">
        <v>370.0</v>
      </c>
      <c r="B9389" s="9" t="s">
        <v>15369</v>
      </c>
      <c r="C9389" s="9" t="s">
        <v>564</v>
      </c>
      <c r="D9389" s="9" t="s">
        <v>75</v>
      </c>
      <c r="E9389" s="6" t="s">
        <v>9011</v>
      </c>
      <c r="F9389" s="9" t="s">
        <v>16053</v>
      </c>
    </row>
    <row r="9390" ht="33.75" customHeight="1">
      <c r="A9390" s="7">
        <v>370.0</v>
      </c>
      <c r="B9390" s="9" t="s">
        <v>15369</v>
      </c>
      <c r="C9390" s="9" t="s">
        <v>564</v>
      </c>
      <c r="D9390" s="9" t="s">
        <v>79</v>
      </c>
      <c r="E9390" s="6" t="s">
        <v>9011</v>
      </c>
      <c r="F9390" s="9" t="s">
        <v>16053</v>
      </c>
    </row>
    <row r="9391" ht="33.75" customHeight="1">
      <c r="A9391" s="7">
        <v>370.0</v>
      </c>
      <c r="B9391" s="9" t="s">
        <v>15369</v>
      </c>
      <c r="C9391" s="9" t="s">
        <v>564</v>
      </c>
      <c r="D9391" s="9" t="s">
        <v>81</v>
      </c>
      <c r="E9391" s="6" t="s">
        <v>9013</v>
      </c>
      <c r="F9391" s="9" t="s">
        <v>16053</v>
      </c>
    </row>
    <row r="9392" ht="33.75" customHeight="1">
      <c r="A9392" s="7">
        <v>370.0</v>
      </c>
      <c r="B9392" s="9" t="s">
        <v>15369</v>
      </c>
      <c r="C9392" s="9" t="s">
        <v>564</v>
      </c>
      <c r="D9392" s="9" t="s">
        <v>84</v>
      </c>
      <c r="E9392" s="6" t="s">
        <v>9013</v>
      </c>
      <c r="F9392" s="9" t="s">
        <v>16053</v>
      </c>
    </row>
    <row r="9393" ht="33.75" customHeight="1">
      <c r="A9393" s="7">
        <v>370.0</v>
      </c>
      <c r="B9393" s="9" t="s">
        <v>15369</v>
      </c>
      <c r="C9393" s="9" t="s">
        <v>564</v>
      </c>
      <c r="D9393" s="9" t="s">
        <v>87</v>
      </c>
      <c r="E9393" s="6" t="s">
        <v>9013</v>
      </c>
      <c r="F9393" s="9" t="s">
        <v>16053</v>
      </c>
    </row>
    <row r="9394" ht="33.75" customHeight="1">
      <c r="A9394" s="7">
        <v>370.0</v>
      </c>
      <c r="B9394" s="9" t="s">
        <v>15369</v>
      </c>
      <c r="C9394" s="9" t="s">
        <v>564</v>
      </c>
      <c r="D9394" s="9" t="s">
        <v>89</v>
      </c>
      <c r="E9394" s="6" t="s">
        <v>9014</v>
      </c>
      <c r="F9394" s="9" t="s">
        <v>16053</v>
      </c>
    </row>
    <row r="9395" ht="33.75" customHeight="1">
      <c r="A9395" s="7">
        <v>370.0</v>
      </c>
      <c r="B9395" s="9" t="s">
        <v>15369</v>
      </c>
      <c r="C9395" s="9" t="s">
        <v>564</v>
      </c>
      <c r="D9395" s="9" t="s">
        <v>91</v>
      </c>
      <c r="E9395" s="6" t="s">
        <v>9014</v>
      </c>
      <c r="F9395" s="9" t="s">
        <v>16053</v>
      </c>
    </row>
    <row r="9396" ht="33.75" customHeight="1">
      <c r="A9396" s="7">
        <v>370.0</v>
      </c>
      <c r="B9396" s="9" t="s">
        <v>15369</v>
      </c>
      <c r="C9396" s="9" t="s">
        <v>564</v>
      </c>
      <c r="D9396" s="9" t="s">
        <v>93</v>
      </c>
      <c r="E9396" s="6" t="s">
        <v>9013</v>
      </c>
      <c r="F9396" s="9" t="s">
        <v>16053</v>
      </c>
    </row>
    <row r="9397" ht="33.75" customHeight="1">
      <c r="A9397" s="7">
        <v>370.0</v>
      </c>
      <c r="B9397" s="9" t="s">
        <v>15369</v>
      </c>
      <c r="C9397" s="9" t="s">
        <v>564</v>
      </c>
      <c r="D9397" s="9" t="s">
        <v>95</v>
      </c>
      <c r="E9397" s="6" t="s">
        <v>9013</v>
      </c>
      <c r="F9397" s="9" t="s">
        <v>16053</v>
      </c>
    </row>
    <row r="9398" ht="33.75" customHeight="1">
      <c r="A9398" s="7">
        <v>370.0</v>
      </c>
      <c r="B9398" s="9" t="s">
        <v>15369</v>
      </c>
      <c r="C9398" s="9" t="s">
        <v>564</v>
      </c>
      <c r="D9398" s="9" t="s">
        <v>98</v>
      </c>
      <c r="E9398" s="6" t="s">
        <v>9013</v>
      </c>
      <c r="F9398" s="9" t="s">
        <v>16053</v>
      </c>
    </row>
    <row r="9399" ht="33.75" customHeight="1">
      <c r="A9399" s="7">
        <v>370.0</v>
      </c>
      <c r="B9399" s="9" t="s">
        <v>15369</v>
      </c>
      <c r="C9399" s="9" t="s">
        <v>564</v>
      </c>
      <c r="D9399" s="9" t="s">
        <v>99</v>
      </c>
      <c r="E9399" s="6" t="s">
        <v>9013</v>
      </c>
      <c r="F9399" s="9" t="s">
        <v>16053</v>
      </c>
    </row>
    <row r="9400" ht="33.75" customHeight="1">
      <c r="A9400" s="7">
        <v>370.0</v>
      </c>
      <c r="B9400" s="9" t="s">
        <v>15369</v>
      </c>
      <c r="C9400" s="9" t="s">
        <v>564</v>
      </c>
      <c r="D9400" s="9" t="s">
        <v>101</v>
      </c>
      <c r="E9400" s="6" t="s">
        <v>9013</v>
      </c>
      <c r="F9400" s="9" t="s">
        <v>16053</v>
      </c>
    </row>
    <row r="9401" ht="33.75" customHeight="1">
      <c r="A9401" s="7">
        <v>370.0</v>
      </c>
      <c r="B9401" s="9" t="s">
        <v>15369</v>
      </c>
      <c r="C9401" s="9" t="s">
        <v>564</v>
      </c>
      <c r="D9401" s="9" t="s">
        <v>105</v>
      </c>
      <c r="E9401" s="6" t="s">
        <v>9015</v>
      </c>
      <c r="F9401" s="9" t="s">
        <v>16053</v>
      </c>
    </row>
    <row r="9402" ht="33.75" customHeight="1">
      <c r="A9402" s="7">
        <v>370.0</v>
      </c>
      <c r="B9402" s="9" t="s">
        <v>15369</v>
      </c>
      <c r="C9402" s="9" t="s">
        <v>564</v>
      </c>
      <c r="D9402" s="9" t="s">
        <v>107</v>
      </c>
      <c r="E9402" s="6" t="s">
        <v>9017</v>
      </c>
      <c r="F9402" s="9" t="s">
        <v>16053</v>
      </c>
    </row>
    <row r="9403" ht="33.75" customHeight="1">
      <c r="A9403" s="7">
        <v>370.0</v>
      </c>
      <c r="B9403" s="9" t="s">
        <v>15369</v>
      </c>
      <c r="C9403" s="9" t="s">
        <v>564</v>
      </c>
      <c r="D9403" s="9" t="s">
        <v>109</v>
      </c>
      <c r="E9403" s="6" t="s">
        <v>9019</v>
      </c>
      <c r="F9403" s="9" t="s">
        <v>16053</v>
      </c>
    </row>
    <row r="9404" ht="33.75" customHeight="1">
      <c r="A9404" s="7">
        <v>370.0</v>
      </c>
      <c r="B9404" s="9" t="s">
        <v>15369</v>
      </c>
      <c r="C9404" s="9" t="s">
        <v>564</v>
      </c>
      <c r="D9404" s="9" t="s">
        <v>637</v>
      </c>
      <c r="E9404" s="6" t="s">
        <v>9020</v>
      </c>
      <c r="F9404" s="9" t="s">
        <v>16053</v>
      </c>
    </row>
    <row r="9405" ht="33.75" customHeight="1">
      <c r="A9405" s="7">
        <v>370.0</v>
      </c>
      <c r="B9405" s="9" t="s">
        <v>15369</v>
      </c>
      <c r="C9405" s="9" t="s">
        <v>564</v>
      </c>
      <c r="D9405" s="9" t="s">
        <v>642</v>
      </c>
      <c r="E9405" s="6" t="s">
        <v>9021</v>
      </c>
      <c r="F9405" s="9" t="s">
        <v>16053</v>
      </c>
    </row>
    <row r="9406" ht="33.75" customHeight="1">
      <c r="A9406" s="7">
        <v>370.0</v>
      </c>
      <c r="B9406" s="9" t="s">
        <v>15369</v>
      </c>
      <c r="C9406" s="9" t="s">
        <v>564</v>
      </c>
      <c r="D9406" s="9" t="s">
        <v>647</v>
      </c>
      <c r="E9406" s="6" t="s">
        <v>9023</v>
      </c>
      <c r="F9406" s="9" t="s">
        <v>16053</v>
      </c>
    </row>
    <row r="9407" ht="33.75" customHeight="1">
      <c r="A9407" s="7">
        <v>370.0</v>
      </c>
      <c r="B9407" s="9" t="s">
        <v>15369</v>
      </c>
      <c r="C9407" s="9" t="s">
        <v>564</v>
      </c>
      <c r="D9407" s="9" t="s">
        <v>652</v>
      </c>
      <c r="E9407" s="6" t="s">
        <v>9025</v>
      </c>
      <c r="F9407" s="9" t="s">
        <v>16053</v>
      </c>
    </row>
    <row r="9408" ht="33.75" customHeight="1">
      <c r="A9408" s="7">
        <v>371.0</v>
      </c>
      <c r="B9408" s="9" t="s">
        <v>15385</v>
      </c>
      <c r="C9408" s="9" t="s">
        <v>566</v>
      </c>
      <c r="D9408" s="9" t="s">
        <v>67</v>
      </c>
      <c r="E9408" s="6" t="s">
        <v>9027</v>
      </c>
      <c r="F9408" s="9" t="s">
        <v>16062</v>
      </c>
      <c r="G9408" t="inlineStr" s="6">
        <is>
          <t xml:space="preserve">BAGON has a dream of one day soaring in the sky. In doomed efforts to fly, this POKéMON hurls itself off cliffs. As a result of its dives, its head has grown tough and as hard as tempered steel. BAGON harbors a never-ending dream of one day soaring high among the clouds. As if trying to dispel its frustration over its inability to fly, this POKéMON slams its hard head against huge rocks and shatters them into pebbles. Although it is small, this POKéMON is very powerful because its body is a bundle of muscles. It launches head-butts with its ironlike skull. Its steel-hard head can shatter boulders. It longingly hopes for wings to grow so it can fly. Dreaming of one day flying, it practices by leaping off cliffs every day. Its well-developed neck muscles and ironlike head can smash boulders into pieces. Its well-developed neck muscles and iron-like head can smash boulders into pieces. Its belief that it will be able to fly one day is apparently the influence of information carried in its genes. With its steel-hard stone head, it headbutts indiscriminately. This is because of the stress it feels at being unable to fly. Whenever it sees bird Pokémon flying through the sky, it becomes envious and smashes its surroundings to bits with headbutts. Some theories suggest that its behavior of forcefully bashing its head into things stimulates cells that affect its evolution. Bagon jumps off cliffs every day, trying to grow stronger so that someday it will be able to fly. Bagon is a solitary Pokémon that doesn’t form groups with others of its kind. It also has a head hard enough to cleave a boulder in one strike.</t>
        </is>
      </c>
    </row>
    <row r="9409" ht="33.75" customHeight="1">
      <c r="A9409" s="7">
        <v>371.0</v>
      </c>
      <c r="B9409" s="9" t="s">
        <v>15385</v>
      </c>
      <c r="C9409" s="9" t="s">
        <v>566</v>
      </c>
      <c r="D9409" s="9" t="s">
        <v>71</v>
      </c>
      <c r="E9409" s="6" t="s">
        <v>9028</v>
      </c>
      <c r="F9409" s="9" t="s">
        <v>16062</v>
      </c>
    </row>
    <row r="9410" ht="33.75" customHeight="1">
      <c r="A9410" s="7">
        <v>371.0</v>
      </c>
      <c r="B9410" s="9" t="s">
        <v>15385</v>
      </c>
      <c r="C9410" s="9" t="s">
        <v>566</v>
      </c>
      <c r="D9410" s="9" t="s">
        <v>73</v>
      </c>
      <c r="E9410" s="6" t="s">
        <v>9029</v>
      </c>
      <c r="F9410" s="9" t="s">
        <v>16062</v>
      </c>
    </row>
    <row r="9411" ht="33.75" customHeight="1">
      <c r="A9411" s="7">
        <v>371.0</v>
      </c>
      <c r="B9411" s="9" t="s">
        <v>15385</v>
      </c>
      <c r="C9411" s="9" t="s">
        <v>566</v>
      </c>
      <c r="D9411" s="9" t="s">
        <v>75</v>
      </c>
      <c r="E9411" s="6" t="s">
        <v>9030</v>
      </c>
      <c r="F9411" s="9" t="s">
        <v>16062</v>
      </c>
    </row>
    <row r="9412" ht="33.75" customHeight="1">
      <c r="A9412" s="7">
        <v>371.0</v>
      </c>
      <c r="B9412" s="9" t="s">
        <v>15385</v>
      </c>
      <c r="C9412" s="9" t="s">
        <v>566</v>
      </c>
      <c r="D9412" s="9" t="s">
        <v>79</v>
      </c>
      <c r="E9412" s="6" t="s">
        <v>9030</v>
      </c>
      <c r="F9412" s="9" t="s">
        <v>16062</v>
      </c>
    </row>
    <row r="9413" ht="33.75" customHeight="1">
      <c r="A9413" s="7">
        <v>371.0</v>
      </c>
      <c r="B9413" s="9" t="s">
        <v>15385</v>
      </c>
      <c r="C9413" s="9" t="s">
        <v>566</v>
      </c>
      <c r="D9413" s="9" t="s">
        <v>81</v>
      </c>
      <c r="E9413" s="6" t="s">
        <v>9031</v>
      </c>
      <c r="F9413" s="9" t="s">
        <v>16062</v>
      </c>
    </row>
    <row r="9414" ht="33.75" customHeight="1">
      <c r="A9414" s="7">
        <v>371.0</v>
      </c>
      <c r="B9414" s="9" t="s">
        <v>15385</v>
      </c>
      <c r="C9414" s="9" t="s">
        <v>566</v>
      </c>
      <c r="D9414" s="9" t="s">
        <v>84</v>
      </c>
      <c r="E9414" s="6" t="s">
        <v>9031</v>
      </c>
      <c r="F9414" s="9" t="s">
        <v>16062</v>
      </c>
    </row>
    <row r="9415" ht="33.75" customHeight="1">
      <c r="A9415" s="7">
        <v>371.0</v>
      </c>
      <c r="B9415" s="9" t="s">
        <v>15385</v>
      </c>
      <c r="C9415" s="9" t="s">
        <v>566</v>
      </c>
      <c r="D9415" s="9" t="s">
        <v>87</v>
      </c>
      <c r="E9415" s="6" t="s">
        <v>9031</v>
      </c>
      <c r="F9415" s="9" t="s">
        <v>16062</v>
      </c>
    </row>
    <row r="9416" ht="33.75" customHeight="1">
      <c r="A9416" s="7">
        <v>371.0</v>
      </c>
      <c r="B9416" s="9" t="s">
        <v>15385</v>
      </c>
      <c r="C9416" s="9" t="s">
        <v>566</v>
      </c>
      <c r="D9416" s="9" t="s">
        <v>89</v>
      </c>
      <c r="E9416" s="6" t="s">
        <v>9032</v>
      </c>
      <c r="F9416" s="9" t="s">
        <v>16062</v>
      </c>
    </row>
    <row r="9417" ht="33.75" customHeight="1">
      <c r="A9417" s="7">
        <v>371.0</v>
      </c>
      <c r="B9417" s="9" t="s">
        <v>15385</v>
      </c>
      <c r="C9417" s="9" t="s">
        <v>566</v>
      </c>
      <c r="D9417" s="9" t="s">
        <v>91</v>
      </c>
      <c r="E9417" s="6" t="s">
        <v>9032</v>
      </c>
      <c r="F9417" s="9" t="s">
        <v>16062</v>
      </c>
    </row>
    <row r="9418" ht="33.75" customHeight="1">
      <c r="A9418" s="7">
        <v>371.0</v>
      </c>
      <c r="B9418" s="9" t="s">
        <v>15385</v>
      </c>
      <c r="C9418" s="9" t="s">
        <v>566</v>
      </c>
      <c r="D9418" s="9" t="s">
        <v>93</v>
      </c>
      <c r="E9418" s="6" t="s">
        <v>9031</v>
      </c>
      <c r="F9418" s="9" t="s">
        <v>16062</v>
      </c>
    </row>
    <row r="9419" ht="33.75" customHeight="1">
      <c r="A9419" s="7">
        <v>371.0</v>
      </c>
      <c r="B9419" s="9" t="s">
        <v>15385</v>
      </c>
      <c r="C9419" s="9" t="s">
        <v>566</v>
      </c>
      <c r="D9419" s="9" t="s">
        <v>95</v>
      </c>
      <c r="E9419" s="6" t="s">
        <v>9031</v>
      </c>
      <c r="F9419" s="9" t="s">
        <v>16062</v>
      </c>
    </row>
    <row r="9420" ht="33.75" customHeight="1">
      <c r="A9420" s="7">
        <v>371.0</v>
      </c>
      <c r="B9420" s="9" t="s">
        <v>15385</v>
      </c>
      <c r="C9420" s="9" t="s">
        <v>566</v>
      </c>
      <c r="D9420" s="9" t="s">
        <v>98</v>
      </c>
      <c r="E9420" s="6" t="s">
        <v>9031</v>
      </c>
      <c r="F9420" s="9" t="s">
        <v>16062</v>
      </c>
    </row>
    <row r="9421" ht="33.75" customHeight="1">
      <c r="A9421" s="7">
        <v>371.0</v>
      </c>
      <c r="B9421" s="9" t="s">
        <v>15385</v>
      </c>
      <c r="C9421" s="9" t="s">
        <v>566</v>
      </c>
      <c r="D9421" s="9" t="s">
        <v>99</v>
      </c>
      <c r="E9421" s="6" t="s">
        <v>9031</v>
      </c>
      <c r="F9421" s="9" t="s">
        <v>16062</v>
      </c>
    </row>
    <row r="9422" ht="33.75" customHeight="1">
      <c r="A9422" s="7">
        <v>371.0</v>
      </c>
      <c r="B9422" s="9" t="s">
        <v>15385</v>
      </c>
      <c r="C9422" s="9" t="s">
        <v>566</v>
      </c>
      <c r="D9422" s="9" t="s">
        <v>101</v>
      </c>
      <c r="E9422" s="6" t="s">
        <v>9034</v>
      </c>
      <c r="F9422" s="9" t="s">
        <v>16062</v>
      </c>
    </row>
    <row r="9423" ht="33.75" customHeight="1">
      <c r="A9423" s="7">
        <v>371.0</v>
      </c>
      <c r="B9423" s="9" t="s">
        <v>15385</v>
      </c>
      <c r="C9423" s="9" t="s">
        <v>566</v>
      </c>
      <c r="D9423" s="9" t="s">
        <v>105</v>
      </c>
      <c r="E9423" s="6" t="s">
        <v>9031</v>
      </c>
      <c r="F9423" s="9" t="s">
        <v>16062</v>
      </c>
    </row>
    <row r="9424" ht="33.75" customHeight="1">
      <c r="A9424" s="7">
        <v>371.0</v>
      </c>
      <c r="B9424" s="9" t="s">
        <v>15385</v>
      </c>
      <c r="C9424" s="9" t="s">
        <v>566</v>
      </c>
      <c r="D9424" s="9" t="s">
        <v>107</v>
      </c>
      <c r="E9424" s="6" t="s">
        <v>9035</v>
      </c>
      <c r="F9424" s="9" t="s">
        <v>16062</v>
      </c>
    </row>
    <row r="9425" ht="33.75" customHeight="1">
      <c r="A9425" s="7">
        <v>371.0</v>
      </c>
      <c r="B9425" s="9" t="s">
        <v>15385</v>
      </c>
      <c r="C9425" s="9" t="s">
        <v>566</v>
      </c>
      <c r="D9425" s="9" t="s">
        <v>109</v>
      </c>
      <c r="E9425" s="6" t="s">
        <v>9038</v>
      </c>
      <c r="F9425" s="9" t="s">
        <v>16062</v>
      </c>
    </row>
    <row r="9426" ht="33.75" customHeight="1">
      <c r="A9426" s="7">
        <v>371.0</v>
      </c>
      <c r="B9426" s="9" t="s">
        <v>15385</v>
      </c>
      <c r="C9426" s="9" t="s">
        <v>566</v>
      </c>
      <c r="D9426" s="9" t="s">
        <v>637</v>
      </c>
      <c r="E9426" s="6" t="s">
        <v>9040</v>
      </c>
      <c r="F9426" s="9" t="s">
        <v>16062</v>
      </c>
    </row>
    <row r="9427" ht="33.75" customHeight="1">
      <c r="A9427" s="7">
        <v>371.0</v>
      </c>
      <c r="B9427" s="9" t="s">
        <v>15385</v>
      </c>
      <c r="C9427" s="9" t="s">
        <v>566</v>
      </c>
      <c r="D9427" s="9" t="s">
        <v>642</v>
      </c>
      <c r="E9427" s="6" t="s">
        <v>9042</v>
      </c>
      <c r="F9427" s="9" t="s">
        <v>16062</v>
      </c>
    </row>
    <row r="9428" ht="33.75" customHeight="1">
      <c r="A9428" s="7">
        <v>371.0</v>
      </c>
      <c r="B9428" s="9" t="s">
        <v>15385</v>
      </c>
      <c r="C9428" s="9" t="s">
        <v>566</v>
      </c>
      <c r="D9428" s="9" t="s">
        <v>647</v>
      </c>
      <c r="E9428" s="6" t="s">
        <v>9043</v>
      </c>
      <c r="F9428" s="9" t="s">
        <v>16062</v>
      </c>
    </row>
    <row r="9429" ht="33.75" customHeight="1">
      <c r="A9429" s="7">
        <v>371.0</v>
      </c>
      <c r="B9429" s="9" t="s">
        <v>15385</v>
      </c>
      <c r="C9429" s="9" t="s">
        <v>566</v>
      </c>
      <c r="D9429" s="9" t="s">
        <v>652</v>
      </c>
      <c r="E9429" s="6" t="s">
        <v>9044</v>
      </c>
      <c r="F9429" s="9" t="s">
        <v>16062</v>
      </c>
    </row>
    <row r="9430" ht="33.75" customHeight="1">
      <c r="A9430" s="7">
        <v>371.0</v>
      </c>
      <c r="B9430" s="9" t="s">
        <v>15385</v>
      </c>
      <c r="C9430" s="9" t="s">
        <v>566</v>
      </c>
      <c r="D9430" s="9" t="s">
        <v>114</v>
      </c>
      <c r="E9430" s="6" t="s">
        <v>9047</v>
      </c>
      <c r="F9430" s="9" t="s">
        <v>16062</v>
      </c>
    </row>
    <row r="9431" ht="33.75" customHeight="1">
      <c r="A9431" s="7">
        <v>371.0</v>
      </c>
      <c r="B9431" s="9" t="s">
        <v>15385</v>
      </c>
      <c r="C9431" s="9" t="s">
        <v>566</v>
      </c>
      <c r="D9431" s="9" t="s">
        <v>117</v>
      </c>
      <c r="E9431" s="6" t="s">
        <v>9051</v>
      </c>
      <c r="F9431" s="9" t="s">
        <v>16062</v>
      </c>
    </row>
    <row r="9432" ht="33.75" customHeight="1">
      <c r="A9432" s="7">
        <v>372.0</v>
      </c>
      <c r="B9432" s="9" t="s">
        <v>15402</v>
      </c>
      <c r="C9432" s="9" t="s">
        <v>568</v>
      </c>
      <c r="D9432" s="9" t="s">
        <v>67</v>
      </c>
      <c r="E9432" s="6" t="s">
        <v>9052</v>
      </c>
      <c r="F9432" s="9" t="s">
        <v>16077</v>
      </c>
      <c r="G9432" t="inlineStr" s="6">
        <is>
          <t xml:space="preserve">Inside SHELGON’s armor-like shell, cells are in the midst of transformation to create an entirely new body. This POKéMON’s shell is extremely heavy, making its movements sluggish. Covering SHELGON’s body are outgrowths much like bones. The shell is very hard and bounces off enemy attacks. When awaiting evolution, this POKéMON hides away in a cavern. It hardly eats while it awaits evolution. It becomes hardier by enduring hunger. Its shell peels off the instant it begins to evolve. Its armored body makes all attacks bounce off. The armor is too tough, however, making it heavy and somewhat sluggish. Within its rugged shell, its cells have begun changing. The shell peels off the instant it evolves. It surrounds its body in an iron-hard shell to accumulate enough power to evolve. The cells within its shell transform with explosive speed, preparing it for evolution. They lurk deep within caves—motionless, neither eating nor drinking. Why they don’t die is not known. The cells within its body are changing at a bewildering pace. Its hard shell is made from the same substance as bone. Shelgon lives deep within caves. It stays shut up in its hard shell, dreaming of the day it will be able to fly. This Pokémon has covered its body in a hard shell that has the same composition as bone. Shelgon stores energy for evolution. Shelgon ignores its hunger entirely, never eating any food. Apparently, Shelgon will evolve once all its energy stores are used up.</t>
        </is>
      </c>
    </row>
    <row r="9433" ht="33.75" customHeight="1">
      <c r="A9433" s="7">
        <v>372.0</v>
      </c>
      <c r="B9433" s="9" t="s">
        <v>15402</v>
      </c>
      <c r="C9433" s="9" t="s">
        <v>568</v>
      </c>
      <c r="D9433" s="9" t="s">
        <v>71</v>
      </c>
      <c r="E9433" s="6" t="s">
        <v>9055</v>
      </c>
      <c r="F9433" s="9" t="s">
        <v>16077</v>
      </c>
    </row>
    <row r="9434" ht="33.75" customHeight="1">
      <c r="A9434" s="7">
        <v>372.0</v>
      </c>
      <c r="B9434" s="9" t="s">
        <v>15402</v>
      </c>
      <c r="C9434" s="9" t="s">
        <v>568</v>
      </c>
      <c r="D9434" s="9" t="s">
        <v>73</v>
      </c>
      <c r="E9434" s="6" t="s">
        <v>9057</v>
      </c>
      <c r="F9434" s="9" t="s">
        <v>16077</v>
      </c>
    </row>
    <row r="9435" ht="33.75" customHeight="1">
      <c r="A9435" s="7">
        <v>372.0</v>
      </c>
      <c r="B9435" s="9" t="s">
        <v>15402</v>
      </c>
      <c r="C9435" s="9" t="s">
        <v>568</v>
      </c>
      <c r="D9435" s="9" t="s">
        <v>75</v>
      </c>
      <c r="E9435" s="6" t="s">
        <v>9060</v>
      </c>
      <c r="F9435" s="9" t="s">
        <v>16077</v>
      </c>
    </row>
    <row r="9436" ht="33.75" customHeight="1">
      <c r="A9436" s="7">
        <v>372.0</v>
      </c>
      <c r="B9436" s="9" t="s">
        <v>15402</v>
      </c>
      <c r="C9436" s="9" t="s">
        <v>568</v>
      </c>
      <c r="D9436" s="9" t="s">
        <v>79</v>
      </c>
      <c r="E9436" s="6" t="s">
        <v>9060</v>
      </c>
      <c r="F9436" s="9" t="s">
        <v>16077</v>
      </c>
    </row>
    <row r="9437" ht="33.75" customHeight="1">
      <c r="A9437" s="7">
        <v>372.0</v>
      </c>
      <c r="B9437" s="9" t="s">
        <v>15402</v>
      </c>
      <c r="C9437" s="9" t="s">
        <v>568</v>
      </c>
      <c r="D9437" s="9" t="s">
        <v>81</v>
      </c>
      <c r="E9437" s="6" t="s">
        <v>9061</v>
      </c>
      <c r="F9437" s="9" t="s">
        <v>16077</v>
      </c>
    </row>
    <row r="9438" ht="33.75" customHeight="1">
      <c r="A9438" s="7">
        <v>372.0</v>
      </c>
      <c r="B9438" s="9" t="s">
        <v>15402</v>
      </c>
      <c r="C9438" s="9" t="s">
        <v>568</v>
      </c>
      <c r="D9438" s="9" t="s">
        <v>84</v>
      </c>
      <c r="E9438" s="6" t="s">
        <v>9061</v>
      </c>
      <c r="F9438" s="9" t="s">
        <v>16077</v>
      </c>
    </row>
    <row r="9439" ht="33.75" customHeight="1">
      <c r="A9439" s="7">
        <v>372.0</v>
      </c>
      <c r="B9439" s="9" t="s">
        <v>15402</v>
      </c>
      <c r="C9439" s="9" t="s">
        <v>568</v>
      </c>
      <c r="D9439" s="9" t="s">
        <v>87</v>
      </c>
      <c r="E9439" s="6" t="s">
        <v>9061</v>
      </c>
      <c r="F9439" s="9" t="s">
        <v>16077</v>
      </c>
    </row>
    <row r="9440" ht="33.75" customHeight="1">
      <c r="A9440" s="7">
        <v>372.0</v>
      </c>
      <c r="B9440" s="9" t="s">
        <v>15402</v>
      </c>
      <c r="C9440" s="9" t="s">
        <v>568</v>
      </c>
      <c r="D9440" s="9" t="s">
        <v>89</v>
      </c>
      <c r="E9440" s="6" t="s">
        <v>9063</v>
      </c>
      <c r="F9440" s="9" t="s">
        <v>16077</v>
      </c>
    </row>
    <row r="9441" ht="33.75" customHeight="1">
      <c r="A9441" s="7">
        <v>372.0</v>
      </c>
      <c r="B9441" s="9" t="s">
        <v>15402</v>
      </c>
      <c r="C9441" s="9" t="s">
        <v>568</v>
      </c>
      <c r="D9441" s="9" t="s">
        <v>91</v>
      </c>
      <c r="E9441" s="6" t="s">
        <v>9063</v>
      </c>
      <c r="F9441" s="9" t="s">
        <v>16077</v>
      </c>
    </row>
    <row r="9442" ht="33.75" customHeight="1">
      <c r="A9442" s="7">
        <v>372.0</v>
      </c>
      <c r="B9442" s="9" t="s">
        <v>15402</v>
      </c>
      <c r="C9442" s="9" t="s">
        <v>568</v>
      </c>
      <c r="D9442" s="9" t="s">
        <v>93</v>
      </c>
      <c r="E9442" s="6" t="s">
        <v>9061</v>
      </c>
      <c r="F9442" s="9" t="s">
        <v>16077</v>
      </c>
    </row>
    <row r="9443" ht="33.75" customHeight="1">
      <c r="A9443" s="7">
        <v>372.0</v>
      </c>
      <c r="B9443" s="9" t="s">
        <v>15402</v>
      </c>
      <c r="C9443" s="9" t="s">
        <v>568</v>
      </c>
      <c r="D9443" s="9" t="s">
        <v>95</v>
      </c>
      <c r="E9443" s="6" t="s">
        <v>9061</v>
      </c>
      <c r="F9443" s="9" t="s">
        <v>16077</v>
      </c>
    </row>
    <row r="9444" ht="33.75" customHeight="1">
      <c r="A9444" s="7">
        <v>372.0</v>
      </c>
      <c r="B9444" s="9" t="s">
        <v>15402</v>
      </c>
      <c r="C9444" s="9" t="s">
        <v>568</v>
      </c>
      <c r="D9444" s="9" t="s">
        <v>98</v>
      </c>
      <c r="E9444" s="6" t="s">
        <v>9061</v>
      </c>
      <c r="F9444" s="9" t="s">
        <v>16077</v>
      </c>
    </row>
    <row r="9445" ht="33.75" customHeight="1">
      <c r="A9445" s="7">
        <v>372.0</v>
      </c>
      <c r="B9445" s="9" t="s">
        <v>15402</v>
      </c>
      <c r="C9445" s="9" t="s">
        <v>568</v>
      </c>
      <c r="D9445" s="9" t="s">
        <v>99</v>
      </c>
      <c r="E9445" s="6" t="s">
        <v>9061</v>
      </c>
      <c r="F9445" s="9" t="s">
        <v>16077</v>
      </c>
    </row>
    <row r="9446" ht="33.75" customHeight="1">
      <c r="A9446" s="7">
        <v>372.0</v>
      </c>
      <c r="B9446" s="9" t="s">
        <v>15402</v>
      </c>
      <c r="C9446" s="9" t="s">
        <v>568</v>
      </c>
      <c r="D9446" s="9" t="s">
        <v>101</v>
      </c>
      <c r="E9446" s="6" t="s">
        <v>9061</v>
      </c>
      <c r="F9446" s="9" t="s">
        <v>16077</v>
      </c>
    </row>
    <row r="9447" ht="33.75" customHeight="1">
      <c r="A9447" s="7">
        <v>372.0</v>
      </c>
      <c r="B9447" s="9" t="s">
        <v>15402</v>
      </c>
      <c r="C9447" s="9" t="s">
        <v>568</v>
      </c>
      <c r="D9447" s="9" t="s">
        <v>105</v>
      </c>
      <c r="E9447" s="6" t="s">
        <v>9060</v>
      </c>
      <c r="F9447" s="9" t="s">
        <v>16077</v>
      </c>
    </row>
    <row r="9448" ht="33.75" customHeight="1">
      <c r="A9448" s="7">
        <v>372.0</v>
      </c>
      <c r="B9448" s="9" t="s">
        <v>15402</v>
      </c>
      <c r="C9448" s="9" t="s">
        <v>568</v>
      </c>
      <c r="D9448" s="9" t="s">
        <v>107</v>
      </c>
      <c r="E9448" s="6" t="s">
        <v>9065</v>
      </c>
      <c r="F9448" s="9" t="s">
        <v>16077</v>
      </c>
    </row>
    <row r="9449" ht="33.75" customHeight="1">
      <c r="A9449" s="7">
        <v>372.0</v>
      </c>
      <c r="B9449" s="9" t="s">
        <v>15402</v>
      </c>
      <c r="C9449" s="9" t="s">
        <v>568</v>
      </c>
      <c r="D9449" s="9" t="s">
        <v>109</v>
      </c>
      <c r="E9449" s="6" t="s">
        <v>9066</v>
      </c>
      <c r="F9449" s="9" t="s">
        <v>16077</v>
      </c>
    </row>
    <row r="9450" ht="33.75" customHeight="1">
      <c r="A9450" s="7">
        <v>372.0</v>
      </c>
      <c r="B9450" s="9" t="s">
        <v>15402</v>
      </c>
      <c r="C9450" s="9" t="s">
        <v>568</v>
      </c>
      <c r="D9450" s="9" t="s">
        <v>637</v>
      </c>
      <c r="E9450" s="6" t="s">
        <v>9069</v>
      </c>
      <c r="F9450" s="9" t="s">
        <v>16077</v>
      </c>
    </row>
    <row r="9451" ht="33.75" customHeight="1">
      <c r="A9451" s="7">
        <v>372.0</v>
      </c>
      <c r="B9451" s="9" t="s">
        <v>15402</v>
      </c>
      <c r="C9451" s="9" t="s">
        <v>568</v>
      </c>
      <c r="D9451" s="9" t="s">
        <v>642</v>
      </c>
      <c r="E9451" s="6" t="s">
        <v>9071</v>
      </c>
      <c r="F9451" s="9" t="s">
        <v>16077</v>
      </c>
    </row>
    <row r="9452" ht="33.75" customHeight="1">
      <c r="A9452" s="7">
        <v>372.0</v>
      </c>
      <c r="B9452" s="9" t="s">
        <v>15402</v>
      </c>
      <c r="C9452" s="9" t="s">
        <v>568</v>
      </c>
      <c r="D9452" s="9" t="s">
        <v>647</v>
      </c>
      <c r="E9452" s="6" t="s">
        <v>9072</v>
      </c>
      <c r="F9452" s="9" t="s">
        <v>16077</v>
      </c>
    </row>
    <row r="9453" ht="33.75" customHeight="1">
      <c r="A9453" s="7">
        <v>372.0</v>
      </c>
      <c r="B9453" s="9" t="s">
        <v>15402</v>
      </c>
      <c r="C9453" s="9" t="s">
        <v>568</v>
      </c>
      <c r="D9453" s="9" t="s">
        <v>652</v>
      </c>
      <c r="E9453" s="6" t="s">
        <v>9073</v>
      </c>
      <c r="F9453" s="9" t="s">
        <v>16077</v>
      </c>
    </row>
    <row r="9454" ht="33.75" customHeight="1">
      <c r="A9454" s="7">
        <v>372.0</v>
      </c>
      <c r="B9454" s="9" t="s">
        <v>15402</v>
      </c>
      <c r="C9454" s="9" t="s">
        <v>568</v>
      </c>
      <c r="D9454" s="9" t="s">
        <v>114</v>
      </c>
      <c r="E9454" s="6" t="s">
        <v>9074</v>
      </c>
      <c r="F9454" s="9" t="s">
        <v>16077</v>
      </c>
    </row>
    <row r="9455" ht="33.75" customHeight="1">
      <c r="A9455" s="7">
        <v>372.0</v>
      </c>
      <c r="B9455" s="9" t="s">
        <v>15402</v>
      </c>
      <c r="C9455" s="9" t="s">
        <v>568</v>
      </c>
      <c r="D9455" s="9" t="s">
        <v>117</v>
      </c>
      <c r="E9455" s="6" t="s">
        <v>9077</v>
      </c>
      <c r="F9455" s="9" t="s">
        <v>16077</v>
      </c>
    </row>
    <row r="9456" ht="33.75" customHeight="1">
      <c r="A9456" s="7">
        <v>373.0</v>
      </c>
      <c r="B9456" s="9" t="s">
        <v>15419</v>
      </c>
      <c r="C9456" s="9" t="s">
        <v>195</v>
      </c>
      <c r="D9456" s="9" t="s">
        <v>67</v>
      </c>
      <c r="E9456" s="6" t="s">
        <v>9079</v>
      </c>
      <c r="F9456" s="9" t="s">
        <v>16087</v>
      </c>
      <c r="G9456" t="inlineStr" s="6">
        <is>
          <t xml:space="preserve">SALAMENCE came about as a result of a strong, long-held dream of growing wings. It is said that this powerful desire triggered a sudden mutation in this POKéMON’s cells, causing it to sprout its magnificent wings. By evolving into SALAMENCE, this POKéMON finally realizes its long-held dream of growing wings. To express its joy, it flies and wheels all over the sky while spouting flames from its mouth. After many long years, its cellular structure underwent a sudden mutation to grow wings. When angered, it loses all thought and rampages out of control. It becomes uncontrollable if it is enraged. It destroys everything with shredding claws and fire. As a result of its long-held dream of flying, its cellular structure changed, and wings grew out. It’s uncontrollable if enraged. It flies around spouting flames and scorching fields and mountains. When angered, it loses all sense of itself and destroys everything around it. The destruction will continue until Salamence has tired itself out. It flies around on its wings, which have grown in at last. In its happiness, it gushes hot flames, burning up the fields it passes over. Overjoyed at finally being able to fly, it flies all over the place and usually doesn’t land until it’s completely exhausted and needs to sleep. Thanks to its fervent wishes, the cells in its body finally mutated, and at last it has its heart’s desire—wings. Salamence is an unusual Pokémon in that it was able to evolve a body with wings just by constantly wishing to be able to fly. While basking in the joy of flight generally keeps this Pokémon in high spirits, Salamence turns into an uncontrollable menace if something angers it.</t>
        </is>
      </c>
    </row>
    <row r="9457" ht="33.75" customHeight="1">
      <c r="A9457" s="7">
        <v>373.0</v>
      </c>
      <c r="B9457" s="9" t="s">
        <v>15419</v>
      </c>
      <c r="C9457" s="9" t="s">
        <v>195</v>
      </c>
      <c r="D9457" s="9" t="s">
        <v>71</v>
      </c>
      <c r="E9457" s="6" t="s">
        <v>9080</v>
      </c>
      <c r="F9457" s="9" t="s">
        <v>16087</v>
      </c>
    </row>
    <row r="9458" ht="33.75" customHeight="1">
      <c r="A9458" s="7">
        <v>373.0</v>
      </c>
      <c r="B9458" s="9" t="s">
        <v>15419</v>
      </c>
      <c r="C9458" s="9" t="s">
        <v>195</v>
      </c>
      <c r="D9458" s="9" t="s">
        <v>73</v>
      </c>
      <c r="E9458" s="6" t="s">
        <v>9082</v>
      </c>
      <c r="F9458" s="9" t="s">
        <v>16087</v>
      </c>
    </row>
    <row r="9459" ht="33.75" customHeight="1">
      <c r="A9459" s="7">
        <v>373.0</v>
      </c>
      <c r="B9459" s="9" t="s">
        <v>15419</v>
      </c>
      <c r="C9459" s="9" t="s">
        <v>195</v>
      </c>
      <c r="D9459" s="9" t="s">
        <v>75</v>
      </c>
      <c r="E9459" s="6" t="s">
        <v>9086</v>
      </c>
      <c r="F9459" s="9" t="s">
        <v>16087</v>
      </c>
    </row>
    <row r="9460" ht="33.75" customHeight="1">
      <c r="A9460" s="7">
        <v>373.0</v>
      </c>
      <c r="B9460" s="9" t="s">
        <v>15419</v>
      </c>
      <c r="C9460" s="9" t="s">
        <v>195</v>
      </c>
      <c r="D9460" s="9" t="s">
        <v>79</v>
      </c>
      <c r="E9460" s="6" t="s">
        <v>9086</v>
      </c>
      <c r="F9460" s="9" t="s">
        <v>16087</v>
      </c>
    </row>
    <row r="9461" ht="33.75" customHeight="1">
      <c r="A9461" s="7">
        <v>373.0</v>
      </c>
      <c r="B9461" s="9" t="s">
        <v>15419</v>
      </c>
      <c r="C9461" s="9" t="s">
        <v>195</v>
      </c>
      <c r="D9461" s="9" t="s">
        <v>81</v>
      </c>
      <c r="E9461" s="6" t="s">
        <v>9087</v>
      </c>
      <c r="F9461" s="9" t="s">
        <v>16087</v>
      </c>
    </row>
    <row r="9462" ht="33.75" customHeight="1">
      <c r="A9462" s="7">
        <v>373.0</v>
      </c>
      <c r="B9462" s="9" t="s">
        <v>15419</v>
      </c>
      <c r="C9462" s="9" t="s">
        <v>195</v>
      </c>
      <c r="D9462" s="9" t="s">
        <v>84</v>
      </c>
      <c r="E9462" s="6" t="s">
        <v>9087</v>
      </c>
      <c r="F9462" s="9" t="s">
        <v>16087</v>
      </c>
    </row>
    <row r="9463" ht="33.75" customHeight="1">
      <c r="A9463" s="7">
        <v>373.0</v>
      </c>
      <c r="B9463" s="9" t="s">
        <v>15419</v>
      </c>
      <c r="C9463" s="9" t="s">
        <v>195</v>
      </c>
      <c r="D9463" s="9" t="s">
        <v>87</v>
      </c>
      <c r="E9463" s="6" t="s">
        <v>9087</v>
      </c>
      <c r="F9463" s="9" t="s">
        <v>16087</v>
      </c>
    </row>
    <row r="9464" ht="33.75" customHeight="1">
      <c r="A9464" s="7">
        <v>373.0</v>
      </c>
      <c r="B9464" s="9" t="s">
        <v>15419</v>
      </c>
      <c r="C9464" s="9" t="s">
        <v>195</v>
      </c>
      <c r="D9464" s="9" t="s">
        <v>89</v>
      </c>
      <c r="E9464" s="6" t="s">
        <v>9091</v>
      </c>
      <c r="F9464" s="9" t="s">
        <v>16087</v>
      </c>
    </row>
    <row r="9465" ht="33.75" customHeight="1">
      <c r="A9465" s="7">
        <v>373.0</v>
      </c>
      <c r="B9465" s="9" t="s">
        <v>15419</v>
      </c>
      <c r="C9465" s="9" t="s">
        <v>195</v>
      </c>
      <c r="D9465" s="9" t="s">
        <v>91</v>
      </c>
      <c r="E9465" s="6" t="s">
        <v>9091</v>
      </c>
      <c r="F9465" s="9" t="s">
        <v>16087</v>
      </c>
    </row>
    <row r="9466" ht="33.75" customHeight="1">
      <c r="A9466" s="7">
        <v>373.0</v>
      </c>
      <c r="B9466" s="9" t="s">
        <v>15419</v>
      </c>
      <c r="C9466" s="9" t="s">
        <v>195</v>
      </c>
      <c r="D9466" s="9" t="s">
        <v>93</v>
      </c>
      <c r="E9466" s="6" t="s">
        <v>9087</v>
      </c>
      <c r="F9466" s="9" t="s">
        <v>16087</v>
      </c>
    </row>
    <row r="9467" ht="33.75" customHeight="1">
      <c r="A9467" s="7">
        <v>373.0</v>
      </c>
      <c r="B9467" s="9" t="s">
        <v>15419</v>
      </c>
      <c r="C9467" s="9" t="s">
        <v>195</v>
      </c>
      <c r="D9467" s="9" t="s">
        <v>95</v>
      </c>
      <c r="E9467" s="6" t="s">
        <v>9087</v>
      </c>
      <c r="F9467" s="9" t="s">
        <v>16087</v>
      </c>
    </row>
    <row r="9468" ht="33.75" customHeight="1">
      <c r="A9468" s="7">
        <v>373.0</v>
      </c>
      <c r="B9468" s="9" t="s">
        <v>15419</v>
      </c>
      <c r="C9468" s="9" t="s">
        <v>195</v>
      </c>
      <c r="D9468" s="9" t="s">
        <v>98</v>
      </c>
      <c r="E9468" s="6" t="s">
        <v>9087</v>
      </c>
      <c r="F9468" s="9" t="s">
        <v>16087</v>
      </c>
    </row>
    <row r="9469" ht="33.75" customHeight="1">
      <c r="A9469" s="7">
        <v>373.0</v>
      </c>
      <c r="B9469" s="9" t="s">
        <v>15419</v>
      </c>
      <c r="C9469" s="9" t="s">
        <v>195</v>
      </c>
      <c r="D9469" s="9" t="s">
        <v>99</v>
      </c>
      <c r="E9469" s="6" t="s">
        <v>9087</v>
      </c>
      <c r="F9469" s="9" t="s">
        <v>16087</v>
      </c>
    </row>
    <row r="9470" ht="33.75" customHeight="1">
      <c r="A9470" s="7">
        <v>373.0</v>
      </c>
      <c r="B9470" s="9" t="s">
        <v>15419</v>
      </c>
      <c r="C9470" s="9" t="s">
        <v>195</v>
      </c>
      <c r="D9470" s="9" t="s">
        <v>101</v>
      </c>
      <c r="E9470" s="6" t="s">
        <v>9086</v>
      </c>
      <c r="F9470" s="9" t="s">
        <v>16087</v>
      </c>
    </row>
    <row r="9471" ht="33.75" customHeight="1">
      <c r="A9471" s="7">
        <v>373.0</v>
      </c>
      <c r="B9471" s="9" t="s">
        <v>15419</v>
      </c>
      <c r="C9471" s="9" t="s">
        <v>195</v>
      </c>
      <c r="D9471" s="9" t="s">
        <v>105</v>
      </c>
      <c r="E9471" s="6" t="s">
        <v>9091</v>
      </c>
      <c r="F9471" s="9" t="s">
        <v>16087</v>
      </c>
    </row>
    <row r="9472" ht="33.75" customHeight="1">
      <c r="A9472" s="7">
        <v>373.0</v>
      </c>
      <c r="B9472" s="9" t="s">
        <v>15419</v>
      </c>
      <c r="C9472" s="9" t="s">
        <v>195</v>
      </c>
      <c r="D9472" s="9" t="s">
        <v>107</v>
      </c>
      <c r="E9472" s="6" t="s">
        <v>9093</v>
      </c>
      <c r="F9472" s="9" t="s">
        <v>16087</v>
      </c>
    </row>
    <row r="9473" ht="33.75" customHeight="1">
      <c r="A9473" s="7">
        <v>373.0</v>
      </c>
      <c r="B9473" s="9" t="s">
        <v>15419</v>
      </c>
      <c r="C9473" s="9" t="s">
        <v>195</v>
      </c>
      <c r="D9473" s="9" t="s">
        <v>109</v>
      </c>
      <c r="E9473" s="6" t="s">
        <v>9095</v>
      </c>
      <c r="F9473" s="9" t="s">
        <v>16087</v>
      </c>
    </row>
    <row r="9474" ht="33.75" customHeight="1">
      <c r="A9474" s="7">
        <v>373.0</v>
      </c>
      <c r="B9474" s="9" t="s">
        <v>15419</v>
      </c>
      <c r="C9474" s="9" t="s">
        <v>195</v>
      </c>
      <c r="D9474" s="9" t="s">
        <v>637</v>
      </c>
      <c r="E9474" s="6" t="s">
        <v>9096</v>
      </c>
      <c r="F9474" s="9" t="s">
        <v>16087</v>
      </c>
    </row>
    <row r="9475" ht="33.75" customHeight="1">
      <c r="A9475" s="7">
        <v>373.0</v>
      </c>
      <c r="B9475" s="9" t="s">
        <v>15419</v>
      </c>
      <c r="C9475" s="9" t="s">
        <v>195</v>
      </c>
      <c r="D9475" s="9" t="s">
        <v>642</v>
      </c>
      <c r="E9475" s="6" t="s">
        <v>9098</v>
      </c>
      <c r="F9475" s="9" t="s">
        <v>16087</v>
      </c>
    </row>
    <row r="9476" ht="33.75" customHeight="1">
      <c r="A9476" s="7">
        <v>373.0</v>
      </c>
      <c r="B9476" s="9" t="s">
        <v>15419</v>
      </c>
      <c r="C9476" s="9" t="s">
        <v>195</v>
      </c>
      <c r="D9476" s="9" t="s">
        <v>647</v>
      </c>
      <c r="E9476" s="6" t="s">
        <v>9100</v>
      </c>
      <c r="F9476" s="9" t="s">
        <v>16087</v>
      </c>
    </row>
    <row r="9477" ht="33.75" customHeight="1">
      <c r="A9477" s="7">
        <v>373.0</v>
      </c>
      <c r="B9477" s="9" t="s">
        <v>15419</v>
      </c>
      <c r="C9477" s="9" t="s">
        <v>195</v>
      </c>
      <c r="D9477" s="9" t="s">
        <v>652</v>
      </c>
      <c r="E9477" s="6" t="s">
        <v>9101</v>
      </c>
      <c r="F9477" s="9" t="s">
        <v>16087</v>
      </c>
    </row>
    <row r="9478" ht="33.75" customHeight="1">
      <c r="A9478" s="7">
        <v>373.0</v>
      </c>
      <c r="B9478" s="9" t="s">
        <v>15419</v>
      </c>
      <c r="C9478" s="9" t="s">
        <v>195</v>
      </c>
      <c r="D9478" s="9" t="s">
        <v>114</v>
      </c>
      <c r="E9478" s="6" t="s">
        <v>9103</v>
      </c>
      <c r="F9478" s="9" t="s">
        <v>16087</v>
      </c>
    </row>
    <row r="9479" ht="33.75" customHeight="1">
      <c r="A9479" s="7">
        <v>373.0</v>
      </c>
      <c r="B9479" s="9" t="s">
        <v>15419</v>
      </c>
      <c r="C9479" s="9" t="s">
        <v>195</v>
      </c>
      <c r="D9479" s="9" t="s">
        <v>117</v>
      </c>
      <c r="E9479" s="6" t="s">
        <v>9104</v>
      </c>
      <c r="F9479" s="9" t="s">
        <v>16087</v>
      </c>
    </row>
    <row r="9480" ht="33.75" customHeight="1">
      <c r="A9480" s="7">
        <v>374.0</v>
      </c>
      <c r="B9480" s="9" t="s">
        <v>15434</v>
      </c>
      <c r="C9480" s="9" t="s">
        <v>569</v>
      </c>
      <c r="D9480" s="9" t="s">
        <v>67</v>
      </c>
      <c r="E9480" s="6" t="s">
        <v>9105</v>
      </c>
      <c r="F9480" s="9" t="s">
        <v>16100</v>
      </c>
      <c r="G9480" t="inlineStr" s="6">
        <is>
          <t xml:space="preserve">Instead of blood, a powerful magnetic force courses throughout BELDUM’s body. This POKéMON communicates with others by sending controlled pulses of magnetism. BELDUM keeps itself floating by generating a magnetic force that repels earth’s natural magnetism. When it sleeps, this POKéMON anchors itself to a cliff using the hooks on its rear. When BELDUM gather in a swarm, they move in perfect unison as if they were but one POKéMON. They communicate with each other using brain waves. It uses magnetic waves to converse with its kind. All the cells in its body are magnetic. It converses with others by using magnetic pulses. In a swarm, they move in perfect unison. The magnetic force generated by its body repels the ground’s natural magnetism, letting it float. Its cells are all magnetic, and it communicates with others by using magnetic pulses. Its cells are all magnets. It uses magnetism to communicate with others of its kind. With magnetic traction, it pulls its opponents in close. When they’re in range, it slashes them with its rear claws. Instead of blood, magnetism flows through its body. When it’s feeling bad, try giving it a magnet. If you anger it, it will do more than rampage. It will also burst out strong magnetism, causing nearby machines to break. From its rear, Beldum emits a magnetic force that rapidly pulls opponents in. They get skewered on Beldum’s sharp claws. The cells in this Pokémon’s body are composed of magnetic material. Instead of blood, magnetic forces flow through Beldum’s body.</t>
        </is>
      </c>
    </row>
    <row r="9481" ht="33.75" customHeight="1">
      <c r="A9481" s="7">
        <v>374.0</v>
      </c>
      <c r="B9481" s="9" t="s">
        <v>15434</v>
      </c>
      <c r="C9481" s="9" t="s">
        <v>569</v>
      </c>
      <c r="D9481" s="9" t="s">
        <v>71</v>
      </c>
      <c r="E9481" s="6" t="s">
        <v>9106</v>
      </c>
      <c r="F9481" s="9" t="s">
        <v>16100</v>
      </c>
    </row>
    <row r="9482" ht="33.75" customHeight="1">
      <c r="A9482" s="7">
        <v>374.0</v>
      </c>
      <c r="B9482" s="9" t="s">
        <v>15434</v>
      </c>
      <c r="C9482" s="9" t="s">
        <v>569</v>
      </c>
      <c r="D9482" s="9" t="s">
        <v>73</v>
      </c>
      <c r="E9482" s="6" t="s">
        <v>9107</v>
      </c>
      <c r="F9482" s="9" t="s">
        <v>16100</v>
      </c>
    </row>
    <row r="9483" ht="33.75" customHeight="1">
      <c r="A9483" s="7">
        <v>374.0</v>
      </c>
      <c r="B9483" s="9" t="s">
        <v>15434</v>
      </c>
      <c r="C9483" s="9" t="s">
        <v>569</v>
      </c>
      <c r="D9483" s="9" t="s">
        <v>75</v>
      </c>
      <c r="E9483" s="6" t="s">
        <v>9109</v>
      </c>
      <c r="F9483" s="9" t="s">
        <v>16100</v>
      </c>
    </row>
    <row r="9484" ht="33.75" customHeight="1">
      <c r="A9484" s="7">
        <v>374.0</v>
      </c>
      <c r="B9484" s="9" t="s">
        <v>15434</v>
      </c>
      <c r="C9484" s="9" t="s">
        <v>569</v>
      </c>
      <c r="D9484" s="9" t="s">
        <v>79</v>
      </c>
      <c r="E9484" s="6" t="s">
        <v>9109</v>
      </c>
      <c r="F9484" s="9" t="s">
        <v>16100</v>
      </c>
    </row>
    <row r="9485" ht="33.75" customHeight="1">
      <c r="A9485" s="7">
        <v>374.0</v>
      </c>
      <c r="B9485" s="9" t="s">
        <v>15434</v>
      </c>
      <c r="C9485" s="9" t="s">
        <v>569</v>
      </c>
      <c r="D9485" s="9" t="s">
        <v>81</v>
      </c>
      <c r="E9485" s="6" t="s">
        <v>9111</v>
      </c>
      <c r="F9485" s="9" t="s">
        <v>16100</v>
      </c>
    </row>
    <row r="9486" ht="33.75" customHeight="1">
      <c r="A9486" s="7">
        <v>374.0</v>
      </c>
      <c r="B9486" s="9" t="s">
        <v>15434</v>
      </c>
      <c r="C9486" s="9" t="s">
        <v>569</v>
      </c>
      <c r="D9486" s="9" t="s">
        <v>84</v>
      </c>
      <c r="E9486" s="6" t="s">
        <v>9111</v>
      </c>
      <c r="F9486" s="9" t="s">
        <v>16100</v>
      </c>
    </row>
    <row r="9487" ht="33.75" customHeight="1">
      <c r="A9487" s="7">
        <v>374.0</v>
      </c>
      <c r="B9487" s="9" t="s">
        <v>15434</v>
      </c>
      <c r="C9487" s="9" t="s">
        <v>569</v>
      </c>
      <c r="D9487" s="9" t="s">
        <v>87</v>
      </c>
      <c r="E9487" s="6" t="s">
        <v>9111</v>
      </c>
      <c r="F9487" s="9" t="s">
        <v>16100</v>
      </c>
    </row>
    <row r="9488" ht="33.75" customHeight="1">
      <c r="A9488" s="7">
        <v>374.0</v>
      </c>
      <c r="B9488" s="9" t="s">
        <v>15434</v>
      </c>
      <c r="C9488" s="9" t="s">
        <v>569</v>
      </c>
      <c r="D9488" s="9" t="s">
        <v>89</v>
      </c>
      <c r="E9488" s="6" t="s">
        <v>9112</v>
      </c>
      <c r="F9488" s="9" t="s">
        <v>16100</v>
      </c>
    </row>
    <row r="9489" ht="33.75" customHeight="1">
      <c r="A9489" s="7">
        <v>374.0</v>
      </c>
      <c r="B9489" s="9" t="s">
        <v>15434</v>
      </c>
      <c r="C9489" s="9" t="s">
        <v>569</v>
      </c>
      <c r="D9489" s="9" t="s">
        <v>91</v>
      </c>
      <c r="E9489" s="6" t="s">
        <v>9112</v>
      </c>
      <c r="F9489" s="9" t="s">
        <v>16100</v>
      </c>
    </row>
    <row r="9490" ht="33.75" customHeight="1">
      <c r="A9490" s="7">
        <v>374.0</v>
      </c>
      <c r="B9490" s="9" t="s">
        <v>15434</v>
      </c>
      <c r="C9490" s="9" t="s">
        <v>569</v>
      </c>
      <c r="D9490" s="9" t="s">
        <v>93</v>
      </c>
      <c r="E9490" s="6" t="s">
        <v>9111</v>
      </c>
      <c r="F9490" s="9" t="s">
        <v>16100</v>
      </c>
    </row>
    <row r="9491" ht="33.75" customHeight="1">
      <c r="A9491" s="7">
        <v>374.0</v>
      </c>
      <c r="B9491" s="9" t="s">
        <v>15434</v>
      </c>
      <c r="C9491" s="9" t="s">
        <v>569</v>
      </c>
      <c r="D9491" s="9" t="s">
        <v>95</v>
      </c>
      <c r="E9491" s="6" t="s">
        <v>9111</v>
      </c>
      <c r="F9491" s="9" t="s">
        <v>16100</v>
      </c>
    </row>
    <row r="9492" ht="33.75" customHeight="1">
      <c r="A9492" s="7">
        <v>374.0</v>
      </c>
      <c r="B9492" s="9" t="s">
        <v>15434</v>
      </c>
      <c r="C9492" s="9" t="s">
        <v>569</v>
      </c>
      <c r="D9492" s="9" t="s">
        <v>98</v>
      </c>
      <c r="E9492" s="6" t="s">
        <v>9113</v>
      </c>
      <c r="F9492" s="9" t="s">
        <v>16100</v>
      </c>
    </row>
    <row r="9493" ht="33.75" customHeight="1">
      <c r="A9493" s="7">
        <v>374.0</v>
      </c>
      <c r="B9493" s="9" t="s">
        <v>15434</v>
      </c>
      <c r="C9493" s="9" t="s">
        <v>569</v>
      </c>
      <c r="D9493" s="9" t="s">
        <v>99</v>
      </c>
      <c r="E9493" s="6" t="s">
        <v>9113</v>
      </c>
      <c r="F9493" s="9" t="s">
        <v>16100</v>
      </c>
    </row>
    <row r="9494" ht="33.75" customHeight="1">
      <c r="A9494" s="7">
        <v>374.0</v>
      </c>
      <c r="B9494" s="9" t="s">
        <v>15434</v>
      </c>
      <c r="C9494" s="9" t="s">
        <v>569</v>
      </c>
      <c r="D9494" s="9" t="s">
        <v>101</v>
      </c>
      <c r="E9494" s="6" t="s">
        <v>9112</v>
      </c>
      <c r="F9494" s="9" t="s">
        <v>16100</v>
      </c>
    </row>
    <row r="9495" ht="33.75" customHeight="1">
      <c r="A9495" s="7">
        <v>374.0</v>
      </c>
      <c r="B9495" s="9" t="s">
        <v>15434</v>
      </c>
      <c r="C9495" s="9" t="s">
        <v>569</v>
      </c>
      <c r="D9495" s="9" t="s">
        <v>105</v>
      </c>
      <c r="E9495" s="6" t="s">
        <v>9111</v>
      </c>
      <c r="F9495" s="9" t="s">
        <v>16100</v>
      </c>
    </row>
    <row r="9496" ht="33.75" customHeight="1">
      <c r="A9496" s="7">
        <v>374.0</v>
      </c>
      <c r="B9496" s="9" t="s">
        <v>15434</v>
      </c>
      <c r="C9496" s="9" t="s">
        <v>569</v>
      </c>
      <c r="D9496" s="9" t="s">
        <v>107</v>
      </c>
      <c r="E9496" s="6" t="s">
        <v>9114</v>
      </c>
      <c r="F9496" s="9" t="s">
        <v>16100</v>
      </c>
    </row>
    <row r="9497" ht="33.75" customHeight="1">
      <c r="A9497" s="7">
        <v>374.0</v>
      </c>
      <c r="B9497" s="9" t="s">
        <v>15434</v>
      </c>
      <c r="C9497" s="9" t="s">
        <v>569</v>
      </c>
      <c r="D9497" s="9" t="s">
        <v>109</v>
      </c>
      <c r="E9497" s="6" t="s">
        <v>9115</v>
      </c>
      <c r="F9497" s="9" t="s">
        <v>16100</v>
      </c>
    </row>
    <row r="9498" ht="33.75" customHeight="1">
      <c r="A9498" s="7">
        <v>374.0</v>
      </c>
      <c r="B9498" s="9" t="s">
        <v>15434</v>
      </c>
      <c r="C9498" s="9" t="s">
        <v>569</v>
      </c>
      <c r="D9498" s="9" t="s">
        <v>637</v>
      </c>
      <c r="E9498" s="6" t="s">
        <v>9116</v>
      </c>
      <c r="F9498" s="9" t="s">
        <v>16100</v>
      </c>
    </row>
    <row r="9499" ht="33.75" customHeight="1">
      <c r="A9499" s="7">
        <v>374.0</v>
      </c>
      <c r="B9499" s="9" t="s">
        <v>15434</v>
      </c>
      <c r="C9499" s="9" t="s">
        <v>569</v>
      </c>
      <c r="D9499" s="9" t="s">
        <v>642</v>
      </c>
      <c r="E9499" s="6" t="s">
        <v>9117</v>
      </c>
      <c r="F9499" s="9" t="s">
        <v>16100</v>
      </c>
    </row>
    <row r="9500" ht="33.75" customHeight="1">
      <c r="A9500" s="7">
        <v>374.0</v>
      </c>
      <c r="B9500" s="9" t="s">
        <v>15434</v>
      </c>
      <c r="C9500" s="9" t="s">
        <v>569</v>
      </c>
      <c r="D9500" s="9" t="s">
        <v>647</v>
      </c>
      <c r="E9500" s="6" t="s">
        <v>9118</v>
      </c>
      <c r="F9500" s="9" t="s">
        <v>16100</v>
      </c>
    </row>
    <row r="9501" ht="33.75" customHeight="1">
      <c r="A9501" s="7">
        <v>374.0</v>
      </c>
      <c r="B9501" s="9" t="s">
        <v>15434</v>
      </c>
      <c r="C9501" s="9" t="s">
        <v>569</v>
      </c>
      <c r="D9501" s="9" t="s">
        <v>652</v>
      </c>
      <c r="E9501" s="6" t="s">
        <v>9119</v>
      </c>
      <c r="F9501" s="9" t="s">
        <v>16100</v>
      </c>
    </row>
    <row r="9502" ht="33.75" customHeight="1">
      <c r="A9502" s="7">
        <v>374.0</v>
      </c>
      <c r="B9502" s="9" t="s">
        <v>15434</v>
      </c>
      <c r="C9502" s="9" t="s">
        <v>569</v>
      </c>
      <c r="D9502" s="9" t="s">
        <v>114</v>
      </c>
      <c r="E9502" s="6" t="s">
        <v>9121</v>
      </c>
      <c r="F9502" s="9" t="s">
        <v>16100</v>
      </c>
    </row>
    <row r="9503" ht="33.75" customHeight="1">
      <c r="A9503" s="7">
        <v>374.0</v>
      </c>
      <c r="B9503" s="9" t="s">
        <v>15434</v>
      </c>
      <c r="C9503" s="9" t="s">
        <v>569</v>
      </c>
      <c r="D9503" s="9" t="s">
        <v>117</v>
      </c>
      <c r="E9503" s="6" t="s">
        <v>9122</v>
      </c>
      <c r="F9503" s="9" t="s">
        <v>16100</v>
      </c>
    </row>
    <row r="9504" ht="33.75" customHeight="1">
      <c r="A9504" s="7">
        <v>375.0</v>
      </c>
      <c r="B9504" s="9" t="s">
        <v>15452</v>
      </c>
      <c r="C9504" s="9" t="s">
        <v>571</v>
      </c>
      <c r="D9504" s="9" t="s">
        <v>67</v>
      </c>
      <c r="E9504" s="6" t="s">
        <v>9123</v>
      </c>
      <c r="F9504" s="9" t="s">
        <v>16119</v>
      </c>
      <c r="G9504" t="inlineStr" s="6">
        <is>
          <t xml:space="preserve">When two BELDUM fuse together, METANG is formed. The brains of the BELDUM are joined by a magnetic nervous system. By linking its brains magnetically, this POKéMON generates strong psychokinetic power. This POKéMON turns its arms to the rear for traveling at high speed. The claws tipping its arms pack the destructive power to tear through thick iron sheets as if they were silk. It flies at over 60 miles per hour. It floats midair using magnetism. Its body is so tough, even a crash with a jet plane won’t leave a scratch. It is formed by two BELDUM joining together. Its steel body won’t be scratched if it collides with a jet. When two BELDUM fuse together, a magnetic nervous system places their brains in union. Its two brains are linked, amplifying its psychic power. When two Beldum link together, their psychic power is doubled. Their intelligence, however, remains unchanged. It adores magnetic minerals, so it pursues Nosepass at speeds exceeding 60 mph. With its two brains, it fires powerful psychic energy to stop its prey in their tracks. It flies at high speeds around the skies. When it finds its prey, Metang takes a firm grip with its sharp claws and never lets go. Two Beldum have become stuck together via their own magnetic forces. With two brains, the resulting Metang has doubled psychic powers. Using magnetic forces to stay aloft, this Pokémon flies at high speeds, weaving through harsh mountain terrain in pursuit of prey.</t>
        </is>
      </c>
    </row>
    <row r="9505" ht="33.75" customHeight="1">
      <c r="A9505" s="7">
        <v>375.0</v>
      </c>
      <c r="B9505" s="9" t="s">
        <v>15452</v>
      </c>
      <c r="C9505" s="9" t="s">
        <v>571</v>
      </c>
      <c r="D9505" s="9" t="s">
        <v>71</v>
      </c>
      <c r="E9505" s="6" t="s">
        <v>9124</v>
      </c>
      <c r="F9505" s="9" t="s">
        <v>16119</v>
      </c>
    </row>
    <row r="9506" ht="33.75" customHeight="1">
      <c r="A9506" s="7">
        <v>375.0</v>
      </c>
      <c r="B9506" s="9" t="s">
        <v>15452</v>
      </c>
      <c r="C9506" s="9" t="s">
        <v>571</v>
      </c>
      <c r="D9506" s="9" t="s">
        <v>73</v>
      </c>
      <c r="E9506" s="6" t="s">
        <v>9125</v>
      </c>
      <c r="F9506" s="9" t="s">
        <v>16119</v>
      </c>
    </row>
    <row r="9507" ht="33.75" customHeight="1">
      <c r="A9507" s="7">
        <v>375.0</v>
      </c>
      <c r="B9507" s="9" t="s">
        <v>15452</v>
      </c>
      <c r="C9507" s="9" t="s">
        <v>571</v>
      </c>
      <c r="D9507" s="9" t="s">
        <v>75</v>
      </c>
      <c r="E9507" s="6" t="s">
        <v>9127</v>
      </c>
      <c r="F9507" s="9" t="s">
        <v>16119</v>
      </c>
    </row>
    <row r="9508" ht="33.75" customHeight="1">
      <c r="A9508" s="7">
        <v>375.0</v>
      </c>
      <c r="B9508" s="9" t="s">
        <v>15452</v>
      </c>
      <c r="C9508" s="9" t="s">
        <v>571</v>
      </c>
      <c r="D9508" s="9" t="s">
        <v>79</v>
      </c>
      <c r="E9508" s="6" t="s">
        <v>9127</v>
      </c>
      <c r="F9508" s="9" t="s">
        <v>16119</v>
      </c>
    </row>
    <row r="9509" ht="33.75" customHeight="1">
      <c r="A9509" s="7">
        <v>375.0</v>
      </c>
      <c r="B9509" s="9" t="s">
        <v>15452</v>
      </c>
      <c r="C9509" s="9" t="s">
        <v>571</v>
      </c>
      <c r="D9509" s="9" t="s">
        <v>81</v>
      </c>
      <c r="E9509" s="6" t="s">
        <v>9128</v>
      </c>
      <c r="F9509" s="9" t="s">
        <v>16119</v>
      </c>
    </row>
    <row r="9510" ht="33.75" customHeight="1">
      <c r="A9510" s="7">
        <v>375.0</v>
      </c>
      <c r="B9510" s="9" t="s">
        <v>15452</v>
      </c>
      <c r="C9510" s="9" t="s">
        <v>571</v>
      </c>
      <c r="D9510" s="9" t="s">
        <v>84</v>
      </c>
      <c r="E9510" s="6" t="s">
        <v>9128</v>
      </c>
      <c r="F9510" s="9" t="s">
        <v>16119</v>
      </c>
    </row>
    <row r="9511" ht="33.75" customHeight="1">
      <c r="A9511" s="7">
        <v>375.0</v>
      </c>
      <c r="B9511" s="9" t="s">
        <v>15452</v>
      </c>
      <c r="C9511" s="9" t="s">
        <v>571</v>
      </c>
      <c r="D9511" s="9" t="s">
        <v>87</v>
      </c>
      <c r="E9511" s="6" t="s">
        <v>9128</v>
      </c>
      <c r="F9511" s="9" t="s">
        <v>16119</v>
      </c>
    </row>
    <row r="9512" ht="33.75" customHeight="1">
      <c r="A9512" s="7">
        <v>375.0</v>
      </c>
      <c r="B9512" s="9" t="s">
        <v>15452</v>
      </c>
      <c r="C9512" s="9" t="s">
        <v>571</v>
      </c>
      <c r="D9512" s="9" t="s">
        <v>89</v>
      </c>
      <c r="E9512" s="6" t="s">
        <v>9129</v>
      </c>
      <c r="F9512" s="9" t="s">
        <v>16119</v>
      </c>
    </row>
    <row r="9513" ht="33.75" customHeight="1">
      <c r="A9513" s="7">
        <v>375.0</v>
      </c>
      <c r="B9513" s="9" t="s">
        <v>15452</v>
      </c>
      <c r="C9513" s="9" t="s">
        <v>571</v>
      </c>
      <c r="D9513" s="9" t="s">
        <v>91</v>
      </c>
      <c r="E9513" s="6" t="s">
        <v>9129</v>
      </c>
      <c r="F9513" s="9" t="s">
        <v>16119</v>
      </c>
    </row>
    <row r="9514" ht="33.75" customHeight="1">
      <c r="A9514" s="7">
        <v>375.0</v>
      </c>
      <c r="B9514" s="9" t="s">
        <v>15452</v>
      </c>
      <c r="C9514" s="9" t="s">
        <v>571</v>
      </c>
      <c r="D9514" s="9" t="s">
        <v>93</v>
      </c>
      <c r="E9514" s="6" t="s">
        <v>9130</v>
      </c>
      <c r="F9514" s="9" t="s">
        <v>16119</v>
      </c>
    </row>
    <row r="9515" ht="33.75" customHeight="1">
      <c r="A9515" s="7">
        <v>375.0</v>
      </c>
      <c r="B9515" s="9" t="s">
        <v>15452</v>
      </c>
      <c r="C9515" s="9" t="s">
        <v>571</v>
      </c>
      <c r="D9515" s="9" t="s">
        <v>95</v>
      </c>
      <c r="E9515" s="6" t="s">
        <v>9130</v>
      </c>
      <c r="F9515" s="9" t="s">
        <v>16119</v>
      </c>
    </row>
    <row r="9516" ht="33.75" customHeight="1">
      <c r="A9516" s="7">
        <v>375.0</v>
      </c>
      <c r="B9516" s="9" t="s">
        <v>15452</v>
      </c>
      <c r="C9516" s="9" t="s">
        <v>571</v>
      </c>
      <c r="D9516" s="9" t="s">
        <v>98</v>
      </c>
      <c r="E9516" s="6" t="s">
        <v>9132</v>
      </c>
      <c r="F9516" s="9" t="s">
        <v>16119</v>
      </c>
    </row>
    <row r="9517" ht="33.75" customHeight="1">
      <c r="A9517" s="7">
        <v>375.0</v>
      </c>
      <c r="B9517" s="9" t="s">
        <v>15452</v>
      </c>
      <c r="C9517" s="9" t="s">
        <v>571</v>
      </c>
      <c r="D9517" s="9" t="s">
        <v>99</v>
      </c>
      <c r="E9517" s="6" t="s">
        <v>9132</v>
      </c>
      <c r="F9517" s="9" t="s">
        <v>16119</v>
      </c>
    </row>
    <row r="9518" ht="33.75" customHeight="1">
      <c r="A9518" s="7">
        <v>375.0</v>
      </c>
      <c r="B9518" s="9" t="s">
        <v>15452</v>
      </c>
      <c r="C9518" s="9" t="s">
        <v>571</v>
      </c>
      <c r="D9518" s="9" t="s">
        <v>101</v>
      </c>
      <c r="E9518" s="6" t="s">
        <v>9130</v>
      </c>
      <c r="F9518" s="9" t="s">
        <v>16119</v>
      </c>
    </row>
    <row r="9519" ht="33.75" customHeight="1">
      <c r="A9519" s="7">
        <v>375.0</v>
      </c>
      <c r="B9519" s="9" t="s">
        <v>15452</v>
      </c>
      <c r="C9519" s="9" t="s">
        <v>571</v>
      </c>
      <c r="D9519" s="9" t="s">
        <v>105</v>
      </c>
      <c r="E9519" s="6" t="s">
        <v>9132</v>
      </c>
      <c r="F9519" s="9" t="s">
        <v>16119</v>
      </c>
    </row>
    <row r="9520" ht="33.75" customHeight="1">
      <c r="A9520" s="7">
        <v>375.0</v>
      </c>
      <c r="B9520" s="9" t="s">
        <v>15452</v>
      </c>
      <c r="C9520" s="9" t="s">
        <v>571</v>
      </c>
      <c r="D9520" s="9" t="s">
        <v>107</v>
      </c>
      <c r="E9520" s="6" t="s">
        <v>9133</v>
      </c>
      <c r="F9520" s="9" t="s">
        <v>16119</v>
      </c>
    </row>
    <row r="9521" ht="33.75" customHeight="1">
      <c r="A9521" s="7">
        <v>375.0</v>
      </c>
      <c r="B9521" s="9" t="s">
        <v>15452</v>
      </c>
      <c r="C9521" s="9" t="s">
        <v>571</v>
      </c>
      <c r="D9521" s="9" t="s">
        <v>109</v>
      </c>
      <c r="E9521" s="6" t="s">
        <v>9134</v>
      </c>
      <c r="F9521" s="9" t="s">
        <v>16119</v>
      </c>
    </row>
    <row r="9522" ht="33.75" customHeight="1">
      <c r="A9522" s="7">
        <v>375.0</v>
      </c>
      <c r="B9522" s="9" t="s">
        <v>15452</v>
      </c>
      <c r="C9522" s="9" t="s">
        <v>571</v>
      </c>
      <c r="D9522" s="9" t="s">
        <v>637</v>
      </c>
      <c r="E9522" s="6" t="s">
        <v>9135</v>
      </c>
      <c r="F9522" s="9" t="s">
        <v>16119</v>
      </c>
    </row>
    <row r="9523" ht="33.75" customHeight="1">
      <c r="A9523" s="7">
        <v>375.0</v>
      </c>
      <c r="B9523" s="9" t="s">
        <v>15452</v>
      </c>
      <c r="C9523" s="9" t="s">
        <v>571</v>
      </c>
      <c r="D9523" s="9" t="s">
        <v>642</v>
      </c>
      <c r="E9523" s="6" t="s">
        <v>9137</v>
      </c>
      <c r="F9523" s="9" t="s">
        <v>16119</v>
      </c>
    </row>
    <row r="9524" ht="33.75" customHeight="1">
      <c r="A9524" s="7">
        <v>375.0</v>
      </c>
      <c r="B9524" s="9" t="s">
        <v>15452</v>
      </c>
      <c r="C9524" s="9" t="s">
        <v>571</v>
      </c>
      <c r="D9524" s="9" t="s">
        <v>647</v>
      </c>
      <c r="E9524" s="6" t="s">
        <v>9138</v>
      </c>
      <c r="F9524" s="9" t="s">
        <v>16119</v>
      </c>
    </row>
    <row r="9525" ht="33.75" customHeight="1">
      <c r="A9525" s="7">
        <v>375.0</v>
      </c>
      <c r="B9525" s="9" t="s">
        <v>15452</v>
      </c>
      <c r="C9525" s="9" t="s">
        <v>571</v>
      </c>
      <c r="D9525" s="9" t="s">
        <v>652</v>
      </c>
      <c r="E9525" s="6" t="s">
        <v>9139</v>
      </c>
      <c r="F9525" s="9" t="s">
        <v>16119</v>
      </c>
    </row>
    <row r="9526" ht="33.75" customHeight="1">
      <c r="A9526" s="7">
        <v>375.0</v>
      </c>
      <c r="B9526" s="9" t="s">
        <v>15452</v>
      </c>
      <c r="C9526" s="9" t="s">
        <v>571</v>
      </c>
      <c r="D9526" s="9" t="s">
        <v>114</v>
      </c>
      <c r="E9526" s="6" t="s">
        <v>9141</v>
      </c>
      <c r="F9526" s="9" t="s">
        <v>16119</v>
      </c>
    </row>
    <row r="9527" ht="33.75" customHeight="1">
      <c r="A9527" s="7">
        <v>375.0</v>
      </c>
      <c r="B9527" s="9" t="s">
        <v>15452</v>
      </c>
      <c r="C9527" s="9" t="s">
        <v>571</v>
      </c>
      <c r="D9527" s="9" t="s">
        <v>117</v>
      </c>
      <c r="E9527" s="6" t="s">
        <v>9143</v>
      </c>
      <c r="F9527" s="9" t="s">
        <v>16119</v>
      </c>
    </row>
    <row r="9528" ht="33.75" customHeight="1">
      <c r="A9528" s="7">
        <v>376.0</v>
      </c>
      <c r="B9528" s="9" t="s">
        <v>15471</v>
      </c>
      <c r="C9528" s="9" t="s">
        <v>574</v>
      </c>
      <c r="D9528" s="9" t="s">
        <v>67</v>
      </c>
      <c r="E9528" s="6" t="s">
        <v>9145</v>
      </c>
      <c r="F9528" s="9" t="s">
        <v>16131</v>
      </c>
      <c r="G9528" t="inlineStr" s="6">
        <is>
          <t xml:space="preserve">METAGROSS has four brains in total. Combined, the four brains can breeze through difficult calculations faster than a supercomputer. This POKéMON can float in the air by tucking in its four legs. METAGROSS is the result of two METANG achieving fusion. When hunting, this POKéMON pins the prey to the ground under its massive body. It then eats the helpless victim using the large mouth on its stomach. METAGROSS has four brains that are joined by a complex neural network. As a result of integration, this POKéMON is smarter than a supercomputer. It is formed by two METANG fusing. Its four brains are said to be superior to a supercomputer. METANG combined to form it. With four brains, it has the intelligence of a supercomputer. It folds its four legs when flying. With four linked brains, it’s more intelligent than a supercomputer, and it uses calculations to analyze foes. It firmly pins its prey using its four claws and large body. Then the teeth in the mouth on its stomach chew the prey to bits. A linkage of two Metang, this Pokémon can perform any calculation in a flash by utilizing parallel processing in its four brains. It boasts not only psychic powers but also fantastic strength. It grabs its prey with its four legs and holds them in place with its claws. It analyzes its opponents with more accuracy than a supercomputer, which enables it to calmly back them into a corner. Because the magnetic powers of these Pokémon get stronger in freezing temperatures, Metagross living on snowy mountains are full of energy. Metagross is the result of the fusion of two Metang. This Pokémon defeats its opponents through use of its supercomputer-level brain.</t>
        </is>
      </c>
    </row>
    <row r="9529" ht="33.75" customHeight="1">
      <c r="A9529" s="7">
        <v>376.0</v>
      </c>
      <c r="B9529" s="9" t="s">
        <v>15471</v>
      </c>
      <c r="C9529" s="9" t="s">
        <v>574</v>
      </c>
      <c r="D9529" s="9" t="s">
        <v>71</v>
      </c>
      <c r="E9529" s="6" t="s">
        <v>9146</v>
      </c>
      <c r="F9529" s="9" t="s">
        <v>16131</v>
      </c>
    </row>
    <row r="9530" ht="33.75" customHeight="1">
      <c r="A9530" s="7">
        <v>376.0</v>
      </c>
      <c r="B9530" s="9" t="s">
        <v>15471</v>
      </c>
      <c r="C9530" s="9" t="s">
        <v>574</v>
      </c>
      <c r="D9530" s="9" t="s">
        <v>73</v>
      </c>
      <c r="E9530" s="6" t="s">
        <v>9147</v>
      </c>
      <c r="F9530" s="9" t="s">
        <v>16131</v>
      </c>
    </row>
    <row r="9531" ht="33.75" customHeight="1">
      <c r="A9531" s="7">
        <v>376.0</v>
      </c>
      <c r="B9531" s="9" t="s">
        <v>15471</v>
      </c>
      <c r="C9531" s="9" t="s">
        <v>574</v>
      </c>
      <c r="D9531" s="9" t="s">
        <v>75</v>
      </c>
      <c r="E9531" s="6" t="s">
        <v>9148</v>
      </c>
      <c r="F9531" s="9" t="s">
        <v>16131</v>
      </c>
    </row>
    <row r="9532" ht="33.75" customHeight="1">
      <c r="A9532" s="7">
        <v>376.0</v>
      </c>
      <c r="B9532" s="9" t="s">
        <v>15471</v>
      </c>
      <c r="C9532" s="9" t="s">
        <v>574</v>
      </c>
      <c r="D9532" s="9" t="s">
        <v>79</v>
      </c>
      <c r="E9532" s="6" t="s">
        <v>9148</v>
      </c>
      <c r="F9532" s="9" t="s">
        <v>16131</v>
      </c>
    </row>
    <row r="9533" ht="33.75" customHeight="1">
      <c r="A9533" s="7">
        <v>376.0</v>
      </c>
      <c r="B9533" s="9" t="s">
        <v>15471</v>
      </c>
      <c r="C9533" s="9" t="s">
        <v>574</v>
      </c>
      <c r="D9533" s="9" t="s">
        <v>81</v>
      </c>
      <c r="E9533" s="6" t="s">
        <v>9149</v>
      </c>
      <c r="F9533" s="9" t="s">
        <v>16131</v>
      </c>
    </row>
    <row r="9534" ht="33.75" customHeight="1">
      <c r="A9534" s="7">
        <v>376.0</v>
      </c>
      <c r="B9534" s="9" t="s">
        <v>15471</v>
      </c>
      <c r="C9534" s="9" t="s">
        <v>574</v>
      </c>
      <c r="D9534" s="9" t="s">
        <v>84</v>
      </c>
      <c r="E9534" s="6" t="s">
        <v>9149</v>
      </c>
      <c r="F9534" s="9" t="s">
        <v>16131</v>
      </c>
    </row>
    <row r="9535" ht="33.75" customHeight="1">
      <c r="A9535" s="7">
        <v>376.0</v>
      </c>
      <c r="B9535" s="9" t="s">
        <v>15471</v>
      </c>
      <c r="C9535" s="9" t="s">
        <v>574</v>
      </c>
      <c r="D9535" s="9" t="s">
        <v>87</v>
      </c>
      <c r="E9535" s="6" t="s">
        <v>9149</v>
      </c>
      <c r="F9535" s="9" t="s">
        <v>16131</v>
      </c>
    </row>
    <row r="9536" ht="33.75" customHeight="1">
      <c r="A9536" s="7">
        <v>376.0</v>
      </c>
      <c r="B9536" s="9" t="s">
        <v>15471</v>
      </c>
      <c r="C9536" s="9" t="s">
        <v>574</v>
      </c>
      <c r="D9536" s="9" t="s">
        <v>89</v>
      </c>
      <c r="E9536" s="6" t="s">
        <v>9151</v>
      </c>
      <c r="F9536" s="9" t="s">
        <v>16131</v>
      </c>
    </row>
    <row r="9537" ht="33.75" customHeight="1">
      <c r="A9537" s="7">
        <v>376.0</v>
      </c>
      <c r="B9537" s="9" t="s">
        <v>15471</v>
      </c>
      <c r="C9537" s="9" t="s">
        <v>574</v>
      </c>
      <c r="D9537" s="9" t="s">
        <v>91</v>
      </c>
      <c r="E9537" s="6" t="s">
        <v>9151</v>
      </c>
      <c r="F9537" s="9" t="s">
        <v>16131</v>
      </c>
    </row>
    <row r="9538" ht="33.75" customHeight="1">
      <c r="A9538" s="7">
        <v>376.0</v>
      </c>
      <c r="B9538" s="9" t="s">
        <v>15471</v>
      </c>
      <c r="C9538" s="9" t="s">
        <v>574</v>
      </c>
      <c r="D9538" s="9" t="s">
        <v>93</v>
      </c>
      <c r="E9538" s="6" t="s">
        <v>9152</v>
      </c>
      <c r="F9538" s="9" t="s">
        <v>16131</v>
      </c>
    </row>
    <row r="9539" ht="33.75" customHeight="1">
      <c r="A9539" s="7">
        <v>376.0</v>
      </c>
      <c r="B9539" s="9" t="s">
        <v>15471</v>
      </c>
      <c r="C9539" s="9" t="s">
        <v>574</v>
      </c>
      <c r="D9539" s="9" t="s">
        <v>95</v>
      </c>
      <c r="E9539" s="6" t="s">
        <v>9152</v>
      </c>
      <c r="F9539" s="9" t="s">
        <v>16131</v>
      </c>
    </row>
    <row r="9540" ht="33.75" customHeight="1">
      <c r="A9540" s="7">
        <v>376.0</v>
      </c>
      <c r="B9540" s="9" t="s">
        <v>15471</v>
      </c>
      <c r="C9540" s="9" t="s">
        <v>574</v>
      </c>
      <c r="D9540" s="9" t="s">
        <v>98</v>
      </c>
      <c r="E9540" s="6" t="s">
        <v>9153</v>
      </c>
      <c r="F9540" s="9" t="s">
        <v>16131</v>
      </c>
    </row>
    <row r="9541" ht="33.75" customHeight="1">
      <c r="A9541" s="7">
        <v>376.0</v>
      </c>
      <c r="B9541" s="9" t="s">
        <v>15471</v>
      </c>
      <c r="C9541" s="9" t="s">
        <v>574</v>
      </c>
      <c r="D9541" s="9" t="s">
        <v>99</v>
      </c>
      <c r="E9541" s="6" t="s">
        <v>9153</v>
      </c>
      <c r="F9541" s="9" t="s">
        <v>16131</v>
      </c>
    </row>
    <row r="9542" ht="33.75" customHeight="1">
      <c r="A9542" s="7">
        <v>376.0</v>
      </c>
      <c r="B9542" s="9" t="s">
        <v>15471</v>
      </c>
      <c r="C9542" s="9" t="s">
        <v>574</v>
      </c>
      <c r="D9542" s="9" t="s">
        <v>101</v>
      </c>
      <c r="E9542" s="6" t="s">
        <v>9153</v>
      </c>
      <c r="F9542" s="9" t="s">
        <v>16131</v>
      </c>
    </row>
    <row r="9543" ht="33.75" customHeight="1">
      <c r="A9543" s="7">
        <v>376.0</v>
      </c>
      <c r="B9543" s="9" t="s">
        <v>15471</v>
      </c>
      <c r="C9543" s="9" t="s">
        <v>574</v>
      </c>
      <c r="D9543" s="9" t="s">
        <v>105</v>
      </c>
      <c r="E9543" s="6" t="s">
        <v>9152</v>
      </c>
      <c r="F9543" s="9" t="s">
        <v>16131</v>
      </c>
    </row>
    <row r="9544" ht="33.75" customHeight="1">
      <c r="A9544" s="7">
        <v>376.0</v>
      </c>
      <c r="B9544" s="9" t="s">
        <v>15471</v>
      </c>
      <c r="C9544" s="9" t="s">
        <v>574</v>
      </c>
      <c r="D9544" s="9" t="s">
        <v>107</v>
      </c>
      <c r="E9544" s="6" t="s">
        <v>9155</v>
      </c>
      <c r="F9544" s="9" t="s">
        <v>16131</v>
      </c>
    </row>
    <row r="9545" ht="33.75" customHeight="1">
      <c r="A9545" s="7">
        <v>376.0</v>
      </c>
      <c r="B9545" s="9" t="s">
        <v>15471</v>
      </c>
      <c r="C9545" s="9" t="s">
        <v>574</v>
      </c>
      <c r="D9545" s="9" t="s">
        <v>109</v>
      </c>
      <c r="E9545" s="6" t="s">
        <v>9157</v>
      </c>
      <c r="F9545" s="9" t="s">
        <v>16131</v>
      </c>
    </row>
    <row r="9546" ht="33.75" customHeight="1">
      <c r="A9546" s="7">
        <v>376.0</v>
      </c>
      <c r="B9546" s="9" t="s">
        <v>15471</v>
      </c>
      <c r="C9546" s="9" t="s">
        <v>574</v>
      </c>
      <c r="D9546" s="9" t="s">
        <v>637</v>
      </c>
      <c r="E9546" s="6" t="s">
        <v>9158</v>
      </c>
      <c r="F9546" s="9" t="s">
        <v>16131</v>
      </c>
    </row>
    <row r="9547" ht="33.75" customHeight="1">
      <c r="A9547" s="7">
        <v>376.0</v>
      </c>
      <c r="B9547" s="9" t="s">
        <v>15471</v>
      </c>
      <c r="C9547" s="9" t="s">
        <v>574</v>
      </c>
      <c r="D9547" s="9" t="s">
        <v>642</v>
      </c>
      <c r="E9547" s="6" t="s">
        <v>9160</v>
      </c>
      <c r="F9547" s="9" t="s">
        <v>16131</v>
      </c>
    </row>
    <row r="9548" ht="33.75" customHeight="1">
      <c r="A9548" s="7">
        <v>376.0</v>
      </c>
      <c r="B9548" s="9" t="s">
        <v>15471</v>
      </c>
      <c r="C9548" s="9" t="s">
        <v>574</v>
      </c>
      <c r="D9548" s="9" t="s">
        <v>647</v>
      </c>
      <c r="E9548" s="6" t="s">
        <v>9161</v>
      </c>
      <c r="F9548" s="9" t="s">
        <v>16131</v>
      </c>
    </row>
    <row r="9549" ht="33.75" customHeight="1">
      <c r="A9549" s="7">
        <v>376.0</v>
      </c>
      <c r="B9549" s="9" t="s">
        <v>15471</v>
      </c>
      <c r="C9549" s="9" t="s">
        <v>574</v>
      </c>
      <c r="D9549" s="9" t="s">
        <v>652</v>
      </c>
      <c r="E9549" s="6" t="s">
        <v>9163</v>
      </c>
      <c r="F9549" s="9" t="s">
        <v>16131</v>
      </c>
    </row>
    <row r="9550" ht="33.75" customHeight="1">
      <c r="A9550" s="7">
        <v>376.0</v>
      </c>
      <c r="B9550" s="9" t="s">
        <v>15471</v>
      </c>
      <c r="C9550" s="9" t="s">
        <v>574</v>
      </c>
      <c r="D9550" s="9" t="s">
        <v>114</v>
      </c>
      <c r="E9550" s="6" t="s">
        <v>9164</v>
      </c>
      <c r="F9550" s="9" t="s">
        <v>16131</v>
      </c>
    </row>
    <row r="9551" ht="33.75" customHeight="1">
      <c r="A9551" s="7">
        <v>376.0</v>
      </c>
      <c r="B9551" s="9" t="s">
        <v>15471</v>
      </c>
      <c r="C9551" s="9" t="s">
        <v>574</v>
      </c>
      <c r="D9551" s="9" t="s">
        <v>117</v>
      </c>
      <c r="E9551" s="6" t="s">
        <v>9165</v>
      </c>
      <c r="F9551" s="9" t="s">
        <v>16131</v>
      </c>
    </row>
    <row r="9552" ht="33.75" customHeight="1">
      <c r="A9552" s="7">
        <v>377.0</v>
      </c>
      <c r="B9552" s="9" t="s">
        <v>15490</v>
      </c>
      <c r="C9552" s="9" t="s">
        <v>578</v>
      </c>
      <c r="D9552" s="9" t="s">
        <v>67</v>
      </c>
      <c r="E9552" s="6" t="s">
        <v>9167</v>
      </c>
      <c r="F9552" s="9" t="s">
        <v>16145</v>
      </c>
      <c r="G9552" t="inlineStr" s="6">
        <is>
          <t xml:space="preserve">REGIROCK was sealed away by people long ago. If this POKéMON’s body is damaged in battle, it is said to seek out suitable rocks on its own to repair itself. REGIROCK’s body is composed entirely of rocks. Recently, a study made the startling discovery that the rocks were all unearthed from different locations. A POKéMON that is made entirely of rocks and boulders. If parts of its body chip off in battle, REGIROCK repairs itself by adding new rocks. It is entirely composed of rocks with no sign of a brain or heart. It is a mystery even to modern scientists. Its entire body is made of rock. If any part chips off in battle, it attaches rocks to repair itself. The same rocks that form its body have been found in ground layers around the world. Every bit of Regirock’s body is made of stone. As parts of its body erode, this Pokémon sticks rocks to itself to repair what’s been lost. Cutting-edge technology was used to study the internals of this Pokémon’s rock body, but nothing was found—not even a brain or a heart.</t>
        </is>
      </c>
    </row>
    <row r="9553" ht="33.75" customHeight="1">
      <c r="A9553" s="7">
        <v>377.0</v>
      </c>
      <c r="B9553" s="9" t="s">
        <v>15490</v>
      </c>
      <c r="C9553" s="9" t="s">
        <v>578</v>
      </c>
      <c r="D9553" s="9" t="s">
        <v>71</v>
      </c>
      <c r="E9553" s="6" t="s">
        <v>9168</v>
      </c>
      <c r="F9553" s="9" t="s">
        <v>16145</v>
      </c>
    </row>
    <row r="9554" ht="33.75" customHeight="1">
      <c r="A9554" s="7">
        <v>377.0</v>
      </c>
      <c r="B9554" s="9" t="s">
        <v>15490</v>
      </c>
      <c r="C9554" s="9" t="s">
        <v>578</v>
      </c>
      <c r="D9554" s="9" t="s">
        <v>73</v>
      </c>
      <c r="E9554" s="6" t="s">
        <v>9169</v>
      </c>
      <c r="F9554" s="9" t="s">
        <v>16145</v>
      </c>
    </row>
    <row r="9555" ht="33.75" customHeight="1">
      <c r="A9555" s="7">
        <v>377.0</v>
      </c>
      <c r="B9555" s="9" t="s">
        <v>15490</v>
      </c>
      <c r="C9555" s="9" t="s">
        <v>578</v>
      </c>
      <c r="D9555" s="9" t="s">
        <v>75</v>
      </c>
      <c r="E9555" s="6" t="s">
        <v>9170</v>
      </c>
      <c r="F9555" s="9" t="s">
        <v>16145</v>
      </c>
    </row>
    <row r="9556" ht="33.75" customHeight="1">
      <c r="A9556" s="7">
        <v>377.0</v>
      </c>
      <c r="B9556" s="9" t="s">
        <v>15490</v>
      </c>
      <c r="C9556" s="9" t="s">
        <v>578</v>
      </c>
      <c r="D9556" s="9" t="s">
        <v>79</v>
      </c>
      <c r="E9556" s="6" t="s">
        <v>9170</v>
      </c>
      <c r="F9556" s="9" t="s">
        <v>16145</v>
      </c>
    </row>
    <row r="9557" ht="33.75" customHeight="1">
      <c r="A9557" s="7">
        <v>377.0</v>
      </c>
      <c r="B9557" s="9" t="s">
        <v>15490</v>
      </c>
      <c r="C9557" s="9" t="s">
        <v>578</v>
      </c>
      <c r="D9557" s="9" t="s">
        <v>81</v>
      </c>
      <c r="E9557" s="6" t="s">
        <v>9172</v>
      </c>
      <c r="F9557" s="9" t="s">
        <v>16145</v>
      </c>
    </row>
    <row r="9558" ht="33.75" customHeight="1">
      <c r="A9558" s="7">
        <v>377.0</v>
      </c>
      <c r="B9558" s="9" t="s">
        <v>15490</v>
      </c>
      <c r="C9558" s="9" t="s">
        <v>578</v>
      </c>
      <c r="D9558" s="9" t="s">
        <v>84</v>
      </c>
      <c r="E9558" s="6" t="s">
        <v>9172</v>
      </c>
      <c r="F9558" s="9" t="s">
        <v>16145</v>
      </c>
    </row>
    <row r="9559" ht="33.75" customHeight="1">
      <c r="A9559" s="7">
        <v>377.0</v>
      </c>
      <c r="B9559" s="9" t="s">
        <v>15490</v>
      </c>
      <c r="C9559" s="9" t="s">
        <v>578</v>
      </c>
      <c r="D9559" s="9" t="s">
        <v>87</v>
      </c>
      <c r="E9559" s="6" t="s">
        <v>9172</v>
      </c>
      <c r="F9559" s="9" t="s">
        <v>16145</v>
      </c>
    </row>
    <row r="9560" ht="33.75" customHeight="1">
      <c r="A9560" s="7">
        <v>377.0</v>
      </c>
      <c r="B9560" s="9" t="s">
        <v>15490</v>
      </c>
      <c r="C9560" s="9" t="s">
        <v>578</v>
      </c>
      <c r="D9560" s="9" t="s">
        <v>89</v>
      </c>
      <c r="E9560" s="6" t="s">
        <v>9173</v>
      </c>
      <c r="F9560" s="9" t="s">
        <v>16145</v>
      </c>
    </row>
    <row r="9561" ht="33.75" customHeight="1">
      <c r="A9561" s="7">
        <v>377.0</v>
      </c>
      <c r="B9561" s="9" t="s">
        <v>15490</v>
      </c>
      <c r="C9561" s="9" t="s">
        <v>578</v>
      </c>
      <c r="D9561" s="9" t="s">
        <v>91</v>
      </c>
      <c r="E9561" s="6" t="s">
        <v>9173</v>
      </c>
      <c r="F9561" s="9" t="s">
        <v>16145</v>
      </c>
    </row>
    <row r="9562" ht="33.75" customHeight="1">
      <c r="A9562" s="7">
        <v>377.0</v>
      </c>
      <c r="B9562" s="9" t="s">
        <v>15490</v>
      </c>
      <c r="C9562" s="9" t="s">
        <v>578</v>
      </c>
      <c r="D9562" s="9" t="s">
        <v>93</v>
      </c>
      <c r="E9562" s="6" t="s">
        <v>9172</v>
      </c>
      <c r="F9562" s="9" t="s">
        <v>16145</v>
      </c>
    </row>
    <row r="9563" ht="33.75" customHeight="1">
      <c r="A9563" s="7">
        <v>377.0</v>
      </c>
      <c r="B9563" s="9" t="s">
        <v>15490</v>
      </c>
      <c r="C9563" s="9" t="s">
        <v>578</v>
      </c>
      <c r="D9563" s="9" t="s">
        <v>95</v>
      </c>
      <c r="E9563" s="6" t="s">
        <v>9172</v>
      </c>
      <c r="F9563" s="9" t="s">
        <v>16145</v>
      </c>
    </row>
    <row r="9564" ht="33.75" customHeight="1">
      <c r="A9564" s="7">
        <v>377.0</v>
      </c>
      <c r="B9564" s="9" t="s">
        <v>15490</v>
      </c>
      <c r="C9564" s="9" t="s">
        <v>578</v>
      </c>
      <c r="D9564" s="9" t="s">
        <v>98</v>
      </c>
      <c r="E9564" s="6" t="s">
        <v>9172</v>
      </c>
      <c r="F9564" s="9" t="s">
        <v>16145</v>
      </c>
    </row>
    <row r="9565" ht="33.75" customHeight="1">
      <c r="A9565" s="7">
        <v>377.0</v>
      </c>
      <c r="B9565" s="9" t="s">
        <v>15490</v>
      </c>
      <c r="C9565" s="9" t="s">
        <v>578</v>
      </c>
      <c r="D9565" s="9" t="s">
        <v>99</v>
      </c>
      <c r="E9565" s="6" t="s">
        <v>9172</v>
      </c>
      <c r="F9565" s="9" t="s">
        <v>16145</v>
      </c>
    </row>
    <row r="9566" ht="33.75" customHeight="1">
      <c r="A9566" s="7">
        <v>377.0</v>
      </c>
      <c r="B9566" s="9" t="s">
        <v>15490</v>
      </c>
      <c r="C9566" s="9" t="s">
        <v>578</v>
      </c>
      <c r="D9566" s="9" t="s">
        <v>101</v>
      </c>
      <c r="E9566" s="6" t="s">
        <v>9172</v>
      </c>
      <c r="F9566" s="9" t="s">
        <v>16145</v>
      </c>
    </row>
    <row r="9567" ht="33.75" customHeight="1">
      <c r="A9567" s="7">
        <v>377.0</v>
      </c>
      <c r="B9567" s="9" t="s">
        <v>15490</v>
      </c>
      <c r="C9567" s="9" t="s">
        <v>578</v>
      </c>
      <c r="D9567" s="9" t="s">
        <v>105</v>
      </c>
      <c r="E9567" s="6" t="s">
        <v>9173</v>
      </c>
      <c r="F9567" s="9" t="s">
        <v>16145</v>
      </c>
    </row>
    <row r="9568" ht="33.75" customHeight="1">
      <c r="A9568" s="7">
        <v>377.0</v>
      </c>
      <c r="B9568" s="9" t="s">
        <v>15490</v>
      </c>
      <c r="C9568" s="9" t="s">
        <v>578</v>
      </c>
      <c r="D9568" s="9" t="s">
        <v>107</v>
      </c>
      <c r="E9568" s="6" t="s">
        <v>9174</v>
      </c>
      <c r="F9568" s="9" t="s">
        <v>16145</v>
      </c>
    </row>
    <row r="9569" ht="33.75" customHeight="1">
      <c r="A9569" s="7">
        <v>377.0</v>
      </c>
      <c r="B9569" s="9" t="s">
        <v>15490</v>
      </c>
      <c r="C9569" s="9" t="s">
        <v>578</v>
      </c>
      <c r="D9569" s="9" t="s">
        <v>109</v>
      </c>
      <c r="E9569" s="6" t="s">
        <v>9176</v>
      </c>
      <c r="F9569" s="9" t="s">
        <v>16145</v>
      </c>
    </row>
    <row r="9570" ht="33.75" customHeight="1">
      <c r="A9570" s="7">
        <v>377.0</v>
      </c>
      <c r="B9570" s="9" t="s">
        <v>15490</v>
      </c>
      <c r="C9570" s="9" t="s">
        <v>578</v>
      </c>
      <c r="D9570" s="9" t="s">
        <v>114</v>
      </c>
      <c r="E9570" s="6" t="s">
        <v>9177</v>
      </c>
      <c r="F9570" s="9" t="s">
        <v>16145</v>
      </c>
    </row>
    <row r="9571" ht="33.75" customHeight="1">
      <c r="A9571" s="7">
        <v>377.0</v>
      </c>
      <c r="B9571" s="9" t="s">
        <v>15490</v>
      </c>
      <c r="C9571" s="9" t="s">
        <v>578</v>
      </c>
      <c r="D9571" s="9" t="s">
        <v>117</v>
      </c>
      <c r="E9571" s="6" t="s">
        <v>9179</v>
      </c>
      <c r="F9571" s="9" t="s">
        <v>16145</v>
      </c>
    </row>
    <row r="9572" ht="33.75" customHeight="1">
      <c r="A9572" s="7">
        <v>378.0</v>
      </c>
      <c r="B9572" s="9" t="s">
        <v>15503</v>
      </c>
      <c r="C9572" s="9" t="s">
        <v>582</v>
      </c>
      <c r="D9572" s="9" t="s">
        <v>67</v>
      </c>
      <c r="E9572" s="6" t="s">
        <v>9180</v>
      </c>
      <c r="F9572" s="9" t="s">
        <v>16159</v>
      </c>
      <c r="G9572" t="inlineStr" s="6">
        <is>
          <t xml:space="preserve">REGICE’s body was made during an ice age. The deep-frozen body can’t be melted, even by fire. This POKéMON controls frigid air of minus 328 degrees F. REGICE cloaks itself with frigid air of negative 328 degrees F. Things will freeze solid just by going near this POKéMON. Its icy body is so cold, it will not melt even if it is immersed in magma. Its entire body is made of Antarctic ice. After extensive studies, researchers believe the ice was formed during an ice age. Research revealed that its body is made of the same kind of ice that is found at the South Pole. Its body is made of ice from the ice age. It controls frigid air of -328 degrees Fahrenheit. It is said to have slept in a glacier for thousands of years. Its body can’t be melted, even by magma. This Pokémon controls frigid air of -328 degrees Fahrenheit. Regice cloaks itself with frigid air of -328 degrees Fahrenheit. With cold air that can reach temperatures as low as −328 degrees Fahrenheit, Regice instantly freezes any creature that approaches it. This Pokémon’s body is made of solid ice. It’s said that Regice was born beneath thick ice in the ice age.</t>
        </is>
      </c>
    </row>
    <row r="9573" ht="33.75" customHeight="1">
      <c r="A9573" s="7">
        <v>378.0</v>
      </c>
      <c r="B9573" s="9" t="s">
        <v>15503</v>
      </c>
      <c r="C9573" s="9" t="s">
        <v>582</v>
      </c>
      <c r="D9573" s="9" t="s">
        <v>71</v>
      </c>
      <c r="E9573" s="6" t="s">
        <v>9182</v>
      </c>
      <c r="F9573" s="9" t="s">
        <v>16159</v>
      </c>
    </row>
    <row r="9574" ht="33.75" customHeight="1">
      <c r="A9574" s="7">
        <v>378.0</v>
      </c>
      <c r="B9574" s="9" t="s">
        <v>15503</v>
      </c>
      <c r="C9574" s="9" t="s">
        <v>582</v>
      </c>
      <c r="D9574" s="9" t="s">
        <v>73</v>
      </c>
      <c r="E9574" s="6" t="s">
        <v>9183</v>
      </c>
      <c r="F9574" s="9" t="s">
        <v>16159</v>
      </c>
    </row>
    <row r="9575" ht="33.75" customHeight="1">
      <c r="A9575" s="7">
        <v>378.0</v>
      </c>
      <c r="B9575" s="9" t="s">
        <v>15503</v>
      </c>
      <c r="C9575" s="9" t="s">
        <v>582</v>
      </c>
      <c r="D9575" s="9" t="s">
        <v>75</v>
      </c>
      <c r="E9575" s="6" t="s">
        <v>9184</v>
      </c>
      <c r="F9575" s="9" t="s">
        <v>16159</v>
      </c>
    </row>
    <row r="9576" ht="33.75" customHeight="1">
      <c r="A9576" s="7">
        <v>378.0</v>
      </c>
      <c r="B9576" s="9" t="s">
        <v>15503</v>
      </c>
      <c r="C9576" s="9" t="s">
        <v>582</v>
      </c>
      <c r="D9576" s="9" t="s">
        <v>79</v>
      </c>
      <c r="E9576" s="6" t="s">
        <v>9184</v>
      </c>
      <c r="F9576" s="9" t="s">
        <v>16159</v>
      </c>
    </row>
    <row r="9577" ht="33.75" customHeight="1">
      <c r="A9577" s="7">
        <v>378.0</v>
      </c>
      <c r="B9577" s="9" t="s">
        <v>15503</v>
      </c>
      <c r="C9577" s="9" t="s">
        <v>582</v>
      </c>
      <c r="D9577" s="9" t="s">
        <v>81</v>
      </c>
      <c r="E9577" s="6" t="s">
        <v>9185</v>
      </c>
      <c r="F9577" s="9" t="s">
        <v>16159</v>
      </c>
    </row>
    <row r="9578" ht="33.75" customHeight="1">
      <c r="A9578" s="7">
        <v>378.0</v>
      </c>
      <c r="B9578" s="9" t="s">
        <v>15503</v>
      </c>
      <c r="C9578" s="9" t="s">
        <v>582</v>
      </c>
      <c r="D9578" s="9" t="s">
        <v>84</v>
      </c>
      <c r="E9578" s="6" t="s">
        <v>9185</v>
      </c>
      <c r="F9578" s="9" t="s">
        <v>16159</v>
      </c>
    </row>
    <row r="9579" ht="33.75" customHeight="1">
      <c r="A9579" s="7">
        <v>378.0</v>
      </c>
      <c r="B9579" s="9" t="s">
        <v>15503</v>
      </c>
      <c r="C9579" s="9" t="s">
        <v>582</v>
      </c>
      <c r="D9579" s="9" t="s">
        <v>87</v>
      </c>
      <c r="E9579" s="6" t="s">
        <v>9185</v>
      </c>
      <c r="F9579" s="9" t="s">
        <v>16159</v>
      </c>
    </row>
    <row r="9580" ht="33.75" customHeight="1">
      <c r="A9580" s="7">
        <v>378.0</v>
      </c>
      <c r="B9580" s="9" t="s">
        <v>15503</v>
      </c>
      <c r="C9580" s="9" t="s">
        <v>582</v>
      </c>
      <c r="D9580" s="9" t="s">
        <v>89</v>
      </c>
      <c r="E9580" s="6" t="s">
        <v>9186</v>
      </c>
      <c r="F9580" s="9" t="s">
        <v>16159</v>
      </c>
    </row>
    <row r="9581" ht="33.75" customHeight="1">
      <c r="A9581" s="7">
        <v>378.0</v>
      </c>
      <c r="B9581" s="9" t="s">
        <v>15503</v>
      </c>
      <c r="C9581" s="9" t="s">
        <v>582</v>
      </c>
      <c r="D9581" s="9" t="s">
        <v>91</v>
      </c>
      <c r="E9581" s="6" t="s">
        <v>9186</v>
      </c>
      <c r="F9581" s="9" t="s">
        <v>16159</v>
      </c>
    </row>
    <row r="9582" ht="33.75" customHeight="1">
      <c r="A9582" s="7">
        <v>378.0</v>
      </c>
      <c r="B9582" s="9" t="s">
        <v>15503</v>
      </c>
      <c r="C9582" s="9" t="s">
        <v>582</v>
      </c>
      <c r="D9582" s="9" t="s">
        <v>93</v>
      </c>
      <c r="E9582" s="6" t="s">
        <v>9185</v>
      </c>
      <c r="F9582" s="9" t="s">
        <v>16159</v>
      </c>
    </row>
    <row r="9583" ht="33.75" customHeight="1">
      <c r="A9583" s="7">
        <v>378.0</v>
      </c>
      <c r="B9583" s="9" t="s">
        <v>15503</v>
      </c>
      <c r="C9583" s="9" t="s">
        <v>582</v>
      </c>
      <c r="D9583" s="9" t="s">
        <v>95</v>
      </c>
      <c r="E9583" s="6" t="s">
        <v>9185</v>
      </c>
      <c r="F9583" s="9" t="s">
        <v>16159</v>
      </c>
    </row>
    <row r="9584" ht="33.75" customHeight="1">
      <c r="A9584" s="7">
        <v>378.0</v>
      </c>
      <c r="B9584" s="9" t="s">
        <v>15503</v>
      </c>
      <c r="C9584" s="9" t="s">
        <v>582</v>
      </c>
      <c r="D9584" s="9" t="s">
        <v>98</v>
      </c>
      <c r="E9584" s="6" t="s">
        <v>9185</v>
      </c>
      <c r="F9584" s="9" t="s">
        <v>16159</v>
      </c>
    </row>
    <row r="9585" ht="33.75" customHeight="1">
      <c r="A9585" s="7">
        <v>378.0</v>
      </c>
      <c r="B9585" s="9" t="s">
        <v>15503</v>
      </c>
      <c r="C9585" s="9" t="s">
        <v>582</v>
      </c>
      <c r="D9585" s="9" t="s">
        <v>99</v>
      </c>
      <c r="E9585" s="6" t="s">
        <v>9185</v>
      </c>
      <c r="F9585" s="9" t="s">
        <v>16159</v>
      </c>
    </row>
    <row r="9586" ht="33.75" customHeight="1">
      <c r="A9586" s="7">
        <v>378.0</v>
      </c>
      <c r="B9586" s="9" t="s">
        <v>15503</v>
      </c>
      <c r="C9586" s="9" t="s">
        <v>582</v>
      </c>
      <c r="D9586" s="9" t="s">
        <v>101</v>
      </c>
      <c r="E9586" s="6" t="s">
        <v>9186</v>
      </c>
      <c r="F9586" s="9" t="s">
        <v>16159</v>
      </c>
    </row>
    <row r="9587" ht="33.75" customHeight="1">
      <c r="A9587" s="7">
        <v>378.0</v>
      </c>
      <c r="B9587" s="9" t="s">
        <v>15503</v>
      </c>
      <c r="C9587" s="9" t="s">
        <v>582</v>
      </c>
      <c r="D9587" s="9" t="s">
        <v>105</v>
      </c>
      <c r="E9587" s="6" t="s">
        <v>9185</v>
      </c>
      <c r="F9587" s="9" t="s">
        <v>16159</v>
      </c>
    </row>
    <row r="9588" ht="33.75" customHeight="1">
      <c r="A9588" s="7">
        <v>378.0</v>
      </c>
      <c r="B9588" s="9" t="s">
        <v>15503</v>
      </c>
      <c r="C9588" s="9" t="s">
        <v>582</v>
      </c>
      <c r="D9588" s="9" t="s">
        <v>107</v>
      </c>
      <c r="E9588" s="6" t="s">
        <v>9187</v>
      </c>
      <c r="F9588" s="9" t="s">
        <v>16159</v>
      </c>
    </row>
    <row r="9589" ht="33.75" customHeight="1">
      <c r="A9589" s="7">
        <v>378.0</v>
      </c>
      <c r="B9589" s="9" t="s">
        <v>15503</v>
      </c>
      <c r="C9589" s="9" t="s">
        <v>582</v>
      </c>
      <c r="D9589" s="9" t="s">
        <v>109</v>
      </c>
      <c r="E9589" s="6" t="s">
        <v>9188</v>
      </c>
      <c r="F9589" s="9" t="s">
        <v>16159</v>
      </c>
    </row>
    <row r="9590" ht="33.75" customHeight="1">
      <c r="A9590" s="7">
        <v>378.0</v>
      </c>
      <c r="B9590" s="9" t="s">
        <v>15503</v>
      </c>
      <c r="C9590" s="9" t="s">
        <v>582</v>
      </c>
      <c r="D9590" s="9" t="s">
        <v>114</v>
      </c>
      <c r="E9590" s="6" t="s">
        <v>9190</v>
      </c>
      <c r="F9590" s="9" t="s">
        <v>16159</v>
      </c>
    </row>
    <row r="9591" ht="33.75" customHeight="1">
      <c r="A9591" s="7">
        <v>378.0</v>
      </c>
      <c r="B9591" s="9" t="s">
        <v>15503</v>
      </c>
      <c r="C9591" s="9" t="s">
        <v>582</v>
      </c>
      <c r="D9591" s="9" t="s">
        <v>117</v>
      </c>
      <c r="E9591" s="6" t="s">
        <v>9191</v>
      </c>
      <c r="F9591" s="9" t="s">
        <v>16159</v>
      </c>
    </row>
    <row r="9592" ht="33.75" customHeight="1">
      <c r="A9592" s="7">
        <v>379.0</v>
      </c>
      <c r="B9592" s="9" t="s">
        <v>15516</v>
      </c>
      <c r="C9592" s="9" t="s">
        <v>583</v>
      </c>
      <c r="D9592" s="9" t="s">
        <v>67</v>
      </c>
      <c r="E9592" s="6" t="s">
        <v>9193</v>
      </c>
      <c r="F9592" s="9" t="s">
        <v>16172</v>
      </c>
      <c r="G9592" t="inlineStr" s="6">
        <is>
          <t xml:space="preserve">REGISTEEL has a body that is harder than any kind of metal. Its body is apparently hollow. No one has any idea what this POKéMON eats. REGISTEEL was imprisoned by people in ancient times. The metal composing its body is thought to be a curious substance that is not of this earth. Its body is harder than any other kind of metal. The body metal is composed of a mysterious substance. Not only is it hard, it shrinks and stretches flexibly. It is sturdier than any kind of metal. It hardened due to pressure underground over tens of thousands of years. Tempered by pressure underground over tens of thousands of years, its body cannot be scratched. Its body is said to be harder than any kind of metal. A study has revealed that its body is hollow. Registeel’s body is made of a strange material that is flexible enough to stretch and shrink but also more durable than any metal. It’s rumored that this Pokémon was born deep underground in the planet’s mantle and that it emerged onto the surface 10,000 years ago.</t>
        </is>
      </c>
    </row>
    <row r="9593" ht="33.75" customHeight="1">
      <c r="A9593" s="7">
        <v>379.0</v>
      </c>
      <c r="B9593" s="9" t="s">
        <v>15516</v>
      </c>
      <c r="C9593" s="9" t="s">
        <v>583</v>
      </c>
      <c r="D9593" s="9" t="s">
        <v>71</v>
      </c>
      <c r="E9593" s="6" t="s">
        <v>9194</v>
      </c>
      <c r="F9593" s="9" t="s">
        <v>16172</v>
      </c>
    </row>
    <row r="9594" ht="33.75" customHeight="1">
      <c r="A9594" s="7">
        <v>379.0</v>
      </c>
      <c r="B9594" s="9" t="s">
        <v>15516</v>
      </c>
      <c r="C9594" s="9" t="s">
        <v>583</v>
      </c>
      <c r="D9594" s="9" t="s">
        <v>73</v>
      </c>
      <c r="E9594" s="6" t="s">
        <v>9195</v>
      </c>
      <c r="F9594" s="9" t="s">
        <v>16172</v>
      </c>
    </row>
    <row r="9595" ht="33.75" customHeight="1">
      <c r="A9595" s="7">
        <v>379.0</v>
      </c>
      <c r="B9595" s="9" t="s">
        <v>15516</v>
      </c>
      <c r="C9595" s="9" t="s">
        <v>583</v>
      </c>
      <c r="D9595" s="9" t="s">
        <v>75</v>
      </c>
      <c r="E9595" s="6" t="s">
        <v>9196</v>
      </c>
      <c r="F9595" s="9" t="s">
        <v>16172</v>
      </c>
    </row>
    <row r="9596" ht="33.75" customHeight="1">
      <c r="A9596" s="7">
        <v>379.0</v>
      </c>
      <c r="B9596" s="9" t="s">
        <v>15516</v>
      </c>
      <c r="C9596" s="9" t="s">
        <v>583</v>
      </c>
      <c r="D9596" s="9" t="s">
        <v>79</v>
      </c>
      <c r="E9596" s="6" t="s">
        <v>9196</v>
      </c>
      <c r="F9596" s="9" t="s">
        <v>16172</v>
      </c>
    </row>
    <row r="9597" ht="33.75" customHeight="1">
      <c r="A9597" s="7">
        <v>379.0</v>
      </c>
      <c r="B9597" s="9" t="s">
        <v>15516</v>
      </c>
      <c r="C9597" s="9" t="s">
        <v>583</v>
      </c>
      <c r="D9597" s="9" t="s">
        <v>81</v>
      </c>
      <c r="E9597" s="6" t="s">
        <v>9197</v>
      </c>
      <c r="F9597" s="9" t="s">
        <v>16172</v>
      </c>
    </row>
    <row r="9598" ht="33.75" customHeight="1">
      <c r="A9598" s="7">
        <v>379.0</v>
      </c>
      <c r="B9598" s="9" t="s">
        <v>15516</v>
      </c>
      <c r="C9598" s="9" t="s">
        <v>583</v>
      </c>
      <c r="D9598" s="9" t="s">
        <v>84</v>
      </c>
      <c r="E9598" s="6" t="s">
        <v>9197</v>
      </c>
      <c r="F9598" s="9" t="s">
        <v>16172</v>
      </c>
    </row>
    <row r="9599" ht="33.75" customHeight="1">
      <c r="A9599" s="7">
        <v>379.0</v>
      </c>
      <c r="B9599" s="9" t="s">
        <v>15516</v>
      </c>
      <c r="C9599" s="9" t="s">
        <v>583</v>
      </c>
      <c r="D9599" s="9" t="s">
        <v>87</v>
      </c>
      <c r="E9599" s="6" t="s">
        <v>9197</v>
      </c>
      <c r="F9599" s="9" t="s">
        <v>16172</v>
      </c>
    </row>
    <row r="9600" ht="33.75" customHeight="1">
      <c r="A9600" s="7">
        <v>379.0</v>
      </c>
      <c r="B9600" s="9" t="s">
        <v>15516</v>
      </c>
      <c r="C9600" s="9" t="s">
        <v>583</v>
      </c>
      <c r="D9600" s="9" t="s">
        <v>89</v>
      </c>
      <c r="E9600" s="6" t="s">
        <v>9198</v>
      </c>
      <c r="F9600" s="9" t="s">
        <v>16172</v>
      </c>
    </row>
    <row r="9601" ht="33.75" customHeight="1">
      <c r="A9601" s="7">
        <v>379.0</v>
      </c>
      <c r="B9601" s="9" t="s">
        <v>15516</v>
      </c>
      <c r="C9601" s="9" t="s">
        <v>583</v>
      </c>
      <c r="D9601" s="9" t="s">
        <v>91</v>
      </c>
      <c r="E9601" s="6" t="s">
        <v>9198</v>
      </c>
      <c r="F9601" s="9" t="s">
        <v>16172</v>
      </c>
    </row>
    <row r="9602" ht="33.75" customHeight="1">
      <c r="A9602" s="7">
        <v>379.0</v>
      </c>
      <c r="B9602" s="9" t="s">
        <v>15516</v>
      </c>
      <c r="C9602" s="9" t="s">
        <v>583</v>
      </c>
      <c r="D9602" s="9" t="s">
        <v>93</v>
      </c>
      <c r="E9602" s="6" t="s">
        <v>9197</v>
      </c>
      <c r="F9602" s="9" t="s">
        <v>16172</v>
      </c>
    </row>
    <row r="9603" ht="33.75" customHeight="1">
      <c r="A9603" s="7">
        <v>379.0</v>
      </c>
      <c r="B9603" s="9" t="s">
        <v>15516</v>
      </c>
      <c r="C9603" s="9" t="s">
        <v>583</v>
      </c>
      <c r="D9603" s="9" t="s">
        <v>95</v>
      </c>
      <c r="E9603" s="6" t="s">
        <v>9197</v>
      </c>
      <c r="F9603" s="9" t="s">
        <v>16172</v>
      </c>
    </row>
    <row r="9604" ht="33.75" customHeight="1">
      <c r="A9604" s="7">
        <v>379.0</v>
      </c>
      <c r="B9604" s="9" t="s">
        <v>15516</v>
      </c>
      <c r="C9604" s="9" t="s">
        <v>583</v>
      </c>
      <c r="D9604" s="9" t="s">
        <v>98</v>
      </c>
      <c r="E9604" s="6" t="s">
        <v>9197</v>
      </c>
      <c r="F9604" s="9" t="s">
        <v>16172</v>
      </c>
    </row>
    <row r="9605" ht="33.75" customHeight="1">
      <c r="A9605" s="7">
        <v>379.0</v>
      </c>
      <c r="B9605" s="9" t="s">
        <v>15516</v>
      </c>
      <c r="C9605" s="9" t="s">
        <v>583</v>
      </c>
      <c r="D9605" s="9" t="s">
        <v>99</v>
      </c>
      <c r="E9605" s="6" t="s">
        <v>9197</v>
      </c>
      <c r="F9605" s="9" t="s">
        <v>16172</v>
      </c>
    </row>
    <row r="9606" ht="33.75" customHeight="1">
      <c r="A9606" s="7">
        <v>379.0</v>
      </c>
      <c r="B9606" s="9" t="s">
        <v>15516</v>
      </c>
      <c r="C9606" s="9" t="s">
        <v>583</v>
      </c>
      <c r="D9606" s="9" t="s">
        <v>101</v>
      </c>
      <c r="E9606" s="6" t="s">
        <v>9197</v>
      </c>
      <c r="F9606" s="9" t="s">
        <v>16172</v>
      </c>
    </row>
    <row r="9607" ht="33.75" customHeight="1">
      <c r="A9607" s="7">
        <v>379.0</v>
      </c>
      <c r="B9607" s="9" t="s">
        <v>15516</v>
      </c>
      <c r="C9607" s="9" t="s">
        <v>583</v>
      </c>
      <c r="D9607" s="9" t="s">
        <v>105</v>
      </c>
      <c r="E9607" s="6" t="s">
        <v>9198</v>
      </c>
      <c r="F9607" s="9" t="s">
        <v>16172</v>
      </c>
    </row>
    <row r="9608" ht="33.75" customHeight="1">
      <c r="A9608" s="7">
        <v>379.0</v>
      </c>
      <c r="B9608" s="9" t="s">
        <v>15516</v>
      </c>
      <c r="C9608" s="9" t="s">
        <v>583</v>
      </c>
      <c r="D9608" s="9" t="s">
        <v>107</v>
      </c>
      <c r="E9608" s="6" t="s">
        <v>9199</v>
      </c>
      <c r="F9608" s="9" t="s">
        <v>16172</v>
      </c>
    </row>
    <row r="9609" ht="33.75" customHeight="1">
      <c r="A9609" s="7">
        <v>379.0</v>
      </c>
      <c r="B9609" s="9" t="s">
        <v>15516</v>
      </c>
      <c r="C9609" s="9" t="s">
        <v>583</v>
      </c>
      <c r="D9609" s="9" t="s">
        <v>109</v>
      </c>
      <c r="E9609" s="6" t="s">
        <v>9200</v>
      </c>
      <c r="F9609" s="9" t="s">
        <v>16172</v>
      </c>
    </row>
    <row r="9610" ht="33.75" customHeight="1">
      <c r="A9610" s="7">
        <v>379.0</v>
      </c>
      <c r="B9610" s="9" t="s">
        <v>15516</v>
      </c>
      <c r="C9610" s="9" t="s">
        <v>583</v>
      </c>
      <c r="D9610" s="9" t="s">
        <v>114</v>
      </c>
      <c r="E9610" s="6" t="s">
        <v>9202</v>
      </c>
      <c r="F9610" s="9" t="s">
        <v>16172</v>
      </c>
    </row>
    <row r="9611" ht="33.75" customHeight="1">
      <c r="A9611" s="7">
        <v>379.0</v>
      </c>
      <c r="B9611" s="9" t="s">
        <v>15516</v>
      </c>
      <c r="C9611" s="9" t="s">
        <v>583</v>
      </c>
      <c r="D9611" s="9" t="s">
        <v>117</v>
      </c>
      <c r="E9611" s="6" t="s">
        <v>9203</v>
      </c>
      <c r="F9611" s="9" t="s">
        <v>16172</v>
      </c>
    </row>
    <row r="9612" ht="33.75" customHeight="1">
      <c r="A9612" s="7">
        <v>380.0</v>
      </c>
      <c r="B9612" s="9" t="s">
        <v>15530</v>
      </c>
      <c r="C9612" s="9" t="s">
        <v>586</v>
      </c>
      <c r="D9612" s="9" t="s">
        <v>67</v>
      </c>
      <c r="E9612" s="6" t="s">
        <v>9204</v>
      </c>
      <c r="F9612" s="9" t="s">
        <v>16188</v>
      </c>
      <c r="G9612" t="inlineStr" s="6">
        <is>
          <t xml:space="preserve">LATIAS is highly sensitive to the emotions of people. If it senses any hostility, this POKéMON ruffles the feathers all over its body and cries shrilly to intimidate the foe. LATIAS is highly intelligent and capable of understanding human speech. It is covered with a glass-like down. The POKéMON enfolds its body with its down and refracts light to alter its appearance. They make a small herd of only several members. They rarely make contact with people or other POKéMON. They disappear if they sense enemies. It can telepathically communicate with people. It changes its appearance using its down that refracts light. Its body is covered with a down that can refract light in such a way that it becomes invisible. It communicates using telepathy. Its body is covered in down that refracts light to make it invisible.</t>
        </is>
      </c>
    </row>
    <row r="9613" ht="33.75" customHeight="1">
      <c r="A9613" s="7">
        <v>380.0</v>
      </c>
      <c r="B9613" s="9" t="s">
        <v>15530</v>
      </c>
      <c r="C9613" s="9" t="s">
        <v>586</v>
      </c>
      <c r="D9613" s="9" t="s">
        <v>71</v>
      </c>
      <c r="E9613" s="6" t="s">
        <v>9205</v>
      </c>
      <c r="F9613" s="9" t="s">
        <v>16188</v>
      </c>
    </row>
    <row r="9614" ht="33.75" customHeight="1">
      <c r="A9614" s="7">
        <v>380.0</v>
      </c>
      <c r="B9614" s="9" t="s">
        <v>15530</v>
      </c>
      <c r="C9614" s="9" t="s">
        <v>586</v>
      </c>
      <c r="D9614" s="9" t="s">
        <v>73</v>
      </c>
      <c r="E9614" s="6" t="s">
        <v>9207</v>
      </c>
      <c r="F9614" s="9" t="s">
        <v>16188</v>
      </c>
    </row>
    <row r="9615" ht="33.75" customHeight="1">
      <c r="A9615" s="7">
        <v>380.0</v>
      </c>
      <c r="B9615" s="9" t="s">
        <v>15530</v>
      </c>
      <c r="C9615" s="9" t="s">
        <v>586</v>
      </c>
      <c r="D9615" s="9" t="s">
        <v>75</v>
      </c>
      <c r="E9615" s="6" t="s">
        <v>9208</v>
      </c>
      <c r="F9615" s="9" t="s">
        <v>16188</v>
      </c>
    </row>
    <row r="9616" ht="33.75" customHeight="1">
      <c r="A9616" s="7">
        <v>380.0</v>
      </c>
      <c r="B9616" s="9" t="s">
        <v>15530</v>
      </c>
      <c r="C9616" s="9" t="s">
        <v>586</v>
      </c>
      <c r="D9616" s="9" t="s">
        <v>79</v>
      </c>
      <c r="E9616" s="6" t="s">
        <v>9208</v>
      </c>
      <c r="F9616" s="9" t="s">
        <v>16188</v>
      </c>
    </row>
    <row r="9617" ht="33.75" customHeight="1">
      <c r="A9617" s="7">
        <v>380.0</v>
      </c>
      <c r="B9617" s="9" t="s">
        <v>15530</v>
      </c>
      <c r="C9617" s="9" t="s">
        <v>586</v>
      </c>
      <c r="D9617" s="9" t="s">
        <v>81</v>
      </c>
      <c r="E9617" s="6" t="s">
        <v>9209</v>
      </c>
      <c r="F9617" s="9" t="s">
        <v>16188</v>
      </c>
    </row>
    <row r="9618" ht="33.75" customHeight="1">
      <c r="A9618" s="7">
        <v>380.0</v>
      </c>
      <c r="B9618" s="9" t="s">
        <v>15530</v>
      </c>
      <c r="C9618" s="9" t="s">
        <v>586</v>
      </c>
      <c r="D9618" s="9" t="s">
        <v>84</v>
      </c>
      <c r="E9618" s="6" t="s">
        <v>9209</v>
      </c>
      <c r="F9618" s="9" t="s">
        <v>16188</v>
      </c>
    </row>
    <row r="9619" ht="33.75" customHeight="1">
      <c r="A9619" s="7">
        <v>380.0</v>
      </c>
      <c r="B9619" s="9" t="s">
        <v>15530</v>
      </c>
      <c r="C9619" s="9" t="s">
        <v>586</v>
      </c>
      <c r="D9619" s="9" t="s">
        <v>87</v>
      </c>
      <c r="E9619" s="6" t="s">
        <v>9209</v>
      </c>
      <c r="F9619" s="9" t="s">
        <v>16188</v>
      </c>
    </row>
    <row r="9620" ht="33.75" customHeight="1">
      <c r="A9620" s="7">
        <v>380.0</v>
      </c>
      <c r="B9620" s="9" t="s">
        <v>15530</v>
      </c>
      <c r="C9620" s="9" t="s">
        <v>586</v>
      </c>
      <c r="D9620" s="9" t="s">
        <v>89</v>
      </c>
      <c r="E9620" s="6" t="s">
        <v>9211</v>
      </c>
      <c r="F9620" s="9" t="s">
        <v>16188</v>
      </c>
    </row>
    <row r="9621" ht="33.75" customHeight="1">
      <c r="A9621" s="7">
        <v>380.0</v>
      </c>
      <c r="B9621" s="9" t="s">
        <v>15530</v>
      </c>
      <c r="C9621" s="9" t="s">
        <v>586</v>
      </c>
      <c r="D9621" s="9" t="s">
        <v>91</v>
      </c>
      <c r="E9621" s="6" t="s">
        <v>9211</v>
      </c>
      <c r="F9621" s="9" t="s">
        <v>16188</v>
      </c>
    </row>
    <row r="9622" ht="33.75" customHeight="1">
      <c r="A9622" s="7">
        <v>380.0</v>
      </c>
      <c r="B9622" s="9" t="s">
        <v>15530</v>
      </c>
      <c r="C9622" s="9" t="s">
        <v>586</v>
      </c>
      <c r="D9622" s="9" t="s">
        <v>93</v>
      </c>
      <c r="E9622" s="6" t="s">
        <v>9209</v>
      </c>
      <c r="F9622" s="9" t="s">
        <v>16188</v>
      </c>
    </row>
    <row r="9623" ht="33.75" customHeight="1">
      <c r="A9623" s="7">
        <v>380.0</v>
      </c>
      <c r="B9623" s="9" t="s">
        <v>15530</v>
      </c>
      <c r="C9623" s="9" t="s">
        <v>586</v>
      </c>
      <c r="D9623" s="9" t="s">
        <v>95</v>
      </c>
      <c r="E9623" s="6" t="s">
        <v>9209</v>
      </c>
      <c r="F9623" s="9" t="s">
        <v>16188</v>
      </c>
    </row>
    <row r="9624" ht="33.75" customHeight="1">
      <c r="A9624" s="7">
        <v>380.0</v>
      </c>
      <c r="B9624" s="9" t="s">
        <v>15530</v>
      </c>
      <c r="C9624" s="9" t="s">
        <v>586</v>
      </c>
      <c r="D9624" s="9" t="s">
        <v>98</v>
      </c>
      <c r="E9624" s="6" t="s">
        <v>9209</v>
      </c>
      <c r="F9624" s="9" t="s">
        <v>16188</v>
      </c>
    </row>
    <row r="9625" ht="33.75" customHeight="1">
      <c r="A9625" s="7">
        <v>380.0</v>
      </c>
      <c r="B9625" s="9" t="s">
        <v>15530</v>
      </c>
      <c r="C9625" s="9" t="s">
        <v>586</v>
      </c>
      <c r="D9625" s="9" t="s">
        <v>99</v>
      </c>
      <c r="E9625" s="6" t="s">
        <v>9209</v>
      </c>
      <c r="F9625" s="9" t="s">
        <v>16188</v>
      </c>
    </row>
    <row r="9626" ht="33.75" customHeight="1">
      <c r="A9626" s="7">
        <v>380.0</v>
      </c>
      <c r="B9626" s="9" t="s">
        <v>15530</v>
      </c>
      <c r="C9626" s="9" t="s">
        <v>586</v>
      </c>
      <c r="D9626" s="9" t="s">
        <v>101</v>
      </c>
      <c r="E9626" s="6" t="s">
        <v>9211</v>
      </c>
      <c r="F9626" s="9" t="s">
        <v>16188</v>
      </c>
    </row>
    <row r="9627" ht="33.75" customHeight="1">
      <c r="A9627" s="7">
        <v>380.0</v>
      </c>
      <c r="B9627" s="9" t="s">
        <v>15530</v>
      </c>
      <c r="C9627" s="9" t="s">
        <v>586</v>
      </c>
      <c r="D9627" s="9" t="s">
        <v>105</v>
      </c>
      <c r="E9627" s="6" t="s">
        <v>9208</v>
      </c>
      <c r="F9627" s="9" t="s">
        <v>16188</v>
      </c>
    </row>
    <row r="9628" ht="33.75" customHeight="1">
      <c r="A9628" s="7">
        <v>380.0</v>
      </c>
      <c r="B9628" s="9" t="s">
        <v>15530</v>
      </c>
      <c r="C9628" s="9" t="s">
        <v>586</v>
      </c>
      <c r="D9628" s="9" t="s">
        <v>107</v>
      </c>
      <c r="E9628" s="6" t="s">
        <v>9212</v>
      </c>
      <c r="F9628" s="9" t="s">
        <v>16188</v>
      </c>
    </row>
    <row r="9629" ht="33.75" customHeight="1">
      <c r="A9629" s="7">
        <v>380.0</v>
      </c>
      <c r="B9629" s="9" t="s">
        <v>15530</v>
      </c>
      <c r="C9629" s="9" t="s">
        <v>586</v>
      </c>
      <c r="D9629" s="9" t="s">
        <v>109</v>
      </c>
      <c r="E9629" s="6" t="s">
        <v>9214</v>
      </c>
      <c r="F9629" s="9" t="s">
        <v>16188</v>
      </c>
    </row>
    <row r="9630" ht="33.75" customHeight="1">
      <c r="A9630" s="7">
        <v>381.0</v>
      </c>
      <c r="B9630" s="9" t="s">
        <v>15541</v>
      </c>
      <c r="C9630" s="9" t="s">
        <v>586</v>
      </c>
      <c r="D9630" s="9" t="s">
        <v>67</v>
      </c>
      <c r="E9630" s="6" t="s">
        <v>9216</v>
      </c>
      <c r="F9630" s="9" t="s">
        <v>16193</v>
      </c>
      <c r="G9630" t="inlineStr" s="6">
        <is>
          <t xml:space="preserve">LATIOS has the ability to make Latios's foe see an image of what it has seen or imagines in its head. This POKéMON is intelligent and understands human speech. LATIOS will only open its heart to a TRAINER with a compassionate spirit. This POKéMON can fly faster than a jet plane by folding its forelegs to minimize air resistance. Even in hiding, it can detect the locations of others and sense their emotions since it has telepathy. Its intelligence allows it to understand human languages. It has a docile temperament and dislikes fighting. Tucking in its forelegs, it can fly faster than a jet plane. A highly intelligent Pokémon. By folding back its wings in flight, it can overtake jet planes. It understands human speech and is highly intelligent. It is a tender Pokémon that dislikes fighting. Latios has the ability to make others see an image of what it has seen or imagines in its head.</t>
        </is>
      </c>
    </row>
    <row r="9631" ht="33.75" customHeight="1">
      <c r="A9631" s="7">
        <v>381.0</v>
      </c>
      <c r="B9631" s="9" t="s">
        <v>15541</v>
      </c>
      <c r="C9631" s="9" t="s">
        <v>586</v>
      </c>
      <c r="D9631" s="9" t="s">
        <v>71</v>
      </c>
      <c r="E9631" s="6" t="s">
        <v>9219</v>
      </c>
      <c r="F9631" s="9" t="s">
        <v>16193</v>
      </c>
    </row>
    <row r="9632" ht="33.75" customHeight="1">
      <c r="A9632" s="7">
        <v>381.0</v>
      </c>
      <c r="B9632" s="9" t="s">
        <v>15541</v>
      </c>
      <c r="C9632" s="9" t="s">
        <v>586</v>
      </c>
      <c r="D9632" s="9" t="s">
        <v>73</v>
      </c>
      <c r="E9632" s="6" t="s">
        <v>9220</v>
      </c>
      <c r="F9632" s="9" t="s">
        <v>16193</v>
      </c>
    </row>
    <row r="9633" ht="33.75" customHeight="1">
      <c r="A9633" s="7">
        <v>381.0</v>
      </c>
      <c r="B9633" s="9" t="s">
        <v>15541</v>
      </c>
      <c r="C9633" s="9" t="s">
        <v>586</v>
      </c>
      <c r="D9633" s="9" t="s">
        <v>75</v>
      </c>
      <c r="E9633" s="6" t="s">
        <v>9221</v>
      </c>
      <c r="F9633" s="9" t="s">
        <v>16193</v>
      </c>
    </row>
    <row r="9634" ht="33.75" customHeight="1">
      <c r="A9634" s="7">
        <v>381.0</v>
      </c>
      <c r="B9634" s="9" t="s">
        <v>15541</v>
      </c>
      <c r="C9634" s="9" t="s">
        <v>586</v>
      </c>
      <c r="D9634" s="9" t="s">
        <v>79</v>
      </c>
      <c r="E9634" s="6" t="s">
        <v>9221</v>
      </c>
      <c r="F9634" s="9" t="s">
        <v>16193</v>
      </c>
    </row>
    <row r="9635" ht="33.75" customHeight="1">
      <c r="A9635" s="7">
        <v>381.0</v>
      </c>
      <c r="B9635" s="9" t="s">
        <v>15541</v>
      </c>
      <c r="C9635" s="9" t="s">
        <v>586</v>
      </c>
      <c r="D9635" s="9" t="s">
        <v>81</v>
      </c>
      <c r="E9635" s="6" t="s">
        <v>9222</v>
      </c>
      <c r="F9635" s="9" t="s">
        <v>16193</v>
      </c>
    </row>
    <row r="9636" ht="33.75" customHeight="1">
      <c r="A9636" s="7">
        <v>381.0</v>
      </c>
      <c r="B9636" s="9" t="s">
        <v>15541</v>
      </c>
      <c r="C9636" s="9" t="s">
        <v>586</v>
      </c>
      <c r="D9636" s="9" t="s">
        <v>84</v>
      </c>
      <c r="E9636" s="6" t="s">
        <v>9222</v>
      </c>
      <c r="F9636" s="9" t="s">
        <v>16193</v>
      </c>
    </row>
    <row r="9637" ht="33.75" customHeight="1">
      <c r="A9637" s="7">
        <v>381.0</v>
      </c>
      <c r="B9637" s="9" t="s">
        <v>15541</v>
      </c>
      <c r="C9637" s="9" t="s">
        <v>586</v>
      </c>
      <c r="D9637" s="9" t="s">
        <v>87</v>
      </c>
      <c r="E9637" s="6" t="s">
        <v>9222</v>
      </c>
      <c r="F9637" s="9" t="s">
        <v>16193</v>
      </c>
    </row>
    <row r="9638" ht="33.75" customHeight="1">
      <c r="A9638" s="7">
        <v>381.0</v>
      </c>
      <c r="B9638" s="9" t="s">
        <v>15541</v>
      </c>
      <c r="C9638" s="9" t="s">
        <v>586</v>
      </c>
      <c r="D9638" s="9" t="s">
        <v>89</v>
      </c>
      <c r="E9638" s="6" t="s">
        <v>9224</v>
      </c>
      <c r="F9638" s="9" t="s">
        <v>16193</v>
      </c>
    </row>
    <row r="9639" ht="33.75" customHeight="1">
      <c r="A9639" s="7">
        <v>381.0</v>
      </c>
      <c r="B9639" s="9" t="s">
        <v>15541</v>
      </c>
      <c r="C9639" s="9" t="s">
        <v>586</v>
      </c>
      <c r="D9639" s="9" t="s">
        <v>91</v>
      </c>
      <c r="E9639" s="6" t="s">
        <v>9224</v>
      </c>
      <c r="F9639" s="9" t="s">
        <v>16193</v>
      </c>
    </row>
    <row r="9640" ht="33.75" customHeight="1">
      <c r="A9640" s="7">
        <v>381.0</v>
      </c>
      <c r="B9640" s="9" t="s">
        <v>15541</v>
      </c>
      <c r="C9640" s="9" t="s">
        <v>586</v>
      </c>
      <c r="D9640" s="9" t="s">
        <v>93</v>
      </c>
      <c r="E9640" s="6" t="s">
        <v>9222</v>
      </c>
      <c r="F9640" s="9" t="s">
        <v>16193</v>
      </c>
    </row>
    <row r="9641" ht="33.75" customHeight="1">
      <c r="A9641" s="7">
        <v>381.0</v>
      </c>
      <c r="B9641" s="9" t="s">
        <v>15541</v>
      </c>
      <c r="C9641" s="9" t="s">
        <v>586</v>
      </c>
      <c r="D9641" s="9" t="s">
        <v>95</v>
      </c>
      <c r="E9641" s="6" t="s">
        <v>9222</v>
      </c>
      <c r="F9641" s="9" t="s">
        <v>16193</v>
      </c>
    </row>
    <row r="9642" ht="33.75" customHeight="1">
      <c r="A9642" s="7">
        <v>381.0</v>
      </c>
      <c r="B9642" s="9" t="s">
        <v>15541</v>
      </c>
      <c r="C9642" s="9" t="s">
        <v>586</v>
      </c>
      <c r="D9642" s="9" t="s">
        <v>98</v>
      </c>
      <c r="E9642" s="6" t="s">
        <v>9222</v>
      </c>
      <c r="F9642" s="9" t="s">
        <v>16193</v>
      </c>
    </row>
    <row r="9643" ht="33.75" customHeight="1">
      <c r="A9643" s="7">
        <v>381.0</v>
      </c>
      <c r="B9643" s="9" t="s">
        <v>15541</v>
      </c>
      <c r="C9643" s="9" t="s">
        <v>586</v>
      </c>
      <c r="D9643" s="9" t="s">
        <v>99</v>
      </c>
      <c r="E9643" s="6" t="s">
        <v>9222</v>
      </c>
      <c r="F9643" s="9" t="s">
        <v>16193</v>
      </c>
    </row>
    <row r="9644" ht="33.75" customHeight="1">
      <c r="A9644" s="7">
        <v>381.0</v>
      </c>
      <c r="B9644" s="9" t="s">
        <v>15541</v>
      </c>
      <c r="C9644" s="9" t="s">
        <v>586</v>
      </c>
      <c r="D9644" s="9" t="s">
        <v>101</v>
      </c>
      <c r="E9644" s="6" t="s">
        <v>9222</v>
      </c>
      <c r="F9644" s="9" t="s">
        <v>16193</v>
      </c>
    </row>
    <row r="9645" ht="33.75" customHeight="1">
      <c r="A9645" s="7">
        <v>381.0</v>
      </c>
      <c r="B9645" s="9" t="s">
        <v>15541</v>
      </c>
      <c r="C9645" s="9" t="s">
        <v>586</v>
      </c>
      <c r="D9645" s="9" t="s">
        <v>105</v>
      </c>
      <c r="E9645" s="6" t="s">
        <v>9224</v>
      </c>
      <c r="F9645" s="9" t="s">
        <v>16193</v>
      </c>
    </row>
    <row r="9646" ht="33.75" customHeight="1">
      <c r="A9646" s="7">
        <v>381.0</v>
      </c>
      <c r="B9646" s="9" t="s">
        <v>15541</v>
      </c>
      <c r="C9646" s="9" t="s">
        <v>586</v>
      </c>
      <c r="D9646" s="9" t="s">
        <v>107</v>
      </c>
      <c r="E9646" s="6" t="s">
        <v>9226</v>
      </c>
      <c r="F9646" s="9" t="s">
        <v>16193</v>
      </c>
    </row>
    <row r="9647" ht="33.75" customHeight="1">
      <c r="A9647" s="7">
        <v>381.0</v>
      </c>
      <c r="B9647" s="9" t="s">
        <v>15541</v>
      </c>
      <c r="C9647" s="9" t="s">
        <v>586</v>
      </c>
      <c r="D9647" s="9" t="s">
        <v>109</v>
      </c>
      <c r="E9647" s="6" t="s">
        <v>9228</v>
      </c>
      <c r="F9647" s="9" t="s">
        <v>16193</v>
      </c>
    </row>
    <row r="9648" ht="33.75" customHeight="1">
      <c r="A9648" s="7">
        <v>382.0</v>
      </c>
      <c r="B9648" s="9" t="s">
        <v>15552</v>
      </c>
      <c r="C9648" s="9" t="s">
        <v>589</v>
      </c>
      <c r="D9648" s="9" t="s">
        <v>67</v>
      </c>
      <c r="E9648" s="6" t="s">
        <v>9230</v>
      </c>
      <c r="F9648" s="9" t="s">
        <v>16205</v>
      </c>
      <c r="G9648" t="inlineStr" s="6">
        <is>
          <t xml:space="preserve">KYOGRE has the power to create massive rain clouds that cover the entire sky and bring about torrential downpours. This POKéMON saved people who were suffering from droughts. KYOGRE is named in mythology as the POKéMON that expanded the sea by covering the land with torrential rains and towering tidal waves. It took to sleep after a cataclysmic battle with GROUDON. KYOGRE has appeared in mythology as the creator of the sea. After long years of feuding with GROUDON, it took to sleep at the bottom of the sea. This POKéMON is said to have expanded the sea by bringing heavy rains. It has the power to control water. It is said to have widened the seas by causing downpours. It had been asleep in a marine trench. A mythical Pokémon said to have swelled the seas with rain and tidal waves. It battled with GROUDON. Through Primal Reversion and with nature’s full power, it will take back its true form. It can summon storms that cause the sea levels to rise. Kyogre is said to be the personification of the sea itself. Legends tell of its many clashes against Groudon, as each sought to gain the power of nature.</t>
        </is>
      </c>
    </row>
    <row r="9649" ht="33.75" customHeight="1">
      <c r="A9649" s="7">
        <v>382.0</v>
      </c>
      <c r="B9649" s="9" t="s">
        <v>15552</v>
      </c>
      <c r="C9649" s="9" t="s">
        <v>589</v>
      </c>
      <c r="D9649" s="9" t="s">
        <v>71</v>
      </c>
      <c r="E9649" s="6" t="s">
        <v>9232</v>
      </c>
      <c r="F9649" s="9" t="s">
        <v>16205</v>
      </c>
    </row>
    <row r="9650" ht="33.75" customHeight="1">
      <c r="A9650" s="7">
        <v>382.0</v>
      </c>
      <c r="B9650" s="9" t="s">
        <v>15552</v>
      </c>
      <c r="C9650" s="9" t="s">
        <v>589</v>
      </c>
      <c r="D9650" s="9" t="s">
        <v>73</v>
      </c>
      <c r="E9650" s="6" t="s">
        <v>9233</v>
      </c>
      <c r="F9650" s="9" t="s">
        <v>16205</v>
      </c>
    </row>
    <row r="9651" ht="33.75" customHeight="1">
      <c r="A9651" s="7">
        <v>382.0</v>
      </c>
      <c r="B9651" s="9" t="s">
        <v>15552</v>
      </c>
      <c r="C9651" s="9" t="s">
        <v>589</v>
      </c>
      <c r="D9651" s="9" t="s">
        <v>75</v>
      </c>
      <c r="E9651" s="6" t="s">
        <v>9234</v>
      </c>
      <c r="F9651" s="9" t="s">
        <v>16205</v>
      </c>
    </row>
    <row r="9652" ht="33.75" customHeight="1">
      <c r="A9652" s="7">
        <v>382.0</v>
      </c>
      <c r="B9652" s="9" t="s">
        <v>15552</v>
      </c>
      <c r="C9652" s="9" t="s">
        <v>589</v>
      </c>
      <c r="D9652" s="9" t="s">
        <v>79</v>
      </c>
      <c r="E9652" s="6" t="s">
        <v>9234</v>
      </c>
      <c r="F9652" s="9" t="s">
        <v>16205</v>
      </c>
    </row>
    <row r="9653" ht="33.75" customHeight="1">
      <c r="A9653" s="7">
        <v>382.0</v>
      </c>
      <c r="B9653" s="9" t="s">
        <v>15552</v>
      </c>
      <c r="C9653" s="9" t="s">
        <v>589</v>
      </c>
      <c r="D9653" s="9" t="s">
        <v>81</v>
      </c>
      <c r="E9653" s="6" t="s">
        <v>9236</v>
      </c>
      <c r="F9653" s="9" t="s">
        <v>16205</v>
      </c>
    </row>
    <row r="9654" ht="33.75" customHeight="1">
      <c r="A9654" s="7">
        <v>382.0</v>
      </c>
      <c r="B9654" s="9" t="s">
        <v>15552</v>
      </c>
      <c r="C9654" s="9" t="s">
        <v>589</v>
      </c>
      <c r="D9654" s="9" t="s">
        <v>84</v>
      </c>
      <c r="E9654" s="6" t="s">
        <v>9236</v>
      </c>
      <c r="F9654" s="9" t="s">
        <v>16205</v>
      </c>
    </row>
    <row r="9655" ht="33.75" customHeight="1">
      <c r="A9655" s="7">
        <v>382.0</v>
      </c>
      <c r="B9655" s="9" t="s">
        <v>15552</v>
      </c>
      <c r="C9655" s="9" t="s">
        <v>589</v>
      </c>
      <c r="D9655" s="9" t="s">
        <v>87</v>
      </c>
      <c r="E9655" s="6" t="s">
        <v>9236</v>
      </c>
      <c r="F9655" s="9" t="s">
        <v>16205</v>
      </c>
    </row>
    <row r="9656" ht="33.75" customHeight="1">
      <c r="A9656" s="7">
        <v>382.0</v>
      </c>
      <c r="B9656" s="9" t="s">
        <v>15552</v>
      </c>
      <c r="C9656" s="9" t="s">
        <v>589</v>
      </c>
      <c r="D9656" s="9" t="s">
        <v>89</v>
      </c>
      <c r="E9656" s="6" t="s">
        <v>9238</v>
      </c>
      <c r="F9656" s="9" t="s">
        <v>16205</v>
      </c>
    </row>
    <row r="9657" ht="33.75" customHeight="1">
      <c r="A9657" s="7">
        <v>382.0</v>
      </c>
      <c r="B9657" s="9" t="s">
        <v>15552</v>
      </c>
      <c r="C9657" s="9" t="s">
        <v>589</v>
      </c>
      <c r="D9657" s="9" t="s">
        <v>91</v>
      </c>
      <c r="E9657" s="6" t="s">
        <v>9238</v>
      </c>
      <c r="F9657" s="9" t="s">
        <v>16205</v>
      </c>
    </row>
    <row r="9658" ht="33.75" customHeight="1">
      <c r="A9658" s="7">
        <v>382.0</v>
      </c>
      <c r="B9658" s="9" t="s">
        <v>15552</v>
      </c>
      <c r="C9658" s="9" t="s">
        <v>589</v>
      </c>
      <c r="D9658" s="9" t="s">
        <v>93</v>
      </c>
      <c r="E9658" s="6" t="s">
        <v>9236</v>
      </c>
      <c r="F9658" s="9" t="s">
        <v>16205</v>
      </c>
    </row>
    <row r="9659" ht="33.75" customHeight="1">
      <c r="A9659" s="7">
        <v>382.0</v>
      </c>
      <c r="B9659" s="9" t="s">
        <v>15552</v>
      </c>
      <c r="C9659" s="9" t="s">
        <v>589</v>
      </c>
      <c r="D9659" s="9" t="s">
        <v>95</v>
      </c>
      <c r="E9659" s="6" t="s">
        <v>9236</v>
      </c>
      <c r="F9659" s="9" t="s">
        <v>16205</v>
      </c>
    </row>
    <row r="9660" ht="33.75" customHeight="1">
      <c r="A9660" s="7">
        <v>382.0</v>
      </c>
      <c r="B9660" s="9" t="s">
        <v>15552</v>
      </c>
      <c r="C9660" s="9" t="s">
        <v>589</v>
      </c>
      <c r="D9660" s="9" t="s">
        <v>98</v>
      </c>
      <c r="E9660" s="6" t="s">
        <v>9236</v>
      </c>
      <c r="F9660" s="9" t="s">
        <v>16205</v>
      </c>
    </row>
    <row r="9661" ht="33.75" customHeight="1">
      <c r="A9661" s="7">
        <v>382.0</v>
      </c>
      <c r="B9661" s="9" t="s">
        <v>15552</v>
      </c>
      <c r="C9661" s="9" t="s">
        <v>589</v>
      </c>
      <c r="D9661" s="9" t="s">
        <v>99</v>
      </c>
      <c r="E9661" s="6" t="s">
        <v>9236</v>
      </c>
      <c r="F9661" s="9" t="s">
        <v>16205</v>
      </c>
    </row>
    <row r="9662" ht="33.75" customHeight="1">
      <c r="A9662" s="7">
        <v>382.0</v>
      </c>
      <c r="B9662" s="9" t="s">
        <v>15552</v>
      </c>
      <c r="C9662" s="9" t="s">
        <v>589</v>
      </c>
      <c r="D9662" s="9" t="s">
        <v>101</v>
      </c>
      <c r="E9662" s="6" t="s">
        <v>9240</v>
      </c>
      <c r="F9662" s="9" t="s">
        <v>16205</v>
      </c>
    </row>
    <row r="9663" ht="33.75" customHeight="1">
      <c r="A9663" s="7">
        <v>382.0</v>
      </c>
      <c r="B9663" s="9" t="s">
        <v>15552</v>
      </c>
      <c r="C9663" s="9" t="s">
        <v>589</v>
      </c>
      <c r="D9663" s="9" t="s">
        <v>105</v>
      </c>
      <c r="E9663" s="6" t="s">
        <v>9236</v>
      </c>
      <c r="F9663" s="9" t="s">
        <v>16205</v>
      </c>
    </row>
    <row r="9664" ht="33.75" customHeight="1">
      <c r="A9664" s="7">
        <v>382.0</v>
      </c>
      <c r="B9664" s="9" t="s">
        <v>15552</v>
      </c>
      <c r="C9664" s="9" t="s">
        <v>589</v>
      </c>
      <c r="D9664" s="9" t="s">
        <v>107</v>
      </c>
      <c r="E9664" s="6" t="s">
        <v>9241</v>
      </c>
      <c r="F9664" s="9" t="s">
        <v>16205</v>
      </c>
    </row>
    <row r="9665" ht="33.75" customHeight="1">
      <c r="A9665" s="7">
        <v>382.0</v>
      </c>
      <c r="B9665" s="9" t="s">
        <v>15552</v>
      </c>
      <c r="C9665" s="9" t="s">
        <v>589</v>
      </c>
      <c r="D9665" s="9" t="s">
        <v>109</v>
      </c>
      <c r="E9665" s="6" t="s">
        <v>9243</v>
      </c>
      <c r="F9665" s="9" t="s">
        <v>16205</v>
      </c>
    </row>
    <row r="9666" ht="33.75" customHeight="1">
      <c r="A9666" s="7">
        <v>383.0</v>
      </c>
      <c r="B9666" s="9" t="s">
        <v>15564</v>
      </c>
      <c r="C9666" s="9" t="s">
        <v>590</v>
      </c>
      <c r="D9666" s="9" t="s">
        <v>67</v>
      </c>
      <c r="E9666" s="6" t="s">
        <v>9244</v>
      </c>
      <c r="F9666" s="9" t="s">
        <v>16219</v>
      </c>
      <c r="G9666" t="inlineStr" s="6">
        <is>
          <t xml:space="preserve">GROUDON has long been described in mythology as the POKéMON that raised lands and expanded continents. This POKéMON took to sleep after a cataclysmic battle with KYOGRE. GROUDON has the power to scatter rain clouds and make water evaporate with light and heat. It came as a savior to people who had been suffering from terrible floods. GROUDON has appeared in mythology as the creator of the land. It sleeps in magma underground and is said to make volcanoes erupt on awakening. This legendary POKéMON is said to represent the land. It went to sleep after dueling KYOGRE. It had been asleep in underground magma ever since it fiercely fought KYOGRE long ago. Said to have expanded the lands by evaporating water with raging heat. It battled titanically with KYOGRE. Groudon is said to be the personification of the land itself. Legends tell of its many clashes against Kyogre, as each sought to gain the power of nature. Through Primal Reversion and with nature’s full power, it will take back its true form. It can cause magma to erupt and expand the landmass of the world.</t>
        </is>
      </c>
    </row>
    <row r="9667" ht="33.75" customHeight="1">
      <c r="A9667" s="7">
        <v>383.0</v>
      </c>
      <c r="B9667" s="9" t="s">
        <v>15564</v>
      </c>
      <c r="C9667" s="9" t="s">
        <v>590</v>
      </c>
      <c r="D9667" s="9" t="s">
        <v>71</v>
      </c>
      <c r="E9667" s="6" t="s">
        <v>9245</v>
      </c>
      <c r="F9667" s="9" t="s">
        <v>16219</v>
      </c>
    </row>
    <row r="9668" ht="33.75" customHeight="1">
      <c r="A9668" s="7">
        <v>383.0</v>
      </c>
      <c r="B9668" s="9" t="s">
        <v>15564</v>
      </c>
      <c r="C9668" s="9" t="s">
        <v>590</v>
      </c>
      <c r="D9668" s="9" t="s">
        <v>73</v>
      </c>
      <c r="E9668" s="6" t="s">
        <v>9246</v>
      </c>
      <c r="F9668" s="9" t="s">
        <v>16219</v>
      </c>
    </row>
    <row r="9669" ht="33.75" customHeight="1">
      <c r="A9669" s="7">
        <v>383.0</v>
      </c>
      <c r="B9669" s="9" t="s">
        <v>15564</v>
      </c>
      <c r="C9669" s="9" t="s">
        <v>590</v>
      </c>
      <c r="D9669" s="9" t="s">
        <v>75</v>
      </c>
      <c r="E9669" s="6" t="s">
        <v>9247</v>
      </c>
      <c r="F9669" s="9" t="s">
        <v>16219</v>
      </c>
    </row>
    <row r="9670" ht="33.75" customHeight="1">
      <c r="A9670" s="7">
        <v>383.0</v>
      </c>
      <c r="B9670" s="9" t="s">
        <v>15564</v>
      </c>
      <c r="C9670" s="9" t="s">
        <v>590</v>
      </c>
      <c r="D9670" s="9" t="s">
        <v>79</v>
      </c>
      <c r="E9670" s="6" t="s">
        <v>9247</v>
      </c>
      <c r="F9670" s="9" t="s">
        <v>16219</v>
      </c>
    </row>
    <row r="9671" ht="33.75" customHeight="1">
      <c r="A9671" s="7">
        <v>383.0</v>
      </c>
      <c r="B9671" s="9" t="s">
        <v>15564</v>
      </c>
      <c r="C9671" s="9" t="s">
        <v>590</v>
      </c>
      <c r="D9671" s="9" t="s">
        <v>81</v>
      </c>
      <c r="E9671" s="6" t="s">
        <v>9248</v>
      </c>
      <c r="F9671" s="9" t="s">
        <v>16219</v>
      </c>
    </row>
    <row r="9672" ht="33.75" customHeight="1">
      <c r="A9672" s="7">
        <v>383.0</v>
      </c>
      <c r="B9672" s="9" t="s">
        <v>15564</v>
      </c>
      <c r="C9672" s="9" t="s">
        <v>590</v>
      </c>
      <c r="D9672" s="9" t="s">
        <v>84</v>
      </c>
      <c r="E9672" s="6" t="s">
        <v>9248</v>
      </c>
      <c r="F9672" s="9" t="s">
        <v>16219</v>
      </c>
    </row>
    <row r="9673" ht="33.75" customHeight="1">
      <c r="A9673" s="7">
        <v>383.0</v>
      </c>
      <c r="B9673" s="9" t="s">
        <v>15564</v>
      </c>
      <c r="C9673" s="9" t="s">
        <v>590</v>
      </c>
      <c r="D9673" s="9" t="s">
        <v>87</v>
      </c>
      <c r="E9673" s="6" t="s">
        <v>9248</v>
      </c>
      <c r="F9673" s="9" t="s">
        <v>16219</v>
      </c>
    </row>
    <row r="9674" ht="33.75" customHeight="1">
      <c r="A9674" s="7">
        <v>383.0</v>
      </c>
      <c r="B9674" s="9" t="s">
        <v>15564</v>
      </c>
      <c r="C9674" s="9" t="s">
        <v>590</v>
      </c>
      <c r="D9674" s="9" t="s">
        <v>89</v>
      </c>
      <c r="E9674" s="6" t="s">
        <v>9250</v>
      </c>
      <c r="F9674" s="9" t="s">
        <v>16219</v>
      </c>
    </row>
    <row r="9675" ht="33.75" customHeight="1">
      <c r="A9675" s="7">
        <v>383.0</v>
      </c>
      <c r="B9675" s="9" t="s">
        <v>15564</v>
      </c>
      <c r="C9675" s="9" t="s">
        <v>590</v>
      </c>
      <c r="D9675" s="9" t="s">
        <v>91</v>
      </c>
      <c r="E9675" s="6" t="s">
        <v>9250</v>
      </c>
      <c r="F9675" s="9" t="s">
        <v>16219</v>
      </c>
    </row>
    <row r="9676" ht="33.75" customHeight="1">
      <c r="A9676" s="7">
        <v>383.0</v>
      </c>
      <c r="B9676" s="9" t="s">
        <v>15564</v>
      </c>
      <c r="C9676" s="9" t="s">
        <v>590</v>
      </c>
      <c r="D9676" s="9" t="s">
        <v>93</v>
      </c>
      <c r="E9676" s="6" t="s">
        <v>9251</v>
      </c>
      <c r="F9676" s="9" t="s">
        <v>16219</v>
      </c>
    </row>
    <row r="9677" ht="33.75" customHeight="1">
      <c r="A9677" s="7">
        <v>383.0</v>
      </c>
      <c r="B9677" s="9" t="s">
        <v>15564</v>
      </c>
      <c r="C9677" s="9" t="s">
        <v>590</v>
      </c>
      <c r="D9677" s="9" t="s">
        <v>95</v>
      </c>
      <c r="E9677" s="6" t="s">
        <v>9251</v>
      </c>
      <c r="F9677" s="9" t="s">
        <v>16219</v>
      </c>
    </row>
    <row r="9678" ht="33.75" customHeight="1">
      <c r="A9678" s="7">
        <v>383.0</v>
      </c>
      <c r="B9678" s="9" t="s">
        <v>15564</v>
      </c>
      <c r="C9678" s="9" t="s">
        <v>590</v>
      </c>
      <c r="D9678" s="9" t="s">
        <v>98</v>
      </c>
      <c r="E9678" s="6" t="s">
        <v>9251</v>
      </c>
      <c r="F9678" s="9" t="s">
        <v>16219</v>
      </c>
    </row>
    <row r="9679" ht="33.75" customHeight="1">
      <c r="A9679" s="7">
        <v>383.0</v>
      </c>
      <c r="B9679" s="9" t="s">
        <v>15564</v>
      </c>
      <c r="C9679" s="9" t="s">
        <v>590</v>
      </c>
      <c r="D9679" s="9" t="s">
        <v>99</v>
      </c>
      <c r="E9679" s="6" t="s">
        <v>9251</v>
      </c>
      <c r="F9679" s="9" t="s">
        <v>16219</v>
      </c>
    </row>
    <row r="9680" ht="33.75" customHeight="1">
      <c r="A9680" s="7">
        <v>383.0</v>
      </c>
      <c r="B9680" s="9" t="s">
        <v>15564</v>
      </c>
      <c r="C9680" s="9" t="s">
        <v>590</v>
      </c>
      <c r="D9680" s="9" t="s">
        <v>101</v>
      </c>
      <c r="E9680" s="6" t="s">
        <v>9252</v>
      </c>
      <c r="F9680" s="9" t="s">
        <v>16219</v>
      </c>
    </row>
    <row r="9681" ht="33.75" customHeight="1">
      <c r="A9681" s="7">
        <v>383.0</v>
      </c>
      <c r="B9681" s="9" t="s">
        <v>15564</v>
      </c>
      <c r="C9681" s="9" t="s">
        <v>590</v>
      </c>
      <c r="D9681" s="9" t="s">
        <v>105</v>
      </c>
      <c r="E9681" s="6" t="s">
        <v>9253</v>
      </c>
      <c r="F9681" s="9" t="s">
        <v>16219</v>
      </c>
    </row>
    <row r="9682" ht="33.75" customHeight="1">
      <c r="A9682" s="7">
        <v>383.0</v>
      </c>
      <c r="B9682" s="9" t="s">
        <v>15564</v>
      </c>
      <c r="C9682" s="9" t="s">
        <v>590</v>
      </c>
      <c r="D9682" s="9" t="s">
        <v>107</v>
      </c>
      <c r="E9682" s="6" t="s">
        <v>9254</v>
      </c>
      <c r="F9682" s="9" t="s">
        <v>16219</v>
      </c>
    </row>
    <row r="9683" ht="33.75" customHeight="1">
      <c r="A9683" s="7">
        <v>383.0</v>
      </c>
      <c r="B9683" s="9" t="s">
        <v>15564</v>
      </c>
      <c r="C9683" s="9" t="s">
        <v>590</v>
      </c>
      <c r="D9683" s="9" t="s">
        <v>109</v>
      </c>
      <c r="E9683" s="6" t="s">
        <v>9255</v>
      </c>
      <c r="F9683" s="9" t="s">
        <v>16219</v>
      </c>
    </row>
    <row r="9684" ht="33.75" customHeight="1">
      <c r="A9684" s="7">
        <v>384.0</v>
      </c>
      <c r="B9684" s="9" t="s">
        <v>15578</v>
      </c>
      <c r="C9684" s="9" t="s">
        <v>592</v>
      </c>
      <c r="D9684" s="9" t="s">
        <v>67</v>
      </c>
      <c r="E9684" s="6" t="s">
        <v>9256</v>
      </c>
      <c r="F9684" s="9" t="s">
        <v>16234</v>
      </c>
      <c r="G9684" t="inlineStr" s="6">
        <is>
          <t xml:space="preserve">RAYQUAZA lived for hundreds of millions of years in the earth’s ozone layer, never descending to the ground. This POKéMON appears to feed on water and particles in the atmosphere. RAYQUAZA is said to have lived for hundreds of millions of years in the earth’s ozone layer, above the clouds. Its existence had been completely unknown because it lived so high in the sky. A POKéMON that flies endlessly in the ozone layer. It is said it would descend to the ground if KYOGRE and GROUDON were to fight. It has lived for hundreds of millions of years in the ozone layer. Its flying form looks like a meteor. It lives in the ozone layer far above the clouds and cannot be seen from the ground. It flies in the ozone layer, way up high in the sky. Until recently, no one had ever seen it. Rayquaza is said to have lived for hundreds of millions of years. Legends remain of how it put to rest the clash between Kyogre and Groudon. It flies forever through the ozone layer, consuming meteoroids for sustenance. The many meteoroids in its body provide the energy it needs to Mega Evolve.</t>
        </is>
      </c>
    </row>
    <row r="9685" ht="33.75" customHeight="1">
      <c r="A9685" s="7">
        <v>384.0</v>
      </c>
      <c r="B9685" s="9" t="s">
        <v>15578</v>
      </c>
      <c r="C9685" s="9" t="s">
        <v>592</v>
      </c>
      <c r="D9685" s="9" t="s">
        <v>71</v>
      </c>
      <c r="E9685" s="6" t="s">
        <v>9258</v>
      </c>
      <c r="F9685" s="9" t="s">
        <v>16234</v>
      </c>
    </row>
    <row r="9686" ht="33.75" customHeight="1">
      <c r="A9686" s="7">
        <v>384.0</v>
      </c>
      <c r="B9686" s="9" t="s">
        <v>15578</v>
      </c>
      <c r="C9686" s="9" t="s">
        <v>592</v>
      </c>
      <c r="D9686" s="9" t="s">
        <v>73</v>
      </c>
      <c r="E9686" s="6" t="s">
        <v>9260</v>
      </c>
      <c r="F9686" s="9" t="s">
        <v>16234</v>
      </c>
    </row>
    <row r="9687" ht="33.75" customHeight="1">
      <c r="A9687" s="7">
        <v>384.0</v>
      </c>
      <c r="B9687" s="9" t="s">
        <v>15578</v>
      </c>
      <c r="C9687" s="9" t="s">
        <v>592</v>
      </c>
      <c r="D9687" s="9" t="s">
        <v>75</v>
      </c>
      <c r="E9687" s="6" t="s">
        <v>9261</v>
      </c>
      <c r="F9687" s="9" t="s">
        <v>16234</v>
      </c>
    </row>
    <row r="9688" ht="33.75" customHeight="1">
      <c r="A9688" s="7">
        <v>384.0</v>
      </c>
      <c r="B9688" s="9" t="s">
        <v>15578</v>
      </c>
      <c r="C9688" s="9" t="s">
        <v>592</v>
      </c>
      <c r="D9688" s="9" t="s">
        <v>79</v>
      </c>
      <c r="E9688" s="6" t="s">
        <v>9261</v>
      </c>
      <c r="F9688" s="9" t="s">
        <v>16234</v>
      </c>
    </row>
    <row r="9689" ht="33.75" customHeight="1">
      <c r="A9689" s="7">
        <v>384.0</v>
      </c>
      <c r="B9689" s="9" t="s">
        <v>15578</v>
      </c>
      <c r="C9689" s="9" t="s">
        <v>592</v>
      </c>
      <c r="D9689" s="9" t="s">
        <v>81</v>
      </c>
      <c r="E9689" s="6" t="s">
        <v>9262</v>
      </c>
      <c r="F9689" s="9" t="s">
        <v>16234</v>
      </c>
    </row>
    <row r="9690" ht="33.75" customHeight="1">
      <c r="A9690" s="7">
        <v>384.0</v>
      </c>
      <c r="B9690" s="9" t="s">
        <v>15578</v>
      </c>
      <c r="C9690" s="9" t="s">
        <v>592</v>
      </c>
      <c r="D9690" s="9" t="s">
        <v>84</v>
      </c>
      <c r="E9690" s="6" t="s">
        <v>9262</v>
      </c>
      <c r="F9690" s="9" t="s">
        <v>16234</v>
      </c>
    </row>
    <row r="9691" ht="33.75" customHeight="1">
      <c r="A9691" s="7">
        <v>384.0</v>
      </c>
      <c r="B9691" s="9" t="s">
        <v>15578</v>
      </c>
      <c r="C9691" s="9" t="s">
        <v>592</v>
      </c>
      <c r="D9691" s="9" t="s">
        <v>87</v>
      </c>
      <c r="E9691" s="6" t="s">
        <v>9262</v>
      </c>
      <c r="F9691" s="9" t="s">
        <v>16234</v>
      </c>
    </row>
    <row r="9692" ht="33.75" customHeight="1">
      <c r="A9692" s="7">
        <v>384.0</v>
      </c>
      <c r="B9692" s="9" t="s">
        <v>15578</v>
      </c>
      <c r="C9692" s="9" t="s">
        <v>592</v>
      </c>
      <c r="D9692" s="9" t="s">
        <v>89</v>
      </c>
      <c r="E9692" s="6" t="s">
        <v>9264</v>
      </c>
      <c r="F9692" s="9" t="s">
        <v>16234</v>
      </c>
    </row>
    <row r="9693" ht="33.75" customHeight="1">
      <c r="A9693" s="7">
        <v>384.0</v>
      </c>
      <c r="B9693" s="9" t="s">
        <v>15578</v>
      </c>
      <c r="C9693" s="9" t="s">
        <v>592</v>
      </c>
      <c r="D9693" s="9" t="s">
        <v>91</v>
      </c>
      <c r="E9693" s="6" t="s">
        <v>9264</v>
      </c>
      <c r="F9693" s="9" t="s">
        <v>16234</v>
      </c>
    </row>
    <row r="9694" ht="33.75" customHeight="1">
      <c r="A9694" s="7">
        <v>384.0</v>
      </c>
      <c r="B9694" s="9" t="s">
        <v>15578</v>
      </c>
      <c r="C9694" s="9" t="s">
        <v>592</v>
      </c>
      <c r="D9694" s="9" t="s">
        <v>93</v>
      </c>
      <c r="E9694" s="6" t="s">
        <v>9262</v>
      </c>
      <c r="F9694" s="9" t="s">
        <v>16234</v>
      </c>
    </row>
    <row r="9695" ht="33.75" customHeight="1">
      <c r="A9695" s="7">
        <v>384.0</v>
      </c>
      <c r="B9695" s="9" t="s">
        <v>15578</v>
      </c>
      <c r="C9695" s="9" t="s">
        <v>592</v>
      </c>
      <c r="D9695" s="9" t="s">
        <v>95</v>
      </c>
      <c r="E9695" s="6" t="s">
        <v>9262</v>
      </c>
      <c r="F9695" s="9" t="s">
        <v>16234</v>
      </c>
    </row>
    <row r="9696" ht="33.75" customHeight="1">
      <c r="A9696" s="7">
        <v>384.0</v>
      </c>
      <c r="B9696" s="9" t="s">
        <v>15578</v>
      </c>
      <c r="C9696" s="9" t="s">
        <v>592</v>
      </c>
      <c r="D9696" s="9" t="s">
        <v>98</v>
      </c>
      <c r="E9696" s="6" t="s">
        <v>9262</v>
      </c>
      <c r="F9696" s="9" t="s">
        <v>16234</v>
      </c>
    </row>
    <row r="9697" ht="33.75" customHeight="1">
      <c r="A9697" s="7">
        <v>384.0</v>
      </c>
      <c r="B9697" s="9" t="s">
        <v>15578</v>
      </c>
      <c r="C9697" s="9" t="s">
        <v>592</v>
      </c>
      <c r="D9697" s="9" t="s">
        <v>99</v>
      </c>
      <c r="E9697" s="6" t="s">
        <v>9262</v>
      </c>
      <c r="F9697" s="9" t="s">
        <v>16234</v>
      </c>
    </row>
    <row r="9698" ht="33.75" customHeight="1">
      <c r="A9698" s="7">
        <v>384.0</v>
      </c>
      <c r="B9698" s="9" t="s">
        <v>15578</v>
      </c>
      <c r="C9698" s="9" t="s">
        <v>592</v>
      </c>
      <c r="D9698" s="9" t="s">
        <v>101</v>
      </c>
      <c r="E9698" s="6" t="s">
        <v>9262</v>
      </c>
      <c r="F9698" s="9" t="s">
        <v>16234</v>
      </c>
    </row>
    <row r="9699" ht="33.75" customHeight="1">
      <c r="A9699" s="7">
        <v>384.0</v>
      </c>
      <c r="B9699" s="9" t="s">
        <v>15578</v>
      </c>
      <c r="C9699" s="9" t="s">
        <v>592</v>
      </c>
      <c r="D9699" s="9" t="s">
        <v>105</v>
      </c>
      <c r="E9699" s="6" t="s">
        <v>9264</v>
      </c>
      <c r="F9699" s="9" t="s">
        <v>16234</v>
      </c>
    </row>
    <row r="9700" ht="33.75" customHeight="1">
      <c r="A9700" s="7">
        <v>384.0</v>
      </c>
      <c r="B9700" s="9" t="s">
        <v>15578</v>
      </c>
      <c r="C9700" s="9" t="s">
        <v>592</v>
      </c>
      <c r="D9700" s="9" t="s">
        <v>107</v>
      </c>
      <c r="E9700" s="6" t="s">
        <v>9266</v>
      </c>
      <c r="F9700" s="9" t="s">
        <v>16234</v>
      </c>
    </row>
    <row r="9701" ht="33.75" customHeight="1">
      <c r="A9701" s="7">
        <v>384.0</v>
      </c>
      <c r="B9701" s="9" t="s">
        <v>15578</v>
      </c>
      <c r="C9701" s="9" t="s">
        <v>592</v>
      </c>
      <c r="D9701" s="9" t="s">
        <v>109</v>
      </c>
      <c r="E9701" s="6" t="s">
        <v>9268</v>
      </c>
      <c r="F9701" s="9" t="s">
        <v>16234</v>
      </c>
    </row>
    <row r="9702" ht="33.75" customHeight="1">
      <c r="A9702" s="7">
        <v>385.0</v>
      </c>
      <c r="B9702" s="9" t="s">
        <v>15588</v>
      </c>
      <c r="C9702" s="9" t="s">
        <v>595</v>
      </c>
      <c r="D9702" s="9" t="s">
        <v>67</v>
      </c>
      <c r="E9702" s="6" t="s">
        <v>9270</v>
      </c>
      <c r="F9702" s="9" t="s">
        <v>16249</v>
      </c>
      <c r="G9702" t="inlineStr" s="6">
        <is>
          <t xml:space="preserve">A legend states that JIRACHI will make true any wish that is written on notes attached to Jirachi's head when it awakens. If this POKéMON senses danger, it will fight without awakening. JIRACHI will awaken from its sleep of a thousand years if you sing to it in a voice of purity. It is said to make true any wish that people desire. JIRACHI is said to make wishes come true. While it sleeps, a tough crystalline shell envelops the body to protect it from enemies. It is said to make any wish come true. It is awake for only seven days out of a thousand years. It is said to have the ability to grant any wish for just one week every thousand years. Generations have believed that any wish written on a note on its head will come true when it awakens. Once every 1,000 years, the singing of a pure voice will rouse this Pokémon from its near- perpetual slumber. It wakes for only seven days. It’s believed that when this Pokémon wakes from its 1,000-year slumber, it will grant any wishes written on the notes attached to its head.</t>
        </is>
      </c>
    </row>
    <row r="9703" ht="33.75" customHeight="1">
      <c r="A9703" s="7">
        <v>385.0</v>
      </c>
      <c r="B9703" s="9" t="s">
        <v>15588</v>
      </c>
      <c r="C9703" s="9" t="s">
        <v>595</v>
      </c>
      <c r="D9703" s="9" t="s">
        <v>71</v>
      </c>
      <c r="E9703" s="6" t="s">
        <v>9271</v>
      </c>
      <c r="F9703" s="9" t="s">
        <v>16249</v>
      </c>
    </row>
    <row r="9704" ht="33.75" customHeight="1">
      <c r="A9704" s="7">
        <v>385.0</v>
      </c>
      <c r="B9704" s="9" t="s">
        <v>15588</v>
      </c>
      <c r="C9704" s="9" t="s">
        <v>595</v>
      </c>
      <c r="D9704" s="9" t="s">
        <v>73</v>
      </c>
      <c r="E9704" s="6" t="s">
        <v>9273</v>
      </c>
      <c r="F9704" s="9" t="s">
        <v>16249</v>
      </c>
    </row>
    <row r="9705" ht="33.75" customHeight="1">
      <c r="A9705" s="7">
        <v>385.0</v>
      </c>
      <c r="B9705" s="9" t="s">
        <v>15588</v>
      </c>
      <c r="C9705" s="9" t="s">
        <v>595</v>
      </c>
      <c r="D9705" s="9" t="s">
        <v>75</v>
      </c>
      <c r="E9705" s="6" t="s">
        <v>9274</v>
      </c>
      <c r="F9705" s="9" t="s">
        <v>16249</v>
      </c>
    </row>
    <row r="9706" ht="33.75" customHeight="1">
      <c r="A9706" s="7">
        <v>385.0</v>
      </c>
      <c r="B9706" s="9" t="s">
        <v>15588</v>
      </c>
      <c r="C9706" s="9" t="s">
        <v>595</v>
      </c>
      <c r="D9706" s="9" t="s">
        <v>79</v>
      </c>
      <c r="E9706" s="6" t="s">
        <v>9274</v>
      </c>
      <c r="F9706" s="9" t="s">
        <v>16249</v>
      </c>
    </row>
    <row r="9707" ht="33.75" customHeight="1">
      <c r="A9707" s="7">
        <v>385.0</v>
      </c>
      <c r="B9707" s="9" t="s">
        <v>15588</v>
      </c>
      <c r="C9707" s="9" t="s">
        <v>595</v>
      </c>
      <c r="D9707" s="9" t="s">
        <v>81</v>
      </c>
      <c r="E9707" s="6" t="s">
        <v>9276</v>
      </c>
      <c r="F9707" s="9" t="s">
        <v>16249</v>
      </c>
    </row>
    <row r="9708" ht="33.75" customHeight="1">
      <c r="A9708" s="7">
        <v>385.0</v>
      </c>
      <c r="B9708" s="9" t="s">
        <v>15588</v>
      </c>
      <c r="C9708" s="9" t="s">
        <v>595</v>
      </c>
      <c r="D9708" s="9" t="s">
        <v>84</v>
      </c>
      <c r="E9708" s="6" t="s">
        <v>9276</v>
      </c>
      <c r="F9708" s="9" t="s">
        <v>16249</v>
      </c>
    </row>
    <row r="9709" ht="33.75" customHeight="1">
      <c r="A9709" s="7">
        <v>385.0</v>
      </c>
      <c r="B9709" s="9" t="s">
        <v>15588</v>
      </c>
      <c r="C9709" s="9" t="s">
        <v>595</v>
      </c>
      <c r="D9709" s="9" t="s">
        <v>87</v>
      </c>
      <c r="E9709" s="6" t="s">
        <v>9276</v>
      </c>
      <c r="F9709" s="9" t="s">
        <v>16249</v>
      </c>
    </row>
    <row r="9710" ht="33.75" customHeight="1">
      <c r="A9710" s="7">
        <v>385.0</v>
      </c>
      <c r="B9710" s="9" t="s">
        <v>15588</v>
      </c>
      <c r="C9710" s="9" t="s">
        <v>595</v>
      </c>
      <c r="D9710" s="9" t="s">
        <v>89</v>
      </c>
      <c r="E9710" s="6" t="s">
        <v>9277</v>
      </c>
      <c r="F9710" s="9" t="s">
        <v>16249</v>
      </c>
    </row>
    <row r="9711" ht="33.75" customHeight="1">
      <c r="A9711" s="7">
        <v>385.0</v>
      </c>
      <c r="B9711" s="9" t="s">
        <v>15588</v>
      </c>
      <c r="C9711" s="9" t="s">
        <v>595</v>
      </c>
      <c r="D9711" s="9" t="s">
        <v>91</v>
      </c>
      <c r="E9711" s="6" t="s">
        <v>9277</v>
      </c>
      <c r="F9711" s="9" t="s">
        <v>16249</v>
      </c>
    </row>
    <row r="9712" ht="33.75" customHeight="1">
      <c r="A9712" s="7">
        <v>385.0</v>
      </c>
      <c r="B9712" s="9" t="s">
        <v>15588</v>
      </c>
      <c r="C9712" s="9" t="s">
        <v>595</v>
      </c>
      <c r="D9712" s="9" t="s">
        <v>93</v>
      </c>
      <c r="E9712" s="6" t="s">
        <v>9276</v>
      </c>
      <c r="F9712" s="9" t="s">
        <v>16249</v>
      </c>
    </row>
    <row r="9713" ht="33.75" customHeight="1">
      <c r="A9713" s="7">
        <v>385.0</v>
      </c>
      <c r="B9713" s="9" t="s">
        <v>15588</v>
      </c>
      <c r="C9713" s="9" t="s">
        <v>595</v>
      </c>
      <c r="D9713" s="9" t="s">
        <v>95</v>
      </c>
      <c r="E9713" s="6" t="s">
        <v>9276</v>
      </c>
      <c r="F9713" s="9" t="s">
        <v>16249</v>
      </c>
    </row>
    <row r="9714" ht="33.75" customHeight="1">
      <c r="A9714" s="7">
        <v>385.0</v>
      </c>
      <c r="B9714" s="9" t="s">
        <v>15588</v>
      </c>
      <c r="C9714" s="9" t="s">
        <v>595</v>
      </c>
      <c r="D9714" s="9" t="s">
        <v>98</v>
      </c>
      <c r="E9714" s="6" t="s">
        <v>9276</v>
      </c>
      <c r="F9714" s="9" t="s">
        <v>16249</v>
      </c>
    </row>
    <row r="9715" ht="33.75" customHeight="1">
      <c r="A9715" s="7">
        <v>385.0</v>
      </c>
      <c r="B9715" s="9" t="s">
        <v>15588</v>
      </c>
      <c r="C9715" s="9" t="s">
        <v>595</v>
      </c>
      <c r="D9715" s="9" t="s">
        <v>99</v>
      </c>
      <c r="E9715" s="6" t="s">
        <v>9276</v>
      </c>
      <c r="F9715" s="9" t="s">
        <v>16249</v>
      </c>
    </row>
    <row r="9716" ht="33.75" customHeight="1">
      <c r="A9716" s="7">
        <v>385.0</v>
      </c>
      <c r="B9716" s="9" t="s">
        <v>15588</v>
      </c>
      <c r="C9716" s="9" t="s">
        <v>595</v>
      </c>
      <c r="D9716" s="9" t="s">
        <v>101</v>
      </c>
      <c r="E9716" s="6" t="s">
        <v>9277</v>
      </c>
      <c r="F9716" s="9" t="s">
        <v>16249</v>
      </c>
    </row>
    <row r="9717" ht="33.75" customHeight="1">
      <c r="A9717" s="7">
        <v>385.0</v>
      </c>
      <c r="B9717" s="9" t="s">
        <v>15588</v>
      </c>
      <c r="C9717" s="9" t="s">
        <v>595</v>
      </c>
      <c r="D9717" s="9" t="s">
        <v>105</v>
      </c>
      <c r="E9717" s="6" t="s">
        <v>9276</v>
      </c>
      <c r="F9717" s="9" t="s">
        <v>16249</v>
      </c>
    </row>
    <row r="9718" ht="33.75" customHeight="1">
      <c r="A9718" s="7">
        <v>385.0</v>
      </c>
      <c r="B9718" s="9" t="s">
        <v>15588</v>
      </c>
      <c r="C9718" s="9" t="s">
        <v>595</v>
      </c>
      <c r="D9718" s="9" t="s">
        <v>107</v>
      </c>
      <c r="E9718" s="6" t="s">
        <v>9279</v>
      </c>
      <c r="F9718" s="9" t="s">
        <v>16249</v>
      </c>
    </row>
    <row r="9719" ht="33.75" customHeight="1">
      <c r="A9719" s="7">
        <v>385.0</v>
      </c>
      <c r="B9719" s="9" t="s">
        <v>15588</v>
      </c>
      <c r="C9719" s="9" t="s">
        <v>595</v>
      </c>
      <c r="D9719" s="9" t="s">
        <v>109</v>
      </c>
      <c r="E9719" s="6" t="s">
        <v>9282</v>
      </c>
      <c r="F9719" s="9" t="s">
        <v>16249</v>
      </c>
    </row>
    <row r="9720" ht="33.75" customHeight="1">
      <c r="A9720" s="7">
        <v>385.0</v>
      </c>
      <c r="B9720" s="9" t="s">
        <v>15588</v>
      </c>
      <c r="C9720" s="9" t="s">
        <v>595</v>
      </c>
      <c r="D9720" s="9" t="s">
        <v>114</v>
      </c>
      <c r="E9720" s="6" t="s">
        <v>9283</v>
      </c>
      <c r="F9720" s="9" t="s">
        <v>16249</v>
      </c>
    </row>
    <row r="9721" ht="33.75" customHeight="1">
      <c r="A9721" s="7">
        <v>385.0</v>
      </c>
      <c r="B9721" s="9" t="s">
        <v>15588</v>
      </c>
      <c r="C9721" s="9" t="s">
        <v>595</v>
      </c>
      <c r="D9721" s="9" t="s">
        <v>117</v>
      </c>
      <c r="E9721" s="6" t="s">
        <v>9284</v>
      </c>
      <c r="F9721" s="9" t="s">
        <v>16249</v>
      </c>
    </row>
    <row r="9722" ht="33.75" customHeight="1">
      <c r="A9722" s="7">
        <v>386.0</v>
      </c>
      <c r="B9722" s="9" t="s">
        <v>15601</v>
      </c>
      <c r="C9722" s="9" t="s">
        <v>596</v>
      </c>
      <c r="D9722" s="9" t="s">
        <v>67</v>
      </c>
      <c r="E9722" s="6" t="s">
        <v>9286</v>
      </c>
      <c r="F9722" s="9" t="s">
        <v>16264</v>
      </c>
      <c r="G9722" t="inlineStr" s="6">
        <is>
          <t xml:space="preserve">The DNA of a space virus underwent a sudden mutation upon exposure to a laser beam and resulted in DEOXYS. The crystalline organ on this POKéMON’s chest appears to be its brain. DEOXYS emerged from a virus that came from space. It is highly intelligent and wields psychokinetic powers. This POKéMON shoots lasers from the crystalline organ on its chest. A POKéMON that mutated from an extraterrestrial virus exposed to a laser beam. Its body is configured for superior agility and speed. This DEOXYS has transformed into its aggressive guise. It can fool enemies by altering its appearance. When it changes form, an aurora appears. It absorbs attacks by altering its cellular structure. An alien virus that fell to earth on a meteor underwent a DNA mutation to become this Pokémon. DNA from a space virus mutated and became a Pokémon. It appears where auroras are seen.</t>
        </is>
      </c>
    </row>
    <row r="9723" ht="33.75" customHeight="1">
      <c r="A9723" s="7">
        <v>386.0</v>
      </c>
      <c r="B9723" s="9" t="s">
        <v>15601</v>
      </c>
      <c r="C9723" s="9" t="s">
        <v>596</v>
      </c>
      <c r="D9723" s="9" t="s">
        <v>71</v>
      </c>
      <c r="E9723" s="6" t="s">
        <v>9288</v>
      </c>
      <c r="F9723" s="9" t="s">
        <v>16264</v>
      </c>
    </row>
    <row r="9724" ht="33.75" customHeight="1">
      <c r="A9724" s="7">
        <v>386.0</v>
      </c>
      <c r="B9724" s="9" t="s">
        <v>15601</v>
      </c>
      <c r="C9724" s="9" t="s">
        <v>596</v>
      </c>
      <c r="D9724" s="9" t="s">
        <v>73</v>
      </c>
      <c r="E9724" s="6" t="s">
        <v>9289</v>
      </c>
      <c r="F9724" s="9" t="s">
        <v>16264</v>
      </c>
    </row>
    <row r="9725" ht="33.75" customHeight="1">
      <c r="A9725" s="7">
        <v>386.0</v>
      </c>
      <c r="B9725" s="9" t="s">
        <v>15601</v>
      </c>
      <c r="C9725" s="9" t="s">
        <v>596</v>
      </c>
      <c r="D9725" s="9" t="s">
        <v>75</v>
      </c>
      <c r="E9725" s="6" t="s">
        <v>9291</v>
      </c>
      <c r="F9725" s="9" t="s">
        <v>16264</v>
      </c>
    </row>
    <row r="9726" ht="33.75" customHeight="1">
      <c r="A9726" s="7">
        <v>386.0</v>
      </c>
      <c r="B9726" s="9" t="s">
        <v>15601</v>
      </c>
      <c r="C9726" s="9" t="s">
        <v>596</v>
      </c>
      <c r="D9726" s="9" t="s">
        <v>79</v>
      </c>
      <c r="E9726" s="6" t="s">
        <v>9293</v>
      </c>
      <c r="F9726" s="9" t="s">
        <v>16264</v>
      </c>
    </row>
    <row r="9727" ht="33.75" customHeight="1">
      <c r="A9727" s="7">
        <v>386.0</v>
      </c>
      <c r="B9727" s="9" t="s">
        <v>15601</v>
      </c>
      <c r="C9727" s="9" t="s">
        <v>596</v>
      </c>
      <c r="D9727" s="9" t="s">
        <v>81</v>
      </c>
      <c r="E9727" s="6" t="s">
        <v>9297</v>
      </c>
      <c r="F9727" s="9" t="s">
        <v>16264</v>
      </c>
    </row>
    <row r="9728" ht="33.75" customHeight="1">
      <c r="A9728" s="7">
        <v>386.0</v>
      </c>
      <c r="B9728" s="9" t="s">
        <v>15601</v>
      </c>
      <c r="C9728" s="9" t="s">
        <v>596</v>
      </c>
      <c r="D9728" s="9" t="s">
        <v>84</v>
      </c>
      <c r="E9728" s="6" t="s">
        <v>9297</v>
      </c>
      <c r="F9728" s="9" t="s">
        <v>16264</v>
      </c>
    </row>
    <row r="9729" ht="33.75" customHeight="1">
      <c r="A9729" s="7">
        <v>386.0</v>
      </c>
      <c r="B9729" s="9" t="s">
        <v>15601</v>
      </c>
      <c r="C9729" s="9" t="s">
        <v>596</v>
      </c>
      <c r="D9729" s="9" t="s">
        <v>87</v>
      </c>
      <c r="E9729" s="6" t="s">
        <v>9297</v>
      </c>
      <c r="F9729" s="9" t="s">
        <v>16264</v>
      </c>
    </row>
    <row r="9730" ht="33.75" customHeight="1">
      <c r="A9730" s="7">
        <v>386.0</v>
      </c>
      <c r="B9730" s="9" t="s">
        <v>15601</v>
      </c>
      <c r="C9730" s="9" t="s">
        <v>596</v>
      </c>
      <c r="D9730" s="9" t="s">
        <v>89</v>
      </c>
      <c r="E9730" s="6" t="s">
        <v>9299</v>
      </c>
      <c r="F9730" s="9" t="s">
        <v>16264</v>
      </c>
    </row>
    <row r="9731" ht="33.75" customHeight="1">
      <c r="A9731" s="7">
        <v>386.0</v>
      </c>
      <c r="B9731" s="9" t="s">
        <v>15601</v>
      </c>
      <c r="C9731" s="9" t="s">
        <v>596</v>
      </c>
      <c r="D9731" s="9" t="s">
        <v>91</v>
      </c>
      <c r="E9731" s="6" t="s">
        <v>9299</v>
      </c>
      <c r="F9731" s="9" t="s">
        <v>16264</v>
      </c>
    </row>
    <row r="9732" ht="33.75" customHeight="1">
      <c r="A9732" s="7">
        <v>386.0</v>
      </c>
      <c r="B9732" s="9" t="s">
        <v>15601</v>
      </c>
      <c r="C9732" s="9" t="s">
        <v>596</v>
      </c>
      <c r="D9732" s="9" t="s">
        <v>93</v>
      </c>
      <c r="E9732" s="6" t="s">
        <v>9297</v>
      </c>
      <c r="F9732" s="9" t="s">
        <v>16264</v>
      </c>
    </row>
    <row r="9733" ht="33.75" customHeight="1">
      <c r="A9733" s="7">
        <v>386.0</v>
      </c>
      <c r="B9733" s="9" t="s">
        <v>15601</v>
      </c>
      <c r="C9733" s="9" t="s">
        <v>596</v>
      </c>
      <c r="D9733" s="9" t="s">
        <v>95</v>
      </c>
      <c r="E9733" s="6" t="s">
        <v>9297</v>
      </c>
      <c r="F9733" s="9" t="s">
        <v>16264</v>
      </c>
    </row>
    <row r="9734" ht="33.75" customHeight="1">
      <c r="A9734" s="7">
        <v>386.0</v>
      </c>
      <c r="B9734" s="9" t="s">
        <v>15601</v>
      </c>
      <c r="C9734" s="9" t="s">
        <v>596</v>
      </c>
      <c r="D9734" s="9" t="s">
        <v>98</v>
      </c>
      <c r="E9734" s="6" t="s">
        <v>9297</v>
      </c>
      <c r="F9734" s="9" t="s">
        <v>16264</v>
      </c>
    </row>
    <row r="9735" ht="33.75" customHeight="1">
      <c r="A9735" s="7">
        <v>386.0</v>
      </c>
      <c r="B9735" s="9" t="s">
        <v>15601</v>
      </c>
      <c r="C9735" s="9" t="s">
        <v>596</v>
      </c>
      <c r="D9735" s="9" t="s">
        <v>99</v>
      </c>
      <c r="E9735" s="6" t="s">
        <v>9297</v>
      </c>
      <c r="F9735" s="9" t="s">
        <v>16264</v>
      </c>
    </row>
    <row r="9736" ht="33.75" customHeight="1">
      <c r="A9736" s="7">
        <v>386.0</v>
      </c>
      <c r="B9736" s="9" t="s">
        <v>15601</v>
      </c>
      <c r="C9736" s="9" t="s">
        <v>596</v>
      </c>
      <c r="D9736" s="9" t="s">
        <v>101</v>
      </c>
      <c r="E9736" s="6" t="s">
        <v>9297</v>
      </c>
      <c r="F9736" s="9" t="s">
        <v>16264</v>
      </c>
    </row>
    <row r="9737" ht="33.75" customHeight="1">
      <c r="A9737" s="7">
        <v>386.0</v>
      </c>
      <c r="B9737" s="9" t="s">
        <v>15601</v>
      </c>
      <c r="C9737" s="9" t="s">
        <v>596</v>
      </c>
      <c r="D9737" s="9" t="s">
        <v>105</v>
      </c>
      <c r="E9737" s="6" t="s">
        <v>9299</v>
      </c>
      <c r="F9737" s="9" t="s">
        <v>16264</v>
      </c>
    </row>
    <row r="9738" ht="33.75" customHeight="1">
      <c r="A9738" s="7">
        <v>386.0</v>
      </c>
      <c r="B9738" s="9" t="s">
        <v>15601</v>
      </c>
      <c r="C9738" s="9" t="s">
        <v>596</v>
      </c>
      <c r="D9738" s="9" t="s">
        <v>107</v>
      </c>
      <c r="E9738" s="6" t="s">
        <v>9300</v>
      </c>
      <c r="F9738" s="9" t="s">
        <v>16264</v>
      </c>
    </row>
    <row r="9739" ht="33.75" customHeight="1">
      <c r="A9739" s="7">
        <v>386.0</v>
      </c>
      <c r="B9739" s="9" t="s">
        <v>15601</v>
      </c>
      <c r="C9739" s="9" t="s">
        <v>596</v>
      </c>
      <c r="D9739" s="9" t="s">
        <v>109</v>
      </c>
      <c r="E9739" s="6" t="s">
        <v>9302</v>
      </c>
      <c r="F9739" s="9" t="s">
        <v>16264</v>
      </c>
    </row>
    <row r="9740" ht="33.75" customHeight="1">
      <c r="A9740" s="7">
        <v>387.0</v>
      </c>
      <c r="B9740" s="9" t="s">
        <v>15613</v>
      </c>
      <c r="C9740" s="9" t="s">
        <v>599</v>
      </c>
      <c r="D9740" s="9" t="s">
        <v>81</v>
      </c>
      <c r="E9740" s="6" t="s">
        <v>9303</v>
      </c>
      <c r="F9740" s="9" t="s">
        <v>16274</v>
      </c>
      <c r="G9740" t="inlineStr" s="6">
        <is>
          <t xml:space="preserve">Made from soil, the shell on Turtwig's back hardens when it drinks water. It lives along lakes. It undertakes photosynthesis with its body, making oxygen. The leaf on its head wilts if it is thirsty. The shell on its back is made of soil. On a very healthy TURTWIG, the shell should feel moist. Photosynthesis occurs across its body under the sun. The shell on its back is actually hardened soil. This Pokémon becomes more energetic the more sunlight there is. The part resembling a shell is similar to silt and is slightly damp and warm to the touch.</t>
        </is>
      </c>
    </row>
    <row r="9741" ht="33.75" customHeight="1">
      <c r="A9741" s="7">
        <v>387.0</v>
      </c>
      <c r="B9741" s="9" t="s">
        <v>15613</v>
      </c>
      <c r="C9741" s="9" t="s">
        <v>599</v>
      </c>
      <c r="D9741" s="9" t="s">
        <v>84</v>
      </c>
      <c r="E9741" s="6" t="s">
        <v>9304</v>
      </c>
      <c r="F9741" s="9" t="s">
        <v>16274</v>
      </c>
    </row>
    <row r="9742" ht="33.75" customHeight="1">
      <c r="A9742" s="7">
        <v>387.0</v>
      </c>
      <c r="B9742" s="9" t="s">
        <v>15613</v>
      </c>
      <c r="C9742" s="9" t="s">
        <v>599</v>
      </c>
      <c r="D9742" s="9" t="s">
        <v>87</v>
      </c>
      <c r="E9742" s="6" t="s">
        <v>9305</v>
      </c>
      <c r="F9742" s="9" t="s">
        <v>16274</v>
      </c>
    </row>
    <row r="9743" ht="33.75" customHeight="1">
      <c r="A9743" s="7">
        <v>387.0</v>
      </c>
      <c r="B9743" s="9" t="s">
        <v>15613</v>
      </c>
      <c r="C9743" s="9" t="s">
        <v>599</v>
      </c>
      <c r="D9743" s="9" t="s">
        <v>89</v>
      </c>
      <c r="E9743" s="6" t="s">
        <v>9306</v>
      </c>
      <c r="F9743" s="9" t="s">
        <v>16274</v>
      </c>
    </row>
    <row r="9744" ht="33.75" customHeight="1">
      <c r="A9744" s="7">
        <v>387.0</v>
      </c>
      <c r="B9744" s="9" t="s">
        <v>15613</v>
      </c>
      <c r="C9744" s="9" t="s">
        <v>599</v>
      </c>
      <c r="D9744" s="9" t="s">
        <v>91</v>
      </c>
      <c r="E9744" s="6" t="s">
        <v>9306</v>
      </c>
      <c r="F9744" s="9" t="s">
        <v>16274</v>
      </c>
    </row>
    <row r="9745" ht="33.75" customHeight="1">
      <c r="A9745" s="7">
        <v>387.0</v>
      </c>
      <c r="B9745" s="9" t="s">
        <v>15613</v>
      </c>
      <c r="C9745" s="9" t="s">
        <v>599</v>
      </c>
      <c r="D9745" s="9" t="s">
        <v>93</v>
      </c>
      <c r="E9745" s="6" t="s">
        <v>9308</v>
      </c>
      <c r="F9745" s="9" t="s">
        <v>16274</v>
      </c>
    </row>
    <row r="9746" ht="33.75" customHeight="1">
      <c r="A9746" s="7">
        <v>387.0</v>
      </c>
      <c r="B9746" s="9" t="s">
        <v>15613</v>
      </c>
      <c r="C9746" s="9" t="s">
        <v>599</v>
      </c>
      <c r="D9746" s="9" t="s">
        <v>95</v>
      </c>
      <c r="E9746" s="6" t="s">
        <v>9308</v>
      </c>
      <c r="F9746" s="9" t="s">
        <v>16274</v>
      </c>
    </row>
    <row r="9747" ht="33.75" customHeight="1">
      <c r="A9747" s="7">
        <v>387.0</v>
      </c>
      <c r="B9747" s="9" t="s">
        <v>15613</v>
      </c>
      <c r="C9747" s="9" t="s">
        <v>599</v>
      </c>
      <c r="D9747" s="9" t="s">
        <v>98</v>
      </c>
      <c r="E9747" s="6" t="s">
        <v>9308</v>
      </c>
      <c r="F9747" s="9" t="s">
        <v>16274</v>
      </c>
    </row>
    <row r="9748" ht="33.75" customHeight="1">
      <c r="A9748" s="7">
        <v>387.0</v>
      </c>
      <c r="B9748" s="9" t="s">
        <v>15613</v>
      </c>
      <c r="C9748" s="9" t="s">
        <v>599</v>
      </c>
      <c r="D9748" s="9" t="s">
        <v>99</v>
      </c>
      <c r="E9748" s="6" t="s">
        <v>9308</v>
      </c>
      <c r="F9748" s="9" t="s">
        <v>16274</v>
      </c>
    </row>
    <row r="9749" ht="33.75" customHeight="1">
      <c r="A9749" s="7">
        <v>387.0</v>
      </c>
      <c r="B9749" s="9" t="s">
        <v>15613</v>
      </c>
      <c r="C9749" s="9" t="s">
        <v>599</v>
      </c>
      <c r="D9749" s="9" t="s">
        <v>101</v>
      </c>
      <c r="E9749" s="6" t="s">
        <v>9306</v>
      </c>
      <c r="F9749" s="9" t="s">
        <v>16274</v>
      </c>
    </row>
    <row r="9750" ht="33.75" customHeight="1">
      <c r="A9750" s="7">
        <v>387.0</v>
      </c>
      <c r="B9750" s="9" t="s">
        <v>15613</v>
      </c>
      <c r="C9750" s="9" t="s">
        <v>599</v>
      </c>
      <c r="D9750" s="9" t="s">
        <v>105</v>
      </c>
      <c r="E9750" s="6" t="s">
        <v>9304</v>
      </c>
      <c r="F9750" s="9" t="s">
        <v>16274</v>
      </c>
    </row>
    <row r="9751" ht="33.75" customHeight="1">
      <c r="A9751" s="7">
        <v>387.0</v>
      </c>
      <c r="B9751" s="9" t="s">
        <v>15613</v>
      </c>
      <c r="C9751" s="9" t="s">
        <v>599</v>
      </c>
      <c r="D9751" s="9" t="s">
        <v>107</v>
      </c>
      <c r="E9751" s="6" t="s">
        <v>9306</v>
      </c>
      <c r="F9751" s="9" t="s">
        <v>16274</v>
      </c>
    </row>
    <row r="9752" ht="33.75" customHeight="1">
      <c r="A9752" s="7">
        <v>387.0</v>
      </c>
      <c r="B9752" s="9" t="s">
        <v>15613</v>
      </c>
      <c r="C9752" s="9" t="s">
        <v>599</v>
      </c>
      <c r="D9752" s="9" t="s">
        <v>109</v>
      </c>
      <c r="E9752" s="6" t="s">
        <v>9304</v>
      </c>
      <c r="F9752" s="9" t="s">
        <v>16274</v>
      </c>
    </row>
    <row r="9753" ht="33.75" customHeight="1">
      <c r="A9753" s="7">
        <v>387.0</v>
      </c>
      <c r="B9753" s="9" t="s">
        <v>15613</v>
      </c>
      <c r="C9753" s="9" t="s">
        <v>599</v>
      </c>
      <c r="D9753" s="9" t="s">
        <v>1577</v>
      </c>
      <c r="E9753" s="6" t="s">
        <v>9309</v>
      </c>
      <c r="F9753" s="9" t="s">
        <v>16274</v>
      </c>
    </row>
    <row r="9754" ht="33.75" customHeight="1">
      <c r="A9754" s="7">
        <v>388.0</v>
      </c>
      <c r="B9754" s="9" t="s">
        <v>15622</v>
      </c>
      <c r="C9754" s="9" t="s">
        <v>600</v>
      </c>
      <c r="D9754" s="9" t="s">
        <v>81</v>
      </c>
      <c r="E9754" s="6" t="s">
        <v>9310</v>
      </c>
      <c r="F9754" s="9" t="s">
        <v>16285</v>
      </c>
      <c r="G9754" t="inlineStr" s="6">
        <is>
          <t xml:space="preserve">Grotle lives along water in forests. In the daytime, it leaves the forest to sunbathe its treed shell. The shell is hardened soil. Some Pokémon come to peck the berries growing on the trees on its back. It knows where pure water wells up. It carries fellow Pokémon there on its back. A GROTLE that lives in the forest is said to have its own secret springwater. Appears where there is clean spring water. The fruit that grows on the shrubs on its shell is sweet, nutritious, and truly delicious.</t>
        </is>
      </c>
    </row>
    <row r="9755" ht="33.75" customHeight="1">
      <c r="A9755" s="7">
        <v>388.0</v>
      </c>
      <c r="B9755" s="9" t="s">
        <v>15622</v>
      </c>
      <c r="C9755" s="9" t="s">
        <v>600</v>
      </c>
      <c r="D9755" s="9" t="s">
        <v>84</v>
      </c>
      <c r="E9755" s="6" t="s">
        <v>9311</v>
      </c>
      <c r="F9755" s="9" t="s">
        <v>16285</v>
      </c>
    </row>
    <row r="9756" ht="33.75" customHeight="1">
      <c r="A9756" s="7">
        <v>388.0</v>
      </c>
      <c r="B9756" s="9" t="s">
        <v>15622</v>
      </c>
      <c r="C9756" s="9" t="s">
        <v>600</v>
      </c>
      <c r="D9756" s="9" t="s">
        <v>87</v>
      </c>
      <c r="E9756" s="6" t="s">
        <v>9312</v>
      </c>
      <c r="F9756" s="9" t="s">
        <v>16285</v>
      </c>
    </row>
    <row r="9757" ht="33.75" customHeight="1">
      <c r="A9757" s="7">
        <v>388.0</v>
      </c>
      <c r="B9757" s="9" t="s">
        <v>15622</v>
      </c>
      <c r="C9757" s="9" t="s">
        <v>600</v>
      </c>
      <c r="D9757" s="9" t="s">
        <v>89</v>
      </c>
      <c r="E9757" s="6" t="s">
        <v>9313</v>
      </c>
      <c r="F9757" s="9" t="s">
        <v>16285</v>
      </c>
    </row>
    <row r="9758" ht="33.75" customHeight="1">
      <c r="A9758" s="7">
        <v>388.0</v>
      </c>
      <c r="B9758" s="9" t="s">
        <v>15622</v>
      </c>
      <c r="C9758" s="9" t="s">
        <v>600</v>
      </c>
      <c r="D9758" s="9" t="s">
        <v>91</v>
      </c>
      <c r="E9758" s="6" t="s">
        <v>9313</v>
      </c>
      <c r="F9758" s="9" t="s">
        <v>16285</v>
      </c>
    </row>
    <row r="9759" ht="33.75" customHeight="1">
      <c r="A9759" s="7">
        <v>388.0</v>
      </c>
      <c r="B9759" s="9" t="s">
        <v>15622</v>
      </c>
      <c r="C9759" s="9" t="s">
        <v>600</v>
      </c>
      <c r="D9759" s="9" t="s">
        <v>93</v>
      </c>
      <c r="E9759" s="6" t="s">
        <v>9312</v>
      </c>
      <c r="F9759" s="9" t="s">
        <v>16285</v>
      </c>
    </row>
    <row r="9760" ht="33.75" customHeight="1">
      <c r="A9760" s="7">
        <v>388.0</v>
      </c>
      <c r="B9760" s="9" t="s">
        <v>15622</v>
      </c>
      <c r="C9760" s="9" t="s">
        <v>600</v>
      </c>
      <c r="D9760" s="9" t="s">
        <v>95</v>
      </c>
      <c r="E9760" s="6" t="s">
        <v>9312</v>
      </c>
      <c r="F9760" s="9" t="s">
        <v>16285</v>
      </c>
    </row>
    <row r="9761" ht="33.75" customHeight="1">
      <c r="A9761" s="7">
        <v>388.0</v>
      </c>
      <c r="B9761" s="9" t="s">
        <v>15622</v>
      </c>
      <c r="C9761" s="9" t="s">
        <v>600</v>
      </c>
      <c r="D9761" s="9" t="s">
        <v>98</v>
      </c>
      <c r="E9761" s="6" t="s">
        <v>9312</v>
      </c>
      <c r="F9761" s="9" t="s">
        <v>16285</v>
      </c>
    </row>
    <row r="9762" ht="33.75" customHeight="1">
      <c r="A9762" s="7">
        <v>388.0</v>
      </c>
      <c r="B9762" s="9" t="s">
        <v>15622</v>
      </c>
      <c r="C9762" s="9" t="s">
        <v>600</v>
      </c>
      <c r="D9762" s="9" t="s">
        <v>99</v>
      </c>
      <c r="E9762" s="6" t="s">
        <v>9312</v>
      </c>
      <c r="F9762" s="9" t="s">
        <v>16285</v>
      </c>
    </row>
    <row r="9763" ht="33.75" customHeight="1">
      <c r="A9763" s="7">
        <v>388.0</v>
      </c>
      <c r="B9763" s="9" t="s">
        <v>15622</v>
      </c>
      <c r="C9763" s="9" t="s">
        <v>600</v>
      </c>
      <c r="D9763" s="9" t="s">
        <v>101</v>
      </c>
      <c r="E9763" s="6" t="s">
        <v>9310</v>
      </c>
      <c r="F9763" s="9" t="s">
        <v>16285</v>
      </c>
    </row>
    <row r="9764" ht="33.75" customHeight="1">
      <c r="A9764" s="7">
        <v>388.0</v>
      </c>
      <c r="B9764" s="9" t="s">
        <v>15622</v>
      </c>
      <c r="C9764" s="9" t="s">
        <v>600</v>
      </c>
      <c r="D9764" s="9" t="s">
        <v>105</v>
      </c>
      <c r="E9764" s="6" t="s">
        <v>9312</v>
      </c>
      <c r="F9764" s="9" t="s">
        <v>16285</v>
      </c>
    </row>
    <row r="9765" ht="33.75" customHeight="1">
      <c r="A9765" s="7">
        <v>388.0</v>
      </c>
      <c r="B9765" s="9" t="s">
        <v>15622</v>
      </c>
      <c r="C9765" s="9" t="s">
        <v>600</v>
      </c>
      <c r="D9765" s="9" t="s">
        <v>107</v>
      </c>
      <c r="E9765" s="6" t="s">
        <v>9310</v>
      </c>
      <c r="F9765" s="9" t="s">
        <v>16285</v>
      </c>
    </row>
    <row r="9766" ht="33.75" customHeight="1">
      <c r="A9766" s="7">
        <v>388.0</v>
      </c>
      <c r="B9766" s="9" t="s">
        <v>15622</v>
      </c>
      <c r="C9766" s="9" t="s">
        <v>600</v>
      </c>
      <c r="D9766" s="9" t="s">
        <v>109</v>
      </c>
      <c r="E9766" s="6" t="s">
        <v>9312</v>
      </c>
      <c r="F9766" s="9" t="s">
        <v>16285</v>
      </c>
    </row>
    <row r="9767" ht="33.75" customHeight="1">
      <c r="A9767" s="7">
        <v>388.0</v>
      </c>
      <c r="B9767" s="9" t="s">
        <v>15622</v>
      </c>
      <c r="C9767" s="9" t="s">
        <v>600</v>
      </c>
      <c r="D9767" s="9" t="s">
        <v>1577</v>
      </c>
      <c r="E9767" s="6" t="s">
        <v>9314</v>
      </c>
      <c r="F9767" s="9" t="s">
        <v>16285</v>
      </c>
    </row>
    <row r="9768" ht="33.75" customHeight="1">
      <c r="A9768" s="7">
        <v>389.0</v>
      </c>
      <c r="B9768" s="9" t="s">
        <v>15629</v>
      </c>
      <c r="C9768" s="9" t="s">
        <v>590</v>
      </c>
      <c r="D9768" s="9" t="s">
        <v>81</v>
      </c>
      <c r="E9768" s="6" t="s">
        <v>9315</v>
      </c>
      <c r="F9768" s="9" t="s">
        <v>16296</v>
      </c>
      <c r="G9768" t="inlineStr" s="6">
        <is>
          <t xml:space="preserve">Small Pokémon occasionally gather on Torterra's unmoving back to begin building their nests. Groups of this Pokémon migrating in search of water have been mistaken for “moving forests. Some Pokémon are born on a TORTERRA’s back and spend their entire life there. Ancient people imagined that beneath the ground, a gigantic TORTERRA dwelled. This remarkable, large-bodied Pokémon would serve beautifully as borrowed scenery for a garden, and its strength is peerless. Torterra roams the wilderness in search of clean water.</t>
        </is>
      </c>
    </row>
    <row r="9769" ht="33.75" customHeight="1">
      <c r="A9769" s="7">
        <v>389.0</v>
      </c>
      <c r="B9769" s="9" t="s">
        <v>15629</v>
      </c>
      <c r="C9769" s="9" t="s">
        <v>590</v>
      </c>
      <c r="D9769" s="9" t="s">
        <v>84</v>
      </c>
      <c r="E9769" s="6" t="s">
        <v>9317</v>
      </c>
      <c r="F9769" s="9" t="s">
        <v>16296</v>
      </c>
    </row>
    <row r="9770" ht="33.75" customHeight="1">
      <c r="A9770" s="7">
        <v>389.0</v>
      </c>
      <c r="B9770" s="9" t="s">
        <v>15629</v>
      </c>
      <c r="C9770" s="9" t="s">
        <v>590</v>
      </c>
      <c r="D9770" s="9" t="s">
        <v>87</v>
      </c>
      <c r="E9770" s="6" t="s">
        <v>9319</v>
      </c>
      <c r="F9770" s="9" t="s">
        <v>16296</v>
      </c>
    </row>
    <row r="9771" ht="33.75" customHeight="1">
      <c r="A9771" s="7">
        <v>389.0</v>
      </c>
      <c r="B9771" s="9" t="s">
        <v>15629</v>
      </c>
      <c r="C9771" s="9" t="s">
        <v>590</v>
      </c>
      <c r="D9771" s="9" t="s">
        <v>89</v>
      </c>
      <c r="E9771" s="6" t="s">
        <v>9320</v>
      </c>
      <c r="F9771" s="9" t="s">
        <v>16296</v>
      </c>
    </row>
    <row r="9772" ht="33.75" customHeight="1">
      <c r="A9772" s="7">
        <v>389.0</v>
      </c>
      <c r="B9772" s="9" t="s">
        <v>15629</v>
      </c>
      <c r="C9772" s="9" t="s">
        <v>590</v>
      </c>
      <c r="D9772" s="9" t="s">
        <v>91</v>
      </c>
      <c r="E9772" s="6" t="s">
        <v>9320</v>
      </c>
      <c r="F9772" s="9" t="s">
        <v>16296</v>
      </c>
    </row>
    <row r="9773" ht="33.75" customHeight="1">
      <c r="A9773" s="7">
        <v>389.0</v>
      </c>
      <c r="B9773" s="9" t="s">
        <v>15629</v>
      </c>
      <c r="C9773" s="9" t="s">
        <v>590</v>
      </c>
      <c r="D9773" s="9" t="s">
        <v>93</v>
      </c>
      <c r="E9773" s="6" t="s">
        <v>9321</v>
      </c>
      <c r="F9773" s="9" t="s">
        <v>16296</v>
      </c>
    </row>
    <row r="9774" ht="33.75" customHeight="1">
      <c r="A9774" s="7">
        <v>389.0</v>
      </c>
      <c r="B9774" s="9" t="s">
        <v>15629</v>
      </c>
      <c r="C9774" s="9" t="s">
        <v>590</v>
      </c>
      <c r="D9774" s="9" t="s">
        <v>95</v>
      </c>
      <c r="E9774" s="6" t="s">
        <v>9321</v>
      </c>
      <c r="F9774" s="9" t="s">
        <v>16296</v>
      </c>
    </row>
    <row r="9775" ht="33.75" customHeight="1">
      <c r="A9775" s="7">
        <v>389.0</v>
      </c>
      <c r="B9775" s="9" t="s">
        <v>15629</v>
      </c>
      <c r="C9775" s="9" t="s">
        <v>590</v>
      </c>
      <c r="D9775" s="9" t="s">
        <v>98</v>
      </c>
      <c r="E9775" s="6" t="s">
        <v>9321</v>
      </c>
      <c r="F9775" s="9" t="s">
        <v>16296</v>
      </c>
    </row>
    <row r="9776" ht="33.75" customHeight="1">
      <c r="A9776" s="7">
        <v>389.0</v>
      </c>
      <c r="B9776" s="9" t="s">
        <v>15629</v>
      </c>
      <c r="C9776" s="9" t="s">
        <v>590</v>
      </c>
      <c r="D9776" s="9" t="s">
        <v>99</v>
      </c>
      <c r="E9776" s="6" t="s">
        <v>9321</v>
      </c>
      <c r="F9776" s="9" t="s">
        <v>16296</v>
      </c>
    </row>
    <row r="9777" ht="33.75" customHeight="1">
      <c r="A9777" s="7">
        <v>389.0</v>
      </c>
      <c r="B9777" s="9" t="s">
        <v>15629</v>
      </c>
      <c r="C9777" s="9" t="s">
        <v>590</v>
      </c>
      <c r="D9777" s="9" t="s">
        <v>101</v>
      </c>
      <c r="E9777" s="6" t="s">
        <v>9323</v>
      </c>
      <c r="F9777" s="9" t="s">
        <v>16296</v>
      </c>
    </row>
    <row r="9778" ht="33.75" customHeight="1">
      <c r="A9778" s="7">
        <v>389.0</v>
      </c>
      <c r="B9778" s="9" t="s">
        <v>15629</v>
      </c>
      <c r="C9778" s="9" t="s">
        <v>590</v>
      </c>
      <c r="D9778" s="9" t="s">
        <v>105</v>
      </c>
      <c r="E9778" s="6" t="s">
        <v>9315</v>
      </c>
      <c r="F9778" s="9" t="s">
        <v>16296</v>
      </c>
    </row>
    <row r="9779" ht="33.75" customHeight="1">
      <c r="A9779" s="7">
        <v>389.0</v>
      </c>
      <c r="B9779" s="9" t="s">
        <v>15629</v>
      </c>
      <c r="C9779" s="9" t="s">
        <v>590</v>
      </c>
      <c r="D9779" s="9" t="s">
        <v>107</v>
      </c>
      <c r="E9779" s="6" t="s">
        <v>9323</v>
      </c>
      <c r="F9779" s="9" t="s">
        <v>16296</v>
      </c>
    </row>
    <row r="9780" ht="33.75" customHeight="1">
      <c r="A9780" s="7">
        <v>389.0</v>
      </c>
      <c r="B9780" s="9" t="s">
        <v>15629</v>
      </c>
      <c r="C9780" s="9" t="s">
        <v>590</v>
      </c>
      <c r="D9780" s="9" t="s">
        <v>109</v>
      </c>
      <c r="E9780" s="6" t="s">
        <v>9315</v>
      </c>
      <c r="F9780" s="9" t="s">
        <v>16296</v>
      </c>
    </row>
    <row r="9781" ht="33.75" customHeight="1">
      <c r="A9781" s="7">
        <v>389.0</v>
      </c>
      <c r="B9781" s="9" t="s">
        <v>15629</v>
      </c>
      <c r="C9781" s="9" t="s">
        <v>590</v>
      </c>
      <c r="D9781" s="9" t="s">
        <v>1577</v>
      </c>
      <c r="E9781" s="6" t="s">
        <v>9325</v>
      </c>
      <c r="F9781" s="9" t="s">
        <v>16296</v>
      </c>
    </row>
    <row r="9782" ht="33.75" customHeight="1">
      <c r="A9782" s="7">
        <v>390.0</v>
      </c>
      <c r="B9782" s="9" t="s">
        <v>15638</v>
      </c>
      <c r="C9782" s="9" t="s">
        <v>602</v>
      </c>
      <c r="D9782" s="9" t="s">
        <v>81</v>
      </c>
      <c r="E9782" s="6" t="s">
        <v>9327</v>
      </c>
      <c r="F9782" s="9" t="s">
        <v>16306</v>
      </c>
      <c r="G9782" t="inlineStr" s="6">
        <is>
          <t xml:space="preserve">It agilely scales sheer cliffs to live atop craggy mountains. Its fire is put out when it sleeps. Its fiery rear end is fueled by gas made in its belly. Even rain can’t extinguish the fire. It is very agile. Before going to sleep, it extinguishes the flame on its tail to prevent fires. The gas made in its belly burns from its rear end. The fire burns weakly when it feels sick. Full of vigor and always in high spirits. It was once known by the name ”Lantern-Tail” and feared as some kind of apparition.</t>
        </is>
      </c>
    </row>
    <row r="9783" ht="33.75" customHeight="1">
      <c r="A9783" s="7">
        <v>390.0</v>
      </c>
      <c r="B9783" s="9" t="s">
        <v>15638</v>
      </c>
      <c r="C9783" s="9" t="s">
        <v>602</v>
      </c>
      <c r="D9783" s="9" t="s">
        <v>84</v>
      </c>
      <c r="E9783" s="6" t="s">
        <v>9329</v>
      </c>
      <c r="F9783" s="9" t="s">
        <v>16306</v>
      </c>
    </row>
    <row r="9784" ht="33.75" customHeight="1">
      <c r="A9784" s="7">
        <v>390.0</v>
      </c>
      <c r="B9784" s="9" t="s">
        <v>15638</v>
      </c>
      <c r="C9784" s="9" t="s">
        <v>602</v>
      </c>
      <c r="D9784" s="9" t="s">
        <v>87</v>
      </c>
      <c r="E9784" s="6" t="s">
        <v>9330</v>
      </c>
      <c r="F9784" s="9" t="s">
        <v>16306</v>
      </c>
    </row>
    <row r="9785" ht="33.75" customHeight="1">
      <c r="A9785" s="7">
        <v>390.0</v>
      </c>
      <c r="B9785" s="9" t="s">
        <v>15638</v>
      </c>
      <c r="C9785" s="9" t="s">
        <v>602</v>
      </c>
      <c r="D9785" s="9" t="s">
        <v>89</v>
      </c>
      <c r="E9785" s="6" t="s">
        <v>9331</v>
      </c>
      <c r="F9785" s="9" t="s">
        <v>16306</v>
      </c>
    </row>
    <row r="9786" ht="33.75" customHeight="1">
      <c r="A9786" s="7">
        <v>390.0</v>
      </c>
      <c r="B9786" s="9" t="s">
        <v>15638</v>
      </c>
      <c r="C9786" s="9" t="s">
        <v>602</v>
      </c>
      <c r="D9786" s="9" t="s">
        <v>91</v>
      </c>
      <c r="E9786" s="6" t="s">
        <v>9331</v>
      </c>
      <c r="F9786" s="9" t="s">
        <v>16306</v>
      </c>
    </row>
    <row r="9787" ht="33.75" customHeight="1">
      <c r="A9787" s="7">
        <v>390.0</v>
      </c>
      <c r="B9787" s="9" t="s">
        <v>15638</v>
      </c>
      <c r="C9787" s="9" t="s">
        <v>602</v>
      </c>
      <c r="D9787" s="9" t="s">
        <v>93</v>
      </c>
      <c r="E9787" s="6" t="s">
        <v>9330</v>
      </c>
      <c r="F9787" s="9" t="s">
        <v>16306</v>
      </c>
    </row>
    <row r="9788" ht="33.75" customHeight="1">
      <c r="A9788" s="7">
        <v>390.0</v>
      </c>
      <c r="B9788" s="9" t="s">
        <v>15638</v>
      </c>
      <c r="C9788" s="9" t="s">
        <v>602</v>
      </c>
      <c r="D9788" s="9" t="s">
        <v>95</v>
      </c>
      <c r="E9788" s="6" t="s">
        <v>9330</v>
      </c>
      <c r="F9788" s="9" t="s">
        <v>16306</v>
      </c>
    </row>
    <row r="9789" ht="33.75" customHeight="1">
      <c r="A9789" s="7">
        <v>390.0</v>
      </c>
      <c r="B9789" s="9" t="s">
        <v>15638</v>
      </c>
      <c r="C9789" s="9" t="s">
        <v>602</v>
      </c>
      <c r="D9789" s="9" t="s">
        <v>98</v>
      </c>
      <c r="E9789" s="6" t="s">
        <v>9330</v>
      </c>
      <c r="F9789" s="9" t="s">
        <v>16306</v>
      </c>
    </row>
    <row r="9790" ht="33.75" customHeight="1">
      <c r="A9790" s="7">
        <v>390.0</v>
      </c>
      <c r="B9790" s="9" t="s">
        <v>15638</v>
      </c>
      <c r="C9790" s="9" t="s">
        <v>602</v>
      </c>
      <c r="D9790" s="9" t="s">
        <v>99</v>
      </c>
      <c r="E9790" s="6" t="s">
        <v>9330</v>
      </c>
      <c r="F9790" s="9" t="s">
        <v>16306</v>
      </c>
    </row>
    <row r="9791" ht="33.75" customHeight="1">
      <c r="A9791" s="7">
        <v>390.0</v>
      </c>
      <c r="B9791" s="9" t="s">
        <v>15638</v>
      </c>
      <c r="C9791" s="9" t="s">
        <v>602</v>
      </c>
      <c r="D9791" s="9" t="s">
        <v>101</v>
      </c>
      <c r="E9791" s="6" t="s">
        <v>9329</v>
      </c>
      <c r="F9791" s="9" t="s">
        <v>16306</v>
      </c>
    </row>
    <row r="9792" ht="33.75" customHeight="1">
      <c r="A9792" s="7">
        <v>390.0</v>
      </c>
      <c r="B9792" s="9" t="s">
        <v>15638</v>
      </c>
      <c r="C9792" s="9" t="s">
        <v>602</v>
      </c>
      <c r="D9792" s="9" t="s">
        <v>105</v>
      </c>
      <c r="E9792" s="6" t="s">
        <v>9331</v>
      </c>
      <c r="F9792" s="9" t="s">
        <v>16306</v>
      </c>
    </row>
    <row r="9793" ht="33.75" customHeight="1">
      <c r="A9793" s="7">
        <v>390.0</v>
      </c>
      <c r="B9793" s="9" t="s">
        <v>15638</v>
      </c>
      <c r="C9793" s="9" t="s">
        <v>602</v>
      </c>
      <c r="D9793" s="9" t="s">
        <v>107</v>
      </c>
      <c r="E9793" s="6" t="s">
        <v>9329</v>
      </c>
      <c r="F9793" s="9" t="s">
        <v>16306</v>
      </c>
    </row>
    <row r="9794" ht="33.75" customHeight="1">
      <c r="A9794" s="7">
        <v>390.0</v>
      </c>
      <c r="B9794" s="9" t="s">
        <v>15638</v>
      </c>
      <c r="C9794" s="9" t="s">
        <v>602</v>
      </c>
      <c r="D9794" s="9" t="s">
        <v>109</v>
      </c>
      <c r="E9794" s="6" t="s">
        <v>9331</v>
      </c>
      <c r="F9794" s="9" t="s">
        <v>16306</v>
      </c>
    </row>
    <row r="9795" ht="33.75" customHeight="1">
      <c r="A9795" s="7">
        <v>390.0</v>
      </c>
      <c r="B9795" s="9" t="s">
        <v>15638</v>
      </c>
      <c r="C9795" s="9" t="s">
        <v>602</v>
      </c>
      <c r="D9795" s="9" t="s">
        <v>1577</v>
      </c>
      <c r="E9795" s="6" t="s">
        <v>9332</v>
      </c>
      <c r="F9795" s="9" t="s">
        <v>16306</v>
      </c>
    </row>
    <row r="9796" ht="33.75" customHeight="1">
      <c r="A9796" s="7">
        <v>391.0</v>
      </c>
      <c r="B9796" s="9" t="s">
        <v>15646</v>
      </c>
      <c r="C9796" s="9" t="s">
        <v>604</v>
      </c>
      <c r="D9796" s="9" t="s">
        <v>81</v>
      </c>
      <c r="E9796" s="6" t="s">
        <v>9334</v>
      </c>
      <c r="F9796" s="9" t="s">
        <v>16316</v>
      </c>
      <c r="G9796" t="inlineStr" s="6">
        <is>
          <t xml:space="preserve">To intimidate attackers, it stretches the fire on Monferno's tail to make itself appear bigger. It uses ceilings and walls to launch aerial attacks. Its fiery tail is but one weapon. It skillfully controls the intensity of the fire on its tail to keep its foes at an ideal distance. A bigger fire on its tail and a brighter blue pattern on its face means its rank in its pack is higher. The deeper the blue on its face, the more powerful it will grow to become. It leaps about every which way and lands powerful blows against its opponents with the flame on its tail.</t>
        </is>
      </c>
    </row>
    <row r="9797" ht="33.75" customHeight="1">
      <c r="A9797" s="7">
        <v>391.0</v>
      </c>
      <c r="B9797" s="9" t="s">
        <v>15646</v>
      </c>
      <c r="C9797" s="9" t="s">
        <v>604</v>
      </c>
      <c r="D9797" s="9" t="s">
        <v>84</v>
      </c>
      <c r="E9797" s="6" t="s">
        <v>9335</v>
      </c>
      <c r="F9797" s="9" t="s">
        <v>16316</v>
      </c>
    </row>
    <row r="9798" ht="33.75" customHeight="1">
      <c r="A9798" s="7">
        <v>391.0</v>
      </c>
      <c r="B9798" s="9" t="s">
        <v>15646</v>
      </c>
      <c r="C9798" s="9" t="s">
        <v>604</v>
      </c>
      <c r="D9798" s="9" t="s">
        <v>87</v>
      </c>
      <c r="E9798" s="6" t="s">
        <v>9338</v>
      </c>
      <c r="F9798" s="9" t="s">
        <v>16316</v>
      </c>
    </row>
    <row r="9799" ht="33.75" customHeight="1">
      <c r="A9799" s="7">
        <v>391.0</v>
      </c>
      <c r="B9799" s="9" t="s">
        <v>15646</v>
      </c>
      <c r="C9799" s="9" t="s">
        <v>604</v>
      </c>
      <c r="D9799" s="9" t="s">
        <v>89</v>
      </c>
      <c r="E9799" s="6" t="s">
        <v>9340</v>
      </c>
      <c r="F9799" s="9" t="s">
        <v>16316</v>
      </c>
    </row>
    <row r="9800" ht="33.75" customHeight="1">
      <c r="A9800" s="7">
        <v>391.0</v>
      </c>
      <c r="B9800" s="9" t="s">
        <v>15646</v>
      </c>
      <c r="C9800" s="9" t="s">
        <v>604</v>
      </c>
      <c r="D9800" s="9" t="s">
        <v>91</v>
      </c>
      <c r="E9800" s="6" t="s">
        <v>9340</v>
      </c>
      <c r="F9800" s="9" t="s">
        <v>16316</v>
      </c>
    </row>
    <row r="9801" ht="33.75" customHeight="1">
      <c r="A9801" s="7">
        <v>391.0</v>
      </c>
      <c r="B9801" s="9" t="s">
        <v>15646</v>
      </c>
      <c r="C9801" s="9" t="s">
        <v>604</v>
      </c>
      <c r="D9801" s="9" t="s">
        <v>93</v>
      </c>
      <c r="E9801" s="6" t="s">
        <v>9338</v>
      </c>
      <c r="F9801" s="9" t="s">
        <v>16316</v>
      </c>
    </row>
    <row r="9802" ht="33.75" customHeight="1">
      <c r="A9802" s="7">
        <v>391.0</v>
      </c>
      <c r="B9802" s="9" t="s">
        <v>15646</v>
      </c>
      <c r="C9802" s="9" t="s">
        <v>604</v>
      </c>
      <c r="D9802" s="9" t="s">
        <v>95</v>
      </c>
      <c r="E9802" s="6" t="s">
        <v>9338</v>
      </c>
      <c r="F9802" s="9" t="s">
        <v>16316</v>
      </c>
    </row>
    <row r="9803" ht="33.75" customHeight="1">
      <c r="A9803" s="7">
        <v>391.0</v>
      </c>
      <c r="B9803" s="9" t="s">
        <v>15646</v>
      </c>
      <c r="C9803" s="9" t="s">
        <v>604</v>
      </c>
      <c r="D9803" s="9" t="s">
        <v>98</v>
      </c>
      <c r="E9803" s="6" t="s">
        <v>9338</v>
      </c>
      <c r="F9803" s="9" t="s">
        <v>16316</v>
      </c>
    </row>
    <row r="9804" ht="33.75" customHeight="1">
      <c r="A9804" s="7">
        <v>391.0</v>
      </c>
      <c r="B9804" s="9" t="s">
        <v>15646</v>
      </c>
      <c r="C9804" s="9" t="s">
        <v>604</v>
      </c>
      <c r="D9804" s="9" t="s">
        <v>99</v>
      </c>
      <c r="E9804" s="6" t="s">
        <v>9338</v>
      </c>
      <c r="F9804" s="9" t="s">
        <v>16316</v>
      </c>
    </row>
    <row r="9805" ht="33.75" customHeight="1">
      <c r="A9805" s="7">
        <v>391.0</v>
      </c>
      <c r="B9805" s="9" t="s">
        <v>15646</v>
      </c>
      <c r="C9805" s="9" t="s">
        <v>604</v>
      </c>
      <c r="D9805" s="9" t="s">
        <v>101</v>
      </c>
      <c r="E9805" s="6" t="s">
        <v>9338</v>
      </c>
      <c r="F9805" s="9" t="s">
        <v>16316</v>
      </c>
    </row>
    <row r="9806" ht="33.75" customHeight="1">
      <c r="A9806" s="7">
        <v>391.0</v>
      </c>
      <c r="B9806" s="9" t="s">
        <v>15646</v>
      </c>
      <c r="C9806" s="9" t="s">
        <v>604</v>
      </c>
      <c r="D9806" s="9" t="s">
        <v>105</v>
      </c>
      <c r="E9806" s="6" t="s">
        <v>9335</v>
      </c>
      <c r="F9806" s="9" t="s">
        <v>16316</v>
      </c>
    </row>
    <row r="9807" ht="33.75" customHeight="1">
      <c r="A9807" s="7">
        <v>391.0</v>
      </c>
      <c r="B9807" s="9" t="s">
        <v>15646</v>
      </c>
      <c r="C9807" s="9" t="s">
        <v>604</v>
      </c>
      <c r="D9807" s="9" t="s">
        <v>107</v>
      </c>
      <c r="E9807" s="6" t="s">
        <v>9338</v>
      </c>
      <c r="F9807" s="9" t="s">
        <v>16316</v>
      </c>
    </row>
    <row r="9808" ht="33.75" customHeight="1">
      <c r="A9808" s="7">
        <v>391.0</v>
      </c>
      <c r="B9808" s="9" t="s">
        <v>15646</v>
      </c>
      <c r="C9808" s="9" t="s">
        <v>604</v>
      </c>
      <c r="D9808" s="9" t="s">
        <v>109</v>
      </c>
      <c r="E9808" s="6" t="s">
        <v>9335</v>
      </c>
      <c r="F9808" s="9" t="s">
        <v>16316</v>
      </c>
    </row>
    <row r="9809" ht="33.75" customHeight="1">
      <c r="A9809" s="7">
        <v>391.0</v>
      </c>
      <c r="B9809" s="9" t="s">
        <v>15646</v>
      </c>
      <c r="C9809" s="9" t="s">
        <v>604</v>
      </c>
      <c r="D9809" s="9" t="s">
        <v>1577</v>
      </c>
      <c r="E9809" s="6" t="s">
        <v>9342</v>
      </c>
      <c r="F9809" s="9" t="s">
        <v>16316</v>
      </c>
    </row>
    <row r="9810" ht="33.75" customHeight="1">
      <c r="A9810" s="7">
        <v>392.0</v>
      </c>
      <c r="B9810" s="9" t="s">
        <v>15653</v>
      </c>
      <c r="C9810" s="9" t="s">
        <v>41</v>
      </c>
      <c r="D9810" s="9" t="s">
        <v>81</v>
      </c>
      <c r="E9810" s="6" t="s">
        <v>9344</v>
      </c>
      <c r="F9810" s="9" t="s">
        <v>16324</v>
      </c>
      <c r="G9810" t="inlineStr" s="6">
        <is>
          <t xml:space="preserve">It uses a special kind of martial arts involving all Infernape's limbs. Its fire never goes out. Its crown of fire is indicative of its fiery nature. It is beaten by none in terms of quickness. It uses unique fighting moves with fire on its hands and feet. It will take on any opponent. It tosses its enemies around with agility. It uses all its limbs to fight in its own unique style. A tall, hardy Pokémon with a dazzling appearance. It shrouds itself in flame and battles as if engaged in dance—truly a sight to behold.</t>
        </is>
      </c>
    </row>
    <row r="9811" ht="33.75" customHeight="1">
      <c r="A9811" s="7">
        <v>392.0</v>
      </c>
      <c r="B9811" s="9" t="s">
        <v>15653</v>
      </c>
      <c r="C9811" s="9" t="s">
        <v>41</v>
      </c>
      <c r="D9811" s="9" t="s">
        <v>84</v>
      </c>
      <c r="E9811" s="6" t="s">
        <v>9345</v>
      </c>
      <c r="F9811" s="9" t="s">
        <v>16324</v>
      </c>
    </row>
    <row r="9812" ht="33.75" customHeight="1">
      <c r="A9812" s="7">
        <v>392.0</v>
      </c>
      <c r="B9812" s="9" t="s">
        <v>15653</v>
      </c>
      <c r="C9812" s="9" t="s">
        <v>41</v>
      </c>
      <c r="D9812" s="9" t="s">
        <v>87</v>
      </c>
      <c r="E9812" s="6" t="s">
        <v>9347</v>
      </c>
      <c r="F9812" s="9" t="s">
        <v>16324</v>
      </c>
    </row>
    <row r="9813" ht="33.75" customHeight="1">
      <c r="A9813" s="7">
        <v>392.0</v>
      </c>
      <c r="B9813" s="9" t="s">
        <v>15653</v>
      </c>
      <c r="C9813" s="9" t="s">
        <v>41</v>
      </c>
      <c r="D9813" s="9" t="s">
        <v>89</v>
      </c>
      <c r="E9813" s="6" t="s">
        <v>9349</v>
      </c>
      <c r="F9813" s="9" t="s">
        <v>16324</v>
      </c>
    </row>
    <row r="9814" ht="33.75" customHeight="1">
      <c r="A9814" s="7">
        <v>392.0</v>
      </c>
      <c r="B9814" s="9" t="s">
        <v>15653</v>
      </c>
      <c r="C9814" s="9" t="s">
        <v>41</v>
      </c>
      <c r="D9814" s="9" t="s">
        <v>91</v>
      </c>
      <c r="E9814" s="6" t="s">
        <v>9349</v>
      </c>
      <c r="F9814" s="9" t="s">
        <v>16324</v>
      </c>
    </row>
    <row r="9815" ht="33.75" customHeight="1">
      <c r="A9815" s="7">
        <v>392.0</v>
      </c>
      <c r="B9815" s="9" t="s">
        <v>15653</v>
      </c>
      <c r="C9815" s="9" t="s">
        <v>41</v>
      </c>
      <c r="D9815" s="9" t="s">
        <v>93</v>
      </c>
      <c r="E9815" s="6" t="s">
        <v>9347</v>
      </c>
      <c r="F9815" s="9" t="s">
        <v>16324</v>
      </c>
    </row>
    <row r="9816" ht="33.75" customHeight="1">
      <c r="A9816" s="7">
        <v>392.0</v>
      </c>
      <c r="B9816" s="9" t="s">
        <v>15653</v>
      </c>
      <c r="C9816" s="9" t="s">
        <v>41</v>
      </c>
      <c r="D9816" s="9" t="s">
        <v>95</v>
      </c>
      <c r="E9816" s="6" t="s">
        <v>9347</v>
      </c>
      <c r="F9816" s="9" t="s">
        <v>16324</v>
      </c>
    </row>
    <row r="9817" ht="33.75" customHeight="1">
      <c r="A9817" s="7">
        <v>392.0</v>
      </c>
      <c r="B9817" s="9" t="s">
        <v>15653</v>
      </c>
      <c r="C9817" s="9" t="s">
        <v>41</v>
      </c>
      <c r="D9817" s="9" t="s">
        <v>98</v>
      </c>
      <c r="E9817" s="6" t="s">
        <v>9347</v>
      </c>
      <c r="F9817" s="9" t="s">
        <v>16324</v>
      </c>
    </row>
    <row r="9818" ht="33.75" customHeight="1">
      <c r="A9818" s="7">
        <v>392.0</v>
      </c>
      <c r="B9818" s="9" t="s">
        <v>15653</v>
      </c>
      <c r="C9818" s="9" t="s">
        <v>41</v>
      </c>
      <c r="D9818" s="9" t="s">
        <v>99</v>
      </c>
      <c r="E9818" s="6" t="s">
        <v>9347</v>
      </c>
      <c r="F9818" s="9" t="s">
        <v>16324</v>
      </c>
    </row>
    <row r="9819" ht="33.75" customHeight="1">
      <c r="A9819" s="7">
        <v>392.0</v>
      </c>
      <c r="B9819" s="9" t="s">
        <v>15653</v>
      </c>
      <c r="C9819" s="9" t="s">
        <v>41</v>
      </c>
      <c r="D9819" s="9" t="s">
        <v>101</v>
      </c>
      <c r="E9819" s="6" t="s">
        <v>9345</v>
      </c>
      <c r="F9819" s="9" t="s">
        <v>16324</v>
      </c>
    </row>
    <row r="9820" ht="33.75" customHeight="1">
      <c r="A9820" s="7">
        <v>392.0</v>
      </c>
      <c r="B9820" s="9" t="s">
        <v>15653</v>
      </c>
      <c r="C9820" s="9" t="s">
        <v>41</v>
      </c>
      <c r="D9820" s="9" t="s">
        <v>105</v>
      </c>
      <c r="E9820" s="6" t="s">
        <v>9349</v>
      </c>
      <c r="F9820" s="9" t="s">
        <v>16324</v>
      </c>
    </row>
    <row r="9821" ht="33.75" customHeight="1">
      <c r="A9821" s="7">
        <v>392.0</v>
      </c>
      <c r="B9821" s="9" t="s">
        <v>15653</v>
      </c>
      <c r="C9821" s="9" t="s">
        <v>41</v>
      </c>
      <c r="D9821" s="9" t="s">
        <v>107</v>
      </c>
      <c r="E9821" s="6" t="s">
        <v>9345</v>
      </c>
      <c r="F9821" s="9" t="s">
        <v>16324</v>
      </c>
    </row>
    <row r="9822" ht="33.75" customHeight="1">
      <c r="A9822" s="7">
        <v>392.0</v>
      </c>
      <c r="B9822" s="9" t="s">
        <v>15653</v>
      </c>
      <c r="C9822" s="9" t="s">
        <v>41</v>
      </c>
      <c r="D9822" s="9" t="s">
        <v>109</v>
      </c>
      <c r="E9822" s="6" t="s">
        <v>9349</v>
      </c>
      <c r="F9822" s="9" t="s">
        <v>16324</v>
      </c>
    </row>
    <row r="9823" ht="33.75" customHeight="1">
      <c r="A9823" s="7">
        <v>392.0</v>
      </c>
      <c r="B9823" s="9" t="s">
        <v>15653</v>
      </c>
      <c r="C9823" s="9" t="s">
        <v>41</v>
      </c>
      <c r="D9823" s="9" t="s">
        <v>1577</v>
      </c>
      <c r="E9823" s="6" t="s">
        <v>9350</v>
      </c>
      <c r="F9823" s="9" t="s">
        <v>16324</v>
      </c>
    </row>
    <row r="9824" ht="33.75" customHeight="1">
      <c r="A9824" s="7">
        <v>393.0</v>
      </c>
      <c r="B9824" s="9" t="s">
        <v>15660</v>
      </c>
      <c r="C9824" s="9" t="s">
        <v>607</v>
      </c>
      <c r="D9824" s="9" t="s">
        <v>81</v>
      </c>
      <c r="E9824" s="6" t="s">
        <v>9352</v>
      </c>
      <c r="F9824" s="9" t="s">
        <v>16336</v>
      </c>
      <c r="G9824" t="inlineStr" s="6">
        <is>
          <t xml:space="preserve">Because Piplup is very proud, it hates accepting food from people. Its thick down guards it from cold. It lives along shores in northern countries. A skilled swimmer, it dives for over 10 minutes to hunt. A poor walker, it often falls down. However, its strong pride makes it puff up its chest without a care. It doesn’t like to be taken care of. It’s difficult to bond with since it won’t listen to its Trainer. Prefers cold climes and appears along coasts. It's an adorable little thing—as cute as any child—but it's also prideful, unwilling to accept handouts from people.</t>
        </is>
      </c>
    </row>
    <row r="9825" ht="33.75" customHeight="1">
      <c r="A9825" s="7">
        <v>393.0</v>
      </c>
      <c r="B9825" s="9" t="s">
        <v>15660</v>
      </c>
      <c r="C9825" s="9" t="s">
        <v>607</v>
      </c>
      <c r="D9825" s="9" t="s">
        <v>84</v>
      </c>
      <c r="E9825" s="6" t="s">
        <v>9354</v>
      </c>
      <c r="F9825" s="9" t="s">
        <v>16336</v>
      </c>
    </row>
    <row r="9826" ht="33.75" customHeight="1">
      <c r="A9826" s="7">
        <v>393.0</v>
      </c>
      <c r="B9826" s="9" t="s">
        <v>15660</v>
      </c>
      <c r="C9826" s="9" t="s">
        <v>607</v>
      </c>
      <c r="D9826" s="9" t="s">
        <v>87</v>
      </c>
      <c r="E9826" s="6" t="s">
        <v>9355</v>
      </c>
      <c r="F9826" s="9" t="s">
        <v>16336</v>
      </c>
    </row>
    <row r="9827" ht="33.75" customHeight="1">
      <c r="A9827" s="7">
        <v>393.0</v>
      </c>
      <c r="B9827" s="9" t="s">
        <v>15660</v>
      </c>
      <c r="C9827" s="9" t="s">
        <v>607</v>
      </c>
      <c r="D9827" s="9" t="s">
        <v>89</v>
      </c>
      <c r="E9827" s="6" t="s">
        <v>9357</v>
      </c>
      <c r="F9827" s="9" t="s">
        <v>16336</v>
      </c>
    </row>
    <row r="9828" ht="33.75" customHeight="1">
      <c r="A9828" s="7">
        <v>393.0</v>
      </c>
      <c r="B9828" s="9" t="s">
        <v>15660</v>
      </c>
      <c r="C9828" s="9" t="s">
        <v>607</v>
      </c>
      <c r="D9828" s="9" t="s">
        <v>91</v>
      </c>
      <c r="E9828" s="6" t="s">
        <v>9357</v>
      </c>
      <c r="F9828" s="9" t="s">
        <v>16336</v>
      </c>
    </row>
    <row r="9829" ht="33.75" customHeight="1">
      <c r="A9829" s="7">
        <v>393.0</v>
      </c>
      <c r="B9829" s="9" t="s">
        <v>15660</v>
      </c>
      <c r="C9829" s="9" t="s">
        <v>607</v>
      </c>
      <c r="D9829" s="9" t="s">
        <v>93</v>
      </c>
      <c r="E9829" s="6" t="s">
        <v>9355</v>
      </c>
      <c r="F9829" s="9" t="s">
        <v>16336</v>
      </c>
    </row>
    <row r="9830" ht="33.75" customHeight="1">
      <c r="A9830" s="7">
        <v>393.0</v>
      </c>
      <c r="B9830" s="9" t="s">
        <v>15660</v>
      </c>
      <c r="C9830" s="9" t="s">
        <v>607</v>
      </c>
      <c r="D9830" s="9" t="s">
        <v>95</v>
      </c>
      <c r="E9830" s="6" t="s">
        <v>9355</v>
      </c>
      <c r="F9830" s="9" t="s">
        <v>16336</v>
      </c>
    </row>
    <row r="9831" ht="33.75" customHeight="1">
      <c r="A9831" s="7">
        <v>393.0</v>
      </c>
      <c r="B9831" s="9" t="s">
        <v>15660</v>
      </c>
      <c r="C9831" s="9" t="s">
        <v>607</v>
      </c>
      <c r="D9831" s="9" t="s">
        <v>98</v>
      </c>
      <c r="E9831" s="6" t="s">
        <v>9355</v>
      </c>
      <c r="F9831" s="9" t="s">
        <v>16336</v>
      </c>
    </row>
    <row r="9832" ht="33.75" customHeight="1">
      <c r="A9832" s="7">
        <v>393.0</v>
      </c>
      <c r="B9832" s="9" t="s">
        <v>15660</v>
      </c>
      <c r="C9832" s="9" t="s">
        <v>607</v>
      </c>
      <c r="D9832" s="9" t="s">
        <v>99</v>
      </c>
      <c r="E9832" s="6" t="s">
        <v>9355</v>
      </c>
      <c r="F9832" s="9" t="s">
        <v>16336</v>
      </c>
    </row>
    <row r="9833" ht="33.75" customHeight="1">
      <c r="A9833" s="7">
        <v>393.0</v>
      </c>
      <c r="B9833" s="9" t="s">
        <v>15660</v>
      </c>
      <c r="C9833" s="9" t="s">
        <v>607</v>
      </c>
      <c r="D9833" s="9" t="s">
        <v>101</v>
      </c>
      <c r="E9833" s="6" t="s">
        <v>9357</v>
      </c>
      <c r="F9833" s="9" t="s">
        <v>16336</v>
      </c>
    </row>
    <row r="9834" ht="33.75" customHeight="1">
      <c r="A9834" s="7">
        <v>393.0</v>
      </c>
      <c r="B9834" s="9" t="s">
        <v>15660</v>
      </c>
      <c r="C9834" s="9" t="s">
        <v>607</v>
      </c>
      <c r="D9834" s="9" t="s">
        <v>105</v>
      </c>
      <c r="E9834" s="6" t="s">
        <v>9352</v>
      </c>
      <c r="F9834" s="9" t="s">
        <v>16336</v>
      </c>
    </row>
    <row r="9835" ht="33.75" customHeight="1">
      <c r="A9835" s="7">
        <v>393.0</v>
      </c>
      <c r="B9835" s="9" t="s">
        <v>15660</v>
      </c>
      <c r="C9835" s="9" t="s">
        <v>607</v>
      </c>
      <c r="D9835" s="9" t="s">
        <v>107</v>
      </c>
      <c r="E9835" s="6" t="s">
        <v>9357</v>
      </c>
      <c r="F9835" s="9" t="s">
        <v>16336</v>
      </c>
    </row>
    <row r="9836" ht="33.75" customHeight="1">
      <c r="A9836" s="7">
        <v>393.0</v>
      </c>
      <c r="B9836" s="9" t="s">
        <v>15660</v>
      </c>
      <c r="C9836" s="9" t="s">
        <v>607</v>
      </c>
      <c r="D9836" s="9" t="s">
        <v>109</v>
      </c>
      <c r="E9836" s="6" t="s">
        <v>9352</v>
      </c>
      <c r="F9836" s="9" t="s">
        <v>16336</v>
      </c>
    </row>
    <row r="9837" ht="33.75" customHeight="1">
      <c r="A9837" s="7">
        <v>393.0</v>
      </c>
      <c r="B9837" s="9" t="s">
        <v>15660</v>
      </c>
      <c r="C9837" s="9" t="s">
        <v>607</v>
      </c>
      <c r="D9837" s="9" t="s">
        <v>1577</v>
      </c>
      <c r="E9837" s="6" t="s">
        <v>9358</v>
      </c>
      <c r="F9837" s="9" t="s">
        <v>16336</v>
      </c>
    </row>
    <row r="9838" ht="33.75" customHeight="1">
      <c r="A9838" s="7">
        <v>394.0</v>
      </c>
      <c r="B9838" s="9" t="s">
        <v>15668</v>
      </c>
      <c r="C9838" s="9" t="s">
        <v>607</v>
      </c>
      <c r="D9838" s="9" t="s">
        <v>81</v>
      </c>
      <c r="E9838" s="6" t="s">
        <v>9360</v>
      </c>
      <c r="F9838" s="9" t="s">
        <v>16342</v>
      </c>
      <c r="G9838" t="inlineStr" s="6">
        <is>
          <t xml:space="preserve">Prinplup lives alone, away from others. Apparently, every one of them believes it is the most important. Its wings deliver wicked blows that snap even the thickest of trees. It searches for prey in icy seas. Because every PRINPLUP considers itself to be the most important, they can never form a group. It lives a solitary life. Its wings deliver wicked blows that can snap even the thickest of trees. It swims gracefully through the frigid sea and sings with a voice like the roaring tide. It has powerful, sturdy wings and dignity to match.</t>
        </is>
      </c>
    </row>
    <row r="9839" ht="33.75" customHeight="1">
      <c r="A9839" s="7">
        <v>394.0</v>
      </c>
      <c r="B9839" s="9" t="s">
        <v>15668</v>
      </c>
      <c r="C9839" s="9" t="s">
        <v>607</v>
      </c>
      <c r="D9839" s="9" t="s">
        <v>84</v>
      </c>
      <c r="E9839" s="6" t="s">
        <v>9362</v>
      </c>
      <c r="F9839" s="9" t="s">
        <v>16342</v>
      </c>
    </row>
    <row r="9840" ht="33.75" customHeight="1">
      <c r="A9840" s="7">
        <v>394.0</v>
      </c>
      <c r="B9840" s="9" t="s">
        <v>15668</v>
      </c>
      <c r="C9840" s="9" t="s">
        <v>607</v>
      </c>
      <c r="D9840" s="9" t="s">
        <v>87</v>
      </c>
      <c r="E9840" s="6" t="s">
        <v>9364</v>
      </c>
      <c r="F9840" s="9" t="s">
        <v>16342</v>
      </c>
    </row>
    <row r="9841" ht="33.75" customHeight="1">
      <c r="A9841" s="7">
        <v>394.0</v>
      </c>
      <c r="B9841" s="9" t="s">
        <v>15668</v>
      </c>
      <c r="C9841" s="9" t="s">
        <v>607</v>
      </c>
      <c r="D9841" s="9" t="s">
        <v>89</v>
      </c>
      <c r="E9841" s="6" t="s">
        <v>9365</v>
      </c>
      <c r="F9841" s="9" t="s">
        <v>16342</v>
      </c>
    </row>
    <row r="9842" ht="33.75" customHeight="1">
      <c r="A9842" s="7">
        <v>394.0</v>
      </c>
      <c r="B9842" s="9" t="s">
        <v>15668</v>
      </c>
      <c r="C9842" s="9" t="s">
        <v>607</v>
      </c>
      <c r="D9842" s="9" t="s">
        <v>91</v>
      </c>
      <c r="E9842" s="6" t="s">
        <v>9365</v>
      </c>
      <c r="F9842" s="9" t="s">
        <v>16342</v>
      </c>
    </row>
    <row r="9843" ht="33.75" customHeight="1">
      <c r="A9843" s="7">
        <v>394.0</v>
      </c>
      <c r="B9843" s="9" t="s">
        <v>15668</v>
      </c>
      <c r="C9843" s="9" t="s">
        <v>607</v>
      </c>
      <c r="D9843" s="9" t="s">
        <v>93</v>
      </c>
      <c r="E9843" s="6" t="s">
        <v>9366</v>
      </c>
      <c r="F9843" s="9" t="s">
        <v>16342</v>
      </c>
    </row>
    <row r="9844" ht="33.75" customHeight="1">
      <c r="A9844" s="7">
        <v>394.0</v>
      </c>
      <c r="B9844" s="9" t="s">
        <v>15668</v>
      </c>
      <c r="C9844" s="9" t="s">
        <v>607</v>
      </c>
      <c r="D9844" s="9" t="s">
        <v>95</v>
      </c>
      <c r="E9844" s="6" t="s">
        <v>9366</v>
      </c>
      <c r="F9844" s="9" t="s">
        <v>16342</v>
      </c>
    </row>
    <row r="9845" ht="33.75" customHeight="1">
      <c r="A9845" s="7">
        <v>394.0</v>
      </c>
      <c r="B9845" s="9" t="s">
        <v>15668</v>
      </c>
      <c r="C9845" s="9" t="s">
        <v>607</v>
      </c>
      <c r="D9845" s="9" t="s">
        <v>98</v>
      </c>
      <c r="E9845" s="6" t="s">
        <v>9366</v>
      </c>
      <c r="F9845" s="9" t="s">
        <v>16342</v>
      </c>
    </row>
    <row r="9846" ht="33.75" customHeight="1">
      <c r="A9846" s="7">
        <v>394.0</v>
      </c>
      <c r="B9846" s="9" t="s">
        <v>15668</v>
      </c>
      <c r="C9846" s="9" t="s">
        <v>607</v>
      </c>
      <c r="D9846" s="9" t="s">
        <v>99</v>
      </c>
      <c r="E9846" s="6" t="s">
        <v>9366</v>
      </c>
      <c r="F9846" s="9" t="s">
        <v>16342</v>
      </c>
    </row>
    <row r="9847" ht="33.75" customHeight="1">
      <c r="A9847" s="7">
        <v>394.0</v>
      </c>
      <c r="B9847" s="9" t="s">
        <v>15668</v>
      </c>
      <c r="C9847" s="9" t="s">
        <v>607</v>
      </c>
      <c r="D9847" s="9" t="s">
        <v>101</v>
      </c>
      <c r="E9847" s="6" t="s">
        <v>9360</v>
      </c>
      <c r="F9847" s="9" t="s">
        <v>16342</v>
      </c>
    </row>
    <row r="9848" ht="33.75" customHeight="1">
      <c r="A9848" s="7">
        <v>394.0</v>
      </c>
      <c r="B9848" s="9" t="s">
        <v>15668</v>
      </c>
      <c r="C9848" s="9" t="s">
        <v>607</v>
      </c>
      <c r="D9848" s="9" t="s">
        <v>105</v>
      </c>
      <c r="E9848" s="6" t="s">
        <v>9365</v>
      </c>
      <c r="F9848" s="9" t="s">
        <v>16342</v>
      </c>
    </row>
    <row r="9849" ht="33.75" customHeight="1">
      <c r="A9849" s="7">
        <v>394.0</v>
      </c>
      <c r="B9849" s="9" t="s">
        <v>15668</v>
      </c>
      <c r="C9849" s="9" t="s">
        <v>607</v>
      </c>
      <c r="D9849" s="9" t="s">
        <v>107</v>
      </c>
      <c r="E9849" s="6" t="s">
        <v>9360</v>
      </c>
      <c r="F9849" s="9" t="s">
        <v>16342</v>
      </c>
    </row>
    <row r="9850" ht="33.75" customHeight="1">
      <c r="A9850" s="7">
        <v>394.0</v>
      </c>
      <c r="B9850" s="9" t="s">
        <v>15668</v>
      </c>
      <c r="C9850" s="9" t="s">
        <v>607</v>
      </c>
      <c r="D9850" s="9" t="s">
        <v>109</v>
      </c>
      <c r="E9850" s="6" t="s">
        <v>9365</v>
      </c>
      <c r="F9850" s="9" t="s">
        <v>16342</v>
      </c>
    </row>
    <row r="9851" ht="33.75" customHeight="1">
      <c r="A9851" s="7">
        <v>394.0</v>
      </c>
      <c r="B9851" s="9" t="s">
        <v>15668</v>
      </c>
      <c r="C9851" s="9" t="s">
        <v>607</v>
      </c>
      <c r="D9851" s="9" t="s">
        <v>1577</v>
      </c>
      <c r="E9851" s="6" t="s">
        <v>9367</v>
      </c>
      <c r="F9851" s="9" t="s">
        <v>16342</v>
      </c>
    </row>
    <row r="9852" ht="33.75" customHeight="1">
      <c r="A9852" s="7">
        <v>395.0</v>
      </c>
      <c r="B9852" s="9" t="s">
        <v>15675</v>
      </c>
      <c r="C9852" s="9" t="s">
        <v>608</v>
      </c>
      <c r="D9852" s="9" t="s">
        <v>81</v>
      </c>
      <c r="E9852" s="6" t="s">
        <v>9369</v>
      </c>
      <c r="F9852" s="9" t="s">
        <v>16352</v>
      </c>
      <c r="G9852" t="inlineStr" s="6">
        <is>
          <t xml:space="preserve">The three horns that extend from Empoleon's beak attest to its power. The leader has the biggest horns. It swims as fast as a jet boat. The edges of its wings are sharp and can slice apart drifting ice. If anyone were to hurt its pride, it would slash them with wings that can cleave through an ice floe. It avoids unnecessary disputes, but it will decimate anything that threatens its pride. Since ancient times, it has been revered by the people of Hisui, who call it the Master of the Waves. Its wings are a match for even master-crafted blades.</t>
        </is>
      </c>
    </row>
    <row r="9853" ht="33.75" customHeight="1">
      <c r="A9853" s="7">
        <v>395.0</v>
      </c>
      <c r="B9853" s="9" t="s">
        <v>15675</v>
      </c>
      <c r="C9853" s="9" t="s">
        <v>608</v>
      </c>
      <c r="D9853" s="9" t="s">
        <v>84</v>
      </c>
      <c r="E9853" s="6" t="s">
        <v>9371</v>
      </c>
      <c r="F9853" s="9" t="s">
        <v>16352</v>
      </c>
    </row>
    <row r="9854" ht="33.75" customHeight="1">
      <c r="A9854" s="7">
        <v>395.0</v>
      </c>
      <c r="B9854" s="9" t="s">
        <v>15675</v>
      </c>
      <c r="C9854" s="9" t="s">
        <v>608</v>
      </c>
      <c r="D9854" s="9" t="s">
        <v>87</v>
      </c>
      <c r="E9854" s="6" t="s">
        <v>9372</v>
      </c>
      <c r="F9854" s="9" t="s">
        <v>16352</v>
      </c>
    </row>
    <row r="9855" ht="33.75" customHeight="1">
      <c r="A9855" s="7">
        <v>395.0</v>
      </c>
      <c r="B9855" s="9" t="s">
        <v>15675</v>
      </c>
      <c r="C9855" s="9" t="s">
        <v>608</v>
      </c>
      <c r="D9855" s="9" t="s">
        <v>89</v>
      </c>
      <c r="E9855" s="6" t="s">
        <v>9373</v>
      </c>
      <c r="F9855" s="9" t="s">
        <v>16352</v>
      </c>
    </row>
    <row r="9856" ht="33.75" customHeight="1">
      <c r="A9856" s="7">
        <v>395.0</v>
      </c>
      <c r="B9856" s="9" t="s">
        <v>15675</v>
      </c>
      <c r="C9856" s="9" t="s">
        <v>608</v>
      </c>
      <c r="D9856" s="9" t="s">
        <v>91</v>
      </c>
      <c r="E9856" s="6" t="s">
        <v>9373</v>
      </c>
      <c r="F9856" s="9" t="s">
        <v>16352</v>
      </c>
    </row>
    <row r="9857" ht="33.75" customHeight="1">
      <c r="A9857" s="7">
        <v>395.0</v>
      </c>
      <c r="B9857" s="9" t="s">
        <v>15675</v>
      </c>
      <c r="C9857" s="9" t="s">
        <v>608</v>
      </c>
      <c r="D9857" s="9" t="s">
        <v>93</v>
      </c>
      <c r="E9857" s="6" t="s">
        <v>9372</v>
      </c>
      <c r="F9857" s="9" t="s">
        <v>16352</v>
      </c>
    </row>
    <row r="9858" ht="33.75" customHeight="1">
      <c r="A9858" s="7">
        <v>395.0</v>
      </c>
      <c r="B9858" s="9" t="s">
        <v>15675</v>
      </c>
      <c r="C9858" s="9" t="s">
        <v>608</v>
      </c>
      <c r="D9858" s="9" t="s">
        <v>95</v>
      </c>
      <c r="E9858" s="6" t="s">
        <v>9372</v>
      </c>
      <c r="F9858" s="9" t="s">
        <v>16352</v>
      </c>
    </row>
    <row r="9859" ht="33.75" customHeight="1">
      <c r="A9859" s="7">
        <v>395.0</v>
      </c>
      <c r="B9859" s="9" t="s">
        <v>15675</v>
      </c>
      <c r="C9859" s="9" t="s">
        <v>608</v>
      </c>
      <c r="D9859" s="9" t="s">
        <v>98</v>
      </c>
      <c r="E9859" s="6" t="s">
        <v>9372</v>
      </c>
      <c r="F9859" s="9" t="s">
        <v>16352</v>
      </c>
    </row>
    <row r="9860" ht="33.75" customHeight="1">
      <c r="A9860" s="7">
        <v>395.0</v>
      </c>
      <c r="B9860" s="9" t="s">
        <v>15675</v>
      </c>
      <c r="C9860" s="9" t="s">
        <v>608</v>
      </c>
      <c r="D9860" s="9" t="s">
        <v>99</v>
      </c>
      <c r="E9860" s="6" t="s">
        <v>9372</v>
      </c>
      <c r="F9860" s="9" t="s">
        <v>16352</v>
      </c>
    </row>
    <row r="9861" ht="33.75" customHeight="1">
      <c r="A9861" s="7">
        <v>395.0</v>
      </c>
      <c r="B9861" s="9" t="s">
        <v>15675</v>
      </c>
      <c r="C9861" s="9" t="s">
        <v>608</v>
      </c>
      <c r="D9861" s="9" t="s">
        <v>101</v>
      </c>
      <c r="E9861" s="6" t="s">
        <v>9371</v>
      </c>
      <c r="F9861" s="9" t="s">
        <v>16352</v>
      </c>
    </row>
    <row r="9862" ht="33.75" customHeight="1">
      <c r="A9862" s="7">
        <v>395.0</v>
      </c>
      <c r="B9862" s="9" t="s">
        <v>15675</v>
      </c>
      <c r="C9862" s="9" t="s">
        <v>608</v>
      </c>
      <c r="D9862" s="9" t="s">
        <v>105</v>
      </c>
      <c r="E9862" s="6" t="s">
        <v>9369</v>
      </c>
      <c r="F9862" s="9" t="s">
        <v>16352</v>
      </c>
    </row>
    <row r="9863" ht="33.75" customHeight="1">
      <c r="A9863" s="7">
        <v>395.0</v>
      </c>
      <c r="B9863" s="9" t="s">
        <v>15675</v>
      </c>
      <c r="C9863" s="9" t="s">
        <v>608</v>
      </c>
      <c r="D9863" s="9" t="s">
        <v>107</v>
      </c>
      <c r="E9863" s="6" t="s">
        <v>9371</v>
      </c>
      <c r="F9863" s="9" t="s">
        <v>16352</v>
      </c>
    </row>
    <row r="9864" ht="33.75" customHeight="1">
      <c r="A9864" s="7">
        <v>395.0</v>
      </c>
      <c r="B9864" s="9" t="s">
        <v>15675</v>
      </c>
      <c r="C9864" s="9" t="s">
        <v>608</v>
      </c>
      <c r="D9864" s="9" t="s">
        <v>109</v>
      </c>
      <c r="E9864" s="6" t="s">
        <v>9369</v>
      </c>
      <c r="F9864" s="9" t="s">
        <v>16352</v>
      </c>
    </row>
    <row r="9865" ht="33.75" customHeight="1">
      <c r="A9865" s="7">
        <v>395.0</v>
      </c>
      <c r="B9865" s="9" t="s">
        <v>15675</v>
      </c>
      <c r="C9865" s="9" t="s">
        <v>608</v>
      </c>
      <c r="D9865" s="9" t="s">
        <v>1577</v>
      </c>
      <c r="E9865" s="6" t="s">
        <v>9374</v>
      </c>
      <c r="F9865" s="9" t="s">
        <v>16352</v>
      </c>
    </row>
    <row r="9866" ht="33.75" customHeight="1">
      <c r="A9866" s="7">
        <v>396.0</v>
      </c>
      <c r="B9866" s="9" t="s">
        <v>15683</v>
      </c>
      <c r="C9866" s="9" t="s">
        <v>609</v>
      </c>
      <c r="D9866" s="9" t="s">
        <v>81</v>
      </c>
      <c r="E9866" s="6" t="s">
        <v>9375</v>
      </c>
      <c r="F9866" s="9" t="s">
        <v>16364</v>
      </c>
      <c r="G9866" t="inlineStr" s="6">
        <is>
          <t xml:space="preserve">They flock in great numbers. Though small, they flap their wings with great power. Usually with a large flock, it is barely noticeable when alone. Its cries are very strident. Because they are weak individually, they form groups. However, they bicker if the group grows too big. They flock around mountains and fields, chasing after bug Pokémon. Their singing is noisy and annoying. They live in the fields and mountains, gathering in large flocks. Their cries are quite obnoxious. Though small, their wings are strong—a strike from them leaves pain that persists for a week.</t>
        </is>
      </c>
    </row>
    <row r="9867" ht="33.75" customHeight="1">
      <c r="A9867" s="7">
        <v>396.0</v>
      </c>
      <c r="B9867" s="9" t="s">
        <v>15683</v>
      </c>
      <c r="C9867" s="9" t="s">
        <v>609</v>
      </c>
      <c r="D9867" s="9" t="s">
        <v>84</v>
      </c>
      <c r="E9867" s="6" t="s">
        <v>9376</v>
      </c>
      <c r="F9867" s="9" t="s">
        <v>16364</v>
      </c>
    </row>
    <row r="9868" ht="33.75" customHeight="1">
      <c r="A9868" s="7">
        <v>396.0</v>
      </c>
      <c r="B9868" s="9" t="s">
        <v>15683</v>
      </c>
      <c r="C9868" s="9" t="s">
        <v>609</v>
      </c>
      <c r="D9868" s="9" t="s">
        <v>87</v>
      </c>
      <c r="E9868" s="6" t="s">
        <v>9377</v>
      </c>
      <c r="F9868" s="9" t="s">
        <v>16364</v>
      </c>
    </row>
    <row r="9869" ht="33.75" customHeight="1">
      <c r="A9869" s="7">
        <v>396.0</v>
      </c>
      <c r="B9869" s="9" t="s">
        <v>15683</v>
      </c>
      <c r="C9869" s="9" t="s">
        <v>609</v>
      </c>
      <c r="D9869" s="9" t="s">
        <v>89</v>
      </c>
      <c r="E9869" s="6" t="s">
        <v>9378</v>
      </c>
      <c r="F9869" s="9" t="s">
        <v>16364</v>
      </c>
    </row>
    <row r="9870" ht="33.75" customHeight="1">
      <c r="A9870" s="7">
        <v>396.0</v>
      </c>
      <c r="B9870" s="9" t="s">
        <v>15683</v>
      </c>
      <c r="C9870" s="9" t="s">
        <v>609</v>
      </c>
      <c r="D9870" s="9" t="s">
        <v>91</v>
      </c>
      <c r="E9870" s="6" t="s">
        <v>9378</v>
      </c>
      <c r="F9870" s="9" t="s">
        <v>16364</v>
      </c>
    </row>
    <row r="9871" ht="33.75" customHeight="1">
      <c r="A9871" s="7">
        <v>396.0</v>
      </c>
      <c r="B9871" s="9" t="s">
        <v>15683</v>
      </c>
      <c r="C9871" s="9" t="s">
        <v>609</v>
      </c>
      <c r="D9871" s="9" t="s">
        <v>93</v>
      </c>
      <c r="E9871" s="6" t="s">
        <v>9377</v>
      </c>
      <c r="F9871" s="9" t="s">
        <v>16364</v>
      </c>
    </row>
    <row r="9872" ht="33.75" customHeight="1">
      <c r="A9872" s="7">
        <v>396.0</v>
      </c>
      <c r="B9872" s="9" t="s">
        <v>15683</v>
      </c>
      <c r="C9872" s="9" t="s">
        <v>609</v>
      </c>
      <c r="D9872" s="9" t="s">
        <v>95</v>
      </c>
      <c r="E9872" s="6" t="s">
        <v>9377</v>
      </c>
      <c r="F9872" s="9" t="s">
        <v>16364</v>
      </c>
    </row>
    <row r="9873" ht="33.75" customHeight="1">
      <c r="A9873" s="7">
        <v>396.0</v>
      </c>
      <c r="B9873" s="9" t="s">
        <v>15683</v>
      </c>
      <c r="C9873" s="9" t="s">
        <v>609</v>
      </c>
      <c r="D9873" s="9" t="s">
        <v>98</v>
      </c>
      <c r="E9873" s="6" t="s">
        <v>9377</v>
      </c>
      <c r="F9873" s="9" t="s">
        <v>16364</v>
      </c>
    </row>
    <row r="9874" ht="33.75" customHeight="1">
      <c r="A9874" s="7">
        <v>396.0</v>
      </c>
      <c r="B9874" s="9" t="s">
        <v>15683</v>
      </c>
      <c r="C9874" s="9" t="s">
        <v>609</v>
      </c>
      <c r="D9874" s="9" t="s">
        <v>99</v>
      </c>
      <c r="E9874" s="6" t="s">
        <v>9377</v>
      </c>
      <c r="F9874" s="9" t="s">
        <v>16364</v>
      </c>
    </row>
    <row r="9875" ht="33.75" customHeight="1">
      <c r="A9875" s="7">
        <v>396.0</v>
      </c>
      <c r="B9875" s="9" t="s">
        <v>15683</v>
      </c>
      <c r="C9875" s="9" t="s">
        <v>609</v>
      </c>
      <c r="D9875" s="9" t="s">
        <v>101</v>
      </c>
      <c r="E9875" s="6" t="s">
        <v>9375</v>
      </c>
      <c r="F9875" s="9" t="s">
        <v>16364</v>
      </c>
    </row>
    <row r="9876" ht="33.75" customHeight="1">
      <c r="A9876" s="7">
        <v>396.0</v>
      </c>
      <c r="B9876" s="9" t="s">
        <v>15683</v>
      </c>
      <c r="C9876" s="9" t="s">
        <v>609</v>
      </c>
      <c r="D9876" s="9" t="s">
        <v>105</v>
      </c>
      <c r="E9876" s="6" t="s">
        <v>9378</v>
      </c>
      <c r="F9876" s="9" t="s">
        <v>16364</v>
      </c>
    </row>
    <row r="9877" ht="33.75" customHeight="1">
      <c r="A9877" s="7">
        <v>396.0</v>
      </c>
      <c r="B9877" s="9" t="s">
        <v>15683</v>
      </c>
      <c r="C9877" s="9" t="s">
        <v>609</v>
      </c>
      <c r="D9877" s="9" t="s">
        <v>107</v>
      </c>
      <c r="E9877" s="6" t="s">
        <v>9375</v>
      </c>
      <c r="F9877" s="9" t="s">
        <v>16364</v>
      </c>
    </row>
    <row r="9878" ht="33.75" customHeight="1">
      <c r="A9878" s="7">
        <v>396.0</v>
      </c>
      <c r="B9878" s="9" t="s">
        <v>15683</v>
      </c>
      <c r="C9878" s="9" t="s">
        <v>609</v>
      </c>
      <c r="D9878" s="9" t="s">
        <v>109</v>
      </c>
      <c r="E9878" s="6" t="s">
        <v>9378</v>
      </c>
      <c r="F9878" s="9" t="s">
        <v>16364</v>
      </c>
    </row>
    <row r="9879" ht="33.75" customHeight="1">
      <c r="A9879" s="7">
        <v>396.0</v>
      </c>
      <c r="B9879" s="9" t="s">
        <v>15683</v>
      </c>
      <c r="C9879" s="9" t="s">
        <v>609</v>
      </c>
      <c r="D9879" s="9" t="s">
        <v>1577</v>
      </c>
      <c r="E9879" s="6" t="s">
        <v>9379</v>
      </c>
      <c r="F9879" s="9" t="s">
        <v>16364</v>
      </c>
    </row>
    <row r="9880" ht="33.75" customHeight="1">
      <c r="A9880" s="7">
        <v>397.0</v>
      </c>
      <c r="B9880" s="9" t="s">
        <v>15690</v>
      </c>
      <c r="C9880" s="9" t="s">
        <v>609</v>
      </c>
      <c r="D9880" s="9" t="s">
        <v>81</v>
      </c>
      <c r="E9880" s="6" t="s">
        <v>9380</v>
      </c>
      <c r="F9880" s="9" t="s">
        <v>16374</v>
      </c>
      <c r="G9880" t="inlineStr" s="6">
        <is>
          <t xml:space="preserve">It flies around forests and fields in search of bug Pokémon. It stays within a huge flock. It lives in forests and fields. Squabbles over territory occur when flocks collide. Recognizing their own weakness, they always live in a group. When alone, a STARAVIA cries noisily. They maintain huge flocks, although fierce scuffles break out between various flocks. They form remarkably large flocks and are constantly fighting amongst themselves. I suspect that those with magnificent plumes on their heads are the strong ones.</t>
        </is>
      </c>
    </row>
    <row r="9881" ht="33.75" customHeight="1">
      <c r="A9881" s="7">
        <v>397.0</v>
      </c>
      <c r="B9881" s="9" t="s">
        <v>15690</v>
      </c>
      <c r="C9881" s="9" t="s">
        <v>609</v>
      </c>
      <c r="D9881" s="9" t="s">
        <v>84</v>
      </c>
      <c r="E9881" s="6" t="s">
        <v>9382</v>
      </c>
      <c r="F9881" s="9" t="s">
        <v>16374</v>
      </c>
    </row>
    <row r="9882" ht="33.75" customHeight="1">
      <c r="A9882" s="7">
        <v>397.0</v>
      </c>
      <c r="B9882" s="9" t="s">
        <v>15690</v>
      </c>
      <c r="C9882" s="9" t="s">
        <v>609</v>
      </c>
      <c r="D9882" s="9" t="s">
        <v>87</v>
      </c>
      <c r="E9882" s="6" t="s">
        <v>9383</v>
      </c>
      <c r="F9882" s="9" t="s">
        <v>16374</v>
      </c>
    </row>
    <row r="9883" ht="33.75" customHeight="1">
      <c r="A9883" s="7">
        <v>397.0</v>
      </c>
      <c r="B9883" s="9" t="s">
        <v>15690</v>
      </c>
      <c r="C9883" s="9" t="s">
        <v>609</v>
      </c>
      <c r="D9883" s="9" t="s">
        <v>89</v>
      </c>
      <c r="E9883" s="6" t="s">
        <v>9385</v>
      </c>
      <c r="F9883" s="9" t="s">
        <v>16374</v>
      </c>
    </row>
    <row r="9884" ht="33.75" customHeight="1">
      <c r="A9884" s="7">
        <v>397.0</v>
      </c>
      <c r="B9884" s="9" t="s">
        <v>15690</v>
      </c>
      <c r="C9884" s="9" t="s">
        <v>609</v>
      </c>
      <c r="D9884" s="9" t="s">
        <v>91</v>
      </c>
      <c r="E9884" s="6" t="s">
        <v>9385</v>
      </c>
      <c r="F9884" s="9" t="s">
        <v>16374</v>
      </c>
    </row>
    <row r="9885" ht="33.75" customHeight="1">
      <c r="A9885" s="7">
        <v>397.0</v>
      </c>
      <c r="B9885" s="9" t="s">
        <v>15690</v>
      </c>
      <c r="C9885" s="9" t="s">
        <v>609</v>
      </c>
      <c r="D9885" s="9" t="s">
        <v>93</v>
      </c>
      <c r="E9885" s="6" t="s">
        <v>9387</v>
      </c>
      <c r="F9885" s="9" t="s">
        <v>16374</v>
      </c>
    </row>
    <row r="9886" ht="33.75" customHeight="1">
      <c r="A9886" s="7">
        <v>397.0</v>
      </c>
      <c r="B9886" s="9" t="s">
        <v>15690</v>
      </c>
      <c r="C9886" s="9" t="s">
        <v>609</v>
      </c>
      <c r="D9886" s="9" t="s">
        <v>95</v>
      </c>
      <c r="E9886" s="6" t="s">
        <v>9387</v>
      </c>
      <c r="F9886" s="9" t="s">
        <v>16374</v>
      </c>
    </row>
    <row r="9887" ht="33.75" customHeight="1">
      <c r="A9887" s="7">
        <v>397.0</v>
      </c>
      <c r="B9887" s="9" t="s">
        <v>15690</v>
      </c>
      <c r="C9887" s="9" t="s">
        <v>609</v>
      </c>
      <c r="D9887" s="9" t="s">
        <v>98</v>
      </c>
      <c r="E9887" s="6" t="s">
        <v>9387</v>
      </c>
      <c r="F9887" s="9" t="s">
        <v>16374</v>
      </c>
    </row>
    <row r="9888" ht="33.75" customHeight="1">
      <c r="A9888" s="7">
        <v>397.0</v>
      </c>
      <c r="B9888" s="9" t="s">
        <v>15690</v>
      </c>
      <c r="C9888" s="9" t="s">
        <v>609</v>
      </c>
      <c r="D9888" s="9" t="s">
        <v>99</v>
      </c>
      <c r="E9888" s="6" t="s">
        <v>9387</v>
      </c>
      <c r="F9888" s="9" t="s">
        <v>16374</v>
      </c>
    </row>
    <row r="9889" ht="33.75" customHeight="1">
      <c r="A9889" s="7">
        <v>397.0</v>
      </c>
      <c r="B9889" s="9" t="s">
        <v>15690</v>
      </c>
      <c r="C9889" s="9" t="s">
        <v>609</v>
      </c>
      <c r="D9889" s="9" t="s">
        <v>101</v>
      </c>
      <c r="E9889" s="6" t="s">
        <v>9385</v>
      </c>
      <c r="F9889" s="9" t="s">
        <v>16374</v>
      </c>
    </row>
    <row r="9890" ht="33.75" customHeight="1">
      <c r="A9890" s="7">
        <v>397.0</v>
      </c>
      <c r="B9890" s="9" t="s">
        <v>15690</v>
      </c>
      <c r="C9890" s="9" t="s">
        <v>609</v>
      </c>
      <c r="D9890" s="9" t="s">
        <v>105</v>
      </c>
      <c r="E9890" s="6" t="s">
        <v>9382</v>
      </c>
      <c r="F9890" s="9" t="s">
        <v>16374</v>
      </c>
    </row>
    <row r="9891" ht="33.75" customHeight="1">
      <c r="A9891" s="7">
        <v>397.0</v>
      </c>
      <c r="B9891" s="9" t="s">
        <v>15690</v>
      </c>
      <c r="C9891" s="9" t="s">
        <v>609</v>
      </c>
      <c r="D9891" s="9" t="s">
        <v>107</v>
      </c>
      <c r="E9891" s="6" t="s">
        <v>9385</v>
      </c>
      <c r="F9891" s="9" t="s">
        <v>16374</v>
      </c>
    </row>
    <row r="9892" ht="33.75" customHeight="1">
      <c r="A9892" s="7">
        <v>397.0</v>
      </c>
      <c r="B9892" s="9" t="s">
        <v>15690</v>
      </c>
      <c r="C9892" s="9" t="s">
        <v>609</v>
      </c>
      <c r="D9892" s="9" t="s">
        <v>109</v>
      </c>
      <c r="E9892" s="6" t="s">
        <v>9382</v>
      </c>
      <c r="F9892" s="9" t="s">
        <v>16374</v>
      </c>
    </row>
    <row r="9893" ht="33.75" customHeight="1">
      <c r="A9893" s="7">
        <v>397.0</v>
      </c>
      <c r="B9893" s="9" t="s">
        <v>15690</v>
      </c>
      <c r="C9893" s="9" t="s">
        <v>609</v>
      </c>
      <c r="D9893" s="9" t="s">
        <v>1577</v>
      </c>
      <c r="E9893" s="6" t="s">
        <v>9388</v>
      </c>
      <c r="F9893" s="9" t="s">
        <v>16374</v>
      </c>
    </row>
    <row r="9894" ht="33.75" customHeight="1">
      <c r="A9894" s="7">
        <v>398.0</v>
      </c>
      <c r="B9894" s="9" t="s">
        <v>15698</v>
      </c>
      <c r="C9894" s="9" t="s">
        <v>611</v>
      </c>
      <c r="D9894" s="9" t="s">
        <v>81</v>
      </c>
      <c r="E9894" s="6" t="s">
        <v>9390</v>
      </c>
      <c r="F9894" s="9" t="s">
        <v>16380</v>
      </c>
      <c r="G9894" t="inlineStr" s="6">
        <is>
          <t xml:space="preserve">Staraptor has a savage nature. It will courageously challenge foes that are much larger. The muscles in its wings and legs are strong. It can easily fly while gripping a small Pokémon. It never stops attacking even if it is injured. It fusses over the shape of its comb. When STARAVIA evolve into STARAPTOR, they leave the flock to live alone. They have sturdy wings. It has left the flock, having gained strength enough to survive on its own. The astounding force with which Staraptor flies through the air allows it to carry away large, burly targets.</t>
        </is>
      </c>
    </row>
    <row r="9895" ht="33.75" customHeight="1">
      <c r="A9895" s="7">
        <v>398.0</v>
      </c>
      <c r="B9895" s="9" t="s">
        <v>15698</v>
      </c>
      <c r="C9895" s="9" t="s">
        <v>611</v>
      </c>
      <c r="D9895" s="9" t="s">
        <v>84</v>
      </c>
      <c r="E9895" s="6" t="s">
        <v>9392</v>
      </c>
      <c r="F9895" s="9" t="s">
        <v>16380</v>
      </c>
    </row>
    <row r="9896" ht="33.75" customHeight="1">
      <c r="A9896" s="7">
        <v>398.0</v>
      </c>
      <c r="B9896" s="9" t="s">
        <v>15698</v>
      </c>
      <c r="C9896" s="9" t="s">
        <v>611</v>
      </c>
      <c r="D9896" s="9" t="s">
        <v>87</v>
      </c>
      <c r="E9896" s="6" t="s">
        <v>9394</v>
      </c>
      <c r="F9896" s="9" t="s">
        <v>16380</v>
      </c>
    </row>
    <row r="9897" ht="33.75" customHeight="1">
      <c r="A9897" s="7">
        <v>398.0</v>
      </c>
      <c r="B9897" s="9" t="s">
        <v>15698</v>
      </c>
      <c r="C9897" s="9" t="s">
        <v>611</v>
      </c>
      <c r="D9897" s="9" t="s">
        <v>89</v>
      </c>
      <c r="E9897" s="6" t="s">
        <v>9395</v>
      </c>
      <c r="F9897" s="9" t="s">
        <v>16380</v>
      </c>
    </row>
    <row r="9898" ht="33.75" customHeight="1">
      <c r="A9898" s="7">
        <v>398.0</v>
      </c>
      <c r="B9898" s="9" t="s">
        <v>15698</v>
      </c>
      <c r="C9898" s="9" t="s">
        <v>611</v>
      </c>
      <c r="D9898" s="9" t="s">
        <v>91</v>
      </c>
      <c r="E9898" s="6" t="s">
        <v>9395</v>
      </c>
      <c r="F9898" s="9" t="s">
        <v>16380</v>
      </c>
    </row>
    <row r="9899" ht="33.75" customHeight="1">
      <c r="A9899" s="7">
        <v>398.0</v>
      </c>
      <c r="B9899" s="9" t="s">
        <v>15698</v>
      </c>
      <c r="C9899" s="9" t="s">
        <v>611</v>
      </c>
      <c r="D9899" s="9" t="s">
        <v>93</v>
      </c>
      <c r="E9899" s="6" t="s">
        <v>9394</v>
      </c>
      <c r="F9899" s="9" t="s">
        <v>16380</v>
      </c>
    </row>
    <row r="9900" ht="33.75" customHeight="1">
      <c r="A9900" s="7">
        <v>398.0</v>
      </c>
      <c r="B9900" s="9" t="s">
        <v>15698</v>
      </c>
      <c r="C9900" s="9" t="s">
        <v>611</v>
      </c>
      <c r="D9900" s="9" t="s">
        <v>95</v>
      </c>
      <c r="E9900" s="6" t="s">
        <v>9394</v>
      </c>
      <c r="F9900" s="9" t="s">
        <v>16380</v>
      </c>
    </row>
    <row r="9901" ht="33.75" customHeight="1">
      <c r="A9901" s="7">
        <v>398.0</v>
      </c>
      <c r="B9901" s="9" t="s">
        <v>15698</v>
      </c>
      <c r="C9901" s="9" t="s">
        <v>611</v>
      </c>
      <c r="D9901" s="9" t="s">
        <v>98</v>
      </c>
      <c r="E9901" s="6" t="s">
        <v>9394</v>
      </c>
      <c r="F9901" s="9" t="s">
        <v>16380</v>
      </c>
    </row>
    <row r="9902" ht="33.75" customHeight="1">
      <c r="A9902" s="7">
        <v>398.0</v>
      </c>
      <c r="B9902" s="9" t="s">
        <v>15698</v>
      </c>
      <c r="C9902" s="9" t="s">
        <v>611</v>
      </c>
      <c r="D9902" s="9" t="s">
        <v>99</v>
      </c>
      <c r="E9902" s="6" t="s">
        <v>9394</v>
      </c>
      <c r="F9902" s="9" t="s">
        <v>16380</v>
      </c>
    </row>
    <row r="9903" ht="33.75" customHeight="1">
      <c r="A9903" s="7">
        <v>398.0</v>
      </c>
      <c r="B9903" s="9" t="s">
        <v>15698</v>
      </c>
      <c r="C9903" s="9" t="s">
        <v>611</v>
      </c>
      <c r="D9903" s="9" t="s">
        <v>101</v>
      </c>
      <c r="E9903" s="6" t="s">
        <v>9392</v>
      </c>
      <c r="F9903" s="9" t="s">
        <v>16380</v>
      </c>
    </row>
    <row r="9904" ht="33.75" customHeight="1">
      <c r="A9904" s="7">
        <v>398.0</v>
      </c>
      <c r="B9904" s="9" t="s">
        <v>15698</v>
      </c>
      <c r="C9904" s="9" t="s">
        <v>611</v>
      </c>
      <c r="D9904" s="9" t="s">
        <v>105</v>
      </c>
      <c r="E9904" s="6" t="s">
        <v>9396</v>
      </c>
      <c r="F9904" s="9" t="s">
        <v>16380</v>
      </c>
    </row>
    <row r="9905" ht="33.75" customHeight="1">
      <c r="A9905" s="7">
        <v>398.0</v>
      </c>
      <c r="B9905" s="9" t="s">
        <v>15698</v>
      </c>
      <c r="C9905" s="9" t="s">
        <v>611</v>
      </c>
      <c r="D9905" s="9" t="s">
        <v>107</v>
      </c>
      <c r="E9905" s="6" t="s">
        <v>9392</v>
      </c>
      <c r="F9905" s="9" t="s">
        <v>16380</v>
      </c>
    </row>
    <row r="9906" ht="33.75" customHeight="1">
      <c r="A9906" s="7">
        <v>398.0</v>
      </c>
      <c r="B9906" s="9" t="s">
        <v>15698</v>
      </c>
      <c r="C9906" s="9" t="s">
        <v>611</v>
      </c>
      <c r="D9906" s="9" t="s">
        <v>109</v>
      </c>
      <c r="E9906" s="6" t="s">
        <v>9396</v>
      </c>
      <c r="F9906" s="9" t="s">
        <v>16380</v>
      </c>
    </row>
    <row r="9907" ht="33.75" customHeight="1">
      <c r="A9907" s="7">
        <v>398.0</v>
      </c>
      <c r="B9907" s="9" t="s">
        <v>15698</v>
      </c>
      <c r="C9907" s="9" t="s">
        <v>611</v>
      </c>
      <c r="D9907" s="9" t="s">
        <v>1577</v>
      </c>
      <c r="E9907" s="6" t="s">
        <v>9397</v>
      </c>
      <c r="F9907" s="9" t="s">
        <v>16380</v>
      </c>
    </row>
    <row r="9908" ht="33.75" customHeight="1">
      <c r="A9908" s="7">
        <v>399.0</v>
      </c>
      <c r="B9908" s="9" t="s">
        <v>15707</v>
      </c>
      <c r="C9908" s="9" t="s">
        <v>613</v>
      </c>
      <c r="D9908" s="9" t="s">
        <v>81</v>
      </c>
      <c r="E9908" s="6" t="s">
        <v>9399</v>
      </c>
      <c r="F9908" s="9" t="s">
        <v>16391</v>
      </c>
      <c r="G9908" t="inlineStr" s="6">
        <is>
          <t xml:space="preserve">With nerves of steel, nothing can perturb it. It is more agile and active than it appears. It constantly gnaws on logs and rocks to whittle down its front teeth. It nests alongside water. A comparison revealed that BIDOOF’s front teeth grow at the same rate as RATTATA’s. It lives in groups by the water. It chews up boulders and trees around its nest with its incisors. Bidoof has an unsophisticated face and is rarely flustered by anything. There have been incidents involving Bidoof sauntering into villages and gnawing on the houses without a single care.</t>
        </is>
      </c>
    </row>
    <row r="9909" ht="33.75" customHeight="1">
      <c r="A9909" s="7">
        <v>399.0</v>
      </c>
      <c r="B9909" s="9" t="s">
        <v>15707</v>
      </c>
      <c r="C9909" s="9" t="s">
        <v>613</v>
      </c>
      <c r="D9909" s="9" t="s">
        <v>84</v>
      </c>
      <c r="E9909" s="6" t="s">
        <v>9401</v>
      </c>
      <c r="F9909" s="9" t="s">
        <v>16391</v>
      </c>
    </row>
    <row r="9910" ht="33.75" customHeight="1">
      <c r="A9910" s="7">
        <v>399.0</v>
      </c>
      <c r="B9910" s="9" t="s">
        <v>15707</v>
      </c>
      <c r="C9910" s="9" t="s">
        <v>613</v>
      </c>
      <c r="D9910" s="9" t="s">
        <v>87</v>
      </c>
      <c r="E9910" s="6" t="s">
        <v>9405</v>
      </c>
      <c r="F9910" s="9" t="s">
        <v>16391</v>
      </c>
    </row>
    <row r="9911" ht="33.75" customHeight="1">
      <c r="A9911" s="7">
        <v>399.0</v>
      </c>
      <c r="B9911" s="9" t="s">
        <v>15707</v>
      </c>
      <c r="C9911" s="9" t="s">
        <v>613</v>
      </c>
      <c r="D9911" s="9" t="s">
        <v>89</v>
      </c>
      <c r="E9911" s="6" t="s">
        <v>9406</v>
      </c>
      <c r="F9911" s="9" t="s">
        <v>16391</v>
      </c>
    </row>
    <row r="9912" ht="33.75" customHeight="1">
      <c r="A9912" s="7">
        <v>399.0</v>
      </c>
      <c r="B9912" s="9" t="s">
        <v>15707</v>
      </c>
      <c r="C9912" s="9" t="s">
        <v>613</v>
      </c>
      <c r="D9912" s="9" t="s">
        <v>91</v>
      </c>
      <c r="E9912" s="6" t="s">
        <v>9406</v>
      </c>
      <c r="F9912" s="9" t="s">
        <v>16391</v>
      </c>
    </row>
    <row r="9913" ht="33.75" customHeight="1">
      <c r="A9913" s="7">
        <v>399.0</v>
      </c>
      <c r="B9913" s="9" t="s">
        <v>15707</v>
      </c>
      <c r="C9913" s="9" t="s">
        <v>613</v>
      </c>
      <c r="D9913" s="9" t="s">
        <v>93</v>
      </c>
      <c r="E9913" s="6" t="s">
        <v>9407</v>
      </c>
      <c r="F9913" s="9" t="s">
        <v>16391</v>
      </c>
    </row>
    <row r="9914" ht="33.75" customHeight="1">
      <c r="A9914" s="7">
        <v>399.0</v>
      </c>
      <c r="B9914" s="9" t="s">
        <v>15707</v>
      </c>
      <c r="C9914" s="9" t="s">
        <v>613</v>
      </c>
      <c r="D9914" s="9" t="s">
        <v>95</v>
      </c>
      <c r="E9914" s="6" t="s">
        <v>9407</v>
      </c>
      <c r="F9914" s="9" t="s">
        <v>16391</v>
      </c>
    </row>
    <row r="9915" ht="33.75" customHeight="1">
      <c r="A9915" s="7">
        <v>399.0</v>
      </c>
      <c r="B9915" s="9" t="s">
        <v>15707</v>
      </c>
      <c r="C9915" s="9" t="s">
        <v>613</v>
      </c>
      <c r="D9915" s="9" t="s">
        <v>98</v>
      </c>
      <c r="E9915" s="6" t="s">
        <v>9407</v>
      </c>
      <c r="F9915" s="9" t="s">
        <v>16391</v>
      </c>
    </row>
    <row r="9916" ht="33.75" customHeight="1">
      <c r="A9916" s="7">
        <v>399.0</v>
      </c>
      <c r="B9916" s="9" t="s">
        <v>15707</v>
      </c>
      <c r="C9916" s="9" t="s">
        <v>613</v>
      </c>
      <c r="D9916" s="9" t="s">
        <v>99</v>
      </c>
      <c r="E9916" s="6" t="s">
        <v>9407</v>
      </c>
      <c r="F9916" s="9" t="s">
        <v>16391</v>
      </c>
    </row>
    <row r="9917" ht="33.75" customHeight="1">
      <c r="A9917" s="7">
        <v>399.0</v>
      </c>
      <c r="B9917" s="9" t="s">
        <v>15707</v>
      </c>
      <c r="C9917" s="9" t="s">
        <v>613</v>
      </c>
      <c r="D9917" s="9" t="s">
        <v>101</v>
      </c>
      <c r="E9917" s="6" t="s">
        <v>9399</v>
      </c>
      <c r="F9917" s="9" t="s">
        <v>16391</v>
      </c>
    </row>
    <row r="9918" ht="33.75" customHeight="1">
      <c r="A9918" s="7">
        <v>399.0</v>
      </c>
      <c r="B9918" s="9" t="s">
        <v>15707</v>
      </c>
      <c r="C9918" s="9" t="s">
        <v>613</v>
      </c>
      <c r="D9918" s="9" t="s">
        <v>105</v>
      </c>
      <c r="E9918" s="6" t="s">
        <v>9401</v>
      </c>
      <c r="F9918" s="9" t="s">
        <v>16391</v>
      </c>
    </row>
    <row r="9919" ht="33.75" customHeight="1">
      <c r="A9919" s="7">
        <v>399.0</v>
      </c>
      <c r="B9919" s="9" t="s">
        <v>15707</v>
      </c>
      <c r="C9919" s="9" t="s">
        <v>613</v>
      </c>
      <c r="D9919" s="9" t="s">
        <v>107</v>
      </c>
      <c r="E9919" s="6" t="s">
        <v>9399</v>
      </c>
      <c r="F9919" s="9" t="s">
        <v>16391</v>
      </c>
    </row>
    <row r="9920" ht="33.75" customHeight="1">
      <c r="A9920" s="7">
        <v>399.0</v>
      </c>
      <c r="B9920" s="9" t="s">
        <v>15707</v>
      </c>
      <c r="C9920" s="9" t="s">
        <v>613</v>
      </c>
      <c r="D9920" s="9" t="s">
        <v>109</v>
      </c>
      <c r="E9920" s="6" t="s">
        <v>9401</v>
      </c>
      <c r="F9920" s="9" t="s">
        <v>16391</v>
      </c>
    </row>
    <row r="9921" ht="33.75" customHeight="1">
      <c r="A9921" s="7">
        <v>399.0</v>
      </c>
      <c r="B9921" s="9" t="s">
        <v>15707</v>
      </c>
      <c r="C9921" s="9" t="s">
        <v>613</v>
      </c>
      <c r="D9921" s="9" t="s">
        <v>1577</v>
      </c>
      <c r="E9921" s="6" t="s">
        <v>9409</v>
      </c>
      <c r="F9921" s="9" t="s">
        <v>16391</v>
      </c>
    </row>
    <row r="9922" ht="33.75" customHeight="1">
      <c r="A9922" s="7">
        <v>400.0</v>
      </c>
      <c r="B9922" s="9" t="s">
        <v>15716</v>
      </c>
      <c r="C9922" s="9" t="s">
        <v>614</v>
      </c>
      <c r="D9922" s="9" t="s">
        <v>81</v>
      </c>
      <c r="E9922" s="6" t="s">
        <v>9411</v>
      </c>
      <c r="F9922" s="9" t="s">
        <v>16399</v>
      </c>
      <c r="G9922" t="inlineStr" s="6">
        <is>
          <t xml:space="preserve">It makes Bibarel's nest by damming streams with bark and mud. It is known as an industrious worker. While its movements out of water are sluggish, it can swim as fast as any FEEBAS. A river dammed by BIBAREL will never overflow its banks, which is appreciated by people nearby. It busily makes its nest with stacks of branches and roots it has cut up with its sharp incisors. Bibarel fur repels water and is also a fantastic material for heat retention. These Pokémon create dams on rivers to live in.</t>
        </is>
      </c>
    </row>
    <row r="9923" ht="33.75" customHeight="1">
      <c r="A9923" s="7">
        <v>400.0</v>
      </c>
      <c r="B9923" s="9" t="s">
        <v>15716</v>
      </c>
      <c r="C9923" s="9" t="s">
        <v>614</v>
      </c>
      <c r="D9923" s="9" t="s">
        <v>84</v>
      </c>
      <c r="E9923" s="6" t="s">
        <v>9413</v>
      </c>
      <c r="F9923" s="9" t="s">
        <v>16399</v>
      </c>
    </row>
    <row r="9924" ht="33.75" customHeight="1">
      <c r="A9924" s="7">
        <v>400.0</v>
      </c>
      <c r="B9924" s="9" t="s">
        <v>15716</v>
      </c>
      <c r="C9924" s="9" t="s">
        <v>614</v>
      </c>
      <c r="D9924" s="9" t="s">
        <v>87</v>
      </c>
      <c r="E9924" s="6" t="s">
        <v>9414</v>
      </c>
      <c r="F9924" s="9" t="s">
        <v>16399</v>
      </c>
    </row>
    <row r="9925" ht="33.75" customHeight="1">
      <c r="A9925" s="7">
        <v>400.0</v>
      </c>
      <c r="B9925" s="9" t="s">
        <v>15716</v>
      </c>
      <c r="C9925" s="9" t="s">
        <v>614</v>
      </c>
      <c r="D9925" s="9" t="s">
        <v>89</v>
      </c>
      <c r="E9925" s="6" t="s">
        <v>9416</v>
      </c>
      <c r="F9925" s="9" t="s">
        <v>16399</v>
      </c>
    </row>
    <row r="9926" ht="33.75" customHeight="1">
      <c r="A9926" s="7">
        <v>400.0</v>
      </c>
      <c r="B9926" s="9" t="s">
        <v>15716</v>
      </c>
      <c r="C9926" s="9" t="s">
        <v>614</v>
      </c>
      <c r="D9926" s="9" t="s">
        <v>91</v>
      </c>
      <c r="E9926" s="6" t="s">
        <v>9416</v>
      </c>
      <c r="F9926" s="9" t="s">
        <v>16399</v>
      </c>
    </row>
    <row r="9927" ht="33.75" customHeight="1">
      <c r="A9927" s="7">
        <v>400.0</v>
      </c>
      <c r="B9927" s="9" t="s">
        <v>15716</v>
      </c>
      <c r="C9927" s="9" t="s">
        <v>614</v>
      </c>
      <c r="D9927" s="9" t="s">
        <v>93</v>
      </c>
      <c r="E9927" s="6" t="s">
        <v>9418</v>
      </c>
      <c r="F9927" s="9" t="s">
        <v>16399</v>
      </c>
    </row>
    <row r="9928" ht="33.75" customHeight="1">
      <c r="A9928" s="7">
        <v>400.0</v>
      </c>
      <c r="B9928" s="9" t="s">
        <v>15716</v>
      </c>
      <c r="C9928" s="9" t="s">
        <v>614</v>
      </c>
      <c r="D9928" s="9" t="s">
        <v>95</v>
      </c>
      <c r="E9928" s="6" t="s">
        <v>9418</v>
      </c>
      <c r="F9928" s="9" t="s">
        <v>16399</v>
      </c>
    </row>
    <row r="9929" ht="33.75" customHeight="1">
      <c r="A9929" s="7">
        <v>400.0</v>
      </c>
      <c r="B9929" s="9" t="s">
        <v>15716</v>
      </c>
      <c r="C9929" s="9" t="s">
        <v>614</v>
      </c>
      <c r="D9929" s="9" t="s">
        <v>98</v>
      </c>
      <c r="E9929" s="6" t="s">
        <v>9418</v>
      </c>
      <c r="F9929" s="9" t="s">
        <v>16399</v>
      </c>
    </row>
    <row r="9930" ht="33.75" customHeight="1">
      <c r="A9930" s="7">
        <v>400.0</v>
      </c>
      <c r="B9930" s="9" t="s">
        <v>15716</v>
      </c>
      <c r="C9930" s="9" t="s">
        <v>614</v>
      </c>
      <c r="D9930" s="9" t="s">
        <v>99</v>
      </c>
      <c r="E9930" s="6" t="s">
        <v>9418</v>
      </c>
      <c r="F9930" s="9" t="s">
        <v>16399</v>
      </c>
    </row>
    <row r="9931" ht="33.75" customHeight="1">
      <c r="A9931" s="7">
        <v>400.0</v>
      </c>
      <c r="B9931" s="9" t="s">
        <v>15716</v>
      </c>
      <c r="C9931" s="9" t="s">
        <v>614</v>
      </c>
      <c r="D9931" s="9" t="s">
        <v>101</v>
      </c>
      <c r="E9931" s="6" t="s">
        <v>9416</v>
      </c>
      <c r="F9931" s="9" t="s">
        <v>16399</v>
      </c>
    </row>
    <row r="9932" ht="33.75" customHeight="1">
      <c r="A9932" s="7">
        <v>400.0</v>
      </c>
      <c r="B9932" s="9" t="s">
        <v>15716</v>
      </c>
      <c r="C9932" s="9" t="s">
        <v>614</v>
      </c>
      <c r="D9932" s="9" t="s">
        <v>105</v>
      </c>
      <c r="E9932" s="6" t="s">
        <v>9411</v>
      </c>
      <c r="F9932" s="9" t="s">
        <v>16399</v>
      </c>
    </row>
    <row r="9933" ht="33.75" customHeight="1">
      <c r="A9933" s="7">
        <v>400.0</v>
      </c>
      <c r="B9933" s="9" t="s">
        <v>15716</v>
      </c>
      <c r="C9933" s="9" t="s">
        <v>614</v>
      </c>
      <c r="D9933" s="9" t="s">
        <v>107</v>
      </c>
      <c r="E9933" s="6" t="s">
        <v>9416</v>
      </c>
      <c r="F9933" s="9" t="s">
        <v>16399</v>
      </c>
    </row>
    <row r="9934" ht="33.75" customHeight="1">
      <c r="A9934" s="7">
        <v>400.0</v>
      </c>
      <c r="B9934" s="9" t="s">
        <v>15716</v>
      </c>
      <c r="C9934" s="9" t="s">
        <v>614</v>
      </c>
      <c r="D9934" s="9" t="s">
        <v>109</v>
      </c>
      <c r="E9934" s="6" t="s">
        <v>9411</v>
      </c>
      <c r="F9934" s="9" t="s">
        <v>16399</v>
      </c>
    </row>
    <row r="9935" ht="33.75" customHeight="1">
      <c r="A9935" s="7">
        <v>400.0</v>
      </c>
      <c r="B9935" s="9" t="s">
        <v>15716</v>
      </c>
      <c r="C9935" s="9" t="s">
        <v>614</v>
      </c>
      <c r="D9935" s="9" t="s">
        <v>1577</v>
      </c>
      <c r="E9935" s="6" t="s">
        <v>9419</v>
      </c>
      <c r="F9935" s="9" t="s">
        <v>16399</v>
      </c>
    </row>
    <row r="9936" ht="33.75" customHeight="1">
      <c r="A9936" s="7">
        <v>401.0</v>
      </c>
      <c r="B9936" s="9" t="s">
        <v>15725</v>
      </c>
      <c r="C9936" s="9" t="s">
        <v>616</v>
      </c>
      <c r="D9936" s="9" t="s">
        <v>81</v>
      </c>
      <c r="E9936" s="6" t="s">
        <v>9420</v>
      </c>
      <c r="F9936" s="9" t="s">
        <v>16412</v>
      </c>
      <c r="G9936" t="inlineStr" s="6">
        <is>
          <t xml:space="preserve">It shakes Kricketot's head back to front, causing its antennae to hit each other and sound like a xylophone. It chats with others using the sounds of its colliding antennae. These sounds are fall hallmarks. Its legs are short. Whenever it stumbles, its stiff antennae clack with a xylophone-like sound. When its antennae hit each other, it sounds like the music of a xylophone. When the trees take on new hues, more of these Pokémon appear. The tone they create by striking their antennae together resembles that of the marimba, an instrument of foreign lands.</t>
        </is>
      </c>
    </row>
    <row r="9937" ht="33.75" customHeight="1">
      <c r="A9937" s="7">
        <v>401.0</v>
      </c>
      <c r="B9937" s="9" t="s">
        <v>15725</v>
      </c>
      <c r="C9937" s="9" t="s">
        <v>616</v>
      </c>
      <c r="D9937" s="9" t="s">
        <v>84</v>
      </c>
      <c r="E9937" s="6" t="s">
        <v>9422</v>
      </c>
      <c r="F9937" s="9" t="s">
        <v>16412</v>
      </c>
    </row>
    <row r="9938" ht="33.75" customHeight="1">
      <c r="A9938" s="7">
        <v>401.0</v>
      </c>
      <c r="B9938" s="9" t="s">
        <v>15725</v>
      </c>
      <c r="C9938" s="9" t="s">
        <v>616</v>
      </c>
      <c r="D9938" s="9" t="s">
        <v>87</v>
      </c>
      <c r="E9938" s="6" t="s">
        <v>9424</v>
      </c>
      <c r="F9938" s="9" t="s">
        <v>16412</v>
      </c>
    </row>
    <row r="9939" ht="33.75" customHeight="1">
      <c r="A9939" s="7">
        <v>401.0</v>
      </c>
      <c r="B9939" s="9" t="s">
        <v>15725</v>
      </c>
      <c r="C9939" s="9" t="s">
        <v>616</v>
      </c>
      <c r="D9939" s="9" t="s">
        <v>89</v>
      </c>
      <c r="E9939" s="6" t="s">
        <v>9425</v>
      </c>
      <c r="F9939" s="9" t="s">
        <v>16412</v>
      </c>
    </row>
    <row r="9940" ht="33.75" customHeight="1">
      <c r="A9940" s="7">
        <v>401.0</v>
      </c>
      <c r="B9940" s="9" t="s">
        <v>15725</v>
      </c>
      <c r="C9940" s="9" t="s">
        <v>616</v>
      </c>
      <c r="D9940" s="9" t="s">
        <v>91</v>
      </c>
      <c r="E9940" s="6" t="s">
        <v>9425</v>
      </c>
      <c r="F9940" s="9" t="s">
        <v>16412</v>
      </c>
    </row>
    <row r="9941" ht="33.75" customHeight="1">
      <c r="A9941" s="7">
        <v>401.0</v>
      </c>
      <c r="B9941" s="9" t="s">
        <v>15725</v>
      </c>
      <c r="C9941" s="9" t="s">
        <v>616</v>
      </c>
      <c r="D9941" s="9" t="s">
        <v>93</v>
      </c>
      <c r="E9941" s="6" t="s">
        <v>9424</v>
      </c>
      <c r="F9941" s="9" t="s">
        <v>16412</v>
      </c>
    </row>
    <row r="9942" ht="33.75" customHeight="1">
      <c r="A9942" s="7">
        <v>401.0</v>
      </c>
      <c r="B9942" s="9" t="s">
        <v>15725</v>
      </c>
      <c r="C9942" s="9" t="s">
        <v>616</v>
      </c>
      <c r="D9942" s="9" t="s">
        <v>95</v>
      </c>
      <c r="E9942" s="6" t="s">
        <v>9424</v>
      </c>
      <c r="F9942" s="9" t="s">
        <v>16412</v>
      </c>
    </row>
    <row r="9943" ht="33.75" customHeight="1">
      <c r="A9943" s="7">
        <v>401.0</v>
      </c>
      <c r="B9943" s="9" t="s">
        <v>15725</v>
      </c>
      <c r="C9943" s="9" t="s">
        <v>616</v>
      </c>
      <c r="D9943" s="9" t="s">
        <v>98</v>
      </c>
      <c r="E9943" s="6" t="s">
        <v>9424</v>
      </c>
      <c r="F9943" s="9" t="s">
        <v>16412</v>
      </c>
    </row>
    <row r="9944" ht="33.75" customHeight="1">
      <c r="A9944" s="7">
        <v>401.0</v>
      </c>
      <c r="B9944" s="9" t="s">
        <v>15725</v>
      </c>
      <c r="C9944" s="9" t="s">
        <v>616</v>
      </c>
      <c r="D9944" s="9" t="s">
        <v>99</v>
      </c>
      <c r="E9944" s="6" t="s">
        <v>9424</v>
      </c>
      <c r="F9944" s="9" t="s">
        <v>16412</v>
      </c>
    </row>
    <row r="9945" ht="33.75" customHeight="1">
      <c r="A9945" s="7">
        <v>401.0</v>
      </c>
      <c r="B9945" s="9" t="s">
        <v>15725</v>
      </c>
      <c r="C9945" s="9" t="s">
        <v>616</v>
      </c>
      <c r="D9945" s="9" t="s">
        <v>101</v>
      </c>
      <c r="E9945" s="6" t="s">
        <v>9422</v>
      </c>
      <c r="F9945" s="9" t="s">
        <v>16412</v>
      </c>
    </row>
    <row r="9946" ht="33.75" customHeight="1">
      <c r="A9946" s="7">
        <v>401.0</v>
      </c>
      <c r="B9946" s="9" t="s">
        <v>15725</v>
      </c>
      <c r="C9946" s="9" t="s">
        <v>616</v>
      </c>
      <c r="D9946" s="9" t="s">
        <v>105</v>
      </c>
      <c r="E9946" s="6" t="s">
        <v>9425</v>
      </c>
      <c r="F9946" s="9" t="s">
        <v>16412</v>
      </c>
    </row>
    <row r="9947" ht="33.75" customHeight="1">
      <c r="A9947" s="7">
        <v>401.0</v>
      </c>
      <c r="B9947" s="9" t="s">
        <v>15725</v>
      </c>
      <c r="C9947" s="9" t="s">
        <v>616</v>
      </c>
      <c r="D9947" s="9" t="s">
        <v>107</v>
      </c>
      <c r="E9947" s="6" t="s">
        <v>9422</v>
      </c>
      <c r="F9947" s="9" t="s">
        <v>16412</v>
      </c>
    </row>
    <row r="9948" ht="33.75" customHeight="1">
      <c r="A9948" s="7">
        <v>401.0</v>
      </c>
      <c r="B9948" s="9" t="s">
        <v>15725</v>
      </c>
      <c r="C9948" s="9" t="s">
        <v>616</v>
      </c>
      <c r="D9948" s="9" t="s">
        <v>109</v>
      </c>
      <c r="E9948" s="6" t="s">
        <v>9425</v>
      </c>
      <c r="F9948" s="9" t="s">
        <v>16412</v>
      </c>
    </row>
    <row r="9949" ht="33.75" customHeight="1">
      <c r="A9949" s="7">
        <v>401.0</v>
      </c>
      <c r="B9949" s="9" t="s">
        <v>15725</v>
      </c>
      <c r="C9949" s="9" t="s">
        <v>616</v>
      </c>
      <c r="D9949" s="9" t="s">
        <v>1577</v>
      </c>
      <c r="E9949" s="6" t="s">
        <v>9426</v>
      </c>
      <c r="F9949" s="9" t="s">
        <v>16412</v>
      </c>
    </row>
    <row r="9950" ht="33.75" customHeight="1">
      <c r="A9950" s="7">
        <v>402.0</v>
      </c>
      <c r="B9950" s="9" t="s">
        <v>15733</v>
      </c>
      <c r="C9950" s="9" t="s">
        <v>616</v>
      </c>
      <c r="D9950" s="9" t="s">
        <v>81</v>
      </c>
      <c r="E9950" s="6" t="s">
        <v>9428</v>
      </c>
      <c r="F9950" s="9" t="s">
        <v>16423</v>
      </c>
      <c r="G9950" t="inlineStr" s="6">
        <is>
          <t xml:space="preserve">It crosses Kricketune's knifelike arms in front of its chest when it cries. It can compose melodies ad lib. It signals its emotions with its melodies. Scientists are studying these melodic patterns. There is a village that hosts a contest based on the amazingly variable cries of this Pokémon. By allowing its cry to resonate in the hollow of its belly, it produces a captivating sound. It uses its cutlass-like arms to produce sound, the melody of which varies from individual to individual. It is a worthwhile endeavor to seek out one's favorite tunes.</t>
        </is>
      </c>
    </row>
    <row r="9951" ht="33.75" customHeight="1">
      <c r="A9951" s="7">
        <v>402.0</v>
      </c>
      <c r="B9951" s="9" t="s">
        <v>15733</v>
      </c>
      <c r="C9951" s="9" t="s">
        <v>616</v>
      </c>
      <c r="D9951" s="9" t="s">
        <v>84</v>
      </c>
      <c r="E9951" s="6" t="s">
        <v>9429</v>
      </c>
      <c r="F9951" s="9" t="s">
        <v>16423</v>
      </c>
    </row>
    <row r="9952" ht="33.75" customHeight="1">
      <c r="A9952" s="7">
        <v>402.0</v>
      </c>
      <c r="B9952" s="9" t="s">
        <v>15733</v>
      </c>
      <c r="C9952" s="9" t="s">
        <v>616</v>
      </c>
      <c r="D9952" s="9" t="s">
        <v>87</v>
      </c>
      <c r="E9952" s="6" t="s">
        <v>9430</v>
      </c>
      <c r="F9952" s="9" t="s">
        <v>16423</v>
      </c>
    </row>
    <row r="9953" ht="33.75" customHeight="1">
      <c r="A9953" s="7">
        <v>402.0</v>
      </c>
      <c r="B9953" s="9" t="s">
        <v>15733</v>
      </c>
      <c r="C9953" s="9" t="s">
        <v>616</v>
      </c>
      <c r="D9953" s="9" t="s">
        <v>89</v>
      </c>
      <c r="E9953" s="6" t="s">
        <v>9431</v>
      </c>
      <c r="F9953" s="9" t="s">
        <v>16423</v>
      </c>
    </row>
    <row r="9954" ht="33.75" customHeight="1">
      <c r="A9954" s="7">
        <v>402.0</v>
      </c>
      <c r="B9954" s="9" t="s">
        <v>15733</v>
      </c>
      <c r="C9954" s="9" t="s">
        <v>616</v>
      </c>
      <c r="D9954" s="9" t="s">
        <v>91</v>
      </c>
      <c r="E9954" s="6" t="s">
        <v>9431</v>
      </c>
      <c r="F9954" s="9" t="s">
        <v>16423</v>
      </c>
    </row>
    <row r="9955" ht="33.75" customHeight="1">
      <c r="A9955" s="7">
        <v>402.0</v>
      </c>
      <c r="B9955" s="9" t="s">
        <v>15733</v>
      </c>
      <c r="C9955" s="9" t="s">
        <v>616</v>
      </c>
      <c r="D9955" s="9" t="s">
        <v>93</v>
      </c>
      <c r="E9955" s="6" t="s">
        <v>9430</v>
      </c>
      <c r="F9955" s="9" t="s">
        <v>16423</v>
      </c>
    </row>
    <row r="9956" ht="33.75" customHeight="1">
      <c r="A9956" s="7">
        <v>402.0</v>
      </c>
      <c r="B9956" s="9" t="s">
        <v>15733</v>
      </c>
      <c r="C9956" s="9" t="s">
        <v>616</v>
      </c>
      <c r="D9956" s="9" t="s">
        <v>95</v>
      </c>
      <c r="E9956" s="6" t="s">
        <v>9430</v>
      </c>
      <c r="F9956" s="9" t="s">
        <v>16423</v>
      </c>
    </row>
    <row r="9957" ht="33.75" customHeight="1">
      <c r="A9957" s="7">
        <v>402.0</v>
      </c>
      <c r="B9957" s="9" t="s">
        <v>15733</v>
      </c>
      <c r="C9957" s="9" t="s">
        <v>616</v>
      </c>
      <c r="D9957" s="9" t="s">
        <v>98</v>
      </c>
      <c r="E9957" s="6" t="s">
        <v>9430</v>
      </c>
      <c r="F9957" s="9" t="s">
        <v>16423</v>
      </c>
    </row>
    <row r="9958" ht="33.75" customHeight="1">
      <c r="A9958" s="7">
        <v>402.0</v>
      </c>
      <c r="B9958" s="9" t="s">
        <v>15733</v>
      </c>
      <c r="C9958" s="9" t="s">
        <v>616</v>
      </c>
      <c r="D9958" s="9" t="s">
        <v>99</v>
      </c>
      <c r="E9958" s="6" t="s">
        <v>9430</v>
      </c>
      <c r="F9958" s="9" t="s">
        <v>16423</v>
      </c>
    </row>
    <row r="9959" ht="33.75" customHeight="1">
      <c r="A9959" s="7">
        <v>402.0</v>
      </c>
      <c r="B9959" s="9" t="s">
        <v>15733</v>
      </c>
      <c r="C9959" s="9" t="s">
        <v>616</v>
      </c>
      <c r="D9959" s="9" t="s">
        <v>101</v>
      </c>
      <c r="E9959" s="6" t="s">
        <v>9428</v>
      </c>
      <c r="F9959" s="9" t="s">
        <v>16423</v>
      </c>
    </row>
    <row r="9960" ht="33.75" customHeight="1">
      <c r="A9960" s="7">
        <v>402.0</v>
      </c>
      <c r="B9960" s="9" t="s">
        <v>15733</v>
      </c>
      <c r="C9960" s="9" t="s">
        <v>616</v>
      </c>
      <c r="D9960" s="9" t="s">
        <v>105</v>
      </c>
      <c r="E9960" s="6" t="s">
        <v>9429</v>
      </c>
      <c r="F9960" s="9" t="s">
        <v>16423</v>
      </c>
    </row>
    <row r="9961" ht="33.75" customHeight="1">
      <c r="A9961" s="7">
        <v>402.0</v>
      </c>
      <c r="B9961" s="9" t="s">
        <v>15733</v>
      </c>
      <c r="C9961" s="9" t="s">
        <v>616</v>
      </c>
      <c r="D9961" s="9" t="s">
        <v>107</v>
      </c>
      <c r="E9961" s="6" t="s">
        <v>9428</v>
      </c>
      <c r="F9961" s="9" t="s">
        <v>16423</v>
      </c>
    </row>
    <row r="9962" ht="33.75" customHeight="1">
      <c r="A9962" s="7">
        <v>402.0</v>
      </c>
      <c r="B9962" s="9" t="s">
        <v>15733</v>
      </c>
      <c r="C9962" s="9" t="s">
        <v>616</v>
      </c>
      <c r="D9962" s="9" t="s">
        <v>109</v>
      </c>
      <c r="E9962" s="6" t="s">
        <v>9429</v>
      </c>
      <c r="F9962" s="9" t="s">
        <v>16423</v>
      </c>
    </row>
    <row r="9963" ht="33.75" customHeight="1">
      <c r="A9963" s="7">
        <v>402.0</v>
      </c>
      <c r="B9963" s="9" t="s">
        <v>15733</v>
      </c>
      <c r="C9963" s="9" t="s">
        <v>616</v>
      </c>
      <c r="D9963" s="9" t="s">
        <v>1577</v>
      </c>
      <c r="E9963" s="6" t="s">
        <v>9432</v>
      </c>
      <c r="F9963" s="9" t="s">
        <v>16423</v>
      </c>
    </row>
    <row r="9964" ht="33.75" customHeight="1">
      <c r="A9964" s="7">
        <v>403.0</v>
      </c>
      <c r="B9964" s="9" t="s">
        <v>15739</v>
      </c>
      <c r="C9964" s="9" t="s">
        <v>618</v>
      </c>
      <c r="D9964" s="9" t="s">
        <v>81</v>
      </c>
      <c r="E9964" s="6" t="s">
        <v>9434</v>
      </c>
      <c r="F9964" s="9" t="s">
        <v>16429</v>
      </c>
      <c r="G9964" t="inlineStr" s="6">
        <is>
          <t xml:space="preserve">All of Shinx's fur dazzles if danger is sensed. It flees while the foe is momentarily blinded. Its forelegs have a muscle-based system of generating electricity. Its body shines if endangered. The extension and contraction of its muscles generates electricity. It glows when in trouble. Its fur glows when it’s in trouble. This Pokémon generates electricity by contracting its muscles. Excited trembling is a sign that Shinx is generating a tremendous amount of electricity. Electricity makes this Pokémon’s fur glow. Shinx sends signals to others of its kind by shaking the tip of its tail while the tail tip is shining brightly. Shakes its body to generate electricity. Its stature belies its aggression—one must be patient to tame this Pokémon.</t>
        </is>
      </c>
    </row>
    <row r="9965" ht="33.75" customHeight="1">
      <c r="A9965" s="7">
        <v>403.0</v>
      </c>
      <c r="B9965" s="9" t="s">
        <v>15739</v>
      </c>
      <c r="C9965" s="9" t="s">
        <v>618</v>
      </c>
      <c r="D9965" s="9" t="s">
        <v>84</v>
      </c>
      <c r="E9965" s="6" t="s">
        <v>9436</v>
      </c>
      <c r="F9965" s="9" t="s">
        <v>16429</v>
      </c>
    </row>
    <row r="9966" ht="33.75" customHeight="1">
      <c r="A9966" s="7">
        <v>403.0</v>
      </c>
      <c r="B9966" s="9" t="s">
        <v>15739</v>
      </c>
      <c r="C9966" s="9" t="s">
        <v>618</v>
      </c>
      <c r="D9966" s="9" t="s">
        <v>87</v>
      </c>
      <c r="E9966" s="6" t="s">
        <v>9437</v>
      </c>
      <c r="F9966" s="9" t="s">
        <v>16429</v>
      </c>
    </row>
    <row r="9967" ht="33.75" customHeight="1">
      <c r="A9967" s="7">
        <v>403.0</v>
      </c>
      <c r="B9967" s="9" t="s">
        <v>15739</v>
      </c>
      <c r="C9967" s="9" t="s">
        <v>618</v>
      </c>
      <c r="D9967" s="9" t="s">
        <v>89</v>
      </c>
      <c r="E9967" s="6" t="s">
        <v>9438</v>
      </c>
      <c r="F9967" s="9" t="s">
        <v>16429</v>
      </c>
    </row>
    <row r="9968" ht="33.75" customHeight="1">
      <c r="A9968" s="7">
        <v>403.0</v>
      </c>
      <c r="B9968" s="9" t="s">
        <v>15739</v>
      </c>
      <c r="C9968" s="9" t="s">
        <v>618</v>
      </c>
      <c r="D9968" s="9" t="s">
        <v>91</v>
      </c>
      <c r="E9968" s="6" t="s">
        <v>9438</v>
      </c>
      <c r="F9968" s="9" t="s">
        <v>16429</v>
      </c>
    </row>
    <row r="9969" ht="33.75" customHeight="1">
      <c r="A9969" s="7">
        <v>403.0</v>
      </c>
      <c r="B9969" s="9" t="s">
        <v>15739</v>
      </c>
      <c r="C9969" s="9" t="s">
        <v>618</v>
      </c>
      <c r="D9969" s="9" t="s">
        <v>93</v>
      </c>
      <c r="E9969" s="6" t="s">
        <v>9437</v>
      </c>
      <c r="F9969" s="9" t="s">
        <v>16429</v>
      </c>
    </row>
    <row r="9970" ht="33.75" customHeight="1">
      <c r="A9970" s="7">
        <v>403.0</v>
      </c>
      <c r="B9970" s="9" t="s">
        <v>15739</v>
      </c>
      <c r="C9970" s="9" t="s">
        <v>618</v>
      </c>
      <c r="D9970" s="9" t="s">
        <v>95</v>
      </c>
      <c r="E9970" s="6" t="s">
        <v>9437</v>
      </c>
      <c r="F9970" s="9" t="s">
        <v>16429</v>
      </c>
    </row>
    <row r="9971" ht="33.75" customHeight="1">
      <c r="A9971" s="7">
        <v>403.0</v>
      </c>
      <c r="B9971" s="9" t="s">
        <v>15739</v>
      </c>
      <c r="C9971" s="9" t="s">
        <v>618</v>
      </c>
      <c r="D9971" s="9" t="s">
        <v>98</v>
      </c>
      <c r="E9971" s="6" t="s">
        <v>9437</v>
      </c>
      <c r="F9971" s="9" t="s">
        <v>16429</v>
      </c>
    </row>
    <row r="9972" ht="33.75" customHeight="1">
      <c r="A9972" s="7">
        <v>403.0</v>
      </c>
      <c r="B9972" s="9" t="s">
        <v>15739</v>
      </c>
      <c r="C9972" s="9" t="s">
        <v>618</v>
      </c>
      <c r="D9972" s="9" t="s">
        <v>99</v>
      </c>
      <c r="E9972" s="6" t="s">
        <v>9437</v>
      </c>
      <c r="F9972" s="9" t="s">
        <v>16429</v>
      </c>
    </row>
    <row r="9973" ht="33.75" customHeight="1">
      <c r="A9973" s="7">
        <v>403.0</v>
      </c>
      <c r="B9973" s="9" t="s">
        <v>15739</v>
      </c>
      <c r="C9973" s="9" t="s">
        <v>618</v>
      </c>
      <c r="D9973" s="9" t="s">
        <v>101</v>
      </c>
      <c r="E9973" s="6" t="s">
        <v>9437</v>
      </c>
      <c r="F9973" s="9" t="s">
        <v>16429</v>
      </c>
    </row>
    <row r="9974" ht="33.75" customHeight="1">
      <c r="A9974" s="7">
        <v>403.0</v>
      </c>
      <c r="B9974" s="9" t="s">
        <v>15739</v>
      </c>
      <c r="C9974" s="9" t="s">
        <v>618</v>
      </c>
      <c r="D9974" s="9" t="s">
        <v>105</v>
      </c>
      <c r="E9974" s="6" t="s">
        <v>9434</v>
      </c>
      <c r="F9974" s="9" t="s">
        <v>16429</v>
      </c>
    </row>
    <row r="9975" ht="33.75" customHeight="1">
      <c r="A9975" s="7">
        <v>403.0</v>
      </c>
      <c r="B9975" s="9" t="s">
        <v>15739</v>
      </c>
      <c r="C9975" s="9" t="s">
        <v>618</v>
      </c>
      <c r="D9975" s="9" t="s">
        <v>107</v>
      </c>
      <c r="E9975" s="6" t="s">
        <v>9437</v>
      </c>
      <c r="F9975" s="9" t="s">
        <v>16429</v>
      </c>
    </row>
    <row r="9976" ht="33.75" customHeight="1">
      <c r="A9976" s="7">
        <v>403.0</v>
      </c>
      <c r="B9976" s="9" t="s">
        <v>15739</v>
      </c>
      <c r="C9976" s="9" t="s">
        <v>618</v>
      </c>
      <c r="D9976" s="9" t="s">
        <v>109</v>
      </c>
      <c r="E9976" s="6" t="s">
        <v>9434</v>
      </c>
      <c r="F9976" s="9" t="s">
        <v>16429</v>
      </c>
    </row>
    <row r="9977" ht="33.75" customHeight="1">
      <c r="A9977" s="7">
        <v>403.0</v>
      </c>
      <c r="B9977" s="9" t="s">
        <v>15739</v>
      </c>
      <c r="C9977" s="9" t="s">
        <v>618</v>
      </c>
      <c r="D9977" s="9" t="s">
        <v>114</v>
      </c>
      <c r="E9977" s="6" t="s">
        <v>9439</v>
      </c>
      <c r="F9977" s="9" t="s">
        <v>16429</v>
      </c>
    </row>
    <row r="9978" ht="33.75" customHeight="1">
      <c r="A9978" s="7">
        <v>403.0</v>
      </c>
      <c r="B9978" s="9" t="s">
        <v>15739</v>
      </c>
      <c r="C9978" s="9" t="s">
        <v>618</v>
      </c>
      <c r="D9978" s="9" t="s">
        <v>117</v>
      </c>
      <c r="E9978" s="6" t="s">
        <v>9440</v>
      </c>
      <c r="F9978" s="9" t="s">
        <v>16429</v>
      </c>
    </row>
    <row r="9979" ht="33.75" customHeight="1">
      <c r="A9979" s="7">
        <v>403.0</v>
      </c>
      <c r="B9979" s="9" t="s">
        <v>15739</v>
      </c>
      <c r="C9979" s="9" t="s">
        <v>618</v>
      </c>
      <c r="D9979" s="9" t="s">
        <v>1577</v>
      </c>
      <c r="E9979" s="6" t="s">
        <v>9441</v>
      </c>
      <c r="F9979" s="9" t="s">
        <v>16429</v>
      </c>
    </row>
    <row r="9980" ht="33.75" customHeight="1">
      <c r="A9980" s="7">
        <v>404.0</v>
      </c>
      <c r="B9980" s="9" t="s">
        <v>15749</v>
      </c>
      <c r="C9980" s="9" t="s">
        <v>619</v>
      </c>
      <c r="D9980" s="9" t="s">
        <v>81</v>
      </c>
      <c r="E9980" s="6" t="s">
        <v>9442</v>
      </c>
      <c r="F9980" s="9" t="s">
        <v>16439</v>
      </c>
      <c r="G9980" t="inlineStr" s="6">
        <is>
          <t xml:space="preserve">Luxio's claws loose electricity with enough amperage to cause fainting. They live in small groups. It rests its forelegs on others to communicate with rhythmic electric pulses from its claws. Strong electricity courses through the tips of its sharp claws. A light scratch causes fainting in foes. By gathering their tails together, they collectively generate powerful electricity from their claws. By joining its tail with that of another Luxio, this Pokémon can receive some of the other Luxio’s electricity and power up its own electric blasts. Upon encountering an opponent, this Pokémon prepares for battle by extending its claws, which can put out 1,000,000 volts of electricity. Proudly uses its electrified claws as weapons. It seems to be a gracious Pokémon, evenly sharing the spoils of the hunt with others of its kind.</t>
        </is>
      </c>
    </row>
    <row r="9981" ht="33.75" customHeight="1">
      <c r="A9981" s="7">
        <v>404.0</v>
      </c>
      <c r="B9981" s="9" t="s">
        <v>15749</v>
      </c>
      <c r="C9981" s="9" t="s">
        <v>619</v>
      </c>
      <c r="D9981" s="9" t="s">
        <v>84</v>
      </c>
      <c r="E9981" s="6" t="s">
        <v>9443</v>
      </c>
      <c r="F9981" s="9" t="s">
        <v>16439</v>
      </c>
    </row>
    <row r="9982" ht="33.75" customHeight="1">
      <c r="A9982" s="7">
        <v>404.0</v>
      </c>
      <c r="B9982" s="9" t="s">
        <v>15749</v>
      </c>
      <c r="C9982" s="9" t="s">
        <v>619</v>
      </c>
      <c r="D9982" s="9" t="s">
        <v>87</v>
      </c>
      <c r="E9982" s="6" t="s">
        <v>9445</v>
      </c>
      <c r="F9982" s="9" t="s">
        <v>16439</v>
      </c>
    </row>
    <row r="9983" ht="33.75" customHeight="1">
      <c r="A9983" s="7">
        <v>404.0</v>
      </c>
      <c r="B9983" s="9" t="s">
        <v>15749</v>
      </c>
      <c r="C9983" s="9" t="s">
        <v>619</v>
      </c>
      <c r="D9983" s="9" t="s">
        <v>89</v>
      </c>
      <c r="E9983" s="6" t="s">
        <v>9446</v>
      </c>
      <c r="F9983" s="9" t="s">
        <v>16439</v>
      </c>
    </row>
    <row r="9984" ht="33.75" customHeight="1">
      <c r="A9984" s="7">
        <v>404.0</v>
      </c>
      <c r="B9984" s="9" t="s">
        <v>15749</v>
      </c>
      <c r="C9984" s="9" t="s">
        <v>619</v>
      </c>
      <c r="D9984" s="9" t="s">
        <v>91</v>
      </c>
      <c r="E9984" s="6" t="s">
        <v>9446</v>
      </c>
      <c r="F9984" s="9" t="s">
        <v>16439</v>
      </c>
    </row>
    <row r="9985" ht="33.75" customHeight="1">
      <c r="A9985" s="7">
        <v>404.0</v>
      </c>
      <c r="B9985" s="9" t="s">
        <v>15749</v>
      </c>
      <c r="C9985" s="9" t="s">
        <v>619</v>
      </c>
      <c r="D9985" s="9" t="s">
        <v>93</v>
      </c>
      <c r="E9985" s="6" t="s">
        <v>9445</v>
      </c>
      <c r="F9985" s="9" t="s">
        <v>16439</v>
      </c>
    </row>
    <row r="9986" ht="33.75" customHeight="1">
      <c r="A9986" s="7">
        <v>404.0</v>
      </c>
      <c r="B9986" s="9" t="s">
        <v>15749</v>
      </c>
      <c r="C9986" s="9" t="s">
        <v>619</v>
      </c>
      <c r="D9986" s="9" t="s">
        <v>95</v>
      </c>
      <c r="E9986" s="6" t="s">
        <v>9445</v>
      </c>
      <c r="F9986" s="9" t="s">
        <v>16439</v>
      </c>
    </row>
    <row r="9987" ht="33.75" customHeight="1">
      <c r="A9987" s="7">
        <v>404.0</v>
      </c>
      <c r="B9987" s="9" t="s">
        <v>15749</v>
      </c>
      <c r="C9987" s="9" t="s">
        <v>619</v>
      </c>
      <c r="D9987" s="9" t="s">
        <v>98</v>
      </c>
      <c r="E9987" s="6" t="s">
        <v>9445</v>
      </c>
      <c r="F9987" s="9" t="s">
        <v>16439</v>
      </c>
    </row>
    <row r="9988" ht="33.75" customHeight="1">
      <c r="A9988" s="7">
        <v>404.0</v>
      </c>
      <c r="B9988" s="9" t="s">
        <v>15749</v>
      </c>
      <c r="C9988" s="9" t="s">
        <v>619</v>
      </c>
      <c r="D9988" s="9" t="s">
        <v>99</v>
      </c>
      <c r="E9988" s="6" t="s">
        <v>9445</v>
      </c>
      <c r="F9988" s="9" t="s">
        <v>16439</v>
      </c>
    </row>
    <row r="9989" ht="33.75" customHeight="1">
      <c r="A9989" s="7">
        <v>404.0</v>
      </c>
      <c r="B9989" s="9" t="s">
        <v>15749</v>
      </c>
      <c r="C9989" s="9" t="s">
        <v>619</v>
      </c>
      <c r="D9989" s="9" t="s">
        <v>101</v>
      </c>
      <c r="E9989" s="6" t="s">
        <v>9442</v>
      </c>
      <c r="F9989" s="9" t="s">
        <v>16439</v>
      </c>
    </row>
    <row r="9990" ht="33.75" customHeight="1">
      <c r="A9990" s="7">
        <v>404.0</v>
      </c>
      <c r="B9990" s="9" t="s">
        <v>15749</v>
      </c>
      <c r="C9990" s="9" t="s">
        <v>619</v>
      </c>
      <c r="D9990" s="9" t="s">
        <v>105</v>
      </c>
      <c r="E9990" s="6" t="s">
        <v>9445</v>
      </c>
      <c r="F9990" s="9" t="s">
        <v>16439</v>
      </c>
    </row>
    <row r="9991" ht="33.75" customHeight="1">
      <c r="A9991" s="7">
        <v>404.0</v>
      </c>
      <c r="B9991" s="9" t="s">
        <v>15749</v>
      </c>
      <c r="C9991" s="9" t="s">
        <v>619</v>
      </c>
      <c r="D9991" s="9" t="s">
        <v>107</v>
      </c>
      <c r="E9991" s="6" t="s">
        <v>9442</v>
      </c>
      <c r="F9991" s="9" t="s">
        <v>16439</v>
      </c>
    </row>
    <row r="9992" ht="33.75" customHeight="1">
      <c r="A9992" s="7">
        <v>404.0</v>
      </c>
      <c r="B9992" s="9" t="s">
        <v>15749</v>
      </c>
      <c r="C9992" s="9" t="s">
        <v>619</v>
      </c>
      <c r="D9992" s="9" t="s">
        <v>109</v>
      </c>
      <c r="E9992" s="6" t="s">
        <v>9445</v>
      </c>
      <c r="F9992" s="9" t="s">
        <v>16439</v>
      </c>
    </row>
    <row r="9993" ht="33.75" customHeight="1">
      <c r="A9993" s="7">
        <v>404.0</v>
      </c>
      <c r="B9993" s="9" t="s">
        <v>15749</v>
      </c>
      <c r="C9993" s="9" t="s">
        <v>619</v>
      </c>
      <c r="D9993" s="9" t="s">
        <v>114</v>
      </c>
      <c r="E9993" s="6" t="s">
        <v>9448</v>
      </c>
      <c r="F9993" s="9" t="s">
        <v>16439</v>
      </c>
    </row>
    <row r="9994" ht="33.75" customHeight="1">
      <c r="A9994" s="7">
        <v>404.0</v>
      </c>
      <c r="B9994" s="9" t="s">
        <v>15749</v>
      </c>
      <c r="C9994" s="9" t="s">
        <v>619</v>
      </c>
      <c r="D9994" s="9" t="s">
        <v>117</v>
      </c>
      <c r="E9994" s="6" t="s">
        <v>9449</v>
      </c>
      <c r="F9994" s="9" t="s">
        <v>16439</v>
      </c>
    </row>
    <row r="9995" ht="33.75" customHeight="1">
      <c r="A9995" s="7">
        <v>404.0</v>
      </c>
      <c r="B9995" s="9" t="s">
        <v>15749</v>
      </c>
      <c r="C9995" s="9" t="s">
        <v>619</v>
      </c>
      <c r="D9995" s="9" t="s">
        <v>1577</v>
      </c>
      <c r="E9995" s="6" t="s">
        <v>9451</v>
      </c>
      <c r="F9995" s="9" t="s">
        <v>16439</v>
      </c>
    </row>
    <row r="9996" ht="33.75" customHeight="1">
      <c r="A9996" s="7">
        <v>405.0</v>
      </c>
      <c r="B9996" s="9" t="s">
        <v>15759</v>
      </c>
      <c r="C9996" s="9" t="s">
        <v>620</v>
      </c>
      <c r="D9996" s="9" t="s">
        <v>81</v>
      </c>
      <c r="E9996" s="6" t="s">
        <v>9454</v>
      </c>
      <c r="F9996" s="9" t="s">
        <v>16449</v>
      </c>
      <c r="G9996" t="inlineStr" s="6">
        <is>
          <t xml:space="preserve">Luxray has eyes that can see through anything. It spots and captures prey hiding behind objects. When its eyes gleam gold, it can spot hiding prey--even those taking shelter behind a wall. It can see clearly through walls to track down its prey and seek its lost young. LUXRAY’s ability to see through objects comes in handy when it’s scouting for danger. When its eyes gleam gold, it can spot hiding prey—even those taking shelter behind a wall. Luxray can see through solid objects. It will instantly spot prey trying to hide behind walls, even if the walls are thick. Seeing through solid objects uses up a lot of Luxray’s electricity, so the Pokémon sleeps for long periods of time to store up energy. They form packs, each having one male as leader. Legends say that when Luxray's two eyes shimmer with gold, the Pokémon can see through anything.</t>
        </is>
      </c>
    </row>
    <row r="9997" ht="33.75" customHeight="1">
      <c r="A9997" s="7">
        <v>405.0</v>
      </c>
      <c r="B9997" s="9" t="s">
        <v>15759</v>
      </c>
      <c r="C9997" s="9" t="s">
        <v>620</v>
      </c>
      <c r="D9997" s="9" t="s">
        <v>84</v>
      </c>
      <c r="E9997" s="6" t="s">
        <v>9455</v>
      </c>
      <c r="F9997" s="9" t="s">
        <v>16449</v>
      </c>
    </row>
    <row r="9998" ht="33.75" customHeight="1">
      <c r="A9998" s="7">
        <v>405.0</v>
      </c>
      <c r="B9998" s="9" t="s">
        <v>15759</v>
      </c>
      <c r="C9998" s="9" t="s">
        <v>620</v>
      </c>
      <c r="D9998" s="9" t="s">
        <v>87</v>
      </c>
      <c r="E9998" s="6" t="s">
        <v>9456</v>
      </c>
      <c r="F9998" s="9" t="s">
        <v>16449</v>
      </c>
    </row>
    <row r="9999" ht="33.75" customHeight="1">
      <c r="A9999" s="7">
        <v>405.0</v>
      </c>
      <c r="B9999" s="9" t="s">
        <v>15759</v>
      </c>
      <c r="C9999" s="9" t="s">
        <v>620</v>
      </c>
      <c r="D9999" s="9" t="s">
        <v>89</v>
      </c>
      <c r="E9999" s="6" t="s">
        <v>9458</v>
      </c>
      <c r="F9999" s="9" t="s">
        <v>16449</v>
      </c>
    </row>
    <row r="10000" ht="33.75" customHeight="1">
      <c r="A10000" s="7">
        <v>405.0</v>
      </c>
      <c r="B10000" s="9" t="s">
        <v>15759</v>
      </c>
      <c r="C10000" s="9" t="s">
        <v>620</v>
      </c>
      <c r="D10000" s="9" t="s">
        <v>91</v>
      </c>
      <c r="E10000" s="6" t="s">
        <v>9458</v>
      </c>
      <c r="F10000" s="9" t="s">
        <v>16449</v>
      </c>
    </row>
    <row r="10001" ht="33.75" customHeight="1">
      <c r="A10001" s="7">
        <v>405.0</v>
      </c>
      <c r="B10001" s="9" t="s">
        <v>15759</v>
      </c>
      <c r="C10001" s="9" t="s">
        <v>620</v>
      </c>
      <c r="D10001" s="9" t="s">
        <v>93</v>
      </c>
      <c r="E10001" s="6" t="s">
        <v>9456</v>
      </c>
      <c r="F10001" s="9" t="s">
        <v>16449</v>
      </c>
    </row>
    <row r="10002" ht="33.75" customHeight="1">
      <c r="A10002" s="7">
        <v>405.0</v>
      </c>
      <c r="B10002" s="9" t="s">
        <v>15759</v>
      </c>
      <c r="C10002" s="9" t="s">
        <v>620</v>
      </c>
      <c r="D10002" s="9" t="s">
        <v>95</v>
      </c>
      <c r="E10002" s="6" t="s">
        <v>9456</v>
      </c>
      <c r="F10002" s="9" t="s">
        <v>16449</v>
      </c>
    </row>
    <row r="10003" ht="33.75" customHeight="1">
      <c r="A10003" s="7">
        <v>405.0</v>
      </c>
      <c r="B10003" s="9" t="s">
        <v>15759</v>
      </c>
      <c r="C10003" s="9" t="s">
        <v>620</v>
      </c>
      <c r="D10003" s="9" t="s">
        <v>98</v>
      </c>
      <c r="E10003" s="6" t="s">
        <v>9456</v>
      </c>
      <c r="F10003" s="9" t="s">
        <v>16449</v>
      </c>
    </row>
    <row r="10004" ht="33.75" customHeight="1">
      <c r="A10004" s="7">
        <v>405.0</v>
      </c>
      <c r="B10004" s="9" t="s">
        <v>15759</v>
      </c>
      <c r="C10004" s="9" t="s">
        <v>620</v>
      </c>
      <c r="D10004" s="9" t="s">
        <v>99</v>
      </c>
      <c r="E10004" s="6" t="s">
        <v>9456</v>
      </c>
      <c r="F10004" s="9" t="s">
        <v>16449</v>
      </c>
    </row>
    <row r="10005" ht="33.75" customHeight="1">
      <c r="A10005" s="7">
        <v>405.0</v>
      </c>
      <c r="B10005" s="9" t="s">
        <v>15759</v>
      </c>
      <c r="C10005" s="9" t="s">
        <v>620</v>
      </c>
      <c r="D10005" s="9" t="s">
        <v>101</v>
      </c>
      <c r="E10005" s="6" t="s">
        <v>9455</v>
      </c>
      <c r="F10005" s="9" t="s">
        <v>16449</v>
      </c>
    </row>
    <row r="10006" ht="33.75" customHeight="1">
      <c r="A10006" s="7">
        <v>405.0</v>
      </c>
      <c r="B10006" s="9" t="s">
        <v>15759</v>
      </c>
      <c r="C10006" s="9" t="s">
        <v>620</v>
      </c>
      <c r="D10006" s="9" t="s">
        <v>105</v>
      </c>
      <c r="E10006" s="6" t="s">
        <v>9460</v>
      </c>
      <c r="F10006" s="9" t="s">
        <v>16449</v>
      </c>
    </row>
    <row r="10007" ht="33.75" customHeight="1">
      <c r="A10007" s="7">
        <v>405.0</v>
      </c>
      <c r="B10007" s="9" t="s">
        <v>15759</v>
      </c>
      <c r="C10007" s="9" t="s">
        <v>620</v>
      </c>
      <c r="D10007" s="9" t="s">
        <v>107</v>
      </c>
      <c r="E10007" s="6" t="s">
        <v>9461</v>
      </c>
      <c r="F10007" s="9" t="s">
        <v>16449</v>
      </c>
    </row>
    <row r="10008" ht="33.75" customHeight="1">
      <c r="A10008" s="7">
        <v>405.0</v>
      </c>
      <c r="B10008" s="9" t="s">
        <v>15759</v>
      </c>
      <c r="C10008" s="9" t="s">
        <v>620</v>
      </c>
      <c r="D10008" s="9" t="s">
        <v>109</v>
      </c>
      <c r="E10008" s="6" t="s">
        <v>9460</v>
      </c>
      <c r="F10008" s="9" t="s">
        <v>16449</v>
      </c>
    </row>
    <row r="10009" ht="33.75" customHeight="1">
      <c r="A10009" s="7">
        <v>405.0</v>
      </c>
      <c r="B10009" s="9" t="s">
        <v>15759</v>
      </c>
      <c r="C10009" s="9" t="s">
        <v>620</v>
      </c>
      <c r="D10009" s="9" t="s">
        <v>114</v>
      </c>
      <c r="E10009" s="6" t="s">
        <v>9463</v>
      </c>
      <c r="F10009" s="9" t="s">
        <v>16449</v>
      </c>
    </row>
    <row r="10010" ht="33.75" customHeight="1">
      <c r="A10010" s="7">
        <v>405.0</v>
      </c>
      <c r="B10010" s="9" t="s">
        <v>15759</v>
      </c>
      <c r="C10010" s="9" t="s">
        <v>620</v>
      </c>
      <c r="D10010" s="9" t="s">
        <v>117</v>
      </c>
      <c r="E10010" s="6" t="s">
        <v>9465</v>
      </c>
      <c r="F10010" s="9" t="s">
        <v>16449</v>
      </c>
    </row>
    <row r="10011" ht="33.75" customHeight="1">
      <c r="A10011" s="7">
        <v>405.0</v>
      </c>
      <c r="B10011" s="9" t="s">
        <v>15759</v>
      </c>
      <c r="C10011" s="9" t="s">
        <v>620</v>
      </c>
      <c r="D10011" s="9" t="s">
        <v>1577</v>
      </c>
      <c r="E10011" s="6" t="s">
        <v>9467</v>
      </c>
      <c r="F10011" s="9" t="s">
        <v>16449</v>
      </c>
    </row>
    <row r="10012" ht="33.75" customHeight="1">
      <c r="A10012" s="7">
        <v>406.0</v>
      </c>
      <c r="B10012" s="9" t="s">
        <v>15770</v>
      </c>
      <c r="C10012" s="9" t="s">
        <v>621</v>
      </c>
      <c r="D10012" s="9" t="s">
        <v>81</v>
      </c>
      <c r="E10012" s="6" t="s">
        <v>9469</v>
      </c>
      <c r="F10012" s="9" t="s">
        <v>16458</v>
      </c>
      <c r="G10012" t="inlineStr" s="6">
        <is>
          <t xml:space="preserve">Over the winter, it closes Budew's bud and endures the cold. In spring, the bud opens and releases pollen. It lives alongside clear ponds. It scatters pollen that induces harsh sneezing and runny noses. Sensitive to changing temperature, the bud is said to bloom when it feels the sun’s warm touch. When it feels the sun’s warm touch, it opens its bud to release pollen. It lives alongside clear pools. Sensitive to changing temperatures, the bud blooms when it’s warm, releasing toxic pollen. The pollen it releases contains poison. If this Pokémon is raised on clean water, the poison’s toxicity is increased. This Pokémon is highly sensitive to temperature changes. When its bud starts to open, that means spring is right around the corner. When the sun's light strengthens, the bud atop this Pokémon's head opens. This is a sign to the people that the harsh winter is over, and the season of budding has begun.</t>
        </is>
      </c>
    </row>
    <row r="10013" ht="33.75" customHeight="1">
      <c r="A10013" s="7">
        <v>406.0</v>
      </c>
      <c r="B10013" s="9" t="s">
        <v>15770</v>
      </c>
      <c r="C10013" s="9" t="s">
        <v>621</v>
      </c>
      <c r="D10013" s="9" t="s">
        <v>84</v>
      </c>
      <c r="E10013" s="6" t="s">
        <v>9470</v>
      </c>
      <c r="F10013" s="9" t="s">
        <v>16458</v>
      </c>
    </row>
    <row r="10014" ht="33.75" customHeight="1">
      <c r="A10014" s="7">
        <v>406.0</v>
      </c>
      <c r="B10014" s="9" t="s">
        <v>15770</v>
      </c>
      <c r="C10014" s="9" t="s">
        <v>621</v>
      </c>
      <c r="D10014" s="9" t="s">
        <v>87</v>
      </c>
      <c r="E10014" s="6" t="s">
        <v>9472</v>
      </c>
      <c r="F10014" s="9" t="s">
        <v>16458</v>
      </c>
    </row>
    <row r="10015" ht="33.75" customHeight="1">
      <c r="A10015" s="7">
        <v>406.0</v>
      </c>
      <c r="B10015" s="9" t="s">
        <v>15770</v>
      </c>
      <c r="C10015" s="9" t="s">
        <v>621</v>
      </c>
      <c r="D10015" s="9" t="s">
        <v>89</v>
      </c>
      <c r="E10015" s="6" t="s">
        <v>9473</v>
      </c>
      <c r="F10015" s="9" t="s">
        <v>16458</v>
      </c>
    </row>
    <row r="10016" ht="33.75" customHeight="1">
      <c r="A10016" s="7">
        <v>406.0</v>
      </c>
      <c r="B10016" s="9" t="s">
        <v>15770</v>
      </c>
      <c r="C10016" s="9" t="s">
        <v>621</v>
      </c>
      <c r="D10016" s="9" t="s">
        <v>91</v>
      </c>
      <c r="E10016" s="6" t="s">
        <v>9473</v>
      </c>
      <c r="F10016" s="9" t="s">
        <v>16458</v>
      </c>
    </row>
    <row r="10017" ht="33.75" customHeight="1">
      <c r="A10017" s="7">
        <v>406.0</v>
      </c>
      <c r="B10017" s="9" t="s">
        <v>15770</v>
      </c>
      <c r="C10017" s="9" t="s">
        <v>621</v>
      </c>
      <c r="D10017" s="9" t="s">
        <v>93</v>
      </c>
      <c r="E10017" s="6" t="s">
        <v>9472</v>
      </c>
      <c r="F10017" s="9" t="s">
        <v>16458</v>
      </c>
    </row>
    <row r="10018" ht="33.75" customHeight="1">
      <c r="A10018" s="7">
        <v>406.0</v>
      </c>
      <c r="B10018" s="9" t="s">
        <v>15770</v>
      </c>
      <c r="C10018" s="9" t="s">
        <v>621</v>
      </c>
      <c r="D10018" s="9" t="s">
        <v>95</v>
      </c>
      <c r="E10018" s="6" t="s">
        <v>9472</v>
      </c>
      <c r="F10018" s="9" t="s">
        <v>16458</v>
      </c>
    </row>
    <row r="10019" ht="33.75" customHeight="1">
      <c r="A10019" s="7">
        <v>406.0</v>
      </c>
      <c r="B10019" s="9" t="s">
        <v>15770</v>
      </c>
      <c r="C10019" s="9" t="s">
        <v>621</v>
      </c>
      <c r="D10019" s="9" t="s">
        <v>98</v>
      </c>
      <c r="E10019" s="6" t="s">
        <v>9475</v>
      </c>
      <c r="F10019" s="9" t="s">
        <v>16458</v>
      </c>
    </row>
    <row r="10020" ht="33.75" customHeight="1">
      <c r="A10020" s="7">
        <v>406.0</v>
      </c>
      <c r="B10020" s="9" t="s">
        <v>15770</v>
      </c>
      <c r="C10020" s="9" t="s">
        <v>621</v>
      </c>
      <c r="D10020" s="9" t="s">
        <v>99</v>
      </c>
      <c r="E10020" s="6" t="s">
        <v>9475</v>
      </c>
      <c r="F10020" s="9" t="s">
        <v>16458</v>
      </c>
    </row>
    <row r="10021" ht="33.75" customHeight="1">
      <c r="A10021" s="7">
        <v>406.0</v>
      </c>
      <c r="B10021" s="9" t="s">
        <v>15770</v>
      </c>
      <c r="C10021" s="9" t="s">
        <v>621</v>
      </c>
      <c r="D10021" s="9" t="s">
        <v>101</v>
      </c>
      <c r="E10021" s="6" t="s">
        <v>9473</v>
      </c>
      <c r="F10021" s="9" t="s">
        <v>16458</v>
      </c>
    </row>
    <row r="10022" ht="33.75" customHeight="1">
      <c r="A10022" s="7">
        <v>406.0</v>
      </c>
      <c r="B10022" s="9" t="s">
        <v>15770</v>
      </c>
      <c r="C10022" s="9" t="s">
        <v>621</v>
      </c>
      <c r="D10022" s="9" t="s">
        <v>105</v>
      </c>
      <c r="E10022" s="6" t="s">
        <v>9469</v>
      </c>
      <c r="F10022" s="9" t="s">
        <v>16458</v>
      </c>
    </row>
    <row r="10023" ht="33.75" customHeight="1">
      <c r="A10023" s="7">
        <v>406.0</v>
      </c>
      <c r="B10023" s="9" t="s">
        <v>15770</v>
      </c>
      <c r="C10023" s="9" t="s">
        <v>621</v>
      </c>
      <c r="D10023" s="9" t="s">
        <v>107</v>
      </c>
      <c r="E10023" s="6" t="s">
        <v>9473</v>
      </c>
      <c r="F10023" s="9" t="s">
        <v>16458</v>
      </c>
    </row>
    <row r="10024" ht="33.75" customHeight="1">
      <c r="A10024" s="7">
        <v>406.0</v>
      </c>
      <c r="B10024" s="9" t="s">
        <v>15770</v>
      </c>
      <c r="C10024" s="9" t="s">
        <v>621</v>
      </c>
      <c r="D10024" s="9" t="s">
        <v>109</v>
      </c>
      <c r="E10024" s="6" t="s">
        <v>9469</v>
      </c>
      <c r="F10024" s="9" t="s">
        <v>16458</v>
      </c>
    </row>
    <row r="10025" ht="33.75" customHeight="1">
      <c r="A10025" s="7">
        <v>406.0</v>
      </c>
      <c r="B10025" s="9" t="s">
        <v>15770</v>
      </c>
      <c r="C10025" s="9" t="s">
        <v>621</v>
      </c>
      <c r="D10025" s="9" t="s">
        <v>114</v>
      </c>
      <c r="E10025" s="6" t="s">
        <v>9476</v>
      </c>
      <c r="F10025" s="9" t="s">
        <v>16458</v>
      </c>
    </row>
    <row r="10026" ht="33.75" customHeight="1">
      <c r="A10026" s="7">
        <v>406.0</v>
      </c>
      <c r="B10026" s="9" t="s">
        <v>15770</v>
      </c>
      <c r="C10026" s="9" t="s">
        <v>621</v>
      </c>
      <c r="D10026" s="9" t="s">
        <v>117</v>
      </c>
      <c r="E10026" s="6" t="s">
        <v>9477</v>
      </c>
      <c r="F10026" s="9" t="s">
        <v>16458</v>
      </c>
    </row>
    <row r="10027" ht="33.75" customHeight="1">
      <c r="A10027" s="7">
        <v>406.0</v>
      </c>
      <c r="B10027" s="9" t="s">
        <v>15770</v>
      </c>
      <c r="C10027" s="9" t="s">
        <v>621</v>
      </c>
      <c r="D10027" s="9" t="s">
        <v>1577</v>
      </c>
      <c r="E10027" s="6" t="s">
        <v>9479</v>
      </c>
      <c r="F10027" s="9" t="s">
        <v>16458</v>
      </c>
    </row>
    <row r="10028" ht="33.75" customHeight="1">
      <c r="A10028" s="7">
        <v>407.0</v>
      </c>
      <c r="B10028" s="9" t="s">
        <v>15782</v>
      </c>
      <c r="C10028" s="9" t="s">
        <v>622</v>
      </c>
      <c r="D10028" s="9" t="s">
        <v>81</v>
      </c>
      <c r="E10028" s="6" t="s">
        <v>9480</v>
      </c>
      <c r="F10028" s="9" t="s">
        <v>16469</v>
      </c>
      <c r="G10028" t="inlineStr" s="6">
        <is>
          <t xml:space="preserve">It attracts prey with a sweet aroma, then downs it with thorny whips hidden in Roserade's arms. With the movements of a dancer, it strikes with whips that are densely lined with poison thorns. Each of its hands contains different toxins, but both hands can jab with near-fatal power. Its sweet aroma attracts prey. Then it spews poison. The more toxic it is, the sweeter its aroma. Luring prey with a sweet scent, it uses poison whips on its arms to poison, bind, and finish off the prey. After captivating opponents with its sweet scent, it lashes them with its thorny whips. The poison in its right hand is quick acting. The poison in its left hand is slow acting. Both are life threatening. Hidden within the bouquet on each hand are thorned whips loaded with virulent poison. Roserade moves gracefully as it corners its prey and mercilessly lashes them with its whips.</t>
        </is>
      </c>
    </row>
    <row r="10029" ht="33.75" customHeight="1">
      <c r="A10029" s="7">
        <v>407.0</v>
      </c>
      <c r="B10029" s="9" t="s">
        <v>15782</v>
      </c>
      <c r="C10029" s="9" t="s">
        <v>622</v>
      </c>
      <c r="D10029" s="9" t="s">
        <v>84</v>
      </c>
      <c r="E10029" s="6" t="s">
        <v>9481</v>
      </c>
      <c r="F10029" s="9" t="s">
        <v>16469</v>
      </c>
    </row>
    <row r="10030" ht="33.75" customHeight="1">
      <c r="A10030" s="7">
        <v>407.0</v>
      </c>
      <c r="B10030" s="9" t="s">
        <v>15782</v>
      </c>
      <c r="C10030" s="9" t="s">
        <v>622</v>
      </c>
      <c r="D10030" s="9" t="s">
        <v>87</v>
      </c>
      <c r="E10030" s="6" t="s">
        <v>9482</v>
      </c>
      <c r="F10030" s="9" t="s">
        <v>16469</v>
      </c>
    </row>
    <row r="10031" ht="33.75" customHeight="1">
      <c r="A10031" s="7">
        <v>407.0</v>
      </c>
      <c r="B10031" s="9" t="s">
        <v>15782</v>
      </c>
      <c r="C10031" s="9" t="s">
        <v>622</v>
      </c>
      <c r="D10031" s="9" t="s">
        <v>89</v>
      </c>
      <c r="E10031" s="6" t="s">
        <v>9483</v>
      </c>
      <c r="F10031" s="9" t="s">
        <v>16469</v>
      </c>
    </row>
    <row r="10032" ht="33.75" customHeight="1">
      <c r="A10032" s="7">
        <v>407.0</v>
      </c>
      <c r="B10032" s="9" t="s">
        <v>15782</v>
      </c>
      <c r="C10032" s="9" t="s">
        <v>622</v>
      </c>
      <c r="D10032" s="9" t="s">
        <v>91</v>
      </c>
      <c r="E10032" s="6" t="s">
        <v>9483</v>
      </c>
      <c r="F10032" s="9" t="s">
        <v>16469</v>
      </c>
    </row>
    <row r="10033" ht="33.75" customHeight="1">
      <c r="A10033" s="7">
        <v>407.0</v>
      </c>
      <c r="B10033" s="9" t="s">
        <v>15782</v>
      </c>
      <c r="C10033" s="9" t="s">
        <v>622</v>
      </c>
      <c r="D10033" s="9" t="s">
        <v>93</v>
      </c>
      <c r="E10033" s="6" t="s">
        <v>9482</v>
      </c>
      <c r="F10033" s="9" t="s">
        <v>16469</v>
      </c>
    </row>
    <row r="10034" ht="33.75" customHeight="1">
      <c r="A10034" s="7">
        <v>407.0</v>
      </c>
      <c r="B10034" s="9" t="s">
        <v>15782</v>
      </c>
      <c r="C10034" s="9" t="s">
        <v>622</v>
      </c>
      <c r="D10034" s="9" t="s">
        <v>95</v>
      </c>
      <c r="E10034" s="6" t="s">
        <v>9482</v>
      </c>
      <c r="F10034" s="9" t="s">
        <v>16469</v>
      </c>
    </row>
    <row r="10035" ht="33.75" customHeight="1">
      <c r="A10035" s="7">
        <v>407.0</v>
      </c>
      <c r="B10035" s="9" t="s">
        <v>15782</v>
      </c>
      <c r="C10035" s="9" t="s">
        <v>622</v>
      </c>
      <c r="D10035" s="9" t="s">
        <v>98</v>
      </c>
      <c r="E10035" s="6" t="s">
        <v>9485</v>
      </c>
      <c r="F10035" s="9" t="s">
        <v>16469</v>
      </c>
    </row>
    <row r="10036" ht="33.75" customHeight="1">
      <c r="A10036" s="7">
        <v>407.0</v>
      </c>
      <c r="B10036" s="9" t="s">
        <v>15782</v>
      </c>
      <c r="C10036" s="9" t="s">
        <v>622</v>
      </c>
      <c r="D10036" s="9" t="s">
        <v>99</v>
      </c>
      <c r="E10036" s="6" t="s">
        <v>9485</v>
      </c>
      <c r="F10036" s="9" t="s">
        <v>16469</v>
      </c>
    </row>
    <row r="10037" ht="33.75" customHeight="1">
      <c r="A10037" s="7">
        <v>407.0</v>
      </c>
      <c r="B10037" s="9" t="s">
        <v>15782</v>
      </c>
      <c r="C10037" s="9" t="s">
        <v>622</v>
      </c>
      <c r="D10037" s="9" t="s">
        <v>101</v>
      </c>
      <c r="E10037" s="6" t="s">
        <v>9485</v>
      </c>
      <c r="F10037" s="9" t="s">
        <v>16469</v>
      </c>
    </row>
    <row r="10038" ht="33.75" customHeight="1">
      <c r="A10038" s="7">
        <v>407.0</v>
      </c>
      <c r="B10038" s="9" t="s">
        <v>15782</v>
      </c>
      <c r="C10038" s="9" t="s">
        <v>622</v>
      </c>
      <c r="D10038" s="9" t="s">
        <v>105</v>
      </c>
      <c r="E10038" s="6" t="s">
        <v>9481</v>
      </c>
      <c r="F10038" s="9" t="s">
        <v>16469</v>
      </c>
    </row>
    <row r="10039" ht="33.75" customHeight="1">
      <c r="A10039" s="7">
        <v>407.0</v>
      </c>
      <c r="B10039" s="9" t="s">
        <v>15782</v>
      </c>
      <c r="C10039" s="9" t="s">
        <v>622</v>
      </c>
      <c r="D10039" s="9" t="s">
        <v>107</v>
      </c>
      <c r="E10039" s="6" t="s">
        <v>9485</v>
      </c>
      <c r="F10039" s="9" t="s">
        <v>16469</v>
      </c>
    </row>
    <row r="10040" ht="33.75" customHeight="1">
      <c r="A10040" s="7">
        <v>407.0</v>
      </c>
      <c r="B10040" s="9" t="s">
        <v>15782</v>
      </c>
      <c r="C10040" s="9" t="s">
        <v>622</v>
      </c>
      <c r="D10040" s="9" t="s">
        <v>109</v>
      </c>
      <c r="E10040" s="6" t="s">
        <v>9481</v>
      </c>
      <c r="F10040" s="9" t="s">
        <v>16469</v>
      </c>
    </row>
    <row r="10041" ht="33.75" customHeight="1">
      <c r="A10041" s="7">
        <v>407.0</v>
      </c>
      <c r="B10041" s="9" t="s">
        <v>15782</v>
      </c>
      <c r="C10041" s="9" t="s">
        <v>622</v>
      </c>
      <c r="D10041" s="9" t="s">
        <v>114</v>
      </c>
      <c r="E10041" s="6" t="s">
        <v>9487</v>
      </c>
      <c r="F10041" s="9" t="s">
        <v>16469</v>
      </c>
    </row>
    <row r="10042" ht="33.75" customHeight="1">
      <c r="A10042" s="7">
        <v>407.0</v>
      </c>
      <c r="B10042" s="9" t="s">
        <v>15782</v>
      </c>
      <c r="C10042" s="9" t="s">
        <v>622</v>
      </c>
      <c r="D10042" s="9" t="s">
        <v>117</v>
      </c>
      <c r="E10042" s="6" t="s">
        <v>9488</v>
      </c>
      <c r="F10042" s="9" t="s">
        <v>16469</v>
      </c>
    </row>
    <row r="10043" ht="33.75" customHeight="1">
      <c r="A10043" s="7">
        <v>407.0</v>
      </c>
      <c r="B10043" s="9" t="s">
        <v>15782</v>
      </c>
      <c r="C10043" s="9" t="s">
        <v>622</v>
      </c>
      <c r="D10043" s="9" t="s">
        <v>1577</v>
      </c>
      <c r="E10043" s="6" t="s">
        <v>9489</v>
      </c>
      <c r="F10043" s="9" t="s">
        <v>16469</v>
      </c>
    </row>
    <row r="10044" ht="33.75" customHeight="1">
      <c r="A10044" s="7">
        <v>408.0</v>
      </c>
      <c r="B10044" s="9" t="s">
        <v>15793</v>
      </c>
      <c r="C10044" s="9" t="s">
        <v>624</v>
      </c>
      <c r="D10044" s="9" t="s">
        <v>81</v>
      </c>
      <c r="E10044" s="6" t="s">
        <v>9490</v>
      </c>
      <c r="F10044" s="9" t="s">
        <v>16478</v>
      </c>
      <c r="G10044" t="inlineStr" s="6">
        <is>
          <t xml:space="preserve">It lived in jungles around 100 million years ago. Its skull is as hard as iron. It was resurrected from an iron ball-like fossil. It downs prey with its head butts. A lifelong jungle dweller from 100 million years ago, it would snap obstructing trees with head butts. CRANIDOS toughen up their already rock-hard heads by headbutting one another. It downs prey with its headbutts. A lifelong jungle dweller from 100 million years ago, it would snap obstructing trees with headbutts. It lived in jungles around a hundred million years ago. It used its skillful headbutts to combat Aerodactyl. In rock layers where Cranidos fossils are found, the fossilized trunks of trees snapped in two are also often found. A primeval Pokémon, it possesses a hard and sturdy skull, lacking any intelligence within. Its hard skull is its distinguishing feature. It snapped trees by headbutting them, and then it fed on their ripe berries. An incredibly rare sight. They duel each other by ramming their heads together, and the resulting sound echoes throughout the area like the pealing of a bell.</t>
        </is>
      </c>
    </row>
    <row r="10045" ht="33.75" customHeight="1">
      <c r="A10045" s="7">
        <v>408.0</v>
      </c>
      <c r="B10045" s="9" t="s">
        <v>15793</v>
      </c>
      <c r="C10045" s="9" t="s">
        <v>624</v>
      </c>
      <c r="D10045" s="9" t="s">
        <v>84</v>
      </c>
      <c r="E10045" s="6" t="s">
        <v>9491</v>
      </c>
      <c r="F10045" s="9" t="s">
        <v>16478</v>
      </c>
    </row>
    <row r="10046" ht="33.75" customHeight="1">
      <c r="A10046" s="7">
        <v>408.0</v>
      </c>
      <c r="B10046" s="9" t="s">
        <v>15793</v>
      </c>
      <c r="C10046" s="9" t="s">
        <v>624</v>
      </c>
      <c r="D10046" s="9" t="s">
        <v>87</v>
      </c>
      <c r="E10046" s="6" t="s">
        <v>9492</v>
      </c>
      <c r="F10046" s="9" t="s">
        <v>16478</v>
      </c>
    </row>
    <row r="10047" ht="33.75" customHeight="1">
      <c r="A10047" s="7">
        <v>408.0</v>
      </c>
      <c r="B10047" s="9" t="s">
        <v>15793</v>
      </c>
      <c r="C10047" s="9" t="s">
        <v>624</v>
      </c>
      <c r="D10047" s="9" t="s">
        <v>89</v>
      </c>
      <c r="E10047" s="6" t="s">
        <v>9493</v>
      </c>
      <c r="F10047" s="9" t="s">
        <v>16478</v>
      </c>
    </row>
    <row r="10048" ht="33.75" customHeight="1">
      <c r="A10048" s="7">
        <v>408.0</v>
      </c>
      <c r="B10048" s="9" t="s">
        <v>15793</v>
      </c>
      <c r="C10048" s="9" t="s">
        <v>624</v>
      </c>
      <c r="D10048" s="9" t="s">
        <v>91</v>
      </c>
      <c r="E10048" s="6" t="s">
        <v>9493</v>
      </c>
      <c r="F10048" s="9" t="s">
        <v>16478</v>
      </c>
    </row>
    <row r="10049" ht="33.75" customHeight="1">
      <c r="A10049" s="7">
        <v>408.0</v>
      </c>
      <c r="B10049" s="9" t="s">
        <v>15793</v>
      </c>
      <c r="C10049" s="9" t="s">
        <v>624</v>
      </c>
      <c r="D10049" s="9" t="s">
        <v>93</v>
      </c>
      <c r="E10049" s="6" t="s">
        <v>9492</v>
      </c>
      <c r="F10049" s="9" t="s">
        <v>16478</v>
      </c>
    </row>
    <row r="10050" ht="33.75" customHeight="1">
      <c r="A10050" s="7">
        <v>408.0</v>
      </c>
      <c r="B10050" s="9" t="s">
        <v>15793</v>
      </c>
      <c r="C10050" s="9" t="s">
        <v>624</v>
      </c>
      <c r="D10050" s="9" t="s">
        <v>95</v>
      </c>
      <c r="E10050" s="6" t="s">
        <v>9492</v>
      </c>
      <c r="F10050" s="9" t="s">
        <v>16478</v>
      </c>
    </row>
    <row r="10051" ht="33.75" customHeight="1">
      <c r="A10051" s="7">
        <v>408.0</v>
      </c>
      <c r="B10051" s="9" t="s">
        <v>15793</v>
      </c>
      <c r="C10051" s="9" t="s">
        <v>624</v>
      </c>
      <c r="D10051" s="9" t="s">
        <v>98</v>
      </c>
      <c r="E10051" s="6" t="s">
        <v>9492</v>
      </c>
      <c r="F10051" s="9" t="s">
        <v>16478</v>
      </c>
    </row>
    <row r="10052" ht="33.75" customHeight="1">
      <c r="A10052" s="7">
        <v>408.0</v>
      </c>
      <c r="B10052" s="9" t="s">
        <v>15793</v>
      </c>
      <c r="C10052" s="9" t="s">
        <v>624</v>
      </c>
      <c r="D10052" s="9" t="s">
        <v>99</v>
      </c>
      <c r="E10052" s="6" t="s">
        <v>9492</v>
      </c>
      <c r="F10052" s="9" t="s">
        <v>16478</v>
      </c>
    </row>
    <row r="10053" ht="33.75" customHeight="1">
      <c r="A10053" s="7">
        <v>408.0</v>
      </c>
      <c r="B10053" s="9" t="s">
        <v>15793</v>
      </c>
      <c r="C10053" s="9" t="s">
        <v>624</v>
      </c>
      <c r="D10053" s="9" t="s">
        <v>101</v>
      </c>
      <c r="E10053" s="6" t="s">
        <v>9494</v>
      </c>
      <c r="F10053" s="9" t="s">
        <v>16478</v>
      </c>
    </row>
    <row r="10054" ht="33.75" customHeight="1">
      <c r="A10054" s="7">
        <v>408.0</v>
      </c>
      <c r="B10054" s="9" t="s">
        <v>15793</v>
      </c>
      <c r="C10054" s="9" t="s">
        <v>624</v>
      </c>
      <c r="D10054" s="9" t="s">
        <v>105</v>
      </c>
      <c r="E10054" s="6" t="s">
        <v>9496</v>
      </c>
      <c r="F10054" s="9" t="s">
        <v>16478</v>
      </c>
    </row>
    <row r="10055" ht="33.75" customHeight="1">
      <c r="A10055" s="7">
        <v>408.0</v>
      </c>
      <c r="B10055" s="9" t="s">
        <v>15793</v>
      </c>
      <c r="C10055" s="9" t="s">
        <v>624</v>
      </c>
      <c r="D10055" s="9" t="s">
        <v>107</v>
      </c>
      <c r="E10055" s="6" t="s">
        <v>9494</v>
      </c>
      <c r="F10055" s="9" t="s">
        <v>16478</v>
      </c>
    </row>
    <row r="10056" ht="33.75" customHeight="1">
      <c r="A10056" s="7">
        <v>408.0</v>
      </c>
      <c r="B10056" s="9" t="s">
        <v>15793</v>
      </c>
      <c r="C10056" s="9" t="s">
        <v>624</v>
      </c>
      <c r="D10056" s="9" t="s">
        <v>109</v>
      </c>
      <c r="E10056" s="6" t="s">
        <v>9496</v>
      </c>
      <c r="F10056" s="9" t="s">
        <v>16478</v>
      </c>
    </row>
    <row r="10057" ht="33.75" customHeight="1">
      <c r="A10057" s="7">
        <v>408.0</v>
      </c>
      <c r="B10057" s="9" t="s">
        <v>15793</v>
      </c>
      <c r="C10057" s="9" t="s">
        <v>624</v>
      </c>
      <c r="D10057" s="9" t="s">
        <v>637</v>
      </c>
      <c r="E10057" s="6" t="s">
        <v>9497</v>
      </c>
      <c r="F10057" s="9" t="s">
        <v>16478</v>
      </c>
    </row>
    <row r="10058" ht="33.75" customHeight="1">
      <c r="A10058" s="7">
        <v>408.0</v>
      </c>
      <c r="B10058" s="9" t="s">
        <v>15793</v>
      </c>
      <c r="C10058" s="9" t="s">
        <v>624</v>
      </c>
      <c r="D10058" s="9" t="s">
        <v>642</v>
      </c>
      <c r="E10058" s="6" t="s">
        <v>9498</v>
      </c>
      <c r="F10058" s="9" t="s">
        <v>16478</v>
      </c>
    </row>
    <row r="10059" ht="33.75" customHeight="1">
      <c r="A10059" s="7">
        <v>408.0</v>
      </c>
      <c r="B10059" s="9" t="s">
        <v>15793</v>
      </c>
      <c r="C10059" s="9" t="s">
        <v>624</v>
      </c>
      <c r="D10059" s="9" t="s">
        <v>647</v>
      </c>
      <c r="E10059" s="6" t="s">
        <v>9500</v>
      </c>
      <c r="F10059" s="9" t="s">
        <v>16478</v>
      </c>
    </row>
    <row r="10060" ht="33.75" customHeight="1">
      <c r="A10060" s="7">
        <v>408.0</v>
      </c>
      <c r="B10060" s="9" t="s">
        <v>15793</v>
      </c>
      <c r="C10060" s="9" t="s">
        <v>624</v>
      </c>
      <c r="D10060" s="9" t="s">
        <v>652</v>
      </c>
      <c r="E10060" s="6" t="s">
        <v>9501</v>
      </c>
      <c r="F10060" s="9" t="s">
        <v>16478</v>
      </c>
    </row>
    <row r="10061" ht="33.75" customHeight="1">
      <c r="A10061" s="7">
        <v>408.0</v>
      </c>
      <c r="B10061" s="9" t="s">
        <v>15793</v>
      </c>
      <c r="C10061" s="9" t="s">
        <v>624</v>
      </c>
      <c r="D10061" s="9" t="s">
        <v>1577</v>
      </c>
      <c r="E10061" s="6" t="s">
        <v>9503</v>
      </c>
      <c r="F10061" s="9" t="s">
        <v>16478</v>
      </c>
    </row>
    <row r="10062" ht="33.75" customHeight="1">
      <c r="A10062" s="7">
        <v>409.0</v>
      </c>
      <c r="B10062" s="9" t="s">
        <v>15804</v>
      </c>
      <c r="C10062" s="9" t="s">
        <v>624</v>
      </c>
      <c r="D10062" s="9" t="s">
        <v>81</v>
      </c>
      <c r="E10062" s="6" t="s">
        <v>9506</v>
      </c>
      <c r="F10062" s="9" t="s">
        <v>16487</v>
      </c>
      <c r="G10062" t="inlineStr" s="6">
        <is>
          <t xml:space="preserve">Rampardos's powerful headbutt has enough power to shatter even the most durable things upon impact. Its skull is as hard as iron. It is a brute that tears down jungle trees while catching prey. If two were to smash their heads together, their foot-thick skulls would keep them from fainting. Its skull withstands impacts of any magnitude. As a result, its brain never gets the chance to grow. The result of repeated headbutts is a skull grown thick and hard. However, its brain has shrunk in size compared with Cranidos’s. Records exist of a revived fossil that evolved into Rampardos. It proceeded to escape and then destroy a skyscraper with a headbutt. In ancient times, people would dig up fossils of this Pokémon and use its skull, which is harder than steel, to make helmets. This ancient Pokémon used headbutts skillfully. Its brain was really small, so some theories suggest that its stupidity led to its extinction. Very little is known about its biology. Can knock down massive trees by smashing its beautiful, pearl-like crown against them.</t>
        </is>
      </c>
    </row>
    <row r="10063" ht="33.75" customHeight="1">
      <c r="A10063" s="7">
        <v>409.0</v>
      </c>
      <c r="B10063" s="9" t="s">
        <v>15804</v>
      </c>
      <c r="C10063" s="9" t="s">
        <v>624</v>
      </c>
      <c r="D10063" s="9" t="s">
        <v>84</v>
      </c>
      <c r="E10063" s="6" t="s">
        <v>9508</v>
      </c>
      <c r="F10063" s="9" t="s">
        <v>16487</v>
      </c>
    </row>
    <row r="10064" ht="33.75" customHeight="1">
      <c r="A10064" s="7">
        <v>409.0</v>
      </c>
      <c r="B10064" s="9" t="s">
        <v>15804</v>
      </c>
      <c r="C10064" s="9" t="s">
        <v>624</v>
      </c>
      <c r="D10064" s="9" t="s">
        <v>87</v>
      </c>
      <c r="E10064" s="6" t="s">
        <v>9509</v>
      </c>
      <c r="F10064" s="9" t="s">
        <v>16487</v>
      </c>
    </row>
    <row r="10065" ht="33.75" customHeight="1">
      <c r="A10065" s="7">
        <v>409.0</v>
      </c>
      <c r="B10065" s="9" t="s">
        <v>15804</v>
      </c>
      <c r="C10065" s="9" t="s">
        <v>624</v>
      </c>
      <c r="D10065" s="9" t="s">
        <v>89</v>
      </c>
      <c r="E10065" s="6" t="s">
        <v>9511</v>
      </c>
      <c r="F10065" s="9" t="s">
        <v>16487</v>
      </c>
    </row>
    <row r="10066" ht="33.75" customHeight="1">
      <c r="A10066" s="7">
        <v>409.0</v>
      </c>
      <c r="B10066" s="9" t="s">
        <v>15804</v>
      </c>
      <c r="C10066" s="9" t="s">
        <v>624</v>
      </c>
      <c r="D10066" s="9" t="s">
        <v>91</v>
      </c>
      <c r="E10066" s="6" t="s">
        <v>9511</v>
      </c>
      <c r="F10066" s="9" t="s">
        <v>16487</v>
      </c>
    </row>
    <row r="10067" ht="33.75" customHeight="1">
      <c r="A10067" s="7">
        <v>409.0</v>
      </c>
      <c r="B10067" s="9" t="s">
        <v>15804</v>
      </c>
      <c r="C10067" s="9" t="s">
        <v>624</v>
      </c>
      <c r="D10067" s="9" t="s">
        <v>93</v>
      </c>
      <c r="E10067" s="6" t="s">
        <v>9509</v>
      </c>
      <c r="F10067" s="9" t="s">
        <v>16487</v>
      </c>
    </row>
    <row r="10068" ht="33.75" customHeight="1">
      <c r="A10068" s="7">
        <v>409.0</v>
      </c>
      <c r="B10068" s="9" t="s">
        <v>15804</v>
      </c>
      <c r="C10068" s="9" t="s">
        <v>624</v>
      </c>
      <c r="D10068" s="9" t="s">
        <v>95</v>
      </c>
      <c r="E10068" s="6" t="s">
        <v>9509</v>
      </c>
      <c r="F10068" s="9" t="s">
        <v>16487</v>
      </c>
    </row>
    <row r="10069" ht="33.75" customHeight="1">
      <c r="A10069" s="7">
        <v>409.0</v>
      </c>
      <c r="B10069" s="9" t="s">
        <v>15804</v>
      </c>
      <c r="C10069" s="9" t="s">
        <v>624</v>
      </c>
      <c r="D10069" s="9" t="s">
        <v>98</v>
      </c>
      <c r="E10069" s="6" t="s">
        <v>9509</v>
      </c>
      <c r="F10069" s="9" t="s">
        <v>16487</v>
      </c>
    </row>
    <row r="10070" ht="33.75" customHeight="1">
      <c r="A10070" s="7">
        <v>409.0</v>
      </c>
      <c r="B10070" s="9" t="s">
        <v>15804</v>
      </c>
      <c r="C10070" s="9" t="s">
        <v>624</v>
      </c>
      <c r="D10070" s="9" t="s">
        <v>99</v>
      </c>
      <c r="E10070" s="6" t="s">
        <v>9509</v>
      </c>
      <c r="F10070" s="9" t="s">
        <v>16487</v>
      </c>
    </row>
    <row r="10071" ht="33.75" customHeight="1">
      <c r="A10071" s="7">
        <v>409.0</v>
      </c>
      <c r="B10071" s="9" t="s">
        <v>15804</v>
      </c>
      <c r="C10071" s="9" t="s">
        <v>624</v>
      </c>
      <c r="D10071" s="9" t="s">
        <v>101</v>
      </c>
      <c r="E10071" s="6" t="s">
        <v>9511</v>
      </c>
      <c r="F10071" s="9" t="s">
        <v>16487</v>
      </c>
    </row>
    <row r="10072" ht="33.75" customHeight="1">
      <c r="A10072" s="7">
        <v>409.0</v>
      </c>
      <c r="B10072" s="9" t="s">
        <v>15804</v>
      </c>
      <c r="C10072" s="9" t="s">
        <v>624</v>
      </c>
      <c r="D10072" s="9" t="s">
        <v>105</v>
      </c>
      <c r="E10072" s="6" t="s">
        <v>9508</v>
      </c>
      <c r="F10072" s="9" t="s">
        <v>16487</v>
      </c>
    </row>
    <row r="10073" ht="33.75" customHeight="1">
      <c r="A10073" s="7">
        <v>409.0</v>
      </c>
      <c r="B10073" s="9" t="s">
        <v>15804</v>
      </c>
      <c r="C10073" s="9" t="s">
        <v>624</v>
      </c>
      <c r="D10073" s="9" t="s">
        <v>107</v>
      </c>
      <c r="E10073" s="6" t="s">
        <v>9511</v>
      </c>
      <c r="F10073" s="9" t="s">
        <v>16487</v>
      </c>
    </row>
    <row r="10074" ht="33.75" customHeight="1">
      <c r="A10074" s="7">
        <v>409.0</v>
      </c>
      <c r="B10074" s="9" t="s">
        <v>15804</v>
      </c>
      <c r="C10074" s="9" t="s">
        <v>624</v>
      </c>
      <c r="D10074" s="9" t="s">
        <v>109</v>
      </c>
      <c r="E10074" s="6" t="s">
        <v>9508</v>
      </c>
      <c r="F10074" s="9" t="s">
        <v>16487</v>
      </c>
    </row>
    <row r="10075" ht="33.75" customHeight="1">
      <c r="A10075" s="7">
        <v>409.0</v>
      </c>
      <c r="B10075" s="9" t="s">
        <v>15804</v>
      </c>
      <c r="C10075" s="9" t="s">
        <v>624</v>
      </c>
      <c r="D10075" s="9" t="s">
        <v>637</v>
      </c>
      <c r="E10075" s="6" t="s">
        <v>9512</v>
      </c>
      <c r="F10075" s="9" t="s">
        <v>16487</v>
      </c>
    </row>
    <row r="10076" ht="33.75" customHeight="1">
      <c r="A10076" s="7">
        <v>409.0</v>
      </c>
      <c r="B10076" s="9" t="s">
        <v>15804</v>
      </c>
      <c r="C10076" s="9" t="s">
        <v>624</v>
      </c>
      <c r="D10076" s="9" t="s">
        <v>642</v>
      </c>
      <c r="E10076" s="6" t="s">
        <v>9514</v>
      </c>
      <c r="F10076" s="9" t="s">
        <v>16487</v>
      </c>
    </row>
    <row r="10077" ht="33.75" customHeight="1">
      <c r="A10077" s="7">
        <v>409.0</v>
      </c>
      <c r="B10077" s="9" t="s">
        <v>15804</v>
      </c>
      <c r="C10077" s="9" t="s">
        <v>624</v>
      </c>
      <c r="D10077" s="9" t="s">
        <v>647</v>
      </c>
      <c r="E10077" s="6" t="s">
        <v>9515</v>
      </c>
      <c r="F10077" s="9" t="s">
        <v>16487</v>
      </c>
    </row>
    <row r="10078" ht="33.75" customHeight="1">
      <c r="A10078" s="7">
        <v>409.0</v>
      </c>
      <c r="B10078" s="9" t="s">
        <v>15804</v>
      </c>
      <c r="C10078" s="9" t="s">
        <v>624</v>
      </c>
      <c r="D10078" s="9" t="s">
        <v>652</v>
      </c>
      <c r="E10078" s="6" t="s">
        <v>9516</v>
      </c>
      <c r="F10078" s="9" t="s">
        <v>16487</v>
      </c>
    </row>
    <row r="10079" ht="33.75" customHeight="1">
      <c r="A10079" s="7">
        <v>409.0</v>
      </c>
      <c r="B10079" s="9" t="s">
        <v>15804</v>
      </c>
      <c r="C10079" s="9" t="s">
        <v>624</v>
      </c>
      <c r="D10079" s="9" t="s">
        <v>1577</v>
      </c>
      <c r="E10079" s="6" t="s">
        <v>9518</v>
      </c>
      <c r="F10079" s="9" t="s">
        <v>16487</v>
      </c>
    </row>
    <row r="10080" ht="33.75" customHeight="1">
      <c r="A10080" s="7">
        <v>410.0</v>
      </c>
      <c r="B10080" s="9" t="s">
        <v>15816</v>
      </c>
      <c r="C10080" s="9" t="s">
        <v>625</v>
      </c>
      <c r="D10080" s="9" t="s">
        <v>81</v>
      </c>
      <c r="E10080" s="6" t="s">
        <v>9519</v>
      </c>
      <c r="F10080" s="9" t="s">
        <v>16500</v>
      </c>
      <c r="G10080" t="inlineStr" s="6">
        <is>
          <t xml:space="preserve">A Pokémon that lived in jungles around 100 million years ago. Its facial hide is extremely hard. It habitually polishes its face by rubbing it against tree trunks. It is weak to attacks from behind. It is outstandingly armored. As a result, it can eat grass and berries without having to fight. It was generated from a fossil dug out of a layer of clay that was older than anyone knows. It has a sturdy face. Many fossils of this Pokémon have been found, but almost none have shown signs of damage to the face. This Pokémon lived in primeval jungles. Few enemies would have been willing to square off against its heavily armored face, so it’s thought. A mild-mannered, herbivorous Pokémon, it used its face to dig up tree roots to eat. The skin on its face was plenty tough. Although its fossils can be found in layers of primeval rock, nothing but its face has ever been discovered. Much remains unknown about this Pokémon, as few have ever seen it. However, we know that it is calm and dislikes conflict, and it enjoys polishing its face against trees and rocks.</t>
        </is>
      </c>
    </row>
    <row r="10081" ht="33.75" customHeight="1">
      <c r="A10081" s="7">
        <v>410.0</v>
      </c>
      <c r="B10081" s="9" t="s">
        <v>15816</v>
      </c>
      <c r="C10081" s="9" t="s">
        <v>625</v>
      </c>
      <c r="D10081" s="9" t="s">
        <v>84</v>
      </c>
      <c r="E10081" s="6" t="s">
        <v>9520</v>
      </c>
      <c r="F10081" s="9" t="s">
        <v>16500</v>
      </c>
    </row>
    <row r="10082" ht="33.75" customHeight="1">
      <c r="A10082" s="7">
        <v>410.0</v>
      </c>
      <c r="B10082" s="9" t="s">
        <v>15816</v>
      </c>
      <c r="C10082" s="9" t="s">
        <v>625</v>
      </c>
      <c r="D10082" s="9" t="s">
        <v>87</v>
      </c>
      <c r="E10082" s="6" t="s">
        <v>9522</v>
      </c>
      <c r="F10082" s="9" t="s">
        <v>16500</v>
      </c>
    </row>
    <row r="10083" ht="33.75" customHeight="1">
      <c r="A10083" s="7">
        <v>410.0</v>
      </c>
      <c r="B10083" s="9" t="s">
        <v>15816</v>
      </c>
      <c r="C10083" s="9" t="s">
        <v>625</v>
      </c>
      <c r="D10083" s="9" t="s">
        <v>89</v>
      </c>
      <c r="E10083" s="6" t="s">
        <v>9524</v>
      </c>
      <c r="F10083" s="9" t="s">
        <v>16500</v>
      </c>
    </row>
    <row r="10084" ht="33.75" customHeight="1">
      <c r="A10084" s="7">
        <v>410.0</v>
      </c>
      <c r="B10084" s="9" t="s">
        <v>15816</v>
      </c>
      <c r="C10084" s="9" t="s">
        <v>625</v>
      </c>
      <c r="D10084" s="9" t="s">
        <v>91</v>
      </c>
      <c r="E10084" s="6" t="s">
        <v>9524</v>
      </c>
      <c r="F10084" s="9" t="s">
        <v>16500</v>
      </c>
    </row>
    <row r="10085" ht="33.75" customHeight="1">
      <c r="A10085" s="7">
        <v>410.0</v>
      </c>
      <c r="B10085" s="9" t="s">
        <v>15816</v>
      </c>
      <c r="C10085" s="9" t="s">
        <v>625</v>
      </c>
      <c r="D10085" s="9" t="s">
        <v>93</v>
      </c>
      <c r="E10085" s="6" t="s">
        <v>9522</v>
      </c>
      <c r="F10085" s="9" t="s">
        <v>16500</v>
      </c>
    </row>
    <row r="10086" ht="33.75" customHeight="1">
      <c r="A10086" s="7">
        <v>410.0</v>
      </c>
      <c r="B10086" s="9" t="s">
        <v>15816</v>
      </c>
      <c r="C10086" s="9" t="s">
        <v>625</v>
      </c>
      <c r="D10086" s="9" t="s">
        <v>95</v>
      </c>
      <c r="E10086" s="6" t="s">
        <v>9522</v>
      </c>
      <c r="F10086" s="9" t="s">
        <v>16500</v>
      </c>
    </row>
    <row r="10087" ht="33.75" customHeight="1">
      <c r="A10087" s="7">
        <v>410.0</v>
      </c>
      <c r="B10087" s="9" t="s">
        <v>15816</v>
      </c>
      <c r="C10087" s="9" t="s">
        <v>625</v>
      </c>
      <c r="D10087" s="9" t="s">
        <v>98</v>
      </c>
      <c r="E10087" s="6" t="s">
        <v>9522</v>
      </c>
      <c r="F10087" s="9" t="s">
        <v>16500</v>
      </c>
    </row>
    <row r="10088" ht="33.75" customHeight="1">
      <c r="A10088" s="7">
        <v>410.0</v>
      </c>
      <c r="B10088" s="9" t="s">
        <v>15816</v>
      </c>
      <c r="C10088" s="9" t="s">
        <v>625</v>
      </c>
      <c r="D10088" s="9" t="s">
        <v>99</v>
      </c>
      <c r="E10088" s="6" t="s">
        <v>9522</v>
      </c>
      <c r="F10088" s="9" t="s">
        <v>16500</v>
      </c>
    </row>
    <row r="10089" ht="33.75" customHeight="1">
      <c r="A10089" s="7">
        <v>410.0</v>
      </c>
      <c r="B10089" s="9" t="s">
        <v>15816</v>
      </c>
      <c r="C10089" s="9" t="s">
        <v>625</v>
      </c>
      <c r="D10089" s="9" t="s">
        <v>101</v>
      </c>
      <c r="E10089" s="6" t="s">
        <v>9520</v>
      </c>
      <c r="F10089" s="9" t="s">
        <v>16500</v>
      </c>
    </row>
    <row r="10090" ht="33.75" customHeight="1">
      <c r="A10090" s="7">
        <v>410.0</v>
      </c>
      <c r="B10090" s="9" t="s">
        <v>15816</v>
      </c>
      <c r="C10090" s="9" t="s">
        <v>625</v>
      </c>
      <c r="D10090" s="9" t="s">
        <v>105</v>
      </c>
      <c r="E10090" s="6" t="s">
        <v>9524</v>
      </c>
      <c r="F10090" s="9" t="s">
        <v>16500</v>
      </c>
    </row>
    <row r="10091" ht="33.75" customHeight="1">
      <c r="A10091" s="7">
        <v>410.0</v>
      </c>
      <c r="B10091" s="9" t="s">
        <v>15816</v>
      </c>
      <c r="C10091" s="9" t="s">
        <v>625</v>
      </c>
      <c r="D10091" s="9" t="s">
        <v>107</v>
      </c>
      <c r="E10091" s="6" t="s">
        <v>9520</v>
      </c>
      <c r="F10091" s="9" t="s">
        <v>16500</v>
      </c>
    </row>
    <row r="10092" ht="33.75" customHeight="1">
      <c r="A10092" s="7">
        <v>410.0</v>
      </c>
      <c r="B10092" s="9" t="s">
        <v>15816</v>
      </c>
      <c r="C10092" s="9" t="s">
        <v>625</v>
      </c>
      <c r="D10092" s="9" t="s">
        <v>109</v>
      </c>
      <c r="E10092" s="6" t="s">
        <v>9524</v>
      </c>
      <c r="F10092" s="9" t="s">
        <v>16500</v>
      </c>
    </row>
    <row r="10093" ht="33.75" customHeight="1">
      <c r="A10093" s="7">
        <v>410.0</v>
      </c>
      <c r="B10093" s="9" t="s">
        <v>15816</v>
      </c>
      <c r="C10093" s="9" t="s">
        <v>625</v>
      </c>
      <c r="D10093" s="9" t="s">
        <v>637</v>
      </c>
      <c r="E10093" s="6" t="s">
        <v>9525</v>
      </c>
      <c r="F10093" s="9" t="s">
        <v>16500</v>
      </c>
    </row>
    <row r="10094" ht="33.75" customHeight="1">
      <c r="A10094" s="7">
        <v>410.0</v>
      </c>
      <c r="B10094" s="9" t="s">
        <v>15816</v>
      </c>
      <c r="C10094" s="9" t="s">
        <v>625</v>
      </c>
      <c r="D10094" s="9" t="s">
        <v>642</v>
      </c>
      <c r="E10094" s="6" t="s">
        <v>9526</v>
      </c>
      <c r="F10094" s="9" t="s">
        <v>16500</v>
      </c>
    </row>
    <row r="10095" ht="33.75" customHeight="1">
      <c r="A10095" s="7">
        <v>410.0</v>
      </c>
      <c r="B10095" s="9" t="s">
        <v>15816</v>
      </c>
      <c r="C10095" s="9" t="s">
        <v>625</v>
      </c>
      <c r="D10095" s="9" t="s">
        <v>647</v>
      </c>
      <c r="E10095" s="6" t="s">
        <v>9527</v>
      </c>
      <c r="F10095" s="9" t="s">
        <v>16500</v>
      </c>
    </row>
    <row r="10096" ht="33.75" customHeight="1">
      <c r="A10096" s="7">
        <v>410.0</v>
      </c>
      <c r="B10096" s="9" t="s">
        <v>15816</v>
      </c>
      <c r="C10096" s="9" t="s">
        <v>625</v>
      </c>
      <c r="D10096" s="9" t="s">
        <v>652</v>
      </c>
      <c r="E10096" s="6" t="s">
        <v>9528</v>
      </c>
      <c r="F10096" s="9" t="s">
        <v>16500</v>
      </c>
    </row>
    <row r="10097" ht="33.75" customHeight="1">
      <c r="A10097" s="7">
        <v>410.0</v>
      </c>
      <c r="B10097" s="9" t="s">
        <v>15816</v>
      </c>
      <c r="C10097" s="9" t="s">
        <v>625</v>
      </c>
      <c r="D10097" s="9" t="s">
        <v>1577</v>
      </c>
      <c r="E10097" s="6" t="s">
        <v>9529</v>
      </c>
      <c r="F10097" s="9" t="s">
        <v>16500</v>
      </c>
    </row>
    <row r="10098" ht="33.75" customHeight="1">
      <c r="A10098" s="7">
        <v>411.0</v>
      </c>
      <c r="B10098" s="9" t="s">
        <v>15827</v>
      </c>
      <c r="C10098" s="9" t="s">
        <v>625</v>
      </c>
      <c r="D10098" s="9" t="s">
        <v>81</v>
      </c>
      <c r="E10098" s="6" t="s">
        <v>9531</v>
      </c>
      <c r="F10098" s="9" t="s">
        <v>16512</v>
      </c>
      <c r="G10098" t="inlineStr" s="6">
        <is>
          <t xml:space="preserve">Any frontal attack is repulsed. It is a docile Pokémon that feeds on grass and berries. When attacked, they form a wall with their shieldlike faces to protect their young. When they lined up side by side, no foe could break through. They shielded their young in that way. When attacked, they form a wall. Their rock-hard faces serve to protect them from the attacks. While it can guard against any sort of attack from the front, it is left without recourse when attacked from behind. It lived in the same environments as Rampardos. Their fossils have been found together— seemingly from after they’d fought to the finish. The bones of its face are huge and hard, so they were mistaken for its spine until after this Pokémon was successfully restored. This Pokémon is from roughly 100 million years ago. Its terrifyingly tough face is harder than steel. Its face is sturdy—as strong as diamond—and this hardness offers a very stable defense. Much about this species is still unknown, such as its natural habitat.</t>
        </is>
      </c>
    </row>
    <row r="10099" ht="33.75" customHeight="1">
      <c r="A10099" s="7">
        <v>411.0</v>
      </c>
      <c r="B10099" s="9" t="s">
        <v>15827</v>
      </c>
      <c r="C10099" s="9" t="s">
        <v>625</v>
      </c>
      <c r="D10099" s="9" t="s">
        <v>84</v>
      </c>
      <c r="E10099" s="6" t="s">
        <v>9532</v>
      </c>
      <c r="F10099" s="9" t="s">
        <v>16512</v>
      </c>
    </row>
    <row r="10100" ht="33.75" customHeight="1">
      <c r="A10100" s="7">
        <v>411.0</v>
      </c>
      <c r="B10100" s="9" t="s">
        <v>15827</v>
      </c>
      <c r="C10100" s="9" t="s">
        <v>625</v>
      </c>
      <c r="D10100" s="9" t="s">
        <v>87</v>
      </c>
      <c r="E10100" s="6" t="s">
        <v>9533</v>
      </c>
      <c r="F10100" s="9" t="s">
        <v>16512</v>
      </c>
    </row>
    <row r="10101" ht="33.75" customHeight="1">
      <c r="A10101" s="7">
        <v>411.0</v>
      </c>
      <c r="B10101" s="9" t="s">
        <v>15827</v>
      </c>
      <c r="C10101" s="9" t="s">
        <v>625</v>
      </c>
      <c r="D10101" s="9" t="s">
        <v>89</v>
      </c>
      <c r="E10101" s="6" t="s">
        <v>9534</v>
      </c>
      <c r="F10101" s="9" t="s">
        <v>16512</v>
      </c>
    </row>
    <row r="10102" ht="33.75" customHeight="1">
      <c r="A10102" s="7">
        <v>411.0</v>
      </c>
      <c r="B10102" s="9" t="s">
        <v>15827</v>
      </c>
      <c r="C10102" s="9" t="s">
        <v>625</v>
      </c>
      <c r="D10102" s="9" t="s">
        <v>91</v>
      </c>
      <c r="E10102" s="6" t="s">
        <v>9534</v>
      </c>
      <c r="F10102" s="9" t="s">
        <v>16512</v>
      </c>
    </row>
    <row r="10103" ht="33.75" customHeight="1">
      <c r="A10103" s="7">
        <v>411.0</v>
      </c>
      <c r="B10103" s="9" t="s">
        <v>15827</v>
      </c>
      <c r="C10103" s="9" t="s">
        <v>625</v>
      </c>
      <c r="D10103" s="9" t="s">
        <v>93</v>
      </c>
      <c r="E10103" s="6" t="s">
        <v>9533</v>
      </c>
      <c r="F10103" s="9" t="s">
        <v>16512</v>
      </c>
    </row>
    <row r="10104" ht="33.75" customHeight="1">
      <c r="A10104" s="7">
        <v>411.0</v>
      </c>
      <c r="B10104" s="9" t="s">
        <v>15827</v>
      </c>
      <c r="C10104" s="9" t="s">
        <v>625</v>
      </c>
      <c r="D10104" s="9" t="s">
        <v>95</v>
      </c>
      <c r="E10104" s="6" t="s">
        <v>9533</v>
      </c>
      <c r="F10104" s="9" t="s">
        <v>16512</v>
      </c>
    </row>
    <row r="10105" ht="33.75" customHeight="1">
      <c r="A10105" s="7">
        <v>411.0</v>
      </c>
      <c r="B10105" s="9" t="s">
        <v>15827</v>
      </c>
      <c r="C10105" s="9" t="s">
        <v>625</v>
      </c>
      <c r="D10105" s="9" t="s">
        <v>98</v>
      </c>
      <c r="E10105" s="6" t="s">
        <v>9533</v>
      </c>
      <c r="F10105" s="9" t="s">
        <v>16512</v>
      </c>
    </row>
    <row r="10106" ht="33.75" customHeight="1">
      <c r="A10106" s="7">
        <v>411.0</v>
      </c>
      <c r="B10106" s="9" t="s">
        <v>15827</v>
      </c>
      <c r="C10106" s="9" t="s">
        <v>625</v>
      </c>
      <c r="D10106" s="9" t="s">
        <v>99</v>
      </c>
      <c r="E10106" s="6" t="s">
        <v>9533</v>
      </c>
      <c r="F10106" s="9" t="s">
        <v>16512</v>
      </c>
    </row>
    <row r="10107" ht="33.75" customHeight="1">
      <c r="A10107" s="7">
        <v>411.0</v>
      </c>
      <c r="B10107" s="9" t="s">
        <v>15827</v>
      </c>
      <c r="C10107" s="9" t="s">
        <v>625</v>
      </c>
      <c r="D10107" s="9" t="s">
        <v>101</v>
      </c>
      <c r="E10107" s="6" t="s">
        <v>9533</v>
      </c>
      <c r="F10107" s="9" t="s">
        <v>16512</v>
      </c>
    </row>
    <row r="10108" ht="33.75" customHeight="1">
      <c r="A10108" s="7">
        <v>411.0</v>
      </c>
      <c r="B10108" s="9" t="s">
        <v>15827</v>
      </c>
      <c r="C10108" s="9" t="s">
        <v>625</v>
      </c>
      <c r="D10108" s="9" t="s">
        <v>105</v>
      </c>
      <c r="E10108" s="6" t="s">
        <v>9531</v>
      </c>
      <c r="F10108" s="9" t="s">
        <v>16512</v>
      </c>
    </row>
    <row r="10109" ht="33.75" customHeight="1">
      <c r="A10109" s="7">
        <v>411.0</v>
      </c>
      <c r="B10109" s="9" t="s">
        <v>15827</v>
      </c>
      <c r="C10109" s="9" t="s">
        <v>625</v>
      </c>
      <c r="D10109" s="9" t="s">
        <v>107</v>
      </c>
      <c r="E10109" s="6" t="s">
        <v>9533</v>
      </c>
      <c r="F10109" s="9" t="s">
        <v>16512</v>
      </c>
    </row>
    <row r="10110" ht="33.75" customHeight="1">
      <c r="A10110" s="7">
        <v>411.0</v>
      </c>
      <c r="B10110" s="9" t="s">
        <v>15827</v>
      </c>
      <c r="C10110" s="9" t="s">
        <v>625</v>
      </c>
      <c r="D10110" s="9" t="s">
        <v>109</v>
      </c>
      <c r="E10110" s="6" t="s">
        <v>9531</v>
      </c>
      <c r="F10110" s="9" t="s">
        <v>16512</v>
      </c>
    </row>
    <row r="10111" ht="33.75" customHeight="1">
      <c r="A10111" s="7">
        <v>411.0</v>
      </c>
      <c r="B10111" s="9" t="s">
        <v>15827</v>
      </c>
      <c r="C10111" s="9" t="s">
        <v>625</v>
      </c>
      <c r="D10111" s="9" t="s">
        <v>637</v>
      </c>
      <c r="E10111" s="6" t="s">
        <v>9535</v>
      </c>
      <c r="F10111" s="9" t="s">
        <v>16512</v>
      </c>
    </row>
    <row r="10112" ht="33.75" customHeight="1">
      <c r="A10112" s="7">
        <v>411.0</v>
      </c>
      <c r="B10112" s="9" t="s">
        <v>15827</v>
      </c>
      <c r="C10112" s="9" t="s">
        <v>625</v>
      </c>
      <c r="D10112" s="9" t="s">
        <v>642</v>
      </c>
      <c r="E10112" s="6" t="s">
        <v>9536</v>
      </c>
      <c r="F10112" s="9" t="s">
        <v>16512</v>
      </c>
    </row>
    <row r="10113" ht="33.75" customHeight="1">
      <c r="A10113" s="7">
        <v>411.0</v>
      </c>
      <c r="B10113" s="9" t="s">
        <v>15827</v>
      </c>
      <c r="C10113" s="9" t="s">
        <v>625</v>
      </c>
      <c r="D10113" s="9" t="s">
        <v>647</v>
      </c>
      <c r="E10113" s="6" t="s">
        <v>9537</v>
      </c>
      <c r="F10113" s="9" t="s">
        <v>16512</v>
      </c>
    </row>
    <row r="10114" ht="33.75" customHeight="1">
      <c r="A10114" s="7">
        <v>411.0</v>
      </c>
      <c r="B10114" s="9" t="s">
        <v>15827</v>
      </c>
      <c r="C10114" s="9" t="s">
        <v>625</v>
      </c>
      <c r="D10114" s="9" t="s">
        <v>652</v>
      </c>
      <c r="E10114" s="6" t="s">
        <v>9538</v>
      </c>
      <c r="F10114" s="9" t="s">
        <v>16512</v>
      </c>
    </row>
    <row r="10115" ht="33.75" customHeight="1">
      <c r="A10115" s="7">
        <v>411.0</v>
      </c>
      <c r="B10115" s="9" t="s">
        <v>15827</v>
      </c>
      <c r="C10115" s="9" t="s">
        <v>625</v>
      </c>
      <c r="D10115" s="9" t="s">
        <v>1577</v>
      </c>
      <c r="E10115" s="6" t="s">
        <v>9539</v>
      </c>
      <c r="F10115" s="9" t="s">
        <v>16512</v>
      </c>
    </row>
    <row r="10116" ht="33.75" customHeight="1">
      <c r="A10116" s="7">
        <v>412.0</v>
      </c>
      <c r="B10116" s="9" t="s">
        <v>15838</v>
      </c>
      <c r="C10116" s="9" t="s">
        <v>308</v>
      </c>
      <c r="D10116" s="9" t="s">
        <v>81</v>
      </c>
      <c r="E10116" s="6" t="s">
        <v>9541</v>
      </c>
      <c r="F10116" s="9" t="s">
        <v>16524</v>
      </c>
      <c r="G10116" t="inlineStr" s="6">
        <is>
          <t xml:space="preserve">To shelter itself from cold, wintry winds, it covers itself with a cloak made of twigs and leaves. If its cloak is broken in battle, it quickly remakes the cloak with materials nearby. Even if it is born where there are no cocooning materials, it somehow always ends up with a cloak. It covers itself with a cloak to shelter from the cold. When it’s hot, its cloak is thinner. If its cloak is even slightly damaged, Burmy will immediately repair it with whatever is close at hand. The Pokémon within the cloak is scrawny and vulnerable to the cold.</t>
        </is>
      </c>
    </row>
    <row r="10117" ht="33.75" customHeight="1">
      <c r="A10117" s="7">
        <v>412.0</v>
      </c>
      <c r="B10117" s="9" t="s">
        <v>15838</v>
      </c>
      <c r="C10117" s="9" t="s">
        <v>308</v>
      </c>
      <c r="D10117" s="9" t="s">
        <v>84</v>
      </c>
      <c r="E10117" s="6" t="s">
        <v>9542</v>
      </c>
      <c r="F10117" s="9" t="s">
        <v>16524</v>
      </c>
    </row>
    <row r="10118" ht="33.75" customHeight="1">
      <c r="A10118" s="7">
        <v>412.0</v>
      </c>
      <c r="B10118" s="9" t="s">
        <v>15838</v>
      </c>
      <c r="C10118" s="9" t="s">
        <v>308</v>
      </c>
      <c r="D10118" s="9" t="s">
        <v>87</v>
      </c>
      <c r="E10118" s="6" t="s">
        <v>9543</v>
      </c>
      <c r="F10118" s="9" t="s">
        <v>16524</v>
      </c>
    </row>
    <row r="10119" ht="33.75" customHeight="1">
      <c r="A10119" s="7">
        <v>412.0</v>
      </c>
      <c r="B10119" s="9" t="s">
        <v>15838</v>
      </c>
      <c r="C10119" s="9" t="s">
        <v>308</v>
      </c>
      <c r="D10119" s="9" t="s">
        <v>89</v>
      </c>
      <c r="E10119" s="6" t="s">
        <v>9546</v>
      </c>
      <c r="F10119" s="9" t="s">
        <v>16524</v>
      </c>
    </row>
    <row r="10120" ht="33.75" customHeight="1">
      <c r="A10120" s="7">
        <v>412.0</v>
      </c>
      <c r="B10120" s="9" t="s">
        <v>15838</v>
      </c>
      <c r="C10120" s="9" t="s">
        <v>308</v>
      </c>
      <c r="D10120" s="9" t="s">
        <v>91</v>
      </c>
      <c r="E10120" s="6" t="s">
        <v>9546</v>
      </c>
      <c r="F10120" s="9" t="s">
        <v>16524</v>
      </c>
    </row>
    <row r="10121" ht="33.75" customHeight="1">
      <c r="A10121" s="7">
        <v>412.0</v>
      </c>
      <c r="B10121" s="9" t="s">
        <v>15838</v>
      </c>
      <c r="C10121" s="9" t="s">
        <v>308</v>
      </c>
      <c r="D10121" s="9" t="s">
        <v>93</v>
      </c>
      <c r="E10121" s="6" t="s">
        <v>9543</v>
      </c>
      <c r="F10121" s="9" t="s">
        <v>16524</v>
      </c>
    </row>
    <row r="10122" ht="33.75" customHeight="1">
      <c r="A10122" s="7">
        <v>412.0</v>
      </c>
      <c r="B10122" s="9" t="s">
        <v>15838</v>
      </c>
      <c r="C10122" s="9" t="s">
        <v>308</v>
      </c>
      <c r="D10122" s="9" t="s">
        <v>95</v>
      </c>
      <c r="E10122" s="6" t="s">
        <v>9543</v>
      </c>
      <c r="F10122" s="9" t="s">
        <v>16524</v>
      </c>
    </row>
    <row r="10123" ht="33.75" customHeight="1">
      <c r="A10123" s="7">
        <v>412.0</v>
      </c>
      <c r="B10123" s="9" t="s">
        <v>15838</v>
      </c>
      <c r="C10123" s="9" t="s">
        <v>308</v>
      </c>
      <c r="D10123" s="9" t="s">
        <v>98</v>
      </c>
      <c r="E10123" s="6" t="s">
        <v>9543</v>
      </c>
      <c r="F10123" s="9" t="s">
        <v>16524</v>
      </c>
    </row>
    <row r="10124" ht="33.75" customHeight="1">
      <c r="A10124" s="7">
        <v>412.0</v>
      </c>
      <c r="B10124" s="9" t="s">
        <v>15838</v>
      </c>
      <c r="C10124" s="9" t="s">
        <v>308</v>
      </c>
      <c r="D10124" s="9" t="s">
        <v>99</v>
      </c>
      <c r="E10124" s="6" t="s">
        <v>9543</v>
      </c>
      <c r="F10124" s="9" t="s">
        <v>16524</v>
      </c>
    </row>
    <row r="10125" ht="33.75" customHeight="1">
      <c r="A10125" s="7">
        <v>412.0</v>
      </c>
      <c r="B10125" s="9" t="s">
        <v>15838</v>
      </c>
      <c r="C10125" s="9" t="s">
        <v>308</v>
      </c>
      <c r="D10125" s="9" t="s">
        <v>101</v>
      </c>
      <c r="E10125" s="6" t="s">
        <v>9541</v>
      </c>
      <c r="F10125" s="9" t="s">
        <v>16524</v>
      </c>
    </row>
    <row r="10126" ht="33.75" customHeight="1">
      <c r="A10126" s="7">
        <v>412.0</v>
      </c>
      <c r="B10126" s="9" t="s">
        <v>15838</v>
      </c>
      <c r="C10126" s="9" t="s">
        <v>308</v>
      </c>
      <c r="D10126" s="9" t="s">
        <v>105</v>
      </c>
      <c r="E10126" s="6" t="s">
        <v>9542</v>
      </c>
      <c r="F10126" s="9" t="s">
        <v>16524</v>
      </c>
    </row>
    <row r="10127" ht="33.75" customHeight="1">
      <c r="A10127" s="7">
        <v>412.0</v>
      </c>
      <c r="B10127" s="9" t="s">
        <v>15838</v>
      </c>
      <c r="C10127" s="9" t="s">
        <v>308</v>
      </c>
      <c r="D10127" s="9" t="s">
        <v>107</v>
      </c>
      <c r="E10127" s="6" t="s">
        <v>9541</v>
      </c>
      <c r="F10127" s="9" t="s">
        <v>16524</v>
      </c>
    </row>
    <row r="10128" ht="33.75" customHeight="1">
      <c r="A10128" s="7">
        <v>412.0</v>
      </c>
      <c r="B10128" s="9" t="s">
        <v>15838</v>
      </c>
      <c r="C10128" s="9" t="s">
        <v>308</v>
      </c>
      <c r="D10128" s="9" t="s">
        <v>109</v>
      </c>
      <c r="E10128" s="6" t="s">
        <v>9542</v>
      </c>
      <c r="F10128" s="9" t="s">
        <v>16524</v>
      </c>
    </row>
    <row r="10129" ht="33.75" customHeight="1">
      <c r="A10129" s="7">
        <v>412.0</v>
      </c>
      <c r="B10129" s="9" t="s">
        <v>15838</v>
      </c>
      <c r="C10129" s="9" t="s">
        <v>308</v>
      </c>
      <c r="D10129" s="9" t="s">
        <v>1577</v>
      </c>
      <c r="E10129" s="6" t="s">
        <v>9547</v>
      </c>
      <c r="F10129" s="9" t="s">
        <v>16524</v>
      </c>
    </row>
    <row r="10130" ht="33.75" customHeight="1">
      <c r="A10130" s="7">
        <v>413.0</v>
      </c>
      <c r="B10130" s="9" t="s">
        <v>15846</v>
      </c>
      <c r="C10130" s="9" t="s">
        <v>308</v>
      </c>
      <c r="D10130" s="9" t="s">
        <v>81</v>
      </c>
      <c r="E10130" s="6" t="s">
        <v>9549</v>
      </c>
      <c r="F10130" s="9" t="s">
        <v>16535</v>
      </c>
      <c r="G10130" t="inlineStr" s="6">
        <is>
          <t xml:space="preserve">When BURMY evolved, Wormadam's cloak became a part of this Pokémon’s body. The cloak is never shed. Its appearance changes depending on where it evolved. The materials on hand become a part of its body. When evolving, its body takes in surrounding materials. As a result, there are many body variations. It is said that a WORMADAM that evolves on a cold day will have a thicker cloak.</t>
        </is>
      </c>
    </row>
    <row r="10131" ht="33.75" customHeight="1">
      <c r="A10131" s="7">
        <v>413.0</v>
      </c>
      <c r="B10131" s="9" t="s">
        <v>15846</v>
      </c>
      <c r="C10131" s="9" t="s">
        <v>308</v>
      </c>
      <c r="D10131" s="9" t="s">
        <v>84</v>
      </c>
      <c r="E10131" s="6" t="s">
        <v>9551</v>
      </c>
      <c r="F10131" s="9" t="s">
        <v>16535</v>
      </c>
    </row>
    <row r="10132" ht="33.75" customHeight="1">
      <c r="A10132" s="7">
        <v>413.0</v>
      </c>
      <c r="B10132" s="9" t="s">
        <v>15846</v>
      </c>
      <c r="C10132" s="9" t="s">
        <v>308</v>
      </c>
      <c r="D10132" s="9" t="s">
        <v>87</v>
      </c>
      <c r="E10132" s="6" t="s">
        <v>9552</v>
      </c>
      <c r="F10132" s="9" t="s">
        <v>16535</v>
      </c>
    </row>
    <row r="10133" ht="33.75" customHeight="1">
      <c r="A10133" s="7">
        <v>413.0</v>
      </c>
      <c r="B10133" s="9" t="s">
        <v>15846</v>
      </c>
      <c r="C10133" s="9" t="s">
        <v>308</v>
      </c>
      <c r="D10133" s="9" t="s">
        <v>89</v>
      </c>
      <c r="E10133" s="6" t="s">
        <v>9554</v>
      </c>
      <c r="F10133" s="9" t="s">
        <v>16535</v>
      </c>
    </row>
    <row r="10134" ht="33.75" customHeight="1">
      <c r="A10134" s="7">
        <v>413.0</v>
      </c>
      <c r="B10134" s="9" t="s">
        <v>15846</v>
      </c>
      <c r="C10134" s="9" t="s">
        <v>308</v>
      </c>
      <c r="D10134" s="9" t="s">
        <v>91</v>
      </c>
      <c r="E10134" s="6" t="s">
        <v>9554</v>
      </c>
      <c r="F10134" s="9" t="s">
        <v>16535</v>
      </c>
    </row>
    <row r="10135" ht="33.75" customHeight="1">
      <c r="A10135" s="7">
        <v>413.0</v>
      </c>
      <c r="B10135" s="9" t="s">
        <v>15846</v>
      </c>
      <c r="C10135" s="9" t="s">
        <v>308</v>
      </c>
      <c r="D10135" s="9" t="s">
        <v>93</v>
      </c>
      <c r="E10135" s="6" t="s">
        <v>9552</v>
      </c>
      <c r="F10135" s="9" t="s">
        <v>16535</v>
      </c>
    </row>
    <row r="10136" ht="33.75" customHeight="1">
      <c r="A10136" s="7">
        <v>413.0</v>
      </c>
      <c r="B10136" s="9" t="s">
        <v>15846</v>
      </c>
      <c r="C10136" s="9" t="s">
        <v>308</v>
      </c>
      <c r="D10136" s="9" t="s">
        <v>95</v>
      </c>
      <c r="E10136" s="6" t="s">
        <v>9552</v>
      </c>
      <c r="F10136" s="9" t="s">
        <v>16535</v>
      </c>
    </row>
    <row r="10137" ht="33.75" customHeight="1">
      <c r="A10137" s="7">
        <v>413.0</v>
      </c>
      <c r="B10137" s="9" t="s">
        <v>15846</v>
      </c>
      <c r="C10137" s="9" t="s">
        <v>308</v>
      </c>
      <c r="D10137" s="9" t="s">
        <v>98</v>
      </c>
      <c r="E10137" s="6" t="s">
        <v>9552</v>
      </c>
      <c r="F10137" s="9" t="s">
        <v>16535</v>
      </c>
    </row>
    <row r="10138" ht="33.75" customHeight="1">
      <c r="A10138" s="7">
        <v>413.0</v>
      </c>
      <c r="B10138" s="9" t="s">
        <v>15846</v>
      </c>
      <c r="C10138" s="9" t="s">
        <v>308</v>
      </c>
      <c r="D10138" s="9" t="s">
        <v>99</v>
      </c>
      <c r="E10138" s="6" t="s">
        <v>9552</v>
      </c>
      <c r="F10138" s="9" t="s">
        <v>16535</v>
      </c>
    </row>
    <row r="10139" ht="33.75" customHeight="1">
      <c r="A10139" s="7">
        <v>413.0</v>
      </c>
      <c r="B10139" s="9" t="s">
        <v>15846</v>
      </c>
      <c r="C10139" s="9" t="s">
        <v>308</v>
      </c>
      <c r="D10139" s="9" t="s">
        <v>101</v>
      </c>
      <c r="E10139" s="6" t="s">
        <v>9551</v>
      </c>
      <c r="F10139" s="9" t="s">
        <v>16535</v>
      </c>
    </row>
    <row r="10140" ht="33.75" customHeight="1">
      <c r="A10140" s="7">
        <v>413.0</v>
      </c>
      <c r="B10140" s="9" t="s">
        <v>15846</v>
      </c>
      <c r="C10140" s="9" t="s">
        <v>308</v>
      </c>
      <c r="D10140" s="9" t="s">
        <v>105</v>
      </c>
      <c r="E10140" s="6" t="s">
        <v>9555</v>
      </c>
      <c r="F10140" s="9" t="s">
        <v>16535</v>
      </c>
    </row>
    <row r="10141" ht="33.75" customHeight="1">
      <c r="A10141" s="7">
        <v>413.0</v>
      </c>
      <c r="B10141" s="9" t="s">
        <v>15846</v>
      </c>
      <c r="C10141" s="9" t="s">
        <v>308</v>
      </c>
      <c r="D10141" s="9" t="s">
        <v>107</v>
      </c>
      <c r="E10141" s="6" t="s">
        <v>9551</v>
      </c>
      <c r="F10141" s="9" t="s">
        <v>16535</v>
      </c>
    </row>
    <row r="10142" ht="33.75" customHeight="1">
      <c r="A10142" s="7">
        <v>413.0</v>
      </c>
      <c r="B10142" s="9" t="s">
        <v>15846</v>
      </c>
      <c r="C10142" s="9" t="s">
        <v>308</v>
      </c>
      <c r="D10142" s="9" t="s">
        <v>109</v>
      </c>
      <c r="E10142" s="6" t="s">
        <v>9555</v>
      </c>
      <c r="F10142" s="9" t="s">
        <v>16535</v>
      </c>
    </row>
    <row r="10143" ht="33.75" customHeight="1">
      <c r="A10143" s="7">
        <v>414.0</v>
      </c>
      <c r="B10143" s="9" t="s">
        <v>15852</v>
      </c>
      <c r="C10143" s="9" t="s">
        <v>626</v>
      </c>
      <c r="D10143" s="9" t="s">
        <v>81</v>
      </c>
      <c r="E10143" s="6" t="s">
        <v>9557</v>
      </c>
      <c r="F10143" s="9" t="s">
        <v>16546</v>
      </c>
      <c r="G10143" t="inlineStr" s="6">
        <is>
          <t xml:space="preserve">It loves the honey of flowers and steals honey collected by COMBEE. It does not keep a nest. It flies over fields and mountains in constant search of floral honey. While it loves floral honey, it won’t gather any itself. Instead, it plots to steal some from COMBEE. It flutters around at night and steals honey from the COMBEE hive. Scatters steel-colored scales as it flaps its wings. Despite being observed feeding primarily on the nectar of flowers, Mothim is not often seen around flower gardens.</t>
        </is>
      </c>
    </row>
    <row r="10144" ht="33.75" customHeight="1">
      <c r="A10144" s="7">
        <v>414.0</v>
      </c>
      <c r="B10144" s="9" t="s">
        <v>15852</v>
      </c>
      <c r="C10144" s="9" t="s">
        <v>626</v>
      </c>
      <c r="D10144" s="9" t="s">
        <v>84</v>
      </c>
      <c r="E10144" s="6" t="s">
        <v>9559</v>
      </c>
      <c r="F10144" s="9" t="s">
        <v>16546</v>
      </c>
    </row>
    <row r="10145" ht="33.75" customHeight="1">
      <c r="A10145" s="7">
        <v>414.0</v>
      </c>
      <c r="B10145" s="9" t="s">
        <v>15852</v>
      </c>
      <c r="C10145" s="9" t="s">
        <v>626</v>
      </c>
      <c r="D10145" s="9" t="s">
        <v>87</v>
      </c>
      <c r="E10145" s="6" t="s">
        <v>9561</v>
      </c>
      <c r="F10145" s="9" t="s">
        <v>16546</v>
      </c>
    </row>
    <row r="10146" ht="33.75" customHeight="1">
      <c r="A10146" s="7">
        <v>414.0</v>
      </c>
      <c r="B10146" s="9" t="s">
        <v>15852</v>
      </c>
      <c r="C10146" s="9" t="s">
        <v>626</v>
      </c>
      <c r="D10146" s="9" t="s">
        <v>89</v>
      </c>
      <c r="E10146" s="6" t="s">
        <v>9562</v>
      </c>
      <c r="F10146" s="9" t="s">
        <v>16546</v>
      </c>
    </row>
    <row r="10147" ht="33.75" customHeight="1">
      <c r="A10147" s="7">
        <v>414.0</v>
      </c>
      <c r="B10147" s="9" t="s">
        <v>15852</v>
      </c>
      <c r="C10147" s="9" t="s">
        <v>626</v>
      </c>
      <c r="D10147" s="9" t="s">
        <v>91</v>
      </c>
      <c r="E10147" s="6" t="s">
        <v>9562</v>
      </c>
      <c r="F10147" s="9" t="s">
        <v>16546</v>
      </c>
    </row>
    <row r="10148" ht="33.75" customHeight="1">
      <c r="A10148" s="7">
        <v>414.0</v>
      </c>
      <c r="B10148" s="9" t="s">
        <v>15852</v>
      </c>
      <c r="C10148" s="9" t="s">
        <v>626</v>
      </c>
      <c r="D10148" s="9" t="s">
        <v>93</v>
      </c>
      <c r="E10148" s="6" t="s">
        <v>9563</v>
      </c>
      <c r="F10148" s="9" t="s">
        <v>16546</v>
      </c>
    </row>
    <row r="10149" ht="33.75" customHeight="1">
      <c r="A10149" s="7">
        <v>414.0</v>
      </c>
      <c r="B10149" s="9" t="s">
        <v>15852</v>
      </c>
      <c r="C10149" s="9" t="s">
        <v>626</v>
      </c>
      <c r="D10149" s="9" t="s">
        <v>95</v>
      </c>
      <c r="E10149" s="6" t="s">
        <v>9563</v>
      </c>
      <c r="F10149" s="9" t="s">
        <v>16546</v>
      </c>
    </row>
    <row r="10150" ht="33.75" customHeight="1">
      <c r="A10150" s="7">
        <v>414.0</v>
      </c>
      <c r="B10150" s="9" t="s">
        <v>15852</v>
      </c>
      <c r="C10150" s="9" t="s">
        <v>626</v>
      </c>
      <c r="D10150" s="9" t="s">
        <v>98</v>
      </c>
      <c r="E10150" s="6" t="s">
        <v>9563</v>
      </c>
      <c r="F10150" s="9" t="s">
        <v>16546</v>
      </c>
    </row>
    <row r="10151" ht="33.75" customHeight="1">
      <c r="A10151" s="7">
        <v>414.0</v>
      </c>
      <c r="B10151" s="9" t="s">
        <v>15852</v>
      </c>
      <c r="C10151" s="9" t="s">
        <v>626</v>
      </c>
      <c r="D10151" s="9" t="s">
        <v>99</v>
      </c>
      <c r="E10151" s="6" t="s">
        <v>9563</v>
      </c>
      <c r="F10151" s="9" t="s">
        <v>16546</v>
      </c>
    </row>
    <row r="10152" ht="33.75" customHeight="1">
      <c r="A10152" s="7">
        <v>414.0</v>
      </c>
      <c r="B10152" s="9" t="s">
        <v>15852</v>
      </c>
      <c r="C10152" s="9" t="s">
        <v>626</v>
      </c>
      <c r="D10152" s="9" t="s">
        <v>101</v>
      </c>
      <c r="E10152" s="6" t="s">
        <v>9565</v>
      </c>
      <c r="F10152" s="9" t="s">
        <v>16546</v>
      </c>
    </row>
    <row r="10153" ht="33.75" customHeight="1">
      <c r="A10153" s="7">
        <v>414.0</v>
      </c>
      <c r="B10153" s="9" t="s">
        <v>15852</v>
      </c>
      <c r="C10153" s="9" t="s">
        <v>626</v>
      </c>
      <c r="D10153" s="9" t="s">
        <v>105</v>
      </c>
      <c r="E10153" s="6" t="s">
        <v>9566</v>
      </c>
      <c r="F10153" s="9" t="s">
        <v>16546</v>
      </c>
    </row>
    <row r="10154" ht="33.75" customHeight="1">
      <c r="A10154" s="7">
        <v>414.0</v>
      </c>
      <c r="B10154" s="9" t="s">
        <v>15852</v>
      </c>
      <c r="C10154" s="9" t="s">
        <v>626</v>
      </c>
      <c r="D10154" s="9" t="s">
        <v>107</v>
      </c>
      <c r="E10154" s="6" t="s">
        <v>9565</v>
      </c>
      <c r="F10154" s="9" t="s">
        <v>16546</v>
      </c>
    </row>
    <row r="10155" ht="33.75" customHeight="1">
      <c r="A10155" s="7">
        <v>414.0</v>
      </c>
      <c r="B10155" s="9" t="s">
        <v>15852</v>
      </c>
      <c r="C10155" s="9" t="s">
        <v>626</v>
      </c>
      <c r="D10155" s="9" t="s">
        <v>109</v>
      </c>
      <c r="E10155" s="6" t="s">
        <v>9566</v>
      </c>
      <c r="F10155" s="9" t="s">
        <v>16546</v>
      </c>
    </row>
    <row r="10156" ht="33.75" customHeight="1">
      <c r="A10156" s="7">
        <v>414.0</v>
      </c>
      <c r="B10156" s="9" t="s">
        <v>15852</v>
      </c>
      <c r="C10156" s="9" t="s">
        <v>626</v>
      </c>
      <c r="D10156" s="9" t="s">
        <v>1577</v>
      </c>
      <c r="E10156" s="6" t="s">
        <v>9567</v>
      </c>
      <c r="F10156" s="9" t="s">
        <v>16546</v>
      </c>
    </row>
    <row r="10157" ht="33.75" customHeight="1">
      <c r="A10157" s="7">
        <v>415.0</v>
      </c>
      <c r="B10157" s="9" t="s">
        <v>15863</v>
      </c>
      <c r="C10157" s="9" t="s">
        <v>628</v>
      </c>
      <c r="D10157" s="9" t="s">
        <v>81</v>
      </c>
      <c r="E10157" s="6" t="s">
        <v>9568</v>
      </c>
      <c r="F10157" s="9" t="s">
        <v>16564</v>
      </c>
      <c r="G10157" t="inlineStr" s="6">
        <is>
          <t xml:space="preserve">A Pokémon formed by three others. It busily carries sweet floral honey to VESPIQUEN. It collects and delivers honey to its colony. At night, they cluster to form a beehive and sleep. The trio is together from birth. It constantly gathers honey from flowers to please VESPIQUEN. At night, COMBEE sleep in a group of about a thousand, packed closely together in a lump. This Pokémon is a set of three. When they sleep, they gather up and form a giant hive of 100 Combee. The members of the trio spend all their time together. Each one has a slightly different taste in nectar. It ceaselessly gathers nectar from sunrise to sundown, all for the sake of Vespiquen and the swarm. They swear fealty to a queen Pokémon and work diligently to gather nectar. Each swarm produces a different flavor of honey.</t>
        </is>
      </c>
    </row>
    <row r="10158" ht="33.75" customHeight="1">
      <c r="A10158" s="7">
        <v>415.0</v>
      </c>
      <c r="B10158" s="9" t="s">
        <v>15863</v>
      </c>
      <c r="C10158" s="9" t="s">
        <v>628</v>
      </c>
      <c r="D10158" s="9" t="s">
        <v>84</v>
      </c>
      <c r="E10158" s="6" t="s">
        <v>9569</v>
      </c>
      <c r="F10158" s="9" t="s">
        <v>16564</v>
      </c>
    </row>
    <row r="10159" ht="33.75" customHeight="1">
      <c r="A10159" s="7">
        <v>415.0</v>
      </c>
      <c r="B10159" s="9" t="s">
        <v>15863</v>
      </c>
      <c r="C10159" s="9" t="s">
        <v>628</v>
      </c>
      <c r="D10159" s="9" t="s">
        <v>87</v>
      </c>
      <c r="E10159" s="6" t="s">
        <v>9570</v>
      </c>
      <c r="F10159" s="9" t="s">
        <v>16564</v>
      </c>
    </row>
    <row r="10160" ht="33.75" customHeight="1">
      <c r="A10160" s="7">
        <v>415.0</v>
      </c>
      <c r="B10160" s="9" t="s">
        <v>15863</v>
      </c>
      <c r="C10160" s="9" t="s">
        <v>628</v>
      </c>
      <c r="D10160" s="9" t="s">
        <v>89</v>
      </c>
      <c r="E10160" s="6" t="s">
        <v>9571</v>
      </c>
      <c r="F10160" s="9" t="s">
        <v>16564</v>
      </c>
    </row>
    <row r="10161" ht="33.75" customHeight="1">
      <c r="A10161" s="7">
        <v>415.0</v>
      </c>
      <c r="B10161" s="9" t="s">
        <v>15863</v>
      </c>
      <c r="C10161" s="9" t="s">
        <v>628</v>
      </c>
      <c r="D10161" s="9" t="s">
        <v>91</v>
      </c>
      <c r="E10161" s="6" t="s">
        <v>9571</v>
      </c>
      <c r="F10161" s="9" t="s">
        <v>16564</v>
      </c>
    </row>
    <row r="10162" ht="33.75" customHeight="1">
      <c r="A10162" s="7">
        <v>415.0</v>
      </c>
      <c r="B10162" s="9" t="s">
        <v>15863</v>
      </c>
      <c r="C10162" s="9" t="s">
        <v>628</v>
      </c>
      <c r="D10162" s="9" t="s">
        <v>93</v>
      </c>
      <c r="E10162" s="6" t="s">
        <v>9572</v>
      </c>
      <c r="F10162" s="9" t="s">
        <v>16564</v>
      </c>
    </row>
    <row r="10163" ht="33.75" customHeight="1">
      <c r="A10163" s="7">
        <v>415.0</v>
      </c>
      <c r="B10163" s="9" t="s">
        <v>15863</v>
      </c>
      <c r="C10163" s="9" t="s">
        <v>628</v>
      </c>
      <c r="D10163" s="9" t="s">
        <v>95</v>
      </c>
      <c r="E10163" s="6" t="s">
        <v>9572</v>
      </c>
      <c r="F10163" s="9" t="s">
        <v>16564</v>
      </c>
    </row>
    <row r="10164" ht="33.75" customHeight="1">
      <c r="A10164" s="7">
        <v>415.0</v>
      </c>
      <c r="B10164" s="9" t="s">
        <v>15863</v>
      </c>
      <c r="C10164" s="9" t="s">
        <v>628</v>
      </c>
      <c r="D10164" s="9" t="s">
        <v>98</v>
      </c>
      <c r="E10164" s="6" t="s">
        <v>9573</v>
      </c>
      <c r="F10164" s="9" t="s">
        <v>16564</v>
      </c>
    </row>
    <row r="10165" ht="33.75" customHeight="1">
      <c r="A10165" s="7">
        <v>415.0</v>
      </c>
      <c r="B10165" s="9" t="s">
        <v>15863</v>
      </c>
      <c r="C10165" s="9" t="s">
        <v>628</v>
      </c>
      <c r="D10165" s="9" t="s">
        <v>99</v>
      </c>
      <c r="E10165" s="6" t="s">
        <v>9573</v>
      </c>
      <c r="F10165" s="9" t="s">
        <v>16564</v>
      </c>
    </row>
    <row r="10166" ht="33.75" customHeight="1">
      <c r="A10166" s="7">
        <v>415.0</v>
      </c>
      <c r="B10166" s="9" t="s">
        <v>15863</v>
      </c>
      <c r="C10166" s="9" t="s">
        <v>628</v>
      </c>
      <c r="D10166" s="9" t="s">
        <v>101</v>
      </c>
      <c r="E10166" s="6" t="s">
        <v>9572</v>
      </c>
      <c r="F10166" s="9" t="s">
        <v>16564</v>
      </c>
    </row>
    <row r="10167" ht="33.75" customHeight="1">
      <c r="A10167" s="7">
        <v>415.0</v>
      </c>
      <c r="B10167" s="9" t="s">
        <v>15863</v>
      </c>
      <c r="C10167" s="9" t="s">
        <v>628</v>
      </c>
      <c r="D10167" s="9" t="s">
        <v>105</v>
      </c>
      <c r="E10167" s="6" t="s">
        <v>9569</v>
      </c>
      <c r="F10167" s="9" t="s">
        <v>16564</v>
      </c>
    </row>
    <row r="10168" ht="33.75" customHeight="1">
      <c r="A10168" s="7">
        <v>415.0</v>
      </c>
      <c r="B10168" s="9" t="s">
        <v>15863</v>
      </c>
      <c r="C10168" s="9" t="s">
        <v>628</v>
      </c>
      <c r="D10168" s="9" t="s">
        <v>107</v>
      </c>
      <c r="E10168" s="6" t="s">
        <v>9572</v>
      </c>
      <c r="F10168" s="9" t="s">
        <v>16564</v>
      </c>
    </row>
    <row r="10169" ht="33.75" customHeight="1">
      <c r="A10169" s="7">
        <v>415.0</v>
      </c>
      <c r="B10169" s="9" t="s">
        <v>15863</v>
      </c>
      <c r="C10169" s="9" t="s">
        <v>628</v>
      </c>
      <c r="D10169" s="9" t="s">
        <v>109</v>
      </c>
      <c r="E10169" s="6" t="s">
        <v>9569</v>
      </c>
      <c r="F10169" s="9" t="s">
        <v>16564</v>
      </c>
    </row>
    <row r="10170" ht="33.75" customHeight="1">
      <c r="A10170" s="7">
        <v>415.0</v>
      </c>
      <c r="B10170" s="9" t="s">
        <v>15863</v>
      </c>
      <c r="C10170" s="9" t="s">
        <v>628</v>
      </c>
      <c r="D10170" s="9" t="s">
        <v>114</v>
      </c>
      <c r="E10170" s="6" t="s">
        <v>9574</v>
      </c>
      <c r="F10170" s="9" t="s">
        <v>16564</v>
      </c>
    </row>
    <row r="10171" ht="33.75" customHeight="1">
      <c r="A10171" s="7">
        <v>415.0</v>
      </c>
      <c r="B10171" s="9" t="s">
        <v>15863</v>
      </c>
      <c r="C10171" s="9" t="s">
        <v>628</v>
      </c>
      <c r="D10171" s="9" t="s">
        <v>117</v>
      </c>
      <c r="E10171" s="6" t="s">
        <v>9575</v>
      </c>
      <c r="F10171" s="9" t="s">
        <v>16564</v>
      </c>
    </row>
    <row r="10172" ht="33.75" customHeight="1">
      <c r="A10172" s="7">
        <v>415.0</v>
      </c>
      <c r="B10172" s="9" t="s">
        <v>15863</v>
      </c>
      <c r="C10172" s="9" t="s">
        <v>628</v>
      </c>
      <c r="D10172" s="9" t="s">
        <v>1577</v>
      </c>
      <c r="E10172" s="6" t="s">
        <v>9577</v>
      </c>
      <c r="F10172" s="9" t="s">
        <v>16564</v>
      </c>
    </row>
    <row r="10173" ht="33.75" customHeight="1">
      <c r="A10173" s="7">
        <v>416.0</v>
      </c>
      <c r="B10173" s="9" t="s">
        <v>15874</v>
      </c>
      <c r="C10173" s="9" t="s">
        <v>629</v>
      </c>
      <c r="D10173" s="9" t="s">
        <v>81</v>
      </c>
      <c r="E10173" s="6" t="s">
        <v>9578</v>
      </c>
      <c r="F10173" s="9" t="s">
        <v>16573</v>
      </c>
      <c r="G10173" t="inlineStr" s="6">
        <is>
          <t xml:space="preserve">Vespiquen's abdomen is a honeycomb for grubs. It raises its grubs on honey collected by COMBEE. When endangered, grubs from its six-cell honeycomb strike back. There is only one in a colony. It releases various pheromones to make the grubs in its body do its bidding while fighting foes. It raises grubs in the holes in its body. It secretes pheromones to control COMBEE. It houses its colony in cells in its body and releases various pheromones to make those grubs do its bidding. It skillfully commands its grubs in battles with its enemies. The grubs are willing to risk their lives to defend Vespiquen. Vespiquen that give off more pheromones have larger swarms of Combee attendants. Commands its subjects to build its hive. It will dispatch any interlopers who dare sneak into its nest and use them as nourishment for itself.</t>
        </is>
      </c>
    </row>
    <row r="10174" ht="33.75" customHeight="1">
      <c r="A10174" s="7">
        <v>416.0</v>
      </c>
      <c r="B10174" s="9" t="s">
        <v>15874</v>
      </c>
      <c r="C10174" s="9" t="s">
        <v>629</v>
      </c>
      <c r="D10174" s="9" t="s">
        <v>84</v>
      </c>
      <c r="E10174" s="6" t="s">
        <v>9579</v>
      </c>
      <c r="F10174" s="9" t="s">
        <v>16573</v>
      </c>
    </row>
    <row r="10175" ht="33.75" customHeight="1">
      <c r="A10175" s="7">
        <v>416.0</v>
      </c>
      <c r="B10175" s="9" t="s">
        <v>15874</v>
      </c>
      <c r="C10175" s="9" t="s">
        <v>629</v>
      </c>
      <c r="D10175" s="9" t="s">
        <v>87</v>
      </c>
      <c r="E10175" s="6" t="s">
        <v>9580</v>
      </c>
      <c r="F10175" s="9" t="s">
        <v>16573</v>
      </c>
    </row>
    <row r="10176" ht="33.75" customHeight="1">
      <c r="A10176" s="7">
        <v>416.0</v>
      </c>
      <c r="B10176" s="9" t="s">
        <v>15874</v>
      </c>
      <c r="C10176" s="9" t="s">
        <v>629</v>
      </c>
      <c r="D10176" s="9" t="s">
        <v>89</v>
      </c>
      <c r="E10176" s="6" t="s">
        <v>9582</v>
      </c>
      <c r="F10176" s="9" t="s">
        <v>16573</v>
      </c>
    </row>
    <row r="10177" ht="33.75" customHeight="1">
      <c r="A10177" s="7">
        <v>416.0</v>
      </c>
      <c r="B10177" s="9" t="s">
        <v>15874</v>
      </c>
      <c r="C10177" s="9" t="s">
        <v>629</v>
      </c>
      <c r="D10177" s="9" t="s">
        <v>91</v>
      </c>
      <c r="E10177" s="6" t="s">
        <v>9582</v>
      </c>
      <c r="F10177" s="9" t="s">
        <v>16573</v>
      </c>
    </row>
    <row r="10178" ht="33.75" customHeight="1">
      <c r="A10178" s="7">
        <v>416.0</v>
      </c>
      <c r="B10178" s="9" t="s">
        <v>15874</v>
      </c>
      <c r="C10178" s="9" t="s">
        <v>629</v>
      </c>
      <c r="D10178" s="9" t="s">
        <v>93</v>
      </c>
      <c r="E10178" s="6" t="s">
        <v>9580</v>
      </c>
      <c r="F10178" s="9" t="s">
        <v>16573</v>
      </c>
    </row>
    <row r="10179" ht="33.75" customHeight="1">
      <c r="A10179" s="7">
        <v>416.0</v>
      </c>
      <c r="B10179" s="9" t="s">
        <v>15874</v>
      </c>
      <c r="C10179" s="9" t="s">
        <v>629</v>
      </c>
      <c r="D10179" s="9" t="s">
        <v>95</v>
      </c>
      <c r="E10179" s="6" t="s">
        <v>9580</v>
      </c>
      <c r="F10179" s="9" t="s">
        <v>16573</v>
      </c>
    </row>
    <row r="10180" ht="33.75" customHeight="1">
      <c r="A10180" s="7">
        <v>416.0</v>
      </c>
      <c r="B10180" s="9" t="s">
        <v>15874</v>
      </c>
      <c r="C10180" s="9" t="s">
        <v>629</v>
      </c>
      <c r="D10180" s="9" t="s">
        <v>98</v>
      </c>
      <c r="E10180" s="6" t="s">
        <v>9584</v>
      </c>
      <c r="F10180" s="9" t="s">
        <v>16573</v>
      </c>
    </row>
    <row r="10181" ht="33.75" customHeight="1">
      <c r="A10181" s="7">
        <v>416.0</v>
      </c>
      <c r="B10181" s="9" t="s">
        <v>15874</v>
      </c>
      <c r="C10181" s="9" t="s">
        <v>629</v>
      </c>
      <c r="D10181" s="9" t="s">
        <v>99</v>
      </c>
      <c r="E10181" s="6" t="s">
        <v>9584</v>
      </c>
      <c r="F10181" s="9" t="s">
        <v>16573</v>
      </c>
    </row>
    <row r="10182" ht="33.75" customHeight="1">
      <c r="A10182" s="7">
        <v>416.0</v>
      </c>
      <c r="B10182" s="9" t="s">
        <v>15874</v>
      </c>
      <c r="C10182" s="9" t="s">
        <v>629</v>
      </c>
      <c r="D10182" s="9" t="s">
        <v>101</v>
      </c>
      <c r="E10182" s="6" t="s">
        <v>9584</v>
      </c>
      <c r="F10182" s="9" t="s">
        <v>16573</v>
      </c>
    </row>
    <row r="10183" ht="33.75" customHeight="1">
      <c r="A10183" s="7">
        <v>416.0</v>
      </c>
      <c r="B10183" s="9" t="s">
        <v>15874</v>
      </c>
      <c r="C10183" s="9" t="s">
        <v>629</v>
      </c>
      <c r="D10183" s="9" t="s">
        <v>105</v>
      </c>
      <c r="E10183" s="6" t="s">
        <v>9586</v>
      </c>
      <c r="F10183" s="9" t="s">
        <v>16573</v>
      </c>
    </row>
    <row r="10184" ht="33.75" customHeight="1">
      <c r="A10184" s="7">
        <v>416.0</v>
      </c>
      <c r="B10184" s="9" t="s">
        <v>15874</v>
      </c>
      <c r="C10184" s="9" t="s">
        <v>629</v>
      </c>
      <c r="D10184" s="9" t="s">
        <v>107</v>
      </c>
      <c r="E10184" s="6" t="s">
        <v>9584</v>
      </c>
      <c r="F10184" s="9" t="s">
        <v>16573</v>
      </c>
    </row>
    <row r="10185" ht="33.75" customHeight="1">
      <c r="A10185" s="7">
        <v>416.0</v>
      </c>
      <c r="B10185" s="9" t="s">
        <v>15874</v>
      </c>
      <c r="C10185" s="9" t="s">
        <v>629</v>
      </c>
      <c r="D10185" s="9" t="s">
        <v>109</v>
      </c>
      <c r="E10185" s="6" t="s">
        <v>9586</v>
      </c>
      <c r="F10185" s="9" t="s">
        <v>16573</v>
      </c>
    </row>
    <row r="10186" ht="33.75" customHeight="1">
      <c r="A10186" s="7">
        <v>416.0</v>
      </c>
      <c r="B10186" s="9" t="s">
        <v>15874</v>
      </c>
      <c r="C10186" s="9" t="s">
        <v>629</v>
      </c>
      <c r="D10186" s="9" t="s">
        <v>114</v>
      </c>
      <c r="E10186" s="6" t="s">
        <v>9588</v>
      </c>
      <c r="F10186" s="9" t="s">
        <v>16573</v>
      </c>
    </row>
    <row r="10187" ht="33.75" customHeight="1">
      <c r="A10187" s="7">
        <v>416.0</v>
      </c>
      <c r="B10187" s="9" t="s">
        <v>15874</v>
      </c>
      <c r="C10187" s="9" t="s">
        <v>629</v>
      </c>
      <c r="D10187" s="9" t="s">
        <v>117</v>
      </c>
      <c r="E10187" s="6" t="s">
        <v>9590</v>
      </c>
      <c r="F10187" s="9" t="s">
        <v>16573</v>
      </c>
    </row>
    <row r="10188" ht="33.75" customHeight="1">
      <c r="A10188" s="7">
        <v>416.0</v>
      </c>
      <c r="B10188" s="9" t="s">
        <v>15874</v>
      </c>
      <c r="C10188" s="9" t="s">
        <v>629</v>
      </c>
      <c r="D10188" s="9" t="s">
        <v>1577</v>
      </c>
      <c r="E10188" s="6" t="s">
        <v>9591</v>
      </c>
      <c r="F10188" s="9" t="s">
        <v>16573</v>
      </c>
    </row>
    <row r="10189" ht="33.75" customHeight="1">
      <c r="A10189" s="7">
        <v>417.0</v>
      </c>
      <c r="B10189" s="9" t="s">
        <v>15887</v>
      </c>
      <c r="C10189" s="9" t="s">
        <v>632</v>
      </c>
      <c r="D10189" s="9" t="s">
        <v>81</v>
      </c>
      <c r="E10189" s="6" t="s">
        <v>9593</v>
      </c>
      <c r="F10189" s="9" t="s">
        <v>16585</v>
      </c>
      <c r="G10189" t="inlineStr" s="6">
        <is>
          <t xml:space="preserve">Pachirisu makes fur balls that crackle with static electricity. It stores them with berries in tree holes. It makes electricity with pouches in its cheeks and shoots charges from its tail. It lives atop trees. A pair may be seen rubbing their cheek pouches together in an effort to share stored electricity. It’s one of the kinds of Pokémon with electric cheek pouches. It shoots charges from its tail. A species related to the Pikachu line. Though Pachirisu is a calm Pokémon, it still presents a danger should one touch its electrified tail or cheeks.</t>
        </is>
      </c>
    </row>
    <row r="10190" ht="33.75" customHeight="1">
      <c r="A10190" s="7">
        <v>417.0</v>
      </c>
      <c r="B10190" s="9" t="s">
        <v>15887</v>
      </c>
      <c r="C10190" s="9" t="s">
        <v>632</v>
      </c>
      <c r="D10190" s="9" t="s">
        <v>84</v>
      </c>
      <c r="E10190" s="6" t="s">
        <v>9594</v>
      </c>
      <c r="F10190" s="9" t="s">
        <v>16585</v>
      </c>
    </row>
    <row r="10191" ht="33.75" customHeight="1">
      <c r="A10191" s="7">
        <v>417.0</v>
      </c>
      <c r="B10191" s="9" t="s">
        <v>15887</v>
      </c>
      <c r="C10191" s="9" t="s">
        <v>632</v>
      </c>
      <c r="D10191" s="9" t="s">
        <v>87</v>
      </c>
      <c r="E10191" s="6" t="s">
        <v>9596</v>
      </c>
      <c r="F10191" s="9" t="s">
        <v>16585</v>
      </c>
    </row>
    <row r="10192" ht="33.75" customHeight="1">
      <c r="A10192" s="7">
        <v>417.0</v>
      </c>
      <c r="B10192" s="9" t="s">
        <v>15887</v>
      </c>
      <c r="C10192" s="9" t="s">
        <v>632</v>
      </c>
      <c r="D10192" s="9" t="s">
        <v>89</v>
      </c>
      <c r="E10192" s="6" t="s">
        <v>9597</v>
      </c>
      <c r="F10192" s="9" t="s">
        <v>16585</v>
      </c>
    </row>
    <row r="10193" ht="33.75" customHeight="1">
      <c r="A10193" s="7">
        <v>417.0</v>
      </c>
      <c r="B10193" s="9" t="s">
        <v>15887</v>
      </c>
      <c r="C10193" s="9" t="s">
        <v>632</v>
      </c>
      <c r="D10193" s="9" t="s">
        <v>91</v>
      </c>
      <c r="E10193" s="6" t="s">
        <v>9597</v>
      </c>
      <c r="F10193" s="9" t="s">
        <v>16585</v>
      </c>
    </row>
    <row r="10194" ht="33.75" customHeight="1">
      <c r="A10194" s="7">
        <v>417.0</v>
      </c>
      <c r="B10194" s="9" t="s">
        <v>15887</v>
      </c>
      <c r="C10194" s="9" t="s">
        <v>632</v>
      </c>
      <c r="D10194" s="9" t="s">
        <v>93</v>
      </c>
      <c r="E10194" s="6" t="s">
        <v>9596</v>
      </c>
      <c r="F10194" s="9" t="s">
        <v>16585</v>
      </c>
    </row>
    <row r="10195" ht="33.75" customHeight="1">
      <c r="A10195" s="7">
        <v>417.0</v>
      </c>
      <c r="B10195" s="9" t="s">
        <v>15887</v>
      </c>
      <c r="C10195" s="9" t="s">
        <v>632</v>
      </c>
      <c r="D10195" s="9" t="s">
        <v>95</v>
      </c>
      <c r="E10195" s="6" t="s">
        <v>9596</v>
      </c>
      <c r="F10195" s="9" t="s">
        <v>16585</v>
      </c>
    </row>
    <row r="10196" ht="33.75" customHeight="1">
      <c r="A10196" s="7">
        <v>417.0</v>
      </c>
      <c r="B10196" s="9" t="s">
        <v>15887</v>
      </c>
      <c r="C10196" s="9" t="s">
        <v>632</v>
      </c>
      <c r="D10196" s="9" t="s">
        <v>98</v>
      </c>
      <c r="E10196" s="6" t="s">
        <v>9596</v>
      </c>
      <c r="F10196" s="9" t="s">
        <v>16585</v>
      </c>
    </row>
    <row r="10197" ht="33.75" customHeight="1">
      <c r="A10197" s="7">
        <v>417.0</v>
      </c>
      <c r="B10197" s="9" t="s">
        <v>15887</v>
      </c>
      <c r="C10197" s="9" t="s">
        <v>632</v>
      </c>
      <c r="D10197" s="9" t="s">
        <v>99</v>
      </c>
      <c r="E10197" s="6" t="s">
        <v>9596</v>
      </c>
      <c r="F10197" s="9" t="s">
        <v>16585</v>
      </c>
    </row>
    <row r="10198" ht="33.75" customHeight="1">
      <c r="A10198" s="7">
        <v>417.0</v>
      </c>
      <c r="B10198" s="9" t="s">
        <v>15887</v>
      </c>
      <c r="C10198" s="9" t="s">
        <v>632</v>
      </c>
      <c r="D10198" s="9" t="s">
        <v>101</v>
      </c>
      <c r="E10198" s="6" t="s">
        <v>9593</v>
      </c>
      <c r="F10198" s="9" t="s">
        <v>16585</v>
      </c>
    </row>
    <row r="10199" ht="33.75" customHeight="1">
      <c r="A10199" s="7">
        <v>417.0</v>
      </c>
      <c r="B10199" s="9" t="s">
        <v>15887</v>
      </c>
      <c r="C10199" s="9" t="s">
        <v>632</v>
      </c>
      <c r="D10199" s="9" t="s">
        <v>105</v>
      </c>
      <c r="E10199" s="6" t="s">
        <v>9596</v>
      </c>
      <c r="F10199" s="9" t="s">
        <v>16585</v>
      </c>
    </row>
    <row r="10200" ht="33.75" customHeight="1">
      <c r="A10200" s="7">
        <v>417.0</v>
      </c>
      <c r="B10200" s="9" t="s">
        <v>15887</v>
      </c>
      <c r="C10200" s="9" t="s">
        <v>632</v>
      </c>
      <c r="D10200" s="9" t="s">
        <v>107</v>
      </c>
      <c r="E10200" s="6" t="s">
        <v>9593</v>
      </c>
      <c r="F10200" s="9" t="s">
        <v>16585</v>
      </c>
    </row>
    <row r="10201" ht="33.75" customHeight="1">
      <c r="A10201" s="7">
        <v>417.0</v>
      </c>
      <c r="B10201" s="9" t="s">
        <v>15887</v>
      </c>
      <c r="C10201" s="9" t="s">
        <v>632</v>
      </c>
      <c r="D10201" s="9" t="s">
        <v>109</v>
      </c>
      <c r="E10201" s="6" t="s">
        <v>9596</v>
      </c>
      <c r="F10201" s="9" t="s">
        <v>16585</v>
      </c>
    </row>
    <row r="10202" ht="33.75" customHeight="1">
      <c r="A10202" s="7">
        <v>417.0</v>
      </c>
      <c r="B10202" s="9" t="s">
        <v>15887</v>
      </c>
      <c r="C10202" s="9" t="s">
        <v>632</v>
      </c>
      <c r="D10202" s="9" t="s">
        <v>1577</v>
      </c>
      <c r="E10202" s="6" t="s">
        <v>9598</v>
      </c>
      <c r="F10202" s="9" t="s">
        <v>16585</v>
      </c>
    </row>
    <row r="10203" ht="33.75" customHeight="1">
      <c r="A10203" s="7">
        <v>418.0</v>
      </c>
      <c r="B10203" s="9" t="s">
        <v>15895</v>
      </c>
      <c r="C10203" s="9" t="s">
        <v>633</v>
      </c>
      <c r="D10203" s="9" t="s">
        <v>81</v>
      </c>
      <c r="E10203" s="6" t="s">
        <v>9600</v>
      </c>
      <c r="F10203" s="9" t="s">
        <v>16595</v>
      </c>
      <c r="G10203" t="inlineStr" s="6">
        <is>
          <t xml:space="preserve">Buizel has a flotation sac that is like an inflatable collar. It floats on water with its head out. It swims by rotating its two tails like a screw. When it dives, its flotation sac collapses. It spins its two tails like a screw to propel itself through water. The tails also slice clinging seaweed. It inflates its flotation sac, keeping its face above water in order to watch for prey movement. It inflates the flotation sac around its neck and pokes its head out of the water to see what is going on. It moves freely in the water by spinning its forked tail for propulsion. The resemblance to the screw of a steamboat is coincidental.</t>
        </is>
      </c>
    </row>
    <row r="10204" ht="33.75" customHeight="1">
      <c r="A10204" s="7">
        <v>418.0</v>
      </c>
      <c r="B10204" s="9" t="s">
        <v>15895</v>
      </c>
      <c r="C10204" s="9" t="s">
        <v>633</v>
      </c>
      <c r="D10204" s="9" t="s">
        <v>84</v>
      </c>
      <c r="E10204" s="6" t="s">
        <v>9601</v>
      </c>
      <c r="F10204" s="9" t="s">
        <v>16595</v>
      </c>
    </row>
    <row r="10205" ht="33.75" customHeight="1">
      <c r="A10205" s="7">
        <v>418.0</v>
      </c>
      <c r="B10205" s="9" t="s">
        <v>15895</v>
      </c>
      <c r="C10205" s="9" t="s">
        <v>633</v>
      </c>
      <c r="D10205" s="9" t="s">
        <v>87</v>
      </c>
      <c r="E10205" s="6" t="s">
        <v>9602</v>
      </c>
      <c r="F10205" s="9" t="s">
        <v>16595</v>
      </c>
    </row>
    <row r="10206" ht="33.75" customHeight="1">
      <c r="A10206" s="7">
        <v>418.0</v>
      </c>
      <c r="B10206" s="9" t="s">
        <v>15895</v>
      </c>
      <c r="C10206" s="9" t="s">
        <v>633</v>
      </c>
      <c r="D10206" s="9" t="s">
        <v>89</v>
      </c>
      <c r="E10206" s="6" t="s">
        <v>9603</v>
      </c>
      <c r="F10206" s="9" t="s">
        <v>16595</v>
      </c>
    </row>
    <row r="10207" ht="33.75" customHeight="1">
      <c r="A10207" s="7">
        <v>418.0</v>
      </c>
      <c r="B10207" s="9" t="s">
        <v>15895</v>
      </c>
      <c r="C10207" s="9" t="s">
        <v>633</v>
      </c>
      <c r="D10207" s="9" t="s">
        <v>91</v>
      </c>
      <c r="E10207" s="6" t="s">
        <v>9603</v>
      </c>
      <c r="F10207" s="9" t="s">
        <v>16595</v>
      </c>
    </row>
    <row r="10208" ht="33.75" customHeight="1">
      <c r="A10208" s="7">
        <v>418.0</v>
      </c>
      <c r="B10208" s="9" t="s">
        <v>15895</v>
      </c>
      <c r="C10208" s="9" t="s">
        <v>633</v>
      </c>
      <c r="D10208" s="9" t="s">
        <v>93</v>
      </c>
      <c r="E10208" s="6" t="s">
        <v>9602</v>
      </c>
      <c r="F10208" s="9" t="s">
        <v>16595</v>
      </c>
    </row>
    <row r="10209" ht="33.75" customHeight="1">
      <c r="A10209" s="7">
        <v>418.0</v>
      </c>
      <c r="B10209" s="9" t="s">
        <v>15895</v>
      </c>
      <c r="C10209" s="9" t="s">
        <v>633</v>
      </c>
      <c r="D10209" s="9" t="s">
        <v>95</v>
      </c>
      <c r="E10209" s="6" t="s">
        <v>9602</v>
      </c>
      <c r="F10209" s="9" t="s">
        <v>16595</v>
      </c>
    </row>
    <row r="10210" ht="33.75" customHeight="1">
      <c r="A10210" s="7">
        <v>418.0</v>
      </c>
      <c r="B10210" s="9" t="s">
        <v>15895</v>
      </c>
      <c r="C10210" s="9" t="s">
        <v>633</v>
      </c>
      <c r="D10210" s="9" t="s">
        <v>98</v>
      </c>
      <c r="E10210" s="6" t="s">
        <v>9604</v>
      </c>
      <c r="F10210" s="9" t="s">
        <v>16595</v>
      </c>
    </row>
    <row r="10211" ht="33.75" customHeight="1">
      <c r="A10211" s="7">
        <v>418.0</v>
      </c>
      <c r="B10211" s="9" t="s">
        <v>15895</v>
      </c>
      <c r="C10211" s="9" t="s">
        <v>633</v>
      </c>
      <c r="D10211" s="9" t="s">
        <v>99</v>
      </c>
      <c r="E10211" s="6" t="s">
        <v>9604</v>
      </c>
      <c r="F10211" s="9" t="s">
        <v>16595</v>
      </c>
    </row>
    <row r="10212" ht="33.75" customHeight="1">
      <c r="A10212" s="7">
        <v>418.0</v>
      </c>
      <c r="B10212" s="9" t="s">
        <v>15895</v>
      </c>
      <c r="C10212" s="9" t="s">
        <v>633</v>
      </c>
      <c r="D10212" s="9" t="s">
        <v>101</v>
      </c>
      <c r="E10212" s="6" t="s">
        <v>9601</v>
      </c>
      <c r="F10212" s="9" t="s">
        <v>16595</v>
      </c>
    </row>
    <row r="10213" ht="33.75" customHeight="1">
      <c r="A10213" s="7">
        <v>418.0</v>
      </c>
      <c r="B10213" s="9" t="s">
        <v>15895</v>
      </c>
      <c r="C10213" s="9" t="s">
        <v>633</v>
      </c>
      <c r="D10213" s="9" t="s">
        <v>105</v>
      </c>
      <c r="E10213" s="6" t="s">
        <v>9604</v>
      </c>
      <c r="F10213" s="9" t="s">
        <v>16595</v>
      </c>
    </row>
    <row r="10214" ht="33.75" customHeight="1">
      <c r="A10214" s="7">
        <v>418.0</v>
      </c>
      <c r="B10214" s="9" t="s">
        <v>15895</v>
      </c>
      <c r="C10214" s="9" t="s">
        <v>633</v>
      </c>
      <c r="D10214" s="9" t="s">
        <v>107</v>
      </c>
      <c r="E10214" s="6" t="s">
        <v>9601</v>
      </c>
      <c r="F10214" s="9" t="s">
        <v>16595</v>
      </c>
    </row>
    <row r="10215" ht="33.75" customHeight="1">
      <c r="A10215" s="7">
        <v>418.0</v>
      </c>
      <c r="B10215" s="9" t="s">
        <v>15895</v>
      </c>
      <c r="C10215" s="9" t="s">
        <v>633</v>
      </c>
      <c r="D10215" s="9" t="s">
        <v>109</v>
      </c>
      <c r="E10215" s="6" t="s">
        <v>9604</v>
      </c>
      <c r="F10215" s="9" t="s">
        <v>16595</v>
      </c>
    </row>
    <row r="10216" ht="33.75" customHeight="1">
      <c r="A10216" s="7">
        <v>418.0</v>
      </c>
      <c r="B10216" s="9" t="s">
        <v>15895</v>
      </c>
      <c r="C10216" s="9" t="s">
        <v>633</v>
      </c>
      <c r="D10216" s="9" t="s">
        <v>1577</v>
      </c>
      <c r="E10216" s="6" t="s">
        <v>9605</v>
      </c>
      <c r="F10216" s="9" t="s">
        <v>16595</v>
      </c>
    </row>
    <row r="10217" ht="33.75" customHeight="1">
      <c r="A10217" s="7">
        <v>419.0</v>
      </c>
      <c r="B10217" s="9" t="s">
        <v>15903</v>
      </c>
      <c r="C10217" s="9" t="s">
        <v>633</v>
      </c>
      <c r="D10217" s="9" t="s">
        <v>81</v>
      </c>
      <c r="E10217" s="6" t="s">
        <v>9606</v>
      </c>
      <c r="F10217" s="9" t="s">
        <v>16608</v>
      </c>
      <c r="G10217" t="inlineStr" s="6">
        <is>
          <t xml:space="preserve">It floats using Floatzel's well-developed flotation sac. It assists in the rescues of drowning people. Its flotation sac developed as a result of pursuing aquatic prey. It can double as a rubber raft. It is a common sight around fishing ports. It is known to rescue people and carry off prey. With its flotation sac inflated, it can carry people on its back. It deflates the sac before it dives. Has a long, rather splendid flotation sac, which prevents Floatzel from drowning even in stormy seas. One might glimpse this species around fishing hamlets from time to time.</t>
        </is>
      </c>
    </row>
    <row r="10218" ht="33.75" customHeight="1">
      <c r="A10218" s="7">
        <v>419.0</v>
      </c>
      <c r="B10218" s="9" t="s">
        <v>15903</v>
      </c>
      <c r="C10218" s="9" t="s">
        <v>633</v>
      </c>
      <c r="D10218" s="9" t="s">
        <v>84</v>
      </c>
      <c r="E10218" s="6" t="s">
        <v>9607</v>
      </c>
      <c r="F10218" s="9" t="s">
        <v>16608</v>
      </c>
    </row>
    <row r="10219" ht="33.75" customHeight="1">
      <c r="A10219" s="7">
        <v>419.0</v>
      </c>
      <c r="B10219" s="9" t="s">
        <v>15903</v>
      </c>
      <c r="C10219" s="9" t="s">
        <v>633</v>
      </c>
      <c r="D10219" s="9" t="s">
        <v>87</v>
      </c>
      <c r="E10219" s="6" t="s">
        <v>9608</v>
      </c>
      <c r="F10219" s="9" t="s">
        <v>16608</v>
      </c>
    </row>
    <row r="10220" ht="33.75" customHeight="1">
      <c r="A10220" s="7">
        <v>419.0</v>
      </c>
      <c r="B10220" s="9" t="s">
        <v>15903</v>
      </c>
      <c r="C10220" s="9" t="s">
        <v>633</v>
      </c>
      <c r="D10220" s="9" t="s">
        <v>89</v>
      </c>
      <c r="E10220" s="6" t="s">
        <v>9610</v>
      </c>
      <c r="F10220" s="9" t="s">
        <v>16608</v>
      </c>
    </row>
    <row r="10221" ht="33.75" customHeight="1">
      <c r="A10221" s="7">
        <v>419.0</v>
      </c>
      <c r="B10221" s="9" t="s">
        <v>15903</v>
      </c>
      <c r="C10221" s="9" t="s">
        <v>633</v>
      </c>
      <c r="D10221" s="9" t="s">
        <v>91</v>
      </c>
      <c r="E10221" s="6" t="s">
        <v>9610</v>
      </c>
      <c r="F10221" s="9" t="s">
        <v>16608</v>
      </c>
    </row>
    <row r="10222" ht="33.75" customHeight="1">
      <c r="A10222" s="7">
        <v>419.0</v>
      </c>
      <c r="B10222" s="9" t="s">
        <v>15903</v>
      </c>
      <c r="C10222" s="9" t="s">
        <v>633</v>
      </c>
      <c r="D10222" s="9" t="s">
        <v>93</v>
      </c>
      <c r="E10222" s="6" t="s">
        <v>9608</v>
      </c>
      <c r="F10222" s="9" t="s">
        <v>16608</v>
      </c>
    </row>
    <row r="10223" ht="33.75" customHeight="1">
      <c r="A10223" s="7">
        <v>419.0</v>
      </c>
      <c r="B10223" s="9" t="s">
        <v>15903</v>
      </c>
      <c r="C10223" s="9" t="s">
        <v>633</v>
      </c>
      <c r="D10223" s="9" t="s">
        <v>95</v>
      </c>
      <c r="E10223" s="6" t="s">
        <v>9608</v>
      </c>
      <c r="F10223" s="9" t="s">
        <v>16608</v>
      </c>
    </row>
    <row r="10224" ht="33.75" customHeight="1">
      <c r="A10224" s="7">
        <v>419.0</v>
      </c>
      <c r="B10224" s="9" t="s">
        <v>15903</v>
      </c>
      <c r="C10224" s="9" t="s">
        <v>633</v>
      </c>
      <c r="D10224" s="9" t="s">
        <v>98</v>
      </c>
      <c r="E10224" s="6" t="s">
        <v>9608</v>
      </c>
      <c r="F10224" s="9" t="s">
        <v>16608</v>
      </c>
    </row>
    <row r="10225" ht="33.75" customHeight="1">
      <c r="A10225" s="7">
        <v>419.0</v>
      </c>
      <c r="B10225" s="9" t="s">
        <v>15903</v>
      </c>
      <c r="C10225" s="9" t="s">
        <v>633</v>
      </c>
      <c r="D10225" s="9" t="s">
        <v>99</v>
      </c>
      <c r="E10225" s="6" t="s">
        <v>9608</v>
      </c>
      <c r="F10225" s="9" t="s">
        <v>16608</v>
      </c>
    </row>
    <row r="10226" ht="33.75" customHeight="1">
      <c r="A10226" s="7">
        <v>419.0</v>
      </c>
      <c r="B10226" s="9" t="s">
        <v>15903</v>
      </c>
      <c r="C10226" s="9" t="s">
        <v>633</v>
      </c>
      <c r="D10226" s="9" t="s">
        <v>101</v>
      </c>
      <c r="E10226" s="6" t="s">
        <v>9606</v>
      </c>
      <c r="F10226" s="9" t="s">
        <v>16608</v>
      </c>
    </row>
    <row r="10227" ht="33.75" customHeight="1">
      <c r="A10227" s="7">
        <v>419.0</v>
      </c>
      <c r="B10227" s="9" t="s">
        <v>15903</v>
      </c>
      <c r="C10227" s="9" t="s">
        <v>633</v>
      </c>
      <c r="D10227" s="9" t="s">
        <v>105</v>
      </c>
      <c r="E10227" s="6" t="s">
        <v>9607</v>
      </c>
      <c r="F10227" s="9" t="s">
        <v>16608</v>
      </c>
    </row>
    <row r="10228" ht="33.75" customHeight="1">
      <c r="A10228" s="7">
        <v>419.0</v>
      </c>
      <c r="B10228" s="9" t="s">
        <v>15903</v>
      </c>
      <c r="C10228" s="9" t="s">
        <v>633</v>
      </c>
      <c r="D10228" s="9" t="s">
        <v>107</v>
      </c>
      <c r="E10228" s="6" t="s">
        <v>9606</v>
      </c>
      <c r="F10228" s="9" t="s">
        <v>16608</v>
      </c>
    </row>
    <row r="10229" ht="33.75" customHeight="1">
      <c r="A10229" s="7">
        <v>419.0</v>
      </c>
      <c r="B10229" s="9" t="s">
        <v>15903</v>
      </c>
      <c r="C10229" s="9" t="s">
        <v>633</v>
      </c>
      <c r="D10229" s="9" t="s">
        <v>109</v>
      </c>
      <c r="E10229" s="6" t="s">
        <v>9607</v>
      </c>
      <c r="F10229" s="9" t="s">
        <v>16608</v>
      </c>
    </row>
    <row r="10230" ht="33.75" customHeight="1">
      <c r="A10230" s="7">
        <v>419.0</v>
      </c>
      <c r="B10230" s="9" t="s">
        <v>15903</v>
      </c>
      <c r="C10230" s="9" t="s">
        <v>633</v>
      </c>
      <c r="D10230" s="9" t="s">
        <v>1577</v>
      </c>
      <c r="E10230" s="6" t="s">
        <v>9611</v>
      </c>
      <c r="F10230" s="9" t="s">
        <v>16608</v>
      </c>
    </row>
    <row r="10231" ht="33.75" customHeight="1">
      <c r="A10231" s="7">
        <v>420.0</v>
      </c>
      <c r="B10231" s="9" t="s">
        <v>15910</v>
      </c>
      <c r="C10231" s="9" t="s">
        <v>634</v>
      </c>
      <c r="D10231" s="9" t="s">
        <v>81</v>
      </c>
      <c r="E10231" s="6" t="s">
        <v>9613</v>
      </c>
      <c r="F10231" s="9" t="s">
        <v>16613</v>
      </c>
      <c r="G10231" t="inlineStr" s="6">
        <is>
          <t xml:space="preserve">The small ball holds the nutrients needed for evolution. Apparently, it is very sweet and tasty. Sunlight colors it red. When the small ball is drained of nutrients, it shrivels to herald evolution. The small ball is not only filled with nutrients, it is also tasty. STARLY try to peck it off. It evolves by sucking the energy out of the small ball where it had been storing nutrients. It nimbly dashes about to avoid getting pecked by bird Pokémon that would love to make off with its small, nutrient-rich storage ball. The deeper a Cherubi’s red, the more nutrients it has stockpiled in its body. And the sweeter and tastier its small ball! Once the fruit growing alongside the main body is large and plump, Cherubi will use the nutrients within to evolve. The fruit then detaches, becoming nourishment for other creatures.</t>
        </is>
      </c>
    </row>
    <row r="10232" ht="33.75" customHeight="1">
      <c r="A10232" s="7">
        <v>420.0</v>
      </c>
      <c r="B10232" s="9" t="s">
        <v>15910</v>
      </c>
      <c r="C10232" s="9" t="s">
        <v>634</v>
      </c>
      <c r="D10232" s="9" t="s">
        <v>84</v>
      </c>
      <c r="E10232" s="6" t="s">
        <v>9614</v>
      </c>
      <c r="F10232" s="9" t="s">
        <v>16613</v>
      </c>
    </row>
    <row r="10233" ht="33.75" customHeight="1">
      <c r="A10233" s="7">
        <v>420.0</v>
      </c>
      <c r="B10233" s="9" t="s">
        <v>15910</v>
      </c>
      <c r="C10233" s="9" t="s">
        <v>634</v>
      </c>
      <c r="D10233" s="9" t="s">
        <v>87</v>
      </c>
      <c r="E10233" s="6" t="s">
        <v>9615</v>
      </c>
      <c r="F10233" s="9" t="s">
        <v>16613</v>
      </c>
    </row>
    <row r="10234" ht="33.75" customHeight="1">
      <c r="A10234" s="7">
        <v>420.0</v>
      </c>
      <c r="B10234" s="9" t="s">
        <v>15910</v>
      </c>
      <c r="C10234" s="9" t="s">
        <v>634</v>
      </c>
      <c r="D10234" s="9" t="s">
        <v>89</v>
      </c>
      <c r="E10234" s="6" t="s">
        <v>9618</v>
      </c>
      <c r="F10234" s="9" t="s">
        <v>16613</v>
      </c>
    </row>
    <row r="10235" ht="33.75" customHeight="1">
      <c r="A10235" s="7">
        <v>420.0</v>
      </c>
      <c r="B10235" s="9" t="s">
        <v>15910</v>
      </c>
      <c r="C10235" s="9" t="s">
        <v>634</v>
      </c>
      <c r="D10235" s="9" t="s">
        <v>91</v>
      </c>
      <c r="E10235" s="6" t="s">
        <v>9618</v>
      </c>
      <c r="F10235" s="9" t="s">
        <v>16613</v>
      </c>
    </row>
    <row r="10236" ht="33.75" customHeight="1">
      <c r="A10236" s="7">
        <v>420.0</v>
      </c>
      <c r="B10236" s="9" t="s">
        <v>15910</v>
      </c>
      <c r="C10236" s="9" t="s">
        <v>634</v>
      </c>
      <c r="D10236" s="9" t="s">
        <v>93</v>
      </c>
      <c r="E10236" s="6" t="s">
        <v>9620</v>
      </c>
      <c r="F10236" s="9" t="s">
        <v>16613</v>
      </c>
    </row>
    <row r="10237" ht="33.75" customHeight="1">
      <c r="A10237" s="7">
        <v>420.0</v>
      </c>
      <c r="B10237" s="9" t="s">
        <v>15910</v>
      </c>
      <c r="C10237" s="9" t="s">
        <v>634</v>
      </c>
      <c r="D10237" s="9" t="s">
        <v>95</v>
      </c>
      <c r="E10237" s="6" t="s">
        <v>9620</v>
      </c>
      <c r="F10237" s="9" t="s">
        <v>16613</v>
      </c>
    </row>
    <row r="10238" ht="33.75" customHeight="1">
      <c r="A10238" s="7">
        <v>420.0</v>
      </c>
      <c r="B10238" s="9" t="s">
        <v>15910</v>
      </c>
      <c r="C10238" s="9" t="s">
        <v>634</v>
      </c>
      <c r="D10238" s="9" t="s">
        <v>98</v>
      </c>
      <c r="E10238" s="6" t="s">
        <v>9620</v>
      </c>
      <c r="F10238" s="9" t="s">
        <v>16613</v>
      </c>
    </row>
    <row r="10239" ht="33.75" customHeight="1">
      <c r="A10239" s="7">
        <v>420.0</v>
      </c>
      <c r="B10239" s="9" t="s">
        <v>15910</v>
      </c>
      <c r="C10239" s="9" t="s">
        <v>634</v>
      </c>
      <c r="D10239" s="9" t="s">
        <v>99</v>
      </c>
      <c r="E10239" s="6" t="s">
        <v>9620</v>
      </c>
      <c r="F10239" s="9" t="s">
        <v>16613</v>
      </c>
    </row>
    <row r="10240" ht="33.75" customHeight="1">
      <c r="A10240" s="7">
        <v>420.0</v>
      </c>
      <c r="B10240" s="9" t="s">
        <v>15910</v>
      </c>
      <c r="C10240" s="9" t="s">
        <v>634</v>
      </c>
      <c r="D10240" s="9" t="s">
        <v>101</v>
      </c>
      <c r="E10240" s="6" t="s">
        <v>9614</v>
      </c>
      <c r="F10240" s="9" t="s">
        <v>16613</v>
      </c>
    </row>
    <row r="10241" ht="33.75" customHeight="1">
      <c r="A10241" s="7">
        <v>420.0</v>
      </c>
      <c r="B10241" s="9" t="s">
        <v>15910</v>
      </c>
      <c r="C10241" s="9" t="s">
        <v>634</v>
      </c>
      <c r="D10241" s="9" t="s">
        <v>105</v>
      </c>
      <c r="E10241" s="6" t="s">
        <v>9618</v>
      </c>
      <c r="F10241" s="9" t="s">
        <v>16613</v>
      </c>
    </row>
    <row r="10242" ht="33.75" customHeight="1">
      <c r="A10242" s="7">
        <v>420.0</v>
      </c>
      <c r="B10242" s="9" t="s">
        <v>15910</v>
      </c>
      <c r="C10242" s="9" t="s">
        <v>634</v>
      </c>
      <c r="D10242" s="9" t="s">
        <v>107</v>
      </c>
      <c r="E10242" s="6" t="s">
        <v>9614</v>
      </c>
      <c r="F10242" s="9" t="s">
        <v>16613</v>
      </c>
    </row>
    <row r="10243" ht="33.75" customHeight="1">
      <c r="A10243" s="7">
        <v>420.0</v>
      </c>
      <c r="B10243" s="9" t="s">
        <v>15910</v>
      </c>
      <c r="C10243" s="9" t="s">
        <v>634</v>
      </c>
      <c r="D10243" s="9" t="s">
        <v>109</v>
      </c>
      <c r="E10243" s="6" t="s">
        <v>9618</v>
      </c>
      <c r="F10243" s="9" t="s">
        <v>16613</v>
      </c>
    </row>
    <row r="10244" ht="33.75" customHeight="1">
      <c r="A10244" s="7">
        <v>420.0</v>
      </c>
      <c r="B10244" s="9" t="s">
        <v>15910</v>
      </c>
      <c r="C10244" s="9" t="s">
        <v>634</v>
      </c>
      <c r="D10244" s="9" t="s">
        <v>114</v>
      </c>
      <c r="E10244" s="6" t="s">
        <v>9621</v>
      </c>
      <c r="F10244" s="9" t="s">
        <v>16613</v>
      </c>
    </row>
    <row r="10245" ht="33.75" customHeight="1">
      <c r="A10245" s="7">
        <v>420.0</v>
      </c>
      <c r="B10245" s="9" t="s">
        <v>15910</v>
      </c>
      <c r="C10245" s="9" t="s">
        <v>634</v>
      </c>
      <c r="D10245" s="9" t="s">
        <v>117</v>
      </c>
      <c r="E10245" s="6" t="s">
        <v>9624</v>
      </c>
      <c r="F10245" s="9" t="s">
        <v>16613</v>
      </c>
    </row>
    <row r="10246" ht="33.75" customHeight="1">
      <c r="A10246" s="7">
        <v>420.0</v>
      </c>
      <c r="B10246" s="9" t="s">
        <v>15910</v>
      </c>
      <c r="C10246" s="9" t="s">
        <v>634</v>
      </c>
      <c r="D10246" s="9" t="s">
        <v>1577</v>
      </c>
      <c r="E10246" s="6" t="s">
        <v>9626</v>
      </c>
      <c r="F10246" s="9" t="s">
        <v>16613</v>
      </c>
    </row>
    <row r="10247" ht="33.75" customHeight="1">
      <c r="A10247" s="7">
        <v>421.0</v>
      </c>
      <c r="B10247" s="9" t="s">
        <v>15921</v>
      </c>
      <c r="C10247" s="9" t="s">
        <v>636</v>
      </c>
      <c r="D10247" s="9" t="s">
        <v>81</v>
      </c>
      <c r="E10247" s="6" t="s">
        <v>9627</v>
      </c>
      <c r="F10247" s="9" t="s">
        <v>16626</v>
      </c>
      <c r="G10247" t="inlineStr" s="6">
        <is>
          <t xml:space="preserve">It blooms during times of strong sunlight. It tries to make up for everything it endured as a bud. It is docile as a bud, but turns cheerful when it blooms. It folds back into a bud if sunlight wanes. If it senses strong sunlight, it opens its folded petals to absorb the sun’s rays with its whole body. During times of strong sunlight, its bud blooms, its petals open fully, and it becomes very active. As a bud, it barely moves. It sits still, placidly waiting for sunlight to appear. Its folded petals are pretty tough. Bird Pokémon can peck at them all they want, and Cherrim won’t be bothered at all. Motionless, save for the occasional quiver. A rich array of Pokémon can be found gathered around it, drawn by the scent exuded from Cherrim's folded petals.</t>
        </is>
      </c>
    </row>
    <row r="10248" ht="33.75" customHeight="1">
      <c r="A10248" s="7">
        <v>421.0</v>
      </c>
      <c r="B10248" s="9" t="s">
        <v>15921</v>
      </c>
      <c r="C10248" s="9" t="s">
        <v>636</v>
      </c>
      <c r="D10248" s="9" t="s">
        <v>84</v>
      </c>
      <c r="E10248" s="6" t="s">
        <v>9628</v>
      </c>
      <c r="F10248" s="9" t="s">
        <v>16626</v>
      </c>
    </row>
    <row r="10249" ht="33.75" customHeight="1">
      <c r="A10249" s="7">
        <v>421.0</v>
      </c>
      <c r="B10249" s="9" t="s">
        <v>15921</v>
      </c>
      <c r="C10249" s="9" t="s">
        <v>636</v>
      </c>
      <c r="D10249" s="9" t="s">
        <v>87</v>
      </c>
      <c r="E10249" s="6" t="s">
        <v>9630</v>
      </c>
      <c r="F10249" s="9" t="s">
        <v>16626</v>
      </c>
    </row>
    <row r="10250" ht="33.75" customHeight="1">
      <c r="A10250" s="7">
        <v>421.0</v>
      </c>
      <c r="B10250" s="9" t="s">
        <v>15921</v>
      </c>
      <c r="C10250" s="9" t="s">
        <v>636</v>
      </c>
      <c r="D10250" s="9" t="s">
        <v>89</v>
      </c>
      <c r="E10250" s="6" t="s">
        <v>9631</v>
      </c>
      <c r="F10250" s="9" t="s">
        <v>16626</v>
      </c>
    </row>
    <row r="10251" ht="33.75" customHeight="1">
      <c r="A10251" s="7">
        <v>421.0</v>
      </c>
      <c r="B10251" s="9" t="s">
        <v>15921</v>
      </c>
      <c r="C10251" s="9" t="s">
        <v>636</v>
      </c>
      <c r="D10251" s="9" t="s">
        <v>91</v>
      </c>
      <c r="E10251" s="6" t="s">
        <v>9631</v>
      </c>
      <c r="F10251" s="9" t="s">
        <v>16626</v>
      </c>
    </row>
    <row r="10252" ht="33.75" customHeight="1">
      <c r="A10252" s="7">
        <v>421.0</v>
      </c>
      <c r="B10252" s="9" t="s">
        <v>15921</v>
      </c>
      <c r="C10252" s="9" t="s">
        <v>636</v>
      </c>
      <c r="D10252" s="9" t="s">
        <v>93</v>
      </c>
      <c r="E10252" s="6" t="s">
        <v>9630</v>
      </c>
      <c r="F10252" s="9" t="s">
        <v>16626</v>
      </c>
    </row>
    <row r="10253" ht="33.75" customHeight="1">
      <c r="A10253" s="7">
        <v>421.0</v>
      </c>
      <c r="B10253" s="9" t="s">
        <v>15921</v>
      </c>
      <c r="C10253" s="9" t="s">
        <v>636</v>
      </c>
      <c r="D10253" s="9" t="s">
        <v>95</v>
      </c>
      <c r="E10253" s="6" t="s">
        <v>9630</v>
      </c>
      <c r="F10253" s="9" t="s">
        <v>16626</v>
      </c>
    </row>
    <row r="10254" ht="33.75" customHeight="1">
      <c r="A10254" s="7">
        <v>421.0</v>
      </c>
      <c r="B10254" s="9" t="s">
        <v>15921</v>
      </c>
      <c r="C10254" s="9" t="s">
        <v>636</v>
      </c>
      <c r="D10254" s="9" t="s">
        <v>98</v>
      </c>
      <c r="E10254" s="6" t="s">
        <v>9630</v>
      </c>
      <c r="F10254" s="9" t="s">
        <v>16626</v>
      </c>
    </row>
    <row r="10255" ht="33.75" customHeight="1">
      <c r="A10255" s="7">
        <v>421.0</v>
      </c>
      <c r="B10255" s="9" t="s">
        <v>15921</v>
      </c>
      <c r="C10255" s="9" t="s">
        <v>636</v>
      </c>
      <c r="D10255" s="9" t="s">
        <v>99</v>
      </c>
      <c r="E10255" s="6" t="s">
        <v>9630</v>
      </c>
      <c r="F10255" s="9" t="s">
        <v>16626</v>
      </c>
    </row>
    <row r="10256" ht="33.75" customHeight="1">
      <c r="A10256" s="7">
        <v>421.0</v>
      </c>
      <c r="B10256" s="9" t="s">
        <v>15921</v>
      </c>
      <c r="C10256" s="9" t="s">
        <v>636</v>
      </c>
      <c r="D10256" s="9" t="s">
        <v>101</v>
      </c>
      <c r="E10256" s="6" t="s">
        <v>9631</v>
      </c>
      <c r="F10256" s="9" t="s">
        <v>16626</v>
      </c>
    </row>
    <row r="10257" ht="33.75" customHeight="1">
      <c r="A10257" s="7">
        <v>421.0</v>
      </c>
      <c r="B10257" s="9" t="s">
        <v>15921</v>
      </c>
      <c r="C10257" s="9" t="s">
        <v>636</v>
      </c>
      <c r="D10257" s="9" t="s">
        <v>105</v>
      </c>
      <c r="E10257" s="6" t="s">
        <v>9630</v>
      </c>
      <c r="F10257" s="9" t="s">
        <v>16626</v>
      </c>
    </row>
    <row r="10258" ht="33.75" customHeight="1">
      <c r="A10258" s="7">
        <v>421.0</v>
      </c>
      <c r="B10258" s="9" t="s">
        <v>15921</v>
      </c>
      <c r="C10258" s="9" t="s">
        <v>636</v>
      </c>
      <c r="D10258" s="9" t="s">
        <v>107</v>
      </c>
      <c r="E10258" s="6" t="s">
        <v>9631</v>
      </c>
      <c r="F10258" s="9" t="s">
        <v>16626</v>
      </c>
    </row>
    <row r="10259" ht="33.75" customHeight="1">
      <c r="A10259" s="7">
        <v>421.0</v>
      </c>
      <c r="B10259" s="9" t="s">
        <v>15921</v>
      </c>
      <c r="C10259" s="9" t="s">
        <v>636</v>
      </c>
      <c r="D10259" s="9" t="s">
        <v>109</v>
      </c>
      <c r="E10259" s="6" t="s">
        <v>9630</v>
      </c>
      <c r="F10259" s="9" t="s">
        <v>16626</v>
      </c>
    </row>
    <row r="10260" ht="33.75" customHeight="1">
      <c r="A10260" s="7">
        <v>421.0</v>
      </c>
      <c r="B10260" s="9" t="s">
        <v>15921</v>
      </c>
      <c r="C10260" s="9" t="s">
        <v>636</v>
      </c>
      <c r="D10260" s="9" t="s">
        <v>114</v>
      </c>
      <c r="E10260" s="6" t="s">
        <v>9633</v>
      </c>
      <c r="F10260" s="9" t="s">
        <v>16626</v>
      </c>
    </row>
    <row r="10261" ht="33.75" customHeight="1">
      <c r="A10261" s="7">
        <v>421.0</v>
      </c>
      <c r="B10261" s="9" t="s">
        <v>15921</v>
      </c>
      <c r="C10261" s="9" t="s">
        <v>636</v>
      </c>
      <c r="D10261" s="9" t="s">
        <v>117</v>
      </c>
      <c r="E10261" s="6" t="s">
        <v>9635</v>
      </c>
      <c r="F10261" s="9" t="s">
        <v>16626</v>
      </c>
    </row>
    <row r="10262" ht="33.75" customHeight="1">
      <c r="A10262" s="7">
        <v>421.0</v>
      </c>
      <c r="B10262" s="9" t="s">
        <v>15921</v>
      </c>
      <c r="C10262" s="9" t="s">
        <v>636</v>
      </c>
      <c r="D10262" s="9" t="s">
        <v>1577</v>
      </c>
      <c r="E10262" s="6" t="s">
        <v>9636</v>
      </c>
      <c r="F10262" s="9" t="s">
        <v>16626</v>
      </c>
    </row>
    <row r="10263" ht="33.75" customHeight="1">
      <c r="A10263" s="7">
        <v>422.0</v>
      </c>
      <c r="B10263" s="9" t="s">
        <v>15930</v>
      </c>
      <c r="C10263" s="9" t="s">
        <v>639</v>
      </c>
      <c r="D10263" s="9" t="s">
        <v>81</v>
      </c>
      <c r="E10263" s="6" t="s">
        <v>9637</v>
      </c>
      <c r="F10263" s="9" t="s">
        <v>16634</v>
      </c>
      <c r="G10263" t="inlineStr" s="6">
        <is>
          <t xml:space="preserve">Shellos's colors and shapes differ from region to region. In the Sinnoh region, two types are confirmed. It lives along bodies of water. Its body shape has changed to suit its habitat. Beware of pushing strongly on its squishy body, as it makes a mysterious purple fluid ooze out. Its shape and coloration vary, depending on its habitat. For the most part, it makes its home along the seashore. Its color and form differ according to its habitat and the quality of its food. Purple mucus sticks to the hands of anyone who touches it. Take care, as the substance is troublesome to wash off. While they normally live in the sea, they can function on land, too, until their skin dries out. When it senses danger, a purple liquid oozes out of it. The liquid is thought to be something like greasy sweat. This Pokémon’s habitat shapes its physique. According to some theories, life in warm ocean waters causes this variation to develop. Subjecting this Pokémon to a strong force causes it to secrete a strange purple fluid. Though harmless, the fluid is awfully sticky. Found in abundance on seashores bordering warm waters. Shellos are unexpectedly friendly and will crawl toward any person they see. Take care not to get coated in mucus!</t>
        </is>
      </c>
    </row>
    <row r="10264" ht="33.75" customHeight="1">
      <c r="A10264" s="7">
        <v>422.0</v>
      </c>
      <c r="B10264" s="9" t="s">
        <v>15930</v>
      </c>
      <c r="C10264" s="9" t="s">
        <v>639</v>
      </c>
      <c r="D10264" s="9" t="s">
        <v>84</v>
      </c>
      <c r="E10264" s="6" t="s">
        <v>9638</v>
      </c>
      <c r="F10264" s="9" t="s">
        <v>16634</v>
      </c>
    </row>
    <row r="10265" ht="33.75" customHeight="1">
      <c r="A10265" s="7">
        <v>422.0</v>
      </c>
      <c r="B10265" s="9" t="s">
        <v>15930</v>
      </c>
      <c r="C10265" s="9" t="s">
        <v>639</v>
      </c>
      <c r="D10265" s="9" t="s">
        <v>87</v>
      </c>
      <c r="E10265" s="6" t="s">
        <v>9639</v>
      </c>
      <c r="F10265" s="9" t="s">
        <v>16634</v>
      </c>
    </row>
    <row r="10266" ht="33.75" customHeight="1">
      <c r="A10266" s="7">
        <v>422.0</v>
      </c>
      <c r="B10266" s="9" t="s">
        <v>15930</v>
      </c>
      <c r="C10266" s="9" t="s">
        <v>639</v>
      </c>
      <c r="D10266" s="9" t="s">
        <v>89</v>
      </c>
      <c r="E10266" s="6" t="s">
        <v>9640</v>
      </c>
      <c r="F10266" s="9" t="s">
        <v>16634</v>
      </c>
    </row>
    <row r="10267" ht="33.75" customHeight="1">
      <c r="A10267" s="7">
        <v>422.0</v>
      </c>
      <c r="B10267" s="9" t="s">
        <v>15930</v>
      </c>
      <c r="C10267" s="9" t="s">
        <v>639</v>
      </c>
      <c r="D10267" s="9" t="s">
        <v>91</v>
      </c>
      <c r="E10267" s="6" t="s">
        <v>9640</v>
      </c>
      <c r="F10267" s="9" t="s">
        <v>16634</v>
      </c>
    </row>
    <row r="10268" ht="33.75" customHeight="1">
      <c r="A10268" s="7">
        <v>422.0</v>
      </c>
      <c r="B10268" s="9" t="s">
        <v>15930</v>
      </c>
      <c r="C10268" s="9" t="s">
        <v>639</v>
      </c>
      <c r="D10268" s="9" t="s">
        <v>93</v>
      </c>
      <c r="E10268" s="6" t="s">
        <v>9639</v>
      </c>
      <c r="F10268" s="9" t="s">
        <v>16634</v>
      </c>
    </row>
    <row r="10269" ht="33.75" customHeight="1">
      <c r="A10269" s="7">
        <v>422.0</v>
      </c>
      <c r="B10269" s="9" t="s">
        <v>15930</v>
      </c>
      <c r="C10269" s="9" t="s">
        <v>639</v>
      </c>
      <c r="D10269" s="9" t="s">
        <v>95</v>
      </c>
      <c r="E10269" s="6" t="s">
        <v>9639</v>
      </c>
      <c r="F10269" s="9" t="s">
        <v>16634</v>
      </c>
    </row>
    <row r="10270" ht="33.75" customHeight="1">
      <c r="A10270" s="7">
        <v>422.0</v>
      </c>
      <c r="B10270" s="9" t="s">
        <v>15930</v>
      </c>
      <c r="C10270" s="9" t="s">
        <v>639</v>
      </c>
      <c r="D10270" s="9" t="s">
        <v>98</v>
      </c>
      <c r="E10270" s="6" t="s">
        <v>9639</v>
      </c>
      <c r="F10270" s="9" t="s">
        <v>16634</v>
      </c>
    </row>
    <row r="10271" ht="33.75" customHeight="1">
      <c r="A10271" s="7">
        <v>422.0</v>
      </c>
      <c r="B10271" s="9" t="s">
        <v>15930</v>
      </c>
      <c r="C10271" s="9" t="s">
        <v>639</v>
      </c>
      <c r="D10271" s="9" t="s">
        <v>99</v>
      </c>
      <c r="E10271" s="6" t="s">
        <v>9639</v>
      </c>
      <c r="F10271" s="9" t="s">
        <v>16634</v>
      </c>
    </row>
    <row r="10272" ht="33.75" customHeight="1">
      <c r="A10272" s="7">
        <v>422.0</v>
      </c>
      <c r="B10272" s="9" t="s">
        <v>15930</v>
      </c>
      <c r="C10272" s="9" t="s">
        <v>639</v>
      </c>
      <c r="D10272" s="9" t="s">
        <v>101</v>
      </c>
      <c r="E10272" s="6" t="s">
        <v>9639</v>
      </c>
      <c r="F10272" s="9" t="s">
        <v>16634</v>
      </c>
    </row>
    <row r="10273" ht="33.75" customHeight="1">
      <c r="A10273" s="7">
        <v>422.0</v>
      </c>
      <c r="B10273" s="9" t="s">
        <v>15930</v>
      </c>
      <c r="C10273" s="9" t="s">
        <v>639</v>
      </c>
      <c r="D10273" s="9" t="s">
        <v>105</v>
      </c>
      <c r="E10273" s="6" t="s">
        <v>9640</v>
      </c>
      <c r="F10273" s="9" t="s">
        <v>16634</v>
      </c>
    </row>
    <row r="10274" ht="33.75" customHeight="1">
      <c r="A10274" s="7">
        <v>422.0</v>
      </c>
      <c r="B10274" s="9" t="s">
        <v>15930</v>
      </c>
      <c r="C10274" s="9" t="s">
        <v>639</v>
      </c>
      <c r="D10274" s="9" t="s">
        <v>107</v>
      </c>
      <c r="E10274" s="6" t="s">
        <v>9639</v>
      </c>
      <c r="F10274" s="9" t="s">
        <v>16634</v>
      </c>
    </row>
    <row r="10275" ht="33.75" customHeight="1">
      <c r="A10275" s="7">
        <v>422.0</v>
      </c>
      <c r="B10275" s="9" t="s">
        <v>15930</v>
      </c>
      <c r="C10275" s="9" t="s">
        <v>639</v>
      </c>
      <c r="D10275" s="9" t="s">
        <v>109</v>
      </c>
      <c r="E10275" s="6" t="s">
        <v>9640</v>
      </c>
      <c r="F10275" s="9" t="s">
        <v>16634</v>
      </c>
    </row>
    <row r="10276" ht="33.75" customHeight="1">
      <c r="A10276" s="7">
        <v>422.0</v>
      </c>
      <c r="B10276" s="9" t="s">
        <v>15930</v>
      </c>
      <c r="C10276" s="9" t="s">
        <v>639</v>
      </c>
      <c r="D10276" s="9" t="s">
        <v>637</v>
      </c>
      <c r="E10276" s="6" t="s">
        <v>9641</v>
      </c>
      <c r="F10276" s="9" t="s">
        <v>16634</v>
      </c>
    </row>
    <row r="10277" ht="33.75" customHeight="1">
      <c r="A10277" s="7">
        <v>422.0</v>
      </c>
      <c r="B10277" s="9" t="s">
        <v>15930</v>
      </c>
      <c r="C10277" s="9" t="s">
        <v>639</v>
      </c>
      <c r="D10277" s="9" t="s">
        <v>642</v>
      </c>
      <c r="E10277" s="6" t="s">
        <v>9642</v>
      </c>
      <c r="F10277" s="9" t="s">
        <v>16634</v>
      </c>
    </row>
    <row r="10278" ht="33.75" customHeight="1">
      <c r="A10278" s="7">
        <v>422.0</v>
      </c>
      <c r="B10278" s="9" t="s">
        <v>15930</v>
      </c>
      <c r="C10278" s="9" t="s">
        <v>639</v>
      </c>
      <c r="D10278" s="9" t="s">
        <v>647</v>
      </c>
      <c r="E10278" s="6" t="s">
        <v>9643</v>
      </c>
      <c r="F10278" s="9" t="s">
        <v>16634</v>
      </c>
    </row>
    <row r="10279" ht="33.75" customHeight="1">
      <c r="A10279" s="7">
        <v>422.0</v>
      </c>
      <c r="B10279" s="9" t="s">
        <v>15930</v>
      </c>
      <c r="C10279" s="9" t="s">
        <v>639</v>
      </c>
      <c r="D10279" s="9" t="s">
        <v>652</v>
      </c>
      <c r="E10279" s="6" t="s">
        <v>9645</v>
      </c>
      <c r="F10279" s="9" t="s">
        <v>16634</v>
      </c>
    </row>
    <row r="10280" ht="33.75" customHeight="1">
      <c r="A10280" s="7">
        <v>422.0</v>
      </c>
      <c r="B10280" s="9" t="s">
        <v>15930</v>
      </c>
      <c r="C10280" s="9" t="s">
        <v>639</v>
      </c>
      <c r="D10280" s="9" t="s">
        <v>114</v>
      </c>
      <c r="E10280" s="6" t="s">
        <v>9646</v>
      </c>
      <c r="F10280" s="9" t="s">
        <v>16634</v>
      </c>
    </row>
    <row r="10281" ht="33.75" customHeight="1">
      <c r="A10281" s="7">
        <v>422.0</v>
      </c>
      <c r="B10281" s="9" t="s">
        <v>15930</v>
      </c>
      <c r="C10281" s="9" t="s">
        <v>639</v>
      </c>
      <c r="D10281" s="9" t="s">
        <v>117</v>
      </c>
      <c r="E10281" s="6" t="s">
        <v>9647</v>
      </c>
      <c r="F10281" s="9" t="s">
        <v>16634</v>
      </c>
    </row>
    <row r="10282" ht="33.75" customHeight="1">
      <c r="A10282" s="7">
        <v>422.0</v>
      </c>
      <c r="B10282" s="9" t="s">
        <v>15930</v>
      </c>
      <c r="C10282" s="9" t="s">
        <v>639</v>
      </c>
      <c r="D10282" s="9" t="s">
        <v>1577</v>
      </c>
      <c r="E10282" s="6" t="s">
        <v>9648</v>
      </c>
      <c r="F10282" s="9" t="s">
        <v>16634</v>
      </c>
    </row>
    <row r="10283" ht="33.75" customHeight="1">
      <c r="A10283" s="7">
        <v>423.0</v>
      </c>
      <c r="B10283" s="9" t="s">
        <v>15944</v>
      </c>
      <c r="C10283" s="9" t="s">
        <v>639</v>
      </c>
      <c r="D10283" s="9" t="s">
        <v>81</v>
      </c>
      <c r="E10283" s="6" t="s">
        <v>9650</v>
      </c>
      <c r="F10283" s="9" t="s">
        <v>16642</v>
      </c>
      <c r="G10283" t="inlineStr" s="6">
        <is>
          <t xml:space="preserve">Gastrodon has a pliable body without any bones. If any part of its body is torn off, it grows right back. It apparently had a huge shell for protection in ancient times. It lives in shallow tidal pools. Long ago, its entire back was shielded with a sturdy shell. There are traces of it left in its cells. When its natural enemy attacks, it oozes purple fluid and escapes. It has strong regenerative capabilities. Even if parts of it are bitten off by fish Pokémon, it will return to normal within a few hours. Plankton, invisible to the naked eye, is its main food source. It comes onto the land periodically, but the reason for this is not known. Long ago, it had a shell on its back. There’s now a vestigial plate on its back that’s hard but thin. Their shape and color change, depending on their environment and diet. There are many of them at beaches where the waves are calm. Its search for food sometimes leads it onto land, where it leaves behind a sticky trail of slime as it passes through. The softness of its body helps disperse the force of impacts, so although its body is uncommonly squishy, it’s also surprisingly resilient. Eats beach sand for nourishment. Should one Gastrodon encounter another of a different color, a fierce battle will inevitably ensue.</t>
        </is>
      </c>
    </row>
    <row r="10284" ht="33.75" customHeight="1">
      <c r="A10284" s="7">
        <v>423.0</v>
      </c>
      <c r="B10284" s="9" t="s">
        <v>15944</v>
      </c>
      <c r="C10284" s="9" t="s">
        <v>639</v>
      </c>
      <c r="D10284" s="9" t="s">
        <v>84</v>
      </c>
      <c r="E10284" s="6" t="s">
        <v>9651</v>
      </c>
      <c r="F10284" s="9" t="s">
        <v>16642</v>
      </c>
    </row>
    <row r="10285" ht="33.75" customHeight="1">
      <c r="A10285" s="7">
        <v>423.0</v>
      </c>
      <c r="B10285" s="9" t="s">
        <v>15944</v>
      </c>
      <c r="C10285" s="9" t="s">
        <v>639</v>
      </c>
      <c r="D10285" s="9" t="s">
        <v>87</v>
      </c>
      <c r="E10285" s="6" t="s">
        <v>9659</v>
      </c>
      <c r="F10285" s="9" t="s">
        <v>16642</v>
      </c>
    </row>
    <row r="10286" ht="33.75" customHeight="1">
      <c r="A10286" s="7">
        <v>423.0</v>
      </c>
      <c r="B10286" s="9" t="s">
        <v>15944</v>
      </c>
      <c r="C10286" s="9" t="s">
        <v>639</v>
      </c>
      <c r="D10286" s="9" t="s">
        <v>89</v>
      </c>
      <c r="E10286" s="6" t="s">
        <v>9660</v>
      </c>
      <c r="F10286" s="9" t="s">
        <v>16642</v>
      </c>
    </row>
    <row r="10287" ht="33.75" customHeight="1">
      <c r="A10287" s="7">
        <v>423.0</v>
      </c>
      <c r="B10287" s="9" t="s">
        <v>15944</v>
      </c>
      <c r="C10287" s="9" t="s">
        <v>639</v>
      </c>
      <c r="D10287" s="9" t="s">
        <v>91</v>
      </c>
      <c r="E10287" s="6" t="s">
        <v>9660</v>
      </c>
      <c r="F10287" s="9" t="s">
        <v>16642</v>
      </c>
    </row>
    <row r="10288" ht="33.75" customHeight="1">
      <c r="A10288" s="7">
        <v>423.0</v>
      </c>
      <c r="B10288" s="9" t="s">
        <v>15944</v>
      </c>
      <c r="C10288" s="9" t="s">
        <v>639</v>
      </c>
      <c r="D10288" s="9" t="s">
        <v>93</v>
      </c>
      <c r="E10288" s="6" t="s">
        <v>9659</v>
      </c>
      <c r="F10288" s="9" t="s">
        <v>16642</v>
      </c>
    </row>
    <row r="10289" ht="33.75" customHeight="1">
      <c r="A10289" s="7">
        <v>423.0</v>
      </c>
      <c r="B10289" s="9" t="s">
        <v>15944</v>
      </c>
      <c r="C10289" s="9" t="s">
        <v>639</v>
      </c>
      <c r="D10289" s="9" t="s">
        <v>95</v>
      </c>
      <c r="E10289" s="6" t="s">
        <v>9659</v>
      </c>
      <c r="F10289" s="9" t="s">
        <v>16642</v>
      </c>
    </row>
    <row r="10290" ht="33.75" customHeight="1">
      <c r="A10290" s="7">
        <v>423.0</v>
      </c>
      <c r="B10290" s="9" t="s">
        <v>15944</v>
      </c>
      <c r="C10290" s="9" t="s">
        <v>639</v>
      </c>
      <c r="D10290" s="9" t="s">
        <v>98</v>
      </c>
      <c r="E10290" s="6" t="s">
        <v>9659</v>
      </c>
      <c r="F10290" s="9" t="s">
        <v>16642</v>
      </c>
    </row>
    <row r="10291" ht="33.75" customHeight="1">
      <c r="A10291" s="7">
        <v>423.0</v>
      </c>
      <c r="B10291" s="9" t="s">
        <v>15944</v>
      </c>
      <c r="C10291" s="9" t="s">
        <v>639</v>
      </c>
      <c r="D10291" s="9" t="s">
        <v>99</v>
      </c>
      <c r="E10291" s="6" t="s">
        <v>9659</v>
      </c>
      <c r="F10291" s="9" t="s">
        <v>16642</v>
      </c>
    </row>
    <row r="10292" ht="33.75" customHeight="1">
      <c r="A10292" s="7">
        <v>423.0</v>
      </c>
      <c r="B10292" s="9" t="s">
        <v>15944</v>
      </c>
      <c r="C10292" s="9" t="s">
        <v>639</v>
      </c>
      <c r="D10292" s="9" t="s">
        <v>101</v>
      </c>
      <c r="E10292" s="6" t="s">
        <v>9660</v>
      </c>
      <c r="F10292" s="9" t="s">
        <v>16642</v>
      </c>
    </row>
    <row r="10293" ht="33.75" customHeight="1">
      <c r="A10293" s="7">
        <v>423.0</v>
      </c>
      <c r="B10293" s="9" t="s">
        <v>15944</v>
      </c>
      <c r="C10293" s="9" t="s">
        <v>639</v>
      </c>
      <c r="D10293" s="9" t="s">
        <v>105</v>
      </c>
      <c r="E10293" s="6" t="s">
        <v>9651</v>
      </c>
      <c r="F10293" s="9" t="s">
        <v>16642</v>
      </c>
    </row>
    <row r="10294" ht="33.75" customHeight="1">
      <c r="A10294" s="7">
        <v>423.0</v>
      </c>
      <c r="B10294" s="9" t="s">
        <v>15944</v>
      </c>
      <c r="C10294" s="9" t="s">
        <v>639</v>
      </c>
      <c r="D10294" s="9" t="s">
        <v>107</v>
      </c>
      <c r="E10294" s="6" t="s">
        <v>9660</v>
      </c>
      <c r="F10294" s="9" t="s">
        <v>16642</v>
      </c>
    </row>
    <row r="10295" ht="33.75" customHeight="1">
      <c r="A10295" s="7">
        <v>423.0</v>
      </c>
      <c r="B10295" s="9" t="s">
        <v>15944</v>
      </c>
      <c r="C10295" s="9" t="s">
        <v>639</v>
      </c>
      <c r="D10295" s="9" t="s">
        <v>109</v>
      </c>
      <c r="E10295" s="6" t="s">
        <v>9651</v>
      </c>
      <c r="F10295" s="9" t="s">
        <v>16642</v>
      </c>
    </row>
    <row r="10296" ht="33.75" customHeight="1">
      <c r="A10296" s="7">
        <v>423.0</v>
      </c>
      <c r="B10296" s="9" t="s">
        <v>15944</v>
      </c>
      <c r="C10296" s="9" t="s">
        <v>639</v>
      </c>
      <c r="D10296" s="9" t="s">
        <v>637</v>
      </c>
      <c r="E10296" s="6" t="s">
        <v>9662</v>
      </c>
      <c r="F10296" s="9" t="s">
        <v>16642</v>
      </c>
    </row>
    <row r="10297" ht="33.75" customHeight="1">
      <c r="A10297" s="7">
        <v>423.0</v>
      </c>
      <c r="B10297" s="9" t="s">
        <v>15944</v>
      </c>
      <c r="C10297" s="9" t="s">
        <v>639</v>
      </c>
      <c r="D10297" s="9" t="s">
        <v>642</v>
      </c>
      <c r="E10297" s="6" t="s">
        <v>9663</v>
      </c>
      <c r="F10297" s="9" t="s">
        <v>16642</v>
      </c>
    </row>
    <row r="10298" ht="33.75" customHeight="1">
      <c r="A10298" s="7">
        <v>423.0</v>
      </c>
      <c r="B10298" s="9" t="s">
        <v>15944</v>
      </c>
      <c r="C10298" s="9" t="s">
        <v>639</v>
      </c>
      <c r="D10298" s="9" t="s">
        <v>647</v>
      </c>
      <c r="E10298" s="6" t="s">
        <v>9665</v>
      </c>
      <c r="F10298" s="9" t="s">
        <v>16642</v>
      </c>
    </row>
    <row r="10299" ht="33.75" customHeight="1">
      <c r="A10299" s="7">
        <v>423.0</v>
      </c>
      <c r="B10299" s="9" t="s">
        <v>15944</v>
      </c>
      <c r="C10299" s="9" t="s">
        <v>639</v>
      </c>
      <c r="D10299" s="9" t="s">
        <v>652</v>
      </c>
      <c r="E10299" s="6" t="s">
        <v>9666</v>
      </c>
      <c r="F10299" s="9" t="s">
        <v>16642</v>
      </c>
    </row>
    <row r="10300" ht="33.75" customHeight="1">
      <c r="A10300" s="7">
        <v>423.0</v>
      </c>
      <c r="B10300" s="9" t="s">
        <v>15944</v>
      </c>
      <c r="C10300" s="9" t="s">
        <v>639</v>
      </c>
      <c r="D10300" s="9" t="s">
        <v>114</v>
      </c>
      <c r="E10300" s="6" t="s">
        <v>9667</v>
      </c>
      <c r="F10300" s="9" t="s">
        <v>16642</v>
      </c>
    </row>
    <row r="10301" ht="33.75" customHeight="1">
      <c r="A10301" s="7">
        <v>423.0</v>
      </c>
      <c r="B10301" s="9" t="s">
        <v>15944</v>
      </c>
      <c r="C10301" s="9" t="s">
        <v>639</v>
      </c>
      <c r="D10301" s="9" t="s">
        <v>117</v>
      </c>
      <c r="E10301" s="6" t="s">
        <v>9668</v>
      </c>
      <c r="F10301" s="9" t="s">
        <v>16642</v>
      </c>
    </row>
    <row r="10302" ht="33.75" customHeight="1">
      <c r="A10302" s="7">
        <v>423.0</v>
      </c>
      <c r="B10302" s="9" t="s">
        <v>15944</v>
      </c>
      <c r="C10302" s="9" t="s">
        <v>639</v>
      </c>
      <c r="D10302" s="9" t="s">
        <v>1577</v>
      </c>
      <c r="E10302" s="6" t="s">
        <v>9670</v>
      </c>
      <c r="F10302" s="9" t="s">
        <v>16642</v>
      </c>
    </row>
    <row r="10303" ht="33.75" customHeight="1">
      <c r="A10303" s="7">
        <v>424.0</v>
      </c>
      <c r="B10303" s="9" t="s">
        <v>15957</v>
      </c>
      <c r="C10303" s="9" t="s">
        <v>286</v>
      </c>
      <c r="D10303" s="9" t="s">
        <v>81</v>
      </c>
      <c r="E10303" s="6" t="s">
        <v>9671</v>
      </c>
      <c r="F10303" s="9" t="s">
        <v>16656</v>
      </c>
      <c r="G10303" t="inlineStr" s="6">
        <is>
          <t xml:space="preserve">To eat, it deftly shucks nuts with Ambipom's two tails. It rarely uses its arms now. They work in large colonies and make rings by linking their tails, apparently in friendship. Split into two, the tails are so adept at handling and doing things, AMBIPOM rarely uses its hands. They live on large trees. They are said to communicate by connecting their tails to those of others. It is very difficult to dodge the consecutive strikes of its two tails. In their search for comfortable trees, they get into territorial disputes with groups of Passimian. They win about half the time. It uses its tails for everything. If it wraps both of its tails around you and gives you a squeeze, that’s proof it really likes you. To affirm their kinship, members of this species will form a ring by linking their newly doubled tails together. On rare occasions, humans have been accepted into such rings.</t>
        </is>
      </c>
    </row>
    <row r="10304" ht="33.75" customHeight="1">
      <c r="A10304" s="7">
        <v>424.0</v>
      </c>
      <c r="B10304" s="9" t="s">
        <v>15957</v>
      </c>
      <c r="C10304" s="9" t="s">
        <v>286</v>
      </c>
      <c r="D10304" s="9" t="s">
        <v>84</v>
      </c>
      <c r="E10304" s="6" t="s">
        <v>9672</v>
      </c>
      <c r="F10304" s="9" t="s">
        <v>16656</v>
      </c>
    </row>
    <row r="10305" ht="33.75" customHeight="1">
      <c r="A10305" s="7">
        <v>424.0</v>
      </c>
      <c r="B10305" s="9" t="s">
        <v>15957</v>
      </c>
      <c r="C10305" s="9" t="s">
        <v>286</v>
      </c>
      <c r="D10305" s="9" t="s">
        <v>87</v>
      </c>
      <c r="E10305" s="6" t="s">
        <v>9673</v>
      </c>
      <c r="F10305" s="9" t="s">
        <v>16656</v>
      </c>
    </row>
    <row r="10306" ht="33.75" customHeight="1">
      <c r="A10306" s="7">
        <v>424.0</v>
      </c>
      <c r="B10306" s="9" t="s">
        <v>15957</v>
      </c>
      <c r="C10306" s="9" t="s">
        <v>286</v>
      </c>
      <c r="D10306" s="9" t="s">
        <v>89</v>
      </c>
      <c r="E10306" s="6" t="s">
        <v>9674</v>
      </c>
      <c r="F10306" s="9" t="s">
        <v>16656</v>
      </c>
    </row>
    <row r="10307" ht="33.75" customHeight="1">
      <c r="A10307" s="7">
        <v>424.0</v>
      </c>
      <c r="B10307" s="9" t="s">
        <v>15957</v>
      </c>
      <c r="C10307" s="9" t="s">
        <v>286</v>
      </c>
      <c r="D10307" s="9" t="s">
        <v>91</v>
      </c>
      <c r="E10307" s="6" t="s">
        <v>9675</v>
      </c>
      <c r="F10307" s="9" t="s">
        <v>16656</v>
      </c>
    </row>
    <row r="10308" ht="33.75" customHeight="1">
      <c r="A10308" s="7">
        <v>424.0</v>
      </c>
      <c r="B10308" s="9" t="s">
        <v>15957</v>
      </c>
      <c r="C10308" s="9" t="s">
        <v>286</v>
      </c>
      <c r="D10308" s="9" t="s">
        <v>93</v>
      </c>
      <c r="E10308" s="6" t="s">
        <v>9676</v>
      </c>
      <c r="F10308" s="9" t="s">
        <v>16656</v>
      </c>
    </row>
    <row r="10309" ht="33.75" customHeight="1">
      <c r="A10309" s="7">
        <v>424.0</v>
      </c>
      <c r="B10309" s="9" t="s">
        <v>15957</v>
      </c>
      <c r="C10309" s="9" t="s">
        <v>286</v>
      </c>
      <c r="D10309" s="9" t="s">
        <v>95</v>
      </c>
      <c r="E10309" s="6" t="s">
        <v>9676</v>
      </c>
      <c r="F10309" s="9" t="s">
        <v>16656</v>
      </c>
    </row>
    <row r="10310" ht="33.75" customHeight="1">
      <c r="A10310" s="7">
        <v>424.0</v>
      </c>
      <c r="B10310" s="9" t="s">
        <v>15957</v>
      </c>
      <c r="C10310" s="9" t="s">
        <v>286</v>
      </c>
      <c r="D10310" s="9" t="s">
        <v>98</v>
      </c>
      <c r="E10310" s="6" t="s">
        <v>9676</v>
      </c>
      <c r="F10310" s="9" t="s">
        <v>16656</v>
      </c>
    </row>
    <row r="10311" ht="33.75" customHeight="1">
      <c r="A10311" s="7">
        <v>424.0</v>
      </c>
      <c r="B10311" s="9" t="s">
        <v>15957</v>
      </c>
      <c r="C10311" s="9" t="s">
        <v>286</v>
      </c>
      <c r="D10311" s="9" t="s">
        <v>99</v>
      </c>
      <c r="E10311" s="6" t="s">
        <v>9676</v>
      </c>
      <c r="F10311" s="9" t="s">
        <v>16656</v>
      </c>
    </row>
    <row r="10312" ht="33.75" customHeight="1">
      <c r="A10312" s="7">
        <v>424.0</v>
      </c>
      <c r="B10312" s="9" t="s">
        <v>15957</v>
      </c>
      <c r="C10312" s="9" t="s">
        <v>286</v>
      </c>
      <c r="D10312" s="9" t="s">
        <v>101</v>
      </c>
      <c r="E10312" s="6" t="s">
        <v>9672</v>
      </c>
      <c r="F10312" s="9" t="s">
        <v>16656</v>
      </c>
    </row>
    <row r="10313" ht="33.75" customHeight="1">
      <c r="A10313" s="7">
        <v>424.0</v>
      </c>
      <c r="B10313" s="9" t="s">
        <v>15957</v>
      </c>
      <c r="C10313" s="9" t="s">
        <v>286</v>
      </c>
      <c r="D10313" s="9" t="s">
        <v>105</v>
      </c>
      <c r="E10313" s="6" t="s">
        <v>9671</v>
      </c>
      <c r="F10313" s="9" t="s">
        <v>16656</v>
      </c>
    </row>
    <row r="10314" ht="33.75" customHeight="1">
      <c r="A10314" s="7">
        <v>424.0</v>
      </c>
      <c r="B10314" s="9" t="s">
        <v>15957</v>
      </c>
      <c r="C10314" s="9" t="s">
        <v>286</v>
      </c>
      <c r="D10314" s="9" t="s">
        <v>107</v>
      </c>
      <c r="E10314" s="6" t="s">
        <v>9672</v>
      </c>
      <c r="F10314" s="9" t="s">
        <v>16656</v>
      </c>
    </row>
    <row r="10315" ht="33.75" customHeight="1">
      <c r="A10315" s="7">
        <v>424.0</v>
      </c>
      <c r="B10315" s="9" t="s">
        <v>15957</v>
      </c>
      <c r="C10315" s="9" t="s">
        <v>286</v>
      </c>
      <c r="D10315" s="9" t="s">
        <v>109</v>
      </c>
      <c r="E10315" s="6" t="s">
        <v>9671</v>
      </c>
      <c r="F10315" s="9" t="s">
        <v>16656</v>
      </c>
    </row>
    <row r="10316" ht="33.75" customHeight="1">
      <c r="A10316" s="7">
        <v>424.0</v>
      </c>
      <c r="B10316" s="9" t="s">
        <v>15957</v>
      </c>
      <c r="C10316" s="9" t="s">
        <v>286</v>
      </c>
      <c r="D10316" s="9" t="s">
        <v>647</v>
      </c>
      <c r="E10316" s="6" t="s">
        <v>9677</v>
      </c>
      <c r="F10316" s="9" t="s">
        <v>16656</v>
      </c>
    </row>
    <row r="10317" ht="33.75" customHeight="1">
      <c r="A10317" s="7">
        <v>424.0</v>
      </c>
      <c r="B10317" s="9" t="s">
        <v>15957</v>
      </c>
      <c r="C10317" s="9" t="s">
        <v>286</v>
      </c>
      <c r="D10317" s="9" t="s">
        <v>652</v>
      </c>
      <c r="E10317" s="6" t="s">
        <v>9678</v>
      </c>
      <c r="F10317" s="9" t="s">
        <v>16656</v>
      </c>
    </row>
    <row r="10318" ht="33.75" customHeight="1">
      <c r="A10318" s="7">
        <v>424.0</v>
      </c>
      <c r="B10318" s="9" t="s">
        <v>15957</v>
      </c>
      <c r="C10318" s="9" t="s">
        <v>286</v>
      </c>
      <c r="D10318" s="9" t="s">
        <v>1577</v>
      </c>
      <c r="E10318" s="6" t="s">
        <v>9680</v>
      </c>
      <c r="F10318" s="9" t="s">
        <v>16656</v>
      </c>
    </row>
    <row r="10319" ht="33.75" customHeight="1">
      <c r="A10319" s="7">
        <v>425.0</v>
      </c>
      <c r="B10319" s="9" t="s">
        <v>15968</v>
      </c>
      <c r="C10319" s="9" t="s">
        <v>110</v>
      </c>
      <c r="D10319" s="9" t="s">
        <v>81</v>
      </c>
      <c r="E10319" s="6" t="s">
        <v>9682</v>
      </c>
      <c r="F10319" s="9" t="s">
        <v>16659</v>
      </c>
      <c r="G10319" t="inlineStr" s="6">
        <is>
          <t xml:space="preserve">A Pokémon formed by the spirits of people and Pokémon. It loves damp, humid seasons. It tugs on the hands of children to steal them away. However, it gets pulled around instead. Because of the way it floats aimlessly, an old folktale calls it a “Signpost for Wandering Spirits. It is whispered that any child who mistakes DRIFLOON for a balloon and holds on to it could wind up missing. These Pokémon are called the “Signpost for Wandering Spirits. Children holding them sometimes vanish. Stories go that it grabs the hands of small children and drags them away to the afterlife. It dislikes heavy children. If for some reason its body bursts, its soul spills out with a screaming sound. Its round body is stuffed with souls and expands each time it leads someone away. Wandering souls gathered together to form this Pokémon. When trying to make friends with children, Drifloon grabs them by the hand. Perhaps seeking company, it approaches children. However, it often quickly runs away again when the children play too roughly with it. The gathering of many souls gave rise to this Pokémon. During humid seasons, they seem to appear in abundance. Said to lure away young children and carry them off to the afterlife. Some whisper that Drifloon are formed of reincarnated human souls, but these rumors are as yet unconfirmed.</t>
        </is>
      </c>
    </row>
    <row r="10320" ht="33.75" customHeight="1">
      <c r="A10320" s="7">
        <v>425.0</v>
      </c>
      <c r="B10320" s="9" t="s">
        <v>15968</v>
      </c>
      <c r="C10320" s="9" t="s">
        <v>110</v>
      </c>
      <c r="D10320" s="9" t="s">
        <v>84</v>
      </c>
      <c r="E10320" s="6" t="s">
        <v>9685</v>
      </c>
      <c r="F10320" s="9" t="s">
        <v>16659</v>
      </c>
    </row>
    <row r="10321" ht="33.75" customHeight="1">
      <c r="A10321" s="7">
        <v>425.0</v>
      </c>
      <c r="B10321" s="9" t="s">
        <v>15968</v>
      </c>
      <c r="C10321" s="9" t="s">
        <v>110</v>
      </c>
      <c r="D10321" s="9" t="s">
        <v>87</v>
      </c>
      <c r="E10321" s="6" t="s">
        <v>9687</v>
      </c>
      <c r="F10321" s="9" t="s">
        <v>16659</v>
      </c>
    </row>
    <row r="10322" ht="33.75" customHeight="1">
      <c r="A10322" s="7">
        <v>425.0</v>
      </c>
      <c r="B10322" s="9" t="s">
        <v>15968</v>
      </c>
      <c r="C10322" s="9" t="s">
        <v>110</v>
      </c>
      <c r="D10322" s="9" t="s">
        <v>89</v>
      </c>
      <c r="E10322" s="6" t="s">
        <v>9688</v>
      </c>
      <c r="F10322" s="9" t="s">
        <v>16659</v>
      </c>
    </row>
    <row r="10323" ht="33.75" customHeight="1">
      <c r="A10323" s="7">
        <v>425.0</v>
      </c>
      <c r="B10323" s="9" t="s">
        <v>15968</v>
      </c>
      <c r="C10323" s="9" t="s">
        <v>110</v>
      </c>
      <c r="D10323" s="9" t="s">
        <v>91</v>
      </c>
      <c r="E10323" s="6" t="s">
        <v>9688</v>
      </c>
      <c r="F10323" s="9" t="s">
        <v>16659</v>
      </c>
    </row>
    <row r="10324" ht="33.75" customHeight="1">
      <c r="A10324" s="7">
        <v>425.0</v>
      </c>
      <c r="B10324" s="9" t="s">
        <v>15968</v>
      </c>
      <c r="C10324" s="9" t="s">
        <v>110</v>
      </c>
      <c r="D10324" s="9" t="s">
        <v>93</v>
      </c>
      <c r="E10324" s="6" t="s">
        <v>9687</v>
      </c>
      <c r="F10324" s="9" t="s">
        <v>16659</v>
      </c>
    </row>
    <row r="10325" ht="33.75" customHeight="1">
      <c r="A10325" s="7">
        <v>425.0</v>
      </c>
      <c r="B10325" s="9" t="s">
        <v>15968</v>
      </c>
      <c r="C10325" s="9" t="s">
        <v>110</v>
      </c>
      <c r="D10325" s="9" t="s">
        <v>95</v>
      </c>
      <c r="E10325" s="6" t="s">
        <v>9687</v>
      </c>
      <c r="F10325" s="9" t="s">
        <v>16659</v>
      </c>
    </row>
    <row r="10326" ht="33.75" customHeight="1">
      <c r="A10326" s="7">
        <v>425.0</v>
      </c>
      <c r="B10326" s="9" t="s">
        <v>15968</v>
      </c>
      <c r="C10326" s="9" t="s">
        <v>110</v>
      </c>
      <c r="D10326" s="9" t="s">
        <v>98</v>
      </c>
      <c r="E10326" s="6" t="s">
        <v>9690</v>
      </c>
      <c r="F10326" s="9" t="s">
        <v>16659</v>
      </c>
    </row>
    <row r="10327" ht="33.75" customHeight="1">
      <c r="A10327" s="7">
        <v>425.0</v>
      </c>
      <c r="B10327" s="9" t="s">
        <v>15968</v>
      </c>
      <c r="C10327" s="9" t="s">
        <v>110</v>
      </c>
      <c r="D10327" s="9" t="s">
        <v>99</v>
      </c>
      <c r="E10327" s="6" t="s">
        <v>9690</v>
      </c>
      <c r="F10327" s="9" t="s">
        <v>16659</v>
      </c>
    </row>
    <row r="10328" ht="33.75" customHeight="1">
      <c r="A10328" s="7">
        <v>425.0</v>
      </c>
      <c r="B10328" s="9" t="s">
        <v>15968</v>
      </c>
      <c r="C10328" s="9" t="s">
        <v>110</v>
      </c>
      <c r="D10328" s="9" t="s">
        <v>101</v>
      </c>
      <c r="E10328" s="6" t="s">
        <v>9682</v>
      </c>
      <c r="F10328" s="9" t="s">
        <v>16659</v>
      </c>
    </row>
    <row r="10329" ht="33.75" customHeight="1">
      <c r="A10329" s="7">
        <v>425.0</v>
      </c>
      <c r="B10329" s="9" t="s">
        <v>15968</v>
      </c>
      <c r="C10329" s="9" t="s">
        <v>110</v>
      </c>
      <c r="D10329" s="9" t="s">
        <v>105</v>
      </c>
      <c r="E10329" s="6" t="s">
        <v>9690</v>
      </c>
      <c r="F10329" s="9" t="s">
        <v>16659</v>
      </c>
    </row>
    <row r="10330" ht="33.75" customHeight="1">
      <c r="A10330" s="7">
        <v>425.0</v>
      </c>
      <c r="B10330" s="9" t="s">
        <v>15968</v>
      </c>
      <c r="C10330" s="9" t="s">
        <v>110</v>
      </c>
      <c r="D10330" s="9" t="s">
        <v>107</v>
      </c>
      <c r="E10330" s="6" t="s">
        <v>9682</v>
      </c>
      <c r="F10330" s="9" t="s">
        <v>16659</v>
      </c>
    </row>
    <row r="10331" ht="33.75" customHeight="1">
      <c r="A10331" s="7">
        <v>425.0</v>
      </c>
      <c r="B10331" s="9" t="s">
        <v>15968</v>
      </c>
      <c r="C10331" s="9" t="s">
        <v>110</v>
      </c>
      <c r="D10331" s="9" t="s">
        <v>109</v>
      </c>
      <c r="E10331" s="6" t="s">
        <v>9690</v>
      </c>
      <c r="F10331" s="9" t="s">
        <v>16659</v>
      </c>
    </row>
    <row r="10332" ht="33.75" customHeight="1">
      <c r="A10332" s="7">
        <v>425.0</v>
      </c>
      <c r="B10332" s="9" t="s">
        <v>15968</v>
      </c>
      <c r="C10332" s="9" t="s">
        <v>110</v>
      </c>
      <c r="D10332" s="9" t="s">
        <v>637</v>
      </c>
      <c r="E10332" s="6" t="s">
        <v>9692</v>
      </c>
      <c r="F10332" s="9" t="s">
        <v>16659</v>
      </c>
    </row>
    <row r="10333" ht="33.75" customHeight="1">
      <c r="A10333" s="7">
        <v>425.0</v>
      </c>
      <c r="B10333" s="9" t="s">
        <v>15968</v>
      </c>
      <c r="C10333" s="9" t="s">
        <v>110</v>
      </c>
      <c r="D10333" s="9" t="s">
        <v>642</v>
      </c>
      <c r="E10333" s="6" t="s">
        <v>9693</v>
      </c>
      <c r="F10333" s="9" t="s">
        <v>16659</v>
      </c>
    </row>
    <row r="10334" ht="33.75" customHeight="1">
      <c r="A10334" s="7">
        <v>425.0</v>
      </c>
      <c r="B10334" s="9" t="s">
        <v>15968</v>
      </c>
      <c r="C10334" s="9" t="s">
        <v>110</v>
      </c>
      <c r="D10334" s="9" t="s">
        <v>647</v>
      </c>
      <c r="E10334" s="6" t="s">
        <v>9694</v>
      </c>
      <c r="F10334" s="9" t="s">
        <v>16659</v>
      </c>
    </row>
    <row r="10335" ht="33.75" customHeight="1">
      <c r="A10335" s="7">
        <v>425.0</v>
      </c>
      <c r="B10335" s="9" t="s">
        <v>15968</v>
      </c>
      <c r="C10335" s="9" t="s">
        <v>110</v>
      </c>
      <c r="D10335" s="9" t="s">
        <v>652</v>
      </c>
      <c r="E10335" s="6" t="s">
        <v>9695</v>
      </c>
      <c r="F10335" s="9" t="s">
        <v>16659</v>
      </c>
    </row>
    <row r="10336" ht="33.75" customHeight="1">
      <c r="A10336" s="7">
        <v>425.0</v>
      </c>
      <c r="B10336" s="9" t="s">
        <v>15968</v>
      </c>
      <c r="C10336" s="9" t="s">
        <v>110</v>
      </c>
      <c r="D10336" s="9" t="s">
        <v>114</v>
      </c>
      <c r="E10336" s="6" t="s">
        <v>9697</v>
      </c>
      <c r="F10336" s="9" t="s">
        <v>16659</v>
      </c>
    </row>
    <row r="10337" ht="33.75" customHeight="1">
      <c r="A10337" s="7">
        <v>425.0</v>
      </c>
      <c r="B10337" s="9" t="s">
        <v>15968</v>
      </c>
      <c r="C10337" s="9" t="s">
        <v>110</v>
      </c>
      <c r="D10337" s="9" t="s">
        <v>117</v>
      </c>
      <c r="E10337" s="6" t="s">
        <v>9698</v>
      </c>
      <c r="F10337" s="9" t="s">
        <v>16659</v>
      </c>
    </row>
    <row r="10338" ht="33.75" customHeight="1">
      <c r="A10338" s="7">
        <v>425.0</v>
      </c>
      <c r="B10338" s="9" t="s">
        <v>15968</v>
      </c>
      <c r="C10338" s="9" t="s">
        <v>110</v>
      </c>
      <c r="D10338" s="9" t="s">
        <v>1577</v>
      </c>
      <c r="E10338" s="6" t="s">
        <v>9700</v>
      </c>
      <c r="F10338" s="9" t="s">
        <v>16659</v>
      </c>
    </row>
    <row r="10339" ht="33.75" customHeight="1">
      <c r="A10339" s="7">
        <v>426.0</v>
      </c>
      <c r="B10339" s="9" t="s">
        <v>15982</v>
      </c>
      <c r="C10339" s="9" t="s">
        <v>640</v>
      </c>
      <c r="D10339" s="9" t="s">
        <v>81</v>
      </c>
      <c r="E10339" s="6" t="s">
        <v>9701</v>
      </c>
      <c r="F10339" s="9" t="s">
        <v>16666</v>
      </c>
      <c r="G10339" t="inlineStr" s="6">
        <is>
          <t xml:space="preserve">It’s drowzy in daytime, but flies off in the evening in big groups. No one knows where they go. It carries people and Pokémon when it flies. But since it only drifts, it can end up anywhere. At dusk, swarms of them are carried aloft on winds. When noticed, they suddenly vanish. It can generate and release gas within its body. That’s how it can control the altitude of its drift. They carry people and Pokémon, but the wind can catch them, so there can’t be a fixed destination. It’s drowsy in daytime, but flies off in the evening in big groups. There was once an incident in which a man took a trip riding a Drifblim, only to go missing. Even while under careful observation, large flocks of Drifblim flying at dusk will inexplicably disappear from view. There’s a rumor that if you catch a Drifblim floating on the wind at dusk, you’ll be carried away to the afterlife. The raw material for the gas inside its body is souls. When its body starts to deflate, it’s thought to carry away people and Pokémon. Some say this Pokémon is a collection of souls burdened with regrets, silently drifting through the dusk. It grabs people and Pokémon and carries them off somewhere. Where do they go? Nobody knows. It drifts along at dusk, perfectly silent. Its transient, melancholy aspect touches some people deeply—every so often, one will come upon a song or poem devoted to Drifblim.</t>
        </is>
      </c>
    </row>
    <row r="10340" ht="33.75" customHeight="1">
      <c r="A10340" s="7">
        <v>426.0</v>
      </c>
      <c r="B10340" s="9" t="s">
        <v>15982</v>
      </c>
      <c r="C10340" s="9" t="s">
        <v>640</v>
      </c>
      <c r="D10340" s="9" t="s">
        <v>84</v>
      </c>
      <c r="E10340" s="6" t="s">
        <v>9702</v>
      </c>
      <c r="F10340" s="9" t="s">
        <v>16666</v>
      </c>
    </row>
    <row r="10341" ht="33.75" customHeight="1">
      <c r="A10341" s="7">
        <v>426.0</v>
      </c>
      <c r="B10341" s="9" t="s">
        <v>15982</v>
      </c>
      <c r="C10341" s="9" t="s">
        <v>640</v>
      </c>
      <c r="D10341" s="9" t="s">
        <v>87</v>
      </c>
      <c r="E10341" s="6" t="s">
        <v>9703</v>
      </c>
      <c r="F10341" s="9" t="s">
        <v>16666</v>
      </c>
    </row>
    <row r="10342" ht="33.75" customHeight="1">
      <c r="A10342" s="7">
        <v>426.0</v>
      </c>
      <c r="B10342" s="9" t="s">
        <v>15982</v>
      </c>
      <c r="C10342" s="9" t="s">
        <v>640</v>
      </c>
      <c r="D10342" s="9" t="s">
        <v>89</v>
      </c>
      <c r="E10342" s="6" t="s">
        <v>9704</v>
      </c>
      <c r="F10342" s="9" t="s">
        <v>16666</v>
      </c>
    </row>
    <row r="10343" ht="33.75" customHeight="1">
      <c r="A10343" s="7">
        <v>426.0</v>
      </c>
      <c r="B10343" s="9" t="s">
        <v>15982</v>
      </c>
      <c r="C10343" s="9" t="s">
        <v>640</v>
      </c>
      <c r="D10343" s="9" t="s">
        <v>91</v>
      </c>
      <c r="E10343" s="6" t="s">
        <v>9704</v>
      </c>
      <c r="F10343" s="9" t="s">
        <v>16666</v>
      </c>
    </row>
    <row r="10344" ht="33.75" customHeight="1">
      <c r="A10344" s="7">
        <v>426.0</v>
      </c>
      <c r="B10344" s="9" t="s">
        <v>15982</v>
      </c>
      <c r="C10344" s="9" t="s">
        <v>640</v>
      </c>
      <c r="D10344" s="9" t="s">
        <v>93</v>
      </c>
      <c r="E10344" s="6" t="s">
        <v>9703</v>
      </c>
      <c r="F10344" s="9" t="s">
        <v>16666</v>
      </c>
    </row>
    <row r="10345" ht="33.75" customHeight="1">
      <c r="A10345" s="7">
        <v>426.0</v>
      </c>
      <c r="B10345" s="9" t="s">
        <v>15982</v>
      </c>
      <c r="C10345" s="9" t="s">
        <v>640</v>
      </c>
      <c r="D10345" s="9" t="s">
        <v>95</v>
      </c>
      <c r="E10345" s="6" t="s">
        <v>9703</v>
      </c>
      <c r="F10345" s="9" t="s">
        <v>16666</v>
      </c>
    </row>
    <row r="10346" ht="33.75" customHeight="1">
      <c r="A10346" s="7">
        <v>426.0</v>
      </c>
      <c r="B10346" s="9" t="s">
        <v>15982</v>
      </c>
      <c r="C10346" s="9" t="s">
        <v>640</v>
      </c>
      <c r="D10346" s="9" t="s">
        <v>98</v>
      </c>
      <c r="E10346" s="6" t="s">
        <v>9705</v>
      </c>
      <c r="F10346" s="9" t="s">
        <v>16666</v>
      </c>
    </row>
    <row r="10347" ht="33.75" customHeight="1">
      <c r="A10347" s="7">
        <v>426.0</v>
      </c>
      <c r="B10347" s="9" t="s">
        <v>15982</v>
      </c>
      <c r="C10347" s="9" t="s">
        <v>640</v>
      </c>
      <c r="D10347" s="9" t="s">
        <v>99</v>
      </c>
      <c r="E10347" s="6" t="s">
        <v>9705</v>
      </c>
      <c r="F10347" s="9" t="s">
        <v>16666</v>
      </c>
    </row>
    <row r="10348" ht="33.75" customHeight="1">
      <c r="A10348" s="7">
        <v>426.0</v>
      </c>
      <c r="B10348" s="9" t="s">
        <v>15982</v>
      </c>
      <c r="C10348" s="9" t="s">
        <v>640</v>
      </c>
      <c r="D10348" s="9" t="s">
        <v>101</v>
      </c>
      <c r="E10348" s="6" t="s">
        <v>9702</v>
      </c>
      <c r="F10348" s="9" t="s">
        <v>16666</v>
      </c>
    </row>
    <row r="10349" ht="33.75" customHeight="1">
      <c r="A10349" s="7">
        <v>426.0</v>
      </c>
      <c r="B10349" s="9" t="s">
        <v>15982</v>
      </c>
      <c r="C10349" s="9" t="s">
        <v>640</v>
      </c>
      <c r="D10349" s="9" t="s">
        <v>105</v>
      </c>
      <c r="E10349" s="6" t="s">
        <v>9706</v>
      </c>
      <c r="F10349" s="9" t="s">
        <v>16666</v>
      </c>
    </row>
    <row r="10350" ht="33.75" customHeight="1">
      <c r="A10350" s="7">
        <v>426.0</v>
      </c>
      <c r="B10350" s="9" t="s">
        <v>15982</v>
      </c>
      <c r="C10350" s="9" t="s">
        <v>640</v>
      </c>
      <c r="D10350" s="9" t="s">
        <v>107</v>
      </c>
      <c r="E10350" s="6" t="s">
        <v>9702</v>
      </c>
      <c r="F10350" s="9" t="s">
        <v>16666</v>
      </c>
    </row>
    <row r="10351" ht="33.75" customHeight="1">
      <c r="A10351" s="7">
        <v>426.0</v>
      </c>
      <c r="B10351" s="9" t="s">
        <v>15982</v>
      </c>
      <c r="C10351" s="9" t="s">
        <v>640</v>
      </c>
      <c r="D10351" s="9" t="s">
        <v>109</v>
      </c>
      <c r="E10351" s="6" t="s">
        <v>9706</v>
      </c>
      <c r="F10351" s="9" t="s">
        <v>16666</v>
      </c>
    </row>
    <row r="10352" ht="33.75" customHeight="1">
      <c r="A10352" s="7">
        <v>426.0</v>
      </c>
      <c r="B10352" s="9" t="s">
        <v>15982</v>
      </c>
      <c r="C10352" s="9" t="s">
        <v>640</v>
      </c>
      <c r="D10352" s="9" t="s">
        <v>637</v>
      </c>
      <c r="E10352" s="6" t="s">
        <v>9707</v>
      </c>
      <c r="F10352" s="9" t="s">
        <v>16666</v>
      </c>
    </row>
    <row r="10353" ht="33.75" customHeight="1">
      <c r="A10353" s="7">
        <v>426.0</v>
      </c>
      <c r="B10353" s="9" t="s">
        <v>15982</v>
      </c>
      <c r="C10353" s="9" t="s">
        <v>640</v>
      </c>
      <c r="D10353" s="9" t="s">
        <v>642</v>
      </c>
      <c r="E10353" s="6" t="s">
        <v>9708</v>
      </c>
      <c r="F10353" s="9" t="s">
        <v>16666</v>
      </c>
    </row>
    <row r="10354" ht="33.75" customHeight="1">
      <c r="A10354" s="7">
        <v>426.0</v>
      </c>
      <c r="B10354" s="9" t="s">
        <v>15982</v>
      </c>
      <c r="C10354" s="9" t="s">
        <v>640</v>
      </c>
      <c r="D10354" s="9" t="s">
        <v>647</v>
      </c>
      <c r="E10354" s="6" t="s">
        <v>9709</v>
      </c>
      <c r="F10354" s="9" t="s">
        <v>16666</v>
      </c>
    </row>
    <row r="10355" ht="33.75" customHeight="1">
      <c r="A10355" s="7">
        <v>426.0</v>
      </c>
      <c r="B10355" s="9" t="s">
        <v>15982</v>
      </c>
      <c r="C10355" s="9" t="s">
        <v>640</v>
      </c>
      <c r="D10355" s="9" t="s">
        <v>652</v>
      </c>
      <c r="E10355" s="6" t="s">
        <v>9710</v>
      </c>
      <c r="F10355" s="9" t="s">
        <v>16666</v>
      </c>
    </row>
    <row r="10356" ht="33.75" customHeight="1">
      <c r="A10356" s="7">
        <v>426.0</v>
      </c>
      <c r="B10356" s="9" t="s">
        <v>15982</v>
      </c>
      <c r="C10356" s="9" t="s">
        <v>640</v>
      </c>
      <c r="D10356" s="9" t="s">
        <v>114</v>
      </c>
      <c r="E10356" s="6" t="s">
        <v>9711</v>
      </c>
      <c r="F10356" s="9" t="s">
        <v>16666</v>
      </c>
    </row>
    <row r="10357" ht="33.75" customHeight="1">
      <c r="A10357" s="7">
        <v>426.0</v>
      </c>
      <c r="B10357" s="9" t="s">
        <v>15982</v>
      </c>
      <c r="C10357" s="9" t="s">
        <v>640</v>
      </c>
      <c r="D10357" s="9" t="s">
        <v>117</v>
      </c>
      <c r="E10357" s="6" t="s">
        <v>9712</v>
      </c>
      <c r="F10357" s="9" t="s">
        <v>16666</v>
      </c>
    </row>
    <row r="10358" ht="33.75" customHeight="1">
      <c r="A10358" s="7">
        <v>426.0</v>
      </c>
      <c r="B10358" s="9" t="s">
        <v>15982</v>
      </c>
      <c r="C10358" s="9" t="s">
        <v>640</v>
      </c>
      <c r="D10358" s="9" t="s">
        <v>1577</v>
      </c>
      <c r="E10358" s="6" t="s">
        <v>9713</v>
      </c>
      <c r="F10358" s="9" t="s">
        <v>16666</v>
      </c>
    </row>
    <row r="10359" ht="33.75" customHeight="1">
      <c r="A10359" s="7">
        <v>427.0</v>
      </c>
      <c r="B10359" s="9" t="s">
        <v>15997</v>
      </c>
      <c r="C10359" s="9" t="s">
        <v>644</v>
      </c>
      <c r="D10359" s="9" t="s">
        <v>81</v>
      </c>
      <c r="E10359" s="6" t="s">
        <v>9714</v>
      </c>
      <c r="F10359" s="9" t="s">
        <v>16679</v>
      </c>
      <c r="G10359" t="inlineStr" s="6">
        <is>
          <t xml:space="preserve">It slams foes by sharply uncoiling Buneary's rolled ears. It stings enough to make a grown-up cry in pain. When it senses danger, it perks up its ears. On cold nights, it sleeps with its head tucked into its fur. Its ears are always rolled up. They can be forcefully extended to shatter even a large boulder. You can tell how it feels by the way it rolls its ears. When it’s scared, both ears are rolled up. By extending its rolled-up ears and striking the ground, it can bound so high it surprises itself. Its arms and legs are weak, but when it rolls its ears up tight and then unleashes them with its full force, it can smash boulders to dust. The reason it keeps one ear rolled up is so it can launch a swift counterattack if it’s attacked by an enemy. If both of Buneary’s ears are rolled up, something is wrong with its body or mind. It’s a sure sign the Pokémon is in need of care. Buneary can attack by rolling up their ears and then striking with the force created by unrolling them. This attack becomes stronger with training. My hypothesis as to why Buneary rolls up its ears is that its hearing is far too keen. I surmise that the Pokémon protects its hearing by limiting the sound that may enter its ears.</t>
        </is>
      </c>
    </row>
    <row r="10360" ht="33.75" customHeight="1">
      <c r="A10360" s="7">
        <v>427.0</v>
      </c>
      <c r="B10360" s="9" t="s">
        <v>15997</v>
      </c>
      <c r="C10360" s="9" t="s">
        <v>644</v>
      </c>
      <c r="D10360" s="9" t="s">
        <v>84</v>
      </c>
      <c r="E10360" s="6" t="s">
        <v>9715</v>
      </c>
      <c r="F10360" s="9" t="s">
        <v>16679</v>
      </c>
    </row>
    <row r="10361" ht="33.75" customHeight="1">
      <c r="A10361" s="7">
        <v>427.0</v>
      </c>
      <c r="B10361" s="9" t="s">
        <v>15997</v>
      </c>
      <c r="C10361" s="9" t="s">
        <v>644</v>
      </c>
      <c r="D10361" s="9" t="s">
        <v>87</v>
      </c>
      <c r="E10361" s="6" t="s">
        <v>9717</v>
      </c>
      <c r="F10361" s="9" t="s">
        <v>16679</v>
      </c>
    </row>
    <row r="10362" ht="33.75" customHeight="1">
      <c r="A10362" s="7">
        <v>427.0</v>
      </c>
      <c r="B10362" s="9" t="s">
        <v>15997</v>
      </c>
      <c r="C10362" s="9" t="s">
        <v>644</v>
      </c>
      <c r="D10362" s="9" t="s">
        <v>89</v>
      </c>
      <c r="E10362" s="6" t="s">
        <v>9718</v>
      </c>
      <c r="F10362" s="9" t="s">
        <v>16679</v>
      </c>
    </row>
    <row r="10363" ht="33.75" customHeight="1">
      <c r="A10363" s="7">
        <v>427.0</v>
      </c>
      <c r="B10363" s="9" t="s">
        <v>15997</v>
      </c>
      <c r="C10363" s="9" t="s">
        <v>644</v>
      </c>
      <c r="D10363" s="9" t="s">
        <v>91</v>
      </c>
      <c r="E10363" s="6" t="s">
        <v>9718</v>
      </c>
      <c r="F10363" s="9" t="s">
        <v>16679</v>
      </c>
    </row>
    <row r="10364" ht="33.75" customHeight="1">
      <c r="A10364" s="7">
        <v>427.0</v>
      </c>
      <c r="B10364" s="9" t="s">
        <v>15997</v>
      </c>
      <c r="C10364" s="9" t="s">
        <v>644</v>
      </c>
      <c r="D10364" s="9" t="s">
        <v>93</v>
      </c>
      <c r="E10364" s="6" t="s">
        <v>9717</v>
      </c>
      <c r="F10364" s="9" t="s">
        <v>16679</v>
      </c>
    </row>
    <row r="10365" ht="33.75" customHeight="1">
      <c r="A10365" s="7">
        <v>427.0</v>
      </c>
      <c r="B10365" s="9" t="s">
        <v>15997</v>
      </c>
      <c r="C10365" s="9" t="s">
        <v>644</v>
      </c>
      <c r="D10365" s="9" t="s">
        <v>95</v>
      </c>
      <c r="E10365" s="6" t="s">
        <v>9717</v>
      </c>
      <c r="F10365" s="9" t="s">
        <v>16679</v>
      </c>
    </row>
    <row r="10366" ht="33.75" customHeight="1">
      <c r="A10366" s="7">
        <v>427.0</v>
      </c>
      <c r="B10366" s="9" t="s">
        <v>15997</v>
      </c>
      <c r="C10366" s="9" t="s">
        <v>644</v>
      </c>
      <c r="D10366" s="9" t="s">
        <v>98</v>
      </c>
      <c r="E10366" s="6" t="s">
        <v>9719</v>
      </c>
      <c r="F10366" s="9" t="s">
        <v>16679</v>
      </c>
    </row>
    <row r="10367" ht="33.75" customHeight="1">
      <c r="A10367" s="7">
        <v>427.0</v>
      </c>
      <c r="B10367" s="9" t="s">
        <v>15997</v>
      </c>
      <c r="C10367" s="9" t="s">
        <v>644</v>
      </c>
      <c r="D10367" s="9" t="s">
        <v>99</v>
      </c>
      <c r="E10367" s="6" t="s">
        <v>9719</v>
      </c>
      <c r="F10367" s="9" t="s">
        <v>16679</v>
      </c>
    </row>
    <row r="10368" ht="33.75" customHeight="1">
      <c r="A10368" s="7">
        <v>427.0</v>
      </c>
      <c r="B10368" s="9" t="s">
        <v>15997</v>
      </c>
      <c r="C10368" s="9" t="s">
        <v>644</v>
      </c>
      <c r="D10368" s="9" t="s">
        <v>101</v>
      </c>
      <c r="E10368" s="6" t="s">
        <v>9717</v>
      </c>
      <c r="F10368" s="9" t="s">
        <v>16679</v>
      </c>
    </row>
    <row r="10369" ht="33.75" customHeight="1">
      <c r="A10369" s="7">
        <v>427.0</v>
      </c>
      <c r="B10369" s="9" t="s">
        <v>15997</v>
      </c>
      <c r="C10369" s="9" t="s">
        <v>644</v>
      </c>
      <c r="D10369" s="9" t="s">
        <v>105</v>
      </c>
      <c r="E10369" s="6" t="s">
        <v>9715</v>
      </c>
      <c r="F10369" s="9" t="s">
        <v>16679</v>
      </c>
    </row>
    <row r="10370" ht="33.75" customHeight="1">
      <c r="A10370" s="7">
        <v>427.0</v>
      </c>
      <c r="B10370" s="9" t="s">
        <v>15997</v>
      </c>
      <c r="C10370" s="9" t="s">
        <v>644</v>
      </c>
      <c r="D10370" s="9" t="s">
        <v>107</v>
      </c>
      <c r="E10370" s="6" t="s">
        <v>9717</v>
      </c>
      <c r="F10370" s="9" t="s">
        <v>16679</v>
      </c>
    </row>
    <row r="10371" ht="33.75" customHeight="1">
      <c r="A10371" s="7">
        <v>427.0</v>
      </c>
      <c r="B10371" s="9" t="s">
        <v>15997</v>
      </c>
      <c r="C10371" s="9" t="s">
        <v>644</v>
      </c>
      <c r="D10371" s="9" t="s">
        <v>109</v>
      </c>
      <c r="E10371" s="6" t="s">
        <v>9715</v>
      </c>
      <c r="F10371" s="9" t="s">
        <v>16679</v>
      </c>
    </row>
    <row r="10372" ht="33.75" customHeight="1">
      <c r="A10372" s="7">
        <v>427.0</v>
      </c>
      <c r="B10372" s="9" t="s">
        <v>15997</v>
      </c>
      <c r="C10372" s="9" t="s">
        <v>644</v>
      </c>
      <c r="D10372" s="9" t="s">
        <v>647</v>
      </c>
      <c r="E10372" s="6" t="s">
        <v>9721</v>
      </c>
      <c r="F10372" s="9" t="s">
        <v>16679</v>
      </c>
    </row>
    <row r="10373" ht="33.75" customHeight="1">
      <c r="A10373" s="7">
        <v>427.0</v>
      </c>
      <c r="B10373" s="9" t="s">
        <v>15997</v>
      </c>
      <c r="C10373" s="9" t="s">
        <v>644</v>
      </c>
      <c r="D10373" s="9" t="s">
        <v>652</v>
      </c>
      <c r="E10373" s="6" t="s">
        <v>9724</v>
      </c>
      <c r="F10373" s="9" t="s">
        <v>16679</v>
      </c>
    </row>
    <row r="10374" ht="33.75" customHeight="1">
      <c r="A10374" s="7">
        <v>427.0</v>
      </c>
      <c r="B10374" s="9" t="s">
        <v>15997</v>
      </c>
      <c r="C10374" s="9" t="s">
        <v>644</v>
      </c>
      <c r="D10374" s="9" t="s">
        <v>114</v>
      </c>
      <c r="E10374" s="6" t="s">
        <v>9727</v>
      </c>
      <c r="F10374" s="9" t="s">
        <v>16679</v>
      </c>
    </row>
    <row r="10375" ht="33.75" customHeight="1">
      <c r="A10375" s="7">
        <v>427.0</v>
      </c>
      <c r="B10375" s="9" t="s">
        <v>15997</v>
      </c>
      <c r="C10375" s="9" t="s">
        <v>644</v>
      </c>
      <c r="D10375" s="9" t="s">
        <v>117</v>
      </c>
      <c r="E10375" s="6" t="s">
        <v>9728</v>
      </c>
      <c r="F10375" s="9" t="s">
        <v>16679</v>
      </c>
    </row>
    <row r="10376" ht="33.75" customHeight="1">
      <c r="A10376" s="7">
        <v>427.0</v>
      </c>
      <c r="B10376" s="9" t="s">
        <v>15997</v>
      </c>
      <c r="C10376" s="9" t="s">
        <v>644</v>
      </c>
      <c r="D10376" s="9" t="s">
        <v>1577</v>
      </c>
      <c r="E10376" s="6" t="s">
        <v>9730</v>
      </c>
      <c r="F10376" s="9" t="s">
        <v>16679</v>
      </c>
    </row>
    <row r="10377" ht="33.75" customHeight="1">
      <c r="A10377" s="7">
        <v>428.0</v>
      </c>
      <c r="B10377" s="9" t="s">
        <v>16010</v>
      </c>
      <c r="C10377" s="9" t="s">
        <v>644</v>
      </c>
      <c r="D10377" s="9" t="s">
        <v>81</v>
      </c>
      <c r="E10377" s="6" t="s">
        <v>9732</v>
      </c>
      <c r="F10377" s="9" t="s">
        <v>16686</v>
      </c>
      <c r="G10377" t="inlineStr" s="6">
        <is>
          <t xml:space="preserve">An extremely cautious Pokémon. It cloaks its body with its fluffy ear fur when it senses danger. It is very conscious of its looks and never fails to groom its ears. It runs with sprightly jumps. The ears appear to be delicate. If they are touched roughly, it kicks with its graceful legs. It sheds its fur twice a year. Its winter fur is soft and fluffy. Extremely cautious, it quickly bounds off when it senses danger. Lopunny regrows its coat twice a year. Mufflers and hats made from its fur are really warm. It’s notably wary and has a dislike of fighting, but at the same time, it can deliver powerful kicks with its lithe legs. Lopunny is constantly monitoring its surroundings. If danger approaches, this Pokémon responds with superdestructive kicks. Once hot seasons are over, Lopunny’s coat will be replaced with fur that holds a lot of insulating air in preparation for colder weather. Its fur is warm and yet remarkably light. This Pokémon kicks as though it were a master of karate, driving back its opponents with ease.</t>
        </is>
      </c>
    </row>
    <row r="10378" ht="33.75" customHeight="1">
      <c r="A10378" s="7">
        <v>428.0</v>
      </c>
      <c r="B10378" s="9" t="s">
        <v>16010</v>
      </c>
      <c r="C10378" s="9" t="s">
        <v>644</v>
      </c>
      <c r="D10378" s="9" t="s">
        <v>84</v>
      </c>
      <c r="E10378" s="6" t="s">
        <v>9733</v>
      </c>
      <c r="F10378" s="9" t="s">
        <v>16686</v>
      </c>
    </row>
    <row r="10379" ht="33.75" customHeight="1">
      <c r="A10379" s="7">
        <v>428.0</v>
      </c>
      <c r="B10379" s="9" t="s">
        <v>16010</v>
      </c>
      <c r="C10379" s="9" t="s">
        <v>644</v>
      </c>
      <c r="D10379" s="9" t="s">
        <v>87</v>
      </c>
      <c r="E10379" s="6" t="s">
        <v>9735</v>
      </c>
      <c r="F10379" s="9" t="s">
        <v>16686</v>
      </c>
    </row>
    <row r="10380" ht="33.75" customHeight="1">
      <c r="A10380" s="7">
        <v>428.0</v>
      </c>
      <c r="B10380" s="9" t="s">
        <v>16010</v>
      </c>
      <c r="C10380" s="9" t="s">
        <v>644</v>
      </c>
      <c r="D10380" s="9" t="s">
        <v>89</v>
      </c>
      <c r="E10380" s="6" t="s">
        <v>9736</v>
      </c>
      <c r="F10380" s="9" t="s">
        <v>16686</v>
      </c>
    </row>
    <row r="10381" ht="33.75" customHeight="1">
      <c r="A10381" s="7">
        <v>428.0</v>
      </c>
      <c r="B10381" s="9" t="s">
        <v>16010</v>
      </c>
      <c r="C10381" s="9" t="s">
        <v>644</v>
      </c>
      <c r="D10381" s="9" t="s">
        <v>91</v>
      </c>
      <c r="E10381" s="6" t="s">
        <v>9736</v>
      </c>
      <c r="F10381" s="9" t="s">
        <v>16686</v>
      </c>
    </row>
    <row r="10382" ht="33.75" customHeight="1">
      <c r="A10382" s="7">
        <v>428.0</v>
      </c>
      <c r="B10382" s="9" t="s">
        <v>16010</v>
      </c>
      <c r="C10382" s="9" t="s">
        <v>644</v>
      </c>
      <c r="D10382" s="9" t="s">
        <v>93</v>
      </c>
      <c r="E10382" s="6" t="s">
        <v>9735</v>
      </c>
      <c r="F10382" s="9" t="s">
        <v>16686</v>
      </c>
    </row>
    <row r="10383" ht="33.75" customHeight="1">
      <c r="A10383" s="7">
        <v>428.0</v>
      </c>
      <c r="B10383" s="9" t="s">
        <v>16010</v>
      </c>
      <c r="C10383" s="9" t="s">
        <v>644</v>
      </c>
      <c r="D10383" s="9" t="s">
        <v>95</v>
      </c>
      <c r="E10383" s="6" t="s">
        <v>9735</v>
      </c>
      <c r="F10383" s="9" t="s">
        <v>16686</v>
      </c>
    </row>
    <row r="10384" ht="33.75" customHeight="1">
      <c r="A10384" s="7">
        <v>428.0</v>
      </c>
      <c r="B10384" s="9" t="s">
        <v>16010</v>
      </c>
      <c r="C10384" s="9" t="s">
        <v>644</v>
      </c>
      <c r="D10384" s="9" t="s">
        <v>98</v>
      </c>
      <c r="E10384" s="6" t="s">
        <v>9737</v>
      </c>
      <c r="F10384" s="9" t="s">
        <v>16686</v>
      </c>
    </row>
    <row r="10385" ht="33.75" customHeight="1">
      <c r="A10385" s="7">
        <v>428.0</v>
      </c>
      <c r="B10385" s="9" t="s">
        <v>16010</v>
      </c>
      <c r="C10385" s="9" t="s">
        <v>644</v>
      </c>
      <c r="D10385" s="9" t="s">
        <v>99</v>
      </c>
      <c r="E10385" s="6" t="s">
        <v>9737</v>
      </c>
      <c r="F10385" s="9" t="s">
        <v>16686</v>
      </c>
    </row>
    <row r="10386" ht="33.75" customHeight="1">
      <c r="A10386" s="7">
        <v>428.0</v>
      </c>
      <c r="B10386" s="9" t="s">
        <v>16010</v>
      </c>
      <c r="C10386" s="9" t="s">
        <v>644</v>
      </c>
      <c r="D10386" s="9" t="s">
        <v>101</v>
      </c>
      <c r="E10386" s="6" t="s">
        <v>9737</v>
      </c>
      <c r="F10386" s="9" t="s">
        <v>16686</v>
      </c>
    </row>
    <row r="10387" ht="33.75" customHeight="1">
      <c r="A10387" s="7">
        <v>428.0</v>
      </c>
      <c r="B10387" s="9" t="s">
        <v>16010</v>
      </c>
      <c r="C10387" s="9" t="s">
        <v>644</v>
      </c>
      <c r="D10387" s="9" t="s">
        <v>105</v>
      </c>
      <c r="E10387" s="6" t="s">
        <v>9735</v>
      </c>
      <c r="F10387" s="9" t="s">
        <v>16686</v>
      </c>
    </row>
    <row r="10388" ht="33.75" customHeight="1">
      <c r="A10388" s="7">
        <v>428.0</v>
      </c>
      <c r="B10388" s="9" t="s">
        <v>16010</v>
      </c>
      <c r="C10388" s="9" t="s">
        <v>644</v>
      </c>
      <c r="D10388" s="9" t="s">
        <v>107</v>
      </c>
      <c r="E10388" s="6" t="s">
        <v>9737</v>
      </c>
      <c r="F10388" s="9" t="s">
        <v>16686</v>
      </c>
    </row>
    <row r="10389" ht="33.75" customHeight="1">
      <c r="A10389" s="7">
        <v>428.0</v>
      </c>
      <c r="B10389" s="9" t="s">
        <v>16010</v>
      </c>
      <c r="C10389" s="9" t="s">
        <v>644</v>
      </c>
      <c r="D10389" s="9" t="s">
        <v>109</v>
      </c>
      <c r="E10389" s="6" t="s">
        <v>9735</v>
      </c>
      <c r="F10389" s="9" t="s">
        <v>16686</v>
      </c>
    </row>
    <row r="10390" ht="33.75" customHeight="1">
      <c r="A10390" s="7">
        <v>428.0</v>
      </c>
      <c r="B10390" s="9" t="s">
        <v>16010</v>
      </c>
      <c r="C10390" s="9" t="s">
        <v>644</v>
      </c>
      <c r="D10390" s="9" t="s">
        <v>647</v>
      </c>
      <c r="E10390" s="6" t="s">
        <v>9739</v>
      </c>
      <c r="F10390" s="9" t="s">
        <v>16686</v>
      </c>
    </row>
    <row r="10391" ht="33.75" customHeight="1">
      <c r="A10391" s="7">
        <v>428.0</v>
      </c>
      <c r="B10391" s="9" t="s">
        <v>16010</v>
      </c>
      <c r="C10391" s="9" t="s">
        <v>644</v>
      </c>
      <c r="D10391" s="9" t="s">
        <v>652</v>
      </c>
      <c r="E10391" s="6" t="s">
        <v>9740</v>
      </c>
      <c r="F10391" s="9" t="s">
        <v>16686</v>
      </c>
    </row>
    <row r="10392" ht="33.75" customHeight="1">
      <c r="A10392" s="7">
        <v>428.0</v>
      </c>
      <c r="B10392" s="9" t="s">
        <v>16010</v>
      </c>
      <c r="C10392" s="9" t="s">
        <v>644</v>
      </c>
      <c r="D10392" s="9" t="s">
        <v>114</v>
      </c>
      <c r="E10392" s="6" t="s">
        <v>9741</v>
      </c>
      <c r="F10392" s="9" t="s">
        <v>16686</v>
      </c>
    </row>
    <row r="10393" ht="33.75" customHeight="1">
      <c r="A10393" s="7">
        <v>428.0</v>
      </c>
      <c r="B10393" s="9" t="s">
        <v>16010</v>
      </c>
      <c r="C10393" s="9" t="s">
        <v>644</v>
      </c>
      <c r="D10393" s="9" t="s">
        <v>117</v>
      </c>
      <c r="E10393" s="6" t="s">
        <v>9743</v>
      </c>
      <c r="F10393" s="9" t="s">
        <v>16686</v>
      </c>
    </row>
    <row r="10394" ht="33.75" customHeight="1">
      <c r="A10394" s="7">
        <v>428.0</v>
      </c>
      <c r="B10394" s="9" t="s">
        <v>16010</v>
      </c>
      <c r="C10394" s="9" t="s">
        <v>644</v>
      </c>
      <c r="D10394" s="9" t="s">
        <v>1577</v>
      </c>
      <c r="E10394" s="6" t="s">
        <v>9745</v>
      </c>
      <c r="F10394" s="9" t="s">
        <v>16686</v>
      </c>
    </row>
    <row r="10395" ht="33.75" customHeight="1">
      <c r="A10395" s="7">
        <v>429.0</v>
      </c>
      <c r="B10395" s="9" t="s">
        <v>16022</v>
      </c>
      <c r="C10395" s="9" t="s">
        <v>646</v>
      </c>
      <c r="D10395" s="9" t="s">
        <v>81</v>
      </c>
      <c r="E10395" s="6" t="s">
        <v>9746</v>
      </c>
      <c r="F10395" s="9" t="s">
        <v>16691</v>
      </c>
      <c r="G10395" t="inlineStr" s="6">
        <is>
          <t xml:space="preserve">Mismagius's cries sound like incantations. Those hearing it are tormented by headaches and hallucinations. It chants incantations. While they usually torment targets, some chants bring happiness. Its cry sounds like an incantation. It is said the cry may rarely be imbued with happiness-giving power. Its cries sound like incantations to torment the foe. It appears where you least expect it. It appears as if from nowhere—muttering incantations, placing curses, and giving people terrifying visions. Mismagius have been known to cast spells to make people fall in love, so some people search for this Pokémon as if their life depended on it. Feared for its wrath and the curses it spreads, this Pokémon will also, on a whim, cast spells that help people. Its muttered curses can cause awful headaches or terrifying visions that torment others. The incantations Mismagius chants can ward against misfortune, so a custom exists of inviting it into one's home. Incur the Pokémon's displeasure, however, and disaster will surely ensue.</t>
        </is>
      </c>
    </row>
    <row r="10396" ht="33.75" customHeight="1">
      <c r="A10396" s="7">
        <v>429.0</v>
      </c>
      <c r="B10396" s="9" t="s">
        <v>16022</v>
      </c>
      <c r="C10396" s="9" t="s">
        <v>646</v>
      </c>
      <c r="D10396" s="9" t="s">
        <v>84</v>
      </c>
      <c r="E10396" s="6" t="s">
        <v>9747</v>
      </c>
      <c r="F10396" s="9" t="s">
        <v>16691</v>
      </c>
    </row>
    <row r="10397" ht="33.75" customHeight="1">
      <c r="A10397" s="7">
        <v>429.0</v>
      </c>
      <c r="B10397" s="9" t="s">
        <v>16022</v>
      </c>
      <c r="C10397" s="9" t="s">
        <v>646</v>
      </c>
      <c r="D10397" s="9" t="s">
        <v>87</v>
      </c>
      <c r="E10397" s="6" t="s">
        <v>9749</v>
      </c>
      <c r="F10397" s="9" t="s">
        <v>16691</v>
      </c>
    </row>
    <row r="10398" ht="33.75" customHeight="1">
      <c r="A10398" s="7">
        <v>429.0</v>
      </c>
      <c r="B10398" s="9" t="s">
        <v>16022</v>
      </c>
      <c r="C10398" s="9" t="s">
        <v>646</v>
      </c>
      <c r="D10398" s="9" t="s">
        <v>89</v>
      </c>
      <c r="E10398" s="6" t="s">
        <v>9750</v>
      </c>
      <c r="F10398" s="9" t="s">
        <v>16691</v>
      </c>
    </row>
    <row r="10399" ht="33.75" customHeight="1">
      <c r="A10399" s="7">
        <v>429.0</v>
      </c>
      <c r="B10399" s="9" t="s">
        <v>16022</v>
      </c>
      <c r="C10399" s="9" t="s">
        <v>646</v>
      </c>
      <c r="D10399" s="9" t="s">
        <v>91</v>
      </c>
      <c r="E10399" s="6" t="s">
        <v>9750</v>
      </c>
      <c r="F10399" s="9" t="s">
        <v>16691</v>
      </c>
    </row>
    <row r="10400" ht="33.75" customHeight="1">
      <c r="A10400" s="7">
        <v>429.0</v>
      </c>
      <c r="B10400" s="9" t="s">
        <v>16022</v>
      </c>
      <c r="C10400" s="9" t="s">
        <v>646</v>
      </c>
      <c r="D10400" s="9" t="s">
        <v>93</v>
      </c>
      <c r="E10400" s="6" t="s">
        <v>9749</v>
      </c>
      <c r="F10400" s="9" t="s">
        <v>16691</v>
      </c>
    </row>
    <row r="10401" ht="33.75" customHeight="1">
      <c r="A10401" s="7">
        <v>429.0</v>
      </c>
      <c r="B10401" s="9" t="s">
        <v>16022</v>
      </c>
      <c r="C10401" s="9" t="s">
        <v>646</v>
      </c>
      <c r="D10401" s="9" t="s">
        <v>95</v>
      </c>
      <c r="E10401" s="6" t="s">
        <v>9749</v>
      </c>
      <c r="F10401" s="9" t="s">
        <v>16691</v>
      </c>
    </row>
    <row r="10402" ht="33.75" customHeight="1">
      <c r="A10402" s="7">
        <v>429.0</v>
      </c>
      <c r="B10402" s="9" t="s">
        <v>16022</v>
      </c>
      <c r="C10402" s="9" t="s">
        <v>646</v>
      </c>
      <c r="D10402" s="9" t="s">
        <v>98</v>
      </c>
      <c r="E10402" s="6" t="s">
        <v>9749</v>
      </c>
      <c r="F10402" s="9" t="s">
        <v>16691</v>
      </c>
    </row>
    <row r="10403" ht="33.75" customHeight="1">
      <c r="A10403" s="7">
        <v>429.0</v>
      </c>
      <c r="B10403" s="9" t="s">
        <v>16022</v>
      </c>
      <c r="C10403" s="9" t="s">
        <v>646</v>
      </c>
      <c r="D10403" s="9" t="s">
        <v>99</v>
      </c>
      <c r="E10403" s="6" t="s">
        <v>9749</v>
      </c>
      <c r="F10403" s="9" t="s">
        <v>16691</v>
      </c>
    </row>
    <row r="10404" ht="33.75" customHeight="1">
      <c r="A10404" s="7">
        <v>429.0</v>
      </c>
      <c r="B10404" s="9" t="s">
        <v>16022</v>
      </c>
      <c r="C10404" s="9" t="s">
        <v>646</v>
      </c>
      <c r="D10404" s="9" t="s">
        <v>101</v>
      </c>
      <c r="E10404" s="6" t="s">
        <v>9747</v>
      </c>
      <c r="F10404" s="9" t="s">
        <v>16691</v>
      </c>
    </row>
    <row r="10405" ht="33.75" customHeight="1">
      <c r="A10405" s="7">
        <v>429.0</v>
      </c>
      <c r="B10405" s="9" t="s">
        <v>16022</v>
      </c>
      <c r="C10405" s="9" t="s">
        <v>646</v>
      </c>
      <c r="D10405" s="9" t="s">
        <v>105</v>
      </c>
      <c r="E10405" s="6" t="s">
        <v>9750</v>
      </c>
      <c r="F10405" s="9" t="s">
        <v>16691</v>
      </c>
    </row>
    <row r="10406" ht="33.75" customHeight="1">
      <c r="A10406" s="7">
        <v>429.0</v>
      </c>
      <c r="B10406" s="9" t="s">
        <v>16022</v>
      </c>
      <c r="C10406" s="9" t="s">
        <v>646</v>
      </c>
      <c r="D10406" s="9" t="s">
        <v>107</v>
      </c>
      <c r="E10406" s="6" t="s">
        <v>9747</v>
      </c>
      <c r="F10406" s="9" t="s">
        <v>16691</v>
      </c>
    </row>
    <row r="10407" ht="33.75" customHeight="1">
      <c r="A10407" s="7">
        <v>429.0</v>
      </c>
      <c r="B10407" s="9" t="s">
        <v>16022</v>
      </c>
      <c r="C10407" s="9" t="s">
        <v>646</v>
      </c>
      <c r="D10407" s="9" t="s">
        <v>109</v>
      </c>
      <c r="E10407" s="6" t="s">
        <v>9750</v>
      </c>
      <c r="F10407" s="9" t="s">
        <v>16691</v>
      </c>
    </row>
    <row r="10408" ht="33.75" customHeight="1">
      <c r="A10408" s="7">
        <v>429.0</v>
      </c>
      <c r="B10408" s="9" t="s">
        <v>16022</v>
      </c>
      <c r="C10408" s="9" t="s">
        <v>646</v>
      </c>
      <c r="D10408" s="9" t="s">
        <v>637</v>
      </c>
      <c r="E10408" s="6" t="s">
        <v>9751</v>
      </c>
      <c r="F10408" s="9" t="s">
        <v>16691</v>
      </c>
    </row>
    <row r="10409" ht="33.75" customHeight="1">
      <c r="A10409" s="7">
        <v>429.0</v>
      </c>
      <c r="B10409" s="9" t="s">
        <v>16022</v>
      </c>
      <c r="C10409" s="9" t="s">
        <v>646</v>
      </c>
      <c r="D10409" s="9" t="s">
        <v>642</v>
      </c>
      <c r="E10409" s="6" t="s">
        <v>9752</v>
      </c>
      <c r="F10409" s="9" t="s">
        <v>16691</v>
      </c>
    </row>
    <row r="10410" ht="33.75" customHeight="1">
      <c r="A10410" s="7">
        <v>429.0</v>
      </c>
      <c r="B10410" s="9" t="s">
        <v>16022</v>
      </c>
      <c r="C10410" s="9" t="s">
        <v>646</v>
      </c>
      <c r="D10410" s="9" t="s">
        <v>647</v>
      </c>
      <c r="E10410" s="6" t="s">
        <v>9753</v>
      </c>
      <c r="F10410" s="9" t="s">
        <v>16691</v>
      </c>
    </row>
    <row r="10411" ht="33.75" customHeight="1">
      <c r="A10411" s="7">
        <v>429.0</v>
      </c>
      <c r="B10411" s="9" t="s">
        <v>16022</v>
      </c>
      <c r="C10411" s="9" t="s">
        <v>646</v>
      </c>
      <c r="D10411" s="9" t="s">
        <v>652</v>
      </c>
      <c r="E10411" s="6" t="s">
        <v>9754</v>
      </c>
      <c r="F10411" s="9" t="s">
        <v>16691</v>
      </c>
    </row>
    <row r="10412" ht="33.75" customHeight="1">
      <c r="A10412" s="7">
        <v>429.0</v>
      </c>
      <c r="B10412" s="9" t="s">
        <v>16022</v>
      </c>
      <c r="C10412" s="9" t="s">
        <v>646</v>
      </c>
      <c r="D10412" s="9" t="s">
        <v>1577</v>
      </c>
      <c r="E10412" s="6" t="s">
        <v>9755</v>
      </c>
      <c r="F10412" s="9" t="s">
        <v>16691</v>
      </c>
    </row>
    <row r="10413" ht="33.75" customHeight="1">
      <c r="A10413" s="7">
        <v>430.0</v>
      </c>
      <c r="B10413" s="9" t="s">
        <v>16033</v>
      </c>
      <c r="C10413" s="9" t="s">
        <v>649</v>
      </c>
      <c r="D10413" s="9" t="s">
        <v>81</v>
      </c>
      <c r="E10413" s="6" t="s">
        <v>9756</v>
      </c>
      <c r="F10413" s="9" t="s">
        <v>16707</v>
      </c>
      <c r="G10413" t="inlineStr" s="6">
        <is>
          <t xml:space="preserve">Becoming active at night, Honchkrow is known to swarm with numerous MURKROW in tow. It makes its MURKROW cronies bring it food. It idles its time away, grooming itself in its nest. If one utters a deep cry, many MURKROW gather quickly. For this, it is called “Summoner of Night. It is merciless by nature. It is said that it never forgives the mistakes of its MURKROW followers. A single cry from this nocturnal Pokémon, and more than a hundred of its Murkrow cronies will assemble. If its Murkrow cronies fail to catch food for it, or if it feels they have betrayed it, it will hunt them down wherever they are and punish them. It will absolutely not forgive failure from or betrayal by its goons. It has no choice in this if it wants to maintain the order of the flock. Its goons take care of most of the fighting for it. The only time it dirties its own hands is in delivering a final blow to finish off an opponent. One cry from this Pokémon, and a murder of Murkrow come flying. At such times, one would think the curtain of night had fallen, plunging the world into jet-black darkness.</t>
        </is>
      </c>
    </row>
    <row r="10414" ht="33.75" customHeight="1">
      <c r="A10414" s="7">
        <v>430.0</v>
      </c>
      <c r="B10414" s="9" t="s">
        <v>16033</v>
      </c>
      <c r="C10414" s="9" t="s">
        <v>649</v>
      </c>
      <c r="D10414" s="9" t="s">
        <v>84</v>
      </c>
      <c r="E10414" s="6" t="s">
        <v>9757</v>
      </c>
      <c r="F10414" s="9" t="s">
        <v>16707</v>
      </c>
    </row>
    <row r="10415" ht="33.75" customHeight="1">
      <c r="A10415" s="7">
        <v>430.0</v>
      </c>
      <c r="B10415" s="9" t="s">
        <v>16033</v>
      </c>
      <c r="C10415" s="9" t="s">
        <v>649</v>
      </c>
      <c r="D10415" s="9" t="s">
        <v>87</v>
      </c>
      <c r="E10415" s="6" t="s">
        <v>9758</v>
      </c>
      <c r="F10415" s="9" t="s">
        <v>16707</v>
      </c>
    </row>
    <row r="10416" ht="33.75" customHeight="1">
      <c r="A10416" s="7">
        <v>430.0</v>
      </c>
      <c r="B10416" s="9" t="s">
        <v>16033</v>
      </c>
      <c r="C10416" s="9" t="s">
        <v>649</v>
      </c>
      <c r="D10416" s="9" t="s">
        <v>89</v>
      </c>
      <c r="E10416" s="6" t="s">
        <v>9759</v>
      </c>
      <c r="F10416" s="9" t="s">
        <v>16707</v>
      </c>
    </row>
    <row r="10417" ht="33.75" customHeight="1">
      <c r="A10417" s="7">
        <v>430.0</v>
      </c>
      <c r="B10417" s="9" t="s">
        <v>16033</v>
      </c>
      <c r="C10417" s="9" t="s">
        <v>649</v>
      </c>
      <c r="D10417" s="9" t="s">
        <v>91</v>
      </c>
      <c r="E10417" s="6" t="s">
        <v>9759</v>
      </c>
      <c r="F10417" s="9" t="s">
        <v>16707</v>
      </c>
    </row>
    <row r="10418" ht="33.75" customHeight="1">
      <c r="A10418" s="7">
        <v>430.0</v>
      </c>
      <c r="B10418" s="9" t="s">
        <v>16033</v>
      </c>
      <c r="C10418" s="9" t="s">
        <v>649</v>
      </c>
      <c r="D10418" s="9" t="s">
        <v>93</v>
      </c>
      <c r="E10418" s="6" t="s">
        <v>9761</v>
      </c>
      <c r="F10418" s="9" t="s">
        <v>16707</v>
      </c>
    </row>
    <row r="10419" ht="33.75" customHeight="1">
      <c r="A10419" s="7">
        <v>430.0</v>
      </c>
      <c r="B10419" s="9" t="s">
        <v>16033</v>
      </c>
      <c r="C10419" s="9" t="s">
        <v>649</v>
      </c>
      <c r="D10419" s="9" t="s">
        <v>95</v>
      </c>
      <c r="E10419" s="6" t="s">
        <v>9761</v>
      </c>
      <c r="F10419" s="9" t="s">
        <v>16707</v>
      </c>
    </row>
    <row r="10420" ht="33.75" customHeight="1">
      <c r="A10420" s="7">
        <v>430.0</v>
      </c>
      <c r="B10420" s="9" t="s">
        <v>16033</v>
      </c>
      <c r="C10420" s="9" t="s">
        <v>649</v>
      </c>
      <c r="D10420" s="9" t="s">
        <v>98</v>
      </c>
      <c r="E10420" s="6" t="s">
        <v>9761</v>
      </c>
      <c r="F10420" s="9" t="s">
        <v>16707</v>
      </c>
    </row>
    <row r="10421" ht="33.75" customHeight="1">
      <c r="A10421" s="7">
        <v>430.0</v>
      </c>
      <c r="B10421" s="9" t="s">
        <v>16033</v>
      </c>
      <c r="C10421" s="9" t="s">
        <v>649</v>
      </c>
      <c r="D10421" s="9" t="s">
        <v>99</v>
      </c>
      <c r="E10421" s="6" t="s">
        <v>9761</v>
      </c>
      <c r="F10421" s="9" t="s">
        <v>16707</v>
      </c>
    </row>
    <row r="10422" ht="33.75" customHeight="1">
      <c r="A10422" s="7">
        <v>430.0</v>
      </c>
      <c r="B10422" s="9" t="s">
        <v>16033</v>
      </c>
      <c r="C10422" s="9" t="s">
        <v>649</v>
      </c>
      <c r="D10422" s="9" t="s">
        <v>101</v>
      </c>
      <c r="E10422" s="6" t="s">
        <v>9761</v>
      </c>
      <c r="F10422" s="9" t="s">
        <v>16707</v>
      </c>
    </row>
    <row r="10423" ht="33.75" customHeight="1">
      <c r="A10423" s="7">
        <v>430.0</v>
      </c>
      <c r="B10423" s="9" t="s">
        <v>16033</v>
      </c>
      <c r="C10423" s="9" t="s">
        <v>649</v>
      </c>
      <c r="D10423" s="9" t="s">
        <v>105</v>
      </c>
      <c r="E10423" s="6" t="s">
        <v>9763</v>
      </c>
      <c r="F10423" s="9" t="s">
        <v>16707</v>
      </c>
    </row>
    <row r="10424" ht="33.75" customHeight="1">
      <c r="A10424" s="7">
        <v>430.0</v>
      </c>
      <c r="B10424" s="9" t="s">
        <v>16033</v>
      </c>
      <c r="C10424" s="9" t="s">
        <v>649</v>
      </c>
      <c r="D10424" s="9" t="s">
        <v>107</v>
      </c>
      <c r="E10424" s="6" t="s">
        <v>9761</v>
      </c>
      <c r="F10424" s="9" t="s">
        <v>16707</v>
      </c>
    </row>
    <row r="10425" ht="33.75" customHeight="1">
      <c r="A10425" s="7">
        <v>430.0</v>
      </c>
      <c r="B10425" s="9" t="s">
        <v>16033</v>
      </c>
      <c r="C10425" s="9" t="s">
        <v>649</v>
      </c>
      <c r="D10425" s="9" t="s">
        <v>109</v>
      </c>
      <c r="E10425" s="6" t="s">
        <v>9763</v>
      </c>
      <c r="F10425" s="9" t="s">
        <v>16707</v>
      </c>
    </row>
    <row r="10426" ht="33.75" customHeight="1">
      <c r="A10426" s="7">
        <v>430.0</v>
      </c>
      <c r="B10426" s="9" t="s">
        <v>16033</v>
      </c>
      <c r="C10426" s="9" t="s">
        <v>649</v>
      </c>
      <c r="D10426" s="9" t="s">
        <v>637</v>
      </c>
      <c r="E10426" s="6" t="s">
        <v>9765</v>
      </c>
      <c r="F10426" s="9" t="s">
        <v>16707</v>
      </c>
    </row>
    <row r="10427" ht="33.75" customHeight="1">
      <c r="A10427" s="7">
        <v>430.0</v>
      </c>
      <c r="B10427" s="9" t="s">
        <v>16033</v>
      </c>
      <c r="C10427" s="9" t="s">
        <v>649</v>
      </c>
      <c r="D10427" s="9" t="s">
        <v>642</v>
      </c>
      <c r="E10427" s="6" t="s">
        <v>9767</v>
      </c>
      <c r="F10427" s="9" t="s">
        <v>16707</v>
      </c>
    </row>
    <row r="10428" ht="33.75" customHeight="1">
      <c r="A10428" s="7">
        <v>430.0</v>
      </c>
      <c r="B10428" s="9" t="s">
        <v>16033</v>
      </c>
      <c r="C10428" s="9" t="s">
        <v>649</v>
      </c>
      <c r="D10428" s="9" t="s">
        <v>647</v>
      </c>
      <c r="E10428" s="6" t="s">
        <v>9769</v>
      </c>
      <c r="F10428" s="9" t="s">
        <v>16707</v>
      </c>
    </row>
    <row r="10429" ht="33.75" customHeight="1">
      <c r="A10429" s="7">
        <v>430.0</v>
      </c>
      <c r="B10429" s="9" t="s">
        <v>16033</v>
      </c>
      <c r="C10429" s="9" t="s">
        <v>649</v>
      </c>
      <c r="D10429" s="9" t="s">
        <v>652</v>
      </c>
      <c r="E10429" s="6" t="s">
        <v>9771</v>
      </c>
      <c r="F10429" s="9" t="s">
        <v>16707</v>
      </c>
    </row>
    <row r="10430" ht="33.75" customHeight="1">
      <c r="A10430" s="7">
        <v>430.0</v>
      </c>
      <c r="B10430" s="9" t="s">
        <v>16033</v>
      </c>
      <c r="C10430" s="9" t="s">
        <v>649</v>
      </c>
      <c r="D10430" s="9" t="s">
        <v>1577</v>
      </c>
      <c r="E10430" s="6" t="s">
        <v>9773</v>
      </c>
      <c r="F10430" s="9" t="s">
        <v>16707</v>
      </c>
    </row>
    <row r="10431" ht="33.75" customHeight="1">
      <c r="A10431" s="7">
        <v>431.0</v>
      </c>
      <c r="B10431" s="9" t="s">
        <v>16047</v>
      </c>
      <c r="C10431" s="9" t="s">
        <v>651</v>
      </c>
      <c r="D10431" s="9" t="s">
        <v>81</v>
      </c>
      <c r="E10431" s="6" t="s">
        <v>9774</v>
      </c>
      <c r="F10431" s="9" t="s">
        <v>16719</v>
      </c>
      <c r="G10431" t="inlineStr" s="6">
        <is>
          <t xml:space="preserve">It claws if displeased and purrs when affectionate. Its fickleness is very popular among some. With its sharp glare, it puts foes in a mild hypnotic state. It is a very fickle Pokémon. It hides its spiteful tendency of hooking its claws into the nose of its Trainer if it isn’t fed. When it’s happy, GLAMEOW demonstrates beautiful movements of its tail, like a dancing ribbon. Bewitches humans with its helical tail and piercing gaze. Its hidden claws are quite sharp as well, making this Pokémon an exceedingly tricky opponent if antagonized.</t>
        </is>
      </c>
    </row>
    <row r="10432" ht="33.75" customHeight="1">
      <c r="A10432" s="7">
        <v>431.0</v>
      </c>
      <c r="B10432" s="9" t="s">
        <v>16047</v>
      </c>
      <c r="C10432" s="9" t="s">
        <v>651</v>
      </c>
      <c r="D10432" s="9" t="s">
        <v>84</v>
      </c>
      <c r="E10432" s="6" t="s">
        <v>9776</v>
      </c>
      <c r="F10432" s="9" t="s">
        <v>16719</v>
      </c>
    </row>
    <row r="10433" ht="33.75" customHeight="1">
      <c r="A10433" s="7">
        <v>431.0</v>
      </c>
      <c r="B10433" s="9" t="s">
        <v>16047</v>
      </c>
      <c r="C10433" s="9" t="s">
        <v>651</v>
      </c>
      <c r="D10433" s="9" t="s">
        <v>87</v>
      </c>
      <c r="E10433" s="6" t="s">
        <v>9777</v>
      </c>
      <c r="F10433" s="9" t="s">
        <v>16719</v>
      </c>
    </row>
    <row r="10434" ht="33.75" customHeight="1">
      <c r="A10434" s="7">
        <v>431.0</v>
      </c>
      <c r="B10434" s="9" t="s">
        <v>16047</v>
      </c>
      <c r="C10434" s="9" t="s">
        <v>651</v>
      </c>
      <c r="D10434" s="9" t="s">
        <v>89</v>
      </c>
      <c r="E10434" s="6" t="s">
        <v>9778</v>
      </c>
      <c r="F10434" s="9" t="s">
        <v>16719</v>
      </c>
    </row>
    <row r="10435" ht="33.75" customHeight="1">
      <c r="A10435" s="7">
        <v>431.0</v>
      </c>
      <c r="B10435" s="9" t="s">
        <v>16047</v>
      </c>
      <c r="C10435" s="9" t="s">
        <v>651</v>
      </c>
      <c r="D10435" s="9" t="s">
        <v>91</v>
      </c>
      <c r="E10435" s="6" t="s">
        <v>9778</v>
      </c>
      <c r="F10435" s="9" t="s">
        <v>16719</v>
      </c>
    </row>
    <row r="10436" ht="33.75" customHeight="1">
      <c r="A10436" s="7">
        <v>431.0</v>
      </c>
      <c r="B10436" s="9" t="s">
        <v>16047</v>
      </c>
      <c r="C10436" s="9" t="s">
        <v>651</v>
      </c>
      <c r="D10436" s="9" t="s">
        <v>93</v>
      </c>
      <c r="E10436" s="6" t="s">
        <v>9777</v>
      </c>
      <c r="F10436" s="9" t="s">
        <v>16719</v>
      </c>
    </row>
    <row r="10437" ht="33.75" customHeight="1">
      <c r="A10437" s="7">
        <v>431.0</v>
      </c>
      <c r="B10437" s="9" t="s">
        <v>16047</v>
      </c>
      <c r="C10437" s="9" t="s">
        <v>651</v>
      </c>
      <c r="D10437" s="9" t="s">
        <v>95</v>
      </c>
      <c r="E10437" s="6" t="s">
        <v>9777</v>
      </c>
      <c r="F10437" s="9" t="s">
        <v>16719</v>
      </c>
    </row>
    <row r="10438" ht="33.75" customHeight="1">
      <c r="A10438" s="7">
        <v>431.0</v>
      </c>
      <c r="B10438" s="9" t="s">
        <v>16047</v>
      </c>
      <c r="C10438" s="9" t="s">
        <v>651</v>
      </c>
      <c r="D10438" s="9" t="s">
        <v>98</v>
      </c>
      <c r="E10438" s="6" t="s">
        <v>9777</v>
      </c>
      <c r="F10438" s="9" t="s">
        <v>16719</v>
      </c>
    </row>
    <row r="10439" ht="33.75" customHeight="1">
      <c r="A10439" s="7">
        <v>431.0</v>
      </c>
      <c r="B10439" s="9" t="s">
        <v>16047</v>
      </c>
      <c r="C10439" s="9" t="s">
        <v>651</v>
      </c>
      <c r="D10439" s="9" t="s">
        <v>99</v>
      </c>
      <c r="E10439" s="6" t="s">
        <v>9777</v>
      </c>
      <c r="F10439" s="9" t="s">
        <v>16719</v>
      </c>
    </row>
    <row r="10440" ht="33.75" customHeight="1">
      <c r="A10440" s="7">
        <v>431.0</v>
      </c>
      <c r="B10440" s="9" t="s">
        <v>16047</v>
      </c>
      <c r="C10440" s="9" t="s">
        <v>651</v>
      </c>
      <c r="D10440" s="9" t="s">
        <v>101</v>
      </c>
      <c r="E10440" s="6" t="s">
        <v>9774</v>
      </c>
      <c r="F10440" s="9" t="s">
        <v>16719</v>
      </c>
    </row>
    <row r="10441" ht="33.75" customHeight="1">
      <c r="A10441" s="7">
        <v>431.0</v>
      </c>
      <c r="B10441" s="9" t="s">
        <v>16047</v>
      </c>
      <c r="C10441" s="9" t="s">
        <v>651</v>
      </c>
      <c r="D10441" s="9" t="s">
        <v>105</v>
      </c>
      <c r="E10441" s="6" t="s">
        <v>9779</v>
      </c>
      <c r="F10441" s="9" t="s">
        <v>16719</v>
      </c>
    </row>
    <row r="10442" ht="33.75" customHeight="1">
      <c r="A10442" s="7">
        <v>431.0</v>
      </c>
      <c r="B10442" s="9" t="s">
        <v>16047</v>
      </c>
      <c r="C10442" s="9" t="s">
        <v>651</v>
      </c>
      <c r="D10442" s="9" t="s">
        <v>107</v>
      </c>
      <c r="E10442" s="6" t="s">
        <v>9774</v>
      </c>
      <c r="F10442" s="9" t="s">
        <v>16719</v>
      </c>
    </row>
    <row r="10443" ht="33.75" customHeight="1">
      <c r="A10443" s="7">
        <v>431.0</v>
      </c>
      <c r="B10443" s="9" t="s">
        <v>16047</v>
      </c>
      <c r="C10443" s="9" t="s">
        <v>651</v>
      </c>
      <c r="D10443" s="9" t="s">
        <v>109</v>
      </c>
      <c r="E10443" s="6" t="s">
        <v>9779</v>
      </c>
      <c r="F10443" s="9" t="s">
        <v>16719</v>
      </c>
    </row>
    <row r="10444" ht="33.75" customHeight="1">
      <c r="A10444" s="7">
        <v>431.0</v>
      </c>
      <c r="B10444" s="9" t="s">
        <v>16047</v>
      </c>
      <c r="C10444" s="9" t="s">
        <v>651</v>
      </c>
      <c r="D10444" s="9" t="s">
        <v>1577</v>
      </c>
      <c r="E10444" s="6" t="s">
        <v>9780</v>
      </c>
      <c r="F10444" s="9" t="s">
        <v>16719</v>
      </c>
    </row>
    <row r="10445" ht="33.75" customHeight="1">
      <c r="A10445" s="7">
        <v>432.0</v>
      </c>
      <c r="B10445" s="9" t="s">
        <v>16056</v>
      </c>
      <c r="C10445" s="9" t="s">
        <v>654</v>
      </c>
      <c r="D10445" s="9" t="s">
        <v>81</v>
      </c>
      <c r="E10445" s="6" t="s">
        <v>9781</v>
      </c>
      <c r="F10445" s="9" t="s">
        <v>16731</v>
      </c>
      <c r="G10445" t="inlineStr" s="6">
        <is>
          <t xml:space="preserve">It is a brazen brute that barges Purugly's way into another Pokémon’s nest and claims it as its own. To make itself appear intimidatingly beefy, it tightly cinches its waist with its twin tails. It binds its body with its tails to make itself look bigger. If it locks eyes, it will glare ceaselessly. It would claim another Pokémon’s nest as its own if it finds a nest sufficiently comfortable. Though impudent and difficult to tame, Purugly enjoys great popularity due to its fur, the beauty of which surpasses even velveteen.</t>
        </is>
      </c>
    </row>
    <row r="10446" ht="33.75" customHeight="1">
      <c r="A10446" s="7">
        <v>432.0</v>
      </c>
      <c r="B10446" s="9" t="s">
        <v>16056</v>
      </c>
      <c r="C10446" s="9" t="s">
        <v>654</v>
      </c>
      <c r="D10446" s="9" t="s">
        <v>84</v>
      </c>
      <c r="E10446" s="6" t="s">
        <v>9782</v>
      </c>
      <c r="F10446" s="9" t="s">
        <v>16731</v>
      </c>
    </row>
    <row r="10447" ht="33.75" customHeight="1">
      <c r="A10447" s="7">
        <v>432.0</v>
      </c>
      <c r="B10447" s="9" t="s">
        <v>16056</v>
      </c>
      <c r="C10447" s="9" t="s">
        <v>654</v>
      </c>
      <c r="D10447" s="9" t="s">
        <v>87</v>
      </c>
      <c r="E10447" s="6" t="s">
        <v>9783</v>
      </c>
      <c r="F10447" s="9" t="s">
        <v>16731</v>
      </c>
    </row>
    <row r="10448" ht="33.75" customHeight="1">
      <c r="A10448" s="7">
        <v>432.0</v>
      </c>
      <c r="B10448" s="9" t="s">
        <v>16056</v>
      </c>
      <c r="C10448" s="9" t="s">
        <v>654</v>
      </c>
      <c r="D10448" s="9" t="s">
        <v>89</v>
      </c>
      <c r="E10448" s="6" t="s">
        <v>9784</v>
      </c>
      <c r="F10448" s="9" t="s">
        <v>16731</v>
      </c>
    </row>
    <row r="10449" ht="33.75" customHeight="1">
      <c r="A10449" s="7">
        <v>432.0</v>
      </c>
      <c r="B10449" s="9" t="s">
        <v>16056</v>
      </c>
      <c r="C10449" s="9" t="s">
        <v>654</v>
      </c>
      <c r="D10449" s="9" t="s">
        <v>91</v>
      </c>
      <c r="E10449" s="6" t="s">
        <v>9784</v>
      </c>
      <c r="F10449" s="9" t="s">
        <v>16731</v>
      </c>
    </row>
    <row r="10450" ht="33.75" customHeight="1">
      <c r="A10450" s="7">
        <v>432.0</v>
      </c>
      <c r="B10450" s="9" t="s">
        <v>16056</v>
      </c>
      <c r="C10450" s="9" t="s">
        <v>654</v>
      </c>
      <c r="D10450" s="9" t="s">
        <v>93</v>
      </c>
      <c r="E10450" s="6" t="s">
        <v>9783</v>
      </c>
      <c r="F10450" s="9" t="s">
        <v>16731</v>
      </c>
    </row>
    <row r="10451" ht="33.75" customHeight="1">
      <c r="A10451" s="7">
        <v>432.0</v>
      </c>
      <c r="B10451" s="9" t="s">
        <v>16056</v>
      </c>
      <c r="C10451" s="9" t="s">
        <v>654</v>
      </c>
      <c r="D10451" s="9" t="s">
        <v>95</v>
      </c>
      <c r="E10451" s="6" t="s">
        <v>9783</v>
      </c>
      <c r="F10451" s="9" t="s">
        <v>16731</v>
      </c>
    </row>
    <row r="10452" ht="33.75" customHeight="1">
      <c r="A10452" s="7">
        <v>432.0</v>
      </c>
      <c r="B10452" s="9" t="s">
        <v>16056</v>
      </c>
      <c r="C10452" s="9" t="s">
        <v>654</v>
      </c>
      <c r="D10452" s="9" t="s">
        <v>98</v>
      </c>
      <c r="E10452" s="6" t="s">
        <v>9783</v>
      </c>
      <c r="F10452" s="9" t="s">
        <v>16731</v>
      </c>
    </row>
    <row r="10453" ht="33.75" customHeight="1">
      <c r="A10453" s="7">
        <v>432.0</v>
      </c>
      <c r="B10453" s="9" t="s">
        <v>16056</v>
      </c>
      <c r="C10453" s="9" t="s">
        <v>654</v>
      </c>
      <c r="D10453" s="9" t="s">
        <v>99</v>
      </c>
      <c r="E10453" s="6" t="s">
        <v>9783</v>
      </c>
      <c r="F10453" s="9" t="s">
        <v>16731</v>
      </c>
    </row>
    <row r="10454" ht="33.75" customHeight="1">
      <c r="A10454" s="7">
        <v>432.0</v>
      </c>
      <c r="B10454" s="9" t="s">
        <v>16056</v>
      </c>
      <c r="C10454" s="9" t="s">
        <v>654</v>
      </c>
      <c r="D10454" s="9" t="s">
        <v>101</v>
      </c>
      <c r="E10454" s="6" t="s">
        <v>9784</v>
      </c>
      <c r="F10454" s="9" t="s">
        <v>16731</v>
      </c>
    </row>
    <row r="10455" ht="33.75" customHeight="1">
      <c r="A10455" s="7">
        <v>432.0</v>
      </c>
      <c r="B10455" s="9" t="s">
        <v>16056</v>
      </c>
      <c r="C10455" s="9" t="s">
        <v>654</v>
      </c>
      <c r="D10455" s="9" t="s">
        <v>105</v>
      </c>
      <c r="E10455" s="6" t="s">
        <v>9782</v>
      </c>
      <c r="F10455" s="9" t="s">
        <v>16731</v>
      </c>
    </row>
    <row r="10456" ht="33.75" customHeight="1">
      <c r="A10456" s="7">
        <v>432.0</v>
      </c>
      <c r="B10456" s="9" t="s">
        <v>16056</v>
      </c>
      <c r="C10456" s="9" t="s">
        <v>654</v>
      </c>
      <c r="D10456" s="9" t="s">
        <v>107</v>
      </c>
      <c r="E10456" s="6" t="s">
        <v>9784</v>
      </c>
      <c r="F10456" s="9" t="s">
        <v>16731</v>
      </c>
    </row>
    <row r="10457" ht="33.75" customHeight="1">
      <c r="A10457" s="7">
        <v>432.0</v>
      </c>
      <c r="B10457" s="9" t="s">
        <v>16056</v>
      </c>
      <c r="C10457" s="9" t="s">
        <v>654</v>
      </c>
      <c r="D10457" s="9" t="s">
        <v>109</v>
      </c>
      <c r="E10457" s="6" t="s">
        <v>9782</v>
      </c>
      <c r="F10457" s="9" t="s">
        <v>16731</v>
      </c>
    </row>
    <row r="10458" ht="33.75" customHeight="1">
      <c r="A10458" s="7">
        <v>432.0</v>
      </c>
      <c r="B10458" s="9" t="s">
        <v>16056</v>
      </c>
      <c r="C10458" s="9" t="s">
        <v>654</v>
      </c>
      <c r="D10458" s="9" t="s">
        <v>1577</v>
      </c>
      <c r="E10458" s="6" t="s">
        <v>9785</v>
      </c>
      <c r="F10458" s="9" t="s">
        <v>16731</v>
      </c>
    </row>
    <row r="10459" ht="33.75" customHeight="1">
      <c r="A10459" s="7">
        <v>433.0</v>
      </c>
      <c r="B10459" s="9" t="s">
        <v>16064</v>
      </c>
      <c r="C10459" s="9" t="s">
        <v>656</v>
      </c>
      <c r="D10459" s="9" t="s">
        <v>81</v>
      </c>
      <c r="E10459" s="6" t="s">
        <v>9786</v>
      </c>
      <c r="F10459" s="9" t="s">
        <v>16740</v>
      </c>
      <c r="G10459" t="inlineStr" s="6">
        <is>
          <t xml:space="preserve">It emits cries by agitating an orb at the back of Chingling's throat. It moves with flouncing hops. Each time it hops, it makes a ringing sound. It deafens foes by emitting high-frequency cries. There is an orb inside its mouth. When it hops, the orb bounces all over and makes a ringing sound. It emits high-frequency cries that people can’t hear. Once it starts, it can cry for an awfully long time. This Pokémon gave me an excruciating headache when it seemingly cried out without making a sound. Perhaps there are some sounds that the human ear is simply incapable of hearing.</t>
        </is>
      </c>
    </row>
    <row r="10460" ht="33.75" customHeight="1">
      <c r="A10460" s="7">
        <v>433.0</v>
      </c>
      <c r="B10460" s="9" t="s">
        <v>16064</v>
      </c>
      <c r="C10460" s="9" t="s">
        <v>656</v>
      </c>
      <c r="D10460" s="9" t="s">
        <v>84</v>
      </c>
      <c r="E10460" s="6" t="s">
        <v>9787</v>
      </c>
      <c r="F10460" s="9" t="s">
        <v>16740</v>
      </c>
    </row>
    <row r="10461" ht="33.75" customHeight="1">
      <c r="A10461" s="7">
        <v>433.0</v>
      </c>
      <c r="B10461" s="9" t="s">
        <v>16064</v>
      </c>
      <c r="C10461" s="9" t="s">
        <v>656</v>
      </c>
      <c r="D10461" s="9" t="s">
        <v>87</v>
      </c>
      <c r="E10461" s="6" t="s">
        <v>9788</v>
      </c>
      <c r="F10461" s="9" t="s">
        <v>16740</v>
      </c>
    </row>
    <row r="10462" ht="33.75" customHeight="1">
      <c r="A10462" s="7">
        <v>433.0</v>
      </c>
      <c r="B10462" s="9" t="s">
        <v>16064</v>
      </c>
      <c r="C10462" s="9" t="s">
        <v>656</v>
      </c>
      <c r="D10462" s="9" t="s">
        <v>89</v>
      </c>
      <c r="E10462" s="6" t="s">
        <v>9789</v>
      </c>
      <c r="F10462" s="9" t="s">
        <v>16740</v>
      </c>
    </row>
    <row r="10463" ht="33.75" customHeight="1">
      <c r="A10463" s="7">
        <v>433.0</v>
      </c>
      <c r="B10463" s="9" t="s">
        <v>16064</v>
      </c>
      <c r="C10463" s="9" t="s">
        <v>656</v>
      </c>
      <c r="D10463" s="9" t="s">
        <v>91</v>
      </c>
      <c r="E10463" s="6" t="s">
        <v>9789</v>
      </c>
      <c r="F10463" s="9" t="s">
        <v>16740</v>
      </c>
    </row>
    <row r="10464" ht="33.75" customHeight="1">
      <c r="A10464" s="7">
        <v>433.0</v>
      </c>
      <c r="B10464" s="9" t="s">
        <v>16064</v>
      </c>
      <c r="C10464" s="9" t="s">
        <v>656</v>
      </c>
      <c r="D10464" s="9" t="s">
        <v>93</v>
      </c>
      <c r="E10464" s="6" t="s">
        <v>9788</v>
      </c>
      <c r="F10464" s="9" t="s">
        <v>16740</v>
      </c>
    </row>
    <row r="10465" ht="33.75" customHeight="1">
      <c r="A10465" s="7">
        <v>433.0</v>
      </c>
      <c r="B10465" s="9" t="s">
        <v>16064</v>
      </c>
      <c r="C10465" s="9" t="s">
        <v>656</v>
      </c>
      <c r="D10465" s="9" t="s">
        <v>95</v>
      </c>
      <c r="E10465" s="6" t="s">
        <v>9788</v>
      </c>
      <c r="F10465" s="9" t="s">
        <v>16740</v>
      </c>
    </row>
    <row r="10466" ht="33.75" customHeight="1">
      <c r="A10466" s="7">
        <v>433.0</v>
      </c>
      <c r="B10466" s="9" t="s">
        <v>16064</v>
      </c>
      <c r="C10466" s="9" t="s">
        <v>656</v>
      </c>
      <c r="D10466" s="9" t="s">
        <v>98</v>
      </c>
      <c r="E10466" s="6" t="s">
        <v>9788</v>
      </c>
      <c r="F10466" s="9" t="s">
        <v>16740</v>
      </c>
    </row>
    <row r="10467" ht="33.75" customHeight="1">
      <c r="A10467" s="7">
        <v>433.0</v>
      </c>
      <c r="B10467" s="9" t="s">
        <v>16064</v>
      </c>
      <c r="C10467" s="9" t="s">
        <v>656</v>
      </c>
      <c r="D10467" s="9" t="s">
        <v>99</v>
      </c>
      <c r="E10467" s="6" t="s">
        <v>9788</v>
      </c>
      <c r="F10467" s="9" t="s">
        <v>16740</v>
      </c>
    </row>
    <row r="10468" ht="33.75" customHeight="1">
      <c r="A10468" s="7">
        <v>433.0</v>
      </c>
      <c r="B10468" s="9" t="s">
        <v>16064</v>
      </c>
      <c r="C10468" s="9" t="s">
        <v>656</v>
      </c>
      <c r="D10468" s="9" t="s">
        <v>101</v>
      </c>
      <c r="E10468" s="6" t="s">
        <v>9787</v>
      </c>
      <c r="F10468" s="9" t="s">
        <v>16740</v>
      </c>
    </row>
    <row r="10469" ht="33.75" customHeight="1">
      <c r="A10469" s="7">
        <v>433.0</v>
      </c>
      <c r="B10469" s="9" t="s">
        <v>16064</v>
      </c>
      <c r="C10469" s="9" t="s">
        <v>656</v>
      </c>
      <c r="D10469" s="9" t="s">
        <v>105</v>
      </c>
      <c r="E10469" s="6" t="s">
        <v>9788</v>
      </c>
      <c r="F10469" s="9" t="s">
        <v>16740</v>
      </c>
    </row>
    <row r="10470" ht="33.75" customHeight="1">
      <c r="A10470" s="7">
        <v>433.0</v>
      </c>
      <c r="B10470" s="9" t="s">
        <v>16064</v>
      </c>
      <c r="C10470" s="9" t="s">
        <v>656</v>
      </c>
      <c r="D10470" s="9" t="s">
        <v>107</v>
      </c>
      <c r="E10470" s="6" t="s">
        <v>9787</v>
      </c>
      <c r="F10470" s="9" t="s">
        <v>16740</v>
      </c>
    </row>
    <row r="10471" ht="33.75" customHeight="1">
      <c r="A10471" s="7">
        <v>433.0</v>
      </c>
      <c r="B10471" s="9" t="s">
        <v>16064</v>
      </c>
      <c r="C10471" s="9" t="s">
        <v>656</v>
      </c>
      <c r="D10471" s="9" t="s">
        <v>109</v>
      </c>
      <c r="E10471" s="6" t="s">
        <v>9788</v>
      </c>
      <c r="F10471" s="9" t="s">
        <v>16740</v>
      </c>
    </row>
    <row r="10472" ht="33.75" customHeight="1">
      <c r="A10472" s="7">
        <v>433.0</v>
      </c>
      <c r="B10472" s="9" t="s">
        <v>16064</v>
      </c>
      <c r="C10472" s="9" t="s">
        <v>656</v>
      </c>
      <c r="D10472" s="9" t="s">
        <v>1577</v>
      </c>
      <c r="E10472" s="6" t="s">
        <v>9791</v>
      </c>
      <c r="F10472" s="9" t="s">
        <v>16740</v>
      </c>
    </row>
    <row r="10473" ht="33.75" customHeight="1">
      <c r="A10473" s="7">
        <v>434.0</v>
      </c>
      <c r="B10473" s="9" t="s">
        <v>16071</v>
      </c>
      <c r="C10473" s="9" t="s">
        <v>657</v>
      </c>
      <c r="D10473" s="9" t="s">
        <v>81</v>
      </c>
      <c r="E10473" s="6" t="s">
        <v>9792</v>
      </c>
      <c r="F10473" s="9" t="s">
        <v>16749</v>
      </c>
      <c r="G10473" t="inlineStr" s="6">
        <is>
          <t xml:space="preserve">It protects itself by spraying a noxious fluid from Stunky's rear. The stench lingers for 24 hours. It sprays a nose-curling, stinky fluid from its rear to repel attackers. It sprays a foul fluid from its rear. Its stench spreads over a mile radius, driving Pokémon away. The foul fluid from its rear is so revolting that it can make people feel queasy up to a mile and a quarter away. From its rear, it sprays a foul-smelling liquid at opponents. It aims for their faces, and it can hit them from over 16 feet away. If it lifts its tail and points its rear at you, beware. It’s about to spray you with a fluid stinky enough to make you faint. The poison that gushes from its aft end is accompanied by an utterly evil-smelling odor with such potency that one whiff can induce memory loss.</t>
        </is>
      </c>
    </row>
    <row r="10474" ht="33.75" customHeight="1">
      <c r="A10474" s="7">
        <v>434.0</v>
      </c>
      <c r="B10474" s="9" t="s">
        <v>16071</v>
      </c>
      <c r="C10474" s="9" t="s">
        <v>657</v>
      </c>
      <c r="D10474" s="9" t="s">
        <v>84</v>
      </c>
      <c r="E10474" s="6" t="s">
        <v>9796</v>
      </c>
      <c r="F10474" s="9" t="s">
        <v>16749</v>
      </c>
    </row>
    <row r="10475" ht="33.75" customHeight="1">
      <c r="A10475" s="7">
        <v>434.0</v>
      </c>
      <c r="B10475" s="9" t="s">
        <v>16071</v>
      </c>
      <c r="C10475" s="9" t="s">
        <v>657</v>
      </c>
      <c r="D10475" s="9" t="s">
        <v>87</v>
      </c>
      <c r="E10475" s="6" t="s">
        <v>9798</v>
      </c>
      <c r="F10475" s="9" t="s">
        <v>16749</v>
      </c>
    </row>
    <row r="10476" ht="33.75" customHeight="1">
      <c r="A10476" s="7">
        <v>434.0</v>
      </c>
      <c r="B10476" s="9" t="s">
        <v>16071</v>
      </c>
      <c r="C10476" s="9" t="s">
        <v>657</v>
      </c>
      <c r="D10476" s="9" t="s">
        <v>89</v>
      </c>
      <c r="E10476" s="6" t="s">
        <v>9800</v>
      </c>
      <c r="F10476" s="9" t="s">
        <v>16749</v>
      </c>
    </row>
    <row r="10477" ht="33.75" customHeight="1">
      <c r="A10477" s="7">
        <v>434.0</v>
      </c>
      <c r="B10477" s="9" t="s">
        <v>16071</v>
      </c>
      <c r="C10477" s="9" t="s">
        <v>657</v>
      </c>
      <c r="D10477" s="9" t="s">
        <v>91</v>
      </c>
      <c r="E10477" s="6" t="s">
        <v>9800</v>
      </c>
      <c r="F10477" s="9" t="s">
        <v>16749</v>
      </c>
    </row>
    <row r="10478" ht="33.75" customHeight="1">
      <c r="A10478" s="7">
        <v>434.0</v>
      </c>
      <c r="B10478" s="9" t="s">
        <v>16071</v>
      </c>
      <c r="C10478" s="9" t="s">
        <v>657</v>
      </c>
      <c r="D10478" s="9" t="s">
        <v>93</v>
      </c>
      <c r="E10478" s="6" t="s">
        <v>9798</v>
      </c>
      <c r="F10478" s="9" t="s">
        <v>16749</v>
      </c>
    </row>
    <row r="10479" ht="33.75" customHeight="1">
      <c r="A10479" s="7">
        <v>434.0</v>
      </c>
      <c r="B10479" s="9" t="s">
        <v>16071</v>
      </c>
      <c r="C10479" s="9" t="s">
        <v>657</v>
      </c>
      <c r="D10479" s="9" t="s">
        <v>95</v>
      </c>
      <c r="E10479" s="6" t="s">
        <v>9798</v>
      </c>
      <c r="F10479" s="9" t="s">
        <v>16749</v>
      </c>
    </row>
    <row r="10480" ht="33.75" customHeight="1">
      <c r="A10480" s="7">
        <v>434.0</v>
      </c>
      <c r="B10480" s="9" t="s">
        <v>16071</v>
      </c>
      <c r="C10480" s="9" t="s">
        <v>657</v>
      </c>
      <c r="D10480" s="9" t="s">
        <v>98</v>
      </c>
      <c r="E10480" s="6" t="s">
        <v>9798</v>
      </c>
      <c r="F10480" s="9" t="s">
        <v>16749</v>
      </c>
    </row>
    <row r="10481" ht="33.75" customHeight="1">
      <c r="A10481" s="7">
        <v>434.0</v>
      </c>
      <c r="B10481" s="9" t="s">
        <v>16071</v>
      </c>
      <c r="C10481" s="9" t="s">
        <v>657</v>
      </c>
      <c r="D10481" s="9" t="s">
        <v>99</v>
      </c>
      <c r="E10481" s="6" t="s">
        <v>9798</v>
      </c>
      <c r="F10481" s="9" t="s">
        <v>16749</v>
      </c>
    </row>
    <row r="10482" ht="33.75" customHeight="1">
      <c r="A10482" s="7">
        <v>434.0</v>
      </c>
      <c r="B10482" s="9" t="s">
        <v>16071</v>
      </c>
      <c r="C10482" s="9" t="s">
        <v>657</v>
      </c>
      <c r="D10482" s="9" t="s">
        <v>101</v>
      </c>
      <c r="E10482" s="6" t="s">
        <v>9798</v>
      </c>
      <c r="F10482" s="9" t="s">
        <v>16749</v>
      </c>
    </row>
    <row r="10483" ht="33.75" customHeight="1">
      <c r="A10483" s="7">
        <v>434.0</v>
      </c>
      <c r="B10483" s="9" t="s">
        <v>16071</v>
      </c>
      <c r="C10483" s="9" t="s">
        <v>657</v>
      </c>
      <c r="D10483" s="9" t="s">
        <v>105</v>
      </c>
      <c r="E10483" s="6" t="s">
        <v>9792</v>
      </c>
      <c r="F10483" s="9" t="s">
        <v>16749</v>
      </c>
    </row>
    <row r="10484" ht="33.75" customHeight="1">
      <c r="A10484" s="7">
        <v>434.0</v>
      </c>
      <c r="B10484" s="9" t="s">
        <v>16071</v>
      </c>
      <c r="C10484" s="9" t="s">
        <v>657</v>
      </c>
      <c r="D10484" s="9" t="s">
        <v>107</v>
      </c>
      <c r="E10484" s="6" t="s">
        <v>9798</v>
      </c>
      <c r="F10484" s="9" t="s">
        <v>16749</v>
      </c>
    </row>
    <row r="10485" ht="33.75" customHeight="1">
      <c r="A10485" s="7">
        <v>434.0</v>
      </c>
      <c r="B10485" s="9" t="s">
        <v>16071</v>
      </c>
      <c r="C10485" s="9" t="s">
        <v>657</v>
      </c>
      <c r="D10485" s="9" t="s">
        <v>109</v>
      </c>
      <c r="E10485" s="6" t="s">
        <v>9792</v>
      </c>
      <c r="F10485" s="9" t="s">
        <v>16749</v>
      </c>
    </row>
    <row r="10486" ht="33.75" customHeight="1">
      <c r="A10486" s="7">
        <v>434.0</v>
      </c>
      <c r="B10486" s="9" t="s">
        <v>16071</v>
      </c>
      <c r="C10486" s="9" t="s">
        <v>657</v>
      </c>
      <c r="D10486" s="9" t="s">
        <v>114</v>
      </c>
      <c r="E10486" s="6" t="s">
        <v>9802</v>
      </c>
      <c r="F10486" s="9" t="s">
        <v>16749</v>
      </c>
    </row>
    <row r="10487" ht="33.75" customHeight="1">
      <c r="A10487" s="7">
        <v>434.0</v>
      </c>
      <c r="B10487" s="9" t="s">
        <v>16071</v>
      </c>
      <c r="C10487" s="9" t="s">
        <v>657</v>
      </c>
      <c r="D10487" s="9" t="s">
        <v>117</v>
      </c>
      <c r="E10487" s="6" t="s">
        <v>9803</v>
      </c>
      <c r="F10487" s="9" t="s">
        <v>16749</v>
      </c>
    </row>
    <row r="10488" ht="33.75" customHeight="1">
      <c r="A10488" s="7">
        <v>434.0</v>
      </c>
      <c r="B10488" s="9" t="s">
        <v>16071</v>
      </c>
      <c r="C10488" s="9" t="s">
        <v>657</v>
      </c>
      <c r="D10488" s="9" t="s">
        <v>1577</v>
      </c>
      <c r="E10488" s="6" t="s">
        <v>9805</v>
      </c>
      <c r="F10488" s="9" t="s">
        <v>16749</v>
      </c>
    </row>
    <row r="10489" ht="33.75" customHeight="1">
      <c r="A10489" s="7">
        <v>435.0</v>
      </c>
      <c r="B10489" s="9" t="s">
        <v>16081</v>
      </c>
      <c r="C10489" s="9" t="s">
        <v>657</v>
      </c>
      <c r="D10489" s="9" t="s">
        <v>81</v>
      </c>
      <c r="E10489" s="6" t="s">
        <v>9808</v>
      </c>
      <c r="F10489" s="9" t="s">
        <v>16755</v>
      </c>
      <c r="G10489" t="inlineStr" s="6">
        <is>
          <t xml:space="preserve">It sprays a vile-smelling fluid from the tip of Skuntank's tail to attack. Its range is over 160 feet. It sprays a stinky fluid from its tail. The fluid smells worse the longer it is allowed to fester. It attacks by spraying a horribly smelly fluid from the tip of its tail. Attacks from above confound it. It attacks by spraying a repugnant fluid from its tail, but the stench dulls after a few squirts. In its belly, it reserves stinky fluid that it shoots from its tail during battle. As this Pokémon’s diet varies, so does the stench of its fluid. It digs holes in the ground to make its nest. The stench of the fluid it lets fly from the tip of its tail is extremely potent. Sprays a poisonous fluid to take down prey. Sometimes, unable to stomach the stench of its own fluid, it leaves the bested prey uneaten.</t>
        </is>
      </c>
    </row>
    <row r="10490" ht="33.75" customHeight="1">
      <c r="A10490" s="7">
        <v>435.0</v>
      </c>
      <c r="B10490" s="9" t="s">
        <v>16081</v>
      </c>
      <c r="C10490" s="9" t="s">
        <v>657</v>
      </c>
      <c r="D10490" s="9" t="s">
        <v>84</v>
      </c>
      <c r="E10490" s="6" t="s">
        <v>9809</v>
      </c>
      <c r="F10490" s="9" t="s">
        <v>16755</v>
      </c>
    </row>
    <row r="10491" ht="33.75" customHeight="1">
      <c r="A10491" s="7">
        <v>435.0</v>
      </c>
      <c r="B10491" s="9" t="s">
        <v>16081</v>
      </c>
      <c r="C10491" s="9" t="s">
        <v>657</v>
      </c>
      <c r="D10491" s="9" t="s">
        <v>87</v>
      </c>
      <c r="E10491" s="6" t="s">
        <v>9810</v>
      </c>
      <c r="F10491" s="9" t="s">
        <v>16755</v>
      </c>
    </row>
    <row r="10492" ht="33.75" customHeight="1">
      <c r="A10492" s="7">
        <v>435.0</v>
      </c>
      <c r="B10492" s="9" t="s">
        <v>16081</v>
      </c>
      <c r="C10492" s="9" t="s">
        <v>657</v>
      </c>
      <c r="D10492" s="9" t="s">
        <v>89</v>
      </c>
      <c r="E10492" s="6" t="s">
        <v>9812</v>
      </c>
      <c r="F10492" s="9" t="s">
        <v>16755</v>
      </c>
    </row>
    <row r="10493" ht="33.75" customHeight="1">
      <c r="A10493" s="7">
        <v>435.0</v>
      </c>
      <c r="B10493" s="9" t="s">
        <v>16081</v>
      </c>
      <c r="C10493" s="9" t="s">
        <v>657</v>
      </c>
      <c r="D10493" s="9" t="s">
        <v>91</v>
      </c>
      <c r="E10493" s="6" t="s">
        <v>9812</v>
      </c>
      <c r="F10493" s="9" t="s">
        <v>16755</v>
      </c>
    </row>
    <row r="10494" ht="33.75" customHeight="1">
      <c r="A10494" s="7">
        <v>435.0</v>
      </c>
      <c r="B10494" s="9" t="s">
        <v>16081</v>
      </c>
      <c r="C10494" s="9" t="s">
        <v>657</v>
      </c>
      <c r="D10494" s="9" t="s">
        <v>93</v>
      </c>
      <c r="E10494" s="6" t="s">
        <v>9810</v>
      </c>
      <c r="F10494" s="9" t="s">
        <v>16755</v>
      </c>
    </row>
    <row r="10495" ht="33.75" customHeight="1">
      <c r="A10495" s="7">
        <v>435.0</v>
      </c>
      <c r="B10495" s="9" t="s">
        <v>16081</v>
      </c>
      <c r="C10495" s="9" t="s">
        <v>657</v>
      </c>
      <c r="D10495" s="9" t="s">
        <v>95</v>
      </c>
      <c r="E10495" s="6" t="s">
        <v>9810</v>
      </c>
      <c r="F10495" s="9" t="s">
        <v>16755</v>
      </c>
    </row>
    <row r="10496" ht="33.75" customHeight="1">
      <c r="A10496" s="7">
        <v>435.0</v>
      </c>
      <c r="B10496" s="9" t="s">
        <v>16081</v>
      </c>
      <c r="C10496" s="9" t="s">
        <v>657</v>
      </c>
      <c r="D10496" s="9" t="s">
        <v>98</v>
      </c>
      <c r="E10496" s="6" t="s">
        <v>9810</v>
      </c>
      <c r="F10496" s="9" t="s">
        <v>16755</v>
      </c>
    </row>
    <row r="10497" ht="33.75" customHeight="1">
      <c r="A10497" s="7">
        <v>435.0</v>
      </c>
      <c r="B10497" s="9" t="s">
        <v>16081</v>
      </c>
      <c r="C10497" s="9" t="s">
        <v>657</v>
      </c>
      <c r="D10497" s="9" t="s">
        <v>99</v>
      </c>
      <c r="E10497" s="6" t="s">
        <v>9810</v>
      </c>
      <c r="F10497" s="9" t="s">
        <v>16755</v>
      </c>
    </row>
    <row r="10498" ht="33.75" customHeight="1">
      <c r="A10498" s="7">
        <v>435.0</v>
      </c>
      <c r="B10498" s="9" t="s">
        <v>16081</v>
      </c>
      <c r="C10498" s="9" t="s">
        <v>657</v>
      </c>
      <c r="D10498" s="9" t="s">
        <v>101</v>
      </c>
      <c r="E10498" s="6" t="s">
        <v>9808</v>
      </c>
      <c r="F10498" s="9" t="s">
        <v>16755</v>
      </c>
    </row>
    <row r="10499" ht="33.75" customHeight="1">
      <c r="A10499" s="7">
        <v>435.0</v>
      </c>
      <c r="B10499" s="9" t="s">
        <v>16081</v>
      </c>
      <c r="C10499" s="9" t="s">
        <v>657</v>
      </c>
      <c r="D10499" s="9" t="s">
        <v>105</v>
      </c>
      <c r="E10499" s="6" t="s">
        <v>9809</v>
      </c>
      <c r="F10499" s="9" t="s">
        <v>16755</v>
      </c>
    </row>
    <row r="10500" ht="33.75" customHeight="1">
      <c r="A10500" s="7">
        <v>435.0</v>
      </c>
      <c r="B10500" s="9" t="s">
        <v>16081</v>
      </c>
      <c r="C10500" s="9" t="s">
        <v>657</v>
      </c>
      <c r="D10500" s="9" t="s">
        <v>107</v>
      </c>
      <c r="E10500" s="6" t="s">
        <v>9808</v>
      </c>
      <c r="F10500" s="9" t="s">
        <v>16755</v>
      </c>
    </row>
    <row r="10501" ht="33.75" customHeight="1">
      <c r="A10501" s="7">
        <v>435.0</v>
      </c>
      <c r="B10501" s="9" t="s">
        <v>16081</v>
      </c>
      <c r="C10501" s="9" t="s">
        <v>657</v>
      </c>
      <c r="D10501" s="9" t="s">
        <v>109</v>
      </c>
      <c r="E10501" s="6" t="s">
        <v>9809</v>
      </c>
      <c r="F10501" s="9" t="s">
        <v>16755</v>
      </c>
    </row>
    <row r="10502" ht="33.75" customHeight="1">
      <c r="A10502" s="7">
        <v>435.0</v>
      </c>
      <c r="B10502" s="9" t="s">
        <v>16081</v>
      </c>
      <c r="C10502" s="9" t="s">
        <v>657</v>
      </c>
      <c r="D10502" s="9" t="s">
        <v>114</v>
      </c>
      <c r="E10502" s="6" t="s">
        <v>9813</v>
      </c>
      <c r="F10502" s="9" t="s">
        <v>16755</v>
      </c>
    </row>
    <row r="10503" ht="33.75" customHeight="1">
      <c r="A10503" s="7">
        <v>435.0</v>
      </c>
      <c r="B10503" s="9" t="s">
        <v>16081</v>
      </c>
      <c r="C10503" s="9" t="s">
        <v>657</v>
      </c>
      <c r="D10503" s="9" t="s">
        <v>117</v>
      </c>
      <c r="E10503" s="6" t="s">
        <v>9814</v>
      </c>
      <c r="F10503" s="9" t="s">
        <v>16755</v>
      </c>
    </row>
    <row r="10504" ht="33.75" customHeight="1">
      <c r="A10504" s="7">
        <v>435.0</v>
      </c>
      <c r="B10504" s="9" t="s">
        <v>16081</v>
      </c>
      <c r="C10504" s="9" t="s">
        <v>657</v>
      </c>
      <c r="D10504" s="9" t="s">
        <v>1577</v>
      </c>
      <c r="E10504" s="6" t="s">
        <v>9815</v>
      </c>
      <c r="F10504" s="9" t="s">
        <v>16755</v>
      </c>
    </row>
    <row r="10505" ht="33.75" customHeight="1">
      <c r="A10505" s="7">
        <v>436.0</v>
      </c>
      <c r="B10505" s="9" t="s">
        <v>16090</v>
      </c>
      <c r="C10505" s="9" t="s">
        <v>659</v>
      </c>
      <c r="D10505" s="9" t="s">
        <v>81</v>
      </c>
      <c r="E10505" s="6" t="s">
        <v>9816</v>
      </c>
      <c r="F10505" s="9" t="s">
        <v>16765</v>
      </c>
      <c r="G10505" t="inlineStr" s="6">
        <is>
          <t xml:space="preserve">Implements shaped like it were discovered in ancient tombs. It is unknown if they are related. X-ray photos were taken to check its body structure. Nothing appeared, however. There are researchers who believe this Pokémon reflected like a mirror in the distant past. Ancient people believed that the pattern on BRONZOR’s back contained a mysterious power. They are found in ancient tombs. The patterns on their backs are said to be imbued with mysterious power. It appears in ancient ruins. The pattern on its body doesn’t come from any culture in the Galar region, so it remains shrouded in mystery. Polishing Bronzor to a shine makes its surface reflect the truth, according to common lore. Be that as it may, Bronzor hates being polished. Floats using a mysterious energy. The pattern engraved upon its back is held as sacred and can sometimes be found in imagery from ancient cemeteries and other such timeworn places.</t>
        </is>
      </c>
    </row>
    <row r="10506" ht="33.75" customHeight="1">
      <c r="A10506" s="7">
        <v>436.0</v>
      </c>
      <c r="B10506" s="9" t="s">
        <v>16090</v>
      </c>
      <c r="C10506" s="9" t="s">
        <v>659</v>
      </c>
      <c r="D10506" s="9" t="s">
        <v>84</v>
      </c>
      <c r="E10506" s="6" t="s">
        <v>9818</v>
      </c>
      <c r="F10506" s="9" t="s">
        <v>16765</v>
      </c>
    </row>
    <row r="10507" ht="33.75" customHeight="1">
      <c r="A10507" s="7">
        <v>436.0</v>
      </c>
      <c r="B10507" s="9" t="s">
        <v>16090</v>
      </c>
      <c r="C10507" s="9" t="s">
        <v>659</v>
      </c>
      <c r="D10507" s="9" t="s">
        <v>87</v>
      </c>
      <c r="E10507" s="6" t="s">
        <v>9821</v>
      </c>
      <c r="F10507" s="9" t="s">
        <v>16765</v>
      </c>
    </row>
    <row r="10508" ht="33.75" customHeight="1">
      <c r="A10508" s="7">
        <v>436.0</v>
      </c>
      <c r="B10508" s="9" t="s">
        <v>16090</v>
      </c>
      <c r="C10508" s="9" t="s">
        <v>659</v>
      </c>
      <c r="D10508" s="9" t="s">
        <v>89</v>
      </c>
      <c r="E10508" s="6" t="s">
        <v>9824</v>
      </c>
      <c r="F10508" s="9" t="s">
        <v>16765</v>
      </c>
    </row>
    <row r="10509" ht="33.75" customHeight="1">
      <c r="A10509" s="7">
        <v>436.0</v>
      </c>
      <c r="B10509" s="9" t="s">
        <v>16090</v>
      </c>
      <c r="C10509" s="9" t="s">
        <v>659</v>
      </c>
      <c r="D10509" s="9" t="s">
        <v>91</v>
      </c>
      <c r="E10509" s="6" t="s">
        <v>9824</v>
      </c>
      <c r="F10509" s="9" t="s">
        <v>16765</v>
      </c>
    </row>
    <row r="10510" ht="33.75" customHeight="1">
      <c r="A10510" s="7">
        <v>436.0</v>
      </c>
      <c r="B10510" s="9" t="s">
        <v>16090</v>
      </c>
      <c r="C10510" s="9" t="s">
        <v>659</v>
      </c>
      <c r="D10510" s="9" t="s">
        <v>93</v>
      </c>
      <c r="E10510" s="6" t="s">
        <v>9821</v>
      </c>
      <c r="F10510" s="9" t="s">
        <v>16765</v>
      </c>
    </row>
    <row r="10511" ht="33.75" customHeight="1">
      <c r="A10511" s="7">
        <v>436.0</v>
      </c>
      <c r="B10511" s="9" t="s">
        <v>16090</v>
      </c>
      <c r="C10511" s="9" t="s">
        <v>659</v>
      </c>
      <c r="D10511" s="9" t="s">
        <v>95</v>
      </c>
      <c r="E10511" s="6" t="s">
        <v>9821</v>
      </c>
      <c r="F10511" s="9" t="s">
        <v>16765</v>
      </c>
    </row>
    <row r="10512" ht="33.75" customHeight="1">
      <c r="A10512" s="7">
        <v>436.0</v>
      </c>
      <c r="B10512" s="9" t="s">
        <v>16090</v>
      </c>
      <c r="C10512" s="9" t="s">
        <v>659</v>
      </c>
      <c r="D10512" s="9" t="s">
        <v>98</v>
      </c>
      <c r="E10512" s="6" t="s">
        <v>9826</v>
      </c>
      <c r="F10512" s="9" t="s">
        <v>16765</v>
      </c>
    </row>
    <row r="10513" ht="33.75" customHeight="1">
      <c r="A10513" s="7">
        <v>436.0</v>
      </c>
      <c r="B10513" s="9" t="s">
        <v>16090</v>
      </c>
      <c r="C10513" s="9" t="s">
        <v>659</v>
      </c>
      <c r="D10513" s="9" t="s">
        <v>99</v>
      </c>
      <c r="E10513" s="6" t="s">
        <v>9826</v>
      </c>
      <c r="F10513" s="9" t="s">
        <v>16765</v>
      </c>
    </row>
    <row r="10514" ht="33.75" customHeight="1">
      <c r="A10514" s="7">
        <v>436.0</v>
      </c>
      <c r="B10514" s="9" t="s">
        <v>16090</v>
      </c>
      <c r="C10514" s="9" t="s">
        <v>659</v>
      </c>
      <c r="D10514" s="9" t="s">
        <v>101</v>
      </c>
      <c r="E10514" s="6" t="s">
        <v>9828</v>
      </c>
      <c r="F10514" s="9" t="s">
        <v>16765</v>
      </c>
    </row>
    <row r="10515" ht="33.75" customHeight="1">
      <c r="A10515" s="7">
        <v>436.0</v>
      </c>
      <c r="B10515" s="9" t="s">
        <v>16090</v>
      </c>
      <c r="C10515" s="9" t="s">
        <v>659</v>
      </c>
      <c r="D10515" s="9" t="s">
        <v>105</v>
      </c>
      <c r="E10515" s="6" t="s">
        <v>9816</v>
      </c>
      <c r="F10515" s="9" t="s">
        <v>16765</v>
      </c>
    </row>
    <row r="10516" ht="33.75" customHeight="1">
      <c r="A10516" s="7">
        <v>436.0</v>
      </c>
      <c r="B10516" s="9" t="s">
        <v>16090</v>
      </c>
      <c r="C10516" s="9" t="s">
        <v>659</v>
      </c>
      <c r="D10516" s="9" t="s">
        <v>107</v>
      </c>
      <c r="E10516" s="6" t="s">
        <v>9828</v>
      </c>
      <c r="F10516" s="9" t="s">
        <v>16765</v>
      </c>
    </row>
    <row r="10517" ht="33.75" customHeight="1">
      <c r="A10517" s="7">
        <v>436.0</v>
      </c>
      <c r="B10517" s="9" t="s">
        <v>16090</v>
      </c>
      <c r="C10517" s="9" t="s">
        <v>659</v>
      </c>
      <c r="D10517" s="9" t="s">
        <v>109</v>
      </c>
      <c r="E10517" s="6" t="s">
        <v>9816</v>
      </c>
      <c r="F10517" s="9" t="s">
        <v>16765</v>
      </c>
    </row>
    <row r="10518" ht="33.75" customHeight="1">
      <c r="A10518" s="7">
        <v>436.0</v>
      </c>
      <c r="B10518" s="9" t="s">
        <v>16090</v>
      </c>
      <c r="C10518" s="9" t="s">
        <v>659</v>
      </c>
      <c r="D10518" s="9" t="s">
        <v>114</v>
      </c>
      <c r="E10518" s="6" t="s">
        <v>9829</v>
      </c>
      <c r="F10518" s="9" t="s">
        <v>16765</v>
      </c>
    </row>
    <row r="10519" ht="33.75" customHeight="1">
      <c r="A10519" s="7">
        <v>436.0</v>
      </c>
      <c r="B10519" s="9" t="s">
        <v>16090</v>
      </c>
      <c r="C10519" s="9" t="s">
        <v>659</v>
      </c>
      <c r="D10519" s="9" t="s">
        <v>117</v>
      </c>
      <c r="E10519" s="6" t="s">
        <v>9831</v>
      </c>
      <c r="F10519" s="9" t="s">
        <v>16765</v>
      </c>
    </row>
    <row r="10520" ht="33.75" customHeight="1">
      <c r="A10520" s="7">
        <v>436.0</v>
      </c>
      <c r="B10520" s="9" t="s">
        <v>16090</v>
      </c>
      <c r="C10520" s="9" t="s">
        <v>659</v>
      </c>
      <c r="D10520" s="9" t="s">
        <v>1577</v>
      </c>
      <c r="E10520" s="6" t="s">
        <v>9832</v>
      </c>
      <c r="F10520" s="9" t="s">
        <v>16765</v>
      </c>
    </row>
    <row r="10521" ht="33.75" customHeight="1">
      <c r="A10521" s="7">
        <v>437.0</v>
      </c>
      <c r="B10521" s="9" t="s">
        <v>16102</v>
      </c>
      <c r="C10521" s="9" t="s">
        <v>661</v>
      </c>
      <c r="D10521" s="9" t="s">
        <v>81</v>
      </c>
      <c r="E10521" s="6" t="s">
        <v>9834</v>
      </c>
      <c r="F10521" s="9" t="s">
        <v>16771</v>
      </c>
      <c r="G10521" t="inlineStr" s="6">
        <is>
          <t xml:space="preserve">One caused a news sensation when Bronzong was dug up at a construction site after a 2,000-year sleep. It can summon rain clouds. People long ago revered it as the bringer of plentiful harvests. It brought rains by opening portals to another world. It was revered as a bringer of plentiful harvests. Ancient people believed that petitioning BRONZONG for rain was the way to make crops grow. In ages past, this Pokémon was revered as a bringer of rain. It was found buried in the ground. Some believe it to be a deity that summons rain clouds. When angered, it lets out a warning cry that rings out like the tolling of a bell. Many scientists suspect that this Pokémon originated outside the Galar region, based on the patterns on its body. Some believe that its bell-like cry opens holes to another world. It has been revered as a deity since ancient times.</t>
        </is>
      </c>
    </row>
    <row r="10522" ht="33.75" customHeight="1">
      <c r="A10522" s="7">
        <v>437.0</v>
      </c>
      <c r="B10522" s="9" t="s">
        <v>16102</v>
      </c>
      <c r="C10522" s="9" t="s">
        <v>661</v>
      </c>
      <c r="D10522" s="9" t="s">
        <v>84</v>
      </c>
      <c r="E10522" s="6" t="s">
        <v>9835</v>
      </c>
      <c r="F10522" s="9" t="s">
        <v>16771</v>
      </c>
    </row>
    <row r="10523" ht="33.75" customHeight="1">
      <c r="A10523" s="7">
        <v>437.0</v>
      </c>
      <c r="B10523" s="9" t="s">
        <v>16102</v>
      </c>
      <c r="C10523" s="9" t="s">
        <v>661</v>
      </c>
      <c r="D10523" s="9" t="s">
        <v>87</v>
      </c>
      <c r="E10523" s="6" t="s">
        <v>9836</v>
      </c>
      <c r="F10523" s="9" t="s">
        <v>16771</v>
      </c>
    </row>
    <row r="10524" ht="33.75" customHeight="1">
      <c r="A10524" s="7">
        <v>437.0</v>
      </c>
      <c r="B10524" s="9" t="s">
        <v>16102</v>
      </c>
      <c r="C10524" s="9" t="s">
        <v>661</v>
      </c>
      <c r="D10524" s="9" t="s">
        <v>89</v>
      </c>
      <c r="E10524" s="6" t="s">
        <v>9838</v>
      </c>
      <c r="F10524" s="9" t="s">
        <v>16771</v>
      </c>
    </row>
    <row r="10525" ht="33.75" customHeight="1">
      <c r="A10525" s="7">
        <v>437.0</v>
      </c>
      <c r="B10525" s="9" t="s">
        <v>16102</v>
      </c>
      <c r="C10525" s="9" t="s">
        <v>661</v>
      </c>
      <c r="D10525" s="9" t="s">
        <v>91</v>
      </c>
      <c r="E10525" s="6" t="s">
        <v>9838</v>
      </c>
      <c r="F10525" s="9" t="s">
        <v>16771</v>
      </c>
    </row>
    <row r="10526" ht="33.75" customHeight="1">
      <c r="A10526" s="7">
        <v>437.0</v>
      </c>
      <c r="B10526" s="9" t="s">
        <v>16102</v>
      </c>
      <c r="C10526" s="9" t="s">
        <v>661</v>
      </c>
      <c r="D10526" s="9" t="s">
        <v>93</v>
      </c>
      <c r="E10526" s="6" t="s">
        <v>9836</v>
      </c>
      <c r="F10526" s="9" t="s">
        <v>16771</v>
      </c>
    </row>
    <row r="10527" ht="33.75" customHeight="1">
      <c r="A10527" s="7">
        <v>437.0</v>
      </c>
      <c r="B10527" s="9" t="s">
        <v>16102</v>
      </c>
      <c r="C10527" s="9" t="s">
        <v>661</v>
      </c>
      <c r="D10527" s="9" t="s">
        <v>95</v>
      </c>
      <c r="E10527" s="6" t="s">
        <v>9836</v>
      </c>
      <c r="F10527" s="9" t="s">
        <v>16771</v>
      </c>
    </row>
    <row r="10528" ht="33.75" customHeight="1">
      <c r="A10528" s="7">
        <v>437.0</v>
      </c>
      <c r="B10528" s="9" t="s">
        <v>16102</v>
      </c>
      <c r="C10528" s="9" t="s">
        <v>661</v>
      </c>
      <c r="D10528" s="9" t="s">
        <v>98</v>
      </c>
      <c r="E10528" s="6" t="s">
        <v>9839</v>
      </c>
      <c r="F10528" s="9" t="s">
        <v>16771</v>
      </c>
    </row>
    <row r="10529" ht="33.75" customHeight="1">
      <c r="A10529" s="7">
        <v>437.0</v>
      </c>
      <c r="B10529" s="9" t="s">
        <v>16102</v>
      </c>
      <c r="C10529" s="9" t="s">
        <v>661</v>
      </c>
      <c r="D10529" s="9" t="s">
        <v>99</v>
      </c>
      <c r="E10529" s="6" t="s">
        <v>9839</v>
      </c>
      <c r="F10529" s="9" t="s">
        <v>16771</v>
      </c>
    </row>
    <row r="10530" ht="33.75" customHeight="1">
      <c r="A10530" s="7">
        <v>437.0</v>
      </c>
      <c r="B10530" s="9" t="s">
        <v>16102</v>
      </c>
      <c r="C10530" s="9" t="s">
        <v>661</v>
      </c>
      <c r="D10530" s="9" t="s">
        <v>101</v>
      </c>
      <c r="E10530" s="6" t="s">
        <v>9839</v>
      </c>
      <c r="F10530" s="9" t="s">
        <v>16771</v>
      </c>
    </row>
    <row r="10531" ht="33.75" customHeight="1">
      <c r="A10531" s="7">
        <v>437.0</v>
      </c>
      <c r="B10531" s="9" t="s">
        <v>16102</v>
      </c>
      <c r="C10531" s="9" t="s">
        <v>661</v>
      </c>
      <c r="D10531" s="9" t="s">
        <v>105</v>
      </c>
      <c r="E10531" s="6" t="s">
        <v>9840</v>
      </c>
      <c r="F10531" s="9" t="s">
        <v>16771</v>
      </c>
    </row>
    <row r="10532" ht="33.75" customHeight="1">
      <c r="A10532" s="7">
        <v>437.0</v>
      </c>
      <c r="B10532" s="9" t="s">
        <v>16102</v>
      </c>
      <c r="C10532" s="9" t="s">
        <v>661</v>
      </c>
      <c r="D10532" s="9" t="s">
        <v>107</v>
      </c>
      <c r="E10532" s="6" t="s">
        <v>9839</v>
      </c>
      <c r="F10532" s="9" t="s">
        <v>16771</v>
      </c>
    </row>
    <row r="10533" ht="33.75" customHeight="1">
      <c r="A10533" s="7">
        <v>437.0</v>
      </c>
      <c r="B10533" s="9" t="s">
        <v>16102</v>
      </c>
      <c r="C10533" s="9" t="s">
        <v>661</v>
      </c>
      <c r="D10533" s="9" t="s">
        <v>109</v>
      </c>
      <c r="E10533" s="6" t="s">
        <v>9840</v>
      </c>
      <c r="F10533" s="9" t="s">
        <v>16771</v>
      </c>
    </row>
    <row r="10534" ht="33.75" customHeight="1">
      <c r="A10534" s="7">
        <v>437.0</v>
      </c>
      <c r="B10534" s="9" t="s">
        <v>16102</v>
      </c>
      <c r="C10534" s="9" t="s">
        <v>661</v>
      </c>
      <c r="D10534" s="9" t="s">
        <v>114</v>
      </c>
      <c r="E10534" s="6" t="s">
        <v>9841</v>
      </c>
      <c r="F10534" s="9" t="s">
        <v>16771</v>
      </c>
    </row>
    <row r="10535" ht="33.75" customHeight="1">
      <c r="A10535" s="7">
        <v>437.0</v>
      </c>
      <c r="B10535" s="9" t="s">
        <v>16102</v>
      </c>
      <c r="C10535" s="9" t="s">
        <v>661</v>
      </c>
      <c r="D10535" s="9" t="s">
        <v>117</v>
      </c>
      <c r="E10535" s="6" t="s">
        <v>9842</v>
      </c>
      <c r="F10535" s="9" t="s">
        <v>16771</v>
      </c>
    </row>
    <row r="10536" ht="33.75" customHeight="1">
      <c r="A10536" s="7">
        <v>437.0</v>
      </c>
      <c r="B10536" s="9" t="s">
        <v>16102</v>
      </c>
      <c r="C10536" s="9" t="s">
        <v>661</v>
      </c>
      <c r="D10536" s="9" t="s">
        <v>1577</v>
      </c>
      <c r="E10536" s="6" t="s">
        <v>9843</v>
      </c>
      <c r="F10536" s="9" t="s">
        <v>16771</v>
      </c>
    </row>
    <row r="10537" ht="33.75" customHeight="1">
      <c r="A10537" s="7">
        <v>438.0</v>
      </c>
      <c r="B10537" s="9" t="s">
        <v>16113</v>
      </c>
      <c r="C10537" s="9" t="s">
        <v>662</v>
      </c>
      <c r="D10537" s="9" t="s">
        <v>81</v>
      </c>
      <c r="E10537" s="6" t="s">
        <v>9844</v>
      </c>
      <c r="F10537" s="9" t="s">
        <v>16784</v>
      </c>
      <c r="G10537" t="inlineStr" s="6">
        <is>
          <t xml:space="preserve">Bonsly looks as if it is always crying. It is actually adjusting its body’s fluid levels by eliminating excess. It prefers arid environments. It leaks water from its eyes to adjust its body’s fluid levels. It prefers an arid atmosphere. It leaks water that looks like tears when adjusting its moisture level. In order to adjust the level of fluids in its body, it exudes water from its eyes. This makes it appear to be crying. It does not deal well with water, so it lives in dry locales. Since its surroundings tend to lack greenery, it stands out noticeably. From its eyes, it can expel excess moisture from its body. This liquid is similar in composition to human sweat. It discharges moisture from its eyes, making it look like it’s crying—apparently an effective way of getting enemies to let down their guard. If its body gets too damp, it will die. So, in a process reminiscent of sweating, its eyes expel moisture. It expels both sweat and tears from its eyes. The sweat is a little salty, while the tears have a slight bitterness. This Pokémon lives in dry, rocky areas. As its green spheres dry out, their dull luster increases. Its tears elicit sympathy from those who see them, but do not be deceived! This expulsion of body water is merely a physiological mechanism for keeping itself in good health.</t>
        </is>
      </c>
    </row>
    <row r="10538" ht="33.75" customHeight="1">
      <c r="A10538" s="7">
        <v>438.0</v>
      </c>
      <c r="B10538" s="9" t="s">
        <v>16113</v>
      </c>
      <c r="C10538" s="9" t="s">
        <v>662</v>
      </c>
      <c r="D10538" s="9" t="s">
        <v>84</v>
      </c>
      <c r="E10538" s="6" t="s">
        <v>9845</v>
      </c>
      <c r="F10538" s="9" t="s">
        <v>16784</v>
      </c>
    </row>
    <row r="10539" ht="33.75" customHeight="1">
      <c r="A10539" s="7">
        <v>438.0</v>
      </c>
      <c r="B10539" s="9" t="s">
        <v>16113</v>
      </c>
      <c r="C10539" s="9" t="s">
        <v>662</v>
      </c>
      <c r="D10539" s="9" t="s">
        <v>87</v>
      </c>
      <c r="E10539" s="6" t="s">
        <v>9848</v>
      </c>
      <c r="F10539" s="9" t="s">
        <v>16784</v>
      </c>
    </row>
    <row r="10540" ht="33.75" customHeight="1">
      <c r="A10540" s="7">
        <v>438.0</v>
      </c>
      <c r="B10540" s="9" t="s">
        <v>16113</v>
      </c>
      <c r="C10540" s="9" t="s">
        <v>662</v>
      </c>
      <c r="D10540" s="9" t="s">
        <v>89</v>
      </c>
      <c r="E10540" s="6" t="s">
        <v>9849</v>
      </c>
      <c r="F10540" s="9" t="s">
        <v>16784</v>
      </c>
    </row>
    <row r="10541" ht="33.75" customHeight="1">
      <c r="A10541" s="7">
        <v>438.0</v>
      </c>
      <c r="B10541" s="9" t="s">
        <v>16113</v>
      </c>
      <c r="C10541" s="9" t="s">
        <v>662</v>
      </c>
      <c r="D10541" s="9" t="s">
        <v>91</v>
      </c>
      <c r="E10541" s="6" t="s">
        <v>9849</v>
      </c>
      <c r="F10541" s="9" t="s">
        <v>16784</v>
      </c>
    </row>
    <row r="10542" ht="33.75" customHeight="1">
      <c r="A10542" s="7">
        <v>438.0</v>
      </c>
      <c r="B10542" s="9" t="s">
        <v>16113</v>
      </c>
      <c r="C10542" s="9" t="s">
        <v>662</v>
      </c>
      <c r="D10542" s="9" t="s">
        <v>93</v>
      </c>
      <c r="E10542" s="6" t="s">
        <v>9848</v>
      </c>
      <c r="F10542" s="9" t="s">
        <v>16784</v>
      </c>
    </row>
    <row r="10543" ht="33.75" customHeight="1">
      <c r="A10543" s="7">
        <v>438.0</v>
      </c>
      <c r="B10543" s="9" t="s">
        <v>16113</v>
      </c>
      <c r="C10543" s="9" t="s">
        <v>662</v>
      </c>
      <c r="D10543" s="9" t="s">
        <v>95</v>
      </c>
      <c r="E10543" s="6" t="s">
        <v>9848</v>
      </c>
      <c r="F10543" s="9" t="s">
        <v>16784</v>
      </c>
    </row>
    <row r="10544" ht="33.75" customHeight="1">
      <c r="A10544" s="7">
        <v>438.0</v>
      </c>
      <c r="B10544" s="9" t="s">
        <v>16113</v>
      </c>
      <c r="C10544" s="9" t="s">
        <v>662</v>
      </c>
      <c r="D10544" s="9" t="s">
        <v>98</v>
      </c>
      <c r="E10544" s="6" t="s">
        <v>9848</v>
      </c>
      <c r="F10544" s="9" t="s">
        <v>16784</v>
      </c>
    </row>
    <row r="10545" ht="33.75" customHeight="1">
      <c r="A10545" s="7">
        <v>438.0</v>
      </c>
      <c r="B10545" s="9" t="s">
        <v>16113</v>
      </c>
      <c r="C10545" s="9" t="s">
        <v>662</v>
      </c>
      <c r="D10545" s="9" t="s">
        <v>99</v>
      </c>
      <c r="E10545" s="6" t="s">
        <v>9848</v>
      </c>
      <c r="F10545" s="9" t="s">
        <v>16784</v>
      </c>
    </row>
    <row r="10546" ht="33.75" customHeight="1">
      <c r="A10546" s="7">
        <v>438.0</v>
      </c>
      <c r="B10546" s="9" t="s">
        <v>16113</v>
      </c>
      <c r="C10546" s="9" t="s">
        <v>662</v>
      </c>
      <c r="D10546" s="9" t="s">
        <v>101</v>
      </c>
      <c r="E10546" s="6" t="s">
        <v>9845</v>
      </c>
      <c r="F10546" s="9" t="s">
        <v>16784</v>
      </c>
    </row>
    <row r="10547" ht="33.75" customHeight="1">
      <c r="A10547" s="7">
        <v>438.0</v>
      </c>
      <c r="B10547" s="9" t="s">
        <v>16113</v>
      </c>
      <c r="C10547" s="9" t="s">
        <v>662</v>
      </c>
      <c r="D10547" s="9" t="s">
        <v>105</v>
      </c>
      <c r="E10547" s="6" t="s">
        <v>9848</v>
      </c>
      <c r="F10547" s="9" t="s">
        <v>16784</v>
      </c>
    </row>
    <row r="10548" ht="33.75" customHeight="1">
      <c r="A10548" s="7">
        <v>438.0</v>
      </c>
      <c r="B10548" s="9" t="s">
        <v>16113</v>
      </c>
      <c r="C10548" s="9" t="s">
        <v>662</v>
      </c>
      <c r="D10548" s="9" t="s">
        <v>107</v>
      </c>
      <c r="E10548" s="6" t="s">
        <v>9845</v>
      </c>
      <c r="F10548" s="9" t="s">
        <v>16784</v>
      </c>
    </row>
    <row r="10549" ht="33.75" customHeight="1">
      <c r="A10549" s="7">
        <v>438.0</v>
      </c>
      <c r="B10549" s="9" t="s">
        <v>16113</v>
      </c>
      <c r="C10549" s="9" t="s">
        <v>662</v>
      </c>
      <c r="D10549" s="9" t="s">
        <v>109</v>
      </c>
      <c r="E10549" s="6" t="s">
        <v>9848</v>
      </c>
      <c r="F10549" s="9" t="s">
        <v>16784</v>
      </c>
    </row>
    <row r="10550" ht="33.75" customHeight="1">
      <c r="A10550" s="7">
        <v>438.0</v>
      </c>
      <c r="B10550" s="9" t="s">
        <v>16113</v>
      </c>
      <c r="C10550" s="9" t="s">
        <v>662</v>
      </c>
      <c r="D10550" s="9" t="s">
        <v>637</v>
      </c>
      <c r="E10550" s="6" t="s">
        <v>9853</v>
      </c>
      <c r="F10550" s="9" t="s">
        <v>16784</v>
      </c>
    </row>
    <row r="10551" ht="33.75" customHeight="1">
      <c r="A10551" s="7">
        <v>438.0</v>
      </c>
      <c r="B10551" s="9" t="s">
        <v>16113</v>
      </c>
      <c r="C10551" s="9" t="s">
        <v>662</v>
      </c>
      <c r="D10551" s="9" t="s">
        <v>642</v>
      </c>
      <c r="E10551" s="6" t="s">
        <v>9855</v>
      </c>
      <c r="F10551" s="9" t="s">
        <v>16784</v>
      </c>
    </row>
    <row r="10552" ht="33.75" customHeight="1">
      <c r="A10552" s="7">
        <v>438.0</v>
      </c>
      <c r="B10552" s="9" t="s">
        <v>16113</v>
      </c>
      <c r="C10552" s="9" t="s">
        <v>662</v>
      </c>
      <c r="D10552" s="9" t="s">
        <v>647</v>
      </c>
      <c r="E10552" s="6" t="s">
        <v>9858</v>
      </c>
      <c r="F10552" s="9" t="s">
        <v>16784</v>
      </c>
    </row>
    <row r="10553" ht="33.75" customHeight="1">
      <c r="A10553" s="7">
        <v>438.0</v>
      </c>
      <c r="B10553" s="9" t="s">
        <v>16113</v>
      </c>
      <c r="C10553" s="9" t="s">
        <v>662</v>
      </c>
      <c r="D10553" s="9" t="s">
        <v>652</v>
      </c>
      <c r="E10553" s="6" t="s">
        <v>9859</v>
      </c>
      <c r="F10553" s="9" t="s">
        <v>16784</v>
      </c>
    </row>
    <row r="10554" ht="33.75" customHeight="1">
      <c r="A10554" s="7">
        <v>438.0</v>
      </c>
      <c r="B10554" s="9" t="s">
        <v>16113</v>
      </c>
      <c r="C10554" s="9" t="s">
        <v>662</v>
      </c>
      <c r="D10554" s="9" t="s">
        <v>114</v>
      </c>
      <c r="E10554" s="6" t="s">
        <v>9861</v>
      </c>
      <c r="F10554" s="9" t="s">
        <v>16784</v>
      </c>
    </row>
    <row r="10555" ht="33.75" customHeight="1">
      <c r="A10555" s="7">
        <v>438.0</v>
      </c>
      <c r="B10555" s="9" t="s">
        <v>16113</v>
      </c>
      <c r="C10555" s="9" t="s">
        <v>662</v>
      </c>
      <c r="D10555" s="9" t="s">
        <v>117</v>
      </c>
      <c r="E10555" s="6" t="s">
        <v>9863</v>
      </c>
      <c r="F10555" s="9" t="s">
        <v>16784</v>
      </c>
    </row>
    <row r="10556" ht="33.75" customHeight="1">
      <c r="A10556" s="7">
        <v>438.0</v>
      </c>
      <c r="B10556" s="9" t="s">
        <v>16113</v>
      </c>
      <c r="C10556" s="9" t="s">
        <v>662</v>
      </c>
      <c r="D10556" s="9" t="s">
        <v>1577</v>
      </c>
      <c r="E10556" s="6" t="s">
        <v>9864</v>
      </c>
      <c r="F10556" s="9" t="s">
        <v>16784</v>
      </c>
    </row>
    <row r="10557" ht="33.75" customHeight="1">
      <c r="A10557" s="7">
        <v>439.0</v>
      </c>
      <c r="B10557" s="9" t="s">
        <v>16127</v>
      </c>
      <c r="C10557" s="9" t="s">
        <v>664</v>
      </c>
      <c r="D10557" s="9" t="s">
        <v>81</v>
      </c>
      <c r="E10557" s="6" t="s">
        <v>9866</v>
      </c>
      <c r="F10557" s="9" t="s">
        <v>16795</v>
      </c>
      <c r="G10557" t="inlineStr" s="6">
        <is>
          <t xml:space="preserve">It habitually mimics foes. Once mimicked, the foe cannot take its eyes off this Pokémon. It likes places where people gather. It mimics foes to confuse them, then makes its getaway. It mimics the expressions and motions of those it sees to understand the feelings of others. In an attempt to confuse its enemy, it mimics the enemy’s movements. Then it wastes no time in making itself scarce! It does its absolute best to mimic the movements and expressions of its opponents, but it’s still not very good at it. When this gifted mimic surprises an opponent, Mime Jr. feels so happy that it ends up forgetting it was imitating something. It mimics everyone it sees, but it puts extra effort into copying the graceful dance steps of Mr. Rime as practice. It looks for a Mr. Rime that’s a good dancer and carefully copies the Mr. Rime’s steps like an apprentice. Known to turn up in bustling marketplaces now and again. It mimics people much as a child would, then watches how they react, eyes sparkling.</t>
        </is>
      </c>
    </row>
    <row r="10558" ht="33.75" customHeight="1">
      <c r="A10558" s="7">
        <v>439.0</v>
      </c>
      <c r="B10558" s="9" t="s">
        <v>16127</v>
      </c>
      <c r="C10558" s="9" t="s">
        <v>664</v>
      </c>
      <c r="D10558" s="9" t="s">
        <v>84</v>
      </c>
      <c r="E10558" s="6" t="s">
        <v>9867</v>
      </c>
      <c r="F10558" s="9" t="s">
        <v>16795</v>
      </c>
    </row>
    <row r="10559" ht="33.75" customHeight="1">
      <c r="A10559" s="7">
        <v>439.0</v>
      </c>
      <c r="B10559" s="9" t="s">
        <v>16127</v>
      </c>
      <c r="C10559" s="9" t="s">
        <v>664</v>
      </c>
      <c r="D10559" s="9" t="s">
        <v>87</v>
      </c>
      <c r="E10559" s="6" t="s">
        <v>9869</v>
      </c>
      <c r="F10559" s="9" t="s">
        <v>16795</v>
      </c>
    </row>
    <row r="10560" ht="33.75" customHeight="1">
      <c r="A10560" s="7">
        <v>439.0</v>
      </c>
      <c r="B10560" s="9" t="s">
        <v>16127</v>
      </c>
      <c r="C10560" s="9" t="s">
        <v>664</v>
      </c>
      <c r="D10560" s="9" t="s">
        <v>89</v>
      </c>
      <c r="E10560" s="6" t="s">
        <v>9871</v>
      </c>
      <c r="F10560" s="9" t="s">
        <v>16795</v>
      </c>
    </row>
    <row r="10561" ht="33.75" customHeight="1">
      <c r="A10561" s="7">
        <v>439.0</v>
      </c>
      <c r="B10561" s="9" t="s">
        <v>16127</v>
      </c>
      <c r="C10561" s="9" t="s">
        <v>664</v>
      </c>
      <c r="D10561" s="9" t="s">
        <v>91</v>
      </c>
      <c r="E10561" s="6" t="s">
        <v>9871</v>
      </c>
      <c r="F10561" s="9" t="s">
        <v>16795</v>
      </c>
    </row>
    <row r="10562" ht="33.75" customHeight="1">
      <c r="A10562" s="7">
        <v>439.0</v>
      </c>
      <c r="B10562" s="9" t="s">
        <v>16127</v>
      </c>
      <c r="C10562" s="9" t="s">
        <v>664</v>
      </c>
      <c r="D10562" s="9" t="s">
        <v>93</v>
      </c>
      <c r="E10562" s="6" t="s">
        <v>9869</v>
      </c>
      <c r="F10562" s="9" t="s">
        <v>16795</v>
      </c>
    </row>
    <row r="10563" ht="33.75" customHeight="1">
      <c r="A10563" s="7">
        <v>439.0</v>
      </c>
      <c r="B10563" s="9" t="s">
        <v>16127</v>
      </c>
      <c r="C10563" s="9" t="s">
        <v>664</v>
      </c>
      <c r="D10563" s="9" t="s">
        <v>95</v>
      </c>
      <c r="E10563" s="6" t="s">
        <v>9869</v>
      </c>
      <c r="F10563" s="9" t="s">
        <v>16795</v>
      </c>
    </row>
    <row r="10564" ht="33.75" customHeight="1">
      <c r="A10564" s="7">
        <v>439.0</v>
      </c>
      <c r="B10564" s="9" t="s">
        <v>16127</v>
      </c>
      <c r="C10564" s="9" t="s">
        <v>664</v>
      </c>
      <c r="D10564" s="9" t="s">
        <v>98</v>
      </c>
      <c r="E10564" s="6" t="s">
        <v>9869</v>
      </c>
      <c r="F10564" s="9" t="s">
        <v>16795</v>
      </c>
    </row>
    <row r="10565" ht="33.75" customHeight="1">
      <c r="A10565" s="7">
        <v>439.0</v>
      </c>
      <c r="B10565" s="9" t="s">
        <v>16127</v>
      </c>
      <c r="C10565" s="9" t="s">
        <v>664</v>
      </c>
      <c r="D10565" s="9" t="s">
        <v>99</v>
      </c>
      <c r="E10565" s="6" t="s">
        <v>9869</v>
      </c>
      <c r="F10565" s="9" t="s">
        <v>16795</v>
      </c>
    </row>
    <row r="10566" ht="33.75" customHeight="1">
      <c r="A10566" s="7">
        <v>439.0</v>
      </c>
      <c r="B10566" s="9" t="s">
        <v>16127</v>
      </c>
      <c r="C10566" s="9" t="s">
        <v>664</v>
      </c>
      <c r="D10566" s="9" t="s">
        <v>101</v>
      </c>
      <c r="E10566" s="6" t="s">
        <v>9871</v>
      </c>
      <c r="F10566" s="9" t="s">
        <v>16795</v>
      </c>
    </row>
    <row r="10567" ht="33.75" customHeight="1">
      <c r="A10567" s="7">
        <v>439.0</v>
      </c>
      <c r="B10567" s="9" t="s">
        <v>16127</v>
      </c>
      <c r="C10567" s="9" t="s">
        <v>664</v>
      </c>
      <c r="D10567" s="9" t="s">
        <v>105</v>
      </c>
      <c r="E10567" s="6" t="s">
        <v>9866</v>
      </c>
      <c r="F10567" s="9" t="s">
        <v>16795</v>
      </c>
    </row>
    <row r="10568" ht="33.75" customHeight="1">
      <c r="A10568" s="7">
        <v>439.0</v>
      </c>
      <c r="B10568" s="9" t="s">
        <v>16127</v>
      </c>
      <c r="C10568" s="9" t="s">
        <v>664</v>
      </c>
      <c r="D10568" s="9" t="s">
        <v>107</v>
      </c>
      <c r="E10568" s="6" t="s">
        <v>9871</v>
      </c>
      <c r="F10568" s="9" t="s">
        <v>16795</v>
      </c>
    </row>
    <row r="10569" ht="33.75" customHeight="1">
      <c r="A10569" s="7">
        <v>439.0</v>
      </c>
      <c r="B10569" s="9" t="s">
        <v>16127</v>
      </c>
      <c r="C10569" s="9" t="s">
        <v>664</v>
      </c>
      <c r="D10569" s="9" t="s">
        <v>109</v>
      </c>
      <c r="E10569" s="6" t="s">
        <v>9866</v>
      </c>
      <c r="F10569" s="9" t="s">
        <v>16795</v>
      </c>
    </row>
    <row r="10570" ht="33.75" customHeight="1">
      <c r="A10570" s="7">
        <v>439.0</v>
      </c>
      <c r="B10570" s="9" t="s">
        <v>16127</v>
      </c>
      <c r="C10570" s="9" t="s">
        <v>664</v>
      </c>
      <c r="D10570" s="9" t="s">
        <v>647</v>
      </c>
      <c r="E10570" s="6" t="s">
        <v>9872</v>
      </c>
      <c r="F10570" s="9" t="s">
        <v>16795</v>
      </c>
    </row>
    <row r="10571" ht="33.75" customHeight="1">
      <c r="A10571" s="7">
        <v>439.0</v>
      </c>
      <c r="B10571" s="9" t="s">
        <v>16127</v>
      </c>
      <c r="C10571" s="9" t="s">
        <v>664</v>
      </c>
      <c r="D10571" s="9" t="s">
        <v>652</v>
      </c>
      <c r="E10571" s="6" t="s">
        <v>9873</v>
      </c>
      <c r="F10571" s="9" t="s">
        <v>16795</v>
      </c>
    </row>
    <row r="10572" ht="33.75" customHeight="1">
      <c r="A10572" s="7">
        <v>439.0</v>
      </c>
      <c r="B10572" s="9" t="s">
        <v>16127</v>
      </c>
      <c r="C10572" s="9" t="s">
        <v>664</v>
      </c>
      <c r="D10572" s="9" t="s">
        <v>114</v>
      </c>
      <c r="E10572" s="6" t="s">
        <v>9874</v>
      </c>
      <c r="F10572" s="9" t="s">
        <v>16795</v>
      </c>
    </row>
    <row r="10573" ht="33.75" customHeight="1">
      <c r="A10573" s="7">
        <v>439.0</v>
      </c>
      <c r="B10573" s="9" t="s">
        <v>16127</v>
      </c>
      <c r="C10573" s="9" t="s">
        <v>664</v>
      </c>
      <c r="D10573" s="9" t="s">
        <v>117</v>
      </c>
      <c r="E10573" s="6" t="s">
        <v>9875</v>
      </c>
      <c r="F10573" s="9" t="s">
        <v>16795</v>
      </c>
    </row>
    <row r="10574" ht="33.75" customHeight="1">
      <c r="A10574" s="7">
        <v>439.0</v>
      </c>
      <c r="B10574" s="9" t="s">
        <v>16127</v>
      </c>
      <c r="C10574" s="9" t="s">
        <v>664</v>
      </c>
      <c r="D10574" s="9" t="s">
        <v>1577</v>
      </c>
      <c r="E10574" s="6" t="s">
        <v>9877</v>
      </c>
      <c r="F10574" s="9" t="s">
        <v>16795</v>
      </c>
    </row>
    <row r="10575" ht="33.75" customHeight="1">
      <c r="A10575" s="7">
        <v>440.0</v>
      </c>
      <c r="B10575" s="9" t="s">
        <v>16139</v>
      </c>
      <c r="C10575" s="9" t="s">
        <v>665</v>
      </c>
      <c r="D10575" s="9" t="s">
        <v>81</v>
      </c>
      <c r="E10575" s="6" t="s">
        <v>9879</v>
      </c>
      <c r="F10575" s="9" t="s">
        <v>16811</v>
      </c>
      <c r="G10575" t="inlineStr" s="6">
        <is>
          <t xml:space="preserve">It loves round white things. It carries an egg-shaped rock in imitation of CHANSEY. It carries a round, egg-shaped rock in its belly pouch and gives the rock to its friends. It likes to carry around a small rock. It may wander around others’ feet and cause them to stumble. It carefully carries a round, white rock that it thinks is an egg. It’s bothered by how curly its hair looks. It carries a round white rock in its belly pouch. If it gets along well with someone, it will sometimes give that person the rock. It’s too small to lay eggs yet. As a surrogate, it searches out round white stones. Usually it’s a well-behaved Pokémon, but if you take its round rock away, it will cry and fuss and throw a big old tantrum. When it sees something round and white, Happiny puts it into the pouch on its stomach. It sometimes becomes overloaded and can’t move. Mimicking Chansey, Happiny will place an egg- shaped stone in its belly pouch. Happiny will treasure this stone. Happiny’s willing to lend its precious round stone to those it’s friendly with, but if the stone isn’t returned, Happiny will cry and throw a tantrum. In imitation of Chansey, it keeps a round stone tucked into its belly pouch and cherishes it dearly. It gets along well with children and will sometimes play house with them for fun.</t>
        </is>
      </c>
    </row>
    <row r="10576" ht="33.75" customHeight="1">
      <c r="A10576" s="7">
        <v>440.0</v>
      </c>
      <c r="B10576" s="9" t="s">
        <v>16139</v>
      </c>
      <c r="C10576" s="9" t="s">
        <v>665</v>
      </c>
      <c r="D10576" s="9" t="s">
        <v>84</v>
      </c>
      <c r="E10576" s="6" t="s">
        <v>9882</v>
      </c>
      <c r="F10576" s="9" t="s">
        <v>16811</v>
      </c>
    </row>
    <row r="10577" ht="33.75" customHeight="1">
      <c r="A10577" s="7">
        <v>440.0</v>
      </c>
      <c r="B10577" s="9" t="s">
        <v>16139</v>
      </c>
      <c r="C10577" s="9" t="s">
        <v>665</v>
      </c>
      <c r="D10577" s="9" t="s">
        <v>87</v>
      </c>
      <c r="E10577" s="6" t="s">
        <v>9884</v>
      </c>
      <c r="F10577" s="9" t="s">
        <v>16811</v>
      </c>
    </row>
    <row r="10578" ht="33.75" customHeight="1">
      <c r="A10578" s="7">
        <v>440.0</v>
      </c>
      <c r="B10578" s="9" t="s">
        <v>16139</v>
      </c>
      <c r="C10578" s="9" t="s">
        <v>665</v>
      </c>
      <c r="D10578" s="9" t="s">
        <v>89</v>
      </c>
      <c r="E10578" s="6" t="s">
        <v>9886</v>
      </c>
      <c r="F10578" s="9" t="s">
        <v>16811</v>
      </c>
    </row>
    <row r="10579" ht="33.75" customHeight="1">
      <c r="A10579" s="7">
        <v>440.0</v>
      </c>
      <c r="B10579" s="9" t="s">
        <v>16139</v>
      </c>
      <c r="C10579" s="9" t="s">
        <v>665</v>
      </c>
      <c r="D10579" s="9" t="s">
        <v>91</v>
      </c>
      <c r="E10579" s="6" t="s">
        <v>9886</v>
      </c>
      <c r="F10579" s="9" t="s">
        <v>16811</v>
      </c>
    </row>
    <row r="10580" ht="33.75" customHeight="1">
      <c r="A10580" s="7">
        <v>440.0</v>
      </c>
      <c r="B10580" s="9" t="s">
        <v>16139</v>
      </c>
      <c r="C10580" s="9" t="s">
        <v>665</v>
      </c>
      <c r="D10580" s="9" t="s">
        <v>93</v>
      </c>
      <c r="E10580" s="6" t="s">
        <v>9884</v>
      </c>
      <c r="F10580" s="9" t="s">
        <v>16811</v>
      </c>
    </row>
    <row r="10581" ht="33.75" customHeight="1">
      <c r="A10581" s="7">
        <v>440.0</v>
      </c>
      <c r="B10581" s="9" t="s">
        <v>16139</v>
      </c>
      <c r="C10581" s="9" t="s">
        <v>665</v>
      </c>
      <c r="D10581" s="9" t="s">
        <v>95</v>
      </c>
      <c r="E10581" s="6" t="s">
        <v>9884</v>
      </c>
      <c r="F10581" s="9" t="s">
        <v>16811</v>
      </c>
    </row>
    <row r="10582" ht="33.75" customHeight="1">
      <c r="A10582" s="7">
        <v>440.0</v>
      </c>
      <c r="B10582" s="9" t="s">
        <v>16139</v>
      </c>
      <c r="C10582" s="9" t="s">
        <v>665</v>
      </c>
      <c r="D10582" s="9" t="s">
        <v>98</v>
      </c>
      <c r="E10582" s="6" t="s">
        <v>9884</v>
      </c>
      <c r="F10582" s="9" t="s">
        <v>16811</v>
      </c>
    </row>
    <row r="10583" ht="33.75" customHeight="1">
      <c r="A10583" s="7">
        <v>440.0</v>
      </c>
      <c r="B10583" s="9" t="s">
        <v>16139</v>
      </c>
      <c r="C10583" s="9" t="s">
        <v>665</v>
      </c>
      <c r="D10583" s="9" t="s">
        <v>99</v>
      </c>
      <c r="E10583" s="6" t="s">
        <v>9884</v>
      </c>
      <c r="F10583" s="9" t="s">
        <v>16811</v>
      </c>
    </row>
    <row r="10584" ht="33.75" customHeight="1">
      <c r="A10584" s="7">
        <v>440.0</v>
      </c>
      <c r="B10584" s="9" t="s">
        <v>16139</v>
      </c>
      <c r="C10584" s="9" t="s">
        <v>665</v>
      </c>
      <c r="D10584" s="9" t="s">
        <v>101</v>
      </c>
      <c r="E10584" s="6" t="s">
        <v>9882</v>
      </c>
      <c r="F10584" s="9" t="s">
        <v>16811</v>
      </c>
    </row>
    <row r="10585" ht="33.75" customHeight="1">
      <c r="A10585" s="7">
        <v>440.0</v>
      </c>
      <c r="B10585" s="9" t="s">
        <v>16139</v>
      </c>
      <c r="C10585" s="9" t="s">
        <v>665</v>
      </c>
      <c r="D10585" s="9" t="s">
        <v>105</v>
      </c>
      <c r="E10585" s="6" t="s">
        <v>9886</v>
      </c>
      <c r="F10585" s="9" t="s">
        <v>16811</v>
      </c>
    </row>
    <row r="10586" ht="33.75" customHeight="1">
      <c r="A10586" s="7">
        <v>440.0</v>
      </c>
      <c r="B10586" s="9" t="s">
        <v>16139</v>
      </c>
      <c r="C10586" s="9" t="s">
        <v>665</v>
      </c>
      <c r="D10586" s="9" t="s">
        <v>107</v>
      </c>
      <c r="E10586" s="6" t="s">
        <v>9882</v>
      </c>
      <c r="F10586" s="9" t="s">
        <v>16811</v>
      </c>
    </row>
    <row r="10587" ht="33.75" customHeight="1">
      <c r="A10587" s="7">
        <v>440.0</v>
      </c>
      <c r="B10587" s="9" t="s">
        <v>16139</v>
      </c>
      <c r="C10587" s="9" t="s">
        <v>665</v>
      </c>
      <c r="D10587" s="9" t="s">
        <v>109</v>
      </c>
      <c r="E10587" s="6" t="s">
        <v>9886</v>
      </c>
      <c r="F10587" s="9" t="s">
        <v>16811</v>
      </c>
    </row>
    <row r="10588" ht="33.75" customHeight="1">
      <c r="A10588" s="7">
        <v>440.0</v>
      </c>
      <c r="B10588" s="9" t="s">
        <v>16139</v>
      </c>
      <c r="C10588" s="9" t="s">
        <v>665</v>
      </c>
      <c r="D10588" s="9" t="s">
        <v>637</v>
      </c>
      <c r="E10588" s="6" t="s">
        <v>9888</v>
      </c>
      <c r="F10588" s="9" t="s">
        <v>16811</v>
      </c>
    </row>
    <row r="10589" ht="33.75" customHeight="1">
      <c r="A10589" s="7">
        <v>440.0</v>
      </c>
      <c r="B10589" s="9" t="s">
        <v>16139</v>
      </c>
      <c r="C10589" s="9" t="s">
        <v>665</v>
      </c>
      <c r="D10589" s="9" t="s">
        <v>642</v>
      </c>
      <c r="E10589" s="6" t="s">
        <v>9889</v>
      </c>
      <c r="F10589" s="9" t="s">
        <v>16811</v>
      </c>
    </row>
    <row r="10590" ht="33.75" customHeight="1">
      <c r="A10590" s="7">
        <v>440.0</v>
      </c>
      <c r="B10590" s="9" t="s">
        <v>16139</v>
      </c>
      <c r="C10590" s="9" t="s">
        <v>665</v>
      </c>
      <c r="D10590" s="9" t="s">
        <v>647</v>
      </c>
      <c r="E10590" s="6" t="s">
        <v>9891</v>
      </c>
      <c r="F10590" s="9" t="s">
        <v>16811</v>
      </c>
    </row>
    <row r="10591" ht="33.75" customHeight="1">
      <c r="A10591" s="7">
        <v>440.0</v>
      </c>
      <c r="B10591" s="9" t="s">
        <v>16139</v>
      </c>
      <c r="C10591" s="9" t="s">
        <v>665</v>
      </c>
      <c r="D10591" s="9" t="s">
        <v>652</v>
      </c>
      <c r="E10591" s="6" t="s">
        <v>9892</v>
      </c>
      <c r="F10591" s="9" t="s">
        <v>16811</v>
      </c>
    </row>
    <row r="10592" ht="33.75" customHeight="1">
      <c r="A10592" s="7">
        <v>440.0</v>
      </c>
      <c r="B10592" s="9" t="s">
        <v>16139</v>
      </c>
      <c r="C10592" s="9" t="s">
        <v>665</v>
      </c>
      <c r="D10592" s="9" t="s">
        <v>114</v>
      </c>
      <c r="E10592" s="6" t="s">
        <v>9894</v>
      </c>
      <c r="F10592" s="9" t="s">
        <v>16811</v>
      </c>
    </row>
    <row r="10593" ht="33.75" customHeight="1">
      <c r="A10593" s="7">
        <v>440.0</v>
      </c>
      <c r="B10593" s="9" t="s">
        <v>16139</v>
      </c>
      <c r="C10593" s="9" t="s">
        <v>665</v>
      </c>
      <c r="D10593" s="9" t="s">
        <v>117</v>
      </c>
      <c r="E10593" s="6" t="s">
        <v>9896</v>
      </c>
      <c r="F10593" s="9" t="s">
        <v>16811</v>
      </c>
    </row>
    <row r="10594" ht="33.75" customHeight="1">
      <c r="A10594" s="7">
        <v>440.0</v>
      </c>
      <c r="B10594" s="9" t="s">
        <v>16139</v>
      </c>
      <c r="C10594" s="9" t="s">
        <v>665</v>
      </c>
      <c r="D10594" s="9" t="s">
        <v>1577</v>
      </c>
      <c r="E10594" s="6" t="s">
        <v>9898</v>
      </c>
      <c r="F10594" s="9" t="s">
        <v>16811</v>
      </c>
    </row>
    <row r="10595" ht="33.75" customHeight="1">
      <c r="A10595" s="7">
        <v>441.0</v>
      </c>
      <c r="B10595" s="9" t="s">
        <v>16153</v>
      </c>
      <c r="C10595" s="9" t="s">
        <v>668</v>
      </c>
      <c r="D10595" s="9" t="s">
        <v>81</v>
      </c>
      <c r="E10595" s="6" t="s">
        <v>9899</v>
      </c>
      <c r="F10595" s="9" t="s">
        <v>16823</v>
      </c>
      <c r="G10595" t="inlineStr" s="6">
        <is>
          <t xml:space="preserve">Chatot can learn and speak human words. If they gather, they all learn the same saying. It keeps rhythm by flicking its tail feathers like a metronome. It imitates human speech. Its tongue is just like a human’s. As a result, it can cleverly mimic human speech. It mimics the cries of other Pokémon to trick them into thinking it’s one of them. This way they won’t attack it. A versatile performer skilled in the imitation of human speech. It is said that older, more experienced Chatot can even understand the meaning of the words they mimic.</t>
        </is>
      </c>
    </row>
    <row r="10596" ht="33.75" customHeight="1">
      <c r="A10596" s="7">
        <v>441.0</v>
      </c>
      <c r="B10596" s="9" t="s">
        <v>16153</v>
      </c>
      <c r="C10596" s="9" t="s">
        <v>668</v>
      </c>
      <c r="D10596" s="9" t="s">
        <v>84</v>
      </c>
      <c r="E10596" s="6" t="s">
        <v>9900</v>
      </c>
      <c r="F10596" s="9" t="s">
        <v>16823</v>
      </c>
    </row>
    <row r="10597" ht="33.75" customHeight="1">
      <c r="A10597" s="7">
        <v>441.0</v>
      </c>
      <c r="B10597" s="9" t="s">
        <v>16153</v>
      </c>
      <c r="C10597" s="9" t="s">
        <v>668</v>
      </c>
      <c r="D10597" s="9" t="s">
        <v>87</v>
      </c>
      <c r="E10597" s="6" t="s">
        <v>9901</v>
      </c>
      <c r="F10597" s="9" t="s">
        <v>16823</v>
      </c>
    </row>
    <row r="10598" ht="33.75" customHeight="1">
      <c r="A10598" s="7">
        <v>441.0</v>
      </c>
      <c r="B10598" s="9" t="s">
        <v>16153</v>
      </c>
      <c r="C10598" s="9" t="s">
        <v>668</v>
      </c>
      <c r="D10598" s="9" t="s">
        <v>89</v>
      </c>
      <c r="E10598" s="6" t="s">
        <v>9902</v>
      </c>
      <c r="F10598" s="9" t="s">
        <v>16823</v>
      </c>
    </row>
    <row r="10599" ht="33.75" customHeight="1">
      <c r="A10599" s="7">
        <v>441.0</v>
      </c>
      <c r="B10599" s="9" t="s">
        <v>16153</v>
      </c>
      <c r="C10599" s="9" t="s">
        <v>668</v>
      </c>
      <c r="D10599" s="9" t="s">
        <v>91</v>
      </c>
      <c r="E10599" s="6" t="s">
        <v>9902</v>
      </c>
      <c r="F10599" s="9" t="s">
        <v>16823</v>
      </c>
    </row>
    <row r="10600" ht="33.75" customHeight="1">
      <c r="A10600" s="7">
        <v>441.0</v>
      </c>
      <c r="B10600" s="9" t="s">
        <v>16153</v>
      </c>
      <c r="C10600" s="9" t="s">
        <v>668</v>
      </c>
      <c r="D10600" s="9" t="s">
        <v>93</v>
      </c>
      <c r="E10600" s="6" t="s">
        <v>9901</v>
      </c>
      <c r="F10600" s="9" t="s">
        <v>16823</v>
      </c>
    </row>
    <row r="10601" ht="33.75" customHeight="1">
      <c r="A10601" s="7">
        <v>441.0</v>
      </c>
      <c r="B10601" s="9" t="s">
        <v>16153</v>
      </c>
      <c r="C10601" s="9" t="s">
        <v>668</v>
      </c>
      <c r="D10601" s="9" t="s">
        <v>95</v>
      </c>
      <c r="E10601" s="6" t="s">
        <v>9901</v>
      </c>
      <c r="F10601" s="9" t="s">
        <v>16823</v>
      </c>
    </row>
    <row r="10602" ht="33.75" customHeight="1">
      <c r="A10602" s="7">
        <v>441.0</v>
      </c>
      <c r="B10602" s="9" t="s">
        <v>16153</v>
      </c>
      <c r="C10602" s="9" t="s">
        <v>668</v>
      </c>
      <c r="D10602" s="9" t="s">
        <v>98</v>
      </c>
      <c r="E10602" s="6" t="s">
        <v>9901</v>
      </c>
      <c r="F10602" s="9" t="s">
        <v>16823</v>
      </c>
    </row>
    <row r="10603" ht="33.75" customHeight="1">
      <c r="A10603" s="7">
        <v>441.0</v>
      </c>
      <c r="B10603" s="9" t="s">
        <v>16153</v>
      </c>
      <c r="C10603" s="9" t="s">
        <v>668</v>
      </c>
      <c r="D10603" s="9" t="s">
        <v>99</v>
      </c>
      <c r="E10603" s="6" t="s">
        <v>9901</v>
      </c>
      <c r="F10603" s="9" t="s">
        <v>16823</v>
      </c>
    </row>
    <row r="10604" ht="33.75" customHeight="1">
      <c r="A10604" s="7">
        <v>441.0</v>
      </c>
      <c r="B10604" s="9" t="s">
        <v>16153</v>
      </c>
      <c r="C10604" s="9" t="s">
        <v>668</v>
      </c>
      <c r="D10604" s="9" t="s">
        <v>101</v>
      </c>
      <c r="E10604" s="6" t="s">
        <v>9902</v>
      </c>
      <c r="F10604" s="9" t="s">
        <v>16823</v>
      </c>
    </row>
    <row r="10605" ht="33.75" customHeight="1">
      <c r="A10605" s="7">
        <v>441.0</v>
      </c>
      <c r="B10605" s="9" t="s">
        <v>16153</v>
      </c>
      <c r="C10605" s="9" t="s">
        <v>668</v>
      </c>
      <c r="D10605" s="9" t="s">
        <v>105</v>
      </c>
      <c r="E10605" s="6" t="s">
        <v>9899</v>
      </c>
      <c r="F10605" s="9" t="s">
        <v>16823</v>
      </c>
    </row>
    <row r="10606" ht="33.75" customHeight="1">
      <c r="A10606" s="7">
        <v>441.0</v>
      </c>
      <c r="B10606" s="9" t="s">
        <v>16153</v>
      </c>
      <c r="C10606" s="9" t="s">
        <v>668</v>
      </c>
      <c r="D10606" s="9" t="s">
        <v>107</v>
      </c>
      <c r="E10606" s="6" t="s">
        <v>9902</v>
      </c>
      <c r="F10606" s="9" t="s">
        <v>16823</v>
      </c>
    </row>
    <row r="10607" ht="33.75" customHeight="1">
      <c r="A10607" s="7">
        <v>441.0</v>
      </c>
      <c r="B10607" s="9" t="s">
        <v>16153</v>
      </c>
      <c r="C10607" s="9" t="s">
        <v>668</v>
      </c>
      <c r="D10607" s="9" t="s">
        <v>109</v>
      </c>
      <c r="E10607" s="6" t="s">
        <v>9899</v>
      </c>
      <c r="F10607" s="9" t="s">
        <v>16823</v>
      </c>
    </row>
    <row r="10608" ht="33.75" customHeight="1">
      <c r="A10608" s="7">
        <v>441.0</v>
      </c>
      <c r="B10608" s="9" t="s">
        <v>16153</v>
      </c>
      <c r="C10608" s="9" t="s">
        <v>668</v>
      </c>
      <c r="D10608" s="9" t="s">
        <v>1577</v>
      </c>
      <c r="E10608" s="6" t="s">
        <v>9903</v>
      </c>
      <c r="F10608" s="9" t="s">
        <v>16823</v>
      </c>
    </row>
    <row r="10609" ht="33.75" customHeight="1">
      <c r="A10609" s="7">
        <v>442.0</v>
      </c>
      <c r="B10609" s="9" t="s">
        <v>16161</v>
      </c>
      <c r="C10609" s="9" t="s">
        <v>671</v>
      </c>
      <c r="D10609" s="9" t="s">
        <v>81</v>
      </c>
      <c r="E10609" s="6" t="s">
        <v>9904</v>
      </c>
      <c r="F10609" s="9" t="s">
        <v>16839</v>
      </c>
      <c r="G10609" t="inlineStr" s="6">
        <is>
          <t xml:space="preserve">A Pokémon that was formed by 108 spirits. It is bound to a fissure in an odd keystone. It was bound to a fissure in an odd keystone as punishment for misdeeds 500 years ago. Its constant mischief and misdeeds resulted in it being bound to an Odd Keystone by a mysterious spell. It was formed by uniting 108 spirits. It has been bound to the Odd Keystone to keep it from doing any mischief. Exactly 108 spirits gathered to become this Pokémon. Apparently there are some ill-natured spirits in the mix. All Spiritomb’s mischief and misdeeds compelled a traveler to use a mysterious spell to bind Spiritomb to an odd keystone. It lays curses by thinking wicked thoughts. Writings tell that this Pokémon was born out of the assembly of five score and eight malevolent spirits.</t>
        </is>
      </c>
    </row>
    <row r="10610" ht="33.75" customHeight="1">
      <c r="A10610" s="7">
        <v>442.0</v>
      </c>
      <c r="B10610" s="9" t="s">
        <v>16161</v>
      </c>
      <c r="C10610" s="9" t="s">
        <v>671</v>
      </c>
      <c r="D10610" s="9" t="s">
        <v>84</v>
      </c>
      <c r="E10610" s="6" t="s">
        <v>9906</v>
      </c>
      <c r="F10610" s="9" t="s">
        <v>16839</v>
      </c>
    </row>
    <row r="10611" ht="33.75" customHeight="1">
      <c r="A10611" s="7">
        <v>442.0</v>
      </c>
      <c r="B10611" s="9" t="s">
        <v>16161</v>
      </c>
      <c r="C10611" s="9" t="s">
        <v>671</v>
      </c>
      <c r="D10611" s="9" t="s">
        <v>87</v>
      </c>
      <c r="E10611" s="6" t="s">
        <v>9907</v>
      </c>
      <c r="F10611" s="9" t="s">
        <v>16839</v>
      </c>
    </row>
    <row r="10612" ht="33.75" customHeight="1">
      <c r="A10612" s="7">
        <v>442.0</v>
      </c>
      <c r="B10612" s="9" t="s">
        <v>16161</v>
      </c>
      <c r="C10612" s="9" t="s">
        <v>671</v>
      </c>
      <c r="D10612" s="9" t="s">
        <v>89</v>
      </c>
      <c r="E10612" s="6" t="s">
        <v>9909</v>
      </c>
      <c r="F10612" s="9" t="s">
        <v>16839</v>
      </c>
    </row>
    <row r="10613" ht="33.75" customHeight="1">
      <c r="A10613" s="7">
        <v>442.0</v>
      </c>
      <c r="B10613" s="9" t="s">
        <v>16161</v>
      </c>
      <c r="C10613" s="9" t="s">
        <v>671</v>
      </c>
      <c r="D10613" s="9" t="s">
        <v>91</v>
      </c>
      <c r="E10613" s="6" t="s">
        <v>9909</v>
      </c>
      <c r="F10613" s="9" t="s">
        <v>16839</v>
      </c>
    </row>
    <row r="10614" ht="33.75" customHeight="1">
      <c r="A10614" s="7">
        <v>442.0</v>
      </c>
      <c r="B10614" s="9" t="s">
        <v>16161</v>
      </c>
      <c r="C10614" s="9" t="s">
        <v>671</v>
      </c>
      <c r="D10614" s="9" t="s">
        <v>93</v>
      </c>
      <c r="E10614" s="6" t="s">
        <v>9907</v>
      </c>
      <c r="F10614" s="9" t="s">
        <v>16839</v>
      </c>
    </row>
    <row r="10615" ht="33.75" customHeight="1">
      <c r="A10615" s="7">
        <v>442.0</v>
      </c>
      <c r="B10615" s="9" t="s">
        <v>16161</v>
      </c>
      <c r="C10615" s="9" t="s">
        <v>671</v>
      </c>
      <c r="D10615" s="9" t="s">
        <v>95</v>
      </c>
      <c r="E10615" s="6" t="s">
        <v>9907</v>
      </c>
      <c r="F10615" s="9" t="s">
        <v>16839</v>
      </c>
    </row>
    <row r="10616" ht="33.75" customHeight="1">
      <c r="A10616" s="7">
        <v>442.0</v>
      </c>
      <c r="B10616" s="9" t="s">
        <v>16161</v>
      </c>
      <c r="C10616" s="9" t="s">
        <v>671</v>
      </c>
      <c r="D10616" s="9" t="s">
        <v>98</v>
      </c>
      <c r="E10616" s="6" t="s">
        <v>9907</v>
      </c>
      <c r="F10616" s="9" t="s">
        <v>16839</v>
      </c>
    </row>
    <row r="10617" ht="33.75" customHeight="1">
      <c r="A10617" s="7">
        <v>442.0</v>
      </c>
      <c r="B10617" s="9" t="s">
        <v>16161</v>
      </c>
      <c r="C10617" s="9" t="s">
        <v>671</v>
      </c>
      <c r="D10617" s="9" t="s">
        <v>99</v>
      </c>
      <c r="E10617" s="6" t="s">
        <v>9907</v>
      </c>
      <c r="F10617" s="9" t="s">
        <v>16839</v>
      </c>
    </row>
    <row r="10618" ht="33.75" customHeight="1">
      <c r="A10618" s="7">
        <v>442.0</v>
      </c>
      <c r="B10618" s="9" t="s">
        <v>16161</v>
      </c>
      <c r="C10618" s="9" t="s">
        <v>671</v>
      </c>
      <c r="D10618" s="9" t="s">
        <v>101</v>
      </c>
      <c r="E10618" s="6" t="s">
        <v>9904</v>
      </c>
      <c r="F10618" s="9" t="s">
        <v>16839</v>
      </c>
    </row>
    <row r="10619" ht="33.75" customHeight="1">
      <c r="A10619" s="7">
        <v>442.0</v>
      </c>
      <c r="B10619" s="9" t="s">
        <v>16161</v>
      </c>
      <c r="C10619" s="9" t="s">
        <v>671</v>
      </c>
      <c r="D10619" s="9" t="s">
        <v>105</v>
      </c>
      <c r="E10619" s="6" t="s">
        <v>9906</v>
      </c>
      <c r="F10619" s="9" t="s">
        <v>16839</v>
      </c>
    </row>
    <row r="10620" ht="33.75" customHeight="1">
      <c r="A10620" s="7">
        <v>442.0</v>
      </c>
      <c r="B10620" s="9" t="s">
        <v>16161</v>
      </c>
      <c r="C10620" s="9" t="s">
        <v>671</v>
      </c>
      <c r="D10620" s="9" t="s">
        <v>107</v>
      </c>
      <c r="E10620" s="6" t="s">
        <v>9904</v>
      </c>
      <c r="F10620" s="9" t="s">
        <v>16839</v>
      </c>
    </row>
    <row r="10621" ht="33.75" customHeight="1">
      <c r="A10621" s="7">
        <v>442.0</v>
      </c>
      <c r="B10621" s="9" t="s">
        <v>16161</v>
      </c>
      <c r="C10621" s="9" t="s">
        <v>671</v>
      </c>
      <c r="D10621" s="9" t="s">
        <v>109</v>
      </c>
      <c r="E10621" s="6" t="s">
        <v>9906</v>
      </c>
      <c r="F10621" s="9" t="s">
        <v>16839</v>
      </c>
    </row>
    <row r="10622" ht="33.75" customHeight="1">
      <c r="A10622" s="7">
        <v>442.0</v>
      </c>
      <c r="B10622" s="9" t="s">
        <v>16161</v>
      </c>
      <c r="C10622" s="9" t="s">
        <v>671</v>
      </c>
      <c r="D10622" s="9" t="s">
        <v>114</v>
      </c>
      <c r="E10622" s="6" t="s">
        <v>9911</v>
      </c>
      <c r="F10622" s="9" t="s">
        <v>16839</v>
      </c>
    </row>
    <row r="10623" ht="33.75" customHeight="1">
      <c r="A10623" s="7">
        <v>442.0</v>
      </c>
      <c r="B10623" s="9" t="s">
        <v>16161</v>
      </c>
      <c r="C10623" s="9" t="s">
        <v>671</v>
      </c>
      <c r="D10623" s="9" t="s">
        <v>117</v>
      </c>
      <c r="E10623" s="6" t="s">
        <v>9912</v>
      </c>
      <c r="F10623" s="9" t="s">
        <v>16839</v>
      </c>
    </row>
    <row r="10624" ht="33.75" customHeight="1">
      <c r="A10624" s="7">
        <v>442.0</v>
      </c>
      <c r="B10624" s="9" t="s">
        <v>16161</v>
      </c>
      <c r="C10624" s="9" t="s">
        <v>671</v>
      </c>
      <c r="D10624" s="9" t="s">
        <v>1577</v>
      </c>
      <c r="E10624" s="6" t="s">
        <v>9914</v>
      </c>
      <c r="F10624" s="9" t="s">
        <v>16839</v>
      </c>
    </row>
    <row r="10625" ht="33.75" customHeight="1">
      <c r="A10625" s="7">
        <v>443.0</v>
      </c>
      <c r="B10625" s="9" t="s">
        <v>16170</v>
      </c>
      <c r="C10625" s="9" t="s">
        <v>673</v>
      </c>
      <c r="D10625" s="9" t="s">
        <v>81</v>
      </c>
      <c r="E10625" s="6" t="s">
        <v>9917</v>
      </c>
      <c r="F10625" s="9" t="s">
        <v>16849</v>
      </c>
      <c r="G10625" t="inlineStr" s="6">
        <is>
          <t xml:space="preserve">It nests in small, horizontal holes in cave walls. It pounces to catch prey that stray too close. It once lived in the tropics. To avoid the cold, it lives in caves warmed by geothermal heat. It attacks using its huge mouth. While its attacks are powerful, it hurts itself out of clumsiness, too. It nests in horizontal holes warmed by geothermal heat. Foes who get too close can expect to be pounced on and bitten. It lives in caves warmed by geothermal heat. Even so, when the weather gets cold, it will huddle close with others of its kind. It skulks in caves, and when prey or an enemy passes by, it leaps out and chomps them. The force of its attack sometimes chips its teeth. It reacts to anything that moves—flies right at it and bites it. Sometimes it injures itself, but it doesn’t care too much. Its original home is an area much hotter than Alola. If you’re planning to live with one, your heating bill will soar. Gible prefers to stay in narrow holes in the sides of caves heated by geothermal energy. This way, Gible can stay warm even during a blizzard. Gible attacks anything that moves, and it drags whatever it catches into the crevice that is its lair. Despite the big mouth, Gible’s stomach is small. It nests in caves untouched by sunlight. Its sharp teeth may fall out when worn away or after an impact, but they regrow within a few days.</t>
        </is>
      </c>
    </row>
    <row r="10626" ht="33.75" customHeight="1">
      <c r="A10626" s="7">
        <v>443.0</v>
      </c>
      <c r="B10626" s="9" t="s">
        <v>16170</v>
      </c>
      <c r="C10626" s="9" t="s">
        <v>673</v>
      </c>
      <c r="D10626" s="9" t="s">
        <v>84</v>
      </c>
      <c r="E10626" s="6" t="s">
        <v>9918</v>
      </c>
      <c r="F10626" s="9" t="s">
        <v>16849</v>
      </c>
    </row>
    <row r="10627" ht="33.75" customHeight="1">
      <c r="A10627" s="7">
        <v>443.0</v>
      </c>
      <c r="B10627" s="9" t="s">
        <v>16170</v>
      </c>
      <c r="C10627" s="9" t="s">
        <v>673</v>
      </c>
      <c r="D10627" s="9" t="s">
        <v>87</v>
      </c>
      <c r="E10627" s="6" t="s">
        <v>9920</v>
      </c>
      <c r="F10627" s="9" t="s">
        <v>16849</v>
      </c>
    </row>
    <row r="10628" ht="33.75" customHeight="1">
      <c r="A10628" s="7">
        <v>443.0</v>
      </c>
      <c r="B10628" s="9" t="s">
        <v>16170</v>
      </c>
      <c r="C10628" s="9" t="s">
        <v>673</v>
      </c>
      <c r="D10628" s="9" t="s">
        <v>89</v>
      </c>
      <c r="E10628" s="6" t="s">
        <v>9922</v>
      </c>
      <c r="F10628" s="9" t="s">
        <v>16849</v>
      </c>
    </row>
    <row r="10629" ht="33.75" customHeight="1">
      <c r="A10629" s="7">
        <v>443.0</v>
      </c>
      <c r="B10629" s="9" t="s">
        <v>16170</v>
      </c>
      <c r="C10629" s="9" t="s">
        <v>673</v>
      </c>
      <c r="D10629" s="9" t="s">
        <v>91</v>
      </c>
      <c r="E10629" s="6" t="s">
        <v>9922</v>
      </c>
      <c r="F10629" s="9" t="s">
        <v>16849</v>
      </c>
    </row>
    <row r="10630" ht="33.75" customHeight="1">
      <c r="A10630" s="7">
        <v>443.0</v>
      </c>
      <c r="B10630" s="9" t="s">
        <v>16170</v>
      </c>
      <c r="C10630" s="9" t="s">
        <v>673</v>
      </c>
      <c r="D10630" s="9" t="s">
        <v>93</v>
      </c>
      <c r="E10630" s="6" t="s">
        <v>9920</v>
      </c>
      <c r="F10630" s="9" t="s">
        <v>16849</v>
      </c>
    </row>
    <row r="10631" ht="33.75" customHeight="1">
      <c r="A10631" s="7">
        <v>443.0</v>
      </c>
      <c r="B10631" s="9" t="s">
        <v>16170</v>
      </c>
      <c r="C10631" s="9" t="s">
        <v>673</v>
      </c>
      <c r="D10631" s="9" t="s">
        <v>95</v>
      </c>
      <c r="E10631" s="6" t="s">
        <v>9920</v>
      </c>
      <c r="F10631" s="9" t="s">
        <v>16849</v>
      </c>
    </row>
    <row r="10632" ht="33.75" customHeight="1">
      <c r="A10632" s="7">
        <v>443.0</v>
      </c>
      <c r="B10632" s="9" t="s">
        <v>16170</v>
      </c>
      <c r="C10632" s="9" t="s">
        <v>673</v>
      </c>
      <c r="D10632" s="9" t="s">
        <v>98</v>
      </c>
      <c r="E10632" s="6" t="s">
        <v>9920</v>
      </c>
      <c r="F10632" s="9" t="s">
        <v>16849</v>
      </c>
    </row>
    <row r="10633" ht="33.75" customHeight="1">
      <c r="A10633" s="7">
        <v>443.0</v>
      </c>
      <c r="B10633" s="9" t="s">
        <v>16170</v>
      </c>
      <c r="C10633" s="9" t="s">
        <v>673</v>
      </c>
      <c r="D10633" s="9" t="s">
        <v>99</v>
      </c>
      <c r="E10633" s="6" t="s">
        <v>9920</v>
      </c>
      <c r="F10633" s="9" t="s">
        <v>16849</v>
      </c>
    </row>
    <row r="10634" ht="33.75" customHeight="1">
      <c r="A10634" s="7">
        <v>443.0</v>
      </c>
      <c r="B10634" s="9" t="s">
        <v>16170</v>
      </c>
      <c r="C10634" s="9" t="s">
        <v>673</v>
      </c>
      <c r="D10634" s="9" t="s">
        <v>101</v>
      </c>
      <c r="E10634" s="6" t="s">
        <v>9922</v>
      </c>
      <c r="F10634" s="9" t="s">
        <v>16849</v>
      </c>
    </row>
    <row r="10635" ht="33.75" customHeight="1">
      <c r="A10635" s="7">
        <v>443.0</v>
      </c>
      <c r="B10635" s="9" t="s">
        <v>16170</v>
      </c>
      <c r="C10635" s="9" t="s">
        <v>673</v>
      </c>
      <c r="D10635" s="9" t="s">
        <v>105</v>
      </c>
      <c r="E10635" s="6" t="s">
        <v>9917</v>
      </c>
      <c r="F10635" s="9" t="s">
        <v>16849</v>
      </c>
    </row>
    <row r="10636" ht="33.75" customHeight="1">
      <c r="A10636" s="7">
        <v>443.0</v>
      </c>
      <c r="B10636" s="9" t="s">
        <v>16170</v>
      </c>
      <c r="C10636" s="9" t="s">
        <v>673</v>
      </c>
      <c r="D10636" s="9" t="s">
        <v>107</v>
      </c>
      <c r="E10636" s="6" t="s">
        <v>9922</v>
      </c>
      <c r="F10636" s="9" t="s">
        <v>16849</v>
      </c>
    </row>
    <row r="10637" ht="33.75" customHeight="1">
      <c r="A10637" s="7">
        <v>443.0</v>
      </c>
      <c r="B10637" s="9" t="s">
        <v>16170</v>
      </c>
      <c r="C10637" s="9" t="s">
        <v>673</v>
      </c>
      <c r="D10637" s="9" t="s">
        <v>109</v>
      </c>
      <c r="E10637" s="6" t="s">
        <v>9917</v>
      </c>
      <c r="F10637" s="9" t="s">
        <v>16849</v>
      </c>
    </row>
    <row r="10638" ht="33.75" customHeight="1">
      <c r="A10638" s="7">
        <v>443.0</v>
      </c>
      <c r="B10638" s="9" t="s">
        <v>16170</v>
      </c>
      <c r="C10638" s="9" t="s">
        <v>673</v>
      </c>
      <c r="D10638" s="9" t="s">
        <v>637</v>
      </c>
      <c r="E10638" s="6" t="s">
        <v>9923</v>
      </c>
      <c r="F10638" s="9" t="s">
        <v>16849</v>
      </c>
    </row>
    <row r="10639" ht="33.75" customHeight="1">
      <c r="A10639" s="7">
        <v>443.0</v>
      </c>
      <c r="B10639" s="9" t="s">
        <v>16170</v>
      </c>
      <c r="C10639" s="9" t="s">
        <v>673</v>
      </c>
      <c r="D10639" s="9" t="s">
        <v>642</v>
      </c>
      <c r="E10639" s="6" t="s">
        <v>9925</v>
      </c>
      <c r="F10639" s="9" t="s">
        <v>16849</v>
      </c>
    </row>
    <row r="10640" ht="33.75" customHeight="1">
      <c r="A10640" s="7">
        <v>443.0</v>
      </c>
      <c r="B10640" s="9" t="s">
        <v>16170</v>
      </c>
      <c r="C10640" s="9" t="s">
        <v>673</v>
      </c>
      <c r="D10640" s="9" t="s">
        <v>647</v>
      </c>
      <c r="E10640" s="6" t="s">
        <v>9926</v>
      </c>
      <c r="F10640" s="9" t="s">
        <v>16849</v>
      </c>
    </row>
    <row r="10641" ht="33.75" customHeight="1">
      <c r="A10641" s="7">
        <v>443.0</v>
      </c>
      <c r="B10641" s="9" t="s">
        <v>16170</v>
      </c>
      <c r="C10641" s="9" t="s">
        <v>673</v>
      </c>
      <c r="D10641" s="9" t="s">
        <v>652</v>
      </c>
      <c r="E10641" s="6" t="s">
        <v>9928</v>
      </c>
      <c r="F10641" s="9" t="s">
        <v>16849</v>
      </c>
    </row>
    <row r="10642" ht="33.75" customHeight="1">
      <c r="A10642" s="7">
        <v>443.0</v>
      </c>
      <c r="B10642" s="9" t="s">
        <v>16170</v>
      </c>
      <c r="C10642" s="9" t="s">
        <v>673</v>
      </c>
      <c r="D10642" s="9" t="s">
        <v>114</v>
      </c>
      <c r="E10642" s="6" t="s">
        <v>9929</v>
      </c>
      <c r="F10642" s="9" t="s">
        <v>16849</v>
      </c>
    </row>
    <row r="10643" ht="33.75" customHeight="1">
      <c r="A10643" s="7">
        <v>443.0</v>
      </c>
      <c r="B10643" s="9" t="s">
        <v>16170</v>
      </c>
      <c r="C10643" s="9" t="s">
        <v>673</v>
      </c>
      <c r="D10643" s="9" t="s">
        <v>117</v>
      </c>
      <c r="E10643" s="6" t="s">
        <v>9931</v>
      </c>
      <c r="F10643" s="9" t="s">
        <v>16849</v>
      </c>
    </row>
    <row r="10644" ht="33.75" customHeight="1">
      <c r="A10644" s="7">
        <v>443.0</v>
      </c>
      <c r="B10644" s="9" t="s">
        <v>16170</v>
      </c>
      <c r="C10644" s="9" t="s">
        <v>673</v>
      </c>
      <c r="D10644" s="9" t="s">
        <v>1577</v>
      </c>
      <c r="E10644" s="6" t="s">
        <v>9933</v>
      </c>
      <c r="F10644" s="9" t="s">
        <v>16849</v>
      </c>
    </row>
    <row r="10645" ht="33.75" customHeight="1">
      <c r="A10645" s="7">
        <v>444.0</v>
      </c>
      <c r="B10645" s="9" t="s">
        <v>16184</v>
      </c>
      <c r="C10645" s="9" t="s">
        <v>674</v>
      </c>
      <c r="D10645" s="9" t="s">
        <v>81</v>
      </c>
      <c r="E10645" s="6" t="s">
        <v>9935</v>
      </c>
      <c r="F10645" s="9" t="s">
        <v>16866</v>
      </c>
      <c r="G10645" t="inlineStr" s="6">
        <is>
          <t xml:space="preserve">There is a long-held belief that medicine made from Gabite's scales will heal even incurable illnesses. It habitually digs up and hoards gems in its nest. Its loot is constantly targeted by thieves. It loves sparkly things. It seeks treasures in caves and hoards the loot in its nest. As it digs to expand its nest, it habitually digs up gems that it then hoards in its nest. In rare cases, it molts and sheds its scales. Medicine containing its scales as an ingredient will make a weary body feel invigorated. Shiny objects are its passion. It can be found in its cave, scarcely moving, its gaze fixed on the jewels it’s amassed or Carbink it has caught. It loves shiny things. When it finds a Sableye trying to catch a Carbink, Gabite becomes furiously angry and attacks the Sableye. It sheds its skin and gradually grows larger. Its scales can be ground into a powder and used as raw materials for traditional medicine. This Pokémon emits ultrasonic waves from a protrusion on either side of its head to probe pitch-dark caves. Jewels are buried in the caves these Pokémon nest in, but you’ll be torn apart by claws and fangs the moment you enter one of these caves. Though Gabite are usually of a violent disposition, when I gave one a glass bead it had been eyeing covetously, it suddenly became quite docile.</t>
        </is>
      </c>
    </row>
    <row r="10646" ht="33.75" customHeight="1">
      <c r="A10646" s="7">
        <v>444.0</v>
      </c>
      <c r="B10646" s="9" t="s">
        <v>16184</v>
      </c>
      <c r="C10646" s="9" t="s">
        <v>674</v>
      </c>
      <c r="D10646" s="9" t="s">
        <v>84</v>
      </c>
      <c r="E10646" s="6" t="s">
        <v>9937</v>
      </c>
      <c r="F10646" s="9" t="s">
        <v>16866</v>
      </c>
    </row>
    <row r="10647" ht="33.75" customHeight="1">
      <c r="A10647" s="7">
        <v>444.0</v>
      </c>
      <c r="B10647" s="9" t="s">
        <v>16184</v>
      </c>
      <c r="C10647" s="9" t="s">
        <v>674</v>
      </c>
      <c r="D10647" s="9" t="s">
        <v>87</v>
      </c>
      <c r="E10647" s="6" t="s">
        <v>9938</v>
      </c>
      <c r="F10647" s="9" t="s">
        <v>16866</v>
      </c>
    </row>
    <row r="10648" ht="33.75" customHeight="1">
      <c r="A10648" s="7">
        <v>444.0</v>
      </c>
      <c r="B10648" s="9" t="s">
        <v>16184</v>
      </c>
      <c r="C10648" s="9" t="s">
        <v>674</v>
      </c>
      <c r="D10648" s="9" t="s">
        <v>89</v>
      </c>
      <c r="E10648" s="6" t="s">
        <v>9939</v>
      </c>
      <c r="F10648" s="9" t="s">
        <v>16866</v>
      </c>
    </row>
    <row r="10649" ht="33.75" customHeight="1">
      <c r="A10649" s="7">
        <v>444.0</v>
      </c>
      <c r="B10649" s="9" t="s">
        <v>16184</v>
      </c>
      <c r="C10649" s="9" t="s">
        <v>674</v>
      </c>
      <c r="D10649" s="9" t="s">
        <v>91</v>
      </c>
      <c r="E10649" s="6" t="s">
        <v>9939</v>
      </c>
      <c r="F10649" s="9" t="s">
        <v>16866</v>
      </c>
    </row>
    <row r="10650" ht="33.75" customHeight="1">
      <c r="A10650" s="7">
        <v>444.0</v>
      </c>
      <c r="B10650" s="9" t="s">
        <v>16184</v>
      </c>
      <c r="C10650" s="9" t="s">
        <v>674</v>
      </c>
      <c r="D10650" s="9" t="s">
        <v>93</v>
      </c>
      <c r="E10650" s="6" t="s">
        <v>9938</v>
      </c>
      <c r="F10650" s="9" t="s">
        <v>16866</v>
      </c>
    </row>
    <row r="10651" ht="33.75" customHeight="1">
      <c r="A10651" s="7">
        <v>444.0</v>
      </c>
      <c r="B10651" s="9" t="s">
        <v>16184</v>
      </c>
      <c r="C10651" s="9" t="s">
        <v>674</v>
      </c>
      <c r="D10651" s="9" t="s">
        <v>95</v>
      </c>
      <c r="E10651" s="6" t="s">
        <v>9938</v>
      </c>
      <c r="F10651" s="9" t="s">
        <v>16866</v>
      </c>
    </row>
    <row r="10652" ht="33.75" customHeight="1">
      <c r="A10652" s="7">
        <v>444.0</v>
      </c>
      <c r="B10652" s="9" t="s">
        <v>16184</v>
      </c>
      <c r="C10652" s="9" t="s">
        <v>674</v>
      </c>
      <c r="D10652" s="9" t="s">
        <v>98</v>
      </c>
      <c r="E10652" s="6" t="s">
        <v>9938</v>
      </c>
      <c r="F10652" s="9" t="s">
        <v>16866</v>
      </c>
    </row>
    <row r="10653" ht="33.75" customHeight="1">
      <c r="A10653" s="7">
        <v>444.0</v>
      </c>
      <c r="B10653" s="9" t="s">
        <v>16184</v>
      </c>
      <c r="C10653" s="9" t="s">
        <v>674</v>
      </c>
      <c r="D10653" s="9" t="s">
        <v>99</v>
      </c>
      <c r="E10653" s="6" t="s">
        <v>9938</v>
      </c>
      <c r="F10653" s="9" t="s">
        <v>16866</v>
      </c>
    </row>
    <row r="10654" ht="33.75" customHeight="1">
      <c r="A10654" s="7">
        <v>444.0</v>
      </c>
      <c r="B10654" s="9" t="s">
        <v>16184</v>
      </c>
      <c r="C10654" s="9" t="s">
        <v>674</v>
      </c>
      <c r="D10654" s="9" t="s">
        <v>101</v>
      </c>
      <c r="E10654" s="6" t="s">
        <v>9938</v>
      </c>
      <c r="F10654" s="9" t="s">
        <v>16866</v>
      </c>
    </row>
    <row r="10655" ht="33.75" customHeight="1">
      <c r="A10655" s="7">
        <v>444.0</v>
      </c>
      <c r="B10655" s="9" t="s">
        <v>16184</v>
      </c>
      <c r="C10655" s="9" t="s">
        <v>674</v>
      </c>
      <c r="D10655" s="9" t="s">
        <v>105</v>
      </c>
      <c r="E10655" s="6" t="s">
        <v>9939</v>
      </c>
      <c r="F10655" s="9" t="s">
        <v>16866</v>
      </c>
    </row>
    <row r="10656" ht="33.75" customHeight="1">
      <c r="A10656" s="7">
        <v>444.0</v>
      </c>
      <c r="B10656" s="9" t="s">
        <v>16184</v>
      </c>
      <c r="C10656" s="9" t="s">
        <v>674</v>
      </c>
      <c r="D10656" s="9" t="s">
        <v>107</v>
      </c>
      <c r="E10656" s="6" t="s">
        <v>9938</v>
      </c>
      <c r="F10656" s="9" t="s">
        <v>16866</v>
      </c>
    </row>
    <row r="10657" ht="33.75" customHeight="1">
      <c r="A10657" s="7">
        <v>444.0</v>
      </c>
      <c r="B10657" s="9" t="s">
        <v>16184</v>
      </c>
      <c r="C10657" s="9" t="s">
        <v>674</v>
      </c>
      <c r="D10657" s="9" t="s">
        <v>109</v>
      </c>
      <c r="E10657" s="6" t="s">
        <v>9939</v>
      </c>
      <c r="F10657" s="9" t="s">
        <v>16866</v>
      </c>
    </row>
    <row r="10658" ht="33.75" customHeight="1">
      <c r="A10658" s="7">
        <v>444.0</v>
      </c>
      <c r="B10658" s="9" t="s">
        <v>16184</v>
      </c>
      <c r="C10658" s="9" t="s">
        <v>674</v>
      </c>
      <c r="D10658" s="9" t="s">
        <v>637</v>
      </c>
      <c r="E10658" s="6" t="s">
        <v>9940</v>
      </c>
      <c r="F10658" s="9" t="s">
        <v>16866</v>
      </c>
    </row>
    <row r="10659" ht="33.75" customHeight="1">
      <c r="A10659" s="7">
        <v>444.0</v>
      </c>
      <c r="B10659" s="9" t="s">
        <v>16184</v>
      </c>
      <c r="C10659" s="9" t="s">
        <v>674</v>
      </c>
      <c r="D10659" s="9" t="s">
        <v>642</v>
      </c>
      <c r="E10659" s="6" t="s">
        <v>9941</v>
      </c>
      <c r="F10659" s="9" t="s">
        <v>16866</v>
      </c>
    </row>
    <row r="10660" ht="33.75" customHeight="1">
      <c r="A10660" s="7">
        <v>444.0</v>
      </c>
      <c r="B10660" s="9" t="s">
        <v>16184</v>
      </c>
      <c r="C10660" s="9" t="s">
        <v>674</v>
      </c>
      <c r="D10660" s="9" t="s">
        <v>647</v>
      </c>
      <c r="E10660" s="6" t="s">
        <v>9942</v>
      </c>
      <c r="F10660" s="9" t="s">
        <v>16866</v>
      </c>
    </row>
    <row r="10661" ht="33.75" customHeight="1">
      <c r="A10661" s="7">
        <v>444.0</v>
      </c>
      <c r="B10661" s="9" t="s">
        <v>16184</v>
      </c>
      <c r="C10661" s="9" t="s">
        <v>674</v>
      </c>
      <c r="D10661" s="9" t="s">
        <v>652</v>
      </c>
      <c r="E10661" s="6" t="s">
        <v>9943</v>
      </c>
      <c r="F10661" s="9" t="s">
        <v>16866</v>
      </c>
    </row>
    <row r="10662" ht="33.75" customHeight="1">
      <c r="A10662" s="7">
        <v>444.0</v>
      </c>
      <c r="B10662" s="9" t="s">
        <v>16184</v>
      </c>
      <c r="C10662" s="9" t="s">
        <v>674</v>
      </c>
      <c r="D10662" s="9" t="s">
        <v>114</v>
      </c>
      <c r="E10662" s="6" t="s">
        <v>9944</v>
      </c>
      <c r="F10662" s="9" t="s">
        <v>16866</v>
      </c>
    </row>
    <row r="10663" ht="33.75" customHeight="1">
      <c r="A10663" s="7">
        <v>444.0</v>
      </c>
      <c r="B10663" s="9" t="s">
        <v>16184</v>
      </c>
      <c r="C10663" s="9" t="s">
        <v>674</v>
      </c>
      <c r="D10663" s="9" t="s">
        <v>117</v>
      </c>
      <c r="E10663" s="6" t="s">
        <v>9945</v>
      </c>
      <c r="F10663" s="9" t="s">
        <v>16866</v>
      </c>
    </row>
    <row r="10664" ht="33.75" customHeight="1">
      <c r="A10664" s="7">
        <v>444.0</v>
      </c>
      <c r="B10664" s="9" t="s">
        <v>16184</v>
      </c>
      <c r="C10664" s="9" t="s">
        <v>674</v>
      </c>
      <c r="D10664" s="9" t="s">
        <v>1577</v>
      </c>
      <c r="E10664" s="6" t="s">
        <v>9946</v>
      </c>
      <c r="F10664" s="9" t="s">
        <v>16866</v>
      </c>
    </row>
    <row r="10665" ht="33.75" customHeight="1">
      <c r="A10665" s="7">
        <v>445.0</v>
      </c>
      <c r="B10665" s="9" t="s">
        <v>16199</v>
      </c>
      <c r="C10665" s="9" t="s">
        <v>677</v>
      </c>
      <c r="D10665" s="9" t="s">
        <v>81</v>
      </c>
      <c r="E10665" s="6" t="s">
        <v>9948</v>
      </c>
      <c r="F10665" s="9" t="s">
        <v>16877</v>
      </c>
      <c r="G10665" t="inlineStr" s="6">
        <is>
          <t xml:space="preserve">When it folds up Garchomp's body and extends its wings, it looks like a jet plane. It flies at sonic speed. It flies at speeds equal to a jet fighter plane. It never allows its prey to escape. It is said that when one runs at high speed, its wings create blades of wind that can fell nearby trees. Its body is covered in fine scales that reduce drag, enabling it to fly at high speeds. It can fly at speeds rivaling jet planes. It dives into flocks of bird Pokémon and gulps the entire flock down whole. The protuberances on its head serve as sensors. It can even detect distant prey. It flies at the speed of sound while searching for prey, and it has midair battles with Salamence as the two compete for food. Its fine scales don’t just reduce wind resistance—their sharp edges also cause injury to any opponent who attacks it. Garchomp makes its home in volcanic mountains. It flies through the sky as fast as a jet airplane, hunting down as much prey as it can. Garchomp is fast both underground and above. It can bring down prey and return to its den before its body has chilled from being outside. Soars across the heavens at blinding speed—a magnificent sight! It has a feral disposition. Utmost caution is required if one meets a Garchomp out in the wilds.</t>
        </is>
      </c>
    </row>
    <row r="10666" ht="33.75" customHeight="1">
      <c r="A10666" s="7">
        <v>445.0</v>
      </c>
      <c r="B10666" s="9" t="s">
        <v>16199</v>
      </c>
      <c r="C10666" s="9" t="s">
        <v>677</v>
      </c>
      <c r="D10666" s="9" t="s">
        <v>84</v>
      </c>
      <c r="E10666" s="6" t="s">
        <v>9949</v>
      </c>
      <c r="F10666" s="9" t="s">
        <v>16877</v>
      </c>
    </row>
    <row r="10667" ht="33.75" customHeight="1">
      <c r="A10667" s="7">
        <v>445.0</v>
      </c>
      <c r="B10667" s="9" t="s">
        <v>16199</v>
      </c>
      <c r="C10667" s="9" t="s">
        <v>677</v>
      </c>
      <c r="D10667" s="9" t="s">
        <v>87</v>
      </c>
      <c r="E10667" s="6" t="s">
        <v>9951</v>
      </c>
      <c r="F10667" s="9" t="s">
        <v>16877</v>
      </c>
    </row>
    <row r="10668" ht="33.75" customHeight="1">
      <c r="A10668" s="7">
        <v>445.0</v>
      </c>
      <c r="B10668" s="9" t="s">
        <v>16199</v>
      </c>
      <c r="C10668" s="9" t="s">
        <v>677</v>
      </c>
      <c r="D10668" s="9" t="s">
        <v>89</v>
      </c>
      <c r="E10668" s="6" t="s">
        <v>9953</v>
      </c>
      <c r="F10668" s="9" t="s">
        <v>16877</v>
      </c>
    </row>
    <row r="10669" ht="33.75" customHeight="1">
      <c r="A10669" s="7">
        <v>445.0</v>
      </c>
      <c r="B10669" s="9" t="s">
        <v>16199</v>
      </c>
      <c r="C10669" s="9" t="s">
        <v>677</v>
      </c>
      <c r="D10669" s="9" t="s">
        <v>91</v>
      </c>
      <c r="E10669" s="6" t="s">
        <v>9953</v>
      </c>
      <c r="F10669" s="9" t="s">
        <v>16877</v>
      </c>
    </row>
    <row r="10670" ht="33.75" customHeight="1">
      <c r="A10670" s="7">
        <v>445.0</v>
      </c>
      <c r="B10670" s="9" t="s">
        <v>16199</v>
      </c>
      <c r="C10670" s="9" t="s">
        <v>677</v>
      </c>
      <c r="D10670" s="9" t="s">
        <v>93</v>
      </c>
      <c r="E10670" s="6" t="s">
        <v>9951</v>
      </c>
      <c r="F10670" s="9" t="s">
        <v>16877</v>
      </c>
    </row>
    <row r="10671" ht="33.75" customHeight="1">
      <c r="A10671" s="7">
        <v>445.0</v>
      </c>
      <c r="B10671" s="9" t="s">
        <v>16199</v>
      </c>
      <c r="C10671" s="9" t="s">
        <v>677</v>
      </c>
      <c r="D10671" s="9" t="s">
        <v>95</v>
      </c>
      <c r="E10671" s="6" t="s">
        <v>9951</v>
      </c>
      <c r="F10671" s="9" t="s">
        <v>16877</v>
      </c>
    </row>
    <row r="10672" ht="33.75" customHeight="1">
      <c r="A10672" s="7">
        <v>445.0</v>
      </c>
      <c r="B10672" s="9" t="s">
        <v>16199</v>
      </c>
      <c r="C10672" s="9" t="s">
        <v>677</v>
      </c>
      <c r="D10672" s="9" t="s">
        <v>98</v>
      </c>
      <c r="E10672" s="6" t="s">
        <v>9951</v>
      </c>
      <c r="F10672" s="9" t="s">
        <v>16877</v>
      </c>
    </row>
    <row r="10673" ht="33.75" customHeight="1">
      <c r="A10673" s="7">
        <v>445.0</v>
      </c>
      <c r="B10673" s="9" t="s">
        <v>16199</v>
      </c>
      <c r="C10673" s="9" t="s">
        <v>677</v>
      </c>
      <c r="D10673" s="9" t="s">
        <v>99</v>
      </c>
      <c r="E10673" s="6" t="s">
        <v>9951</v>
      </c>
      <c r="F10673" s="9" t="s">
        <v>16877</v>
      </c>
    </row>
    <row r="10674" ht="33.75" customHeight="1">
      <c r="A10674" s="7">
        <v>445.0</v>
      </c>
      <c r="B10674" s="9" t="s">
        <v>16199</v>
      </c>
      <c r="C10674" s="9" t="s">
        <v>677</v>
      </c>
      <c r="D10674" s="9" t="s">
        <v>101</v>
      </c>
      <c r="E10674" s="6" t="s">
        <v>9948</v>
      </c>
      <c r="F10674" s="9" t="s">
        <v>16877</v>
      </c>
    </row>
    <row r="10675" ht="33.75" customHeight="1">
      <c r="A10675" s="7">
        <v>445.0</v>
      </c>
      <c r="B10675" s="9" t="s">
        <v>16199</v>
      </c>
      <c r="C10675" s="9" t="s">
        <v>677</v>
      </c>
      <c r="D10675" s="9" t="s">
        <v>105</v>
      </c>
      <c r="E10675" s="6" t="s">
        <v>9949</v>
      </c>
      <c r="F10675" s="9" t="s">
        <v>16877</v>
      </c>
    </row>
    <row r="10676" ht="33.75" customHeight="1">
      <c r="A10676" s="7">
        <v>445.0</v>
      </c>
      <c r="B10676" s="9" t="s">
        <v>16199</v>
      </c>
      <c r="C10676" s="9" t="s">
        <v>677</v>
      </c>
      <c r="D10676" s="9" t="s">
        <v>107</v>
      </c>
      <c r="E10676" s="6" t="s">
        <v>9948</v>
      </c>
      <c r="F10676" s="9" t="s">
        <v>16877</v>
      </c>
    </row>
    <row r="10677" ht="33.75" customHeight="1">
      <c r="A10677" s="7">
        <v>445.0</v>
      </c>
      <c r="B10677" s="9" t="s">
        <v>16199</v>
      </c>
      <c r="C10677" s="9" t="s">
        <v>677</v>
      </c>
      <c r="D10677" s="9" t="s">
        <v>109</v>
      </c>
      <c r="E10677" s="6" t="s">
        <v>9949</v>
      </c>
      <c r="F10677" s="9" t="s">
        <v>16877</v>
      </c>
    </row>
    <row r="10678" ht="33.75" customHeight="1">
      <c r="A10678" s="7">
        <v>445.0</v>
      </c>
      <c r="B10678" s="9" t="s">
        <v>16199</v>
      </c>
      <c r="C10678" s="9" t="s">
        <v>677</v>
      </c>
      <c r="D10678" s="9" t="s">
        <v>637</v>
      </c>
      <c r="E10678" s="6" t="s">
        <v>9954</v>
      </c>
      <c r="F10678" s="9" t="s">
        <v>16877</v>
      </c>
    </row>
    <row r="10679" ht="33.75" customHeight="1">
      <c r="A10679" s="7">
        <v>445.0</v>
      </c>
      <c r="B10679" s="9" t="s">
        <v>16199</v>
      </c>
      <c r="C10679" s="9" t="s">
        <v>677</v>
      </c>
      <c r="D10679" s="9" t="s">
        <v>642</v>
      </c>
      <c r="E10679" s="6" t="s">
        <v>9955</v>
      </c>
      <c r="F10679" s="9" t="s">
        <v>16877</v>
      </c>
    </row>
    <row r="10680" ht="33.75" customHeight="1">
      <c r="A10680" s="7">
        <v>445.0</v>
      </c>
      <c r="B10680" s="9" t="s">
        <v>16199</v>
      </c>
      <c r="C10680" s="9" t="s">
        <v>677</v>
      </c>
      <c r="D10680" s="9" t="s">
        <v>647</v>
      </c>
      <c r="E10680" s="6" t="s">
        <v>9956</v>
      </c>
      <c r="F10680" s="9" t="s">
        <v>16877</v>
      </c>
    </row>
    <row r="10681" ht="33.75" customHeight="1">
      <c r="A10681" s="7">
        <v>445.0</v>
      </c>
      <c r="B10681" s="9" t="s">
        <v>16199</v>
      </c>
      <c r="C10681" s="9" t="s">
        <v>677</v>
      </c>
      <c r="D10681" s="9" t="s">
        <v>652</v>
      </c>
      <c r="E10681" s="6" t="s">
        <v>9957</v>
      </c>
      <c r="F10681" s="9" t="s">
        <v>16877</v>
      </c>
    </row>
    <row r="10682" ht="33.75" customHeight="1">
      <c r="A10682" s="7">
        <v>445.0</v>
      </c>
      <c r="B10682" s="9" t="s">
        <v>16199</v>
      </c>
      <c r="C10682" s="9" t="s">
        <v>677</v>
      </c>
      <c r="D10682" s="9" t="s">
        <v>114</v>
      </c>
      <c r="E10682" s="6" t="s">
        <v>9958</v>
      </c>
      <c r="F10682" s="9" t="s">
        <v>16877</v>
      </c>
    </row>
    <row r="10683" ht="33.75" customHeight="1">
      <c r="A10683" s="7">
        <v>445.0</v>
      </c>
      <c r="B10683" s="9" t="s">
        <v>16199</v>
      </c>
      <c r="C10683" s="9" t="s">
        <v>677</v>
      </c>
      <c r="D10683" s="9" t="s">
        <v>117</v>
      </c>
      <c r="E10683" s="6" t="s">
        <v>9959</v>
      </c>
      <c r="F10683" s="9" t="s">
        <v>16877</v>
      </c>
    </row>
    <row r="10684" ht="33.75" customHeight="1">
      <c r="A10684" s="7">
        <v>445.0</v>
      </c>
      <c r="B10684" s="9" t="s">
        <v>16199</v>
      </c>
      <c r="C10684" s="9" t="s">
        <v>677</v>
      </c>
      <c r="D10684" s="9" t="s">
        <v>1577</v>
      </c>
      <c r="E10684" s="6" t="s">
        <v>9962</v>
      </c>
      <c r="F10684" s="9" t="s">
        <v>16877</v>
      </c>
    </row>
    <row r="10685" ht="33.75" customHeight="1">
      <c r="A10685" s="7">
        <v>446.0</v>
      </c>
      <c r="B10685" s="9" t="s">
        <v>16213</v>
      </c>
      <c r="C10685" s="9" t="s">
        <v>680</v>
      </c>
      <c r="D10685" s="9" t="s">
        <v>81</v>
      </c>
      <c r="E10685" s="6" t="s">
        <v>9964</v>
      </c>
      <c r="F10685" s="9" t="s">
        <v>16896</v>
      </c>
      <c r="G10685" t="inlineStr" s="6">
        <is>
          <t xml:space="preserve">It wolfs down Munchlax's weight in food once a day, swallowing food whole with almost no chewing. It hides food under its long body hair. However, it forgets it has hidden the food. In its desperation to gulp down food, it forgets about the food it has hidden under its fur. It conceals food under the long fur on its body. It carts around this food stash and swallows it without chewing. It needs to consume its own weight in food every day. As far as flavor is concerned, it’s indifferent. When it finds something that looks like it might be edible, it goes right ahead and swallows it whole. That’s why it gets fatter day by day. It hides food under its long fur, but it sometimes forgets about it and causes a stinky disturbance. Anything that looks edible, Munchlax will go on and swallow whole. Its stomach is tough enough to handle it even if the food has gone rotten. Stuffing itself with vast amounts of food is its only concern. Whether the food is rotten or fresh, yummy or tasteless—it does not care. It stores food beneath its fur. It might share just one bite, but only if it really trusts you. Its robust stomach allows it to nonchalantly devour even rotted matter. It pays frequent visits to villages, seeking out food scraps intended for compost.</t>
        </is>
      </c>
    </row>
    <row r="10686" ht="33.75" customHeight="1">
      <c r="A10686" s="7">
        <v>446.0</v>
      </c>
      <c r="B10686" s="9" t="s">
        <v>16213</v>
      </c>
      <c r="C10686" s="9" t="s">
        <v>680</v>
      </c>
      <c r="D10686" s="9" t="s">
        <v>84</v>
      </c>
      <c r="E10686" s="6" t="s">
        <v>9965</v>
      </c>
      <c r="F10686" s="9" t="s">
        <v>16896</v>
      </c>
    </row>
    <row r="10687" ht="33.75" customHeight="1">
      <c r="A10687" s="7">
        <v>446.0</v>
      </c>
      <c r="B10687" s="9" t="s">
        <v>16213</v>
      </c>
      <c r="C10687" s="9" t="s">
        <v>680</v>
      </c>
      <c r="D10687" s="9" t="s">
        <v>87</v>
      </c>
      <c r="E10687" s="6" t="s">
        <v>9967</v>
      </c>
      <c r="F10687" s="9" t="s">
        <v>16896</v>
      </c>
    </row>
    <row r="10688" ht="33.75" customHeight="1">
      <c r="A10688" s="7">
        <v>446.0</v>
      </c>
      <c r="B10688" s="9" t="s">
        <v>16213</v>
      </c>
      <c r="C10688" s="9" t="s">
        <v>680</v>
      </c>
      <c r="D10688" s="9" t="s">
        <v>89</v>
      </c>
      <c r="E10688" s="6" t="s">
        <v>9968</v>
      </c>
      <c r="F10688" s="9" t="s">
        <v>16896</v>
      </c>
    </row>
    <row r="10689" ht="33.75" customHeight="1">
      <c r="A10689" s="7">
        <v>446.0</v>
      </c>
      <c r="B10689" s="9" t="s">
        <v>16213</v>
      </c>
      <c r="C10689" s="9" t="s">
        <v>680</v>
      </c>
      <c r="D10689" s="9" t="s">
        <v>91</v>
      </c>
      <c r="E10689" s="6" t="s">
        <v>9968</v>
      </c>
      <c r="F10689" s="9" t="s">
        <v>16896</v>
      </c>
    </row>
    <row r="10690" ht="33.75" customHeight="1">
      <c r="A10690" s="7">
        <v>446.0</v>
      </c>
      <c r="B10690" s="9" t="s">
        <v>16213</v>
      </c>
      <c r="C10690" s="9" t="s">
        <v>680</v>
      </c>
      <c r="D10690" s="9" t="s">
        <v>93</v>
      </c>
      <c r="E10690" s="6" t="s">
        <v>9967</v>
      </c>
      <c r="F10690" s="9" t="s">
        <v>16896</v>
      </c>
    </row>
    <row r="10691" ht="33.75" customHeight="1">
      <c r="A10691" s="7">
        <v>446.0</v>
      </c>
      <c r="B10691" s="9" t="s">
        <v>16213</v>
      </c>
      <c r="C10691" s="9" t="s">
        <v>680</v>
      </c>
      <c r="D10691" s="9" t="s">
        <v>95</v>
      </c>
      <c r="E10691" s="6" t="s">
        <v>9967</v>
      </c>
      <c r="F10691" s="9" t="s">
        <v>16896</v>
      </c>
    </row>
    <row r="10692" ht="33.75" customHeight="1">
      <c r="A10692" s="7">
        <v>446.0</v>
      </c>
      <c r="B10692" s="9" t="s">
        <v>16213</v>
      </c>
      <c r="C10692" s="9" t="s">
        <v>680</v>
      </c>
      <c r="D10692" s="9" t="s">
        <v>98</v>
      </c>
      <c r="E10692" s="6" t="s">
        <v>9967</v>
      </c>
      <c r="F10692" s="9" t="s">
        <v>16896</v>
      </c>
    </row>
    <row r="10693" ht="33.75" customHeight="1">
      <c r="A10693" s="7">
        <v>446.0</v>
      </c>
      <c r="B10693" s="9" t="s">
        <v>16213</v>
      </c>
      <c r="C10693" s="9" t="s">
        <v>680</v>
      </c>
      <c r="D10693" s="9" t="s">
        <v>99</v>
      </c>
      <c r="E10693" s="6" t="s">
        <v>9967</v>
      </c>
      <c r="F10693" s="9" t="s">
        <v>16896</v>
      </c>
    </row>
    <row r="10694" ht="33.75" customHeight="1">
      <c r="A10694" s="7">
        <v>446.0</v>
      </c>
      <c r="B10694" s="9" t="s">
        <v>16213</v>
      </c>
      <c r="C10694" s="9" t="s">
        <v>680</v>
      </c>
      <c r="D10694" s="9" t="s">
        <v>101</v>
      </c>
      <c r="E10694" s="6" t="s">
        <v>9965</v>
      </c>
      <c r="F10694" s="9" t="s">
        <v>16896</v>
      </c>
    </row>
    <row r="10695" ht="33.75" customHeight="1">
      <c r="A10695" s="7">
        <v>446.0</v>
      </c>
      <c r="B10695" s="9" t="s">
        <v>16213</v>
      </c>
      <c r="C10695" s="9" t="s">
        <v>680</v>
      </c>
      <c r="D10695" s="9" t="s">
        <v>105</v>
      </c>
      <c r="E10695" s="6" t="s">
        <v>9968</v>
      </c>
      <c r="F10695" s="9" t="s">
        <v>16896</v>
      </c>
    </row>
    <row r="10696" ht="33.75" customHeight="1">
      <c r="A10696" s="7">
        <v>446.0</v>
      </c>
      <c r="B10696" s="9" t="s">
        <v>16213</v>
      </c>
      <c r="C10696" s="9" t="s">
        <v>680</v>
      </c>
      <c r="D10696" s="9" t="s">
        <v>107</v>
      </c>
      <c r="E10696" s="6" t="s">
        <v>9965</v>
      </c>
      <c r="F10696" s="9" t="s">
        <v>16896</v>
      </c>
    </row>
    <row r="10697" ht="33.75" customHeight="1">
      <c r="A10697" s="7">
        <v>446.0</v>
      </c>
      <c r="B10697" s="9" t="s">
        <v>16213</v>
      </c>
      <c r="C10697" s="9" t="s">
        <v>680</v>
      </c>
      <c r="D10697" s="9" t="s">
        <v>109</v>
      </c>
      <c r="E10697" s="6" t="s">
        <v>9968</v>
      </c>
      <c r="F10697" s="9" t="s">
        <v>16896</v>
      </c>
    </row>
    <row r="10698" ht="33.75" customHeight="1">
      <c r="A10698" s="7">
        <v>446.0</v>
      </c>
      <c r="B10698" s="9" t="s">
        <v>16213</v>
      </c>
      <c r="C10698" s="9" t="s">
        <v>680</v>
      </c>
      <c r="D10698" s="9" t="s">
        <v>637</v>
      </c>
      <c r="E10698" s="6" t="s">
        <v>9970</v>
      </c>
      <c r="F10698" s="9" t="s">
        <v>16896</v>
      </c>
    </row>
    <row r="10699" ht="33.75" customHeight="1">
      <c r="A10699" s="7">
        <v>446.0</v>
      </c>
      <c r="B10699" s="9" t="s">
        <v>16213</v>
      </c>
      <c r="C10699" s="9" t="s">
        <v>680</v>
      </c>
      <c r="D10699" s="9" t="s">
        <v>642</v>
      </c>
      <c r="E10699" s="6" t="s">
        <v>9972</v>
      </c>
      <c r="F10699" s="9" t="s">
        <v>16896</v>
      </c>
    </row>
    <row r="10700" ht="33.75" customHeight="1">
      <c r="A10700" s="7">
        <v>446.0</v>
      </c>
      <c r="B10700" s="9" t="s">
        <v>16213</v>
      </c>
      <c r="C10700" s="9" t="s">
        <v>680</v>
      </c>
      <c r="D10700" s="9" t="s">
        <v>647</v>
      </c>
      <c r="E10700" s="6" t="s">
        <v>9973</v>
      </c>
      <c r="F10700" s="9" t="s">
        <v>16896</v>
      </c>
    </row>
    <row r="10701" ht="33.75" customHeight="1">
      <c r="A10701" s="7">
        <v>446.0</v>
      </c>
      <c r="B10701" s="9" t="s">
        <v>16213</v>
      </c>
      <c r="C10701" s="9" t="s">
        <v>680</v>
      </c>
      <c r="D10701" s="9" t="s">
        <v>652</v>
      </c>
      <c r="E10701" s="6" t="s">
        <v>9975</v>
      </c>
      <c r="F10701" s="9" t="s">
        <v>16896</v>
      </c>
    </row>
    <row r="10702" ht="33.75" customHeight="1">
      <c r="A10702" s="7">
        <v>446.0</v>
      </c>
      <c r="B10702" s="9" t="s">
        <v>16213</v>
      </c>
      <c r="C10702" s="9" t="s">
        <v>680</v>
      </c>
      <c r="D10702" s="9" t="s">
        <v>114</v>
      </c>
      <c r="E10702" s="6" t="s">
        <v>9977</v>
      </c>
      <c r="F10702" s="9" t="s">
        <v>16896</v>
      </c>
    </row>
    <row r="10703" ht="33.75" customHeight="1">
      <c r="A10703" s="7">
        <v>446.0</v>
      </c>
      <c r="B10703" s="9" t="s">
        <v>16213</v>
      </c>
      <c r="C10703" s="9" t="s">
        <v>680</v>
      </c>
      <c r="D10703" s="9" t="s">
        <v>117</v>
      </c>
      <c r="E10703" s="6" t="s">
        <v>9978</v>
      </c>
      <c r="F10703" s="9" t="s">
        <v>16896</v>
      </c>
    </row>
    <row r="10704" ht="33.75" customHeight="1">
      <c r="A10704" s="7">
        <v>446.0</v>
      </c>
      <c r="B10704" s="9" t="s">
        <v>16213</v>
      </c>
      <c r="C10704" s="9" t="s">
        <v>680</v>
      </c>
      <c r="D10704" s="9" t="s">
        <v>1577</v>
      </c>
      <c r="E10704" s="6" t="s">
        <v>9979</v>
      </c>
      <c r="F10704" s="9" t="s">
        <v>16896</v>
      </c>
    </row>
    <row r="10705" ht="33.75" customHeight="1">
      <c r="A10705" s="7">
        <v>447.0</v>
      </c>
      <c r="B10705" s="9" t="s">
        <v>16227</v>
      </c>
      <c r="C10705" s="9" t="s">
        <v>682</v>
      </c>
      <c r="D10705" s="9" t="s">
        <v>81</v>
      </c>
      <c r="E10705" s="6" t="s">
        <v>9981</v>
      </c>
      <c r="F10705" s="9" t="s">
        <v>16911</v>
      </c>
      <c r="G10705" t="inlineStr" s="6">
        <is>
          <t xml:space="preserve">The aura that emanates from Riolu's body intensifies to alert others if it is afraid or sad. Its body is lithe yet powerful. It can crest three mountains and cross two canyons in one night. It has the peculiar power of being able to see emotions such as joy and rage in the form of waves. They communicate with one another using their auras. They are able to run all through the night. It uses the shapes of auras, which change according to emotion, to communicate with others. It can discern the physical and emotional states of people, Pokémon, and other natural things from the shape of their aura waves. It’s tough enough to run right through the night, and it’s also a hard worker, but it’s still just a youngster. It knows how people and Pokémon feel by looking at their auras. It doesn’t approach dangerous opponents. It uses waves called auras to communicate with others of its kind. It doesn’t make any noise during this time, so its enemies can’t detect it. It’s exceedingly energetic, with enough stamina to keep running all through the night. Taking it for walks can be a challenging experience. It can use waves called auras to gauge how others are feeling. These same waves can also tell this Pokémon about the state of the environment. Though infantile in appearance, it has the mysterious ability to read the minds of humans. The pure of heart are met with Riolu's approval, while those of ill nature earn only its loathing.</t>
        </is>
      </c>
    </row>
    <row r="10706" ht="33.75" customHeight="1">
      <c r="A10706" s="7">
        <v>447.0</v>
      </c>
      <c r="B10706" s="9" t="s">
        <v>16227</v>
      </c>
      <c r="C10706" s="9" t="s">
        <v>682</v>
      </c>
      <c r="D10706" s="9" t="s">
        <v>84</v>
      </c>
      <c r="E10706" s="6" t="s">
        <v>9982</v>
      </c>
      <c r="F10706" s="9" t="s">
        <v>16911</v>
      </c>
    </row>
    <row r="10707" ht="33.75" customHeight="1">
      <c r="A10707" s="7">
        <v>447.0</v>
      </c>
      <c r="B10707" s="9" t="s">
        <v>16227</v>
      </c>
      <c r="C10707" s="9" t="s">
        <v>682</v>
      </c>
      <c r="D10707" s="9" t="s">
        <v>87</v>
      </c>
      <c r="E10707" s="6" t="s">
        <v>9983</v>
      </c>
      <c r="F10707" s="9" t="s">
        <v>16911</v>
      </c>
    </row>
    <row r="10708" ht="33.75" customHeight="1">
      <c r="A10708" s="7">
        <v>447.0</v>
      </c>
      <c r="B10708" s="9" t="s">
        <v>16227</v>
      </c>
      <c r="C10708" s="9" t="s">
        <v>682</v>
      </c>
      <c r="D10708" s="9" t="s">
        <v>89</v>
      </c>
      <c r="E10708" s="6" t="s">
        <v>9984</v>
      </c>
      <c r="F10708" s="9" t="s">
        <v>16911</v>
      </c>
    </row>
    <row r="10709" ht="33.75" customHeight="1">
      <c r="A10709" s="7">
        <v>447.0</v>
      </c>
      <c r="B10709" s="9" t="s">
        <v>16227</v>
      </c>
      <c r="C10709" s="9" t="s">
        <v>682</v>
      </c>
      <c r="D10709" s="9" t="s">
        <v>91</v>
      </c>
      <c r="E10709" s="6" t="s">
        <v>9984</v>
      </c>
      <c r="F10709" s="9" t="s">
        <v>16911</v>
      </c>
    </row>
    <row r="10710" ht="33.75" customHeight="1">
      <c r="A10710" s="7">
        <v>447.0</v>
      </c>
      <c r="B10710" s="9" t="s">
        <v>16227</v>
      </c>
      <c r="C10710" s="9" t="s">
        <v>682</v>
      </c>
      <c r="D10710" s="9" t="s">
        <v>93</v>
      </c>
      <c r="E10710" s="6" t="s">
        <v>9983</v>
      </c>
      <c r="F10710" s="9" t="s">
        <v>16911</v>
      </c>
    </row>
    <row r="10711" ht="33.75" customHeight="1">
      <c r="A10711" s="7">
        <v>447.0</v>
      </c>
      <c r="B10711" s="9" t="s">
        <v>16227</v>
      </c>
      <c r="C10711" s="9" t="s">
        <v>682</v>
      </c>
      <c r="D10711" s="9" t="s">
        <v>95</v>
      </c>
      <c r="E10711" s="6" t="s">
        <v>9983</v>
      </c>
      <c r="F10711" s="9" t="s">
        <v>16911</v>
      </c>
    </row>
    <row r="10712" ht="33.75" customHeight="1">
      <c r="A10712" s="7">
        <v>447.0</v>
      </c>
      <c r="B10712" s="9" t="s">
        <v>16227</v>
      </c>
      <c r="C10712" s="9" t="s">
        <v>682</v>
      </c>
      <c r="D10712" s="9" t="s">
        <v>98</v>
      </c>
      <c r="E10712" s="6" t="s">
        <v>9985</v>
      </c>
      <c r="F10712" s="9" t="s">
        <v>16911</v>
      </c>
    </row>
    <row r="10713" ht="33.75" customHeight="1">
      <c r="A10713" s="7">
        <v>447.0</v>
      </c>
      <c r="B10713" s="9" t="s">
        <v>16227</v>
      </c>
      <c r="C10713" s="9" t="s">
        <v>682</v>
      </c>
      <c r="D10713" s="9" t="s">
        <v>99</v>
      </c>
      <c r="E10713" s="6" t="s">
        <v>9985</v>
      </c>
      <c r="F10713" s="9" t="s">
        <v>16911</v>
      </c>
    </row>
    <row r="10714" ht="33.75" customHeight="1">
      <c r="A10714" s="7">
        <v>447.0</v>
      </c>
      <c r="B10714" s="9" t="s">
        <v>16227</v>
      </c>
      <c r="C10714" s="9" t="s">
        <v>682</v>
      </c>
      <c r="D10714" s="9" t="s">
        <v>101</v>
      </c>
      <c r="E10714" s="6" t="s">
        <v>9985</v>
      </c>
      <c r="F10714" s="9" t="s">
        <v>16911</v>
      </c>
    </row>
    <row r="10715" ht="33.75" customHeight="1">
      <c r="A10715" s="7">
        <v>447.0</v>
      </c>
      <c r="B10715" s="9" t="s">
        <v>16227</v>
      </c>
      <c r="C10715" s="9" t="s">
        <v>682</v>
      </c>
      <c r="D10715" s="9" t="s">
        <v>105</v>
      </c>
      <c r="E10715" s="6" t="s">
        <v>9981</v>
      </c>
      <c r="F10715" s="9" t="s">
        <v>16911</v>
      </c>
    </row>
    <row r="10716" ht="33.75" customHeight="1">
      <c r="A10716" s="7">
        <v>447.0</v>
      </c>
      <c r="B10716" s="9" t="s">
        <v>16227</v>
      </c>
      <c r="C10716" s="9" t="s">
        <v>682</v>
      </c>
      <c r="D10716" s="9" t="s">
        <v>107</v>
      </c>
      <c r="E10716" s="6" t="s">
        <v>9985</v>
      </c>
      <c r="F10716" s="9" t="s">
        <v>16911</v>
      </c>
    </row>
    <row r="10717" ht="33.75" customHeight="1">
      <c r="A10717" s="7">
        <v>447.0</v>
      </c>
      <c r="B10717" s="9" t="s">
        <v>16227</v>
      </c>
      <c r="C10717" s="9" t="s">
        <v>682</v>
      </c>
      <c r="D10717" s="9" t="s">
        <v>109</v>
      </c>
      <c r="E10717" s="6" t="s">
        <v>9981</v>
      </c>
      <c r="F10717" s="9" t="s">
        <v>16911</v>
      </c>
    </row>
    <row r="10718" ht="33.75" customHeight="1">
      <c r="A10718" s="7">
        <v>447.0</v>
      </c>
      <c r="B10718" s="9" t="s">
        <v>16227</v>
      </c>
      <c r="C10718" s="9" t="s">
        <v>682</v>
      </c>
      <c r="D10718" s="9" t="s">
        <v>637</v>
      </c>
      <c r="E10718" s="6" t="s">
        <v>9986</v>
      </c>
      <c r="F10718" s="9" t="s">
        <v>16911</v>
      </c>
    </row>
    <row r="10719" ht="33.75" customHeight="1">
      <c r="A10719" s="7">
        <v>447.0</v>
      </c>
      <c r="B10719" s="9" t="s">
        <v>16227</v>
      </c>
      <c r="C10719" s="9" t="s">
        <v>682</v>
      </c>
      <c r="D10719" s="9" t="s">
        <v>642</v>
      </c>
      <c r="E10719" s="6" t="s">
        <v>9987</v>
      </c>
      <c r="F10719" s="9" t="s">
        <v>16911</v>
      </c>
    </row>
    <row r="10720" ht="33.75" customHeight="1">
      <c r="A10720" s="7">
        <v>447.0</v>
      </c>
      <c r="B10720" s="9" t="s">
        <v>16227</v>
      </c>
      <c r="C10720" s="9" t="s">
        <v>682</v>
      </c>
      <c r="D10720" s="9" t="s">
        <v>647</v>
      </c>
      <c r="E10720" s="6" t="s">
        <v>9988</v>
      </c>
      <c r="F10720" s="9" t="s">
        <v>16911</v>
      </c>
    </row>
    <row r="10721" ht="33.75" customHeight="1">
      <c r="A10721" s="7">
        <v>447.0</v>
      </c>
      <c r="B10721" s="9" t="s">
        <v>16227</v>
      </c>
      <c r="C10721" s="9" t="s">
        <v>682</v>
      </c>
      <c r="D10721" s="9" t="s">
        <v>652</v>
      </c>
      <c r="E10721" s="6" t="s">
        <v>9989</v>
      </c>
      <c r="F10721" s="9" t="s">
        <v>16911</v>
      </c>
    </row>
    <row r="10722" ht="33.75" customHeight="1">
      <c r="A10722" s="7">
        <v>447.0</v>
      </c>
      <c r="B10722" s="9" t="s">
        <v>16227</v>
      </c>
      <c r="C10722" s="9" t="s">
        <v>682</v>
      </c>
      <c r="D10722" s="9" t="s">
        <v>114</v>
      </c>
      <c r="E10722" s="6" t="s">
        <v>9990</v>
      </c>
      <c r="F10722" s="9" t="s">
        <v>16911</v>
      </c>
    </row>
    <row r="10723" ht="33.75" customHeight="1">
      <c r="A10723" s="7">
        <v>447.0</v>
      </c>
      <c r="B10723" s="9" t="s">
        <v>16227</v>
      </c>
      <c r="C10723" s="9" t="s">
        <v>682</v>
      </c>
      <c r="D10723" s="9" t="s">
        <v>117</v>
      </c>
      <c r="E10723" s="6" t="s">
        <v>9992</v>
      </c>
      <c r="F10723" s="9" t="s">
        <v>16911</v>
      </c>
    </row>
    <row r="10724" ht="33.75" customHeight="1">
      <c r="A10724" s="7">
        <v>447.0</v>
      </c>
      <c r="B10724" s="9" t="s">
        <v>16227</v>
      </c>
      <c r="C10724" s="9" t="s">
        <v>682</v>
      </c>
      <c r="D10724" s="9" t="s">
        <v>1577</v>
      </c>
      <c r="E10724" s="6" t="s">
        <v>9993</v>
      </c>
      <c r="F10724" s="9" t="s">
        <v>16911</v>
      </c>
    </row>
    <row r="10725" ht="33.75" customHeight="1">
      <c r="A10725" s="7">
        <v>448.0</v>
      </c>
      <c r="B10725" s="9" t="s">
        <v>16242</v>
      </c>
      <c r="C10725" s="9" t="s">
        <v>684</v>
      </c>
      <c r="D10725" s="9" t="s">
        <v>81</v>
      </c>
      <c r="E10725" s="6" t="s">
        <v>9995</v>
      </c>
      <c r="F10725" s="9" t="s">
        <v>16929</v>
      </c>
      <c r="G10725" t="inlineStr" s="6">
        <is>
          <t xml:space="preserve">Lucario has the ability to sense the auras of all things. It understands human speech. By catching the aura emanating from others, it can read their thoughts and movements. A well-trained one can sense auras to identify and take in the feelings of creatures over half a mile away. It’s said that no foe can remain invisible to LUCARIO, since it can detect auras. Even foes it could not otherwise see. By reading the auras of all things, it can tell how others are feeling from over half a mile away. Not only does it perceive auras, but it has also gained the power to control them. It employs them in battle. They can detect the species of a living being— and its emotions—from over half a mile away. They control auras and hunt their prey in packs. It concentrates its mental energy and fires off mysterious waves called auras, which can crush boulders of large size to dust. Lucario reads its opponent’s feelings with its aura waves. It finds out things it would rather not know, so it gets stressed out easily. It controls waves known as auras, which are powerful enough to pulverize huge rocks. It uses these waves to take down its prey. It can tell what people are thinking. Only Trainers who have justice in their hearts can earn this Pokémon’s trust. A most gallant-looking creature. It emits energy waves and controls them with precision, using them to sense even faraway beings. I have given the name ”aura” to this power.</t>
        </is>
      </c>
    </row>
    <row r="10726" ht="33.75" customHeight="1">
      <c r="A10726" s="7">
        <v>448.0</v>
      </c>
      <c r="B10726" s="9" t="s">
        <v>16242</v>
      </c>
      <c r="C10726" s="9" t="s">
        <v>684</v>
      </c>
      <c r="D10726" s="9" t="s">
        <v>84</v>
      </c>
      <c r="E10726" s="6" t="s">
        <v>9997</v>
      </c>
      <c r="F10726" s="9" t="s">
        <v>16929</v>
      </c>
    </row>
    <row r="10727" ht="33.75" customHeight="1">
      <c r="A10727" s="7">
        <v>448.0</v>
      </c>
      <c r="B10727" s="9" t="s">
        <v>16242</v>
      </c>
      <c r="C10727" s="9" t="s">
        <v>684</v>
      </c>
      <c r="D10727" s="9" t="s">
        <v>87</v>
      </c>
      <c r="E10727" s="6" t="s">
        <v>9999</v>
      </c>
      <c r="F10727" s="9" t="s">
        <v>16929</v>
      </c>
    </row>
    <row r="10728" ht="33.75" customHeight="1">
      <c r="A10728" s="7">
        <v>448.0</v>
      </c>
      <c r="B10728" s="9" t="s">
        <v>16242</v>
      </c>
      <c r="C10728" s="9" t="s">
        <v>684</v>
      </c>
      <c r="D10728" s="9" t="s">
        <v>89</v>
      </c>
      <c r="E10728" s="6" t="s">
        <v>10002</v>
      </c>
      <c r="F10728" s="9" t="s">
        <v>16929</v>
      </c>
    </row>
    <row r="10729" ht="33.75" customHeight="1">
      <c r="A10729" s="7">
        <v>448.0</v>
      </c>
      <c r="B10729" s="9" t="s">
        <v>16242</v>
      </c>
      <c r="C10729" s="9" t="s">
        <v>684</v>
      </c>
      <c r="D10729" s="9" t="s">
        <v>91</v>
      </c>
      <c r="E10729" s="6" t="s">
        <v>10002</v>
      </c>
      <c r="F10729" s="9" t="s">
        <v>16929</v>
      </c>
    </row>
    <row r="10730" ht="33.75" customHeight="1">
      <c r="A10730" s="7">
        <v>448.0</v>
      </c>
      <c r="B10730" s="9" t="s">
        <v>16242</v>
      </c>
      <c r="C10730" s="9" t="s">
        <v>684</v>
      </c>
      <c r="D10730" s="9" t="s">
        <v>93</v>
      </c>
      <c r="E10730" s="6" t="s">
        <v>9999</v>
      </c>
      <c r="F10730" s="9" t="s">
        <v>16929</v>
      </c>
    </row>
    <row r="10731" ht="33.75" customHeight="1">
      <c r="A10731" s="7">
        <v>448.0</v>
      </c>
      <c r="B10731" s="9" t="s">
        <v>16242</v>
      </c>
      <c r="C10731" s="9" t="s">
        <v>684</v>
      </c>
      <c r="D10731" s="9" t="s">
        <v>95</v>
      </c>
      <c r="E10731" s="6" t="s">
        <v>9999</v>
      </c>
      <c r="F10731" s="9" t="s">
        <v>16929</v>
      </c>
    </row>
    <row r="10732" ht="33.75" customHeight="1">
      <c r="A10732" s="7">
        <v>448.0</v>
      </c>
      <c r="B10732" s="9" t="s">
        <v>16242</v>
      </c>
      <c r="C10732" s="9" t="s">
        <v>684</v>
      </c>
      <c r="D10732" s="9" t="s">
        <v>98</v>
      </c>
      <c r="E10732" s="6" t="s">
        <v>10005</v>
      </c>
      <c r="F10732" s="9" t="s">
        <v>16929</v>
      </c>
    </row>
    <row r="10733" ht="33.75" customHeight="1">
      <c r="A10733" s="7">
        <v>448.0</v>
      </c>
      <c r="B10733" s="9" t="s">
        <v>16242</v>
      </c>
      <c r="C10733" s="9" t="s">
        <v>684</v>
      </c>
      <c r="D10733" s="9" t="s">
        <v>99</v>
      </c>
      <c r="E10733" s="6" t="s">
        <v>10005</v>
      </c>
      <c r="F10733" s="9" t="s">
        <v>16929</v>
      </c>
    </row>
    <row r="10734" ht="33.75" customHeight="1">
      <c r="A10734" s="7">
        <v>448.0</v>
      </c>
      <c r="B10734" s="9" t="s">
        <v>16242</v>
      </c>
      <c r="C10734" s="9" t="s">
        <v>684</v>
      </c>
      <c r="D10734" s="9" t="s">
        <v>101</v>
      </c>
      <c r="E10734" s="6" t="s">
        <v>9997</v>
      </c>
      <c r="F10734" s="9" t="s">
        <v>16929</v>
      </c>
    </row>
    <row r="10735" ht="33.75" customHeight="1">
      <c r="A10735" s="7">
        <v>448.0</v>
      </c>
      <c r="B10735" s="9" t="s">
        <v>16242</v>
      </c>
      <c r="C10735" s="9" t="s">
        <v>684</v>
      </c>
      <c r="D10735" s="9" t="s">
        <v>105</v>
      </c>
      <c r="E10735" s="6" t="s">
        <v>10005</v>
      </c>
      <c r="F10735" s="9" t="s">
        <v>16929</v>
      </c>
    </row>
    <row r="10736" ht="33.75" customHeight="1">
      <c r="A10736" s="7">
        <v>448.0</v>
      </c>
      <c r="B10736" s="9" t="s">
        <v>16242</v>
      </c>
      <c r="C10736" s="9" t="s">
        <v>684</v>
      </c>
      <c r="D10736" s="9" t="s">
        <v>107</v>
      </c>
      <c r="E10736" s="6" t="s">
        <v>9997</v>
      </c>
      <c r="F10736" s="9" t="s">
        <v>16929</v>
      </c>
    </row>
    <row r="10737" ht="33.75" customHeight="1">
      <c r="A10737" s="7">
        <v>448.0</v>
      </c>
      <c r="B10737" s="9" t="s">
        <v>16242</v>
      </c>
      <c r="C10737" s="9" t="s">
        <v>684</v>
      </c>
      <c r="D10737" s="9" t="s">
        <v>109</v>
      </c>
      <c r="E10737" s="6" t="s">
        <v>10005</v>
      </c>
      <c r="F10737" s="9" t="s">
        <v>16929</v>
      </c>
    </row>
    <row r="10738" ht="33.75" customHeight="1">
      <c r="A10738" s="7">
        <v>448.0</v>
      </c>
      <c r="B10738" s="9" t="s">
        <v>16242</v>
      </c>
      <c r="C10738" s="9" t="s">
        <v>684</v>
      </c>
      <c r="D10738" s="9" t="s">
        <v>637</v>
      </c>
      <c r="E10738" s="6" t="s">
        <v>10008</v>
      </c>
      <c r="F10738" s="9" t="s">
        <v>16929</v>
      </c>
    </row>
    <row r="10739" ht="33.75" customHeight="1">
      <c r="A10739" s="7">
        <v>448.0</v>
      </c>
      <c r="B10739" s="9" t="s">
        <v>16242</v>
      </c>
      <c r="C10739" s="9" t="s">
        <v>684</v>
      </c>
      <c r="D10739" s="9" t="s">
        <v>642</v>
      </c>
      <c r="E10739" s="6" t="s">
        <v>10010</v>
      </c>
      <c r="F10739" s="9" t="s">
        <v>16929</v>
      </c>
    </row>
    <row r="10740" ht="33.75" customHeight="1">
      <c r="A10740" s="7">
        <v>448.0</v>
      </c>
      <c r="B10740" s="9" t="s">
        <v>16242</v>
      </c>
      <c r="C10740" s="9" t="s">
        <v>684</v>
      </c>
      <c r="D10740" s="9" t="s">
        <v>647</v>
      </c>
      <c r="E10740" s="6" t="s">
        <v>10012</v>
      </c>
      <c r="F10740" s="9" t="s">
        <v>16929</v>
      </c>
    </row>
    <row r="10741" ht="33.75" customHeight="1">
      <c r="A10741" s="7">
        <v>448.0</v>
      </c>
      <c r="B10741" s="9" t="s">
        <v>16242</v>
      </c>
      <c r="C10741" s="9" t="s">
        <v>684</v>
      </c>
      <c r="D10741" s="9" t="s">
        <v>652</v>
      </c>
      <c r="E10741" s="6" t="s">
        <v>10013</v>
      </c>
      <c r="F10741" s="9" t="s">
        <v>16929</v>
      </c>
    </row>
    <row r="10742" ht="33.75" customHeight="1">
      <c r="A10742" s="7">
        <v>448.0</v>
      </c>
      <c r="B10742" s="9" t="s">
        <v>16242</v>
      </c>
      <c r="C10742" s="9" t="s">
        <v>684</v>
      </c>
      <c r="D10742" s="9" t="s">
        <v>114</v>
      </c>
      <c r="E10742" s="6" t="s">
        <v>10015</v>
      </c>
      <c r="F10742" s="9" t="s">
        <v>16929</v>
      </c>
    </row>
    <row r="10743" ht="33.75" customHeight="1">
      <c r="A10743" s="7">
        <v>448.0</v>
      </c>
      <c r="B10743" s="9" t="s">
        <v>16242</v>
      </c>
      <c r="C10743" s="9" t="s">
        <v>684</v>
      </c>
      <c r="D10743" s="9" t="s">
        <v>117</v>
      </c>
      <c r="E10743" s="6" t="s">
        <v>10016</v>
      </c>
      <c r="F10743" s="9" t="s">
        <v>16929</v>
      </c>
    </row>
    <row r="10744" ht="33.75" customHeight="1">
      <c r="A10744" s="7">
        <v>448.0</v>
      </c>
      <c r="B10744" s="9" t="s">
        <v>16242</v>
      </c>
      <c r="C10744" s="9" t="s">
        <v>684</v>
      </c>
      <c r="D10744" s="9" t="s">
        <v>1577</v>
      </c>
      <c r="E10744" s="6" t="s">
        <v>10017</v>
      </c>
      <c r="F10744" s="9" t="s">
        <v>16929</v>
      </c>
    </row>
    <row r="10745" ht="33.75" customHeight="1">
      <c r="A10745" s="7">
        <v>449.0</v>
      </c>
      <c r="B10745" s="9" t="s">
        <v>16257</v>
      </c>
      <c r="C10745" s="9" t="s">
        <v>687</v>
      </c>
      <c r="D10745" s="9" t="s">
        <v>81</v>
      </c>
      <c r="E10745" s="6" t="s">
        <v>10018</v>
      </c>
      <c r="F10745" s="9" t="s">
        <v>16951</v>
      </c>
      <c r="G10745" t="inlineStr" s="6">
        <is>
          <t xml:space="preserve">Hippopotas lives in arid places. Instead of perspiration, it expels grainy sand from its body. It enshrouds itself with sand to protect itself from germs. It does not enjoy getting wet. It shuts its nostrils tight then travels through sand as if walking. They form colonies of around ten. It shrouds itself in sand to ward off germs. It travels easily through the sands of the desert. They form colonies of around 10. It moves through the sands with its mouth open, swallowing sand along with its prey. It gets rid of the sand by spouting it from its nose. This Pokémon is active during the day and passes the cold desert nights burrowed snugly into the sand. Though large and languid, Hippopotas is difficult to detect due to its tendency to burrow into and lurk beneath the soil. When agitated or excited, it expels sand from its nostrils.</t>
        </is>
      </c>
    </row>
    <row r="10746" ht="33.75" customHeight="1">
      <c r="A10746" s="7">
        <v>449.0</v>
      </c>
      <c r="B10746" s="9" t="s">
        <v>16257</v>
      </c>
      <c r="C10746" s="9" t="s">
        <v>687</v>
      </c>
      <c r="D10746" s="9" t="s">
        <v>84</v>
      </c>
      <c r="E10746" s="6" t="s">
        <v>10019</v>
      </c>
      <c r="F10746" s="9" t="s">
        <v>16951</v>
      </c>
    </row>
    <row r="10747" ht="33.75" customHeight="1">
      <c r="A10747" s="7">
        <v>449.0</v>
      </c>
      <c r="B10747" s="9" t="s">
        <v>16257</v>
      </c>
      <c r="C10747" s="9" t="s">
        <v>687</v>
      </c>
      <c r="D10747" s="9" t="s">
        <v>87</v>
      </c>
      <c r="E10747" s="6" t="s">
        <v>10021</v>
      </c>
      <c r="F10747" s="9" t="s">
        <v>16951</v>
      </c>
    </row>
    <row r="10748" ht="33.75" customHeight="1">
      <c r="A10748" s="7">
        <v>449.0</v>
      </c>
      <c r="B10748" s="9" t="s">
        <v>16257</v>
      </c>
      <c r="C10748" s="9" t="s">
        <v>687</v>
      </c>
      <c r="D10748" s="9" t="s">
        <v>89</v>
      </c>
      <c r="E10748" s="6" t="s">
        <v>10022</v>
      </c>
      <c r="F10748" s="9" t="s">
        <v>16951</v>
      </c>
    </row>
    <row r="10749" ht="33.75" customHeight="1">
      <c r="A10749" s="7">
        <v>449.0</v>
      </c>
      <c r="B10749" s="9" t="s">
        <v>16257</v>
      </c>
      <c r="C10749" s="9" t="s">
        <v>687</v>
      </c>
      <c r="D10749" s="9" t="s">
        <v>91</v>
      </c>
      <c r="E10749" s="6" t="s">
        <v>10022</v>
      </c>
      <c r="F10749" s="9" t="s">
        <v>16951</v>
      </c>
    </row>
    <row r="10750" ht="33.75" customHeight="1">
      <c r="A10750" s="7">
        <v>449.0</v>
      </c>
      <c r="B10750" s="9" t="s">
        <v>16257</v>
      </c>
      <c r="C10750" s="9" t="s">
        <v>687</v>
      </c>
      <c r="D10750" s="9" t="s">
        <v>93</v>
      </c>
      <c r="E10750" s="6" t="s">
        <v>10021</v>
      </c>
      <c r="F10750" s="9" t="s">
        <v>16951</v>
      </c>
    </row>
    <row r="10751" ht="33.75" customHeight="1">
      <c r="A10751" s="7">
        <v>449.0</v>
      </c>
      <c r="B10751" s="9" t="s">
        <v>16257</v>
      </c>
      <c r="C10751" s="9" t="s">
        <v>687</v>
      </c>
      <c r="D10751" s="9" t="s">
        <v>95</v>
      </c>
      <c r="E10751" s="6" t="s">
        <v>10021</v>
      </c>
      <c r="F10751" s="9" t="s">
        <v>16951</v>
      </c>
    </row>
    <row r="10752" ht="33.75" customHeight="1">
      <c r="A10752" s="7">
        <v>449.0</v>
      </c>
      <c r="B10752" s="9" t="s">
        <v>16257</v>
      </c>
      <c r="C10752" s="9" t="s">
        <v>687</v>
      </c>
      <c r="D10752" s="9" t="s">
        <v>98</v>
      </c>
      <c r="E10752" s="6" t="s">
        <v>10023</v>
      </c>
      <c r="F10752" s="9" t="s">
        <v>16951</v>
      </c>
    </row>
    <row r="10753" ht="33.75" customHeight="1">
      <c r="A10753" s="7">
        <v>449.0</v>
      </c>
      <c r="B10753" s="9" t="s">
        <v>16257</v>
      </c>
      <c r="C10753" s="9" t="s">
        <v>687</v>
      </c>
      <c r="D10753" s="9" t="s">
        <v>99</v>
      </c>
      <c r="E10753" s="6" t="s">
        <v>10023</v>
      </c>
      <c r="F10753" s="9" t="s">
        <v>16951</v>
      </c>
    </row>
    <row r="10754" ht="33.75" customHeight="1">
      <c r="A10754" s="7">
        <v>449.0</v>
      </c>
      <c r="B10754" s="9" t="s">
        <v>16257</v>
      </c>
      <c r="C10754" s="9" t="s">
        <v>687</v>
      </c>
      <c r="D10754" s="9" t="s">
        <v>101</v>
      </c>
      <c r="E10754" s="6" t="s">
        <v>10018</v>
      </c>
      <c r="F10754" s="9" t="s">
        <v>16951</v>
      </c>
    </row>
    <row r="10755" ht="33.75" customHeight="1">
      <c r="A10755" s="7">
        <v>449.0</v>
      </c>
      <c r="B10755" s="9" t="s">
        <v>16257</v>
      </c>
      <c r="C10755" s="9" t="s">
        <v>687</v>
      </c>
      <c r="D10755" s="9" t="s">
        <v>105</v>
      </c>
      <c r="E10755" s="6" t="s">
        <v>10019</v>
      </c>
      <c r="F10755" s="9" t="s">
        <v>16951</v>
      </c>
    </row>
    <row r="10756" ht="33.75" customHeight="1">
      <c r="A10756" s="7">
        <v>449.0</v>
      </c>
      <c r="B10756" s="9" t="s">
        <v>16257</v>
      </c>
      <c r="C10756" s="9" t="s">
        <v>687</v>
      </c>
      <c r="D10756" s="9" t="s">
        <v>107</v>
      </c>
      <c r="E10756" s="6" t="s">
        <v>10018</v>
      </c>
      <c r="F10756" s="9" t="s">
        <v>16951</v>
      </c>
    </row>
    <row r="10757" ht="33.75" customHeight="1">
      <c r="A10757" s="7">
        <v>449.0</v>
      </c>
      <c r="B10757" s="9" t="s">
        <v>16257</v>
      </c>
      <c r="C10757" s="9" t="s">
        <v>687</v>
      </c>
      <c r="D10757" s="9" t="s">
        <v>109</v>
      </c>
      <c r="E10757" s="6" t="s">
        <v>10019</v>
      </c>
      <c r="F10757" s="9" t="s">
        <v>16951</v>
      </c>
    </row>
    <row r="10758" ht="33.75" customHeight="1">
      <c r="A10758" s="7">
        <v>449.0</v>
      </c>
      <c r="B10758" s="9" t="s">
        <v>16257</v>
      </c>
      <c r="C10758" s="9" t="s">
        <v>687</v>
      </c>
      <c r="D10758" s="9" t="s">
        <v>114</v>
      </c>
      <c r="E10758" s="6" t="s">
        <v>10024</v>
      </c>
      <c r="F10758" s="9" t="s">
        <v>16951</v>
      </c>
    </row>
    <row r="10759" ht="33.75" customHeight="1">
      <c r="A10759" s="7">
        <v>449.0</v>
      </c>
      <c r="B10759" s="9" t="s">
        <v>16257</v>
      </c>
      <c r="C10759" s="9" t="s">
        <v>687</v>
      </c>
      <c r="D10759" s="9" t="s">
        <v>117</v>
      </c>
      <c r="E10759" s="6" t="s">
        <v>10026</v>
      </c>
      <c r="F10759" s="9" t="s">
        <v>16951</v>
      </c>
    </row>
    <row r="10760" ht="33.75" customHeight="1">
      <c r="A10760" s="7">
        <v>449.0</v>
      </c>
      <c r="B10760" s="9" t="s">
        <v>16257</v>
      </c>
      <c r="C10760" s="9" t="s">
        <v>687</v>
      </c>
      <c r="D10760" s="9" t="s">
        <v>1577</v>
      </c>
      <c r="E10760" s="6" t="s">
        <v>10027</v>
      </c>
      <c r="F10760" s="9" t="s">
        <v>16951</v>
      </c>
    </row>
    <row r="10761" ht="33.75" customHeight="1">
      <c r="A10761" s="7">
        <v>450.0</v>
      </c>
      <c r="B10761" s="9" t="s">
        <v>16268</v>
      </c>
      <c r="C10761" s="9" t="s">
        <v>689</v>
      </c>
      <c r="D10761" s="9" t="s">
        <v>81</v>
      </c>
      <c r="E10761" s="6" t="s">
        <v>10028</v>
      </c>
      <c r="F10761" s="9" t="s">
        <v>16963</v>
      </c>
      <c r="G10761" t="inlineStr" s="6">
        <is>
          <t xml:space="preserve">It blasts internally stored sand from ports on Hippowdon's body to create a towering twister for attack. Its huge mouth is almost seven feet across. It has enough power to completely crush a car. It is surprisingly quick to anger. It holds its mouth agape as a display of its strength. It brandishes its gaping mouth in a display of fearsome strength. It raises vast quantities of sand while attacking. Stones can get stuck in the ports on their bodies. Dwebble help dislodge such stones, so Hippowdon look after these Pokémon. When roused to violence by its rage, it spews out the quantities of sand it has swallowed and whips up a sandstorm. Short-tempered and easily moved to violence. It whips up whirlwinds of sand to crush its foes' spirits, then goes in for the attack.</t>
        </is>
      </c>
    </row>
    <row r="10762" ht="33.75" customHeight="1">
      <c r="A10762" s="7">
        <v>450.0</v>
      </c>
      <c r="B10762" s="9" t="s">
        <v>16268</v>
      </c>
      <c r="C10762" s="9" t="s">
        <v>689</v>
      </c>
      <c r="D10762" s="9" t="s">
        <v>84</v>
      </c>
      <c r="E10762" s="6" t="s">
        <v>10029</v>
      </c>
      <c r="F10762" s="9" t="s">
        <v>16963</v>
      </c>
    </row>
    <row r="10763" ht="33.75" customHeight="1">
      <c r="A10763" s="7">
        <v>450.0</v>
      </c>
      <c r="B10763" s="9" t="s">
        <v>16268</v>
      </c>
      <c r="C10763" s="9" t="s">
        <v>689</v>
      </c>
      <c r="D10763" s="9" t="s">
        <v>87</v>
      </c>
      <c r="E10763" s="6" t="s">
        <v>10030</v>
      </c>
      <c r="F10763" s="9" t="s">
        <v>16963</v>
      </c>
    </row>
    <row r="10764" ht="33.75" customHeight="1">
      <c r="A10764" s="7">
        <v>450.0</v>
      </c>
      <c r="B10764" s="9" t="s">
        <v>16268</v>
      </c>
      <c r="C10764" s="9" t="s">
        <v>689</v>
      </c>
      <c r="D10764" s="9" t="s">
        <v>89</v>
      </c>
      <c r="E10764" s="6" t="s">
        <v>10031</v>
      </c>
      <c r="F10764" s="9" t="s">
        <v>16963</v>
      </c>
    </row>
    <row r="10765" ht="33.75" customHeight="1">
      <c r="A10765" s="7">
        <v>450.0</v>
      </c>
      <c r="B10765" s="9" t="s">
        <v>16268</v>
      </c>
      <c r="C10765" s="9" t="s">
        <v>689</v>
      </c>
      <c r="D10765" s="9" t="s">
        <v>91</v>
      </c>
      <c r="E10765" s="6" t="s">
        <v>10031</v>
      </c>
      <c r="F10765" s="9" t="s">
        <v>16963</v>
      </c>
    </row>
    <row r="10766" ht="33.75" customHeight="1">
      <c r="A10766" s="7">
        <v>450.0</v>
      </c>
      <c r="B10766" s="9" t="s">
        <v>16268</v>
      </c>
      <c r="C10766" s="9" t="s">
        <v>689</v>
      </c>
      <c r="D10766" s="9" t="s">
        <v>93</v>
      </c>
      <c r="E10766" s="6" t="s">
        <v>10030</v>
      </c>
      <c r="F10766" s="9" t="s">
        <v>16963</v>
      </c>
    </row>
    <row r="10767" ht="33.75" customHeight="1">
      <c r="A10767" s="7">
        <v>450.0</v>
      </c>
      <c r="B10767" s="9" t="s">
        <v>16268</v>
      </c>
      <c r="C10767" s="9" t="s">
        <v>689</v>
      </c>
      <c r="D10767" s="9" t="s">
        <v>95</v>
      </c>
      <c r="E10767" s="6" t="s">
        <v>10030</v>
      </c>
      <c r="F10767" s="9" t="s">
        <v>16963</v>
      </c>
    </row>
    <row r="10768" ht="33.75" customHeight="1">
      <c r="A10768" s="7">
        <v>450.0</v>
      </c>
      <c r="B10768" s="9" t="s">
        <v>16268</v>
      </c>
      <c r="C10768" s="9" t="s">
        <v>689</v>
      </c>
      <c r="D10768" s="9" t="s">
        <v>98</v>
      </c>
      <c r="E10768" s="6" t="s">
        <v>10030</v>
      </c>
      <c r="F10768" s="9" t="s">
        <v>16963</v>
      </c>
    </row>
    <row r="10769" ht="33.75" customHeight="1">
      <c r="A10769" s="7">
        <v>450.0</v>
      </c>
      <c r="B10769" s="9" t="s">
        <v>16268</v>
      </c>
      <c r="C10769" s="9" t="s">
        <v>689</v>
      </c>
      <c r="D10769" s="9" t="s">
        <v>99</v>
      </c>
      <c r="E10769" s="6" t="s">
        <v>10030</v>
      </c>
      <c r="F10769" s="9" t="s">
        <v>16963</v>
      </c>
    </row>
    <row r="10770" ht="33.75" customHeight="1">
      <c r="A10770" s="7">
        <v>450.0</v>
      </c>
      <c r="B10770" s="9" t="s">
        <v>16268</v>
      </c>
      <c r="C10770" s="9" t="s">
        <v>689</v>
      </c>
      <c r="D10770" s="9" t="s">
        <v>101</v>
      </c>
      <c r="E10770" s="6" t="s">
        <v>10031</v>
      </c>
      <c r="F10770" s="9" t="s">
        <v>16963</v>
      </c>
    </row>
    <row r="10771" ht="33.75" customHeight="1">
      <c r="A10771" s="7">
        <v>450.0</v>
      </c>
      <c r="B10771" s="9" t="s">
        <v>16268</v>
      </c>
      <c r="C10771" s="9" t="s">
        <v>689</v>
      </c>
      <c r="D10771" s="9" t="s">
        <v>105</v>
      </c>
      <c r="E10771" s="6" t="s">
        <v>10028</v>
      </c>
      <c r="F10771" s="9" t="s">
        <v>16963</v>
      </c>
    </row>
    <row r="10772" ht="33.75" customHeight="1">
      <c r="A10772" s="7">
        <v>450.0</v>
      </c>
      <c r="B10772" s="9" t="s">
        <v>16268</v>
      </c>
      <c r="C10772" s="9" t="s">
        <v>689</v>
      </c>
      <c r="D10772" s="9" t="s">
        <v>107</v>
      </c>
      <c r="E10772" s="6" t="s">
        <v>10031</v>
      </c>
      <c r="F10772" s="9" t="s">
        <v>16963</v>
      </c>
    </row>
    <row r="10773" ht="33.75" customHeight="1">
      <c r="A10773" s="7">
        <v>450.0</v>
      </c>
      <c r="B10773" s="9" t="s">
        <v>16268</v>
      </c>
      <c r="C10773" s="9" t="s">
        <v>689</v>
      </c>
      <c r="D10773" s="9" t="s">
        <v>109</v>
      </c>
      <c r="E10773" s="6" t="s">
        <v>10028</v>
      </c>
      <c r="F10773" s="9" t="s">
        <v>16963</v>
      </c>
    </row>
    <row r="10774" ht="33.75" customHeight="1">
      <c r="A10774" s="7">
        <v>450.0</v>
      </c>
      <c r="B10774" s="9" t="s">
        <v>16268</v>
      </c>
      <c r="C10774" s="9" t="s">
        <v>689</v>
      </c>
      <c r="D10774" s="9" t="s">
        <v>114</v>
      </c>
      <c r="E10774" s="6" t="s">
        <v>10032</v>
      </c>
      <c r="F10774" s="9" t="s">
        <v>16963</v>
      </c>
    </row>
    <row r="10775" ht="33.75" customHeight="1">
      <c r="A10775" s="7">
        <v>450.0</v>
      </c>
      <c r="B10775" s="9" t="s">
        <v>16268</v>
      </c>
      <c r="C10775" s="9" t="s">
        <v>689</v>
      </c>
      <c r="D10775" s="9" t="s">
        <v>117</v>
      </c>
      <c r="E10775" s="6" t="s">
        <v>10033</v>
      </c>
      <c r="F10775" s="9" t="s">
        <v>16963</v>
      </c>
    </row>
    <row r="10776" ht="33.75" customHeight="1">
      <c r="A10776" s="7">
        <v>450.0</v>
      </c>
      <c r="B10776" s="9" t="s">
        <v>16268</v>
      </c>
      <c r="C10776" s="9" t="s">
        <v>689</v>
      </c>
      <c r="D10776" s="9" t="s">
        <v>1577</v>
      </c>
      <c r="E10776" s="6" t="s">
        <v>10034</v>
      </c>
      <c r="F10776" s="9" t="s">
        <v>16963</v>
      </c>
    </row>
    <row r="10777" ht="33.75" customHeight="1">
      <c r="A10777" s="7">
        <v>451.0</v>
      </c>
      <c r="B10777" s="9" t="s">
        <v>16278</v>
      </c>
      <c r="C10777" s="9" t="s">
        <v>690</v>
      </c>
      <c r="D10777" s="9" t="s">
        <v>81</v>
      </c>
      <c r="E10777" s="6" t="s">
        <v>10036</v>
      </c>
      <c r="F10777" s="9" t="s">
        <v>16977</v>
      </c>
      <c r="G10777" t="inlineStr" s="6">
        <is>
          <t xml:space="preserve">It grips prey with Skorupi's tail claws and injects poison. It tenaciously hangs on until the poison takes. It lives in arid lands. It buries itself in sand and lies in wait for unsuspecting prey. As soon as the tail claws close, its needle tips secrete poison. It can survive a year without food. It burrows under the sand to lie in wait for prey. Its tail claws can inject its prey with a savage poison. It lives in arid regions and can go without food for a year while waiting for prey. After burrowing into the sand, it waits patiently for prey to come near. This Pokémon and Sizzlipede share common descent. It attacks using the claws on its tail. Once locked in its grip, its prey is unable to move as this Pokémon’s poison seeps in. Its claws are not only razor-sharp but poisonous, making Skorupi a highly dangerous Pokémon. It seems to be weakened by cold temperatures, however.</t>
        </is>
      </c>
    </row>
    <row r="10778" ht="33.75" customHeight="1">
      <c r="A10778" s="7">
        <v>451.0</v>
      </c>
      <c r="B10778" s="9" t="s">
        <v>16278</v>
      </c>
      <c r="C10778" s="9" t="s">
        <v>690</v>
      </c>
      <c r="D10778" s="9" t="s">
        <v>84</v>
      </c>
      <c r="E10778" s="6" t="s">
        <v>10037</v>
      </c>
      <c r="F10778" s="9" t="s">
        <v>16977</v>
      </c>
    </row>
    <row r="10779" ht="33.75" customHeight="1">
      <c r="A10779" s="7">
        <v>451.0</v>
      </c>
      <c r="B10779" s="9" t="s">
        <v>16278</v>
      </c>
      <c r="C10779" s="9" t="s">
        <v>690</v>
      </c>
      <c r="D10779" s="9" t="s">
        <v>87</v>
      </c>
      <c r="E10779" s="6" t="s">
        <v>10039</v>
      </c>
      <c r="F10779" s="9" t="s">
        <v>16977</v>
      </c>
    </row>
    <row r="10780" ht="33.75" customHeight="1">
      <c r="A10780" s="7">
        <v>451.0</v>
      </c>
      <c r="B10780" s="9" t="s">
        <v>16278</v>
      </c>
      <c r="C10780" s="9" t="s">
        <v>690</v>
      </c>
      <c r="D10780" s="9" t="s">
        <v>89</v>
      </c>
      <c r="E10780" s="6" t="s">
        <v>10041</v>
      </c>
      <c r="F10780" s="9" t="s">
        <v>16977</v>
      </c>
    </row>
    <row r="10781" ht="33.75" customHeight="1">
      <c r="A10781" s="7">
        <v>451.0</v>
      </c>
      <c r="B10781" s="9" t="s">
        <v>16278</v>
      </c>
      <c r="C10781" s="9" t="s">
        <v>690</v>
      </c>
      <c r="D10781" s="9" t="s">
        <v>91</v>
      </c>
      <c r="E10781" s="6" t="s">
        <v>10041</v>
      </c>
      <c r="F10781" s="9" t="s">
        <v>16977</v>
      </c>
    </row>
    <row r="10782" ht="33.75" customHeight="1">
      <c r="A10782" s="7">
        <v>451.0</v>
      </c>
      <c r="B10782" s="9" t="s">
        <v>16278</v>
      </c>
      <c r="C10782" s="9" t="s">
        <v>690</v>
      </c>
      <c r="D10782" s="9" t="s">
        <v>93</v>
      </c>
      <c r="E10782" s="6" t="s">
        <v>10039</v>
      </c>
      <c r="F10782" s="9" t="s">
        <v>16977</v>
      </c>
    </row>
    <row r="10783" ht="33.75" customHeight="1">
      <c r="A10783" s="7">
        <v>451.0</v>
      </c>
      <c r="B10783" s="9" t="s">
        <v>16278</v>
      </c>
      <c r="C10783" s="9" t="s">
        <v>690</v>
      </c>
      <c r="D10783" s="9" t="s">
        <v>95</v>
      </c>
      <c r="E10783" s="6" t="s">
        <v>10039</v>
      </c>
      <c r="F10783" s="9" t="s">
        <v>16977</v>
      </c>
    </row>
    <row r="10784" ht="33.75" customHeight="1">
      <c r="A10784" s="7">
        <v>451.0</v>
      </c>
      <c r="B10784" s="9" t="s">
        <v>16278</v>
      </c>
      <c r="C10784" s="9" t="s">
        <v>690</v>
      </c>
      <c r="D10784" s="9" t="s">
        <v>98</v>
      </c>
      <c r="E10784" s="6" t="s">
        <v>10043</v>
      </c>
      <c r="F10784" s="9" t="s">
        <v>16977</v>
      </c>
    </row>
    <row r="10785" ht="33.75" customHeight="1">
      <c r="A10785" s="7">
        <v>451.0</v>
      </c>
      <c r="B10785" s="9" t="s">
        <v>16278</v>
      </c>
      <c r="C10785" s="9" t="s">
        <v>690</v>
      </c>
      <c r="D10785" s="9" t="s">
        <v>99</v>
      </c>
      <c r="E10785" s="6" t="s">
        <v>10043</v>
      </c>
      <c r="F10785" s="9" t="s">
        <v>16977</v>
      </c>
    </row>
    <row r="10786" ht="33.75" customHeight="1">
      <c r="A10786" s="7">
        <v>451.0</v>
      </c>
      <c r="B10786" s="9" t="s">
        <v>16278</v>
      </c>
      <c r="C10786" s="9" t="s">
        <v>690</v>
      </c>
      <c r="D10786" s="9" t="s">
        <v>101</v>
      </c>
      <c r="E10786" s="6" t="s">
        <v>10036</v>
      </c>
      <c r="F10786" s="9" t="s">
        <v>16977</v>
      </c>
    </row>
    <row r="10787" ht="33.75" customHeight="1">
      <c r="A10787" s="7">
        <v>451.0</v>
      </c>
      <c r="B10787" s="9" t="s">
        <v>16278</v>
      </c>
      <c r="C10787" s="9" t="s">
        <v>690</v>
      </c>
      <c r="D10787" s="9" t="s">
        <v>105</v>
      </c>
      <c r="E10787" s="6" t="s">
        <v>10041</v>
      </c>
      <c r="F10787" s="9" t="s">
        <v>16977</v>
      </c>
    </row>
    <row r="10788" ht="33.75" customHeight="1">
      <c r="A10788" s="7">
        <v>451.0</v>
      </c>
      <c r="B10788" s="9" t="s">
        <v>16278</v>
      </c>
      <c r="C10788" s="9" t="s">
        <v>690</v>
      </c>
      <c r="D10788" s="9" t="s">
        <v>107</v>
      </c>
      <c r="E10788" s="6" t="s">
        <v>10036</v>
      </c>
      <c r="F10788" s="9" t="s">
        <v>16977</v>
      </c>
    </row>
    <row r="10789" ht="33.75" customHeight="1">
      <c r="A10789" s="7">
        <v>451.0</v>
      </c>
      <c r="B10789" s="9" t="s">
        <v>16278</v>
      </c>
      <c r="C10789" s="9" t="s">
        <v>690</v>
      </c>
      <c r="D10789" s="9" t="s">
        <v>109</v>
      </c>
      <c r="E10789" s="6" t="s">
        <v>10041</v>
      </c>
      <c r="F10789" s="9" t="s">
        <v>16977</v>
      </c>
    </row>
    <row r="10790" ht="33.75" customHeight="1">
      <c r="A10790" s="7">
        <v>451.0</v>
      </c>
      <c r="B10790" s="9" t="s">
        <v>16278</v>
      </c>
      <c r="C10790" s="9" t="s">
        <v>690</v>
      </c>
      <c r="D10790" s="9" t="s">
        <v>114</v>
      </c>
      <c r="E10790" s="6" t="s">
        <v>10047</v>
      </c>
      <c r="F10790" s="9" t="s">
        <v>16977</v>
      </c>
    </row>
    <row r="10791" ht="33.75" customHeight="1">
      <c r="A10791" s="7">
        <v>451.0</v>
      </c>
      <c r="B10791" s="9" t="s">
        <v>16278</v>
      </c>
      <c r="C10791" s="9" t="s">
        <v>690</v>
      </c>
      <c r="D10791" s="9" t="s">
        <v>117</v>
      </c>
      <c r="E10791" s="6" t="s">
        <v>10050</v>
      </c>
      <c r="F10791" s="9" t="s">
        <v>16977</v>
      </c>
    </row>
    <row r="10792" ht="33.75" customHeight="1">
      <c r="A10792" s="7">
        <v>451.0</v>
      </c>
      <c r="B10792" s="9" t="s">
        <v>16278</v>
      </c>
      <c r="C10792" s="9" t="s">
        <v>690</v>
      </c>
      <c r="D10792" s="9" t="s">
        <v>1577</v>
      </c>
      <c r="E10792" s="6" t="s">
        <v>10052</v>
      </c>
      <c r="F10792" s="9" t="s">
        <v>16977</v>
      </c>
    </row>
    <row r="10793" ht="33.75" customHeight="1">
      <c r="A10793" s="7">
        <v>452.0</v>
      </c>
      <c r="B10793" s="9" t="s">
        <v>16289</v>
      </c>
      <c r="C10793" s="9" t="s">
        <v>692</v>
      </c>
      <c r="D10793" s="9" t="s">
        <v>81</v>
      </c>
      <c r="E10793" s="6" t="s">
        <v>10054</v>
      </c>
      <c r="F10793" s="9" t="s">
        <v>16992</v>
      </c>
      <c r="G10793" t="inlineStr" s="6">
        <is>
          <t xml:space="preserve">It has the power in Drapion's clawed arms to make scrap of a car. The tips of its claws release poison. Its body is encased in a sturdy shell. Its head rotates 180 degrees, eliminating blind spots. Possessing a sturdy build, it takes pride in its strength, taking down foes without using toxins. It attacks people and Pokémon that cross the desert. This has only furthered its bad reputation. It takes pride in its strength. Even though it can tear foes apart, it finishes them off with powerful poison. Its poison is potent, but it rarely sees use. This Pokémon prefers to use physical force instead, going on rampages with its car-crushing strength. It’s so vicious that it’s called the Sand Demon. Yet when confronted by Hippowdon, Drapion keeps a low profile and will never pick a fight. Has a brutish, ferocious temperament. With immense strength and a sturdy shell off which swords will bounce, it rampages about and wreaks havoc.</t>
        </is>
      </c>
    </row>
    <row r="10794" ht="33.75" customHeight="1">
      <c r="A10794" s="7">
        <v>452.0</v>
      </c>
      <c r="B10794" s="9" t="s">
        <v>16289</v>
      </c>
      <c r="C10794" s="9" t="s">
        <v>692</v>
      </c>
      <c r="D10794" s="9" t="s">
        <v>84</v>
      </c>
      <c r="E10794" s="6" t="s">
        <v>10056</v>
      </c>
      <c r="F10794" s="9" t="s">
        <v>16992</v>
      </c>
    </row>
    <row r="10795" ht="33.75" customHeight="1">
      <c r="A10795" s="7">
        <v>452.0</v>
      </c>
      <c r="B10795" s="9" t="s">
        <v>16289</v>
      </c>
      <c r="C10795" s="9" t="s">
        <v>692</v>
      </c>
      <c r="D10795" s="9" t="s">
        <v>87</v>
      </c>
      <c r="E10795" s="6" t="s">
        <v>10058</v>
      </c>
      <c r="F10795" s="9" t="s">
        <v>16992</v>
      </c>
    </row>
    <row r="10796" ht="33.75" customHeight="1">
      <c r="A10796" s="7">
        <v>452.0</v>
      </c>
      <c r="B10796" s="9" t="s">
        <v>16289</v>
      </c>
      <c r="C10796" s="9" t="s">
        <v>692</v>
      </c>
      <c r="D10796" s="9" t="s">
        <v>89</v>
      </c>
      <c r="E10796" s="6" t="s">
        <v>10059</v>
      </c>
      <c r="F10796" s="9" t="s">
        <v>16992</v>
      </c>
    </row>
    <row r="10797" ht="33.75" customHeight="1">
      <c r="A10797" s="7">
        <v>452.0</v>
      </c>
      <c r="B10797" s="9" t="s">
        <v>16289</v>
      </c>
      <c r="C10797" s="9" t="s">
        <v>692</v>
      </c>
      <c r="D10797" s="9" t="s">
        <v>91</v>
      </c>
      <c r="E10797" s="6" t="s">
        <v>10059</v>
      </c>
      <c r="F10797" s="9" t="s">
        <v>16992</v>
      </c>
    </row>
    <row r="10798" ht="33.75" customHeight="1">
      <c r="A10798" s="7">
        <v>452.0</v>
      </c>
      <c r="B10798" s="9" t="s">
        <v>16289</v>
      </c>
      <c r="C10798" s="9" t="s">
        <v>692</v>
      </c>
      <c r="D10798" s="9" t="s">
        <v>93</v>
      </c>
      <c r="E10798" s="6" t="s">
        <v>10058</v>
      </c>
      <c r="F10798" s="9" t="s">
        <v>16992</v>
      </c>
    </row>
    <row r="10799" ht="33.75" customHeight="1">
      <c r="A10799" s="7">
        <v>452.0</v>
      </c>
      <c r="B10799" s="9" t="s">
        <v>16289</v>
      </c>
      <c r="C10799" s="9" t="s">
        <v>692</v>
      </c>
      <c r="D10799" s="9" t="s">
        <v>95</v>
      </c>
      <c r="E10799" s="6" t="s">
        <v>10058</v>
      </c>
      <c r="F10799" s="9" t="s">
        <v>16992</v>
      </c>
    </row>
    <row r="10800" ht="33.75" customHeight="1">
      <c r="A10800" s="7">
        <v>452.0</v>
      </c>
      <c r="B10800" s="9" t="s">
        <v>16289</v>
      </c>
      <c r="C10800" s="9" t="s">
        <v>692</v>
      </c>
      <c r="D10800" s="9" t="s">
        <v>98</v>
      </c>
      <c r="E10800" s="6" t="s">
        <v>10061</v>
      </c>
      <c r="F10800" s="9" t="s">
        <v>16992</v>
      </c>
    </row>
    <row r="10801" ht="33.75" customHeight="1">
      <c r="A10801" s="7">
        <v>452.0</v>
      </c>
      <c r="B10801" s="9" t="s">
        <v>16289</v>
      </c>
      <c r="C10801" s="9" t="s">
        <v>692</v>
      </c>
      <c r="D10801" s="9" t="s">
        <v>99</v>
      </c>
      <c r="E10801" s="6" t="s">
        <v>10061</v>
      </c>
      <c r="F10801" s="9" t="s">
        <v>16992</v>
      </c>
    </row>
    <row r="10802" ht="33.75" customHeight="1">
      <c r="A10802" s="7">
        <v>452.0</v>
      </c>
      <c r="B10802" s="9" t="s">
        <v>16289</v>
      </c>
      <c r="C10802" s="9" t="s">
        <v>692</v>
      </c>
      <c r="D10802" s="9" t="s">
        <v>101</v>
      </c>
      <c r="E10802" s="6" t="s">
        <v>10061</v>
      </c>
      <c r="F10802" s="9" t="s">
        <v>16992</v>
      </c>
    </row>
    <row r="10803" ht="33.75" customHeight="1">
      <c r="A10803" s="7">
        <v>452.0</v>
      </c>
      <c r="B10803" s="9" t="s">
        <v>16289</v>
      </c>
      <c r="C10803" s="9" t="s">
        <v>692</v>
      </c>
      <c r="D10803" s="9" t="s">
        <v>105</v>
      </c>
      <c r="E10803" s="6" t="s">
        <v>10054</v>
      </c>
      <c r="F10803" s="9" t="s">
        <v>16992</v>
      </c>
    </row>
    <row r="10804" ht="33.75" customHeight="1">
      <c r="A10804" s="7">
        <v>452.0</v>
      </c>
      <c r="B10804" s="9" t="s">
        <v>16289</v>
      </c>
      <c r="C10804" s="9" t="s">
        <v>692</v>
      </c>
      <c r="D10804" s="9" t="s">
        <v>107</v>
      </c>
      <c r="E10804" s="6" t="s">
        <v>10061</v>
      </c>
      <c r="F10804" s="9" t="s">
        <v>16992</v>
      </c>
    </row>
    <row r="10805" ht="33.75" customHeight="1">
      <c r="A10805" s="7">
        <v>452.0</v>
      </c>
      <c r="B10805" s="9" t="s">
        <v>16289</v>
      </c>
      <c r="C10805" s="9" t="s">
        <v>692</v>
      </c>
      <c r="D10805" s="9" t="s">
        <v>109</v>
      </c>
      <c r="E10805" s="6" t="s">
        <v>10054</v>
      </c>
      <c r="F10805" s="9" t="s">
        <v>16992</v>
      </c>
    </row>
    <row r="10806" ht="33.75" customHeight="1">
      <c r="A10806" s="7">
        <v>452.0</v>
      </c>
      <c r="B10806" s="9" t="s">
        <v>16289</v>
      </c>
      <c r="C10806" s="9" t="s">
        <v>692</v>
      </c>
      <c r="D10806" s="9" t="s">
        <v>114</v>
      </c>
      <c r="E10806" s="6" t="s">
        <v>10062</v>
      </c>
      <c r="F10806" s="9" t="s">
        <v>16992</v>
      </c>
    </row>
    <row r="10807" ht="33.75" customHeight="1">
      <c r="A10807" s="7">
        <v>452.0</v>
      </c>
      <c r="B10807" s="9" t="s">
        <v>16289</v>
      </c>
      <c r="C10807" s="9" t="s">
        <v>692</v>
      </c>
      <c r="D10807" s="9" t="s">
        <v>117</v>
      </c>
      <c r="E10807" s="6" t="s">
        <v>10063</v>
      </c>
      <c r="F10807" s="9" t="s">
        <v>16992</v>
      </c>
    </row>
    <row r="10808" ht="33.75" customHeight="1">
      <c r="A10808" s="7">
        <v>452.0</v>
      </c>
      <c r="B10808" s="9" t="s">
        <v>16289</v>
      </c>
      <c r="C10808" s="9" t="s">
        <v>692</v>
      </c>
      <c r="D10808" s="9" t="s">
        <v>1577</v>
      </c>
      <c r="E10808" s="6" t="s">
        <v>10064</v>
      </c>
      <c r="F10808" s="9" t="s">
        <v>16992</v>
      </c>
    </row>
    <row r="10809" ht="33.75" customHeight="1">
      <c r="A10809" s="7">
        <v>453.0</v>
      </c>
      <c r="B10809" s="9" t="s">
        <v>16300</v>
      </c>
      <c r="C10809" s="9" t="s">
        <v>694</v>
      </c>
      <c r="D10809" s="9" t="s">
        <v>81</v>
      </c>
      <c r="E10809" s="6" t="s">
        <v>10065</v>
      </c>
      <c r="F10809" s="9" t="s">
        <v>17004</v>
      </c>
      <c r="G10809" t="inlineStr" s="6">
        <is>
          <t xml:space="preserve">Croagunk's cheeks hold poison sacs. It tries to catch foes off guard to jab them with toxic fingers. Inflating its poison sacs, it makes an eerie blubbering sound for intimidation. It rarely fights fairly, but that is strictly to ensure survival. It is popular as a mascot. Fluid squeezed from its finger, albeit poisonous, is a significant ingredient in remedies for lower-back pain. Fluid squeezed from its finger, albeit poisonous, is a significant ingredient in remedies for lower back pain. Inflating its poison sacs, it fills the area with an odd sound and hits flinching opponents with a poison jab. It makes frightening noises with its poison-filled cheek sacs. When opponents flinch, Croagunk hits them with a poison jab. Once diluted, its poison becomes medicinal. This Pokémon came into popularity after a pharmaceutical company chose it as a mascot. A poison wielder with a dastardly personality. Despite such qualities, this species is afforded a measure of popularity due to its peculiar cry and comical features.</t>
        </is>
      </c>
    </row>
    <row r="10810" ht="33.75" customHeight="1">
      <c r="A10810" s="7">
        <v>453.0</v>
      </c>
      <c r="B10810" s="9" t="s">
        <v>16300</v>
      </c>
      <c r="C10810" s="9" t="s">
        <v>694</v>
      </c>
      <c r="D10810" s="9" t="s">
        <v>84</v>
      </c>
      <c r="E10810" s="6" t="s">
        <v>10066</v>
      </c>
      <c r="F10810" s="9" t="s">
        <v>17004</v>
      </c>
    </row>
    <row r="10811" ht="33.75" customHeight="1">
      <c r="A10811" s="7">
        <v>453.0</v>
      </c>
      <c r="B10811" s="9" t="s">
        <v>16300</v>
      </c>
      <c r="C10811" s="9" t="s">
        <v>694</v>
      </c>
      <c r="D10811" s="9" t="s">
        <v>87</v>
      </c>
      <c r="E10811" s="6" t="s">
        <v>10067</v>
      </c>
      <c r="F10811" s="9" t="s">
        <v>17004</v>
      </c>
    </row>
    <row r="10812" ht="33.75" customHeight="1">
      <c r="A10812" s="7">
        <v>453.0</v>
      </c>
      <c r="B10812" s="9" t="s">
        <v>16300</v>
      </c>
      <c r="C10812" s="9" t="s">
        <v>694</v>
      </c>
      <c r="D10812" s="9" t="s">
        <v>89</v>
      </c>
      <c r="E10812" s="6" t="s">
        <v>10068</v>
      </c>
      <c r="F10812" s="9" t="s">
        <v>17004</v>
      </c>
    </row>
    <row r="10813" ht="33.75" customHeight="1">
      <c r="A10813" s="7">
        <v>453.0</v>
      </c>
      <c r="B10813" s="9" t="s">
        <v>16300</v>
      </c>
      <c r="C10813" s="9" t="s">
        <v>694</v>
      </c>
      <c r="D10813" s="9" t="s">
        <v>91</v>
      </c>
      <c r="E10813" s="6" t="s">
        <v>10069</v>
      </c>
      <c r="F10813" s="9" t="s">
        <v>17004</v>
      </c>
    </row>
    <row r="10814" ht="33.75" customHeight="1">
      <c r="A10814" s="7">
        <v>453.0</v>
      </c>
      <c r="B10814" s="9" t="s">
        <v>16300</v>
      </c>
      <c r="C10814" s="9" t="s">
        <v>694</v>
      </c>
      <c r="D10814" s="9" t="s">
        <v>93</v>
      </c>
      <c r="E10814" s="6" t="s">
        <v>10067</v>
      </c>
      <c r="F10814" s="9" t="s">
        <v>17004</v>
      </c>
    </row>
    <row r="10815" ht="33.75" customHeight="1">
      <c r="A10815" s="7">
        <v>453.0</v>
      </c>
      <c r="B10815" s="9" t="s">
        <v>16300</v>
      </c>
      <c r="C10815" s="9" t="s">
        <v>694</v>
      </c>
      <c r="D10815" s="9" t="s">
        <v>95</v>
      </c>
      <c r="E10815" s="6" t="s">
        <v>10067</v>
      </c>
      <c r="F10815" s="9" t="s">
        <v>17004</v>
      </c>
    </row>
    <row r="10816" ht="33.75" customHeight="1">
      <c r="A10816" s="7">
        <v>453.0</v>
      </c>
      <c r="B10816" s="9" t="s">
        <v>16300</v>
      </c>
      <c r="C10816" s="9" t="s">
        <v>694</v>
      </c>
      <c r="D10816" s="9" t="s">
        <v>98</v>
      </c>
      <c r="E10816" s="6" t="s">
        <v>10070</v>
      </c>
      <c r="F10816" s="9" t="s">
        <v>17004</v>
      </c>
    </row>
    <row r="10817" ht="33.75" customHeight="1">
      <c r="A10817" s="7">
        <v>453.0</v>
      </c>
      <c r="B10817" s="9" t="s">
        <v>16300</v>
      </c>
      <c r="C10817" s="9" t="s">
        <v>694</v>
      </c>
      <c r="D10817" s="9" t="s">
        <v>99</v>
      </c>
      <c r="E10817" s="6" t="s">
        <v>10070</v>
      </c>
      <c r="F10817" s="9" t="s">
        <v>17004</v>
      </c>
    </row>
    <row r="10818" ht="33.75" customHeight="1">
      <c r="A10818" s="7">
        <v>453.0</v>
      </c>
      <c r="B10818" s="9" t="s">
        <v>16300</v>
      </c>
      <c r="C10818" s="9" t="s">
        <v>694</v>
      </c>
      <c r="D10818" s="9" t="s">
        <v>101</v>
      </c>
      <c r="E10818" s="6" t="s">
        <v>10065</v>
      </c>
      <c r="F10818" s="9" t="s">
        <v>17004</v>
      </c>
    </row>
    <row r="10819" ht="33.75" customHeight="1">
      <c r="A10819" s="7">
        <v>453.0</v>
      </c>
      <c r="B10819" s="9" t="s">
        <v>16300</v>
      </c>
      <c r="C10819" s="9" t="s">
        <v>694</v>
      </c>
      <c r="D10819" s="9" t="s">
        <v>105</v>
      </c>
      <c r="E10819" s="6" t="s">
        <v>10070</v>
      </c>
      <c r="F10819" s="9" t="s">
        <v>17004</v>
      </c>
    </row>
    <row r="10820" ht="33.75" customHeight="1">
      <c r="A10820" s="7">
        <v>453.0</v>
      </c>
      <c r="B10820" s="9" t="s">
        <v>16300</v>
      </c>
      <c r="C10820" s="9" t="s">
        <v>694</v>
      </c>
      <c r="D10820" s="9" t="s">
        <v>107</v>
      </c>
      <c r="E10820" s="6" t="s">
        <v>10065</v>
      </c>
      <c r="F10820" s="9" t="s">
        <v>17004</v>
      </c>
    </row>
    <row r="10821" ht="33.75" customHeight="1">
      <c r="A10821" s="7">
        <v>453.0</v>
      </c>
      <c r="B10821" s="9" t="s">
        <v>16300</v>
      </c>
      <c r="C10821" s="9" t="s">
        <v>694</v>
      </c>
      <c r="D10821" s="9" t="s">
        <v>109</v>
      </c>
      <c r="E10821" s="6" t="s">
        <v>10070</v>
      </c>
      <c r="F10821" s="9" t="s">
        <v>17004</v>
      </c>
    </row>
    <row r="10822" ht="33.75" customHeight="1">
      <c r="A10822" s="7">
        <v>453.0</v>
      </c>
      <c r="B10822" s="9" t="s">
        <v>16300</v>
      </c>
      <c r="C10822" s="9" t="s">
        <v>694</v>
      </c>
      <c r="D10822" s="9" t="s">
        <v>114</v>
      </c>
      <c r="E10822" s="6" t="s">
        <v>10071</v>
      </c>
      <c r="F10822" s="9" t="s">
        <v>17004</v>
      </c>
    </row>
    <row r="10823" ht="33.75" customHeight="1">
      <c r="A10823" s="7">
        <v>453.0</v>
      </c>
      <c r="B10823" s="9" t="s">
        <v>16300</v>
      </c>
      <c r="C10823" s="9" t="s">
        <v>694</v>
      </c>
      <c r="D10823" s="9" t="s">
        <v>117</v>
      </c>
      <c r="E10823" s="6" t="s">
        <v>10072</v>
      </c>
      <c r="F10823" s="9" t="s">
        <v>17004</v>
      </c>
    </row>
    <row r="10824" ht="33.75" customHeight="1">
      <c r="A10824" s="7">
        <v>453.0</v>
      </c>
      <c r="B10824" s="9" t="s">
        <v>16300</v>
      </c>
      <c r="C10824" s="9" t="s">
        <v>694</v>
      </c>
      <c r="D10824" s="9" t="s">
        <v>1577</v>
      </c>
      <c r="E10824" s="6" t="s">
        <v>10073</v>
      </c>
      <c r="F10824" s="9" t="s">
        <v>17004</v>
      </c>
    </row>
    <row r="10825" ht="33.75" customHeight="1">
      <c r="A10825" s="7">
        <v>454.0</v>
      </c>
      <c r="B10825" s="9" t="s">
        <v>16311</v>
      </c>
      <c r="C10825" s="9" t="s">
        <v>694</v>
      </c>
      <c r="D10825" s="9" t="s">
        <v>81</v>
      </c>
      <c r="E10825" s="6" t="s">
        <v>10074</v>
      </c>
      <c r="F10825" s="9" t="s">
        <v>17019</v>
      </c>
      <c r="G10825" t="inlineStr" s="6">
        <is>
          <t xml:space="preserve">Toxicroak's knuckle claws secrete a toxin so vile that even a scratch could prove fatal. The toxin made in its poison sacs is pumped to the knuckle claws through tubes down its arms. It has a poison sac at its throat. When it croaks, the stored poison is churned for greater potency. Swaying and dodging the attacks of its foes, it weaves its flexible body in close, then lunges out with its poisonous claws. The croaking that Toxicroak produces before a battle is for churning the poison it has stored in its poison sac. It bounces toward opponents and gouges them with poisonous claws. No more than a scratch is needed to knock out its adversaries. It booms out a victory croak when its prey goes down in defeat. This Pokémon and Seismitoad are related species. Its crimson claws contain a virulent toxin. This toxin can be made into a tonic by diluting it, mixing it with several types of wild grass, and boiling it down over two days.</t>
        </is>
      </c>
    </row>
    <row r="10826" ht="33.75" customHeight="1">
      <c r="A10826" s="7">
        <v>454.0</v>
      </c>
      <c r="B10826" s="9" t="s">
        <v>16311</v>
      </c>
      <c r="C10826" s="9" t="s">
        <v>694</v>
      </c>
      <c r="D10826" s="9" t="s">
        <v>84</v>
      </c>
      <c r="E10826" s="6" t="s">
        <v>10076</v>
      </c>
      <c r="F10826" s="9" t="s">
        <v>17019</v>
      </c>
    </row>
    <row r="10827" ht="33.75" customHeight="1">
      <c r="A10827" s="7">
        <v>454.0</v>
      </c>
      <c r="B10827" s="9" t="s">
        <v>16311</v>
      </c>
      <c r="C10827" s="9" t="s">
        <v>694</v>
      </c>
      <c r="D10827" s="9" t="s">
        <v>87</v>
      </c>
      <c r="E10827" s="6" t="s">
        <v>10078</v>
      </c>
      <c r="F10827" s="9" t="s">
        <v>17019</v>
      </c>
    </row>
    <row r="10828" ht="33.75" customHeight="1">
      <c r="A10828" s="7">
        <v>454.0</v>
      </c>
      <c r="B10828" s="9" t="s">
        <v>16311</v>
      </c>
      <c r="C10828" s="9" t="s">
        <v>694</v>
      </c>
      <c r="D10828" s="9" t="s">
        <v>89</v>
      </c>
      <c r="E10828" s="6" t="s">
        <v>10079</v>
      </c>
      <c r="F10828" s="9" t="s">
        <v>17019</v>
      </c>
    </row>
    <row r="10829" ht="33.75" customHeight="1">
      <c r="A10829" s="7">
        <v>454.0</v>
      </c>
      <c r="B10829" s="9" t="s">
        <v>16311</v>
      </c>
      <c r="C10829" s="9" t="s">
        <v>694</v>
      </c>
      <c r="D10829" s="9" t="s">
        <v>91</v>
      </c>
      <c r="E10829" s="6" t="s">
        <v>10079</v>
      </c>
      <c r="F10829" s="9" t="s">
        <v>17019</v>
      </c>
    </row>
    <row r="10830" ht="33.75" customHeight="1">
      <c r="A10830" s="7">
        <v>454.0</v>
      </c>
      <c r="B10830" s="9" t="s">
        <v>16311</v>
      </c>
      <c r="C10830" s="9" t="s">
        <v>694</v>
      </c>
      <c r="D10830" s="9" t="s">
        <v>93</v>
      </c>
      <c r="E10830" s="6" t="s">
        <v>10078</v>
      </c>
      <c r="F10830" s="9" t="s">
        <v>17019</v>
      </c>
    </row>
    <row r="10831" ht="33.75" customHeight="1">
      <c r="A10831" s="7">
        <v>454.0</v>
      </c>
      <c r="B10831" s="9" t="s">
        <v>16311</v>
      </c>
      <c r="C10831" s="9" t="s">
        <v>694</v>
      </c>
      <c r="D10831" s="9" t="s">
        <v>95</v>
      </c>
      <c r="E10831" s="6" t="s">
        <v>10078</v>
      </c>
      <c r="F10831" s="9" t="s">
        <v>17019</v>
      </c>
    </row>
    <row r="10832" ht="33.75" customHeight="1">
      <c r="A10832" s="7">
        <v>454.0</v>
      </c>
      <c r="B10832" s="9" t="s">
        <v>16311</v>
      </c>
      <c r="C10832" s="9" t="s">
        <v>694</v>
      </c>
      <c r="D10832" s="9" t="s">
        <v>98</v>
      </c>
      <c r="E10832" s="6" t="s">
        <v>10080</v>
      </c>
      <c r="F10832" s="9" t="s">
        <v>17019</v>
      </c>
    </row>
    <row r="10833" ht="33.75" customHeight="1">
      <c r="A10833" s="7">
        <v>454.0</v>
      </c>
      <c r="B10833" s="9" t="s">
        <v>16311</v>
      </c>
      <c r="C10833" s="9" t="s">
        <v>694</v>
      </c>
      <c r="D10833" s="9" t="s">
        <v>99</v>
      </c>
      <c r="E10833" s="6" t="s">
        <v>10080</v>
      </c>
      <c r="F10833" s="9" t="s">
        <v>17019</v>
      </c>
    </row>
    <row r="10834" ht="33.75" customHeight="1">
      <c r="A10834" s="7">
        <v>454.0</v>
      </c>
      <c r="B10834" s="9" t="s">
        <v>16311</v>
      </c>
      <c r="C10834" s="9" t="s">
        <v>694</v>
      </c>
      <c r="D10834" s="9" t="s">
        <v>101</v>
      </c>
      <c r="E10834" s="6" t="s">
        <v>10078</v>
      </c>
      <c r="F10834" s="9" t="s">
        <v>17019</v>
      </c>
    </row>
    <row r="10835" ht="33.75" customHeight="1">
      <c r="A10835" s="7">
        <v>454.0</v>
      </c>
      <c r="B10835" s="9" t="s">
        <v>16311</v>
      </c>
      <c r="C10835" s="9" t="s">
        <v>694</v>
      </c>
      <c r="D10835" s="9" t="s">
        <v>105</v>
      </c>
      <c r="E10835" s="6" t="s">
        <v>10074</v>
      </c>
      <c r="F10835" s="9" t="s">
        <v>17019</v>
      </c>
    </row>
    <row r="10836" ht="33.75" customHeight="1">
      <c r="A10836" s="7">
        <v>454.0</v>
      </c>
      <c r="B10836" s="9" t="s">
        <v>16311</v>
      </c>
      <c r="C10836" s="9" t="s">
        <v>694</v>
      </c>
      <c r="D10836" s="9" t="s">
        <v>107</v>
      </c>
      <c r="E10836" s="6" t="s">
        <v>10078</v>
      </c>
      <c r="F10836" s="9" t="s">
        <v>17019</v>
      </c>
    </row>
    <row r="10837" ht="33.75" customHeight="1">
      <c r="A10837" s="7">
        <v>454.0</v>
      </c>
      <c r="B10837" s="9" t="s">
        <v>16311</v>
      </c>
      <c r="C10837" s="9" t="s">
        <v>694</v>
      </c>
      <c r="D10837" s="9" t="s">
        <v>109</v>
      </c>
      <c r="E10837" s="6" t="s">
        <v>10074</v>
      </c>
      <c r="F10837" s="9" t="s">
        <v>17019</v>
      </c>
    </row>
    <row r="10838" ht="33.75" customHeight="1">
      <c r="A10838" s="7">
        <v>454.0</v>
      </c>
      <c r="B10838" s="9" t="s">
        <v>16311</v>
      </c>
      <c r="C10838" s="9" t="s">
        <v>694</v>
      </c>
      <c r="D10838" s="9" t="s">
        <v>114</v>
      </c>
      <c r="E10838" s="6" t="s">
        <v>10082</v>
      </c>
      <c r="F10838" s="9" t="s">
        <v>17019</v>
      </c>
    </row>
    <row r="10839" ht="33.75" customHeight="1">
      <c r="A10839" s="7">
        <v>454.0</v>
      </c>
      <c r="B10839" s="9" t="s">
        <v>16311</v>
      </c>
      <c r="C10839" s="9" t="s">
        <v>694</v>
      </c>
      <c r="D10839" s="9" t="s">
        <v>117</v>
      </c>
      <c r="E10839" s="6" t="s">
        <v>10084</v>
      </c>
      <c r="F10839" s="9" t="s">
        <v>17019</v>
      </c>
    </row>
    <row r="10840" ht="33.75" customHeight="1">
      <c r="A10840" s="7">
        <v>454.0</v>
      </c>
      <c r="B10840" s="9" t="s">
        <v>16311</v>
      </c>
      <c r="C10840" s="9" t="s">
        <v>694</v>
      </c>
      <c r="D10840" s="9" t="s">
        <v>1577</v>
      </c>
      <c r="E10840" s="6" t="s">
        <v>10086</v>
      </c>
      <c r="F10840" s="9" t="s">
        <v>17019</v>
      </c>
    </row>
    <row r="10841" ht="33.75" customHeight="1">
      <c r="A10841" s="7">
        <v>455.0</v>
      </c>
      <c r="B10841" s="9" t="s">
        <v>16321</v>
      </c>
      <c r="C10841" s="9" t="s">
        <v>695</v>
      </c>
      <c r="D10841" s="9" t="s">
        <v>81</v>
      </c>
      <c r="E10841" s="6" t="s">
        <v>10087</v>
      </c>
      <c r="F10841" s="9" t="s">
        <v>17032</v>
      </c>
      <c r="G10841" t="inlineStr" s="6">
        <is>
          <t xml:space="preserve">It attracts prey with Carnivine's sweet- smelling saliva, then chomps down. It takes a whole day to eat prey. Hanging from branches using its tentacles, it looks like a plant. It awaits prey, mouth wide open. It binds itself to trees in marshes. It attracts prey with its sweet- smelling drool and gulps them down. It walks around on its tentacles in search of a tree branch where it can dangle down and ambush prey. Using its tentacles to lash itself to trees, it lies in wait for prey, luring it close with sweet-smelling drool. It attracts prey with its sweet-smelling saliva, then chomps down. It attracts prey with its sweet-smelling drool and gulps them down. Though this is a plant Pokémon, it has a gluttonous and unruly temperament. Carnivine attacks its prey with its cavernous maw wide open.</t>
        </is>
      </c>
    </row>
    <row r="10842" ht="33.75" customHeight="1">
      <c r="A10842" s="7">
        <v>455.0</v>
      </c>
      <c r="B10842" s="9" t="s">
        <v>16321</v>
      </c>
      <c r="C10842" s="9" t="s">
        <v>695</v>
      </c>
      <c r="D10842" s="9" t="s">
        <v>84</v>
      </c>
      <c r="E10842" s="6" t="s">
        <v>10090</v>
      </c>
      <c r="F10842" s="9" t="s">
        <v>17032</v>
      </c>
    </row>
    <row r="10843" ht="33.75" customHeight="1">
      <c r="A10843" s="7">
        <v>455.0</v>
      </c>
      <c r="B10843" s="9" t="s">
        <v>16321</v>
      </c>
      <c r="C10843" s="9" t="s">
        <v>695</v>
      </c>
      <c r="D10843" s="9" t="s">
        <v>87</v>
      </c>
      <c r="E10843" s="6" t="s">
        <v>10093</v>
      </c>
      <c r="F10843" s="9" t="s">
        <v>17032</v>
      </c>
    </row>
    <row r="10844" ht="33.75" customHeight="1">
      <c r="A10844" s="7">
        <v>455.0</v>
      </c>
      <c r="B10844" s="9" t="s">
        <v>16321</v>
      </c>
      <c r="C10844" s="9" t="s">
        <v>695</v>
      </c>
      <c r="D10844" s="9" t="s">
        <v>89</v>
      </c>
      <c r="E10844" s="6" t="s">
        <v>10094</v>
      </c>
      <c r="F10844" s="9" t="s">
        <v>17032</v>
      </c>
    </row>
    <row r="10845" ht="33.75" customHeight="1">
      <c r="A10845" s="7">
        <v>455.0</v>
      </c>
      <c r="B10845" s="9" t="s">
        <v>16321</v>
      </c>
      <c r="C10845" s="9" t="s">
        <v>695</v>
      </c>
      <c r="D10845" s="9" t="s">
        <v>91</v>
      </c>
      <c r="E10845" s="6" t="s">
        <v>10094</v>
      </c>
      <c r="F10845" s="9" t="s">
        <v>17032</v>
      </c>
    </row>
    <row r="10846" ht="33.75" customHeight="1">
      <c r="A10846" s="7">
        <v>455.0</v>
      </c>
      <c r="B10846" s="9" t="s">
        <v>16321</v>
      </c>
      <c r="C10846" s="9" t="s">
        <v>695</v>
      </c>
      <c r="D10846" s="9" t="s">
        <v>93</v>
      </c>
      <c r="E10846" s="6" t="s">
        <v>10093</v>
      </c>
      <c r="F10846" s="9" t="s">
        <v>17032</v>
      </c>
    </row>
    <row r="10847" ht="33.75" customHeight="1">
      <c r="A10847" s="7">
        <v>455.0</v>
      </c>
      <c r="B10847" s="9" t="s">
        <v>16321</v>
      </c>
      <c r="C10847" s="9" t="s">
        <v>695</v>
      </c>
      <c r="D10847" s="9" t="s">
        <v>95</v>
      </c>
      <c r="E10847" s="6" t="s">
        <v>10093</v>
      </c>
      <c r="F10847" s="9" t="s">
        <v>17032</v>
      </c>
    </row>
    <row r="10848" ht="33.75" customHeight="1">
      <c r="A10848" s="7">
        <v>455.0</v>
      </c>
      <c r="B10848" s="9" t="s">
        <v>16321</v>
      </c>
      <c r="C10848" s="9" t="s">
        <v>695</v>
      </c>
      <c r="D10848" s="9" t="s">
        <v>98</v>
      </c>
      <c r="E10848" s="6" t="s">
        <v>10096</v>
      </c>
      <c r="F10848" s="9" t="s">
        <v>17032</v>
      </c>
    </row>
    <row r="10849" ht="33.75" customHeight="1">
      <c r="A10849" s="7">
        <v>455.0</v>
      </c>
      <c r="B10849" s="9" t="s">
        <v>16321</v>
      </c>
      <c r="C10849" s="9" t="s">
        <v>695</v>
      </c>
      <c r="D10849" s="9" t="s">
        <v>99</v>
      </c>
      <c r="E10849" s="6" t="s">
        <v>10096</v>
      </c>
      <c r="F10849" s="9" t="s">
        <v>17032</v>
      </c>
    </row>
    <row r="10850" ht="33.75" customHeight="1">
      <c r="A10850" s="7">
        <v>455.0</v>
      </c>
      <c r="B10850" s="9" t="s">
        <v>16321</v>
      </c>
      <c r="C10850" s="9" t="s">
        <v>695</v>
      </c>
      <c r="D10850" s="9" t="s">
        <v>101</v>
      </c>
      <c r="E10850" s="6" t="s">
        <v>10098</v>
      </c>
      <c r="F10850" s="9" t="s">
        <v>17032</v>
      </c>
    </row>
    <row r="10851" ht="33.75" customHeight="1">
      <c r="A10851" s="7">
        <v>455.0</v>
      </c>
      <c r="B10851" s="9" t="s">
        <v>16321</v>
      </c>
      <c r="C10851" s="9" t="s">
        <v>695</v>
      </c>
      <c r="D10851" s="9" t="s">
        <v>105</v>
      </c>
      <c r="E10851" s="6" t="s">
        <v>10099</v>
      </c>
      <c r="F10851" s="9" t="s">
        <v>17032</v>
      </c>
    </row>
    <row r="10852" ht="33.75" customHeight="1">
      <c r="A10852" s="7">
        <v>455.0</v>
      </c>
      <c r="B10852" s="9" t="s">
        <v>16321</v>
      </c>
      <c r="C10852" s="9" t="s">
        <v>695</v>
      </c>
      <c r="D10852" s="9" t="s">
        <v>107</v>
      </c>
      <c r="E10852" s="6" t="s">
        <v>10098</v>
      </c>
      <c r="F10852" s="9" t="s">
        <v>17032</v>
      </c>
    </row>
    <row r="10853" ht="33.75" customHeight="1">
      <c r="A10853" s="7">
        <v>455.0</v>
      </c>
      <c r="B10853" s="9" t="s">
        <v>16321</v>
      </c>
      <c r="C10853" s="9" t="s">
        <v>695</v>
      </c>
      <c r="D10853" s="9" t="s">
        <v>109</v>
      </c>
      <c r="E10853" s="6" t="s">
        <v>10099</v>
      </c>
      <c r="F10853" s="9" t="s">
        <v>17032</v>
      </c>
    </row>
    <row r="10854" ht="33.75" customHeight="1">
      <c r="A10854" s="7">
        <v>455.0</v>
      </c>
      <c r="B10854" s="9" t="s">
        <v>16321</v>
      </c>
      <c r="C10854" s="9" t="s">
        <v>695</v>
      </c>
      <c r="D10854" s="9" t="s">
        <v>1577</v>
      </c>
      <c r="E10854" s="6" t="s">
        <v>10101</v>
      </c>
      <c r="F10854" s="9" t="s">
        <v>17032</v>
      </c>
    </row>
    <row r="10855" ht="33.75" customHeight="1">
      <c r="A10855" s="7">
        <v>456.0</v>
      </c>
      <c r="B10855" s="9" t="s">
        <v>16332</v>
      </c>
      <c r="C10855" s="9" t="s">
        <v>696</v>
      </c>
      <c r="D10855" s="9" t="s">
        <v>81</v>
      </c>
      <c r="E10855" s="6" t="s">
        <v>10103</v>
      </c>
      <c r="F10855" s="9" t="s">
        <v>17044</v>
      </c>
      <c r="G10855" t="inlineStr" s="6">
        <is>
          <t xml:space="preserve">After long exposure to sunlight, the patterns on Finneon's tail fins shine vividly when darkness arrives. The way its two tail fins flutter while it swims has earned it the nickname “BEAUTIFLY of the Sea. The line running down its side can store sunlight. It shines vividly at night. Swimming and fluttering its two tail fins, it looks like a BEAUTIFLY. At night, the patterns on its tail fins softly shine. It absorbs sunlight with the pink areas of its skin, which then shine. This appears to be a form of camouflage. Its double tail fins propel its energetic jumps. When it breaks the surface of the sea, Wingull swoop down to grab it on the fly. When night falls, their pink patterns begin to shine. They’re popular with divers, so there are resorts that feed them to keep them close. It lures in prey with its shining tail fins. It stays near the surface during the day and moves to the depths when night falls. What a gorgeous sight this Pokémon is as it swims with its long, pink-painted caudal fins fluttering behind it. Finneon's beautiful appearance has led to its nickname: ”finery fish.”</t>
        </is>
      </c>
    </row>
    <row r="10856" ht="33.75" customHeight="1">
      <c r="A10856" s="7">
        <v>456.0</v>
      </c>
      <c r="B10856" s="9" t="s">
        <v>16332</v>
      </c>
      <c r="C10856" s="9" t="s">
        <v>696</v>
      </c>
      <c r="D10856" s="9" t="s">
        <v>84</v>
      </c>
      <c r="E10856" s="6" t="s">
        <v>10104</v>
      </c>
      <c r="F10856" s="9" t="s">
        <v>17044</v>
      </c>
    </row>
    <row r="10857" ht="33.75" customHeight="1">
      <c r="A10857" s="7">
        <v>456.0</v>
      </c>
      <c r="B10857" s="9" t="s">
        <v>16332</v>
      </c>
      <c r="C10857" s="9" t="s">
        <v>696</v>
      </c>
      <c r="D10857" s="9" t="s">
        <v>87</v>
      </c>
      <c r="E10857" s="6" t="s">
        <v>10105</v>
      </c>
      <c r="F10857" s="9" t="s">
        <v>17044</v>
      </c>
    </row>
    <row r="10858" ht="33.75" customHeight="1">
      <c r="A10858" s="7">
        <v>456.0</v>
      </c>
      <c r="B10858" s="9" t="s">
        <v>16332</v>
      </c>
      <c r="C10858" s="9" t="s">
        <v>696</v>
      </c>
      <c r="D10858" s="9" t="s">
        <v>89</v>
      </c>
      <c r="E10858" s="6" t="s">
        <v>10106</v>
      </c>
      <c r="F10858" s="9" t="s">
        <v>17044</v>
      </c>
    </row>
    <row r="10859" ht="33.75" customHeight="1">
      <c r="A10859" s="7">
        <v>456.0</v>
      </c>
      <c r="B10859" s="9" t="s">
        <v>16332</v>
      </c>
      <c r="C10859" s="9" t="s">
        <v>696</v>
      </c>
      <c r="D10859" s="9" t="s">
        <v>91</v>
      </c>
      <c r="E10859" s="6" t="s">
        <v>10106</v>
      </c>
      <c r="F10859" s="9" t="s">
        <v>17044</v>
      </c>
    </row>
    <row r="10860" ht="33.75" customHeight="1">
      <c r="A10860" s="7">
        <v>456.0</v>
      </c>
      <c r="B10860" s="9" t="s">
        <v>16332</v>
      </c>
      <c r="C10860" s="9" t="s">
        <v>696</v>
      </c>
      <c r="D10860" s="9" t="s">
        <v>93</v>
      </c>
      <c r="E10860" s="6" t="s">
        <v>10105</v>
      </c>
      <c r="F10860" s="9" t="s">
        <v>17044</v>
      </c>
    </row>
    <row r="10861" ht="33.75" customHeight="1">
      <c r="A10861" s="7">
        <v>456.0</v>
      </c>
      <c r="B10861" s="9" t="s">
        <v>16332</v>
      </c>
      <c r="C10861" s="9" t="s">
        <v>696</v>
      </c>
      <c r="D10861" s="9" t="s">
        <v>95</v>
      </c>
      <c r="E10861" s="6" t="s">
        <v>10105</v>
      </c>
      <c r="F10861" s="9" t="s">
        <v>17044</v>
      </c>
    </row>
    <row r="10862" ht="33.75" customHeight="1">
      <c r="A10862" s="7">
        <v>456.0</v>
      </c>
      <c r="B10862" s="9" t="s">
        <v>16332</v>
      </c>
      <c r="C10862" s="9" t="s">
        <v>696</v>
      </c>
      <c r="D10862" s="9" t="s">
        <v>98</v>
      </c>
      <c r="E10862" s="6" t="s">
        <v>10105</v>
      </c>
      <c r="F10862" s="9" t="s">
        <v>17044</v>
      </c>
    </row>
    <row r="10863" ht="33.75" customHeight="1">
      <c r="A10863" s="7">
        <v>456.0</v>
      </c>
      <c r="B10863" s="9" t="s">
        <v>16332</v>
      </c>
      <c r="C10863" s="9" t="s">
        <v>696</v>
      </c>
      <c r="D10863" s="9" t="s">
        <v>99</v>
      </c>
      <c r="E10863" s="6" t="s">
        <v>10105</v>
      </c>
      <c r="F10863" s="9" t="s">
        <v>17044</v>
      </c>
    </row>
    <row r="10864" ht="33.75" customHeight="1">
      <c r="A10864" s="7">
        <v>456.0</v>
      </c>
      <c r="B10864" s="9" t="s">
        <v>16332</v>
      </c>
      <c r="C10864" s="9" t="s">
        <v>696</v>
      </c>
      <c r="D10864" s="9" t="s">
        <v>101</v>
      </c>
      <c r="E10864" s="6" t="s">
        <v>10105</v>
      </c>
      <c r="F10864" s="9" t="s">
        <v>17044</v>
      </c>
    </row>
    <row r="10865" ht="33.75" customHeight="1">
      <c r="A10865" s="7">
        <v>456.0</v>
      </c>
      <c r="B10865" s="9" t="s">
        <v>16332</v>
      </c>
      <c r="C10865" s="9" t="s">
        <v>696</v>
      </c>
      <c r="D10865" s="9" t="s">
        <v>105</v>
      </c>
      <c r="E10865" s="6" t="s">
        <v>10103</v>
      </c>
      <c r="F10865" s="9" t="s">
        <v>17044</v>
      </c>
    </row>
    <row r="10866" ht="33.75" customHeight="1">
      <c r="A10866" s="7">
        <v>456.0</v>
      </c>
      <c r="B10866" s="9" t="s">
        <v>16332</v>
      </c>
      <c r="C10866" s="9" t="s">
        <v>696</v>
      </c>
      <c r="D10866" s="9" t="s">
        <v>107</v>
      </c>
      <c r="E10866" s="6" t="s">
        <v>10105</v>
      </c>
      <c r="F10866" s="9" t="s">
        <v>17044</v>
      </c>
    </row>
    <row r="10867" ht="33.75" customHeight="1">
      <c r="A10867" s="7">
        <v>456.0</v>
      </c>
      <c r="B10867" s="9" t="s">
        <v>16332</v>
      </c>
      <c r="C10867" s="9" t="s">
        <v>696</v>
      </c>
      <c r="D10867" s="9" t="s">
        <v>109</v>
      </c>
      <c r="E10867" s="6" t="s">
        <v>10103</v>
      </c>
      <c r="F10867" s="9" t="s">
        <v>17044</v>
      </c>
    </row>
    <row r="10868" ht="33.75" customHeight="1">
      <c r="A10868" s="7">
        <v>456.0</v>
      </c>
      <c r="B10868" s="9" t="s">
        <v>16332</v>
      </c>
      <c r="C10868" s="9" t="s">
        <v>696</v>
      </c>
      <c r="D10868" s="9" t="s">
        <v>637</v>
      </c>
      <c r="E10868" s="6" t="s">
        <v>10107</v>
      </c>
      <c r="F10868" s="9" t="s">
        <v>17044</v>
      </c>
    </row>
    <row r="10869" ht="33.75" customHeight="1">
      <c r="A10869" s="7">
        <v>456.0</v>
      </c>
      <c r="B10869" s="9" t="s">
        <v>16332</v>
      </c>
      <c r="C10869" s="9" t="s">
        <v>696</v>
      </c>
      <c r="D10869" s="9" t="s">
        <v>642</v>
      </c>
      <c r="E10869" s="6" t="s">
        <v>10109</v>
      </c>
      <c r="F10869" s="9" t="s">
        <v>17044</v>
      </c>
    </row>
    <row r="10870" ht="33.75" customHeight="1">
      <c r="A10870" s="7">
        <v>456.0</v>
      </c>
      <c r="B10870" s="9" t="s">
        <v>16332</v>
      </c>
      <c r="C10870" s="9" t="s">
        <v>696</v>
      </c>
      <c r="D10870" s="9" t="s">
        <v>647</v>
      </c>
      <c r="E10870" s="6" t="s">
        <v>10110</v>
      </c>
      <c r="F10870" s="9" t="s">
        <v>17044</v>
      </c>
    </row>
    <row r="10871" ht="33.75" customHeight="1">
      <c r="A10871" s="7">
        <v>456.0</v>
      </c>
      <c r="B10871" s="9" t="s">
        <v>16332</v>
      </c>
      <c r="C10871" s="9" t="s">
        <v>696</v>
      </c>
      <c r="D10871" s="9" t="s">
        <v>652</v>
      </c>
      <c r="E10871" s="6" t="s">
        <v>10111</v>
      </c>
      <c r="F10871" s="9" t="s">
        <v>17044</v>
      </c>
    </row>
    <row r="10872" ht="33.75" customHeight="1">
      <c r="A10872" s="7">
        <v>456.0</v>
      </c>
      <c r="B10872" s="9" t="s">
        <v>16332</v>
      </c>
      <c r="C10872" s="9" t="s">
        <v>696</v>
      </c>
      <c r="D10872" s="9" t="s">
        <v>1577</v>
      </c>
      <c r="E10872" s="6" t="s">
        <v>10112</v>
      </c>
      <c r="F10872" s="9" t="s">
        <v>17044</v>
      </c>
    </row>
    <row r="10873" ht="33.75" customHeight="1">
      <c r="A10873" s="7">
        <v>457.0</v>
      </c>
      <c r="B10873" s="9" t="s">
        <v>16345</v>
      </c>
      <c r="C10873" s="9" t="s">
        <v>702</v>
      </c>
      <c r="D10873" s="9" t="s">
        <v>81</v>
      </c>
      <c r="E10873" s="6" t="s">
        <v>10113</v>
      </c>
      <c r="F10873" s="9" t="s">
        <v>17055</v>
      </c>
      <c r="G10873" t="inlineStr" s="6">
        <is>
          <t xml:space="preserve">Lumineon lives on the deep-sea floor. It attracts prey by flashing the patterns on its four tail fins. To avoid detection by predators, it crawls along the seafloor using the two fins on its chest. It crawls along the seafloor using its long front fins like legs. It competes for food with LANTURN. LUMINEON swimming in the darkness of the deep sea look like stars shining in the night sky. With its shining light, it lures its prey close. However, the light also happens to attract ferocious fish Pokémon—its natural predators. This deep-sea Pokémon lives at the bottom of the sea. Its fins haul it over the seabed in search of its favorite food—Starmie. Deep down at the bottom of the ocean, prey is scarce. Lumineon get into fierce disputes with Lanturn over food. They traverse the deep waters as if crawling over the seafloor. The fantastic lights of its fins shine like stars in the night sky. Uses its gleaming fins to hunt its prey. The view of Lumineon schooling near the surface of the sea at night is breathtaking— it's as though there were shining stars right there.</t>
        </is>
      </c>
    </row>
    <row r="10874" ht="33.75" customHeight="1">
      <c r="A10874" s="7">
        <v>457.0</v>
      </c>
      <c r="B10874" s="9" t="s">
        <v>16345</v>
      </c>
      <c r="C10874" s="9" t="s">
        <v>702</v>
      </c>
      <c r="D10874" s="9" t="s">
        <v>84</v>
      </c>
      <c r="E10874" s="6" t="s">
        <v>10114</v>
      </c>
      <c r="F10874" s="9" t="s">
        <v>17055</v>
      </c>
    </row>
    <row r="10875" ht="33.75" customHeight="1">
      <c r="A10875" s="7">
        <v>457.0</v>
      </c>
      <c r="B10875" s="9" t="s">
        <v>16345</v>
      </c>
      <c r="C10875" s="9" t="s">
        <v>702</v>
      </c>
      <c r="D10875" s="9" t="s">
        <v>87</v>
      </c>
      <c r="E10875" s="6" t="s">
        <v>10115</v>
      </c>
      <c r="F10875" s="9" t="s">
        <v>17055</v>
      </c>
    </row>
    <row r="10876" ht="33.75" customHeight="1">
      <c r="A10876" s="7">
        <v>457.0</v>
      </c>
      <c r="B10876" s="9" t="s">
        <v>16345</v>
      </c>
      <c r="C10876" s="9" t="s">
        <v>702</v>
      </c>
      <c r="D10876" s="9" t="s">
        <v>89</v>
      </c>
      <c r="E10876" s="6" t="s">
        <v>10117</v>
      </c>
      <c r="F10876" s="9" t="s">
        <v>17055</v>
      </c>
    </row>
    <row r="10877" ht="33.75" customHeight="1">
      <c r="A10877" s="7">
        <v>457.0</v>
      </c>
      <c r="B10877" s="9" t="s">
        <v>16345</v>
      </c>
      <c r="C10877" s="9" t="s">
        <v>702</v>
      </c>
      <c r="D10877" s="9" t="s">
        <v>91</v>
      </c>
      <c r="E10877" s="6" t="s">
        <v>10117</v>
      </c>
      <c r="F10877" s="9" t="s">
        <v>17055</v>
      </c>
    </row>
    <row r="10878" ht="33.75" customHeight="1">
      <c r="A10878" s="7">
        <v>457.0</v>
      </c>
      <c r="B10878" s="9" t="s">
        <v>16345</v>
      </c>
      <c r="C10878" s="9" t="s">
        <v>702</v>
      </c>
      <c r="D10878" s="9" t="s">
        <v>93</v>
      </c>
      <c r="E10878" s="6" t="s">
        <v>10118</v>
      </c>
      <c r="F10878" s="9" t="s">
        <v>17055</v>
      </c>
    </row>
    <row r="10879" ht="33.75" customHeight="1">
      <c r="A10879" s="7">
        <v>457.0</v>
      </c>
      <c r="B10879" s="9" t="s">
        <v>16345</v>
      </c>
      <c r="C10879" s="9" t="s">
        <v>702</v>
      </c>
      <c r="D10879" s="9" t="s">
        <v>95</v>
      </c>
      <c r="E10879" s="6" t="s">
        <v>10118</v>
      </c>
      <c r="F10879" s="9" t="s">
        <v>17055</v>
      </c>
    </row>
    <row r="10880" ht="33.75" customHeight="1">
      <c r="A10880" s="7">
        <v>457.0</v>
      </c>
      <c r="B10880" s="9" t="s">
        <v>16345</v>
      </c>
      <c r="C10880" s="9" t="s">
        <v>702</v>
      </c>
      <c r="D10880" s="9" t="s">
        <v>98</v>
      </c>
      <c r="E10880" s="6" t="s">
        <v>10118</v>
      </c>
      <c r="F10880" s="9" t="s">
        <v>17055</v>
      </c>
    </row>
    <row r="10881" ht="33.75" customHeight="1">
      <c r="A10881" s="7">
        <v>457.0</v>
      </c>
      <c r="B10881" s="9" t="s">
        <v>16345</v>
      </c>
      <c r="C10881" s="9" t="s">
        <v>702</v>
      </c>
      <c r="D10881" s="9" t="s">
        <v>99</v>
      </c>
      <c r="E10881" s="6" t="s">
        <v>10118</v>
      </c>
      <c r="F10881" s="9" t="s">
        <v>17055</v>
      </c>
    </row>
    <row r="10882" ht="33.75" customHeight="1">
      <c r="A10882" s="7">
        <v>457.0</v>
      </c>
      <c r="B10882" s="9" t="s">
        <v>16345</v>
      </c>
      <c r="C10882" s="9" t="s">
        <v>702</v>
      </c>
      <c r="D10882" s="9" t="s">
        <v>101</v>
      </c>
      <c r="E10882" s="6" t="s">
        <v>10113</v>
      </c>
      <c r="F10882" s="9" t="s">
        <v>17055</v>
      </c>
    </row>
    <row r="10883" ht="33.75" customHeight="1">
      <c r="A10883" s="7">
        <v>457.0</v>
      </c>
      <c r="B10883" s="9" t="s">
        <v>16345</v>
      </c>
      <c r="C10883" s="9" t="s">
        <v>702</v>
      </c>
      <c r="D10883" s="9" t="s">
        <v>105</v>
      </c>
      <c r="E10883" s="6" t="s">
        <v>10114</v>
      </c>
      <c r="F10883" s="9" t="s">
        <v>17055</v>
      </c>
    </row>
    <row r="10884" ht="33.75" customHeight="1">
      <c r="A10884" s="7">
        <v>457.0</v>
      </c>
      <c r="B10884" s="9" t="s">
        <v>16345</v>
      </c>
      <c r="C10884" s="9" t="s">
        <v>702</v>
      </c>
      <c r="D10884" s="9" t="s">
        <v>107</v>
      </c>
      <c r="E10884" s="6" t="s">
        <v>10113</v>
      </c>
      <c r="F10884" s="9" t="s">
        <v>17055</v>
      </c>
    </row>
    <row r="10885" ht="33.75" customHeight="1">
      <c r="A10885" s="7">
        <v>457.0</v>
      </c>
      <c r="B10885" s="9" t="s">
        <v>16345</v>
      </c>
      <c r="C10885" s="9" t="s">
        <v>702</v>
      </c>
      <c r="D10885" s="9" t="s">
        <v>109</v>
      </c>
      <c r="E10885" s="6" t="s">
        <v>10114</v>
      </c>
      <c r="F10885" s="9" t="s">
        <v>17055</v>
      </c>
    </row>
    <row r="10886" ht="33.75" customHeight="1">
      <c r="A10886" s="7">
        <v>457.0</v>
      </c>
      <c r="B10886" s="9" t="s">
        <v>16345</v>
      </c>
      <c r="C10886" s="9" t="s">
        <v>702</v>
      </c>
      <c r="D10886" s="9" t="s">
        <v>637</v>
      </c>
      <c r="E10886" s="6" t="s">
        <v>10119</v>
      </c>
      <c r="F10886" s="9" t="s">
        <v>17055</v>
      </c>
    </row>
    <row r="10887" ht="33.75" customHeight="1">
      <c r="A10887" s="7">
        <v>457.0</v>
      </c>
      <c r="B10887" s="9" t="s">
        <v>16345</v>
      </c>
      <c r="C10887" s="9" t="s">
        <v>702</v>
      </c>
      <c r="D10887" s="9" t="s">
        <v>642</v>
      </c>
      <c r="E10887" s="6" t="s">
        <v>10120</v>
      </c>
      <c r="F10887" s="9" t="s">
        <v>17055</v>
      </c>
    </row>
    <row r="10888" ht="33.75" customHeight="1">
      <c r="A10888" s="7">
        <v>457.0</v>
      </c>
      <c r="B10888" s="9" t="s">
        <v>16345</v>
      </c>
      <c r="C10888" s="9" t="s">
        <v>702</v>
      </c>
      <c r="D10888" s="9" t="s">
        <v>647</v>
      </c>
      <c r="E10888" s="6" t="s">
        <v>10121</v>
      </c>
      <c r="F10888" s="9" t="s">
        <v>17055</v>
      </c>
    </row>
    <row r="10889" ht="33.75" customHeight="1">
      <c r="A10889" s="7">
        <v>457.0</v>
      </c>
      <c r="B10889" s="9" t="s">
        <v>16345</v>
      </c>
      <c r="C10889" s="9" t="s">
        <v>702</v>
      </c>
      <c r="D10889" s="9" t="s">
        <v>652</v>
      </c>
      <c r="E10889" s="6" t="s">
        <v>10122</v>
      </c>
      <c r="F10889" s="9" t="s">
        <v>17055</v>
      </c>
    </row>
    <row r="10890" ht="33.75" customHeight="1">
      <c r="A10890" s="7">
        <v>457.0</v>
      </c>
      <c r="B10890" s="9" t="s">
        <v>16345</v>
      </c>
      <c r="C10890" s="9" t="s">
        <v>702</v>
      </c>
      <c r="D10890" s="9" t="s">
        <v>1577</v>
      </c>
      <c r="E10890" s="6" t="s">
        <v>10123</v>
      </c>
      <c r="F10890" s="9" t="s">
        <v>17055</v>
      </c>
    </row>
    <row r="10891" ht="33.75" customHeight="1">
      <c r="A10891" s="7">
        <v>458.0</v>
      </c>
      <c r="B10891" s="9" t="s">
        <v>16358</v>
      </c>
      <c r="C10891" s="9" t="s">
        <v>340</v>
      </c>
      <c r="D10891" s="9" t="s">
        <v>81</v>
      </c>
      <c r="E10891" s="6" t="s">
        <v>10124</v>
      </c>
      <c r="F10891" s="9" t="s">
        <v>17070</v>
      </c>
      <c r="G10891" t="inlineStr" s="6">
        <is>
          <t xml:space="preserve">A friendly Pokémon that captures the subtle flows of seawater using Mantyke's two antennae. Scientists discovered that the distinctive patterns on its back differ by region. People organize tours to see this Pokémon frolic and skim the tops of waves with REMORAID. When it swims close to the surface of the ocean, people aboard ships are able to observe the pattern on its back. The pattern on its back varies by region. It often swims in a school of Remoraid. It’s highly friendly and easily tamed. Tours that take people swimming with Mantyke are a super-popular beach activity. Mantyke are friendly toward people and will approach boats closely. The patterns on their backs differ depending on their habitat. Mantyke living in Galar seem to be somewhat sluggish. The colder waters of the seas in this region may be the cause. It swims along with a school of Remoraid, and they’ll all fight together to repel attackers. Though ball-like in shape, this Pokémon is a proficient swimmer. I have discovered that if a Mantyke spends much time with schools of Remoraid, it will eventually achieve evolution.</t>
        </is>
      </c>
    </row>
    <row r="10892" ht="33.75" customHeight="1">
      <c r="A10892" s="7">
        <v>458.0</v>
      </c>
      <c r="B10892" s="9" t="s">
        <v>16358</v>
      </c>
      <c r="C10892" s="9" t="s">
        <v>340</v>
      </c>
      <c r="D10892" s="9" t="s">
        <v>84</v>
      </c>
      <c r="E10892" s="6" t="s">
        <v>10125</v>
      </c>
      <c r="F10892" s="9" t="s">
        <v>17070</v>
      </c>
    </row>
    <row r="10893" ht="33.75" customHeight="1">
      <c r="A10893" s="7">
        <v>458.0</v>
      </c>
      <c r="B10893" s="9" t="s">
        <v>16358</v>
      </c>
      <c r="C10893" s="9" t="s">
        <v>340</v>
      </c>
      <c r="D10893" s="9" t="s">
        <v>87</v>
      </c>
      <c r="E10893" s="6" t="s">
        <v>10126</v>
      </c>
      <c r="F10893" s="9" t="s">
        <v>17070</v>
      </c>
    </row>
    <row r="10894" ht="33.75" customHeight="1">
      <c r="A10894" s="7">
        <v>458.0</v>
      </c>
      <c r="B10894" s="9" t="s">
        <v>16358</v>
      </c>
      <c r="C10894" s="9" t="s">
        <v>340</v>
      </c>
      <c r="D10894" s="9" t="s">
        <v>89</v>
      </c>
      <c r="E10894" s="6" t="s">
        <v>10127</v>
      </c>
      <c r="F10894" s="9" t="s">
        <v>17070</v>
      </c>
    </row>
    <row r="10895" ht="33.75" customHeight="1">
      <c r="A10895" s="7">
        <v>458.0</v>
      </c>
      <c r="B10895" s="9" t="s">
        <v>16358</v>
      </c>
      <c r="C10895" s="9" t="s">
        <v>340</v>
      </c>
      <c r="D10895" s="9" t="s">
        <v>91</v>
      </c>
      <c r="E10895" s="6" t="s">
        <v>10127</v>
      </c>
      <c r="F10895" s="9" t="s">
        <v>17070</v>
      </c>
    </row>
    <row r="10896" ht="33.75" customHeight="1">
      <c r="A10896" s="7">
        <v>458.0</v>
      </c>
      <c r="B10896" s="9" t="s">
        <v>16358</v>
      </c>
      <c r="C10896" s="9" t="s">
        <v>340</v>
      </c>
      <c r="D10896" s="9" t="s">
        <v>93</v>
      </c>
      <c r="E10896" s="6" t="s">
        <v>10128</v>
      </c>
      <c r="F10896" s="9" t="s">
        <v>17070</v>
      </c>
    </row>
    <row r="10897" ht="33.75" customHeight="1">
      <c r="A10897" s="7">
        <v>458.0</v>
      </c>
      <c r="B10897" s="9" t="s">
        <v>16358</v>
      </c>
      <c r="C10897" s="9" t="s">
        <v>340</v>
      </c>
      <c r="D10897" s="9" t="s">
        <v>95</v>
      </c>
      <c r="E10897" s="6" t="s">
        <v>10128</v>
      </c>
      <c r="F10897" s="9" t="s">
        <v>17070</v>
      </c>
    </row>
    <row r="10898" ht="33.75" customHeight="1">
      <c r="A10898" s="7">
        <v>458.0</v>
      </c>
      <c r="B10898" s="9" t="s">
        <v>16358</v>
      </c>
      <c r="C10898" s="9" t="s">
        <v>340</v>
      </c>
      <c r="D10898" s="9" t="s">
        <v>98</v>
      </c>
      <c r="E10898" s="6" t="s">
        <v>10129</v>
      </c>
      <c r="F10898" s="9" t="s">
        <v>17070</v>
      </c>
    </row>
    <row r="10899" ht="33.75" customHeight="1">
      <c r="A10899" s="7">
        <v>458.0</v>
      </c>
      <c r="B10899" s="9" t="s">
        <v>16358</v>
      </c>
      <c r="C10899" s="9" t="s">
        <v>340</v>
      </c>
      <c r="D10899" s="9" t="s">
        <v>99</v>
      </c>
      <c r="E10899" s="6" t="s">
        <v>10129</v>
      </c>
      <c r="F10899" s="9" t="s">
        <v>17070</v>
      </c>
    </row>
    <row r="10900" ht="33.75" customHeight="1">
      <c r="A10900" s="7">
        <v>458.0</v>
      </c>
      <c r="B10900" s="9" t="s">
        <v>16358</v>
      </c>
      <c r="C10900" s="9" t="s">
        <v>340</v>
      </c>
      <c r="D10900" s="9" t="s">
        <v>101</v>
      </c>
      <c r="E10900" s="6" t="s">
        <v>10129</v>
      </c>
      <c r="F10900" s="9" t="s">
        <v>17070</v>
      </c>
    </row>
    <row r="10901" ht="33.75" customHeight="1">
      <c r="A10901" s="7">
        <v>458.0</v>
      </c>
      <c r="B10901" s="9" t="s">
        <v>16358</v>
      </c>
      <c r="C10901" s="9" t="s">
        <v>340</v>
      </c>
      <c r="D10901" s="9" t="s">
        <v>105</v>
      </c>
      <c r="E10901" s="6" t="s">
        <v>10127</v>
      </c>
      <c r="F10901" s="9" t="s">
        <v>17070</v>
      </c>
    </row>
    <row r="10902" ht="33.75" customHeight="1">
      <c r="A10902" s="7">
        <v>458.0</v>
      </c>
      <c r="B10902" s="9" t="s">
        <v>16358</v>
      </c>
      <c r="C10902" s="9" t="s">
        <v>340</v>
      </c>
      <c r="D10902" s="9" t="s">
        <v>107</v>
      </c>
      <c r="E10902" s="6" t="s">
        <v>10129</v>
      </c>
      <c r="F10902" s="9" t="s">
        <v>17070</v>
      </c>
    </row>
    <row r="10903" ht="33.75" customHeight="1">
      <c r="A10903" s="7">
        <v>458.0</v>
      </c>
      <c r="B10903" s="9" t="s">
        <v>16358</v>
      </c>
      <c r="C10903" s="9" t="s">
        <v>340</v>
      </c>
      <c r="D10903" s="9" t="s">
        <v>109</v>
      </c>
      <c r="E10903" s="6" t="s">
        <v>10127</v>
      </c>
      <c r="F10903" s="9" t="s">
        <v>17070</v>
      </c>
    </row>
    <row r="10904" ht="33.75" customHeight="1">
      <c r="A10904" s="7">
        <v>458.0</v>
      </c>
      <c r="B10904" s="9" t="s">
        <v>16358</v>
      </c>
      <c r="C10904" s="9" t="s">
        <v>340</v>
      </c>
      <c r="D10904" s="9" t="s">
        <v>647</v>
      </c>
      <c r="E10904" s="6" t="s">
        <v>10131</v>
      </c>
      <c r="F10904" s="9" t="s">
        <v>17070</v>
      </c>
    </row>
    <row r="10905" ht="33.75" customHeight="1">
      <c r="A10905" s="7">
        <v>458.0</v>
      </c>
      <c r="B10905" s="9" t="s">
        <v>16358</v>
      </c>
      <c r="C10905" s="9" t="s">
        <v>340</v>
      </c>
      <c r="D10905" s="9" t="s">
        <v>652</v>
      </c>
      <c r="E10905" s="6" t="s">
        <v>10134</v>
      </c>
      <c r="F10905" s="9" t="s">
        <v>17070</v>
      </c>
    </row>
    <row r="10906" ht="33.75" customHeight="1">
      <c r="A10906" s="7">
        <v>458.0</v>
      </c>
      <c r="B10906" s="9" t="s">
        <v>16358</v>
      </c>
      <c r="C10906" s="9" t="s">
        <v>340</v>
      </c>
      <c r="D10906" s="9" t="s">
        <v>114</v>
      </c>
      <c r="E10906" s="6" t="s">
        <v>10136</v>
      </c>
      <c r="F10906" s="9" t="s">
        <v>17070</v>
      </c>
    </row>
    <row r="10907" ht="33.75" customHeight="1">
      <c r="A10907" s="7">
        <v>458.0</v>
      </c>
      <c r="B10907" s="9" t="s">
        <v>16358</v>
      </c>
      <c r="C10907" s="9" t="s">
        <v>340</v>
      </c>
      <c r="D10907" s="9" t="s">
        <v>117</v>
      </c>
      <c r="E10907" s="6" t="s">
        <v>10138</v>
      </c>
      <c r="F10907" s="9" t="s">
        <v>17070</v>
      </c>
    </row>
    <row r="10908" ht="33.75" customHeight="1">
      <c r="A10908" s="7">
        <v>458.0</v>
      </c>
      <c r="B10908" s="9" t="s">
        <v>16358</v>
      </c>
      <c r="C10908" s="9" t="s">
        <v>340</v>
      </c>
      <c r="D10908" s="9" t="s">
        <v>1577</v>
      </c>
      <c r="E10908" s="6" t="s">
        <v>10141</v>
      </c>
      <c r="F10908" s="9" t="s">
        <v>17070</v>
      </c>
    </row>
    <row r="10909" ht="33.75" customHeight="1">
      <c r="A10909" s="7">
        <v>459.0</v>
      </c>
      <c r="B10909" s="9" t="s">
        <v>16371</v>
      </c>
      <c r="C10909" s="9" t="s">
        <v>703</v>
      </c>
      <c r="D10909" s="9" t="s">
        <v>81</v>
      </c>
      <c r="E10909" s="6" t="s">
        <v>10143</v>
      </c>
      <c r="F10909" s="9" t="s">
        <v>17087</v>
      </c>
      <c r="G10909" t="inlineStr" s="6">
        <is>
          <t xml:space="preserve">Snover lives on snowy mountains. Having had little contact with humans, it is boldly inquisitive. In the spring, it grows berries with the texture of frozen treats around its belly. Seemingly curious about people, they gather around footsteps they find on snowy mountains. During cold seasons, it migrates to the mountain’s lower reaches. It returns to the snow-covered summit in the spring. It sinks its legs into the snow to absorb water and keep its own temperature down. The berries that grow around its belly are like ice pops. Galarian Darumaka absolutely love these berries. One is likely to encounter this Pokémon while out in the snow. There are stories of Snover appearing in human settlements but doing no harm—rather, they bond with the children.</t>
        </is>
      </c>
    </row>
    <row r="10910" ht="33.75" customHeight="1">
      <c r="A10910" s="7">
        <v>459.0</v>
      </c>
      <c r="B10910" s="9" t="s">
        <v>16371</v>
      </c>
      <c r="C10910" s="9" t="s">
        <v>703</v>
      </c>
      <c r="D10910" s="9" t="s">
        <v>84</v>
      </c>
      <c r="E10910" s="6" t="s">
        <v>10145</v>
      </c>
      <c r="F10910" s="9" t="s">
        <v>17087</v>
      </c>
    </row>
    <row r="10911" ht="33.75" customHeight="1">
      <c r="A10911" s="7">
        <v>459.0</v>
      </c>
      <c r="B10911" s="9" t="s">
        <v>16371</v>
      </c>
      <c r="C10911" s="9" t="s">
        <v>703</v>
      </c>
      <c r="D10911" s="9" t="s">
        <v>87</v>
      </c>
      <c r="E10911" s="6" t="s">
        <v>10147</v>
      </c>
      <c r="F10911" s="9" t="s">
        <v>17087</v>
      </c>
    </row>
    <row r="10912" ht="33.75" customHeight="1">
      <c r="A10912" s="7">
        <v>459.0</v>
      </c>
      <c r="B10912" s="9" t="s">
        <v>16371</v>
      </c>
      <c r="C10912" s="9" t="s">
        <v>703</v>
      </c>
      <c r="D10912" s="9" t="s">
        <v>89</v>
      </c>
      <c r="E10912" s="6" t="s">
        <v>10150</v>
      </c>
      <c r="F10912" s="9" t="s">
        <v>17087</v>
      </c>
    </row>
    <row r="10913" ht="33.75" customHeight="1">
      <c r="A10913" s="7">
        <v>459.0</v>
      </c>
      <c r="B10913" s="9" t="s">
        <v>16371</v>
      </c>
      <c r="C10913" s="9" t="s">
        <v>703</v>
      </c>
      <c r="D10913" s="9" t="s">
        <v>91</v>
      </c>
      <c r="E10913" s="6" t="s">
        <v>10150</v>
      </c>
      <c r="F10913" s="9" t="s">
        <v>17087</v>
      </c>
    </row>
    <row r="10914" ht="33.75" customHeight="1">
      <c r="A10914" s="7">
        <v>459.0</v>
      </c>
      <c r="B10914" s="9" t="s">
        <v>16371</v>
      </c>
      <c r="C10914" s="9" t="s">
        <v>703</v>
      </c>
      <c r="D10914" s="9" t="s">
        <v>93</v>
      </c>
      <c r="E10914" s="6" t="s">
        <v>10147</v>
      </c>
      <c r="F10914" s="9" t="s">
        <v>17087</v>
      </c>
    </row>
    <row r="10915" ht="33.75" customHeight="1">
      <c r="A10915" s="7">
        <v>459.0</v>
      </c>
      <c r="B10915" s="9" t="s">
        <v>16371</v>
      </c>
      <c r="C10915" s="9" t="s">
        <v>703</v>
      </c>
      <c r="D10915" s="9" t="s">
        <v>95</v>
      </c>
      <c r="E10915" s="6" t="s">
        <v>10147</v>
      </c>
      <c r="F10915" s="9" t="s">
        <v>17087</v>
      </c>
    </row>
    <row r="10916" ht="33.75" customHeight="1">
      <c r="A10916" s="7">
        <v>459.0</v>
      </c>
      <c r="B10916" s="9" t="s">
        <v>16371</v>
      </c>
      <c r="C10916" s="9" t="s">
        <v>703</v>
      </c>
      <c r="D10916" s="9" t="s">
        <v>98</v>
      </c>
      <c r="E10916" s="6" t="s">
        <v>10147</v>
      </c>
      <c r="F10916" s="9" t="s">
        <v>17087</v>
      </c>
    </row>
    <row r="10917" ht="33.75" customHeight="1">
      <c r="A10917" s="7">
        <v>459.0</v>
      </c>
      <c r="B10917" s="9" t="s">
        <v>16371</v>
      </c>
      <c r="C10917" s="9" t="s">
        <v>703</v>
      </c>
      <c r="D10917" s="9" t="s">
        <v>99</v>
      </c>
      <c r="E10917" s="6" t="s">
        <v>10147</v>
      </c>
      <c r="F10917" s="9" t="s">
        <v>17087</v>
      </c>
    </row>
    <row r="10918" ht="33.75" customHeight="1">
      <c r="A10918" s="7">
        <v>459.0</v>
      </c>
      <c r="B10918" s="9" t="s">
        <v>16371</v>
      </c>
      <c r="C10918" s="9" t="s">
        <v>703</v>
      </c>
      <c r="D10918" s="9" t="s">
        <v>101</v>
      </c>
      <c r="E10918" s="6" t="s">
        <v>10150</v>
      </c>
      <c r="F10918" s="9" t="s">
        <v>17087</v>
      </c>
    </row>
    <row r="10919" ht="33.75" customHeight="1">
      <c r="A10919" s="7">
        <v>459.0</v>
      </c>
      <c r="B10919" s="9" t="s">
        <v>16371</v>
      </c>
      <c r="C10919" s="9" t="s">
        <v>703</v>
      </c>
      <c r="D10919" s="9" t="s">
        <v>105</v>
      </c>
      <c r="E10919" s="6" t="s">
        <v>10145</v>
      </c>
      <c r="F10919" s="9" t="s">
        <v>17087</v>
      </c>
    </row>
    <row r="10920" ht="33.75" customHeight="1">
      <c r="A10920" s="7">
        <v>459.0</v>
      </c>
      <c r="B10920" s="9" t="s">
        <v>16371</v>
      </c>
      <c r="C10920" s="9" t="s">
        <v>703</v>
      </c>
      <c r="D10920" s="9" t="s">
        <v>107</v>
      </c>
      <c r="E10920" s="6" t="s">
        <v>10150</v>
      </c>
      <c r="F10920" s="9" t="s">
        <v>17087</v>
      </c>
    </row>
    <row r="10921" ht="33.75" customHeight="1">
      <c r="A10921" s="7">
        <v>459.0</v>
      </c>
      <c r="B10921" s="9" t="s">
        <v>16371</v>
      </c>
      <c r="C10921" s="9" t="s">
        <v>703</v>
      </c>
      <c r="D10921" s="9" t="s">
        <v>109</v>
      </c>
      <c r="E10921" s="6" t="s">
        <v>10145</v>
      </c>
      <c r="F10921" s="9" t="s">
        <v>17087</v>
      </c>
    </row>
    <row r="10922" ht="33.75" customHeight="1">
      <c r="A10922" s="7">
        <v>459.0</v>
      </c>
      <c r="B10922" s="9" t="s">
        <v>16371</v>
      </c>
      <c r="C10922" s="9" t="s">
        <v>703</v>
      </c>
      <c r="D10922" s="9" t="s">
        <v>114</v>
      </c>
      <c r="E10922" s="6" t="s">
        <v>10152</v>
      </c>
      <c r="F10922" s="9" t="s">
        <v>17087</v>
      </c>
    </row>
    <row r="10923" ht="33.75" customHeight="1">
      <c r="A10923" s="7">
        <v>459.0</v>
      </c>
      <c r="B10923" s="9" t="s">
        <v>16371</v>
      </c>
      <c r="C10923" s="9" t="s">
        <v>703</v>
      </c>
      <c r="D10923" s="9" t="s">
        <v>117</v>
      </c>
      <c r="E10923" s="6" t="s">
        <v>10153</v>
      </c>
      <c r="F10923" s="9" t="s">
        <v>17087</v>
      </c>
    </row>
    <row r="10924" ht="33.75" customHeight="1">
      <c r="A10924" s="7">
        <v>459.0</v>
      </c>
      <c r="B10924" s="9" t="s">
        <v>16371</v>
      </c>
      <c r="C10924" s="9" t="s">
        <v>703</v>
      </c>
      <c r="D10924" s="9" t="s">
        <v>1577</v>
      </c>
      <c r="E10924" s="6" t="s">
        <v>10157</v>
      </c>
      <c r="F10924" s="9" t="s">
        <v>17087</v>
      </c>
    </row>
    <row r="10925" ht="33.75" customHeight="1">
      <c r="A10925" s="7">
        <v>460.0</v>
      </c>
      <c r="B10925" s="9" t="s">
        <v>16382</v>
      </c>
      <c r="C10925" s="9" t="s">
        <v>703</v>
      </c>
      <c r="D10925" s="9" t="s">
        <v>81</v>
      </c>
      <c r="E10925" s="6" t="s">
        <v>10159</v>
      </c>
      <c r="F10925" s="9" t="s">
        <v>17105</v>
      </c>
      <c r="G10925" t="inlineStr" s="6">
        <is>
          <t xml:space="preserve">It whips up blizzards in mountains that are always buried in snow. It is the abominable snowman. It blankets wide areas in snow by whipping up blizzards. It is also known as “The Ice Monster. They appear when the snow flowers bloom. When the petals fall, they retreat to places unknown again. It lives a quiet life on mountains that are perpetually covered in snow. It hides itself by whipping up blizzards. If it sees any packs of Darumaka going after Snover, it chases them off, swinging its sizable arms like hammers. This Pokémon is known to bring blizzards. A shake of its massive body is enough to cause whiteout conditions. A powerful Pokémon that can split huge boulders with ease. Dislikes associating with others and chooses to live quietly deep within the mountains, playing with the snow.</t>
        </is>
      </c>
    </row>
    <row r="10926" ht="33.75" customHeight="1">
      <c r="A10926" s="7">
        <v>460.0</v>
      </c>
      <c r="B10926" s="9" t="s">
        <v>16382</v>
      </c>
      <c r="C10926" s="9" t="s">
        <v>703</v>
      </c>
      <c r="D10926" s="9" t="s">
        <v>84</v>
      </c>
      <c r="E10926" s="6" t="s">
        <v>10160</v>
      </c>
      <c r="F10926" s="9" t="s">
        <v>17105</v>
      </c>
    </row>
    <row r="10927" ht="33.75" customHeight="1">
      <c r="A10927" s="7">
        <v>460.0</v>
      </c>
      <c r="B10927" s="9" t="s">
        <v>16382</v>
      </c>
      <c r="C10927" s="9" t="s">
        <v>703</v>
      </c>
      <c r="D10927" s="9" t="s">
        <v>87</v>
      </c>
      <c r="E10927" s="6" t="s">
        <v>10161</v>
      </c>
      <c r="F10927" s="9" t="s">
        <v>17105</v>
      </c>
    </row>
    <row r="10928" ht="33.75" customHeight="1">
      <c r="A10928" s="7">
        <v>460.0</v>
      </c>
      <c r="B10928" s="9" t="s">
        <v>16382</v>
      </c>
      <c r="C10928" s="9" t="s">
        <v>703</v>
      </c>
      <c r="D10928" s="9" t="s">
        <v>89</v>
      </c>
      <c r="E10928" s="6" t="s">
        <v>10162</v>
      </c>
      <c r="F10928" s="9" t="s">
        <v>17105</v>
      </c>
    </row>
    <row r="10929" ht="33.75" customHeight="1">
      <c r="A10929" s="7">
        <v>460.0</v>
      </c>
      <c r="B10929" s="9" t="s">
        <v>16382</v>
      </c>
      <c r="C10929" s="9" t="s">
        <v>703</v>
      </c>
      <c r="D10929" s="9" t="s">
        <v>91</v>
      </c>
      <c r="E10929" s="6" t="s">
        <v>10162</v>
      </c>
      <c r="F10929" s="9" t="s">
        <v>17105</v>
      </c>
    </row>
    <row r="10930" ht="33.75" customHeight="1">
      <c r="A10930" s="7">
        <v>460.0</v>
      </c>
      <c r="B10930" s="9" t="s">
        <v>16382</v>
      </c>
      <c r="C10930" s="9" t="s">
        <v>703</v>
      </c>
      <c r="D10930" s="9" t="s">
        <v>93</v>
      </c>
      <c r="E10930" s="6" t="s">
        <v>10161</v>
      </c>
      <c r="F10930" s="9" t="s">
        <v>17105</v>
      </c>
    </row>
    <row r="10931" ht="33.75" customHeight="1">
      <c r="A10931" s="7">
        <v>460.0</v>
      </c>
      <c r="B10931" s="9" t="s">
        <v>16382</v>
      </c>
      <c r="C10931" s="9" t="s">
        <v>703</v>
      </c>
      <c r="D10931" s="9" t="s">
        <v>95</v>
      </c>
      <c r="E10931" s="6" t="s">
        <v>10161</v>
      </c>
      <c r="F10931" s="9" t="s">
        <v>17105</v>
      </c>
    </row>
    <row r="10932" ht="33.75" customHeight="1">
      <c r="A10932" s="7">
        <v>460.0</v>
      </c>
      <c r="B10932" s="9" t="s">
        <v>16382</v>
      </c>
      <c r="C10932" s="9" t="s">
        <v>703</v>
      </c>
      <c r="D10932" s="9" t="s">
        <v>98</v>
      </c>
      <c r="E10932" s="6" t="s">
        <v>10161</v>
      </c>
      <c r="F10932" s="9" t="s">
        <v>17105</v>
      </c>
    </row>
    <row r="10933" ht="33.75" customHeight="1">
      <c r="A10933" s="7">
        <v>460.0</v>
      </c>
      <c r="B10933" s="9" t="s">
        <v>16382</v>
      </c>
      <c r="C10933" s="9" t="s">
        <v>703</v>
      </c>
      <c r="D10933" s="9" t="s">
        <v>99</v>
      </c>
      <c r="E10933" s="6" t="s">
        <v>10161</v>
      </c>
      <c r="F10933" s="9" t="s">
        <v>17105</v>
      </c>
    </row>
    <row r="10934" ht="33.75" customHeight="1">
      <c r="A10934" s="7">
        <v>460.0</v>
      </c>
      <c r="B10934" s="9" t="s">
        <v>16382</v>
      </c>
      <c r="C10934" s="9" t="s">
        <v>703</v>
      </c>
      <c r="D10934" s="9" t="s">
        <v>101</v>
      </c>
      <c r="E10934" s="6" t="s">
        <v>10160</v>
      </c>
      <c r="F10934" s="9" t="s">
        <v>17105</v>
      </c>
    </row>
    <row r="10935" ht="33.75" customHeight="1">
      <c r="A10935" s="7">
        <v>460.0</v>
      </c>
      <c r="B10935" s="9" t="s">
        <v>16382</v>
      </c>
      <c r="C10935" s="9" t="s">
        <v>703</v>
      </c>
      <c r="D10935" s="9" t="s">
        <v>105</v>
      </c>
      <c r="E10935" s="6" t="s">
        <v>10162</v>
      </c>
      <c r="F10935" s="9" t="s">
        <v>17105</v>
      </c>
    </row>
    <row r="10936" ht="33.75" customHeight="1">
      <c r="A10936" s="7">
        <v>460.0</v>
      </c>
      <c r="B10936" s="9" t="s">
        <v>16382</v>
      </c>
      <c r="C10936" s="9" t="s">
        <v>703</v>
      </c>
      <c r="D10936" s="9" t="s">
        <v>107</v>
      </c>
      <c r="E10936" s="6" t="s">
        <v>10160</v>
      </c>
      <c r="F10936" s="9" t="s">
        <v>17105</v>
      </c>
    </row>
    <row r="10937" ht="33.75" customHeight="1">
      <c r="A10937" s="7">
        <v>460.0</v>
      </c>
      <c r="B10937" s="9" t="s">
        <v>16382</v>
      </c>
      <c r="C10937" s="9" t="s">
        <v>703</v>
      </c>
      <c r="D10937" s="9" t="s">
        <v>109</v>
      </c>
      <c r="E10937" s="6" t="s">
        <v>10162</v>
      </c>
      <c r="F10937" s="9" t="s">
        <v>17105</v>
      </c>
    </row>
    <row r="10938" ht="33.75" customHeight="1">
      <c r="A10938" s="7">
        <v>460.0</v>
      </c>
      <c r="B10938" s="9" t="s">
        <v>16382</v>
      </c>
      <c r="C10938" s="9" t="s">
        <v>703</v>
      </c>
      <c r="D10938" s="9" t="s">
        <v>114</v>
      </c>
      <c r="E10938" s="6" t="s">
        <v>10164</v>
      </c>
      <c r="F10938" s="9" t="s">
        <v>17105</v>
      </c>
    </row>
    <row r="10939" ht="33.75" customHeight="1">
      <c r="A10939" s="7">
        <v>460.0</v>
      </c>
      <c r="B10939" s="9" t="s">
        <v>16382</v>
      </c>
      <c r="C10939" s="9" t="s">
        <v>703</v>
      </c>
      <c r="D10939" s="9" t="s">
        <v>117</v>
      </c>
      <c r="E10939" s="6" t="s">
        <v>10165</v>
      </c>
      <c r="F10939" s="9" t="s">
        <v>17105</v>
      </c>
    </row>
    <row r="10940" ht="33.75" customHeight="1">
      <c r="A10940" s="7">
        <v>460.0</v>
      </c>
      <c r="B10940" s="9" t="s">
        <v>16382</v>
      </c>
      <c r="C10940" s="9" t="s">
        <v>703</v>
      </c>
      <c r="D10940" s="9" t="s">
        <v>1577</v>
      </c>
      <c r="E10940" s="6" t="s">
        <v>10166</v>
      </c>
      <c r="F10940" s="9" t="s">
        <v>17105</v>
      </c>
    </row>
    <row r="10941" ht="33.75" customHeight="1">
      <c r="A10941" s="7">
        <v>461.0</v>
      </c>
      <c r="B10941" s="9" t="s">
        <v>16390</v>
      </c>
      <c r="C10941" s="9" t="s">
        <v>321</v>
      </c>
      <c r="D10941" s="9" t="s">
        <v>81</v>
      </c>
      <c r="E10941" s="6" t="s">
        <v>10168</v>
      </c>
      <c r="F10941" s="9" t="s">
        <v>17127</v>
      </c>
      <c r="G10941" t="inlineStr" s="6">
        <is>
          <t xml:space="preserve">They live in cold regions, forming groups of four or five that hunt prey with impressive coordination. It sends signals to others by carving odd patterns in frost- covered trees and ice. Evolution made it even more devious. It communicates by clawing signs in boulders. It lives in snowy regions. It carves patterns in trees with its claws as a signal to others. They communicate by clawing signs in boulders and work together to surround enemies. They travel in groups of four or five, leaving signs for one another on trees and rocks. They bring down their prey with coordinated attacks. They dwell in cold places. This Pokémon’s main food source in Alola is Vulpix and Sandshrew, which they carefully divide among their group. One Weavile will trip a Sandshrew and flip it over, and then another Weavile will deal the finishing blow with its sharp claws. Thanks to its increased intelligence, scrapping over food is a thing of the past. A scratch from its claws will give you a case of frostbite! They attack their quarry in packs. Prey as large as Mamoswine easily fall to the teamwork of a group of Weavile. With its claws, it leaves behind signs for its friends to find. The number of distinct signs is said to be over 500. This species corners prey as a pack, under the guidance of a leader. Weavile displays increased cunning, leading me to speculate that its evolution caused further brain development.</t>
        </is>
      </c>
    </row>
    <row r="10942" ht="33.75" customHeight="1">
      <c r="A10942" s="7">
        <v>461.0</v>
      </c>
      <c r="B10942" s="9" t="s">
        <v>16390</v>
      </c>
      <c r="C10942" s="9" t="s">
        <v>321</v>
      </c>
      <c r="D10942" s="9" t="s">
        <v>84</v>
      </c>
      <c r="E10942" s="6" t="s">
        <v>10170</v>
      </c>
      <c r="F10942" s="9" t="s">
        <v>17127</v>
      </c>
    </row>
    <row r="10943" ht="33.75" customHeight="1">
      <c r="A10943" s="7">
        <v>461.0</v>
      </c>
      <c r="B10943" s="9" t="s">
        <v>16390</v>
      </c>
      <c r="C10943" s="9" t="s">
        <v>321</v>
      </c>
      <c r="D10943" s="9" t="s">
        <v>87</v>
      </c>
      <c r="E10943" s="6" t="s">
        <v>10172</v>
      </c>
      <c r="F10943" s="9" t="s">
        <v>17127</v>
      </c>
    </row>
    <row r="10944" ht="33.75" customHeight="1">
      <c r="A10944" s="7">
        <v>461.0</v>
      </c>
      <c r="B10944" s="9" t="s">
        <v>16390</v>
      </c>
      <c r="C10944" s="9" t="s">
        <v>321</v>
      </c>
      <c r="D10944" s="9" t="s">
        <v>89</v>
      </c>
      <c r="E10944" s="6" t="s">
        <v>10174</v>
      </c>
      <c r="F10944" s="9" t="s">
        <v>17127</v>
      </c>
    </row>
    <row r="10945" ht="33.75" customHeight="1">
      <c r="A10945" s="7">
        <v>461.0</v>
      </c>
      <c r="B10945" s="9" t="s">
        <v>16390</v>
      </c>
      <c r="C10945" s="9" t="s">
        <v>321</v>
      </c>
      <c r="D10945" s="9" t="s">
        <v>91</v>
      </c>
      <c r="E10945" s="6" t="s">
        <v>10174</v>
      </c>
      <c r="F10945" s="9" t="s">
        <v>17127</v>
      </c>
    </row>
    <row r="10946" ht="33.75" customHeight="1">
      <c r="A10946" s="7">
        <v>461.0</v>
      </c>
      <c r="B10946" s="9" t="s">
        <v>16390</v>
      </c>
      <c r="C10946" s="9" t="s">
        <v>321</v>
      </c>
      <c r="D10946" s="9" t="s">
        <v>93</v>
      </c>
      <c r="E10946" s="6" t="s">
        <v>10172</v>
      </c>
      <c r="F10946" s="9" t="s">
        <v>17127</v>
      </c>
    </row>
    <row r="10947" ht="33.75" customHeight="1">
      <c r="A10947" s="7">
        <v>461.0</v>
      </c>
      <c r="B10947" s="9" t="s">
        <v>16390</v>
      </c>
      <c r="C10947" s="9" t="s">
        <v>321</v>
      </c>
      <c r="D10947" s="9" t="s">
        <v>95</v>
      </c>
      <c r="E10947" s="6" t="s">
        <v>10172</v>
      </c>
      <c r="F10947" s="9" t="s">
        <v>17127</v>
      </c>
    </row>
    <row r="10948" ht="33.75" customHeight="1">
      <c r="A10948" s="7">
        <v>461.0</v>
      </c>
      <c r="B10948" s="9" t="s">
        <v>16390</v>
      </c>
      <c r="C10948" s="9" t="s">
        <v>321</v>
      </c>
      <c r="D10948" s="9" t="s">
        <v>98</v>
      </c>
      <c r="E10948" s="6" t="s">
        <v>10175</v>
      </c>
      <c r="F10948" s="9" t="s">
        <v>17127</v>
      </c>
    </row>
    <row r="10949" ht="33.75" customHeight="1">
      <c r="A10949" s="7">
        <v>461.0</v>
      </c>
      <c r="B10949" s="9" t="s">
        <v>16390</v>
      </c>
      <c r="C10949" s="9" t="s">
        <v>321</v>
      </c>
      <c r="D10949" s="9" t="s">
        <v>99</v>
      </c>
      <c r="E10949" s="6" t="s">
        <v>10175</v>
      </c>
      <c r="F10949" s="9" t="s">
        <v>17127</v>
      </c>
    </row>
    <row r="10950" ht="33.75" customHeight="1">
      <c r="A10950" s="7">
        <v>461.0</v>
      </c>
      <c r="B10950" s="9" t="s">
        <v>16390</v>
      </c>
      <c r="C10950" s="9" t="s">
        <v>321</v>
      </c>
      <c r="D10950" s="9" t="s">
        <v>101</v>
      </c>
      <c r="E10950" s="6" t="s">
        <v>10174</v>
      </c>
      <c r="F10950" s="9" t="s">
        <v>17127</v>
      </c>
    </row>
    <row r="10951" ht="33.75" customHeight="1">
      <c r="A10951" s="7">
        <v>461.0</v>
      </c>
      <c r="B10951" s="9" t="s">
        <v>16390</v>
      </c>
      <c r="C10951" s="9" t="s">
        <v>321</v>
      </c>
      <c r="D10951" s="9" t="s">
        <v>105</v>
      </c>
      <c r="E10951" s="6" t="s">
        <v>10168</v>
      </c>
      <c r="F10951" s="9" t="s">
        <v>17127</v>
      </c>
    </row>
    <row r="10952" ht="33.75" customHeight="1">
      <c r="A10952" s="7">
        <v>461.0</v>
      </c>
      <c r="B10952" s="9" t="s">
        <v>16390</v>
      </c>
      <c r="C10952" s="9" t="s">
        <v>321</v>
      </c>
      <c r="D10952" s="9" t="s">
        <v>107</v>
      </c>
      <c r="E10952" s="6" t="s">
        <v>10174</v>
      </c>
      <c r="F10952" s="9" t="s">
        <v>17127</v>
      </c>
    </row>
    <row r="10953" ht="33.75" customHeight="1">
      <c r="A10953" s="7">
        <v>461.0</v>
      </c>
      <c r="B10953" s="9" t="s">
        <v>16390</v>
      </c>
      <c r="C10953" s="9" t="s">
        <v>321</v>
      </c>
      <c r="D10953" s="9" t="s">
        <v>109</v>
      </c>
      <c r="E10953" s="6" t="s">
        <v>10168</v>
      </c>
      <c r="F10953" s="9" t="s">
        <v>17127</v>
      </c>
    </row>
    <row r="10954" ht="33.75" customHeight="1">
      <c r="A10954" s="7">
        <v>461.0</v>
      </c>
      <c r="B10954" s="9" t="s">
        <v>16390</v>
      </c>
      <c r="C10954" s="9" t="s">
        <v>321</v>
      </c>
      <c r="D10954" s="9" t="s">
        <v>637</v>
      </c>
      <c r="E10954" s="6" t="s">
        <v>10176</v>
      </c>
      <c r="F10954" s="9" t="s">
        <v>17127</v>
      </c>
    </row>
    <row r="10955" ht="33.75" customHeight="1">
      <c r="A10955" s="7">
        <v>461.0</v>
      </c>
      <c r="B10955" s="9" t="s">
        <v>16390</v>
      </c>
      <c r="C10955" s="9" t="s">
        <v>321</v>
      </c>
      <c r="D10955" s="9" t="s">
        <v>642</v>
      </c>
      <c r="E10955" s="6" t="s">
        <v>10178</v>
      </c>
      <c r="F10955" s="9" t="s">
        <v>17127</v>
      </c>
    </row>
    <row r="10956" ht="33.75" customHeight="1">
      <c r="A10956" s="7">
        <v>461.0</v>
      </c>
      <c r="B10956" s="9" t="s">
        <v>16390</v>
      </c>
      <c r="C10956" s="9" t="s">
        <v>321</v>
      </c>
      <c r="D10956" s="9" t="s">
        <v>647</v>
      </c>
      <c r="E10956" s="6" t="s">
        <v>10180</v>
      </c>
      <c r="F10956" s="9" t="s">
        <v>17127</v>
      </c>
    </row>
    <row r="10957" ht="33.75" customHeight="1">
      <c r="A10957" s="7">
        <v>461.0</v>
      </c>
      <c r="B10957" s="9" t="s">
        <v>16390</v>
      </c>
      <c r="C10957" s="9" t="s">
        <v>321</v>
      </c>
      <c r="D10957" s="9" t="s">
        <v>652</v>
      </c>
      <c r="E10957" s="6" t="s">
        <v>10182</v>
      </c>
      <c r="F10957" s="9" t="s">
        <v>17127</v>
      </c>
    </row>
    <row r="10958" ht="33.75" customHeight="1">
      <c r="A10958" s="7">
        <v>461.0</v>
      </c>
      <c r="B10958" s="9" t="s">
        <v>16390</v>
      </c>
      <c r="C10958" s="9" t="s">
        <v>321</v>
      </c>
      <c r="D10958" s="9" t="s">
        <v>114</v>
      </c>
      <c r="E10958" s="6" t="s">
        <v>10184</v>
      </c>
      <c r="F10958" s="9" t="s">
        <v>17127</v>
      </c>
    </row>
    <row r="10959" ht="33.75" customHeight="1">
      <c r="A10959" s="7">
        <v>461.0</v>
      </c>
      <c r="B10959" s="9" t="s">
        <v>16390</v>
      </c>
      <c r="C10959" s="9" t="s">
        <v>321</v>
      </c>
      <c r="D10959" s="9" t="s">
        <v>117</v>
      </c>
      <c r="E10959" s="6" t="s">
        <v>10186</v>
      </c>
      <c r="F10959" s="9" t="s">
        <v>17127</v>
      </c>
    </row>
    <row r="10960" ht="33.75" customHeight="1">
      <c r="A10960" s="7">
        <v>461.0</v>
      </c>
      <c r="B10960" s="9" t="s">
        <v>16390</v>
      </c>
      <c r="C10960" s="9" t="s">
        <v>321</v>
      </c>
      <c r="D10960" s="9" t="s">
        <v>1577</v>
      </c>
      <c r="E10960" s="6" t="s">
        <v>10192</v>
      </c>
      <c r="F10960" s="9" t="s">
        <v>17127</v>
      </c>
    </row>
    <row r="10961" ht="33.75" customHeight="1">
      <c r="A10961" s="7">
        <v>462.0</v>
      </c>
      <c r="B10961" s="9" t="s">
        <v>16405</v>
      </c>
      <c r="C10961" s="9" t="s">
        <v>704</v>
      </c>
      <c r="D10961" s="9" t="s">
        <v>81</v>
      </c>
      <c r="E10961" s="6" t="s">
        <v>10194</v>
      </c>
      <c r="F10961" s="9" t="s">
        <v>17151</v>
      </c>
      <c r="G10961" t="inlineStr" s="6">
        <is>
          <t xml:space="preserve">It evolved from exposure to a special magnetic field. Three units generate magnetism. A group tried to use scientific means to make MAGNEZONE evolve, but their efforts ended in failure. Exposure to a special magnetic field changed MAGNETON’s molecular structure, turning it into MAGNEZONE. Sometimes the magnetism emitted by Magnezone is too strong, making them attract each other so they cannot move. There have been many mistaken reports of UFO sightings when Magnezone flies through the night sky. As it zooms through the sky, this Pokémon seems to be receiving signals of unknown origin, while transmitting signals of unknown purpose. It uses radar to monitor its territory. Intruders are quickly disposed of with a hyper beam. There are still people who believe that this Pokémon came from outer space. It emanates a powerful magnetic field. Some say that Magnezone receives signals from space via the antenna on its head and that it’s being controlled by some mysterious being. It’s thought that a special magnetic field changed the molecular structure of this Pokémon’s body, and that’s what caused the Pokémon’s evolution. I theorize that a special magnetic field influenced this Pokémon, changing its molecular structure and causing it to evolve. It emits strange radio waves toward space from its antenna.</t>
        </is>
      </c>
    </row>
    <row r="10962" ht="33.75" customHeight="1">
      <c r="A10962" s="7">
        <v>462.0</v>
      </c>
      <c r="B10962" s="9" t="s">
        <v>16405</v>
      </c>
      <c r="C10962" s="9" t="s">
        <v>704</v>
      </c>
      <c r="D10962" s="9" t="s">
        <v>84</v>
      </c>
      <c r="E10962" s="6" t="s">
        <v>10194</v>
      </c>
      <c r="F10962" s="9" t="s">
        <v>17151</v>
      </c>
    </row>
    <row r="10963" ht="33.75" customHeight="1">
      <c r="A10963" s="7">
        <v>462.0</v>
      </c>
      <c r="B10963" s="9" t="s">
        <v>16405</v>
      </c>
      <c r="C10963" s="9" t="s">
        <v>704</v>
      </c>
      <c r="D10963" s="9" t="s">
        <v>87</v>
      </c>
      <c r="E10963" s="6" t="s">
        <v>10196</v>
      </c>
      <c r="F10963" s="9" t="s">
        <v>17151</v>
      </c>
    </row>
    <row r="10964" ht="33.75" customHeight="1">
      <c r="A10964" s="7">
        <v>462.0</v>
      </c>
      <c r="B10964" s="9" t="s">
        <v>16405</v>
      </c>
      <c r="C10964" s="9" t="s">
        <v>704</v>
      </c>
      <c r="D10964" s="9" t="s">
        <v>89</v>
      </c>
      <c r="E10964" s="6" t="s">
        <v>10197</v>
      </c>
      <c r="F10964" s="9" t="s">
        <v>17151</v>
      </c>
    </row>
    <row r="10965" ht="33.75" customHeight="1">
      <c r="A10965" s="7">
        <v>462.0</v>
      </c>
      <c r="B10965" s="9" t="s">
        <v>16405</v>
      </c>
      <c r="C10965" s="9" t="s">
        <v>704</v>
      </c>
      <c r="D10965" s="9" t="s">
        <v>91</v>
      </c>
      <c r="E10965" s="6" t="s">
        <v>10197</v>
      </c>
      <c r="F10965" s="9" t="s">
        <v>17151</v>
      </c>
    </row>
    <row r="10966" ht="33.75" customHeight="1">
      <c r="A10966" s="7">
        <v>462.0</v>
      </c>
      <c r="B10966" s="9" t="s">
        <v>16405</v>
      </c>
      <c r="C10966" s="9" t="s">
        <v>704</v>
      </c>
      <c r="D10966" s="9" t="s">
        <v>93</v>
      </c>
      <c r="E10966" s="6" t="s">
        <v>10199</v>
      </c>
      <c r="F10966" s="9" t="s">
        <v>17151</v>
      </c>
    </row>
    <row r="10967" ht="33.75" customHeight="1">
      <c r="A10967" s="7">
        <v>462.0</v>
      </c>
      <c r="B10967" s="9" t="s">
        <v>16405</v>
      </c>
      <c r="C10967" s="9" t="s">
        <v>704</v>
      </c>
      <c r="D10967" s="9" t="s">
        <v>95</v>
      </c>
      <c r="E10967" s="6" t="s">
        <v>10199</v>
      </c>
      <c r="F10967" s="9" t="s">
        <v>17151</v>
      </c>
    </row>
    <row r="10968" ht="33.75" customHeight="1">
      <c r="A10968" s="7">
        <v>462.0</v>
      </c>
      <c r="B10968" s="9" t="s">
        <v>16405</v>
      </c>
      <c r="C10968" s="9" t="s">
        <v>704</v>
      </c>
      <c r="D10968" s="9" t="s">
        <v>98</v>
      </c>
      <c r="E10968" s="6" t="s">
        <v>10201</v>
      </c>
      <c r="F10968" s="9" t="s">
        <v>17151</v>
      </c>
    </row>
    <row r="10969" ht="33.75" customHeight="1">
      <c r="A10969" s="7">
        <v>462.0</v>
      </c>
      <c r="B10969" s="9" t="s">
        <v>16405</v>
      </c>
      <c r="C10969" s="9" t="s">
        <v>704</v>
      </c>
      <c r="D10969" s="9" t="s">
        <v>99</v>
      </c>
      <c r="E10969" s="6" t="s">
        <v>10201</v>
      </c>
      <c r="F10969" s="9" t="s">
        <v>17151</v>
      </c>
    </row>
    <row r="10970" ht="33.75" customHeight="1">
      <c r="A10970" s="7">
        <v>462.0</v>
      </c>
      <c r="B10970" s="9" t="s">
        <v>16405</v>
      </c>
      <c r="C10970" s="9" t="s">
        <v>704</v>
      </c>
      <c r="D10970" s="9" t="s">
        <v>101</v>
      </c>
      <c r="E10970" s="6" t="s">
        <v>10201</v>
      </c>
      <c r="F10970" s="9" t="s">
        <v>17151</v>
      </c>
    </row>
    <row r="10971" ht="33.75" customHeight="1">
      <c r="A10971" s="7">
        <v>462.0</v>
      </c>
      <c r="B10971" s="9" t="s">
        <v>16405</v>
      </c>
      <c r="C10971" s="9" t="s">
        <v>704</v>
      </c>
      <c r="D10971" s="9" t="s">
        <v>105</v>
      </c>
      <c r="E10971" s="6" t="s">
        <v>10194</v>
      </c>
      <c r="F10971" s="9" t="s">
        <v>17151</v>
      </c>
    </row>
    <row r="10972" ht="33.75" customHeight="1">
      <c r="A10972" s="7">
        <v>462.0</v>
      </c>
      <c r="B10972" s="9" t="s">
        <v>16405</v>
      </c>
      <c r="C10972" s="9" t="s">
        <v>704</v>
      </c>
      <c r="D10972" s="9" t="s">
        <v>107</v>
      </c>
      <c r="E10972" s="6" t="s">
        <v>10201</v>
      </c>
      <c r="F10972" s="9" t="s">
        <v>17151</v>
      </c>
    </row>
    <row r="10973" ht="33.75" customHeight="1">
      <c r="A10973" s="7">
        <v>462.0</v>
      </c>
      <c r="B10973" s="9" t="s">
        <v>16405</v>
      </c>
      <c r="C10973" s="9" t="s">
        <v>704</v>
      </c>
      <c r="D10973" s="9" t="s">
        <v>109</v>
      </c>
      <c r="E10973" s="6" t="s">
        <v>10194</v>
      </c>
      <c r="F10973" s="9" t="s">
        <v>17151</v>
      </c>
    </row>
    <row r="10974" ht="33.75" customHeight="1">
      <c r="A10974" s="7">
        <v>462.0</v>
      </c>
      <c r="B10974" s="9" t="s">
        <v>16405</v>
      </c>
      <c r="C10974" s="9" t="s">
        <v>704</v>
      </c>
      <c r="D10974" s="9" t="s">
        <v>637</v>
      </c>
      <c r="E10974" s="6" t="s">
        <v>10202</v>
      </c>
      <c r="F10974" s="9" t="s">
        <v>17151</v>
      </c>
    </row>
    <row r="10975" ht="33.75" customHeight="1">
      <c r="A10975" s="7">
        <v>462.0</v>
      </c>
      <c r="B10975" s="9" t="s">
        <v>16405</v>
      </c>
      <c r="C10975" s="9" t="s">
        <v>704</v>
      </c>
      <c r="D10975" s="9" t="s">
        <v>642</v>
      </c>
      <c r="E10975" s="6" t="s">
        <v>10204</v>
      </c>
      <c r="F10975" s="9" t="s">
        <v>17151</v>
      </c>
    </row>
    <row r="10976" ht="33.75" customHeight="1">
      <c r="A10976" s="7">
        <v>462.0</v>
      </c>
      <c r="B10976" s="9" t="s">
        <v>16405</v>
      </c>
      <c r="C10976" s="9" t="s">
        <v>704</v>
      </c>
      <c r="D10976" s="9" t="s">
        <v>647</v>
      </c>
      <c r="E10976" s="6" t="s">
        <v>10205</v>
      </c>
      <c r="F10976" s="9" t="s">
        <v>17151</v>
      </c>
    </row>
    <row r="10977" ht="33.75" customHeight="1">
      <c r="A10977" s="7">
        <v>462.0</v>
      </c>
      <c r="B10977" s="9" t="s">
        <v>16405</v>
      </c>
      <c r="C10977" s="9" t="s">
        <v>704</v>
      </c>
      <c r="D10977" s="9" t="s">
        <v>652</v>
      </c>
      <c r="E10977" s="6" t="s">
        <v>10206</v>
      </c>
      <c r="F10977" s="9" t="s">
        <v>17151</v>
      </c>
    </row>
    <row r="10978" ht="33.75" customHeight="1">
      <c r="A10978" s="7">
        <v>462.0</v>
      </c>
      <c r="B10978" s="9" t="s">
        <v>16405</v>
      </c>
      <c r="C10978" s="9" t="s">
        <v>704</v>
      </c>
      <c r="D10978" s="9" t="s">
        <v>114</v>
      </c>
      <c r="E10978" s="6" t="s">
        <v>10207</v>
      </c>
      <c r="F10978" s="9" t="s">
        <v>17151</v>
      </c>
    </row>
    <row r="10979" ht="33.75" customHeight="1">
      <c r="A10979" s="7">
        <v>462.0</v>
      </c>
      <c r="B10979" s="9" t="s">
        <v>16405</v>
      </c>
      <c r="C10979" s="9" t="s">
        <v>704</v>
      </c>
      <c r="D10979" s="9" t="s">
        <v>117</v>
      </c>
      <c r="E10979" s="6" t="s">
        <v>10208</v>
      </c>
      <c r="F10979" s="9" t="s">
        <v>17151</v>
      </c>
    </row>
    <row r="10980" ht="33.75" customHeight="1">
      <c r="A10980" s="7">
        <v>462.0</v>
      </c>
      <c r="B10980" s="9" t="s">
        <v>16405</v>
      </c>
      <c r="C10980" s="9" t="s">
        <v>704</v>
      </c>
      <c r="D10980" s="9" t="s">
        <v>1577</v>
      </c>
      <c r="E10980" s="6" t="s">
        <v>10209</v>
      </c>
      <c r="F10980" s="9" t="s">
        <v>17151</v>
      </c>
    </row>
    <row r="10981" ht="33.75" customHeight="1">
      <c r="A10981" s="7">
        <v>463.0</v>
      </c>
      <c r="B10981" s="9" t="s">
        <v>16420</v>
      </c>
      <c r="C10981" s="9" t="s">
        <v>187</v>
      </c>
      <c r="D10981" s="9" t="s">
        <v>81</v>
      </c>
      <c r="E10981" s="6" t="s">
        <v>10210</v>
      </c>
      <c r="F10981" s="9" t="s">
        <v>17173</v>
      </c>
      <c r="G10981" t="inlineStr" s="6">
        <is>
          <t xml:space="preserve">It wraps things with Lickilicky's extensible tongue. Getting too close to it will leave you soaked with drool. The long tongue is always soggy with slobber. The saliva contains a solvent that causes numbness. Its saliva can decompose anything. It wraps its long tongue around things to coat them with its sticky saliva. It has space in its throat to store saliva. It can also roll up its tongue and store it in the same spot. Their saliva contains lots of components that can dissolve anything. The numbness caused by their lick does not dissipate. A contest is under way to determine which one can stick its tongue out the farthest. The current record is...more than 82 feet. It uses its tongue much more skillfully than its hands or its feet. It can deftly pick up a single small bean with its tongue. Lickilicky’s strange tongue can stretch to many times the length of its body. No one has figured out how Lickilicky’s tongue can stretch so far. Lickilicky can do just about anything with its tongue, which is as dexterous as the human hand. In contrast, Lickilicky’s use of its fingers is clumsy. Its tongue can extend and contract freely, and it is capable of reaching lengths over 10 times Lickilicky's height. Beware of the saliva, as it contains corrosive elements.</t>
        </is>
      </c>
    </row>
    <row r="10982" ht="33.75" customHeight="1">
      <c r="A10982" s="7">
        <v>463.0</v>
      </c>
      <c r="B10982" s="9" t="s">
        <v>16420</v>
      </c>
      <c r="C10982" s="9" t="s">
        <v>187</v>
      </c>
      <c r="D10982" s="9" t="s">
        <v>84</v>
      </c>
      <c r="E10982" s="6" t="s">
        <v>10210</v>
      </c>
      <c r="F10982" s="9" t="s">
        <v>17173</v>
      </c>
    </row>
    <row r="10983" ht="33.75" customHeight="1">
      <c r="A10983" s="7">
        <v>463.0</v>
      </c>
      <c r="B10983" s="9" t="s">
        <v>16420</v>
      </c>
      <c r="C10983" s="9" t="s">
        <v>187</v>
      </c>
      <c r="D10983" s="9" t="s">
        <v>87</v>
      </c>
      <c r="E10983" s="6" t="s">
        <v>10211</v>
      </c>
      <c r="F10983" s="9" t="s">
        <v>17173</v>
      </c>
    </row>
    <row r="10984" ht="33.75" customHeight="1">
      <c r="A10984" s="7">
        <v>463.0</v>
      </c>
      <c r="B10984" s="9" t="s">
        <v>16420</v>
      </c>
      <c r="C10984" s="9" t="s">
        <v>187</v>
      </c>
      <c r="D10984" s="9" t="s">
        <v>89</v>
      </c>
      <c r="E10984" s="6" t="s">
        <v>10212</v>
      </c>
      <c r="F10984" s="9" t="s">
        <v>17173</v>
      </c>
    </row>
    <row r="10985" ht="33.75" customHeight="1">
      <c r="A10985" s="7">
        <v>463.0</v>
      </c>
      <c r="B10985" s="9" t="s">
        <v>16420</v>
      </c>
      <c r="C10985" s="9" t="s">
        <v>187</v>
      </c>
      <c r="D10985" s="9" t="s">
        <v>91</v>
      </c>
      <c r="E10985" s="6" t="s">
        <v>10213</v>
      </c>
      <c r="F10985" s="9" t="s">
        <v>17173</v>
      </c>
    </row>
    <row r="10986" ht="33.75" customHeight="1">
      <c r="A10986" s="7">
        <v>463.0</v>
      </c>
      <c r="B10986" s="9" t="s">
        <v>16420</v>
      </c>
      <c r="C10986" s="9" t="s">
        <v>187</v>
      </c>
      <c r="D10986" s="9" t="s">
        <v>93</v>
      </c>
      <c r="E10986" s="6" t="s">
        <v>10211</v>
      </c>
      <c r="F10986" s="9" t="s">
        <v>17173</v>
      </c>
    </row>
    <row r="10987" ht="33.75" customHeight="1">
      <c r="A10987" s="7">
        <v>463.0</v>
      </c>
      <c r="B10987" s="9" t="s">
        <v>16420</v>
      </c>
      <c r="C10987" s="9" t="s">
        <v>187</v>
      </c>
      <c r="D10987" s="9" t="s">
        <v>95</v>
      </c>
      <c r="E10987" s="6" t="s">
        <v>10211</v>
      </c>
      <c r="F10987" s="9" t="s">
        <v>17173</v>
      </c>
    </row>
    <row r="10988" ht="33.75" customHeight="1">
      <c r="A10988" s="7">
        <v>463.0</v>
      </c>
      <c r="B10988" s="9" t="s">
        <v>16420</v>
      </c>
      <c r="C10988" s="9" t="s">
        <v>187</v>
      </c>
      <c r="D10988" s="9" t="s">
        <v>98</v>
      </c>
      <c r="E10988" s="6" t="s">
        <v>10214</v>
      </c>
      <c r="F10988" s="9" t="s">
        <v>17173</v>
      </c>
    </row>
    <row r="10989" ht="33.75" customHeight="1">
      <c r="A10989" s="7">
        <v>463.0</v>
      </c>
      <c r="B10989" s="9" t="s">
        <v>16420</v>
      </c>
      <c r="C10989" s="9" t="s">
        <v>187</v>
      </c>
      <c r="D10989" s="9" t="s">
        <v>99</v>
      </c>
      <c r="E10989" s="6" t="s">
        <v>10214</v>
      </c>
      <c r="F10989" s="9" t="s">
        <v>17173</v>
      </c>
    </row>
    <row r="10990" ht="33.75" customHeight="1">
      <c r="A10990" s="7">
        <v>463.0</v>
      </c>
      <c r="B10990" s="9" t="s">
        <v>16420</v>
      </c>
      <c r="C10990" s="9" t="s">
        <v>187</v>
      </c>
      <c r="D10990" s="9" t="s">
        <v>101</v>
      </c>
      <c r="E10990" s="6" t="s">
        <v>10210</v>
      </c>
      <c r="F10990" s="9" t="s">
        <v>17173</v>
      </c>
    </row>
    <row r="10991" ht="33.75" customHeight="1">
      <c r="A10991" s="7">
        <v>463.0</v>
      </c>
      <c r="B10991" s="9" t="s">
        <v>16420</v>
      </c>
      <c r="C10991" s="9" t="s">
        <v>187</v>
      </c>
      <c r="D10991" s="9" t="s">
        <v>105</v>
      </c>
      <c r="E10991" s="6" t="s">
        <v>10214</v>
      </c>
      <c r="F10991" s="9" t="s">
        <v>17173</v>
      </c>
    </row>
    <row r="10992" ht="33.75" customHeight="1">
      <c r="A10992" s="7">
        <v>463.0</v>
      </c>
      <c r="B10992" s="9" t="s">
        <v>16420</v>
      </c>
      <c r="C10992" s="9" t="s">
        <v>187</v>
      </c>
      <c r="D10992" s="9" t="s">
        <v>107</v>
      </c>
      <c r="E10992" s="6" t="s">
        <v>10210</v>
      </c>
      <c r="F10992" s="9" t="s">
        <v>17173</v>
      </c>
    </row>
    <row r="10993" ht="33.75" customHeight="1">
      <c r="A10993" s="7">
        <v>463.0</v>
      </c>
      <c r="B10993" s="9" t="s">
        <v>16420</v>
      </c>
      <c r="C10993" s="9" t="s">
        <v>187</v>
      </c>
      <c r="D10993" s="9" t="s">
        <v>109</v>
      </c>
      <c r="E10993" s="6" t="s">
        <v>10214</v>
      </c>
      <c r="F10993" s="9" t="s">
        <v>17173</v>
      </c>
    </row>
    <row r="10994" ht="33.75" customHeight="1">
      <c r="A10994" s="7">
        <v>463.0</v>
      </c>
      <c r="B10994" s="9" t="s">
        <v>16420</v>
      </c>
      <c r="C10994" s="9" t="s">
        <v>187</v>
      </c>
      <c r="D10994" s="9" t="s">
        <v>647</v>
      </c>
      <c r="E10994" s="6" t="s">
        <v>10215</v>
      </c>
      <c r="F10994" s="9" t="s">
        <v>17173</v>
      </c>
    </row>
    <row r="10995" ht="33.75" customHeight="1">
      <c r="A10995" s="7">
        <v>463.0</v>
      </c>
      <c r="B10995" s="9" t="s">
        <v>16420</v>
      </c>
      <c r="C10995" s="9" t="s">
        <v>187</v>
      </c>
      <c r="D10995" s="9" t="s">
        <v>652</v>
      </c>
      <c r="E10995" s="6" t="s">
        <v>10216</v>
      </c>
      <c r="F10995" s="9" t="s">
        <v>17173</v>
      </c>
    </row>
    <row r="10996" ht="33.75" customHeight="1">
      <c r="A10996" s="7">
        <v>463.0</v>
      </c>
      <c r="B10996" s="9" t="s">
        <v>16420</v>
      </c>
      <c r="C10996" s="9" t="s">
        <v>187</v>
      </c>
      <c r="D10996" s="9" t="s">
        <v>114</v>
      </c>
      <c r="E10996" s="6" t="s">
        <v>10217</v>
      </c>
      <c r="F10996" s="9" t="s">
        <v>17173</v>
      </c>
    </row>
    <row r="10997" ht="33.75" customHeight="1">
      <c r="A10997" s="7">
        <v>463.0</v>
      </c>
      <c r="B10997" s="9" t="s">
        <v>16420</v>
      </c>
      <c r="C10997" s="9" t="s">
        <v>187</v>
      </c>
      <c r="D10997" s="9" t="s">
        <v>117</v>
      </c>
      <c r="E10997" s="6" t="s">
        <v>10220</v>
      </c>
      <c r="F10997" s="9" t="s">
        <v>17173</v>
      </c>
    </row>
    <row r="10998" ht="33.75" customHeight="1">
      <c r="A10998" s="7">
        <v>463.0</v>
      </c>
      <c r="B10998" s="9" t="s">
        <v>16420</v>
      </c>
      <c r="C10998" s="9" t="s">
        <v>187</v>
      </c>
      <c r="D10998" s="9" t="s">
        <v>1577</v>
      </c>
      <c r="E10998" s="6" t="s">
        <v>10222</v>
      </c>
      <c r="F10998" s="9" t="s">
        <v>17173</v>
      </c>
    </row>
    <row r="10999" ht="33.75" customHeight="1">
      <c r="A10999" s="7">
        <v>464.0</v>
      </c>
      <c r="B10999" s="9" t="s">
        <v>16433</v>
      </c>
      <c r="C10999" s="9" t="s">
        <v>100</v>
      </c>
      <c r="D10999" s="9" t="s">
        <v>81</v>
      </c>
      <c r="E10999" s="6" t="s">
        <v>10225</v>
      </c>
      <c r="F10999" s="9" t="s">
        <v>17189</v>
      </c>
      <c r="G10999" t="inlineStr" s="6">
        <is>
          <t xml:space="preserve">It puts rocks in holes in Rhyperior's palms and uses its muscles to shoot them. GEODUDE are shot at rare times. It can launch a rock held in its hand like a missile by tightening then expanding muscles instantly. From holes in its palms, it fires out GEODUDE. Its carapace can withstand volcanic eruptions. It can load up to three projectiles per arm into the holes in its hands. What launches out of those holes could be either rocks or Roggenrola. It relies on its carapace to deflect incoming attacks and throw its enemy off balance. As soon as that happens, it drives its drill into the foe. This Pokémon evolved through use of a curious item. Its rocklike hide is composed of a mysterious substance and can withstand a blow from a masterwork sword with nary a scratch.</t>
        </is>
      </c>
    </row>
    <row r="11000" ht="33.75" customHeight="1">
      <c r="A11000" s="7">
        <v>464.0</v>
      </c>
      <c r="B11000" s="9" t="s">
        <v>16433</v>
      </c>
      <c r="C11000" s="9" t="s">
        <v>100</v>
      </c>
      <c r="D11000" s="9" t="s">
        <v>84</v>
      </c>
      <c r="E11000" s="6" t="s">
        <v>10225</v>
      </c>
      <c r="F11000" s="9" t="s">
        <v>17189</v>
      </c>
    </row>
    <row r="11001" ht="33.75" customHeight="1">
      <c r="A11001" s="7">
        <v>464.0</v>
      </c>
      <c r="B11001" s="9" t="s">
        <v>16433</v>
      </c>
      <c r="C11001" s="9" t="s">
        <v>100</v>
      </c>
      <c r="D11001" s="9" t="s">
        <v>87</v>
      </c>
      <c r="E11001" s="6" t="s">
        <v>10227</v>
      </c>
      <c r="F11001" s="9" t="s">
        <v>17189</v>
      </c>
    </row>
    <row r="11002" ht="33.75" customHeight="1">
      <c r="A11002" s="7">
        <v>464.0</v>
      </c>
      <c r="B11002" s="9" t="s">
        <v>16433</v>
      </c>
      <c r="C11002" s="9" t="s">
        <v>100</v>
      </c>
      <c r="D11002" s="9" t="s">
        <v>89</v>
      </c>
      <c r="E11002" s="6" t="s">
        <v>10229</v>
      </c>
      <c r="F11002" s="9" t="s">
        <v>17189</v>
      </c>
    </row>
    <row r="11003" ht="33.75" customHeight="1">
      <c r="A11003" s="7">
        <v>464.0</v>
      </c>
      <c r="B11003" s="9" t="s">
        <v>16433</v>
      </c>
      <c r="C11003" s="9" t="s">
        <v>100</v>
      </c>
      <c r="D11003" s="9" t="s">
        <v>91</v>
      </c>
      <c r="E11003" s="6" t="s">
        <v>10229</v>
      </c>
      <c r="F11003" s="9" t="s">
        <v>17189</v>
      </c>
    </row>
    <row r="11004" ht="33.75" customHeight="1">
      <c r="A11004" s="7">
        <v>464.0</v>
      </c>
      <c r="B11004" s="9" t="s">
        <v>16433</v>
      </c>
      <c r="C11004" s="9" t="s">
        <v>100</v>
      </c>
      <c r="D11004" s="9" t="s">
        <v>93</v>
      </c>
      <c r="E11004" s="6" t="s">
        <v>10227</v>
      </c>
      <c r="F11004" s="9" t="s">
        <v>17189</v>
      </c>
    </row>
    <row r="11005" ht="33.75" customHeight="1">
      <c r="A11005" s="7">
        <v>464.0</v>
      </c>
      <c r="B11005" s="9" t="s">
        <v>16433</v>
      </c>
      <c r="C11005" s="9" t="s">
        <v>100</v>
      </c>
      <c r="D11005" s="9" t="s">
        <v>95</v>
      </c>
      <c r="E11005" s="6" t="s">
        <v>10227</v>
      </c>
      <c r="F11005" s="9" t="s">
        <v>17189</v>
      </c>
    </row>
    <row r="11006" ht="33.75" customHeight="1">
      <c r="A11006" s="7">
        <v>464.0</v>
      </c>
      <c r="B11006" s="9" t="s">
        <v>16433</v>
      </c>
      <c r="C11006" s="9" t="s">
        <v>100</v>
      </c>
      <c r="D11006" s="9" t="s">
        <v>98</v>
      </c>
      <c r="E11006" s="6" t="s">
        <v>10227</v>
      </c>
      <c r="F11006" s="9" t="s">
        <v>17189</v>
      </c>
    </row>
    <row r="11007" ht="33.75" customHeight="1">
      <c r="A11007" s="7">
        <v>464.0</v>
      </c>
      <c r="B11007" s="9" t="s">
        <v>16433</v>
      </c>
      <c r="C11007" s="9" t="s">
        <v>100</v>
      </c>
      <c r="D11007" s="9" t="s">
        <v>99</v>
      </c>
      <c r="E11007" s="6" t="s">
        <v>10227</v>
      </c>
      <c r="F11007" s="9" t="s">
        <v>17189</v>
      </c>
    </row>
    <row r="11008" ht="33.75" customHeight="1">
      <c r="A11008" s="7">
        <v>464.0</v>
      </c>
      <c r="B11008" s="9" t="s">
        <v>16433</v>
      </c>
      <c r="C11008" s="9" t="s">
        <v>100</v>
      </c>
      <c r="D11008" s="9" t="s">
        <v>101</v>
      </c>
      <c r="E11008" s="6" t="s">
        <v>10233</v>
      </c>
      <c r="F11008" s="9" t="s">
        <v>17189</v>
      </c>
    </row>
    <row r="11009" ht="33.75" customHeight="1">
      <c r="A11009" s="7">
        <v>464.0</v>
      </c>
      <c r="B11009" s="9" t="s">
        <v>16433</v>
      </c>
      <c r="C11009" s="9" t="s">
        <v>100</v>
      </c>
      <c r="D11009" s="9" t="s">
        <v>105</v>
      </c>
      <c r="E11009" s="6" t="s">
        <v>10235</v>
      </c>
      <c r="F11009" s="9" t="s">
        <v>17189</v>
      </c>
    </row>
    <row r="11010" ht="33.75" customHeight="1">
      <c r="A11010" s="7">
        <v>464.0</v>
      </c>
      <c r="B11010" s="9" t="s">
        <v>16433</v>
      </c>
      <c r="C11010" s="9" t="s">
        <v>100</v>
      </c>
      <c r="D11010" s="9" t="s">
        <v>107</v>
      </c>
      <c r="E11010" s="6" t="s">
        <v>10233</v>
      </c>
      <c r="F11010" s="9" t="s">
        <v>17189</v>
      </c>
    </row>
    <row r="11011" ht="33.75" customHeight="1">
      <c r="A11011" s="7">
        <v>464.0</v>
      </c>
      <c r="B11011" s="9" t="s">
        <v>16433</v>
      </c>
      <c r="C11011" s="9" t="s">
        <v>100</v>
      </c>
      <c r="D11011" s="9" t="s">
        <v>109</v>
      </c>
      <c r="E11011" s="6" t="s">
        <v>10235</v>
      </c>
      <c r="F11011" s="9" t="s">
        <v>17189</v>
      </c>
    </row>
    <row r="11012" ht="33.75" customHeight="1">
      <c r="A11012" s="7">
        <v>464.0</v>
      </c>
      <c r="B11012" s="9" t="s">
        <v>16433</v>
      </c>
      <c r="C11012" s="9" t="s">
        <v>100</v>
      </c>
      <c r="D11012" s="9" t="s">
        <v>114</v>
      </c>
      <c r="E11012" s="6" t="s">
        <v>10237</v>
      </c>
      <c r="F11012" s="9" t="s">
        <v>17189</v>
      </c>
    </row>
    <row r="11013" ht="33.75" customHeight="1">
      <c r="A11013" s="7">
        <v>464.0</v>
      </c>
      <c r="B11013" s="9" t="s">
        <v>16433</v>
      </c>
      <c r="C11013" s="9" t="s">
        <v>100</v>
      </c>
      <c r="D11013" s="9" t="s">
        <v>117</v>
      </c>
      <c r="E11013" s="6" t="s">
        <v>10239</v>
      </c>
      <c r="F11013" s="9" t="s">
        <v>17189</v>
      </c>
    </row>
    <row r="11014" ht="33.75" customHeight="1">
      <c r="A11014" s="7">
        <v>464.0</v>
      </c>
      <c r="B11014" s="9" t="s">
        <v>16433</v>
      </c>
      <c r="C11014" s="9" t="s">
        <v>100</v>
      </c>
      <c r="D11014" s="9" t="s">
        <v>1577</v>
      </c>
      <c r="E11014" s="6" t="s">
        <v>10241</v>
      </c>
      <c r="F11014" s="9" t="s">
        <v>17189</v>
      </c>
    </row>
    <row r="11015" ht="33.75" customHeight="1">
      <c r="A11015" s="7">
        <v>465.0</v>
      </c>
      <c r="B11015" s="9" t="s">
        <v>16443</v>
      </c>
      <c r="C11015" s="9" t="s">
        <v>191</v>
      </c>
      <c r="D11015" s="9" t="s">
        <v>81</v>
      </c>
      <c r="E11015" s="6" t="s">
        <v>10243</v>
      </c>
      <c r="F11015" s="9" t="s">
        <v>17201</v>
      </c>
      <c r="G11015" t="inlineStr" s="6">
        <is>
          <t xml:space="preserve">It ensnares prey by extending arms made of vines. Losing arms to predators does not trouble it. Its arms are made of plants that bind themselves to things. They grow back right away if cut. When it remains still, it appears to be a large shrub. Unsuspecting prey that wander near get ensnared by its vines. Its vines grow so profusely that, in the warm season, you can’t even see its eyes. Even if one of its arms is eaten, it’s fine. The Pokémon regenerates quickly and will go right back to normal. Tangrowth has two arms that it can extend as it pleases. Recent research has shown that these arms are, in fact, bundles of vines. Vine growth is accelerated for Tangrowth living in warm climates. If the vines grow long, Tangrowth shortens them by tearing parts of them off. Draped with long vines, it resembles a shrub in appearance. It swings bundles of vines as though they were arms, wrapping them around prey to ensnare them.</t>
        </is>
      </c>
    </row>
    <row r="11016" ht="33.75" customHeight="1">
      <c r="A11016" s="7">
        <v>465.0</v>
      </c>
      <c r="B11016" s="9" t="s">
        <v>16443</v>
      </c>
      <c r="C11016" s="9" t="s">
        <v>191</v>
      </c>
      <c r="D11016" s="9" t="s">
        <v>84</v>
      </c>
      <c r="E11016" s="6" t="s">
        <v>10243</v>
      </c>
      <c r="F11016" s="9" t="s">
        <v>17201</v>
      </c>
    </row>
    <row r="11017" ht="33.75" customHeight="1">
      <c r="A11017" s="7">
        <v>465.0</v>
      </c>
      <c r="B11017" s="9" t="s">
        <v>16443</v>
      </c>
      <c r="C11017" s="9" t="s">
        <v>191</v>
      </c>
      <c r="D11017" s="9" t="s">
        <v>87</v>
      </c>
      <c r="E11017" s="6" t="s">
        <v>10244</v>
      </c>
      <c r="F11017" s="9" t="s">
        <v>17201</v>
      </c>
    </row>
    <row r="11018" ht="33.75" customHeight="1">
      <c r="A11018" s="7">
        <v>465.0</v>
      </c>
      <c r="B11018" s="9" t="s">
        <v>16443</v>
      </c>
      <c r="C11018" s="9" t="s">
        <v>191</v>
      </c>
      <c r="D11018" s="9" t="s">
        <v>89</v>
      </c>
      <c r="E11018" s="6" t="s">
        <v>10245</v>
      </c>
      <c r="F11018" s="9" t="s">
        <v>17201</v>
      </c>
    </row>
    <row r="11019" ht="33.75" customHeight="1">
      <c r="A11019" s="7">
        <v>465.0</v>
      </c>
      <c r="B11019" s="9" t="s">
        <v>16443</v>
      </c>
      <c r="C11019" s="9" t="s">
        <v>191</v>
      </c>
      <c r="D11019" s="9" t="s">
        <v>91</v>
      </c>
      <c r="E11019" s="6" t="s">
        <v>10247</v>
      </c>
      <c r="F11019" s="9" t="s">
        <v>17201</v>
      </c>
    </row>
    <row r="11020" ht="33.75" customHeight="1">
      <c r="A11020" s="7">
        <v>465.0</v>
      </c>
      <c r="B11020" s="9" t="s">
        <v>16443</v>
      </c>
      <c r="C11020" s="9" t="s">
        <v>191</v>
      </c>
      <c r="D11020" s="9" t="s">
        <v>93</v>
      </c>
      <c r="E11020" s="6" t="s">
        <v>10244</v>
      </c>
      <c r="F11020" s="9" t="s">
        <v>17201</v>
      </c>
    </row>
    <row r="11021" ht="33.75" customHeight="1">
      <c r="A11021" s="7">
        <v>465.0</v>
      </c>
      <c r="B11021" s="9" t="s">
        <v>16443</v>
      </c>
      <c r="C11021" s="9" t="s">
        <v>191</v>
      </c>
      <c r="D11021" s="9" t="s">
        <v>95</v>
      </c>
      <c r="E11021" s="6" t="s">
        <v>10244</v>
      </c>
      <c r="F11021" s="9" t="s">
        <v>17201</v>
      </c>
    </row>
    <row r="11022" ht="33.75" customHeight="1">
      <c r="A11022" s="7">
        <v>465.0</v>
      </c>
      <c r="B11022" s="9" t="s">
        <v>16443</v>
      </c>
      <c r="C11022" s="9" t="s">
        <v>191</v>
      </c>
      <c r="D11022" s="9" t="s">
        <v>98</v>
      </c>
      <c r="E11022" s="6" t="s">
        <v>10248</v>
      </c>
      <c r="F11022" s="9" t="s">
        <v>17201</v>
      </c>
    </row>
    <row r="11023" ht="33.75" customHeight="1">
      <c r="A11023" s="7">
        <v>465.0</v>
      </c>
      <c r="B11023" s="9" t="s">
        <v>16443</v>
      </c>
      <c r="C11023" s="9" t="s">
        <v>191</v>
      </c>
      <c r="D11023" s="9" t="s">
        <v>99</v>
      </c>
      <c r="E11023" s="6" t="s">
        <v>10248</v>
      </c>
      <c r="F11023" s="9" t="s">
        <v>17201</v>
      </c>
    </row>
    <row r="11024" ht="33.75" customHeight="1">
      <c r="A11024" s="7">
        <v>465.0</v>
      </c>
      <c r="B11024" s="9" t="s">
        <v>16443</v>
      </c>
      <c r="C11024" s="9" t="s">
        <v>191</v>
      </c>
      <c r="D11024" s="9" t="s">
        <v>101</v>
      </c>
      <c r="E11024" s="6" t="s">
        <v>10243</v>
      </c>
      <c r="F11024" s="9" t="s">
        <v>17201</v>
      </c>
    </row>
    <row r="11025" ht="33.75" customHeight="1">
      <c r="A11025" s="7">
        <v>465.0</v>
      </c>
      <c r="B11025" s="9" t="s">
        <v>16443</v>
      </c>
      <c r="C11025" s="9" t="s">
        <v>191</v>
      </c>
      <c r="D11025" s="9" t="s">
        <v>105</v>
      </c>
      <c r="E11025" s="6" t="s">
        <v>10247</v>
      </c>
      <c r="F11025" s="9" t="s">
        <v>17201</v>
      </c>
    </row>
    <row r="11026" ht="33.75" customHeight="1">
      <c r="A11026" s="7">
        <v>465.0</v>
      </c>
      <c r="B11026" s="9" t="s">
        <v>16443</v>
      </c>
      <c r="C11026" s="9" t="s">
        <v>191</v>
      </c>
      <c r="D11026" s="9" t="s">
        <v>107</v>
      </c>
      <c r="E11026" s="6" t="s">
        <v>10243</v>
      </c>
      <c r="F11026" s="9" t="s">
        <v>17201</v>
      </c>
    </row>
    <row r="11027" ht="33.75" customHeight="1">
      <c r="A11027" s="7">
        <v>465.0</v>
      </c>
      <c r="B11027" s="9" t="s">
        <v>16443</v>
      </c>
      <c r="C11027" s="9" t="s">
        <v>191</v>
      </c>
      <c r="D11027" s="9" t="s">
        <v>109</v>
      </c>
      <c r="E11027" s="6" t="s">
        <v>10247</v>
      </c>
      <c r="F11027" s="9" t="s">
        <v>17201</v>
      </c>
    </row>
    <row r="11028" ht="33.75" customHeight="1">
      <c r="A11028" s="7">
        <v>465.0</v>
      </c>
      <c r="B11028" s="9" t="s">
        <v>16443</v>
      </c>
      <c r="C11028" s="9" t="s">
        <v>191</v>
      </c>
      <c r="D11028" s="9" t="s">
        <v>114</v>
      </c>
      <c r="E11028" s="6" t="s">
        <v>10249</v>
      </c>
      <c r="F11028" s="9" t="s">
        <v>17201</v>
      </c>
    </row>
    <row r="11029" ht="33.75" customHeight="1">
      <c r="A11029" s="7">
        <v>465.0</v>
      </c>
      <c r="B11029" s="9" t="s">
        <v>16443</v>
      </c>
      <c r="C11029" s="9" t="s">
        <v>191</v>
      </c>
      <c r="D11029" s="9" t="s">
        <v>117</v>
      </c>
      <c r="E11029" s="6" t="s">
        <v>10250</v>
      </c>
      <c r="F11029" s="9" t="s">
        <v>17201</v>
      </c>
    </row>
    <row r="11030" ht="33.75" customHeight="1">
      <c r="A11030" s="7">
        <v>465.0</v>
      </c>
      <c r="B11030" s="9" t="s">
        <v>16443</v>
      </c>
      <c r="C11030" s="9" t="s">
        <v>191</v>
      </c>
      <c r="D11030" s="9" t="s">
        <v>1577</v>
      </c>
      <c r="E11030" s="6" t="s">
        <v>10251</v>
      </c>
      <c r="F11030" s="9" t="s">
        <v>17201</v>
      </c>
    </row>
    <row r="11031" ht="33.75" customHeight="1">
      <c r="A11031" s="7">
        <v>466.0</v>
      </c>
      <c r="B11031" s="9" t="s">
        <v>16453</v>
      </c>
      <c r="C11031" s="9" t="s">
        <v>705</v>
      </c>
      <c r="D11031" s="9" t="s">
        <v>81</v>
      </c>
      <c r="E11031" s="6" t="s">
        <v>10253</v>
      </c>
      <c r="F11031" s="9" t="s">
        <v>17222</v>
      </c>
      <c r="G11031" t="inlineStr" s="6">
        <is>
          <t xml:space="preserve">It pushes the tips of Electivire's two tails against the foe, then lets loose with over 20,000 volts of power. Heedless of enemy attacks, it closes in, shoves its tails onto the foe, then looses high voltage. As its electric charge amplifies, blue sparks begin to crackle between its horns. The instant it presses the tips of its tails onto an opponent, it sends over 20,000 volts of electricity into the foe. It pushes the tips of its tails against its foes and then lets loose a high-voltage current. Its foes are burned to a crisp in an instant. When it gets excited, it thumps its chest. With every thud, thunder roars and electric sparks shower all around. It grips its tail, which spews electricity, and then beats down opponents with the power of its electrified fist. A single Electivire can provide enough electricity for all the buildings in a big city for a year. The amount of electrical energy this Pokémon produces is proportional to the rate of its pulse. The voltage jumps while Electivire is battling. In terms of electrical-energy output, Electivire is one of the best among all Electric Pokémon. It discharges high-voltage currents from its tails. Its evolution was induced by an unusual item, and its electrical output rises along with its heart rate. From its tails, it can unleash an electric current measuring 20,000 volts.</t>
        </is>
      </c>
    </row>
    <row r="11032" ht="33.75" customHeight="1">
      <c r="A11032" s="7">
        <v>466.0</v>
      </c>
      <c r="B11032" s="9" t="s">
        <v>16453</v>
      </c>
      <c r="C11032" s="9" t="s">
        <v>705</v>
      </c>
      <c r="D11032" s="9" t="s">
        <v>84</v>
      </c>
      <c r="E11032" s="6" t="s">
        <v>10253</v>
      </c>
      <c r="F11032" s="9" t="s">
        <v>17222</v>
      </c>
    </row>
    <row r="11033" ht="33.75" customHeight="1">
      <c r="A11033" s="7">
        <v>466.0</v>
      </c>
      <c r="B11033" s="9" t="s">
        <v>16453</v>
      </c>
      <c r="C11033" s="9" t="s">
        <v>705</v>
      </c>
      <c r="D11033" s="9" t="s">
        <v>87</v>
      </c>
      <c r="E11033" s="6" t="s">
        <v>10256</v>
      </c>
      <c r="F11033" s="9" t="s">
        <v>17222</v>
      </c>
    </row>
    <row r="11034" ht="33.75" customHeight="1">
      <c r="A11034" s="7">
        <v>466.0</v>
      </c>
      <c r="B11034" s="9" t="s">
        <v>16453</v>
      </c>
      <c r="C11034" s="9" t="s">
        <v>705</v>
      </c>
      <c r="D11034" s="9" t="s">
        <v>89</v>
      </c>
      <c r="E11034" s="6" t="s">
        <v>10257</v>
      </c>
      <c r="F11034" s="9" t="s">
        <v>17222</v>
      </c>
    </row>
    <row r="11035" ht="33.75" customHeight="1">
      <c r="A11035" s="7">
        <v>466.0</v>
      </c>
      <c r="B11035" s="9" t="s">
        <v>16453</v>
      </c>
      <c r="C11035" s="9" t="s">
        <v>705</v>
      </c>
      <c r="D11035" s="9" t="s">
        <v>91</v>
      </c>
      <c r="E11035" s="6" t="s">
        <v>10257</v>
      </c>
      <c r="F11035" s="9" t="s">
        <v>17222</v>
      </c>
    </row>
    <row r="11036" ht="33.75" customHeight="1">
      <c r="A11036" s="7">
        <v>466.0</v>
      </c>
      <c r="B11036" s="9" t="s">
        <v>16453</v>
      </c>
      <c r="C11036" s="9" t="s">
        <v>705</v>
      </c>
      <c r="D11036" s="9" t="s">
        <v>93</v>
      </c>
      <c r="E11036" s="6" t="s">
        <v>10256</v>
      </c>
      <c r="F11036" s="9" t="s">
        <v>17222</v>
      </c>
    </row>
    <row r="11037" ht="33.75" customHeight="1">
      <c r="A11037" s="7">
        <v>466.0</v>
      </c>
      <c r="B11037" s="9" t="s">
        <v>16453</v>
      </c>
      <c r="C11037" s="9" t="s">
        <v>705</v>
      </c>
      <c r="D11037" s="9" t="s">
        <v>95</v>
      </c>
      <c r="E11037" s="6" t="s">
        <v>10256</v>
      </c>
      <c r="F11037" s="9" t="s">
        <v>17222</v>
      </c>
    </row>
    <row r="11038" ht="33.75" customHeight="1">
      <c r="A11038" s="7">
        <v>466.0</v>
      </c>
      <c r="B11038" s="9" t="s">
        <v>16453</v>
      </c>
      <c r="C11038" s="9" t="s">
        <v>705</v>
      </c>
      <c r="D11038" s="9" t="s">
        <v>98</v>
      </c>
      <c r="E11038" s="6" t="s">
        <v>10258</v>
      </c>
      <c r="F11038" s="9" t="s">
        <v>17222</v>
      </c>
    </row>
    <row r="11039" ht="33.75" customHeight="1">
      <c r="A11039" s="7">
        <v>466.0</v>
      </c>
      <c r="B11039" s="9" t="s">
        <v>16453</v>
      </c>
      <c r="C11039" s="9" t="s">
        <v>705</v>
      </c>
      <c r="D11039" s="9" t="s">
        <v>99</v>
      </c>
      <c r="E11039" s="6" t="s">
        <v>10258</v>
      </c>
      <c r="F11039" s="9" t="s">
        <v>17222</v>
      </c>
    </row>
    <row r="11040" ht="33.75" customHeight="1">
      <c r="A11040" s="7">
        <v>466.0</v>
      </c>
      <c r="B11040" s="9" t="s">
        <v>16453</v>
      </c>
      <c r="C11040" s="9" t="s">
        <v>705</v>
      </c>
      <c r="D11040" s="9" t="s">
        <v>101</v>
      </c>
      <c r="E11040" s="6" t="s">
        <v>10257</v>
      </c>
      <c r="F11040" s="9" t="s">
        <v>17222</v>
      </c>
    </row>
    <row r="11041" ht="33.75" customHeight="1">
      <c r="A11041" s="7">
        <v>466.0</v>
      </c>
      <c r="B11041" s="9" t="s">
        <v>16453</v>
      </c>
      <c r="C11041" s="9" t="s">
        <v>705</v>
      </c>
      <c r="D11041" s="9" t="s">
        <v>105</v>
      </c>
      <c r="E11041" s="6" t="s">
        <v>10253</v>
      </c>
      <c r="F11041" s="9" t="s">
        <v>17222</v>
      </c>
    </row>
    <row r="11042" ht="33.75" customHeight="1">
      <c r="A11042" s="7">
        <v>466.0</v>
      </c>
      <c r="B11042" s="9" t="s">
        <v>16453</v>
      </c>
      <c r="C11042" s="9" t="s">
        <v>705</v>
      </c>
      <c r="D11042" s="9" t="s">
        <v>107</v>
      </c>
      <c r="E11042" s="6" t="s">
        <v>10257</v>
      </c>
      <c r="F11042" s="9" t="s">
        <v>17222</v>
      </c>
    </row>
    <row r="11043" ht="33.75" customHeight="1">
      <c r="A11043" s="7">
        <v>466.0</v>
      </c>
      <c r="B11043" s="9" t="s">
        <v>16453</v>
      </c>
      <c r="C11043" s="9" t="s">
        <v>705</v>
      </c>
      <c r="D11043" s="9" t="s">
        <v>109</v>
      </c>
      <c r="E11043" s="6" t="s">
        <v>10253</v>
      </c>
      <c r="F11043" s="9" t="s">
        <v>17222</v>
      </c>
    </row>
    <row r="11044" ht="33.75" customHeight="1">
      <c r="A11044" s="7">
        <v>466.0</v>
      </c>
      <c r="B11044" s="9" t="s">
        <v>16453</v>
      </c>
      <c r="C11044" s="9" t="s">
        <v>705</v>
      </c>
      <c r="D11044" s="9" t="s">
        <v>637</v>
      </c>
      <c r="E11044" s="6" t="s">
        <v>10259</v>
      </c>
      <c r="F11044" s="9" t="s">
        <v>17222</v>
      </c>
    </row>
    <row r="11045" ht="33.75" customHeight="1">
      <c r="A11045" s="7">
        <v>466.0</v>
      </c>
      <c r="B11045" s="9" t="s">
        <v>16453</v>
      </c>
      <c r="C11045" s="9" t="s">
        <v>705</v>
      </c>
      <c r="D11045" s="9" t="s">
        <v>642</v>
      </c>
      <c r="E11045" s="6" t="s">
        <v>10260</v>
      </c>
      <c r="F11045" s="9" t="s">
        <v>17222</v>
      </c>
    </row>
    <row r="11046" ht="33.75" customHeight="1">
      <c r="A11046" s="7">
        <v>466.0</v>
      </c>
      <c r="B11046" s="9" t="s">
        <v>16453</v>
      </c>
      <c r="C11046" s="9" t="s">
        <v>705</v>
      </c>
      <c r="D11046" s="9" t="s">
        <v>647</v>
      </c>
      <c r="E11046" s="6" t="s">
        <v>10261</v>
      </c>
      <c r="F11046" s="9" t="s">
        <v>17222</v>
      </c>
    </row>
    <row r="11047" ht="33.75" customHeight="1">
      <c r="A11047" s="7">
        <v>466.0</v>
      </c>
      <c r="B11047" s="9" t="s">
        <v>16453</v>
      </c>
      <c r="C11047" s="9" t="s">
        <v>705</v>
      </c>
      <c r="D11047" s="9" t="s">
        <v>652</v>
      </c>
      <c r="E11047" s="6" t="s">
        <v>10263</v>
      </c>
      <c r="F11047" s="9" t="s">
        <v>17222</v>
      </c>
    </row>
    <row r="11048" ht="33.75" customHeight="1">
      <c r="A11048" s="7">
        <v>466.0</v>
      </c>
      <c r="B11048" s="9" t="s">
        <v>16453</v>
      </c>
      <c r="C11048" s="9" t="s">
        <v>705</v>
      </c>
      <c r="D11048" s="9" t="s">
        <v>114</v>
      </c>
      <c r="E11048" s="6" t="s">
        <v>10265</v>
      </c>
      <c r="F11048" s="9" t="s">
        <v>17222</v>
      </c>
    </row>
    <row r="11049" ht="33.75" customHeight="1">
      <c r="A11049" s="7">
        <v>466.0</v>
      </c>
      <c r="B11049" s="9" t="s">
        <v>16453</v>
      </c>
      <c r="C11049" s="9" t="s">
        <v>705</v>
      </c>
      <c r="D11049" s="9" t="s">
        <v>117</v>
      </c>
      <c r="E11049" s="6" t="s">
        <v>10267</v>
      </c>
      <c r="F11049" s="9" t="s">
        <v>17222</v>
      </c>
    </row>
    <row r="11050" ht="33.75" customHeight="1">
      <c r="A11050" s="7">
        <v>466.0</v>
      </c>
      <c r="B11050" s="9" t="s">
        <v>16453</v>
      </c>
      <c r="C11050" s="9" t="s">
        <v>705</v>
      </c>
      <c r="D11050" s="9" t="s">
        <v>1577</v>
      </c>
      <c r="E11050" s="6" t="s">
        <v>10269</v>
      </c>
      <c r="F11050" s="9" t="s">
        <v>17222</v>
      </c>
    </row>
    <row r="11051" ht="33.75" customHeight="1">
      <c r="A11051" s="7">
        <v>467.0</v>
      </c>
      <c r="B11051" s="9" t="s">
        <v>16466</v>
      </c>
      <c r="C11051" s="9" t="s">
        <v>706</v>
      </c>
      <c r="D11051" s="9" t="s">
        <v>81</v>
      </c>
      <c r="E11051" s="6" t="s">
        <v>10270</v>
      </c>
      <c r="F11051" s="9" t="s">
        <v>17247</v>
      </c>
      <c r="G11051" t="inlineStr" s="6">
        <is>
          <t xml:space="preserve">It blasts fireballs of over 3,600 degrees F from the ends of Magmortar's arms. It lives in volcanic craters. When launching 3,600 degrees F fireballs, its body takes on a whitish hue from the intense heat. It blasts fireballs of over 3,600 degrees Fahrenheit out of its arms. Its breath also sears and sizzles. When shooting 3,600 degree F fireballs from its arms, its body takes on a whitish hue from the intense heat. It blasts fireballs of over 3,600 degrees Fahrenheit from the ends of its arms. They dwell in volcanic craters. According to what is known, a single pair of male and female Magmortar lives in one volcano. From its arm, it launches fireballs hotter than 3,500 degrees Fahrenheit. Its arm starts to melt when it fires a whole barrage. There are still quite a few factories that rely on the flames provided by Magmortar to process metals. Magmortar takes down its enemies by shooting fireballs, which burn them to a blackened crisp. It avoids this method when hunting prey. When Magmortar inhales deeply, the fire burning in its belly intensifies, rising in temperature to over 3,600 degrees Fahrenheit. Living in the crater of a volcano has caused this Pokémon’s body to resemble its environment— it has an organ similar to a magma chamber. Use of a strange item caused this Pokémon to evolve. Fireballs launched from the ends of its tubelike arms are hot enough to melt an iron pot in an instant.</t>
        </is>
      </c>
    </row>
    <row r="11052" ht="33.75" customHeight="1">
      <c r="A11052" s="7">
        <v>467.0</v>
      </c>
      <c r="B11052" s="9" t="s">
        <v>16466</v>
      </c>
      <c r="C11052" s="9" t="s">
        <v>706</v>
      </c>
      <c r="D11052" s="9" t="s">
        <v>84</v>
      </c>
      <c r="E11052" s="6" t="s">
        <v>10270</v>
      </c>
      <c r="F11052" s="9" t="s">
        <v>17247</v>
      </c>
    </row>
    <row r="11053" ht="33.75" customHeight="1">
      <c r="A11053" s="7">
        <v>467.0</v>
      </c>
      <c r="B11053" s="9" t="s">
        <v>16466</v>
      </c>
      <c r="C11053" s="9" t="s">
        <v>706</v>
      </c>
      <c r="D11053" s="9" t="s">
        <v>87</v>
      </c>
      <c r="E11053" s="6" t="s">
        <v>10272</v>
      </c>
      <c r="F11053" s="9" t="s">
        <v>17247</v>
      </c>
    </row>
    <row r="11054" ht="33.75" customHeight="1">
      <c r="A11054" s="7">
        <v>467.0</v>
      </c>
      <c r="B11054" s="9" t="s">
        <v>16466</v>
      </c>
      <c r="C11054" s="9" t="s">
        <v>706</v>
      </c>
      <c r="D11054" s="9" t="s">
        <v>89</v>
      </c>
      <c r="E11054" s="6" t="s">
        <v>10273</v>
      </c>
      <c r="F11054" s="9" t="s">
        <v>17247</v>
      </c>
    </row>
    <row r="11055" ht="33.75" customHeight="1">
      <c r="A11055" s="7">
        <v>467.0</v>
      </c>
      <c r="B11055" s="9" t="s">
        <v>16466</v>
      </c>
      <c r="C11055" s="9" t="s">
        <v>706</v>
      </c>
      <c r="D11055" s="9" t="s">
        <v>91</v>
      </c>
      <c r="E11055" s="6" t="s">
        <v>10273</v>
      </c>
      <c r="F11055" s="9" t="s">
        <v>17247</v>
      </c>
    </row>
    <row r="11056" ht="33.75" customHeight="1">
      <c r="A11056" s="7">
        <v>467.0</v>
      </c>
      <c r="B11056" s="9" t="s">
        <v>16466</v>
      </c>
      <c r="C11056" s="9" t="s">
        <v>706</v>
      </c>
      <c r="D11056" s="9" t="s">
        <v>93</v>
      </c>
      <c r="E11056" s="6" t="s">
        <v>10272</v>
      </c>
      <c r="F11056" s="9" t="s">
        <v>17247</v>
      </c>
    </row>
    <row r="11057" ht="33.75" customHeight="1">
      <c r="A11057" s="7">
        <v>467.0</v>
      </c>
      <c r="B11057" s="9" t="s">
        <v>16466</v>
      </c>
      <c r="C11057" s="9" t="s">
        <v>706</v>
      </c>
      <c r="D11057" s="9" t="s">
        <v>95</v>
      </c>
      <c r="E11057" s="6" t="s">
        <v>10272</v>
      </c>
      <c r="F11057" s="9" t="s">
        <v>17247</v>
      </c>
    </row>
    <row r="11058" ht="33.75" customHeight="1">
      <c r="A11058" s="7">
        <v>467.0</v>
      </c>
      <c r="B11058" s="9" t="s">
        <v>16466</v>
      </c>
      <c r="C11058" s="9" t="s">
        <v>706</v>
      </c>
      <c r="D11058" s="9" t="s">
        <v>98</v>
      </c>
      <c r="E11058" s="6" t="s">
        <v>10275</v>
      </c>
      <c r="F11058" s="9" t="s">
        <v>17247</v>
      </c>
    </row>
    <row r="11059" ht="33.75" customHeight="1">
      <c r="A11059" s="7">
        <v>467.0</v>
      </c>
      <c r="B11059" s="9" t="s">
        <v>16466</v>
      </c>
      <c r="C11059" s="9" t="s">
        <v>706</v>
      </c>
      <c r="D11059" s="9" t="s">
        <v>99</v>
      </c>
      <c r="E11059" s="6" t="s">
        <v>10275</v>
      </c>
      <c r="F11059" s="9" t="s">
        <v>17247</v>
      </c>
    </row>
    <row r="11060" ht="33.75" customHeight="1">
      <c r="A11060" s="7">
        <v>467.0</v>
      </c>
      <c r="B11060" s="9" t="s">
        <v>16466</v>
      </c>
      <c r="C11060" s="9" t="s">
        <v>706</v>
      </c>
      <c r="D11060" s="9" t="s">
        <v>101</v>
      </c>
      <c r="E11060" s="6" t="s">
        <v>10276</v>
      </c>
      <c r="F11060" s="9" t="s">
        <v>17247</v>
      </c>
    </row>
    <row r="11061" ht="33.75" customHeight="1">
      <c r="A11061" s="7">
        <v>467.0</v>
      </c>
      <c r="B11061" s="9" t="s">
        <v>16466</v>
      </c>
      <c r="C11061" s="9" t="s">
        <v>706</v>
      </c>
      <c r="D11061" s="9" t="s">
        <v>105</v>
      </c>
      <c r="E11061" s="6" t="s">
        <v>10273</v>
      </c>
      <c r="F11061" s="9" t="s">
        <v>17247</v>
      </c>
    </row>
    <row r="11062" ht="33.75" customHeight="1">
      <c r="A11062" s="7">
        <v>467.0</v>
      </c>
      <c r="B11062" s="9" t="s">
        <v>16466</v>
      </c>
      <c r="C11062" s="9" t="s">
        <v>706</v>
      </c>
      <c r="D11062" s="9" t="s">
        <v>107</v>
      </c>
      <c r="E11062" s="6" t="s">
        <v>10276</v>
      </c>
      <c r="F11062" s="9" t="s">
        <v>17247</v>
      </c>
    </row>
    <row r="11063" ht="33.75" customHeight="1">
      <c r="A11063" s="7">
        <v>467.0</v>
      </c>
      <c r="B11063" s="9" t="s">
        <v>16466</v>
      </c>
      <c r="C11063" s="9" t="s">
        <v>706</v>
      </c>
      <c r="D11063" s="9" t="s">
        <v>109</v>
      </c>
      <c r="E11063" s="6" t="s">
        <v>10273</v>
      </c>
      <c r="F11063" s="9" t="s">
        <v>17247</v>
      </c>
    </row>
    <row r="11064" ht="33.75" customHeight="1">
      <c r="A11064" s="7">
        <v>467.0</v>
      </c>
      <c r="B11064" s="9" t="s">
        <v>16466</v>
      </c>
      <c r="C11064" s="9" t="s">
        <v>706</v>
      </c>
      <c r="D11064" s="9" t="s">
        <v>637</v>
      </c>
      <c r="E11064" s="6" t="s">
        <v>10277</v>
      </c>
      <c r="F11064" s="9" t="s">
        <v>17247</v>
      </c>
    </row>
    <row r="11065" ht="33.75" customHeight="1">
      <c r="A11065" s="7">
        <v>467.0</v>
      </c>
      <c r="B11065" s="9" t="s">
        <v>16466</v>
      </c>
      <c r="C11065" s="9" t="s">
        <v>706</v>
      </c>
      <c r="D11065" s="9" t="s">
        <v>642</v>
      </c>
      <c r="E11065" s="6" t="s">
        <v>10278</v>
      </c>
      <c r="F11065" s="9" t="s">
        <v>17247</v>
      </c>
    </row>
    <row r="11066" ht="33.75" customHeight="1">
      <c r="A11066" s="7">
        <v>467.0</v>
      </c>
      <c r="B11066" s="9" t="s">
        <v>16466</v>
      </c>
      <c r="C11066" s="9" t="s">
        <v>706</v>
      </c>
      <c r="D11066" s="9" t="s">
        <v>647</v>
      </c>
      <c r="E11066" s="6" t="s">
        <v>10282</v>
      </c>
      <c r="F11066" s="9" t="s">
        <v>17247</v>
      </c>
    </row>
    <row r="11067" ht="33.75" customHeight="1">
      <c r="A11067" s="7">
        <v>467.0</v>
      </c>
      <c r="B11067" s="9" t="s">
        <v>16466</v>
      </c>
      <c r="C11067" s="9" t="s">
        <v>706</v>
      </c>
      <c r="D11067" s="9" t="s">
        <v>652</v>
      </c>
      <c r="E11067" s="6" t="s">
        <v>10283</v>
      </c>
      <c r="F11067" s="9" t="s">
        <v>17247</v>
      </c>
    </row>
    <row r="11068" ht="33.75" customHeight="1">
      <c r="A11068" s="7">
        <v>467.0</v>
      </c>
      <c r="B11068" s="9" t="s">
        <v>16466</v>
      </c>
      <c r="C11068" s="9" t="s">
        <v>706</v>
      </c>
      <c r="D11068" s="9" t="s">
        <v>114</v>
      </c>
      <c r="E11068" s="6" t="s">
        <v>10285</v>
      </c>
      <c r="F11068" s="9" t="s">
        <v>17247</v>
      </c>
    </row>
    <row r="11069" ht="33.75" customHeight="1">
      <c r="A11069" s="7">
        <v>467.0</v>
      </c>
      <c r="B11069" s="9" t="s">
        <v>16466</v>
      </c>
      <c r="C11069" s="9" t="s">
        <v>706</v>
      </c>
      <c r="D11069" s="9" t="s">
        <v>117</v>
      </c>
      <c r="E11069" s="6" t="s">
        <v>10286</v>
      </c>
      <c r="F11069" s="9" t="s">
        <v>17247</v>
      </c>
    </row>
    <row r="11070" ht="33.75" customHeight="1">
      <c r="A11070" s="7">
        <v>467.0</v>
      </c>
      <c r="B11070" s="9" t="s">
        <v>16466</v>
      </c>
      <c r="C11070" s="9" t="s">
        <v>706</v>
      </c>
      <c r="D11070" s="9" t="s">
        <v>1577</v>
      </c>
      <c r="E11070" s="6" t="s">
        <v>10288</v>
      </c>
      <c r="F11070" s="9" t="s">
        <v>17247</v>
      </c>
    </row>
    <row r="11071" ht="33.75" customHeight="1">
      <c r="A11071" s="7">
        <v>468.0</v>
      </c>
      <c r="B11071" s="9" t="s">
        <v>16482</v>
      </c>
      <c r="C11071" s="9" t="s">
        <v>709</v>
      </c>
      <c r="D11071" s="9" t="s">
        <v>81</v>
      </c>
      <c r="E11071" s="6" t="s">
        <v>10289</v>
      </c>
      <c r="F11071" s="9" t="s">
        <v>17266</v>
      </c>
      <c r="G11071" t="inlineStr" s="6">
        <is>
          <t xml:space="preserve">Togekiss will never appear where there is strife. Its sightings have become rare recently. It shares many blessings with people who respect one another’s rights and avoid needless strife. As everyone knows, it visits peaceful regions, bringing them gifts of kindness and sweet blessings. These Pokémon are never seen anywhere near conflict or turmoil. In recent times, they’ve hardly been seen at all. Known as a bringer of blessings, it’s been depicted on good-luck charms since ancient times. Scant few have ever sighted this Pokémon. After studying what literature remains, I am certain Togekiss will reveal itself when peace reigns in the land.</t>
        </is>
      </c>
    </row>
    <row r="11072" ht="33.75" customHeight="1">
      <c r="A11072" s="7">
        <v>468.0</v>
      </c>
      <c r="B11072" s="9" t="s">
        <v>16482</v>
      </c>
      <c r="C11072" s="9" t="s">
        <v>709</v>
      </c>
      <c r="D11072" s="9" t="s">
        <v>84</v>
      </c>
      <c r="E11072" s="6" t="s">
        <v>10289</v>
      </c>
      <c r="F11072" s="9" t="s">
        <v>17266</v>
      </c>
    </row>
    <row r="11073" ht="33.75" customHeight="1">
      <c r="A11073" s="7">
        <v>468.0</v>
      </c>
      <c r="B11073" s="9" t="s">
        <v>16482</v>
      </c>
      <c r="C11073" s="9" t="s">
        <v>709</v>
      </c>
      <c r="D11073" s="9" t="s">
        <v>87</v>
      </c>
      <c r="E11073" s="6" t="s">
        <v>10291</v>
      </c>
      <c r="F11073" s="9" t="s">
        <v>17266</v>
      </c>
    </row>
    <row r="11074" ht="33.75" customHeight="1">
      <c r="A11074" s="7">
        <v>468.0</v>
      </c>
      <c r="B11074" s="9" t="s">
        <v>16482</v>
      </c>
      <c r="C11074" s="9" t="s">
        <v>709</v>
      </c>
      <c r="D11074" s="9" t="s">
        <v>89</v>
      </c>
      <c r="E11074" s="6" t="s">
        <v>10292</v>
      </c>
      <c r="F11074" s="9" t="s">
        <v>17266</v>
      </c>
    </row>
    <row r="11075" ht="33.75" customHeight="1">
      <c r="A11075" s="7">
        <v>468.0</v>
      </c>
      <c r="B11075" s="9" t="s">
        <v>16482</v>
      </c>
      <c r="C11075" s="9" t="s">
        <v>709</v>
      </c>
      <c r="D11075" s="9" t="s">
        <v>91</v>
      </c>
      <c r="E11075" s="6" t="s">
        <v>10292</v>
      </c>
      <c r="F11075" s="9" t="s">
        <v>17266</v>
      </c>
    </row>
    <row r="11076" ht="33.75" customHeight="1">
      <c r="A11076" s="7">
        <v>468.0</v>
      </c>
      <c r="B11076" s="9" t="s">
        <v>16482</v>
      </c>
      <c r="C11076" s="9" t="s">
        <v>709</v>
      </c>
      <c r="D11076" s="9" t="s">
        <v>93</v>
      </c>
      <c r="E11076" s="6" t="s">
        <v>10291</v>
      </c>
      <c r="F11076" s="9" t="s">
        <v>17266</v>
      </c>
    </row>
    <row r="11077" ht="33.75" customHeight="1">
      <c r="A11077" s="7">
        <v>468.0</v>
      </c>
      <c r="B11077" s="9" t="s">
        <v>16482</v>
      </c>
      <c r="C11077" s="9" t="s">
        <v>709</v>
      </c>
      <c r="D11077" s="9" t="s">
        <v>95</v>
      </c>
      <c r="E11077" s="6" t="s">
        <v>10291</v>
      </c>
      <c r="F11077" s="9" t="s">
        <v>17266</v>
      </c>
    </row>
    <row r="11078" ht="33.75" customHeight="1">
      <c r="A11078" s="7">
        <v>468.0</v>
      </c>
      <c r="B11078" s="9" t="s">
        <v>16482</v>
      </c>
      <c r="C11078" s="9" t="s">
        <v>709</v>
      </c>
      <c r="D11078" s="9" t="s">
        <v>98</v>
      </c>
      <c r="E11078" s="6" t="s">
        <v>10291</v>
      </c>
      <c r="F11078" s="9" t="s">
        <v>17266</v>
      </c>
    </row>
    <row r="11079" ht="33.75" customHeight="1">
      <c r="A11079" s="7">
        <v>468.0</v>
      </c>
      <c r="B11079" s="9" t="s">
        <v>16482</v>
      </c>
      <c r="C11079" s="9" t="s">
        <v>709</v>
      </c>
      <c r="D11079" s="9" t="s">
        <v>99</v>
      </c>
      <c r="E11079" s="6" t="s">
        <v>10291</v>
      </c>
      <c r="F11079" s="9" t="s">
        <v>17266</v>
      </c>
    </row>
    <row r="11080" ht="33.75" customHeight="1">
      <c r="A11080" s="7">
        <v>468.0</v>
      </c>
      <c r="B11080" s="9" t="s">
        <v>16482</v>
      </c>
      <c r="C11080" s="9" t="s">
        <v>709</v>
      </c>
      <c r="D11080" s="9" t="s">
        <v>101</v>
      </c>
      <c r="E11080" s="6" t="s">
        <v>10292</v>
      </c>
      <c r="F11080" s="9" t="s">
        <v>17266</v>
      </c>
    </row>
    <row r="11081" ht="33.75" customHeight="1">
      <c r="A11081" s="7">
        <v>468.0</v>
      </c>
      <c r="B11081" s="9" t="s">
        <v>16482</v>
      </c>
      <c r="C11081" s="9" t="s">
        <v>709</v>
      </c>
      <c r="D11081" s="9" t="s">
        <v>105</v>
      </c>
      <c r="E11081" s="6" t="s">
        <v>10291</v>
      </c>
      <c r="F11081" s="9" t="s">
        <v>17266</v>
      </c>
    </row>
    <row r="11082" ht="33.75" customHeight="1">
      <c r="A11082" s="7">
        <v>468.0</v>
      </c>
      <c r="B11082" s="9" t="s">
        <v>16482</v>
      </c>
      <c r="C11082" s="9" t="s">
        <v>709</v>
      </c>
      <c r="D11082" s="9" t="s">
        <v>107</v>
      </c>
      <c r="E11082" s="6" t="s">
        <v>10292</v>
      </c>
      <c r="F11082" s="9" t="s">
        <v>17266</v>
      </c>
    </row>
    <row r="11083" ht="33.75" customHeight="1">
      <c r="A11083" s="7">
        <v>468.0</v>
      </c>
      <c r="B11083" s="9" t="s">
        <v>16482</v>
      </c>
      <c r="C11083" s="9" t="s">
        <v>709</v>
      </c>
      <c r="D11083" s="9" t="s">
        <v>109</v>
      </c>
      <c r="E11083" s="6" t="s">
        <v>10291</v>
      </c>
      <c r="F11083" s="9" t="s">
        <v>17266</v>
      </c>
    </row>
    <row r="11084" ht="33.75" customHeight="1">
      <c r="A11084" s="7">
        <v>468.0</v>
      </c>
      <c r="B11084" s="9" t="s">
        <v>16482</v>
      </c>
      <c r="C11084" s="9" t="s">
        <v>709</v>
      </c>
      <c r="D11084" s="9" t="s">
        <v>114</v>
      </c>
      <c r="E11084" s="6" t="s">
        <v>10294</v>
      </c>
      <c r="F11084" s="9" t="s">
        <v>17266</v>
      </c>
    </row>
    <row r="11085" ht="33.75" customHeight="1">
      <c r="A11085" s="7">
        <v>468.0</v>
      </c>
      <c r="B11085" s="9" t="s">
        <v>16482</v>
      </c>
      <c r="C11085" s="9" t="s">
        <v>709</v>
      </c>
      <c r="D11085" s="9" t="s">
        <v>117</v>
      </c>
      <c r="E11085" s="6" t="s">
        <v>10295</v>
      </c>
      <c r="F11085" s="9" t="s">
        <v>17266</v>
      </c>
    </row>
    <row r="11086" ht="33.75" customHeight="1">
      <c r="A11086" s="7">
        <v>468.0</v>
      </c>
      <c r="B11086" s="9" t="s">
        <v>16482</v>
      </c>
      <c r="C11086" s="9" t="s">
        <v>709</v>
      </c>
      <c r="D11086" s="9" t="s">
        <v>1577</v>
      </c>
      <c r="E11086" s="6" t="s">
        <v>10297</v>
      </c>
      <c r="F11086" s="9" t="s">
        <v>17266</v>
      </c>
    </row>
    <row r="11087" ht="33.75" customHeight="1">
      <c r="A11087" s="7">
        <v>469.0</v>
      </c>
      <c r="B11087" s="9" t="s">
        <v>16491</v>
      </c>
      <c r="C11087" s="9" t="s">
        <v>711</v>
      </c>
      <c r="D11087" s="9" t="s">
        <v>81</v>
      </c>
      <c r="E11087" s="6" t="s">
        <v>10298</v>
      </c>
      <c r="F11087" s="9" t="s">
        <v>17287</v>
      </c>
      <c r="G11087" t="inlineStr" s="6">
        <is>
          <t xml:space="preserve">By churning Yanmega's wings, it creates shock waves that inflict critical internal injuries to foes. Its jaw power is incredible. It is adept at biting apart foes while flying by at high speed. This six-legged Pokémon is easily capable of transporting an adult in flight. The wings on its tail help it stay balanced. The beat of its wings is so powerful that it accidentally dislodges full-grown trees when it takes off in flight. It prefers to battle by biting apart foes’ heads instantly while flying by at high speed. Extremely violent. When hunting, it wastes none of its energy, aiming only for prey's most vulnerable spots. Any who manage to tame this Pokémon must be of incredible bravery.</t>
        </is>
      </c>
    </row>
    <row r="11088" ht="33.75" customHeight="1">
      <c r="A11088" s="7">
        <v>469.0</v>
      </c>
      <c r="B11088" s="9" t="s">
        <v>16491</v>
      </c>
      <c r="C11088" s="9" t="s">
        <v>711</v>
      </c>
      <c r="D11088" s="9" t="s">
        <v>84</v>
      </c>
      <c r="E11088" s="6" t="s">
        <v>10298</v>
      </c>
      <c r="F11088" s="9" t="s">
        <v>17287</v>
      </c>
    </row>
    <row r="11089" ht="33.75" customHeight="1">
      <c r="A11089" s="7">
        <v>469.0</v>
      </c>
      <c r="B11089" s="9" t="s">
        <v>16491</v>
      </c>
      <c r="C11089" s="9" t="s">
        <v>711</v>
      </c>
      <c r="D11089" s="9" t="s">
        <v>87</v>
      </c>
      <c r="E11089" s="6" t="s">
        <v>10299</v>
      </c>
      <c r="F11089" s="9" t="s">
        <v>17287</v>
      </c>
    </row>
    <row r="11090" ht="33.75" customHeight="1">
      <c r="A11090" s="7">
        <v>469.0</v>
      </c>
      <c r="B11090" s="9" t="s">
        <v>16491</v>
      </c>
      <c r="C11090" s="9" t="s">
        <v>711</v>
      </c>
      <c r="D11090" s="9" t="s">
        <v>89</v>
      </c>
      <c r="E11090" s="6" t="s">
        <v>10300</v>
      </c>
      <c r="F11090" s="9" t="s">
        <v>17287</v>
      </c>
    </row>
    <row r="11091" ht="33.75" customHeight="1">
      <c r="A11091" s="7">
        <v>469.0</v>
      </c>
      <c r="B11091" s="9" t="s">
        <v>16491</v>
      </c>
      <c r="C11091" s="9" t="s">
        <v>711</v>
      </c>
      <c r="D11091" s="9" t="s">
        <v>91</v>
      </c>
      <c r="E11091" s="6" t="s">
        <v>10302</v>
      </c>
      <c r="F11091" s="9" t="s">
        <v>17287</v>
      </c>
    </row>
    <row r="11092" ht="33.75" customHeight="1">
      <c r="A11092" s="7">
        <v>469.0</v>
      </c>
      <c r="B11092" s="9" t="s">
        <v>16491</v>
      </c>
      <c r="C11092" s="9" t="s">
        <v>711</v>
      </c>
      <c r="D11092" s="9" t="s">
        <v>93</v>
      </c>
      <c r="E11092" s="6" t="s">
        <v>10299</v>
      </c>
      <c r="F11092" s="9" t="s">
        <v>17287</v>
      </c>
    </row>
    <row r="11093" ht="33.75" customHeight="1">
      <c r="A11093" s="7">
        <v>469.0</v>
      </c>
      <c r="B11093" s="9" t="s">
        <v>16491</v>
      </c>
      <c r="C11093" s="9" t="s">
        <v>711</v>
      </c>
      <c r="D11093" s="9" t="s">
        <v>95</v>
      </c>
      <c r="E11093" s="6" t="s">
        <v>10299</v>
      </c>
      <c r="F11093" s="9" t="s">
        <v>17287</v>
      </c>
    </row>
    <row r="11094" ht="33.75" customHeight="1">
      <c r="A11094" s="7">
        <v>469.0</v>
      </c>
      <c r="B11094" s="9" t="s">
        <v>16491</v>
      </c>
      <c r="C11094" s="9" t="s">
        <v>711</v>
      </c>
      <c r="D11094" s="9" t="s">
        <v>98</v>
      </c>
      <c r="E11094" s="6" t="s">
        <v>10303</v>
      </c>
      <c r="F11094" s="9" t="s">
        <v>17287</v>
      </c>
    </row>
    <row r="11095" ht="33.75" customHeight="1">
      <c r="A11095" s="7">
        <v>469.0</v>
      </c>
      <c r="B11095" s="9" t="s">
        <v>16491</v>
      </c>
      <c r="C11095" s="9" t="s">
        <v>711</v>
      </c>
      <c r="D11095" s="9" t="s">
        <v>99</v>
      </c>
      <c r="E11095" s="6" t="s">
        <v>10303</v>
      </c>
      <c r="F11095" s="9" t="s">
        <v>17287</v>
      </c>
    </row>
    <row r="11096" ht="33.75" customHeight="1">
      <c r="A11096" s="7">
        <v>469.0</v>
      </c>
      <c r="B11096" s="9" t="s">
        <v>16491</v>
      </c>
      <c r="C11096" s="9" t="s">
        <v>711</v>
      </c>
      <c r="D11096" s="9" t="s">
        <v>101</v>
      </c>
      <c r="E11096" s="6" t="s">
        <v>10303</v>
      </c>
      <c r="F11096" s="9" t="s">
        <v>17287</v>
      </c>
    </row>
    <row r="11097" ht="33.75" customHeight="1">
      <c r="A11097" s="7">
        <v>469.0</v>
      </c>
      <c r="B11097" s="9" t="s">
        <v>16491</v>
      </c>
      <c r="C11097" s="9" t="s">
        <v>711</v>
      </c>
      <c r="D11097" s="9" t="s">
        <v>105</v>
      </c>
      <c r="E11097" s="6" t="s">
        <v>10300</v>
      </c>
      <c r="F11097" s="9" t="s">
        <v>17287</v>
      </c>
    </row>
    <row r="11098" ht="33.75" customHeight="1">
      <c r="A11098" s="7">
        <v>469.0</v>
      </c>
      <c r="B11098" s="9" t="s">
        <v>16491</v>
      </c>
      <c r="C11098" s="9" t="s">
        <v>711</v>
      </c>
      <c r="D11098" s="9" t="s">
        <v>107</v>
      </c>
      <c r="E11098" s="6" t="s">
        <v>10303</v>
      </c>
      <c r="F11098" s="9" t="s">
        <v>17287</v>
      </c>
    </row>
    <row r="11099" ht="33.75" customHeight="1">
      <c r="A11099" s="7">
        <v>469.0</v>
      </c>
      <c r="B11099" s="9" t="s">
        <v>16491</v>
      </c>
      <c r="C11099" s="9" t="s">
        <v>711</v>
      </c>
      <c r="D11099" s="9" t="s">
        <v>109</v>
      </c>
      <c r="E11099" s="6" t="s">
        <v>10300</v>
      </c>
      <c r="F11099" s="9" t="s">
        <v>17287</v>
      </c>
    </row>
    <row r="11100" ht="33.75" customHeight="1">
      <c r="A11100" s="7">
        <v>469.0</v>
      </c>
      <c r="B11100" s="9" t="s">
        <v>16491</v>
      </c>
      <c r="C11100" s="9" t="s">
        <v>711</v>
      </c>
      <c r="D11100" s="9" t="s">
        <v>1577</v>
      </c>
      <c r="E11100" s="6" t="s">
        <v>10305</v>
      </c>
      <c r="F11100" s="9" t="s">
        <v>17287</v>
      </c>
    </row>
    <row r="11101" ht="33.75" customHeight="1">
      <c r="A11101" s="7">
        <v>470.0</v>
      </c>
      <c r="B11101" s="9" t="s">
        <v>16499</v>
      </c>
      <c r="C11101" s="9" t="s">
        <v>714</v>
      </c>
      <c r="D11101" s="9" t="s">
        <v>81</v>
      </c>
      <c r="E11101" s="6" t="s">
        <v>10306</v>
      </c>
      <c r="F11101" s="9" t="s">
        <v>17307</v>
      </c>
      <c r="G11101" t="inlineStr" s="6">
        <is>
          <t xml:space="preserve">Just like a plant, Leafeon uses photosynthesis. As a result, it is always enveloped in clear air. It basically does not fight. With cells similar to those of plants, it can perform photosynthesis. When you see LEAFEON asleep in a patch of sunshine, you’ll know it is using photosynthesis to produce clean air. With cells similar to those of plants, it performs photosynthesis inside its body and creates pure air. Its cellular composition is closer to that of a plant than an animal. It uses photosynthesis to produce its energy supply without eating food. The younger they are, the more they smell like fresh grass. With age, their fragrance takes on the odor of fallen leaves. Although it doesn’t like disputes, it will sharpen the leaf on its tail into a blade and fight if it has to protect its friends. It gets its nutrition from photosynthesis. It lives a quiet life deep in forests where clean rivers flow. Galarians favor the distinctive aroma that drifts from this Pokémon’s leaves. There’s a popular perfume made using that scent. This Pokémon’s tail is blade sharp, with a fantastic cutting edge that can slice right though large trees. Cells similar to those of plants have been found in its fur. Its hard tail can fell a large tree with one stroke, and the tail's sharpness exceeds even that of a sword crafted by a master.</t>
        </is>
      </c>
    </row>
    <row r="11102" ht="33.75" customHeight="1">
      <c r="A11102" s="7">
        <v>470.0</v>
      </c>
      <c r="B11102" s="9" t="s">
        <v>16499</v>
      </c>
      <c r="C11102" s="9" t="s">
        <v>714</v>
      </c>
      <c r="D11102" s="9" t="s">
        <v>84</v>
      </c>
      <c r="E11102" s="6" t="s">
        <v>10306</v>
      </c>
      <c r="F11102" s="9" t="s">
        <v>17307</v>
      </c>
    </row>
    <row r="11103" ht="33.75" customHeight="1">
      <c r="A11103" s="7">
        <v>470.0</v>
      </c>
      <c r="B11103" s="9" t="s">
        <v>16499</v>
      </c>
      <c r="C11103" s="9" t="s">
        <v>714</v>
      </c>
      <c r="D11103" s="9" t="s">
        <v>87</v>
      </c>
      <c r="E11103" s="6" t="s">
        <v>10308</v>
      </c>
      <c r="F11103" s="9" t="s">
        <v>17307</v>
      </c>
    </row>
    <row r="11104" ht="33.75" customHeight="1">
      <c r="A11104" s="7">
        <v>470.0</v>
      </c>
      <c r="B11104" s="9" t="s">
        <v>16499</v>
      </c>
      <c r="C11104" s="9" t="s">
        <v>714</v>
      </c>
      <c r="D11104" s="9" t="s">
        <v>89</v>
      </c>
      <c r="E11104" s="6" t="s">
        <v>10309</v>
      </c>
      <c r="F11104" s="9" t="s">
        <v>17307</v>
      </c>
    </row>
    <row r="11105" ht="33.75" customHeight="1">
      <c r="A11105" s="7">
        <v>470.0</v>
      </c>
      <c r="B11105" s="9" t="s">
        <v>16499</v>
      </c>
      <c r="C11105" s="9" t="s">
        <v>714</v>
      </c>
      <c r="D11105" s="9" t="s">
        <v>91</v>
      </c>
      <c r="E11105" s="6" t="s">
        <v>10309</v>
      </c>
      <c r="F11105" s="9" t="s">
        <v>17307</v>
      </c>
    </row>
    <row r="11106" ht="33.75" customHeight="1">
      <c r="A11106" s="7">
        <v>470.0</v>
      </c>
      <c r="B11106" s="9" t="s">
        <v>16499</v>
      </c>
      <c r="C11106" s="9" t="s">
        <v>714</v>
      </c>
      <c r="D11106" s="9" t="s">
        <v>93</v>
      </c>
      <c r="E11106" s="6" t="s">
        <v>10308</v>
      </c>
      <c r="F11106" s="9" t="s">
        <v>17307</v>
      </c>
    </row>
    <row r="11107" ht="33.75" customHeight="1">
      <c r="A11107" s="7">
        <v>470.0</v>
      </c>
      <c r="B11107" s="9" t="s">
        <v>16499</v>
      </c>
      <c r="C11107" s="9" t="s">
        <v>714</v>
      </c>
      <c r="D11107" s="9" t="s">
        <v>95</v>
      </c>
      <c r="E11107" s="6" t="s">
        <v>10308</v>
      </c>
      <c r="F11107" s="9" t="s">
        <v>17307</v>
      </c>
    </row>
    <row r="11108" ht="33.75" customHeight="1">
      <c r="A11108" s="7">
        <v>470.0</v>
      </c>
      <c r="B11108" s="9" t="s">
        <v>16499</v>
      </c>
      <c r="C11108" s="9" t="s">
        <v>714</v>
      </c>
      <c r="D11108" s="9" t="s">
        <v>98</v>
      </c>
      <c r="E11108" s="6" t="s">
        <v>10310</v>
      </c>
      <c r="F11108" s="9" t="s">
        <v>17307</v>
      </c>
    </row>
    <row r="11109" ht="33.75" customHeight="1">
      <c r="A11109" s="7">
        <v>470.0</v>
      </c>
      <c r="B11109" s="9" t="s">
        <v>16499</v>
      </c>
      <c r="C11109" s="9" t="s">
        <v>714</v>
      </c>
      <c r="D11109" s="9" t="s">
        <v>99</v>
      </c>
      <c r="E11109" s="6" t="s">
        <v>10310</v>
      </c>
      <c r="F11109" s="9" t="s">
        <v>17307</v>
      </c>
    </row>
    <row r="11110" ht="33.75" customHeight="1">
      <c r="A11110" s="7">
        <v>470.0</v>
      </c>
      <c r="B11110" s="9" t="s">
        <v>16499</v>
      </c>
      <c r="C11110" s="9" t="s">
        <v>714</v>
      </c>
      <c r="D11110" s="9" t="s">
        <v>101</v>
      </c>
      <c r="E11110" s="6" t="s">
        <v>10311</v>
      </c>
      <c r="F11110" s="9" t="s">
        <v>17307</v>
      </c>
    </row>
    <row r="11111" ht="33.75" customHeight="1">
      <c r="A11111" s="7">
        <v>470.0</v>
      </c>
      <c r="B11111" s="9" t="s">
        <v>16499</v>
      </c>
      <c r="C11111" s="9" t="s">
        <v>714</v>
      </c>
      <c r="D11111" s="9" t="s">
        <v>105</v>
      </c>
      <c r="E11111" s="6" t="s">
        <v>10306</v>
      </c>
      <c r="F11111" s="9" t="s">
        <v>17307</v>
      </c>
    </row>
    <row r="11112" ht="33.75" customHeight="1">
      <c r="A11112" s="7">
        <v>470.0</v>
      </c>
      <c r="B11112" s="9" t="s">
        <v>16499</v>
      </c>
      <c r="C11112" s="9" t="s">
        <v>714</v>
      </c>
      <c r="D11112" s="9" t="s">
        <v>107</v>
      </c>
      <c r="E11112" s="6" t="s">
        <v>10311</v>
      </c>
      <c r="F11112" s="9" t="s">
        <v>17307</v>
      </c>
    </row>
    <row r="11113" ht="33.75" customHeight="1">
      <c r="A11113" s="7">
        <v>470.0</v>
      </c>
      <c r="B11113" s="9" t="s">
        <v>16499</v>
      </c>
      <c r="C11113" s="9" t="s">
        <v>714</v>
      </c>
      <c r="D11113" s="9" t="s">
        <v>109</v>
      </c>
      <c r="E11113" s="6" t="s">
        <v>10306</v>
      </c>
      <c r="F11113" s="9" t="s">
        <v>17307</v>
      </c>
    </row>
    <row r="11114" ht="33.75" customHeight="1">
      <c r="A11114" s="7">
        <v>470.0</v>
      </c>
      <c r="B11114" s="9" t="s">
        <v>16499</v>
      </c>
      <c r="C11114" s="9" t="s">
        <v>714</v>
      </c>
      <c r="D11114" s="9" t="s">
        <v>637</v>
      </c>
      <c r="E11114" s="6" t="s">
        <v>10312</v>
      </c>
      <c r="F11114" s="9" t="s">
        <v>17307</v>
      </c>
    </row>
    <row r="11115" ht="33.75" customHeight="1">
      <c r="A11115" s="7">
        <v>470.0</v>
      </c>
      <c r="B11115" s="9" t="s">
        <v>16499</v>
      </c>
      <c r="C11115" s="9" t="s">
        <v>714</v>
      </c>
      <c r="D11115" s="9" t="s">
        <v>642</v>
      </c>
      <c r="E11115" s="6" t="s">
        <v>10313</v>
      </c>
      <c r="F11115" s="9" t="s">
        <v>17307</v>
      </c>
    </row>
    <row r="11116" ht="33.75" customHeight="1">
      <c r="A11116" s="7">
        <v>470.0</v>
      </c>
      <c r="B11116" s="9" t="s">
        <v>16499</v>
      </c>
      <c r="C11116" s="9" t="s">
        <v>714</v>
      </c>
      <c r="D11116" s="9" t="s">
        <v>647</v>
      </c>
      <c r="E11116" s="6" t="s">
        <v>10314</v>
      </c>
      <c r="F11116" s="9" t="s">
        <v>17307</v>
      </c>
    </row>
    <row r="11117" ht="33.75" customHeight="1">
      <c r="A11117" s="7">
        <v>470.0</v>
      </c>
      <c r="B11117" s="9" t="s">
        <v>16499</v>
      </c>
      <c r="C11117" s="9" t="s">
        <v>714</v>
      </c>
      <c r="D11117" s="9" t="s">
        <v>652</v>
      </c>
      <c r="E11117" s="6" t="s">
        <v>10315</v>
      </c>
      <c r="F11117" s="9" t="s">
        <v>17307</v>
      </c>
    </row>
    <row r="11118" ht="33.75" customHeight="1">
      <c r="A11118" s="7">
        <v>470.0</v>
      </c>
      <c r="B11118" s="9" t="s">
        <v>16499</v>
      </c>
      <c r="C11118" s="9" t="s">
        <v>714</v>
      </c>
      <c r="D11118" s="9" t="s">
        <v>114</v>
      </c>
      <c r="E11118" s="6" t="s">
        <v>10316</v>
      </c>
      <c r="F11118" s="9" t="s">
        <v>17307</v>
      </c>
    </row>
    <row r="11119" ht="33.75" customHeight="1">
      <c r="A11119" s="7">
        <v>470.0</v>
      </c>
      <c r="B11119" s="9" t="s">
        <v>16499</v>
      </c>
      <c r="C11119" s="9" t="s">
        <v>714</v>
      </c>
      <c r="D11119" s="9" t="s">
        <v>117</v>
      </c>
      <c r="E11119" s="6" t="s">
        <v>10317</v>
      </c>
      <c r="F11119" s="9" t="s">
        <v>17307</v>
      </c>
    </row>
    <row r="11120" ht="33.75" customHeight="1">
      <c r="A11120" s="7">
        <v>470.0</v>
      </c>
      <c r="B11120" s="9" t="s">
        <v>16499</v>
      </c>
      <c r="C11120" s="9" t="s">
        <v>714</v>
      </c>
      <c r="D11120" s="9" t="s">
        <v>1577</v>
      </c>
      <c r="E11120" s="6" t="s">
        <v>10318</v>
      </c>
      <c r="F11120" s="9" t="s">
        <v>17307</v>
      </c>
    </row>
    <row r="11121" ht="33.75" customHeight="1">
      <c r="A11121" s="7">
        <v>471.0</v>
      </c>
      <c r="B11121" s="9" t="s">
        <v>16515</v>
      </c>
      <c r="C11121" s="9" t="s">
        <v>715</v>
      </c>
      <c r="D11121" s="9" t="s">
        <v>81</v>
      </c>
      <c r="E11121" s="6" t="s">
        <v>10320</v>
      </c>
      <c r="F11121" s="9" t="s">
        <v>17329</v>
      </c>
      <c r="G11121" t="inlineStr" s="6">
        <is>
          <t xml:space="preserve">As a protective technique, it can completely freeze Glaceon's fur to make its hairs stand like needles. By controlling its body heat, it can freeze the atmosphere around it to make a diamond-dust flurry. It causes small ice crystals to form by lowering the temperature of the surrounding atmosphere. It lowers its body heat to freeze its fur. The hairs then become like needles it can fire. It can control its body temperature at will. This enables it to freeze the moisture in the atmosphere, creating flurries of diamond dust. It freezes its fur into icicles, spiky and sharp, and tackles its prey. It protects itself by freezing its fur into sharp needles. It can drop its body temperature below –75 degrees Fahrenheit. It can instantaneously freeze any moisture that’s around it, creating ice pellets to shoot at its prey. Any who become captivated by the beauty of the snowfall that Glaceon creates will be frozen before they know it. The coldness emanating from Glaceon causes powdery snow to form, making it quite a popular Pokémon at ski resorts. Glaceon is able to lower its body temperature very quickly. It freezes the atmosphere, creating diamond dust that glitters like gems while it flutters and dances around.</t>
        </is>
      </c>
    </row>
    <row r="11122" ht="33.75" customHeight="1">
      <c r="A11122" s="7">
        <v>471.0</v>
      </c>
      <c r="B11122" s="9" t="s">
        <v>16515</v>
      </c>
      <c r="C11122" s="9" t="s">
        <v>715</v>
      </c>
      <c r="D11122" s="9" t="s">
        <v>84</v>
      </c>
      <c r="E11122" s="6" t="s">
        <v>10320</v>
      </c>
      <c r="F11122" s="9" t="s">
        <v>17329</v>
      </c>
    </row>
    <row r="11123" ht="33.75" customHeight="1">
      <c r="A11123" s="7">
        <v>471.0</v>
      </c>
      <c r="B11123" s="9" t="s">
        <v>16515</v>
      </c>
      <c r="C11123" s="9" t="s">
        <v>715</v>
      </c>
      <c r="D11123" s="9" t="s">
        <v>87</v>
      </c>
      <c r="E11123" s="6" t="s">
        <v>10321</v>
      </c>
      <c r="F11123" s="9" t="s">
        <v>17329</v>
      </c>
    </row>
    <row r="11124" ht="33.75" customHeight="1">
      <c r="A11124" s="7">
        <v>471.0</v>
      </c>
      <c r="B11124" s="9" t="s">
        <v>16515</v>
      </c>
      <c r="C11124" s="9" t="s">
        <v>715</v>
      </c>
      <c r="D11124" s="9" t="s">
        <v>89</v>
      </c>
      <c r="E11124" s="6" t="s">
        <v>10323</v>
      </c>
      <c r="F11124" s="9" t="s">
        <v>17329</v>
      </c>
    </row>
    <row r="11125" ht="33.75" customHeight="1">
      <c r="A11125" s="7">
        <v>471.0</v>
      </c>
      <c r="B11125" s="9" t="s">
        <v>16515</v>
      </c>
      <c r="C11125" s="9" t="s">
        <v>715</v>
      </c>
      <c r="D11125" s="9" t="s">
        <v>91</v>
      </c>
      <c r="E11125" s="6" t="s">
        <v>10323</v>
      </c>
      <c r="F11125" s="9" t="s">
        <v>17329</v>
      </c>
    </row>
    <row r="11126" ht="33.75" customHeight="1">
      <c r="A11126" s="7">
        <v>471.0</v>
      </c>
      <c r="B11126" s="9" t="s">
        <v>16515</v>
      </c>
      <c r="C11126" s="9" t="s">
        <v>715</v>
      </c>
      <c r="D11126" s="9" t="s">
        <v>93</v>
      </c>
      <c r="E11126" s="6" t="s">
        <v>10321</v>
      </c>
      <c r="F11126" s="9" t="s">
        <v>17329</v>
      </c>
    </row>
    <row r="11127" ht="33.75" customHeight="1">
      <c r="A11127" s="7">
        <v>471.0</v>
      </c>
      <c r="B11127" s="9" t="s">
        <v>16515</v>
      </c>
      <c r="C11127" s="9" t="s">
        <v>715</v>
      </c>
      <c r="D11127" s="9" t="s">
        <v>95</v>
      </c>
      <c r="E11127" s="6" t="s">
        <v>10321</v>
      </c>
      <c r="F11127" s="9" t="s">
        <v>17329</v>
      </c>
    </row>
    <row r="11128" ht="33.75" customHeight="1">
      <c r="A11128" s="7">
        <v>471.0</v>
      </c>
      <c r="B11128" s="9" t="s">
        <v>16515</v>
      </c>
      <c r="C11128" s="9" t="s">
        <v>715</v>
      </c>
      <c r="D11128" s="9" t="s">
        <v>98</v>
      </c>
      <c r="E11128" s="6" t="s">
        <v>10325</v>
      </c>
      <c r="F11128" s="9" t="s">
        <v>17329</v>
      </c>
    </row>
    <row r="11129" ht="33.75" customHeight="1">
      <c r="A11129" s="7">
        <v>471.0</v>
      </c>
      <c r="B11129" s="9" t="s">
        <v>16515</v>
      </c>
      <c r="C11129" s="9" t="s">
        <v>715</v>
      </c>
      <c r="D11129" s="9" t="s">
        <v>99</v>
      </c>
      <c r="E11129" s="6" t="s">
        <v>10325</v>
      </c>
      <c r="F11129" s="9" t="s">
        <v>17329</v>
      </c>
    </row>
    <row r="11130" ht="33.75" customHeight="1">
      <c r="A11130" s="7">
        <v>471.0</v>
      </c>
      <c r="B11130" s="9" t="s">
        <v>16515</v>
      </c>
      <c r="C11130" s="9" t="s">
        <v>715</v>
      </c>
      <c r="D11130" s="9" t="s">
        <v>101</v>
      </c>
      <c r="E11130" s="6" t="s">
        <v>10321</v>
      </c>
      <c r="F11130" s="9" t="s">
        <v>17329</v>
      </c>
    </row>
    <row r="11131" ht="33.75" customHeight="1">
      <c r="A11131" s="7">
        <v>471.0</v>
      </c>
      <c r="B11131" s="9" t="s">
        <v>16515</v>
      </c>
      <c r="C11131" s="9" t="s">
        <v>715</v>
      </c>
      <c r="D11131" s="9" t="s">
        <v>105</v>
      </c>
      <c r="E11131" s="6" t="s">
        <v>10325</v>
      </c>
      <c r="F11131" s="9" t="s">
        <v>17329</v>
      </c>
    </row>
    <row r="11132" ht="33.75" customHeight="1">
      <c r="A11132" s="7">
        <v>471.0</v>
      </c>
      <c r="B11132" s="9" t="s">
        <v>16515</v>
      </c>
      <c r="C11132" s="9" t="s">
        <v>715</v>
      </c>
      <c r="D11132" s="9" t="s">
        <v>107</v>
      </c>
      <c r="E11132" s="6" t="s">
        <v>10321</v>
      </c>
      <c r="F11132" s="9" t="s">
        <v>17329</v>
      </c>
    </row>
    <row r="11133" ht="33.75" customHeight="1">
      <c r="A11133" s="7">
        <v>471.0</v>
      </c>
      <c r="B11133" s="9" t="s">
        <v>16515</v>
      </c>
      <c r="C11133" s="9" t="s">
        <v>715</v>
      </c>
      <c r="D11133" s="9" t="s">
        <v>109</v>
      </c>
      <c r="E11133" s="6" t="s">
        <v>10325</v>
      </c>
      <c r="F11133" s="9" t="s">
        <v>17329</v>
      </c>
    </row>
    <row r="11134" ht="33.75" customHeight="1">
      <c r="A11134" s="7">
        <v>471.0</v>
      </c>
      <c r="B11134" s="9" t="s">
        <v>16515</v>
      </c>
      <c r="C11134" s="9" t="s">
        <v>715</v>
      </c>
      <c r="D11134" s="9" t="s">
        <v>637</v>
      </c>
      <c r="E11134" s="6" t="s">
        <v>10327</v>
      </c>
      <c r="F11134" s="9" t="s">
        <v>17329</v>
      </c>
    </row>
    <row r="11135" ht="33.75" customHeight="1">
      <c r="A11135" s="7">
        <v>471.0</v>
      </c>
      <c r="B11135" s="9" t="s">
        <v>16515</v>
      </c>
      <c r="C11135" s="9" t="s">
        <v>715</v>
      </c>
      <c r="D11135" s="9" t="s">
        <v>642</v>
      </c>
      <c r="E11135" s="6" t="s">
        <v>10328</v>
      </c>
      <c r="F11135" s="9" t="s">
        <v>17329</v>
      </c>
    </row>
    <row r="11136" ht="33.75" customHeight="1">
      <c r="A11136" s="7">
        <v>471.0</v>
      </c>
      <c r="B11136" s="9" t="s">
        <v>16515</v>
      </c>
      <c r="C11136" s="9" t="s">
        <v>715</v>
      </c>
      <c r="D11136" s="9" t="s">
        <v>647</v>
      </c>
      <c r="E11136" s="6" t="s">
        <v>10331</v>
      </c>
      <c r="F11136" s="9" t="s">
        <v>17329</v>
      </c>
    </row>
    <row r="11137" ht="33.75" customHeight="1">
      <c r="A11137" s="7">
        <v>471.0</v>
      </c>
      <c r="B11137" s="9" t="s">
        <v>16515</v>
      </c>
      <c r="C11137" s="9" t="s">
        <v>715</v>
      </c>
      <c r="D11137" s="9" t="s">
        <v>652</v>
      </c>
      <c r="E11137" s="6" t="s">
        <v>10333</v>
      </c>
      <c r="F11137" s="9" t="s">
        <v>17329</v>
      </c>
    </row>
    <row r="11138" ht="33.75" customHeight="1">
      <c r="A11138" s="7">
        <v>471.0</v>
      </c>
      <c r="B11138" s="9" t="s">
        <v>16515</v>
      </c>
      <c r="C11138" s="9" t="s">
        <v>715</v>
      </c>
      <c r="D11138" s="9" t="s">
        <v>114</v>
      </c>
      <c r="E11138" s="6" t="s">
        <v>10334</v>
      </c>
      <c r="F11138" s="9" t="s">
        <v>17329</v>
      </c>
    </row>
    <row r="11139" ht="33.75" customHeight="1">
      <c r="A11139" s="7">
        <v>471.0</v>
      </c>
      <c r="B11139" s="9" t="s">
        <v>16515</v>
      </c>
      <c r="C11139" s="9" t="s">
        <v>715</v>
      </c>
      <c r="D11139" s="9" t="s">
        <v>117</v>
      </c>
      <c r="E11139" s="6" t="s">
        <v>10335</v>
      </c>
      <c r="F11139" s="9" t="s">
        <v>17329</v>
      </c>
    </row>
    <row r="11140" ht="33.75" customHeight="1">
      <c r="A11140" s="7">
        <v>471.0</v>
      </c>
      <c r="B11140" s="9" t="s">
        <v>16515</v>
      </c>
      <c r="C11140" s="9" t="s">
        <v>715</v>
      </c>
      <c r="D11140" s="9" t="s">
        <v>1577</v>
      </c>
      <c r="E11140" s="6" t="s">
        <v>10336</v>
      </c>
      <c r="F11140" s="9" t="s">
        <v>17329</v>
      </c>
    </row>
    <row r="11141" ht="33.75" customHeight="1">
      <c r="A11141" s="7">
        <v>472.0</v>
      </c>
      <c r="B11141" s="9" t="s">
        <v>16529</v>
      </c>
      <c r="C11141" s="9" t="s">
        <v>717</v>
      </c>
      <c r="D11141" s="9" t="s">
        <v>81</v>
      </c>
      <c r="E11141" s="6" t="s">
        <v>10338</v>
      </c>
      <c r="F11141" s="9" t="s">
        <v>17360</v>
      </c>
      <c r="G11141" t="inlineStr" s="6">
        <is>
          <t xml:space="preserve">It observes prey while hanging inverted from branches. When the chance presents itself, it swoops! If it succeeds in catching even a faint breeze properly, it can circle the globe without flapping once. Its flight is soundless. It uses its lengthy tail to carry off its prey... Then its elongated fangs do the rest. It dances silently through the sky. When it approaches prey, it can land a critical hit in an instant. It glides soundlessly on pitch-black wings and sinks sharp fangs into the throat of its prey. It takes on a look of satisfaction once it has entirely drained its prey of blood.</t>
        </is>
      </c>
    </row>
    <row r="11142" ht="33.75" customHeight="1">
      <c r="A11142" s="7">
        <v>472.0</v>
      </c>
      <c r="B11142" s="9" t="s">
        <v>16529</v>
      </c>
      <c r="C11142" s="9" t="s">
        <v>717</v>
      </c>
      <c r="D11142" s="9" t="s">
        <v>84</v>
      </c>
      <c r="E11142" s="6" t="s">
        <v>10338</v>
      </c>
      <c r="F11142" s="9" t="s">
        <v>17360</v>
      </c>
    </row>
    <row r="11143" ht="33.75" customHeight="1">
      <c r="A11143" s="7">
        <v>472.0</v>
      </c>
      <c r="B11143" s="9" t="s">
        <v>16529</v>
      </c>
      <c r="C11143" s="9" t="s">
        <v>717</v>
      </c>
      <c r="D11143" s="9" t="s">
        <v>87</v>
      </c>
      <c r="E11143" s="6" t="s">
        <v>10341</v>
      </c>
      <c r="F11143" s="9" t="s">
        <v>17360</v>
      </c>
    </row>
    <row r="11144" ht="33.75" customHeight="1">
      <c r="A11144" s="7">
        <v>472.0</v>
      </c>
      <c r="B11144" s="9" t="s">
        <v>16529</v>
      </c>
      <c r="C11144" s="9" t="s">
        <v>717</v>
      </c>
      <c r="D11144" s="9" t="s">
        <v>89</v>
      </c>
      <c r="E11144" s="6" t="s">
        <v>10342</v>
      </c>
      <c r="F11144" s="9" t="s">
        <v>17360</v>
      </c>
    </row>
    <row r="11145" ht="33.75" customHeight="1">
      <c r="A11145" s="7">
        <v>472.0</v>
      </c>
      <c r="B11145" s="9" t="s">
        <v>16529</v>
      </c>
      <c r="C11145" s="9" t="s">
        <v>717</v>
      </c>
      <c r="D11145" s="9" t="s">
        <v>91</v>
      </c>
      <c r="E11145" s="6" t="s">
        <v>10342</v>
      </c>
      <c r="F11145" s="9" t="s">
        <v>17360</v>
      </c>
    </row>
    <row r="11146" ht="33.75" customHeight="1">
      <c r="A11146" s="7">
        <v>472.0</v>
      </c>
      <c r="B11146" s="9" t="s">
        <v>16529</v>
      </c>
      <c r="C11146" s="9" t="s">
        <v>717</v>
      </c>
      <c r="D11146" s="9" t="s">
        <v>93</v>
      </c>
      <c r="E11146" s="6" t="s">
        <v>10341</v>
      </c>
      <c r="F11146" s="9" t="s">
        <v>17360</v>
      </c>
    </row>
    <row r="11147" ht="33.75" customHeight="1">
      <c r="A11147" s="7">
        <v>472.0</v>
      </c>
      <c r="B11147" s="9" t="s">
        <v>16529</v>
      </c>
      <c r="C11147" s="9" t="s">
        <v>717</v>
      </c>
      <c r="D11147" s="9" t="s">
        <v>95</v>
      </c>
      <c r="E11147" s="6" t="s">
        <v>10341</v>
      </c>
      <c r="F11147" s="9" t="s">
        <v>17360</v>
      </c>
    </row>
    <row r="11148" ht="33.75" customHeight="1">
      <c r="A11148" s="7">
        <v>472.0</v>
      </c>
      <c r="B11148" s="9" t="s">
        <v>16529</v>
      </c>
      <c r="C11148" s="9" t="s">
        <v>717</v>
      </c>
      <c r="D11148" s="9" t="s">
        <v>98</v>
      </c>
      <c r="E11148" s="6" t="s">
        <v>10344</v>
      </c>
      <c r="F11148" s="9" t="s">
        <v>17360</v>
      </c>
    </row>
    <row r="11149" ht="33.75" customHeight="1">
      <c r="A11149" s="7">
        <v>472.0</v>
      </c>
      <c r="B11149" s="9" t="s">
        <v>16529</v>
      </c>
      <c r="C11149" s="9" t="s">
        <v>717</v>
      </c>
      <c r="D11149" s="9" t="s">
        <v>99</v>
      </c>
      <c r="E11149" s="6" t="s">
        <v>10344</v>
      </c>
      <c r="F11149" s="9" t="s">
        <v>17360</v>
      </c>
    </row>
    <row r="11150" ht="33.75" customHeight="1">
      <c r="A11150" s="7">
        <v>472.0</v>
      </c>
      <c r="B11150" s="9" t="s">
        <v>16529</v>
      </c>
      <c r="C11150" s="9" t="s">
        <v>717</v>
      </c>
      <c r="D11150" s="9" t="s">
        <v>101</v>
      </c>
      <c r="E11150" s="6" t="s">
        <v>10338</v>
      </c>
      <c r="F11150" s="9" t="s">
        <v>17360</v>
      </c>
    </row>
    <row r="11151" ht="33.75" customHeight="1">
      <c r="A11151" s="7">
        <v>472.0</v>
      </c>
      <c r="B11151" s="9" t="s">
        <v>16529</v>
      </c>
      <c r="C11151" s="9" t="s">
        <v>717</v>
      </c>
      <c r="D11151" s="9" t="s">
        <v>105</v>
      </c>
      <c r="E11151" s="6" t="s">
        <v>10342</v>
      </c>
      <c r="F11151" s="9" t="s">
        <v>17360</v>
      </c>
    </row>
    <row r="11152" ht="33.75" customHeight="1">
      <c r="A11152" s="7">
        <v>472.0</v>
      </c>
      <c r="B11152" s="9" t="s">
        <v>16529</v>
      </c>
      <c r="C11152" s="9" t="s">
        <v>717</v>
      </c>
      <c r="D11152" s="9" t="s">
        <v>107</v>
      </c>
      <c r="E11152" s="6" t="s">
        <v>10338</v>
      </c>
      <c r="F11152" s="9" t="s">
        <v>17360</v>
      </c>
    </row>
    <row r="11153" ht="33.75" customHeight="1">
      <c r="A11153" s="7">
        <v>472.0</v>
      </c>
      <c r="B11153" s="9" t="s">
        <v>16529</v>
      </c>
      <c r="C11153" s="9" t="s">
        <v>717</v>
      </c>
      <c r="D11153" s="9" t="s">
        <v>109</v>
      </c>
      <c r="E11153" s="6" t="s">
        <v>10342</v>
      </c>
      <c r="F11153" s="9" t="s">
        <v>17360</v>
      </c>
    </row>
    <row r="11154" ht="33.75" customHeight="1">
      <c r="A11154" s="7">
        <v>472.0</v>
      </c>
      <c r="B11154" s="9" t="s">
        <v>16529</v>
      </c>
      <c r="C11154" s="9" t="s">
        <v>717</v>
      </c>
      <c r="D11154" s="9" t="s">
        <v>1577</v>
      </c>
      <c r="E11154" s="6" t="s">
        <v>10346</v>
      </c>
      <c r="F11154" s="9" t="s">
        <v>17360</v>
      </c>
    </row>
    <row r="11155" ht="33.75" customHeight="1">
      <c r="A11155" s="7">
        <v>473.0</v>
      </c>
      <c r="B11155" s="9" t="s">
        <v>16537</v>
      </c>
      <c r="C11155" s="9" t="s">
        <v>720</v>
      </c>
      <c r="D11155" s="9" t="s">
        <v>81</v>
      </c>
      <c r="E11155" s="6" t="s">
        <v>10347</v>
      </c>
      <c r="F11155" s="9" t="s">
        <v>17376</v>
      </c>
      <c r="G11155" t="inlineStr" s="6">
        <is>
          <t xml:space="preserve">Mamoswine's impressive tusks are made of ice. The population thinned when it turned warm after the ice age. A frozen one was dug up from soil dating back 10,000 years. It woke up to much amazement. A frozen MAMOSWINE was dug from ice dating back 10,000 years. This Pokémon has been around a long, long, long time. It flourished worldwide during the ice age but its population declined when the masses of ice began to dwindle. When the temperature rose at the end of the ice age, most Mamoswine disappeared. This Pokémon can be spotted in wall paintings from as far back as 10,000 years ago. For a while, it was thought to have gone extinct. It looks strong, and that’s exactly what it is. As the weather grows colder, its ice tusks grow longer, thicker, and more impressive. This species reached its zenith during the period known as the ice age. I suspect that Hisui's frigid climate is in harmony with Mamoswine's constitution, thus awakening hidden potential.</t>
        </is>
      </c>
    </row>
    <row r="11156" ht="33.75" customHeight="1">
      <c r="A11156" s="7">
        <v>473.0</v>
      </c>
      <c r="B11156" s="9" t="s">
        <v>16537</v>
      </c>
      <c r="C11156" s="9" t="s">
        <v>720</v>
      </c>
      <c r="D11156" s="9" t="s">
        <v>84</v>
      </c>
      <c r="E11156" s="6" t="s">
        <v>10347</v>
      </c>
      <c r="F11156" s="9" t="s">
        <v>17376</v>
      </c>
    </row>
    <row r="11157" ht="33.75" customHeight="1">
      <c r="A11157" s="7">
        <v>473.0</v>
      </c>
      <c r="B11157" s="9" t="s">
        <v>16537</v>
      </c>
      <c r="C11157" s="9" t="s">
        <v>720</v>
      </c>
      <c r="D11157" s="9" t="s">
        <v>87</v>
      </c>
      <c r="E11157" s="6" t="s">
        <v>10349</v>
      </c>
      <c r="F11157" s="9" t="s">
        <v>17376</v>
      </c>
    </row>
    <row r="11158" ht="33.75" customHeight="1">
      <c r="A11158" s="7">
        <v>473.0</v>
      </c>
      <c r="B11158" s="9" t="s">
        <v>16537</v>
      </c>
      <c r="C11158" s="9" t="s">
        <v>720</v>
      </c>
      <c r="D11158" s="9" t="s">
        <v>89</v>
      </c>
      <c r="E11158" s="6" t="s">
        <v>10350</v>
      </c>
      <c r="F11158" s="9" t="s">
        <v>17376</v>
      </c>
    </row>
    <row r="11159" ht="33.75" customHeight="1">
      <c r="A11159" s="7">
        <v>473.0</v>
      </c>
      <c r="B11159" s="9" t="s">
        <v>16537</v>
      </c>
      <c r="C11159" s="9" t="s">
        <v>720</v>
      </c>
      <c r="D11159" s="9" t="s">
        <v>91</v>
      </c>
      <c r="E11159" s="6" t="s">
        <v>10351</v>
      </c>
      <c r="F11159" s="9" t="s">
        <v>17376</v>
      </c>
    </row>
    <row r="11160" ht="33.75" customHeight="1">
      <c r="A11160" s="7">
        <v>473.0</v>
      </c>
      <c r="B11160" s="9" t="s">
        <v>16537</v>
      </c>
      <c r="C11160" s="9" t="s">
        <v>720</v>
      </c>
      <c r="D11160" s="9" t="s">
        <v>93</v>
      </c>
      <c r="E11160" s="6" t="s">
        <v>10349</v>
      </c>
      <c r="F11160" s="9" t="s">
        <v>17376</v>
      </c>
    </row>
    <row r="11161" ht="33.75" customHeight="1">
      <c r="A11161" s="7">
        <v>473.0</v>
      </c>
      <c r="B11161" s="9" t="s">
        <v>16537</v>
      </c>
      <c r="C11161" s="9" t="s">
        <v>720</v>
      </c>
      <c r="D11161" s="9" t="s">
        <v>95</v>
      </c>
      <c r="E11161" s="6" t="s">
        <v>10349</v>
      </c>
      <c r="F11161" s="9" t="s">
        <v>17376</v>
      </c>
    </row>
    <row r="11162" ht="33.75" customHeight="1">
      <c r="A11162" s="7">
        <v>473.0</v>
      </c>
      <c r="B11162" s="9" t="s">
        <v>16537</v>
      </c>
      <c r="C11162" s="9" t="s">
        <v>720</v>
      </c>
      <c r="D11162" s="9" t="s">
        <v>98</v>
      </c>
      <c r="E11162" s="6" t="s">
        <v>10353</v>
      </c>
      <c r="F11162" s="9" t="s">
        <v>17376</v>
      </c>
    </row>
    <row r="11163" ht="33.75" customHeight="1">
      <c r="A11163" s="7">
        <v>473.0</v>
      </c>
      <c r="B11163" s="9" t="s">
        <v>16537</v>
      </c>
      <c r="C11163" s="9" t="s">
        <v>720</v>
      </c>
      <c r="D11163" s="9" t="s">
        <v>99</v>
      </c>
      <c r="E11163" s="6" t="s">
        <v>10353</v>
      </c>
      <c r="F11163" s="9" t="s">
        <v>17376</v>
      </c>
    </row>
    <row r="11164" ht="33.75" customHeight="1">
      <c r="A11164" s="7">
        <v>473.0</v>
      </c>
      <c r="B11164" s="9" t="s">
        <v>16537</v>
      </c>
      <c r="C11164" s="9" t="s">
        <v>720</v>
      </c>
      <c r="D11164" s="9" t="s">
        <v>101</v>
      </c>
      <c r="E11164" s="6" t="s">
        <v>10354</v>
      </c>
      <c r="F11164" s="9" t="s">
        <v>17376</v>
      </c>
    </row>
    <row r="11165" ht="33.75" customHeight="1">
      <c r="A11165" s="7">
        <v>473.0</v>
      </c>
      <c r="B11165" s="9" t="s">
        <v>16537</v>
      </c>
      <c r="C11165" s="9" t="s">
        <v>720</v>
      </c>
      <c r="D11165" s="9" t="s">
        <v>105</v>
      </c>
      <c r="E11165" s="6" t="s">
        <v>10347</v>
      </c>
      <c r="F11165" s="9" t="s">
        <v>17376</v>
      </c>
    </row>
    <row r="11166" ht="33.75" customHeight="1">
      <c r="A11166" s="7">
        <v>473.0</v>
      </c>
      <c r="B11166" s="9" t="s">
        <v>16537</v>
      </c>
      <c r="C11166" s="9" t="s">
        <v>720</v>
      </c>
      <c r="D11166" s="9" t="s">
        <v>107</v>
      </c>
      <c r="E11166" s="6" t="s">
        <v>10354</v>
      </c>
      <c r="F11166" s="9" t="s">
        <v>17376</v>
      </c>
    </row>
    <row r="11167" ht="33.75" customHeight="1">
      <c r="A11167" s="7">
        <v>473.0</v>
      </c>
      <c r="B11167" s="9" t="s">
        <v>16537</v>
      </c>
      <c r="C11167" s="9" t="s">
        <v>720</v>
      </c>
      <c r="D11167" s="9" t="s">
        <v>109</v>
      </c>
      <c r="E11167" s="6" t="s">
        <v>10347</v>
      </c>
      <c r="F11167" s="9" t="s">
        <v>17376</v>
      </c>
    </row>
    <row r="11168" ht="33.75" customHeight="1">
      <c r="A11168" s="7">
        <v>473.0</v>
      </c>
      <c r="B11168" s="9" t="s">
        <v>16537</v>
      </c>
      <c r="C11168" s="9" t="s">
        <v>720</v>
      </c>
      <c r="D11168" s="9" t="s">
        <v>114</v>
      </c>
      <c r="E11168" s="6" t="s">
        <v>10355</v>
      </c>
      <c r="F11168" s="9" t="s">
        <v>17376</v>
      </c>
    </row>
    <row r="11169" ht="33.75" customHeight="1">
      <c r="A11169" s="7">
        <v>473.0</v>
      </c>
      <c r="B11169" s="9" t="s">
        <v>16537</v>
      </c>
      <c r="C11169" s="9" t="s">
        <v>720</v>
      </c>
      <c r="D11169" s="9" t="s">
        <v>117</v>
      </c>
      <c r="E11169" s="6" t="s">
        <v>10357</v>
      </c>
      <c r="F11169" s="9" t="s">
        <v>17376</v>
      </c>
    </row>
    <row r="11170" ht="33.75" customHeight="1">
      <c r="A11170" s="7">
        <v>473.0</v>
      </c>
      <c r="B11170" s="9" t="s">
        <v>16537</v>
      </c>
      <c r="C11170" s="9" t="s">
        <v>720</v>
      </c>
      <c r="D11170" s="9" t="s">
        <v>1577</v>
      </c>
      <c r="E11170" s="6" t="s">
        <v>10358</v>
      </c>
      <c r="F11170" s="9" t="s">
        <v>17376</v>
      </c>
    </row>
    <row r="11171" ht="33.75" customHeight="1">
      <c r="A11171" s="7">
        <v>474.0</v>
      </c>
      <c r="B11171" s="9" t="s">
        <v>16549</v>
      </c>
      <c r="C11171" s="9" t="s">
        <v>224</v>
      </c>
      <c r="D11171" s="9" t="s">
        <v>81</v>
      </c>
      <c r="E11171" s="6" t="s">
        <v>10360</v>
      </c>
      <c r="F11171" s="9" t="s">
        <v>17398</v>
      </c>
      <c r="G11171" t="inlineStr" s="6">
        <is>
          <t xml:space="preserve">Additional software was installed to make it a better Pokémon. It began acting oddly, however. Its programming was modified to enable work in alien dimensions. It did not work as planned. Its programming was modified to enable it to travel through alien dimensions. Seems there might have been an error... In order to create a more advanced Pokémon, an additional program was installed, but apparently it contained a defect that makes it move oddly. Its program was modified to facilitate extra-dimensional activities, but that led to noticeably strange behavior. Its behavior is noticeably unstable, which is apparently due to the incompetence of the engineer who updated its programming. A faulty update was added to its programming. Its behavior is noticeably strange, so the experiment may have been a failure. Porygon-Z had a program installed to allow it to move between dimensions, but the program also caused instability in Porygon-Z’s behavior. Some say an additional program made this Pokémon evolve, but even academics can’t agree on whether Porygon-Z is really an evolution. A curious item induced this evolution. The Pokémon's offensive capabilities have greatly increased, but the strangeness of its behavior has magnified in equal measure. This worries me.</t>
        </is>
      </c>
    </row>
    <row r="11172" ht="33.75" customHeight="1">
      <c r="A11172" s="7">
        <v>474.0</v>
      </c>
      <c r="B11172" s="9" t="s">
        <v>16549</v>
      </c>
      <c r="C11172" s="9" t="s">
        <v>224</v>
      </c>
      <c r="D11172" s="9" t="s">
        <v>84</v>
      </c>
      <c r="E11172" s="6" t="s">
        <v>10360</v>
      </c>
      <c r="F11172" s="9" t="s">
        <v>17398</v>
      </c>
    </row>
    <row r="11173" ht="33.75" customHeight="1">
      <c r="A11173" s="7">
        <v>474.0</v>
      </c>
      <c r="B11173" s="9" t="s">
        <v>16549</v>
      </c>
      <c r="C11173" s="9" t="s">
        <v>224</v>
      </c>
      <c r="D11173" s="9" t="s">
        <v>87</v>
      </c>
      <c r="E11173" s="6" t="s">
        <v>10362</v>
      </c>
      <c r="F11173" s="9" t="s">
        <v>17398</v>
      </c>
    </row>
    <row r="11174" ht="33.75" customHeight="1">
      <c r="A11174" s="7">
        <v>474.0</v>
      </c>
      <c r="B11174" s="9" t="s">
        <v>16549</v>
      </c>
      <c r="C11174" s="9" t="s">
        <v>224</v>
      </c>
      <c r="D11174" s="9" t="s">
        <v>89</v>
      </c>
      <c r="E11174" s="6" t="s">
        <v>10363</v>
      </c>
      <c r="F11174" s="9" t="s">
        <v>17398</v>
      </c>
    </row>
    <row r="11175" ht="33.75" customHeight="1">
      <c r="A11175" s="7">
        <v>474.0</v>
      </c>
      <c r="B11175" s="9" t="s">
        <v>16549</v>
      </c>
      <c r="C11175" s="9" t="s">
        <v>224</v>
      </c>
      <c r="D11175" s="9" t="s">
        <v>91</v>
      </c>
      <c r="E11175" s="6" t="s">
        <v>10363</v>
      </c>
      <c r="F11175" s="9" t="s">
        <v>17398</v>
      </c>
    </row>
    <row r="11176" ht="33.75" customHeight="1">
      <c r="A11176" s="7">
        <v>474.0</v>
      </c>
      <c r="B11176" s="9" t="s">
        <v>16549</v>
      </c>
      <c r="C11176" s="9" t="s">
        <v>224</v>
      </c>
      <c r="D11176" s="9" t="s">
        <v>93</v>
      </c>
      <c r="E11176" s="6" t="s">
        <v>10362</v>
      </c>
      <c r="F11176" s="9" t="s">
        <v>17398</v>
      </c>
    </row>
    <row r="11177" ht="33.75" customHeight="1">
      <c r="A11177" s="7">
        <v>474.0</v>
      </c>
      <c r="B11177" s="9" t="s">
        <v>16549</v>
      </c>
      <c r="C11177" s="9" t="s">
        <v>224</v>
      </c>
      <c r="D11177" s="9" t="s">
        <v>95</v>
      </c>
      <c r="E11177" s="6" t="s">
        <v>10362</v>
      </c>
      <c r="F11177" s="9" t="s">
        <v>17398</v>
      </c>
    </row>
    <row r="11178" ht="33.75" customHeight="1">
      <c r="A11178" s="7">
        <v>474.0</v>
      </c>
      <c r="B11178" s="9" t="s">
        <v>16549</v>
      </c>
      <c r="C11178" s="9" t="s">
        <v>224</v>
      </c>
      <c r="D11178" s="9" t="s">
        <v>98</v>
      </c>
      <c r="E11178" s="6" t="s">
        <v>10362</v>
      </c>
      <c r="F11178" s="9" t="s">
        <v>17398</v>
      </c>
    </row>
    <row r="11179" ht="33.75" customHeight="1">
      <c r="A11179" s="7">
        <v>474.0</v>
      </c>
      <c r="B11179" s="9" t="s">
        <v>16549</v>
      </c>
      <c r="C11179" s="9" t="s">
        <v>224</v>
      </c>
      <c r="D11179" s="9" t="s">
        <v>99</v>
      </c>
      <c r="E11179" s="6" t="s">
        <v>10362</v>
      </c>
      <c r="F11179" s="9" t="s">
        <v>17398</v>
      </c>
    </row>
    <row r="11180" ht="33.75" customHeight="1">
      <c r="A11180" s="7">
        <v>474.0</v>
      </c>
      <c r="B11180" s="9" t="s">
        <v>16549</v>
      </c>
      <c r="C11180" s="9" t="s">
        <v>224</v>
      </c>
      <c r="D11180" s="9" t="s">
        <v>101</v>
      </c>
      <c r="E11180" s="6" t="s">
        <v>10360</v>
      </c>
      <c r="F11180" s="9" t="s">
        <v>17398</v>
      </c>
    </row>
    <row r="11181" ht="33.75" customHeight="1">
      <c r="A11181" s="7">
        <v>474.0</v>
      </c>
      <c r="B11181" s="9" t="s">
        <v>16549</v>
      </c>
      <c r="C11181" s="9" t="s">
        <v>224</v>
      </c>
      <c r="D11181" s="9" t="s">
        <v>105</v>
      </c>
      <c r="E11181" s="6" t="s">
        <v>10363</v>
      </c>
      <c r="F11181" s="9" t="s">
        <v>17398</v>
      </c>
    </row>
    <row r="11182" ht="33.75" customHeight="1">
      <c r="A11182" s="7">
        <v>474.0</v>
      </c>
      <c r="B11182" s="9" t="s">
        <v>16549</v>
      </c>
      <c r="C11182" s="9" t="s">
        <v>224</v>
      </c>
      <c r="D11182" s="9" t="s">
        <v>107</v>
      </c>
      <c r="E11182" s="6" t="s">
        <v>10360</v>
      </c>
      <c r="F11182" s="9" t="s">
        <v>17398</v>
      </c>
    </row>
    <row r="11183" ht="33.75" customHeight="1">
      <c r="A11183" s="7">
        <v>474.0</v>
      </c>
      <c r="B11183" s="9" t="s">
        <v>16549</v>
      </c>
      <c r="C11183" s="9" t="s">
        <v>224</v>
      </c>
      <c r="D11183" s="9" t="s">
        <v>109</v>
      </c>
      <c r="E11183" s="6" t="s">
        <v>10363</v>
      </c>
      <c r="F11183" s="9" t="s">
        <v>17398</v>
      </c>
    </row>
    <row r="11184" ht="33.75" customHeight="1">
      <c r="A11184" s="7">
        <v>474.0</v>
      </c>
      <c r="B11184" s="9" t="s">
        <v>16549</v>
      </c>
      <c r="C11184" s="9" t="s">
        <v>224</v>
      </c>
      <c r="D11184" s="9" t="s">
        <v>637</v>
      </c>
      <c r="E11184" s="6" t="s">
        <v>10364</v>
      </c>
      <c r="F11184" s="9" t="s">
        <v>17398</v>
      </c>
    </row>
    <row r="11185" ht="33.75" customHeight="1">
      <c r="A11185" s="7">
        <v>474.0</v>
      </c>
      <c r="B11185" s="9" t="s">
        <v>16549</v>
      </c>
      <c r="C11185" s="9" t="s">
        <v>224</v>
      </c>
      <c r="D11185" s="9" t="s">
        <v>642</v>
      </c>
      <c r="E11185" s="6" t="s">
        <v>10365</v>
      </c>
      <c r="F11185" s="9" t="s">
        <v>17398</v>
      </c>
    </row>
    <row r="11186" ht="33.75" customHeight="1">
      <c r="A11186" s="7">
        <v>474.0</v>
      </c>
      <c r="B11186" s="9" t="s">
        <v>16549</v>
      </c>
      <c r="C11186" s="9" t="s">
        <v>224</v>
      </c>
      <c r="D11186" s="9" t="s">
        <v>647</v>
      </c>
      <c r="E11186" s="6" t="s">
        <v>10366</v>
      </c>
      <c r="F11186" s="9" t="s">
        <v>17398</v>
      </c>
    </row>
    <row r="11187" ht="33.75" customHeight="1">
      <c r="A11187" s="7">
        <v>474.0</v>
      </c>
      <c r="B11187" s="9" t="s">
        <v>16549</v>
      </c>
      <c r="C11187" s="9" t="s">
        <v>224</v>
      </c>
      <c r="D11187" s="9" t="s">
        <v>652</v>
      </c>
      <c r="E11187" s="6" t="s">
        <v>10367</v>
      </c>
      <c r="F11187" s="9" t="s">
        <v>17398</v>
      </c>
    </row>
    <row r="11188" ht="33.75" customHeight="1">
      <c r="A11188" s="7">
        <v>474.0</v>
      </c>
      <c r="B11188" s="9" t="s">
        <v>16549</v>
      </c>
      <c r="C11188" s="9" t="s">
        <v>224</v>
      </c>
      <c r="D11188" s="9" t="s">
        <v>114</v>
      </c>
      <c r="E11188" s="6" t="s">
        <v>10368</v>
      </c>
      <c r="F11188" s="9" t="s">
        <v>17398</v>
      </c>
    </row>
    <row r="11189" ht="33.75" customHeight="1">
      <c r="A11189" s="7">
        <v>474.0</v>
      </c>
      <c r="B11189" s="9" t="s">
        <v>16549</v>
      </c>
      <c r="C11189" s="9" t="s">
        <v>224</v>
      </c>
      <c r="D11189" s="9" t="s">
        <v>117</v>
      </c>
      <c r="E11189" s="6" t="s">
        <v>10370</v>
      </c>
      <c r="F11189" s="9" t="s">
        <v>17398</v>
      </c>
    </row>
    <row r="11190" ht="33.75" customHeight="1">
      <c r="A11190" s="7">
        <v>474.0</v>
      </c>
      <c r="B11190" s="9" t="s">
        <v>16549</v>
      </c>
      <c r="C11190" s="9" t="s">
        <v>224</v>
      </c>
      <c r="D11190" s="9" t="s">
        <v>1577</v>
      </c>
      <c r="E11190" s="6" t="s">
        <v>10371</v>
      </c>
      <c r="F11190" s="9" t="s">
        <v>17398</v>
      </c>
    </row>
    <row r="11191" ht="33.75" customHeight="1">
      <c r="A11191" s="7">
        <v>475.0</v>
      </c>
      <c r="B11191" s="9" t="s">
        <v>16560</v>
      </c>
      <c r="C11191" s="9" t="s">
        <v>722</v>
      </c>
      <c r="D11191" s="9" t="s">
        <v>81</v>
      </c>
      <c r="E11191" s="6" t="s">
        <v>10372</v>
      </c>
      <c r="F11191" s="9" t="s">
        <v>17422</v>
      </c>
      <c r="G11191" t="inlineStr" s="6">
        <is>
          <t xml:space="preserve">A master of courtesy and swordsmanship, it fights using extending swords on Gallade's elbows. When trying to protect someone, it extends its elbows as if they were swords and fights savagely. Because it can sense what its foe is thinking, its attacks burst out first, fast, and fierce. True to its honorable-warrior image, it uses the blades on its elbows only in defense of something or someone. Sharply attuned to others’ wishes for help, this Pokémon seeks out those in need and aids them in battle. The blades extending from its elbows are sharper than the finest swords. Its swordsmanship, albeit self-taught, is astonishingly impressive.</t>
        </is>
      </c>
    </row>
    <row r="11192" ht="33.75" customHeight="1">
      <c r="A11192" s="7">
        <v>475.0</v>
      </c>
      <c r="B11192" s="9" t="s">
        <v>16560</v>
      </c>
      <c r="C11192" s="9" t="s">
        <v>722</v>
      </c>
      <c r="D11192" s="9" t="s">
        <v>84</v>
      </c>
      <c r="E11192" s="6" t="s">
        <v>10372</v>
      </c>
      <c r="F11192" s="9" t="s">
        <v>17422</v>
      </c>
    </row>
    <row r="11193" ht="33.75" customHeight="1">
      <c r="A11193" s="7">
        <v>475.0</v>
      </c>
      <c r="B11193" s="9" t="s">
        <v>16560</v>
      </c>
      <c r="C11193" s="9" t="s">
        <v>722</v>
      </c>
      <c r="D11193" s="9" t="s">
        <v>87</v>
      </c>
      <c r="E11193" s="6" t="s">
        <v>10373</v>
      </c>
      <c r="F11193" s="9" t="s">
        <v>17422</v>
      </c>
    </row>
    <row r="11194" ht="33.75" customHeight="1">
      <c r="A11194" s="7">
        <v>475.0</v>
      </c>
      <c r="B11194" s="9" t="s">
        <v>16560</v>
      </c>
      <c r="C11194" s="9" t="s">
        <v>722</v>
      </c>
      <c r="D11194" s="9" t="s">
        <v>89</v>
      </c>
      <c r="E11194" s="6" t="s">
        <v>10374</v>
      </c>
      <c r="F11194" s="9" t="s">
        <v>17422</v>
      </c>
    </row>
    <row r="11195" ht="33.75" customHeight="1">
      <c r="A11195" s="7">
        <v>475.0</v>
      </c>
      <c r="B11195" s="9" t="s">
        <v>16560</v>
      </c>
      <c r="C11195" s="9" t="s">
        <v>722</v>
      </c>
      <c r="D11195" s="9" t="s">
        <v>91</v>
      </c>
      <c r="E11195" s="6" t="s">
        <v>10374</v>
      </c>
      <c r="F11195" s="9" t="s">
        <v>17422</v>
      </c>
    </row>
    <row r="11196" ht="33.75" customHeight="1">
      <c r="A11196" s="7">
        <v>475.0</v>
      </c>
      <c r="B11196" s="9" t="s">
        <v>16560</v>
      </c>
      <c r="C11196" s="9" t="s">
        <v>722</v>
      </c>
      <c r="D11196" s="9" t="s">
        <v>93</v>
      </c>
      <c r="E11196" s="6" t="s">
        <v>10373</v>
      </c>
      <c r="F11196" s="9" t="s">
        <v>17422</v>
      </c>
    </row>
    <row r="11197" ht="33.75" customHeight="1">
      <c r="A11197" s="7">
        <v>475.0</v>
      </c>
      <c r="B11197" s="9" t="s">
        <v>16560</v>
      </c>
      <c r="C11197" s="9" t="s">
        <v>722</v>
      </c>
      <c r="D11197" s="9" t="s">
        <v>95</v>
      </c>
      <c r="E11197" s="6" t="s">
        <v>10373</v>
      </c>
      <c r="F11197" s="9" t="s">
        <v>17422</v>
      </c>
    </row>
    <row r="11198" ht="33.75" customHeight="1">
      <c r="A11198" s="7">
        <v>475.0</v>
      </c>
      <c r="B11198" s="9" t="s">
        <v>16560</v>
      </c>
      <c r="C11198" s="9" t="s">
        <v>722</v>
      </c>
      <c r="D11198" s="9" t="s">
        <v>98</v>
      </c>
      <c r="E11198" s="6" t="s">
        <v>10373</v>
      </c>
      <c r="F11198" s="9" t="s">
        <v>17422</v>
      </c>
    </row>
    <row r="11199" ht="33.75" customHeight="1">
      <c r="A11199" s="7">
        <v>475.0</v>
      </c>
      <c r="B11199" s="9" t="s">
        <v>16560</v>
      </c>
      <c r="C11199" s="9" t="s">
        <v>722</v>
      </c>
      <c r="D11199" s="9" t="s">
        <v>99</v>
      </c>
      <c r="E11199" s="6" t="s">
        <v>10373</v>
      </c>
      <c r="F11199" s="9" t="s">
        <v>17422</v>
      </c>
    </row>
    <row r="11200" ht="33.75" customHeight="1">
      <c r="A11200" s="7">
        <v>475.0</v>
      </c>
      <c r="B11200" s="9" t="s">
        <v>16560</v>
      </c>
      <c r="C11200" s="9" t="s">
        <v>722</v>
      </c>
      <c r="D11200" s="9" t="s">
        <v>101</v>
      </c>
      <c r="E11200" s="6" t="s">
        <v>10374</v>
      </c>
      <c r="F11200" s="9" t="s">
        <v>17422</v>
      </c>
    </row>
    <row r="11201" ht="33.75" customHeight="1">
      <c r="A11201" s="7">
        <v>475.0</v>
      </c>
      <c r="B11201" s="9" t="s">
        <v>16560</v>
      </c>
      <c r="C11201" s="9" t="s">
        <v>722</v>
      </c>
      <c r="D11201" s="9" t="s">
        <v>105</v>
      </c>
      <c r="E11201" s="6" t="s">
        <v>10372</v>
      </c>
      <c r="F11201" s="9" t="s">
        <v>17422</v>
      </c>
    </row>
    <row r="11202" ht="33.75" customHeight="1">
      <c r="A11202" s="7">
        <v>475.0</v>
      </c>
      <c r="B11202" s="9" t="s">
        <v>16560</v>
      </c>
      <c r="C11202" s="9" t="s">
        <v>722</v>
      </c>
      <c r="D11202" s="9" t="s">
        <v>107</v>
      </c>
      <c r="E11202" s="6" t="s">
        <v>10374</v>
      </c>
      <c r="F11202" s="9" t="s">
        <v>17422</v>
      </c>
    </row>
    <row r="11203" ht="33.75" customHeight="1">
      <c r="A11203" s="7">
        <v>475.0</v>
      </c>
      <c r="B11203" s="9" t="s">
        <v>16560</v>
      </c>
      <c r="C11203" s="9" t="s">
        <v>722</v>
      </c>
      <c r="D11203" s="9" t="s">
        <v>109</v>
      </c>
      <c r="E11203" s="6" t="s">
        <v>10372</v>
      </c>
      <c r="F11203" s="9" t="s">
        <v>17422</v>
      </c>
    </row>
    <row r="11204" ht="33.75" customHeight="1">
      <c r="A11204" s="7">
        <v>475.0</v>
      </c>
      <c r="B11204" s="9" t="s">
        <v>16560</v>
      </c>
      <c r="C11204" s="9" t="s">
        <v>722</v>
      </c>
      <c r="D11204" s="9" t="s">
        <v>114</v>
      </c>
      <c r="E11204" s="6" t="s">
        <v>10376</v>
      </c>
      <c r="F11204" s="9" t="s">
        <v>17422</v>
      </c>
    </row>
    <row r="11205" ht="33.75" customHeight="1">
      <c r="A11205" s="7">
        <v>475.0</v>
      </c>
      <c r="B11205" s="9" t="s">
        <v>16560</v>
      </c>
      <c r="C11205" s="9" t="s">
        <v>722</v>
      </c>
      <c r="D11205" s="9" t="s">
        <v>117</v>
      </c>
      <c r="E11205" s="6" t="s">
        <v>10377</v>
      </c>
      <c r="F11205" s="9" t="s">
        <v>17422</v>
      </c>
    </row>
    <row r="11206" ht="33.75" customHeight="1">
      <c r="A11206" s="7">
        <v>475.0</v>
      </c>
      <c r="B11206" s="9" t="s">
        <v>16560</v>
      </c>
      <c r="C11206" s="9" t="s">
        <v>722</v>
      </c>
      <c r="D11206" s="9" t="s">
        <v>1577</v>
      </c>
      <c r="E11206" s="6" t="s">
        <v>10378</v>
      </c>
      <c r="F11206" s="9" t="s">
        <v>17422</v>
      </c>
    </row>
    <row r="11207" ht="33.75" customHeight="1">
      <c r="A11207" s="7">
        <v>476.0</v>
      </c>
      <c r="B11207" s="9" t="s">
        <v>16569</v>
      </c>
      <c r="C11207" s="9" t="s">
        <v>443</v>
      </c>
      <c r="D11207" s="9" t="s">
        <v>81</v>
      </c>
      <c r="E11207" s="6" t="s">
        <v>10379</v>
      </c>
      <c r="F11207" s="9" t="s">
        <v>17445</v>
      </c>
      <c r="G11207" t="inlineStr" s="6">
        <is>
          <t xml:space="preserve">It exudes strong magnetism from all over. It controls three small units called Mini-Noses. It freely controls three small units called Mini-Noses using magnetic force. It controls three units called Mini-Noses using magnetic force. With them, it can attack the foe from three directions. It freely controls three units called Mini-Noses using magnetic force. It radiates such a powerful magnetic field that nearby electrical appliances become unusable. The main body controls three mobile units called Mini-Noses, which it maneuvers to catch prey. Although it can control its units known as Mini-Noses, they sometimes get lost and don’t come back. It uses three small units to catch prey and battle enemies. The main body mostly just gives orders. It is able to emit powerful magnetism, allowing it control over the iron sand that forms its luscious mustache. Using this iron sand, Probopass forms hard stones with which it smites its prey.</t>
        </is>
      </c>
    </row>
    <row r="11208" ht="33.75" customHeight="1">
      <c r="A11208" s="7">
        <v>476.0</v>
      </c>
      <c r="B11208" s="9" t="s">
        <v>16569</v>
      </c>
      <c r="C11208" s="9" t="s">
        <v>443</v>
      </c>
      <c r="D11208" s="9" t="s">
        <v>84</v>
      </c>
      <c r="E11208" s="6" t="s">
        <v>10379</v>
      </c>
      <c r="F11208" s="9" t="s">
        <v>17445</v>
      </c>
    </row>
    <row r="11209" ht="33.75" customHeight="1">
      <c r="A11209" s="7">
        <v>476.0</v>
      </c>
      <c r="B11209" s="9" t="s">
        <v>16569</v>
      </c>
      <c r="C11209" s="9" t="s">
        <v>443</v>
      </c>
      <c r="D11209" s="9" t="s">
        <v>87</v>
      </c>
      <c r="E11209" s="6" t="s">
        <v>10381</v>
      </c>
      <c r="F11209" s="9" t="s">
        <v>17445</v>
      </c>
    </row>
    <row r="11210" ht="33.75" customHeight="1">
      <c r="A11210" s="7">
        <v>476.0</v>
      </c>
      <c r="B11210" s="9" t="s">
        <v>16569</v>
      </c>
      <c r="C11210" s="9" t="s">
        <v>443</v>
      </c>
      <c r="D11210" s="9" t="s">
        <v>89</v>
      </c>
      <c r="E11210" s="6" t="s">
        <v>10382</v>
      </c>
      <c r="F11210" s="9" t="s">
        <v>17445</v>
      </c>
    </row>
    <row r="11211" ht="33.75" customHeight="1">
      <c r="A11211" s="7">
        <v>476.0</v>
      </c>
      <c r="B11211" s="9" t="s">
        <v>16569</v>
      </c>
      <c r="C11211" s="9" t="s">
        <v>443</v>
      </c>
      <c r="D11211" s="9" t="s">
        <v>91</v>
      </c>
      <c r="E11211" s="6" t="s">
        <v>10382</v>
      </c>
      <c r="F11211" s="9" t="s">
        <v>17445</v>
      </c>
    </row>
    <row r="11212" ht="33.75" customHeight="1">
      <c r="A11212" s="7">
        <v>476.0</v>
      </c>
      <c r="B11212" s="9" t="s">
        <v>16569</v>
      </c>
      <c r="C11212" s="9" t="s">
        <v>443</v>
      </c>
      <c r="D11212" s="9" t="s">
        <v>93</v>
      </c>
      <c r="E11212" s="6" t="s">
        <v>10381</v>
      </c>
      <c r="F11212" s="9" t="s">
        <v>17445</v>
      </c>
    </row>
    <row r="11213" ht="33.75" customHeight="1">
      <c r="A11213" s="7">
        <v>476.0</v>
      </c>
      <c r="B11213" s="9" t="s">
        <v>16569</v>
      </c>
      <c r="C11213" s="9" t="s">
        <v>443</v>
      </c>
      <c r="D11213" s="9" t="s">
        <v>95</v>
      </c>
      <c r="E11213" s="6" t="s">
        <v>10381</v>
      </c>
      <c r="F11213" s="9" t="s">
        <v>17445</v>
      </c>
    </row>
    <row r="11214" ht="33.75" customHeight="1">
      <c r="A11214" s="7">
        <v>476.0</v>
      </c>
      <c r="B11214" s="9" t="s">
        <v>16569</v>
      </c>
      <c r="C11214" s="9" t="s">
        <v>443</v>
      </c>
      <c r="D11214" s="9" t="s">
        <v>98</v>
      </c>
      <c r="E11214" s="6" t="s">
        <v>10384</v>
      </c>
      <c r="F11214" s="9" t="s">
        <v>17445</v>
      </c>
    </row>
    <row r="11215" ht="33.75" customHeight="1">
      <c r="A11215" s="7">
        <v>476.0</v>
      </c>
      <c r="B11215" s="9" t="s">
        <v>16569</v>
      </c>
      <c r="C11215" s="9" t="s">
        <v>443</v>
      </c>
      <c r="D11215" s="9" t="s">
        <v>99</v>
      </c>
      <c r="E11215" s="6" t="s">
        <v>10384</v>
      </c>
      <c r="F11215" s="9" t="s">
        <v>17445</v>
      </c>
    </row>
    <row r="11216" ht="33.75" customHeight="1">
      <c r="A11216" s="7">
        <v>476.0</v>
      </c>
      <c r="B11216" s="9" t="s">
        <v>16569</v>
      </c>
      <c r="C11216" s="9" t="s">
        <v>443</v>
      </c>
      <c r="D11216" s="9" t="s">
        <v>101</v>
      </c>
      <c r="E11216" s="6" t="s">
        <v>10379</v>
      </c>
      <c r="F11216" s="9" t="s">
        <v>17445</v>
      </c>
    </row>
    <row r="11217" ht="33.75" customHeight="1">
      <c r="A11217" s="7">
        <v>476.0</v>
      </c>
      <c r="B11217" s="9" t="s">
        <v>16569</v>
      </c>
      <c r="C11217" s="9" t="s">
        <v>443</v>
      </c>
      <c r="D11217" s="9" t="s">
        <v>105</v>
      </c>
      <c r="E11217" s="6" t="s">
        <v>10381</v>
      </c>
      <c r="F11217" s="9" t="s">
        <v>17445</v>
      </c>
    </row>
    <row r="11218" ht="33.75" customHeight="1">
      <c r="A11218" s="7">
        <v>476.0</v>
      </c>
      <c r="B11218" s="9" t="s">
        <v>16569</v>
      </c>
      <c r="C11218" s="9" t="s">
        <v>443</v>
      </c>
      <c r="D11218" s="9" t="s">
        <v>107</v>
      </c>
      <c r="E11218" s="6" t="s">
        <v>10379</v>
      </c>
      <c r="F11218" s="9" t="s">
        <v>17445</v>
      </c>
    </row>
    <row r="11219" ht="33.75" customHeight="1">
      <c r="A11219" s="7">
        <v>476.0</v>
      </c>
      <c r="B11219" s="9" t="s">
        <v>16569</v>
      </c>
      <c r="C11219" s="9" t="s">
        <v>443</v>
      </c>
      <c r="D11219" s="9" t="s">
        <v>109</v>
      </c>
      <c r="E11219" s="6" t="s">
        <v>10381</v>
      </c>
      <c r="F11219" s="9" t="s">
        <v>17445</v>
      </c>
    </row>
    <row r="11220" ht="33.75" customHeight="1">
      <c r="A11220" s="7">
        <v>476.0</v>
      </c>
      <c r="B11220" s="9" t="s">
        <v>16569</v>
      </c>
      <c r="C11220" s="9" t="s">
        <v>443</v>
      </c>
      <c r="D11220" s="9" t="s">
        <v>637</v>
      </c>
      <c r="E11220" s="6" t="s">
        <v>10385</v>
      </c>
      <c r="F11220" s="9" t="s">
        <v>17445</v>
      </c>
    </row>
    <row r="11221" ht="33.75" customHeight="1">
      <c r="A11221" s="7">
        <v>476.0</v>
      </c>
      <c r="B11221" s="9" t="s">
        <v>16569</v>
      </c>
      <c r="C11221" s="9" t="s">
        <v>443</v>
      </c>
      <c r="D11221" s="9" t="s">
        <v>642</v>
      </c>
      <c r="E11221" s="6" t="s">
        <v>10386</v>
      </c>
      <c r="F11221" s="9" t="s">
        <v>17445</v>
      </c>
    </row>
    <row r="11222" ht="33.75" customHeight="1">
      <c r="A11222" s="7">
        <v>476.0</v>
      </c>
      <c r="B11222" s="9" t="s">
        <v>16569</v>
      </c>
      <c r="C11222" s="9" t="s">
        <v>443</v>
      </c>
      <c r="D11222" s="9" t="s">
        <v>647</v>
      </c>
      <c r="E11222" s="6" t="s">
        <v>10388</v>
      </c>
      <c r="F11222" s="9" t="s">
        <v>17445</v>
      </c>
    </row>
    <row r="11223" ht="33.75" customHeight="1">
      <c r="A11223" s="7">
        <v>476.0</v>
      </c>
      <c r="B11223" s="9" t="s">
        <v>16569</v>
      </c>
      <c r="C11223" s="9" t="s">
        <v>443</v>
      </c>
      <c r="D11223" s="9" t="s">
        <v>652</v>
      </c>
      <c r="E11223" s="6" t="s">
        <v>10389</v>
      </c>
      <c r="F11223" s="9" t="s">
        <v>17445</v>
      </c>
    </row>
    <row r="11224" ht="33.75" customHeight="1">
      <c r="A11224" s="7">
        <v>476.0</v>
      </c>
      <c r="B11224" s="9" t="s">
        <v>16569</v>
      </c>
      <c r="C11224" s="9" t="s">
        <v>443</v>
      </c>
      <c r="D11224" s="9" t="s">
        <v>1577</v>
      </c>
      <c r="E11224" s="6" t="s">
        <v>10391</v>
      </c>
      <c r="F11224" s="9" t="s">
        <v>17445</v>
      </c>
    </row>
    <row r="11225" ht="33.75" customHeight="1">
      <c r="A11225" s="7">
        <v>477.0</v>
      </c>
      <c r="B11225" s="9" t="s">
        <v>16580</v>
      </c>
      <c r="C11225" s="9" t="s">
        <v>724</v>
      </c>
      <c r="D11225" s="9" t="s">
        <v>81</v>
      </c>
      <c r="E11225" s="6" t="s">
        <v>10392</v>
      </c>
      <c r="F11225" s="9" t="s">
        <v>17456</v>
      </c>
      <c r="G11225" t="inlineStr" s="6">
        <is>
          <t xml:space="preserve">The antenna on Dusknoir's head captures radio waves from the world of spirits that command it to take people there. It is said to take lost spirits into its pliant body and guide them home. This feared Pokémon is said to travel to worlds unknown. Some even believe that it takes lost spirits along with it. At the bidding of transmissions from the spirit world, it steals people and Pokémon away. No one knows whether it has a will of its own. With the mouth on its belly, Dusknoir swallows its target whole. The soul is the only thing eaten— Dusknoir disgorges the body before departing. Comes to those whose lives have come to an end and escorts their souls to the afterlife. Known to mistakenly take the souls of those who yet have life left in them, albeit rarely.</t>
        </is>
      </c>
    </row>
    <row r="11226" ht="33.75" customHeight="1">
      <c r="A11226" s="7">
        <v>477.0</v>
      </c>
      <c r="B11226" s="9" t="s">
        <v>16580</v>
      </c>
      <c r="C11226" s="9" t="s">
        <v>724</v>
      </c>
      <c r="D11226" s="9" t="s">
        <v>84</v>
      </c>
      <c r="E11226" s="6" t="s">
        <v>10392</v>
      </c>
      <c r="F11226" s="9" t="s">
        <v>17456</v>
      </c>
    </row>
    <row r="11227" ht="33.75" customHeight="1">
      <c r="A11227" s="7">
        <v>477.0</v>
      </c>
      <c r="B11227" s="9" t="s">
        <v>16580</v>
      </c>
      <c r="C11227" s="9" t="s">
        <v>724</v>
      </c>
      <c r="D11227" s="9" t="s">
        <v>87</v>
      </c>
      <c r="E11227" s="6" t="s">
        <v>10393</v>
      </c>
      <c r="F11227" s="9" t="s">
        <v>17456</v>
      </c>
    </row>
    <row r="11228" ht="33.75" customHeight="1">
      <c r="A11228" s="7">
        <v>477.0</v>
      </c>
      <c r="B11228" s="9" t="s">
        <v>16580</v>
      </c>
      <c r="C11228" s="9" t="s">
        <v>724</v>
      </c>
      <c r="D11228" s="9" t="s">
        <v>89</v>
      </c>
      <c r="E11228" s="6" t="s">
        <v>10394</v>
      </c>
      <c r="F11228" s="9" t="s">
        <v>17456</v>
      </c>
    </row>
    <row r="11229" ht="33.75" customHeight="1">
      <c r="A11229" s="7">
        <v>477.0</v>
      </c>
      <c r="B11229" s="9" t="s">
        <v>16580</v>
      </c>
      <c r="C11229" s="9" t="s">
        <v>724</v>
      </c>
      <c r="D11229" s="9" t="s">
        <v>91</v>
      </c>
      <c r="E11229" s="6" t="s">
        <v>10394</v>
      </c>
      <c r="F11229" s="9" t="s">
        <v>17456</v>
      </c>
    </row>
    <row r="11230" ht="33.75" customHeight="1">
      <c r="A11230" s="7">
        <v>477.0</v>
      </c>
      <c r="B11230" s="9" t="s">
        <v>16580</v>
      </c>
      <c r="C11230" s="9" t="s">
        <v>724</v>
      </c>
      <c r="D11230" s="9" t="s">
        <v>93</v>
      </c>
      <c r="E11230" s="6" t="s">
        <v>10393</v>
      </c>
      <c r="F11230" s="9" t="s">
        <v>17456</v>
      </c>
    </row>
    <row r="11231" ht="33.75" customHeight="1">
      <c r="A11231" s="7">
        <v>477.0</v>
      </c>
      <c r="B11231" s="9" t="s">
        <v>16580</v>
      </c>
      <c r="C11231" s="9" t="s">
        <v>724</v>
      </c>
      <c r="D11231" s="9" t="s">
        <v>95</v>
      </c>
      <c r="E11231" s="6" t="s">
        <v>10393</v>
      </c>
      <c r="F11231" s="9" t="s">
        <v>17456</v>
      </c>
    </row>
    <row r="11232" ht="33.75" customHeight="1">
      <c r="A11232" s="7">
        <v>477.0</v>
      </c>
      <c r="B11232" s="9" t="s">
        <v>16580</v>
      </c>
      <c r="C11232" s="9" t="s">
        <v>724</v>
      </c>
      <c r="D11232" s="9" t="s">
        <v>98</v>
      </c>
      <c r="E11232" s="6" t="s">
        <v>10393</v>
      </c>
      <c r="F11232" s="9" t="s">
        <v>17456</v>
      </c>
    </row>
    <row r="11233" ht="33.75" customHeight="1">
      <c r="A11233" s="7">
        <v>477.0</v>
      </c>
      <c r="B11233" s="9" t="s">
        <v>16580</v>
      </c>
      <c r="C11233" s="9" t="s">
        <v>724</v>
      </c>
      <c r="D11233" s="9" t="s">
        <v>99</v>
      </c>
      <c r="E11233" s="6" t="s">
        <v>10393</v>
      </c>
      <c r="F11233" s="9" t="s">
        <v>17456</v>
      </c>
    </row>
    <row r="11234" ht="33.75" customHeight="1">
      <c r="A11234" s="7">
        <v>477.0</v>
      </c>
      <c r="B11234" s="9" t="s">
        <v>16580</v>
      </c>
      <c r="C11234" s="9" t="s">
        <v>724</v>
      </c>
      <c r="D11234" s="9" t="s">
        <v>101</v>
      </c>
      <c r="E11234" s="6" t="s">
        <v>10393</v>
      </c>
      <c r="F11234" s="9" t="s">
        <v>17456</v>
      </c>
    </row>
    <row r="11235" ht="33.75" customHeight="1">
      <c r="A11235" s="7">
        <v>477.0</v>
      </c>
      <c r="B11235" s="9" t="s">
        <v>16580</v>
      </c>
      <c r="C11235" s="9" t="s">
        <v>724</v>
      </c>
      <c r="D11235" s="9" t="s">
        <v>105</v>
      </c>
      <c r="E11235" s="6" t="s">
        <v>10392</v>
      </c>
      <c r="F11235" s="9" t="s">
        <v>17456</v>
      </c>
    </row>
    <row r="11236" ht="33.75" customHeight="1">
      <c r="A11236" s="7">
        <v>477.0</v>
      </c>
      <c r="B11236" s="9" t="s">
        <v>16580</v>
      </c>
      <c r="C11236" s="9" t="s">
        <v>724</v>
      </c>
      <c r="D11236" s="9" t="s">
        <v>107</v>
      </c>
      <c r="E11236" s="6" t="s">
        <v>10393</v>
      </c>
      <c r="F11236" s="9" t="s">
        <v>17456</v>
      </c>
    </row>
    <row r="11237" ht="33.75" customHeight="1">
      <c r="A11237" s="7">
        <v>477.0</v>
      </c>
      <c r="B11237" s="9" t="s">
        <v>16580</v>
      </c>
      <c r="C11237" s="9" t="s">
        <v>724</v>
      </c>
      <c r="D11237" s="9" t="s">
        <v>109</v>
      </c>
      <c r="E11237" s="6" t="s">
        <v>10392</v>
      </c>
      <c r="F11237" s="9" t="s">
        <v>17456</v>
      </c>
    </row>
    <row r="11238" ht="33.75" customHeight="1">
      <c r="A11238" s="7">
        <v>477.0</v>
      </c>
      <c r="B11238" s="9" t="s">
        <v>16580</v>
      </c>
      <c r="C11238" s="9" t="s">
        <v>724</v>
      </c>
      <c r="D11238" s="9" t="s">
        <v>114</v>
      </c>
      <c r="E11238" s="6" t="s">
        <v>10395</v>
      </c>
      <c r="F11238" s="9" t="s">
        <v>17456</v>
      </c>
    </row>
    <row r="11239" ht="33.75" customHeight="1">
      <c r="A11239" s="7">
        <v>477.0</v>
      </c>
      <c r="B11239" s="9" t="s">
        <v>16580</v>
      </c>
      <c r="C11239" s="9" t="s">
        <v>724</v>
      </c>
      <c r="D11239" s="9" t="s">
        <v>117</v>
      </c>
      <c r="E11239" s="6" t="s">
        <v>10396</v>
      </c>
      <c r="F11239" s="9" t="s">
        <v>17456</v>
      </c>
    </row>
    <row r="11240" ht="33.75" customHeight="1">
      <c r="A11240" s="7">
        <v>477.0</v>
      </c>
      <c r="B11240" s="9" t="s">
        <v>16580</v>
      </c>
      <c r="C11240" s="9" t="s">
        <v>724</v>
      </c>
      <c r="D11240" s="9" t="s">
        <v>1577</v>
      </c>
      <c r="E11240" s="6" t="s">
        <v>10397</v>
      </c>
      <c r="F11240" s="9" t="s">
        <v>17456</v>
      </c>
    </row>
    <row r="11241" ht="33.75" customHeight="1">
      <c r="A11241" s="7">
        <v>478.0</v>
      </c>
      <c r="B11241" s="9" t="s">
        <v>16589</v>
      </c>
      <c r="C11241" s="9" t="s">
        <v>727</v>
      </c>
      <c r="D11241" s="9" t="s">
        <v>81</v>
      </c>
      <c r="E11241" s="6" t="s">
        <v>10398</v>
      </c>
      <c r="F11241" s="9" t="s">
        <v>17470</v>
      </c>
      <c r="G11241" t="inlineStr" s="6">
        <is>
          <t xml:space="preserve">It freezes foes with an icy breath nearly -60 degrees F. What seems to be its body is actually hollow. It freezes prey by blowing its -58 degrees F breath. It is said to then secretly display its prey. Legends in snowy regions say that a woman who was lost on an icy mountain was reborn as FROSLASS. Legends in snowy regions say that a woman who was lost on an icy mountain was reborn as FROSLASS It freezes foes with an icy breath nearly -60 degrees Fahrenheit. When it finds humans or Pokémon it likes, it freezes them and takes them to its chilly den, where they become decorations. The soul of a woman lost on a snowy mountain possessed an icicle, becoming this Pokémon. The food it most relishes is the souls of men. It freezes hikers who have come to climb snowy mountains and carries them back to its home. It only goes after men it thinks are handsome. It’s said that on nights of terrible blizzards, it comes down to human settlements. If you hear it knocking at your door, do not open it! After a woman met her end on a snowy mountain, her regrets lingered on. From them, this Pokémon was born. Its favorite food is frozen souls. It spits out cold air of nearly −60 degrees Fahrenheit to freeze its quarry. It brings frozen prey back to its lair and neatly lines them up. A Pokémon inhabited by the soul of a woman who died bearing a grudge in the snowy mountains. Legends of Froslass placing deathly curses on misbehaving men send shivers down my spine.</t>
        </is>
      </c>
    </row>
    <row r="11242" ht="33.75" customHeight="1">
      <c r="A11242" s="7">
        <v>478.0</v>
      </c>
      <c r="B11242" s="9" t="s">
        <v>16589</v>
      </c>
      <c r="C11242" s="9" t="s">
        <v>727</v>
      </c>
      <c r="D11242" s="9" t="s">
        <v>84</v>
      </c>
      <c r="E11242" s="6" t="s">
        <v>10398</v>
      </c>
      <c r="F11242" s="9" t="s">
        <v>17470</v>
      </c>
    </row>
    <row r="11243" ht="33.75" customHeight="1">
      <c r="A11243" s="7">
        <v>478.0</v>
      </c>
      <c r="B11243" s="9" t="s">
        <v>16589</v>
      </c>
      <c r="C11243" s="9" t="s">
        <v>727</v>
      </c>
      <c r="D11243" s="9" t="s">
        <v>87</v>
      </c>
      <c r="E11243" s="6" t="s">
        <v>10399</v>
      </c>
      <c r="F11243" s="9" t="s">
        <v>17470</v>
      </c>
    </row>
    <row r="11244" ht="33.75" customHeight="1">
      <c r="A11244" s="7">
        <v>478.0</v>
      </c>
      <c r="B11244" s="9" t="s">
        <v>16589</v>
      </c>
      <c r="C11244" s="9" t="s">
        <v>727</v>
      </c>
      <c r="D11244" s="9" t="s">
        <v>89</v>
      </c>
      <c r="E11244" s="6" t="s">
        <v>10400</v>
      </c>
      <c r="F11244" s="9" t="s">
        <v>17470</v>
      </c>
    </row>
    <row r="11245" ht="33.75" customHeight="1">
      <c r="A11245" s="7">
        <v>478.0</v>
      </c>
      <c r="B11245" s="9" t="s">
        <v>16589</v>
      </c>
      <c r="C11245" s="9" t="s">
        <v>727</v>
      </c>
      <c r="D11245" s="9" t="s">
        <v>91</v>
      </c>
      <c r="E11245" s="6" t="s">
        <v>10401</v>
      </c>
      <c r="F11245" s="9" t="s">
        <v>17470</v>
      </c>
    </row>
    <row r="11246" ht="33.75" customHeight="1">
      <c r="A11246" s="7">
        <v>478.0</v>
      </c>
      <c r="B11246" s="9" t="s">
        <v>16589</v>
      </c>
      <c r="C11246" s="9" t="s">
        <v>727</v>
      </c>
      <c r="D11246" s="9" t="s">
        <v>93</v>
      </c>
      <c r="E11246" s="6" t="s">
        <v>10399</v>
      </c>
      <c r="F11246" s="9" t="s">
        <v>17470</v>
      </c>
    </row>
    <row r="11247" ht="33.75" customHeight="1">
      <c r="A11247" s="7">
        <v>478.0</v>
      </c>
      <c r="B11247" s="9" t="s">
        <v>16589</v>
      </c>
      <c r="C11247" s="9" t="s">
        <v>727</v>
      </c>
      <c r="D11247" s="9" t="s">
        <v>95</v>
      </c>
      <c r="E11247" s="6" t="s">
        <v>10399</v>
      </c>
      <c r="F11247" s="9" t="s">
        <v>17470</v>
      </c>
    </row>
    <row r="11248" ht="33.75" customHeight="1">
      <c r="A11248" s="7">
        <v>478.0</v>
      </c>
      <c r="B11248" s="9" t="s">
        <v>16589</v>
      </c>
      <c r="C11248" s="9" t="s">
        <v>727</v>
      </c>
      <c r="D11248" s="9" t="s">
        <v>98</v>
      </c>
      <c r="E11248" s="6" t="s">
        <v>10399</v>
      </c>
      <c r="F11248" s="9" t="s">
        <v>17470</v>
      </c>
    </row>
    <row r="11249" ht="33.75" customHeight="1">
      <c r="A11249" s="7">
        <v>478.0</v>
      </c>
      <c r="B11249" s="9" t="s">
        <v>16589</v>
      </c>
      <c r="C11249" s="9" t="s">
        <v>727</v>
      </c>
      <c r="D11249" s="9" t="s">
        <v>99</v>
      </c>
      <c r="E11249" s="6" t="s">
        <v>10399</v>
      </c>
      <c r="F11249" s="9" t="s">
        <v>17470</v>
      </c>
    </row>
    <row r="11250" ht="33.75" customHeight="1">
      <c r="A11250" s="7">
        <v>478.0</v>
      </c>
      <c r="B11250" s="9" t="s">
        <v>16589</v>
      </c>
      <c r="C11250" s="9" t="s">
        <v>727</v>
      </c>
      <c r="D11250" s="9" t="s">
        <v>101</v>
      </c>
      <c r="E11250" s="6" t="s">
        <v>10403</v>
      </c>
      <c r="F11250" s="9" t="s">
        <v>17470</v>
      </c>
    </row>
    <row r="11251" ht="33.75" customHeight="1">
      <c r="A11251" s="7">
        <v>478.0</v>
      </c>
      <c r="B11251" s="9" t="s">
        <v>16589</v>
      </c>
      <c r="C11251" s="9" t="s">
        <v>727</v>
      </c>
      <c r="D11251" s="9" t="s">
        <v>105</v>
      </c>
      <c r="E11251" s="6" t="s">
        <v>10404</v>
      </c>
      <c r="F11251" s="9" t="s">
        <v>17470</v>
      </c>
    </row>
    <row r="11252" ht="33.75" customHeight="1">
      <c r="A11252" s="7">
        <v>478.0</v>
      </c>
      <c r="B11252" s="9" t="s">
        <v>16589</v>
      </c>
      <c r="C11252" s="9" t="s">
        <v>727</v>
      </c>
      <c r="D11252" s="9" t="s">
        <v>107</v>
      </c>
      <c r="E11252" s="6" t="s">
        <v>10403</v>
      </c>
      <c r="F11252" s="9" t="s">
        <v>17470</v>
      </c>
    </row>
    <row r="11253" ht="33.75" customHeight="1">
      <c r="A11253" s="7">
        <v>478.0</v>
      </c>
      <c r="B11253" s="9" t="s">
        <v>16589</v>
      </c>
      <c r="C11253" s="9" t="s">
        <v>727</v>
      </c>
      <c r="D11253" s="9" t="s">
        <v>109</v>
      </c>
      <c r="E11253" s="6" t="s">
        <v>10404</v>
      </c>
      <c r="F11253" s="9" t="s">
        <v>17470</v>
      </c>
    </row>
    <row r="11254" ht="33.75" customHeight="1">
      <c r="A11254" s="7">
        <v>478.0</v>
      </c>
      <c r="B11254" s="9" t="s">
        <v>16589</v>
      </c>
      <c r="C11254" s="9" t="s">
        <v>727</v>
      </c>
      <c r="D11254" s="9" t="s">
        <v>637</v>
      </c>
      <c r="E11254" s="6" t="s">
        <v>10406</v>
      </c>
      <c r="F11254" s="9" t="s">
        <v>17470</v>
      </c>
    </row>
    <row r="11255" ht="33.75" customHeight="1">
      <c r="A11255" s="7">
        <v>478.0</v>
      </c>
      <c r="B11255" s="9" t="s">
        <v>16589</v>
      </c>
      <c r="C11255" s="9" t="s">
        <v>727</v>
      </c>
      <c r="D11255" s="9" t="s">
        <v>642</v>
      </c>
      <c r="E11255" s="6" t="s">
        <v>10408</v>
      </c>
      <c r="F11255" s="9" t="s">
        <v>17470</v>
      </c>
    </row>
    <row r="11256" ht="33.75" customHeight="1">
      <c r="A11256" s="7">
        <v>478.0</v>
      </c>
      <c r="B11256" s="9" t="s">
        <v>16589</v>
      </c>
      <c r="C11256" s="9" t="s">
        <v>727</v>
      </c>
      <c r="D11256" s="9" t="s">
        <v>647</v>
      </c>
      <c r="E11256" s="6" t="s">
        <v>10409</v>
      </c>
      <c r="F11256" s="9" t="s">
        <v>17470</v>
      </c>
    </row>
    <row r="11257" ht="33.75" customHeight="1">
      <c r="A11257" s="7">
        <v>478.0</v>
      </c>
      <c r="B11257" s="9" t="s">
        <v>16589</v>
      </c>
      <c r="C11257" s="9" t="s">
        <v>727</v>
      </c>
      <c r="D11257" s="9" t="s">
        <v>652</v>
      </c>
      <c r="E11257" s="6" t="s">
        <v>10411</v>
      </c>
      <c r="F11257" s="9" t="s">
        <v>17470</v>
      </c>
    </row>
    <row r="11258" ht="33.75" customHeight="1">
      <c r="A11258" s="7">
        <v>478.0</v>
      </c>
      <c r="B11258" s="9" t="s">
        <v>16589</v>
      </c>
      <c r="C11258" s="9" t="s">
        <v>727</v>
      </c>
      <c r="D11258" s="9" t="s">
        <v>114</v>
      </c>
      <c r="E11258" s="6" t="s">
        <v>10412</v>
      </c>
      <c r="F11258" s="9" t="s">
        <v>17470</v>
      </c>
    </row>
    <row r="11259" ht="33.75" customHeight="1">
      <c r="A11259" s="7">
        <v>478.0</v>
      </c>
      <c r="B11259" s="9" t="s">
        <v>16589</v>
      </c>
      <c r="C11259" s="9" t="s">
        <v>727</v>
      </c>
      <c r="D11259" s="9" t="s">
        <v>117</v>
      </c>
      <c r="E11259" s="6" t="s">
        <v>10414</v>
      </c>
      <c r="F11259" s="9" t="s">
        <v>17470</v>
      </c>
    </row>
    <row r="11260" ht="33.75" customHeight="1">
      <c r="A11260" s="7">
        <v>478.0</v>
      </c>
      <c r="B11260" s="9" t="s">
        <v>16589</v>
      </c>
      <c r="C11260" s="9" t="s">
        <v>727</v>
      </c>
      <c r="D11260" s="9" t="s">
        <v>1577</v>
      </c>
      <c r="E11260" s="6" t="s">
        <v>10416</v>
      </c>
      <c r="F11260" s="9" t="s">
        <v>17470</v>
      </c>
    </row>
    <row r="11261" ht="33.75" customHeight="1">
      <c r="A11261" s="7">
        <v>479.0</v>
      </c>
      <c r="B11261" s="9" t="s">
        <v>16605</v>
      </c>
      <c r="C11261" s="9" t="s">
        <v>729</v>
      </c>
      <c r="D11261" s="9" t="s">
        <v>81</v>
      </c>
      <c r="E11261" s="6" t="s">
        <v>10417</v>
      </c>
      <c r="F11261" s="9" t="s">
        <v>17492</v>
      </c>
      <c r="G11261" t="inlineStr" s="6">
        <is>
          <t xml:space="preserve">Rotom's body is composed of plasma. It is known to infiltrate electronic devices and wreak havoc. Its electric-like body can enter some kinds of machines and take control in order to make mischief. Research continues on this Pokémon, which could be the power source of a unique motor. One boy’s invention led to the development of many different machines that take advantage of Rotom’s unique capabilities. With a body made of plasma, it can inhabit all sorts of machines. It loves to surprise others. This bizarre Pokémon appears to be a will-o'-the-wisp powered by electricity. Be wary, as Rotom is both smart and mischievous.</t>
        </is>
      </c>
    </row>
    <row r="11262" ht="33.75" customHeight="1">
      <c r="A11262" s="7">
        <v>479.0</v>
      </c>
      <c r="B11262" s="9" t="s">
        <v>16605</v>
      </c>
      <c r="C11262" s="9" t="s">
        <v>729</v>
      </c>
      <c r="D11262" s="9" t="s">
        <v>84</v>
      </c>
      <c r="E11262" s="6" t="s">
        <v>10417</v>
      </c>
      <c r="F11262" s="9" t="s">
        <v>17492</v>
      </c>
    </row>
    <row r="11263" ht="33.75" customHeight="1">
      <c r="A11263" s="7">
        <v>479.0</v>
      </c>
      <c r="B11263" s="9" t="s">
        <v>16605</v>
      </c>
      <c r="C11263" s="9" t="s">
        <v>729</v>
      </c>
      <c r="D11263" s="9" t="s">
        <v>87</v>
      </c>
      <c r="E11263" s="6" t="s">
        <v>10419</v>
      </c>
      <c r="F11263" s="9" t="s">
        <v>17492</v>
      </c>
    </row>
    <row r="11264" ht="33.75" customHeight="1">
      <c r="A11264" s="7">
        <v>479.0</v>
      </c>
      <c r="B11264" s="9" t="s">
        <v>16605</v>
      </c>
      <c r="C11264" s="9" t="s">
        <v>729</v>
      </c>
      <c r="D11264" s="9" t="s">
        <v>89</v>
      </c>
      <c r="E11264" s="6" t="s">
        <v>10421</v>
      </c>
      <c r="F11264" s="9" t="s">
        <v>17492</v>
      </c>
    </row>
    <row r="11265" ht="33.75" customHeight="1">
      <c r="A11265" s="7">
        <v>479.0</v>
      </c>
      <c r="B11265" s="9" t="s">
        <v>16605</v>
      </c>
      <c r="C11265" s="9" t="s">
        <v>729</v>
      </c>
      <c r="D11265" s="9" t="s">
        <v>91</v>
      </c>
      <c r="E11265" s="6" t="s">
        <v>10421</v>
      </c>
      <c r="F11265" s="9" t="s">
        <v>17492</v>
      </c>
    </row>
    <row r="11266" ht="33.75" customHeight="1">
      <c r="A11266" s="7">
        <v>479.0</v>
      </c>
      <c r="B11266" s="9" t="s">
        <v>16605</v>
      </c>
      <c r="C11266" s="9" t="s">
        <v>729</v>
      </c>
      <c r="D11266" s="9" t="s">
        <v>93</v>
      </c>
      <c r="E11266" s="6" t="s">
        <v>10419</v>
      </c>
      <c r="F11266" s="9" t="s">
        <v>17492</v>
      </c>
    </row>
    <row r="11267" ht="33.75" customHeight="1">
      <c r="A11267" s="7">
        <v>479.0</v>
      </c>
      <c r="B11267" s="9" t="s">
        <v>16605</v>
      </c>
      <c r="C11267" s="9" t="s">
        <v>729</v>
      </c>
      <c r="D11267" s="9" t="s">
        <v>95</v>
      </c>
      <c r="E11267" s="6" t="s">
        <v>10419</v>
      </c>
      <c r="F11267" s="9" t="s">
        <v>17492</v>
      </c>
    </row>
    <row r="11268" ht="33.75" customHeight="1">
      <c r="A11268" s="7">
        <v>479.0</v>
      </c>
      <c r="B11268" s="9" t="s">
        <v>16605</v>
      </c>
      <c r="C11268" s="9" t="s">
        <v>729</v>
      </c>
      <c r="D11268" s="9" t="s">
        <v>98</v>
      </c>
      <c r="E11268" s="6" t="s">
        <v>10419</v>
      </c>
      <c r="F11268" s="9" t="s">
        <v>17492</v>
      </c>
    </row>
    <row r="11269" ht="33.75" customHeight="1">
      <c r="A11269" s="7">
        <v>479.0</v>
      </c>
      <c r="B11269" s="9" t="s">
        <v>16605</v>
      </c>
      <c r="C11269" s="9" t="s">
        <v>729</v>
      </c>
      <c r="D11269" s="9" t="s">
        <v>99</v>
      </c>
      <c r="E11269" s="6" t="s">
        <v>10419</v>
      </c>
      <c r="F11269" s="9" t="s">
        <v>17492</v>
      </c>
    </row>
    <row r="11270" ht="33.75" customHeight="1">
      <c r="A11270" s="7">
        <v>479.0</v>
      </c>
      <c r="B11270" s="9" t="s">
        <v>16605</v>
      </c>
      <c r="C11270" s="9" t="s">
        <v>729</v>
      </c>
      <c r="D11270" s="9" t="s">
        <v>101</v>
      </c>
      <c r="E11270" s="6" t="s">
        <v>10421</v>
      </c>
      <c r="F11270" s="9" t="s">
        <v>17492</v>
      </c>
    </row>
    <row r="11271" ht="33.75" customHeight="1">
      <c r="A11271" s="7">
        <v>479.0</v>
      </c>
      <c r="B11271" s="9" t="s">
        <v>16605</v>
      </c>
      <c r="C11271" s="9" t="s">
        <v>729</v>
      </c>
      <c r="D11271" s="9" t="s">
        <v>105</v>
      </c>
      <c r="E11271" s="6" t="s">
        <v>10417</v>
      </c>
      <c r="F11271" s="9" t="s">
        <v>17492</v>
      </c>
    </row>
    <row r="11272" ht="33.75" customHeight="1">
      <c r="A11272" s="7">
        <v>479.0</v>
      </c>
      <c r="B11272" s="9" t="s">
        <v>16605</v>
      </c>
      <c r="C11272" s="9" t="s">
        <v>729</v>
      </c>
      <c r="D11272" s="9" t="s">
        <v>107</v>
      </c>
      <c r="E11272" s="6" t="s">
        <v>10421</v>
      </c>
      <c r="F11272" s="9" t="s">
        <v>17492</v>
      </c>
    </row>
    <row r="11273" ht="33.75" customHeight="1">
      <c r="A11273" s="7">
        <v>479.0</v>
      </c>
      <c r="B11273" s="9" t="s">
        <v>16605</v>
      </c>
      <c r="C11273" s="9" t="s">
        <v>729</v>
      </c>
      <c r="D11273" s="9" t="s">
        <v>109</v>
      </c>
      <c r="E11273" s="6" t="s">
        <v>10417</v>
      </c>
      <c r="F11273" s="9" t="s">
        <v>17492</v>
      </c>
    </row>
    <row r="11274" ht="33.75" customHeight="1">
      <c r="A11274" s="7">
        <v>479.0</v>
      </c>
      <c r="B11274" s="9" t="s">
        <v>16605</v>
      </c>
      <c r="C11274" s="9" t="s">
        <v>729</v>
      </c>
      <c r="D11274" s="9" t="s">
        <v>114</v>
      </c>
      <c r="E11274" s="6" t="s">
        <v>10422</v>
      </c>
      <c r="F11274" s="9" t="s">
        <v>17492</v>
      </c>
    </row>
    <row r="11275" ht="33.75" customHeight="1">
      <c r="A11275" s="7">
        <v>479.0</v>
      </c>
      <c r="B11275" s="9" t="s">
        <v>16605</v>
      </c>
      <c r="C11275" s="9" t="s">
        <v>729</v>
      </c>
      <c r="D11275" s="9" t="s">
        <v>117</v>
      </c>
      <c r="E11275" s="6" t="s">
        <v>10423</v>
      </c>
      <c r="F11275" s="9" t="s">
        <v>17492</v>
      </c>
    </row>
    <row r="11276" ht="33.75" customHeight="1">
      <c r="A11276" s="7">
        <v>479.0</v>
      </c>
      <c r="B11276" s="9" t="s">
        <v>16605</v>
      </c>
      <c r="C11276" s="9" t="s">
        <v>729</v>
      </c>
      <c r="D11276" s="9" t="s">
        <v>1577</v>
      </c>
      <c r="E11276" s="6" t="s">
        <v>10424</v>
      </c>
      <c r="F11276" s="9" t="s">
        <v>17492</v>
      </c>
    </row>
    <row r="11277" ht="33.75" customHeight="1">
      <c r="A11277" s="7">
        <v>480.0</v>
      </c>
      <c r="B11277" s="9" t="s">
        <v>16615</v>
      </c>
      <c r="C11277" s="9" t="s">
        <v>730</v>
      </c>
      <c r="D11277" s="9" t="s">
        <v>81</v>
      </c>
      <c r="E11277" s="6" t="s">
        <v>10425</v>
      </c>
      <c r="F11277" s="9" t="s">
        <v>17499</v>
      </c>
      <c r="G11277" t="inlineStr" s="6">
        <is>
          <t xml:space="preserve">Known as “The Being of Knowledge. It is said that it can wipe out the memory of those who see its eyes. It is said that its emergence gave humans the intelligence to improve their quality of life. When UXIE flew, people gained the ability to solve problems. It was the birth of knowledge. According to some sources, this Pokémon provided people with the intelligence necessary to solve various problems. A Pokémon feared but also respected for stealing away the memories of evildoers. I have found records that suggest Uxie holds dominion over knowledge.</t>
        </is>
      </c>
    </row>
    <row r="11278" ht="33.75" customHeight="1">
      <c r="A11278" s="7">
        <v>480.0</v>
      </c>
      <c r="B11278" s="9" t="s">
        <v>16615</v>
      </c>
      <c r="C11278" s="9" t="s">
        <v>730</v>
      </c>
      <c r="D11278" s="9" t="s">
        <v>84</v>
      </c>
      <c r="E11278" s="6" t="s">
        <v>10427</v>
      </c>
      <c r="F11278" s="9" t="s">
        <v>17499</v>
      </c>
    </row>
    <row r="11279" ht="33.75" customHeight="1">
      <c r="A11279" s="7">
        <v>480.0</v>
      </c>
      <c r="B11279" s="9" t="s">
        <v>16615</v>
      </c>
      <c r="C11279" s="9" t="s">
        <v>730</v>
      </c>
      <c r="D11279" s="9" t="s">
        <v>87</v>
      </c>
      <c r="E11279" s="6" t="s">
        <v>10428</v>
      </c>
      <c r="F11279" s="9" t="s">
        <v>17499</v>
      </c>
    </row>
    <row r="11280" ht="33.75" customHeight="1">
      <c r="A11280" s="7">
        <v>480.0</v>
      </c>
      <c r="B11280" s="9" t="s">
        <v>16615</v>
      </c>
      <c r="C11280" s="9" t="s">
        <v>730</v>
      </c>
      <c r="D11280" s="9" t="s">
        <v>89</v>
      </c>
      <c r="E11280" s="6" t="s">
        <v>10429</v>
      </c>
      <c r="F11280" s="9" t="s">
        <v>17499</v>
      </c>
    </row>
    <row r="11281" ht="33.75" customHeight="1">
      <c r="A11281" s="7">
        <v>480.0</v>
      </c>
      <c r="B11281" s="9" t="s">
        <v>16615</v>
      </c>
      <c r="C11281" s="9" t="s">
        <v>730</v>
      </c>
      <c r="D11281" s="9" t="s">
        <v>91</v>
      </c>
      <c r="E11281" s="6" t="s">
        <v>10429</v>
      </c>
      <c r="F11281" s="9" t="s">
        <v>17499</v>
      </c>
    </row>
    <row r="11282" ht="33.75" customHeight="1">
      <c r="A11282" s="7">
        <v>480.0</v>
      </c>
      <c r="B11282" s="9" t="s">
        <v>16615</v>
      </c>
      <c r="C11282" s="9" t="s">
        <v>730</v>
      </c>
      <c r="D11282" s="9" t="s">
        <v>93</v>
      </c>
      <c r="E11282" s="6" t="s">
        <v>10430</v>
      </c>
      <c r="F11282" s="9" t="s">
        <v>17499</v>
      </c>
    </row>
    <row r="11283" ht="33.75" customHeight="1">
      <c r="A11283" s="7">
        <v>480.0</v>
      </c>
      <c r="B11283" s="9" t="s">
        <v>16615</v>
      </c>
      <c r="C11283" s="9" t="s">
        <v>730</v>
      </c>
      <c r="D11283" s="9" t="s">
        <v>95</v>
      </c>
      <c r="E11283" s="6" t="s">
        <v>10430</v>
      </c>
      <c r="F11283" s="9" t="s">
        <v>17499</v>
      </c>
    </row>
    <row r="11284" ht="33.75" customHeight="1">
      <c r="A11284" s="7">
        <v>480.0</v>
      </c>
      <c r="B11284" s="9" t="s">
        <v>16615</v>
      </c>
      <c r="C11284" s="9" t="s">
        <v>730</v>
      </c>
      <c r="D11284" s="9" t="s">
        <v>98</v>
      </c>
      <c r="E11284" s="6" t="s">
        <v>10430</v>
      </c>
      <c r="F11284" s="9" t="s">
        <v>17499</v>
      </c>
    </row>
    <row r="11285" ht="33.75" customHeight="1">
      <c r="A11285" s="7">
        <v>480.0</v>
      </c>
      <c r="B11285" s="9" t="s">
        <v>16615</v>
      </c>
      <c r="C11285" s="9" t="s">
        <v>730</v>
      </c>
      <c r="D11285" s="9" t="s">
        <v>99</v>
      </c>
      <c r="E11285" s="6" t="s">
        <v>10430</v>
      </c>
      <c r="F11285" s="9" t="s">
        <v>17499</v>
      </c>
    </row>
    <row r="11286" ht="33.75" customHeight="1">
      <c r="A11286" s="7">
        <v>480.0</v>
      </c>
      <c r="B11286" s="9" t="s">
        <v>16615</v>
      </c>
      <c r="C11286" s="9" t="s">
        <v>730</v>
      </c>
      <c r="D11286" s="9" t="s">
        <v>101</v>
      </c>
      <c r="E11286" s="6" t="s">
        <v>10425</v>
      </c>
      <c r="F11286" s="9" t="s">
        <v>17499</v>
      </c>
    </row>
    <row r="11287" ht="33.75" customHeight="1">
      <c r="A11287" s="7">
        <v>480.0</v>
      </c>
      <c r="B11287" s="9" t="s">
        <v>16615</v>
      </c>
      <c r="C11287" s="9" t="s">
        <v>730</v>
      </c>
      <c r="D11287" s="9" t="s">
        <v>105</v>
      </c>
      <c r="E11287" s="6" t="s">
        <v>10427</v>
      </c>
      <c r="F11287" s="9" t="s">
        <v>17499</v>
      </c>
    </row>
    <row r="11288" ht="33.75" customHeight="1">
      <c r="A11288" s="7">
        <v>480.0</v>
      </c>
      <c r="B11288" s="9" t="s">
        <v>16615</v>
      </c>
      <c r="C11288" s="9" t="s">
        <v>730</v>
      </c>
      <c r="D11288" s="9" t="s">
        <v>107</v>
      </c>
      <c r="E11288" s="6" t="s">
        <v>10425</v>
      </c>
      <c r="F11288" s="9" t="s">
        <v>17499</v>
      </c>
    </row>
    <row r="11289" ht="33.75" customHeight="1">
      <c r="A11289" s="7">
        <v>480.0</v>
      </c>
      <c r="B11289" s="9" t="s">
        <v>16615</v>
      </c>
      <c r="C11289" s="9" t="s">
        <v>730</v>
      </c>
      <c r="D11289" s="9" t="s">
        <v>109</v>
      </c>
      <c r="E11289" s="6" t="s">
        <v>10427</v>
      </c>
      <c r="F11289" s="9" t="s">
        <v>17499</v>
      </c>
    </row>
    <row r="11290" ht="33.75" customHeight="1">
      <c r="A11290" s="7">
        <v>480.0</v>
      </c>
      <c r="B11290" s="9" t="s">
        <v>16615</v>
      </c>
      <c r="C11290" s="9" t="s">
        <v>730</v>
      </c>
      <c r="D11290" s="9" t="s">
        <v>1577</v>
      </c>
      <c r="E11290" s="6" t="s">
        <v>10431</v>
      </c>
      <c r="F11290" s="9" t="s">
        <v>17499</v>
      </c>
    </row>
    <row r="11291" ht="33.75" customHeight="1">
      <c r="A11291" s="7">
        <v>481.0</v>
      </c>
      <c r="B11291" s="9" t="s">
        <v>16623</v>
      </c>
      <c r="C11291" s="9" t="s">
        <v>419</v>
      </c>
      <c r="D11291" s="9" t="s">
        <v>81</v>
      </c>
      <c r="E11291" s="6" t="s">
        <v>10432</v>
      </c>
      <c r="F11291" s="9" t="s">
        <v>17507</v>
      </c>
      <c r="G11291" t="inlineStr" s="6">
        <is>
          <t xml:space="preserve">Known as “The Being of Emotion. It taught humans the nobility of sorrow, pain, and joy. It sleeps at the bottom of a lake. Its spirit is said to leave its body to fly on the lake’s surface. When MESPRIT flew, people learned the joy and sadness of living. It was the birth of emotions. This Pokémon is said to have endowed the human heart with emotions, such as sorrow and joy. Known as the Being of Emotion. In legend, this Pokémon was feared, as any who showed disrespect would have their emotions thrown into disarray.</t>
        </is>
      </c>
    </row>
    <row r="11292" ht="33.75" customHeight="1">
      <c r="A11292" s="7">
        <v>481.0</v>
      </c>
      <c r="B11292" s="9" t="s">
        <v>16623</v>
      </c>
      <c r="C11292" s="9" t="s">
        <v>419</v>
      </c>
      <c r="D11292" s="9" t="s">
        <v>84</v>
      </c>
      <c r="E11292" s="6" t="s">
        <v>10433</v>
      </c>
      <c r="F11292" s="9" t="s">
        <v>17507</v>
      </c>
    </row>
    <row r="11293" ht="33.75" customHeight="1">
      <c r="A11293" s="7">
        <v>481.0</v>
      </c>
      <c r="B11293" s="9" t="s">
        <v>16623</v>
      </c>
      <c r="C11293" s="9" t="s">
        <v>419</v>
      </c>
      <c r="D11293" s="9" t="s">
        <v>87</v>
      </c>
      <c r="E11293" s="6" t="s">
        <v>10434</v>
      </c>
      <c r="F11293" s="9" t="s">
        <v>17507</v>
      </c>
    </row>
    <row r="11294" ht="33.75" customHeight="1">
      <c r="A11294" s="7">
        <v>481.0</v>
      </c>
      <c r="B11294" s="9" t="s">
        <v>16623</v>
      </c>
      <c r="C11294" s="9" t="s">
        <v>419</v>
      </c>
      <c r="D11294" s="9" t="s">
        <v>89</v>
      </c>
      <c r="E11294" s="6" t="s">
        <v>10435</v>
      </c>
      <c r="F11294" s="9" t="s">
        <v>17507</v>
      </c>
    </row>
    <row r="11295" ht="33.75" customHeight="1">
      <c r="A11295" s="7">
        <v>481.0</v>
      </c>
      <c r="B11295" s="9" t="s">
        <v>16623</v>
      </c>
      <c r="C11295" s="9" t="s">
        <v>419</v>
      </c>
      <c r="D11295" s="9" t="s">
        <v>91</v>
      </c>
      <c r="E11295" s="6" t="s">
        <v>10435</v>
      </c>
      <c r="F11295" s="9" t="s">
        <v>17507</v>
      </c>
    </row>
    <row r="11296" ht="33.75" customHeight="1">
      <c r="A11296" s="7">
        <v>481.0</v>
      </c>
      <c r="B11296" s="9" t="s">
        <v>16623</v>
      </c>
      <c r="C11296" s="9" t="s">
        <v>419</v>
      </c>
      <c r="D11296" s="9" t="s">
        <v>93</v>
      </c>
      <c r="E11296" s="6" t="s">
        <v>10436</v>
      </c>
      <c r="F11296" s="9" t="s">
        <v>17507</v>
      </c>
    </row>
    <row r="11297" ht="33.75" customHeight="1">
      <c r="A11297" s="7">
        <v>481.0</v>
      </c>
      <c r="B11297" s="9" t="s">
        <v>16623</v>
      </c>
      <c r="C11297" s="9" t="s">
        <v>419</v>
      </c>
      <c r="D11297" s="9" t="s">
        <v>95</v>
      </c>
      <c r="E11297" s="6" t="s">
        <v>10436</v>
      </c>
      <c r="F11297" s="9" t="s">
        <v>17507</v>
      </c>
    </row>
    <row r="11298" ht="33.75" customHeight="1">
      <c r="A11298" s="7">
        <v>481.0</v>
      </c>
      <c r="B11298" s="9" t="s">
        <v>16623</v>
      </c>
      <c r="C11298" s="9" t="s">
        <v>419</v>
      </c>
      <c r="D11298" s="9" t="s">
        <v>98</v>
      </c>
      <c r="E11298" s="6" t="s">
        <v>10436</v>
      </c>
      <c r="F11298" s="9" t="s">
        <v>17507</v>
      </c>
    </row>
    <row r="11299" ht="33.75" customHeight="1">
      <c r="A11299" s="7">
        <v>481.0</v>
      </c>
      <c r="B11299" s="9" t="s">
        <v>16623</v>
      </c>
      <c r="C11299" s="9" t="s">
        <v>419</v>
      </c>
      <c r="D11299" s="9" t="s">
        <v>99</v>
      </c>
      <c r="E11299" s="6" t="s">
        <v>10436</v>
      </c>
      <c r="F11299" s="9" t="s">
        <v>17507</v>
      </c>
    </row>
    <row r="11300" ht="33.75" customHeight="1">
      <c r="A11300" s="7">
        <v>481.0</v>
      </c>
      <c r="B11300" s="9" t="s">
        <v>16623</v>
      </c>
      <c r="C11300" s="9" t="s">
        <v>419</v>
      </c>
      <c r="D11300" s="9" t="s">
        <v>101</v>
      </c>
      <c r="E11300" s="6" t="s">
        <v>10432</v>
      </c>
      <c r="F11300" s="9" t="s">
        <v>17507</v>
      </c>
    </row>
    <row r="11301" ht="33.75" customHeight="1">
      <c r="A11301" s="7">
        <v>481.0</v>
      </c>
      <c r="B11301" s="9" t="s">
        <v>16623</v>
      </c>
      <c r="C11301" s="9" t="s">
        <v>419</v>
      </c>
      <c r="D11301" s="9" t="s">
        <v>105</v>
      </c>
      <c r="E11301" s="6" t="s">
        <v>10433</v>
      </c>
      <c r="F11301" s="9" t="s">
        <v>17507</v>
      </c>
    </row>
    <row r="11302" ht="33.75" customHeight="1">
      <c r="A11302" s="7">
        <v>481.0</v>
      </c>
      <c r="B11302" s="9" t="s">
        <v>16623</v>
      </c>
      <c r="C11302" s="9" t="s">
        <v>419</v>
      </c>
      <c r="D11302" s="9" t="s">
        <v>107</v>
      </c>
      <c r="E11302" s="6" t="s">
        <v>10432</v>
      </c>
      <c r="F11302" s="9" t="s">
        <v>17507</v>
      </c>
    </row>
    <row r="11303" ht="33.75" customHeight="1">
      <c r="A11303" s="7">
        <v>481.0</v>
      </c>
      <c r="B11303" s="9" t="s">
        <v>16623</v>
      </c>
      <c r="C11303" s="9" t="s">
        <v>419</v>
      </c>
      <c r="D11303" s="9" t="s">
        <v>109</v>
      </c>
      <c r="E11303" s="6" t="s">
        <v>10433</v>
      </c>
      <c r="F11303" s="9" t="s">
        <v>17507</v>
      </c>
    </row>
    <row r="11304" ht="33.75" customHeight="1">
      <c r="A11304" s="7">
        <v>481.0</v>
      </c>
      <c r="B11304" s="9" t="s">
        <v>16623</v>
      </c>
      <c r="C11304" s="9" t="s">
        <v>419</v>
      </c>
      <c r="D11304" s="9" t="s">
        <v>1577</v>
      </c>
      <c r="E11304" s="6" t="s">
        <v>10437</v>
      </c>
      <c r="F11304" s="9" t="s">
        <v>17507</v>
      </c>
    </row>
    <row r="11305" ht="33.75" customHeight="1">
      <c r="A11305" s="7">
        <v>482.0</v>
      </c>
      <c r="B11305" s="9" t="s">
        <v>16631</v>
      </c>
      <c r="C11305" s="9" t="s">
        <v>732</v>
      </c>
      <c r="D11305" s="9" t="s">
        <v>81</v>
      </c>
      <c r="E11305" s="6" t="s">
        <v>10439</v>
      </c>
      <c r="F11305" s="9" t="s">
        <v>17525</v>
      </c>
      <c r="G11305" t="inlineStr" s="6">
        <is>
          <t xml:space="preserve">Known as “The Being of Willpower. It sleeps at the bottom of a lake to keep the world in balance. It is thought that UXIE, MESPRIT and AZELF all came from the same egg. When AZELF flew, people gained the determination to do things. It was the birth of willpower. This Pokémon is said to have endowed humans with the determination needed to face any of life’s difficulties. It is thought that Uxie, Mesprit, and Azelf all came from the same egg. The dreaded Being of Willpower. Legends tell of this Pokémon manipulating the will of its adversaries and turning them into puppets of its own.</t>
        </is>
      </c>
    </row>
    <row r="11306" ht="33.75" customHeight="1">
      <c r="A11306" s="7">
        <v>482.0</v>
      </c>
      <c r="B11306" s="9" t="s">
        <v>16631</v>
      </c>
      <c r="C11306" s="9" t="s">
        <v>732</v>
      </c>
      <c r="D11306" s="9" t="s">
        <v>84</v>
      </c>
      <c r="E11306" s="6" t="s">
        <v>10440</v>
      </c>
      <c r="F11306" s="9" t="s">
        <v>17525</v>
      </c>
    </row>
    <row r="11307" ht="33.75" customHeight="1">
      <c r="A11307" s="7">
        <v>482.0</v>
      </c>
      <c r="B11307" s="9" t="s">
        <v>16631</v>
      </c>
      <c r="C11307" s="9" t="s">
        <v>732</v>
      </c>
      <c r="D11307" s="9" t="s">
        <v>87</v>
      </c>
      <c r="E11307" s="6" t="s">
        <v>10441</v>
      </c>
      <c r="F11307" s="9" t="s">
        <v>17525</v>
      </c>
    </row>
    <row r="11308" ht="33.75" customHeight="1">
      <c r="A11308" s="7">
        <v>482.0</v>
      </c>
      <c r="B11308" s="9" t="s">
        <v>16631</v>
      </c>
      <c r="C11308" s="9" t="s">
        <v>732</v>
      </c>
      <c r="D11308" s="9" t="s">
        <v>89</v>
      </c>
      <c r="E11308" s="6" t="s">
        <v>10442</v>
      </c>
      <c r="F11308" s="9" t="s">
        <v>17525</v>
      </c>
    </row>
    <row r="11309" ht="33.75" customHeight="1">
      <c r="A11309" s="7">
        <v>482.0</v>
      </c>
      <c r="B11309" s="9" t="s">
        <v>16631</v>
      </c>
      <c r="C11309" s="9" t="s">
        <v>732</v>
      </c>
      <c r="D11309" s="9" t="s">
        <v>91</v>
      </c>
      <c r="E11309" s="6" t="s">
        <v>10442</v>
      </c>
      <c r="F11309" s="9" t="s">
        <v>17525</v>
      </c>
    </row>
    <row r="11310" ht="33.75" customHeight="1">
      <c r="A11310" s="7">
        <v>482.0</v>
      </c>
      <c r="B11310" s="9" t="s">
        <v>16631</v>
      </c>
      <c r="C11310" s="9" t="s">
        <v>732</v>
      </c>
      <c r="D11310" s="9" t="s">
        <v>93</v>
      </c>
      <c r="E11310" s="6" t="s">
        <v>10443</v>
      </c>
      <c r="F11310" s="9" t="s">
        <v>17525</v>
      </c>
    </row>
    <row r="11311" ht="33.75" customHeight="1">
      <c r="A11311" s="7">
        <v>482.0</v>
      </c>
      <c r="B11311" s="9" t="s">
        <v>16631</v>
      </c>
      <c r="C11311" s="9" t="s">
        <v>732</v>
      </c>
      <c r="D11311" s="9" t="s">
        <v>95</v>
      </c>
      <c r="E11311" s="6" t="s">
        <v>10443</v>
      </c>
      <c r="F11311" s="9" t="s">
        <v>17525</v>
      </c>
    </row>
    <row r="11312" ht="33.75" customHeight="1">
      <c r="A11312" s="7">
        <v>482.0</v>
      </c>
      <c r="B11312" s="9" t="s">
        <v>16631</v>
      </c>
      <c r="C11312" s="9" t="s">
        <v>732</v>
      </c>
      <c r="D11312" s="9" t="s">
        <v>98</v>
      </c>
      <c r="E11312" s="6" t="s">
        <v>10443</v>
      </c>
      <c r="F11312" s="9" t="s">
        <v>17525</v>
      </c>
    </row>
    <row r="11313" ht="33.75" customHeight="1">
      <c r="A11313" s="7">
        <v>482.0</v>
      </c>
      <c r="B11313" s="9" t="s">
        <v>16631</v>
      </c>
      <c r="C11313" s="9" t="s">
        <v>732</v>
      </c>
      <c r="D11313" s="9" t="s">
        <v>99</v>
      </c>
      <c r="E11313" s="6" t="s">
        <v>10443</v>
      </c>
      <c r="F11313" s="9" t="s">
        <v>17525</v>
      </c>
    </row>
    <row r="11314" ht="33.75" customHeight="1">
      <c r="A11314" s="7">
        <v>482.0</v>
      </c>
      <c r="B11314" s="9" t="s">
        <v>16631</v>
      </c>
      <c r="C11314" s="9" t="s">
        <v>732</v>
      </c>
      <c r="D11314" s="9" t="s">
        <v>101</v>
      </c>
      <c r="E11314" s="6" t="s">
        <v>10439</v>
      </c>
      <c r="F11314" s="9" t="s">
        <v>17525</v>
      </c>
    </row>
    <row r="11315" ht="33.75" customHeight="1">
      <c r="A11315" s="7">
        <v>482.0</v>
      </c>
      <c r="B11315" s="9" t="s">
        <v>16631</v>
      </c>
      <c r="C11315" s="9" t="s">
        <v>732</v>
      </c>
      <c r="D11315" s="9" t="s">
        <v>105</v>
      </c>
      <c r="E11315" s="6" t="s">
        <v>10444</v>
      </c>
      <c r="F11315" s="9" t="s">
        <v>17525</v>
      </c>
    </row>
    <row r="11316" ht="33.75" customHeight="1">
      <c r="A11316" s="7">
        <v>482.0</v>
      </c>
      <c r="B11316" s="9" t="s">
        <v>16631</v>
      </c>
      <c r="C11316" s="9" t="s">
        <v>732</v>
      </c>
      <c r="D11316" s="9" t="s">
        <v>107</v>
      </c>
      <c r="E11316" s="6" t="s">
        <v>10439</v>
      </c>
      <c r="F11316" s="9" t="s">
        <v>17525</v>
      </c>
    </row>
    <row r="11317" ht="33.75" customHeight="1">
      <c r="A11317" s="7">
        <v>482.0</v>
      </c>
      <c r="B11317" s="9" t="s">
        <v>16631</v>
      </c>
      <c r="C11317" s="9" t="s">
        <v>732</v>
      </c>
      <c r="D11317" s="9" t="s">
        <v>109</v>
      </c>
      <c r="E11317" s="6" t="s">
        <v>10444</v>
      </c>
      <c r="F11317" s="9" t="s">
        <v>17525</v>
      </c>
    </row>
    <row r="11318" ht="33.75" customHeight="1">
      <c r="A11318" s="7">
        <v>482.0</v>
      </c>
      <c r="B11318" s="9" t="s">
        <v>16631</v>
      </c>
      <c r="C11318" s="9" t="s">
        <v>732</v>
      </c>
      <c r="D11318" s="9" t="s">
        <v>1577</v>
      </c>
      <c r="E11318" s="6" t="s">
        <v>10445</v>
      </c>
      <c r="F11318" s="9" t="s">
        <v>17525</v>
      </c>
    </row>
    <row r="11319" ht="33.75" customHeight="1">
      <c r="A11319" s="7">
        <v>483.0</v>
      </c>
      <c r="B11319" s="9" t="s">
        <v>16641</v>
      </c>
      <c r="C11319" s="9" t="s">
        <v>734</v>
      </c>
      <c r="D11319" s="9" t="s">
        <v>81</v>
      </c>
      <c r="E11319" s="6" t="s">
        <v>10446</v>
      </c>
      <c r="F11319" s="9" t="s">
        <v>17540</v>
      </c>
      <c r="G11319" t="inlineStr" s="6">
        <is>
          <t xml:space="preserve">Dialga has the power to control time. It appears in Sinnoh-region myths as an ancient deity. A Pokémon spoken of in legend. It is said that time began moving when DIALGA was born. A legendary Pokémon of Sinnoh. It is said that time flows when DIALGA’s heart beats. This Pokémon completely controls the flow of time. It uses its power to travel at will through the past and future. This Pokémon is revered as a deity in Hisuian legend. The birth of Dialga was what caused the vast river of time to begin flowing in our world.</t>
        </is>
      </c>
    </row>
    <row r="11320" ht="33.75" customHeight="1">
      <c r="A11320" s="7">
        <v>483.0</v>
      </c>
      <c r="B11320" s="9" t="s">
        <v>16641</v>
      </c>
      <c r="C11320" s="9" t="s">
        <v>734</v>
      </c>
      <c r="D11320" s="9" t="s">
        <v>84</v>
      </c>
      <c r="E11320" s="6" t="s">
        <v>10447</v>
      </c>
      <c r="F11320" s="9" t="s">
        <v>17540</v>
      </c>
    </row>
    <row r="11321" ht="33.75" customHeight="1">
      <c r="A11321" s="7">
        <v>483.0</v>
      </c>
      <c r="B11321" s="9" t="s">
        <v>16641</v>
      </c>
      <c r="C11321" s="9" t="s">
        <v>734</v>
      </c>
      <c r="D11321" s="9" t="s">
        <v>87</v>
      </c>
      <c r="E11321" s="6" t="s">
        <v>10448</v>
      </c>
      <c r="F11321" s="9" t="s">
        <v>17540</v>
      </c>
    </row>
    <row r="11322" ht="33.75" customHeight="1">
      <c r="A11322" s="7">
        <v>483.0</v>
      </c>
      <c r="B11322" s="9" t="s">
        <v>16641</v>
      </c>
      <c r="C11322" s="9" t="s">
        <v>734</v>
      </c>
      <c r="D11322" s="9" t="s">
        <v>89</v>
      </c>
      <c r="E11322" s="6" t="s">
        <v>10450</v>
      </c>
      <c r="F11322" s="9" t="s">
        <v>17540</v>
      </c>
    </row>
    <row r="11323" ht="33.75" customHeight="1">
      <c r="A11323" s="7">
        <v>483.0</v>
      </c>
      <c r="B11323" s="9" t="s">
        <v>16641</v>
      </c>
      <c r="C11323" s="9" t="s">
        <v>734</v>
      </c>
      <c r="D11323" s="9" t="s">
        <v>91</v>
      </c>
      <c r="E11323" s="6" t="s">
        <v>10450</v>
      </c>
      <c r="F11323" s="9" t="s">
        <v>17540</v>
      </c>
    </row>
    <row r="11324" ht="33.75" customHeight="1">
      <c r="A11324" s="7">
        <v>483.0</v>
      </c>
      <c r="B11324" s="9" t="s">
        <v>16641</v>
      </c>
      <c r="C11324" s="9" t="s">
        <v>734</v>
      </c>
      <c r="D11324" s="9" t="s">
        <v>93</v>
      </c>
      <c r="E11324" s="6" t="s">
        <v>10451</v>
      </c>
      <c r="F11324" s="9" t="s">
        <v>17540</v>
      </c>
    </row>
    <row r="11325" ht="33.75" customHeight="1">
      <c r="A11325" s="7">
        <v>483.0</v>
      </c>
      <c r="B11325" s="9" t="s">
        <v>16641</v>
      </c>
      <c r="C11325" s="9" t="s">
        <v>734</v>
      </c>
      <c r="D11325" s="9" t="s">
        <v>95</v>
      </c>
      <c r="E11325" s="6" t="s">
        <v>10451</v>
      </c>
      <c r="F11325" s="9" t="s">
        <v>17540</v>
      </c>
    </row>
    <row r="11326" ht="33.75" customHeight="1">
      <c r="A11326" s="7">
        <v>483.0</v>
      </c>
      <c r="B11326" s="9" t="s">
        <v>16641</v>
      </c>
      <c r="C11326" s="9" t="s">
        <v>734</v>
      </c>
      <c r="D11326" s="9" t="s">
        <v>98</v>
      </c>
      <c r="E11326" s="6" t="s">
        <v>10451</v>
      </c>
      <c r="F11326" s="9" t="s">
        <v>17540</v>
      </c>
    </row>
    <row r="11327" ht="33.75" customHeight="1">
      <c r="A11327" s="7">
        <v>483.0</v>
      </c>
      <c r="B11327" s="9" t="s">
        <v>16641</v>
      </c>
      <c r="C11327" s="9" t="s">
        <v>734</v>
      </c>
      <c r="D11327" s="9" t="s">
        <v>99</v>
      </c>
      <c r="E11327" s="6" t="s">
        <v>10451</v>
      </c>
      <c r="F11327" s="9" t="s">
        <v>17540</v>
      </c>
    </row>
    <row r="11328" ht="33.75" customHeight="1">
      <c r="A11328" s="7">
        <v>483.0</v>
      </c>
      <c r="B11328" s="9" t="s">
        <v>16641</v>
      </c>
      <c r="C11328" s="9" t="s">
        <v>734</v>
      </c>
      <c r="D11328" s="9" t="s">
        <v>101</v>
      </c>
      <c r="E11328" s="6" t="s">
        <v>10452</v>
      </c>
      <c r="F11328" s="9" t="s">
        <v>17540</v>
      </c>
    </row>
    <row r="11329" ht="33.75" customHeight="1">
      <c r="A11329" s="7">
        <v>483.0</v>
      </c>
      <c r="B11329" s="9" t="s">
        <v>16641</v>
      </c>
      <c r="C11329" s="9" t="s">
        <v>734</v>
      </c>
      <c r="D11329" s="9" t="s">
        <v>105</v>
      </c>
      <c r="E11329" s="6" t="s">
        <v>10446</v>
      </c>
      <c r="F11329" s="9" t="s">
        <v>17540</v>
      </c>
    </row>
    <row r="11330" ht="33.75" customHeight="1">
      <c r="A11330" s="7">
        <v>483.0</v>
      </c>
      <c r="B11330" s="9" t="s">
        <v>16641</v>
      </c>
      <c r="C11330" s="9" t="s">
        <v>734</v>
      </c>
      <c r="D11330" s="9" t="s">
        <v>107</v>
      </c>
      <c r="E11330" s="6" t="s">
        <v>10452</v>
      </c>
      <c r="F11330" s="9" t="s">
        <v>17540</v>
      </c>
    </row>
    <row r="11331" ht="33.75" customHeight="1">
      <c r="A11331" s="7">
        <v>483.0</v>
      </c>
      <c r="B11331" s="9" t="s">
        <v>16641</v>
      </c>
      <c r="C11331" s="9" t="s">
        <v>734</v>
      </c>
      <c r="D11331" s="9" t="s">
        <v>109</v>
      </c>
      <c r="E11331" s="6" t="s">
        <v>10446</v>
      </c>
      <c r="F11331" s="9" t="s">
        <v>17540</v>
      </c>
    </row>
    <row r="11332" ht="33.75" customHeight="1">
      <c r="A11332" s="7">
        <v>483.0</v>
      </c>
      <c r="B11332" s="9" t="s">
        <v>16641</v>
      </c>
      <c r="C11332" s="9" t="s">
        <v>734</v>
      </c>
      <c r="D11332" s="9" t="s">
        <v>1577</v>
      </c>
      <c r="E11332" s="6" t="s">
        <v>10454</v>
      </c>
      <c r="F11332" s="9" t="s">
        <v>17540</v>
      </c>
    </row>
    <row r="11333" ht="33.75" customHeight="1">
      <c r="A11333" s="7">
        <v>484.0</v>
      </c>
      <c r="B11333" s="9" t="s">
        <v>16651</v>
      </c>
      <c r="C11333" s="9" t="s">
        <v>735</v>
      </c>
      <c r="D11333" s="9" t="s">
        <v>81</v>
      </c>
      <c r="E11333" s="6" t="s">
        <v>10455</v>
      </c>
      <c r="F11333" s="9" t="s">
        <v>17557</v>
      </c>
      <c r="G11333" t="inlineStr" s="6">
        <is>
          <t xml:space="preserve">Palkia has the ability to distort space. It is described as a deity in Sinnoh-region mythology. It is said to live in a gap in the spatial dimension parallel to ours. It appears in mythology. A legendary Pokémon of Sinnoh. It is said that space becomes more stable with PALKIA’s every breath. Its total control over the boundaries of space enable it to transport itself to faraway places or even other dimensions. This Pokémon is feared as a deity in Hisuian legend. The birth of Palkia was what caused the walls of our world to disappear, creating a sky that spans for infinity.</t>
        </is>
      </c>
    </row>
    <row r="11334" ht="33.75" customHeight="1">
      <c r="A11334" s="7">
        <v>484.0</v>
      </c>
      <c r="B11334" s="9" t="s">
        <v>16651</v>
      </c>
      <c r="C11334" s="9" t="s">
        <v>735</v>
      </c>
      <c r="D11334" s="9" t="s">
        <v>84</v>
      </c>
      <c r="E11334" s="6" t="s">
        <v>10456</v>
      </c>
      <c r="F11334" s="9" t="s">
        <v>17557</v>
      </c>
    </row>
    <row r="11335" ht="33.75" customHeight="1">
      <c r="A11335" s="7">
        <v>484.0</v>
      </c>
      <c r="B11335" s="9" t="s">
        <v>16651</v>
      </c>
      <c r="C11335" s="9" t="s">
        <v>735</v>
      </c>
      <c r="D11335" s="9" t="s">
        <v>87</v>
      </c>
      <c r="E11335" s="6" t="s">
        <v>10458</v>
      </c>
      <c r="F11335" s="9" t="s">
        <v>17557</v>
      </c>
    </row>
    <row r="11336" ht="33.75" customHeight="1">
      <c r="A11336" s="7">
        <v>484.0</v>
      </c>
      <c r="B11336" s="9" t="s">
        <v>16651</v>
      </c>
      <c r="C11336" s="9" t="s">
        <v>735</v>
      </c>
      <c r="D11336" s="9" t="s">
        <v>89</v>
      </c>
      <c r="E11336" s="6" t="s">
        <v>10459</v>
      </c>
      <c r="F11336" s="9" t="s">
        <v>17557</v>
      </c>
    </row>
    <row r="11337" ht="33.75" customHeight="1">
      <c r="A11337" s="7">
        <v>484.0</v>
      </c>
      <c r="B11337" s="9" t="s">
        <v>16651</v>
      </c>
      <c r="C11337" s="9" t="s">
        <v>735</v>
      </c>
      <c r="D11337" s="9" t="s">
        <v>91</v>
      </c>
      <c r="E11337" s="6" t="s">
        <v>10459</v>
      </c>
      <c r="F11337" s="9" t="s">
        <v>17557</v>
      </c>
    </row>
    <row r="11338" ht="33.75" customHeight="1">
      <c r="A11338" s="7">
        <v>484.0</v>
      </c>
      <c r="B11338" s="9" t="s">
        <v>16651</v>
      </c>
      <c r="C11338" s="9" t="s">
        <v>735</v>
      </c>
      <c r="D11338" s="9" t="s">
        <v>93</v>
      </c>
      <c r="E11338" s="6" t="s">
        <v>10460</v>
      </c>
      <c r="F11338" s="9" t="s">
        <v>17557</v>
      </c>
    </row>
    <row r="11339" ht="33.75" customHeight="1">
      <c r="A11339" s="7">
        <v>484.0</v>
      </c>
      <c r="B11339" s="9" t="s">
        <v>16651</v>
      </c>
      <c r="C11339" s="9" t="s">
        <v>735</v>
      </c>
      <c r="D11339" s="9" t="s">
        <v>95</v>
      </c>
      <c r="E11339" s="6" t="s">
        <v>10460</v>
      </c>
      <c r="F11339" s="9" t="s">
        <v>17557</v>
      </c>
    </row>
    <row r="11340" ht="33.75" customHeight="1">
      <c r="A11340" s="7">
        <v>484.0</v>
      </c>
      <c r="B11340" s="9" t="s">
        <v>16651</v>
      </c>
      <c r="C11340" s="9" t="s">
        <v>735</v>
      </c>
      <c r="D11340" s="9" t="s">
        <v>98</v>
      </c>
      <c r="E11340" s="6" t="s">
        <v>10460</v>
      </c>
      <c r="F11340" s="9" t="s">
        <v>17557</v>
      </c>
    </row>
    <row r="11341" ht="33.75" customHeight="1">
      <c r="A11341" s="7">
        <v>484.0</v>
      </c>
      <c r="B11341" s="9" t="s">
        <v>16651</v>
      </c>
      <c r="C11341" s="9" t="s">
        <v>735</v>
      </c>
      <c r="D11341" s="9" t="s">
        <v>99</v>
      </c>
      <c r="E11341" s="6" t="s">
        <v>10460</v>
      </c>
      <c r="F11341" s="9" t="s">
        <v>17557</v>
      </c>
    </row>
    <row r="11342" ht="33.75" customHeight="1">
      <c r="A11342" s="7">
        <v>484.0</v>
      </c>
      <c r="B11342" s="9" t="s">
        <v>16651</v>
      </c>
      <c r="C11342" s="9" t="s">
        <v>735</v>
      </c>
      <c r="D11342" s="9" t="s">
        <v>101</v>
      </c>
      <c r="E11342" s="6" t="s">
        <v>10456</v>
      </c>
      <c r="F11342" s="9" t="s">
        <v>17557</v>
      </c>
    </row>
    <row r="11343" ht="33.75" customHeight="1">
      <c r="A11343" s="7">
        <v>484.0</v>
      </c>
      <c r="B11343" s="9" t="s">
        <v>16651</v>
      </c>
      <c r="C11343" s="9" t="s">
        <v>735</v>
      </c>
      <c r="D11343" s="9" t="s">
        <v>105</v>
      </c>
      <c r="E11343" s="6" t="s">
        <v>10455</v>
      </c>
      <c r="F11343" s="9" t="s">
        <v>17557</v>
      </c>
    </row>
    <row r="11344" ht="33.75" customHeight="1">
      <c r="A11344" s="7">
        <v>484.0</v>
      </c>
      <c r="B11344" s="9" t="s">
        <v>16651</v>
      </c>
      <c r="C11344" s="9" t="s">
        <v>735</v>
      </c>
      <c r="D11344" s="9" t="s">
        <v>107</v>
      </c>
      <c r="E11344" s="6" t="s">
        <v>10456</v>
      </c>
      <c r="F11344" s="9" t="s">
        <v>17557</v>
      </c>
    </row>
    <row r="11345" ht="33.75" customHeight="1">
      <c r="A11345" s="7">
        <v>484.0</v>
      </c>
      <c r="B11345" s="9" t="s">
        <v>16651</v>
      </c>
      <c r="C11345" s="9" t="s">
        <v>735</v>
      </c>
      <c r="D11345" s="9" t="s">
        <v>109</v>
      </c>
      <c r="E11345" s="6" t="s">
        <v>10455</v>
      </c>
      <c r="F11345" s="9" t="s">
        <v>17557</v>
      </c>
    </row>
    <row r="11346" ht="33.75" customHeight="1">
      <c r="A11346" s="7">
        <v>484.0</v>
      </c>
      <c r="B11346" s="9" t="s">
        <v>16651</v>
      </c>
      <c r="C11346" s="9" t="s">
        <v>735</v>
      </c>
      <c r="D11346" s="9" t="s">
        <v>1577</v>
      </c>
      <c r="E11346" s="6" t="s">
        <v>10462</v>
      </c>
      <c r="F11346" s="9" t="s">
        <v>17557</v>
      </c>
    </row>
    <row r="11347" ht="33.75" customHeight="1">
      <c r="A11347" s="7">
        <v>485.0</v>
      </c>
      <c r="B11347" s="9" t="s">
        <v>16661</v>
      </c>
      <c r="C11347" s="9" t="s">
        <v>738</v>
      </c>
      <c r="D11347" s="9" t="s">
        <v>81</v>
      </c>
      <c r="E11347" s="6" t="s">
        <v>10463</v>
      </c>
      <c r="F11347" s="9" t="s">
        <v>17570</v>
      </c>
      <c r="G11347" t="inlineStr" s="6">
        <is>
          <t xml:space="preserve">It dwells in volcanic caves. It digs in with its cross-shaped feet to crawl on ceilings and walls. Its body is made of rugged steel. However, it is partially melted in spots because of its own heat. Boiling blood, like magma, circulates through its body. It makes its dwelling place in volcanic caves. Stories tell of this Pokémon being birthed from the boiling magma within Mount Coronet. Its molten-steel body holds many mysteries.</t>
        </is>
      </c>
    </row>
    <row r="11348" ht="33.75" customHeight="1">
      <c r="A11348" s="7">
        <v>485.0</v>
      </c>
      <c r="B11348" s="9" t="s">
        <v>16661</v>
      </c>
      <c r="C11348" s="9" t="s">
        <v>738</v>
      </c>
      <c r="D11348" s="9" t="s">
        <v>84</v>
      </c>
      <c r="E11348" s="6" t="s">
        <v>10463</v>
      </c>
      <c r="F11348" s="9" t="s">
        <v>17570</v>
      </c>
    </row>
    <row r="11349" ht="33.75" customHeight="1">
      <c r="A11349" s="7">
        <v>485.0</v>
      </c>
      <c r="B11349" s="9" t="s">
        <v>16661</v>
      </c>
      <c r="C11349" s="9" t="s">
        <v>738</v>
      </c>
      <c r="D11349" s="9" t="s">
        <v>87</v>
      </c>
      <c r="E11349" s="6" t="s">
        <v>10465</v>
      </c>
      <c r="F11349" s="9" t="s">
        <v>17570</v>
      </c>
    </row>
    <row r="11350" ht="33.75" customHeight="1">
      <c r="A11350" s="7">
        <v>485.0</v>
      </c>
      <c r="B11350" s="9" t="s">
        <v>16661</v>
      </c>
      <c r="C11350" s="9" t="s">
        <v>738</v>
      </c>
      <c r="D11350" s="9" t="s">
        <v>89</v>
      </c>
      <c r="E11350" s="6" t="s">
        <v>10466</v>
      </c>
      <c r="F11350" s="9" t="s">
        <v>17570</v>
      </c>
    </row>
    <row r="11351" ht="33.75" customHeight="1">
      <c r="A11351" s="7">
        <v>485.0</v>
      </c>
      <c r="B11351" s="9" t="s">
        <v>16661</v>
      </c>
      <c r="C11351" s="9" t="s">
        <v>738</v>
      </c>
      <c r="D11351" s="9" t="s">
        <v>91</v>
      </c>
      <c r="E11351" s="6" t="s">
        <v>10466</v>
      </c>
      <c r="F11351" s="9" t="s">
        <v>17570</v>
      </c>
    </row>
    <row r="11352" ht="33.75" customHeight="1">
      <c r="A11352" s="7">
        <v>485.0</v>
      </c>
      <c r="B11352" s="9" t="s">
        <v>16661</v>
      </c>
      <c r="C11352" s="9" t="s">
        <v>738</v>
      </c>
      <c r="D11352" s="9" t="s">
        <v>93</v>
      </c>
      <c r="E11352" s="6" t="s">
        <v>10465</v>
      </c>
      <c r="F11352" s="9" t="s">
        <v>17570</v>
      </c>
    </row>
    <row r="11353" ht="33.75" customHeight="1">
      <c r="A11353" s="7">
        <v>485.0</v>
      </c>
      <c r="B11353" s="9" t="s">
        <v>16661</v>
      </c>
      <c r="C11353" s="9" t="s">
        <v>738</v>
      </c>
      <c r="D11353" s="9" t="s">
        <v>95</v>
      </c>
      <c r="E11353" s="6" t="s">
        <v>10465</v>
      </c>
      <c r="F11353" s="9" t="s">
        <v>17570</v>
      </c>
    </row>
    <row r="11354" ht="33.75" customHeight="1">
      <c r="A11354" s="7">
        <v>485.0</v>
      </c>
      <c r="B11354" s="9" t="s">
        <v>16661</v>
      </c>
      <c r="C11354" s="9" t="s">
        <v>738</v>
      </c>
      <c r="D11354" s="9" t="s">
        <v>98</v>
      </c>
      <c r="E11354" s="6" t="s">
        <v>10465</v>
      </c>
      <c r="F11354" s="9" t="s">
        <v>17570</v>
      </c>
    </row>
    <row r="11355" ht="33.75" customHeight="1">
      <c r="A11355" s="7">
        <v>485.0</v>
      </c>
      <c r="B11355" s="9" t="s">
        <v>16661</v>
      </c>
      <c r="C11355" s="9" t="s">
        <v>738</v>
      </c>
      <c r="D11355" s="9" t="s">
        <v>99</v>
      </c>
      <c r="E11355" s="6" t="s">
        <v>10465</v>
      </c>
      <c r="F11355" s="9" t="s">
        <v>17570</v>
      </c>
    </row>
    <row r="11356" ht="33.75" customHeight="1">
      <c r="A11356" s="7">
        <v>485.0</v>
      </c>
      <c r="B11356" s="9" t="s">
        <v>16661</v>
      </c>
      <c r="C11356" s="9" t="s">
        <v>738</v>
      </c>
      <c r="D11356" s="9" t="s">
        <v>101</v>
      </c>
      <c r="E11356" s="6" t="s">
        <v>10463</v>
      </c>
      <c r="F11356" s="9" t="s">
        <v>17570</v>
      </c>
    </row>
    <row r="11357" ht="33.75" customHeight="1">
      <c r="A11357" s="7">
        <v>485.0</v>
      </c>
      <c r="B11357" s="9" t="s">
        <v>16661</v>
      </c>
      <c r="C11357" s="9" t="s">
        <v>738</v>
      </c>
      <c r="D11357" s="9" t="s">
        <v>105</v>
      </c>
      <c r="E11357" s="6" t="s">
        <v>10466</v>
      </c>
      <c r="F11357" s="9" t="s">
        <v>17570</v>
      </c>
    </row>
    <row r="11358" ht="33.75" customHeight="1">
      <c r="A11358" s="7">
        <v>485.0</v>
      </c>
      <c r="B11358" s="9" t="s">
        <v>16661</v>
      </c>
      <c r="C11358" s="9" t="s">
        <v>738</v>
      </c>
      <c r="D11358" s="9" t="s">
        <v>107</v>
      </c>
      <c r="E11358" s="6" t="s">
        <v>10463</v>
      </c>
      <c r="F11358" s="9" t="s">
        <v>17570</v>
      </c>
    </row>
    <row r="11359" ht="33.75" customHeight="1">
      <c r="A11359" s="7">
        <v>485.0</v>
      </c>
      <c r="B11359" s="9" t="s">
        <v>16661</v>
      </c>
      <c r="C11359" s="9" t="s">
        <v>738</v>
      </c>
      <c r="D11359" s="9" t="s">
        <v>109</v>
      </c>
      <c r="E11359" s="6" t="s">
        <v>10466</v>
      </c>
      <c r="F11359" s="9" t="s">
        <v>17570</v>
      </c>
    </row>
    <row r="11360" ht="33.75" customHeight="1">
      <c r="A11360" s="7">
        <v>485.0</v>
      </c>
      <c r="B11360" s="9" t="s">
        <v>16661</v>
      </c>
      <c r="C11360" s="9" t="s">
        <v>738</v>
      </c>
      <c r="D11360" s="9" t="s">
        <v>1577</v>
      </c>
      <c r="E11360" s="6" t="s">
        <v>10468</v>
      </c>
      <c r="F11360" s="9" t="s">
        <v>17570</v>
      </c>
    </row>
    <row r="11361" ht="33.75" customHeight="1">
      <c r="A11361" s="7">
        <v>486.0</v>
      </c>
      <c r="B11361" s="9" t="s">
        <v>16668</v>
      </c>
      <c r="C11361" s="9" t="s">
        <v>739</v>
      </c>
      <c r="D11361" s="9" t="s">
        <v>81</v>
      </c>
      <c r="E11361" s="6" t="s">
        <v>10470</v>
      </c>
      <c r="F11361" s="9" t="s">
        <v>17579</v>
      </c>
      <c r="G11361" t="inlineStr" s="6">
        <is>
          <t xml:space="preserve">There is an enduring legend that states this Pokémon towed continents with ropes. It is said to have made Pokémon that look like itself from a special ice mountain, rocks, and magma. It is believed to have shaped REGIROCK, REGICE, and REGISTEEL out of clay, ice, and magma. All over the world, there are legends that tell of Regigigas creating other Pokémon in its own image. It’s said that Regigigas created other Pokémon from many different materials before it moved the continents to where they are today. According to legend, Regigigas pulled landmasses together and bound them with rope to create the continent of Hisui. Though I have my doubts, the story could well contain a shred of truth.</t>
        </is>
      </c>
    </row>
    <row r="11362" ht="33.75" customHeight="1">
      <c r="A11362" s="7">
        <v>486.0</v>
      </c>
      <c r="B11362" s="9" t="s">
        <v>16668</v>
      </c>
      <c r="C11362" s="9" t="s">
        <v>739</v>
      </c>
      <c r="D11362" s="9" t="s">
        <v>84</v>
      </c>
      <c r="E11362" s="6" t="s">
        <v>10470</v>
      </c>
      <c r="F11362" s="9" t="s">
        <v>17579</v>
      </c>
    </row>
    <row r="11363" ht="33.75" customHeight="1">
      <c r="A11363" s="7">
        <v>486.0</v>
      </c>
      <c r="B11363" s="9" t="s">
        <v>16668</v>
      </c>
      <c r="C11363" s="9" t="s">
        <v>739</v>
      </c>
      <c r="D11363" s="9" t="s">
        <v>87</v>
      </c>
      <c r="E11363" s="6" t="s">
        <v>10471</v>
      </c>
      <c r="F11363" s="9" t="s">
        <v>17579</v>
      </c>
    </row>
    <row r="11364" ht="33.75" customHeight="1">
      <c r="A11364" s="7">
        <v>486.0</v>
      </c>
      <c r="B11364" s="9" t="s">
        <v>16668</v>
      </c>
      <c r="C11364" s="9" t="s">
        <v>739</v>
      </c>
      <c r="D11364" s="9" t="s">
        <v>89</v>
      </c>
      <c r="E11364" s="6" t="s">
        <v>10473</v>
      </c>
      <c r="F11364" s="9" t="s">
        <v>17579</v>
      </c>
    </row>
    <row r="11365" ht="33.75" customHeight="1">
      <c r="A11365" s="7">
        <v>486.0</v>
      </c>
      <c r="B11365" s="9" t="s">
        <v>16668</v>
      </c>
      <c r="C11365" s="9" t="s">
        <v>739</v>
      </c>
      <c r="D11365" s="9" t="s">
        <v>91</v>
      </c>
      <c r="E11365" s="6" t="s">
        <v>10473</v>
      </c>
      <c r="F11365" s="9" t="s">
        <v>17579</v>
      </c>
    </row>
    <row r="11366" ht="33.75" customHeight="1">
      <c r="A11366" s="7">
        <v>486.0</v>
      </c>
      <c r="B11366" s="9" t="s">
        <v>16668</v>
      </c>
      <c r="C11366" s="9" t="s">
        <v>739</v>
      </c>
      <c r="D11366" s="9" t="s">
        <v>93</v>
      </c>
      <c r="E11366" s="6" t="s">
        <v>10471</v>
      </c>
      <c r="F11366" s="9" t="s">
        <v>17579</v>
      </c>
    </row>
    <row r="11367" ht="33.75" customHeight="1">
      <c r="A11367" s="7">
        <v>486.0</v>
      </c>
      <c r="B11367" s="9" t="s">
        <v>16668</v>
      </c>
      <c r="C11367" s="9" t="s">
        <v>739</v>
      </c>
      <c r="D11367" s="9" t="s">
        <v>95</v>
      </c>
      <c r="E11367" s="6" t="s">
        <v>10471</v>
      </c>
      <c r="F11367" s="9" t="s">
        <v>17579</v>
      </c>
    </row>
    <row r="11368" ht="33.75" customHeight="1">
      <c r="A11368" s="7">
        <v>486.0</v>
      </c>
      <c r="B11368" s="9" t="s">
        <v>16668</v>
      </c>
      <c r="C11368" s="9" t="s">
        <v>739</v>
      </c>
      <c r="D11368" s="9" t="s">
        <v>98</v>
      </c>
      <c r="E11368" s="6" t="s">
        <v>10471</v>
      </c>
      <c r="F11368" s="9" t="s">
        <v>17579</v>
      </c>
    </row>
    <row r="11369" ht="33.75" customHeight="1">
      <c r="A11369" s="7">
        <v>486.0</v>
      </c>
      <c r="B11369" s="9" t="s">
        <v>16668</v>
      </c>
      <c r="C11369" s="9" t="s">
        <v>739</v>
      </c>
      <c r="D11369" s="9" t="s">
        <v>99</v>
      </c>
      <c r="E11369" s="6" t="s">
        <v>10471</v>
      </c>
      <c r="F11369" s="9" t="s">
        <v>17579</v>
      </c>
    </row>
    <row r="11370" ht="33.75" customHeight="1">
      <c r="A11370" s="7">
        <v>486.0</v>
      </c>
      <c r="B11370" s="9" t="s">
        <v>16668</v>
      </c>
      <c r="C11370" s="9" t="s">
        <v>739</v>
      </c>
      <c r="D11370" s="9" t="s">
        <v>101</v>
      </c>
      <c r="E11370" s="6" t="s">
        <v>10471</v>
      </c>
      <c r="F11370" s="9" t="s">
        <v>17579</v>
      </c>
    </row>
    <row r="11371" ht="33.75" customHeight="1">
      <c r="A11371" s="7">
        <v>486.0</v>
      </c>
      <c r="B11371" s="9" t="s">
        <v>16668</v>
      </c>
      <c r="C11371" s="9" t="s">
        <v>739</v>
      </c>
      <c r="D11371" s="9" t="s">
        <v>105</v>
      </c>
      <c r="E11371" s="6" t="s">
        <v>10470</v>
      </c>
      <c r="F11371" s="9" t="s">
        <v>17579</v>
      </c>
    </row>
    <row r="11372" ht="33.75" customHeight="1">
      <c r="A11372" s="7">
        <v>486.0</v>
      </c>
      <c r="B11372" s="9" t="s">
        <v>16668</v>
      </c>
      <c r="C11372" s="9" t="s">
        <v>739</v>
      </c>
      <c r="D11372" s="9" t="s">
        <v>107</v>
      </c>
      <c r="E11372" s="6" t="s">
        <v>10471</v>
      </c>
      <c r="F11372" s="9" t="s">
        <v>17579</v>
      </c>
    </row>
    <row r="11373" ht="33.75" customHeight="1">
      <c r="A11373" s="7">
        <v>486.0</v>
      </c>
      <c r="B11373" s="9" t="s">
        <v>16668</v>
      </c>
      <c r="C11373" s="9" t="s">
        <v>739</v>
      </c>
      <c r="D11373" s="9" t="s">
        <v>109</v>
      </c>
      <c r="E11373" s="6" t="s">
        <v>10470</v>
      </c>
      <c r="F11373" s="9" t="s">
        <v>17579</v>
      </c>
    </row>
    <row r="11374" ht="33.75" customHeight="1">
      <c r="A11374" s="7">
        <v>486.0</v>
      </c>
      <c r="B11374" s="9" t="s">
        <v>16668</v>
      </c>
      <c r="C11374" s="9" t="s">
        <v>739</v>
      </c>
      <c r="D11374" s="9" t="s">
        <v>114</v>
      </c>
      <c r="E11374" s="6" t="s">
        <v>10474</v>
      </c>
      <c r="F11374" s="9" t="s">
        <v>17579</v>
      </c>
    </row>
    <row r="11375" ht="33.75" customHeight="1">
      <c r="A11375" s="7">
        <v>486.0</v>
      </c>
      <c r="B11375" s="9" t="s">
        <v>16668</v>
      </c>
      <c r="C11375" s="9" t="s">
        <v>739</v>
      </c>
      <c r="D11375" s="9" t="s">
        <v>117</v>
      </c>
      <c r="E11375" s="6" t="s">
        <v>10475</v>
      </c>
      <c r="F11375" s="9" t="s">
        <v>17579</v>
      </c>
    </row>
    <row r="11376" ht="33.75" customHeight="1">
      <c r="A11376" s="7">
        <v>486.0</v>
      </c>
      <c r="B11376" s="9" t="s">
        <v>16668</v>
      </c>
      <c r="C11376" s="9" t="s">
        <v>739</v>
      </c>
      <c r="D11376" s="9" t="s">
        <v>1577</v>
      </c>
      <c r="E11376" s="6" t="s">
        <v>10476</v>
      </c>
      <c r="F11376" s="9" t="s">
        <v>17579</v>
      </c>
    </row>
    <row r="11377" ht="33.75" customHeight="1">
      <c r="A11377" s="7">
        <v>487.0</v>
      </c>
      <c r="B11377" s="9" t="s">
        <v>16676</v>
      </c>
      <c r="C11377" s="9" t="s">
        <v>743</v>
      </c>
      <c r="D11377" s="9" t="s">
        <v>81</v>
      </c>
      <c r="E11377" s="6" t="s">
        <v>10478</v>
      </c>
      <c r="F11377" s="9" t="s">
        <v>17590</v>
      </c>
      <c r="G11377" t="inlineStr" s="6">
        <is>
          <t xml:space="preserve">A Pokémon that is said to live in a world on the reverse side of ours. It appears in an ancient cemetery. It was banished for its violence. It silently gazed upon the old world from the Distortion World. This Pokémon is said to live in a world on the reverse side of ours, where common knowledge is distorted and strange. There is one Hisuian verse that tells of a powerful light creating a deep shadow. I imagine that this deep shadow is Giratina.</t>
        </is>
      </c>
    </row>
    <row r="11378" ht="33.75" customHeight="1">
      <c r="A11378" s="7">
        <v>487.0</v>
      </c>
      <c r="B11378" s="9" t="s">
        <v>16676</v>
      </c>
      <c r="C11378" s="9" t="s">
        <v>743</v>
      </c>
      <c r="D11378" s="9" t="s">
        <v>84</v>
      </c>
      <c r="E11378" s="6" t="s">
        <v>10478</v>
      </c>
      <c r="F11378" s="9" t="s">
        <v>17590</v>
      </c>
    </row>
    <row r="11379" ht="33.75" customHeight="1">
      <c r="A11379" s="7">
        <v>487.0</v>
      </c>
      <c r="B11379" s="9" t="s">
        <v>16676</v>
      </c>
      <c r="C11379" s="9" t="s">
        <v>743</v>
      </c>
      <c r="D11379" s="9" t="s">
        <v>87</v>
      </c>
      <c r="E11379" s="6" t="s">
        <v>10481</v>
      </c>
      <c r="F11379" s="9" t="s">
        <v>17590</v>
      </c>
    </row>
    <row r="11380" ht="33.75" customHeight="1">
      <c r="A11380" s="7">
        <v>487.0</v>
      </c>
      <c r="B11380" s="9" t="s">
        <v>16676</v>
      </c>
      <c r="C11380" s="9" t="s">
        <v>743</v>
      </c>
      <c r="D11380" s="9" t="s">
        <v>89</v>
      </c>
      <c r="E11380" s="6" t="s">
        <v>10483</v>
      </c>
      <c r="F11380" s="9" t="s">
        <v>17590</v>
      </c>
    </row>
    <row r="11381" ht="33.75" customHeight="1">
      <c r="A11381" s="7">
        <v>487.0</v>
      </c>
      <c r="B11381" s="9" t="s">
        <v>16676</v>
      </c>
      <c r="C11381" s="9" t="s">
        <v>743</v>
      </c>
      <c r="D11381" s="9" t="s">
        <v>91</v>
      </c>
      <c r="E11381" s="6" t="s">
        <v>10483</v>
      </c>
      <c r="F11381" s="9" t="s">
        <v>17590</v>
      </c>
    </row>
    <row r="11382" ht="33.75" customHeight="1">
      <c r="A11382" s="7">
        <v>487.0</v>
      </c>
      <c r="B11382" s="9" t="s">
        <v>16676</v>
      </c>
      <c r="C11382" s="9" t="s">
        <v>743</v>
      </c>
      <c r="D11382" s="9" t="s">
        <v>93</v>
      </c>
      <c r="E11382" s="6" t="s">
        <v>10481</v>
      </c>
      <c r="F11382" s="9" t="s">
        <v>17590</v>
      </c>
    </row>
    <row r="11383" ht="33.75" customHeight="1">
      <c r="A11383" s="7">
        <v>487.0</v>
      </c>
      <c r="B11383" s="9" t="s">
        <v>16676</v>
      </c>
      <c r="C11383" s="9" t="s">
        <v>743</v>
      </c>
      <c r="D11383" s="9" t="s">
        <v>95</v>
      </c>
      <c r="E11383" s="6" t="s">
        <v>10481</v>
      </c>
      <c r="F11383" s="9" t="s">
        <v>17590</v>
      </c>
    </row>
    <row r="11384" ht="33.75" customHeight="1">
      <c r="A11384" s="7">
        <v>487.0</v>
      </c>
      <c r="B11384" s="9" t="s">
        <v>16676</v>
      </c>
      <c r="C11384" s="9" t="s">
        <v>743</v>
      </c>
      <c r="D11384" s="9" t="s">
        <v>98</v>
      </c>
      <c r="E11384" s="6" t="s">
        <v>10481</v>
      </c>
      <c r="F11384" s="9" t="s">
        <v>17590</v>
      </c>
    </row>
    <row r="11385" ht="33.75" customHeight="1">
      <c r="A11385" s="7">
        <v>487.0</v>
      </c>
      <c r="B11385" s="9" t="s">
        <v>16676</v>
      </c>
      <c r="C11385" s="9" t="s">
        <v>743</v>
      </c>
      <c r="D11385" s="9" t="s">
        <v>99</v>
      </c>
      <c r="E11385" s="6" t="s">
        <v>10481</v>
      </c>
      <c r="F11385" s="9" t="s">
        <v>17590</v>
      </c>
    </row>
    <row r="11386" ht="33.75" customHeight="1">
      <c r="A11386" s="7">
        <v>487.0</v>
      </c>
      <c r="B11386" s="9" t="s">
        <v>16676</v>
      </c>
      <c r="C11386" s="9" t="s">
        <v>743</v>
      </c>
      <c r="D11386" s="9" t="s">
        <v>101</v>
      </c>
      <c r="E11386" s="6" t="s">
        <v>10483</v>
      </c>
      <c r="F11386" s="9" t="s">
        <v>17590</v>
      </c>
    </row>
    <row r="11387" ht="33.75" customHeight="1">
      <c r="A11387" s="7">
        <v>487.0</v>
      </c>
      <c r="B11387" s="9" t="s">
        <v>16676</v>
      </c>
      <c r="C11387" s="9" t="s">
        <v>743</v>
      </c>
      <c r="D11387" s="9" t="s">
        <v>105</v>
      </c>
      <c r="E11387" s="6" t="s">
        <v>10481</v>
      </c>
      <c r="F11387" s="9" t="s">
        <v>17590</v>
      </c>
    </row>
    <row r="11388" ht="33.75" customHeight="1">
      <c r="A11388" s="7">
        <v>487.0</v>
      </c>
      <c r="B11388" s="9" t="s">
        <v>16676</v>
      </c>
      <c r="C11388" s="9" t="s">
        <v>743</v>
      </c>
      <c r="D11388" s="9" t="s">
        <v>107</v>
      </c>
      <c r="E11388" s="6" t="s">
        <v>10483</v>
      </c>
      <c r="F11388" s="9" t="s">
        <v>17590</v>
      </c>
    </row>
    <row r="11389" ht="33.75" customHeight="1">
      <c r="A11389" s="7">
        <v>487.0</v>
      </c>
      <c r="B11389" s="9" t="s">
        <v>16676</v>
      </c>
      <c r="C11389" s="9" t="s">
        <v>743</v>
      </c>
      <c r="D11389" s="9" t="s">
        <v>109</v>
      </c>
      <c r="E11389" s="6" t="s">
        <v>10481</v>
      </c>
      <c r="F11389" s="9" t="s">
        <v>17590</v>
      </c>
    </row>
    <row r="11390" ht="33.75" customHeight="1">
      <c r="A11390" s="7">
        <v>487.0</v>
      </c>
      <c r="B11390" s="9" t="s">
        <v>16676</v>
      </c>
      <c r="C11390" s="9" t="s">
        <v>743</v>
      </c>
      <c r="D11390" s="9" t="s">
        <v>1577</v>
      </c>
      <c r="E11390" s="6" t="s">
        <v>10484</v>
      </c>
      <c r="F11390" s="9" t="s">
        <v>17590</v>
      </c>
    </row>
    <row r="11391" ht="33.75" customHeight="1">
      <c r="A11391" s="7">
        <v>488.0</v>
      </c>
      <c r="B11391" s="9" t="s">
        <v>16683</v>
      </c>
      <c r="C11391" s="9" t="s">
        <v>744</v>
      </c>
      <c r="D11391" s="9" t="s">
        <v>81</v>
      </c>
      <c r="E11391" s="6" t="s">
        <v>10485</v>
      </c>
      <c r="F11391" s="9" t="s">
        <v>17595</v>
      </c>
      <c r="G11391" t="inlineStr" s="6">
        <is>
          <t xml:space="preserve">Shiny particles are released from Cresselia's wings like a veil. It is said to represent the crescent moon. On nights around the quarter moon, the aurora from its tail extends and undulates beautifully. Those who sleep holding CRESSELIA’s feather are assured of joyful dreams. Cresselia is reminiscent of the crescent moon. It leaves a brilliant line of light in its wake as it flies across the night sky. I daresay it resembles the heavenly maiden who created the Milky Way.</t>
        </is>
      </c>
    </row>
    <row r="11392" ht="33.75" customHeight="1">
      <c r="A11392" s="7">
        <v>488.0</v>
      </c>
      <c r="B11392" s="9" t="s">
        <v>16683</v>
      </c>
      <c r="C11392" s="9" t="s">
        <v>744</v>
      </c>
      <c r="D11392" s="9" t="s">
        <v>84</v>
      </c>
      <c r="E11392" s="6" t="s">
        <v>10485</v>
      </c>
      <c r="F11392" s="9" t="s">
        <v>17595</v>
      </c>
    </row>
    <row r="11393" ht="33.75" customHeight="1">
      <c r="A11393" s="7">
        <v>488.0</v>
      </c>
      <c r="B11393" s="9" t="s">
        <v>16683</v>
      </c>
      <c r="C11393" s="9" t="s">
        <v>744</v>
      </c>
      <c r="D11393" s="9" t="s">
        <v>87</v>
      </c>
      <c r="E11393" s="6" t="s">
        <v>10487</v>
      </c>
      <c r="F11393" s="9" t="s">
        <v>17595</v>
      </c>
    </row>
    <row r="11394" ht="33.75" customHeight="1">
      <c r="A11394" s="7">
        <v>488.0</v>
      </c>
      <c r="B11394" s="9" t="s">
        <v>16683</v>
      </c>
      <c r="C11394" s="9" t="s">
        <v>744</v>
      </c>
      <c r="D11394" s="9" t="s">
        <v>89</v>
      </c>
      <c r="E11394" s="6" t="s">
        <v>10488</v>
      </c>
      <c r="F11394" s="9" t="s">
        <v>17595</v>
      </c>
    </row>
    <row r="11395" ht="33.75" customHeight="1">
      <c r="A11395" s="7">
        <v>488.0</v>
      </c>
      <c r="B11395" s="9" t="s">
        <v>16683</v>
      </c>
      <c r="C11395" s="9" t="s">
        <v>744</v>
      </c>
      <c r="D11395" s="9" t="s">
        <v>91</v>
      </c>
      <c r="E11395" s="6" t="s">
        <v>10488</v>
      </c>
      <c r="F11395" s="9" t="s">
        <v>17595</v>
      </c>
    </row>
    <row r="11396" ht="33.75" customHeight="1">
      <c r="A11396" s="7">
        <v>488.0</v>
      </c>
      <c r="B11396" s="9" t="s">
        <v>16683</v>
      </c>
      <c r="C11396" s="9" t="s">
        <v>744</v>
      </c>
      <c r="D11396" s="9" t="s">
        <v>93</v>
      </c>
      <c r="E11396" s="6" t="s">
        <v>10487</v>
      </c>
      <c r="F11396" s="9" t="s">
        <v>17595</v>
      </c>
    </row>
    <row r="11397" ht="33.75" customHeight="1">
      <c r="A11397" s="7">
        <v>488.0</v>
      </c>
      <c r="B11397" s="9" t="s">
        <v>16683</v>
      </c>
      <c r="C11397" s="9" t="s">
        <v>744</v>
      </c>
      <c r="D11397" s="9" t="s">
        <v>95</v>
      </c>
      <c r="E11397" s="6" t="s">
        <v>10487</v>
      </c>
      <c r="F11397" s="9" t="s">
        <v>17595</v>
      </c>
    </row>
    <row r="11398" ht="33.75" customHeight="1">
      <c r="A11398" s="7">
        <v>488.0</v>
      </c>
      <c r="B11398" s="9" t="s">
        <v>16683</v>
      </c>
      <c r="C11398" s="9" t="s">
        <v>744</v>
      </c>
      <c r="D11398" s="9" t="s">
        <v>98</v>
      </c>
      <c r="E11398" s="6" t="s">
        <v>10487</v>
      </c>
      <c r="F11398" s="9" t="s">
        <v>17595</v>
      </c>
    </row>
    <row r="11399" ht="33.75" customHeight="1">
      <c r="A11399" s="7">
        <v>488.0</v>
      </c>
      <c r="B11399" s="9" t="s">
        <v>16683</v>
      </c>
      <c r="C11399" s="9" t="s">
        <v>744</v>
      </c>
      <c r="D11399" s="9" t="s">
        <v>99</v>
      </c>
      <c r="E11399" s="6" t="s">
        <v>10487</v>
      </c>
      <c r="F11399" s="9" t="s">
        <v>17595</v>
      </c>
    </row>
    <row r="11400" ht="33.75" customHeight="1">
      <c r="A11400" s="7">
        <v>488.0</v>
      </c>
      <c r="B11400" s="9" t="s">
        <v>16683</v>
      </c>
      <c r="C11400" s="9" t="s">
        <v>744</v>
      </c>
      <c r="D11400" s="9" t="s">
        <v>101</v>
      </c>
      <c r="E11400" s="6" t="s">
        <v>10485</v>
      </c>
      <c r="F11400" s="9" t="s">
        <v>17595</v>
      </c>
    </row>
    <row r="11401" ht="33.75" customHeight="1">
      <c r="A11401" s="7">
        <v>488.0</v>
      </c>
      <c r="B11401" s="9" t="s">
        <v>16683</v>
      </c>
      <c r="C11401" s="9" t="s">
        <v>744</v>
      </c>
      <c r="D11401" s="9" t="s">
        <v>105</v>
      </c>
      <c r="E11401" s="6" t="s">
        <v>10490</v>
      </c>
      <c r="F11401" s="9" t="s">
        <v>17595</v>
      </c>
    </row>
    <row r="11402" ht="33.75" customHeight="1">
      <c r="A11402" s="7">
        <v>488.0</v>
      </c>
      <c r="B11402" s="9" t="s">
        <v>16683</v>
      </c>
      <c r="C11402" s="9" t="s">
        <v>744</v>
      </c>
      <c r="D11402" s="9" t="s">
        <v>107</v>
      </c>
      <c r="E11402" s="6" t="s">
        <v>10485</v>
      </c>
      <c r="F11402" s="9" t="s">
        <v>17595</v>
      </c>
    </row>
    <row r="11403" ht="33.75" customHeight="1">
      <c r="A11403" s="7">
        <v>488.0</v>
      </c>
      <c r="B11403" s="9" t="s">
        <v>16683</v>
      </c>
      <c r="C11403" s="9" t="s">
        <v>744</v>
      </c>
      <c r="D11403" s="9" t="s">
        <v>109</v>
      </c>
      <c r="E11403" s="6" t="s">
        <v>10490</v>
      </c>
      <c r="F11403" s="9" t="s">
        <v>17595</v>
      </c>
    </row>
    <row r="11404" ht="33.75" customHeight="1">
      <c r="A11404" s="7">
        <v>488.0</v>
      </c>
      <c r="B11404" s="9" t="s">
        <v>16683</v>
      </c>
      <c r="C11404" s="9" t="s">
        <v>744</v>
      </c>
      <c r="D11404" s="9" t="s">
        <v>1577</v>
      </c>
      <c r="E11404" s="6" t="s">
        <v>10491</v>
      </c>
      <c r="F11404" s="9" t="s">
        <v>17595</v>
      </c>
    </row>
    <row r="11405" ht="33.75" customHeight="1">
      <c r="A11405" s="7">
        <v>489.0</v>
      </c>
      <c r="B11405" s="9" t="s">
        <v>16692</v>
      </c>
      <c r="C11405" s="9" t="s">
        <v>745</v>
      </c>
      <c r="D11405" s="9" t="s">
        <v>81</v>
      </c>
      <c r="E11405" s="6" t="s">
        <v>10492</v>
      </c>
      <c r="F11405" s="9" t="s">
        <v>17601</v>
      </c>
      <c r="G11405" t="inlineStr" s="6">
        <is>
          <t xml:space="preserve">A Pokémon that lives in warm seas. It inflates the flotation sac on its head to drift and search for food. It drifts in warm seas. It always returns to where it was born, no matter how far it may have drifted. When the water warms, they inflate the flotation sac on their heads and drift languidly on the sea in packs. Can be seen floating offshore during seasons when the seas are warm. Its azure body blends in with the ocean waters—logic suggests this is a defense mechanism against natural predators.</t>
        </is>
      </c>
    </row>
    <row r="11406" ht="33.75" customHeight="1">
      <c r="A11406" s="7">
        <v>489.0</v>
      </c>
      <c r="B11406" s="9" t="s">
        <v>16692</v>
      </c>
      <c r="C11406" s="9" t="s">
        <v>745</v>
      </c>
      <c r="D11406" s="9" t="s">
        <v>84</v>
      </c>
      <c r="E11406" s="6" t="s">
        <v>10492</v>
      </c>
      <c r="F11406" s="9" t="s">
        <v>17601</v>
      </c>
    </row>
    <row r="11407" ht="33.75" customHeight="1">
      <c r="A11407" s="7">
        <v>489.0</v>
      </c>
      <c r="B11407" s="9" t="s">
        <v>16692</v>
      </c>
      <c r="C11407" s="9" t="s">
        <v>745</v>
      </c>
      <c r="D11407" s="9" t="s">
        <v>87</v>
      </c>
      <c r="E11407" s="6" t="s">
        <v>10494</v>
      </c>
      <c r="F11407" s="9" t="s">
        <v>17601</v>
      </c>
    </row>
    <row r="11408" ht="33.75" customHeight="1">
      <c r="A11408" s="7">
        <v>489.0</v>
      </c>
      <c r="B11408" s="9" t="s">
        <v>16692</v>
      </c>
      <c r="C11408" s="9" t="s">
        <v>745</v>
      </c>
      <c r="D11408" s="9" t="s">
        <v>89</v>
      </c>
      <c r="E11408" s="6" t="s">
        <v>10495</v>
      </c>
      <c r="F11408" s="9" t="s">
        <v>17601</v>
      </c>
    </row>
    <row r="11409" ht="33.75" customHeight="1">
      <c r="A11409" s="7">
        <v>489.0</v>
      </c>
      <c r="B11409" s="9" t="s">
        <v>16692</v>
      </c>
      <c r="C11409" s="9" t="s">
        <v>745</v>
      </c>
      <c r="D11409" s="9" t="s">
        <v>91</v>
      </c>
      <c r="E11409" s="6" t="s">
        <v>10495</v>
      </c>
      <c r="F11409" s="9" t="s">
        <v>17601</v>
      </c>
    </row>
    <row r="11410" ht="33.75" customHeight="1">
      <c r="A11410" s="7">
        <v>489.0</v>
      </c>
      <c r="B11410" s="9" t="s">
        <v>16692</v>
      </c>
      <c r="C11410" s="9" t="s">
        <v>745</v>
      </c>
      <c r="D11410" s="9" t="s">
        <v>93</v>
      </c>
      <c r="E11410" s="6" t="s">
        <v>10494</v>
      </c>
      <c r="F11410" s="9" t="s">
        <v>17601</v>
      </c>
    </row>
    <row r="11411" ht="33.75" customHeight="1">
      <c r="A11411" s="7">
        <v>489.0</v>
      </c>
      <c r="B11411" s="9" t="s">
        <v>16692</v>
      </c>
      <c r="C11411" s="9" t="s">
        <v>745</v>
      </c>
      <c r="D11411" s="9" t="s">
        <v>95</v>
      </c>
      <c r="E11411" s="6" t="s">
        <v>10494</v>
      </c>
      <c r="F11411" s="9" t="s">
        <v>17601</v>
      </c>
    </row>
    <row r="11412" ht="33.75" customHeight="1">
      <c r="A11412" s="7">
        <v>489.0</v>
      </c>
      <c r="B11412" s="9" t="s">
        <v>16692</v>
      </c>
      <c r="C11412" s="9" t="s">
        <v>745</v>
      </c>
      <c r="D11412" s="9" t="s">
        <v>98</v>
      </c>
      <c r="E11412" s="6" t="s">
        <v>10494</v>
      </c>
      <c r="F11412" s="9" t="s">
        <v>17601</v>
      </c>
    </row>
    <row r="11413" ht="33.75" customHeight="1">
      <c r="A11413" s="7">
        <v>489.0</v>
      </c>
      <c r="B11413" s="9" t="s">
        <v>16692</v>
      </c>
      <c r="C11413" s="9" t="s">
        <v>745</v>
      </c>
      <c r="D11413" s="9" t="s">
        <v>99</v>
      </c>
      <c r="E11413" s="6" t="s">
        <v>10494</v>
      </c>
      <c r="F11413" s="9" t="s">
        <v>17601</v>
      </c>
    </row>
    <row r="11414" ht="33.75" customHeight="1">
      <c r="A11414" s="7">
        <v>489.0</v>
      </c>
      <c r="B11414" s="9" t="s">
        <v>16692</v>
      </c>
      <c r="C11414" s="9" t="s">
        <v>745</v>
      </c>
      <c r="D11414" s="9" t="s">
        <v>101</v>
      </c>
      <c r="E11414" s="6" t="s">
        <v>10495</v>
      </c>
      <c r="F11414" s="9" t="s">
        <v>17601</v>
      </c>
    </row>
    <row r="11415" ht="33.75" customHeight="1">
      <c r="A11415" s="7">
        <v>489.0</v>
      </c>
      <c r="B11415" s="9" t="s">
        <v>16692</v>
      </c>
      <c r="C11415" s="9" t="s">
        <v>745</v>
      </c>
      <c r="D11415" s="9" t="s">
        <v>105</v>
      </c>
      <c r="E11415" s="6" t="s">
        <v>10494</v>
      </c>
      <c r="F11415" s="9" t="s">
        <v>17601</v>
      </c>
    </row>
    <row r="11416" ht="33.75" customHeight="1">
      <c r="A11416" s="7">
        <v>489.0</v>
      </c>
      <c r="B11416" s="9" t="s">
        <v>16692</v>
      </c>
      <c r="C11416" s="9" t="s">
        <v>745</v>
      </c>
      <c r="D11416" s="9" t="s">
        <v>107</v>
      </c>
      <c r="E11416" s="6" t="s">
        <v>10495</v>
      </c>
      <c r="F11416" s="9" t="s">
        <v>17601</v>
      </c>
    </row>
    <row r="11417" ht="33.75" customHeight="1">
      <c r="A11417" s="7">
        <v>489.0</v>
      </c>
      <c r="B11417" s="9" t="s">
        <v>16692</v>
      </c>
      <c r="C11417" s="9" t="s">
        <v>745</v>
      </c>
      <c r="D11417" s="9" t="s">
        <v>109</v>
      </c>
      <c r="E11417" s="6" t="s">
        <v>10494</v>
      </c>
      <c r="F11417" s="9" t="s">
        <v>17601</v>
      </c>
    </row>
    <row r="11418" ht="33.75" customHeight="1">
      <c r="A11418" s="7">
        <v>489.0</v>
      </c>
      <c r="B11418" s="9" t="s">
        <v>16692</v>
      </c>
      <c r="C11418" s="9" t="s">
        <v>745</v>
      </c>
      <c r="D11418" s="9" t="s">
        <v>1577</v>
      </c>
      <c r="E11418" s="6" t="s">
        <v>10496</v>
      </c>
      <c r="F11418" s="9" t="s">
        <v>17601</v>
      </c>
    </row>
    <row r="11419" ht="33.75" customHeight="1">
      <c r="A11419" s="7">
        <v>490.0</v>
      </c>
      <c r="B11419" s="9" t="s">
        <v>16698</v>
      </c>
      <c r="C11419" s="9" t="s">
        <v>747</v>
      </c>
      <c r="D11419" s="9" t="s">
        <v>81</v>
      </c>
      <c r="E11419" s="6" t="s">
        <v>10499</v>
      </c>
      <c r="F11419" s="9" t="s">
        <v>17611</v>
      </c>
      <c r="G11419" t="inlineStr" s="6">
        <is>
          <t xml:space="preserve">Born on a cold seafloor, it will swim great distances to return to Manaphy's birthplace. Water makes up 80% of its body. This Pokémon is easily affected by its environment. It is born with a wondrous power that lets it bond with any kind of Pokémon. It starts its life with a wondrous power that permits it to bond with any kind of Pokémon. Rumored to migrate across the oceans and visit Hisui's coastal waters only rarely. Although Manaphy resembles Phione, it is also quite different. The relation between the two is unclear.</t>
        </is>
      </c>
    </row>
    <row r="11420" ht="33.75" customHeight="1">
      <c r="A11420" s="7">
        <v>490.0</v>
      </c>
      <c r="B11420" s="9" t="s">
        <v>16698</v>
      </c>
      <c r="C11420" s="9" t="s">
        <v>747</v>
      </c>
      <c r="D11420" s="9" t="s">
        <v>84</v>
      </c>
      <c r="E11420" s="6" t="s">
        <v>10500</v>
      </c>
      <c r="F11420" s="9" t="s">
        <v>17611</v>
      </c>
    </row>
    <row r="11421" ht="33.75" customHeight="1">
      <c r="A11421" s="7">
        <v>490.0</v>
      </c>
      <c r="B11421" s="9" t="s">
        <v>16698</v>
      </c>
      <c r="C11421" s="9" t="s">
        <v>747</v>
      </c>
      <c r="D11421" s="9" t="s">
        <v>87</v>
      </c>
      <c r="E11421" s="6" t="s">
        <v>10502</v>
      </c>
      <c r="F11421" s="9" t="s">
        <v>17611</v>
      </c>
    </row>
    <row r="11422" ht="33.75" customHeight="1">
      <c r="A11422" s="7">
        <v>490.0</v>
      </c>
      <c r="B11422" s="9" t="s">
        <v>16698</v>
      </c>
      <c r="C11422" s="9" t="s">
        <v>747</v>
      </c>
      <c r="D11422" s="9" t="s">
        <v>89</v>
      </c>
      <c r="E11422" s="6" t="s">
        <v>10504</v>
      </c>
      <c r="F11422" s="9" t="s">
        <v>17611</v>
      </c>
    </row>
    <row r="11423" ht="33.75" customHeight="1">
      <c r="A11423" s="7">
        <v>490.0</v>
      </c>
      <c r="B11423" s="9" t="s">
        <v>16698</v>
      </c>
      <c r="C11423" s="9" t="s">
        <v>747</v>
      </c>
      <c r="D11423" s="9" t="s">
        <v>91</v>
      </c>
      <c r="E11423" s="6" t="s">
        <v>10504</v>
      </c>
      <c r="F11423" s="9" t="s">
        <v>17611</v>
      </c>
    </row>
    <row r="11424" ht="33.75" customHeight="1">
      <c r="A11424" s="7">
        <v>490.0</v>
      </c>
      <c r="B11424" s="9" t="s">
        <v>16698</v>
      </c>
      <c r="C11424" s="9" t="s">
        <v>747</v>
      </c>
      <c r="D11424" s="9" t="s">
        <v>93</v>
      </c>
      <c r="E11424" s="6" t="s">
        <v>10502</v>
      </c>
      <c r="F11424" s="9" t="s">
        <v>17611</v>
      </c>
    </row>
    <row r="11425" ht="33.75" customHeight="1">
      <c r="A11425" s="7">
        <v>490.0</v>
      </c>
      <c r="B11425" s="9" t="s">
        <v>16698</v>
      </c>
      <c r="C11425" s="9" t="s">
        <v>747</v>
      </c>
      <c r="D11425" s="9" t="s">
        <v>95</v>
      </c>
      <c r="E11425" s="6" t="s">
        <v>10502</v>
      </c>
      <c r="F11425" s="9" t="s">
        <v>17611</v>
      </c>
    </row>
    <row r="11426" ht="33.75" customHeight="1">
      <c r="A11426" s="7">
        <v>490.0</v>
      </c>
      <c r="B11426" s="9" t="s">
        <v>16698</v>
      </c>
      <c r="C11426" s="9" t="s">
        <v>747</v>
      </c>
      <c r="D11426" s="9" t="s">
        <v>98</v>
      </c>
      <c r="E11426" s="6" t="s">
        <v>10502</v>
      </c>
      <c r="F11426" s="9" t="s">
        <v>17611</v>
      </c>
    </row>
    <row r="11427" ht="33.75" customHeight="1">
      <c r="A11427" s="7">
        <v>490.0</v>
      </c>
      <c r="B11427" s="9" t="s">
        <v>16698</v>
      </c>
      <c r="C11427" s="9" t="s">
        <v>747</v>
      </c>
      <c r="D11427" s="9" t="s">
        <v>99</v>
      </c>
      <c r="E11427" s="6" t="s">
        <v>10502</v>
      </c>
      <c r="F11427" s="9" t="s">
        <v>17611</v>
      </c>
    </row>
    <row r="11428" ht="33.75" customHeight="1">
      <c r="A11428" s="7">
        <v>490.0</v>
      </c>
      <c r="B11428" s="9" t="s">
        <v>16698</v>
      </c>
      <c r="C11428" s="9" t="s">
        <v>747</v>
      </c>
      <c r="D11428" s="9" t="s">
        <v>101</v>
      </c>
      <c r="E11428" s="6" t="s">
        <v>10502</v>
      </c>
      <c r="F11428" s="9" t="s">
        <v>17611</v>
      </c>
    </row>
    <row r="11429" ht="33.75" customHeight="1">
      <c r="A11429" s="7">
        <v>490.0</v>
      </c>
      <c r="B11429" s="9" t="s">
        <v>16698</v>
      </c>
      <c r="C11429" s="9" t="s">
        <v>747</v>
      </c>
      <c r="D11429" s="9" t="s">
        <v>105</v>
      </c>
      <c r="E11429" s="6" t="s">
        <v>10504</v>
      </c>
      <c r="F11429" s="9" t="s">
        <v>17611</v>
      </c>
    </row>
    <row r="11430" ht="33.75" customHeight="1">
      <c r="A11430" s="7">
        <v>490.0</v>
      </c>
      <c r="B11430" s="9" t="s">
        <v>16698</v>
      </c>
      <c r="C11430" s="9" t="s">
        <v>747</v>
      </c>
      <c r="D11430" s="9" t="s">
        <v>107</v>
      </c>
      <c r="E11430" s="6" t="s">
        <v>10502</v>
      </c>
      <c r="F11430" s="9" t="s">
        <v>17611</v>
      </c>
    </row>
    <row r="11431" ht="33.75" customHeight="1">
      <c r="A11431" s="7">
        <v>490.0</v>
      </c>
      <c r="B11431" s="9" t="s">
        <v>16698</v>
      </c>
      <c r="C11431" s="9" t="s">
        <v>747</v>
      </c>
      <c r="D11431" s="9" t="s">
        <v>109</v>
      </c>
      <c r="E11431" s="6" t="s">
        <v>10504</v>
      </c>
      <c r="F11431" s="9" t="s">
        <v>17611</v>
      </c>
    </row>
    <row r="11432" ht="33.75" customHeight="1">
      <c r="A11432" s="7">
        <v>490.0</v>
      </c>
      <c r="B11432" s="9" t="s">
        <v>16698</v>
      </c>
      <c r="C11432" s="9" t="s">
        <v>747</v>
      </c>
      <c r="D11432" s="9" t="s">
        <v>1577</v>
      </c>
      <c r="E11432" s="6" t="s">
        <v>10505</v>
      </c>
      <c r="F11432" s="9" t="s">
        <v>17611</v>
      </c>
    </row>
    <row r="11433" ht="33.75" customHeight="1">
      <c r="A11433" s="7">
        <v>491.0</v>
      </c>
      <c r="B11433" s="9" t="s">
        <v>16705</v>
      </c>
      <c r="C11433" s="9" t="s">
        <v>749</v>
      </c>
      <c r="D11433" s="9" t="s">
        <v>81</v>
      </c>
      <c r="E11433" s="6" t="s">
        <v>10506</v>
      </c>
      <c r="F11433" s="9" t="s">
        <v>17625</v>
      </c>
      <c r="G11433" t="inlineStr" s="6">
        <is>
          <t xml:space="preserve">Darkrai can lull people to sleep and make them dream. It is active during nights of the new moon. Folklore has it that on moonless nights, this Pokémon will make people see horrific nightmares. To protect itself, it afflicts those around it with nightmares. However, it means no harm. It chases people and Pokémon from its territory by causing them to experience deep, nightmarish slumbers. On a moonless night, a strange incident occurred in which every one of a village's inhabitants suffered nightmares. The villagers attested that Darkrai appeared before them in these nightmares.</t>
        </is>
      </c>
    </row>
    <row r="11434" ht="33.75" customHeight="1">
      <c r="A11434" s="7">
        <v>491.0</v>
      </c>
      <c r="B11434" s="9" t="s">
        <v>16705</v>
      </c>
      <c r="C11434" s="9" t="s">
        <v>749</v>
      </c>
      <c r="D11434" s="9" t="s">
        <v>84</v>
      </c>
      <c r="E11434" s="6" t="s">
        <v>10507</v>
      </c>
      <c r="F11434" s="9" t="s">
        <v>17625</v>
      </c>
    </row>
    <row r="11435" ht="33.75" customHeight="1">
      <c r="A11435" s="7">
        <v>491.0</v>
      </c>
      <c r="B11435" s="9" t="s">
        <v>16705</v>
      </c>
      <c r="C11435" s="9" t="s">
        <v>749</v>
      </c>
      <c r="D11435" s="9" t="s">
        <v>87</v>
      </c>
      <c r="E11435" s="6" t="s">
        <v>10508</v>
      </c>
      <c r="F11435" s="9" t="s">
        <v>17625</v>
      </c>
    </row>
    <row r="11436" ht="33.75" customHeight="1">
      <c r="A11436" s="7">
        <v>491.0</v>
      </c>
      <c r="B11436" s="9" t="s">
        <v>16705</v>
      </c>
      <c r="C11436" s="9" t="s">
        <v>749</v>
      </c>
      <c r="D11436" s="9" t="s">
        <v>89</v>
      </c>
      <c r="E11436" s="6" t="s">
        <v>10509</v>
      </c>
      <c r="F11436" s="9" t="s">
        <v>17625</v>
      </c>
    </row>
    <row r="11437" ht="33.75" customHeight="1">
      <c r="A11437" s="7">
        <v>491.0</v>
      </c>
      <c r="B11437" s="9" t="s">
        <v>16705</v>
      </c>
      <c r="C11437" s="9" t="s">
        <v>749</v>
      </c>
      <c r="D11437" s="9" t="s">
        <v>91</v>
      </c>
      <c r="E11437" s="6" t="s">
        <v>10509</v>
      </c>
      <c r="F11437" s="9" t="s">
        <v>17625</v>
      </c>
    </row>
    <row r="11438" ht="33.75" customHeight="1">
      <c r="A11438" s="7">
        <v>491.0</v>
      </c>
      <c r="B11438" s="9" t="s">
        <v>16705</v>
      </c>
      <c r="C11438" s="9" t="s">
        <v>749</v>
      </c>
      <c r="D11438" s="9" t="s">
        <v>93</v>
      </c>
      <c r="E11438" s="6" t="s">
        <v>10508</v>
      </c>
      <c r="F11438" s="9" t="s">
        <v>17625</v>
      </c>
    </row>
    <row r="11439" ht="33.75" customHeight="1">
      <c r="A11439" s="7">
        <v>491.0</v>
      </c>
      <c r="B11439" s="9" t="s">
        <v>16705</v>
      </c>
      <c r="C11439" s="9" t="s">
        <v>749</v>
      </c>
      <c r="D11439" s="9" t="s">
        <v>95</v>
      </c>
      <c r="E11439" s="6" t="s">
        <v>10508</v>
      </c>
      <c r="F11439" s="9" t="s">
        <v>17625</v>
      </c>
    </row>
    <row r="11440" ht="33.75" customHeight="1">
      <c r="A11440" s="7">
        <v>491.0</v>
      </c>
      <c r="B11440" s="9" t="s">
        <v>16705</v>
      </c>
      <c r="C11440" s="9" t="s">
        <v>749</v>
      </c>
      <c r="D11440" s="9" t="s">
        <v>98</v>
      </c>
      <c r="E11440" s="6" t="s">
        <v>10508</v>
      </c>
      <c r="F11440" s="9" t="s">
        <v>17625</v>
      </c>
    </row>
    <row r="11441" ht="33.75" customHeight="1">
      <c r="A11441" s="7">
        <v>491.0</v>
      </c>
      <c r="B11441" s="9" t="s">
        <v>16705</v>
      </c>
      <c r="C11441" s="9" t="s">
        <v>749</v>
      </c>
      <c r="D11441" s="9" t="s">
        <v>99</v>
      </c>
      <c r="E11441" s="6" t="s">
        <v>10508</v>
      </c>
      <c r="F11441" s="9" t="s">
        <v>17625</v>
      </c>
    </row>
    <row r="11442" ht="33.75" customHeight="1">
      <c r="A11442" s="7">
        <v>491.0</v>
      </c>
      <c r="B11442" s="9" t="s">
        <v>16705</v>
      </c>
      <c r="C11442" s="9" t="s">
        <v>749</v>
      </c>
      <c r="D11442" s="9" t="s">
        <v>101</v>
      </c>
      <c r="E11442" s="6" t="s">
        <v>10509</v>
      </c>
      <c r="F11442" s="9" t="s">
        <v>17625</v>
      </c>
    </row>
    <row r="11443" ht="33.75" customHeight="1">
      <c r="A11443" s="7">
        <v>491.0</v>
      </c>
      <c r="B11443" s="9" t="s">
        <v>16705</v>
      </c>
      <c r="C11443" s="9" t="s">
        <v>749</v>
      </c>
      <c r="D11443" s="9" t="s">
        <v>105</v>
      </c>
      <c r="E11443" s="6" t="s">
        <v>10506</v>
      </c>
      <c r="F11443" s="9" t="s">
        <v>17625</v>
      </c>
    </row>
    <row r="11444" ht="33.75" customHeight="1">
      <c r="A11444" s="7">
        <v>491.0</v>
      </c>
      <c r="B11444" s="9" t="s">
        <v>16705</v>
      </c>
      <c r="C11444" s="9" t="s">
        <v>749</v>
      </c>
      <c r="D11444" s="9" t="s">
        <v>107</v>
      </c>
      <c r="E11444" s="6" t="s">
        <v>10509</v>
      </c>
      <c r="F11444" s="9" t="s">
        <v>17625</v>
      </c>
    </row>
    <row r="11445" ht="33.75" customHeight="1">
      <c r="A11445" s="7">
        <v>491.0</v>
      </c>
      <c r="B11445" s="9" t="s">
        <v>16705</v>
      </c>
      <c r="C11445" s="9" t="s">
        <v>749</v>
      </c>
      <c r="D11445" s="9" t="s">
        <v>109</v>
      </c>
      <c r="E11445" s="6" t="s">
        <v>10506</v>
      </c>
      <c r="F11445" s="9" t="s">
        <v>17625</v>
      </c>
    </row>
    <row r="11446" ht="33.75" customHeight="1">
      <c r="A11446" s="7">
        <v>491.0</v>
      </c>
      <c r="B11446" s="9" t="s">
        <v>16705</v>
      </c>
      <c r="C11446" s="9" t="s">
        <v>749</v>
      </c>
      <c r="D11446" s="9" t="s">
        <v>1577</v>
      </c>
      <c r="E11446" s="6" t="s">
        <v>10510</v>
      </c>
      <c r="F11446" s="9" t="s">
        <v>17625</v>
      </c>
    </row>
    <row r="11447" ht="33.75" customHeight="1">
      <c r="A11447" s="7">
        <v>492.0</v>
      </c>
      <c r="B11447" s="9" t="s">
        <v>16713</v>
      </c>
      <c r="C11447" s="9" t="s">
        <v>751</v>
      </c>
      <c r="D11447" s="9" t="s">
        <v>81</v>
      </c>
      <c r="E11447" s="6" t="s">
        <v>10511</v>
      </c>
      <c r="F11447" s="9" t="s">
        <v>17635</v>
      </c>
      <c r="G11447" t="inlineStr" s="6">
        <is>
          <t xml:space="preserve">Shaymin lives in flower patches and avoids detection by curling up to look like a flowering plant. It can dissolve toxins in the air to instantly transform ruined land into a lush field of flowers. The flowers all over its body burst into bloom if it is lovingly hugged and senses gratitude. The blooming of Gracidea flowers confers the power of flight upon it. Feelings of gratitude are the message it delivers. When the turning of seasons brings the cruel winter to its end and the joyous people give thanks to the heavens, Shaymin appears and covers the withered land with flowers.</t>
        </is>
      </c>
    </row>
    <row r="11448" ht="33.75" customHeight="1">
      <c r="A11448" s="7">
        <v>492.0</v>
      </c>
      <c r="B11448" s="9" t="s">
        <v>16713</v>
      </c>
      <c r="C11448" s="9" t="s">
        <v>751</v>
      </c>
      <c r="D11448" s="9" t="s">
        <v>84</v>
      </c>
      <c r="E11448" s="6" t="s">
        <v>10513</v>
      </c>
      <c r="F11448" s="9" t="s">
        <v>17635</v>
      </c>
    </row>
    <row r="11449" ht="33.75" customHeight="1">
      <c r="A11449" s="7">
        <v>492.0</v>
      </c>
      <c r="B11449" s="9" t="s">
        <v>16713</v>
      </c>
      <c r="C11449" s="9" t="s">
        <v>751</v>
      </c>
      <c r="D11449" s="9" t="s">
        <v>87</v>
      </c>
      <c r="E11449" s="6" t="s">
        <v>10515</v>
      </c>
      <c r="F11449" s="9" t="s">
        <v>17635</v>
      </c>
    </row>
    <row r="11450" ht="33.75" customHeight="1">
      <c r="A11450" s="7">
        <v>492.0</v>
      </c>
      <c r="B11450" s="9" t="s">
        <v>16713</v>
      </c>
      <c r="C11450" s="9" t="s">
        <v>751</v>
      </c>
      <c r="D11450" s="9" t="s">
        <v>89</v>
      </c>
      <c r="E11450" s="6" t="s">
        <v>10516</v>
      </c>
      <c r="F11450" s="9" t="s">
        <v>17635</v>
      </c>
    </row>
    <row r="11451" ht="33.75" customHeight="1">
      <c r="A11451" s="7">
        <v>492.0</v>
      </c>
      <c r="B11451" s="9" t="s">
        <v>16713</v>
      </c>
      <c r="C11451" s="9" t="s">
        <v>751</v>
      </c>
      <c r="D11451" s="9" t="s">
        <v>91</v>
      </c>
      <c r="E11451" s="6" t="s">
        <v>10516</v>
      </c>
      <c r="F11451" s="9" t="s">
        <v>17635</v>
      </c>
    </row>
    <row r="11452" ht="33.75" customHeight="1">
      <c r="A11452" s="7">
        <v>492.0</v>
      </c>
      <c r="B11452" s="9" t="s">
        <v>16713</v>
      </c>
      <c r="C11452" s="9" t="s">
        <v>751</v>
      </c>
      <c r="D11452" s="9" t="s">
        <v>93</v>
      </c>
      <c r="E11452" s="6" t="s">
        <v>10515</v>
      </c>
      <c r="F11452" s="9" t="s">
        <v>17635</v>
      </c>
    </row>
    <row r="11453" ht="33.75" customHeight="1">
      <c r="A11453" s="7">
        <v>492.0</v>
      </c>
      <c r="B11453" s="9" t="s">
        <v>16713</v>
      </c>
      <c r="C11453" s="9" t="s">
        <v>751</v>
      </c>
      <c r="D11453" s="9" t="s">
        <v>95</v>
      </c>
      <c r="E11453" s="6" t="s">
        <v>10515</v>
      </c>
      <c r="F11453" s="9" t="s">
        <v>17635</v>
      </c>
    </row>
    <row r="11454" ht="33.75" customHeight="1">
      <c r="A11454" s="7">
        <v>492.0</v>
      </c>
      <c r="B11454" s="9" t="s">
        <v>16713</v>
      </c>
      <c r="C11454" s="9" t="s">
        <v>751</v>
      </c>
      <c r="D11454" s="9" t="s">
        <v>98</v>
      </c>
      <c r="E11454" s="6" t="s">
        <v>10515</v>
      </c>
      <c r="F11454" s="9" t="s">
        <v>17635</v>
      </c>
    </row>
    <row r="11455" ht="33.75" customHeight="1">
      <c r="A11455" s="7">
        <v>492.0</v>
      </c>
      <c r="B11455" s="9" t="s">
        <v>16713</v>
      </c>
      <c r="C11455" s="9" t="s">
        <v>751</v>
      </c>
      <c r="D11455" s="9" t="s">
        <v>99</v>
      </c>
      <c r="E11455" s="6" t="s">
        <v>10515</v>
      </c>
      <c r="F11455" s="9" t="s">
        <v>17635</v>
      </c>
    </row>
    <row r="11456" ht="33.75" customHeight="1">
      <c r="A11456" s="7">
        <v>492.0</v>
      </c>
      <c r="B11456" s="9" t="s">
        <v>16713</v>
      </c>
      <c r="C11456" s="9" t="s">
        <v>751</v>
      </c>
      <c r="D11456" s="9" t="s">
        <v>101</v>
      </c>
      <c r="E11456" s="6" t="s">
        <v>10513</v>
      </c>
      <c r="F11456" s="9" t="s">
        <v>17635</v>
      </c>
    </row>
    <row r="11457" ht="33.75" customHeight="1">
      <c r="A11457" s="7">
        <v>492.0</v>
      </c>
      <c r="B11457" s="9" t="s">
        <v>16713</v>
      </c>
      <c r="C11457" s="9" t="s">
        <v>751</v>
      </c>
      <c r="D11457" s="9" t="s">
        <v>105</v>
      </c>
      <c r="E11457" s="6" t="s">
        <v>10516</v>
      </c>
      <c r="F11457" s="9" t="s">
        <v>17635</v>
      </c>
    </row>
    <row r="11458" ht="33.75" customHeight="1">
      <c r="A11458" s="7">
        <v>492.0</v>
      </c>
      <c r="B11458" s="9" t="s">
        <v>16713</v>
      </c>
      <c r="C11458" s="9" t="s">
        <v>751</v>
      </c>
      <c r="D11458" s="9" t="s">
        <v>107</v>
      </c>
      <c r="E11458" s="6" t="s">
        <v>10513</v>
      </c>
      <c r="F11458" s="9" t="s">
        <v>17635</v>
      </c>
    </row>
    <row r="11459" ht="33.75" customHeight="1">
      <c r="A11459" s="7">
        <v>492.0</v>
      </c>
      <c r="B11459" s="9" t="s">
        <v>16713</v>
      </c>
      <c r="C11459" s="9" t="s">
        <v>751</v>
      </c>
      <c r="D11459" s="9" t="s">
        <v>109</v>
      </c>
      <c r="E11459" s="6" t="s">
        <v>10516</v>
      </c>
      <c r="F11459" s="9" t="s">
        <v>17635</v>
      </c>
    </row>
    <row r="11460" ht="33.75" customHeight="1">
      <c r="A11460" s="7">
        <v>492.0</v>
      </c>
      <c r="B11460" s="9" t="s">
        <v>16713</v>
      </c>
      <c r="C11460" s="9" t="s">
        <v>751</v>
      </c>
      <c r="D11460" s="9" t="s">
        <v>1577</v>
      </c>
      <c r="E11460" s="6" t="s">
        <v>10517</v>
      </c>
      <c r="F11460" s="9" t="s">
        <v>17635</v>
      </c>
    </row>
    <row r="11461" ht="33.75" customHeight="1">
      <c r="A11461" s="7">
        <v>493.0</v>
      </c>
      <c r="B11461" s="9" t="s">
        <v>16721</v>
      </c>
      <c r="C11461" s="9" t="s">
        <v>753</v>
      </c>
      <c r="D11461" s="9" t="s">
        <v>81</v>
      </c>
      <c r="E11461" s="6" t="s">
        <v>10518</v>
      </c>
      <c r="F11461" s="9" t="s">
        <v>17650</v>
      </c>
      <c r="G11461" t="inlineStr" s="6">
        <is>
          <t xml:space="preserve">It is described in mythology as the Pokémon that shaped the universe with Arceus's 1,000 arms. It is told in mythology that this Pokémon was born before the universe even existed. It is said to have emerged from an egg in a place where there was nothing, then shaped the world. According to the legends of Sinnoh, this Pokémon emerged from an egg and shaped all there is in this world. It is said to have emerged from an egg in a place where there was nothing then shaped the world. It is the heavenly fount from which pours the light that shines across Hisui. Its luminance guides and protects all Pokémon. Hisuian mythology states that Arceus is the creator of all things.</t>
        </is>
      </c>
    </row>
    <row r="11462" ht="33.75" customHeight="1">
      <c r="A11462" s="7">
        <v>493.0</v>
      </c>
      <c r="B11462" s="9" t="s">
        <v>16721</v>
      </c>
      <c r="C11462" s="9" t="s">
        <v>753</v>
      </c>
      <c r="D11462" s="9" t="s">
        <v>84</v>
      </c>
      <c r="E11462" s="6" t="s">
        <v>10519</v>
      </c>
      <c r="F11462" s="9" t="s">
        <v>17650</v>
      </c>
    </row>
    <row r="11463" ht="33.75" customHeight="1">
      <c r="A11463" s="7">
        <v>493.0</v>
      </c>
      <c r="B11463" s="9" t="s">
        <v>16721</v>
      </c>
      <c r="C11463" s="9" t="s">
        <v>753</v>
      </c>
      <c r="D11463" s="9" t="s">
        <v>87</v>
      </c>
      <c r="E11463" s="6" t="s">
        <v>10521</v>
      </c>
      <c r="F11463" s="9" t="s">
        <v>17650</v>
      </c>
    </row>
    <row r="11464" ht="33.75" customHeight="1">
      <c r="A11464" s="7">
        <v>493.0</v>
      </c>
      <c r="B11464" s="9" t="s">
        <v>16721</v>
      </c>
      <c r="C11464" s="9" t="s">
        <v>753</v>
      </c>
      <c r="D11464" s="9" t="s">
        <v>89</v>
      </c>
      <c r="E11464" s="6" t="s">
        <v>10525</v>
      </c>
      <c r="F11464" s="9" t="s">
        <v>17650</v>
      </c>
    </row>
    <row r="11465" ht="33.75" customHeight="1">
      <c r="A11465" s="7">
        <v>493.0</v>
      </c>
      <c r="B11465" s="9" t="s">
        <v>16721</v>
      </c>
      <c r="C11465" s="9" t="s">
        <v>753</v>
      </c>
      <c r="D11465" s="9" t="s">
        <v>91</v>
      </c>
      <c r="E11465" s="6" t="s">
        <v>10525</v>
      </c>
      <c r="F11465" s="9" t="s">
        <v>17650</v>
      </c>
    </row>
    <row r="11466" ht="33.75" customHeight="1">
      <c r="A11466" s="7">
        <v>493.0</v>
      </c>
      <c r="B11466" s="9" t="s">
        <v>16721</v>
      </c>
      <c r="C11466" s="9" t="s">
        <v>753</v>
      </c>
      <c r="D11466" s="9" t="s">
        <v>93</v>
      </c>
      <c r="E11466" s="6" t="s">
        <v>10521</v>
      </c>
      <c r="F11466" s="9" t="s">
        <v>17650</v>
      </c>
    </row>
    <row r="11467" ht="33.75" customHeight="1">
      <c r="A11467" s="7">
        <v>493.0</v>
      </c>
      <c r="B11467" s="9" t="s">
        <v>16721</v>
      </c>
      <c r="C11467" s="9" t="s">
        <v>753</v>
      </c>
      <c r="D11467" s="9" t="s">
        <v>95</v>
      </c>
      <c r="E11467" s="6" t="s">
        <v>10521</v>
      </c>
      <c r="F11467" s="9" t="s">
        <v>17650</v>
      </c>
    </row>
    <row r="11468" ht="33.75" customHeight="1">
      <c r="A11468" s="7">
        <v>493.0</v>
      </c>
      <c r="B11468" s="9" t="s">
        <v>16721</v>
      </c>
      <c r="C11468" s="9" t="s">
        <v>753</v>
      </c>
      <c r="D11468" s="9" t="s">
        <v>98</v>
      </c>
      <c r="E11468" s="6" t="s">
        <v>10526</v>
      </c>
      <c r="F11468" s="9" t="s">
        <v>17650</v>
      </c>
    </row>
    <row r="11469" ht="33.75" customHeight="1">
      <c r="A11469" s="7">
        <v>493.0</v>
      </c>
      <c r="B11469" s="9" t="s">
        <v>16721</v>
      </c>
      <c r="C11469" s="9" t="s">
        <v>753</v>
      </c>
      <c r="D11469" s="9" t="s">
        <v>99</v>
      </c>
      <c r="E11469" s="6" t="s">
        <v>10526</v>
      </c>
      <c r="F11469" s="9" t="s">
        <v>17650</v>
      </c>
    </row>
    <row r="11470" ht="33.75" customHeight="1">
      <c r="A11470" s="7">
        <v>493.0</v>
      </c>
      <c r="B11470" s="9" t="s">
        <v>16721</v>
      </c>
      <c r="C11470" s="9" t="s">
        <v>753</v>
      </c>
      <c r="D11470" s="9" t="s">
        <v>101</v>
      </c>
      <c r="E11470" s="6" t="s">
        <v>10525</v>
      </c>
      <c r="F11470" s="9" t="s">
        <v>17650</v>
      </c>
    </row>
    <row r="11471" ht="33.75" customHeight="1">
      <c r="A11471" s="7">
        <v>493.0</v>
      </c>
      <c r="B11471" s="9" t="s">
        <v>16721</v>
      </c>
      <c r="C11471" s="9" t="s">
        <v>753</v>
      </c>
      <c r="D11471" s="9" t="s">
        <v>105</v>
      </c>
      <c r="E11471" s="6" t="s">
        <v>10519</v>
      </c>
      <c r="F11471" s="9" t="s">
        <v>17650</v>
      </c>
    </row>
    <row r="11472" ht="33.75" customHeight="1">
      <c r="A11472" s="7">
        <v>493.0</v>
      </c>
      <c r="B11472" s="9" t="s">
        <v>16721</v>
      </c>
      <c r="C11472" s="9" t="s">
        <v>753</v>
      </c>
      <c r="D11472" s="9" t="s">
        <v>107</v>
      </c>
      <c r="E11472" s="6" t="s">
        <v>10525</v>
      </c>
      <c r="F11472" s="9" t="s">
        <v>17650</v>
      </c>
    </row>
    <row r="11473" ht="33.75" customHeight="1">
      <c r="A11473" s="7">
        <v>493.0</v>
      </c>
      <c r="B11473" s="9" t="s">
        <v>16721</v>
      </c>
      <c r="C11473" s="9" t="s">
        <v>753</v>
      </c>
      <c r="D11473" s="9" t="s">
        <v>109</v>
      </c>
      <c r="E11473" s="6" t="s">
        <v>10519</v>
      </c>
      <c r="F11473" s="9" t="s">
        <v>17650</v>
      </c>
    </row>
    <row r="11474" ht="33.75" customHeight="1">
      <c r="A11474" s="7">
        <v>493.0</v>
      </c>
      <c r="B11474" s="9" t="s">
        <v>16721</v>
      </c>
      <c r="C11474" s="9" t="s">
        <v>753</v>
      </c>
      <c r="D11474" s="9" t="s">
        <v>1577</v>
      </c>
      <c r="E11474" s="6" t="s">
        <v>10528</v>
      </c>
      <c r="F11474" s="9" t="s">
        <v>17650</v>
      </c>
    </row>
    <row r="11475" ht="33.75" customHeight="1">
      <c r="A11475" s="7">
        <v>494.0</v>
      </c>
      <c r="B11475" s="9" t="s">
        <v>16729</v>
      </c>
      <c r="C11475" s="9" t="s">
        <v>754</v>
      </c>
      <c r="D11475" s="9" t="s">
        <v>93</v>
      </c>
      <c r="E11475" s="6" t="s">
        <v>10529</v>
      </c>
      <c r="F11475" s="9" t="s">
        <v>17657</v>
      </c>
      <c r="G11475" t="inlineStr" s="6">
        <is>
          <t xml:space="preserve">This Pokémon brings victory. It is said that Trainers with Victini always win, regardless of the type of encounter. It creates an unlimited supply of energy inside its body, which it shares with those who touch it. When it shares the infinite energy it creates, that being’s entire body will be overflowing with power.</t>
        </is>
      </c>
    </row>
    <row r="11476" ht="33.75" customHeight="1">
      <c r="A11476" s="7">
        <v>494.0</v>
      </c>
      <c r="B11476" s="9" t="s">
        <v>16729</v>
      </c>
      <c r="C11476" s="9" t="s">
        <v>754</v>
      </c>
      <c r="D11476" s="9" t="s">
        <v>95</v>
      </c>
      <c r="E11476" s="6" t="s">
        <v>10531</v>
      </c>
      <c r="F11476" s="9" t="s">
        <v>17657</v>
      </c>
    </row>
    <row r="11477" ht="33.75" customHeight="1">
      <c r="A11477" s="7">
        <v>494.0</v>
      </c>
      <c r="B11477" s="9" t="s">
        <v>16729</v>
      </c>
      <c r="C11477" s="9" t="s">
        <v>754</v>
      </c>
      <c r="D11477" s="9" t="s">
        <v>98</v>
      </c>
      <c r="E11477" s="6" t="s">
        <v>10533</v>
      </c>
      <c r="F11477" s="9" t="s">
        <v>17657</v>
      </c>
    </row>
    <row r="11478" ht="33.75" customHeight="1">
      <c r="A11478" s="7">
        <v>494.0</v>
      </c>
      <c r="B11478" s="9" t="s">
        <v>16729</v>
      </c>
      <c r="C11478" s="9" t="s">
        <v>754</v>
      </c>
      <c r="D11478" s="9" t="s">
        <v>99</v>
      </c>
      <c r="E11478" s="6" t="s">
        <v>10533</v>
      </c>
      <c r="F11478" s="9" t="s">
        <v>17657</v>
      </c>
    </row>
    <row r="11479" ht="33.75" customHeight="1">
      <c r="A11479" s="7">
        <v>494.0</v>
      </c>
      <c r="B11479" s="9" t="s">
        <v>16729</v>
      </c>
      <c r="C11479" s="9" t="s">
        <v>754</v>
      </c>
      <c r="D11479" s="9" t="s">
        <v>101</v>
      </c>
      <c r="E11479" s="6" t="s">
        <v>10529</v>
      </c>
      <c r="F11479" s="9" t="s">
        <v>17657</v>
      </c>
    </row>
    <row r="11480" ht="33.75" customHeight="1">
      <c r="A11480" s="7">
        <v>494.0</v>
      </c>
      <c r="B11480" s="9" t="s">
        <v>16729</v>
      </c>
      <c r="C11480" s="9" t="s">
        <v>754</v>
      </c>
      <c r="D11480" s="9" t="s">
        <v>105</v>
      </c>
      <c r="E11480" s="6" t="s">
        <v>10533</v>
      </c>
      <c r="F11480" s="9" t="s">
        <v>17657</v>
      </c>
    </row>
    <row r="11481" ht="33.75" customHeight="1">
      <c r="A11481" s="7">
        <v>494.0</v>
      </c>
      <c r="B11481" s="9" t="s">
        <v>16729</v>
      </c>
      <c r="C11481" s="9" t="s">
        <v>754</v>
      </c>
      <c r="D11481" s="9" t="s">
        <v>107</v>
      </c>
      <c r="E11481" s="6" t="s">
        <v>10529</v>
      </c>
      <c r="F11481" s="9" t="s">
        <v>17657</v>
      </c>
    </row>
    <row r="11482" ht="33.75" customHeight="1">
      <c r="A11482" s="7">
        <v>494.0</v>
      </c>
      <c r="B11482" s="9" t="s">
        <v>16729</v>
      </c>
      <c r="C11482" s="9" t="s">
        <v>754</v>
      </c>
      <c r="D11482" s="9" t="s">
        <v>109</v>
      </c>
      <c r="E11482" s="6" t="s">
        <v>10533</v>
      </c>
      <c r="F11482" s="9" t="s">
        <v>17657</v>
      </c>
    </row>
    <row r="11483" ht="33.75" customHeight="1">
      <c r="A11483" s="7">
        <v>495.0</v>
      </c>
      <c r="B11483" s="9" t="s">
        <v>16735</v>
      </c>
      <c r="C11483" s="9" t="s">
        <v>756</v>
      </c>
      <c r="D11483" s="9" t="s">
        <v>93</v>
      </c>
      <c r="E11483" s="6" t="s">
        <v>10534</v>
      </c>
      <c r="F11483" s="9" t="s">
        <v>17662</v>
      </c>
      <c r="G11483" t="inlineStr" s="6">
        <is>
          <t xml:space="preserve">Snivy is very intelligent and calm. Being exposed to lots of sunlight makes its movements swifter. They photosynthesize by bathing their tails in sunlight. When they are not feeling well, their tails droop. Being exposed to sunlight makes its movements swifter. It uses vines more adeptly than its hands.</t>
        </is>
      </c>
    </row>
    <row r="11484" ht="33.75" customHeight="1">
      <c r="A11484" s="7">
        <v>495.0</v>
      </c>
      <c r="B11484" s="9" t="s">
        <v>16735</v>
      </c>
      <c r="C11484" s="9" t="s">
        <v>756</v>
      </c>
      <c r="D11484" s="9" t="s">
        <v>95</v>
      </c>
      <c r="E11484" s="6" t="s">
        <v>10535</v>
      </c>
      <c r="F11484" s="9" t="s">
        <v>17662</v>
      </c>
    </row>
    <row r="11485" ht="33.75" customHeight="1">
      <c r="A11485" s="7">
        <v>495.0</v>
      </c>
      <c r="B11485" s="9" t="s">
        <v>16735</v>
      </c>
      <c r="C11485" s="9" t="s">
        <v>756</v>
      </c>
      <c r="D11485" s="9" t="s">
        <v>98</v>
      </c>
      <c r="E11485" s="6" t="s">
        <v>10537</v>
      </c>
      <c r="F11485" s="9" t="s">
        <v>17662</v>
      </c>
    </row>
    <row r="11486" ht="33.75" customHeight="1">
      <c r="A11486" s="7">
        <v>495.0</v>
      </c>
      <c r="B11486" s="9" t="s">
        <v>16735</v>
      </c>
      <c r="C11486" s="9" t="s">
        <v>756</v>
      </c>
      <c r="D11486" s="9" t="s">
        <v>99</v>
      </c>
      <c r="E11486" s="6" t="s">
        <v>10537</v>
      </c>
      <c r="F11486" s="9" t="s">
        <v>17662</v>
      </c>
    </row>
    <row r="11487" ht="33.75" customHeight="1">
      <c r="A11487" s="7">
        <v>495.0</v>
      </c>
      <c r="B11487" s="9" t="s">
        <v>16735</v>
      </c>
      <c r="C11487" s="9" t="s">
        <v>756</v>
      </c>
      <c r="D11487" s="9" t="s">
        <v>101</v>
      </c>
      <c r="E11487" s="6" t="s">
        <v>10537</v>
      </c>
      <c r="F11487" s="9" t="s">
        <v>17662</v>
      </c>
    </row>
    <row r="11488" ht="33.75" customHeight="1">
      <c r="A11488" s="7">
        <v>495.0</v>
      </c>
      <c r="B11488" s="9" t="s">
        <v>16735</v>
      </c>
      <c r="C11488" s="9" t="s">
        <v>756</v>
      </c>
      <c r="D11488" s="9" t="s">
        <v>105</v>
      </c>
      <c r="E11488" s="6" t="s">
        <v>10535</v>
      </c>
      <c r="F11488" s="9" t="s">
        <v>17662</v>
      </c>
    </row>
    <row r="11489" ht="33.75" customHeight="1">
      <c r="A11489" s="7">
        <v>495.0</v>
      </c>
      <c r="B11489" s="9" t="s">
        <v>16735</v>
      </c>
      <c r="C11489" s="9" t="s">
        <v>756</v>
      </c>
      <c r="D11489" s="9" t="s">
        <v>107</v>
      </c>
      <c r="E11489" s="6" t="s">
        <v>10537</v>
      </c>
      <c r="F11489" s="9" t="s">
        <v>17662</v>
      </c>
    </row>
    <row r="11490" ht="33.75" customHeight="1">
      <c r="A11490" s="7">
        <v>495.0</v>
      </c>
      <c r="B11490" s="9" t="s">
        <v>16735</v>
      </c>
      <c r="C11490" s="9" t="s">
        <v>756</v>
      </c>
      <c r="D11490" s="9" t="s">
        <v>109</v>
      </c>
      <c r="E11490" s="6" t="s">
        <v>10535</v>
      </c>
      <c r="F11490" s="9" t="s">
        <v>17662</v>
      </c>
    </row>
    <row r="11491" ht="33.75" customHeight="1">
      <c r="A11491" s="7">
        <v>496.0</v>
      </c>
      <c r="B11491" s="9" t="s">
        <v>16741</v>
      </c>
      <c r="C11491" s="9" t="s">
        <v>756</v>
      </c>
      <c r="D11491" s="9" t="s">
        <v>93</v>
      </c>
      <c r="E11491" s="6" t="s">
        <v>10538</v>
      </c>
      <c r="F11491" s="9" t="s">
        <v>17666</v>
      </c>
      <c r="G11491" t="inlineStr" s="6">
        <is>
          <t xml:space="preserve">Servine moves along the ground as if sliding. Its swift movements befuddle its foes, and it then attacks with a vine whip. They avoid attacks by sinking into the shadows of thick foliage. They retaliate with masterful whipping techniques. When it gets dirty, its leaves can’t be used in photosynthesis, so it always keeps itself clean.</t>
        </is>
      </c>
    </row>
    <row r="11492" ht="33.75" customHeight="1">
      <c r="A11492" s="7">
        <v>496.0</v>
      </c>
      <c r="B11492" s="9" t="s">
        <v>16741</v>
      </c>
      <c r="C11492" s="9" t="s">
        <v>756</v>
      </c>
      <c r="D11492" s="9" t="s">
        <v>95</v>
      </c>
      <c r="E11492" s="6" t="s">
        <v>10539</v>
      </c>
      <c r="F11492" s="9" t="s">
        <v>17666</v>
      </c>
    </row>
    <row r="11493" ht="33.75" customHeight="1">
      <c r="A11493" s="7">
        <v>496.0</v>
      </c>
      <c r="B11493" s="9" t="s">
        <v>16741</v>
      </c>
      <c r="C11493" s="9" t="s">
        <v>756</v>
      </c>
      <c r="D11493" s="9" t="s">
        <v>98</v>
      </c>
      <c r="E11493" s="6" t="s">
        <v>10542</v>
      </c>
      <c r="F11493" s="9" t="s">
        <v>17666</v>
      </c>
    </row>
    <row r="11494" ht="33.75" customHeight="1">
      <c r="A11494" s="7">
        <v>496.0</v>
      </c>
      <c r="B11494" s="9" t="s">
        <v>16741</v>
      </c>
      <c r="C11494" s="9" t="s">
        <v>756</v>
      </c>
      <c r="D11494" s="9" t="s">
        <v>99</v>
      </c>
      <c r="E11494" s="6" t="s">
        <v>10542</v>
      </c>
      <c r="F11494" s="9" t="s">
        <v>17666</v>
      </c>
    </row>
    <row r="11495" ht="33.75" customHeight="1">
      <c r="A11495" s="7">
        <v>496.0</v>
      </c>
      <c r="B11495" s="9" t="s">
        <v>16741</v>
      </c>
      <c r="C11495" s="9" t="s">
        <v>756</v>
      </c>
      <c r="D11495" s="9" t="s">
        <v>101</v>
      </c>
      <c r="E11495" s="6" t="s">
        <v>10538</v>
      </c>
      <c r="F11495" s="9" t="s">
        <v>17666</v>
      </c>
    </row>
    <row r="11496" ht="33.75" customHeight="1">
      <c r="A11496" s="7">
        <v>496.0</v>
      </c>
      <c r="B11496" s="9" t="s">
        <v>16741</v>
      </c>
      <c r="C11496" s="9" t="s">
        <v>756</v>
      </c>
      <c r="D11496" s="9" t="s">
        <v>105</v>
      </c>
      <c r="E11496" s="6" t="s">
        <v>10542</v>
      </c>
      <c r="F11496" s="9" t="s">
        <v>17666</v>
      </c>
    </row>
    <row r="11497" ht="33.75" customHeight="1">
      <c r="A11497" s="7">
        <v>496.0</v>
      </c>
      <c r="B11497" s="9" t="s">
        <v>16741</v>
      </c>
      <c r="C11497" s="9" t="s">
        <v>756</v>
      </c>
      <c r="D11497" s="9" t="s">
        <v>107</v>
      </c>
      <c r="E11497" s="6" t="s">
        <v>10538</v>
      </c>
      <c r="F11497" s="9" t="s">
        <v>17666</v>
      </c>
    </row>
    <row r="11498" ht="33.75" customHeight="1">
      <c r="A11498" s="7">
        <v>496.0</v>
      </c>
      <c r="B11498" s="9" t="s">
        <v>16741</v>
      </c>
      <c r="C11498" s="9" t="s">
        <v>756</v>
      </c>
      <c r="D11498" s="9" t="s">
        <v>109</v>
      </c>
      <c r="E11498" s="6" t="s">
        <v>10542</v>
      </c>
      <c r="F11498" s="9" t="s">
        <v>17666</v>
      </c>
    </row>
    <row r="11499" ht="33.75" customHeight="1">
      <c r="A11499" s="7">
        <v>497.0</v>
      </c>
      <c r="B11499" s="9" t="s">
        <v>16745</v>
      </c>
      <c r="C11499" s="9" t="s">
        <v>757</v>
      </c>
      <c r="D11499" s="9" t="s">
        <v>93</v>
      </c>
      <c r="E11499" s="6" t="s">
        <v>10544</v>
      </c>
      <c r="F11499" s="9" t="s">
        <v>17674</v>
      </c>
      <c r="G11499" t="inlineStr" s="6">
        <is>
          <t xml:space="preserve">It can stop Serperior's opponents’ movements with just a glare. It takes in solar energy and boosts it internally. They raise their heads to intimidate opponents but only give it their all when fighting a powerful opponent. It only gives its all against strong opponents who are not fazed by the glare from Serperior’s noble eyes.</t>
        </is>
      </c>
    </row>
    <row r="11500" ht="33.75" customHeight="1">
      <c r="A11500" s="7">
        <v>497.0</v>
      </c>
      <c r="B11500" s="9" t="s">
        <v>16745</v>
      </c>
      <c r="C11500" s="9" t="s">
        <v>757</v>
      </c>
      <c r="D11500" s="9" t="s">
        <v>95</v>
      </c>
      <c r="E11500" s="6" t="s">
        <v>10545</v>
      </c>
      <c r="F11500" s="9" t="s">
        <v>17674</v>
      </c>
    </row>
    <row r="11501" ht="33.75" customHeight="1">
      <c r="A11501" s="7">
        <v>497.0</v>
      </c>
      <c r="B11501" s="9" t="s">
        <v>16745</v>
      </c>
      <c r="C11501" s="9" t="s">
        <v>757</v>
      </c>
      <c r="D11501" s="9" t="s">
        <v>98</v>
      </c>
      <c r="E11501" s="6" t="s">
        <v>10546</v>
      </c>
      <c r="F11501" s="9" t="s">
        <v>17674</v>
      </c>
    </row>
    <row r="11502" ht="33.75" customHeight="1">
      <c r="A11502" s="7">
        <v>497.0</v>
      </c>
      <c r="B11502" s="9" t="s">
        <v>16745</v>
      </c>
      <c r="C11502" s="9" t="s">
        <v>757</v>
      </c>
      <c r="D11502" s="9" t="s">
        <v>99</v>
      </c>
      <c r="E11502" s="6" t="s">
        <v>10546</v>
      </c>
      <c r="F11502" s="9" t="s">
        <v>17674</v>
      </c>
    </row>
    <row r="11503" ht="33.75" customHeight="1">
      <c r="A11503" s="7">
        <v>497.0</v>
      </c>
      <c r="B11503" s="9" t="s">
        <v>16745</v>
      </c>
      <c r="C11503" s="9" t="s">
        <v>757</v>
      </c>
      <c r="D11503" s="9" t="s">
        <v>101</v>
      </c>
      <c r="E11503" s="6" t="s">
        <v>10546</v>
      </c>
      <c r="F11503" s="9" t="s">
        <v>17674</v>
      </c>
    </row>
    <row r="11504" ht="33.75" customHeight="1">
      <c r="A11504" s="7">
        <v>497.0</v>
      </c>
      <c r="B11504" s="9" t="s">
        <v>16745</v>
      </c>
      <c r="C11504" s="9" t="s">
        <v>757</v>
      </c>
      <c r="D11504" s="9" t="s">
        <v>105</v>
      </c>
      <c r="E11504" s="6" t="s">
        <v>10544</v>
      </c>
      <c r="F11504" s="9" t="s">
        <v>17674</v>
      </c>
    </row>
    <row r="11505" ht="33.75" customHeight="1">
      <c r="A11505" s="7">
        <v>497.0</v>
      </c>
      <c r="B11505" s="9" t="s">
        <v>16745</v>
      </c>
      <c r="C11505" s="9" t="s">
        <v>757</v>
      </c>
      <c r="D11505" s="9" t="s">
        <v>107</v>
      </c>
      <c r="E11505" s="6" t="s">
        <v>10546</v>
      </c>
      <c r="F11505" s="9" t="s">
        <v>17674</v>
      </c>
    </row>
    <row r="11506" ht="33.75" customHeight="1">
      <c r="A11506" s="7">
        <v>497.0</v>
      </c>
      <c r="B11506" s="9" t="s">
        <v>16745</v>
      </c>
      <c r="C11506" s="9" t="s">
        <v>757</v>
      </c>
      <c r="D11506" s="9" t="s">
        <v>109</v>
      </c>
      <c r="E11506" s="6" t="s">
        <v>10544</v>
      </c>
      <c r="F11506" s="9" t="s">
        <v>17674</v>
      </c>
    </row>
    <row r="11507" ht="33.75" customHeight="1">
      <c r="A11507" s="7">
        <v>498.0</v>
      </c>
      <c r="B11507" s="9" t="s">
        <v>16750</v>
      </c>
      <c r="C11507" s="9" t="s">
        <v>758</v>
      </c>
      <c r="D11507" s="9" t="s">
        <v>93</v>
      </c>
      <c r="E11507" s="6" t="s">
        <v>10547</v>
      </c>
      <c r="F11507" s="9" t="s">
        <v>17676</v>
      </c>
      <c r="G11507" t="inlineStr" s="6">
        <is>
          <t xml:space="preserve">It can deftly dodge Tepig's foe’s attacks while shooting fireballs from its nose. It roasts berries before it eats them. It blows fire through its nose. When it catches a cold, the fire becomes pitch-black smoke instead. It loves to eat roasted berries, but sometimes it gets too excited and burns them to a crisp.</t>
        </is>
      </c>
    </row>
    <row r="11508" ht="33.75" customHeight="1">
      <c r="A11508" s="7">
        <v>498.0</v>
      </c>
      <c r="B11508" s="9" t="s">
        <v>16750</v>
      </c>
      <c r="C11508" s="9" t="s">
        <v>758</v>
      </c>
      <c r="D11508" s="9" t="s">
        <v>95</v>
      </c>
      <c r="E11508" s="6" t="s">
        <v>10548</v>
      </c>
      <c r="F11508" s="9" t="s">
        <v>17676</v>
      </c>
    </row>
    <row r="11509" ht="33.75" customHeight="1">
      <c r="A11509" s="7">
        <v>498.0</v>
      </c>
      <c r="B11509" s="9" t="s">
        <v>16750</v>
      </c>
      <c r="C11509" s="9" t="s">
        <v>758</v>
      </c>
      <c r="D11509" s="9" t="s">
        <v>98</v>
      </c>
      <c r="E11509" s="6" t="s">
        <v>10549</v>
      </c>
      <c r="F11509" s="9" t="s">
        <v>17676</v>
      </c>
    </row>
    <row r="11510" ht="33.75" customHeight="1">
      <c r="A11510" s="7">
        <v>498.0</v>
      </c>
      <c r="B11510" s="9" t="s">
        <v>16750</v>
      </c>
      <c r="C11510" s="9" t="s">
        <v>758</v>
      </c>
      <c r="D11510" s="9" t="s">
        <v>99</v>
      </c>
      <c r="E11510" s="6" t="s">
        <v>10549</v>
      </c>
      <c r="F11510" s="9" t="s">
        <v>17676</v>
      </c>
    </row>
    <row r="11511" ht="33.75" customHeight="1">
      <c r="A11511" s="7">
        <v>498.0</v>
      </c>
      <c r="B11511" s="9" t="s">
        <v>16750</v>
      </c>
      <c r="C11511" s="9" t="s">
        <v>758</v>
      </c>
      <c r="D11511" s="9" t="s">
        <v>101</v>
      </c>
      <c r="E11511" s="6" t="s">
        <v>10547</v>
      </c>
      <c r="F11511" s="9" t="s">
        <v>17676</v>
      </c>
    </row>
    <row r="11512" ht="33.75" customHeight="1">
      <c r="A11512" s="7">
        <v>498.0</v>
      </c>
      <c r="B11512" s="9" t="s">
        <v>16750</v>
      </c>
      <c r="C11512" s="9" t="s">
        <v>758</v>
      </c>
      <c r="D11512" s="9" t="s">
        <v>105</v>
      </c>
      <c r="E11512" s="6" t="s">
        <v>10549</v>
      </c>
      <c r="F11512" s="9" t="s">
        <v>17676</v>
      </c>
    </row>
    <row r="11513" ht="33.75" customHeight="1">
      <c r="A11513" s="7">
        <v>498.0</v>
      </c>
      <c r="B11513" s="9" t="s">
        <v>16750</v>
      </c>
      <c r="C11513" s="9" t="s">
        <v>758</v>
      </c>
      <c r="D11513" s="9" t="s">
        <v>107</v>
      </c>
      <c r="E11513" s="6" t="s">
        <v>10547</v>
      </c>
      <c r="F11513" s="9" t="s">
        <v>17676</v>
      </c>
    </row>
    <row r="11514" ht="33.75" customHeight="1">
      <c r="A11514" s="7">
        <v>498.0</v>
      </c>
      <c r="B11514" s="9" t="s">
        <v>16750</v>
      </c>
      <c r="C11514" s="9" t="s">
        <v>758</v>
      </c>
      <c r="D11514" s="9" t="s">
        <v>109</v>
      </c>
      <c r="E11514" s="6" t="s">
        <v>10549</v>
      </c>
      <c r="F11514" s="9" t="s">
        <v>17676</v>
      </c>
    </row>
    <row r="11515" ht="33.75" customHeight="1">
      <c r="A11515" s="7">
        <v>499.0</v>
      </c>
      <c r="B11515" s="9" t="s">
        <v>16756</v>
      </c>
      <c r="C11515" s="9" t="s">
        <v>758</v>
      </c>
      <c r="D11515" s="9" t="s">
        <v>93</v>
      </c>
      <c r="E11515" s="6" t="s">
        <v>10550</v>
      </c>
      <c r="F11515" s="9" t="s">
        <v>17683</v>
      </c>
      <c r="G11515" t="inlineStr" s="6">
        <is>
          <t xml:space="preserve">When Pignite's internal fire flares up, its movements grow sharper and faster. When in trouble, it emits smoke. Whatever it eats becomes fuel for the flame in its stomach. When it is angered, the intensity of the flame increases. The more it eats, the more fuel it has to make the fire in its stomach stronger. This fills it with even more power.</t>
        </is>
      </c>
    </row>
    <row r="11516" ht="33.75" customHeight="1">
      <c r="A11516" s="7">
        <v>499.0</v>
      </c>
      <c r="B11516" s="9" t="s">
        <v>16756</v>
      </c>
      <c r="C11516" s="9" t="s">
        <v>758</v>
      </c>
      <c r="D11516" s="9" t="s">
        <v>95</v>
      </c>
      <c r="E11516" s="6" t="s">
        <v>10551</v>
      </c>
      <c r="F11516" s="9" t="s">
        <v>17683</v>
      </c>
    </row>
    <row r="11517" ht="33.75" customHeight="1">
      <c r="A11517" s="7">
        <v>499.0</v>
      </c>
      <c r="B11517" s="9" t="s">
        <v>16756</v>
      </c>
      <c r="C11517" s="9" t="s">
        <v>758</v>
      </c>
      <c r="D11517" s="9" t="s">
        <v>98</v>
      </c>
      <c r="E11517" s="6" t="s">
        <v>10552</v>
      </c>
      <c r="F11517" s="9" t="s">
        <v>17683</v>
      </c>
    </row>
    <row r="11518" ht="33.75" customHeight="1">
      <c r="A11518" s="7">
        <v>499.0</v>
      </c>
      <c r="B11518" s="9" t="s">
        <v>16756</v>
      </c>
      <c r="C11518" s="9" t="s">
        <v>758</v>
      </c>
      <c r="D11518" s="9" t="s">
        <v>99</v>
      </c>
      <c r="E11518" s="6" t="s">
        <v>10552</v>
      </c>
      <c r="F11518" s="9" t="s">
        <v>17683</v>
      </c>
    </row>
    <row r="11519" ht="33.75" customHeight="1">
      <c r="A11519" s="7">
        <v>499.0</v>
      </c>
      <c r="B11519" s="9" t="s">
        <v>16756</v>
      </c>
      <c r="C11519" s="9" t="s">
        <v>758</v>
      </c>
      <c r="D11519" s="9" t="s">
        <v>101</v>
      </c>
      <c r="E11519" s="6" t="s">
        <v>10552</v>
      </c>
      <c r="F11519" s="9" t="s">
        <v>17683</v>
      </c>
    </row>
    <row r="11520" ht="33.75" customHeight="1">
      <c r="A11520" s="7">
        <v>499.0</v>
      </c>
      <c r="B11520" s="9" t="s">
        <v>16756</v>
      </c>
      <c r="C11520" s="9" t="s">
        <v>758</v>
      </c>
      <c r="D11520" s="9" t="s">
        <v>105</v>
      </c>
      <c r="E11520" s="6" t="s">
        <v>10550</v>
      </c>
      <c r="F11520" s="9" t="s">
        <v>17683</v>
      </c>
    </row>
    <row r="11521" ht="33.75" customHeight="1">
      <c r="A11521" s="7">
        <v>499.0</v>
      </c>
      <c r="B11521" s="9" t="s">
        <v>16756</v>
      </c>
      <c r="C11521" s="9" t="s">
        <v>758</v>
      </c>
      <c r="D11521" s="9" t="s">
        <v>107</v>
      </c>
      <c r="E11521" s="6" t="s">
        <v>10552</v>
      </c>
      <c r="F11521" s="9" t="s">
        <v>17683</v>
      </c>
    </row>
    <row r="11522" ht="33.75" customHeight="1">
      <c r="A11522" s="7">
        <v>499.0</v>
      </c>
      <c r="B11522" s="9" t="s">
        <v>16756</v>
      </c>
      <c r="C11522" s="9" t="s">
        <v>758</v>
      </c>
      <c r="D11522" s="9" t="s">
        <v>109</v>
      </c>
      <c r="E11522" s="6" t="s">
        <v>10550</v>
      </c>
      <c r="F11522" s="9" t="s">
        <v>17683</v>
      </c>
    </row>
    <row r="11523" ht="33.75" customHeight="1">
      <c r="A11523" s="7">
        <v>500.0</v>
      </c>
      <c r="B11523" s="9" t="s">
        <v>16760</v>
      </c>
      <c r="C11523" s="9" t="s">
        <v>760</v>
      </c>
      <c r="D11523" s="9" t="s">
        <v>93</v>
      </c>
      <c r="E11523" s="6" t="s">
        <v>10554</v>
      </c>
      <c r="F11523" s="9" t="s">
        <v>17690</v>
      </c>
      <c r="G11523" t="inlineStr" s="6">
        <is>
          <t xml:space="preserve">It can throw a fire punch by setting Emboar's fists on fire with its fiery chin. It cares deeply about its friends. It has mastered fast and powerful fighting moves. It grows a beard of fire. A flaring beard of fire is proof that it is fired up. It is adept at using many different moves.</t>
        </is>
      </c>
    </row>
    <row r="11524" ht="33.75" customHeight="1">
      <c r="A11524" s="7">
        <v>500.0</v>
      </c>
      <c r="B11524" s="9" t="s">
        <v>16760</v>
      </c>
      <c r="C11524" s="9" t="s">
        <v>760</v>
      </c>
      <c r="D11524" s="9" t="s">
        <v>95</v>
      </c>
      <c r="E11524" s="6" t="s">
        <v>10555</v>
      </c>
      <c r="F11524" s="9" t="s">
        <v>17690</v>
      </c>
    </row>
    <row r="11525" ht="33.75" customHeight="1">
      <c r="A11525" s="7">
        <v>500.0</v>
      </c>
      <c r="B11525" s="9" t="s">
        <v>16760</v>
      </c>
      <c r="C11525" s="9" t="s">
        <v>760</v>
      </c>
      <c r="D11525" s="9" t="s">
        <v>98</v>
      </c>
      <c r="E11525" s="6" t="s">
        <v>10556</v>
      </c>
      <c r="F11525" s="9" t="s">
        <v>17690</v>
      </c>
    </row>
    <row r="11526" ht="33.75" customHeight="1">
      <c r="A11526" s="7">
        <v>500.0</v>
      </c>
      <c r="B11526" s="9" t="s">
        <v>16760</v>
      </c>
      <c r="C11526" s="9" t="s">
        <v>760</v>
      </c>
      <c r="D11526" s="9" t="s">
        <v>99</v>
      </c>
      <c r="E11526" s="6" t="s">
        <v>10556</v>
      </c>
      <c r="F11526" s="9" t="s">
        <v>17690</v>
      </c>
    </row>
    <row r="11527" ht="33.75" customHeight="1">
      <c r="A11527" s="7">
        <v>500.0</v>
      </c>
      <c r="B11527" s="9" t="s">
        <v>16760</v>
      </c>
      <c r="C11527" s="9" t="s">
        <v>760</v>
      </c>
      <c r="D11527" s="9" t="s">
        <v>101</v>
      </c>
      <c r="E11527" s="6" t="s">
        <v>10554</v>
      </c>
      <c r="F11527" s="9" t="s">
        <v>17690</v>
      </c>
    </row>
    <row r="11528" ht="33.75" customHeight="1">
      <c r="A11528" s="7">
        <v>500.0</v>
      </c>
      <c r="B11528" s="9" t="s">
        <v>16760</v>
      </c>
      <c r="C11528" s="9" t="s">
        <v>760</v>
      </c>
      <c r="D11528" s="9" t="s">
        <v>105</v>
      </c>
      <c r="E11528" s="6" t="s">
        <v>10555</v>
      </c>
      <c r="F11528" s="9" t="s">
        <v>17690</v>
      </c>
    </row>
    <row r="11529" ht="33.75" customHeight="1">
      <c r="A11529" s="7">
        <v>500.0</v>
      </c>
      <c r="B11529" s="9" t="s">
        <v>16760</v>
      </c>
      <c r="C11529" s="9" t="s">
        <v>760</v>
      </c>
      <c r="D11529" s="9" t="s">
        <v>107</v>
      </c>
      <c r="E11529" s="6" t="s">
        <v>10554</v>
      </c>
      <c r="F11529" s="9" t="s">
        <v>17690</v>
      </c>
    </row>
    <row r="11530" ht="33.75" customHeight="1">
      <c r="A11530" s="7">
        <v>500.0</v>
      </c>
      <c r="B11530" s="9" t="s">
        <v>16760</v>
      </c>
      <c r="C11530" s="9" t="s">
        <v>760</v>
      </c>
      <c r="D11530" s="9" t="s">
        <v>109</v>
      </c>
      <c r="E11530" s="6" t="s">
        <v>10555</v>
      </c>
      <c r="F11530" s="9" t="s">
        <v>17690</v>
      </c>
    </row>
    <row r="11531" ht="33.75" customHeight="1">
      <c r="A11531" s="7">
        <v>501.0</v>
      </c>
      <c r="B11531" s="9" t="s">
        <v>16766</v>
      </c>
      <c r="C11531" s="9" t="s">
        <v>761</v>
      </c>
      <c r="D11531" s="9" t="s">
        <v>93</v>
      </c>
      <c r="E11531" s="6" t="s">
        <v>10557</v>
      </c>
      <c r="F11531" s="9" t="s">
        <v>17693</v>
      </c>
      <c r="G11531" t="inlineStr" s="6">
        <is>
          <t xml:space="preserve">It fights using the scalchop on Oshawott's stomach. In response to an attack, it retaliates immediately by slashing. The scalchop on its stomach is made from the same elements as claws. It detaches the scalchop for use as a blade. The scalchop on its stomach isn’t just used for battle--it can be used to break open hard berries as well. The scalchop on its stomach isn’t just used for battle—it can be used to break open hard berries as well. This Pokémon from the Unova region uses the shell on its belly as a weapon to cut down its foes. Thus, I've conferred upon this shell the name ”scalchop”.</t>
        </is>
      </c>
    </row>
    <row r="11532" ht="33.75" customHeight="1">
      <c r="A11532" s="7">
        <v>501.0</v>
      </c>
      <c r="B11532" s="9" t="s">
        <v>16766</v>
      </c>
      <c r="C11532" s="9" t="s">
        <v>761</v>
      </c>
      <c r="D11532" s="9" t="s">
        <v>95</v>
      </c>
      <c r="E11532" s="6" t="s">
        <v>10558</v>
      </c>
      <c r="F11532" s="9" t="s">
        <v>17693</v>
      </c>
    </row>
    <row r="11533" ht="33.75" customHeight="1">
      <c r="A11533" s="7">
        <v>501.0</v>
      </c>
      <c r="B11533" s="9" t="s">
        <v>16766</v>
      </c>
      <c r="C11533" s="9" t="s">
        <v>761</v>
      </c>
      <c r="D11533" s="9" t="s">
        <v>98</v>
      </c>
      <c r="E11533" s="6" t="s">
        <v>10559</v>
      </c>
      <c r="F11533" s="9" t="s">
        <v>17693</v>
      </c>
    </row>
    <row r="11534" ht="33.75" customHeight="1">
      <c r="A11534" s="7">
        <v>501.0</v>
      </c>
      <c r="B11534" s="9" t="s">
        <v>16766</v>
      </c>
      <c r="C11534" s="9" t="s">
        <v>761</v>
      </c>
      <c r="D11534" s="9" t="s">
        <v>99</v>
      </c>
      <c r="E11534" s="6" t="s">
        <v>10559</v>
      </c>
      <c r="F11534" s="9" t="s">
        <v>17693</v>
      </c>
    </row>
    <row r="11535" ht="33.75" customHeight="1">
      <c r="A11535" s="7">
        <v>501.0</v>
      </c>
      <c r="B11535" s="9" t="s">
        <v>16766</v>
      </c>
      <c r="C11535" s="9" t="s">
        <v>761</v>
      </c>
      <c r="D11535" s="9" t="s">
        <v>101</v>
      </c>
      <c r="E11535" s="6" t="s">
        <v>10559</v>
      </c>
      <c r="F11535" s="9" t="s">
        <v>17693</v>
      </c>
    </row>
    <row r="11536" ht="33.75" customHeight="1">
      <c r="A11536" s="7">
        <v>501.0</v>
      </c>
      <c r="B11536" s="9" t="s">
        <v>16766</v>
      </c>
      <c r="C11536" s="9" t="s">
        <v>761</v>
      </c>
      <c r="D11536" s="9" t="s">
        <v>105</v>
      </c>
      <c r="E11536" s="6" t="s">
        <v>10557</v>
      </c>
      <c r="F11536" s="9" t="s">
        <v>17693</v>
      </c>
    </row>
    <row r="11537" ht="33.75" customHeight="1">
      <c r="A11537" s="7">
        <v>501.0</v>
      </c>
      <c r="B11537" s="9" t="s">
        <v>16766</v>
      </c>
      <c r="C11537" s="9" t="s">
        <v>761</v>
      </c>
      <c r="D11537" s="9" t="s">
        <v>107</v>
      </c>
      <c r="E11537" s="6" t="s">
        <v>10560</v>
      </c>
      <c r="F11537" s="9" t="s">
        <v>17693</v>
      </c>
    </row>
    <row r="11538" ht="33.75" customHeight="1">
      <c r="A11538" s="7">
        <v>501.0</v>
      </c>
      <c r="B11538" s="9" t="s">
        <v>16766</v>
      </c>
      <c r="C11538" s="9" t="s">
        <v>761</v>
      </c>
      <c r="D11538" s="9" t="s">
        <v>109</v>
      </c>
      <c r="E11538" s="6" t="s">
        <v>10557</v>
      </c>
      <c r="F11538" s="9" t="s">
        <v>17693</v>
      </c>
    </row>
    <row r="11539" ht="33.75" customHeight="1">
      <c r="A11539" s="7">
        <v>501.0</v>
      </c>
      <c r="B11539" s="9" t="s">
        <v>16766</v>
      </c>
      <c r="C11539" s="9" t="s">
        <v>761</v>
      </c>
      <c r="D11539" s="9" t="s">
        <v>1577</v>
      </c>
      <c r="E11539" s="6" t="s">
        <v>10561</v>
      </c>
      <c r="F11539" s="9" t="s">
        <v>17693</v>
      </c>
    </row>
    <row r="11540" ht="33.75" customHeight="1">
      <c r="A11540" s="7">
        <v>502.0</v>
      </c>
      <c r="B11540" s="9" t="s">
        <v>16773</v>
      </c>
      <c r="C11540" s="9" t="s">
        <v>763</v>
      </c>
      <c r="D11540" s="9" t="s">
        <v>93</v>
      </c>
      <c r="E11540" s="6" t="s">
        <v>10562</v>
      </c>
      <c r="F11540" s="9" t="s">
        <v>17701</v>
      </c>
      <c r="G11540" t="inlineStr" s="6">
        <is>
          <t xml:space="preserve">Strict training is how it learns Dewott's flowing double-scalchop technique. Scalchop techniques differ from one Dewott to another. It never neglects maintaining its scalchops. As a result of strict training, each Dewott learns different forms for using the scalchops. Its exquisite double-scalchop technique is likely the result of daily training, and it can send even masters of the blade fleeing in defeat.</t>
        </is>
      </c>
    </row>
    <row r="11541" ht="33.75" customHeight="1">
      <c r="A11541" s="7">
        <v>502.0</v>
      </c>
      <c r="B11541" s="9" t="s">
        <v>16773</v>
      </c>
      <c r="C11541" s="9" t="s">
        <v>763</v>
      </c>
      <c r="D11541" s="9" t="s">
        <v>95</v>
      </c>
      <c r="E11541" s="6" t="s">
        <v>10563</v>
      </c>
      <c r="F11541" s="9" t="s">
        <v>17701</v>
      </c>
    </row>
    <row r="11542" ht="33.75" customHeight="1">
      <c r="A11542" s="7">
        <v>502.0</v>
      </c>
      <c r="B11542" s="9" t="s">
        <v>16773</v>
      </c>
      <c r="C11542" s="9" t="s">
        <v>763</v>
      </c>
      <c r="D11542" s="9" t="s">
        <v>98</v>
      </c>
      <c r="E11542" s="6" t="s">
        <v>10564</v>
      </c>
      <c r="F11542" s="9" t="s">
        <v>17701</v>
      </c>
    </row>
    <row r="11543" ht="33.75" customHeight="1">
      <c r="A11543" s="7">
        <v>502.0</v>
      </c>
      <c r="B11543" s="9" t="s">
        <v>16773</v>
      </c>
      <c r="C11543" s="9" t="s">
        <v>763</v>
      </c>
      <c r="D11543" s="9" t="s">
        <v>99</v>
      </c>
      <c r="E11543" s="6" t="s">
        <v>10564</v>
      </c>
      <c r="F11543" s="9" t="s">
        <v>17701</v>
      </c>
    </row>
    <row r="11544" ht="33.75" customHeight="1">
      <c r="A11544" s="7">
        <v>502.0</v>
      </c>
      <c r="B11544" s="9" t="s">
        <v>16773</v>
      </c>
      <c r="C11544" s="9" t="s">
        <v>763</v>
      </c>
      <c r="D11544" s="9" t="s">
        <v>101</v>
      </c>
      <c r="E11544" s="6" t="s">
        <v>10562</v>
      </c>
      <c r="F11544" s="9" t="s">
        <v>17701</v>
      </c>
    </row>
    <row r="11545" ht="33.75" customHeight="1">
      <c r="A11545" s="7">
        <v>502.0</v>
      </c>
      <c r="B11545" s="9" t="s">
        <v>16773</v>
      </c>
      <c r="C11545" s="9" t="s">
        <v>763</v>
      </c>
      <c r="D11545" s="9" t="s">
        <v>105</v>
      </c>
      <c r="E11545" s="6" t="s">
        <v>10564</v>
      </c>
      <c r="F11545" s="9" t="s">
        <v>17701</v>
      </c>
    </row>
    <row r="11546" ht="33.75" customHeight="1">
      <c r="A11546" s="7">
        <v>502.0</v>
      </c>
      <c r="B11546" s="9" t="s">
        <v>16773</v>
      </c>
      <c r="C11546" s="9" t="s">
        <v>763</v>
      </c>
      <c r="D11546" s="9" t="s">
        <v>107</v>
      </c>
      <c r="E11546" s="6" t="s">
        <v>10562</v>
      </c>
      <c r="F11546" s="9" t="s">
        <v>17701</v>
      </c>
    </row>
    <row r="11547" ht="33.75" customHeight="1">
      <c r="A11547" s="7">
        <v>502.0</v>
      </c>
      <c r="B11547" s="9" t="s">
        <v>16773</v>
      </c>
      <c r="C11547" s="9" t="s">
        <v>763</v>
      </c>
      <c r="D11547" s="9" t="s">
        <v>109</v>
      </c>
      <c r="E11547" s="6" t="s">
        <v>10564</v>
      </c>
      <c r="F11547" s="9" t="s">
        <v>17701</v>
      </c>
    </row>
    <row r="11548" ht="33.75" customHeight="1">
      <c r="A11548" s="7">
        <v>502.0</v>
      </c>
      <c r="B11548" s="9" t="s">
        <v>16773</v>
      </c>
      <c r="C11548" s="9" t="s">
        <v>763</v>
      </c>
      <c r="D11548" s="9" t="s">
        <v>1577</v>
      </c>
      <c r="E11548" s="6" t="s">
        <v>10565</v>
      </c>
      <c r="F11548" s="9" t="s">
        <v>17701</v>
      </c>
    </row>
    <row r="11549" ht="33.75" customHeight="1">
      <c r="A11549" s="7">
        <v>503.0</v>
      </c>
      <c r="B11549" s="9" t="s">
        <v>16779</v>
      </c>
      <c r="C11549" s="9" t="s">
        <v>764</v>
      </c>
      <c r="D11549" s="9" t="s">
        <v>93</v>
      </c>
      <c r="E11549" s="6" t="s">
        <v>10567</v>
      </c>
      <c r="F11549" s="9" t="s">
        <v>17709</v>
      </c>
      <c r="G11549" t="inlineStr" s="6">
        <is>
          <t xml:space="preserve">One swing of the sword incorporated in Samurott's armor can fell an opponent. A simple glare from one of them quiets everybody. Part of the armor on its anterior legs becomes a giant sword. Its cry alone is enough to intimidate most enemies. In the time it takes a foe to blink, it can draw and sheathe the seamitars attached to its front legs. Hard of heart and deft of blade, this rare form of Samurott is a product of the Pokémon's evolution in the region of Hisui. Its turbulent blows crash into foes like ceaseless pounding waves.</t>
        </is>
      </c>
    </row>
    <row r="11550" ht="33.75" customHeight="1">
      <c r="A11550" s="7">
        <v>503.0</v>
      </c>
      <c r="B11550" s="9" t="s">
        <v>16779</v>
      </c>
      <c r="C11550" s="9" t="s">
        <v>764</v>
      </c>
      <c r="D11550" s="9" t="s">
        <v>95</v>
      </c>
      <c r="E11550" s="6" t="s">
        <v>10568</v>
      </c>
      <c r="F11550" s="9" t="s">
        <v>17709</v>
      </c>
    </row>
    <row r="11551" ht="33.75" customHeight="1">
      <c r="A11551" s="7">
        <v>503.0</v>
      </c>
      <c r="B11551" s="9" t="s">
        <v>16779</v>
      </c>
      <c r="C11551" s="9" t="s">
        <v>764</v>
      </c>
      <c r="D11551" s="9" t="s">
        <v>98</v>
      </c>
      <c r="E11551" s="6" t="s">
        <v>10569</v>
      </c>
      <c r="F11551" s="9" t="s">
        <v>17709</v>
      </c>
    </row>
    <row r="11552" ht="33.75" customHeight="1">
      <c r="A11552" s="7">
        <v>503.0</v>
      </c>
      <c r="B11552" s="9" t="s">
        <v>16779</v>
      </c>
      <c r="C11552" s="9" t="s">
        <v>764</v>
      </c>
      <c r="D11552" s="9" t="s">
        <v>99</v>
      </c>
      <c r="E11552" s="6" t="s">
        <v>10569</v>
      </c>
      <c r="F11552" s="9" t="s">
        <v>17709</v>
      </c>
    </row>
    <row r="11553" ht="33.75" customHeight="1">
      <c r="A11553" s="7">
        <v>503.0</v>
      </c>
      <c r="B11553" s="9" t="s">
        <v>16779</v>
      </c>
      <c r="C11553" s="9" t="s">
        <v>764</v>
      </c>
      <c r="D11553" s="9" t="s">
        <v>101</v>
      </c>
      <c r="E11553" s="6" t="s">
        <v>10569</v>
      </c>
      <c r="F11553" s="9" t="s">
        <v>17709</v>
      </c>
    </row>
    <row r="11554" ht="33.75" customHeight="1">
      <c r="A11554" s="7">
        <v>503.0</v>
      </c>
      <c r="B11554" s="9" t="s">
        <v>16779</v>
      </c>
      <c r="C11554" s="9" t="s">
        <v>764</v>
      </c>
      <c r="D11554" s="9" t="s">
        <v>105</v>
      </c>
      <c r="E11554" s="6" t="s">
        <v>10567</v>
      </c>
      <c r="F11554" s="9" t="s">
        <v>17709</v>
      </c>
    </row>
    <row r="11555" ht="33.75" customHeight="1">
      <c r="A11555" s="7">
        <v>503.0</v>
      </c>
      <c r="B11555" s="9" t="s">
        <v>16779</v>
      </c>
      <c r="C11555" s="9" t="s">
        <v>764</v>
      </c>
      <c r="D11555" s="9" t="s">
        <v>107</v>
      </c>
      <c r="E11555" s="6" t="s">
        <v>10569</v>
      </c>
      <c r="F11555" s="9" t="s">
        <v>17709</v>
      </c>
    </row>
    <row r="11556" ht="33.75" customHeight="1">
      <c r="A11556" s="7">
        <v>503.0</v>
      </c>
      <c r="B11556" s="9" t="s">
        <v>16779</v>
      </c>
      <c r="C11556" s="9" t="s">
        <v>764</v>
      </c>
      <c r="D11556" s="9" t="s">
        <v>109</v>
      </c>
      <c r="E11556" s="6" t="s">
        <v>10567</v>
      </c>
      <c r="F11556" s="9" t="s">
        <v>17709</v>
      </c>
    </row>
    <row r="11557" ht="33.75" customHeight="1">
      <c r="A11557" s="7">
        <v>503.0</v>
      </c>
      <c r="B11557" s="9" t="s">
        <v>16779</v>
      </c>
      <c r="C11557" s="9" t="s">
        <v>764</v>
      </c>
      <c r="D11557" s="9" t="s">
        <v>1577</v>
      </c>
      <c r="E11557" s="6" t="s">
        <v>10570</v>
      </c>
      <c r="F11557" s="9" t="s">
        <v>17709</v>
      </c>
    </row>
    <row r="11558" ht="33.75" customHeight="1">
      <c r="A11558" s="7">
        <v>504.0</v>
      </c>
      <c r="B11558" s="9" t="s">
        <v>16786</v>
      </c>
      <c r="C11558" s="9" t="s">
        <v>245</v>
      </c>
      <c r="D11558" s="9" t="s">
        <v>93</v>
      </c>
      <c r="E11558" s="6" t="s">
        <v>10571</v>
      </c>
      <c r="F11558" s="9" t="s">
        <v>17717</v>
      </c>
      <c r="G11558" t="inlineStr" s="6">
        <is>
          <t xml:space="preserve">Using food stored in cheek pouches, they can keep watch for days. They use their tails to communicate with others. Extremely cautious, they take shifts to maintain a constant watch of their nest. They feel insecure without a lookout. Extremely cautious, one of them will always be on the lookout, but it won’t notice a foe coming from behind.</t>
        </is>
      </c>
    </row>
    <row r="11559" ht="33.75" customHeight="1">
      <c r="A11559" s="7">
        <v>504.0</v>
      </c>
      <c r="B11559" s="9" t="s">
        <v>16786</v>
      </c>
      <c r="C11559" s="9" t="s">
        <v>245</v>
      </c>
      <c r="D11559" s="9" t="s">
        <v>95</v>
      </c>
      <c r="E11559" s="6" t="s">
        <v>10572</v>
      </c>
      <c r="F11559" s="9" t="s">
        <v>17717</v>
      </c>
    </row>
    <row r="11560" ht="33.75" customHeight="1">
      <c r="A11560" s="7">
        <v>504.0</v>
      </c>
      <c r="B11560" s="9" t="s">
        <v>16786</v>
      </c>
      <c r="C11560" s="9" t="s">
        <v>245</v>
      </c>
      <c r="D11560" s="9" t="s">
        <v>98</v>
      </c>
      <c r="E11560" s="6" t="s">
        <v>10574</v>
      </c>
      <c r="F11560" s="9" t="s">
        <v>17717</v>
      </c>
    </row>
    <row r="11561" ht="33.75" customHeight="1">
      <c r="A11561" s="7">
        <v>504.0</v>
      </c>
      <c r="B11561" s="9" t="s">
        <v>16786</v>
      </c>
      <c r="C11561" s="9" t="s">
        <v>245</v>
      </c>
      <c r="D11561" s="9" t="s">
        <v>99</v>
      </c>
      <c r="E11561" s="6" t="s">
        <v>10574</v>
      </c>
      <c r="F11561" s="9" t="s">
        <v>17717</v>
      </c>
    </row>
    <row r="11562" ht="33.75" customHeight="1">
      <c r="A11562" s="7">
        <v>504.0</v>
      </c>
      <c r="B11562" s="9" t="s">
        <v>16786</v>
      </c>
      <c r="C11562" s="9" t="s">
        <v>245</v>
      </c>
      <c r="D11562" s="9" t="s">
        <v>101</v>
      </c>
      <c r="E11562" s="6" t="s">
        <v>10571</v>
      </c>
      <c r="F11562" s="9" t="s">
        <v>17717</v>
      </c>
    </row>
    <row r="11563" ht="33.75" customHeight="1">
      <c r="A11563" s="7">
        <v>504.0</v>
      </c>
      <c r="B11563" s="9" t="s">
        <v>16786</v>
      </c>
      <c r="C11563" s="9" t="s">
        <v>245</v>
      </c>
      <c r="D11563" s="9" t="s">
        <v>105</v>
      </c>
      <c r="E11563" s="6" t="s">
        <v>10574</v>
      </c>
      <c r="F11563" s="9" t="s">
        <v>17717</v>
      </c>
    </row>
    <row r="11564" ht="33.75" customHeight="1">
      <c r="A11564" s="7">
        <v>504.0</v>
      </c>
      <c r="B11564" s="9" t="s">
        <v>16786</v>
      </c>
      <c r="C11564" s="9" t="s">
        <v>245</v>
      </c>
      <c r="D11564" s="9" t="s">
        <v>107</v>
      </c>
      <c r="E11564" s="6" t="s">
        <v>10571</v>
      </c>
      <c r="F11564" s="9" t="s">
        <v>17717</v>
      </c>
    </row>
    <row r="11565" ht="33.75" customHeight="1">
      <c r="A11565" s="7">
        <v>504.0</v>
      </c>
      <c r="B11565" s="9" t="s">
        <v>16786</v>
      </c>
      <c r="C11565" s="9" t="s">
        <v>245</v>
      </c>
      <c r="D11565" s="9" t="s">
        <v>109</v>
      </c>
      <c r="E11565" s="6" t="s">
        <v>10574</v>
      </c>
      <c r="F11565" s="9" t="s">
        <v>17717</v>
      </c>
    </row>
    <row r="11566" ht="33.75" customHeight="1">
      <c r="A11566" s="7">
        <v>505.0</v>
      </c>
      <c r="B11566" s="9" t="s">
        <v>16790</v>
      </c>
      <c r="C11566" s="9" t="s">
        <v>766</v>
      </c>
      <c r="D11566" s="9" t="s">
        <v>93</v>
      </c>
      <c r="E11566" s="6" t="s">
        <v>10576</v>
      </c>
      <c r="F11566" s="9" t="s">
        <v>17724</v>
      </c>
      <c r="G11566" t="inlineStr" s="6">
        <is>
          <t xml:space="preserve">When they see an enemy, their tails stand high, and they spit the seeds of berries stored in their cheek pouches. They make the patterns on their bodies shine in order to threaten predators. Keen eyesight lets them see in the dark. Using luminescent matter, it makes its eyes and body glow and stuns attacking opponents.</t>
        </is>
      </c>
    </row>
    <row r="11567" ht="33.75" customHeight="1">
      <c r="A11567" s="7">
        <v>505.0</v>
      </c>
      <c r="B11567" s="9" t="s">
        <v>16790</v>
      </c>
      <c r="C11567" s="9" t="s">
        <v>766</v>
      </c>
      <c r="D11567" s="9" t="s">
        <v>95</v>
      </c>
      <c r="E11567" s="6" t="s">
        <v>10579</v>
      </c>
      <c r="F11567" s="9" t="s">
        <v>17724</v>
      </c>
    </row>
    <row r="11568" ht="33.75" customHeight="1">
      <c r="A11568" s="7">
        <v>505.0</v>
      </c>
      <c r="B11568" s="9" t="s">
        <v>16790</v>
      </c>
      <c r="C11568" s="9" t="s">
        <v>766</v>
      </c>
      <c r="D11568" s="9" t="s">
        <v>98</v>
      </c>
      <c r="E11568" s="6" t="s">
        <v>10581</v>
      </c>
      <c r="F11568" s="9" t="s">
        <v>17724</v>
      </c>
    </row>
    <row r="11569" ht="33.75" customHeight="1">
      <c r="A11569" s="7">
        <v>505.0</v>
      </c>
      <c r="B11569" s="9" t="s">
        <v>16790</v>
      </c>
      <c r="C11569" s="9" t="s">
        <v>766</v>
      </c>
      <c r="D11569" s="9" t="s">
        <v>99</v>
      </c>
      <c r="E11569" s="6" t="s">
        <v>10581</v>
      </c>
      <c r="F11569" s="9" t="s">
        <v>17724</v>
      </c>
    </row>
    <row r="11570" ht="33.75" customHeight="1">
      <c r="A11570" s="7">
        <v>505.0</v>
      </c>
      <c r="B11570" s="9" t="s">
        <v>16790</v>
      </c>
      <c r="C11570" s="9" t="s">
        <v>766</v>
      </c>
      <c r="D11570" s="9" t="s">
        <v>101</v>
      </c>
      <c r="E11570" s="6" t="s">
        <v>10581</v>
      </c>
      <c r="F11570" s="9" t="s">
        <v>17724</v>
      </c>
    </row>
    <row r="11571" ht="33.75" customHeight="1">
      <c r="A11571" s="7">
        <v>505.0</v>
      </c>
      <c r="B11571" s="9" t="s">
        <v>16790</v>
      </c>
      <c r="C11571" s="9" t="s">
        <v>766</v>
      </c>
      <c r="D11571" s="9" t="s">
        <v>105</v>
      </c>
      <c r="E11571" s="6" t="s">
        <v>10576</v>
      </c>
      <c r="F11571" s="9" t="s">
        <v>17724</v>
      </c>
    </row>
    <row r="11572" ht="33.75" customHeight="1">
      <c r="A11572" s="7">
        <v>505.0</v>
      </c>
      <c r="B11572" s="9" t="s">
        <v>16790</v>
      </c>
      <c r="C11572" s="9" t="s">
        <v>766</v>
      </c>
      <c r="D11572" s="9" t="s">
        <v>107</v>
      </c>
      <c r="E11572" s="6" t="s">
        <v>10581</v>
      </c>
      <c r="F11572" s="9" t="s">
        <v>17724</v>
      </c>
    </row>
    <row r="11573" ht="33.75" customHeight="1">
      <c r="A11573" s="7">
        <v>505.0</v>
      </c>
      <c r="B11573" s="9" t="s">
        <v>16790</v>
      </c>
      <c r="C11573" s="9" t="s">
        <v>766</v>
      </c>
      <c r="D11573" s="9" t="s">
        <v>109</v>
      </c>
      <c r="E11573" s="6" t="s">
        <v>10576</v>
      </c>
      <c r="F11573" s="9" t="s">
        <v>17724</v>
      </c>
    </row>
    <row r="11574" ht="33.75" customHeight="1">
      <c r="A11574" s="7">
        <v>506.0</v>
      </c>
      <c r="B11574" s="9" t="s">
        <v>16796</v>
      </c>
      <c r="C11574" s="9" t="s">
        <v>135</v>
      </c>
      <c r="D11574" s="9" t="s">
        <v>93</v>
      </c>
      <c r="E11574" s="6" t="s">
        <v>10582</v>
      </c>
      <c r="F11574" s="9" t="s">
        <v>17734</v>
      </c>
      <c r="G11574" t="inlineStr" s="6">
        <is>
          <t xml:space="preserve">It faces strong opponents with great courage. But, when at a disadvantage in a fight, this intelligent Pokémon flees. The long hair around its face provides an amazing radar that lets it sense subtle changes in its surroundings. Though it is a very brave Pokémon, it’s also smart enough to check its foe’s strength and avoid battle. Because it doesn’t yelp, it’s extremely popular with Trainers who live in apartment buildings. The long fur surrounding its face functions as radar, enabling it to probe the condition of its battle opponents. This Pokémon has excellent judgment. If it decides it can’t defeat an opponent, it immediately turns tail and vamooses. This Pokémon is popular with beginners because it’s intelligent, obedient to its Trainer’s commands, and easy to raise. This Pokémon is courageous but also cautious. It uses the soft fur covering its face to collect information about its surroundings. This Pokémon is far brighter than the average child, and Lillipup won’t forget the love it receives or any abuse it suffers.</t>
        </is>
      </c>
    </row>
    <row r="11575" ht="33.75" customHeight="1">
      <c r="A11575" s="7">
        <v>506.0</v>
      </c>
      <c r="B11575" s="9" t="s">
        <v>16796</v>
      </c>
      <c r="C11575" s="9" t="s">
        <v>135</v>
      </c>
      <c r="D11575" s="9" t="s">
        <v>95</v>
      </c>
      <c r="E11575" s="6" t="s">
        <v>10583</v>
      </c>
      <c r="F11575" s="9" t="s">
        <v>17734</v>
      </c>
    </row>
    <row r="11576" ht="33.75" customHeight="1">
      <c r="A11576" s="7">
        <v>506.0</v>
      </c>
      <c r="B11576" s="9" t="s">
        <v>16796</v>
      </c>
      <c r="C11576" s="9" t="s">
        <v>135</v>
      </c>
      <c r="D11576" s="9" t="s">
        <v>98</v>
      </c>
      <c r="E11576" s="6" t="s">
        <v>10585</v>
      </c>
      <c r="F11576" s="9" t="s">
        <v>17734</v>
      </c>
    </row>
    <row r="11577" ht="33.75" customHeight="1">
      <c r="A11577" s="7">
        <v>506.0</v>
      </c>
      <c r="B11577" s="9" t="s">
        <v>16796</v>
      </c>
      <c r="C11577" s="9" t="s">
        <v>135</v>
      </c>
      <c r="D11577" s="9" t="s">
        <v>99</v>
      </c>
      <c r="E11577" s="6" t="s">
        <v>10585</v>
      </c>
      <c r="F11577" s="9" t="s">
        <v>17734</v>
      </c>
    </row>
    <row r="11578" ht="33.75" customHeight="1">
      <c r="A11578" s="7">
        <v>506.0</v>
      </c>
      <c r="B11578" s="9" t="s">
        <v>16796</v>
      </c>
      <c r="C11578" s="9" t="s">
        <v>135</v>
      </c>
      <c r="D11578" s="9" t="s">
        <v>101</v>
      </c>
      <c r="E11578" s="6" t="s">
        <v>10583</v>
      </c>
      <c r="F11578" s="9" t="s">
        <v>17734</v>
      </c>
    </row>
    <row r="11579" ht="33.75" customHeight="1">
      <c r="A11579" s="7">
        <v>506.0</v>
      </c>
      <c r="B11579" s="9" t="s">
        <v>16796</v>
      </c>
      <c r="C11579" s="9" t="s">
        <v>135</v>
      </c>
      <c r="D11579" s="9" t="s">
        <v>105</v>
      </c>
      <c r="E11579" s="6" t="s">
        <v>10585</v>
      </c>
      <c r="F11579" s="9" t="s">
        <v>17734</v>
      </c>
    </row>
    <row r="11580" ht="33.75" customHeight="1">
      <c r="A11580" s="7">
        <v>506.0</v>
      </c>
      <c r="B11580" s="9" t="s">
        <v>16796</v>
      </c>
      <c r="C11580" s="9" t="s">
        <v>135</v>
      </c>
      <c r="D11580" s="9" t="s">
        <v>107</v>
      </c>
      <c r="E11580" s="6" t="s">
        <v>10583</v>
      </c>
      <c r="F11580" s="9" t="s">
        <v>17734</v>
      </c>
    </row>
    <row r="11581" ht="33.75" customHeight="1">
      <c r="A11581" s="7">
        <v>506.0</v>
      </c>
      <c r="B11581" s="9" t="s">
        <v>16796</v>
      </c>
      <c r="C11581" s="9" t="s">
        <v>135</v>
      </c>
      <c r="D11581" s="9" t="s">
        <v>109</v>
      </c>
      <c r="E11581" s="6" t="s">
        <v>10585</v>
      </c>
      <c r="F11581" s="9" t="s">
        <v>17734</v>
      </c>
    </row>
    <row r="11582" ht="33.75" customHeight="1">
      <c r="A11582" s="7">
        <v>506.0</v>
      </c>
      <c r="B11582" s="9" t="s">
        <v>16796</v>
      </c>
      <c r="C11582" s="9" t="s">
        <v>135</v>
      </c>
      <c r="D11582" s="9" t="s">
        <v>637</v>
      </c>
      <c r="E11582" s="6" t="s">
        <v>10587</v>
      </c>
      <c r="F11582" s="9" t="s">
        <v>17734</v>
      </c>
    </row>
    <row r="11583" ht="33.75" customHeight="1">
      <c r="A11583" s="7">
        <v>506.0</v>
      </c>
      <c r="B11583" s="9" t="s">
        <v>16796</v>
      </c>
      <c r="C11583" s="9" t="s">
        <v>135</v>
      </c>
      <c r="D11583" s="9" t="s">
        <v>642</v>
      </c>
      <c r="E11583" s="6" t="s">
        <v>10589</v>
      </c>
      <c r="F11583" s="9" t="s">
        <v>17734</v>
      </c>
    </row>
    <row r="11584" ht="33.75" customHeight="1">
      <c r="A11584" s="7">
        <v>506.0</v>
      </c>
      <c r="B11584" s="9" t="s">
        <v>16796</v>
      </c>
      <c r="C11584" s="9" t="s">
        <v>135</v>
      </c>
      <c r="D11584" s="9" t="s">
        <v>647</v>
      </c>
      <c r="E11584" s="6" t="s">
        <v>10590</v>
      </c>
      <c r="F11584" s="9" t="s">
        <v>17734</v>
      </c>
    </row>
    <row r="11585" ht="33.75" customHeight="1">
      <c r="A11585" s="7">
        <v>506.0</v>
      </c>
      <c r="B11585" s="9" t="s">
        <v>16796</v>
      </c>
      <c r="C11585" s="9" t="s">
        <v>135</v>
      </c>
      <c r="D11585" s="9" t="s">
        <v>652</v>
      </c>
      <c r="E11585" s="6" t="s">
        <v>10591</v>
      </c>
      <c r="F11585" s="9" t="s">
        <v>17734</v>
      </c>
    </row>
    <row r="11586" ht="33.75" customHeight="1">
      <c r="A11586" s="7">
        <v>506.0</v>
      </c>
      <c r="B11586" s="9" t="s">
        <v>16796</v>
      </c>
      <c r="C11586" s="9" t="s">
        <v>135</v>
      </c>
      <c r="D11586" s="9" t="s">
        <v>114</v>
      </c>
      <c r="E11586" s="6" t="s">
        <v>10592</v>
      </c>
      <c r="F11586" s="9" t="s">
        <v>17734</v>
      </c>
    </row>
    <row r="11587" ht="33.75" customHeight="1">
      <c r="A11587" s="7">
        <v>506.0</v>
      </c>
      <c r="B11587" s="9" t="s">
        <v>16796</v>
      </c>
      <c r="C11587" s="9" t="s">
        <v>135</v>
      </c>
      <c r="D11587" s="9" t="s">
        <v>117</v>
      </c>
      <c r="E11587" s="6" t="s">
        <v>10593</v>
      </c>
      <c r="F11587" s="9" t="s">
        <v>17734</v>
      </c>
    </row>
    <row r="11588" ht="33.75" customHeight="1">
      <c r="A11588" s="7">
        <v>507.0</v>
      </c>
      <c r="B11588" s="9" t="s">
        <v>16806</v>
      </c>
      <c r="C11588" s="9" t="s">
        <v>767</v>
      </c>
      <c r="D11588" s="9" t="s">
        <v>93</v>
      </c>
      <c r="E11588" s="6" t="s">
        <v>10594</v>
      </c>
      <c r="F11588" s="9" t="s">
        <v>17743</v>
      </c>
      <c r="G11588" t="inlineStr" s="6">
        <is>
          <t xml:space="preserve">Herdier has black, cape-like fur that is very hard and decreases the amount of damage it receives. It loyally follows its Trainer’s orders. For ages, they have helped Trainers raise Pokémon. This very loyal Pokémon helps Trainers, and it also takes care of other Pokémon. Its dense black fur grows continuously. The high cost of keeping its hard fur properly groomed makes this a troublesome Pokémon to train. This Pokémon obeys its master’s orders faithfully. However, it refuses to listen to anything said by a person it doesn’t respect. The longer its black fur grows, the harder and more impervious it gets. Claws and fangs can’t easily penetrate it. It has been living with people for so long that portrayals of it can be found on the walls of caves from long, long ago. Herdier is a very smart and friendly Pokémon. So much so that there’s a theory that Herdier was the first Pokémon to partner with people. The black fur that covers this Pokémon’s body is dense and springy. Even sharp fangs bounce right off.</t>
        </is>
      </c>
    </row>
    <row r="11589" ht="33.75" customHeight="1">
      <c r="A11589" s="7">
        <v>507.0</v>
      </c>
      <c r="B11589" s="9" t="s">
        <v>16806</v>
      </c>
      <c r="C11589" s="9" t="s">
        <v>767</v>
      </c>
      <c r="D11589" s="9" t="s">
        <v>95</v>
      </c>
      <c r="E11589" s="6" t="s">
        <v>10596</v>
      </c>
      <c r="F11589" s="9" t="s">
        <v>17743</v>
      </c>
    </row>
    <row r="11590" ht="33.75" customHeight="1">
      <c r="A11590" s="7">
        <v>507.0</v>
      </c>
      <c r="B11590" s="9" t="s">
        <v>16806</v>
      </c>
      <c r="C11590" s="9" t="s">
        <v>767</v>
      </c>
      <c r="D11590" s="9" t="s">
        <v>98</v>
      </c>
      <c r="E11590" s="6" t="s">
        <v>10597</v>
      </c>
      <c r="F11590" s="9" t="s">
        <v>17743</v>
      </c>
    </row>
    <row r="11591" ht="33.75" customHeight="1">
      <c r="A11591" s="7">
        <v>507.0</v>
      </c>
      <c r="B11591" s="9" t="s">
        <v>16806</v>
      </c>
      <c r="C11591" s="9" t="s">
        <v>767</v>
      </c>
      <c r="D11591" s="9" t="s">
        <v>99</v>
      </c>
      <c r="E11591" s="6" t="s">
        <v>10597</v>
      </c>
      <c r="F11591" s="9" t="s">
        <v>17743</v>
      </c>
    </row>
    <row r="11592" ht="33.75" customHeight="1">
      <c r="A11592" s="7">
        <v>507.0</v>
      </c>
      <c r="B11592" s="9" t="s">
        <v>16806</v>
      </c>
      <c r="C11592" s="9" t="s">
        <v>767</v>
      </c>
      <c r="D11592" s="9" t="s">
        <v>101</v>
      </c>
      <c r="E11592" s="6" t="s">
        <v>10597</v>
      </c>
      <c r="F11592" s="9" t="s">
        <v>17743</v>
      </c>
    </row>
    <row r="11593" ht="33.75" customHeight="1">
      <c r="A11593" s="7">
        <v>507.0</v>
      </c>
      <c r="B11593" s="9" t="s">
        <v>16806</v>
      </c>
      <c r="C11593" s="9" t="s">
        <v>767</v>
      </c>
      <c r="D11593" s="9" t="s">
        <v>105</v>
      </c>
      <c r="E11593" s="6" t="s">
        <v>10594</v>
      </c>
      <c r="F11593" s="9" t="s">
        <v>17743</v>
      </c>
    </row>
    <row r="11594" ht="33.75" customHeight="1">
      <c r="A11594" s="7">
        <v>507.0</v>
      </c>
      <c r="B11594" s="9" t="s">
        <v>16806</v>
      </c>
      <c r="C11594" s="9" t="s">
        <v>767</v>
      </c>
      <c r="D11594" s="9" t="s">
        <v>107</v>
      </c>
      <c r="E11594" s="6" t="s">
        <v>10597</v>
      </c>
      <c r="F11594" s="9" t="s">
        <v>17743</v>
      </c>
    </row>
    <row r="11595" ht="33.75" customHeight="1">
      <c r="A11595" s="7">
        <v>507.0</v>
      </c>
      <c r="B11595" s="9" t="s">
        <v>16806</v>
      </c>
      <c r="C11595" s="9" t="s">
        <v>767</v>
      </c>
      <c r="D11595" s="9" t="s">
        <v>109</v>
      </c>
      <c r="E11595" s="6" t="s">
        <v>10594</v>
      </c>
      <c r="F11595" s="9" t="s">
        <v>17743</v>
      </c>
    </row>
    <row r="11596" ht="33.75" customHeight="1">
      <c r="A11596" s="7">
        <v>507.0</v>
      </c>
      <c r="B11596" s="9" t="s">
        <v>16806</v>
      </c>
      <c r="C11596" s="9" t="s">
        <v>767</v>
      </c>
      <c r="D11596" s="9" t="s">
        <v>637</v>
      </c>
      <c r="E11596" s="6" t="s">
        <v>10598</v>
      </c>
      <c r="F11596" s="9" t="s">
        <v>17743</v>
      </c>
    </row>
    <row r="11597" ht="33.75" customHeight="1">
      <c r="A11597" s="7">
        <v>507.0</v>
      </c>
      <c r="B11597" s="9" t="s">
        <v>16806</v>
      </c>
      <c r="C11597" s="9" t="s">
        <v>767</v>
      </c>
      <c r="D11597" s="9" t="s">
        <v>642</v>
      </c>
      <c r="E11597" s="6" t="s">
        <v>10599</v>
      </c>
      <c r="F11597" s="9" t="s">
        <v>17743</v>
      </c>
    </row>
    <row r="11598" ht="33.75" customHeight="1">
      <c r="A11598" s="7">
        <v>507.0</v>
      </c>
      <c r="B11598" s="9" t="s">
        <v>16806</v>
      </c>
      <c r="C11598" s="9" t="s">
        <v>767</v>
      </c>
      <c r="D11598" s="9" t="s">
        <v>647</v>
      </c>
      <c r="E11598" s="6" t="s">
        <v>10600</v>
      </c>
      <c r="F11598" s="9" t="s">
        <v>17743</v>
      </c>
    </row>
    <row r="11599" ht="33.75" customHeight="1">
      <c r="A11599" s="7">
        <v>507.0</v>
      </c>
      <c r="B11599" s="9" t="s">
        <v>16806</v>
      </c>
      <c r="C11599" s="9" t="s">
        <v>767</v>
      </c>
      <c r="D11599" s="9" t="s">
        <v>652</v>
      </c>
      <c r="E11599" s="6" t="s">
        <v>10601</v>
      </c>
      <c r="F11599" s="9" t="s">
        <v>17743</v>
      </c>
    </row>
    <row r="11600" ht="33.75" customHeight="1">
      <c r="A11600" s="7">
        <v>507.0</v>
      </c>
      <c r="B11600" s="9" t="s">
        <v>16806</v>
      </c>
      <c r="C11600" s="9" t="s">
        <v>767</v>
      </c>
      <c r="D11600" s="9" t="s">
        <v>114</v>
      </c>
      <c r="E11600" s="6" t="s">
        <v>10602</v>
      </c>
      <c r="F11600" s="9" t="s">
        <v>17743</v>
      </c>
    </row>
    <row r="11601" ht="33.75" customHeight="1">
      <c r="A11601" s="7">
        <v>507.0</v>
      </c>
      <c r="B11601" s="9" t="s">
        <v>16806</v>
      </c>
      <c r="C11601" s="9" t="s">
        <v>767</v>
      </c>
      <c r="D11601" s="9" t="s">
        <v>117</v>
      </c>
      <c r="E11601" s="6" t="s">
        <v>10603</v>
      </c>
      <c r="F11601" s="9" t="s">
        <v>17743</v>
      </c>
    </row>
    <row r="11602" ht="33.75" customHeight="1">
      <c r="A11602" s="7">
        <v>508.0</v>
      </c>
      <c r="B11602" s="9" t="s">
        <v>16818</v>
      </c>
      <c r="C11602" s="9" t="s">
        <v>769</v>
      </c>
      <c r="D11602" s="9" t="s">
        <v>93</v>
      </c>
      <c r="E11602" s="6" t="s">
        <v>10604</v>
      </c>
      <c r="F11602" s="9" t="s">
        <v>17749</v>
      </c>
      <c r="G11602" t="inlineStr" s="6">
        <is>
          <t xml:space="preserve">It rescues people stranded by blizzards in the mountains. Its shaggy fur shields it from the cold. This extremely wise Pokémon excels at rescuing people stranded at sea or in the mountains. Being wrapped in its long fur is so comfortable that a person would be fine even overnight on a wintry mountain. Intelligent, good-natured, and valiant, it’s a trustworthy partner on rescue teams. With this wise Pokémon, there could be no concern that it would ever attack people. Some parents even trust it to babysit. It pays no mind to the cold, thanks to its long warm coat. Stoutland in Alola look a little uncomfortable. Its fur is long and thick. A long time ago in cold regions, every household kept a Stoutland. These Pokémon seem to enjoy living with humans. Even a Stoutland caught in the wild will warm up to people in about three days. Stoutland is immensely proud of its impressive moustache. It’s said that moustache length is what determines social standing among this species.</t>
        </is>
      </c>
    </row>
    <row r="11603" ht="33.75" customHeight="1">
      <c r="A11603" s="7">
        <v>508.0</v>
      </c>
      <c r="B11603" s="9" t="s">
        <v>16818</v>
      </c>
      <c r="C11603" s="9" t="s">
        <v>769</v>
      </c>
      <c r="D11603" s="9" t="s">
        <v>95</v>
      </c>
      <c r="E11603" s="6" t="s">
        <v>10605</v>
      </c>
      <c r="F11603" s="9" t="s">
        <v>17749</v>
      </c>
    </row>
    <row r="11604" ht="33.75" customHeight="1">
      <c r="A11604" s="7">
        <v>508.0</v>
      </c>
      <c r="B11604" s="9" t="s">
        <v>16818</v>
      </c>
      <c r="C11604" s="9" t="s">
        <v>769</v>
      </c>
      <c r="D11604" s="9" t="s">
        <v>98</v>
      </c>
      <c r="E11604" s="6" t="s">
        <v>10606</v>
      </c>
      <c r="F11604" s="9" t="s">
        <v>17749</v>
      </c>
    </row>
    <row r="11605" ht="33.75" customHeight="1">
      <c r="A11605" s="7">
        <v>508.0</v>
      </c>
      <c r="B11605" s="9" t="s">
        <v>16818</v>
      </c>
      <c r="C11605" s="9" t="s">
        <v>769</v>
      </c>
      <c r="D11605" s="9" t="s">
        <v>99</v>
      </c>
      <c r="E11605" s="6" t="s">
        <v>10606</v>
      </c>
      <c r="F11605" s="9" t="s">
        <v>17749</v>
      </c>
    </row>
    <row r="11606" ht="33.75" customHeight="1">
      <c r="A11606" s="7">
        <v>508.0</v>
      </c>
      <c r="B11606" s="9" t="s">
        <v>16818</v>
      </c>
      <c r="C11606" s="9" t="s">
        <v>769</v>
      </c>
      <c r="D11606" s="9" t="s">
        <v>101</v>
      </c>
      <c r="E11606" s="6" t="s">
        <v>10604</v>
      </c>
      <c r="F11606" s="9" t="s">
        <v>17749</v>
      </c>
    </row>
    <row r="11607" ht="33.75" customHeight="1">
      <c r="A11607" s="7">
        <v>508.0</v>
      </c>
      <c r="B11607" s="9" t="s">
        <v>16818</v>
      </c>
      <c r="C11607" s="9" t="s">
        <v>769</v>
      </c>
      <c r="D11607" s="9" t="s">
        <v>105</v>
      </c>
      <c r="E11607" s="6" t="s">
        <v>10606</v>
      </c>
      <c r="F11607" s="9" t="s">
        <v>17749</v>
      </c>
    </row>
    <row r="11608" ht="33.75" customHeight="1">
      <c r="A11608" s="7">
        <v>508.0</v>
      </c>
      <c r="B11608" s="9" t="s">
        <v>16818</v>
      </c>
      <c r="C11608" s="9" t="s">
        <v>769</v>
      </c>
      <c r="D11608" s="9" t="s">
        <v>107</v>
      </c>
      <c r="E11608" s="6" t="s">
        <v>10604</v>
      </c>
      <c r="F11608" s="9" t="s">
        <v>17749</v>
      </c>
    </row>
    <row r="11609" ht="33.75" customHeight="1">
      <c r="A11609" s="7">
        <v>508.0</v>
      </c>
      <c r="B11609" s="9" t="s">
        <v>16818</v>
      </c>
      <c r="C11609" s="9" t="s">
        <v>769</v>
      </c>
      <c r="D11609" s="9" t="s">
        <v>109</v>
      </c>
      <c r="E11609" s="6" t="s">
        <v>10606</v>
      </c>
      <c r="F11609" s="9" t="s">
        <v>17749</v>
      </c>
    </row>
    <row r="11610" ht="33.75" customHeight="1">
      <c r="A11610" s="7">
        <v>508.0</v>
      </c>
      <c r="B11610" s="9" t="s">
        <v>16818</v>
      </c>
      <c r="C11610" s="9" t="s">
        <v>769</v>
      </c>
      <c r="D11610" s="9" t="s">
        <v>637</v>
      </c>
      <c r="E11610" s="6" t="s">
        <v>10607</v>
      </c>
      <c r="F11610" s="9" t="s">
        <v>17749</v>
      </c>
    </row>
    <row r="11611" ht="33.75" customHeight="1">
      <c r="A11611" s="7">
        <v>508.0</v>
      </c>
      <c r="B11611" s="9" t="s">
        <v>16818</v>
      </c>
      <c r="C11611" s="9" t="s">
        <v>769</v>
      </c>
      <c r="D11611" s="9" t="s">
        <v>642</v>
      </c>
      <c r="E11611" s="6" t="s">
        <v>10608</v>
      </c>
      <c r="F11611" s="9" t="s">
        <v>17749</v>
      </c>
    </row>
    <row r="11612" ht="33.75" customHeight="1">
      <c r="A11612" s="7">
        <v>508.0</v>
      </c>
      <c r="B11612" s="9" t="s">
        <v>16818</v>
      </c>
      <c r="C11612" s="9" t="s">
        <v>769</v>
      </c>
      <c r="D11612" s="9" t="s">
        <v>647</v>
      </c>
      <c r="E11612" s="6" t="s">
        <v>10609</v>
      </c>
      <c r="F11612" s="9" t="s">
        <v>17749</v>
      </c>
    </row>
    <row r="11613" ht="33.75" customHeight="1">
      <c r="A11613" s="7">
        <v>508.0</v>
      </c>
      <c r="B11613" s="9" t="s">
        <v>16818</v>
      </c>
      <c r="C11613" s="9" t="s">
        <v>769</v>
      </c>
      <c r="D11613" s="9" t="s">
        <v>652</v>
      </c>
      <c r="E11613" s="6" t="s">
        <v>10610</v>
      </c>
      <c r="F11613" s="9" t="s">
        <v>17749</v>
      </c>
    </row>
    <row r="11614" ht="33.75" customHeight="1">
      <c r="A11614" s="7">
        <v>508.0</v>
      </c>
      <c r="B11614" s="9" t="s">
        <v>16818</v>
      </c>
      <c r="C11614" s="9" t="s">
        <v>769</v>
      </c>
      <c r="D11614" s="9" t="s">
        <v>114</v>
      </c>
      <c r="E11614" s="6" t="s">
        <v>10611</v>
      </c>
      <c r="F11614" s="9" t="s">
        <v>17749</v>
      </c>
    </row>
    <row r="11615" ht="33.75" customHeight="1">
      <c r="A11615" s="7">
        <v>508.0</v>
      </c>
      <c r="B11615" s="9" t="s">
        <v>16818</v>
      </c>
      <c r="C11615" s="9" t="s">
        <v>769</v>
      </c>
      <c r="D11615" s="9" t="s">
        <v>117</v>
      </c>
      <c r="E11615" s="6" t="s">
        <v>10612</v>
      </c>
      <c r="F11615" s="9" t="s">
        <v>17749</v>
      </c>
    </row>
    <row r="11616" ht="33.75" customHeight="1">
      <c r="A11616" s="7">
        <v>509.0</v>
      </c>
      <c r="B11616" s="9" t="s">
        <v>16830</v>
      </c>
      <c r="C11616" s="9" t="s">
        <v>771</v>
      </c>
      <c r="D11616" s="9" t="s">
        <v>93</v>
      </c>
      <c r="E11616" s="6" t="s">
        <v>10613</v>
      </c>
      <c r="F11616" s="9" t="s">
        <v>17757</v>
      </c>
      <c r="G11616" t="inlineStr" s="6">
        <is>
          <t xml:space="preserve">They steal from people for fun, but their victims can’t help but forgive them. Their deceptively cute act is perfect. Its cute act is a ruse. When victims let down their guard, they find their items taken. It attacks with sharp claws. Their cute act is a ruse. They trick people and steal their valuables just to see the looks on their faces. It steals things from people just to amuse itself with their frustration. A rivalry exists between this Pokémon and Nickit. Opponents that get drawn in by its adorable behavior come away with stinging scratches from its claws and stinging pride from its laughter.</t>
        </is>
      </c>
    </row>
    <row r="11617" ht="33.75" customHeight="1">
      <c r="A11617" s="7">
        <v>509.0</v>
      </c>
      <c r="B11617" s="9" t="s">
        <v>16830</v>
      </c>
      <c r="C11617" s="9" t="s">
        <v>771</v>
      </c>
      <c r="D11617" s="9" t="s">
        <v>95</v>
      </c>
      <c r="E11617" s="6" t="s">
        <v>10614</v>
      </c>
      <c r="F11617" s="9" t="s">
        <v>17757</v>
      </c>
    </row>
    <row r="11618" ht="33.75" customHeight="1">
      <c r="A11618" s="7">
        <v>509.0</v>
      </c>
      <c r="B11618" s="9" t="s">
        <v>16830</v>
      </c>
      <c r="C11618" s="9" t="s">
        <v>771</v>
      </c>
      <c r="D11618" s="9" t="s">
        <v>98</v>
      </c>
      <c r="E11618" s="6" t="s">
        <v>10615</v>
      </c>
      <c r="F11618" s="9" t="s">
        <v>17757</v>
      </c>
    </row>
    <row r="11619" ht="33.75" customHeight="1">
      <c r="A11619" s="7">
        <v>509.0</v>
      </c>
      <c r="B11619" s="9" t="s">
        <v>16830</v>
      </c>
      <c r="C11619" s="9" t="s">
        <v>771</v>
      </c>
      <c r="D11619" s="9" t="s">
        <v>99</v>
      </c>
      <c r="E11619" s="6" t="s">
        <v>10615</v>
      </c>
      <c r="F11619" s="9" t="s">
        <v>17757</v>
      </c>
    </row>
    <row r="11620" ht="33.75" customHeight="1">
      <c r="A11620" s="7">
        <v>509.0</v>
      </c>
      <c r="B11620" s="9" t="s">
        <v>16830</v>
      </c>
      <c r="C11620" s="9" t="s">
        <v>771</v>
      </c>
      <c r="D11620" s="9" t="s">
        <v>101</v>
      </c>
      <c r="E11620" s="6" t="s">
        <v>10614</v>
      </c>
      <c r="F11620" s="9" t="s">
        <v>17757</v>
      </c>
    </row>
    <row r="11621" ht="33.75" customHeight="1">
      <c r="A11621" s="7">
        <v>509.0</v>
      </c>
      <c r="B11621" s="9" t="s">
        <v>16830</v>
      </c>
      <c r="C11621" s="9" t="s">
        <v>771</v>
      </c>
      <c r="D11621" s="9" t="s">
        <v>105</v>
      </c>
      <c r="E11621" s="6" t="s">
        <v>10613</v>
      </c>
      <c r="F11621" s="9" t="s">
        <v>17757</v>
      </c>
    </row>
    <row r="11622" ht="33.75" customHeight="1">
      <c r="A11622" s="7">
        <v>509.0</v>
      </c>
      <c r="B11622" s="9" t="s">
        <v>16830</v>
      </c>
      <c r="C11622" s="9" t="s">
        <v>771</v>
      </c>
      <c r="D11622" s="9" t="s">
        <v>107</v>
      </c>
      <c r="E11622" s="6" t="s">
        <v>10614</v>
      </c>
      <c r="F11622" s="9" t="s">
        <v>17757</v>
      </c>
    </row>
    <row r="11623" ht="33.75" customHeight="1">
      <c r="A11623" s="7">
        <v>509.0</v>
      </c>
      <c r="B11623" s="9" t="s">
        <v>16830</v>
      </c>
      <c r="C11623" s="9" t="s">
        <v>771</v>
      </c>
      <c r="D11623" s="9" t="s">
        <v>109</v>
      </c>
      <c r="E11623" s="6" t="s">
        <v>10613</v>
      </c>
      <c r="F11623" s="9" t="s">
        <v>17757</v>
      </c>
    </row>
    <row r="11624" ht="33.75" customHeight="1">
      <c r="A11624" s="7">
        <v>509.0</v>
      </c>
      <c r="B11624" s="9" t="s">
        <v>16830</v>
      </c>
      <c r="C11624" s="9" t="s">
        <v>771</v>
      </c>
      <c r="D11624" s="9" t="s">
        <v>114</v>
      </c>
      <c r="E11624" s="6" t="s">
        <v>10616</v>
      </c>
      <c r="F11624" s="9" t="s">
        <v>17757</v>
      </c>
    </row>
    <row r="11625" ht="33.75" customHeight="1">
      <c r="A11625" s="7">
        <v>509.0</v>
      </c>
      <c r="B11625" s="9" t="s">
        <v>16830</v>
      </c>
      <c r="C11625" s="9" t="s">
        <v>771</v>
      </c>
      <c r="D11625" s="9" t="s">
        <v>117</v>
      </c>
      <c r="E11625" s="6" t="s">
        <v>10618</v>
      </c>
      <c r="F11625" s="9" t="s">
        <v>17757</v>
      </c>
    </row>
    <row r="11626" ht="33.75" customHeight="1">
      <c r="A11626" s="7">
        <v>510.0</v>
      </c>
      <c r="B11626" s="9" t="s">
        <v>16836</v>
      </c>
      <c r="C11626" s="9" t="s">
        <v>774</v>
      </c>
      <c r="D11626" s="9" t="s">
        <v>93</v>
      </c>
      <c r="E11626" s="6" t="s">
        <v>10619</v>
      </c>
      <c r="F11626" s="9" t="s">
        <v>17774</v>
      </c>
      <c r="G11626" t="inlineStr" s="6">
        <is>
          <t xml:space="preserve">These Pokémon vanish and appear unexpectedly. Many Trainers are drawn to their beautiful form and fur. Stealthily, it sneaks up on its target, striking from behind before its victim has a chance to react. Their beautiful form comes from the muscles they have developed. They run silently in the night. Don’t be fooled by its gorgeous fur and elegant figure. This is a moody and vicious Pokémon. This stealthy Pokémon sneaks up behind prey without making any sound at all. It competes with Thievul for territory.</t>
        </is>
      </c>
    </row>
    <row r="11627" ht="33.75" customHeight="1">
      <c r="A11627" s="7">
        <v>510.0</v>
      </c>
      <c r="B11627" s="9" t="s">
        <v>16836</v>
      </c>
      <c r="C11627" s="9" t="s">
        <v>774</v>
      </c>
      <c r="D11627" s="9" t="s">
        <v>95</v>
      </c>
      <c r="E11627" s="6" t="s">
        <v>10620</v>
      </c>
      <c r="F11627" s="9" t="s">
        <v>17774</v>
      </c>
    </row>
    <row r="11628" ht="33.75" customHeight="1">
      <c r="A11628" s="7">
        <v>510.0</v>
      </c>
      <c r="B11628" s="9" t="s">
        <v>16836</v>
      </c>
      <c r="C11628" s="9" t="s">
        <v>774</v>
      </c>
      <c r="D11628" s="9" t="s">
        <v>98</v>
      </c>
      <c r="E11628" s="6" t="s">
        <v>10622</v>
      </c>
      <c r="F11628" s="9" t="s">
        <v>17774</v>
      </c>
    </row>
    <row r="11629" ht="33.75" customHeight="1">
      <c r="A11629" s="7">
        <v>510.0</v>
      </c>
      <c r="B11629" s="9" t="s">
        <v>16836</v>
      </c>
      <c r="C11629" s="9" t="s">
        <v>774</v>
      </c>
      <c r="D11629" s="9" t="s">
        <v>99</v>
      </c>
      <c r="E11629" s="6" t="s">
        <v>10622</v>
      </c>
      <c r="F11629" s="9" t="s">
        <v>17774</v>
      </c>
    </row>
    <row r="11630" ht="33.75" customHeight="1">
      <c r="A11630" s="7">
        <v>510.0</v>
      </c>
      <c r="B11630" s="9" t="s">
        <v>16836</v>
      </c>
      <c r="C11630" s="9" t="s">
        <v>774</v>
      </c>
      <c r="D11630" s="9" t="s">
        <v>101</v>
      </c>
      <c r="E11630" s="6" t="s">
        <v>10622</v>
      </c>
      <c r="F11630" s="9" t="s">
        <v>17774</v>
      </c>
    </row>
    <row r="11631" ht="33.75" customHeight="1">
      <c r="A11631" s="7">
        <v>510.0</v>
      </c>
      <c r="B11631" s="9" t="s">
        <v>16836</v>
      </c>
      <c r="C11631" s="9" t="s">
        <v>774</v>
      </c>
      <c r="D11631" s="9" t="s">
        <v>105</v>
      </c>
      <c r="E11631" s="6" t="s">
        <v>10620</v>
      </c>
      <c r="F11631" s="9" t="s">
        <v>17774</v>
      </c>
    </row>
    <row r="11632" ht="33.75" customHeight="1">
      <c r="A11632" s="7">
        <v>510.0</v>
      </c>
      <c r="B11632" s="9" t="s">
        <v>16836</v>
      </c>
      <c r="C11632" s="9" t="s">
        <v>774</v>
      </c>
      <c r="D11632" s="9" t="s">
        <v>107</v>
      </c>
      <c r="E11632" s="6" t="s">
        <v>10622</v>
      </c>
      <c r="F11632" s="9" t="s">
        <v>17774</v>
      </c>
    </row>
    <row r="11633" ht="33.75" customHeight="1">
      <c r="A11633" s="7">
        <v>510.0</v>
      </c>
      <c r="B11633" s="9" t="s">
        <v>16836</v>
      </c>
      <c r="C11633" s="9" t="s">
        <v>774</v>
      </c>
      <c r="D11633" s="9" t="s">
        <v>109</v>
      </c>
      <c r="E11633" s="6" t="s">
        <v>10620</v>
      </c>
      <c r="F11633" s="9" t="s">
        <v>17774</v>
      </c>
    </row>
    <row r="11634" ht="33.75" customHeight="1">
      <c r="A11634" s="7">
        <v>510.0</v>
      </c>
      <c r="B11634" s="9" t="s">
        <v>16836</v>
      </c>
      <c r="C11634" s="9" t="s">
        <v>774</v>
      </c>
      <c r="D11634" s="9" t="s">
        <v>114</v>
      </c>
      <c r="E11634" s="6" t="s">
        <v>10623</v>
      </c>
      <c r="F11634" s="9" t="s">
        <v>17774</v>
      </c>
    </row>
    <row r="11635" ht="33.75" customHeight="1">
      <c r="A11635" s="7">
        <v>510.0</v>
      </c>
      <c r="B11635" s="9" t="s">
        <v>16836</v>
      </c>
      <c r="C11635" s="9" t="s">
        <v>774</v>
      </c>
      <c r="D11635" s="9" t="s">
        <v>117</v>
      </c>
      <c r="E11635" s="6" t="s">
        <v>10625</v>
      </c>
      <c r="F11635" s="9" t="s">
        <v>17774</v>
      </c>
    </row>
    <row r="11636" ht="33.75" customHeight="1">
      <c r="A11636" s="7">
        <v>511.0</v>
      </c>
      <c r="B11636" s="9" t="s">
        <v>16844</v>
      </c>
      <c r="C11636" s="9" t="s">
        <v>777</v>
      </c>
      <c r="D11636" s="9" t="s">
        <v>93</v>
      </c>
      <c r="E11636" s="6" t="s">
        <v>10626</v>
      </c>
      <c r="F11636" s="9" t="s">
        <v>17784</v>
      </c>
      <c r="G11636" t="inlineStr" s="6">
        <is>
          <t xml:space="preserve">This Pokémon dwells deep in the forest. Eating a leaf from its head whisks weariness away as if by magic. It shares the leaf on its head with weary-looking Pokémon. These leaves are known to relieve stress. It’s good at finding berries and gathers them from all over. It’s kind enough to share them with friends.</t>
        </is>
      </c>
    </row>
    <row r="11637" ht="33.75" customHeight="1">
      <c r="A11637" s="7">
        <v>511.0</v>
      </c>
      <c r="B11637" s="9" t="s">
        <v>16844</v>
      </c>
      <c r="C11637" s="9" t="s">
        <v>777</v>
      </c>
      <c r="D11637" s="9" t="s">
        <v>95</v>
      </c>
      <c r="E11637" s="6" t="s">
        <v>10627</v>
      </c>
      <c r="F11637" s="9" t="s">
        <v>17784</v>
      </c>
    </row>
    <row r="11638" ht="33.75" customHeight="1">
      <c r="A11638" s="7">
        <v>511.0</v>
      </c>
      <c r="B11638" s="9" t="s">
        <v>16844</v>
      </c>
      <c r="C11638" s="9" t="s">
        <v>777</v>
      </c>
      <c r="D11638" s="9" t="s">
        <v>98</v>
      </c>
      <c r="E11638" s="6" t="s">
        <v>10629</v>
      </c>
      <c r="F11638" s="9" t="s">
        <v>17784</v>
      </c>
    </row>
    <row r="11639" ht="33.75" customHeight="1">
      <c r="A11639" s="7">
        <v>511.0</v>
      </c>
      <c r="B11639" s="9" t="s">
        <v>16844</v>
      </c>
      <c r="C11639" s="9" t="s">
        <v>777</v>
      </c>
      <c r="D11639" s="9" t="s">
        <v>99</v>
      </c>
      <c r="E11639" s="6" t="s">
        <v>10629</v>
      </c>
      <c r="F11639" s="9" t="s">
        <v>17784</v>
      </c>
    </row>
    <row r="11640" ht="33.75" customHeight="1">
      <c r="A11640" s="7">
        <v>511.0</v>
      </c>
      <c r="B11640" s="9" t="s">
        <v>16844</v>
      </c>
      <c r="C11640" s="9" t="s">
        <v>777</v>
      </c>
      <c r="D11640" s="9" t="s">
        <v>101</v>
      </c>
      <c r="E11640" s="6" t="s">
        <v>10627</v>
      </c>
      <c r="F11640" s="9" t="s">
        <v>17784</v>
      </c>
    </row>
    <row r="11641" ht="33.75" customHeight="1">
      <c r="A11641" s="7">
        <v>511.0</v>
      </c>
      <c r="B11641" s="9" t="s">
        <v>16844</v>
      </c>
      <c r="C11641" s="9" t="s">
        <v>777</v>
      </c>
      <c r="D11641" s="9" t="s">
        <v>105</v>
      </c>
      <c r="E11641" s="6" t="s">
        <v>10629</v>
      </c>
      <c r="F11641" s="9" t="s">
        <v>17784</v>
      </c>
    </row>
    <row r="11642" ht="33.75" customHeight="1">
      <c r="A11642" s="7">
        <v>511.0</v>
      </c>
      <c r="B11642" s="9" t="s">
        <v>16844</v>
      </c>
      <c r="C11642" s="9" t="s">
        <v>777</v>
      </c>
      <c r="D11642" s="9" t="s">
        <v>107</v>
      </c>
      <c r="E11642" s="6" t="s">
        <v>10627</v>
      </c>
      <c r="F11642" s="9" t="s">
        <v>17784</v>
      </c>
    </row>
    <row r="11643" ht="33.75" customHeight="1">
      <c r="A11643" s="7">
        <v>511.0</v>
      </c>
      <c r="B11643" s="9" t="s">
        <v>16844</v>
      </c>
      <c r="C11643" s="9" t="s">
        <v>777</v>
      </c>
      <c r="D11643" s="9" t="s">
        <v>109</v>
      </c>
      <c r="E11643" s="6" t="s">
        <v>10629</v>
      </c>
      <c r="F11643" s="9" t="s">
        <v>17784</v>
      </c>
    </row>
    <row r="11644" ht="33.75" customHeight="1">
      <c r="A11644" s="7">
        <v>512.0</v>
      </c>
      <c r="B11644" s="9" t="s">
        <v>16850</v>
      </c>
      <c r="C11644" s="9" t="s">
        <v>779</v>
      </c>
      <c r="D11644" s="9" t="s">
        <v>93</v>
      </c>
      <c r="E11644" s="6" t="s">
        <v>10630</v>
      </c>
      <c r="F11644" s="9" t="s">
        <v>17792</v>
      </c>
      <c r="G11644" t="inlineStr" s="6">
        <is>
          <t xml:space="preserve">Ill tempered, it fights by swinging Simisage's barbed tail around wildly. The leaf growing on its head is very bitter. It attacks enemies with strikes of its thorn-covered tail. This Pokémon is wild tempered. It strikes its enemies with a thorn-covered tail. The leaf on its head is bitter.</t>
        </is>
      </c>
    </row>
    <row r="11645" ht="33.75" customHeight="1">
      <c r="A11645" s="7">
        <v>512.0</v>
      </c>
      <c r="B11645" s="9" t="s">
        <v>16850</v>
      </c>
      <c r="C11645" s="9" t="s">
        <v>779</v>
      </c>
      <c r="D11645" s="9" t="s">
        <v>95</v>
      </c>
      <c r="E11645" s="6" t="s">
        <v>10631</v>
      </c>
      <c r="F11645" s="9" t="s">
        <v>17792</v>
      </c>
    </row>
    <row r="11646" ht="33.75" customHeight="1">
      <c r="A11646" s="7">
        <v>512.0</v>
      </c>
      <c r="B11646" s="9" t="s">
        <v>16850</v>
      </c>
      <c r="C11646" s="9" t="s">
        <v>779</v>
      </c>
      <c r="D11646" s="9" t="s">
        <v>98</v>
      </c>
      <c r="E11646" s="6" t="s">
        <v>10632</v>
      </c>
      <c r="F11646" s="9" t="s">
        <v>17792</v>
      </c>
    </row>
    <row r="11647" ht="33.75" customHeight="1">
      <c r="A11647" s="7">
        <v>512.0</v>
      </c>
      <c r="B11647" s="9" t="s">
        <v>16850</v>
      </c>
      <c r="C11647" s="9" t="s">
        <v>779</v>
      </c>
      <c r="D11647" s="9" t="s">
        <v>99</v>
      </c>
      <c r="E11647" s="6" t="s">
        <v>10632</v>
      </c>
      <c r="F11647" s="9" t="s">
        <v>17792</v>
      </c>
    </row>
    <row r="11648" ht="33.75" customHeight="1">
      <c r="A11648" s="7">
        <v>512.0</v>
      </c>
      <c r="B11648" s="9" t="s">
        <v>16850</v>
      </c>
      <c r="C11648" s="9" t="s">
        <v>779</v>
      </c>
      <c r="D11648" s="9" t="s">
        <v>101</v>
      </c>
      <c r="E11648" s="6" t="s">
        <v>10631</v>
      </c>
      <c r="F11648" s="9" t="s">
        <v>17792</v>
      </c>
    </row>
    <row r="11649" ht="33.75" customHeight="1">
      <c r="A11649" s="7">
        <v>512.0</v>
      </c>
      <c r="B11649" s="9" t="s">
        <v>16850</v>
      </c>
      <c r="C11649" s="9" t="s">
        <v>779</v>
      </c>
      <c r="D11649" s="9" t="s">
        <v>105</v>
      </c>
      <c r="E11649" s="6" t="s">
        <v>10630</v>
      </c>
      <c r="F11649" s="9" t="s">
        <v>17792</v>
      </c>
    </row>
    <row r="11650" ht="33.75" customHeight="1">
      <c r="A11650" s="7">
        <v>512.0</v>
      </c>
      <c r="B11650" s="9" t="s">
        <v>16850</v>
      </c>
      <c r="C11650" s="9" t="s">
        <v>779</v>
      </c>
      <c r="D11650" s="9" t="s">
        <v>107</v>
      </c>
      <c r="E11650" s="6" t="s">
        <v>10631</v>
      </c>
      <c r="F11650" s="9" t="s">
        <v>17792</v>
      </c>
    </row>
    <row r="11651" ht="33.75" customHeight="1">
      <c r="A11651" s="7">
        <v>512.0</v>
      </c>
      <c r="B11651" s="9" t="s">
        <v>16850</v>
      </c>
      <c r="C11651" s="9" t="s">
        <v>779</v>
      </c>
      <c r="D11651" s="9" t="s">
        <v>109</v>
      </c>
      <c r="E11651" s="6" t="s">
        <v>10630</v>
      </c>
      <c r="F11651" s="9" t="s">
        <v>17792</v>
      </c>
    </row>
    <row r="11652" ht="33.75" customHeight="1">
      <c r="A11652" s="7">
        <v>513.0</v>
      </c>
      <c r="B11652" s="9" t="s">
        <v>16855</v>
      </c>
      <c r="C11652" s="9" t="s">
        <v>780</v>
      </c>
      <c r="D11652" s="9" t="s">
        <v>93</v>
      </c>
      <c r="E11652" s="6" t="s">
        <v>10635</v>
      </c>
      <c r="F11652" s="9" t="s">
        <v>17796</v>
      </c>
      <c r="G11652" t="inlineStr" s="6">
        <is>
          <t xml:space="preserve">When it is angered, the temperature of Pansear's head tuft reaches 600° F. It uses its tuft to roast berries. This Pokémon lives in caves in volcanoes. The fire within the tuft on its head can reach 600° F. Very intelligent, it roasts berries before eating them. It likes to help people. The fire within the tuft on its head can reach 600 degrees Fahrenheit.</t>
        </is>
      </c>
    </row>
    <row r="11653" ht="33.75" customHeight="1">
      <c r="A11653" s="7">
        <v>513.0</v>
      </c>
      <c r="B11653" s="9" t="s">
        <v>16855</v>
      </c>
      <c r="C11653" s="9" t="s">
        <v>780</v>
      </c>
      <c r="D11653" s="9" t="s">
        <v>95</v>
      </c>
      <c r="E11653" s="6" t="s">
        <v>10637</v>
      </c>
      <c r="F11653" s="9" t="s">
        <v>17796</v>
      </c>
    </row>
    <row r="11654" ht="33.75" customHeight="1">
      <c r="A11654" s="7">
        <v>513.0</v>
      </c>
      <c r="B11654" s="9" t="s">
        <v>16855</v>
      </c>
      <c r="C11654" s="9" t="s">
        <v>780</v>
      </c>
      <c r="D11654" s="9" t="s">
        <v>98</v>
      </c>
      <c r="E11654" s="6" t="s">
        <v>10638</v>
      </c>
      <c r="F11654" s="9" t="s">
        <v>17796</v>
      </c>
    </row>
    <row r="11655" ht="33.75" customHeight="1">
      <c r="A11655" s="7">
        <v>513.0</v>
      </c>
      <c r="B11655" s="9" t="s">
        <v>16855</v>
      </c>
      <c r="C11655" s="9" t="s">
        <v>780</v>
      </c>
      <c r="D11655" s="9" t="s">
        <v>99</v>
      </c>
      <c r="E11655" s="6" t="s">
        <v>10638</v>
      </c>
      <c r="F11655" s="9" t="s">
        <v>17796</v>
      </c>
    </row>
    <row r="11656" ht="33.75" customHeight="1">
      <c r="A11656" s="7">
        <v>513.0</v>
      </c>
      <c r="B11656" s="9" t="s">
        <v>16855</v>
      </c>
      <c r="C11656" s="9" t="s">
        <v>780</v>
      </c>
      <c r="D11656" s="9" t="s">
        <v>101</v>
      </c>
      <c r="E11656" s="6" t="s">
        <v>10638</v>
      </c>
      <c r="F11656" s="9" t="s">
        <v>17796</v>
      </c>
    </row>
    <row r="11657" ht="33.75" customHeight="1">
      <c r="A11657" s="7">
        <v>513.0</v>
      </c>
      <c r="B11657" s="9" t="s">
        <v>16855</v>
      </c>
      <c r="C11657" s="9" t="s">
        <v>780</v>
      </c>
      <c r="D11657" s="9" t="s">
        <v>105</v>
      </c>
      <c r="E11657" s="6" t="s">
        <v>10640</v>
      </c>
      <c r="F11657" s="9" t="s">
        <v>17796</v>
      </c>
    </row>
    <row r="11658" ht="33.75" customHeight="1">
      <c r="A11658" s="7">
        <v>513.0</v>
      </c>
      <c r="B11658" s="9" t="s">
        <v>16855</v>
      </c>
      <c r="C11658" s="9" t="s">
        <v>780</v>
      </c>
      <c r="D11658" s="9" t="s">
        <v>107</v>
      </c>
      <c r="E11658" s="6" t="s">
        <v>10638</v>
      </c>
      <c r="F11658" s="9" t="s">
        <v>17796</v>
      </c>
    </row>
    <row r="11659" ht="33.75" customHeight="1">
      <c r="A11659" s="7">
        <v>513.0</v>
      </c>
      <c r="B11659" s="9" t="s">
        <v>16855</v>
      </c>
      <c r="C11659" s="9" t="s">
        <v>780</v>
      </c>
      <c r="D11659" s="9" t="s">
        <v>109</v>
      </c>
      <c r="E11659" s="6" t="s">
        <v>10640</v>
      </c>
      <c r="F11659" s="9" t="s">
        <v>17796</v>
      </c>
    </row>
    <row r="11660" ht="33.75" customHeight="1">
      <c r="A11660" s="7">
        <v>514.0</v>
      </c>
      <c r="B11660" s="9" t="s">
        <v>16861</v>
      </c>
      <c r="C11660" s="9" t="s">
        <v>782</v>
      </c>
      <c r="D11660" s="9" t="s">
        <v>93</v>
      </c>
      <c r="E11660" s="6" t="s">
        <v>10642</v>
      </c>
      <c r="F11660" s="9" t="s">
        <v>17806</v>
      </c>
      <c r="G11660" t="inlineStr" s="6">
        <is>
          <t xml:space="preserve">It loves sweets because they become energy for the fire burning inside Simisear's body. A flame burns inside its body. It scatters embers from its head and tail to sear its opponents. When it gets excited, embers rise from its head and tail and it gets hot. For some reason, it loves sweets.</t>
        </is>
      </c>
    </row>
    <row r="11661" ht="33.75" customHeight="1">
      <c r="A11661" s="7">
        <v>514.0</v>
      </c>
      <c r="B11661" s="9" t="s">
        <v>16861</v>
      </c>
      <c r="C11661" s="9" t="s">
        <v>782</v>
      </c>
      <c r="D11661" s="9" t="s">
        <v>95</v>
      </c>
      <c r="E11661" s="6" t="s">
        <v>10643</v>
      </c>
      <c r="F11661" s="9" t="s">
        <v>17806</v>
      </c>
    </row>
    <row r="11662" ht="33.75" customHeight="1">
      <c r="A11662" s="7">
        <v>514.0</v>
      </c>
      <c r="B11662" s="9" t="s">
        <v>16861</v>
      </c>
      <c r="C11662" s="9" t="s">
        <v>782</v>
      </c>
      <c r="D11662" s="9" t="s">
        <v>98</v>
      </c>
      <c r="E11662" s="6" t="s">
        <v>10645</v>
      </c>
      <c r="F11662" s="9" t="s">
        <v>17806</v>
      </c>
    </row>
    <row r="11663" ht="33.75" customHeight="1">
      <c r="A11663" s="7">
        <v>514.0</v>
      </c>
      <c r="B11663" s="9" t="s">
        <v>16861</v>
      </c>
      <c r="C11663" s="9" t="s">
        <v>782</v>
      </c>
      <c r="D11663" s="9" t="s">
        <v>99</v>
      </c>
      <c r="E11663" s="6" t="s">
        <v>10645</v>
      </c>
      <c r="F11663" s="9" t="s">
        <v>17806</v>
      </c>
    </row>
    <row r="11664" ht="33.75" customHeight="1">
      <c r="A11664" s="7">
        <v>514.0</v>
      </c>
      <c r="B11664" s="9" t="s">
        <v>16861</v>
      </c>
      <c r="C11664" s="9" t="s">
        <v>782</v>
      </c>
      <c r="D11664" s="9" t="s">
        <v>101</v>
      </c>
      <c r="E11664" s="6" t="s">
        <v>10643</v>
      </c>
      <c r="F11664" s="9" t="s">
        <v>17806</v>
      </c>
    </row>
    <row r="11665" ht="33.75" customHeight="1">
      <c r="A11665" s="7">
        <v>514.0</v>
      </c>
      <c r="B11665" s="9" t="s">
        <v>16861</v>
      </c>
      <c r="C11665" s="9" t="s">
        <v>782</v>
      </c>
      <c r="D11665" s="9" t="s">
        <v>105</v>
      </c>
      <c r="E11665" s="6" t="s">
        <v>10645</v>
      </c>
      <c r="F11665" s="9" t="s">
        <v>17806</v>
      </c>
    </row>
    <row r="11666" ht="33.75" customHeight="1">
      <c r="A11666" s="7">
        <v>514.0</v>
      </c>
      <c r="B11666" s="9" t="s">
        <v>16861</v>
      </c>
      <c r="C11666" s="9" t="s">
        <v>782</v>
      </c>
      <c r="D11666" s="9" t="s">
        <v>107</v>
      </c>
      <c r="E11666" s="6" t="s">
        <v>10643</v>
      </c>
      <c r="F11666" s="9" t="s">
        <v>17806</v>
      </c>
    </row>
    <row r="11667" ht="33.75" customHeight="1">
      <c r="A11667" s="7">
        <v>514.0</v>
      </c>
      <c r="B11667" s="9" t="s">
        <v>16861</v>
      </c>
      <c r="C11667" s="9" t="s">
        <v>782</v>
      </c>
      <c r="D11667" s="9" t="s">
        <v>109</v>
      </c>
      <c r="E11667" s="6" t="s">
        <v>10645</v>
      </c>
      <c r="F11667" s="9" t="s">
        <v>17806</v>
      </c>
    </row>
    <row r="11668" ht="33.75" customHeight="1">
      <c r="A11668" s="7">
        <v>515.0</v>
      </c>
      <c r="B11668" s="9" t="s">
        <v>16867</v>
      </c>
      <c r="C11668" s="9" t="s">
        <v>785</v>
      </c>
      <c r="D11668" s="9" t="s">
        <v>93</v>
      </c>
      <c r="E11668" s="6" t="s">
        <v>10648</v>
      </c>
      <c r="F11668" s="9" t="s">
        <v>17819</v>
      </c>
      <c r="G11668" t="inlineStr" s="6">
        <is>
          <t xml:space="preserve">The water stored inside the tuft on Panpour's head is full of nutrients. Plants that receive its water grow large. It does not thrive in dry environments. It keeps itself damp by shooting water stored in its head tuft from its tail. It waters plants with it using its tail.</t>
        </is>
      </c>
    </row>
    <row r="11669" ht="33.75" customHeight="1">
      <c r="A11669" s="7">
        <v>515.0</v>
      </c>
      <c r="B11669" s="9" t="s">
        <v>16867</v>
      </c>
      <c r="C11669" s="9" t="s">
        <v>785</v>
      </c>
      <c r="D11669" s="9" t="s">
        <v>95</v>
      </c>
      <c r="E11669" s="6" t="s">
        <v>10649</v>
      </c>
      <c r="F11669" s="9" t="s">
        <v>17819</v>
      </c>
    </row>
    <row r="11670" ht="33.75" customHeight="1">
      <c r="A11670" s="7">
        <v>515.0</v>
      </c>
      <c r="B11670" s="9" t="s">
        <v>16867</v>
      </c>
      <c r="C11670" s="9" t="s">
        <v>785</v>
      </c>
      <c r="D11670" s="9" t="s">
        <v>98</v>
      </c>
      <c r="E11670" s="6" t="s">
        <v>10651</v>
      </c>
      <c r="F11670" s="9" t="s">
        <v>17819</v>
      </c>
    </row>
    <row r="11671" ht="33.75" customHeight="1">
      <c r="A11671" s="7">
        <v>515.0</v>
      </c>
      <c r="B11671" s="9" t="s">
        <v>16867</v>
      </c>
      <c r="C11671" s="9" t="s">
        <v>785</v>
      </c>
      <c r="D11671" s="9" t="s">
        <v>99</v>
      </c>
      <c r="E11671" s="6" t="s">
        <v>10651</v>
      </c>
      <c r="F11671" s="9" t="s">
        <v>17819</v>
      </c>
    </row>
    <row r="11672" ht="33.75" customHeight="1">
      <c r="A11672" s="7">
        <v>515.0</v>
      </c>
      <c r="B11672" s="9" t="s">
        <v>16867</v>
      </c>
      <c r="C11672" s="9" t="s">
        <v>785</v>
      </c>
      <c r="D11672" s="9" t="s">
        <v>101</v>
      </c>
      <c r="E11672" s="6" t="s">
        <v>10651</v>
      </c>
      <c r="F11672" s="9" t="s">
        <v>17819</v>
      </c>
    </row>
    <row r="11673" ht="33.75" customHeight="1">
      <c r="A11673" s="7">
        <v>515.0</v>
      </c>
      <c r="B11673" s="9" t="s">
        <v>16867</v>
      </c>
      <c r="C11673" s="9" t="s">
        <v>785</v>
      </c>
      <c r="D11673" s="9" t="s">
        <v>105</v>
      </c>
      <c r="E11673" s="6" t="s">
        <v>10648</v>
      </c>
      <c r="F11673" s="9" t="s">
        <v>17819</v>
      </c>
    </row>
    <row r="11674" ht="33.75" customHeight="1">
      <c r="A11674" s="7">
        <v>515.0</v>
      </c>
      <c r="B11674" s="9" t="s">
        <v>16867</v>
      </c>
      <c r="C11674" s="9" t="s">
        <v>785</v>
      </c>
      <c r="D11674" s="9" t="s">
        <v>107</v>
      </c>
      <c r="E11674" s="6" t="s">
        <v>10651</v>
      </c>
      <c r="F11674" s="9" t="s">
        <v>17819</v>
      </c>
    </row>
    <row r="11675" ht="33.75" customHeight="1">
      <c r="A11675" s="7">
        <v>515.0</v>
      </c>
      <c r="B11675" s="9" t="s">
        <v>16867</v>
      </c>
      <c r="C11675" s="9" t="s">
        <v>785</v>
      </c>
      <c r="D11675" s="9" t="s">
        <v>109</v>
      </c>
      <c r="E11675" s="6" t="s">
        <v>10648</v>
      </c>
      <c r="F11675" s="9" t="s">
        <v>17819</v>
      </c>
    </row>
    <row r="11676" ht="33.75" customHeight="1">
      <c r="A11676" s="7">
        <v>516.0</v>
      </c>
      <c r="B11676" s="9" t="s">
        <v>16872</v>
      </c>
      <c r="C11676" s="9" t="s">
        <v>786</v>
      </c>
      <c r="D11676" s="9" t="s">
        <v>93</v>
      </c>
      <c r="E11676" s="6" t="s">
        <v>10652</v>
      </c>
      <c r="F11676" s="9" t="s">
        <v>17830</v>
      </c>
      <c r="G11676" t="inlineStr" s="6">
        <is>
          <t xml:space="preserve">The tuft on Simipour's head holds water. When the level runs low, it replenishes the tuft by siphoning up water with its tail. The high-pressure water expelled from its tail is so powerful, it can destroy a concrete wall. It prefers places with clean water. When its tuft runs low, it replenishes it by siphoning up water with its tail.</t>
        </is>
      </c>
    </row>
    <row r="11677" ht="33.75" customHeight="1">
      <c r="A11677" s="7">
        <v>516.0</v>
      </c>
      <c r="B11677" s="9" t="s">
        <v>16872</v>
      </c>
      <c r="C11677" s="9" t="s">
        <v>786</v>
      </c>
      <c r="D11677" s="9" t="s">
        <v>95</v>
      </c>
      <c r="E11677" s="6" t="s">
        <v>10653</v>
      </c>
      <c r="F11677" s="9" t="s">
        <v>17830</v>
      </c>
    </row>
    <row r="11678" ht="33.75" customHeight="1">
      <c r="A11678" s="7">
        <v>516.0</v>
      </c>
      <c r="B11678" s="9" t="s">
        <v>16872</v>
      </c>
      <c r="C11678" s="9" t="s">
        <v>786</v>
      </c>
      <c r="D11678" s="9" t="s">
        <v>98</v>
      </c>
      <c r="E11678" s="6" t="s">
        <v>10654</v>
      </c>
      <c r="F11678" s="9" t="s">
        <v>17830</v>
      </c>
    </row>
    <row r="11679" ht="33.75" customHeight="1">
      <c r="A11679" s="7">
        <v>516.0</v>
      </c>
      <c r="B11679" s="9" t="s">
        <v>16872</v>
      </c>
      <c r="C11679" s="9" t="s">
        <v>786</v>
      </c>
      <c r="D11679" s="9" t="s">
        <v>99</v>
      </c>
      <c r="E11679" s="6" t="s">
        <v>10654</v>
      </c>
      <c r="F11679" s="9" t="s">
        <v>17830</v>
      </c>
    </row>
    <row r="11680" ht="33.75" customHeight="1">
      <c r="A11680" s="7">
        <v>516.0</v>
      </c>
      <c r="B11680" s="9" t="s">
        <v>16872</v>
      </c>
      <c r="C11680" s="9" t="s">
        <v>786</v>
      </c>
      <c r="D11680" s="9" t="s">
        <v>101</v>
      </c>
      <c r="E11680" s="6" t="s">
        <v>10653</v>
      </c>
      <c r="F11680" s="9" t="s">
        <v>17830</v>
      </c>
    </row>
    <row r="11681" ht="33.75" customHeight="1">
      <c r="A11681" s="7">
        <v>516.0</v>
      </c>
      <c r="B11681" s="9" t="s">
        <v>16872</v>
      </c>
      <c r="C11681" s="9" t="s">
        <v>786</v>
      </c>
      <c r="D11681" s="9" t="s">
        <v>105</v>
      </c>
      <c r="E11681" s="6" t="s">
        <v>10654</v>
      </c>
      <c r="F11681" s="9" t="s">
        <v>17830</v>
      </c>
    </row>
    <row r="11682" ht="33.75" customHeight="1">
      <c r="A11682" s="7">
        <v>516.0</v>
      </c>
      <c r="B11682" s="9" t="s">
        <v>16872</v>
      </c>
      <c r="C11682" s="9" t="s">
        <v>786</v>
      </c>
      <c r="D11682" s="9" t="s">
        <v>107</v>
      </c>
      <c r="E11682" s="6" t="s">
        <v>10653</v>
      </c>
      <c r="F11682" s="9" t="s">
        <v>17830</v>
      </c>
    </row>
    <row r="11683" ht="33.75" customHeight="1">
      <c r="A11683" s="7">
        <v>516.0</v>
      </c>
      <c r="B11683" s="9" t="s">
        <v>16872</v>
      </c>
      <c r="C11683" s="9" t="s">
        <v>786</v>
      </c>
      <c r="D11683" s="9" t="s">
        <v>109</v>
      </c>
      <c r="E11683" s="6" t="s">
        <v>10654</v>
      </c>
      <c r="F11683" s="9" t="s">
        <v>17830</v>
      </c>
    </row>
    <row r="11684" ht="33.75" customHeight="1">
      <c r="A11684" s="7">
        <v>517.0</v>
      </c>
      <c r="B11684" s="9" t="s">
        <v>16878</v>
      </c>
      <c r="C11684" s="9" t="s">
        <v>788</v>
      </c>
      <c r="D11684" s="9" t="s">
        <v>93</v>
      </c>
      <c r="E11684" s="6" t="s">
        <v>10656</v>
      </c>
      <c r="F11684" s="9" t="s">
        <v>17835</v>
      </c>
      <c r="G11684" t="inlineStr" s="6">
        <is>
          <t xml:space="preserve">Munna always float in the air. People whose dreams are eaten by them forget what the dreams had been about. It eats the dreams of people and Pokémon. When it eats a pleasant dream, it expels pink-colored mist. This Pokémon appears before people and Pokémon who are having nightmares and eats those dreams. Late at night, it appears beside people’s pillows. As it feeds on dreams, the patterns on its body give off a faint glow. It eats dreams and releases mist. The mist is pink when it’s eating a good dream, and black when it’s eating a nightmare.</t>
        </is>
      </c>
    </row>
    <row r="11685" ht="33.75" customHeight="1">
      <c r="A11685" s="7">
        <v>517.0</v>
      </c>
      <c r="B11685" s="9" t="s">
        <v>16878</v>
      </c>
      <c r="C11685" s="9" t="s">
        <v>788</v>
      </c>
      <c r="D11685" s="9" t="s">
        <v>95</v>
      </c>
      <c r="E11685" s="6" t="s">
        <v>10657</v>
      </c>
      <c r="F11685" s="9" t="s">
        <v>17835</v>
      </c>
    </row>
    <row r="11686" ht="33.75" customHeight="1">
      <c r="A11686" s="7">
        <v>517.0</v>
      </c>
      <c r="B11686" s="9" t="s">
        <v>16878</v>
      </c>
      <c r="C11686" s="9" t="s">
        <v>788</v>
      </c>
      <c r="D11686" s="9" t="s">
        <v>98</v>
      </c>
      <c r="E11686" s="6" t="s">
        <v>10658</v>
      </c>
      <c r="F11686" s="9" t="s">
        <v>17835</v>
      </c>
    </row>
    <row r="11687" ht="33.75" customHeight="1">
      <c r="A11687" s="7">
        <v>517.0</v>
      </c>
      <c r="B11687" s="9" t="s">
        <v>16878</v>
      </c>
      <c r="C11687" s="9" t="s">
        <v>788</v>
      </c>
      <c r="D11687" s="9" t="s">
        <v>99</v>
      </c>
      <c r="E11687" s="6" t="s">
        <v>10658</v>
      </c>
      <c r="F11687" s="9" t="s">
        <v>17835</v>
      </c>
    </row>
    <row r="11688" ht="33.75" customHeight="1">
      <c r="A11688" s="7">
        <v>517.0</v>
      </c>
      <c r="B11688" s="9" t="s">
        <v>16878</v>
      </c>
      <c r="C11688" s="9" t="s">
        <v>788</v>
      </c>
      <c r="D11688" s="9" t="s">
        <v>101</v>
      </c>
      <c r="E11688" s="6" t="s">
        <v>10658</v>
      </c>
      <c r="F11688" s="9" t="s">
        <v>17835</v>
      </c>
    </row>
    <row r="11689" ht="33.75" customHeight="1">
      <c r="A11689" s="7">
        <v>517.0</v>
      </c>
      <c r="B11689" s="9" t="s">
        <v>16878</v>
      </c>
      <c r="C11689" s="9" t="s">
        <v>788</v>
      </c>
      <c r="D11689" s="9" t="s">
        <v>105</v>
      </c>
      <c r="E11689" s="6" t="s">
        <v>10657</v>
      </c>
      <c r="F11689" s="9" t="s">
        <v>17835</v>
      </c>
    </row>
    <row r="11690" ht="33.75" customHeight="1">
      <c r="A11690" s="7">
        <v>517.0</v>
      </c>
      <c r="B11690" s="9" t="s">
        <v>16878</v>
      </c>
      <c r="C11690" s="9" t="s">
        <v>788</v>
      </c>
      <c r="D11690" s="9" t="s">
        <v>107</v>
      </c>
      <c r="E11690" s="6" t="s">
        <v>10658</v>
      </c>
      <c r="F11690" s="9" t="s">
        <v>17835</v>
      </c>
    </row>
    <row r="11691" ht="33.75" customHeight="1">
      <c r="A11691" s="7">
        <v>517.0</v>
      </c>
      <c r="B11691" s="9" t="s">
        <v>16878</v>
      </c>
      <c r="C11691" s="9" t="s">
        <v>788</v>
      </c>
      <c r="D11691" s="9" t="s">
        <v>109</v>
      </c>
      <c r="E11691" s="6" t="s">
        <v>10657</v>
      </c>
      <c r="F11691" s="9" t="s">
        <v>17835</v>
      </c>
    </row>
    <row r="11692" ht="33.75" customHeight="1">
      <c r="A11692" s="7">
        <v>517.0</v>
      </c>
      <c r="B11692" s="9" t="s">
        <v>16878</v>
      </c>
      <c r="C11692" s="9" t="s">
        <v>788</v>
      </c>
      <c r="D11692" s="9" t="s">
        <v>114</v>
      </c>
      <c r="E11692" s="6" t="s">
        <v>10659</v>
      </c>
      <c r="F11692" s="9" t="s">
        <v>17835</v>
      </c>
    </row>
    <row r="11693" ht="33.75" customHeight="1">
      <c r="A11693" s="7">
        <v>517.0</v>
      </c>
      <c r="B11693" s="9" t="s">
        <v>16878</v>
      </c>
      <c r="C11693" s="9" t="s">
        <v>788</v>
      </c>
      <c r="D11693" s="9" t="s">
        <v>117</v>
      </c>
      <c r="E11693" s="6" t="s">
        <v>10660</v>
      </c>
      <c r="F11693" s="9" t="s">
        <v>17835</v>
      </c>
    </row>
    <row r="11694" ht="33.75" customHeight="1">
      <c r="A11694" s="7">
        <v>518.0</v>
      </c>
      <c r="B11694" s="9" t="s">
        <v>16885</v>
      </c>
      <c r="C11694" s="9" t="s">
        <v>790</v>
      </c>
      <c r="D11694" s="9" t="s">
        <v>93</v>
      </c>
      <c r="E11694" s="6" t="s">
        <v>10661</v>
      </c>
      <c r="F11694" s="9" t="s">
        <v>17851</v>
      </c>
      <c r="G11694" t="inlineStr" s="6">
        <is>
          <t xml:space="preserve">The mist emanating from their foreheads is packed with the dreams of people and Pokémon. With the mist from its forehead, it can create shapes of things from dreams it has eaten. The dream mist coming from its forehead changes into many different colors depending on the dream that was eaten. When dark mists emanate from its body, don’t get too near. If you do, your nightmares will become reality. It drowses and dreams all the time. It’s best to leave it be if it’s just woken up, as it’s a terrible grump when freshly roused from sleep.</t>
        </is>
      </c>
    </row>
    <row r="11695" ht="33.75" customHeight="1">
      <c r="A11695" s="7">
        <v>518.0</v>
      </c>
      <c r="B11695" s="9" t="s">
        <v>16885</v>
      </c>
      <c r="C11695" s="9" t="s">
        <v>790</v>
      </c>
      <c r="D11695" s="9" t="s">
        <v>95</v>
      </c>
      <c r="E11695" s="6" t="s">
        <v>10662</v>
      </c>
      <c r="F11695" s="9" t="s">
        <v>17851</v>
      </c>
    </row>
    <row r="11696" ht="33.75" customHeight="1">
      <c r="A11696" s="7">
        <v>518.0</v>
      </c>
      <c r="B11696" s="9" t="s">
        <v>16885</v>
      </c>
      <c r="C11696" s="9" t="s">
        <v>790</v>
      </c>
      <c r="D11696" s="9" t="s">
        <v>98</v>
      </c>
      <c r="E11696" s="6" t="s">
        <v>10663</v>
      </c>
      <c r="F11696" s="9" t="s">
        <v>17851</v>
      </c>
    </row>
    <row r="11697" ht="33.75" customHeight="1">
      <c r="A11697" s="7">
        <v>518.0</v>
      </c>
      <c r="B11697" s="9" t="s">
        <v>16885</v>
      </c>
      <c r="C11697" s="9" t="s">
        <v>790</v>
      </c>
      <c r="D11697" s="9" t="s">
        <v>99</v>
      </c>
      <c r="E11697" s="6" t="s">
        <v>10663</v>
      </c>
      <c r="F11697" s="9" t="s">
        <v>17851</v>
      </c>
    </row>
    <row r="11698" ht="33.75" customHeight="1">
      <c r="A11698" s="7">
        <v>518.0</v>
      </c>
      <c r="B11698" s="9" t="s">
        <v>16885</v>
      </c>
      <c r="C11698" s="9" t="s">
        <v>790</v>
      </c>
      <c r="D11698" s="9" t="s">
        <v>101</v>
      </c>
      <c r="E11698" s="6" t="s">
        <v>10661</v>
      </c>
      <c r="F11698" s="9" t="s">
        <v>17851</v>
      </c>
    </row>
    <row r="11699" ht="33.75" customHeight="1">
      <c r="A11699" s="7">
        <v>518.0</v>
      </c>
      <c r="B11699" s="9" t="s">
        <v>16885</v>
      </c>
      <c r="C11699" s="9" t="s">
        <v>790</v>
      </c>
      <c r="D11699" s="9" t="s">
        <v>105</v>
      </c>
      <c r="E11699" s="6" t="s">
        <v>10663</v>
      </c>
      <c r="F11699" s="9" t="s">
        <v>17851</v>
      </c>
    </row>
    <row r="11700" ht="33.75" customHeight="1">
      <c r="A11700" s="7">
        <v>518.0</v>
      </c>
      <c r="B11700" s="9" t="s">
        <v>16885</v>
      </c>
      <c r="C11700" s="9" t="s">
        <v>790</v>
      </c>
      <c r="D11700" s="9" t="s">
        <v>107</v>
      </c>
      <c r="E11700" s="6" t="s">
        <v>10661</v>
      </c>
      <c r="F11700" s="9" t="s">
        <v>17851</v>
      </c>
    </row>
    <row r="11701" ht="33.75" customHeight="1">
      <c r="A11701" s="7">
        <v>518.0</v>
      </c>
      <c r="B11701" s="9" t="s">
        <v>16885</v>
      </c>
      <c r="C11701" s="9" t="s">
        <v>790</v>
      </c>
      <c r="D11701" s="9" t="s">
        <v>109</v>
      </c>
      <c r="E11701" s="6" t="s">
        <v>10663</v>
      </c>
      <c r="F11701" s="9" t="s">
        <v>17851</v>
      </c>
    </row>
    <row r="11702" ht="33.75" customHeight="1">
      <c r="A11702" s="7">
        <v>518.0</v>
      </c>
      <c r="B11702" s="9" t="s">
        <v>16885</v>
      </c>
      <c r="C11702" s="9" t="s">
        <v>790</v>
      </c>
      <c r="D11702" s="9" t="s">
        <v>114</v>
      </c>
      <c r="E11702" s="6" t="s">
        <v>10664</v>
      </c>
      <c r="F11702" s="9" t="s">
        <v>17851</v>
      </c>
    </row>
    <row r="11703" ht="33.75" customHeight="1">
      <c r="A11703" s="7">
        <v>518.0</v>
      </c>
      <c r="B11703" s="9" t="s">
        <v>16885</v>
      </c>
      <c r="C11703" s="9" t="s">
        <v>790</v>
      </c>
      <c r="D11703" s="9" t="s">
        <v>117</v>
      </c>
      <c r="E11703" s="6" t="s">
        <v>10665</v>
      </c>
      <c r="F11703" s="9" t="s">
        <v>17851</v>
      </c>
    </row>
    <row r="11704" ht="33.75" customHeight="1">
      <c r="A11704" s="7">
        <v>519.0</v>
      </c>
      <c r="B11704" s="9" t="s">
        <v>16892</v>
      </c>
      <c r="C11704" s="9" t="s">
        <v>791</v>
      </c>
      <c r="D11704" s="9" t="s">
        <v>93</v>
      </c>
      <c r="E11704" s="6" t="s">
        <v>10666</v>
      </c>
      <c r="F11704" s="9" t="s">
        <v>17859</v>
      </c>
      <c r="G11704" t="inlineStr" s="6">
        <is>
          <t xml:space="preserve">Each follows Pidove's Trainer’s orders as best it can, but they sometimes fail to understand complicated commands. These Pokémon live in cities. They are accustomed to people. Flocks often gather in parks and plazas. This very forgetful Pokémon will wait for a new order from its Trainer even though it already has one. Where people go, these Pokémon follow. If you’re scattering food for them, be careful— several hundred of them can gather at once. It’s forgetful and not very bright, but many Trainers love it anyway for its friendliness and sincerity.</t>
        </is>
      </c>
    </row>
    <row r="11705" ht="33.75" customHeight="1">
      <c r="A11705" s="7">
        <v>519.0</v>
      </c>
      <c r="B11705" s="9" t="s">
        <v>16892</v>
      </c>
      <c r="C11705" s="9" t="s">
        <v>791</v>
      </c>
      <c r="D11705" s="9" t="s">
        <v>95</v>
      </c>
      <c r="E11705" s="6" t="s">
        <v>10667</v>
      </c>
      <c r="F11705" s="9" t="s">
        <v>17859</v>
      </c>
    </row>
    <row r="11706" ht="33.75" customHeight="1">
      <c r="A11706" s="7">
        <v>519.0</v>
      </c>
      <c r="B11706" s="9" t="s">
        <v>16892</v>
      </c>
      <c r="C11706" s="9" t="s">
        <v>791</v>
      </c>
      <c r="D11706" s="9" t="s">
        <v>98</v>
      </c>
      <c r="E11706" s="6" t="s">
        <v>10668</v>
      </c>
      <c r="F11706" s="9" t="s">
        <v>17859</v>
      </c>
    </row>
    <row r="11707" ht="33.75" customHeight="1">
      <c r="A11707" s="7">
        <v>519.0</v>
      </c>
      <c r="B11707" s="9" t="s">
        <v>16892</v>
      </c>
      <c r="C11707" s="9" t="s">
        <v>791</v>
      </c>
      <c r="D11707" s="9" t="s">
        <v>99</v>
      </c>
      <c r="E11707" s="6" t="s">
        <v>10668</v>
      </c>
      <c r="F11707" s="9" t="s">
        <v>17859</v>
      </c>
    </row>
    <row r="11708" ht="33.75" customHeight="1">
      <c r="A11708" s="7">
        <v>519.0</v>
      </c>
      <c r="B11708" s="9" t="s">
        <v>16892</v>
      </c>
      <c r="C11708" s="9" t="s">
        <v>791</v>
      </c>
      <c r="D11708" s="9" t="s">
        <v>101</v>
      </c>
      <c r="E11708" s="6" t="s">
        <v>10668</v>
      </c>
      <c r="F11708" s="9" t="s">
        <v>17859</v>
      </c>
    </row>
    <row r="11709" ht="33.75" customHeight="1">
      <c r="A11709" s="7">
        <v>519.0</v>
      </c>
      <c r="B11709" s="9" t="s">
        <v>16892</v>
      </c>
      <c r="C11709" s="9" t="s">
        <v>791</v>
      </c>
      <c r="D11709" s="9" t="s">
        <v>105</v>
      </c>
      <c r="E11709" s="6" t="s">
        <v>10667</v>
      </c>
      <c r="F11709" s="9" t="s">
        <v>17859</v>
      </c>
    </row>
    <row r="11710" ht="33.75" customHeight="1">
      <c r="A11710" s="7">
        <v>519.0</v>
      </c>
      <c r="B11710" s="9" t="s">
        <v>16892</v>
      </c>
      <c r="C11710" s="9" t="s">
        <v>791</v>
      </c>
      <c r="D11710" s="9" t="s">
        <v>107</v>
      </c>
      <c r="E11710" s="6" t="s">
        <v>10668</v>
      </c>
      <c r="F11710" s="9" t="s">
        <v>17859</v>
      </c>
    </row>
    <row r="11711" ht="33.75" customHeight="1">
      <c r="A11711" s="7">
        <v>519.0</v>
      </c>
      <c r="B11711" s="9" t="s">
        <v>16892</v>
      </c>
      <c r="C11711" s="9" t="s">
        <v>791</v>
      </c>
      <c r="D11711" s="9" t="s">
        <v>109</v>
      </c>
      <c r="E11711" s="6" t="s">
        <v>10667</v>
      </c>
      <c r="F11711" s="9" t="s">
        <v>17859</v>
      </c>
    </row>
    <row r="11712" ht="33.75" customHeight="1">
      <c r="A11712" s="7">
        <v>519.0</v>
      </c>
      <c r="B11712" s="9" t="s">
        <v>16892</v>
      </c>
      <c r="C11712" s="9" t="s">
        <v>791</v>
      </c>
      <c r="D11712" s="9" t="s">
        <v>114</v>
      </c>
      <c r="E11712" s="6" t="s">
        <v>10669</v>
      </c>
      <c r="F11712" s="9" t="s">
        <v>17859</v>
      </c>
    </row>
    <row r="11713" ht="33.75" customHeight="1">
      <c r="A11713" s="7">
        <v>519.0</v>
      </c>
      <c r="B11713" s="9" t="s">
        <v>16892</v>
      </c>
      <c r="C11713" s="9" t="s">
        <v>791</v>
      </c>
      <c r="D11713" s="9" t="s">
        <v>117</v>
      </c>
      <c r="E11713" s="6" t="s">
        <v>10670</v>
      </c>
      <c r="F11713" s="9" t="s">
        <v>17859</v>
      </c>
    </row>
    <row r="11714" ht="33.75" customHeight="1">
      <c r="A11714" s="7">
        <v>520.0</v>
      </c>
      <c r="B11714" s="9" t="s">
        <v>16900</v>
      </c>
      <c r="C11714" s="9" t="s">
        <v>793</v>
      </c>
      <c r="D11714" s="9" t="s">
        <v>93</v>
      </c>
      <c r="E11714" s="6" t="s">
        <v>10671</v>
      </c>
      <c r="F11714" s="9" t="s">
        <v>17869</v>
      </c>
      <c r="G11714" t="inlineStr" s="6">
        <is>
          <t xml:space="preserve">It can return to Tranquill's Trainer’s location regardless of the distance separating them. Many people believe that, deep in the forest where Tranquill live, there is a peaceful place where there is no war. No matter where in the world it goes, it knows where its nest is, so it never gets separated from its Trainer. It can fly moderately quickly. No matter how far it travels, it can always find its way back to its master and its nest. These bright Pokémon have acute memories. Apparently delivery workers often choose them as their partners.</t>
        </is>
      </c>
    </row>
    <row r="11715" ht="33.75" customHeight="1">
      <c r="A11715" s="7">
        <v>520.0</v>
      </c>
      <c r="B11715" s="9" t="s">
        <v>16900</v>
      </c>
      <c r="C11715" s="9" t="s">
        <v>793</v>
      </c>
      <c r="D11715" s="9" t="s">
        <v>95</v>
      </c>
      <c r="E11715" s="6" t="s">
        <v>10672</v>
      </c>
      <c r="F11715" s="9" t="s">
        <v>17869</v>
      </c>
    </row>
    <row r="11716" ht="33.75" customHeight="1">
      <c r="A11716" s="7">
        <v>520.0</v>
      </c>
      <c r="B11716" s="9" t="s">
        <v>16900</v>
      </c>
      <c r="C11716" s="9" t="s">
        <v>793</v>
      </c>
      <c r="D11716" s="9" t="s">
        <v>98</v>
      </c>
      <c r="E11716" s="6" t="s">
        <v>10673</v>
      </c>
      <c r="F11716" s="9" t="s">
        <v>17869</v>
      </c>
    </row>
    <row r="11717" ht="33.75" customHeight="1">
      <c r="A11717" s="7">
        <v>520.0</v>
      </c>
      <c r="B11717" s="9" t="s">
        <v>16900</v>
      </c>
      <c r="C11717" s="9" t="s">
        <v>793</v>
      </c>
      <c r="D11717" s="9" t="s">
        <v>99</v>
      </c>
      <c r="E11717" s="6" t="s">
        <v>10673</v>
      </c>
      <c r="F11717" s="9" t="s">
        <v>17869</v>
      </c>
    </row>
    <row r="11718" ht="33.75" customHeight="1">
      <c r="A11718" s="7">
        <v>520.0</v>
      </c>
      <c r="B11718" s="9" t="s">
        <v>16900</v>
      </c>
      <c r="C11718" s="9" t="s">
        <v>793</v>
      </c>
      <c r="D11718" s="9" t="s">
        <v>101</v>
      </c>
      <c r="E11718" s="6" t="s">
        <v>10672</v>
      </c>
      <c r="F11718" s="9" t="s">
        <v>17869</v>
      </c>
    </row>
    <row r="11719" ht="33.75" customHeight="1">
      <c r="A11719" s="7">
        <v>520.0</v>
      </c>
      <c r="B11719" s="9" t="s">
        <v>16900</v>
      </c>
      <c r="C11719" s="9" t="s">
        <v>793</v>
      </c>
      <c r="D11719" s="9" t="s">
        <v>105</v>
      </c>
      <c r="E11719" s="6" t="s">
        <v>10673</v>
      </c>
      <c r="F11719" s="9" t="s">
        <v>17869</v>
      </c>
    </row>
    <row r="11720" ht="33.75" customHeight="1">
      <c r="A11720" s="7">
        <v>520.0</v>
      </c>
      <c r="B11720" s="9" t="s">
        <v>16900</v>
      </c>
      <c r="C11720" s="9" t="s">
        <v>793</v>
      </c>
      <c r="D11720" s="9" t="s">
        <v>107</v>
      </c>
      <c r="E11720" s="6" t="s">
        <v>10672</v>
      </c>
      <c r="F11720" s="9" t="s">
        <v>17869</v>
      </c>
    </row>
    <row r="11721" ht="33.75" customHeight="1">
      <c r="A11721" s="7">
        <v>520.0</v>
      </c>
      <c r="B11721" s="9" t="s">
        <v>16900</v>
      </c>
      <c r="C11721" s="9" t="s">
        <v>793</v>
      </c>
      <c r="D11721" s="9" t="s">
        <v>109</v>
      </c>
      <c r="E11721" s="6" t="s">
        <v>10673</v>
      </c>
      <c r="F11721" s="9" t="s">
        <v>17869</v>
      </c>
    </row>
    <row r="11722" ht="33.75" customHeight="1">
      <c r="A11722" s="7">
        <v>520.0</v>
      </c>
      <c r="B11722" s="9" t="s">
        <v>16900</v>
      </c>
      <c r="C11722" s="9" t="s">
        <v>793</v>
      </c>
      <c r="D11722" s="9" t="s">
        <v>114</v>
      </c>
      <c r="E11722" s="6" t="s">
        <v>10674</v>
      </c>
      <c r="F11722" s="9" t="s">
        <v>17869</v>
      </c>
    </row>
    <row r="11723" ht="33.75" customHeight="1">
      <c r="A11723" s="7">
        <v>520.0</v>
      </c>
      <c r="B11723" s="9" t="s">
        <v>16900</v>
      </c>
      <c r="C11723" s="9" t="s">
        <v>793</v>
      </c>
      <c r="D11723" s="9" t="s">
        <v>117</v>
      </c>
      <c r="E11723" s="6" t="s">
        <v>10675</v>
      </c>
      <c r="F11723" s="9" t="s">
        <v>17869</v>
      </c>
    </row>
    <row r="11724" ht="33.75" customHeight="1">
      <c r="A11724" s="7">
        <v>521.0</v>
      </c>
      <c r="B11724" s="9" t="s">
        <v>16907</v>
      </c>
      <c r="C11724" s="9" t="s">
        <v>794</v>
      </c>
      <c r="D11724" s="9" t="s">
        <v>93</v>
      </c>
      <c r="E11724" s="6" t="s">
        <v>10677</v>
      </c>
      <c r="F11724" s="9" t="s">
        <v>17885</v>
      </c>
      <c r="G11724" t="inlineStr" s="6">
        <is>
          <t xml:space="preserve">Males swing their head plumage to threaten opponents. The females’ flying abilities surpass those of the males. Males have plumage on their heads. They will never let themselves feel close to anyone other than their Trainers. Males swing the plumage on their heads to threaten others, but females are better at flying. Unfezant are exceptional fliers. The females are known for their stamina, while the males outclass them in terms of speed. This Pokémon is intelligent and intensely proud. People will sit up and take notice if you become the Trainer of one.</t>
        </is>
      </c>
    </row>
    <row r="11725" ht="33.75" customHeight="1">
      <c r="A11725" s="7">
        <v>521.0</v>
      </c>
      <c r="B11725" s="9" t="s">
        <v>16907</v>
      </c>
      <c r="C11725" s="9" t="s">
        <v>794</v>
      </c>
      <c r="D11725" s="9" t="s">
        <v>95</v>
      </c>
      <c r="E11725" s="6" t="s">
        <v>10679</v>
      </c>
      <c r="F11725" s="9" t="s">
        <v>17885</v>
      </c>
    </row>
    <row r="11726" ht="33.75" customHeight="1">
      <c r="A11726" s="7">
        <v>521.0</v>
      </c>
      <c r="B11726" s="9" t="s">
        <v>16907</v>
      </c>
      <c r="C11726" s="9" t="s">
        <v>794</v>
      </c>
      <c r="D11726" s="9" t="s">
        <v>98</v>
      </c>
      <c r="E11726" s="6" t="s">
        <v>10681</v>
      </c>
      <c r="F11726" s="9" t="s">
        <v>17885</v>
      </c>
    </row>
    <row r="11727" ht="33.75" customHeight="1">
      <c r="A11727" s="7">
        <v>521.0</v>
      </c>
      <c r="B11727" s="9" t="s">
        <v>16907</v>
      </c>
      <c r="C11727" s="9" t="s">
        <v>794</v>
      </c>
      <c r="D11727" s="9" t="s">
        <v>99</v>
      </c>
      <c r="E11727" s="6" t="s">
        <v>10681</v>
      </c>
      <c r="F11727" s="9" t="s">
        <v>17885</v>
      </c>
    </row>
    <row r="11728" ht="33.75" customHeight="1">
      <c r="A11728" s="7">
        <v>521.0</v>
      </c>
      <c r="B11728" s="9" t="s">
        <v>16907</v>
      </c>
      <c r="C11728" s="9" t="s">
        <v>794</v>
      </c>
      <c r="D11728" s="9" t="s">
        <v>101</v>
      </c>
      <c r="E11728" s="6" t="s">
        <v>10677</v>
      </c>
      <c r="F11728" s="9" t="s">
        <v>17885</v>
      </c>
    </row>
    <row r="11729" ht="33.75" customHeight="1">
      <c r="A11729" s="7">
        <v>521.0</v>
      </c>
      <c r="B11729" s="9" t="s">
        <v>16907</v>
      </c>
      <c r="C11729" s="9" t="s">
        <v>794</v>
      </c>
      <c r="D11729" s="9" t="s">
        <v>105</v>
      </c>
      <c r="E11729" s="6" t="s">
        <v>10679</v>
      </c>
      <c r="F11729" s="9" t="s">
        <v>17885</v>
      </c>
    </row>
    <row r="11730" ht="33.75" customHeight="1">
      <c r="A11730" s="7">
        <v>521.0</v>
      </c>
      <c r="B11730" s="9" t="s">
        <v>16907</v>
      </c>
      <c r="C11730" s="9" t="s">
        <v>794</v>
      </c>
      <c r="D11730" s="9" t="s">
        <v>107</v>
      </c>
      <c r="E11730" s="6" t="s">
        <v>10677</v>
      </c>
      <c r="F11730" s="9" t="s">
        <v>17885</v>
      </c>
    </row>
    <row r="11731" ht="33.75" customHeight="1">
      <c r="A11731" s="7">
        <v>521.0</v>
      </c>
      <c r="B11731" s="9" t="s">
        <v>16907</v>
      </c>
      <c r="C11731" s="9" t="s">
        <v>794</v>
      </c>
      <c r="D11731" s="9" t="s">
        <v>109</v>
      </c>
      <c r="E11731" s="6" t="s">
        <v>10679</v>
      </c>
      <c r="F11731" s="9" t="s">
        <v>17885</v>
      </c>
    </row>
    <row r="11732" ht="33.75" customHeight="1">
      <c r="A11732" s="7">
        <v>521.0</v>
      </c>
      <c r="B11732" s="9" t="s">
        <v>16907</v>
      </c>
      <c r="C11732" s="9" t="s">
        <v>794</v>
      </c>
      <c r="D11732" s="9" t="s">
        <v>114</v>
      </c>
      <c r="E11732" s="6" t="s">
        <v>10683</v>
      </c>
      <c r="F11732" s="9" t="s">
        <v>17885</v>
      </c>
    </row>
    <row r="11733" ht="33.75" customHeight="1">
      <c r="A11733" s="7">
        <v>521.0</v>
      </c>
      <c r="B11733" s="9" t="s">
        <v>16907</v>
      </c>
      <c r="C11733" s="9" t="s">
        <v>794</v>
      </c>
      <c r="D11733" s="9" t="s">
        <v>117</v>
      </c>
      <c r="E11733" s="6" t="s">
        <v>10684</v>
      </c>
      <c r="F11733" s="9" t="s">
        <v>17885</v>
      </c>
    </row>
    <row r="11734" ht="33.75" customHeight="1">
      <c r="A11734" s="7">
        <v>522.0</v>
      </c>
      <c r="B11734" s="9" t="s">
        <v>16915</v>
      </c>
      <c r="C11734" s="9" t="s">
        <v>796</v>
      </c>
      <c r="D11734" s="9" t="s">
        <v>93</v>
      </c>
      <c r="E11734" s="6" t="s">
        <v>10685</v>
      </c>
      <c r="F11734" s="9" t="s">
        <v>17897</v>
      </c>
      <c r="G11734" t="inlineStr" s="6">
        <is>
          <t xml:space="preserve">Blitzle's mane shines when it discharges electricity. They use their flashing manes to communicate with one another. When thunderclouds cover the sky, it will appear. It can catch lightning with its mane and store the electricity. They use the frequency and rhythm of these flashes to communicate.</t>
        </is>
      </c>
    </row>
    <row r="11735" ht="33.75" customHeight="1">
      <c r="A11735" s="7">
        <v>522.0</v>
      </c>
      <c r="B11735" s="9" t="s">
        <v>16915</v>
      </c>
      <c r="C11735" s="9" t="s">
        <v>796</v>
      </c>
      <c r="D11735" s="9" t="s">
        <v>95</v>
      </c>
      <c r="E11735" s="6" t="s">
        <v>10686</v>
      </c>
      <c r="F11735" s="9" t="s">
        <v>17897</v>
      </c>
    </row>
    <row r="11736" ht="33.75" customHeight="1">
      <c r="A11736" s="7">
        <v>522.0</v>
      </c>
      <c r="B11736" s="9" t="s">
        <v>16915</v>
      </c>
      <c r="C11736" s="9" t="s">
        <v>796</v>
      </c>
      <c r="D11736" s="9" t="s">
        <v>98</v>
      </c>
      <c r="E11736" s="6" t="s">
        <v>10690</v>
      </c>
      <c r="F11736" s="9" t="s">
        <v>17897</v>
      </c>
    </row>
    <row r="11737" ht="33.75" customHeight="1">
      <c r="A11737" s="7">
        <v>522.0</v>
      </c>
      <c r="B11737" s="9" t="s">
        <v>16915</v>
      </c>
      <c r="C11737" s="9" t="s">
        <v>796</v>
      </c>
      <c r="D11737" s="9" t="s">
        <v>99</v>
      </c>
      <c r="E11737" s="6" t="s">
        <v>10690</v>
      </c>
      <c r="F11737" s="9" t="s">
        <v>17897</v>
      </c>
    </row>
    <row r="11738" ht="33.75" customHeight="1">
      <c r="A11738" s="7">
        <v>522.0</v>
      </c>
      <c r="B11738" s="9" t="s">
        <v>16915</v>
      </c>
      <c r="C11738" s="9" t="s">
        <v>796</v>
      </c>
      <c r="D11738" s="9" t="s">
        <v>101</v>
      </c>
      <c r="E11738" s="6" t="s">
        <v>10686</v>
      </c>
      <c r="F11738" s="9" t="s">
        <v>17897</v>
      </c>
    </row>
    <row r="11739" ht="33.75" customHeight="1">
      <c r="A11739" s="7">
        <v>522.0</v>
      </c>
      <c r="B11739" s="9" t="s">
        <v>16915</v>
      </c>
      <c r="C11739" s="9" t="s">
        <v>796</v>
      </c>
      <c r="D11739" s="9" t="s">
        <v>105</v>
      </c>
      <c r="E11739" s="6" t="s">
        <v>10690</v>
      </c>
      <c r="F11739" s="9" t="s">
        <v>17897</v>
      </c>
    </row>
    <row r="11740" ht="33.75" customHeight="1">
      <c r="A11740" s="7">
        <v>522.0</v>
      </c>
      <c r="B11740" s="9" t="s">
        <v>16915</v>
      </c>
      <c r="C11740" s="9" t="s">
        <v>796</v>
      </c>
      <c r="D11740" s="9" t="s">
        <v>107</v>
      </c>
      <c r="E11740" s="6" t="s">
        <v>10686</v>
      </c>
      <c r="F11740" s="9" t="s">
        <v>17897</v>
      </c>
    </row>
    <row r="11741" ht="33.75" customHeight="1">
      <c r="A11741" s="7">
        <v>522.0</v>
      </c>
      <c r="B11741" s="9" t="s">
        <v>16915</v>
      </c>
      <c r="C11741" s="9" t="s">
        <v>796</v>
      </c>
      <c r="D11741" s="9" t="s">
        <v>109</v>
      </c>
      <c r="E11741" s="6" t="s">
        <v>10690</v>
      </c>
      <c r="F11741" s="9" t="s">
        <v>17897</v>
      </c>
    </row>
    <row r="11742" ht="33.75" customHeight="1">
      <c r="A11742" s="7">
        <v>523.0</v>
      </c>
      <c r="B11742" s="9" t="s">
        <v>16920</v>
      </c>
      <c r="C11742" s="9" t="s">
        <v>705</v>
      </c>
      <c r="D11742" s="9" t="s">
        <v>93</v>
      </c>
      <c r="E11742" s="6" t="s">
        <v>10691</v>
      </c>
      <c r="F11742" s="9" t="s">
        <v>17905</v>
      </c>
      <c r="G11742" t="inlineStr" s="6">
        <is>
          <t xml:space="preserve">They have lightning-like movements. When Zebstrika run at full speed, the sound of thunder reverberates. This ill-tempered Pokémon is dangerous because when it’s angry, it shoots lightning from its mane in all directions. When this ill-tempered Pokémon runs wild, it shoots lightning from its mane in all directions.</t>
        </is>
      </c>
    </row>
    <row r="11743" ht="33.75" customHeight="1">
      <c r="A11743" s="7">
        <v>523.0</v>
      </c>
      <c r="B11743" s="9" t="s">
        <v>16920</v>
      </c>
      <c r="C11743" s="9" t="s">
        <v>705</v>
      </c>
      <c r="D11743" s="9" t="s">
        <v>95</v>
      </c>
      <c r="E11743" s="6" t="s">
        <v>10693</v>
      </c>
      <c r="F11743" s="9" t="s">
        <v>17905</v>
      </c>
    </row>
    <row r="11744" ht="33.75" customHeight="1">
      <c r="A11744" s="7">
        <v>523.0</v>
      </c>
      <c r="B11744" s="9" t="s">
        <v>16920</v>
      </c>
      <c r="C11744" s="9" t="s">
        <v>705</v>
      </c>
      <c r="D11744" s="9" t="s">
        <v>98</v>
      </c>
      <c r="E11744" s="6" t="s">
        <v>10695</v>
      </c>
      <c r="F11744" s="9" t="s">
        <v>17905</v>
      </c>
    </row>
    <row r="11745" ht="33.75" customHeight="1">
      <c r="A11745" s="7">
        <v>523.0</v>
      </c>
      <c r="B11745" s="9" t="s">
        <v>16920</v>
      </c>
      <c r="C11745" s="9" t="s">
        <v>705</v>
      </c>
      <c r="D11745" s="9" t="s">
        <v>99</v>
      </c>
      <c r="E11745" s="6" t="s">
        <v>10695</v>
      </c>
      <c r="F11745" s="9" t="s">
        <v>17905</v>
      </c>
    </row>
    <row r="11746" ht="33.75" customHeight="1">
      <c r="A11746" s="7">
        <v>523.0</v>
      </c>
      <c r="B11746" s="9" t="s">
        <v>16920</v>
      </c>
      <c r="C11746" s="9" t="s">
        <v>705</v>
      </c>
      <c r="D11746" s="9" t="s">
        <v>101</v>
      </c>
      <c r="E11746" s="6" t="s">
        <v>10695</v>
      </c>
      <c r="F11746" s="9" t="s">
        <v>17905</v>
      </c>
    </row>
    <row r="11747" ht="33.75" customHeight="1">
      <c r="A11747" s="7">
        <v>523.0</v>
      </c>
      <c r="B11747" s="9" t="s">
        <v>16920</v>
      </c>
      <c r="C11747" s="9" t="s">
        <v>705</v>
      </c>
      <c r="D11747" s="9" t="s">
        <v>105</v>
      </c>
      <c r="E11747" s="6" t="s">
        <v>10691</v>
      </c>
      <c r="F11747" s="9" t="s">
        <v>17905</v>
      </c>
    </row>
    <row r="11748" ht="33.75" customHeight="1">
      <c r="A11748" s="7">
        <v>523.0</v>
      </c>
      <c r="B11748" s="9" t="s">
        <v>16920</v>
      </c>
      <c r="C11748" s="9" t="s">
        <v>705</v>
      </c>
      <c r="D11748" s="9" t="s">
        <v>107</v>
      </c>
      <c r="E11748" s="6" t="s">
        <v>10695</v>
      </c>
      <c r="F11748" s="9" t="s">
        <v>17905</v>
      </c>
    </row>
    <row r="11749" ht="33.75" customHeight="1">
      <c r="A11749" s="7">
        <v>523.0</v>
      </c>
      <c r="B11749" s="9" t="s">
        <v>16920</v>
      </c>
      <c r="C11749" s="9" t="s">
        <v>705</v>
      </c>
      <c r="D11749" s="9" t="s">
        <v>109</v>
      </c>
      <c r="E11749" s="6" t="s">
        <v>10691</v>
      </c>
      <c r="F11749" s="9" t="s">
        <v>17905</v>
      </c>
    </row>
    <row r="11750" ht="33.75" customHeight="1">
      <c r="A11750" s="7">
        <v>524.0</v>
      </c>
      <c r="B11750" s="9" t="s">
        <v>16924</v>
      </c>
      <c r="C11750" s="9" t="s">
        <v>799</v>
      </c>
      <c r="D11750" s="9" t="s">
        <v>93</v>
      </c>
      <c r="E11750" s="6" t="s">
        <v>10697</v>
      </c>
      <c r="F11750" s="9" t="s">
        <v>17920</v>
      </c>
      <c r="G11750" t="inlineStr" s="6">
        <is>
          <t xml:space="preserve">Roggenrola's ear is hexagonal in shape. Compressed underground, its body is as hard as steel. They were discovered a hundred years ago in an earthquake fissure. Inside each one is an energy core. The hexagonal-shaped hole is its ear. It has a tendency to walk in the direction the sound is coming from. Born deep within the ground, it compares itself with similar species, such as Geodude and Carbink, to settle which has the hardest body. The hexagonal cavity is its ear. It walks in the direction of sounds it hears, but if the sounds cease, it panics and topples over. The hexagonal hole is its ear. Deep in that ear is an energy core, so if you stick your hand in there, Roggenrola will be very angry! It was found in a fissure in a layer of exposed rock. The material that makes up its body is dirt from several hundred years ago. It’s as hard as steel, but apparently a long soak in water will cause it to soften a bit. When it detects a noise, it starts to move. The energy core inside it makes this Pokémon slightly warm to the touch.</t>
        </is>
      </c>
    </row>
    <row r="11751" ht="33.75" customHeight="1">
      <c r="A11751" s="7">
        <v>524.0</v>
      </c>
      <c r="B11751" s="9" t="s">
        <v>16924</v>
      </c>
      <c r="C11751" s="9" t="s">
        <v>799</v>
      </c>
      <c r="D11751" s="9" t="s">
        <v>95</v>
      </c>
      <c r="E11751" s="6" t="s">
        <v>10698</v>
      </c>
      <c r="F11751" s="9" t="s">
        <v>17920</v>
      </c>
    </row>
    <row r="11752" ht="33.75" customHeight="1">
      <c r="A11752" s="7">
        <v>524.0</v>
      </c>
      <c r="B11752" s="9" t="s">
        <v>16924</v>
      </c>
      <c r="C11752" s="9" t="s">
        <v>799</v>
      </c>
      <c r="D11752" s="9" t="s">
        <v>98</v>
      </c>
      <c r="E11752" s="6" t="s">
        <v>10699</v>
      </c>
      <c r="F11752" s="9" t="s">
        <v>17920</v>
      </c>
    </row>
    <row r="11753" ht="33.75" customHeight="1">
      <c r="A11753" s="7">
        <v>524.0</v>
      </c>
      <c r="B11753" s="9" t="s">
        <v>16924</v>
      </c>
      <c r="C11753" s="9" t="s">
        <v>799</v>
      </c>
      <c r="D11753" s="9" t="s">
        <v>99</v>
      </c>
      <c r="E11753" s="6" t="s">
        <v>10699</v>
      </c>
      <c r="F11753" s="9" t="s">
        <v>17920</v>
      </c>
    </row>
    <row r="11754" ht="33.75" customHeight="1">
      <c r="A11754" s="7">
        <v>524.0</v>
      </c>
      <c r="B11754" s="9" t="s">
        <v>16924</v>
      </c>
      <c r="C11754" s="9" t="s">
        <v>799</v>
      </c>
      <c r="D11754" s="9" t="s">
        <v>101</v>
      </c>
      <c r="E11754" s="6" t="s">
        <v>10697</v>
      </c>
      <c r="F11754" s="9" t="s">
        <v>17920</v>
      </c>
    </row>
    <row r="11755" ht="33.75" customHeight="1">
      <c r="A11755" s="7">
        <v>524.0</v>
      </c>
      <c r="B11755" s="9" t="s">
        <v>16924</v>
      </c>
      <c r="C11755" s="9" t="s">
        <v>799</v>
      </c>
      <c r="D11755" s="9" t="s">
        <v>105</v>
      </c>
      <c r="E11755" s="6" t="s">
        <v>10698</v>
      </c>
      <c r="F11755" s="9" t="s">
        <v>17920</v>
      </c>
    </row>
    <row r="11756" ht="33.75" customHeight="1">
      <c r="A11756" s="7">
        <v>524.0</v>
      </c>
      <c r="B11756" s="9" t="s">
        <v>16924</v>
      </c>
      <c r="C11756" s="9" t="s">
        <v>799</v>
      </c>
      <c r="D11756" s="9" t="s">
        <v>107</v>
      </c>
      <c r="E11756" s="6" t="s">
        <v>10697</v>
      </c>
      <c r="F11756" s="9" t="s">
        <v>17920</v>
      </c>
    </row>
    <row r="11757" ht="33.75" customHeight="1">
      <c r="A11757" s="7">
        <v>524.0</v>
      </c>
      <c r="B11757" s="9" t="s">
        <v>16924</v>
      </c>
      <c r="C11757" s="9" t="s">
        <v>799</v>
      </c>
      <c r="D11757" s="9" t="s">
        <v>109</v>
      </c>
      <c r="E11757" s="6" t="s">
        <v>10698</v>
      </c>
      <c r="F11757" s="9" t="s">
        <v>17920</v>
      </c>
    </row>
    <row r="11758" ht="33.75" customHeight="1">
      <c r="A11758" s="7">
        <v>524.0</v>
      </c>
      <c r="B11758" s="9" t="s">
        <v>16924</v>
      </c>
      <c r="C11758" s="9" t="s">
        <v>799</v>
      </c>
      <c r="D11758" s="9" t="s">
        <v>637</v>
      </c>
      <c r="E11758" s="6" t="s">
        <v>10700</v>
      </c>
      <c r="F11758" s="9" t="s">
        <v>17920</v>
      </c>
    </row>
    <row r="11759" ht="33.75" customHeight="1">
      <c r="A11759" s="7">
        <v>524.0</v>
      </c>
      <c r="B11759" s="9" t="s">
        <v>16924</v>
      </c>
      <c r="C11759" s="9" t="s">
        <v>799</v>
      </c>
      <c r="D11759" s="9" t="s">
        <v>642</v>
      </c>
      <c r="E11759" s="6" t="s">
        <v>10701</v>
      </c>
      <c r="F11759" s="9" t="s">
        <v>17920</v>
      </c>
    </row>
    <row r="11760" ht="33.75" customHeight="1">
      <c r="A11760" s="7">
        <v>524.0</v>
      </c>
      <c r="B11760" s="9" t="s">
        <v>16924</v>
      </c>
      <c r="C11760" s="9" t="s">
        <v>799</v>
      </c>
      <c r="D11760" s="9" t="s">
        <v>647</v>
      </c>
      <c r="E11760" s="6" t="s">
        <v>10702</v>
      </c>
      <c r="F11760" s="9" t="s">
        <v>17920</v>
      </c>
    </row>
    <row r="11761" ht="33.75" customHeight="1">
      <c r="A11761" s="7">
        <v>524.0</v>
      </c>
      <c r="B11761" s="9" t="s">
        <v>16924</v>
      </c>
      <c r="C11761" s="9" t="s">
        <v>799</v>
      </c>
      <c r="D11761" s="9" t="s">
        <v>652</v>
      </c>
      <c r="E11761" s="6" t="s">
        <v>10703</v>
      </c>
      <c r="F11761" s="9" t="s">
        <v>17920</v>
      </c>
    </row>
    <row r="11762" ht="33.75" customHeight="1">
      <c r="A11762" s="7">
        <v>524.0</v>
      </c>
      <c r="B11762" s="9" t="s">
        <v>16924</v>
      </c>
      <c r="C11762" s="9" t="s">
        <v>799</v>
      </c>
      <c r="D11762" s="9" t="s">
        <v>114</v>
      </c>
      <c r="E11762" s="6" t="s">
        <v>10704</v>
      </c>
      <c r="F11762" s="9" t="s">
        <v>17920</v>
      </c>
    </row>
    <row r="11763" ht="33.75" customHeight="1">
      <c r="A11763" s="7">
        <v>524.0</v>
      </c>
      <c r="B11763" s="9" t="s">
        <v>16924</v>
      </c>
      <c r="C11763" s="9" t="s">
        <v>799</v>
      </c>
      <c r="D11763" s="9" t="s">
        <v>117</v>
      </c>
      <c r="E11763" s="6" t="s">
        <v>10706</v>
      </c>
      <c r="F11763" s="9" t="s">
        <v>17920</v>
      </c>
    </row>
    <row r="11764" ht="33.75" customHeight="1">
      <c r="A11764" s="7">
        <v>525.0</v>
      </c>
      <c r="B11764" s="9" t="s">
        <v>16936</v>
      </c>
      <c r="C11764" s="9" t="s">
        <v>802</v>
      </c>
      <c r="D11764" s="9" t="s">
        <v>93</v>
      </c>
      <c r="E11764" s="6" t="s">
        <v>10707</v>
      </c>
      <c r="F11764" s="9" t="s">
        <v>17939</v>
      </c>
      <c r="G11764" t="inlineStr" s="6">
        <is>
          <t xml:space="preserve">When it overflows with power, the orange crystal on Boldore's body glows. It looks for underground water in caves. Because its energy was too great to be contained, the energy leaked and formed orange crystals. When it is healthy, its core sticks out. Always facing the same way, it swiftly moves front to back and left to right. Its orange crystal is a mass of energy. Just one crystal fragment would provide enough fuel for a hundred dump trucks. It explores caves in search of underground water. It’s not comfortable around water, so this Pokémon takes great care in lapping it up. The energy overflowing from its body has turned into orange crystals that are hard enough to smash diamonds. Its orange crystals are lumps of powerful energy. They’re valuable, so Boldore is sometimes targeted for them. If you see its orange crystals start to glow, be wary. It’s about to fire off bursts of energy. It relies on sound in order to monitor what’s in its vicinity. When angered, it will attack without ever changing the direction it’s facing.</t>
        </is>
      </c>
    </row>
    <row r="11765" ht="33.75" customHeight="1">
      <c r="A11765" s="7">
        <v>525.0</v>
      </c>
      <c r="B11765" s="9" t="s">
        <v>16936</v>
      </c>
      <c r="C11765" s="9" t="s">
        <v>802</v>
      </c>
      <c r="D11765" s="9" t="s">
        <v>95</v>
      </c>
      <c r="E11765" s="6" t="s">
        <v>10709</v>
      </c>
      <c r="F11765" s="9" t="s">
        <v>17939</v>
      </c>
    </row>
    <row r="11766" ht="33.75" customHeight="1">
      <c r="A11766" s="7">
        <v>525.0</v>
      </c>
      <c r="B11766" s="9" t="s">
        <v>16936</v>
      </c>
      <c r="C11766" s="9" t="s">
        <v>802</v>
      </c>
      <c r="D11766" s="9" t="s">
        <v>98</v>
      </c>
      <c r="E11766" s="6" t="s">
        <v>10710</v>
      </c>
      <c r="F11766" s="9" t="s">
        <v>17939</v>
      </c>
    </row>
    <row r="11767" ht="33.75" customHeight="1">
      <c r="A11767" s="7">
        <v>525.0</v>
      </c>
      <c r="B11767" s="9" t="s">
        <v>16936</v>
      </c>
      <c r="C11767" s="9" t="s">
        <v>802</v>
      </c>
      <c r="D11767" s="9" t="s">
        <v>99</v>
      </c>
      <c r="E11767" s="6" t="s">
        <v>10710</v>
      </c>
      <c r="F11767" s="9" t="s">
        <v>17939</v>
      </c>
    </row>
    <row r="11768" ht="33.75" customHeight="1">
      <c r="A11768" s="7">
        <v>525.0</v>
      </c>
      <c r="B11768" s="9" t="s">
        <v>16936</v>
      </c>
      <c r="C11768" s="9" t="s">
        <v>802</v>
      </c>
      <c r="D11768" s="9" t="s">
        <v>101</v>
      </c>
      <c r="E11768" s="6" t="s">
        <v>10709</v>
      </c>
      <c r="F11768" s="9" t="s">
        <v>17939</v>
      </c>
    </row>
    <row r="11769" ht="33.75" customHeight="1">
      <c r="A11769" s="7">
        <v>525.0</v>
      </c>
      <c r="B11769" s="9" t="s">
        <v>16936</v>
      </c>
      <c r="C11769" s="9" t="s">
        <v>802</v>
      </c>
      <c r="D11769" s="9" t="s">
        <v>105</v>
      </c>
      <c r="E11769" s="6" t="s">
        <v>10710</v>
      </c>
      <c r="F11769" s="9" t="s">
        <v>17939</v>
      </c>
    </row>
    <row r="11770" ht="33.75" customHeight="1">
      <c r="A11770" s="7">
        <v>525.0</v>
      </c>
      <c r="B11770" s="9" t="s">
        <v>16936</v>
      </c>
      <c r="C11770" s="9" t="s">
        <v>802</v>
      </c>
      <c r="D11770" s="9" t="s">
        <v>107</v>
      </c>
      <c r="E11770" s="6" t="s">
        <v>10709</v>
      </c>
      <c r="F11770" s="9" t="s">
        <v>17939</v>
      </c>
    </row>
    <row r="11771" ht="33.75" customHeight="1">
      <c r="A11771" s="7">
        <v>525.0</v>
      </c>
      <c r="B11771" s="9" t="s">
        <v>16936</v>
      </c>
      <c r="C11771" s="9" t="s">
        <v>802</v>
      </c>
      <c r="D11771" s="9" t="s">
        <v>109</v>
      </c>
      <c r="E11771" s="6" t="s">
        <v>10710</v>
      </c>
      <c r="F11771" s="9" t="s">
        <v>17939</v>
      </c>
    </row>
    <row r="11772" ht="33.75" customHeight="1">
      <c r="A11772" s="7">
        <v>525.0</v>
      </c>
      <c r="B11772" s="9" t="s">
        <v>16936</v>
      </c>
      <c r="C11772" s="9" t="s">
        <v>802</v>
      </c>
      <c r="D11772" s="9" t="s">
        <v>637</v>
      </c>
      <c r="E11772" s="6" t="s">
        <v>10712</v>
      </c>
      <c r="F11772" s="9" t="s">
        <v>17939</v>
      </c>
    </row>
    <row r="11773" ht="33.75" customHeight="1">
      <c r="A11773" s="7">
        <v>525.0</v>
      </c>
      <c r="B11773" s="9" t="s">
        <v>16936</v>
      </c>
      <c r="C11773" s="9" t="s">
        <v>802</v>
      </c>
      <c r="D11773" s="9" t="s">
        <v>642</v>
      </c>
      <c r="E11773" s="6" t="s">
        <v>10713</v>
      </c>
      <c r="F11773" s="9" t="s">
        <v>17939</v>
      </c>
    </row>
    <row r="11774" ht="33.75" customHeight="1">
      <c r="A11774" s="7">
        <v>525.0</v>
      </c>
      <c r="B11774" s="9" t="s">
        <v>16936</v>
      </c>
      <c r="C11774" s="9" t="s">
        <v>802</v>
      </c>
      <c r="D11774" s="9" t="s">
        <v>647</v>
      </c>
      <c r="E11774" s="6" t="s">
        <v>10714</v>
      </c>
      <c r="F11774" s="9" t="s">
        <v>17939</v>
      </c>
    </row>
    <row r="11775" ht="33.75" customHeight="1">
      <c r="A11775" s="7">
        <v>525.0</v>
      </c>
      <c r="B11775" s="9" t="s">
        <v>16936</v>
      </c>
      <c r="C11775" s="9" t="s">
        <v>802</v>
      </c>
      <c r="D11775" s="9" t="s">
        <v>652</v>
      </c>
      <c r="E11775" s="6" t="s">
        <v>10715</v>
      </c>
      <c r="F11775" s="9" t="s">
        <v>17939</v>
      </c>
    </row>
    <row r="11776" ht="33.75" customHeight="1">
      <c r="A11776" s="7">
        <v>525.0</v>
      </c>
      <c r="B11776" s="9" t="s">
        <v>16936</v>
      </c>
      <c r="C11776" s="9" t="s">
        <v>802</v>
      </c>
      <c r="D11776" s="9" t="s">
        <v>114</v>
      </c>
      <c r="E11776" s="6" t="s">
        <v>10716</v>
      </c>
      <c r="F11776" s="9" t="s">
        <v>17939</v>
      </c>
    </row>
    <row r="11777" ht="33.75" customHeight="1">
      <c r="A11777" s="7">
        <v>525.0</v>
      </c>
      <c r="B11777" s="9" t="s">
        <v>16936</v>
      </c>
      <c r="C11777" s="9" t="s">
        <v>802</v>
      </c>
      <c r="D11777" s="9" t="s">
        <v>117</v>
      </c>
      <c r="E11777" s="6" t="s">
        <v>10717</v>
      </c>
      <c r="F11777" s="9" t="s">
        <v>17939</v>
      </c>
    </row>
    <row r="11778" ht="33.75" customHeight="1">
      <c r="A11778" s="7">
        <v>526.0</v>
      </c>
      <c r="B11778" s="9" t="s">
        <v>16947</v>
      </c>
      <c r="C11778" s="9" t="s">
        <v>804</v>
      </c>
      <c r="D11778" s="9" t="s">
        <v>93</v>
      </c>
      <c r="E11778" s="6" t="s">
        <v>10718</v>
      </c>
      <c r="F11778" s="9" t="s">
        <v>17949</v>
      </c>
      <c r="G11778" t="inlineStr" s="6">
        <is>
          <t xml:space="preserve">Compressing the energy from Gigalith's internal core lets it fire off an attack capable of blowing away a mountain. The solar energy absorbed by its body’s orange crystals is magnified internally and fired from its mouth. The solar rays it absorbs are processed in its energy core and fired as a ball of light. The blasts of energy it makes from sunbeams have terrifying power. However, it’s not able to fire its blasts at night or on rainy days. Known for its hefty horsepower, this Pokémon is a popular partner for construction workers. When it fires off energy with all its might, the power creates countless fissures on its body. It absorbs rays of sunlight and shoots out energy. It’s usually lurking deep beneath the surface. This hardy Pokémon can often be found on construction sites and in mines, working alongside people and Copperajah. Although its energy blasts can blow away a dump truck, they have a limitation— they can only be fired when the sun is out.</t>
        </is>
      </c>
    </row>
    <row r="11779" ht="33.75" customHeight="1">
      <c r="A11779" s="7">
        <v>526.0</v>
      </c>
      <c r="B11779" s="9" t="s">
        <v>16947</v>
      </c>
      <c r="C11779" s="9" t="s">
        <v>804</v>
      </c>
      <c r="D11779" s="9" t="s">
        <v>95</v>
      </c>
      <c r="E11779" s="6" t="s">
        <v>10719</v>
      </c>
      <c r="F11779" s="9" t="s">
        <v>17949</v>
      </c>
    </row>
    <row r="11780" ht="33.75" customHeight="1">
      <c r="A11780" s="7">
        <v>526.0</v>
      </c>
      <c r="B11780" s="9" t="s">
        <v>16947</v>
      </c>
      <c r="C11780" s="9" t="s">
        <v>804</v>
      </c>
      <c r="D11780" s="9" t="s">
        <v>98</v>
      </c>
      <c r="E11780" s="6" t="s">
        <v>10721</v>
      </c>
      <c r="F11780" s="9" t="s">
        <v>17949</v>
      </c>
    </row>
    <row r="11781" ht="33.75" customHeight="1">
      <c r="A11781" s="7">
        <v>526.0</v>
      </c>
      <c r="B11781" s="9" t="s">
        <v>16947</v>
      </c>
      <c r="C11781" s="9" t="s">
        <v>804</v>
      </c>
      <c r="D11781" s="9" t="s">
        <v>99</v>
      </c>
      <c r="E11781" s="6" t="s">
        <v>10721</v>
      </c>
      <c r="F11781" s="9" t="s">
        <v>17949</v>
      </c>
    </row>
    <row r="11782" ht="33.75" customHeight="1">
      <c r="A11782" s="7">
        <v>526.0</v>
      </c>
      <c r="B11782" s="9" t="s">
        <v>16947</v>
      </c>
      <c r="C11782" s="9" t="s">
        <v>804</v>
      </c>
      <c r="D11782" s="9" t="s">
        <v>101</v>
      </c>
      <c r="E11782" s="6" t="s">
        <v>10721</v>
      </c>
      <c r="F11782" s="9" t="s">
        <v>17949</v>
      </c>
    </row>
    <row r="11783" ht="33.75" customHeight="1">
      <c r="A11783" s="7">
        <v>526.0</v>
      </c>
      <c r="B11783" s="9" t="s">
        <v>16947</v>
      </c>
      <c r="C11783" s="9" t="s">
        <v>804</v>
      </c>
      <c r="D11783" s="9" t="s">
        <v>105</v>
      </c>
      <c r="E11783" s="6" t="s">
        <v>10718</v>
      </c>
      <c r="F11783" s="9" t="s">
        <v>17949</v>
      </c>
    </row>
    <row r="11784" ht="33.75" customHeight="1">
      <c r="A11784" s="7">
        <v>526.0</v>
      </c>
      <c r="B11784" s="9" t="s">
        <v>16947</v>
      </c>
      <c r="C11784" s="9" t="s">
        <v>804</v>
      </c>
      <c r="D11784" s="9" t="s">
        <v>107</v>
      </c>
      <c r="E11784" s="6" t="s">
        <v>10721</v>
      </c>
      <c r="F11784" s="9" t="s">
        <v>17949</v>
      </c>
    </row>
    <row r="11785" ht="33.75" customHeight="1">
      <c r="A11785" s="7">
        <v>526.0</v>
      </c>
      <c r="B11785" s="9" t="s">
        <v>16947</v>
      </c>
      <c r="C11785" s="9" t="s">
        <v>804</v>
      </c>
      <c r="D11785" s="9" t="s">
        <v>109</v>
      </c>
      <c r="E11785" s="6" t="s">
        <v>10718</v>
      </c>
      <c r="F11785" s="9" t="s">
        <v>17949</v>
      </c>
    </row>
    <row r="11786" ht="33.75" customHeight="1">
      <c r="A11786" s="7">
        <v>526.0</v>
      </c>
      <c r="B11786" s="9" t="s">
        <v>16947</v>
      </c>
      <c r="C11786" s="9" t="s">
        <v>804</v>
      </c>
      <c r="D11786" s="9" t="s">
        <v>637</v>
      </c>
      <c r="E11786" s="6" t="s">
        <v>10722</v>
      </c>
      <c r="F11786" s="9" t="s">
        <v>17949</v>
      </c>
    </row>
    <row r="11787" ht="33.75" customHeight="1">
      <c r="A11787" s="7">
        <v>526.0</v>
      </c>
      <c r="B11787" s="9" t="s">
        <v>16947</v>
      </c>
      <c r="C11787" s="9" t="s">
        <v>804</v>
      </c>
      <c r="D11787" s="9" t="s">
        <v>642</v>
      </c>
      <c r="E11787" s="6" t="s">
        <v>10723</v>
      </c>
      <c r="F11787" s="9" t="s">
        <v>17949</v>
      </c>
    </row>
    <row r="11788" ht="33.75" customHeight="1">
      <c r="A11788" s="7">
        <v>526.0</v>
      </c>
      <c r="B11788" s="9" t="s">
        <v>16947</v>
      </c>
      <c r="C11788" s="9" t="s">
        <v>804</v>
      </c>
      <c r="D11788" s="9" t="s">
        <v>647</v>
      </c>
      <c r="E11788" s="6" t="s">
        <v>10724</v>
      </c>
      <c r="F11788" s="9" t="s">
        <v>17949</v>
      </c>
    </row>
    <row r="11789" ht="33.75" customHeight="1">
      <c r="A11789" s="7">
        <v>526.0</v>
      </c>
      <c r="B11789" s="9" t="s">
        <v>16947</v>
      </c>
      <c r="C11789" s="9" t="s">
        <v>804</v>
      </c>
      <c r="D11789" s="9" t="s">
        <v>652</v>
      </c>
      <c r="E11789" s="6" t="s">
        <v>10725</v>
      </c>
      <c r="F11789" s="9" t="s">
        <v>17949</v>
      </c>
    </row>
    <row r="11790" ht="33.75" customHeight="1">
      <c r="A11790" s="7">
        <v>526.0</v>
      </c>
      <c r="B11790" s="9" t="s">
        <v>16947</v>
      </c>
      <c r="C11790" s="9" t="s">
        <v>804</v>
      </c>
      <c r="D11790" s="9" t="s">
        <v>114</v>
      </c>
      <c r="E11790" s="6" t="s">
        <v>10726</v>
      </c>
      <c r="F11790" s="9" t="s">
        <v>17949</v>
      </c>
    </row>
    <row r="11791" ht="33.75" customHeight="1">
      <c r="A11791" s="7">
        <v>526.0</v>
      </c>
      <c r="B11791" s="9" t="s">
        <v>16947</v>
      </c>
      <c r="C11791" s="9" t="s">
        <v>804</v>
      </c>
      <c r="D11791" s="9" t="s">
        <v>117</v>
      </c>
      <c r="E11791" s="6" t="s">
        <v>10727</v>
      </c>
      <c r="F11791" s="9" t="s">
        <v>17949</v>
      </c>
    </row>
    <row r="11792" ht="33.75" customHeight="1">
      <c r="A11792" s="7">
        <v>527.0</v>
      </c>
      <c r="B11792" s="9" t="s">
        <v>16959</v>
      </c>
      <c r="C11792" s="9" t="s">
        <v>112</v>
      </c>
      <c r="D11792" s="9" t="s">
        <v>93</v>
      </c>
      <c r="E11792" s="6" t="s">
        <v>10728</v>
      </c>
      <c r="F11792" s="9" t="s">
        <v>17967</v>
      </c>
      <c r="G11792" t="inlineStr" s="6">
        <is>
          <t xml:space="preserve">Woobat's habitat is dark forests and caves. It emits ultrasonic waves from its nose to learn about its surroundings. Suction from its nostrils enables it to stick to cave walls during sleep. It leaves a heart-shaped mark behind. The heart-shaped mark left on a body after a Woobat has been attached to it is said to bring good fortune. While inside a cave, if you look up and see lots of heart-shaped marks lining the walls, it’s evidence that Woobat live there. It emits ultrasonic waves as it flutters about, searching for its prey—bug Pokémon.</t>
        </is>
      </c>
    </row>
    <row r="11793" ht="33.75" customHeight="1">
      <c r="A11793" s="7">
        <v>527.0</v>
      </c>
      <c r="B11793" s="9" t="s">
        <v>16959</v>
      </c>
      <c r="C11793" s="9" t="s">
        <v>112</v>
      </c>
      <c r="D11793" s="9" t="s">
        <v>95</v>
      </c>
      <c r="E11793" s="6" t="s">
        <v>10729</v>
      </c>
      <c r="F11793" s="9" t="s">
        <v>17967</v>
      </c>
    </row>
    <row r="11794" ht="33.75" customHeight="1">
      <c r="A11794" s="7">
        <v>527.0</v>
      </c>
      <c r="B11794" s="9" t="s">
        <v>16959</v>
      </c>
      <c r="C11794" s="9" t="s">
        <v>112</v>
      </c>
      <c r="D11794" s="9" t="s">
        <v>98</v>
      </c>
      <c r="E11794" s="6" t="s">
        <v>10730</v>
      </c>
      <c r="F11794" s="9" t="s">
        <v>17967</v>
      </c>
    </row>
    <row r="11795" ht="33.75" customHeight="1">
      <c r="A11795" s="7">
        <v>527.0</v>
      </c>
      <c r="B11795" s="9" t="s">
        <v>16959</v>
      </c>
      <c r="C11795" s="9" t="s">
        <v>112</v>
      </c>
      <c r="D11795" s="9" t="s">
        <v>99</v>
      </c>
      <c r="E11795" s="6" t="s">
        <v>10730</v>
      </c>
      <c r="F11795" s="9" t="s">
        <v>17967</v>
      </c>
    </row>
    <row r="11796" ht="33.75" customHeight="1">
      <c r="A11796" s="7">
        <v>527.0</v>
      </c>
      <c r="B11796" s="9" t="s">
        <v>16959</v>
      </c>
      <c r="C11796" s="9" t="s">
        <v>112</v>
      </c>
      <c r="D11796" s="9" t="s">
        <v>101</v>
      </c>
      <c r="E11796" s="6" t="s">
        <v>10728</v>
      </c>
      <c r="F11796" s="9" t="s">
        <v>17967</v>
      </c>
    </row>
    <row r="11797" ht="33.75" customHeight="1">
      <c r="A11797" s="7">
        <v>527.0</v>
      </c>
      <c r="B11797" s="9" t="s">
        <v>16959</v>
      </c>
      <c r="C11797" s="9" t="s">
        <v>112</v>
      </c>
      <c r="D11797" s="9" t="s">
        <v>105</v>
      </c>
      <c r="E11797" s="6" t="s">
        <v>10730</v>
      </c>
      <c r="F11797" s="9" t="s">
        <v>17967</v>
      </c>
    </row>
    <row r="11798" ht="33.75" customHeight="1">
      <c r="A11798" s="7">
        <v>527.0</v>
      </c>
      <c r="B11798" s="9" t="s">
        <v>16959</v>
      </c>
      <c r="C11798" s="9" t="s">
        <v>112</v>
      </c>
      <c r="D11798" s="9" t="s">
        <v>107</v>
      </c>
      <c r="E11798" s="6" t="s">
        <v>10728</v>
      </c>
      <c r="F11798" s="9" t="s">
        <v>17967</v>
      </c>
    </row>
    <row r="11799" ht="33.75" customHeight="1">
      <c r="A11799" s="7">
        <v>527.0</v>
      </c>
      <c r="B11799" s="9" t="s">
        <v>16959</v>
      </c>
      <c r="C11799" s="9" t="s">
        <v>112</v>
      </c>
      <c r="D11799" s="9" t="s">
        <v>109</v>
      </c>
      <c r="E11799" s="6" t="s">
        <v>10730</v>
      </c>
      <c r="F11799" s="9" t="s">
        <v>17967</v>
      </c>
    </row>
    <row r="11800" ht="33.75" customHeight="1">
      <c r="A11800" s="7">
        <v>527.0</v>
      </c>
      <c r="B11800" s="9" t="s">
        <v>16959</v>
      </c>
      <c r="C11800" s="9" t="s">
        <v>112</v>
      </c>
      <c r="D11800" s="9" t="s">
        <v>114</v>
      </c>
      <c r="E11800" s="6" t="s">
        <v>10731</v>
      </c>
      <c r="F11800" s="9" t="s">
        <v>17967</v>
      </c>
    </row>
    <row r="11801" ht="33.75" customHeight="1">
      <c r="A11801" s="7">
        <v>527.0</v>
      </c>
      <c r="B11801" s="9" t="s">
        <v>16959</v>
      </c>
      <c r="C11801" s="9" t="s">
        <v>112</v>
      </c>
      <c r="D11801" s="9" t="s">
        <v>117</v>
      </c>
      <c r="E11801" s="6" t="s">
        <v>10732</v>
      </c>
      <c r="F11801" s="9" t="s">
        <v>17967</v>
      </c>
    </row>
    <row r="11802" ht="33.75" customHeight="1">
      <c r="A11802" s="7">
        <v>528.0</v>
      </c>
      <c r="B11802" s="9" t="s">
        <v>16966</v>
      </c>
      <c r="C11802" s="9" t="s">
        <v>806</v>
      </c>
      <c r="D11802" s="9" t="s">
        <v>93</v>
      </c>
      <c r="E11802" s="6" t="s">
        <v>10733</v>
      </c>
      <c r="F11802" s="9" t="s">
        <v>17982</v>
      </c>
      <c r="G11802" t="inlineStr" s="6">
        <is>
          <t xml:space="preserve">It emits sound waves of various frequencies from Swoobat's nose, including some powerful enough to destroy rocks. Anyone who comes into contact with the ultrasonic waves emitted by a courting male experiences a positive mood shift. It shakes its tail vigorously when it emits ultrasonic waves strong enough to reduce concrete to rubble. Emitting powerful sound waves tires it out. Afterward, it won’t be able to fly for a little while. The auspicious shape of this Pokémon’s nose apparently led some regions to consider Swoobat a symbol of good luck.</t>
        </is>
      </c>
    </row>
    <row r="11803" ht="33.75" customHeight="1">
      <c r="A11803" s="7">
        <v>528.0</v>
      </c>
      <c r="B11803" s="9" t="s">
        <v>16966</v>
      </c>
      <c r="C11803" s="9" t="s">
        <v>806</v>
      </c>
      <c r="D11803" s="9" t="s">
        <v>95</v>
      </c>
      <c r="E11803" s="6" t="s">
        <v>10735</v>
      </c>
      <c r="F11803" s="9" t="s">
        <v>17982</v>
      </c>
    </row>
    <row r="11804" ht="33.75" customHeight="1">
      <c r="A11804" s="7">
        <v>528.0</v>
      </c>
      <c r="B11804" s="9" t="s">
        <v>16966</v>
      </c>
      <c r="C11804" s="9" t="s">
        <v>806</v>
      </c>
      <c r="D11804" s="9" t="s">
        <v>98</v>
      </c>
      <c r="E11804" s="6" t="s">
        <v>10736</v>
      </c>
      <c r="F11804" s="9" t="s">
        <v>17982</v>
      </c>
    </row>
    <row r="11805" ht="33.75" customHeight="1">
      <c r="A11805" s="7">
        <v>528.0</v>
      </c>
      <c r="B11805" s="9" t="s">
        <v>16966</v>
      </c>
      <c r="C11805" s="9" t="s">
        <v>806</v>
      </c>
      <c r="D11805" s="9" t="s">
        <v>99</v>
      </c>
      <c r="E11805" s="6" t="s">
        <v>10736</v>
      </c>
      <c r="F11805" s="9" t="s">
        <v>17982</v>
      </c>
    </row>
    <row r="11806" ht="33.75" customHeight="1">
      <c r="A11806" s="7">
        <v>528.0</v>
      </c>
      <c r="B11806" s="9" t="s">
        <v>16966</v>
      </c>
      <c r="C11806" s="9" t="s">
        <v>806</v>
      </c>
      <c r="D11806" s="9" t="s">
        <v>101</v>
      </c>
      <c r="E11806" s="6" t="s">
        <v>10736</v>
      </c>
      <c r="F11806" s="9" t="s">
        <v>17982</v>
      </c>
    </row>
    <row r="11807" ht="33.75" customHeight="1">
      <c r="A11807" s="7">
        <v>528.0</v>
      </c>
      <c r="B11807" s="9" t="s">
        <v>16966</v>
      </c>
      <c r="C11807" s="9" t="s">
        <v>806</v>
      </c>
      <c r="D11807" s="9" t="s">
        <v>105</v>
      </c>
      <c r="E11807" s="6" t="s">
        <v>10735</v>
      </c>
      <c r="F11807" s="9" t="s">
        <v>17982</v>
      </c>
    </row>
    <row r="11808" ht="33.75" customHeight="1">
      <c r="A11808" s="7">
        <v>528.0</v>
      </c>
      <c r="B11808" s="9" t="s">
        <v>16966</v>
      </c>
      <c r="C11808" s="9" t="s">
        <v>806</v>
      </c>
      <c r="D11808" s="9" t="s">
        <v>107</v>
      </c>
      <c r="E11808" s="6" t="s">
        <v>10736</v>
      </c>
      <c r="F11808" s="9" t="s">
        <v>17982</v>
      </c>
    </row>
    <row r="11809" ht="33.75" customHeight="1">
      <c r="A11809" s="7">
        <v>528.0</v>
      </c>
      <c r="B11809" s="9" t="s">
        <v>16966</v>
      </c>
      <c r="C11809" s="9" t="s">
        <v>806</v>
      </c>
      <c r="D11809" s="9" t="s">
        <v>109</v>
      </c>
      <c r="E11809" s="6" t="s">
        <v>10735</v>
      </c>
      <c r="F11809" s="9" t="s">
        <v>17982</v>
      </c>
    </row>
    <row r="11810" ht="33.75" customHeight="1">
      <c r="A11810" s="7">
        <v>528.0</v>
      </c>
      <c r="B11810" s="9" t="s">
        <v>16966</v>
      </c>
      <c r="C11810" s="9" t="s">
        <v>806</v>
      </c>
      <c r="D11810" s="9" t="s">
        <v>114</v>
      </c>
      <c r="E11810" s="6" t="s">
        <v>10737</v>
      </c>
      <c r="F11810" s="9" t="s">
        <v>17982</v>
      </c>
    </row>
    <row r="11811" ht="33.75" customHeight="1">
      <c r="A11811" s="7">
        <v>528.0</v>
      </c>
      <c r="B11811" s="9" t="s">
        <v>16966</v>
      </c>
      <c r="C11811" s="9" t="s">
        <v>806</v>
      </c>
      <c r="D11811" s="9" t="s">
        <v>117</v>
      </c>
      <c r="E11811" s="6" t="s">
        <v>10738</v>
      </c>
      <c r="F11811" s="9" t="s">
        <v>17982</v>
      </c>
    </row>
    <row r="11812" ht="33.75" customHeight="1">
      <c r="A11812" s="7">
        <v>529.0</v>
      </c>
      <c r="B11812" s="9" t="s">
        <v>16973</v>
      </c>
      <c r="C11812" s="9" t="s">
        <v>127</v>
      </c>
      <c r="D11812" s="9" t="s">
        <v>93</v>
      </c>
      <c r="E11812" s="6" t="s">
        <v>10739</v>
      </c>
      <c r="F11812" s="9" t="s">
        <v>18000</v>
      </c>
      <c r="G11812" t="inlineStr" s="6">
        <is>
          <t xml:space="preserve">Drilbur can dig through the ground at a speed of 30 mph. It could give a car running aboveground a good race. It makes its way swiftly through the soil by putting both claws together and rotating at high speed. By spinning its body, it can dig straight through the ground at a speed of 30 mph. It brings its claws together and whirls around at high speed before rushing toward its prey. It’s a digger, using its claws to burrow through the ground. It causes damage to vegetable crops, so many farmers have little love for it.</t>
        </is>
      </c>
    </row>
    <row r="11813" ht="33.75" customHeight="1">
      <c r="A11813" s="7">
        <v>529.0</v>
      </c>
      <c r="B11813" s="9" t="s">
        <v>16973</v>
      </c>
      <c r="C11813" s="9" t="s">
        <v>127</v>
      </c>
      <c r="D11813" s="9" t="s">
        <v>95</v>
      </c>
      <c r="E11813" s="6" t="s">
        <v>10741</v>
      </c>
      <c r="F11813" s="9" t="s">
        <v>18000</v>
      </c>
    </row>
    <row r="11814" ht="33.75" customHeight="1">
      <c r="A11814" s="7">
        <v>529.0</v>
      </c>
      <c r="B11814" s="9" t="s">
        <v>16973</v>
      </c>
      <c r="C11814" s="9" t="s">
        <v>127</v>
      </c>
      <c r="D11814" s="9" t="s">
        <v>98</v>
      </c>
      <c r="E11814" s="6" t="s">
        <v>10742</v>
      </c>
      <c r="F11814" s="9" t="s">
        <v>18000</v>
      </c>
    </row>
    <row r="11815" ht="33.75" customHeight="1">
      <c r="A11815" s="7">
        <v>529.0</v>
      </c>
      <c r="B11815" s="9" t="s">
        <v>16973</v>
      </c>
      <c r="C11815" s="9" t="s">
        <v>127</v>
      </c>
      <c r="D11815" s="9" t="s">
        <v>99</v>
      </c>
      <c r="E11815" s="6" t="s">
        <v>10742</v>
      </c>
      <c r="F11815" s="9" t="s">
        <v>18000</v>
      </c>
    </row>
    <row r="11816" ht="33.75" customHeight="1">
      <c r="A11816" s="7">
        <v>529.0</v>
      </c>
      <c r="B11816" s="9" t="s">
        <v>16973</v>
      </c>
      <c r="C11816" s="9" t="s">
        <v>127</v>
      </c>
      <c r="D11816" s="9" t="s">
        <v>101</v>
      </c>
      <c r="E11816" s="6" t="s">
        <v>10741</v>
      </c>
      <c r="F11816" s="9" t="s">
        <v>18000</v>
      </c>
    </row>
    <row r="11817" ht="33.75" customHeight="1">
      <c r="A11817" s="7">
        <v>529.0</v>
      </c>
      <c r="B11817" s="9" t="s">
        <v>16973</v>
      </c>
      <c r="C11817" s="9" t="s">
        <v>127</v>
      </c>
      <c r="D11817" s="9" t="s">
        <v>105</v>
      </c>
      <c r="E11817" s="6" t="s">
        <v>10742</v>
      </c>
      <c r="F11817" s="9" t="s">
        <v>18000</v>
      </c>
    </row>
    <row r="11818" ht="33.75" customHeight="1">
      <c r="A11818" s="7">
        <v>529.0</v>
      </c>
      <c r="B11818" s="9" t="s">
        <v>16973</v>
      </c>
      <c r="C11818" s="9" t="s">
        <v>127</v>
      </c>
      <c r="D11818" s="9" t="s">
        <v>107</v>
      </c>
      <c r="E11818" s="6" t="s">
        <v>10741</v>
      </c>
      <c r="F11818" s="9" t="s">
        <v>18000</v>
      </c>
    </row>
    <row r="11819" ht="33.75" customHeight="1">
      <c r="A11819" s="7">
        <v>529.0</v>
      </c>
      <c r="B11819" s="9" t="s">
        <v>16973</v>
      </c>
      <c r="C11819" s="9" t="s">
        <v>127</v>
      </c>
      <c r="D11819" s="9" t="s">
        <v>109</v>
      </c>
      <c r="E11819" s="6" t="s">
        <v>10742</v>
      </c>
      <c r="F11819" s="9" t="s">
        <v>18000</v>
      </c>
    </row>
    <row r="11820" ht="33.75" customHeight="1">
      <c r="A11820" s="7">
        <v>529.0</v>
      </c>
      <c r="B11820" s="9" t="s">
        <v>16973</v>
      </c>
      <c r="C11820" s="9" t="s">
        <v>127</v>
      </c>
      <c r="D11820" s="9" t="s">
        <v>114</v>
      </c>
      <c r="E11820" s="6" t="s">
        <v>10743</v>
      </c>
      <c r="F11820" s="9" t="s">
        <v>18000</v>
      </c>
    </row>
    <row r="11821" ht="33.75" customHeight="1">
      <c r="A11821" s="7">
        <v>529.0</v>
      </c>
      <c r="B11821" s="9" t="s">
        <v>16973</v>
      </c>
      <c r="C11821" s="9" t="s">
        <v>127</v>
      </c>
      <c r="D11821" s="9" t="s">
        <v>117</v>
      </c>
      <c r="E11821" s="6" t="s">
        <v>10745</v>
      </c>
      <c r="F11821" s="9" t="s">
        <v>18000</v>
      </c>
    </row>
    <row r="11822" ht="33.75" customHeight="1">
      <c r="A11822" s="7">
        <v>530.0</v>
      </c>
      <c r="B11822" s="9" t="s">
        <v>16980</v>
      </c>
      <c r="C11822" s="9" t="s">
        <v>809</v>
      </c>
      <c r="D11822" s="9" t="s">
        <v>93</v>
      </c>
      <c r="E11822" s="6" t="s">
        <v>10746</v>
      </c>
      <c r="F11822" s="9" t="s">
        <v>18011</v>
      </c>
      <c r="G11822" t="inlineStr" s="6">
        <is>
          <t xml:space="preserve">Excadrill can help in tunnel construction. Its drill has evolved into steel strong enough to bore through iron plates. More than 300 feet below the surface, they build mazelike nests. Their activity can be destructive to subway tunnels. Forming a drill with its steel claws and head, it can bore through a steel plate, no matter how thick it is. It’s not uncommon for tunnels that appear to have formed naturally to actually be a result of Excadrill’s rampant digging. Known as the Drill King, this Pokémon can tunnel through the terrain at speeds of over 90 mph.</t>
        </is>
      </c>
    </row>
    <row r="11823" ht="33.75" customHeight="1">
      <c r="A11823" s="7">
        <v>530.0</v>
      </c>
      <c r="B11823" s="9" t="s">
        <v>16980</v>
      </c>
      <c r="C11823" s="9" t="s">
        <v>809</v>
      </c>
      <c r="D11823" s="9" t="s">
        <v>95</v>
      </c>
      <c r="E11823" s="6" t="s">
        <v>10748</v>
      </c>
      <c r="F11823" s="9" t="s">
        <v>18011</v>
      </c>
    </row>
    <row r="11824" ht="33.75" customHeight="1">
      <c r="A11824" s="7">
        <v>530.0</v>
      </c>
      <c r="B11824" s="9" t="s">
        <v>16980</v>
      </c>
      <c r="C11824" s="9" t="s">
        <v>809</v>
      </c>
      <c r="D11824" s="9" t="s">
        <v>98</v>
      </c>
      <c r="E11824" s="6" t="s">
        <v>10750</v>
      </c>
      <c r="F11824" s="9" t="s">
        <v>18011</v>
      </c>
    </row>
    <row r="11825" ht="33.75" customHeight="1">
      <c r="A11825" s="7">
        <v>530.0</v>
      </c>
      <c r="B11825" s="9" t="s">
        <v>16980</v>
      </c>
      <c r="C11825" s="9" t="s">
        <v>809</v>
      </c>
      <c r="D11825" s="9" t="s">
        <v>99</v>
      </c>
      <c r="E11825" s="6" t="s">
        <v>10750</v>
      </c>
      <c r="F11825" s="9" t="s">
        <v>18011</v>
      </c>
    </row>
    <row r="11826" ht="33.75" customHeight="1">
      <c r="A11826" s="7">
        <v>530.0</v>
      </c>
      <c r="B11826" s="9" t="s">
        <v>16980</v>
      </c>
      <c r="C11826" s="9" t="s">
        <v>809</v>
      </c>
      <c r="D11826" s="9" t="s">
        <v>101</v>
      </c>
      <c r="E11826" s="6" t="s">
        <v>10746</v>
      </c>
      <c r="F11826" s="9" t="s">
        <v>18011</v>
      </c>
    </row>
    <row r="11827" ht="33.75" customHeight="1">
      <c r="A11827" s="7">
        <v>530.0</v>
      </c>
      <c r="B11827" s="9" t="s">
        <v>16980</v>
      </c>
      <c r="C11827" s="9" t="s">
        <v>809</v>
      </c>
      <c r="D11827" s="9" t="s">
        <v>105</v>
      </c>
      <c r="E11827" s="6" t="s">
        <v>10748</v>
      </c>
      <c r="F11827" s="9" t="s">
        <v>18011</v>
      </c>
    </row>
    <row r="11828" ht="33.75" customHeight="1">
      <c r="A11828" s="7">
        <v>530.0</v>
      </c>
      <c r="B11828" s="9" t="s">
        <v>16980</v>
      </c>
      <c r="C11828" s="9" t="s">
        <v>809</v>
      </c>
      <c r="D11828" s="9" t="s">
        <v>107</v>
      </c>
      <c r="E11828" s="6" t="s">
        <v>10746</v>
      </c>
      <c r="F11828" s="9" t="s">
        <v>18011</v>
      </c>
    </row>
    <row r="11829" ht="33.75" customHeight="1">
      <c r="A11829" s="7">
        <v>530.0</v>
      </c>
      <c r="B11829" s="9" t="s">
        <v>16980</v>
      </c>
      <c r="C11829" s="9" t="s">
        <v>809</v>
      </c>
      <c r="D11829" s="9" t="s">
        <v>109</v>
      </c>
      <c r="E11829" s="6" t="s">
        <v>10748</v>
      </c>
      <c r="F11829" s="9" t="s">
        <v>18011</v>
      </c>
    </row>
    <row r="11830" ht="33.75" customHeight="1">
      <c r="A11830" s="7">
        <v>530.0</v>
      </c>
      <c r="B11830" s="9" t="s">
        <v>16980</v>
      </c>
      <c r="C11830" s="9" t="s">
        <v>809</v>
      </c>
      <c r="D11830" s="9" t="s">
        <v>114</v>
      </c>
      <c r="E11830" s="6" t="s">
        <v>10752</v>
      </c>
      <c r="F11830" s="9" t="s">
        <v>18011</v>
      </c>
    </row>
    <row r="11831" ht="33.75" customHeight="1">
      <c r="A11831" s="7">
        <v>530.0</v>
      </c>
      <c r="B11831" s="9" t="s">
        <v>16980</v>
      </c>
      <c r="C11831" s="9" t="s">
        <v>809</v>
      </c>
      <c r="D11831" s="9" t="s">
        <v>117</v>
      </c>
      <c r="E11831" s="6" t="s">
        <v>10754</v>
      </c>
      <c r="F11831" s="9" t="s">
        <v>18011</v>
      </c>
    </row>
    <row r="11832" ht="33.75" customHeight="1">
      <c r="A11832" s="7">
        <v>531.0</v>
      </c>
      <c r="B11832" s="9" t="s">
        <v>16987</v>
      </c>
      <c r="C11832" s="9" t="s">
        <v>812</v>
      </c>
      <c r="D11832" s="9" t="s">
        <v>93</v>
      </c>
      <c r="E11832" s="6" t="s">
        <v>10755</v>
      </c>
      <c r="F11832" s="9" t="s">
        <v>18023</v>
      </c>
      <c r="G11832" t="inlineStr" s="6">
        <is>
          <t xml:space="preserve">It touches others with the feelers on Audino's ears, using the sound of their heartbeats to tell how they are feeling. Its auditory sense is astounding. It has a radarlike ability to understand its surroundings through slight sounds. Using the feelers on its ears, it can tell how someone is feeling or when an egg might hatch. Audino’s sense of hearing is superb. Not even a pebble rolling along over a mile away will escape Audino’s ears. This Pokémon has a kind heart. By touching with its feelers, Audino can gauge other creatures’ feelings and physical conditions.</t>
        </is>
      </c>
    </row>
    <row r="11833" ht="33.75" customHeight="1">
      <c r="A11833" s="7">
        <v>531.0</v>
      </c>
      <c r="B11833" s="9" t="s">
        <v>16987</v>
      </c>
      <c r="C11833" s="9" t="s">
        <v>812</v>
      </c>
      <c r="D11833" s="9" t="s">
        <v>95</v>
      </c>
      <c r="E11833" s="6" t="s">
        <v>10756</v>
      </c>
      <c r="F11833" s="9" t="s">
        <v>18023</v>
      </c>
    </row>
    <row r="11834" ht="33.75" customHeight="1">
      <c r="A11834" s="7">
        <v>531.0</v>
      </c>
      <c r="B11834" s="9" t="s">
        <v>16987</v>
      </c>
      <c r="C11834" s="9" t="s">
        <v>812</v>
      </c>
      <c r="D11834" s="9" t="s">
        <v>98</v>
      </c>
      <c r="E11834" s="6" t="s">
        <v>10757</v>
      </c>
      <c r="F11834" s="9" t="s">
        <v>18023</v>
      </c>
    </row>
    <row r="11835" ht="33.75" customHeight="1">
      <c r="A11835" s="7">
        <v>531.0</v>
      </c>
      <c r="B11835" s="9" t="s">
        <v>16987</v>
      </c>
      <c r="C11835" s="9" t="s">
        <v>812</v>
      </c>
      <c r="D11835" s="9" t="s">
        <v>99</v>
      </c>
      <c r="E11835" s="6" t="s">
        <v>10757</v>
      </c>
      <c r="F11835" s="9" t="s">
        <v>18023</v>
      </c>
    </row>
    <row r="11836" ht="33.75" customHeight="1">
      <c r="A11836" s="7">
        <v>531.0</v>
      </c>
      <c r="B11836" s="9" t="s">
        <v>16987</v>
      </c>
      <c r="C11836" s="9" t="s">
        <v>812</v>
      </c>
      <c r="D11836" s="9" t="s">
        <v>101</v>
      </c>
      <c r="E11836" s="6" t="s">
        <v>10757</v>
      </c>
      <c r="F11836" s="9" t="s">
        <v>18023</v>
      </c>
    </row>
    <row r="11837" ht="33.75" customHeight="1">
      <c r="A11837" s="7">
        <v>531.0</v>
      </c>
      <c r="B11837" s="9" t="s">
        <v>16987</v>
      </c>
      <c r="C11837" s="9" t="s">
        <v>812</v>
      </c>
      <c r="D11837" s="9" t="s">
        <v>105</v>
      </c>
      <c r="E11837" s="6" t="s">
        <v>10755</v>
      </c>
      <c r="F11837" s="9" t="s">
        <v>18023</v>
      </c>
    </row>
    <row r="11838" ht="33.75" customHeight="1">
      <c r="A11838" s="7">
        <v>531.0</v>
      </c>
      <c r="B11838" s="9" t="s">
        <v>16987</v>
      </c>
      <c r="C11838" s="9" t="s">
        <v>812</v>
      </c>
      <c r="D11838" s="9" t="s">
        <v>107</v>
      </c>
      <c r="E11838" s="6" t="s">
        <v>10757</v>
      </c>
      <c r="F11838" s="9" t="s">
        <v>18023</v>
      </c>
    </row>
    <row r="11839" ht="33.75" customHeight="1">
      <c r="A11839" s="7">
        <v>531.0</v>
      </c>
      <c r="B11839" s="9" t="s">
        <v>16987</v>
      </c>
      <c r="C11839" s="9" t="s">
        <v>812</v>
      </c>
      <c r="D11839" s="9" t="s">
        <v>109</v>
      </c>
      <c r="E11839" s="6" t="s">
        <v>10755</v>
      </c>
      <c r="F11839" s="9" t="s">
        <v>18023</v>
      </c>
    </row>
    <row r="11840" ht="33.75" customHeight="1">
      <c r="A11840" s="7">
        <v>531.0</v>
      </c>
      <c r="B11840" s="9" t="s">
        <v>16987</v>
      </c>
      <c r="C11840" s="9" t="s">
        <v>812</v>
      </c>
      <c r="D11840" s="9" t="s">
        <v>114</v>
      </c>
      <c r="E11840" s="6" t="s">
        <v>10759</v>
      </c>
      <c r="F11840" s="9" t="s">
        <v>18023</v>
      </c>
    </row>
    <row r="11841" ht="33.75" customHeight="1">
      <c r="A11841" s="7">
        <v>531.0</v>
      </c>
      <c r="B11841" s="9" t="s">
        <v>16987</v>
      </c>
      <c r="C11841" s="9" t="s">
        <v>812</v>
      </c>
      <c r="D11841" s="9" t="s">
        <v>117</v>
      </c>
      <c r="E11841" s="6" t="s">
        <v>10760</v>
      </c>
      <c r="F11841" s="9" t="s">
        <v>18023</v>
      </c>
    </row>
    <row r="11842" ht="33.75" customHeight="1">
      <c r="A11842" s="7">
        <v>532.0</v>
      </c>
      <c r="B11842" s="9" t="s">
        <v>16995</v>
      </c>
      <c r="C11842" s="9" t="s">
        <v>816</v>
      </c>
      <c r="D11842" s="9" t="s">
        <v>93</v>
      </c>
      <c r="E11842" s="6" t="s">
        <v>10761</v>
      </c>
      <c r="F11842" s="9" t="s">
        <v>18034</v>
      </c>
      <c r="G11842" t="inlineStr" s="6">
        <is>
          <t xml:space="preserve">It fights by swinging a piece of lumber around. It is close to evolving when it can handle the lumber without difficulty. These Pokémon appear at building sites and help out with construction. They always carry squared logs. Always carrying squared logs, they help out with construction. As they grow, they carry bigger logs. It loves helping out with construction projects. It loves it so much that if rain causes work to halt, it swings its log around and throws a tantrum. Timburr that have started carrying logs that are about three times their size are nearly ready to evolve.</t>
        </is>
      </c>
    </row>
    <row r="11843" ht="33.75" customHeight="1">
      <c r="A11843" s="7">
        <v>532.0</v>
      </c>
      <c r="B11843" s="9" t="s">
        <v>16995</v>
      </c>
      <c r="C11843" s="9" t="s">
        <v>816</v>
      </c>
      <c r="D11843" s="9" t="s">
        <v>95</v>
      </c>
      <c r="E11843" s="6" t="s">
        <v>10763</v>
      </c>
      <c r="F11843" s="9" t="s">
        <v>18034</v>
      </c>
    </row>
    <row r="11844" ht="33.75" customHeight="1">
      <c r="A11844" s="7">
        <v>532.0</v>
      </c>
      <c r="B11844" s="9" t="s">
        <v>16995</v>
      </c>
      <c r="C11844" s="9" t="s">
        <v>816</v>
      </c>
      <c r="D11844" s="9" t="s">
        <v>98</v>
      </c>
      <c r="E11844" s="6" t="s">
        <v>10764</v>
      </c>
      <c r="F11844" s="9" t="s">
        <v>18034</v>
      </c>
    </row>
    <row r="11845" ht="33.75" customHeight="1">
      <c r="A11845" s="7">
        <v>532.0</v>
      </c>
      <c r="B11845" s="9" t="s">
        <v>16995</v>
      </c>
      <c r="C11845" s="9" t="s">
        <v>816</v>
      </c>
      <c r="D11845" s="9" t="s">
        <v>99</v>
      </c>
      <c r="E11845" s="6" t="s">
        <v>10764</v>
      </c>
      <c r="F11845" s="9" t="s">
        <v>18034</v>
      </c>
    </row>
    <row r="11846" ht="33.75" customHeight="1">
      <c r="A11846" s="7">
        <v>532.0</v>
      </c>
      <c r="B11846" s="9" t="s">
        <v>16995</v>
      </c>
      <c r="C11846" s="9" t="s">
        <v>816</v>
      </c>
      <c r="D11846" s="9" t="s">
        <v>101</v>
      </c>
      <c r="E11846" s="6" t="s">
        <v>10763</v>
      </c>
      <c r="F11846" s="9" t="s">
        <v>18034</v>
      </c>
    </row>
    <row r="11847" ht="33.75" customHeight="1">
      <c r="A11847" s="7">
        <v>532.0</v>
      </c>
      <c r="B11847" s="9" t="s">
        <v>16995</v>
      </c>
      <c r="C11847" s="9" t="s">
        <v>816</v>
      </c>
      <c r="D11847" s="9" t="s">
        <v>105</v>
      </c>
      <c r="E11847" s="6" t="s">
        <v>10764</v>
      </c>
      <c r="F11847" s="9" t="s">
        <v>18034</v>
      </c>
    </row>
    <row r="11848" ht="33.75" customHeight="1">
      <c r="A11848" s="7">
        <v>532.0</v>
      </c>
      <c r="B11848" s="9" t="s">
        <v>16995</v>
      </c>
      <c r="C11848" s="9" t="s">
        <v>816</v>
      </c>
      <c r="D11848" s="9" t="s">
        <v>107</v>
      </c>
      <c r="E11848" s="6" t="s">
        <v>10763</v>
      </c>
      <c r="F11848" s="9" t="s">
        <v>18034</v>
      </c>
    </row>
    <row r="11849" ht="33.75" customHeight="1">
      <c r="A11849" s="7">
        <v>532.0</v>
      </c>
      <c r="B11849" s="9" t="s">
        <v>16995</v>
      </c>
      <c r="C11849" s="9" t="s">
        <v>816</v>
      </c>
      <c r="D11849" s="9" t="s">
        <v>109</v>
      </c>
      <c r="E11849" s="6" t="s">
        <v>10764</v>
      </c>
      <c r="F11849" s="9" t="s">
        <v>18034</v>
      </c>
    </row>
    <row r="11850" ht="33.75" customHeight="1">
      <c r="A11850" s="7">
        <v>532.0</v>
      </c>
      <c r="B11850" s="9" t="s">
        <v>16995</v>
      </c>
      <c r="C11850" s="9" t="s">
        <v>816</v>
      </c>
      <c r="D11850" s="9" t="s">
        <v>114</v>
      </c>
      <c r="E11850" s="6" t="s">
        <v>10765</v>
      </c>
      <c r="F11850" s="9" t="s">
        <v>18034</v>
      </c>
    </row>
    <row r="11851" ht="33.75" customHeight="1">
      <c r="A11851" s="7">
        <v>532.0</v>
      </c>
      <c r="B11851" s="9" t="s">
        <v>16995</v>
      </c>
      <c r="C11851" s="9" t="s">
        <v>816</v>
      </c>
      <c r="D11851" s="9" t="s">
        <v>117</v>
      </c>
      <c r="E11851" s="6" t="s">
        <v>10766</v>
      </c>
      <c r="F11851" s="9" t="s">
        <v>18034</v>
      </c>
    </row>
    <row r="11852" ht="33.75" customHeight="1">
      <c r="A11852" s="7">
        <v>533.0</v>
      </c>
      <c r="B11852" s="9" t="s">
        <v>17002</v>
      </c>
      <c r="C11852" s="9" t="s">
        <v>816</v>
      </c>
      <c r="D11852" s="9" t="s">
        <v>93</v>
      </c>
      <c r="E11852" s="6" t="s">
        <v>10768</v>
      </c>
      <c r="F11852" s="9" t="s">
        <v>18054</v>
      </c>
      <c r="G11852" t="inlineStr" s="6">
        <is>
          <t xml:space="preserve">This Pokémon is so muscular and strongly built that even a group of wrestlers could not make it budge an inch. They strengthen their bodies by carrying steel beams. They show off their big muscles to their friends. With strengthened bodies, they skillfully wield steel beams to take down buildings. It shows off its muscles to Machoke and other Gurdurr. If it fails to measure up to the other Pokémon, it lies low for a little while. Gurdurr excels at demolition—construction is not its forte. In any case, there’s skill in the way this Pokémon wields its metal beam.</t>
        </is>
      </c>
    </row>
    <row r="11853" ht="33.75" customHeight="1">
      <c r="A11853" s="7">
        <v>533.0</v>
      </c>
      <c r="B11853" s="9" t="s">
        <v>17002</v>
      </c>
      <c r="C11853" s="9" t="s">
        <v>816</v>
      </c>
      <c r="D11853" s="9" t="s">
        <v>95</v>
      </c>
      <c r="E11853" s="6" t="s">
        <v>10769</v>
      </c>
      <c r="F11853" s="9" t="s">
        <v>18054</v>
      </c>
    </row>
    <row r="11854" ht="33.75" customHeight="1">
      <c r="A11854" s="7">
        <v>533.0</v>
      </c>
      <c r="B11854" s="9" t="s">
        <v>17002</v>
      </c>
      <c r="C11854" s="9" t="s">
        <v>816</v>
      </c>
      <c r="D11854" s="9" t="s">
        <v>98</v>
      </c>
      <c r="E11854" s="6" t="s">
        <v>10770</v>
      </c>
      <c r="F11854" s="9" t="s">
        <v>18054</v>
      </c>
    </row>
    <row r="11855" ht="33.75" customHeight="1">
      <c r="A11855" s="7">
        <v>533.0</v>
      </c>
      <c r="B11855" s="9" t="s">
        <v>17002</v>
      </c>
      <c r="C11855" s="9" t="s">
        <v>816</v>
      </c>
      <c r="D11855" s="9" t="s">
        <v>99</v>
      </c>
      <c r="E11855" s="6" t="s">
        <v>10770</v>
      </c>
      <c r="F11855" s="9" t="s">
        <v>18054</v>
      </c>
    </row>
    <row r="11856" ht="33.75" customHeight="1">
      <c r="A11856" s="7">
        <v>533.0</v>
      </c>
      <c r="B11856" s="9" t="s">
        <v>17002</v>
      </c>
      <c r="C11856" s="9" t="s">
        <v>816</v>
      </c>
      <c r="D11856" s="9" t="s">
        <v>101</v>
      </c>
      <c r="E11856" s="6" t="s">
        <v>10770</v>
      </c>
      <c r="F11856" s="9" t="s">
        <v>18054</v>
      </c>
    </row>
    <row r="11857" ht="33.75" customHeight="1">
      <c r="A11857" s="7">
        <v>533.0</v>
      </c>
      <c r="B11857" s="9" t="s">
        <v>17002</v>
      </c>
      <c r="C11857" s="9" t="s">
        <v>816</v>
      </c>
      <c r="D11857" s="9" t="s">
        <v>105</v>
      </c>
      <c r="E11857" s="6" t="s">
        <v>10768</v>
      </c>
      <c r="F11857" s="9" t="s">
        <v>18054</v>
      </c>
    </row>
    <row r="11858" ht="33.75" customHeight="1">
      <c r="A11858" s="7">
        <v>533.0</v>
      </c>
      <c r="B11858" s="9" t="s">
        <v>17002</v>
      </c>
      <c r="C11858" s="9" t="s">
        <v>816</v>
      </c>
      <c r="D11858" s="9" t="s">
        <v>107</v>
      </c>
      <c r="E11858" s="6" t="s">
        <v>10770</v>
      </c>
      <c r="F11858" s="9" t="s">
        <v>18054</v>
      </c>
    </row>
    <row r="11859" ht="33.75" customHeight="1">
      <c r="A11859" s="7">
        <v>533.0</v>
      </c>
      <c r="B11859" s="9" t="s">
        <v>17002</v>
      </c>
      <c r="C11859" s="9" t="s">
        <v>816</v>
      </c>
      <c r="D11859" s="9" t="s">
        <v>109</v>
      </c>
      <c r="E11859" s="6" t="s">
        <v>10768</v>
      </c>
      <c r="F11859" s="9" t="s">
        <v>18054</v>
      </c>
    </row>
    <row r="11860" ht="33.75" customHeight="1">
      <c r="A11860" s="7">
        <v>533.0</v>
      </c>
      <c r="B11860" s="9" t="s">
        <v>17002</v>
      </c>
      <c r="C11860" s="9" t="s">
        <v>816</v>
      </c>
      <c r="D11860" s="9" t="s">
        <v>114</v>
      </c>
      <c r="E11860" s="6" t="s">
        <v>10771</v>
      </c>
      <c r="F11860" s="9" t="s">
        <v>18054</v>
      </c>
    </row>
    <row r="11861" ht="33.75" customHeight="1">
      <c r="A11861" s="7">
        <v>533.0</v>
      </c>
      <c r="B11861" s="9" t="s">
        <v>17002</v>
      </c>
      <c r="C11861" s="9" t="s">
        <v>816</v>
      </c>
      <c r="D11861" s="9" t="s">
        <v>117</v>
      </c>
      <c r="E11861" s="6" t="s">
        <v>10773</v>
      </c>
      <c r="F11861" s="9" t="s">
        <v>18054</v>
      </c>
    </row>
    <row r="11862" ht="33.75" customHeight="1">
      <c r="A11862" s="7">
        <v>534.0</v>
      </c>
      <c r="B11862" s="9" t="s">
        <v>17009</v>
      </c>
      <c r="C11862" s="9" t="s">
        <v>816</v>
      </c>
      <c r="D11862" s="9" t="s">
        <v>93</v>
      </c>
      <c r="E11862" s="6" t="s">
        <v>10774</v>
      </c>
      <c r="F11862" s="9" t="s">
        <v>18062</v>
      </c>
      <c r="G11862" t="inlineStr" s="6">
        <is>
          <t xml:space="preserve">Conkeldurr is thought that Conkeldurr taught humans how to make concrete more than 2,000 years ago. They use concrete pillars as walking canes. They know moves that enable them to swing the pillars freely in battle. Rather than rely on force, they master moves that utilize the centrifugal force of spinning concrete. Concrete mixed by Conkeldurr is much more durable than normal concrete, even when the compositions of the two materials are the same. When going all out, this Pokémon throws aside its concrete pillars and leaps at opponents to pummel them with its fists.</t>
        </is>
      </c>
    </row>
    <row r="11863" ht="33.75" customHeight="1">
      <c r="A11863" s="7">
        <v>534.0</v>
      </c>
      <c r="B11863" s="9" t="s">
        <v>17009</v>
      </c>
      <c r="C11863" s="9" t="s">
        <v>816</v>
      </c>
      <c r="D11863" s="9" t="s">
        <v>95</v>
      </c>
      <c r="E11863" s="6" t="s">
        <v>10775</v>
      </c>
      <c r="F11863" s="9" t="s">
        <v>18062</v>
      </c>
    </row>
    <row r="11864" ht="33.75" customHeight="1">
      <c r="A11864" s="7">
        <v>534.0</v>
      </c>
      <c r="B11864" s="9" t="s">
        <v>17009</v>
      </c>
      <c r="C11864" s="9" t="s">
        <v>816</v>
      </c>
      <c r="D11864" s="9" t="s">
        <v>98</v>
      </c>
      <c r="E11864" s="6" t="s">
        <v>10776</v>
      </c>
      <c r="F11864" s="9" t="s">
        <v>18062</v>
      </c>
    </row>
    <row r="11865" ht="33.75" customHeight="1">
      <c r="A11865" s="7">
        <v>534.0</v>
      </c>
      <c r="B11865" s="9" t="s">
        <v>17009</v>
      </c>
      <c r="C11865" s="9" t="s">
        <v>816</v>
      </c>
      <c r="D11865" s="9" t="s">
        <v>99</v>
      </c>
      <c r="E11865" s="6" t="s">
        <v>10776</v>
      </c>
      <c r="F11865" s="9" t="s">
        <v>18062</v>
      </c>
    </row>
    <row r="11866" ht="33.75" customHeight="1">
      <c r="A11866" s="7">
        <v>534.0</v>
      </c>
      <c r="B11866" s="9" t="s">
        <v>17009</v>
      </c>
      <c r="C11866" s="9" t="s">
        <v>816</v>
      </c>
      <c r="D11866" s="9" t="s">
        <v>101</v>
      </c>
      <c r="E11866" s="6" t="s">
        <v>10774</v>
      </c>
      <c r="F11866" s="9" t="s">
        <v>18062</v>
      </c>
    </row>
    <row r="11867" ht="33.75" customHeight="1">
      <c r="A11867" s="7">
        <v>534.0</v>
      </c>
      <c r="B11867" s="9" t="s">
        <v>17009</v>
      </c>
      <c r="C11867" s="9" t="s">
        <v>816</v>
      </c>
      <c r="D11867" s="9" t="s">
        <v>105</v>
      </c>
      <c r="E11867" s="6" t="s">
        <v>10776</v>
      </c>
      <c r="F11867" s="9" t="s">
        <v>18062</v>
      </c>
    </row>
    <row r="11868" ht="33.75" customHeight="1">
      <c r="A11868" s="7">
        <v>534.0</v>
      </c>
      <c r="B11868" s="9" t="s">
        <v>17009</v>
      </c>
      <c r="C11868" s="9" t="s">
        <v>816</v>
      </c>
      <c r="D11868" s="9" t="s">
        <v>107</v>
      </c>
      <c r="E11868" s="6" t="s">
        <v>10774</v>
      </c>
      <c r="F11868" s="9" t="s">
        <v>18062</v>
      </c>
    </row>
    <row r="11869" ht="33.75" customHeight="1">
      <c r="A11869" s="7">
        <v>534.0</v>
      </c>
      <c r="B11869" s="9" t="s">
        <v>17009</v>
      </c>
      <c r="C11869" s="9" t="s">
        <v>816</v>
      </c>
      <c r="D11869" s="9" t="s">
        <v>109</v>
      </c>
      <c r="E11869" s="6" t="s">
        <v>10776</v>
      </c>
      <c r="F11869" s="9" t="s">
        <v>18062</v>
      </c>
    </row>
    <row r="11870" ht="33.75" customHeight="1">
      <c r="A11870" s="7">
        <v>534.0</v>
      </c>
      <c r="B11870" s="9" t="s">
        <v>17009</v>
      </c>
      <c r="C11870" s="9" t="s">
        <v>816</v>
      </c>
      <c r="D11870" s="9" t="s">
        <v>114</v>
      </c>
      <c r="E11870" s="6" t="s">
        <v>10777</v>
      </c>
      <c r="F11870" s="9" t="s">
        <v>18062</v>
      </c>
    </row>
    <row r="11871" ht="33.75" customHeight="1">
      <c r="A11871" s="7">
        <v>534.0</v>
      </c>
      <c r="B11871" s="9" t="s">
        <v>17009</v>
      </c>
      <c r="C11871" s="9" t="s">
        <v>816</v>
      </c>
      <c r="D11871" s="9" t="s">
        <v>117</v>
      </c>
      <c r="E11871" s="6" t="s">
        <v>10778</v>
      </c>
      <c r="F11871" s="9" t="s">
        <v>18062</v>
      </c>
    </row>
    <row r="11872" ht="33.75" customHeight="1">
      <c r="A11872" s="7">
        <v>535.0</v>
      </c>
      <c r="B11872" s="9" t="s">
        <v>17015</v>
      </c>
      <c r="C11872" s="9" t="s">
        <v>138</v>
      </c>
      <c r="D11872" s="9" t="s">
        <v>93</v>
      </c>
      <c r="E11872" s="6" t="s">
        <v>10779</v>
      </c>
      <c r="F11872" s="9" t="s">
        <v>18070</v>
      </c>
      <c r="G11872" t="inlineStr" s="6">
        <is>
          <t xml:space="preserve">They warn others of danger by vibrating their cheeks to create a high-pitched sound. By vibrating its cheeks, it emits sound waves imperceptible to humans. It uses the rhythm of these sounds to talk. By vibrating its cheeks, it emits sound waves imperceptible to humans and warns others of danger. Graceful ripples running across the water’s surface are a sure sign that Tympole are singing in high-pitched voices below. It uses sound waves to communicate with others of its kind. People and other Pokémon species can’t hear its cries of warning.</t>
        </is>
      </c>
    </row>
    <row r="11873" ht="33.75" customHeight="1">
      <c r="A11873" s="7">
        <v>535.0</v>
      </c>
      <c r="B11873" s="9" t="s">
        <v>17015</v>
      </c>
      <c r="C11873" s="9" t="s">
        <v>138</v>
      </c>
      <c r="D11873" s="9" t="s">
        <v>95</v>
      </c>
      <c r="E11873" s="6" t="s">
        <v>10780</v>
      </c>
      <c r="F11873" s="9" t="s">
        <v>18070</v>
      </c>
    </row>
    <row r="11874" ht="33.75" customHeight="1">
      <c r="A11874" s="7">
        <v>535.0</v>
      </c>
      <c r="B11874" s="9" t="s">
        <v>17015</v>
      </c>
      <c r="C11874" s="9" t="s">
        <v>138</v>
      </c>
      <c r="D11874" s="9" t="s">
        <v>98</v>
      </c>
      <c r="E11874" s="6" t="s">
        <v>10781</v>
      </c>
      <c r="F11874" s="9" t="s">
        <v>18070</v>
      </c>
    </row>
    <row r="11875" ht="33.75" customHeight="1">
      <c r="A11875" s="7">
        <v>535.0</v>
      </c>
      <c r="B11875" s="9" t="s">
        <v>17015</v>
      </c>
      <c r="C11875" s="9" t="s">
        <v>138</v>
      </c>
      <c r="D11875" s="9" t="s">
        <v>99</v>
      </c>
      <c r="E11875" s="6" t="s">
        <v>10781</v>
      </c>
      <c r="F11875" s="9" t="s">
        <v>18070</v>
      </c>
    </row>
    <row r="11876" ht="33.75" customHeight="1">
      <c r="A11876" s="7">
        <v>535.0</v>
      </c>
      <c r="B11876" s="9" t="s">
        <v>17015</v>
      </c>
      <c r="C11876" s="9" t="s">
        <v>138</v>
      </c>
      <c r="D11876" s="9" t="s">
        <v>101</v>
      </c>
      <c r="E11876" s="6" t="s">
        <v>10781</v>
      </c>
      <c r="F11876" s="9" t="s">
        <v>18070</v>
      </c>
    </row>
    <row r="11877" ht="33.75" customHeight="1">
      <c r="A11877" s="7">
        <v>535.0</v>
      </c>
      <c r="B11877" s="9" t="s">
        <v>17015</v>
      </c>
      <c r="C11877" s="9" t="s">
        <v>138</v>
      </c>
      <c r="D11877" s="9" t="s">
        <v>105</v>
      </c>
      <c r="E11877" s="6" t="s">
        <v>10780</v>
      </c>
      <c r="F11877" s="9" t="s">
        <v>18070</v>
      </c>
    </row>
    <row r="11878" ht="33.75" customHeight="1">
      <c r="A11878" s="7">
        <v>535.0</v>
      </c>
      <c r="B11878" s="9" t="s">
        <v>17015</v>
      </c>
      <c r="C11878" s="9" t="s">
        <v>138</v>
      </c>
      <c r="D11878" s="9" t="s">
        <v>107</v>
      </c>
      <c r="E11878" s="6" t="s">
        <v>10781</v>
      </c>
      <c r="F11878" s="9" t="s">
        <v>18070</v>
      </c>
    </row>
    <row r="11879" ht="33.75" customHeight="1">
      <c r="A11879" s="7">
        <v>535.0</v>
      </c>
      <c r="B11879" s="9" t="s">
        <v>17015</v>
      </c>
      <c r="C11879" s="9" t="s">
        <v>138</v>
      </c>
      <c r="D11879" s="9" t="s">
        <v>109</v>
      </c>
      <c r="E11879" s="6" t="s">
        <v>10780</v>
      </c>
      <c r="F11879" s="9" t="s">
        <v>18070</v>
      </c>
    </row>
    <row r="11880" ht="33.75" customHeight="1">
      <c r="A11880" s="7">
        <v>535.0</v>
      </c>
      <c r="B11880" s="9" t="s">
        <v>17015</v>
      </c>
      <c r="C11880" s="9" t="s">
        <v>138</v>
      </c>
      <c r="D11880" s="9" t="s">
        <v>114</v>
      </c>
      <c r="E11880" s="6" t="s">
        <v>10782</v>
      </c>
      <c r="F11880" s="9" t="s">
        <v>18070</v>
      </c>
    </row>
    <row r="11881" ht="33.75" customHeight="1">
      <c r="A11881" s="7">
        <v>535.0</v>
      </c>
      <c r="B11881" s="9" t="s">
        <v>17015</v>
      </c>
      <c r="C11881" s="9" t="s">
        <v>138</v>
      </c>
      <c r="D11881" s="9" t="s">
        <v>117</v>
      </c>
      <c r="E11881" s="6" t="s">
        <v>10783</v>
      </c>
      <c r="F11881" s="9" t="s">
        <v>18070</v>
      </c>
    </row>
    <row r="11882" ht="33.75" customHeight="1">
      <c r="A11882" s="7">
        <v>536.0</v>
      </c>
      <c r="B11882" s="9" t="s">
        <v>17022</v>
      </c>
      <c r="C11882" s="9" t="s">
        <v>498</v>
      </c>
      <c r="D11882" s="9" t="s">
        <v>93</v>
      </c>
      <c r="E11882" s="6" t="s">
        <v>10784</v>
      </c>
      <c r="F11882" s="9" t="s">
        <v>18081</v>
      </c>
      <c r="G11882" t="inlineStr" s="6">
        <is>
          <t xml:space="preserve">When they vibrate the bumps on their heads, they can make waves in water or earthquake-like vibrations on land. It lives in the water and on land. It uses its long, sticky tongue to capture prey. It uses its long, sticky tongue to immobilize its opponents. It weakens its prey with sound waves intense enough to cause headaches, then entangles them with its sticky tongue. On occasion, their cries are sublimely pleasing to the ear. Palpitoad with larger lumps on their bodies can sing with a wider range of sounds.</t>
        </is>
      </c>
    </row>
    <row r="11883" ht="33.75" customHeight="1">
      <c r="A11883" s="7">
        <v>536.0</v>
      </c>
      <c r="B11883" s="9" t="s">
        <v>17022</v>
      </c>
      <c r="C11883" s="9" t="s">
        <v>498</v>
      </c>
      <c r="D11883" s="9" t="s">
        <v>95</v>
      </c>
      <c r="E11883" s="6" t="s">
        <v>10786</v>
      </c>
      <c r="F11883" s="9" t="s">
        <v>18081</v>
      </c>
    </row>
    <row r="11884" ht="33.75" customHeight="1">
      <c r="A11884" s="7">
        <v>536.0</v>
      </c>
      <c r="B11884" s="9" t="s">
        <v>17022</v>
      </c>
      <c r="C11884" s="9" t="s">
        <v>498</v>
      </c>
      <c r="D11884" s="9" t="s">
        <v>98</v>
      </c>
      <c r="E11884" s="6" t="s">
        <v>10787</v>
      </c>
      <c r="F11884" s="9" t="s">
        <v>18081</v>
      </c>
    </row>
    <row r="11885" ht="33.75" customHeight="1">
      <c r="A11885" s="7">
        <v>536.0</v>
      </c>
      <c r="B11885" s="9" t="s">
        <v>17022</v>
      </c>
      <c r="C11885" s="9" t="s">
        <v>498</v>
      </c>
      <c r="D11885" s="9" t="s">
        <v>99</v>
      </c>
      <c r="E11885" s="6" t="s">
        <v>10787</v>
      </c>
      <c r="F11885" s="9" t="s">
        <v>18081</v>
      </c>
    </row>
    <row r="11886" ht="33.75" customHeight="1">
      <c r="A11886" s="7">
        <v>536.0</v>
      </c>
      <c r="B11886" s="9" t="s">
        <v>17022</v>
      </c>
      <c r="C11886" s="9" t="s">
        <v>498</v>
      </c>
      <c r="D11886" s="9" t="s">
        <v>101</v>
      </c>
      <c r="E11886" s="6" t="s">
        <v>10784</v>
      </c>
      <c r="F11886" s="9" t="s">
        <v>18081</v>
      </c>
    </row>
    <row r="11887" ht="33.75" customHeight="1">
      <c r="A11887" s="7">
        <v>536.0</v>
      </c>
      <c r="B11887" s="9" t="s">
        <v>17022</v>
      </c>
      <c r="C11887" s="9" t="s">
        <v>498</v>
      </c>
      <c r="D11887" s="9" t="s">
        <v>105</v>
      </c>
      <c r="E11887" s="6" t="s">
        <v>10787</v>
      </c>
      <c r="F11887" s="9" t="s">
        <v>18081</v>
      </c>
    </row>
    <row r="11888" ht="33.75" customHeight="1">
      <c r="A11888" s="7">
        <v>536.0</v>
      </c>
      <c r="B11888" s="9" t="s">
        <v>17022</v>
      </c>
      <c r="C11888" s="9" t="s">
        <v>498</v>
      </c>
      <c r="D11888" s="9" t="s">
        <v>107</v>
      </c>
      <c r="E11888" s="6" t="s">
        <v>10784</v>
      </c>
      <c r="F11888" s="9" t="s">
        <v>18081</v>
      </c>
    </row>
    <row r="11889" ht="33.75" customHeight="1">
      <c r="A11889" s="7">
        <v>536.0</v>
      </c>
      <c r="B11889" s="9" t="s">
        <v>17022</v>
      </c>
      <c r="C11889" s="9" t="s">
        <v>498</v>
      </c>
      <c r="D11889" s="9" t="s">
        <v>109</v>
      </c>
      <c r="E11889" s="6" t="s">
        <v>10787</v>
      </c>
      <c r="F11889" s="9" t="s">
        <v>18081</v>
      </c>
    </row>
    <row r="11890" ht="33.75" customHeight="1">
      <c r="A11890" s="7">
        <v>536.0</v>
      </c>
      <c r="B11890" s="9" t="s">
        <v>17022</v>
      </c>
      <c r="C11890" s="9" t="s">
        <v>498</v>
      </c>
      <c r="D11890" s="9" t="s">
        <v>114</v>
      </c>
      <c r="E11890" s="6" t="s">
        <v>10788</v>
      </c>
      <c r="F11890" s="9" t="s">
        <v>18081</v>
      </c>
    </row>
    <row r="11891" ht="33.75" customHeight="1">
      <c r="A11891" s="7">
        <v>536.0</v>
      </c>
      <c r="B11891" s="9" t="s">
        <v>17022</v>
      </c>
      <c r="C11891" s="9" t="s">
        <v>498</v>
      </c>
      <c r="D11891" s="9" t="s">
        <v>117</v>
      </c>
      <c r="E11891" s="6" t="s">
        <v>10790</v>
      </c>
      <c r="F11891" s="9" t="s">
        <v>18081</v>
      </c>
    </row>
    <row r="11892" ht="33.75" customHeight="1">
      <c r="A11892" s="7">
        <v>537.0</v>
      </c>
      <c r="B11892" s="9" t="s">
        <v>17028</v>
      </c>
      <c r="C11892" s="9" t="s">
        <v>498</v>
      </c>
      <c r="D11892" s="9" t="s">
        <v>93</v>
      </c>
      <c r="E11892" s="6" t="s">
        <v>10792</v>
      </c>
      <c r="F11892" s="9" t="s">
        <v>18096</v>
      </c>
      <c r="G11892" t="inlineStr" s="6">
        <is>
          <t xml:space="preserve">They shoot paralyzing liquid from their head bumps. They use vibration to hurt their opponents. It increases the power of its punches by vibrating the bumps on its fists. It can turn a boulder to rubble with one punch. By putting power into its bumps, it creates vibrations and increases the power of its punches. The vibrating of the bumps all over its body causes earthquake-like tremors. Seismitoad and Croagunk are similar species. This Pokémon is popular among the elderly, who say the vibrations of its lumps are great for massages.</t>
        </is>
      </c>
    </row>
    <row r="11893" ht="33.75" customHeight="1">
      <c r="A11893" s="7">
        <v>537.0</v>
      </c>
      <c r="B11893" s="9" t="s">
        <v>17028</v>
      </c>
      <c r="C11893" s="9" t="s">
        <v>498</v>
      </c>
      <c r="D11893" s="9" t="s">
        <v>95</v>
      </c>
      <c r="E11893" s="6" t="s">
        <v>10794</v>
      </c>
      <c r="F11893" s="9" t="s">
        <v>18096</v>
      </c>
    </row>
    <row r="11894" ht="33.75" customHeight="1">
      <c r="A11894" s="7">
        <v>537.0</v>
      </c>
      <c r="B11894" s="9" t="s">
        <v>17028</v>
      </c>
      <c r="C11894" s="9" t="s">
        <v>498</v>
      </c>
      <c r="D11894" s="9" t="s">
        <v>98</v>
      </c>
      <c r="E11894" s="6" t="s">
        <v>10797</v>
      </c>
      <c r="F11894" s="9" t="s">
        <v>18096</v>
      </c>
    </row>
    <row r="11895" ht="33.75" customHeight="1">
      <c r="A11895" s="7">
        <v>537.0</v>
      </c>
      <c r="B11895" s="9" t="s">
        <v>17028</v>
      </c>
      <c r="C11895" s="9" t="s">
        <v>498</v>
      </c>
      <c r="D11895" s="9" t="s">
        <v>99</v>
      </c>
      <c r="E11895" s="6" t="s">
        <v>10797</v>
      </c>
      <c r="F11895" s="9" t="s">
        <v>18096</v>
      </c>
    </row>
    <row r="11896" ht="33.75" customHeight="1">
      <c r="A11896" s="7">
        <v>537.0</v>
      </c>
      <c r="B11896" s="9" t="s">
        <v>17028</v>
      </c>
      <c r="C11896" s="9" t="s">
        <v>498</v>
      </c>
      <c r="D11896" s="9" t="s">
        <v>101</v>
      </c>
      <c r="E11896" s="6" t="s">
        <v>10794</v>
      </c>
      <c r="F11896" s="9" t="s">
        <v>18096</v>
      </c>
    </row>
    <row r="11897" ht="33.75" customHeight="1">
      <c r="A11897" s="7">
        <v>537.0</v>
      </c>
      <c r="B11897" s="9" t="s">
        <v>17028</v>
      </c>
      <c r="C11897" s="9" t="s">
        <v>498</v>
      </c>
      <c r="D11897" s="9" t="s">
        <v>105</v>
      </c>
      <c r="E11897" s="6" t="s">
        <v>10792</v>
      </c>
      <c r="F11897" s="9" t="s">
        <v>18096</v>
      </c>
    </row>
    <row r="11898" ht="33.75" customHeight="1">
      <c r="A11898" s="7">
        <v>537.0</v>
      </c>
      <c r="B11898" s="9" t="s">
        <v>17028</v>
      </c>
      <c r="C11898" s="9" t="s">
        <v>498</v>
      </c>
      <c r="D11898" s="9" t="s">
        <v>107</v>
      </c>
      <c r="E11898" s="6" t="s">
        <v>10794</v>
      </c>
      <c r="F11898" s="9" t="s">
        <v>18096</v>
      </c>
    </row>
    <row r="11899" ht="33.75" customHeight="1">
      <c r="A11899" s="7">
        <v>537.0</v>
      </c>
      <c r="B11899" s="9" t="s">
        <v>17028</v>
      </c>
      <c r="C11899" s="9" t="s">
        <v>498</v>
      </c>
      <c r="D11899" s="9" t="s">
        <v>109</v>
      </c>
      <c r="E11899" s="6" t="s">
        <v>10792</v>
      </c>
      <c r="F11899" s="9" t="s">
        <v>18096</v>
      </c>
    </row>
    <row r="11900" ht="33.75" customHeight="1">
      <c r="A11900" s="7">
        <v>537.0</v>
      </c>
      <c r="B11900" s="9" t="s">
        <v>17028</v>
      </c>
      <c r="C11900" s="9" t="s">
        <v>498</v>
      </c>
      <c r="D11900" s="9" t="s">
        <v>114</v>
      </c>
      <c r="E11900" s="6" t="s">
        <v>10798</v>
      </c>
      <c r="F11900" s="9" t="s">
        <v>18096</v>
      </c>
    </row>
    <row r="11901" ht="33.75" customHeight="1">
      <c r="A11901" s="7">
        <v>537.0</v>
      </c>
      <c r="B11901" s="9" t="s">
        <v>17028</v>
      </c>
      <c r="C11901" s="9" t="s">
        <v>498</v>
      </c>
      <c r="D11901" s="9" t="s">
        <v>117</v>
      </c>
      <c r="E11901" s="6" t="s">
        <v>10800</v>
      </c>
      <c r="F11901" s="9" t="s">
        <v>18096</v>
      </c>
    </row>
    <row r="11902" ht="33.75" customHeight="1">
      <c r="A11902" s="7">
        <v>538.0</v>
      </c>
      <c r="B11902" s="9" t="s">
        <v>17035</v>
      </c>
      <c r="C11902" s="9" t="s">
        <v>817</v>
      </c>
      <c r="D11902" s="9" t="s">
        <v>93</v>
      </c>
      <c r="E11902" s="6" t="s">
        <v>10802</v>
      </c>
      <c r="F11902" s="9" t="s">
        <v>18104</v>
      </c>
      <c r="G11902" t="inlineStr" s="6">
        <is>
          <t xml:space="preserve">When it tightens Throh's belt, it becomes stronger. Wild Throh use vines to weave their own belts. When they encounter foes bigger than themselves, they try to throw them. They always travel in packs of five. When it encounters a foe bigger than itself, it wants to throw it. It changes belts as it gets stronger. It performs throwing moves with first-rate skill. Over the course of many battles, Throh’s belt grows darker as it absorbs its wearer’s sweat. They train in groups of five. Any member that can’t keep up will discard its belt and leave the group.</t>
        </is>
      </c>
    </row>
    <row r="11903" ht="33.75" customHeight="1">
      <c r="A11903" s="7">
        <v>538.0</v>
      </c>
      <c r="B11903" s="9" t="s">
        <v>17035</v>
      </c>
      <c r="C11903" s="9" t="s">
        <v>817</v>
      </c>
      <c r="D11903" s="9" t="s">
        <v>95</v>
      </c>
      <c r="E11903" s="6" t="s">
        <v>10804</v>
      </c>
      <c r="F11903" s="9" t="s">
        <v>18104</v>
      </c>
    </row>
    <row r="11904" ht="33.75" customHeight="1">
      <c r="A11904" s="7">
        <v>538.0</v>
      </c>
      <c r="B11904" s="9" t="s">
        <v>17035</v>
      </c>
      <c r="C11904" s="9" t="s">
        <v>817</v>
      </c>
      <c r="D11904" s="9" t="s">
        <v>98</v>
      </c>
      <c r="E11904" s="6" t="s">
        <v>10805</v>
      </c>
      <c r="F11904" s="9" t="s">
        <v>18104</v>
      </c>
    </row>
    <row r="11905" ht="33.75" customHeight="1">
      <c r="A11905" s="7">
        <v>538.0</v>
      </c>
      <c r="B11905" s="9" t="s">
        <v>17035</v>
      </c>
      <c r="C11905" s="9" t="s">
        <v>817</v>
      </c>
      <c r="D11905" s="9" t="s">
        <v>99</v>
      </c>
      <c r="E11905" s="6" t="s">
        <v>10805</v>
      </c>
      <c r="F11905" s="9" t="s">
        <v>18104</v>
      </c>
    </row>
    <row r="11906" ht="33.75" customHeight="1">
      <c r="A11906" s="7">
        <v>538.0</v>
      </c>
      <c r="B11906" s="9" t="s">
        <v>17035</v>
      </c>
      <c r="C11906" s="9" t="s">
        <v>817</v>
      </c>
      <c r="D11906" s="9" t="s">
        <v>101</v>
      </c>
      <c r="E11906" s="6" t="s">
        <v>10802</v>
      </c>
      <c r="F11906" s="9" t="s">
        <v>18104</v>
      </c>
    </row>
    <row r="11907" ht="33.75" customHeight="1">
      <c r="A11907" s="7">
        <v>538.0</v>
      </c>
      <c r="B11907" s="9" t="s">
        <v>17035</v>
      </c>
      <c r="C11907" s="9" t="s">
        <v>817</v>
      </c>
      <c r="D11907" s="9" t="s">
        <v>105</v>
      </c>
      <c r="E11907" s="6" t="s">
        <v>10805</v>
      </c>
      <c r="F11907" s="9" t="s">
        <v>18104</v>
      </c>
    </row>
    <row r="11908" ht="33.75" customHeight="1">
      <c r="A11908" s="7">
        <v>538.0</v>
      </c>
      <c r="B11908" s="9" t="s">
        <v>17035</v>
      </c>
      <c r="C11908" s="9" t="s">
        <v>817</v>
      </c>
      <c r="D11908" s="9" t="s">
        <v>107</v>
      </c>
      <c r="E11908" s="6" t="s">
        <v>10802</v>
      </c>
      <c r="F11908" s="9" t="s">
        <v>18104</v>
      </c>
    </row>
    <row r="11909" ht="33.75" customHeight="1">
      <c r="A11909" s="7">
        <v>538.0</v>
      </c>
      <c r="B11909" s="9" t="s">
        <v>17035</v>
      </c>
      <c r="C11909" s="9" t="s">
        <v>817</v>
      </c>
      <c r="D11909" s="9" t="s">
        <v>109</v>
      </c>
      <c r="E11909" s="6" t="s">
        <v>10805</v>
      </c>
      <c r="F11909" s="9" t="s">
        <v>18104</v>
      </c>
    </row>
    <row r="11910" ht="33.75" customHeight="1">
      <c r="A11910" s="7">
        <v>538.0</v>
      </c>
      <c r="B11910" s="9" t="s">
        <v>17035</v>
      </c>
      <c r="C11910" s="9" t="s">
        <v>817</v>
      </c>
      <c r="D11910" s="9" t="s">
        <v>114</v>
      </c>
      <c r="E11910" s="6" t="s">
        <v>10806</v>
      </c>
      <c r="F11910" s="9" t="s">
        <v>18104</v>
      </c>
    </row>
    <row r="11911" ht="33.75" customHeight="1">
      <c r="A11911" s="7">
        <v>538.0</v>
      </c>
      <c r="B11911" s="9" t="s">
        <v>17035</v>
      </c>
      <c r="C11911" s="9" t="s">
        <v>817</v>
      </c>
      <c r="D11911" s="9" t="s">
        <v>117</v>
      </c>
      <c r="E11911" s="6" t="s">
        <v>10808</v>
      </c>
      <c r="F11911" s="9" t="s">
        <v>18104</v>
      </c>
    </row>
    <row r="11912" ht="33.75" customHeight="1">
      <c r="A11912" s="7">
        <v>539.0</v>
      </c>
      <c r="B11912" s="9" t="s">
        <v>17042</v>
      </c>
      <c r="C11912" s="9" t="s">
        <v>818</v>
      </c>
      <c r="D11912" s="9" t="s">
        <v>93</v>
      </c>
      <c r="E11912" s="6" t="s">
        <v>10809</v>
      </c>
      <c r="F11912" s="9" t="s">
        <v>18117</v>
      </c>
      <c r="G11912" t="inlineStr" s="6">
        <is>
          <t xml:space="preserve">The sound of Sawk punching boulders and trees can be heard all the way from the mountains where they train. Tying their belts gets them pumped and makes their punches more destructive. Disturbing their training angers them. Desiring the strongest karate chop, they seclude themselves in mountains and train without sleeping. If you see a Sawk training in the mountains in its single-minded pursuit of strength, it’s best to quietly pass by. The karate chops of a Sawk that’s trained itself to the limit can cleave the ocean itself.</t>
        </is>
      </c>
    </row>
    <row r="11913" ht="33.75" customHeight="1">
      <c r="A11913" s="7">
        <v>539.0</v>
      </c>
      <c r="B11913" s="9" t="s">
        <v>17042</v>
      </c>
      <c r="C11913" s="9" t="s">
        <v>818</v>
      </c>
      <c r="D11913" s="9" t="s">
        <v>95</v>
      </c>
      <c r="E11913" s="6" t="s">
        <v>10810</v>
      </c>
      <c r="F11913" s="9" t="s">
        <v>18117</v>
      </c>
    </row>
    <row r="11914" ht="33.75" customHeight="1">
      <c r="A11914" s="7">
        <v>539.0</v>
      </c>
      <c r="B11914" s="9" t="s">
        <v>17042</v>
      </c>
      <c r="C11914" s="9" t="s">
        <v>818</v>
      </c>
      <c r="D11914" s="9" t="s">
        <v>98</v>
      </c>
      <c r="E11914" s="6" t="s">
        <v>10811</v>
      </c>
      <c r="F11914" s="9" t="s">
        <v>18117</v>
      </c>
    </row>
    <row r="11915" ht="33.75" customHeight="1">
      <c r="A11915" s="7">
        <v>539.0</v>
      </c>
      <c r="B11915" s="9" t="s">
        <v>17042</v>
      </c>
      <c r="C11915" s="9" t="s">
        <v>818</v>
      </c>
      <c r="D11915" s="9" t="s">
        <v>99</v>
      </c>
      <c r="E11915" s="6" t="s">
        <v>10811</v>
      </c>
      <c r="F11915" s="9" t="s">
        <v>18117</v>
      </c>
    </row>
    <row r="11916" ht="33.75" customHeight="1">
      <c r="A11916" s="7">
        <v>539.0</v>
      </c>
      <c r="B11916" s="9" t="s">
        <v>17042</v>
      </c>
      <c r="C11916" s="9" t="s">
        <v>818</v>
      </c>
      <c r="D11916" s="9" t="s">
        <v>101</v>
      </c>
      <c r="E11916" s="6" t="s">
        <v>10811</v>
      </c>
      <c r="F11916" s="9" t="s">
        <v>18117</v>
      </c>
    </row>
    <row r="11917" ht="33.75" customHeight="1">
      <c r="A11917" s="7">
        <v>539.0</v>
      </c>
      <c r="B11917" s="9" t="s">
        <v>17042</v>
      </c>
      <c r="C11917" s="9" t="s">
        <v>818</v>
      </c>
      <c r="D11917" s="9" t="s">
        <v>105</v>
      </c>
      <c r="E11917" s="6" t="s">
        <v>10810</v>
      </c>
      <c r="F11917" s="9" t="s">
        <v>18117</v>
      </c>
    </row>
    <row r="11918" ht="33.75" customHeight="1">
      <c r="A11918" s="7">
        <v>539.0</v>
      </c>
      <c r="B11918" s="9" t="s">
        <v>17042</v>
      </c>
      <c r="C11918" s="9" t="s">
        <v>818</v>
      </c>
      <c r="D11918" s="9" t="s">
        <v>107</v>
      </c>
      <c r="E11918" s="6" t="s">
        <v>10811</v>
      </c>
      <c r="F11918" s="9" t="s">
        <v>18117</v>
      </c>
    </row>
    <row r="11919" ht="33.75" customHeight="1">
      <c r="A11919" s="7">
        <v>539.0</v>
      </c>
      <c r="B11919" s="9" t="s">
        <v>17042</v>
      </c>
      <c r="C11919" s="9" t="s">
        <v>818</v>
      </c>
      <c r="D11919" s="9" t="s">
        <v>109</v>
      </c>
      <c r="E11919" s="6" t="s">
        <v>10810</v>
      </c>
      <c r="F11919" s="9" t="s">
        <v>18117</v>
      </c>
    </row>
    <row r="11920" ht="33.75" customHeight="1">
      <c r="A11920" s="7">
        <v>539.0</v>
      </c>
      <c r="B11920" s="9" t="s">
        <v>17042</v>
      </c>
      <c r="C11920" s="9" t="s">
        <v>818</v>
      </c>
      <c r="D11920" s="9" t="s">
        <v>114</v>
      </c>
      <c r="E11920" s="6" t="s">
        <v>10813</v>
      </c>
      <c r="F11920" s="9" t="s">
        <v>18117</v>
      </c>
    </row>
    <row r="11921" ht="33.75" customHeight="1">
      <c r="A11921" s="7">
        <v>539.0</v>
      </c>
      <c r="B11921" s="9" t="s">
        <v>17042</v>
      </c>
      <c r="C11921" s="9" t="s">
        <v>818</v>
      </c>
      <c r="D11921" s="9" t="s">
        <v>117</v>
      </c>
      <c r="E11921" s="6" t="s">
        <v>10814</v>
      </c>
      <c r="F11921" s="9" t="s">
        <v>18117</v>
      </c>
    </row>
    <row r="11922" ht="33.75" customHeight="1">
      <c r="A11922" s="7">
        <v>540.0</v>
      </c>
      <c r="B11922" s="9" t="s">
        <v>17050</v>
      </c>
      <c r="C11922" s="9" t="s">
        <v>822</v>
      </c>
      <c r="D11922" s="9" t="s">
        <v>93</v>
      </c>
      <c r="E11922" s="6" t="s">
        <v>10815</v>
      </c>
      <c r="F11922" s="9" t="s">
        <v>18130</v>
      </c>
      <c r="G11922" t="inlineStr" s="6">
        <is>
          <t xml:space="preserve">Leavanny dress it in clothes they made for it when it hatched. It hides its head in its hood while it is sleeping. This Pokémon makes clothes for itself. It chews up leaves and sews them with sticky thread extruded from its mouth. Since this Pokémon makes its own clothes out of leaves, it is a popular mascot for fashion designers.</t>
        </is>
      </c>
    </row>
    <row r="11923" ht="33.75" customHeight="1">
      <c r="A11923" s="7">
        <v>540.0</v>
      </c>
      <c r="B11923" s="9" t="s">
        <v>17050</v>
      </c>
      <c r="C11923" s="9" t="s">
        <v>822</v>
      </c>
      <c r="D11923" s="9" t="s">
        <v>95</v>
      </c>
      <c r="E11923" s="6" t="s">
        <v>10816</v>
      </c>
      <c r="F11923" s="9" t="s">
        <v>18130</v>
      </c>
    </row>
    <row r="11924" ht="33.75" customHeight="1">
      <c r="A11924" s="7">
        <v>540.0</v>
      </c>
      <c r="B11924" s="9" t="s">
        <v>17050</v>
      </c>
      <c r="C11924" s="9" t="s">
        <v>822</v>
      </c>
      <c r="D11924" s="9" t="s">
        <v>98</v>
      </c>
      <c r="E11924" s="6" t="s">
        <v>10817</v>
      </c>
      <c r="F11924" s="9" t="s">
        <v>18130</v>
      </c>
    </row>
    <row r="11925" ht="33.75" customHeight="1">
      <c r="A11925" s="7">
        <v>540.0</v>
      </c>
      <c r="B11925" s="9" t="s">
        <v>17050</v>
      </c>
      <c r="C11925" s="9" t="s">
        <v>822</v>
      </c>
      <c r="D11925" s="9" t="s">
        <v>99</v>
      </c>
      <c r="E11925" s="6" t="s">
        <v>10817</v>
      </c>
      <c r="F11925" s="9" t="s">
        <v>18130</v>
      </c>
    </row>
    <row r="11926" ht="33.75" customHeight="1">
      <c r="A11926" s="7">
        <v>540.0</v>
      </c>
      <c r="B11926" s="9" t="s">
        <v>17050</v>
      </c>
      <c r="C11926" s="9" t="s">
        <v>822</v>
      </c>
      <c r="D11926" s="9" t="s">
        <v>101</v>
      </c>
      <c r="E11926" s="6" t="s">
        <v>10816</v>
      </c>
      <c r="F11926" s="9" t="s">
        <v>18130</v>
      </c>
    </row>
    <row r="11927" ht="33.75" customHeight="1">
      <c r="A11927" s="7">
        <v>540.0</v>
      </c>
      <c r="B11927" s="9" t="s">
        <v>17050</v>
      </c>
      <c r="C11927" s="9" t="s">
        <v>822</v>
      </c>
      <c r="D11927" s="9" t="s">
        <v>105</v>
      </c>
      <c r="E11927" s="6" t="s">
        <v>10817</v>
      </c>
      <c r="F11927" s="9" t="s">
        <v>18130</v>
      </c>
    </row>
    <row r="11928" ht="33.75" customHeight="1">
      <c r="A11928" s="7">
        <v>540.0</v>
      </c>
      <c r="B11928" s="9" t="s">
        <v>17050</v>
      </c>
      <c r="C11928" s="9" t="s">
        <v>822</v>
      </c>
      <c r="D11928" s="9" t="s">
        <v>107</v>
      </c>
      <c r="E11928" s="6" t="s">
        <v>10816</v>
      </c>
      <c r="F11928" s="9" t="s">
        <v>18130</v>
      </c>
    </row>
    <row r="11929" ht="33.75" customHeight="1">
      <c r="A11929" s="7">
        <v>540.0</v>
      </c>
      <c r="B11929" s="9" t="s">
        <v>17050</v>
      </c>
      <c r="C11929" s="9" t="s">
        <v>822</v>
      </c>
      <c r="D11929" s="9" t="s">
        <v>109</v>
      </c>
      <c r="E11929" s="6" t="s">
        <v>10817</v>
      </c>
      <c r="F11929" s="9" t="s">
        <v>18130</v>
      </c>
    </row>
    <row r="11930" ht="33.75" customHeight="1">
      <c r="A11930" s="7">
        <v>541.0</v>
      </c>
      <c r="B11930" s="9" t="s">
        <v>17056</v>
      </c>
      <c r="C11930" s="9" t="s">
        <v>823</v>
      </c>
      <c r="D11930" s="9" t="s">
        <v>93</v>
      </c>
      <c r="E11930" s="6" t="s">
        <v>10818</v>
      </c>
      <c r="F11930" s="9" t="s">
        <v>18146</v>
      </c>
      <c r="G11930" t="inlineStr" s="6">
        <is>
          <t xml:space="preserve">Forests where Swadloon live have superb foliage because the nutrients they make from fallen leaves nourish the plant life. It protects itself from the cold by wrapping up in leaves. It stays on the move, eating leaves in forests. Preferring dark, damp places, it spends the entire day eating fallen leaves that lie around it.</t>
        </is>
      </c>
    </row>
    <row r="11931" ht="33.75" customHeight="1">
      <c r="A11931" s="7">
        <v>541.0</v>
      </c>
      <c r="B11931" s="9" t="s">
        <v>17056</v>
      </c>
      <c r="C11931" s="9" t="s">
        <v>823</v>
      </c>
      <c r="D11931" s="9" t="s">
        <v>95</v>
      </c>
      <c r="E11931" s="6" t="s">
        <v>10820</v>
      </c>
      <c r="F11931" s="9" t="s">
        <v>18146</v>
      </c>
    </row>
    <row r="11932" ht="33.75" customHeight="1">
      <c r="A11932" s="7">
        <v>541.0</v>
      </c>
      <c r="B11932" s="9" t="s">
        <v>17056</v>
      </c>
      <c r="C11932" s="9" t="s">
        <v>823</v>
      </c>
      <c r="D11932" s="9" t="s">
        <v>98</v>
      </c>
      <c r="E11932" s="6" t="s">
        <v>10821</v>
      </c>
      <c r="F11932" s="9" t="s">
        <v>18146</v>
      </c>
    </row>
    <row r="11933" ht="33.75" customHeight="1">
      <c r="A11933" s="7">
        <v>541.0</v>
      </c>
      <c r="B11933" s="9" t="s">
        <v>17056</v>
      </c>
      <c r="C11933" s="9" t="s">
        <v>823</v>
      </c>
      <c r="D11933" s="9" t="s">
        <v>99</v>
      </c>
      <c r="E11933" s="6" t="s">
        <v>10821</v>
      </c>
      <c r="F11933" s="9" t="s">
        <v>18146</v>
      </c>
    </row>
    <row r="11934" ht="33.75" customHeight="1">
      <c r="A11934" s="7">
        <v>541.0</v>
      </c>
      <c r="B11934" s="9" t="s">
        <v>17056</v>
      </c>
      <c r="C11934" s="9" t="s">
        <v>823</v>
      </c>
      <c r="D11934" s="9" t="s">
        <v>101</v>
      </c>
      <c r="E11934" s="6" t="s">
        <v>10818</v>
      </c>
      <c r="F11934" s="9" t="s">
        <v>18146</v>
      </c>
    </row>
    <row r="11935" ht="33.75" customHeight="1">
      <c r="A11935" s="7">
        <v>541.0</v>
      </c>
      <c r="B11935" s="9" t="s">
        <v>17056</v>
      </c>
      <c r="C11935" s="9" t="s">
        <v>823</v>
      </c>
      <c r="D11935" s="9" t="s">
        <v>105</v>
      </c>
      <c r="E11935" s="6" t="s">
        <v>10820</v>
      </c>
      <c r="F11935" s="9" t="s">
        <v>18146</v>
      </c>
    </row>
    <row r="11936" ht="33.75" customHeight="1">
      <c r="A11936" s="7">
        <v>541.0</v>
      </c>
      <c r="B11936" s="9" t="s">
        <v>17056</v>
      </c>
      <c r="C11936" s="9" t="s">
        <v>823</v>
      </c>
      <c r="D11936" s="9" t="s">
        <v>107</v>
      </c>
      <c r="E11936" s="6" t="s">
        <v>10818</v>
      </c>
      <c r="F11936" s="9" t="s">
        <v>18146</v>
      </c>
    </row>
    <row r="11937" ht="33.75" customHeight="1">
      <c r="A11937" s="7">
        <v>541.0</v>
      </c>
      <c r="B11937" s="9" t="s">
        <v>17056</v>
      </c>
      <c r="C11937" s="9" t="s">
        <v>823</v>
      </c>
      <c r="D11937" s="9" t="s">
        <v>109</v>
      </c>
      <c r="E11937" s="6" t="s">
        <v>10820</v>
      </c>
      <c r="F11937" s="9" t="s">
        <v>18146</v>
      </c>
    </row>
    <row r="11938" ht="33.75" customHeight="1">
      <c r="A11938" s="7">
        <v>542.0</v>
      </c>
      <c r="B11938" s="9" t="s">
        <v>17061</v>
      </c>
      <c r="C11938" s="9" t="s">
        <v>826</v>
      </c>
      <c r="D11938" s="9" t="s">
        <v>93</v>
      </c>
      <c r="E11938" s="6" t="s">
        <v>10822</v>
      </c>
      <c r="F11938" s="9" t="s">
        <v>18157</v>
      </c>
      <c r="G11938" t="inlineStr" s="6">
        <is>
          <t xml:space="preserve">Upon finding a small Pokémon, it weaves clothing for it from leaves, using the cutters on Leavanny's arms and sticky silk. It keeps its eggs warm with heat from fermenting leaves. It also uses leaves to make warm wrappings for Sewaddle. Upon finding a small Pokémon, it weaves clothing for it from leaves by using the sticky silk secreted from its mouth.</t>
        </is>
      </c>
    </row>
    <row r="11939" ht="33.75" customHeight="1">
      <c r="A11939" s="7">
        <v>542.0</v>
      </c>
      <c r="B11939" s="9" t="s">
        <v>17061</v>
      </c>
      <c r="C11939" s="9" t="s">
        <v>826</v>
      </c>
      <c r="D11939" s="9" t="s">
        <v>95</v>
      </c>
      <c r="E11939" s="6" t="s">
        <v>10823</v>
      </c>
      <c r="F11939" s="9" t="s">
        <v>18157</v>
      </c>
    </row>
    <row r="11940" ht="33.75" customHeight="1">
      <c r="A11940" s="7">
        <v>542.0</v>
      </c>
      <c r="B11940" s="9" t="s">
        <v>17061</v>
      </c>
      <c r="C11940" s="9" t="s">
        <v>826</v>
      </c>
      <c r="D11940" s="9" t="s">
        <v>98</v>
      </c>
      <c r="E11940" s="6" t="s">
        <v>10825</v>
      </c>
      <c r="F11940" s="9" t="s">
        <v>18157</v>
      </c>
    </row>
    <row r="11941" ht="33.75" customHeight="1">
      <c r="A11941" s="7">
        <v>542.0</v>
      </c>
      <c r="B11941" s="9" t="s">
        <v>17061</v>
      </c>
      <c r="C11941" s="9" t="s">
        <v>826</v>
      </c>
      <c r="D11941" s="9" t="s">
        <v>99</v>
      </c>
      <c r="E11941" s="6" t="s">
        <v>10825</v>
      </c>
      <c r="F11941" s="9" t="s">
        <v>18157</v>
      </c>
    </row>
    <row r="11942" ht="33.75" customHeight="1">
      <c r="A11942" s="7">
        <v>542.0</v>
      </c>
      <c r="B11942" s="9" t="s">
        <v>17061</v>
      </c>
      <c r="C11942" s="9" t="s">
        <v>826</v>
      </c>
      <c r="D11942" s="9" t="s">
        <v>101</v>
      </c>
      <c r="E11942" s="6" t="s">
        <v>10825</v>
      </c>
      <c r="F11942" s="9" t="s">
        <v>18157</v>
      </c>
    </row>
    <row r="11943" ht="33.75" customHeight="1">
      <c r="A11943" s="7">
        <v>542.0</v>
      </c>
      <c r="B11943" s="9" t="s">
        <v>17061</v>
      </c>
      <c r="C11943" s="9" t="s">
        <v>826</v>
      </c>
      <c r="D11943" s="9" t="s">
        <v>105</v>
      </c>
      <c r="E11943" s="6" t="s">
        <v>10823</v>
      </c>
      <c r="F11943" s="9" t="s">
        <v>18157</v>
      </c>
    </row>
    <row r="11944" ht="33.75" customHeight="1">
      <c r="A11944" s="7">
        <v>542.0</v>
      </c>
      <c r="B11944" s="9" t="s">
        <v>17061</v>
      </c>
      <c r="C11944" s="9" t="s">
        <v>826</v>
      </c>
      <c r="D11944" s="9" t="s">
        <v>107</v>
      </c>
      <c r="E11944" s="6" t="s">
        <v>10825</v>
      </c>
      <c r="F11944" s="9" t="s">
        <v>18157</v>
      </c>
    </row>
    <row r="11945" ht="33.75" customHeight="1">
      <c r="A11945" s="7">
        <v>542.0</v>
      </c>
      <c r="B11945" s="9" t="s">
        <v>17061</v>
      </c>
      <c r="C11945" s="9" t="s">
        <v>826</v>
      </c>
      <c r="D11945" s="9" t="s">
        <v>109</v>
      </c>
      <c r="E11945" s="6" t="s">
        <v>10823</v>
      </c>
      <c r="F11945" s="9" t="s">
        <v>18157</v>
      </c>
    </row>
    <row r="11946" ht="33.75" customHeight="1">
      <c r="A11946" s="7">
        <v>543.0</v>
      </c>
      <c r="B11946" s="9" t="s">
        <v>17066</v>
      </c>
      <c r="C11946" s="9" t="s">
        <v>828</v>
      </c>
      <c r="D11946" s="9" t="s">
        <v>93</v>
      </c>
      <c r="E11946" s="6" t="s">
        <v>10826</v>
      </c>
      <c r="F11946" s="9" t="s">
        <v>18168</v>
      </c>
      <c r="G11946" t="inlineStr" s="6">
        <is>
          <t xml:space="preserve">Venipede's bite injects a potent poison, enough to paralyze large bird Pokémon that try to prey on it. It discovers what is going on around it by using the feelers on its head and tail. It is brutally aggressive. Using the feelers on its head and tail, it picks up vibrations in the air to determine its prey’s location and state. Venipede and Sizzlipede are similar species, but when the two meet, a huge fight ensues. Its fangs are highly venomous. If this Pokémon finds prey it thinks it can eat, it leaps for them without any thought of how things might turn out.</t>
        </is>
      </c>
    </row>
    <row r="11947" ht="33.75" customHeight="1">
      <c r="A11947" s="7">
        <v>543.0</v>
      </c>
      <c r="B11947" s="9" t="s">
        <v>17066</v>
      </c>
      <c r="C11947" s="9" t="s">
        <v>828</v>
      </c>
      <c r="D11947" s="9" t="s">
        <v>95</v>
      </c>
      <c r="E11947" s="6" t="s">
        <v>10827</v>
      </c>
      <c r="F11947" s="9" t="s">
        <v>18168</v>
      </c>
    </row>
    <row r="11948" ht="33.75" customHeight="1">
      <c r="A11948" s="7">
        <v>543.0</v>
      </c>
      <c r="B11948" s="9" t="s">
        <v>17066</v>
      </c>
      <c r="C11948" s="9" t="s">
        <v>828</v>
      </c>
      <c r="D11948" s="9" t="s">
        <v>98</v>
      </c>
      <c r="E11948" s="6" t="s">
        <v>10828</v>
      </c>
      <c r="F11948" s="9" t="s">
        <v>18168</v>
      </c>
    </row>
    <row r="11949" ht="33.75" customHeight="1">
      <c r="A11949" s="7">
        <v>543.0</v>
      </c>
      <c r="B11949" s="9" t="s">
        <v>17066</v>
      </c>
      <c r="C11949" s="9" t="s">
        <v>828</v>
      </c>
      <c r="D11949" s="9" t="s">
        <v>99</v>
      </c>
      <c r="E11949" s="6" t="s">
        <v>10828</v>
      </c>
      <c r="F11949" s="9" t="s">
        <v>18168</v>
      </c>
    </row>
    <row r="11950" ht="33.75" customHeight="1">
      <c r="A11950" s="7">
        <v>543.0</v>
      </c>
      <c r="B11950" s="9" t="s">
        <v>17066</v>
      </c>
      <c r="C11950" s="9" t="s">
        <v>828</v>
      </c>
      <c r="D11950" s="9" t="s">
        <v>101</v>
      </c>
      <c r="E11950" s="6" t="s">
        <v>10827</v>
      </c>
      <c r="F11950" s="9" t="s">
        <v>18168</v>
      </c>
    </row>
    <row r="11951" ht="33.75" customHeight="1">
      <c r="A11951" s="7">
        <v>543.0</v>
      </c>
      <c r="B11951" s="9" t="s">
        <v>17066</v>
      </c>
      <c r="C11951" s="9" t="s">
        <v>828</v>
      </c>
      <c r="D11951" s="9" t="s">
        <v>105</v>
      </c>
      <c r="E11951" s="6" t="s">
        <v>10826</v>
      </c>
      <c r="F11951" s="9" t="s">
        <v>18168</v>
      </c>
    </row>
    <row r="11952" ht="33.75" customHeight="1">
      <c r="A11952" s="7">
        <v>543.0</v>
      </c>
      <c r="B11952" s="9" t="s">
        <v>17066</v>
      </c>
      <c r="C11952" s="9" t="s">
        <v>828</v>
      </c>
      <c r="D11952" s="9" t="s">
        <v>107</v>
      </c>
      <c r="E11952" s="6" t="s">
        <v>10827</v>
      </c>
      <c r="F11952" s="9" t="s">
        <v>18168</v>
      </c>
    </row>
    <row r="11953" ht="33.75" customHeight="1">
      <c r="A11953" s="7">
        <v>543.0</v>
      </c>
      <c r="B11953" s="9" t="s">
        <v>17066</v>
      </c>
      <c r="C11953" s="9" t="s">
        <v>828</v>
      </c>
      <c r="D11953" s="9" t="s">
        <v>109</v>
      </c>
      <c r="E11953" s="6" t="s">
        <v>10826</v>
      </c>
      <c r="F11953" s="9" t="s">
        <v>18168</v>
      </c>
    </row>
    <row r="11954" ht="33.75" customHeight="1">
      <c r="A11954" s="7">
        <v>543.0</v>
      </c>
      <c r="B11954" s="9" t="s">
        <v>17066</v>
      </c>
      <c r="C11954" s="9" t="s">
        <v>828</v>
      </c>
      <c r="D11954" s="9" t="s">
        <v>114</v>
      </c>
      <c r="E11954" s="6" t="s">
        <v>10829</v>
      </c>
      <c r="F11954" s="9" t="s">
        <v>18168</v>
      </c>
    </row>
    <row r="11955" ht="33.75" customHeight="1">
      <c r="A11955" s="7">
        <v>543.0</v>
      </c>
      <c r="B11955" s="9" t="s">
        <v>17066</v>
      </c>
      <c r="C11955" s="9" t="s">
        <v>828</v>
      </c>
      <c r="D11955" s="9" t="s">
        <v>117</v>
      </c>
      <c r="E11955" s="6" t="s">
        <v>10831</v>
      </c>
      <c r="F11955" s="9" t="s">
        <v>18168</v>
      </c>
    </row>
    <row r="11956" ht="33.75" customHeight="1">
      <c r="A11956" s="7">
        <v>544.0</v>
      </c>
      <c r="B11956" s="9" t="s">
        <v>17074</v>
      </c>
      <c r="C11956" s="9" t="s">
        <v>830</v>
      </c>
      <c r="D11956" s="9" t="s">
        <v>93</v>
      </c>
      <c r="E11956" s="6" t="s">
        <v>10832</v>
      </c>
      <c r="F11956" s="9" t="s">
        <v>18189</v>
      </c>
      <c r="G11956" t="inlineStr" s="6">
        <is>
          <t xml:space="preserve">Protected by a hard shell, it spins Whirlipede's body like a wheel and crashes furiously into its enemies. It is usually motionless, but when attacked, it rotates at high speed and then crashes into its opponent. Storing energy for evolution, it sits. But, when predators approach, it moves to stab them with poison spikes. This Pokémon spins itself rapidly and charges into its opponents. Its top speed is just over 60 mph. Whirlipede protects itself with a sturdy shell and poisonous spikes while it stores up the energy it’ll need for evolution.</t>
        </is>
      </c>
    </row>
    <row r="11957" ht="33.75" customHeight="1">
      <c r="A11957" s="7">
        <v>544.0</v>
      </c>
      <c r="B11957" s="9" t="s">
        <v>17074</v>
      </c>
      <c r="C11957" s="9" t="s">
        <v>830</v>
      </c>
      <c r="D11957" s="9" t="s">
        <v>95</v>
      </c>
      <c r="E11957" s="6" t="s">
        <v>10833</v>
      </c>
      <c r="F11957" s="9" t="s">
        <v>18189</v>
      </c>
    </row>
    <row r="11958" ht="33.75" customHeight="1">
      <c r="A11958" s="7">
        <v>544.0</v>
      </c>
      <c r="B11958" s="9" t="s">
        <v>17074</v>
      </c>
      <c r="C11958" s="9" t="s">
        <v>830</v>
      </c>
      <c r="D11958" s="9" t="s">
        <v>98</v>
      </c>
      <c r="E11958" s="6" t="s">
        <v>10835</v>
      </c>
      <c r="F11958" s="9" t="s">
        <v>18189</v>
      </c>
    </row>
    <row r="11959" ht="33.75" customHeight="1">
      <c r="A11959" s="7">
        <v>544.0</v>
      </c>
      <c r="B11959" s="9" t="s">
        <v>17074</v>
      </c>
      <c r="C11959" s="9" t="s">
        <v>830</v>
      </c>
      <c r="D11959" s="9" t="s">
        <v>99</v>
      </c>
      <c r="E11959" s="6" t="s">
        <v>10835</v>
      </c>
      <c r="F11959" s="9" t="s">
        <v>18189</v>
      </c>
    </row>
    <row r="11960" ht="33.75" customHeight="1">
      <c r="A11960" s="7">
        <v>544.0</v>
      </c>
      <c r="B11960" s="9" t="s">
        <v>17074</v>
      </c>
      <c r="C11960" s="9" t="s">
        <v>830</v>
      </c>
      <c r="D11960" s="9" t="s">
        <v>101</v>
      </c>
      <c r="E11960" s="6" t="s">
        <v>10832</v>
      </c>
      <c r="F11960" s="9" t="s">
        <v>18189</v>
      </c>
    </row>
    <row r="11961" ht="33.75" customHeight="1">
      <c r="A11961" s="7">
        <v>544.0</v>
      </c>
      <c r="B11961" s="9" t="s">
        <v>17074</v>
      </c>
      <c r="C11961" s="9" t="s">
        <v>830</v>
      </c>
      <c r="D11961" s="9" t="s">
        <v>105</v>
      </c>
      <c r="E11961" s="6" t="s">
        <v>10833</v>
      </c>
      <c r="F11961" s="9" t="s">
        <v>18189</v>
      </c>
    </row>
    <row r="11962" ht="33.75" customHeight="1">
      <c r="A11962" s="7">
        <v>544.0</v>
      </c>
      <c r="B11962" s="9" t="s">
        <v>17074</v>
      </c>
      <c r="C11962" s="9" t="s">
        <v>830</v>
      </c>
      <c r="D11962" s="9" t="s">
        <v>107</v>
      </c>
      <c r="E11962" s="6" t="s">
        <v>10832</v>
      </c>
      <c r="F11962" s="9" t="s">
        <v>18189</v>
      </c>
    </row>
    <row r="11963" ht="33.75" customHeight="1">
      <c r="A11963" s="7">
        <v>544.0</v>
      </c>
      <c r="B11963" s="9" t="s">
        <v>17074</v>
      </c>
      <c r="C11963" s="9" t="s">
        <v>830</v>
      </c>
      <c r="D11963" s="9" t="s">
        <v>109</v>
      </c>
      <c r="E11963" s="6" t="s">
        <v>10833</v>
      </c>
      <c r="F11963" s="9" t="s">
        <v>18189</v>
      </c>
    </row>
    <row r="11964" ht="33.75" customHeight="1">
      <c r="A11964" s="7">
        <v>544.0</v>
      </c>
      <c r="B11964" s="9" t="s">
        <v>17074</v>
      </c>
      <c r="C11964" s="9" t="s">
        <v>830</v>
      </c>
      <c r="D11964" s="9" t="s">
        <v>114</v>
      </c>
      <c r="E11964" s="6" t="s">
        <v>10837</v>
      </c>
      <c r="F11964" s="9" t="s">
        <v>18189</v>
      </c>
    </row>
    <row r="11965" ht="33.75" customHeight="1">
      <c r="A11965" s="7">
        <v>544.0</v>
      </c>
      <c r="B11965" s="9" t="s">
        <v>17074</v>
      </c>
      <c r="C11965" s="9" t="s">
        <v>830</v>
      </c>
      <c r="D11965" s="9" t="s">
        <v>117</v>
      </c>
      <c r="E11965" s="6" t="s">
        <v>10839</v>
      </c>
      <c r="F11965" s="9" t="s">
        <v>18189</v>
      </c>
    </row>
    <row r="11966" ht="33.75" customHeight="1">
      <c r="A11966" s="7">
        <v>545.0</v>
      </c>
      <c r="B11966" s="9" t="s">
        <v>17081</v>
      </c>
      <c r="C11966" s="9" t="s">
        <v>833</v>
      </c>
      <c r="D11966" s="9" t="s">
        <v>93</v>
      </c>
      <c r="E11966" s="6" t="s">
        <v>10841</v>
      </c>
      <c r="F11966" s="9" t="s">
        <v>18206</v>
      </c>
      <c r="G11966" t="inlineStr" s="6">
        <is>
          <t xml:space="preserve">With quick movements, it chases down Scolipede's foes, attacking relentlessly with its horns until it prevails. Highly aggressive, it uses the claws near its neck to dig into its opponents and poison them. It clasps its prey with the claws on its neck until it stops moving. Then it finishes it off with deadly poison. Scolipede latches on to its prey with the claws on its neck before slamming them into the ground and jabbing them with its claws’ toxic spikes. Scolipede engage in fierce territorial battles with Centiskorch. At the end of one of these battles, the victor makes a meal of the loser.</t>
        </is>
      </c>
    </row>
    <row r="11967" ht="33.75" customHeight="1">
      <c r="A11967" s="7">
        <v>545.0</v>
      </c>
      <c r="B11967" s="9" t="s">
        <v>17081</v>
      </c>
      <c r="C11967" s="9" t="s">
        <v>833</v>
      </c>
      <c r="D11967" s="9" t="s">
        <v>95</v>
      </c>
      <c r="E11967" s="6" t="s">
        <v>10843</v>
      </c>
      <c r="F11967" s="9" t="s">
        <v>18206</v>
      </c>
    </row>
    <row r="11968" ht="33.75" customHeight="1">
      <c r="A11968" s="7">
        <v>545.0</v>
      </c>
      <c r="B11968" s="9" t="s">
        <v>17081</v>
      </c>
      <c r="C11968" s="9" t="s">
        <v>833</v>
      </c>
      <c r="D11968" s="9" t="s">
        <v>98</v>
      </c>
      <c r="E11968" s="6" t="s">
        <v>10845</v>
      </c>
      <c r="F11968" s="9" t="s">
        <v>18206</v>
      </c>
    </row>
    <row r="11969" ht="33.75" customHeight="1">
      <c r="A11969" s="7">
        <v>545.0</v>
      </c>
      <c r="B11969" s="9" t="s">
        <v>17081</v>
      </c>
      <c r="C11969" s="9" t="s">
        <v>833</v>
      </c>
      <c r="D11969" s="9" t="s">
        <v>99</v>
      </c>
      <c r="E11969" s="6" t="s">
        <v>10845</v>
      </c>
      <c r="F11969" s="9" t="s">
        <v>18206</v>
      </c>
    </row>
    <row r="11970" ht="33.75" customHeight="1">
      <c r="A11970" s="7">
        <v>545.0</v>
      </c>
      <c r="B11970" s="9" t="s">
        <v>17081</v>
      </c>
      <c r="C11970" s="9" t="s">
        <v>833</v>
      </c>
      <c r="D11970" s="9" t="s">
        <v>101</v>
      </c>
      <c r="E11970" s="6" t="s">
        <v>10845</v>
      </c>
      <c r="F11970" s="9" t="s">
        <v>18206</v>
      </c>
    </row>
    <row r="11971" ht="33.75" customHeight="1">
      <c r="A11971" s="7">
        <v>545.0</v>
      </c>
      <c r="B11971" s="9" t="s">
        <v>17081</v>
      </c>
      <c r="C11971" s="9" t="s">
        <v>833</v>
      </c>
      <c r="D11971" s="9" t="s">
        <v>105</v>
      </c>
      <c r="E11971" s="6" t="s">
        <v>10841</v>
      </c>
      <c r="F11971" s="9" t="s">
        <v>18206</v>
      </c>
    </row>
    <row r="11972" ht="33.75" customHeight="1">
      <c r="A11972" s="7">
        <v>545.0</v>
      </c>
      <c r="B11972" s="9" t="s">
        <v>17081</v>
      </c>
      <c r="C11972" s="9" t="s">
        <v>833</v>
      </c>
      <c r="D11972" s="9" t="s">
        <v>107</v>
      </c>
      <c r="E11972" s="6" t="s">
        <v>10845</v>
      </c>
      <c r="F11972" s="9" t="s">
        <v>18206</v>
      </c>
    </row>
    <row r="11973" ht="33.75" customHeight="1">
      <c r="A11973" s="7">
        <v>545.0</v>
      </c>
      <c r="B11973" s="9" t="s">
        <v>17081</v>
      </c>
      <c r="C11973" s="9" t="s">
        <v>833</v>
      </c>
      <c r="D11973" s="9" t="s">
        <v>109</v>
      </c>
      <c r="E11973" s="6" t="s">
        <v>10841</v>
      </c>
      <c r="F11973" s="9" t="s">
        <v>18206</v>
      </c>
    </row>
    <row r="11974" ht="33.75" customHeight="1">
      <c r="A11974" s="7">
        <v>545.0</v>
      </c>
      <c r="B11974" s="9" t="s">
        <v>17081</v>
      </c>
      <c r="C11974" s="9" t="s">
        <v>833</v>
      </c>
      <c r="D11974" s="9" t="s">
        <v>114</v>
      </c>
      <c r="E11974" s="6" t="s">
        <v>10846</v>
      </c>
      <c r="F11974" s="9" t="s">
        <v>18206</v>
      </c>
    </row>
    <row r="11975" ht="33.75" customHeight="1">
      <c r="A11975" s="7">
        <v>545.0</v>
      </c>
      <c r="B11975" s="9" t="s">
        <v>17081</v>
      </c>
      <c r="C11975" s="9" t="s">
        <v>833</v>
      </c>
      <c r="D11975" s="9" t="s">
        <v>117</v>
      </c>
      <c r="E11975" s="6" t="s">
        <v>10848</v>
      </c>
      <c r="F11975" s="9" t="s">
        <v>18206</v>
      </c>
    </row>
    <row r="11976" ht="33.75" customHeight="1">
      <c r="A11976" s="7">
        <v>546.0</v>
      </c>
      <c r="B11976" s="9" t="s">
        <v>17089</v>
      </c>
      <c r="C11976" s="9" t="s">
        <v>836</v>
      </c>
      <c r="D11976" s="9" t="s">
        <v>93</v>
      </c>
      <c r="E11976" s="6" t="s">
        <v>10849</v>
      </c>
      <c r="F11976" s="9" t="s">
        <v>18213</v>
      </c>
      <c r="G11976" t="inlineStr" s="6">
        <is>
          <t xml:space="preserve">When attacked, it escapes by shooting cotton from Cottonee's body. The cotton serves as a decoy to distract the attacker. They go wherever the wind takes them. On rainy days, their bodies are heavier, so they take shelter beneath big trees. Perhaps because they feel more at ease in a group, they stick to others they find. They end up looking like a cloud. When it finds others of its kind, they all stick together. When enough of them have collected, the mass resembles a cumulonimbus cloud. Pillows and beds stuffed with cotton exhaled by Cottonee are soft and puffy, light and airy— altogether top quality. To protect itself, it shoots cotton from its body. When it gets wet in the rain, its cotton grows moist and heavy, and it can’t move as well. When attacked, it expels cotton from its body to create a diversion. The cotton it loses grows back in quickly. It shoots cotton from its body to protect itself. If it gets caught up in hurricane-strength winds, it can get sent to the other side of the Earth. Weaving together the cotton of both Cottonee and Eldegoss produces exquisite cloth that’s highly prized by many luxury brands.</t>
        </is>
      </c>
    </row>
    <row r="11977" ht="33.75" customHeight="1">
      <c r="A11977" s="7">
        <v>546.0</v>
      </c>
      <c r="B11977" s="9" t="s">
        <v>17089</v>
      </c>
      <c r="C11977" s="9" t="s">
        <v>836</v>
      </c>
      <c r="D11977" s="9" t="s">
        <v>95</v>
      </c>
      <c r="E11977" s="6" t="s">
        <v>10850</v>
      </c>
      <c r="F11977" s="9" t="s">
        <v>18213</v>
      </c>
    </row>
    <row r="11978" ht="33.75" customHeight="1">
      <c r="A11978" s="7">
        <v>546.0</v>
      </c>
      <c r="B11978" s="9" t="s">
        <v>17089</v>
      </c>
      <c r="C11978" s="9" t="s">
        <v>836</v>
      </c>
      <c r="D11978" s="9" t="s">
        <v>98</v>
      </c>
      <c r="E11978" s="6" t="s">
        <v>10852</v>
      </c>
      <c r="F11978" s="9" t="s">
        <v>18213</v>
      </c>
    </row>
    <row r="11979" ht="33.75" customHeight="1">
      <c r="A11979" s="7">
        <v>546.0</v>
      </c>
      <c r="B11979" s="9" t="s">
        <v>17089</v>
      </c>
      <c r="C11979" s="9" t="s">
        <v>836</v>
      </c>
      <c r="D11979" s="9" t="s">
        <v>99</v>
      </c>
      <c r="E11979" s="6" t="s">
        <v>10852</v>
      </c>
      <c r="F11979" s="9" t="s">
        <v>18213</v>
      </c>
    </row>
    <row r="11980" ht="33.75" customHeight="1">
      <c r="A11980" s="7">
        <v>546.0</v>
      </c>
      <c r="B11980" s="9" t="s">
        <v>17089</v>
      </c>
      <c r="C11980" s="9" t="s">
        <v>836</v>
      </c>
      <c r="D11980" s="9" t="s">
        <v>101</v>
      </c>
      <c r="E11980" s="6" t="s">
        <v>10849</v>
      </c>
      <c r="F11980" s="9" t="s">
        <v>18213</v>
      </c>
    </row>
    <row r="11981" ht="33.75" customHeight="1">
      <c r="A11981" s="7">
        <v>546.0</v>
      </c>
      <c r="B11981" s="9" t="s">
        <v>17089</v>
      </c>
      <c r="C11981" s="9" t="s">
        <v>836</v>
      </c>
      <c r="D11981" s="9" t="s">
        <v>105</v>
      </c>
      <c r="E11981" s="6" t="s">
        <v>10852</v>
      </c>
      <c r="F11981" s="9" t="s">
        <v>18213</v>
      </c>
    </row>
    <row r="11982" ht="33.75" customHeight="1">
      <c r="A11982" s="7">
        <v>546.0</v>
      </c>
      <c r="B11982" s="9" t="s">
        <v>17089</v>
      </c>
      <c r="C11982" s="9" t="s">
        <v>836</v>
      </c>
      <c r="D11982" s="9" t="s">
        <v>107</v>
      </c>
      <c r="E11982" s="6" t="s">
        <v>10849</v>
      </c>
      <c r="F11982" s="9" t="s">
        <v>18213</v>
      </c>
    </row>
    <row r="11983" ht="33.75" customHeight="1">
      <c r="A11983" s="7">
        <v>546.0</v>
      </c>
      <c r="B11983" s="9" t="s">
        <v>17089</v>
      </c>
      <c r="C11983" s="9" t="s">
        <v>836</v>
      </c>
      <c r="D11983" s="9" t="s">
        <v>109</v>
      </c>
      <c r="E11983" s="6" t="s">
        <v>10852</v>
      </c>
      <c r="F11983" s="9" t="s">
        <v>18213</v>
      </c>
    </row>
    <row r="11984" ht="33.75" customHeight="1">
      <c r="A11984" s="7">
        <v>546.0</v>
      </c>
      <c r="B11984" s="9" t="s">
        <v>17089</v>
      </c>
      <c r="C11984" s="9" t="s">
        <v>836</v>
      </c>
      <c r="D11984" s="9" t="s">
        <v>637</v>
      </c>
      <c r="E11984" s="6" t="s">
        <v>10853</v>
      </c>
      <c r="F11984" s="9" t="s">
        <v>18213</v>
      </c>
    </row>
    <row r="11985" ht="33.75" customHeight="1">
      <c r="A11985" s="7">
        <v>546.0</v>
      </c>
      <c r="B11985" s="9" t="s">
        <v>17089</v>
      </c>
      <c r="C11985" s="9" t="s">
        <v>836</v>
      </c>
      <c r="D11985" s="9" t="s">
        <v>642</v>
      </c>
      <c r="E11985" s="6" t="s">
        <v>10855</v>
      </c>
      <c r="F11985" s="9" t="s">
        <v>18213</v>
      </c>
    </row>
    <row r="11986" ht="33.75" customHeight="1">
      <c r="A11986" s="7">
        <v>546.0</v>
      </c>
      <c r="B11986" s="9" t="s">
        <v>17089</v>
      </c>
      <c r="C11986" s="9" t="s">
        <v>836</v>
      </c>
      <c r="D11986" s="9" t="s">
        <v>647</v>
      </c>
      <c r="E11986" s="6" t="s">
        <v>10856</v>
      </c>
      <c r="F11986" s="9" t="s">
        <v>18213</v>
      </c>
    </row>
    <row r="11987" ht="33.75" customHeight="1">
      <c r="A11987" s="7">
        <v>546.0</v>
      </c>
      <c r="B11987" s="9" t="s">
        <v>17089</v>
      </c>
      <c r="C11987" s="9" t="s">
        <v>836</v>
      </c>
      <c r="D11987" s="9" t="s">
        <v>652</v>
      </c>
      <c r="E11987" s="6" t="s">
        <v>10857</v>
      </c>
      <c r="F11987" s="9" t="s">
        <v>18213</v>
      </c>
    </row>
    <row r="11988" ht="33.75" customHeight="1">
      <c r="A11988" s="7">
        <v>546.0</v>
      </c>
      <c r="B11988" s="9" t="s">
        <v>17089</v>
      </c>
      <c r="C11988" s="9" t="s">
        <v>836</v>
      </c>
      <c r="D11988" s="9" t="s">
        <v>114</v>
      </c>
      <c r="E11988" s="6" t="s">
        <v>10858</v>
      </c>
      <c r="F11988" s="9" t="s">
        <v>18213</v>
      </c>
    </row>
    <row r="11989" ht="33.75" customHeight="1">
      <c r="A11989" s="7">
        <v>546.0</v>
      </c>
      <c r="B11989" s="9" t="s">
        <v>17089</v>
      </c>
      <c r="C11989" s="9" t="s">
        <v>836</v>
      </c>
      <c r="D11989" s="9" t="s">
        <v>117</v>
      </c>
      <c r="E11989" s="6" t="s">
        <v>10859</v>
      </c>
      <c r="F11989" s="9" t="s">
        <v>18213</v>
      </c>
    </row>
    <row r="11990" ht="33.75" customHeight="1">
      <c r="A11990" s="7">
        <v>547.0</v>
      </c>
      <c r="B11990" s="9" t="s">
        <v>17100</v>
      </c>
      <c r="C11990" s="9" t="s">
        <v>839</v>
      </c>
      <c r="D11990" s="9" t="s">
        <v>93</v>
      </c>
      <c r="E11990" s="6" t="s">
        <v>10860</v>
      </c>
      <c r="F11990" s="9" t="s">
        <v>18222</v>
      </c>
      <c r="G11990" t="inlineStr" s="6">
        <is>
          <t xml:space="preserve">Like the wind, Whimsicott can slip through any gap, no matter how small. It leaves balls of white fluff behind. Riding whirlwinds, they appear. These Pokémon sneak through gaps into houses and cause all sorts of mischief. They appear along with whirlwinds. They pull pranks, such as moving furniture and leaving balls of cotton in homes. It rides on the wind and slips into people’s homes. After it has turned a room into a cotton- filled mess, it giggles to itself and takes off. This Pokémon appears, riding upon the wind. But if the wind gusts up, it’ll blow the cotton on this Pokémon’s head clean off. This nuisance sneaks into people’s homes, where it hides important things and scatters cotton all over the place. Whimsicott doesn’t live in a fixed location. It floats around on whirling winds, appearing all over the place to perform its mischief. It scatters cotton all over the place as a prank. If it gets wet, it’ll become too heavy to move and have no choice but to answer for its mischief. As long as this Pokémon bathes in sunlight, its cotton keeps growing. If too much cotton fluff builds up, Whimsicott tears it off and scatters it.</t>
        </is>
      </c>
    </row>
    <row r="11991" ht="33.75" customHeight="1">
      <c r="A11991" s="7">
        <v>547.0</v>
      </c>
      <c r="B11991" s="9" t="s">
        <v>17100</v>
      </c>
      <c r="C11991" s="9" t="s">
        <v>839</v>
      </c>
      <c r="D11991" s="9" t="s">
        <v>95</v>
      </c>
      <c r="E11991" s="6" t="s">
        <v>10861</v>
      </c>
      <c r="F11991" s="9" t="s">
        <v>18222</v>
      </c>
    </row>
    <row r="11992" ht="33.75" customHeight="1">
      <c r="A11992" s="7">
        <v>547.0</v>
      </c>
      <c r="B11992" s="9" t="s">
        <v>17100</v>
      </c>
      <c r="C11992" s="9" t="s">
        <v>839</v>
      </c>
      <c r="D11992" s="9" t="s">
        <v>98</v>
      </c>
      <c r="E11992" s="6" t="s">
        <v>10862</v>
      </c>
      <c r="F11992" s="9" t="s">
        <v>18222</v>
      </c>
    </row>
    <row r="11993" ht="33.75" customHeight="1">
      <c r="A11993" s="7">
        <v>547.0</v>
      </c>
      <c r="B11993" s="9" t="s">
        <v>17100</v>
      </c>
      <c r="C11993" s="9" t="s">
        <v>839</v>
      </c>
      <c r="D11993" s="9" t="s">
        <v>99</v>
      </c>
      <c r="E11993" s="6" t="s">
        <v>10862</v>
      </c>
      <c r="F11993" s="9" t="s">
        <v>18222</v>
      </c>
    </row>
    <row r="11994" ht="33.75" customHeight="1">
      <c r="A11994" s="7">
        <v>547.0</v>
      </c>
      <c r="B11994" s="9" t="s">
        <v>17100</v>
      </c>
      <c r="C11994" s="9" t="s">
        <v>839</v>
      </c>
      <c r="D11994" s="9" t="s">
        <v>101</v>
      </c>
      <c r="E11994" s="6" t="s">
        <v>10862</v>
      </c>
      <c r="F11994" s="9" t="s">
        <v>18222</v>
      </c>
    </row>
    <row r="11995" ht="33.75" customHeight="1">
      <c r="A11995" s="7">
        <v>547.0</v>
      </c>
      <c r="B11995" s="9" t="s">
        <v>17100</v>
      </c>
      <c r="C11995" s="9" t="s">
        <v>839</v>
      </c>
      <c r="D11995" s="9" t="s">
        <v>105</v>
      </c>
      <c r="E11995" s="6" t="s">
        <v>10860</v>
      </c>
      <c r="F11995" s="9" t="s">
        <v>18222</v>
      </c>
    </row>
    <row r="11996" ht="33.75" customHeight="1">
      <c r="A11996" s="7">
        <v>547.0</v>
      </c>
      <c r="B11996" s="9" t="s">
        <v>17100</v>
      </c>
      <c r="C11996" s="9" t="s">
        <v>839</v>
      </c>
      <c r="D11996" s="9" t="s">
        <v>107</v>
      </c>
      <c r="E11996" s="6" t="s">
        <v>10862</v>
      </c>
      <c r="F11996" s="9" t="s">
        <v>18222</v>
      </c>
    </row>
    <row r="11997" ht="33.75" customHeight="1">
      <c r="A11997" s="7">
        <v>547.0</v>
      </c>
      <c r="B11997" s="9" t="s">
        <v>17100</v>
      </c>
      <c r="C11997" s="9" t="s">
        <v>839</v>
      </c>
      <c r="D11997" s="9" t="s">
        <v>109</v>
      </c>
      <c r="E11997" s="6" t="s">
        <v>10860</v>
      </c>
      <c r="F11997" s="9" t="s">
        <v>18222</v>
      </c>
    </row>
    <row r="11998" ht="33.75" customHeight="1">
      <c r="A11998" s="7">
        <v>547.0</v>
      </c>
      <c r="B11998" s="9" t="s">
        <v>17100</v>
      </c>
      <c r="C11998" s="9" t="s">
        <v>839</v>
      </c>
      <c r="D11998" s="9" t="s">
        <v>637</v>
      </c>
      <c r="E11998" s="6" t="s">
        <v>10864</v>
      </c>
      <c r="F11998" s="9" t="s">
        <v>18222</v>
      </c>
    </row>
    <row r="11999" ht="33.75" customHeight="1">
      <c r="A11999" s="7">
        <v>547.0</v>
      </c>
      <c r="B11999" s="9" t="s">
        <v>17100</v>
      </c>
      <c r="C11999" s="9" t="s">
        <v>839</v>
      </c>
      <c r="D11999" s="9" t="s">
        <v>642</v>
      </c>
      <c r="E11999" s="6" t="s">
        <v>10865</v>
      </c>
      <c r="F11999" s="9" t="s">
        <v>18222</v>
      </c>
    </row>
    <row r="12000" ht="33.75" customHeight="1">
      <c r="A12000" s="7">
        <v>547.0</v>
      </c>
      <c r="B12000" s="9" t="s">
        <v>17100</v>
      </c>
      <c r="C12000" s="9" t="s">
        <v>839</v>
      </c>
      <c r="D12000" s="9" t="s">
        <v>647</v>
      </c>
      <c r="E12000" s="6" t="s">
        <v>10866</v>
      </c>
      <c r="F12000" s="9" t="s">
        <v>18222</v>
      </c>
    </row>
    <row r="12001" ht="33.75" customHeight="1">
      <c r="A12001" s="7">
        <v>547.0</v>
      </c>
      <c r="B12001" s="9" t="s">
        <v>17100</v>
      </c>
      <c r="C12001" s="9" t="s">
        <v>839</v>
      </c>
      <c r="D12001" s="9" t="s">
        <v>652</v>
      </c>
      <c r="E12001" s="6" t="s">
        <v>10867</v>
      </c>
      <c r="F12001" s="9" t="s">
        <v>18222</v>
      </c>
    </row>
    <row r="12002" ht="33.75" customHeight="1">
      <c r="A12002" s="7">
        <v>547.0</v>
      </c>
      <c r="B12002" s="9" t="s">
        <v>17100</v>
      </c>
      <c r="C12002" s="9" t="s">
        <v>839</v>
      </c>
      <c r="D12002" s="9" t="s">
        <v>114</v>
      </c>
      <c r="E12002" s="6" t="s">
        <v>10868</v>
      </c>
      <c r="F12002" s="9" t="s">
        <v>18222</v>
      </c>
    </row>
    <row r="12003" ht="33.75" customHeight="1">
      <c r="A12003" s="7">
        <v>547.0</v>
      </c>
      <c r="B12003" s="9" t="s">
        <v>17100</v>
      </c>
      <c r="C12003" s="9" t="s">
        <v>839</v>
      </c>
      <c r="D12003" s="9" t="s">
        <v>117</v>
      </c>
      <c r="E12003" s="6" t="s">
        <v>10869</v>
      </c>
      <c r="F12003" s="9" t="s">
        <v>18222</v>
      </c>
    </row>
    <row r="12004" ht="33.75" customHeight="1">
      <c r="A12004" s="7">
        <v>548.0</v>
      </c>
      <c r="B12004" s="9" t="s">
        <v>17112</v>
      </c>
      <c r="C12004" s="9" t="s">
        <v>840</v>
      </c>
      <c r="D12004" s="9" t="s">
        <v>93</v>
      </c>
      <c r="E12004" s="6" t="s">
        <v>10870</v>
      </c>
      <c r="F12004" s="9" t="s">
        <v>18236</v>
      </c>
      <c r="G12004" t="inlineStr" s="6">
        <is>
          <t xml:space="preserve">The leaves on Petilil's head are very bitter. Eating one of these leaves is known to refresh a tired body. Since they prefer moist, nutrient-rich soil, the areas where Petilil live are known to be good for growing plants. The leaves on its head grow right back even if they fall out. These bitter leaves refresh those who eat them. Although the leaves on its head are bitter enough to cause dizziness, they provide relief from weariness—even more so when boiled. By pruning the leaves on its head with regularity, this Pokémon can be grown into a fine plump shape. Some say if you dry the leaves on its head, boil them down, and drink the infusion, your vigor will return, so Petilil is popular with the elderly. They prefer clean water and soil. When the environment they live in turns bad, the whole bunch will up and move to a new area. Petilil appears around sources of clean water. Boiling leaves from this Pokémon’s head results in a liquid that’s sometimes used as a bug repellent. The deeper the color of a Petilil’s leaves, the healthier the Pokémon is. Petilil sometimes makes its home in a well-tended field or flowerbed. The leaves on its head are highly valued for medicinal purposes. Dry the leaves in the sun, boil them, and then drink the bitter decoction for remarkably effective relief from fatigue.</t>
        </is>
      </c>
    </row>
    <row r="12005" ht="33.75" customHeight="1">
      <c r="A12005" s="7">
        <v>548.0</v>
      </c>
      <c r="B12005" s="9" t="s">
        <v>17112</v>
      </c>
      <c r="C12005" s="9" t="s">
        <v>840</v>
      </c>
      <c r="D12005" s="9" t="s">
        <v>95</v>
      </c>
      <c r="E12005" s="6" t="s">
        <v>10871</v>
      </c>
      <c r="F12005" s="9" t="s">
        <v>18236</v>
      </c>
    </row>
    <row r="12006" ht="33.75" customHeight="1">
      <c r="A12006" s="7">
        <v>548.0</v>
      </c>
      <c r="B12006" s="9" t="s">
        <v>17112</v>
      </c>
      <c r="C12006" s="9" t="s">
        <v>840</v>
      </c>
      <c r="D12006" s="9" t="s">
        <v>98</v>
      </c>
      <c r="E12006" s="6" t="s">
        <v>10873</v>
      </c>
      <c r="F12006" s="9" t="s">
        <v>18236</v>
      </c>
    </row>
    <row r="12007" ht="33.75" customHeight="1">
      <c r="A12007" s="7">
        <v>548.0</v>
      </c>
      <c r="B12007" s="9" t="s">
        <v>17112</v>
      </c>
      <c r="C12007" s="9" t="s">
        <v>840</v>
      </c>
      <c r="D12007" s="9" t="s">
        <v>99</v>
      </c>
      <c r="E12007" s="6" t="s">
        <v>10873</v>
      </c>
      <c r="F12007" s="9" t="s">
        <v>18236</v>
      </c>
    </row>
    <row r="12008" ht="33.75" customHeight="1">
      <c r="A12008" s="7">
        <v>548.0</v>
      </c>
      <c r="B12008" s="9" t="s">
        <v>17112</v>
      </c>
      <c r="C12008" s="9" t="s">
        <v>840</v>
      </c>
      <c r="D12008" s="9" t="s">
        <v>101</v>
      </c>
      <c r="E12008" s="6" t="s">
        <v>10870</v>
      </c>
      <c r="F12008" s="9" t="s">
        <v>18236</v>
      </c>
    </row>
    <row r="12009" ht="33.75" customHeight="1">
      <c r="A12009" s="7">
        <v>548.0</v>
      </c>
      <c r="B12009" s="9" t="s">
        <v>17112</v>
      </c>
      <c r="C12009" s="9" t="s">
        <v>840</v>
      </c>
      <c r="D12009" s="9" t="s">
        <v>105</v>
      </c>
      <c r="E12009" s="6" t="s">
        <v>10871</v>
      </c>
      <c r="F12009" s="9" t="s">
        <v>18236</v>
      </c>
    </row>
    <row r="12010" ht="33.75" customHeight="1">
      <c r="A12010" s="7">
        <v>548.0</v>
      </c>
      <c r="B12010" s="9" t="s">
        <v>17112</v>
      </c>
      <c r="C12010" s="9" t="s">
        <v>840</v>
      </c>
      <c r="D12010" s="9" t="s">
        <v>107</v>
      </c>
      <c r="E12010" s="6" t="s">
        <v>10870</v>
      </c>
      <c r="F12010" s="9" t="s">
        <v>18236</v>
      </c>
    </row>
    <row r="12011" ht="33.75" customHeight="1">
      <c r="A12011" s="7">
        <v>548.0</v>
      </c>
      <c r="B12011" s="9" t="s">
        <v>17112</v>
      </c>
      <c r="C12011" s="9" t="s">
        <v>840</v>
      </c>
      <c r="D12011" s="9" t="s">
        <v>109</v>
      </c>
      <c r="E12011" s="6" t="s">
        <v>10871</v>
      </c>
      <c r="F12011" s="9" t="s">
        <v>18236</v>
      </c>
    </row>
    <row r="12012" ht="33.75" customHeight="1">
      <c r="A12012" s="7">
        <v>548.0</v>
      </c>
      <c r="B12012" s="9" t="s">
        <v>17112</v>
      </c>
      <c r="C12012" s="9" t="s">
        <v>840</v>
      </c>
      <c r="D12012" s="9" t="s">
        <v>637</v>
      </c>
      <c r="E12012" s="6" t="s">
        <v>10874</v>
      </c>
      <c r="F12012" s="9" t="s">
        <v>18236</v>
      </c>
    </row>
    <row r="12013" ht="33.75" customHeight="1">
      <c r="A12013" s="7">
        <v>548.0</v>
      </c>
      <c r="B12013" s="9" t="s">
        <v>17112</v>
      </c>
      <c r="C12013" s="9" t="s">
        <v>840</v>
      </c>
      <c r="D12013" s="9" t="s">
        <v>642</v>
      </c>
      <c r="E12013" s="6" t="s">
        <v>10875</v>
      </c>
      <c r="F12013" s="9" t="s">
        <v>18236</v>
      </c>
    </row>
    <row r="12014" ht="33.75" customHeight="1">
      <c r="A12014" s="7">
        <v>548.0</v>
      </c>
      <c r="B12014" s="9" t="s">
        <v>17112</v>
      </c>
      <c r="C12014" s="9" t="s">
        <v>840</v>
      </c>
      <c r="D12014" s="9" t="s">
        <v>647</v>
      </c>
      <c r="E12014" s="6" t="s">
        <v>10877</v>
      </c>
      <c r="F12014" s="9" t="s">
        <v>18236</v>
      </c>
    </row>
    <row r="12015" ht="33.75" customHeight="1">
      <c r="A12015" s="7">
        <v>548.0</v>
      </c>
      <c r="B12015" s="9" t="s">
        <v>17112</v>
      </c>
      <c r="C12015" s="9" t="s">
        <v>840</v>
      </c>
      <c r="D12015" s="9" t="s">
        <v>652</v>
      </c>
      <c r="E12015" s="6" t="s">
        <v>10878</v>
      </c>
      <c r="F12015" s="9" t="s">
        <v>18236</v>
      </c>
    </row>
    <row r="12016" ht="33.75" customHeight="1">
      <c r="A12016" s="7">
        <v>548.0</v>
      </c>
      <c r="B12016" s="9" t="s">
        <v>17112</v>
      </c>
      <c r="C12016" s="9" t="s">
        <v>840</v>
      </c>
      <c r="D12016" s="9" t="s">
        <v>114</v>
      </c>
      <c r="E12016" s="6" t="s">
        <v>10879</v>
      </c>
      <c r="F12016" s="9" t="s">
        <v>18236</v>
      </c>
    </row>
    <row r="12017" ht="33.75" customHeight="1">
      <c r="A12017" s="7">
        <v>548.0</v>
      </c>
      <c r="B12017" s="9" t="s">
        <v>17112</v>
      </c>
      <c r="C12017" s="9" t="s">
        <v>840</v>
      </c>
      <c r="D12017" s="9" t="s">
        <v>117</v>
      </c>
      <c r="E12017" s="6" t="s">
        <v>10880</v>
      </c>
      <c r="F12017" s="9" t="s">
        <v>18236</v>
      </c>
    </row>
    <row r="12018" ht="33.75" customHeight="1">
      <c r="A12018" s="7">
        <v>548.0</v>
      </c>
      <c r="B12018" s="9" t="s">
        <v>17112</v>
      </c>
      <c r="C12018" s="9" t="s">
        <v>840</v>
      </c>
      <c r="D12018" s="9" t="s">
        <v>1577</v>
      </c>
      <c r="E12018" s="6" t="s">
        <v>10881</v>
      </c>
      <c r="F12018" s="9" t="s">
        <v>18236</v>
      </c>
    </row>
    <row r="12019" ht="33.75" customHeight="1">
      <c r="A12019" s="7">
        <v>549.0</v>
      </c>
      <c r="B12019" s="9" t="s">
        <v>17124</v>
      </c>
      <c r="C12019" s="9" t="s">
        <v>842</v>
      </c>
      <c r="D12019" s="9" t="s">
        <v>93</v>
      </c>
      <c r="E12019" s="6" t="s">
        <v>10882</v>
      </c>
      <c r="F12019" s="9" t="s">
        <v>18254</v>
      </c>
      <c r="G12019" t="inlineStr" s="6">
        <is>
          <t xml:space="preserve">Even veteran Trainers face a challenge in getting Lilligant's beautiful flower to bloom. This Pokémon is popular with celebrities. The fragrance of the garland on its head has a relaxing effect. It withers if a Trainer does not take good care of it. The fragrance of the garland on its head has a relaxing effect, but taking care of it is very difficult. No matter how much time and money is spent raising it, its flowers are the most beautiful when they bloom in the wild. As soon as it finds a male to be its partner, the beautiful flower on its head darkens, droops, and withers away. The fragrance of its flower differs slightly depending on the soil where it grew up. Sniffing the aroma calms your heart and mind. It’s well liked by other Pokémon because of its beauty. The flower on its head needs constant care, or it will soon wither and rot. It’s believed that even first-rate gardeners have a hard time getting the flower on a Lilligant’s head to bloom. Essential oils made from Lilligant flowers have a sublime scent, but they’re also staggeringly expensive. I suspect that its well-developed legs are the result of a life spent on mountains covered in deep snow. The scent it exudes from its flower crown heartens those in proximity.</t>
        </is>
      </c>
    </row>
    <row r="12020" ht="33.75" customHeight="1">
      <c r="A12020" s="7">
        <v>549.0</v>
      </c>
      <c r="B12020" s="9" t="s">
        <v>17124</v>
      </c>
      <c r="C12020" s="9" t="s">
        <v>842</v>
      </c>
      <c r="D12020" s="9" t="s">
        <v>95</v>
      </c>
      <c r="E12020" s="6" t="s">
        <v>10883</v>
      </c>
      <c r="F12020" s="9" t="s">
        <v>18254</v>
      </c>
    </row>
    <row r="12021" ht="33.75" customHeight="1">
      <c r="A12021" s="7">
        <v>549.0</v>
      </c>
      <c r="B12021" s="9" t="s">
        <v>17124</v>
      </c>
      <c r="C12021" s="9" t="s">
        <v>842</v>
      </c>
      <c r="D12021" s="9" t="s">
        <v>98</v>
      </c>
      <c r="E12021" s="6" t="s">
        <v>10884</v>
      </c>
      <c r="F12021" s="9" t="s">
        <v>18254</v>
      </c>
    </row>
    <row r="12022" ht="33.75" customHeight="1">
      <c r="A12022" s="7">
        <v>549.0</v>
      </c>
      <c r="B12022" s="9" t="s">
        <v>17124</v>
      </c>
      <c r="C12022" s="9" t="s">
        <v>842</v>
      </c>
      <c r="D12022" s="9" t="s">
        <v>99</v>
      </c>
      <c r="E12022" s="6" t="s">
        <v>10884</v>
      </c>
      <c r="F12022" s="9" t="s">
        <v>18254</v>
      </c>
    </row>
    <row r="12023" ht="33.75" customHeight="1">
      <c r="A12023" s="7">
        <v>549.0</v>
      </c>
      <c r="B12023" s="9" t="s">
        <v>17124</v>
      </c>
      <c r="C12023" s="9" t="s">
        <v>842</v>
      </c>
      <c r="D12023" s="9" t="s">
        <v>101</v>
      </c>
      <c r="E12023" s="6" t="s">
        <v>10883</v>
      </c>
      <c r="F12023" s="9" t="s">
        <v>18254</v>
      </c>
    </row>
    <row r="12024" ht="33.75" customHeight="1">
      <c r="A12024" s="7">
        <v>549.0</v>
      </c>
      <c r="B12024" s="9" t="s">
        <v>17124</v>
      </c>
      <c r="C12024" s="9" t="s">
        <v>842</v>
      </c>
      <c r="D12024" s="9" t="s">
        <v>105</v>
      </c>
      <c r="E12024" s="6" t="s">
        <v>10882</v>
      </c>
      <c r="F12024" s="9" t="s">
        <v>18254</v>
      </c>
    </row>
    <row r="12025" ht="33.75" customHeight="1">
      <c r="A12025" s="7">
        <v>549.0</v>
      </c>
      <c r="B12025" s="9" t="s">
        <v>17124</v>
      </c>
      <c r="C12025" s="9" t="s">
        <v>842</v>
      </c>
      <c r="D12025" s="9" t="s">
        <v>107</v>
      </c>
      <c r="E12025" s="6" t="s">
        <v>10883</v>
      </c>
      <c r="F12025" s="9" t="s">
        <v>18254</v>
      </c>
    </row>
    <row r="12026" ht="33.75" customHeight="1">
      <c r="A12026" s="7">
        <v>549.0</v>
      </c>
      <c r="B12026" s="9" t="s">
        <v>17124</v>
      </c>
      <c r="C12026" s="9" t="s">
        <v>842</v>
      </c>
      <c r="D12026" s="9" t="s">
        <v>109</v>
      </c>
      <c r="E12026" s="6" t="s">
        <v>10882</v>
      </c>
      <c r="F12026" s="9" t="s">
        <v>18254</v>
      </c>
    </row>
    <row r="12027" ht="33.75" customHeight="1">
      <c r="A12027" s="7">
        <v>549.0</v>
      </c>
      <c r="B12027" s="9" t="s">
        <v>17124</v>
      </c>
      <c r="C12027" s="9" t="s">
        <v>842</v>
      </c>
      <c r="D12027" s="9" t="s">
        <v>637</v>
      </c>
      <c r="E12027" s="6" t="s">
        <v>10885</v>
      </c>
      <c r="F12027" s="9" t="s">
        <v>18254</v>
      </c>
    </row>
    <row r="12028" ht="33.75" customHeight="1">
      <c r="A12028" s="7">
        <v>549.0</v>
      </c>
      <c r="B12028" s="9" t="s">
        <v>17124</v>
      </c>
      <c r="C12028" s="9" t="s">
        <v>842</v>
      </c>
      <c r="D12028" s="9" t="s">
        <v>642</v>
      </c>
      <c r="E12028" s="6" t="s">
        <v>10886</v>
      </c>
      <c r="F12028" s="9" t="s">
        <v>18254</v>
      </c>
    </row>
    <row r="12029" ht="33.75" customHeight="1">
      <c r="A12029" s="7">
        <v>549.0</v>
      </c>
      <c r="B12029" s="9" t="s">
        <v>17124</v>
      </c>
      <c r="C12029" s="9" t="s">
        <v>842</v>
      </c>
      <c r="D12029" s="9" t="s">
        <v>647</v>
      </c>
      <c r="E12029" s="6" t="s">
        <v>10887</v>
      </c>
      <c r="F12029" s="9" t="s">
        <v>18254</v>
      </c>
    </row>
    <row r="12030" ht="33.75" customHeight="1">
      <c r="A12030" s="7">
        <v>549.0</v>
      </c>
      <c r="B12030" s="9" t="s">
        <v>17124</v>
      </c>
      <c r="C12030" s="9" t="s">
        <v>842</v>
      </c>
      <c r="D12030" s="9" t="s">
        <v>652</v>
      </c>
      <c r="E12030" s="6" t="s">
        <v>10888</v>
      </c>
      <c r="F12030" s="9" t="s">
        <v>18254</v>
      </c>
    </row>
    <row r="12031" ht="33.75" customHeight="1">
      <c r="A12031" s="7">
        <v>549.0</v>
      </c>
      <c r="B12031" s="9" t="s">
        <v>17124</v>
      </c>
      <c r="C12031" s="9" t="s">
        <v>842</v>
      </c>
      <c r="D12031" s="9" t="s">
        <v>114</v>
      </c>
      <c r="E12031" s="6" t="s">
        <v>10890</v>
      </c>
      <c r="F12031" s="9" t="s">
        <v>18254</v>
      </c>
    </row>
    <row r="12032" ht="33.75" customHeight="1">
      <c r="A12032" s="7">
        <v>549.0</v>
      </c>
      <c r="B12032" s="9" t="s">
        <v>17124</v>
      </c>
      <c r="C12032" s="9" t="s">
        <v>842</v>
      </c>
      <c r="D12032" s="9" t="s">
        <v>117</v>
      </c>
      <c r="E12032" s="6" t="s">
        <v>10891</v>
      </c>
      <c r="F12032" s="9" t="s">
        <v>18254</v>
      </c>
    </row>
    <row r="12033" ht="33.75" customHeight="1">
      <c r="A12033" s="7">
        <v>549.0</v>
      </c>
      <c r="B12033" s="9" t="s">
        <v>17124</v>
      </c>
      <c r="C12033" s="9" t="s">
        <v>842</v>
      </c>
      <c r="D12033" s="9" t="s">
        <v>1577</v>
      </c>
      <c r="E12033" s="6" t="s">
        <v>10892</v>
      </c>
      <c r="F12033" s="9" t="s">
        <v>18254</v>
      </c>
    </row>
    <row r="12034" ht="33.75" customHeight="1">
      <c r="A12034" s="7">
        <v>550.0</v>
      </c>
      <c r="B12034" s="9" t="s">
        <v>17136</v>
      </c>
      <c r="C12034" s="9" t="s">
        <v>843</v>
      </c>
      <c r="D12034" s="9" t="s">
        <v>93</v>
      </c>
      <c r="E12034" s="6" t="s">
        <v>10893</v>
      </c>
      <c r="F12034" s="9" t="s">
        <v>18273</v>
      </c>
      <c r="G12034" t="inlineStr" s="6">
        <is>
          <t xml:space="preserve">Red and blue Basculin get along so poorly, they’ll start fighting instantly. These Pokémon are very hostile. Red and blue Basculin usually do not get along, but sometimes members of one school mingle with the other’s school. Red- and blue-striped Basculin are very violent and always fighting. They are also remarkably tasty. Savage, violent Pokémon, red and blue Basculin are always fighting each other over territory. When a school of Basculin appears in a lake, everything else disappears, except for Corphish and Crawdaunt. That’s how violent Basculin are. Anglers love the fight this Pokémon puts up on the hook. And there are always more to catch— many people release them into lakes illicitly. In the past, it often appeared on the dinner table. The meat of red-striped Basculin is on the fatty side, and it’s more popular with the youth. Though it differs from other Basculin in several respects, including demeanor—this one is gentle—I have categorized it as a regional form given the vast array of shared qualities.</t>
        </is>
      </c>
    </row>
    <row r="12035" ht="33.75" customHeight="1">
      <c r="A12035" s="7">
        <v>550.0</v>
      </c>
      <c r="B12035" s="9" t="s">
        <v>17136</v>
      </c>
      <c r="C12035" s="9" t="s">
        <v>843</v>
      </c>
      <c r="D12035" s="9" t="s">
        <v>95</v>
      </c>
      <c r="E12035" s="6" t="s">
        <v>10894</v>
      </c>
      <c r="F12035" s="9" t="s">
        <v>18273</v>
      </c>
    </row>
    <row r="12036" ht="33.75" customHeight="1">
      <c r="A12036" s="7">
        <v>550.0</v>
      </c>
      <c r="B12036" s="9" t="s">
        <v>17136</v>
      </c>
      <c r="C12036" s="9" t="s">
        <v>843</v>
      </c>
      <c r="D12036" s="9" t="s">
        <v>98</v>
      </c>
      <c r="E12036" s="6" t="s">
        <v>10896</v>
      </c>
      <c r="F12036" s="9" t="s">
        <v>18273</v>
      </c>
    </row>
    <row r="12037" ht="33.75" customHeight="1">
      <c r="A12037" s="7">
        <v>550.0</v>
      </c>
      <c r="B12037" s="9" t="s">
        <v>17136</v>
      </c>
      <c r="C12037" s="9" t="s">
        <v>843</v>
      </c>
      <c r="D12037" s="9" t="s">
        <v>99</v>
      </c>
      <c r="E12037" s="6" t="s">
        <v>10896</v>
      </c>
      <c r="F12037" s="9" t="s">
        <v>18273</v>
      </c>
    </row>
    <row r="12038" ht="33.75" customHeight="1">
      <c r="A12038" s="7">
        <v>550.0</v>
      </c>
      <c r="B12038" s="9" t="s">
        <v>17136</v>
      </c>
      <c r="C12038" s="9" t="s">
        <v>843</v>
      </c>
      <c r="D12038" s="9" t="s">
        <v>101</v>
      </c>
      <c r="E12038" s="6" t="s">
        <v>10896</v>
      </c>
      <c r="F12038" s="9" t="s">
        <v>18273</v>
      </c>
    </row>
    <row r="12039" ht="33.75" customHeight="1">
      <c r="A12039" s="7">
        <v>550.0</v>
      </c>
      <c r="B12039" s="9" t="s">
        <v>17136</v>
      </c>
      <c r="C12039" s="9" t="s">
        <v>843</v>
      </c>
      <c r="D12039" s="9" t="s">
        <v>105</v>
      </c>
      <c r="E12039" s="6" t="s">
        <v>10894</v>
      </c>
      <c r="F12039" s="9" t="s">
        <v>18273</v>
      </c>
    </row>
    <row r="12040" ht="33.75" customHeight="1">
      <c r="A12040" s="7">
        <v>550.0</v>
      </c>
      <c r="B12040" s="9" t="s">
        <v>17136</v>
      </c>
      <c r="C12040" s="9" t="s">
        <v>843</v>
      </c>
      <c r="D12040" s="9" t="s">
        <v>107</v>
      </c>
      <c r="E12040" s="6" t="s">
        <v>10896</v>
      </c>
      <c r="F12040" s="9" t="s">
        <v>18273</v>
      </c>
    </row>
    <row r="12041" ht="33.75" customHeight="1">
      <c r="A12041" s="7">
        <v>550.0</v>
      </c>
      <c r="B12041" s="9" t="s">
        <v>17136</v>
      </c>
      <c r="C12041" s="9" t="s">
        <v>843</v>
      </c>
      <c r="D12041" s="9" t="s">
        <v>109</v>
      </c>
      <c r="E12041" s="6" t="s">
        <v>10894</v>
      </c>
      <c r="F12041" s="9" t="s">
        <v>18273</v>
      </c>
    </row>
    <row r="12042" ht="33.75" customHeight="1">
      <c r="A12042" s="7">
        <v>550.0</v>
      </c>
      <c r="B12042" s="9" t="s">
        <v>17136</v>
      </c>
      <c r="C12042" s="9" t="s">
        <v>843</v>
      </c>
      <c r="D12042" s="9" t="s">
        <v>647</v>
      </c>
      <c r="E12042" s="6" t="s">
        <v>10897</v>
      </c>
      <c r="F12042" s="9" t="s">
        <v>18273</v>
      </c>
    </row>
    <row r="12043" ht="33.75" customHeight="1">
      <c r="A12043" s="7">
        <v>550.0</v>
      </c>
      <c r="B12043" s="9" t="s">
        <v>17136</v>
      </c>
      <c r="C12043" s="9" t="s">
        <v>843</v>
      </c>
      <c r="D12043" s="9" t="s">
        <v>652</v>
      </c>
      <c r="E12043" s="6" t="s">
        <v>10898</v>
      </c>
      <c r="F12043" s="9" t="s">
        <v>18273</v>
      </c>
    </row>
    <row r="12044" ht="33.75" customHeight="1">
      <c r="A12044" s="7">
        <v>550.0</v>
      </c>
      <c r="B12044" s="9" t="s">
        <v>17136</v>
      </c>
      <c r="C12044" s="9" t="s">
        <v>843</v>
      </c>
      <c r="D12044" s="9" t="s">
        <v>114</v>
      </c>
      <c r="E12044" s="6" t="s">
        <v>10900</v>
      </c>
      <c r="F12044" s="9" t="s">
        <v>18273</v>
      </c>
    </row>
    <row r="12045" ht="33.75" customHeight="1">
      <c r="A12045" s="7">
        <v>550.0</v>
      </c>
      <c r="B12045" s="9" t="s">
        <v>17136</v>
      </c>
      <c r="C12045" s="9" t="s">
        <v>843</v>
      </c>
      <c r="D12045" s="9" t="s">
        <v>117</v>
      </c>
      <c r="E12045" s="6" t="s">
        <v>10901</v>
      </c>
      <c r="F12045" s="9" t="s">
        <v>18273</v>
      </c>
    </row>
    <row r="12046" ht="33.75" customHeight="1">
      <c r="A12046" s="7">
        <v>550.0</v>
      </c>
      <c r="B12046" s="9" t="s">
        <v>17136</v>
      </c>
      <c r="C12046" s="9" t="s">
        <v>843</v>
      </c>
      <c r="D12046" s="9" t="s">
        <v>1577</v>
      </c>
      <c r="E12046" s="6" t="s">
        <v>10902</v>
      </c>
      <c r="F12046" s="9" t="s">
        <v>18273</v>
      </c>
    </row>
    <row r="12047" ht="33.75" customHeight="1">
      <c r="A12047" s="7">
        <v>551.0</v>
      </c>
      <c r="B12047" s="9" t="s">
        <v>17146</v>
      </c>
      <c r="C12047" s="9" t="s">
        <v>844</v>
      </c>
      <c r="D12047" s="9" t="s">
        <v>93</v>
      </c>
      <c r="E12047" s="6" t="s">
        <v>10905</v>
      </c>
      <c r="F12047" s="9" t="s">
        <v>18297</v>
      </c>
      <c r="G12047" t="inlineStr" s="6">
        <is>
          <t xml:space="preserve">They live buried in the sands of the desert. The sun-warmed sands prevent their body temperature from dropping. It moves along below the sand’s surface, except for its nose and eyes. A dark membrane shields its eyes from the sun. They live hidden under hot desert sands in order to keep their body temperature from dropping. It submerges itself in sand and moves as if swimming. This wise behavior keeps its enemies from finding it and maintains its temperature. It conceals itself in the sand and chomps down on the legs of any prey that unwarily walk over it. Its favorite food is Trapinch. Alola, where it’s warm all year round, is a comfortable environment for this Pokémon. Sometimes you’ll even see it outside of deserts. Sandile’s still not good at hunting, so it mostly eats things that have collapsed in the desert. It’s called “the cleaner of the desert. The desert gets cold at night, so when the sun sets, this Pokémon burrows deep into the sand and sleeps until sunrise. Sandile is small, but its legs and lower body are powerful. Pushing sand aside as it goes, Sandile moves through the desert as if it’s swimming.</t>
        </is>
      </c>
    </row>
    <row r="12048" ht="33.75" customHeight="1">
      <c r="A12048" s="7">
        <v>551.0</v>
      </c>
      <c r="B12048" s="9" t="s">
        <v>17146</v>
      </c>
      <c r="C12048" s="9" t="s">
        <v>844</v>
      </c>
      <c r="D12048" s="9" t="s">
        <v>95</v>
      </c>
      <c r="E12048" s="6" t="s">
        <v>10907</v>
      </c>
      <c r="F12048" s="9" t="s">
        <v>18297</v>
      </c>
    </row>
    <row r="12049" ht="33.75" customHeight="1">
      <c r="A12049" s="7">
        <v>551.0</v>
      </c>
      <c r="B12049" s="9" t="s">
        <v>17146</v>
      </c>
      <c r="C12049" s="9" t="s">
        <v>844</v>
      </c>
      <c r="D12049" s="9" t="s">
        <v>98</v>
      </c>
      <c r="E12049" s="6" t="s">
        <v>10908</v>
      </c>
      <c r="F12049" s="9" t="s">
        <v>18297</v>
      </c>
    </row>
    <row r="12050" ht="33.75" customHeight="1">
      <c r="A12050" s="7">
        <v>551.0</v>
      </c>
      <c r="B12050" s="9" t="s">
        <v>17146</v>
      </c>
      <c r="C12050" s="9" t="s">
        <v>844</v>
      </c>
      <c r="D12050" s="9" t="s">
        <v>99</v>
      </c>
      <c r="E12050" s="6" t="s">
        <v>10908</v>
      </c>
      <c r="F12050" s="9" t="s">
        <v>18297</v>
      </c>
    </row>
    <row r="12051" ht="33.75" customHeight="1">
      <c r="A12051" s="7">
        <v>551.0</v>
      </c>
      <c r="B12051" s="9" t="s">
        <v>17146</v>
      </c>
      <c r="C12051" s="9" t="s">
        <v>844</v>
      </c>
      <c r="D12051" s="9" t="s">
        <v>101</v>
      </c>
      <c r="E12051" s="6" t="s">
        <v>10907</v>
      </c>
      <c r="F12051" s="9" t="s">
        <v>18297</v>
      </c>
    </row>
    <row r="12052" ht="33.75" customHeight="1">
      <c r="A12052" s="7">
        <v>551.0</v>
      </c>
      <c r="B12052" s="9" t="s">
        <v>17146</v>
      </c>
      <c r="C12052" s="9" t="s">
        <v>844</v>
      </c>
      <c r="D12052" s="9" t="s">
        <v>105</v>
      </c>
      <c r="E12052" s="6" t="s">
        <v>10905</v>
      </c>
      <c r="F12052" s="9" t="s">
        <v>18297</v>
      </c>
    </row>
    <row r="12053" ht="33.75" customHeight="1">
      <c r="A12053" s="7">
        <v>551.0</v>
      </c>
      <c r="B12053" s="9" t="s">
        <v>17146</v>
      </c>
      <c r="C12053" s="9" t="s">
        <v>844</v>
      </c>
      <c r="D12053" s="9" t="s">
        <v>107</v>
      </c>
      <c r="E12053" s="6" t="s">
        <v>10907</v>
      </c>
      <c r="F12053" s="9" t="s">
        <v>18297</v>
      </c>
    </row>
    <row r="12054" ht="33.75" customHeight="1">
      <c r="A12054" s="7">
        <v>551.0</v>
      </c>
      <c r="B12054" s="9" t="s">
        <v>17146</v>
      </c>
      <c r="C12054" s="9" t="s">
        <v>844</v>
      </c>
      <c r="D12054" s="9" t="s">
        <v>109</v>
      </c>
      <c r="E12054" s="6" t="s">
        <v>10905</v>
      </c>
      <c r="F12054" s="9" t="s">
        <v>18297</v>
      </c>
    </row>
    <row r="12055" ht="33.75" customHeight="1">
      <c r="A12055" s="7">
        <v>551.0</v>
      </c>
      <c r="B12055" s="9" t="s">
        <v>17146</v>
      </c>
      <c r="C12055" s="9" t="s">
        <v>844</v>
      </c>
      <c r="D12055" s="9" t="s">
        <v>637</v>
      </c>
      <c r="E12055" s="6" t="s">
        <v>10910</v>
      </c>
      <c r="F12055" s="9" t="s">
        <v>18297</v>
      </c>
    </row>
    <row r="12056" ht="33.75" customHeight="1">
      <c r="A12056" s="7">
        <v>551.0</v>
      </c>
      <c r="B12056" s="9" t="s">
        <v>17146</v>
      </c>
      <c r="C12056" s="9" t="s">
        <v>844</v>
      </c>
      <c r="D12056" s="9" t="s">
        <v>642</v>
      </c>
      <c r="E12056" s="6" t="s">
        <v>10911</v>
      </c>
      <c r="F12056" s="9" t="s">
        <v>18297</v>
      </c>
    </row>
    <row r="12057" ht="33.75" customHeight="1">
      <c r="A12057" s="7">
        <v>551.0</v>
      </c>
      <c r="B12057" s="9" t="s">
        <v>17146</v>
      </c>
      <c r="C12057" s="9" t="s">
        <v>844</v>
      </c>
      <c r="D12057" s="9" t="s">
        <v>647</v>
      </c>
      <c r="E12057" s="6" t="s">
        <v>10913</v>
      </c>
      <c r="F12057" s="9" t="s">
        <v>18297</v>
      </c>
    </row>
    <row r="12058" ht="33.75" customHeight="1">
      <c r="A12058" s="7">
        <v>551.0</v>
      </c>
      <c r="B12058" s="9" t="s">
        <v>17146</v>
      </c>
      <c r="C12058" s="9" t="s">
        <v>844</v>
      </c>
      <c r="D12058" s="9" t="s">
        <v>652</v>
      </c>
      <c r="E12058" s="6" t="s">
        <v>10914</v>
      </c>
      <c r="F12058" s="9" t="s">
        <v>18297</v>
      </c>
    </row>
    <row r="12059" ht="33.75" customHeight="1">
      <c r="A12059" s="7">
        <v>551.0</v>
      </c>
      <c r="B12059" s="9" t="s">
        <v>17146</v>
      </c>
      <c r="C12059" s="9" t="s">
        <v>844</v>
      </c>
      <c r="D12059" s="9" t="s">
        <v>114</v>
      </c>
      <c r="E12059" s="6" t="s">
        <v>10916</v>
      </c>
      <c r="F12059" s="9" t="s">
        <v>18297</v>
      </c>
    </row>
    <row r="12060" ht="33.75" customHeight="1">
      <c r="A12060" s="7">
        <v>551.0</v>
      </c>
      <c r="B12060" s="9" t="s">
        <v>17146</v>
      </c>
      <c r="C12060" s="9" t="s">
        <v>844</v>
      </c>
      <c r="D12060" s="9" t="s">
        <v>117</v>
      </c>
      <c r="E12060" s="6" t="s">
        <v>10918</v>
      </c>
      <c r="F12060" s="9" t="s">
        <v>18297</v>
      </c>
    </row>
    <row r="12061" ht="33.75" customHeight="1">
      <c r="A12061" s="7">
        <v>552.0</v>
      </c>
      <c r="B12061" s="9" t="s">
        <v>17158</v>
      </c>
      <c r="C12061" s="9" t="s">
        <v>844</v>
      </c>
      <c r="D12061" s="9" t="s">
        <v>93</v>
      </c>
      <c r="E12061" s="6" t="s">
        <v>10919</v>
      </c>
      <c r="F12061" s="9" t="s">
        <v>18312</v>
      </c>
      <c r="G12061" t="inlineStr" s="6">
        <is>
          <t xml:space="preserve">They live in groups of a few individuals. Protective membranes shield their eyes from sandstorms. The special membrane covering its eyes can sense the heat of objects, so it can see its surroundings even in darkness. Protected by thin membranes, their eyes can see even in the dead of night. They move in groups of a few individuals. A female is often the leader of the group, and the males will gather food. Thanks to the special membrane covering its eyes, it can see its surroundings clearly, even in the middle of the night. Krokorok really hates it when its body gets cold. On nights when the temperature drops, it digs deep into the desert sands. It buries some of its prey in the sand to use as emergency meals when its hunts are unsuccessful. Krokorok has specialized eyes that enable it to see in the dark. This ability lets Krokorok hunt in the dead of night without getting lost. Although this Pokémon has specialized eyes that allow it to see in the dark, Krokorok won’t move much at night—the desert gets cold after sunset.</t>
        </is>
      </c>
    </row>
    <row r="12062" ht="33.75" customHeight="1">
      <c r="A12062" s="7">
        <v>552.0</v>
      </c>
      <c r="B12062" s="9" t="s">
        <v>17158</v>
      </c>
      <c r="C12062" s="9" t="s">
        <v>844</v>
      </c>
      <c r="D12062" s="9" t="s">
        <v>95</v>
      </c>
      <c r="E12062" s="6" t="s">
        <v>10921</v>
      </c>
      <c r="F12062" s="9" t="s">
        <v>18312</v>
      </c>
    </row>
    <row r="12063" ht="33.75" customHeight="1">
      <c r="A12063" s="7">
        <v>552.0</v>
      </c>
      <c r="B12063" s="9" t="s">
        <v>17158</v>
      </c>
      <c r="C12063" s="9" t="s">
        <v>844</v>
      </c>
      <c r="D12063" s="9" t="s">
        <v>98</v>
      </c>
      <c r="E12063" s="6" t="s">
        <v>10922</v>
      </c>
      <c r="F12063" s="9" t="s">
        <v>18312</v>
      </c>
    </row>
    <row r="12064" ht="33.75" customHeight="1">
      <c r="A12064" s="7">
        <v>552.0</v>
      </c>
      <c r="B12064" s="9" t="s">
        <v>17158</v>
      </c>
      <c r="C12064" s="9" t="s">
        <v>844</v>
      </c>
      <c r="D12064" s="9" t="s">
        <v>99</v>
      </c>
      <c r="E12064" s="6" t="s">
        <v>10922</v>
      </c>
      <c r="F12064" s="9" t="s">
        <v>18312</v>
      </c>
    </row>
    <row r="12065" ht="33.75" customHeight="1">
      <c r="A12065" s="7">
        <v>552.0</v>
      </c>
      <c r="B12065" s="9" t="s">
        <v>17158</v>
      </c>
      <c r="C12065" s="9" t="s">
        <v>844</v>
      </c>
      <c r="D12065" s="9" t="s">
        <v>101</v>
      </c>
      <c r="E12065" s="6" t="s">
        <v>10919</v>
      </c>
      <c r="F12065" s="9" t="s">
        <v>18312</v>
      </c>
    </row>
    <row r="12066" ht="33.75" customHeight="1">
      <c r="A12066" s="7">
        <v>552.0</v>
      </c>
      <c r="B12066" s="9" t="s">
        <v>17158</v>
      </c>
      <c r="C12066" s="9" t="s">
        <v>844</v>
      </c>
      <c r="D12066" s="9" t="s">
        <v>105</v>
      </c>
      <c r="E12066" s="6" t="s">
        <v>10921</v>
      </c>
      <c r="F12066" s="9" t="s">
        <v>18312</v>
      </c>
    </row>
    <row r="12067" ht="33.75" customHeight="1">
      <c r="A12067" s="7">
        <v>552.0</v>
      </c>
      <c r="B12067" s="9" t="s">
        <v>17158</v>
      </c>
      <c r="C12067" s="9" t="s">
        <v>844</v>
      </c>
      <c r="D12067" s="9" t="s">
        <v>107</v>
      </c>
      <c r="E12067" s="6" t="s">
        <v>10919</v>
      </c>
      <c r="F12067" s="9" t="s">
        <v>18312</v>
      </c>
    </row>
    <row r="12068" ht="33.75" customHeight="1">
      <c r="A12068" s="7">
        <v>552.0</v>
      </c>
      <c r="B12068" s="9" t="s">
        <v>17158</v>
      </c>
      <c r="C12068" s="9" t="s">
        <v>844</v>
      </c>
      <c r="D12068" s="9" t="s">
        <v>109</v>
      </c>
      <c r="E12068" s="6" t="s">
        <v>10921</v>
      </c>
      <c r="F12068" s="9" t="s">
        <v>18312</v>
      </c>
    </row>
    <row r="12069" ht="33.75" customHeight="1">
      <c r="A12069" s="7">
        <v>552.0</v>
      </c>
      <c r="B12069" s="9" t="s">
        <v>17158</v>
      </c>
      <c r="C12069" s="9" t="s">
        <v>844</v>
      </c>
      <c r="D12069" s="9" t="s">
        <v>637</v>
      </c>
      <c r="E12069" s="6" t="s">
        <v>10923</v>
      </c>
      <c r="F12069" s="9" t="s">
        <v>18312</v>
      </c>
    </row>
    <row r="12070" ht="33.75" customHeight="1">
      <c r="A12070" s="7">
        <v>552.0</v>
      </c>
      <c r="B12070" s="9" t="s">
        <v>17158</v>
      </c>
      <c r="C12070" s="9" t="s">
        <v>844</v>
      </c>
      <c r="D12070" s="9" t="s">
        <v>642</v>
      </c>
      <c r="E12070" s="6" t="s">
        <v>10925</v>
      </c>
      <c r="F12070" s="9" t="s">
        <v>18312</v>
      </c>
    </row>
    <row r="12071" ht="33.75" customHeight="1">
      <c r="A12071" s="7">
        <v>552.0</v>
      </c>
      <c r="B12071" s="9" t="s">
        <v>17158</v>
      </c>
      <c r="C12071" s="9" t="s">
        <v>844</v>
      </c>
      <c r="D12071" s="9" t="s">
        <v>647</v>
      </c>
      <c r="E12071" s="6" t="s">
        <v>10927</v>
      </c>
      <c r="F12071" s="9" t="s">
        <v>18312</v>
      </c>
    </row>
    <row r="12072" ht="33.75" customHeight="1">
      <c r="A12072" s="7">
        <v>552.0</v>
      </c>
      <c r="B12072" s="9" t="s">
        <v>17158</v>
      </c>
      <c r="C12072" s="9" t="s">
        <v>844</v>
      </c>
      <c r="D12072" s="9" t="s">
        <v>652</v>
      </c>
      <c r="E12072" s="6" t="s">
        <v>10929</v>
      </c>
      <c r="F12072" s="9" t="s">
        <v>18312</v>
      </c>
    </row>
    <row r="12073" ht="33.75" customHeight="1">
      <c r="A12073" s="7">
        <v>552.0</v>
      </c>
      <c r="B12073" s="9" t="s">
        <v>17158</v>
      </c>
      <c r="C12073" s="9" t="s">
        <v>844</v>
      </c>
      <c r="D12073" s="9" t="s">
        <v>114</v>
      </c>
      <c r="E12073" s="6" t="s">
        <v>10930</v>
      </c>
      <c r="F12073" s="9" t="s">
        <v>18312</v>
      </c>
    </row>
    <row r="12074" ht="33.75" customHeight="1">
      <c r="A12074" s="7">
        <v>552.0</v>
      </c>
      <c r="B12074" s="9" t="s">
        <v>17158</v>
      </c>
      <c r="C12074" s="9" t="s">
        <v>844</v>
      </c>
      <c r="D12074" s="9" t="s">
        <v>117</v>
      </c>
      <c r="E12074" s="6" t="s">
        <v>10931</v>
      </c>
      <c r="F12074" s="9" t="s">
        <v>18312</v>
      </c>
    </row>
    <row r="12075" ht="33.75" customHeight="1">
      <c r="A12075" s="7">
        <v>553.0</v>
      </c>
      <c r="B12075" s="9" t="s">
        <v>17168</v>
      </c>
      <c r="C12075" s="9" t="s">
        <v>846</v>
      </c>
      <c r="D12075" s="9" t="s">
        <v>93</v>
      </c>
      <c r="E12075" s="6" t="s">
        <v>10933</v>
      </c>
      <c r="F12075" s="9" t="s">
        <v>18325</v>
      </c>
      <c r="G12075" t="inlineStr" s="6">
        <is>
          <t xml:space="preserve">They never allow prey to escape. Their jaws are so powerful, they can crush the body of an automobile. It can expand the focus of its eyes, enabling it to see objects in the far distance as if it were using binoculars. Very violent Pokémon, they try to clamp down on anything that moves in front of their eyes. Its unique faculty of sight can detect small prey more than 30 miles away, even in the midst of a sandstorm. After clamping down with its powerful jaws, it twists its body around to rip its prey in half. When it spots prey, even at a distance of over 30 miles, it swims through the desert as if it were water, then jumps out and chomps them. It conceals itself in sandstorms that Flygon whip up and waits patiently for prey to appear. This Pokémon is known as the Bully of the Sands. Krookodile’s mighty jaws can bite through heavy plates of iron with almost no effort at all. While terribly aggressive, Krookodile also has the patience to stay hidden under sand for days, lying in wait for prey.</t>
        </is>
      </c>
    </row>
    <row r="12076" ht="33.75" customHeight="1">
      <c r="A12076" s="7">
        <v>553.0</v>
      </c>
      <c r="B12076" s="9" t="s">
        <v>17168</v>
      </c>
      <c r="C12076" s="9" t="s">
        <v>846</v>
      </c>
      <c r="D12076" s="9" t="s">
        <v>95</v>
      </c>
      <c r="E12076" s="6" t="s">
        <v>10934</v>
      </c>
      <c r="F12076" s="9" t="s">
        <v>18325</v>
      </c>
    </row>
    <row r="12077" ht="33.75" customHeight="1">
      <c r="A12077" s="7">
        <v>553.0</v>
      </c>
      <c r="B12077" s="9" t="s">
        <v>17168</v>
      </c>
      <c r="C12077" s="9" t="s">
        <v>846</v>
      </c>
      <c r="D12077" s="9" t="s">
        <v>98</v>
      </c>
      <c r="E12077" s="6" t="s">
        <v>10935</v>
      </c>
      <c r="F12077" s="9" t="s">
        <v>18325</v>
      </c>
    </row>
    <row r="12078" ht="33.75" customHeight="1">
      <c r="A12078" s="7">
        <v>553.0</v>
      </c>
      <c r="B12078" s="9" t="s">
        <v>17168</v>
      </c>
      <c r="C12078" s="9" t="s">
        <v>846</v>
      </c>
      <c r="D12078" s="9" t="s">
        <v>99</v>
      </c>
      <c r="E12078" s="6" t="s">
        <v>10935</v>
      </c>
      <c r="F12078" s="9" t="s">
        <v>18325</v>
      </c>
    </row>
    <row r="12079" ht="33.75" customHeight="1">
      <c r="A12079" s="7">
        <v>553.0</v>
      </c>
      <c r="B12079" s="9" t="s">
        <v>17168</v>
      </c>
      <c r="C12079" s="9" t="s">
        <v>846</v>
      </c>
      <c r="D12079" s="9" t="s">
        <v>101</v>
      </c>
      <c r="E12079" s="6" t="s">
        <v>10935</v>
      </c>
      <c r="F12079" s="9" t="s">
        <v>18325</v>
      </c>
    </row>
    <row r="12080" ht="33.75" customHeight="1">
      <c r="A12080" s="7">
        <v>553.0</v>
      </c>
      <c r="B12080" s="9" t="s">
        <v>17168</v>
      </c>
      <c r="C12080" s="9" t="s">
        <v>846</v>
      </c>
      <c r="D12080" s="9" t="s">
        <v>105</v>
      </c>
      <c r="E12080" s="6" t="s">
        <v>10933</v>
      </c>
      <c r="F12080" s="9" t="s">
        <v>18325</v>
      </c>
    </row>
    <row r="12081" ht="33.75" customHeight="1">
      <c r="A12081" s="7">
        <v>553.0</v>
      </c>
      <c r="B12081" s="9" t="s">
        <v>17168</v>
      </c>
      <c r="C12081" s="9" t="s">
        <v>846</v>
      </c>
      <c r="D12081" s="9" t="s">
        <v>107</v>
      </c>
      <c r="E12081" s="6" t="s">
        <v>10935</v>
      </c>
      <c r="F12081" s="9" t="s">
        <v>18325</v>
      </c>
    </row>
    <row r="12082" ht="33.75" customHeight="1">
      <c r="A12082" s="7">
        <v>553.0</v>
      </c>
      <c r="B12082" s="9" t="s">
        <v>17168</v>
      </c>
      <c r="C12082" s="9" t="s">
        <v>846</v>
      </c>
      <c r="D12082" s="9" t="s">
        <v>109</v>
      </c>
      <c r="E12082" s="6" t="s">
        <v>10933</v>
      </c>
      <c r="F12082" s="9" t="s">
        <v>18325</v>
      </c>
    </row>
    <row r="12083" ht="33.75" customHeight="1">
      <c r="A12083" s="7">
        <v>553.0</v>
      </c>
      <c r="B12083" s="9" t="s">
        <v>17168</v>
      </c>
      <c r="C12083" s="9" t="s">
        <v>846</v>
      </c>
      <c r="D12083" s="9" t="s">
        <v>637</v>
      </c>
      <c r="E12083" s="6" t="s">
        <v>10936</v>
      </c>
      <c r="F12083" s="9" t="s">
        <v>18325</v>
      </c>
    </row>
    <row r="12084" ht="33.75" customHeight="1">
      <c r="A12084" s="7">
        <v>553.0</v>
      </c>
      <c r="B12084" s="9" t="s">
        <v>17168</v>
      </c>
      <c r="C12084" s="9" t="s">
        <v>846</v>
      </c>
      <c r="D12084" s="9" t="s">
        <v>642</v>
      </c>
      <c r="E12084" s="6" t="s">
        <v>10937</v>
      </c>
      <c r="F12084" s="9" t="s">
        <v>18325</v>
      </c>
    </row>
    <row r="12085" ht="33.75" customHeight="1">
      <c r="A12085" s="7">
        <v>553.0</v>
      </c>
      <c r="B12085" s="9" t="s">
        <v>17168</v>
      </c>
      <c r="C12085" s="9" t="s">
        <v>846</v>
      </c>
      <c r="D12085" s="9" t="s">
        <v>647</v>
      </c>
      <c r="E12085" s="6" t="s">
        <v>10938</v>
      </c>
      <c r="F12085" s="9" t="s">
        <v>18325</v>
      </c>
    </row>
    <row r="12086" ht="33.75" customHeight="1">
      <c r="A12086" s="7">
        <v>553.0</v>
      </c>
      <c r="B12086" s="9" t="s">
        <v>17168</v>
      </c>
      <c r="C12086" s="9" t="s">
        <v>846</v>
      </c>
      <c r="D12086" s="9" t="s">
        <v>652</v>
      </c>
      <c r="E12086" s="6" t="s">
        <v>10940</v>
      </c>
      <c r="F12086" s="9" t="s">
        <v>18325</v>
      </c>
    </row>
    <row r="12087" ht="33.75" customHeight="1">
      <c r="A12087" s="7">
        <v>553.0</v>
      </c>
      <c r="B12087" s="9" t="s">
        <v>17168</v>
      </c>
      <c r="C12087" s="9" t="s">
        <v>846</v>
      </c>
      <c r="D12087" s="9" t="s">
        <v>114</v>
      </c>
      <c r="E12087" s="6" t="s">
        <v>10941</v>
      </c>
      <c r="F12087" s="9" t="s">
        <v>18325</v>
      </c>
    </row>
    <row r="12088" ht="33.75" customHeight="1">
      <c r="A12088" s="7">
        <v>553.0</v>
      </c>
      <c r="B12088" s="9" t="s">
        <v>17168</v>
      </c>
      <c r="C12088" s="9" t="s">
        <v>846</v>
      </c>
      <c r="D12088" s="9" t="s">
        <v>117</v>
      </c>
      <c r="E12088" s="6" t="s">
        <v>10942</v>
      </c>
      <c r="F12088" s="9" t="s">
        <v>18325</v>
      </c>
    </row>
    <row r="12089" ht="33.75" customHeight="1">
      <c r="A12089" s="7">
        <v>554.0</v>
      </c>
      <c r="B12089" s="9" t="s">
        <v>17180</v>
      </c>
      <c r="C12089" s="9" t="s">
        <v>848</v>
      </c>
      <c r="D12089" s="9" t="s">
        <v>93</v>
      </c>
      <c r="E12089" s="6" t="s">
        <v>10944</v>
      </c>
      <c r="F12089" s="9" t="s">
        <v>18341</v>
      </c>
      <c r="G12089" t="inlineStr" s="6">
        <is>
          <t xml:space="preserve">When Darumaka's internal fire is burning, it cannot calm down and it runs around. When the fire diminishes, it falls asleep. Darumaka’s droppings are hot, so people used to put them in their clothes to keep themselves warm. When it sleeps, it pulls its limbs into its body and its internal fire goes down to 1,100° F. When it sleeps, it pulls its limbs into its body and its internal fire goes down to 1,100 degrees Fahrenheit. It derives its power from fire burning inside its body. If the fire dwindles, this Pokémon will immediately fall asleep. This popular symbol of good fortune will never fall over in its sleep, no matter how it’s pushed or pulled.</t>
        </is>
      </c>
    </row>
    <row r="12090" ht="33.75" customHeight="1">
      <c r="A12090" s="7">
        <v>554.0</v>
      </c>
      <c r="B12090" s="9" t="s">
        <v>17180</v>
      </c>
      <c r="C12090" s="9" t="s">
        <v>848</v>
      </c>
      <c r="D12090" s="9" t="s">
        <v>95</v>
      </c>
      <c r="E12090" s="6" t="s">
        <v>10945</v>
      </c>
      <c r="F12090" s="9" t="s">
        <v>18341</v>
      </c>
    </row>
    <row r="12091" ht="33.75" customHeight="1">
      <c r="A12091" s="7">
        <v>554.0</v>
      </c>
      <c r="B12091" s="9" t="s">
        <v>17180</v>
      </c>
      <c r="C12091" s="9" t="s">
        <v>848</v>
      </c>
      <c r="D12091" s="9" t="s">
        <v>98</v>
      </c>
      <c r="E12091" s="6" t="s">
        <v>10946</v>
      </c>
      <c r="F12091" s="9" t="s">
        <v>18341</v>
      </c>
    </row>
    <row r="12092" ht="33.75" customHeight="1">
      <c r="A12092" s="7">
        <v>554.0</v>
      </c>
      <c r="B12092" s="9" t="s">
        <v>17180</v>
      </c>
      <c r="C12092" s="9" t="s">
        <v>848</v>
      </c>
      <c r="D12092" s="9" t="s">
        <v>99</v>
      </c>
      <c r="E12092" s="6" t="s">
        <v>10946</v>
      </c>
      <c r="F12092" s="9" t="s">
        <v>18341</v>
      </c>
    </row>
    <row r="12093" ht="33.75" customHeight="1">
      <c r="A12093" s="7">
        <v>554.0</v>
      </c>
      <c r="B12093" s="9" t="s">
        <v>17180</v>
      </c>
      <c r="C12093" s="9" t="s">
        <v>848</v>
      </c>
      <c r="D12093" s="9" t="s">
        <v>101</v>
      </c>
      <c r="E12093" s="6" t="s">
        <v>10945</v>
      </c>
      <c r="F12093" s="9" t="s">
        <v>18341</v>
      </c>
    </row>
    <row r="12094" ht="33.75" customHeight="1">
      <c r="A12094" s="7">
        <v>554.0</v>
      </c>
      <c r="B12094" s="9" t="s">
        <v>17180</v>
      </c>
      <c r="C12094" s="9" t="s">
        <v>848</v>
      </c>
      <c r="D12094" s="9" t="s">
        <v>105</v>
      </c>
      <c r="E12094" s="6" t="s">
        <v>10947</v>
      </c>
      <c r="F12094" s="9" t="s">
        <v>18341</v>
      </c>
    </row>
    <row r="12095" ht="33.75" customHeight="1">
      <c r="A12095" s="7">
        <v>554.0</v>
      </c>
      <c r="B12095" s="9" t="s">
        <v>17180</v>
      </c>
      <c r="C12095" s="9" t="s">
        <v>848</v>
      </c>
      <c r="D12095" s="9" t="s">
        <v>107</v>
      </c>
      <c r="E12095" s="6" t="s">
        <v>10945</v>
      </c>
      <c r="F12095" s="9" t="s">
        <v>18341</v>
      </c>
    </row>
    <row r="12096" ht="33.75" customHeight="1">
      <c r="A12096" s="7">
        <v>554.0</v>
      </c>
      <c r="B12096" s="9" t="s">
        <v>17180</v>
      </c>
      <c r="C12096" s="9" t="s">
        <v>848</v>
      </c>
      <c r="D12096" s="9" t="s">
        <v>109</v>
      </c>
      <c r="E12096" s="6" t="s">
        <v>10947</v>
      </c>
      <c r="F12096" s="9" t="s">
        <v>18341</v>
      </c>
    </row>
    <row r="12097" ht="33.75" customHeight="1">
      <c r="A12097" s="7">
        <v>554.0</v>
      </c>
      <c r="B12097" s="9" t="s">
        <v>17180</v>
      </c>
      <c r="C12097" s="9" t="s">
        <v>848</v>
      </c>
      <c r="D12097" s="9" t="s">
        <v>114</v>
      </c>
      <c r="E12097" s="6" t="s">
        <v>10948</v>
      </c>
      <c r="F12097" s="9" t="s">
        <v>18341</v>
      </c>
    </row>
    <row r="12098" ht="33.75" customHeight="1">
      <c r="A12098" s="7">
        <v>554.0</v>
      </c>
      <c r="B12098" s="9" t="s">
        <v>17180</v>
      </c>
      <c r="C12098" s="9" t="s">
        <v>848</v>
      </c>
      <c r="D12098" s="9" t="s">
        <v>117</v>
      </c>
      <c r="E12098" s="6" t="s">
        <v>10950</v>
      </c>
      <c r="F12098" s="9" t="s">
        <v>18341</v>
      </c>
    </row>
    <row r="12099" ht="33.75" customHeight="1">
      <c r="A12099" s="7">
        <v>555.0</v>
      </c>
      <c r="B12099" s="9" t="s">
        <v>17188</v>
      </c>
      <c r="C12099" s="9" t="s">
        <v>850</v>
      </c>
      <c r="D12099" s="9" t="s">
        <v>93</v>
      </c>
      <c r="E12099" s="6" t="s">
        <v>10952</v>
      </c>
      <c r="F12099" s="9" t="s">
        <v>18351</v>
      </c>
      <c r="G12099" t="inlineStr" s="6">
        <is>
          <t xml:space="preserve">Darmanitan's internal fire burns at 2,500° F, making enough power that it can destroy a dump truck with one punch. When weakened in battle, it transforms into a stone statue. Then it sharpens its mind and fights on mentally. When one is injured in a fierce battle, it hardens into a stone-like form. Then it meditates and sharpens its mind. Its internal fire burns at 2,500 degrees Fahrenheit, making enough power that it can destroy a dump truck with one punch. The thick arms of this hot-blooded Pokémon can deliver punches capable of obliterating a dump truck. This Pokémon’s power level rises along with the temperature of its fire, which can reach 2,500 degrees Fahrenheit.</t>
        </is>
      </c>
    </row>
    <row r="12100" ht="33.75" customHeight="1">
      <c r="A12100" s="7">
        <v>555.0</v>
      </c>
      <c r="B12100" s="9" t="s">
        <v>17188</v>
      </c>
      <c r="C12100" s="9" t="s">
        <v>850</v>
      </c>
      <c r="D12100" s="9" t="s">
        <v>95</v>
      </c>
      <c r="E12100" s="6" t="s">
        <v>10953</v>
      </c>
      <c r="F12100" s="9" t="s">
        <v>18351</v>
      </c>
    </row>
    <row r="12101" ht="33.75" customHeight="1">
      <c r="A12101" s="7">
        <v>555.0</v>
      </c>
      <c r="B12101" s="9" t="s">
        <v>17188</v>
      </c>
      <c r="C12101" s="9" t="s">
        <v>850</v>
      </c>
      <c r="D12101" s="9" t="s">
        <v>98</v>
      </c>
      <c r="E12101" s="6" t="s">
        <v>10955</v>
      </c>
      <c r="F12101" s="9" t="s">
        <v>18351</v>
      </c>
    </row>
    <row r="12102" ht="33.75" customHeight="1">
      <c r="A12102" s="7">
        <v>555.0</v>
      </c>
      <c r="B12102" s="9" t="s">
        <v>17188</v>
      </c>
      <c r="C12102" s="9" t="s">
        <v>850</v>
      </c>
      <c r="D12102" s="9" t="s">
        <v>99</v>
      </c>
      <c r="E12102" s="6" t="s">
        <v>10955</v>
      </c>
      <c r="F12102" s="9" t="s">
        <v>18351</v>
      </c>
    </row>
    <row r="12103" ht="33.75" customHeight="1">
      <c r="A12103" s="7">
        <v>555.0</v>
      </c>
      <c r="B12103" s="9" t="s">
        <v>17188</v>
      </c>
      <c r="C12103" s="9" t="s">
        <v>850</v>
      </c>
      <c r="D12103" s="9" t="s">
        <v>101</v>
      </c>
      <c r="E12103" s="6" t="s">
        <v>10955</v>
      </c>
      <c r="F12103" s="9" t="s">
        <v>18351</v>
      </c>
    </row>
    <row r="12104" ht="33.75" customHeight="1">
      <c r="A12104" s="7">
        <v>555.0</v>
      </c>
      <c r="B12104" s="9" t="s">
        <v>17188</v>
      </c>
      <c r="C12104" s="9" t="s">
        <v>850</v>
      </c>
      <c r="D12104" s="9" t="s">
        <v>105</v>
      </c>
      <c r="E12104" s="6" t="s">
        <v>10958</v>
      </c>
      <c r="F12104" s="9" t="s">
        <v>18351</v>
      </c>
    </row>
    <row r="12105" ht="33.75" customHeight="1">
      <c r="A12105" s="7">
        <v>555.0</v>
      </c>
      <c r="B12105" s="9" t="s">
        <v>17188</v>
      </c>
      <c r="C12105" s="9" t="s">
        <v>850</v>
      </c>
      <c r="D12105" s="9" t="s">
        <v>107</v>
      </c>
      <c r="E12105" s="6" t="s">
        <v>10955</v>
      </c>
      <c r="F12105" s="9" t="s">
        <v>18351</v>
      </c>
    </row>
    <row r="12106" ht="33.75" customHeight="1">
      <c r="A12106" s="7">
        <v>555.0</v>
      </c>
      <c r="B12106" s="9" t="s">
        <v>17188</v>
      </c>
      <c r="C12106" s="9" t="s">
        <v>850</v>
      </c>
      <c r="D12106" s="9" t="s">
        <v>109</v>
      </c>
      <c r="E12106" s="6" t="s">
        <v>10958</v>
      </c>
      <c r="F12106" s="9" t="s">
        <v>18351</v>
      </c>
    </row>
    <row r="12107" ht="33.75" customHeight="1">
      <c r="A12107" s="7">
        <v>555.0</v>
      </c>
      <c r="B12107" s="9" t="s">
        <v>17188</v>
      </c>
      <c r="C12107" s="9" t="s">
        <v>850</v>
      </c>
      <c r="D12107" s="9" t="s">
        <v>114</v>
      </c>
      <c r="E12107" s="6" t="s">
        <v>10962</v>
      </c>
      <c r="F12107" s="9" t="s">
        <v>18351</v>
      </c>
    </row>
    <row r="12108" ht="33.75" customHeight="1">
      <c r="A12108" s="7">
        <v>555.0</v>
      </c>
      <c r="B12108" s="9" t="s">
        <v>17188</v>
      </c>
      <c r="C12108" s="9" t="s">
        <v>850</v>
      </c>
      <c r="D12108" s="9" t="s">
        <v>117</v>
      </c>
      <c r="E12108" s="6" t="s">
        <v>10964</v>
      </c>
      <c r="F12108" s="9" t="s">
        <v>18351</v>
      </c>
    </row>
    <row r="12109" ht="33.75" customHeight="1">
      <c r="A12109" s="7">
        <v>556.0</v>
      </c>
      <c r="B12109" s="9" t="s">
        <v>17196</v>
      </c>
      <c r="C12109" s="9" t="s">
        <v>499</v>
      </c>
      <c r="D12109" s="9" t="s">
        <v>93</v>
      </c>
      <c r="E12109" s="6" t="s">
        <v>10966</v>
      </c>
      <c r="F12109" s="9" t="s">
        <v>18361</v>
      </c>
      <c r="G12109" t="inlineStr" s="6">
        <is>
          <t xml:space="preserve">It uses an up-tempo song and dance to drive away the bird Pokémon that prey on Maractus's flower seeds. Arid regions are their habitat. They move rhythmically, making a sound similar to maracas. When it moves rhythmically, it makes a sound similar to maracas, making the surprised Pokémon flee. With noises that could be mistaken for the rattles of maracas, it creates an upbeat rhythm, startling bird Pokémon and making them fly off in a hurry. Once each year, this Pokémon scatters its seeds. They’re jam-packed with nutrients, making them a precious food source out in the desert.</t>
        </is>
      </c>
    </row>
    <row r="12110" ht="33.75" customHeight="1">
      <c r="A12110" s="7">
        <v>556.0</v>
      </c>
      <c r="B12110" s="9" t="s">
        <v>17196</v>
      </c>
      <c r="C12110" s="9" t="s">
        <v>499</v>
      </c>
      <c r="D12110" s="9" t="s">
        <v>95</v>
      </c>
      <c r="E12110" s="6" t="s">
        <v>10967</v>
      </c>
      <c r="F12110" s="9" t="s">
        <v>18361</v>
      </c>
    </row>
    <row r="12111" ht="33.75" customHeight="1">
      <c r="A12111" s="7">
        <v>556.0</v>
      </c>
      <c r="B12111" s="9" t="s">
        <v>17196</v>
      </c>
      <c r="C12111" s="9" t="s">
        <v>499</v>
      </c>
      <c r="D12111" s="9" t="s">
        <v>98</v>
      </c>
      <c r="E12111" s="6" t="s">
        <v>10969</v>
      </c>
      <c r="F12111" s="9" t="s">
        <v>18361</v>
      </c>
    </row>
    <row r="12112" ht="33.75" customHeight="1">
      <c r="A12112" s="7">
        <v>556.0</v>
      </c>
      <c r="B12112" s="9" t="s">
        <v>17196</v>
      </c>
      <c r="C12112" s="9" t="s">
        <v>499</v>
      </c>
      <c r="D12112" s="9" t="s">
        <v>99</v>
      </c>
      <c r="E12112" s="6" t="s">
        <v>10969</v>
      </c>
      <c r="F12112" s="9" t="s">
        <v>18361</v>
      </c>
    </row>
    <row r="12113" ht="33.75" customHeight="1">
      <c r="A12113" s="7">
        <v>556.0</v>
      </c>
      <c r="B12113" s="9" t="s">
        <v>17196</v>
      </c>
      <c r="C12113" s="9" t="s">
        <v>499</v>
      </c>
      <c r="D12113" s="9" t="s">
        <v>101</v>
      </c>
      <c r="E12113" s="6" t="s">
        <v>10966</v>
      </c>
      <c r="F12113" s="9" t="s">
        <v>18361</v>
      </c>
    </row>
    <row r="12114" ht="33.75" customHeight="1">
      <c r="A12114" s="7">
        <v>556.0</v>
      </c>
      <c r="B12114" s="9" t="s">
        <v>17196</v>
      </c>
      <c r="C12114" s="9" t="s">
        <v>499</v>
      </c>
      <c r="D12114" s="9" t="s">
        <v>105</v>
      </c>
      <c r="E12114" s="6" t="s">
        <v>10967</v>
      </c>
      <c r="F12114" s="9" t="s">
        <v>18361</v>
      </c>
    </row>
    <row r="12115" ht="33.75" customHeight="1">
      <c r="A12115" s="7">
        <v>556.0</v>
      </c>
      <c r="B12115" s="9" t="s">
        <v>17196</v>
      </c>
      <c r="C12115" s="9" t="s">
        <v>499</v>
      </c>
      <c r="D12115" s="9" t="s">
        <v>107</v>
      </c>
      <c r="E12115" s="6" t="s">
        <v>10966</v>
      </c>
      <c r="F12115" s="9" t="s">
        <v>18361</v>
      </c>
    </row>
    <row r="12116" ht="33.75" customHeight="1">
      <c r="A12116" s="7">
        <v>556.0</v>
      </c>
      <c r="B12116" s="9" t="s">
        <v>17196</v>
      </c>
      <c r="C12116" s="9" t="s">
        <v>499</v>
      </c>
      <c r="D12116" s="9" t="s">
        <v>109</v>
      </c>
      <c r="E12116" s="6" t="s">
        <v>10967</v>
      </c>
      <c r="F12116" s="9" t="s">
        <v>18361</v>
      </c>
    </row>
    <row r="12117" ht="33.75" customHeight="1">
      <c r="A12117" s="7">
        <v>556.0</v>
      </c>
      <c r="B12117" s="9" t="s">
        <v>17196</v>
      </c>
      <c r="C12117" s="9" t="s">
        <v>499</v>
      </c>
      <c r="D12117" s="9" t="s">
        <v>114</v>
      </c>
      <c r="E12117" s="6" t="s">
        <v>10971</v>
      </c>
      <c r="F12117" s="9" t="s">
        <v>18361</v>
      </c>
    </row>
    <row r="12118" ht="33.75" customHeight="1">
      <c r="A12118" s="7">
        <v>556.0</v>
      </c>
      <c r="B12118" s="9" t="s">
        <v>17196</v>
      </c>
      <c r="C12118" s="9" t="s">
        <v>499</v>
      </c>
      <c r="D12118" s="9" t="s">
        <v>117</v>
      </c>
      <c r="E12118" s="6" t="s">
        <v>10973</v>
      </c>
      <c r="F12118" s="9" t="s">
        <v>18361</v>
      </c>
    </row>
    <row r="12119" ht="33.75" customHeight="1">
      <c r="A12119" s="7">
        <v>557.0</v>
      </c>
      <c r="B12119" s="9" t="s">
        <v>17203</v>
      </c>
      <c r="C12119" s="9" t="s">
        <v>851</v>
      </c>
      <c r="D12119" s="9" t="s">
        <v>93</v>
      </c>
      <c r="E12119" s="6" t="s">
        <v>10974</v>
      </c>
      <c r="F12119" s="9" t="s">
        <v>18371</v>
      </c>
      <c r="G12119" t="inlineStr" s="6">
        <is>
          <t xml:space="preserve">This Pokémon can easily melt holes in hard rocks with a liquid secreted from Dwebble's mouth. It makes a hole in a suitable rock. If that rock breaks, the Pokémon remains agitated until it locates a replacement. When it finds a stone of a suitable size, it secretes a liquid from its mouth to open up a hole to crawl into. When it finds a stone appealing, it creates a hole inside it and uses it as its home. This Pokémon is the natural enemy of Roggenrola and Rolycoly. It first tries to find a rock to live in, but if there are no suitable rocks to be found, Dwebble may move in to the ports of a Hippowdon.</t>
        </is>
      </c>
    </row>
    <row r="12120" ht="33.75" customHeight="1">
      <c r="A12120" s="7">
        <v>557.0</v>
      </c>
      <c r="B12120" s="9" t="s">
        <v>17203</v>
      </c>
      <c r="C12120" s="9" t="s">
        <v>851</v>
      </c>
      <c r="D12120" s="9" t="s">
        <v>95</v>
      </c>
      <c r="E12120" s="6" t="s">
        <v>10975</v>
      </c>
      <c r="F12120" s="9" t="s">
        <v>18371</v>
      </c>
    </row>
    <row r="12121" ht="33.75" customHeight="1">
      <c r="A12121" s="7">
        <v>557.0</v>
      </c>
      <c r="B12121" s="9" t="s">
        <v>17203</v>
      </c>
      <c r="C12121" s="9" t="s">
        <v>851</v>
      </c>
      <c r="D12121" s="9" t="s">
        <v>98</v>
      </c>
      <c r="E12121" s="6" t="s">
        <v>10977</v>
      </c>
      <c r="F12121" s="9" t="s">
        <v>18371</v>
      </c>
    </row>
    <row r="12122" ht="33.75" customHeight="1">
      <c r="A12122" s="7">
        <v>557.0</v>
      </c>
      <c r="B12122" s="9" t="s">
        <v>17203</v>
      </c>
      <c r="C12122" s="9" t="s">
        <v>851</v>
      </c>
      <c r="D12122" s="9" t="s">
        <v>99</v>
      </c>
      <c r="E12122" s="6" t="s">
        <v>10977</v>
      </c>
      <c r="F12122" s="9" t="s">
        <v>18371</v>
      </c>
    </row>
    <row r="12123" ht="33.75" customHeight="1">
      <c r="A12123" s="7">
        <v>557.0</v>
      </c>
      <c r="B12123" s="9" t="s">
        <v>17203</v>
      </c>
      <c r="C12123" s="9" t="s">
        <v>851</v>
      </c>
      <c r="D12123" s="9" t="s">
        <v>101</v>
      </c>
      <c r="E12123" s="6" t="s">
        <v>10975</v>
      </c>
      <c r="F12123" s="9" t="s">
        <v>18371</v>
      </c>
    </row>
    <row r="12124" ht="33.75" customHeight="1">
      <c r="A12124" s="7">
        <v>557.0</v>
      </c>
      <c r="B12124" s="9" t="s">
        <v>17203</v>
      </c>
      <c r="C12124" s="9" t="s">
        <v>851</v>
      </c>
      <c r="D12124" s="9" t="s">
        <v>105</v>
      </c>
      <c r="E12124" s="6" t="s">
        <v>10977</v>
      </c>
      <c r="F12124" s="9" t="s">
        <v>18371</v>
      </c>
    </row>
    <row r="12125" ht="33.75" customHeight="1">
      <c r="A12125" s="7">
        <v>557.0</v>
      </c>
      <c r="B12125" s="9" t="s">
        <v>17203</v>
      </c>
      <c r="C12125" s="9" t="s">
        <v>851</v>
      </c>
      <c r="D12125" s="9" t="s">
        <v>107</v>
      </c>
      <c r="E12125" s="6" t="s">
        <v>10975</v>
      </c>
      <c r="F12125" s="9" t="s">
        <v>18371</v>
      </c>
    </row>
    <row r="12126" ht="33.75" customHeight="1">
      <c r="A12126" s="7">
        <v>557.0</v>
      </c>
      <c r="B12126" s="9" t="s">
        <v>17203</v>
      </c>
      <c r="C12126" s="9" t="s">
        <v>851</v>
      </c>
      <c r="D12126" s="9" t="s">
        <v>109</v>
      </c>
      <c r="E12126" s="6" t="s">
        <v>10977</v>
      </c>
      <c r="F12126" s="9" t="s">
        <v>18371</v>
      </c>
    </row>
    <row r="12127" ht="33.75" customHeight="1">
      <c r="A12127" s="7">
        <v>557.0</v>
      </c>
      <c r="B12127" s="9" t="s">
        <v>17203</v>
      </c>
      <c r="C12127" s="9" t="s">
        <v>851</v>
      </c>
      <c r="D12127" s="9" t="s">
        <v>114</v>
      </c>
      <c r="E12127" s="6" t="s">
        <v>10979</v>
      </c>
      <c r="F12127" s="9" t="s">
        <v>18371</v>
      </c>
    </row>
    <row r="12128" ht="33.75" customHeight="1">
      <c r="A12128" s="7">
        <v>557.0</v>
      </c>
      <c r="B12128" s="9" t="s">
        <v>17203</v>
      </c>
      <c r="C12128" s="9" t="s">
        <v>851</v>
      </c>
      <c r="D12128" s="9" t="s">
        <v>117</v>
      </c>
      <c r="E12128" s="6" t="s">
        <v>10980</v>
      </c>
      <c r="F12128" s="9" t="s">
        <v>18371</v>
      </c>
    </row>
    <row r="12129" ht="33.75" customHeight="1">
      <c r="A12129" s="7">
        <v>558.0</v>
      </c>
      <c r="B12129" s="9" t="s">
        <v>17210</v>
      </c>
      <c r="C12129" s="9" t="s">
        <v>854</v>
      </c>
      <c r="D12129" s="9" t="s">
        <v>93</v>
      </c>
      <c r="E12129" s="6" t="s">
        <v>10982</v>
      </c>
      <c r="F12129" s="9" t="s">
        <v>18382</v>
      </c>
      <c r="G12129" t="inlineStr" s="6">
        <is>
          <t xml:space="preserve">Competing for territory, Crustle fight viciously. The one whose boulder is broken is the loser of the battle. It possesses legs of enormous strength, enabling it to carry heavy slabs for many days, even when crossing arid land. When its boulder is broken in battles for territory, it feels unsure and begins to weaken. This highly territorial Pokémon prefers dry climates. It won’t come out of its boulder on rainy days. Its thick claws are its greatest weapons. They’re mighty enough to crack Rhyperior’s carapace.</t>
        </is>
      </c>
    </row>
    <row r="12130" ht="33.75" customHeight="1">
      <c r="A12130" s="7">
        <v>558.0</v>
      </c>
      <c r="B12130" s="9" t="s">
        <v>17210</v>
      </c>
      <c r="C12130" s="9" t="s">
        <v>854</v>
      </c>
      <c r="D12130" s="9" t="s">
        <v>95</v>
      </c>
      <c r="E12130" s="6" t="s">
        <v>10984</v>
      </c>
      <c r="F12130" s="9" t="s">
        <v>18382</v>
      </c>
    </row>
    <row r="12131" ht="33.75" customHeight="1">
      <c r="A12131" s="7">
        <v>558.0</v>
      </c>
      <c r="B12131" s="9" t="s">
        <v>17210</v>
      </c>
      <c r="C12131" s="9" t="s">
        <v>854</v>
      </c>
      <c r="D12131" s="9" t="s">
        <v>98</v>
      </c>
      <c r="E12131" s="6" t="s">
        <v>10985</v>
      </c>
      <c r="F12131" s="9" t="s">
        <v>18382</v>
      </c>
    </row>
    <row r="12132" ht="33.75" customHeight="1">
      <c r="A12132" s="7">
        <v>558.0</v>
      </c>
      <c r="B12132" s="9" t="s">
        <v>17210</v>
      </c>
      <c r="C12132" s="9" t="s">
        <v>854</v>
      </c>
      <c r="D12132" s="9" t="s">
        <v>99</v>
      </c>
      <c r="E12132" s="6" t="s">
        <v>10985</v>
      </c>
      <c r="F12132" s="9" t="s">
        <v>18382</v>
      </c>
    </row>
    <row r="12133" ht="33.75" customHeight="1">
      <c r="A12133" s="7">
        <v>558.0</v>
      </c>
      <c r="B12133" s="9" t="s">
        <v>17210</v>
      </c>
      <c r="C12133" s="9" t="s">
        <v>854</v>
      </c>
      <c r="D12133" s="9" t="s">
        <v>101</v>
      </c>
      <c r="E12133" s="6" t="s">
        <v>10984</v>
      </c>
      <c r="F12133" s="9" t="s">
        <v>18382</v>
      </c>
    </row>
    <row r="12134" ht="33.75" customHeight="1">
      <c r="A12134" s="7">
        <v>558.0</v>
      </c>
      <c r="B12134" s="9" t="s">
        <v>17210</v>
      </c>
      <c r="C12134" s="9" t="s">
        <v>854</v>
      </c>
      <c r="D12134" s="9" t="s">
        <v>105</v>
      </c>
      <c r="E12134" s="6" t="s">
        <v>10982</v>
      </c>
      <c r="F12134" s="9" t="s">
        <v>18382</v>
      </c>
    </row>
    <row r="12135" ht="33.75" customHeight="1">
      <c r="A12135" s="7">
        <v>558.0</v>
      </c>
      <c r="B12135" s="9" t="s">
        <v>17210</v>
      </c>
      <c r="C12135" s="9" t="s">
        <v>854</v>
      </c>
      <c r="D12135" s="9" t="s">
        <v>107</v>
      </c>
      <c r="E12135" s="6" t="s">
        <v>10984</v>
      </c>
      <c r="F12135" s="9" t="s">
        <v>18382</v>
      </c>
    </row>
    <row r="12136" ht="33.75" customHeight="1">
      <c r="A12136" s="7">
        <v>558.0</v>
      </c>
      <c r="B12136" s="9" t="s">
        <v>17210</v>
      </c>
      <c r="C12136" s="9" t="s">
        <v>854</v>
      </c>
      <c r="D12136" s="9" t="s">
        <v>109</v>
      </c>
      <c r="E12136" s="6" t="s">
        <v>10982</v>
      </c>
      <c r="F12136" s="9" t="s">
        <v>18382</v>
      </c>
    </row>
    <row r="12137" ht="33.75" customHeight="1">
      <c r="A12137" s="7">
        <v>558.0</v>
      </c>
      <c r="B12137" s="9" t="s">
        <v>17210</v>
      </c>
      <c r="C12137" s="9" t="s">
        <v>854</v>
      </c>
      <c r="D12137" s="9" t="s">
        <v>114</v>
      </c>
      <c r="E12137" s="6" t="s">
        <v>10986</v>
      </c>
      <c r="F12137" s="9" t="s">
        <v>18382</v>
      </c>
    </row>
    <row r="12138" ht="33.75" customHeight="1">
      <c r="A12138" s="7">
        <v>558.0</v>
      </c>
      <c r="B12138" s="9" t="s">
        <v>17210</v>
      </c>
      <c r="C12138" s="9" t="s">
        <v>854</v>
      </c>
      <c r="D12138" s="9" t="s">
        <v>117</v>
      </c>
      <c r="E12138" s="6" t="s">
        <v>10987</v>
      </c>
      <c r="F12138" s="9" t="s">
        <v>18382</v>
      </c>
    </row>
    <row r="12139" ht="33.75" customHeight="1">
      <c r="A12139" s="7">
        <v>559.0</v>
      </c>
      <c r="B12139" s="9" t="s">
        <v>17217</v>
      </c>
      <c r="C12139" s="9" t="s">
        <v>857</v>
      </c>
      <c r="D12139" s="9" t="s">
        <v>93</v>
      </c>
      <c r="E12139" s="6" t="s">
        <v>10988</v>
      </c>
      <c r="F12139" s="9" t="s">
        <v>18388</v>
      </c>
      <c r="G12139" t="inlineStr" s="6">
        <is>
          <t xml:space="preserve">Scraggy's skin has a rubbery elasticity, so it can reduce damage by defensively pulling its skin up to its neck. It immediately headbutts anyone that makes eye contact with it. Its skull is massively thick. Proud of its sturdy skull, it suddenly headbutts everything, but its weight makes it unstable, too. They move in small groups, walking around lazily. Anyone who makes eye contact gets smacked with a headbutt. It stretches its saggy skin up to its neck to protect itself. The saggier their skin, the more respect they garner. If it locks eyes with you, watch out! Nothing and no one is safe from the reckless headbutts of this troublesome Pokémon. It protects itself with its durable skin. It’s thought that this Pokémon will evolve once its skin has completely stretched out.</t>
        </is>
      </c>
    </row>
    <row r="12140" ht="33.75" customHeight="1">
      <c r="A12140" s="7">
        <v>559.0</v>
      </c>
      <c r="B12140" s="9" t="s">
        <v>17217</v>
      </c>
      <c r="C12140" s="9" t="s">
        <v>857</v>
      </c>
      <c r="D12140" s="9" t="s">
        <v>95</v>
      </c>
      <c r="E12140" s="6" t="s">
        <v>10989</v>
      </c>
      <c r="F12140" s="9" t="s">
        <v>18388</v>
      </c>
    </row>
    <row r="12141" ht="33.75" customHeight="1">
      <c r="A12141" s="7">
        <v>559.0</v>
      </c>
      <c r="B12141" s="9" t="s">
        <v>17217</v>
      </c>
      <c r="C12141" s="9" t="s">
        <v>857</v>
      </c>
      <c r="D12141" s="9" t="s">
        <v>98</v>
      </c>
      <c r="E12141" s="6" t="s">
        <v>10990</v>
      </c>
      <c r="F12141" s="9" t="s">
        <v>18388</v>
      </c>
    </row>
    <row r="12142" ht="33.75" customHeight="1">
      <c r="A12142" s="7">
        <v>559.0</v>
      </c>
      <c r="B12142" s="9" t="s">
        <v>17217</v>
      </c>
      <c r="C12142" s="9" t="s">
        <v>857</v>
      </c>
      <c r="D12142" s="9" t="s">
        <v>99</v>
      </c>
      <c r="E12142" s="6" t="s">
        <v>10990</v>
      </c>
      <c r="F12142" s="9" t="s">
        <v>18388</v>
      </c>
    </row>
    <row r="12143" ht="33.75" customHeight="1">
      <c r="A12143" s="7">
        <v>559.0</v>
      </c>
      <c r="B12143" s="9" t="s">
        <v>17217</v>
      </c>
      <c r="C12143" s="9" t="s">
        <v>857</v>
      </c>
      <c r="D12143" s="9" t="s">
        <v>101</v>
      </c>
      <c r="E12143" s="6" t="s">
        <v>10988</v>
      </c>
      <c r="F12143" s="9" t="s">
        <v>18388</v>
      </c>
    </row>
    <row r="12144" ht="33.75" customHeight="1">
      <c r="A12144" s="7">
        <v>559.0</v>
      </c>
      <c r="B12144" s="9" t="s">
        <v>17217</v>
      </c>
      <c r="C12144" s="9" t="s">
        <v>857</v>
      </c>
      <c r="D12144" s="9" t="s">
        <v>105</v>
      </c>
      <c r="E12144" s="6" t="s">
        <v>10990</v>
      </c>
      <c r="F12144" s="9" t="s">
        <v>18388</v>
      </c>
    </row>
    <row r="12145" ht="33.75" customHeight="1">
      <c r="A12145" s="7">
        <v>559.0</v>
      </c>
      <c r="B12145" s="9" t="s">
        <v>17217</v>
      </c>
      <c r="C12145" s="9" t="s">
        <v>857</v>
      </c>
      <c r="D12145" s="9" t="s">
        <v>107</v>
      </c>
      <c r="E12145" s="6" t="s">
        <v>10988</v>
      </c>
      <c r="F12145" s="9" t="s">
        <v>18388</v>
      </c>
    </row>
    <row r="12146" ht="33.75" customHeight="1">
      <c r="A12146" s="7">
        <v>559.0</v>
      </c>
      <c r="B12146" s="9" t="s">
        <v>17217</v>
      </c>
      <c r="C12146" s="9" t="s">
        <v>857</v>
      </c>
      <c r="D12146" s="9" t="s">
        <v>109</v>
      </c>
      <c r="E12146" s="6" t="s">
        <v>10990</v>
      </c>
      <c r="F12146" s="9" t="s">
        <v>18388</v>
      </c>
    </row>
    <row r="12147" ht="33.75" customHeight="1">
      <c r="A12147" s="7">
        <v>559.0</v>
      </c>
      <c r="B12147" s="9" t="s">
        <v>17217</v>
      </c>
      <c r="C12147" s="9" t="s">
        <v>857</v>
      </c>
      <c r="D12147" s="9" t="s">
        <v>647</v>
      </c>
      <c r="E12147" s="6" t="s">
        <v>10991</v>
      </c>
      <c r="F12147" s="9" t="s">
        <v>18388</v>
      </c>
    </row>
    <row r="12148" ht="33.75" customHeight="1">
      <c r="A12148" s="7">
        <v>559.0</v>
      </c>
      <c r="B12148" s="9" t="s">
        <v>17217</v>
      </c>
      <c r="C12148" s="9" t="s">
        <v>857</v>
      </c>
      <c r="D12148" s="9" t="s">
        <v>652</v>
      </c>
      <c r="E12148" s="6" t="s">
        <v>10992</v>
      </c>
      <c r="F12148" s="9" t="s">
        <v>18388</v>
      </c>
    </row>
    <row r="12149" ht="33.75" customHeight="1">
      <c r="A12149" s="7">
        <v>559.0</v>
      </c>
      <c r="B12149" s="9" t="s">
        <v>17217</v>
      </c>
      <c r="C12149" s="9" t="s">
        <v>857</v>
      </c>
      <c r="D12149" s="9" t="s">
        <v>114</v>
      </c>
      <c r="E12149" s="6" t="s">
        <v>10993</v>
      </c>
      <c r="F12149" s="9" t="s">
        <v>18388</v>
      </c>
    </row>
    <row r="12150" ht="33.75" customHeight="1">
      <c r="A12150" s="7">
        <v>559.0</v>
      </c>
      <c r="B12150" s="9" t="s">
        <v>17217</v>
      </c>
      <c r="C12150" s="9" t="s">
        <v>857</v>
      </c>
      <c r="D12150" s="9" t="s">
        <v>117</v>
      </c>
      <c r="E12150" s="6" t="s">
        <v>10995</v>
      </c>
      <c r="F12150" s="9" t="s">
        <v>18388</v>
      </c>
    </row>
    <row r="12151" ht="33.75" customHeight="1">
      <c r="A12151" s="7">
        <v>560.0</v>
      </c>
      <c r="B12151" s="9" t="s">
        <v>17227</v>
      </c>
      <c r="C12151" s="9" t="s">
        <v>858</v>
      </c>
      <c r="D12151" s="9" t="s">
        <v>93</v>
      </c>
      <c r="E12151" s="6" t="s">
        <v>10996</v>
      </c>
      <c r="F12151" s="9" t="s">
        <v>18400</v>
      </c>
      <c r="G12151" t="inlineStr" s="6">
        <is>
          <t xml:space="preserve">Groups of them beat up anything that enters their territory. Each can spit acidic liquid from its mouth. It can smash concrete blocks with its kicking attacks. The one with the biggest crest is the group leader. It pulls up its shed skin to protect itself while it kicks. The bigger the crest, the more respected it is. This Pokémon may be rude, but it takes very good care of its family, its friends, and its turf. It taunts its opponents by spitting. It has a certain territory that it never leaves its whole life long. As halfhearted as this Pokémon’s kicks may seem, they pack enough power to shatter Conkeldurr’s concrete pillars. While mostly known for having the temperament of an aggressive ruffian, this Pokémon takes very good care of its family, friends, and territory.</t>
        </is>
      </c>
    </row>
    <row r="12152" ht="33.75" customHeight="1">
      <c r="A12152" s="7">
        <v>560.0</v>
      </c>
      <c r="B12152" s="9" t="s">
        <v>17227</v>
      </c>
      <c r="C12152" s="9" t="s">
        <v>858</v>
      </c>
      <c r="D12152" s="9" t="s">
        <v>95</v>
      </c>
      <c r="E12152" s="6" t="s">
        <v>10997</v>
      </c>
      <c r="F12152" s="9" t="s">
        <v>18400</v>
      </c>
    </row>
    <row r="12153" ht="33.75" customHeight="1">
      <c r="A12153" s="7">
        <v>560.0</v>
      </c>
      <c r="B12153" s="9" t="s">
        <v>17227</v>
      </c>
      <c r="C12153" s="9" t="s">
        <v>858</v>
      </c>
      <c r="D12153" s="9" t="s">
        <v>98</v>
      </c>
      <c r="E12153" s="6" t="s">
        <v>10998</v>
      </c>
      <c r="F12153" s="9" t="s">
        <v>18400</v>
      </c>
    </row>
    <row r="12154" ht="33.75" customHeight="1">
      <c r="A12154" s="7">
        <v>560.0</v>
      </c>
      <c r="B12154" s="9" t="s">
        <v>17227</v>
      </c>
      <c r="C12154" s="9" t="s">
        <v>858</v>
      </c>
      <c r="D12154" s="9" t="s">
        <v>99</v>
      </c>
      <c r="E12154" s="6" t="s">
        <v>10998</v>
      </c>
      <c r="F12154" s="9" t="s">
        <v>18400</v>
      </c>
    </row>
    <row r="12155" ht="33.75" customHeight="1">
      <c r="A12155" s="7">
        <v>560.0</v>
      </c>
      <c r="B12155" s="9" t="s">
        <v>17227</v>
      </c>
      <c r="C12155" s="9" t="s">
        <v>858</v>
      </c>
      <c r="D12155" s="9" t="s">
        <v>101</v>
      </c>
      <c r="E12155" s="6" t="s">
        <v>10998</v>
      </c>
      <c r="F12155" s="9" t="s">
        <v>18400</v>
      </c>
    </row>
    <row r="12156" ht="33.75" customHeight="1">
      <c r="A12156" s="7">
        <v>560.0</v>
      </c>
      <c r="B12156" s="9" t="s">
        <v>17227</v>
      </c>
      <c r="C12156" s="9" t="s">
        <v>858</v>
      </c>
      <c r="D12156" s="9" t="s">
        <v>105</v>
      </c>
      <c r="E12156" s="6" t="s">
        <v>10997</v>
      </c>
      <c r="F12156" s="9" t="s">
        <v>18400</v>
      </c>
    </row>
    <row r="12157" ht="33.75" customHeight="1">
      <c r="A12157" s="7">
        <v>560.0</v>
      </c>
      <c r="B12157" s="9" t="s">
        <v>17227</v>
      </c>
      <c r="C12157" s="9" t="s">
        <v>858</v>
      </c>
      <c r="D12157" s="9" t="s">
        <v>107</v>
      </c>
      <c r="E12157" s="6" t="s">
        <v>10998</v>
      </c>
      <c r="F12157" s="9" t="s">
        <v>18400</v>
      </c>
    </row>
    <row r="12158" ht="33.75" customHeight="1">
      <c r="A12158" s="7">
        <v>560.0</v>
      </c>
      <c r="B12158" s="9" t="s">
        <v>17227</v>
      </c>
      <c r="C12158" s="9" t="s">
        <v>858</v>
      </c>
      <c r="D12158" s="9" t="s">
        <v>109</v>
      </c>
      <c r="E12158" s="6" t="s">
        <v>10997</v>
      </c>
      <c r="F12158" s="9" t="s">
        <v>18400</v>
      </c>
    </row>
    <row r="12159" ht="33.75" customHeight="1">
      <c r="A12159" s="7">
        <v>560.0</v>
      </c>
      <c r="B12159" s="9" t="s">
        <v>17227</v>
      </c>
      <c r="C12159" s="9" t="s">
        <v>858</v>
      </c>
      <c r="D12159" s="9" t="s">
        <v>647</v>
      </c>
      <c r="E12159" s="6" t="s">
        <v>10999</v>
      </c>
      <c r="F12159" s="9" t="s">
        <v>18400</v>
      </c>
    </row>
    <row r="12160" ht="33.75" customHeight="1">
      <c r="A12160" s="7">
        <v>560.0</v>
      </c>
      <c r="B12160" s="9" t="s">
        <v>17227</v>
      </c>
      <c r="C12160" s="9" t="s">
        <v>858</v>
      </c>
      <c r="D12160" s="9" t="s">
        <v>652</v>
      </c>
      <c r="E12160" s="6" t="s">
        <v>11000</v>
      </c>
      <c r="F12160" s="9" t="s">
        <v>18400</v>
      </c>
    </row>
    <row r="12161" ht="33.75" customHeight="1">
      <c r="A12161" s="7">
        <v>560.0</v>
      </c>
      <c r="B12161" s="9" t="s">
        <v>17227</v>
      </c>
      <c r="C12161" s="9" t="s">
        <v>858</v>
      </c>
      <c r="D12161" s="9" t="s">
        <v>114</v>
      </c>
      <c r="E12161" s="6" t="s">
        <v>11002</v>
      </c>
      <c r="F12161" s="9" t="s">
        <v>18400</v>
      </c>
    </row>
    <row r="12162" ht="33.75" customHeight="1">
      <c r="A12162" s="7">
        <v>560.0</v>
      </c>
      <c r="B12162" s="9" t="s">
        <v>17227</v>
      </c>
      <c r="C12162" s="9" t="s">
        <v>858</v>
      </c>
      <c r="D12162" s="9" t="s">
        <v>117</v>
      </c>
      <c r="E12162" s="6" t="s">
        <v>11004</v>
      </c>
      <c r="F12162" s="9" t="s">
        <v>18400</v>
      </c>
    </row>
    <row r="12163" ht="33.75" customHeight="1">
      <c r="A12163" s="7">
        <v>561.0</v>
      </c>
      <c r="B12163" s="9" t="s">
        <v>17236</v>
      </c>
      <c r="C12163" s="9" t="s">
        <v>859</v>
      </c>
      <c r="D12163" s="9" t="s">
        <v>93</v>
      </c>
      <c r="E12163" s="6" t="s">
        <v>11005</v>
      </c>
      <c r="F12163" s="9" t="s">
        <v>18416</v>
      </c>
      <c r="G12163" t="inlineStr" s="6">
        <is>
          <t xml:space="preserve">They never vary the route they fly, because their memories of guarding an ancient city remain steadfast. The guardians of an ancient city, they use their psychic power to attack enemies that invade their territory. The guardians of an ancient city, they always fly the same route while keeping watch for invaders. Psychic power allows these Pokémon to fly. Some say they were the guardians of an ancient city. Others say they were the guardians’ emissaries. A discovery was made in the desert where Sigilyph fly. The ruins of what may have been an ancient city were found beneath the sands.</t>
        </is>
      </c>
    </row>
    <row r="12164" ht="33.75" customHeight="1">
      <c r="A12164" s="7">
        <v>561.0</v>
      </c>
      <c r="B12164" s="9" t="s">
        <v>17236</v>
      </c>
      <c r="C12164" s="9" t="s">
        <v>859</v>
      </c>
      <c r="D12164" s="9" t="s">
        <v>95</v>
      </c>
      <c r="E12164" s="6" t="s">
        <v>11007</v>
      </c>
      <c r="F12164" s="9" t="s">
        <v>18416</v>
      </c>
    </row>
    <row r="12165" ht="33.75" customHeight="1">
      <c r="A12165" s="7">
        <v>561.0</v>
      </c>
      <c r="B12165" s="9" t="s">
        <v>17236</v>
      </c>
      <c r="C12165" s="9" t="s">
        <v>859</v>
      </c>
      <c r="D12165" s="9" t="s">
        <v>98</v>
      </c>
      <c r="E12165" s="6" t="s">
        <v>11009</v>
      </c>
      <c r="F12165" s="9" t="s">
        <v>18416</v>
      </c>
    </row>
    <row r="12166" ht="33.75" customHeight="1">
      <c r="A12166" s="7">
        <v>561.0</v>
      </c>
      <c r="B12166" s="9" t="s">
        <v>17236</v>
      </c>
      <c r="C12166" s="9" t="s">
        <v>859</v>
      </c>
      <c r="D12166" s="9" t="s">
        <v>99</v>
      </c>
      <c r="E12166" s="6" t="s">
        <v>11009</v>
      </c>
      <c r="F12166" s="9" t="s">
        <v>18416</v>
      </c>
    </row>
    <row r="12167" ht="33.75" customHeight="1">
      <c r="A12167" s="7">
        <v>561.0</v>
      </c>
      <c r="B12167" s="9" t="s">
        <v>17236</v>
      </c>
      <c r="C12167" s="9" t="s">
        <v>859</v>
      </c>
      <c r="D12167" s="9" t="s">
        <v>101</v>
      </c>
      <c r="E12167" s="6" t="s">
        <v>11007</v>
      </c>
      <c r="F12167" s="9" t="s">
        <v>18416</v>
      </c>
    </row>
    <row r="12168" ht="33.75" customHeight="1">
      <c r="A12168" s="7">
        <v>561.0</v>
      </c>
      <c r="B12168" s="9" t="s">
        <v>17236</v>
      </c>
      <c r="C12168" s="9" t="s">
        <v>859</v>
      </c>
      <c r="D12168" s="9" t="s">
        <v>105</v>
      </c>
      <c r="E12168" s="6" t="s">
        <v>11009</v>
      </c>
      <c r="F12168" s="9" t="s">
        <v>18416</v>
      </c>
    </row>
    <row r="12169" ht="33.75" customHeight="1">
      <c r="A12169" s="7">
        <v>561.0</v>
      </c>
      <c r="B12169" s="9" t="s">
        <v>17236</v>
      </c>
      <c r="C12169" s="9" t="s">
        <v>859</v>
      </c>
      <c r="D12169" s="9" t="s">
        <v>107</v>
      </c>
      <c r="E12169" s="6" t="s">
        <v>11007</v>
      </c>
      <c r="F12169" s="9" t="s">
        <v>18416</v>
      </c>
    </row>
    <row r="12170" ht="33.75" customHeight="1">
      <c r="A12170" s="7">
        <v>561.0</v>
      </c>
      <c r="B12170" s="9" t="s">
        <v>17236</v>
      </c>
      <c r="C12170" s="9" t="s">
        <v>859</v>
      </c>
      <c r="D12170" s="9" t="s">
        <v>109</v>
      </c>
      <c r="E12170" s="6" t="s">
        <v>11009</v>
      </c>
      <c r="F12170" s="9" t="s">
        <v>18416</v>
      </c>
    </row>
    <row r="12171" ht="33.75" customHeight="1">
      <c r="A12171" s="7">
        <v>561.0</v>
      </c>
      <c r="B12171" s="9" t="s">
        <v>17236</v>
      </c>
      <c r="C12171" s="9" t="s">
        <v>859</v>
      </c>
      <c r="D12171" s="9" t="s">
        <v>114</v>
      </c>
      <c r="E12171" s="6" t="s">
        <v>11012</v>
      </c>
      <c r="F12171" s="9" t="s">
        <v>18416</v>
      </c>
    </row>
    <row r="12172" ht="33.75" customHeight="1">
      <c r="A12172" s="7">
        <v>561.0</v>
      </c>
      <c r="B12172" s="9" t="s">
        <v>17236</v>
      </c>
      <c r="C12172" s="9" t="s">
        <v>859</v>
      </c>
      <c r="D12172" s="9" t="s">
        <v>117</v>
      </c>
      <c r="E12172" s="6" t="s">
        <v>11014</v>
      </c>
      <c r="F12172" s="9" t="s">
        <v>18416</v>
      </c>
    </row>
    <row r="12173" ht="33.75" customHeight="1">
      <c r="A12173" s="7">
        <v>562.0</v>
      </c>
      <c r="B12173" s="9" t="s">
        <v>17243</v>
      </c>
      <c r="C12173" s="9" t="s">
        <v>861</v>
      </c>
      <c r="D12173" s="9" t="s">
        <v>93</v>
      </c>
      <c r="E12173" s="6" t="s">
        <v>11016</v>
      </c>
      <c r="F12173" s="9" t="s">
        <v>18425</v>
      </c>
      <c r="G12173" t="inlineStr" s="6">
        <is>
          <t xml:space="preserve">Each of them carries a mask that used to be Yamask's face when it was human. Sometimes they look at it and cry. These Pokémon arose from the spirits of people interred in graves in past ages. Each retains memories of its former life. These Pokémon arose from the spirits of people interred in graves. It wanders through ruins by night, carrying a mask that’s said to have been the face it had when it was still human. The spirit of a person from a bygone age became this Pokémon. It rambles through ruins, searching for someone who knows its face.</t>
        </is>
      </c>
    </row>
    <row r="12174" ht="33.75" customHeight="1">
      <c r="A12174" s="7">
        <v>562.0</v>
      </c>
      <c r="B12174" s="9" t="s">
        <v>17243</v>
      </c>
      <c r="C12174" s="9" t="s">
        <v>861</v>
      </c>
      <c r="D12174" s="9" t="s">
        <v>95</v>
      </c>
      <c r="E12174" s="6" t="s">
        <v>11018</v>
      </c>
      <c r="F12174" s="9" t="s">
        <v>18425</v>
      </c>
    </row>
    <row r="12175" ht="33.75" customHeight="1">
      <c r="A12175" s="7">
        <v>562.0</v>
      </c>
      <c r="B12175" s="9" t="s">
        <v>17243</v>
      </c>
      <c r="C12175" s="9" t="s">
        <v>861</v>
      </c>
      <c r="D12175" s="9" t="s">
        <v>98</v>
      </c>
      <c r="E12175" s="6" t="s">
        <v>11019</v>
      </c>
      <c r="F12175" s="9" t="s">
        <v>18425</v>
      </c>
    </row>
    <row r="12176" ht="33.75" customHeight="1">
      <c r="A12176" s="7">
        <v>562.0</v>
      </c>
      <c r="B12176" s="9" t="s">
        <v>17243</v>
      </c>
      <c r="C12176" s="9" t="s">
        <v>861</v>
      </c>
      <c r="D12176" s="9" t="s">
        <v>99</v>
      </c>
      <c r="E12176" s="6" t="s">
        <v>11019</v>
      </c>
      <c r="F12176" s="9" t="s">
        <v>18425</v>
      </c>
    </row>
    <row r="12177" ht="33.75" customHeight="1">
      <c r="A12177" s="7">
        <v>562.0</v>
      </c>
      <c r="B12177" s="9" t="s">
        <v>17243</v>
      </c>
      <c r="C12177" s="9" t="s">
        <v>861</v>
      </c>
      <c r="D12177" s="9" t="s">
        <v>101</v>
      </c>
      <c r="E12177" s="6" t="s">
        <v>11019</v>
      </c>
      <c r="F12177" s="9" t="s">
        <v>18425</v>
      </c>
    </row>
    <row r="12178" ht="33.75" customHeight="1">
      <c r="A12178" s="7">
        <v>562.0</v>
      </c>
      <c r="B12178" s="9" t="s">
        <v>17243</v>
      </c>
      <c r="C12178" s="9" t="s">
        <v>861</v>
      </c>
      <c r="D12178" s="9" t="s">
        <v>105</v>
      </c>
      <c r="E12178" s="6" t="s">
        <v>11016</v>
      </c>
      <c r="F12178" s="9" t="s">
        <v>18425</v>
      </c>
    </row>
    <row r="12179" ht="33.75" customHeight="1">
      <c r="A12179" s="7">
        <v>562.0</v>
      </c>
      <c r="B12179" s="9" t="s">
        <v>17243</v>
      </c>
      <c r="C12179" s="9" t="s">
        <v>861</v>
      </c>
      <c r="D12179" s="9" t="s">
        <v>107</v>
      </c>
      <c r="E12179" s="6" t="s">
        <v>11019</v>
      </c>
      <c r="F12179" s="9" t="s">
        <v>18425</v>
      </c>
    </row>
    <row r="12180" ht="33.75" customHeight="1">
      <c r="A12180" s="7">
        <v>562.0</v>
      </c>
      <c r="B12180" s="9" t="s">
        <v>17243</v>
      </c>
      <c r="C12180" s="9" t="s">
        <v>861</v>
      </c>
      <c r="D12180" s="9" t="s">
        <v>109</v>
      </c>
      <c r="E12180" s="6" t="s">
        <v>11016</v>
      </c>
      <c r="F12180" s="9" t="s">
        <v>18425</v>
      </c>
    </row>
    <row r="12181" ht="33.75" customHeight="1">
      <c r="A12181" s="7">
        <v>562.0</v>
      </c>
      <c r="B12181" s="9" t="s">
        <v>17243</v>
      </c>
      <c r="C12181" s="9" t="s">
        <v>861</v>
      </c>
      <c r="D12181" s="9" t="s">
        <v>114</v>
      </c>
      <c r="E12181" s="6" t="s">
        <v>11021</v>
      </c>
      <c r="F12181" s="9" t="s">
        <v>18425</v>
      </c>
    </row>
    <row r="12182" ht="33.75" customHeight="1">
      <c r="A12182" s="7">
        <v>562.0</v>
      </c>
      <c r="B12182" s="9" t="s">
        <v>17243</v>
      </c>
      <c r="C12182" s="9" t="s">
        <v>861</v>
      </c>
      <c r="D12182" s="9" t="s">
        <v>117</v>
      </c>
      <c r="E12182" s="6" t="s">
        <v>11022</v>
      </c>
      <c r="F12182" s="9" t="s">
        <v>18425</v>
      </c>
    </row>
    <row r="12183" ht="33.75" customHeight="1">
      <c r="A12183" s="7">
        <v>563.0</v>
      </c>
      <c r="B12183" s="9" t="s">
        <v>17251</v>
      </c>
      <c r="C12183" s="9" t="s">
        <v>863</v>
      </c>
      <c r="D12183" s="9" t="s">
        <v>93</v>
      </c>
      <c r="E12183" s="6" t="s">
        <v>11023</v>
      </c>
      <c r="F12183" s="9" t="s">
        <v>18433</v>
      </c>
      <c r="G12183" t="inlineStr" s="6">
        <is>
          <t xml:space="preserve">Cofagrigus has been said that they swallow those who get too close and turn them into mummies. They like to eat gold nuggets. They pretend to be elaborate coffins to teach lessons to grave robbers. Their bodies are covered in pure gold. Grave robbers who mistake them for real coffins and get too close end up trapped inside their bodies. This Pokémon has a body of sparkling gold. People say it no longer remembers that it was once human. There are many depictions of Cofagrigus decorating ancient tombs. They’re symbols of the wealth that kings of bygone eras had.</t>
        </is>
      </c>
    </row>
    <row r="12184" ht="33.75" customHeight="1">
      <c r="A12184" s="7">
        <v>563.0</v>
      </c>
      <c r="B12184" s="9" t="s">
        <v>17251</v>
      </c>
      <c r="C12184" s="9" t="s">
        <v>863</v>
      </c>
      <c r="D12184" s="9" t="s">
        <v>95</v>
      </c>
      <c r="E12184" s="6" t="s">
        <v>11025</v>
      </c>
      <c r="F12184" s="9" t="s">
        <v>18433</v>
      </c>
    </row>
    <row r="12185" ht="33.75" customHeight="1">
      <c r="A12185" s="7">
        <v>563.0</v>
      </c>
      <c r="B12185" s="9" t="s">
        <v>17251</v>
      </c>
      <c r="C12185" s="9" t="s">
        <v>863</v>
      </c>
      <c r="D12185" s="9" t="s">
        <v>98</v>
      </c>
      <c r="E12185" s="6" t="s">
        <v>11026</v>
      </c>
      <c r="F12185" s="9" t="s">
        <v>18433</v>
      </c>
    </row>
    <row r="12186" ht="33.75" customHeight="1">
      <c r="A12186" s="7">
        <v>563.0</v>
      </c>
      <c r="B12186" s="9" t="s">
        <v>17251</v>
      </c>
      <c r="C12186" s="9" t="s">
        <v>863</v>
      </c>
      <c r="D12186" s="9" t="s">
        <v>99</v>
      </c>
      <c r="E12186" s="6" t="s">
        <v>11026</v>
      </c>
      <c r="F12186" s="9" t="s">
        <v>18433</v>
      </c>
    </row>
    <row r="12187" ht="33.75" customHeight="1">
      <c r="A12187" s="7">
        <v>563.0</v>
      </c>
      <c r="B12187" s="9" t="s">
        <v>17251</v>
      </c>
      <c r="C12187" s="9" t="s">
        <v>863</v>
      </c>
      <c r="D12187" s="9" t="s">
        <v>101</v>
      </c>
      <c r="E12187" s="6" t="s">
        <v>11023</v>
      </c>
      <c r="F12187" s="9" t="s">
        <v>18433</v>
      </c>
    </row>
    <row r="12188" ht="33.75" customHeight="1">
      <c r="A12188" s="7">
        <v>563.0</v>
      </c>
      <c r="B12188" s="9" t="s">
        <v>17251</v>
      </c>
      <c r="C12188" s="9" t="s">
        <v>863</v>
      </c>
      <c r="D12188" s="9" t="s">
        <v>105</v>
      </c>
      <c r="E12188" s="6" t="s">
        <v>11026</v>
      </c>
      <c r="F12188" s="9" t="s">
        <v>18433</v>
      </c>
    </row>
    <row r="12189" ht="33.75" customHeight="1">
      <c r="A12189" s="7">
        <v>563.0</v>
      </c>
      <c r="B12189" s="9" t="s">
        <v>17251</v>
      </c>
      <c r="C12189" s="9" t="s">
        <v>863</v>
      </c>
      <c r="D12189" s="9" t="s">
        <v>107</v>
      </c>
      <c r="E12189" s="6" t="s">
        <v>11023</v>
      </c>
      <c r="F12189" s="9" t="s">
        <v>18433</v>
      </c>
    </row>
    <row r="12190" ht="33.75" customHeight="1">
      <c r="A12190" s="7">
        <v>563.0</v>
      </c>
      <c r="B12190" s="9" t="s">
        <v>17251</v>
      </c>
      <c r="C12190" s="9" t="s">
        <v>863</v>
      </c>
      <c r="D12190" s="9" t="s">
        <v>109</v>
      </c>
      <c r="E12190" s="6" t="s">
        <v>11026</v>
      </c>
      <c r="F12190" s="9" t="s">
        <v>18433</v>
      </c>
    </row>
    <row r="12191" ht="33.75" customHeight="1">
      <c r="A12191" s="7">
        <v>563.0</v>
      </c>
      <c r="B12191" s="9" t="s">
        <v>17251</v>
      </c>
      <c r="C12191" s="9" t="s">
        <v>863</v>
      </c>
      <c r="D12191" s="9" t="s">
        <v>114</v>
      </c>
      <c r="E12191" s="6" t="s">
        <v>11027</v>
      </c>
      <c r="F12191" s="9" t="s">
        <v>18433</v>
      </c>
    </row>
    <row r="12192" ht="33.75" customHeight="1">
      <c r="A12192" s="7">
        <v>563.0</v>
      </c>
      <c r="B12192" s="9" t="s">
        <v>17251</v>
      </c>
      <c r="C12192" s="9" t="s">
        <v>863</v>
      </c>
      <c r="D12192" s="9" t="s">
        <v>117</v>
      </c>
      <c r="E12192" s="6" t="s">
        <v>11030</v>
      </c>
      <c r="F12192" s="9" t="s">
        <v>18433</v>
      </c>
    </row>
    <row r="12193" ht="33.75" customHeight="1">
      <c r="A12193" s="7">
        <v>564.0</v>
      </c>
      <c r="B12193" s="9" t="s">
        <v>17258</v>
      </c>
      <c r="C12193" s="9" t="s">
        <v>864</v>
      </c>
      <c r="D12193" s="9" t="s">
        <v>93</v>
      </c>
      <c r="E12193" s="6" t="s">
        <v>11031</v>
      </c>
      <c r="F12193" s="9" t="s">
        <v>18451</v>
      </c>
      <c r="G12193" t="inlineStr" s="6">
        <is>
          <t xml:space="preserve">Restored from a fossil, this Pokémon can dive to depths beyond half a mile. About 100 million years ago, these Pokémon swam in oceans. It is thought they also went on land to attack prey. This Pokémon was restored from a fossil. It swam skillfully and dove to depths beyond half a mile. Based on studies of its skeletal structure, it can apparently dive to ocean depths of over half a mile. Reputed to be the ancestor of most turtle Pokémon, it lived in warm seas approximately a hundred million years ago. It was restored from an ancient fossil. Tirtouga lived in the sea but came up onto the land to search for prey. Its hunting grounds encompassed a broad area, from the land to more than half a mile deep in the ocean. This Pokémon inhabited ancient seas. Although it can only crawl, it still comes up onto land in search of prey. Tirtouga is considered to be the ancestor of many turtle Pokémon. It was restored to life from a fossil.</t>
        </is>
      </c>
    </row>
    <row r="12194" ht="33.75" customHeight="1">
      <c r="A12194" s="7">
        <v>564.0</v>
      </c>
      <c r="B12194" s="9" t="s">
        <v>17258</v>
      </c>
      <c r="C12194" s="9" t="s">
        <v>864</v>
      </c>
      <c r="D12194" s="9" t="s">
        <v>95</v>
      </c>
      <c r="E12194" s="6" t="s">
        <v>11033</v>
      </c>
      <c r="F12194" s="9" t="s">
        <v>18451</v>
      </c>
    </row>
    <row r="12195" ht="33.75" customHeight="1">
      <c r="A12195" s="7">
        <v>564.0</v>
      </c>
      <c r="B12195" s="9" t="s">
        <v>17258</v>
      </c>
      <c r="C12195" s="9" t="s">
        <v>864</v>
      </c>
      <c r="D12195" s="9" t="s">
        <v>98</v>
      </c>
      <c r="E12195" s="6" t="s">
        <v>11035</v>
      </c>
      <c r="F12195" s="9" t="s">
        <v>18451</v>
      </c>
    </row>
    <row r="12196" ht="33.75" customHeight="1">
      <c r="A12196" s="7">
        <v>564.0</v>
      </c>
      <c r="B12196" s="9" t="s">
        <v>17258</v>
      </c>
      <c r="C12196" s="9" t="s">
        <v>864</v>
      </c>
      <c r="D12196" s="9" t="s">
        <v>99</v>
      </c>
      <c r="E12196" s="6" t="s">
        <v>11035</v>
      </c>
      <c r="F12196" s="9" t="s">
        <v>18451</v>
      </c>
    </row>
    <row r="12197" ht="33.75" customHeight="1">
      <c r="A12197" s="7">
        <v>564.0</v>
      </c>
      <c r="B12197" s="9" t="s">
        <v>17258</v>
      </c>
      <c r="C12197" s="9" t="s">
        <v>864</v>
      </c>
      <c r="D12197" s="9" t="s">
        <v>101</v>
      </c>
      <c r="E12197" s="6" t="s">
        <v>11033</v>
      </c>
      <c r="F12197" s="9" t="s">
        <v>18451</v>
      </c>
    </row>
    <row r="12198" ht="33.75" customHeight="1">
      <c r="A12198" s="7">
        <v>564.0</v>
      </c>
      <c r="B12198" s="9" t="s">
        <v>17258</v>
      </c>
      <c r="C12198" s="9" t="s">
        <v>864</v>
      </c>
      <c r="D12198" s="9" t="s">
        <v>105</v>
      </c>
      <c r="E12198" s="6" t="s">
        <v>11031</v>
      </c>
      <c r="F12198" s="9" t="s">
        <v>18451</v>
      </c>
    </row>
    <row r="12199" ht="33.75" customHeight="1">
      <c r="A12199" s="7">
        <v>564.0</v>
      </c>
      <c r="B12199" s="9" t="s">
        <v>17258</v>
      </c>
      <c r="C12199" s="9" t="s">
        <v>864</v>
      </c>
      <c r="D12199" s="9" t="s">
        <v>107</v>
      </c>
      <c r="E12199" s="6" t="s">
        <v>11033</v>
      </c>
      <c r="F12199" s="9" t="s">
        <v>18451</v>
      </c>
    </row>
    <row r="12200" ht="33.75" customHeight="1">
      <c r="A12200" s="7">
        <v>564.0</v>
      </c>
      <c r="B12200" s="9" t="s">
        <v>17258</v>
      </c>
      <c r="C12200" s="9" t="s">
        <v>864</v>
      </c>
      <c r="D12200" s="9" t="s">
        <v>109</v>
      </c>
      <c r="E12200" s="6" t="s">
        <v>11031</v>
      </c>
      <c r="F12200" s="9" t="s">
        <v>18451</v>
      </c>
    </row>
    <row r="12201" ht="33.75" customHeight="1">
      <c r="A12201" s="7">
        <v>564.0</v>
      </c>
      <c r="B12201" s="9" t="s">
        <v>17258</v>
      </c>
      <c r="C12201" s="9" t="s">
        <v>864</v>
      </c>
      <c r="D12201" s="9" t="s">
        <v>637</v>
      </c>
      <c r="E12201" s="6" t="s">
        <v>11036</v>
      </c>
      <c r="F12201" s="9" t="s">
        <v>18451</v>
      </c>
    </row>
    <row r="12202" ht="33.75" customHeight="1">
      <c r="A12202" s="7">
        <v>564.0</v>
      </c>
      <c r="B12202" s="9" t="s">
        <v>17258</v>
      </c>
      <c r="C12202" s="9" t="s">
        <v>864</v>
      </c>
      <c r="D12202" s="9" t="s">
        <v>642</v>
      </c>
      <c r="E12202" s="6" t="s">
        <v>11037</v>
      </c>
      <c r="F12202" s="9" t="s">
        <v>18451</v>
      </c>
    </row>
    <row r="12203" ht="33.75" customHeight="1">
      <c r="A12203" s="7">
        <v>564.0</v>
      </c>
      <c r="B12203" s="9" t="s">
        <v>17258</v>
      </c>
      <c r="C12203" s="9" t="s">
        <v>864</v>
      </c>
      <c r="D12203" s="9" t="s">
        <v>647</v>
      </c>
      <c r="E12203" s="6" t="s">
        <v>11038</v>
      </c>
      <c r="F12203" s="9" t="s">
        <v>18451</v>
      </c>
    </row>
    <row r="12204" ht="33.75" customHeight="1">
      <c r="A12204" s="7">
        <v>564.0</v>
      </c>
      <c r="B12204" s="9" t="s">
        <v>17258</v>
      </c>
      <c r="C12204" s="9" t="s">
        <v>864</v>
      </c>
      <c r="D12204" s="9" t="s">
        <v>652</v>
      </c>
      <c r="E12204" s="6" t="s">
        <v>11039</v>
      </c>
      <c r="F12204" s="9" t="s">
        <v>18451</v>
      </c>
    </row>
    <row r="12205" ht="33.75" customHeight="1">
      <c r="A12205" s="7">
        <v>564.0</v>
      </c>
      <c r="B12205" s="9" t="s">
        <v>17258</v>
      </c>
      <c r="C12205" s="9" t="s">
        <v>864</v>
      </c>
      <c r="D12205" s="9" t="s">
        <v>114</v>
      </c>
      <c r="E12205" s="6" t="s">
        <v>11040</v>
      </c>
      <c r="F12205" s="9" t="s">
        <v>18451</v>
      </c>
    </row>
    <row r="12206" ht="33.75" customHeight="1">
      <c r="A12206" s="7">
        <v>564.0</v>
      </c>
      <c r="B12206" s="9" t="s">
        <v>17258</v>
      </c>
      <c r="C12206" s="9" t="s">
        <v>864</v>
      </c>
      <c r="D12206" s="9" t="s">
        <v>117</v>
      </c>
      <c r="E12206" s="6" t="s">
        <v>11041</v>
      </c>
      <c r="F12206" s="9" t="s">
        <v>18451</v>
      </c>
    </row>
    <row r="12207" ht="33.75" customHeight="1">
      <c r="A12207" s="7">
        <v>565.0</v>
      </c>
      <c r="B12207" s="9" t="s">
        <v>17270</v>
      </c>
      <c r="C12207" s="9" t="s">
        <v>864</v>
      </c>
      <c r="D12207" s="9" t="s">
        <v>93</v>
      </c>
      <c r="E12207" s="6" t="s">
        <v>11042</v>
      </c>
      <c r="F12207" s="9" t="s">
        <v>18473</v>
      </c>
      <c r="G12207" t="inlineStr" s="6">
        <is>
          <t xml:space="preserve">They can live both in the ocean and on land. A slap from one of them is enough to open a hole in the bottom of a tanker. Incredible jaw strength enables them to chew up steel beams and rocks along with their prey. It could knock out a foe with a slap from one of its developed front appendages and chew it up, shell or bones and all. It constructed its sturdy shell by crunching and swallowing the hard shells or bones of its prey. Active both on land and in the sea, this Pokémon drags its land-based prey into the water to finish it off. Its jaws are terrifyingly powerful. It could eat Omastar and Omanyte whole and not be bothered in the slightest by their shells. Carracosta eats every last bit of the prey it catches, even the shells and bones, to further strengthen its sturdy shell. Carracosta completely devours its prey—bones, shells, and all. Because of this, Carracosta’s own shell grows thick and sturdy. This Pokémon emerges from the water in search of prey despite the fact that it moves more slowly on land.</t>
        </is>
      </c>
    </row>
    <row r="12208" ht="33.75" customHeight="1">
      <c r="A12208" s="7">
        <v>565.0</v>
      </c>
      <c r="B12208" s="9" t="s">
        <v>17270</v>
      </c>
      <c r="C12208" s="9" t="s">
        <v>864</v>
      </c>
      <c r="D12208" s="9" t="s">
        <v>95</v>
      </c>
      <c r="E12208" s="6" t="s">
        <v>11043</v>
      </c>
      <c r="F12208" s="9" t="s">
        <v>18473</v>
      </c>
    </row>
    <row r="12209" ht="33.75" customHeight="1">
      <c r="A12209" s="7">
        <v>565.0</v>
      </c>
      <c r="B12209" s="9" t="s">
        <v>17270</v>
      </c>
      <c r="C12209" s="9" t="s">
        <v>864</v>
      </c>
      <c r="D12209" s="9" t="s">
        <v>98</v>
      </c>
      <c r="E12209" s="6" t="s">
        <v>11044</v>
      </c>
      <c r="F12209" s="9" t="s">
        <v>18473</v>
      </c>
    </row>
    <row r="12210" ht="33.75" customHeight="1">
      <c r="A12210" s="7">
        <v>565.0</v>
      </c>
      <c r="B12210" s="9" t="s">
        <v>17270</v>
      </c>
      <c r="C12210" s="9" t="s">
        <v>864</v>
      </c>
      <c r="D12210" s="9" t="s">
        <v>99</v>
      </c>
      <c r="E12210" s="6" t="s">
        <v>11044</v>
      </c>
      <c r="F12210" s="9" t="s">
        <v>18473</v>
      </c>
    </row>
    <row r="12211" ht="33.75" customHeight="1">
      <c r="A12211" s="7">
        <v>565.0</v>
      </c>
      <c r="B12211" s="9" t="s">
        <v>17270</v>
      </c>
      <c r="C12211" s="9" t="s">
        <v>864</v>
      </c>
      <c r="D12211" s="9" t="s">
        <v>101</v>
      </c>
      <c r="E12211" s="6" t="s">
        <v>11042</v>
      </c>
      <c r="F12211" s="9" t="s">
        <v>18473</v>
      </c>
    </row>
    <row r="12212" ht="33.75" customHeight="1">
      <c r="A12212" s="7">
        <v>565.0</v>
      </c>
      <c r="B12212" s="9" t="s">
        <v>17270</v>
      </c>
      <c r="C12212" s="9" t="s">
        <v>864</v>
      </c>
      <c r="D12212" s="9" t="s">
        <v>105</v>
      </c>
      <c r="E12212" s="6" t="s">
        <v>11044</v>
      </c>
      <c r="F12212" s="9" t="s">
        <v>18473</v>
      </c>
    </row>
    <row r="12213" ht="33.75" customHeight="1">
      <c r="A12213" s="7">
        <v>565.0</v>
      </c>
      <c r="B12213" s="9" t="s">
        <v>17270</v>
      </c>
      <c r="C12213" s="9" t="s">
        <v>864</v>
      </c>
      <c r="D12213" s="9" t="s">
        <v>107</v>
      </c>
      <c r="E12213" s="6" t="s">
        <v>11042</v>
      </c>
      <c r="F12213" s="9" t="s">
        <v>18473</v>
      </c>
    </row>
    <row r="12214" ht="33.75" customHeight="1">
      <c r="A12214" s="7">
        <v>565.0</v>
      </c>
      <c r="B12214" s="9" t="s">
        <v>17270</v>
      </c>
      <c r="C12214" s="9" t="s">
        <v>864</v>
      </c>
      <c r="D12214" s="9" t="s">
        <v>109</v>
      </c>
      <c r="E12214" s="6" t="s">
        <v>11044</v>
      </c>
      <c r="F12214" s="9" t="s">
        <v>18473</v>
      </c>
    </row>
    <row r="12215" ht="33.75" customHeight="1">
      <c r="A12215" s="7">
        <v>565.0</v>
      </c>
      <c r="B12215" s="9" t="s">
        <v>17270</v>
      </c>
      <c r="C12215" s="9" t="s">
        <v>864</v>
      </c>
      <c r="D12215" s="9" t="s">
        <v>637</v>
      </c>
      <c r="E12215" s="6" t="s">
        <v>11047</v>
      </c>
      <c r="F12215" s="9" t="s">
        <v>18473</v>
      </c>
    </row>
    <row r="12216" ht="33.75" customHeight="1">
      <c r="A12216" s="7">
        <v>565.0</v>
      </c>
      <c r="B12216" s="9" t="s">
        <v>17270</v>
      </c>
      <c r="C12216" s="9" t="s">
        <v>864</v>
      </c>
      <c r="D12216" s="9" t="s">
        <v>642</v>
      </c>
      <c r="E12216" s="6" t="s">
        <v>11048</v>
      </c>
      <c r="F12216" s="9" t="s">
        <v>18473</v>
      </c>
    </row>
    <row r="12217" ht="33.75" customHeight="1">
      <c r="A12217" s="7">
        <v>565.0</v>
      </c>
      <c r="B12217" s="9" t="s">
        <v>17270</v>
      </c>
      <c r="C12217" s="9" t="s">
        <v>864</v>
      </c>
      <c r="D12217" s="9" t="s">
        <v>647</v>
      </c>
      <c r="E12217" s="6" t="s">
        <v>11051</v>
      </c>
      <c r="F12217" s="9" t="s">
        <v>18473</v>
      </c>
    </row>
    <row r="12218" ht="33.75" customHeight="1">
      <c r="A12218" s="7">
        <v>565.0</v>
      </c>
      <c r="B12218" s="9" t="s">
        <v>17270</v>
      </c>
      <c r="C12218" s="9" t="s">
        <v>864</v>
      </c>
      <c r="D12218" s="9" t="s">
        <v>652</v>
      </c>
      <c r="E12218" s="6" t="s">
        <v>11053</v>
      </c>
      <c r="F12218" s="9" t="s">
        <v>18473</v>
      </c>
    </row>
    <row r="12219" ht="33.75" customHeight="1">
      <c r="A12219" s="7">
        <v>565.0</v>
      </c>
      <c r="B12219" s="9" t="s">
        <v>17270</v>
      </c>
      <c r="C12219" s="9" t="s">
        <v>864</v>
      </c>
      <c r="D12219" s="9" t="s">
        <v>114</v>
      </c>
      <c r="E12219" s="6" t="s">
        <v>11055</v>
      </c>
      <c r="F12219" s="9" t="s">
        <v>18473</v>
      </c>
    </row>
    <row r="12220" ht="33.75" customHeight="1">
      <c r="A12220" s="7">
        <v>565.0</v>
      </c>
      <c r="B12220" s="9" t="s">
        <v>17270</v>
      </c>
      <c r="C12220" s="9" t="s">
        <v>864</v>
      </c>
      <c r="D12220" s="9" t="s">
        <v>117</v>
      </c>
      <c r="E12220" s="6" t="s">
        <v>11057</v>
      </c>
      <c r="F12220" s="9" t="s">
        <v>18473</v>
      </c>
    </row>
    <row r="12221" ht="33.75" customHeight="1">
      <c r="A12221" s="7">
        <v>566.0</v>
      </c>
      <c r="B12221" s="9" t="s">
        <v>17280</v>
      </c>
      <c r="C12221" s="9" t="s">
        <v>865</v>
      </c>
      <c r="D12221" s="9" t="s">
        <v>93</v>
      </c>
      <c r="E12221" s="6" t="s">
        <v>11059</v>
      </c>
      <c r="F12221" s="9" t="s">
        <v>18500</v>
      </c>
      <c r="G12221" t="inlineStr" s="6">
        <is>
          <t xml:space="preserve">Said to be an ancestor of bird Pokémon, they were unable to fly and moved about by hopping from one branch to another. Revived from a fossil, this Pokémon is thought to be the ancestor of all bird Pokémon. It was revived from an ancient fossil. Not able to fly, it lived in treetops and hopped from one branch to another. It is the ancestor of all bird Pokémon. Archen itself could not actually fly but moved by hopping from treetop to treetop. To all appearances flightless, it was able to glide down from tall treetops to snag its prey. Once thought to be the ancestor of all bird Pokémon, some of the latest research suggests that may not be the case. Restored from a fossil, this ancient bird Pokémon has wings but can’t yet fly. This Pokémon was successfully restored from a fossil. As research suggested, Archen is unable to fly. But it’s very good at jumping. Archen is said to be the ancestor of bird Pokémon. It lived in treetops, eating berries and bug Pokémon.</t>
        </is>
      </c>
    </row>
    <row r="12222" ht="33.75" customHeight="1">
      <c r="A12222" s="7">
        <v>566.0</v>
      </c>
      <c r="B12222" s="9" t="s">
        <v>17280</v>
      </c>
      <c r="C12222" s="9" t="s">
        <v>865</v>
      </c>
      <c r="D12222" s="9" t="s">
        <v>95</v>
      </c>
      <c r="E12222" s="6" t="s">
        <v>11063</v>
      </c>
      <c r="F12222" s="9" t="s">
        <v>18500</v>
      </c>
    </row>
    <row r="12223" ht="33.75" customHeight="1">
      <c r="A12223" s="7">
        <v>566.0</v>
      </c>
      <c r="B12223" s="9" t="s">
        <v>17280</v>
      </c>
      <c r="C12223" s="9" t="s">
        <v>865</v>
      </c>
      <c r="D12223" s="9" t="s">
        <v>98</v>
      </c>
      <c r="E12223" s="6" t="s">
        <v>11065</v>
      </c>
      <c r="F12223" s="9" t="s">
        <v>18500</v>
      </c>
    </row>
    <row r="12224" ht="33.75" customHeight="1">
      <c r="A12224" s="7">
        <v>566.0</v>
      </c>
      <c r="B12224" s="9" t="s">
        <v>17280</v>
      </c>
      <c r="C12224" s="9" t="s">
        <v>865</v>
      </c>
      <c r="D12224" s="9" t="s">
        <v>99</v>
      </c>
      <c r="E12224" s="6" t="s">
        <v>11065</v>
      </c>
      <c r="F12224" s="9" t="s">
        <v>18500</v>
      </c>
    </row>
    <row r="12225" ht="33.75" customHeight="1">
      <c r="A12225" s="7">
        <v>566.0</v>
      </c>
      <c r="B12225" s="9" t="s">
        <v>17280</v>
      </c>
      <c r="C12225" s="9" t="s">
        <v>865</v>
      </c>
      <c r="D12225" s="9" t="s">
        <v>101</v>
      </c>
      <c r="E12225" s="6" t="s">
        <v>11063</v>
      </c>
      <c r="F12225" s="9" t="s">
        <v>18500</v>
      </c>
    </row>
    <row r="12226" ht="33.75" customHeight="1">
      <c r="A12226" s="7">
        <v>566.0</v>
      </c>
      <c r="B12226" s="9" t="s">
        <v>17280</v>
      </c>
      <c r="C12226" s="9" t="s">
        <v>865</v>
      </c>
      <c r="D12226" s="9" t="s">
        <v>105</v>
      </c>
      <c r="E12226" s="6" t="s">
        <v>11059</v>
      </c>
      <c r="F12226" s="9" t="s">
        <v>18500</v>
      </c>
    </row>
    <row r="12227" ht="33.75" customHeight="1">
      <c r="A12227" s="7">
        <v>566.0</v>
      </c>
      <c r="B12227" s="9" t="s">
        <v>17280</v>
      </c>
      <c r="C12227" s="9" t="s">
        <v>865</v>
      </c>
      <c r="D12227" s="9" t="s">
        <v>107</v>
      </c>
      <c r="E12227" s="6" t="s">
        <v>11063</v>
      </c>
      <c r="F12227" s="9" t="s">
        <v>18500</v>
      </c>
    </row>
    <row r="12228" ht="33.75" customHeight="1">
      <c r="A12228" s="7">
        <v>566.0</v>
      </c>
      <c r="B12228" s="9" t="s">
        <v>17280</v>
      </c>
      <c r="C12228" s="9" t="s">
        <v>865</v>
      </c>
      <c r="D12228" s="9" t="s">
        <v>109</v>
      </c>
      <c r="E12228" s="6" t="s">
        <v>11059</v>
      </c>
      <c r="F12228" s="9" t="s">
        <v>18500</v>
      </c>
    </row>
    <row r="12229" ht="33.75" customHeight="1">
      <c r="A12229" s="7">
        <v>566.0</v>
      </c>
      <c r="B12229" s="9" t="s">
        <v>17280</v>
      </c>
      <c r="C12229" s="9" t="s">
        <v>865</v>
      </c>
      <c r="D12229" s="9" t="s">
        <v>637</v>
      </c>
      <c r="E12229" s="6" t="s">
        <v>11068</v>
      </c>
      <c r="F12229" s="9" t="s">
        <v>18500</v>
      </c>
    </row>
    <row r="12230" ht="33.75" customHeight="1">
      <c r="A12230" s="7">
        <v>566.0</v>
      </c>
      <c r="B12230" s="9" t="s">
        <v>17280</v>
      </c>
      <c r="C12230" s="9" t="s">
        <v>865</v>
      </c>
      <c r="D12230" s="9" t="s">
        <v>642</v>
      </c>
      <c r="E12230" s="6" t="s">
        <v>11069</v>
      </c>
      <c r="F12230" s="9" t="s">
        <v>18500</v>
      </c>
    </row>
    <row r="12231" ht="33.75" customHeight="1">
      <c r="A12231" s="7">
        <v>566.0</v>
      </c>
      <c r="B12231" s="9" t="s">
        <v>17280</v>
      </c>
      <c r="C12231" s="9" t="s">
        <v>865</v>
      </c>
      <c r="D12231" s="9" t="s">
        <v>647</v>
      </c>
      <c r="E12231" s="6" t="s">
        <v>11070</v>
      </c>
      <c r="F12231" s="9" t="s">
        <v>18500</v>
      </c>
    </row>
    <row r="12232" ht="33.75" customHeight="1">
      <c r="A12232" s="7">
        <v>566.0</v>
      </c>
      <c r="B12232" s="9" t="s">
        <v>17280</v>
      </c>
      <c r="C12232" s="9" t="s">
        <v>865</v>
      </c>
      <c r="D12232" s="9" t="s">
        <v>652</v>
      </c>
      <c r="E12232" s="6" t="s">
        <v>11072</v>
      </c>
      <c r="F12232" s="9" t="s">
        <v>18500</v>
      </c>
    </row>
    <row r="12233" ht="33.75" customHeight="1">
      <c r="A12233" s="7">
        <v>566.0</v>
      </c>
      <c r="B12233" s="9" t="s">
        <v>17280</v>
      </c>
      <c r="C12233" s="9" t="s">
        <v>865</v>
      </c>
      <c r="D12233" s="9" t="s">
        <v>114</v>
      </c>
      <c r="E12233" s="6" t="s">
        <v>11074</v>
      </c>
      <c r="F12233" s="9" t="s">
        <v>18500</v>
      </c>
    </row>
    <row r="12234" ht="33.75" customHeight="1">
      <c r="A12234" s="7">
        <v>566.0</v>
      </c>
      <c r="B12234" s="9" t="s">
        <v>17280</v>
      </c>
      <c r="C12234" s="9" t="s">
        <v>865</v>
      </c>
      <c r="D12234" s="9" t="s">
        <v>117</v>
      </c>
      <c r="E12234" s="6" t="s">
        <v>11076</v>
      </c>
      <c r="F12234" s="9" t="s">
        <v>18500</v>
      </c>
    </row>
    <row r="12235" ht="33.75" customHeight="1">
      <c r="A12235" s="7">
        <v>567.0</v>
      </c>
      <c r="B12235" s="9" t="s">
        <v>17292</v>
      </c>
      <c r="C12235" s="9" t="s">
        <v>865</v>
      </c>
      <c r="D12235" s="9" t="s">
        <v>93</v>
      </c>
      <c r="E12235" s="6" t="s">
        <v>11077</v>
      </c>
      <c r="F12235" s="9" t="s">
        <v>18524</v>
      </c>
      <c r="G12235" t="inlineStr" s="6">
        <is>
          <t xml:space="preserve">They are intelligent and will cooperate to catch prey. From the ground, they use a running start to take flight. It runs better than it flies. It catches prey by running at speeds comparable to those of an automobile. It takes off into the sky by running at a speed of 25 mph. Although apparently able to fly, they tended to run along the ground, averaging speeds of roughly 25 mph. They hunted in flocks. When one Archeops had the prey cornered, another would swoop on it. This ancient Pokémon’s plumage is delicate, so if anyone other than an experienced professional tries to restore it, they will fail. Said to be an ancestor of bird Pokémon, the muscles it uses to flap its wings are still weak, so it needs a long runway in order to take off. It needs a running start to take off. If Archeops wants to fly, it first needs to run nearly 25 mph, building speed over a course of about 2.5 miles. Though capable of flight, Archeops was apparently better at hunting on the ground.</t>
        </is>
      </c>
    </row>
    <row r="12236" ht="33.75" customHeight="1">
      <c r="A12236" s="7">
        <v>567.0</v>
      </c>
      <c r="B12236" s="9" t="s">
        <v>17292</v>
      </c>
      <c r="C12236" s="9" t="s">
        <v>865</v>
      </c>
      <c r="D12236" s="9" t="s">
        <v>95</v>
      </c>
      <c r="E12236" s="6" t="s">
        <v>11078</v>
      </c>
      <c r="F12236" s="9" t="s">
        <v>18524</v>
      </c>
    </row>
    <row r="12237" ht="33.75" customHeight="1">
      <c r="A12237" s="7">
        <v>567.0</v>
      </c>
      <c r="B12237" s="9" t="s">
        <v>17292</v>
      </c>
      <c r="C12237" s="9" t="s">
        <v>865</v>
      </c>
      <c r="D12237" s="9" t="s">
        <v>98</v>
      </c>
      <c r="E12237" s="6" t="s">
        <v>11079</v>
      </c>
      <c r="F12237" s="9" t="s">
        <v>18524</v>
      </c>
    </row>
    <row r="12238" ht="33.75" customHeight="1">
      <c r="A12238" s="7">
        <v>567.0</v>
      </c>
      <c r="B12238" s="9" t="s">
        <v>17292</v>
      </c>
      <c r="C12238" s="9" t="s">
        <v>865</v>
      </c>
      <c r="D12238" s="9" t="s">
        <v>99</v>
      </c>
      <c r="E12238" s="6" t="s">
        <v>11079</v>
      </c>
      <c r="F12238" s="9" t="s">
        <v>18524</v>
      </c>
    </row>
    <row r="12239" ht="33.75" customHeight="1">
      <c r="A12239" s="7">
        <v>567.0</v>
      </c>
      <c r="B12239" s="9" t="s">
        <v>17292</v>
      </c>
      <c r="C12239" s="9" t="s">
        <v>865</v>
      </c>
      <c r="D12239" s="9" t="s">
        <v>101</v>
      </c>
      <c r="E12239" s="6" t="s">
        <v>11077</v>
      </c>
      <c r="F12239" s="9" t="s">
        <v>18524</v>
      </c>
    </row>
    <row r="12240" ht="33.75" customHeight="1">
      <c r="A12240" s="7">
        <v>567.0</v>
      </c>
      <c r="B12240" s="9" t="s">
        <v>17292</v>
      </c>
      <c r="C12240" s="9" t="s">
        <v>865</v>
      </c>
      <c r="D12240" s="9" t="s">
        <v>105</v>
      </c>
      <c r="E12240" s="6" t="s">
        <v>11079</v>
      </c>
      <c r="F12240" s="9" t="s">
        <v>18524</v>
      </c>
    </row>
    <row r="12241" ht="33.75" customHeight="1">
      <c r="A12241" s="7">
        <v>567.0</v>
      </c>
      <c r="B12241" s="9" t="s">
        <v>17292</v>
      </c>
      <c r="C12241" s="9" t="s">
        <v>865</v>
      </c>
      <c r="D12241" s="9" t="s">
        <v>107</v>
      </c>
      <c r="E12241" s="6" t="s">
        <v>11077</v>
      </c>
      <c r="F12241" s="9" t="s">
        <v>18524</v>
      </c>
    </row>
    <row r="12242" ht="33.75" customHeight="1">
      <c r="A12242" s="7">
        <v>567.0</v>
      </c>
      <c r="B12242" s="9" t="s">
        <v>17292</v>
      </c>
      <c r="C12242" s="9" t="s">
        <v>865</v>
      </c>
      <c r="D12242" s="9" t="s">
        <v>109</v>
      </c>
      <c r="E12242" s="6" t="s">
        <v>11079</v>
      </c>
      <c r="F12242" s="9" t="s">
        <v>18524</v>
      </c>
    </row>
    <row r="12243" ht="33.75" customHeight="1">
      <c r="A12243" s="7">
        <v>567.0</v>
      </c>
      <c r="B12243" s="9" t="s">
        <v>17292</v>
      </c>
      <c r="C12243" s="9" t="s">
        <v>865</v>
      </c>
      <c r="D12243" s="9" t="s">
        <v>637</v>
      </c>
      <c r="E12243" s="6" t="s">
        <v>11081</v>
      </c>
      <c r="F12243" s="9" t="s">
        <v>18524</v>
      </c>
    </row>
    <row r="12244" ht="33.75" customHeight="1">
      <c r="A12244" s="7">
        <v>567.0</v>
      </c>
      <c r="B12244" s="9" t="s">
        <v>17292</v>
      </c>
      <c r="C12244" s="9" t="s">
        <v>865</v>
      </c>
      <c r="D12244" s="9" t="s">
        <v>642</v>
      </c>
      <c r="E12244" s="6" t="s">
        <v>11082</v>
      </c>
      <c r="F12244" s="9" t="s">
        <v>18524</v>
      </c>
    </row>
    <row r="12245" ht="33.75" customHeight="1">
      <c r="A12245" s="7">
        <v>567.0</v>
      </c>
      <c r="B12245" s="9" t="s">
        <v>17292</v>
      </c>
      <c r="C12245" s="9" t="s">
        <v>865</v>
      </c>
      <c r="D12245" s="9" t="s">
        <v>647</v>
      </c>
      <c r="E12245" s="6" t="s">
        <v>11083</v>
      </c>
      <c r="F12245" s="9" t="s">
        <v>18524</v>
      </c>
    </row>
    <row r="12246" ht="33.75" customHeight="1">
      <c r="A12246" s="7">
        <v>567.0</v>
      </c>
      <c r="B12246" s="9" t="s">
        <v>17292</v>
      </c>
      <c r="C12246" s="9" t="s">
        <v>865</v>
      </c>
      <c r="D12246" s="9" t="s">
        <v>652</v>
      </c>
      <c r="E12246" s="6" t="s">
        <v>11084</v>
      </c>
      <c r="F12246" s="9" t="s">
        <v>18524</v>
      </c>
    </row>
    <row r="12247" ht="33.75" customHeight="1">
      <c r="A12247" s="7">
        <v>567.0</v>
      </c>
      <c r="B12247" s="9" t="s">
        <v>17292</v>
      </c>
      <c r="C12247" s="9" t="s">
        <v>865</v>
      </c>
      <c r="D12247" s="9" t="s">
        <v>114</v>
      </c>
      <c r="E12247" s="6" t="s">
        <v>11086</v>
      </c>
      <c r="F12247" s="9" t="s">
        <v>18524</v>
      </c>
    </row>
    <row r="12248" ht="33.75" customHeight="1">
      <c r="A12248" s="7">
        <v>567.0</v>
      </c>
      <c r="B12248" s="9" t="s">
        <v>17292</v>
      </c>
      <c r="C12248" s="9" t="s">
        <v>865</v>
      </c>
      <c r="D12248" s="9" t="s">
        <v>117</v>
      </c>
      <c r="E12248" s="6" t="s">
        <v>11087</v>
      </c>
      <c r="F12248" s="9" t="s">
        <v>18524</v>
      </c>
    </row>
    <row r="12249" ht="33.75" customHeight="1">
      <c r="A12249" s="7">
        <v>568.0</v>
      </c>
      <c r="B12249" s="9" t="s">
        <v>17302</v>
      </c>
      <c r="C12249" s="9" t="s">
        <v>866</v>
      </c>
      <c r="D12249" s="9" t="s">
        <v>93</v>
      </c>
      <c r="E12249" s="6" t="s">
        <v>11089</v>
      </c>
      <c r="F12249" s="9" t="s">
        <v>18552</v>
      </c>
      <c r="G12249" t="inlineStr" s="6">
        <is>
          <t xml:space="preserve">Inhaling the gas they belch will make you sleep for a week. They prefer unsanitary places. The combination of garbage bags and industrial waste caused the chemical reaction that created this Pokémon. Wanting more garbage, they follow people who litter. They always belch poison gas. Unsanitary places are what they like best. They can be spotted in Alola, often with Grimer in hot pursuit. It gorges on trash until its stomach is full. Then it belches toxic gas. An unlucky whiff of gas will put a person in the hospital. Poisonous gas leaks out of it when it breathes. Muk that catch a whiff of that stench will come drooling. If a young Pokémon or child breathes in the toxic gas that Trubbish belches out, it could be a life-threatening situation. Its favorite places are unsanitary ones. If you leave trash lying around, you could even find one of these Pokémon living in your room. This Pokémon was born from a bag stuffed with trash. Galarian Weezing relish the fumes belched by Trubbish.</t>
        </is>
      </c>
    </row>
    <row r="12250" ht="33.75" customHeight="1">
      <c r="A12250" s="7">
        <v>568.0</v>
      </c>
      <c r="B12250" s="9" t="s">
        <v>17302</v>
      </c>
      <c r="C12250" s="9" t="s">
        <v>866</v>
      </c>
      <c r="D12250" s="9" t="s">
        <v>95</v>
      </c>
      <c r="E12250" s="6" t="s">
        <v>11090</v>
      </c>
      <c r="F12250" s="9" t="s">
        <v>18552</v>
      </c>
    </row>
    <row r="12251" ht="33.75" customHeight="1">
      <c r="A12251" s="7">
        <v>568.0</v>
      </c>
      <c r="B12251" s="9" t="s">
        <v>17302</v>
      </c>
      <c r="C12251" s="9" t="s">
        <v>866</v>
      </c>
      <c r="D12251" s="9" t="s">
        <v>98</v>
      </c>
      <c r="E12251" s="6" t="s">
        <v>11091</v>
      </c>
      <c r="F12251" s="9" t="s">
        <v>18552</v>
      </c>
    </row>
    <row r="12252" ht="33.75" customHeight="1">
      <c r="A12252" s="7">
        <v>568.0</v>
      </c>
      <c r="B12252" s="9" t="s">
        <v>17302</v>
      </c>
      <c r="C12252" s="9" t="s">
        <v>866</v>
      </c>
      <c r="D12252" s="9" t="s">
        <v>99</v>
      </c>
      <c r="E12252" s="6" t="s">
        <v>11091</v>
      </c>
      <c r="F12252" s="9" t="s">
        <v>18552</v>
      </c>
    </row>
    <row r="12253" ht="33.75" customHeight="1">
      <c r="A12253" s="7">
        <v>568.0</v>
      </c>
      <c r="B12253" s="9" t="s">
        <v>17302</v>
      </c>
      <c r="C12253" s="9" t="s">
        <v>866</v>
      </c>
      <c r="D12253" s="9" t="s">
        <v>101</v>
      </c>
      <c r="E12253" s="6" t="s">
        <v>11090</v>
      </c>
      <c r="F12253" s="9" t="s">
        <v>18552</v>
      </c>
    </row>
    <row r="12254" ht="33.75" customHeight="1">
      <c r="A12254" s="7">
        <v>568.0</v>
      </c>
      <c r="B12254" s="9" t="s">
        <v>17302</v>
      </c>
      <c r="C12254" s="9" t="s">
        <v>866</v>
      </c>
      <c r="D12254" s="9" t="s">
        <v>105</v>
      </c>
      <c r="E12254" s="6" t="s">
        <v>11089</v>
      </c>
      <c r="F12254" s="9" t="s">
        <v>18552</v>
      </c>
    </row>
    <row r="12255" ht="33.75" customHeight="1">
      <c r="A12255" s="7">
        <v>568.0</v>
      </c>
      <c r="B12255" s="9" t="s">
        <v>17302</v>
      </c>
      <c r="C12255" s="9" t="s">
        <v>866</v>
      </c>
      <c r="D12255" s="9" t="s">
        <v>107</v>
      </c>
      <c r="E12255" s="6" t="s">
        <v>11090</v>
      </c>
      <c r="F12255" s="9" t="s">
        <v>18552</v>
      </c>
    </row>
    <row r="12256" ht="33.75" customHeight="1">
      <c r="A12256" s="7">
        <v>568.0</v>
      </c>
      <c r="B12256" s="9" t="s">
        <v>17302</v>
      </c>
      <c r="C12256" s="9" t="s">
        <v>866</v>
      </c>
      <c r="D12256" s="9" t="s">
        <v>109</v>
      </c>
      <c r="E12256" s="6" t="s">
        <v>11089</v>
      </c>
      <c r="F12256" s="9" t="s">
        <v>18552</v>
      </c>
    </row>
    <row r="12257" ht="33.75" customHeight="1">
      <c r="A12257" s="7">
        <v>568.0</v>
      </c>
      <c r="B12257" s="9" t="s">
        <v>17302</v>
      </c>
      <c r="C12257" s="9" t="s">
        <v>866</v>
      </c>
      <c r="D12257" s="9" t="s">
        <v>637</v>
      </c>
      <c r="E12257" s="6" t="s">
        <v>11093</v>
      </c>
      <c r="F12257" s="9" t="s">
        <v>18552</v>
      </c>
    </row>
    <row r="12258" ht="33.75" customHeight="1">
      <c r="A12258" s="7">
        <v>568.0</v>
      </c>
      <c r="B12258" s="9" t="s">
        <v>17302</v>
      </c>
      <c r="C12258" s="9" t="s">
        <v>866</v>
      </c>
      <c r="D12258" s="9" t="s">
        <v>642</v>
      </c>
      <c r="E12258" s="6" t="s">
        <v>11095</v>
      </c>
      <c r="F12258" s="9" t="s">
        <v>18552</v>
      </c>
    </row>
    <row r="12259" ht="33.75" customHeight="1">
      <c r="A12259" s="7">
        <v>568.0</v>
      </c>
      <c r="B12259" s="9" t="s">
        <v>17302</v>
      </c>
      <c r="C12259" s="9" t="s">
        <v>866</v>
      </c>
      <c r="D12259" s="9" t="s">
        <v>647</v>
      </c>
      <c r="E12259" s="6" t="s">
        <v>11096</v>
      </c>
      <c r="F12259" s="9" t="s">
        <v>18552</v>
      </c>
    </row>
    <row r="12260" ht="33.75" customHeight="1">
      <c r="A12260" s="7">
        <v>568.0</v>
      </c>
      <c r="B12260" s="9" t="s">
        <v>17302</v>
      </c>
      <c r="C12260" s="9" t="s">
        <v>866</v>
      </c>
      <c r="D12260" s="9" t="s">
        <v>652</v>
      </c>
      <c r="E12260" s="6" t="s">
        <v>11098</v>
      </c>
      <c r="F12260" s="9" t="s">
        <v>18552</v>
      </c>
    </row>
    <row r="12261" ht="33.75" customHeight="1">
      <c r="A12261" s="7">
        <v>568.0</v>
      </c>
      <c r="B12261" s="9" t="s">
        <v>17302</v>
      </c>
      <c r="C12261" s="9" t="s">
        <v>866</v>
      </c>
      <c r="D12261" s="9" t="s">
        <v>114</v>
      </c>
      <c r="E12261" s="6" t="s">
        <v>11100</v>
      </c>
      <c r="F12261" s="9" t="s">
        <v>18552</v>
      </c>
    </row>
    <row r="12262" ht="33.75" customHeight="1">
      <c r="A12262" s="7">
        <v>568.0</v>
      </c>
      <c r="B12262" s="9" t="s">
        <v>17302</v>
      </c>
      <c r="C12262" s="9" t="s">
        <v>866</v>
      </c>
      <c r="D12262" s="9" t="s">
        <v>117</v>
      </c>
      <c r="E12262" s="6" t="s">
        <v>11102</v>
      </c>
      <c r="F12262" s="9" t="s">
        <v>18552</v>
      </c>
    </row>
    <row r="12263" ht="33.75" customHeight="1">
      <c r="A12263" s="7">
        <v>569.0</v>
      </c>
      <c r="B12263" s="9" t="s">
        <v>17314</v>
      </c>
      <c r="C12263" s="9" t="s">
        <v>868</v>
      </c>
      <c r="D12263" s="9" t="s">
        <v>93</v>
      </c>
      <c r="E12263" s="6" t="s">
        <v>11104</v>
      </c>
      <c r="F12263" s="9" t="s">
        <v>18585</v>
      </c>
      <c r="G12263" t="inlineStr" s="6">
        <is>
          <t xml:space="preserve">It clenches opponents with Garbodor's left arm and finishes them off with foul-smelling poison gas belched from its mouth. They absorb garbage and make it part of their bodies. They shoot a poisonous liquid from their right-hand fingertips. Consuming garbage makes new kinds of poison gases and liquids inside their bodies. Beware the poisonous liquid it shoots from its right arm. If even a little of it gets on you, you’ll experience the effects of the unidentified toxin. For a time, their numbers increased explosively in Alola. Since the arrival of Grimer, their population has decreased dramatically. It locks opponents in place with its left hand, immobilizing them by entirely dousing their bodies with poisonous liquid. Some say the reason Garbodor in Alola are a little stronger than their counterparts elsewhere is the presence of Muk, their natural enemy. This Pokémon eats trash, which turns into poison inside its body. The main component of the poison depends on what sort of trash was eaten. The toxic liquid it launches from its right arm is so virulent that it can kill a weakened creature instantly.</t>
        </is>
      </c>
    </row>
    <row r="12264" ht="33.75" customHeight="1">
      <c r="A12264" s="7">
        <v>569.0</v>
      </c>
      <c r="B12264" s="9" t="s">
        <v>17314</v>
      </c>
      <c r="C12264" s="9" t="s">
        <v>868</v>
      </c>
      <c r="D12264" s="9" t="s">
        <v>95</v>
      </c>
      <c r="E12264" s="6" t="s">
        <v>11107</v>
      </c>
      <c r="F12264" s="9" t="s">
        <v>18585</v>
      </c>
    </row>
    <row r="12265" ht="33.75" customHeight="1">
      <c r="A12265" s="7">
        <v>569.0</v>
      </c>
      <c r="B12265" s="9" t="s">
        <v>17314</v>
      </c>
      <c r="C12265" s="9" t="s">
        <v>868</v>
      </c>
      <c r="D12265" s="9" t="s">
        <v>98</v>
      </c>
      <c r="E12265" s="6" t="s">
        <v>11109</v>
      </c>
      <c r="F12265" s="9" t="s">
        <v>18585</v>
      </c>
    </row>
    <row r="12266" ht="33.75" customHeight="1">
      <c r="A12266" s="7">
        <v>569.0</v>
      </c>
      <c r="B12266" s="9" t="s">
        <v>17314</v>
      </c>
      <c r="C12266" s="9" t="s">
        <v>868</v>
      </c>
      <c r="D12266" s="9" t="s">
        <v>99</v>
      </c>
      <c r="E12266" s="6" t="s">
        <v>11109</v>
      </c>
      <c r="F12266" s="9" t="s">
        <v>18585</v>
      </c>
    </row>
    <row r="12267" ht="33.75" customHeight="1">
      <c r="A12267" s="7">
        <v>569.0</v>
      </c>
      <c r="B12267" s="9" t="s">
        <v>17314</v>
      </c>
      <c r="C12267" s="9" t="s">
        <v>868</v>
      </c>
      <c r="D12267" s="9" t="s">
        <v>101</v>
      </c>
      <c r="E12267" s="6" t="s">
        <v>11104</v>
      </c>
      <c r="F12267" s="9" t="s">
        <v>18585</v>
      </c>
    </row>
    <row r="12268" ht="33.75" customHeight="1">
      <c r="A12268" s="7">
        <v>569.0</v>
      </c>
      <c r="B12268" s="9" t="s">
        <v>17314</v>
      </c>
      <c r="C12268" s="9" t="s">
        <v>868</v>
      </c>
      <c r="D12268" s="9" t="s">
        <v>105</v>
      </c>
      <c r="E12268" s="6" t="s">
        <v>11109</v>
      </c>
      <c r="F12268" s="9" t="s">
        <v>18585</v>
      </c>
    </row>
    <row r="12269" ht="33.75" customHeight="1">
      <c r="A12269" s="7">
        <v>569.0</v>
      </c>
      <c r="B12269" s="9" t="s">
        <v>17314</v>
      </c>
      <c r="C12269" s="9" t="s">
        <v>868</v>
      </c>
      <c r="D12269" s="9" t="s">
        <v>107</v>
      </c>
      <c r="E12269" s="6" t="s">
        <v>11104</v>
      </c>
      <c r="F12269" s="9" t="s">
        <v>18585</v>
      </c>
    </row>
    <row r="12270" ht="33.75" customHeight="1">
      <c r="A12270" s="7">
        <v>569.0</v>
      </c>
      <c r="B12270" s="9" t="s">
        <v>17314</v>
      </c>
      <c r="C12270" s="9" t="s">
        <v>868</v>
      </c>
      <c r="D12270" s="9" t="s">
        <v>109</v>
      </c>
      <c r="E12270" s="6" t="s">
        <v>11109</v>
      </c>
      <c r="F12270" s="9" t="s">
        <v>18585</v>
      </c>
    </row>
    <row r="12271" ht="33.75" customHeight="1">
      <c r="A12271" s="7">
        <v>569.0</v>
      </c>
      <c r="B12271" s="9" t="s">
        <v>17314</v>
      </c>
      <c r="C12271" s="9" t="s">
        <v>868</v>
      </c>
      <c r="D12271" s="9" t="s">
        <v>637</v>
      </c>
      <c r="E12271" s="6" t="s">
        <v>11111</v>
      </c>
      <c r="F12271" s="9" t="s">
        <v>18585</v>
      </c>
    </row>
    <row r="12272" ht="33.75" customHeight="1">
      <c r="A12272" s="7">
        <v>569.0</v>
      </c>
      <c r="B12272" s="9" t="s">
        <v>17314</v>
      </c>
      <c r="C12272" s="9" t="s">
        <v>868</v>
      </c>
      <c r="D12272" s="9" t="s">
        <v>642</v>
      </c>
      <c r="E12272" s="6" t="s">
        <v>11113</v>
      </c>
      <c r="F12272" s="9" t="s">
        <v>18585</v>
      </c>
    </row>
    <row r="12273" ht="33.75" customHeight="1">
      <c r="A12273" s="7">
        <v>569.0</v>
      </c>
      <c r="B12273" s="9" t="s">
        <v>17314</v>
      </c>
      <c r="C12273" s="9" t="s">
        <v>868</v>
      </c>
      <c r="D12273" s="9" t="s">
        <v>647</v>
      </c>
      <c r="E12273" s="6" t="s">
        <v>11116</v>
      </c>
      <c r="F12273" s="9" t="s">
        <v>18585</v>
      </c>
    </row>
    <row r="12274" ht="33.75" customHeight="1">
      <c r="A12274" s="7">
        <v>569.0</v>
      </c>
      <c r="B12274" s="9" t="s">
        <v>17314</v>
      </c>
      <c r="C12274" s="9" t="s">
        <v>868</v>
      </c>
      <c r="D12274" s="9" t="s">
        <v>652</v>
      </c>
      <c r="E12274" s="6" t="s">
        <v>11117</v>
      </c>
      <c r="F12274" s="9" t="s">
        <v>18585</v>
      </c>
    </row>
    <row r="12275" ht="33.75" customHeight="1">
      <c r="A12275" s="7">
        <v>569.0</v>
      </c>
      <c r="B12275" s="9" t="s">
        <v>17314</v>
      </c>
      <c r="C12275" s="9" t="s">
        <v>868</v>
      </c>
      <c r="D12275" s="9" t="s">
        <v>114</v>
      </c>
      <c r="E12275" s="6" t="s">
        <v>11119</v>
      </c>
      <c r="F12275" s="9" t="s">
        <v>18585</v>
      </c>
    </row>
    <row r="12276" ht="33.75" customHeight="1">
      <c r="A12276" s="7">
        <v>569.0</v>
      </c>
      <c r="B12276" s="9" t="s">
        <v>17314</v>
      </c>
      <c r="C12276" s="9" t="s">
        <v>868</v>
      </c>
      <c r="D12276" s="9" t="s">
        <v>117</v>
      </c>
      <c r="E12276" s="6" t="s">
        <v>11121</v>
      </c>
      <c r="F12276" s="9" t="s">
        <v>18585</v>
      </c>
    </row>
    <row r="12277" ht="33.75" customHeight="1">
      <c r="A12277" s="7">
        <v>570.0</v>
      </c>
      <c r="B12277" s="9" t="s">
        <v>17325</v>
      </c>
      <c r="C12277" s="9" t="s">
        <v>869</v>
      </c>
      <c r="D12277" s="9" t="s">
        <v>93</v>
      </c>
      <c r="E12277" s="6" t="s">
        <v>11122</v>
      </c>
      <c r="F12277" s="9" t="s">
        <v>18605</v>
      </c>
      <c r="G12277" t="inlineStr" s="6">
        <is>
          <t xml:space="preserve">It changes into the forms of others to surprise them. Apparently, it often transforms into a silent child. To protect themselves from danger, they hide their true identities by transforming into people and Pokémon. It changes so it looks just like its foe, tricks it, and then uses that opportunity to flee. This Pokémon has a cowardly disposition, so when it’s not around friends, it basically always stays transformed as something else. If a normally talkative child suddenly stops talking, it may have been replaced by Zorua. Zorua is a timid Pokémon. This disposition seems to be what led to the development of Zorua’s ability to take on the forms of other creatures. Zorua sometimes transforms into a person and goes into cities to search for food. When Zorua does this, it usually takes on the form of a child. A once-departed soul, returned to life in Hisui. Derives power from resentment, which rises as energy atop its head and takes on the forms of foes. In this way, Zorua vents lingering malice.</t>
        </is>
      </c>
    </row>
    <row r="12278" ht="33.75" customHeight="1">
      <c r="A12278" s="7">
        <v>570.0</v>
      </c>
      <c r="B12278" s="9" t="s">
        <v>17325</v>
      </c>
      <c r="C12278" s="9" t="s">
        <v>869</v>
      </c>
      <c r="D12278" s="9" t="s">
        <v>95</v>
      </c>
      <c r="E12278" s="6" t="s">
        <v>11123</v>
      </c>
      <c r="F12278" s="9" t="s">
        <v>18605</v>
      </c>
    </row>
    <row r="12279" ht="33.75" customHeight="1">
      <c r="A12279" s="7">
        <v>570.0</v>
      </c>
      <c r="B12279" s="9" t="s">
        <v>17325</v>
      </c>
      <c r="C12279" s="9" t="s">
        <v>869</v>
      </c>
      <c r="D12279" s="9" t="s">
        <v>98</v>
      </c>
      <c r="E12279" s="6" t="s">
        <v>11124</v>
      </c>
      <c r="F12279" s="9" t="s">
        <v>18605</v>
      </c>
    </row>
    <row r="12280" ht="33.75" customHeight="1">
      <c r="A12280" s="7">
        <v>570.0</v>
      </c>
      <c r="B12280" s="9" t="s">
        <v>17325</v>
      </c>
      <c r="C12280" s="9" t="s">
        <v>869</v>
      </c>
      <c r="D12280" s="9" t="s">
        <v>99</v>
      </c>
      <c r="E12280" s="6" t="s">
        <v>11124</v>
      </c>
      <c r="F12280" s="9" t="s">
        <v>18605</v>
      </c>
    </row>
    <row r="12281" ht="33.75" customHeight="1">
      <c r="A12281" s="7">
        <v>570.0</v>
      </c>
      <c r="B12281" s="9" t="s">
        <v>17325</v>
      </c>
      <c r="C12281" s="9" t="s">
        <v>869</v>
      </c>
      <c r="D12281" s="9" t="s">
        <v>101</v>
      </c>
      <c r="E12281" s="6" t="s">
        <v>11124</v>
      </c>
      <c r="F12281" s="9" t="s">
        <v>18605</v>
      </c>
    </row>
    <row r="12282" ht="33.75" customHeight="1">
      <c r="A12282" s="7">
        <v>570.0</v>
      </c>
      <c r="B12282" s="9" t="s">
        <v>17325</v>
      </c>
      <c r="C12282" s="9" t="s">
        <v>869</v>
      </c>
      <c r="D12282" s="9" t="s">
        <v>105</v>
      </c>
      <c r="E12282" s="6" t="s">
        <v>11123</v>
      </c>
      <c r="F12282" s="9" t="s">
        <v>18605</v>
      </c>
    </row>
    <row r="12283" ht="33.75" customHeight="1">
      <c r="A12283" s="7">
        <v>570.0</v>
      </c>
      <c r="B12283" s="9" t="s">
        <v>17325</v>
      </c>
      <c r="C12283" s="9" t="s">
        <v>869</v>
      </c>
      <c r="D12283" s="9" t="s">
        <v>107</v>
      </c>
      <c r="E12283" s="6" t="s">
        <v>11124</v>
      </c>
      <c r="F12283" s="9" t="s">
        <v>18605</v>
      </c>
    </row>
    <row r="12284" ht="33.75" customHeight="1">
      <c r="A12284" s="7">
        <v>570.0</v>
      </c>
      <c r="B12284" s="9" t="s">
        <v>17325</v>
      </c>
      <c r="C12284" s="9" t="s">
        <v>869</v>
      </c>
      <c r="D12284" s="9" t="s">
        <v>109</v>
      </c>
      <c r="E12284" s="6" t="s">
        <v>11123</v>
      </c>
      <c r="F12284" s="9" t="s">
        <v>18605</v>
      </c>
    </row>
    <row r="12285" ht="33.75" customHeight="1">
      <c r="A12285" s="7">
        <v>570.0</v>
      </c>
      <c r="B12285" s="9" t="s">
        <v>17325</v>
      </c>
      <c r="C12285" s="9" t="s">
        <v>869</v>
      </c>
      <c r="D12285" s="9" t="s">
        <v>647</v>
      </c>
      <c r="E12285" s="6" t="s">
        <v>11125</v>
      </c>
      <c r="F12285" s="9" t="s">
        <v>18605</v>
      </c>
    </row>
    <row r="12286" ht="33.75" customHeight="1">
      <c r="A12286" s="7">
        <v>570.0</v>
      </c>
      <c r="B12286" s="9" t="s">
        <v>17325</v>
      </c>
      <c r="C12286" s="9" t="s">
        <v>869</v>
      </c>
      <c r="D12286" s="9" t="s">
        <v>652</v>
      </c>
      <c r="E12286" s="6" t="s">
        <v>11126</v>
      </c>
      <c r="F12286" s="9" t="s">
        <v>18605</v>
      </c>
    </row>
    <row r="12287" ht="33.75" customHeight="1">
      <c r="A12287" s="7">
        <v>570.0</v>
      </c>
      <c r="B12287" s="9" t="s">
        <v>17325</v>
      </c>
      <c r="C12287" s="9" t="s">
        <v>869</v>
      </c>
      <c r="D12287" s="9" t="s">
        <v>114</v>
      </c>
      <c r="E12287" s="6" t="s">
        <v>11127</v>
      </c>
      <c r="F12287" s="9" t="s">
        <v>18605</v>
      </c>
    </row>
    <row r="12288" ht="33.75" customHeight="1">
      <c r="A12288" s="7">
        <v>570.0</v>
      </c>
      <c r="B12288" s="9" t="s">
        <v>17325</v>
      </c>
      <c r="C12288" s="9" t="s">
        <v>869</v>
      </c>
      <c r="D12288" s="9" t="s">
        <v>117</v>
      </c>
      <c r="E12288" s="6" t="s">
        <v>11129</v>
      </c>
      <c r="F12288" s="9" t="s">
        <v>18605</v>
      </c>
    </row>
    <row r="12289" ht="33.75" customHeight="1">
      <c r="A12289" s="7">
        <v>570.0</v>
      </c>
      <c r="B12289" s="9" t="s">
        <v>17325</v>
      </c>
      <c r="C12289" s="9" t="s">
        <v>869</v>
      </c>
      <c r="D12289" s="9" t="s">
        <v>1577</v>
      </c>
      <c r="E12289" s="6" t="s">
        <v>11130</v>
      </c>
      <c r="F12289" s="9" t="s">
        <v>18605</v>
      </c>
    </row>
    <row r="12290" ht="33.75" customHeight="1">
      <c r="A12290" s="7">
        <v>571.0</v>
      </c>
      <c r="B12290" s="9" t="s">
        <v>17336</v>
      </c>
      <c r="C12290" s="9" t="s">
        <v>870</v>
      </c>
      <c r="D12290" s="9" t="s">
        <v>93</v>
      </c>
      <c r="E12290" s="6" t="s">
        <v>11132</v>
      </c>
      <c r="F12290" s="9" t="s">
        <v>18629</v>
      </c>
      <c r="G12290" t="inlineStr" s="6">
        <is>
          <t xml:space="preserve">Bonds between these Pokémon are very strong. It protects the safety of its pack by tricking its opponents. Each has the ability to fool a large group of people simultaneously. They protect their lair with illusory scenery. Stories say those who tried to catch Zoroark were trapped in an illusion and punished. It doesn’t just transform itself—it also has the power to make hundreds of people see its illusions. If it thinks humans are going to discover its den, Zoroark shows them visions that make them wander around in the woods. This Pokémon cares deeply about others of its kind, and it will conjure terrifying illusions to keep its den and pack safe. Seeking to ease the burden of their solitude, lonely Trainers tell Zoroark to show illusions to them. With its disheveled white fur, it looks like an embodiment of death. Heedless of its own safety, Zoroark attacks its nemeses with a bitter energy so intense, it lacerates Zoroark's own body.</t>
        </is>
      </c>
    </row>
    <row r="12291" ht="33.75" customHeight="1">
      <c r="A12291" s="7">
        <v>571.0</v>
      </c>
      <c r="B12291" s="9" t="s">
        <v>17336</v>
      </c>
      <c r="C12291" s="9" t="s">
        <v>870</v>
      </c>
      <c r="D12291" s="9" t="s">
        <v>95</v>
      </c>
      <c r="E12291" s="6" t="s">
        <v>11133</v>
      </c>
      <c r="F12291" s="9" t="s">
        <v>18629</v>
      </c>
    </row>
    <row r="12292" ht="33.75" customHeight="1">
      <c r="A12292" s="7">
        <v>571.0</v>
      </c>
      <c r="B12292" s="9" t="s">
        <v>17336</v>
      </c>
      <c r="C12292" s="9" t="s">
        <v>870</v>
      </c>
      <c r="D12292" s="9" t="s">
        <v>98</v>
      </c>
      <c r="E12292" s="6" t="s">
        <v>11134</v>
      </c>
      <c r="F12292" s="9" t="s">
        <v>18629</v>
      </c>
    </row>
    <row r="12293" ht="33.75" customHeight="1">
      <c r="A12293" s="7">
        <v>571.0</v>
      </c>
      <c r="B12293" s="9" t="s">
        <v>17336</v>
      </c>
      <c r="C12293" s="9" t="s">
        <v>870</v>
      </c>
      <c r="D12293" s="9" t="s">
        <v>99</v>
      </c>
      <c r="E12293" s="6" t="s">
        <v>11134</v>
      </c>
      <c r="F12293" s="9" t="s">
        <v>18629</v>
      </c>
    </row>
    <row r="12294" ht="33.75" customHeight="1">
      <c r="A12294" s="7">
        <v>571.0</v>
      </c>
      <c r="B12294" s="9" t="s">
        <v>17336</v>
      </c>
      <c r="C12294" s="9" t="s">
        <v>870</v>
      </c>
      <c r="D12294" s="9" t="s">
        <v>101</v>
      </c>
      <c r="E12294" s="6" t="s">
        <v>11133</v>
      </c>
      <c r="F12294" s="9" t="s">
        <v>18629</v>
      </c>
    </row>
    <row r="12295" ht="33.75" customHeight="1">
      <c r="A12295" s="7">
        <v>571.0</v>
      </c>
      <c r="B12295" s="9" t="s">
        <v>17336</v>
      </c>
      <c r="C12295" s="9" t="s">
        <v>870</v>
      </c>
      <c r="D12295" s="9" t="s">
        <v>105</v>
      </c>
      <c r="E12295" s="6" t="s">
        <v>11132</v>
      </c>
      <c r="F12295" s="9" t="s">
        <v>18629</v>
      </c>
    </row>
    <row r="12296" ht="33.75" customHeight="1">
      <c r="A12296" s="7">
        <v>571.0</v>
      </c>
      <c r="B12296" s="9" t="s">
        <v>17336</v>
      </c>
      <c r="C12296" s="9" t="s">
        <v>870</v>
      </c>
      <c r="D12296" s="9" t="s">
        <v>107</v>
      </c>
      <c r="E12296" s="6" t="s">
        <v>11133</v>
      </c>
      <c r="F12296" s="9" t="s">
        <v>18629</v>
      </c>
    </row>
    <row r="12297" ht="33.75" customHeight="1">
      <c r="A12297" s="7">
        <v>571.0</v>
      </c>
      <c r="B12297" s="9" t="s">
        <v>17336</v>
      </c>
      <c r="C12297" s="9" t="s">
        <v>870</v>
      </c>
      <c r="D12297" s="9" t="s">
        <v>109</v>
      </c>
      <c r="E12297" s="6" t="s">
        <v>11132</v>
      </c>
      <c r="F12297" s="9" t="s">
        <v>18629</v>
      </c>
    </row>
    <row r="12298" ht="33.75" customHeight="1">
      <c r="A12298" s="7">
        <v>571.0</v>
      </c>
      <c r="B12298" s="9" t="s">
        <v>17336</v>
      </c>
      <c r="C12298" s="9" t="s">
        <v>870</v>
      </c>
      <c r="D12298" s="9" t="s">
        <v>647</v>
      </c>
      <c r="E12298" s="6" t="s">
        <v>11135</v>
      </c>
      <c r="F12298" s="9" t="s">
        <v>18629</v>
      </c>
    </row>
    <row r="12299" ht="33.75" customHeight="1">
      <c r="A12299" s="7">
        <v>571.0</v>
      </c>
      <c r="B12299" s="9" t="s">
        <v>17336</v>
      </c>
      <c r="C12299" s="9" t="s">
        <v>870</v>
      </c>
      <c r="D12299" s="9" t="s">
        <v>652</v>
      </c>
      <c r="E12299" s="6" t="s">
        <v>11137</v>
      </c>
      <c r="F12299" s="9" t="s">
        <v>18629</v>
      </c>
    </row>
    <row r="12300" ht="33.75" customHeight="1">
      <c r="A12300" s="7">
        <v>571.0</v>
      </c>
      <c r="B12300" s="9" t="s">
        <v>17336</v>
      </c>
      <c r="C12300" s="9" t="s">
        <v>870</v>
      </c>
      <c r="D12300" s="9" t="s">
        <v>114</v>
      </c>
      <c r="E12300" s="6" t="s">
        <v>11138</v>
      </c>
      <c r="F12300" s="9" t="s">
        <v>18629</v>
      </c>
    </row>
    <row r="12301" ht="33.75" customHeight="1">
      <c r="A12301" s="7">
        <v>571.0</v>
      </c>
      <c r="B12301" s="9" t="s">
        <v>17336</v>
      </c>
      <c r="C12301" s="9" t="s">
        <v>870</v>
      </c>
      <c r="D12301" s="9" t="s">
        <v>117</v>
      </c>
      <c r="E12301" s="6" t="s">
        <v>11141</v>
      </c>
      <c r="F12301" s="9" t="s">
        <v>18629</v>
      </c>
    </row>
    <row r="12302" ht="33.75" customHeight="1">
      <c r="A12302" s="7">
        <v>571.0</v>
      </c>
      <c r="B12302" s="9" t="s">
        <v>17336</v>
      </c>
      <c r="C12302" s="9" t="s">
        <v>870</v>
      </c>
      <c r="D12302" s="9" t="s">
        <v>1577</v>
      </c>
      <c r="E12302" s="6" t="s">
        <v>11143</v>
      </c>
      <c r="F12302" s="9" t="s">
        <v>18629</v>
      </c>
    </row>
    <row r="12303" ht="33.75" customHeight="1">
      <c r="A12303" s="7">
        <v>572.0</v>
      </c>
      <c r="B12303" s="9" t="s">
        <v>17346</v>
      </c>
      <c r="C12303" s="9" t="s">
        <v>872</v>
      </c>
      <c r="D12303" s="9" t="s">
        <v>93</v>
      </c>
      <c r="E12303" s="6" t="s">
        <v>11144</v>
      </c>
      <c r="F12303" s="9" t="s">
        <v>18657</v>
      </c>
      <c r="G12303" t="inlineStr" s="6">
        <is>
          <t xml:space="preserve">They greet one another by rubbing each other with their tails, which are always kept well groomed and clean. These Pokémon prefer a tidy habitat. They are always sweeping and dusting, using their tails as brooms. Minccino greet each other by grooming one another thoroughly with their tails. A clean freak that will not allow even the slightest mess, it uses its tail like a mop to thoroughly clean any and all filth. When its tail has gotten dirty from self-cleaning or from cleaning its nest, Minccino spends a whole day washing its tail in clean spring water. The way it brushes away grime with its tail can be helpful when cleaning. But its focus on spotlessness can make cleaning more of a hassle. They pet each other with their tails as a form of greeting. Of the two, the one whose tail is fluffier is a bit more boastful.</t>
        </is>
      </c>
    </row>
    <row r="12304" ht="33.75" customHeight="1">
      <c r="A12304" s="7">
        <v>572.0</v>
      </c>
      <c r="B12304" s="9" t="s">
        <v>17346</v>
      </c>
      <c r="C12304" s="9" t="s">
        <v>872</v>
      </c>
      <c r="D12304" s="9" t="s">
        <v>95</v>
      </c>
      <c r="E12304" s="6" t="s">
        <v>11146</v>
      </c>
      <c r="F12304" s="9" t="s">
        <v>18657</v>
      </c>
    </row>
    <row r="12305" ht="33.75" customHeight="1">
      <c r="A12305" s="7">
        <v>572.0</v>
      </c>
      <c r="B12305" s="9" t="s">
        <v>17346</v>
      </c>
      <c r="C12305" s="9" t="s">
        <v>872</v>
      </c>
      <c r="D12305" s="9" t="s">
        <v>98</v>
      </c>
      <c r="E12305" s="6" t="s">
        <v>11148</v>
      </c>
      <c r="F12305" s="9" t="s">
        <v>18657</v>
      </c>
    </row>
    <row r="12306" ht="33.75" customHeight="1">
      <c r="A12306" s="7">
        <v>572.0</v>
      </c>
      <c r="B12306" s="9" t="s">
        <v>17346</v>
      </c>
      <c r="C12306" s="9" t="s">
        <v>872</v>
      </c>
      <c r="D12306" s="9" t="s">
        <v>99</v>
      </c>
      <c r="E12306" s="6" t="s">
        <v>11148</v>
      </c>
      <c r="F12306" s="9" t="s">
        <v>18657</v>
      </c>
    </row>
    <row r="12307" ht="33.75" customHeight="1">
      <c r="A12307" s="7">
        <v>572.0</v>
      </c>
      <c r="B12307" s="9" t="s">
        <v>17346</v>
      </c>
      <c r="C12307" s="9" t="s">
        <v>872</v>
      </c>
      <c r="D12307" s="9" t="s">
        <v>101</v>
      </c>
      <c r="E12307" s="6" t="s">
        <v>11148</v>
      </c>
      <c r="F12307" s="9" t="s">
        <v>18657</v>
      </c>
    </row>
    <row r="12308" ht="33.75" customHeight="1">
      <c r="A12308" s="7">
        <v>572.0</v>
      </c>
      <c r="B12308" s="9" t="s">
        <v>17346</v>
      </c>
      <c r="C12308" s="9" t="s">
        <v>872</v>
      </c>
      <c r="D12308" s="9" t="s">
        <v>105</v>
      </c>
      <c r="E12308" s="6" t="s">
        <v>11146</v>
      </c>
      <c r="F12308" s="9" t="s">
        <v>18657</v>
      </c>
    </row>
    <row r="12309" ht="33.75" customHeight="1">
      <c r="A12309" s="7">
        <v>572.0</v>
      </c>
      <c r="B12309" s="9" t="s">
        <v>17346</v>
      </c>
      <c r="C12309" s="9" t="s">
        <v>872</v>
      </c>
      <c r="D12309" s="9" t="s">
        <v>107</v>
      </c>
      <c r="E12309" s="6" t="s">
        <v>11148</v>
      </c>
      <c r="F12309" s="9" t="s">
        <v>18657</v>
      </c>
    </row>
    <row r="12310" ht="33.75" customHeight="1">
      <c r="A12310" s="7">
        <v>572.0</v>
      </c>
      <c r="B12310" s="9" t="s">
        <v>17346</v>
      </c>
      <c r="C12310" s="9" t="s">
        <v>872</v>
      </c>
      <c r="D12310" s="9" t="s">
        <v>109</v>
      </c>
      <c r="E12310" s="6" t="s">
        <v>11146</v>
      </c>
      <c r="F12310" s="9" t="s">
        <v>18657</v>
      </c>
    </row>
    <row r="12311" ht="33.75" customHeight="1">
      <c r="A12311" s="7">
        <v>572.0</v>
      </c>
      <c r="B12311" s="9" t="s">
        <v>17346</v>
      </c>
      <c r="C12311" s="9" t="s">
        <v>872</v>
      </c>
      <c r="D12311" s="9" t="s">
        <v>647</v>
      </c>
      <c r="E12311" s="6" t="s">
        <v>11149</v>
      </c>
      <c r="F12311" s="9" t="s">
        <v>18657</v>
      </c>
    </row>
    <row r="12312" ht="33.75" customHeight="1">
      <c r="A12312" s="7">
        <v>572.0</v>
      </c>
      <c r="B12312" s="9" t="s">
        <v>17346</v>
      </c>
      <c r="C12312" s="9" t="s">
        <v>872</v>
      </c>
      <c r="D12312" s="9" t="s">
        <v>652</v>
      </c>
      <c r="E12312" s="6" t="s">
        <v>11150</v>
      </c>
      <c r="F12312" s="9" t="s">
        <v>18657</v>
      </c>
    </row>
    <row r="12313" ht="33.75" customHeight="1">
      <c r="A12313" s="7">
        <v>572.0</v>
      </c>
      <c r="B12313" s="9" t="s">
        <v>17346</v>
      </c>
      <c r="C12313" s="9" t="s">
        <v>872</v>
      </c>
      <c r="D12313" s="9" t="s">
        <v>114</v>
      </c>
      <c r="E12313" s="6" t="s">
        <v>11151</v>
      </c>
      <c r="F12313" s="9" t="s">
        <v>18657</v>
      </c>
    </row>
    <row r="12314" ht="33.75" customHeight="1">
      <c r="A12314" s="7">
        <v>572.0</v>
      </c>
      <c r="B12314" s="9" t="s">
        <v>17346</v>
      </c>
      <c r="C12314" s="9" t="s">
        <v>872</v>
      </c>
      <c r="D12314" s="9" t="s">
        <v>117</v>
      </c>
      <c r="E12314" s="6" t="s">
        <v>11153</v>
      </c>
      <c r="F12314" s="9" t="s">
        <v>18657</v>
      </c>
    </row>
    <row r="12315" ht="33.75" customHeight="1">
      <c r="A12315" s="7">
        <v>573.0</v>
      </c>
      <c r="B12315" s="9" t="s">
        <v>17355</v>
      </c>
      <c r="C12315" s="9" t="s">
        <v>873</v>
      </c>
      <c r="D12315" s="9" t="s">
        <v>93</v>
      </c>
      <c r="E12315" s="6" t="s">
        <v>11154</v>
      </c>
      <c r="F12315" s="9" t="s">
        <v>18673</v>
      </c>
      <c r="G12315" t="inlineStr" s="6">
        <is>
          <t xml:space="preserve">Their white fur is coated in a special oil that makes it easy for them to deflect attacks. Their white fur feels amazing to touch. Their fur repels dust and prevents static electricity from building up. Cinccino’s body is coated in a special oil that helps it deflect attacks, such as punches. The white parts of its coat are covered in an oil secreted from its body, so this Pokémon can slide right away from its enemies’ attacks. The oil that seeps from its body is really smooth. For people troubled by bad skin, this oil is an effective treatment. Its body secretes oil that this Pokémon spreads over its nest as a coating to protect it from dust. Cinccino won’t tolerate even a speck of the stuff. A special oil that seeps through their fur helps them avoid attacks. The oil fetches a high price at market.</t>
        </is>
      </c>
    </row>
    <row r="12316" ht="33.75" customHeight="1">
      <c r="A12316" s="7">
        <v>573.0</v>
      </c>
      <c r="B12316" s="9" t="s">
        <v>17355</v>
      </c>
      <c r="C12316" s="9" t="s">
        <v>873</v>
      </c>
      <c r="D12316" s="9" t="s">
        <v>95</v>
      </c>
      <c r="E12316" s="6" t="s">
        <v>11155</v>
      </c>
      <c r="F12316" s="9" t="s">
        <v>18673</v>
      </c>
    </row>
    <row r="12317" ht="33.75" customHeight="1">
      <c r="A12317" s="7">
        <v>573.0</v>
      </c>
      <c r="B12317" s="9" t="s">
        <v>17355</v>
      </c>
      <c r="C12317" s="9" t="s">
        <v>873</v>
      </c>
      <c r="D12317" s="9" t="s">
        <v>98</v>
      </c>
      <c r="E12317" s="6" t="s">
        <v>11157</v>
      </c>
      <c r="F12317" s="9" t="s">
        <v>18673</v>
      </c>
    </row>
    <row r="12318" ht="33.75" customHeight="1">
      <c r="A12318" s="7">
        <v>573.0</v>
      </c>
      <c r="B12318" s="9" t="s">
        <v>17355</v>
      </c>
      <c r="C12318" s="9" t="s">
        <v>873</v>
      </c>
      <c r="D12318" s="9" t="s">
        <v>99</v>
      </c>
      <c r="E12318" s="6" t="s">
        <v>11157</v>
      </c>
      <c r="F12318" s="9" t="s">
        <v>18673</v>
      </c>
    </row>
    <row r="12319" ht="33.75" customHeight="1">
      <c r="A12319" s="7">
        <v>573.0</v>
      </c>
      <c r="B12319" s="9" t="s">
        <v>17355</v>
      </c>
      <c r="C12319" s="9" t="s">
        <v>873</v>
      </c>
      <c r="D12319" s="9" t="s">
        <v>101</v>
      </c>
      <c r="E12319" s="6" t="s">
        <v>11155</v>
      </c>
      <c r="F12319" s="9" t="s">
        <v>18673</v>
      </c>
    </row>
    <row r="12320" ht="33.75" customHeight="1">
      <c r="A12320" s="7">
        <v>573.0</v>
      </c>
      <c r="B12320" s="9" t="s">
        <v>17355</v>
      </c>
      <c r="C12320" s="9" t="s">
        <v>873</v>
      </c>
      <c r="D12320" s="9" t="s">
        <v>105</v>
      </c>
      <c r="E12320" s="6" t="s">
        <v>11157</v>
      </c>
      <c r="F12320" s="9" t="s">
        <v>18673</v>
      </c>
    </row>
    <row r="12321" ht="33.75" customHeight="1">
      <c r="A12321" s="7">
        <v>573.0</v>
      </c>
      <c r="B12321" s="9" t="s">
        <v>17355</v>
      </c>
      <c r="C12321" s="9" t="s">
        <v>873</v>
      </c>
      <c r="D12321" s="9" t="s">
        <v>107</v>
      </c>
      <c r="E12321" s="6" t="s">
        <v>11155</v>
      </c>
      <c r="F12321" s="9" t="s">
        <v>18673</v>
      </c>
    </row>
    <row r="12322" ht="33.75" customHeight="1">
      <c r="A12322" s="7">
        <v>573.0</v>
      </c>
      <c r="B12322" s="9" t="s">
        <v>17355</v>
      </c>
      <c r="C12322" s="9" t="s">
        <v>873</v>
      </c>
      <c r="D12322" s="9" t="s">
        <v>109</v>
      </c>
      <c r="E12322" s="6" t="s">
        <v>11157</v>
      </c>
      <c r="F12322" s="9" t="s">
        <v>18673</v>
      </c>
    </row>
    <row r="12323" ht="33.75" customHeight="1">
      <c r="A12323" s="7">
        <v>573.0</v>
      </c>
      <c r="B12323" s="9" t="s">
        <v>17355</v>
      </c>
      <c r="C12323" s="9" t="s">
        <v>873</v>
      </c>
      <c r="D12323" s="9" t="s">
        <v>647</v>
      </c>
      <c r="E12323" s="6" t="s">
        <v>11158</v>
      </c>
      <c r="F12323" s="9" t="s">
        <v>18673</v>
      </c>
    </row>
    <row r="12324" ht="33.75" customHeight="1">
      <c r="A12324" s="7">
        <v>573.0</v>
      </c>
      <c r="B12324" s="9" t="s">
        <v>17355</v>
      </c>
      <c r="C12324" s="9" t="s">
        <v>873</v>
      </c>
      <c r="D12324" s="9" t="s">
        <v>652</v>
      </c>
      <c r="E12324" s="6" t="s">
        <v>11160</v>
      </c>
      <c r="F12324" s="9" t="s">
        <v>18673</v>
      </c>
    </row>
    <row r="12325" ht="33.75" customHeight="1">
      <c r="A12325" s="7">
        <v>573.0</v>
      </c>
      <c r="B12325" s="9" t="s">
        <v>17355</v>
      </c>
      <c r="C12325" s="9" t="s">
        <v>873</v>
      </c>
      <c r="D12325" s="9" t="s">
        <v>114</v>
      </c>
      <c r="E12325" s="6" t="s">
        <v>11161</v>
      </c>
      <c r="F12325" s="9" t="s">
        <v>18673</v>
      </c>
    </row>
    <row r="12326" ht="33.75" customHeight="1">
      <c r="A12326" s="7">
        <v>573.0</v>
      </c>
      <c r="B12326" s="9" t="s">
        <v>17355</v>
      </c>
      <c r="C12326" s="9" t="s">
        <v>873</v>
      </c>
      <c r="D12326" s="9" t="s">
        <v>117</v>
      </c>
      <c r="E12326" s="6" t="s">
        <v>11162</v>
      </c>
      <c r="F12326" s="9" t="s">
        <v>18673</v>
      </c>
    </row>
    <row r="12327" ht="33.75" customHeight="1">
      <c r="A12327" s="7">
        <v>574.0</v>
      </c>
      <c r="B12327" s="9" t="s">
        <v>17365</v>
      </c>
      <c r="C12327" s="9" t="s">
        <v>875</v>
      </c>
      <c r="D12327" s="9" t="s">
        <v>93</v>
      </c>
      <c r="E12327" s="6" t="s">
        <v>11163</v>
      </c>
      <c r="F12327" s="9" t="s">
        <v>18690</v>
      </c>
      <c r="G12327" t="inlineStr" s="6">
        <is>
          <t xml:space="preserve">Their ribbonlike feelers increase their psychic power. They are always staring at something. They intently observe both Trainers and Pokémon. Apparently, they are looking at something that only Gothita can see. It stares intently at everything. It can become so obsessed with watching that it doesn’t notice attacks. Though they’re still only babies, there’s psychic power stored in their ribbonlike feelers, and sometimes they use that power to fight. Even when nobody seems to be around, Gothita can still be heard making a muted cry. Many believe it’s speaking to something only it can see.</t>
        </is>
      </c>
    </row>
    <row r="12328" ht="33.75" customHeight="1">
      <c r="A12328" s="7">
        <v>574.0</v>
      </c>
      <c r="B12328" s="9" t="s">
        <v>17365</v>
      </c>
      <c r="C12328" s="9" t="s">
        <v>875</v>
      </c>
      <c r="D12328" s="9" t="s">
        <v>95</v>
      </c>
      <c r="E12328" s="6" t="s">
        <v>11164</v>
      </c>
      <c r="F12328" s="9" t="s">
        <v>18690</v>
      </c>
    </row>
    <row r="12329" ht="33.75" customHeight="1">
      <c r="A12329" s="7">
        <v>574.0</v>
      </c>
      <c r="B12329" s="9" t="s">
        <v>17365</v>
      </c>
      <c r="C12329" s="9" t="s">
        <v>875</v>
      </c>
      <c r="D12329" s="9" t="s">
        <v>98</v>
      </c>
      <c r="E12329" s="6" t="s">
        <v>11165</v>
      </c>
      <c r="F12329" s="9" t="s">
        <v>18690</v>
      </c>
    </row>
    <row r="12330" ht="33.75" customHeight="1">
      <c r="A12330" s="7">
        <v>574.0</v>
      </c>
      <c r="B12330" s="9" t="s">
        <v>17365</v>
      </c>
      <c r="C12330" s="9" t="s">
        <v>875</v>
      </c>
      <c r="D12330" s="9" t="s">
        <v>99</v>
      </c>
      <c r="E12330" s="6" t="s">
        <v>11165</v>
      </c>
      <c r="F12330" s="9" t="s">
        <v>18690</v>
      </c>
    </row>
    <row r="12331" ht="33.75" customHeight="1">
      <c r="A12331" s="7">
        <v>574.0</v>
      </c>
      <c r="B12331" s="9" t="s">
        <v>17365</v>
      </c>
      <c r="C12331" s="9" t="s">
        <v>875</v>
      </c>
      <c r="D12331" s="9" t="s">
        <v>101</v>
      </c>
      <c r="E12331" s="6" t="s">
        <v>11163</v>
      </c>
      <c r="F12331" s="9" t="s">
        <v>18690</v>
      </c>
    </row>
    <row r="12332" ht="33.75" customHeight="1">
      <c r="A12332" s="7">
        <v>574.0</v>
      </c>
      <c r="B12332" s="9" t="s">
        <v>17365</v>
      </c>
      <c r="C12332" s="9" t="s">
        <v>875</v>
      </c>
      <c r="D12332" s="9" t="s">
        <v>105</v>
      </c>
      <c r="E12332" s="6" t="s">
        <v>11164</v>
      </c>
      <c r="F12332" s="9" t="s">
        <v>18690</v>
      </c>
    </row>
    <row r="12333" ht="33.75" customHeight="1">
      <c r="A12333" s="7">
        <v>574.0</v>
      </c>
      <c r="B12333" s="9" t="s">
        <v>17365</v>
      </c>
      <c r="C12333" s="9" t="s">
        <v>875</v>
      </c>
      <c r="D12333" s="9" t="s">
        <v>107</v>
      </c>
      <c r="E12333" s="6" t="s">
        <v>11163</v>
      </c>
      <c r="F12333" s="9" t="s">
        <v>18690</v>
      </c>
    </row>
    <row r="12334" ht="33.75" customHeight="1">
      <c r="A12334" s="7">
        <v>574.0</v>
      </c>
      <c r="B12334" s="9" t="s">
        <v>17365</v>
      </c>
      <c r="C12334" s="9" t="s">
        <v>875</v>
      </c>
      <c r="D12334" s="9" t="s">
        <v>109</v>
      </c>
      <c r="E12334" s="6" t="s">
        <v>11164</v>
      </c>
      <c r="F12334" s="9" t="s">
        <v>18690</v>
      </c>
    </row>
    <row r="12335" ht="33.75" customHeight="1">
      <c r="A12335" s="7">
        <v>574.0</v>
      </c>
      <c r="B12335" s="9" t="s">
        <v>17365</v>
      </c>
      <c r="C12335" s="9" t="s">
        <v>875</v>
      </c>
      <c r="D12335" s="9" t="s">
        <v>114</v>
      </c>
      <c r="E12335" s="6" t="s">
        <v>11166</v>
      </c>
      <c r="F12335" s="9" t="s">
        <v>18690</v>
      </c>
    </row>
    <row r="12336" ht="33.75" customHeight="1">
      <c r="A12336" s="7">
        <v>574.0</v>
      </c>
      <c r="B12336" s="9" t="s">
        <v>17365</v>
      </c>
      <c r="C12336" s="9" t="s">
        <v>875</v>
      </c>
      <c r="D12336" s="9" t="s">
        <v>117</v>
      </c>
      <c r="E12336" s="6" t="s">
        <v>11167</v>
      </c>
      <c r="F12336" s="9" t="s">
        <v>18690</v>
      </c>
    </row>
    <row r="12337" ht="33.75" customHeight="1">
      <c r="A12337" s="7">
        <v>575.0</v>
      </c>
      <c r="B12337" s="9" t="s">
        <v>17372</v>
      </c>
      <c r="C12337" s="9" t="s">
        <v>493</v>
      </c>
      <c r="D12337" s="9" t="s">
        <v>93</v>
      </c>
      <c r="E12337" s="6" t="s">
        <v>11168</v>
      </c>
      <c r="F12337" s="9" t="s">
        <v>18715</v>
      </c>
      <c r="G12337" t="inlineStr" s="6">
        <is>
          <t xml:space="preserve">They use hypnosis to control people and Pokémon. Tales of Gothorita leading people astray are told in every corner. Starlight is the source of their power. At night, they mark star positions by using psychic power to float stones. According to many old tales, it creates friends for itself by controlling sleeping children on starry nights. It’s said that when stars shine in the night sky, this Pokémon will spirit away sleeping children. Some call it the Witch of Punishment. On nights when the stars shine, this Pokémon’s psychic power is at its strongest. It’s unknown just what link Gothorita has to the greater universe.</t>
        </is>
      </c>
    </row>
    <row r="12338" ht="33.75" customHeight="1">
      <c r="A12338" s="7">
        <v>575.0</v>
      </c>
      <c r="B12338" s="9" t="s">
        <v>17372</v>
      </c>
      <c r="C12338" s="9" t="s">
        <v>493</v>
      </c>
      <c r="D12338" s="9" t="s">
        <v>95</v>
      </c>
      <c r="E12338" s="6" t="s">
        <v>11169</v>
      </c>
      <c r="F12338" s="9" t="s">
        <v>18715</v>
      </c>
    </row>
    <row r="12339" ht="33.75" customHeight="1">
      <c r="A12339" s="7">
        <v>575.0</v>
      </c>
      <c r="B12339" s="9" t="s">
        <v>17372</v>
      </c>
      <c r="C12339" s="9" t="s">
        <v>493</v>
      </c>
      <c r="D12339" s="9" t="s">
        <v>98</v>
      </c>
      <c r="E12339" s="6" t="s">
        <v>11170</v>
      </c>
      <c r="F12339" s="9" t="s">
        <v>18715</v>
      </c>
    </row>
    <row r="12340" ht="33.75" customHeight="1">
      <c r="A12340" s="7">
        <v>575.0</v>
      </c>
      <c r="B12340" s="9" t="s">
        <v>17372</v>
      </c>
      <c r="C12340" s="9" t="s">
        <v>493</v>
      </c>
      <c r="D12340" s="9" t="s">
        <v>99</v>
      </c>
      <c r="E12340" s="6" t="s">
        <v>11170</v>
      </c>
      <c r="F12340" s="9" t="s">
        <v>18715</v>
      </c>
    </row>
    <row r="12341" ht="33.75" customHeight="1">
      <c r="A12341" s="7">
        <v>575.0</v>
      </c>
      <c r="B12341" s="9" t="s">
        <v>17372</v>
      </c>
      <c r="C12341" s="9" t="s">
        <v>493</v>
      </c>
      <c r="D12341" s="9" t="s">
        <v>101</v>
      </c>
      <c r="E12341" s="6" t="s">
        <v>11169</v>
      </c>
      <c r="F12341" s="9" t="s">
        <v>18715</v>
      </c>
    </row>
    <row r="12342" ht="33.75" customHeight="1">
      <c r="A12342" s="7">
        <v>575.0</v>
      </c>
      <c r="B12342" s="9" t="s">
        <v>17372</v>
      </c>
      <c r="C12342" s="9" t="s">
        <v>493</v>
      </c>
      <c r="D12342" s="9" t="s">
        <v>105</v>
      </c>
      <c r="E12342" s="6" t="s">
        <v>11170</v>
      </c>
      <c r="F12342" s="9" t="s">
        <v>18715</v>
      </c>
    </row>
    <row r="12343" ht="33.75" customHeight="1">
      <c r="A12343" s="7">
        <v>575.0</v>
      </c>
      <c r="B12343" s="9" t="s">
        <v>17372</v>
      </c>
      <c r="C12343" s="9" t="s">
        <v>493</v>
      </c>
      <c r="D12343" s="9" t="s">
        <v>107</v>
      </c>
      <c r="E12343" s="6" t="s">
        <v>11169</v>
      </c>
      <c r="F12343" s="9" t="s">
        <v>18715</v>
      </c>
    </row>
    <row r="12344" ht="33.75" customHeight="1">
      <c r="A12344" s="7">
        <v>575.0</v>
      </c>
      <c r="B12344" s="9" t="s">
        <v>17372</v>
      </c>
      <c r="C12344" s="9" t="s">
        <v>493</v>
      </c>
      <c r="D12344" s="9" t="s">
        <v>109</v>
      </c>
      <c r="E12344" s="6" t="s">
        <v>11170</v>
      </c>
      <c r="F12344" s="9" t="s">
        <v>18715</v>
      </c>
    </row>
    <row r="12345" ht="33.75" customHeight="1">
      <c r="A12345" s="7">
        <v>575.0</v>
      </c>
      <c r="B12345" s="9" t="s">
        <v>17372</v>
      </c>
      <c r="C12345" s="9" t="s">
        <v>493</v>
      </c>
      <c r="D12345" s="9" t="s">
        <v>114</v>
      </c>
      <c r="E12345" s="6" t="s">
        <v>11171</v>
      </c>
      <c r="F12345" s="9" t="s">
        <v>18715</v>
      </c>
    </row>
    <row r="12346" ht="33.75" customHeight="1">
      <c r="A12346" s="7">
        <v>575.0</v>
      </c>
      <c r="B12346" s="9" t="s">
        <v>17372</v>
      </c>
      <c r="C12346" s="9" t="s">
        <v>493</v>
      </c>
      <c r="D12346" s="9" t="s">
        <v>117</v>
      </c>
      <c r="E12346" s="6" t="s">
        <v>11172</v>
      </c>
      <c r="F12346" s="9" t="s">
        <v>18715</v>
      </c>
    </row>
    <row r="12347" ht="33.75" customHeight="1">
      <c r="A12347" s="7">
        <v>576.0</v>
      </c>
      <c r="B12347" s="9" t="s">
        <v>17379</v>
      </c>
      <c r="C12347" s="9" t="s">
        <v>876</v>
      </c>
      <c r="D12347" s="9" t="s">
        <v>93</v>
      </c>
      <c r="E12347" s="6" t="s">
        <v>11173</v>
      </c>
      <c r="F12347" s="9" t="s">
        <v>18739</v>
      </c>
      <c r="G12347" t="inlineStr" s="6">
        <is>
          <t xml:space="preserve">Starry skies thousands of light-years away are visible in the space distorted by their intense psychic power. They can predict the future from the placement and movement of the stars. They can see Trainers’ life spans. It can see the future from the movement of the stars. When it learns its Trainer’s life span, it cries in sadness. It has tremendous psychic power, but it dislikes conflict. It’s also able to predict the future based on the movement of the stars. A criminal who was shown his fate by a Gothitelle went missing that same day and was never seen again.</t>
        </is>
      </c>
    </row>
    <row r="12348" ht="33.75" customHeight="1">
      <c r="A12348" s="7">
        <v>576.0</v>
      </c>
      <c r="B12348" s="9" t="s">
        <v>17379</v>
      </c>
      <c r="C12348" s="9" t="s">
        <v>876</v>
      </c>
      <c r="D12348" s="9" t="s">
        <v>95</v>
      </c>
      <c r="E12348" s="6" t="s">
        <v>11174</v>
      </c>
      <c r="F12348" s="9" t="s">
        <v>18739</v>
      </c>
    </row>
    <row r="12349" ht="33.75" customHeight="1">
      <c r="A12349" s="7">
        <v>576.0</v>
      </c>
      <c r="B12349" s="9" t="s">
        <v>17379</v>
      </c>
      <c r="C12349" s="9" t="s">
        <v>876</v>
      </c>
      <c r="D12349" s="9" t="s">
        <v>98</v>
      </c>
      <c r="E12349" s="6" t="s">
        <v>11176</v>
      </c>
      <c r="F12349" s="9" t="s">
        <v>18739</v>
      </c>
    </row>
    <row r="12350" ht="33.75" customHeight="1">
      <c r="A12350" s="7">
        <v>576.0</v>
      </c>
      <c r="B12350" s="9" t="s">
        <v>17379</v>
      </c>
      <c r="C12350" s="9" t="s">
        <v>876</v>
      </c>
      <c r="D12350" s="9" t="s">
        <v>99</v>
      </c>
      <c r="E12350" s="6" t="s">
        <v>11176</v>
      </c>
      <c r="F12350" s="9" t="s">
        <v>18739</v>
      </c>
    </row>
    <row r="12351" ht="33.75" customHeight="1">
      <c r="A12351" s="7">
        <v>576.0</v>
      </c>
      <c r="B12351" s="9" t="s">
        <v>17379</v>
      </c>
      <c r="C12351" s="9" t="s">
        <v>876</v>
      </c>
      <c r="D12351" s="9" t="s">
        <v>101</v>
      </c>
      <c r="E12351" s="6" t="s">
        <v>11173</v>
      </c>
      <c r="F12351" s="9" t="s">
        <v>18739</v>
      </c>
    </row>
    <row r="12352" ht="33.75" customHeight="1">
      <c r="A12352" s="7">
        <v>576.0</v>
      </c>
      <c r="B12352" s="9" t="s">
        <v>17379</v>
      </c>
      <c r="C12352" s="9" t="s">
        <v>876</v>
      </c>
      <c r="D12352" s="9" t="s">
        <v>105</v>
      </c>
      <c r="E12352" s="6" t="s">
        <v>11174</v>
      </c>
      <c r="F12352" s="9" t="s">
        <v>18739</v>
      </c>
    </row>
    <row r="12353" ht="33.75" customHeight="1">
      <c r="A12353" s="7">
        <v>576.0</v>
      </c>
      <c r="B12353" s="9" t="s">
        <v>17379</v>
      </c>
      <c r="C12353" s="9" t="s">
        <v>876</v>
      </c>
      <c r="D12353" s="9" t="s">
        <v>107</v>
      </c>
      <c r="E12353" s="6" t="s">
        <v>11173</v>
      </c>
      <c r="F12353" s="9" t="s">
        <v>18739</v>
      </c>
    </row>
    <row r="12354" ht="33.75" customHeight="1">
      <c r="A12354" s="7">
        <v>576.0</v>
      </c>
      <c r="B12354" s="9" t="s">
        <v>17379</v>
      </c>
      <c r="C12354" s="9" t="s">
        <v>876</v>
      </c>
      <c r="D12354" s="9" t="s">
        <v>109</v>
      </c>
      <c r="E12354" s="6" t="s">
        <v>11174</v>
      </c>
      <c r="F12354" s="9" t="s">
        <v>18739</v>
      </c>
    </row>
    <row r="12355" ht="33.75" customHeight="1">
      <c r="A12355" s="7">
        <v>576.0</v>
      </c>
      <c r="B12355" s="9" t="s">
        <v>17379</v>
      </c>
      <c r="C12355" s="9" t="s">
        <v>876</v>
      </c>
      <c r="D12355" s="9" t="s">
        <v>114</v>
      </c>
      <c r="E12355" s="6" t="s">
        <v>11177</v>
      </c>
      <c r="F12355" s="9" t="s">
        <v>18739</v>
      </c>
    </row>
    <row r="12356" ht="33.75" customHeight="1">
      <c r="A12356" s="7">
        <v>576.0</v>
      </c>
      <c r="B12356" s="9" t="s">
        <v>17379</v>
      </c>
      <c r="C12356" s="9" t="s">
        <v>876</v>
      </c>
      <c r="D12356" s="9" t="s">
        <v>117</v>
      </c>
      <c r="E12356" s="6" t="s">
        <v>11180</v>
      </c>
      <c r="F12356" s="9" t="s">
        <v>18739</v>
      </c>
    </row>
    <row r="12357" ht="33.75" customHeight="1">
      <c r="A12357" s="7">
        <v>577.0</v>
      </c>
      <c r="B12357" s="9" t="s">
        <v>17386</v>
      </c>
      <c r="C12357" s="9" t="s">
        <v>877</v>
      </c>
      <c r="D12357" s="9" t="s">
        <v>93</v>
      </c>
      <c r="E12357" s="6" t="s">
        <v>11182</v>
      </c>
      <c r="F12357" s="9" t="s">
        <v>18770</v>
      </c>
      <c r="G12357" t="inlineStr" s="6">
        <is>
          <t xml:space="preserve">They drive away attackers by unleashing psychic power. They can use telepathy to talk with others. Because their bodies are enveloped in a special liquid, they can survive in any environment. Because their bodies are enveloped in a special liquid, they are fine in any environment, no matter how severe. It communicates with others telepathically. Its body is encapsulated in liquid, but if it takes a heavy blow, the liquid will leak out. Many say that the special liquid covering this Pokémon’s body would allow it to survive in the vacuum of space.</t>
        </is>
      </c>
    </row>
    <row r="12358" ht="33.75" customHeight="1">
      <c r="A12358" s="7">
        <v>577.0</v>
      </c>
      <c r="B12358" s="9" t="s">
        <v>17386</v>
      </c>
      <c r="C12358" s="9" t="s">
        <v>877</v>
      </c>
      <c r="D12358" s="9" t="s">
        <v>95</v>
      </c>
      <c r="E12358" s="6" t="s">
        <v>11183</v>
      </c>
      <c r="F12358" s="9" t="s">
        <v>18770</v>
      </c>
    </row>
    <row r="12359" ht="33.75" customHeight="1">
      <c r="A12359" s="7">
        <v>577.0</v>
      </c>
      <c r="B12359" s="9" t="s">
        <v>17386</v>
      </c>
      <c r="C12359" s="9" t="s">
        <v>877</v>
      </c>
      <c r="D12359" s="9" t="s">
        <v>98</v>
      </c>
      <c r="E12359" s="6" t="s">
        <v>11185</v>
      </c>
      <c r="F12359" s="9" t="s">
        <v>18770</v>
      </c>
    </row>
    <row r="12360" ht="33.75" customHeight="1">
      <c r="A12360" s="7">
        <v>577.0</v>
      </c>
      <c r="B12360" s="9" t="s">
        <v>17386</v>
      </c>
      <c r="C12360" s="9" t="s">
        <v>877</v>
      </c>
      <c r="D12360" s="9" t="s">
        <v>99</v>
      </c>
      <c r="E12360" s="6" t="s">
        <v>11185</v>
      </c>
      <c r="F12360" s="9" t="s">
        <v>18770</v>
      </c>
    </row>
    <row r="12361" ht="33.75" customHeight="1">
      <c r="A12361" s="7">
        <v>577.0</v>
      </c>
      <c r="B12361" s="9" t="s">
        <v>17386</v>
      </c>
      <c r="C12361" s="9" t="s">
        <v>877</v>
      </c>
      <c r="D12361" s="9" t="s">
        <v>101</v>
      </c>
      <c r="E12361" s="6" t="s">
        <v>11185</v>
      </c>
      <c r="F12361" s="9" t="s">
        <v>18770</v>
      </c>
    </row>
    <row r="12362" ht="33.75" customHeight="1">
      <c r="A12362" s="7">
        <v>577.0</v>
      </c>
      <c r="B12362" s="9" t="s">
        <v>17386</v>
      </c>
      <c r="C12362" s="9" t="s">
        <v>877</v>
      </c>
      <c r="D12362" s="9" t="s">
        <v>105</v>
      </c>
      <c r="E12362" s="6" t="s">
        <v>11182</v>
      </c>
      <c r="F12362" s="9" t="s">
        <v>18770</v>
      </c>
    </row>
    <row r="12363" ht="33.75" customHeight="1">
      <c r="A12363" s="7">
        <v>577.0</v>
      </c>
      <c r="B12363" s="9" t="s">
        <v>17386</v>
      </c>
      <c r="C12363" s="9" t="s">
        <v>877</v>
      </c>
      <c r="D12363" s="9" t="s">
        <v>107</v>
      </c>
      <c r="E12363" s="6" t="s">
        <v>11185</v>
      </c>
      <c r="F12363" s="9" t="s">
        <v>18770</v>
      </c>
    </row>
    <row r="12364" ht="33.75" customHeight="1">
      <c r="A12364" s="7">
        <v>577.0</v>
      </c>
      <c r="B12364" s="9" t="s">
        <v>17386</v>
      </c>
      <c r="C12364" s="9" t="s">
        <v>877</v>
      </c>
      <c r="D12364" s="9" t="s">
        <v>109</v>
      </c>
      <c r="E12364" s="6" t="s">
        <v>11182</v>
      </c>
      <c r="F12364" s="9" t="s">
        <v>18770</v>
      </c>
    </row>
    <row r="12365" ht="33.75" customHeight="1">
      <c r="A12365" s="7">
        <v>577.0</v>
      </c>
      <c r="B12365" s="9" t="s">
        <v>17386</v>
      </c>
      <c r="C12365" s="9" t="s">
        <v>877</v>
      </c>
      <c r="D12365" s="9" t="s">
        <v>114</v>
      </c>
      <c r="E12365" s="6" t="s">
        <v>11187</v>
      </c>
      <c r="F12365" s="9" t="s">
        <v>18770</v>
      </c>
    </row>
    <row r="12366" ht="33.75" customHeight="1">
      <c r="A12366" s="7">
        <v>577.0</v>
      </c>
      <c r="B12366" s="9" t="s">
        <v>17386</v>
      </c>
      <c r="C12366" s="9" t="s">
        <v>877</v>
      </c>
      <c r="D12366" s="9" t="s">
        <v>117</v>
      </c>
      <c r="E12366" s="6" t="s">
        <v>11188</v>
      </c>
      <c r="F12366" s="9" t="s">
        <v>18770</v>
      </c>
    </row>
    <row r="12367" ht="33.75" customHeight="1">
      <c r="A12367" s="7">
        <v>578.0</v>
      </c>
      <c r="B12367" s="9" t="s">
        <v>17393</v>
      </c>
      <c r="C12367" s="9" t="s">
        <v>879</v>
      </c>
      <c r="D12367" s="9" t="s">
        <v>93</v>
      </c>
      <c r="E12367" s="6" t="s">
        <v>11189</v>
      </c>
      <c r="F12367" s="9" t="s">
        <v>18795</v>
      </c>
      <c r="G12367" t="inlineStr" s="6">
        <is>
          <t xml:space="preserve">Since they have two divided brains, at times they suddenly try to take two different actions at once. When their brains, now divided in two, are thinking the same thoughts, these Pokémon exhibit their maximum power. When their two divided brains think the same thoughts, their psychic power is maximized. Its psychic power can supposedly cover a range of more than half a mile—but only if its two brains can agree with each other. Its brain has split into two, and the two halves rarely think alike. Its actions are utterly unpredictable.</t>
        </is>
      </c>
    </row>
    <row r="12368" ht="33.75" customHeight="1">
      <c r="A12368" s="7">
        <v>578.0</v>
      </c>
      <c r="B12368" s="9" t="s">
        <v>17393</v>
      </c>
      <c r="C12368" s="9" t="s">
        <v>879</v>
      </c>
      <c r="D12368" s="9" t="s">
        <v>95</v>
      </c>
      <c r="E12368" s="6" t="s">
        <v>11191</v>
      </c>
      <c r="F12368" s="9" t="s">
        <v>18795</v>
      </c>
    </row>
    <row r="12369" ht="33.75" customHeight="1">
      <c r="A12369" s="7">
        <v>578.0</v>
      </c>
      <c r="B12369" s="9" t="s">
        <v>17393</v>
      </c>
      <c r="C12369" s="9" t="s">
        <v>879</v>
      </c>
      <c r="D12369" s="9" t="s">
        <v>98</v>
      </c>
      <c r="E12369" s="6" t="s">
        <v>11192</v>
      </c>
      <c r="F12369" s="9" t="s">
        <v>18795</v>
      </c>
    </row>
    <row r="12370" ht="33.75" customHeight="1">
      <c r="A12370" s="7">
        <v>578.0</v>
      </c>
      <c r="B12370" s="9" t="s">
        <v>17393</v>
      </c>
      <c r="C12370" s="9" t="s">
        <v>879</v>
      </c>
      <c r="D12370" s="9" t="s">
        <v>99</v>
      </c>
      <c r="E12370" s="6" t="s">
        <v>11192</v>
      </c>
      <c r="F12370" s="9" t="s">
        <v>18795</v>
      </c>
    </row>
    <row r="12371" ht="33.75" customHeight="1">
      <c r="A12371" s="7">
        <v>578.0</v>
      </c>
      <c r="B12371" s="9" t="s">
        <v>17393</v>
      </c>
      <c r="C12371" s="9" t="s">
        <v>879</v>
      </c>
      <c r="D12371" s="9" t="s">
        <v>101</v>
      </c>
      <c r="E12371" s="6" t="s">
        <v>11189</v>
      </c>
      <c r="F12371" s="9" t="s">
        <v>18795</v>
      </c>
    </row>
    <row r="12372" ht="33.75" customHeight="1">
      <c r="A12372" s="7">
        <v>578.0</v>
      </c>
      <c r="B12372" s="9" t="s">
        <v>17393</v>
      </c>
      <c r="C12372" s="9" t="s">
        <v>879</v>
      </c>
      <c r="D12372" s="9" t="s">
        <v>105</v>
      </c>
      <c r="E12372" s="6" t="s">
        <v>11192</v>
      </c>
      <c r="F12372" s="9" t="s">
        <v>18795</v>
      </c>
    </row>
    <row r="12373" ht="33.75" customHeight="1">
      <c r="A12373" s="7">
        <v>578.0</v>
      </c>
      <c r="B12373" s="9" t="s">
        <v>17393</v>
      </c>
      <c r="C12373" s="9" t="s">
        <v>879</v>
      </c>
      <c r="D12373" s="9" t="s">
        <v>107</v>
      </c>
      <c r="E12373" s="6" t="s">
        <v>11189</v>
      </c>
      <c r="F12373" s="9" t="s">
        <v>18795</v>
      </c>
    </row>
    <row r="12374" ht="33.75" customHeight="1">
      <c r="A12374" s="7">
        <v>578.0</v>
      </c>
      <c r="B12374" s="9" t="s">
        <v>17393</v>
      </c>
      <c r="C12374" s="9" t="s">
        <v>879</v>
      </c>
      <c r="D12374" s="9" t="s">
        <v>109</v>
      </c>
      <c r="E12374" s="6" t="s">
        <v>11192</v>
      </c>
      <c r="F12374" s="9" t="s">
        <v>18795</v>
      </c>
    </row>
    <row r="12375" ht="33.75" customHeight="1">
      <c r="A12375" s="7">
        <v>578.0</v>
      </c>
      <c r="B12375" s="9" t="s">
        <v>17393</v>
      </c>
      <c r="C12375" s="9" t="s">
        <v>879</v>
      </c>
      <c r="D12375" s="9" t="s">
        <v>114</v>
      </c>
      <c r="E12375" s="6" t="s">
        <v>11194</v>
      </c>
      <c r="F12375" s="9" t="s">
        <v>18795</v>
      </c>
    </row>
    <row r="12376" ht="33.75" customHeight="1">
      <c r="A12376" s="7">
        <v>578.0</v>
      </c>
      <c r="B12376" s="9" t="s">
        <v>17393</v>
      </c>
      <c r="C12376" s="9" t="s">
        <v>879</v>
      </c>
      <c r="D12376" s="9" t="s">
        <v>117</v>
      </c>
      <c r="E12376" s="6" t="s">
        <v>11195</v>
      </c>
      <c r="F12376" s="9" t="s">
        <v>18795</v>
      </c>
    </row>
    <row r="12377" ht="33.75" customHeight="1">
      <c r="A12377" s="7">
        <v>579.0</v>
      </c>
      <c r="B12377" s="9" t="s">
        <v>17401</v>
      </c>
      <c r="C12377" s="9" t="s">
        <v>881</v>
      </c>
      <c r="D12377" s="9" t="s">
        <v>93</v>
      </c>
      <c r="E12377" s="6" t="s">
        <v>11196</v>
      </c>
      <c r="F12377" s="9" t="s">
        <v>18820</v>
      </c>
      <c r="G12377" t="inlineStr" s="6">
        <is>
          <t xml:space="preserve">When Reuniclus shake hands, a network forms between their brains, increasing their psychic power. These remarkably intelligent Pokémon fight by controlling arms that can grip with rock-crushing power. They use psychic power to control their arms, which are made of a special liquid. They can crush boulders psychically. While it could use its psychic abilities in battle, this Pokémon prefers to swing its powerful arms around to beat opponents into submission. It’s said that drinking the liquid surrounding Reuniclus grants wisdom. Problem is, the liquid is highly toxic to anything besides Reuniclus itself.</t>
        </is>
      </c>
    </row>
    <row r="12378" ht="33.75" customHeight="1">
      <c r="A12378" s="7">
        <v>579.0</v>
      </c>
      <c r="B12378" s="9" t="s">
        <v>17401</v>
      </c>
      <c r="C12378" s="9" t="s">
        <v>881</v>
      </c>
      <c r="D12378" s="9" t="s">
        <v>95</v>
      </c>
      <c r="E12378" s="6" t="s">
        <v>11198</v>
      </c>
      <c r="F12378" s="9" t="s">
        <v>18820</v>
      </c>
    </row>
    <row r="12379" ht="33.75" customHeight="1">
      <c r="A12379" s="7">
        <v>579.0</v>
      </c>
      <c r="B12379" s="9" t="s">
        <v>17401</v>
      </c>
      <c r="C12379" s="9" t="s">
        <v>881</v>
      </c>
      <c r="D12379" s="9" t="s">
        <v>98</v>
      </c>
      <c r="E12379" s="6" t="s">
        <v>11200</v>
      </c>
      <c r="F12379" s="9" t="s">
        <v>18820</v>
      </c>
    </row>
    <row r="12380" ht="33.75" customHeight="1">
      <c r="A12380" s="7">
        <v>579.0</v>
      </c>
      <c r="B12380" s="9" t="s">
        <v>17401</v>
      </c>
      <c r="C12380" s="9" t="s">
        <v>881</v>
      </c>
      <c r="D12380" s="9" t="s">
        <v>99</v>
      </c>
      <c r="E12380" s="6" t="s">
        <v>11200</v>
      </c>
      <c r="F12380" s="9" t="s">
        <v>18820</v>
      </c>
    </row>
    <row r="12381" ht="33.75" customHeight="1">
      <c r="A12381" s="7">
        <v>579.0</v>
      </c>
      <c r="B12381" s="9" t="s">
        <v>17401</v>
      </c>
      <c r="C12381" s="9" t="s">
        <v>881</v>
      </c>
      <c r="D12381" s="9" t="s">
        <v>101</v>
      </c>
      <c r="E12381" s="6" t="s">
        <v>11200</v>
      </c>
      <c r="F12381" s="9" t="s">
        <v>18820</v>
      </c>
    </row>
    <row r="12382" ht="33.75" customHeight="1">
      <c r="A12382" s="7">
        <v>579.0</v>
      </c>
      <c r="B12382" s="9" t="s">
        <v>17401</v>
      </c>
      <c r="C12382" s="9" t="s">
        <v>881</v>
      </c>
      <c r="D12382" s="9" t="s">
        <v>105</v>
      </c>
      <c r="E12382" s="6" t="s">
        <v>11196</v>
      </c>
      <c r="F12382" s="9" t="s">
        <v>18820</v>
      </c>
    </row>
    <row r="12383" ht="33.75" customHeight="1">
      <c r="A12383" s="7">
        <v>579.0</v>
      </c>
      <c r="B12383" s="9" t="s">
        <v>17401</v>
      </c>
      <c r="C12383" s="9" t="s">
        <v>881</v>
      </c>
      <c r="D12383" s="9" t="s">
        <v>107</v>
      </c>
      <c r="E12383" s="6" t="s">
        <v>11200</v>
      </c>
      <c r="F12383" s="9" t="s">
        <v>18820</v>
      </c>
    </row>
    <row r="12384" ht="33.75" customHeight="1">
      <c r="A12384" s="7">
        <v>579.0</v>
      </c>
      <c r="B12384" s="9" t="s">
        <v>17401</v>
      </c>
      <c r="C12384" s="9" t="s">
        <v>881</v>
      </c>
      <c r="D12384" s="9" t="s">
        <v>109</v>
      </c>
      <c r="E12384" s="6" t="s">
        <v>11196</v>
      </c>
      <c r="F12384" s="9" t="s">
        <v>18820</v>
      </c>
    </row>
    <row r="12385" ht="33.75" customHeight="1">
      <c r="A12385" s="7">
        <v>579.0</v>
      </c>
      <c r="B12385" s="9" t="s">
        <v>17401</v>
      </c>
      <c r="C12385" s="9" t="s">
        <v>881</v>
      </c>
      <c r="D12385" s="9" t="s">
        <v>114</v>
      </c>
      <c r="E12385" s="6" t="s">
        <v>11201</v>
      </c>
      <c r="F12385" s="9" t="s">
        <v>18820</v>
      </c>
    </row>
    <row r="12386" ht="33.75" customHeight="1">
      <c r="A12386" s="7">
        <v>579.0</v>
      </c>
      <c r="B12386" s="9" t="s">
        <v>17401</v>
      </c>
      <c r="C12386" s="9" t="s">
        <v>881</v>
      </c>
      <c r="D12386" s="9" t="s">
        <v>117</v>
      </c>
      <c r="E12386" s="6" t="s">
        <v>11202</v>
      </c>
      <c r="F12386" s="9" t="s">
        <v>18820</v>
      </c>
    </row>
    <row r="12387" ht="33.75" customHeight="1">
      <c r="A12387" s="7">
        <v>580.0</v>
      </c>
      <c r="B12387" s="9" t="s">
        <v>17408</v>
      </c>
      <c r="C12387" s="9" t="s">
        <v>414</v>
      </c>
      <c r="D12387" s="9" t="s">
        <v>93</v>
      </c>
      <c r="E12387" s="6" t="s">
        <v>11203</v>
      </c>
      <c r="F12387" s="9" t="s">
        <v>18846</v>
      </c>
      <c r="G12387" t="inlineStr" s="6">
        <is>
          <t xml:space="preserve">These bird Pokémon are excellent divers. They swim around in the water eating their favorite food--peat moss. When attacked, it uses its feathers to splash water, escaping under cover of the spray. They are better at swimming than flying, and they happily eat their favorite food, peat moss, as they dive underwater.</t>
        </is>
      </c>
    </row>
    <row r="12388" ht="33.75" customHeight="1">
      <c r="A12388" s="7">
        <v>580.0</v>
      </c>
      <c r="B12388" s="9" t="s">
        <v>17408</v>
      </c>
      <c r="C12388" s="9" t="s">
        <v>414</v>
      </c>
      <c r="D12388" s="9" t="s">
        <v>95</v>
      </c>
      <c r="E12388" s="6" t="s">
        <v>11204</v>
      </c>
      <c r="F12388" s="9" t="s">
        <v>18846</v>
      </c>
    </row>
    <row r="12389" ht="33.75" customHeight="1">
      <c r="A12389" s="7">
        <v>580.0</v>
      </c>
      <c r="B12389" s="9" t="s">
        <v>17408</v>
      </c>
      <c r="C12389" s="9" t="s">
        <v>414</v>
      </c>
      <c r="D12389" s="9" t="s">
        <v>98</v>
      </c>
      <c r="E12389" s="6" t="s">
        <v>11205</v>
      </c>
      <c r="F12389" s="9" t="s">
        <v>18846</v>
      </c>
    </row>
    <row r="12390" ht="33.75" customHeight="1">
      <c r="A12390" s="7">
        <v>580.0</v>
      </c>
      <c r="B12390" s="9" t="s">
        <v>17408</v>
      </c>
      <c r="C12390" s="9" t="s">
        <v>414</v>
      </c>
      <c r="D12390" s="9" t="s">
        <v>99</v>
      </c>
      <c r="E12390" s="6" t="s">
        <v>11205</v>
      </c>
      <c r="F12390" s="9" t="s">
        <v>18846</v>
      </c>
    </row>
    <row r="12391" ht="33.75" customHeight="1">
      <c r="A12391" s="7">
        <v>580.0</v>
      </c>
      <c r="B12391" s="9" t="s">
        <v>17408</v>
      </c>
      <c r="C12391" s="9" t="s">
        <v>414</v>
      </c>
      <c r="D12391" s="9" t="s">
        <v>101</v>
      </c>
      <c r="E12391" s="6" t="s">
        <v>11204</v>
      </c>
      <c r="F12391" s="9" t="s">
        <v>18846</v>
      </c>
    </row>
    <row r="12392" ht="33.75" customHeight="1">
      <c r="A12392" s="7">
        <v>580.0</v>
      </c>
      <c r="B12392" s="9" t="s">
        <v>17408</v>
      </c>
      <c r="C12392" s="9" t="s">
        <v>414</v>
      </c>
      <c r="D12392" s="9" t="s">
        <v>105</v>
      </c>
      <c r="E12392" s="6" t="s">
        <v>11205</v>
      </c>
      <c r="F12392" s="9" t="s">
        <v>18846</v>
      </c>
    </row>
    <row r="12393" ht="33.75" customHeight="1">
      <c r="A12393" s="7">
        <v>580.0</v>
      </c>
      <c r="B12393" s="9" t="s">
        <v>17408</v>
      </c>
      <c r="C12393" s="9" t="s">
        <v>414</v>
      </c>
      <c r="D12393" s="9" t="s">
        <v>107</v>
      </c>
      <c r="E12393" s="6" t="s">
        <v>11204</v>
      </c>
      <c r="F12393" s="9" t="s">
        <v>18846</v>
      </c>
    </row>
    <row r="12394" ht="33.75" customHeight="1">
      <c r="A12394" s="7">
        <v>580.0</v>
      </c>
      <c r="B12394" s="9" t="s">
        <v>17408</v>
      </c>
      <c r="C12394" s="9" t="s">
        <v>414</v>
      </c>
      <c r="D12394" s="9" t="s">
        <v>109</v>
      </c>
      <c r="E12394" s="6" t="s">
        <v>11205</v>
      </c>
      <c r="F12394" s="9" t="s">
        <v>18846</v>
      </c>
    </row>
    <row r="12395" ht="33.75" customHeight="1">
      <c r="A12395" s="7">
        <v>581.0</v>
      </c>
      <c r="B12395" s="9" t="s">
        <v>17412</v>
      </c>
      <c r="C12395" s="9" t="s">
        <v>882</v>
      </c>
      <c r="D12395" s="9" t="s">
        <v>93</v>
      </c>
      <c r="E12395" s="6" t="s">
        <v>11207</v>
      </c>
      <c r="F12395" s="9" t="s">
        <v>18869</v>
      </c>
      <c r="G12395" t="inlineStr" s="6">
        <is>
          <t xml:space="preserve">Swanna start to dance at dusk. The one dancing in the middle is the leader of the flock. It administers sharp, powerful pecks with its bill. It whips its long neck to deliver forceful repeated strikes. Despite their elegant appearance, they can flap their wings strongly and fly for thousands of miles.</t>
        </is>
      </c>
    </row>
    <row r="12396" ht="33.75" customHeight="1">
      <c r="A12396" s="7">
        <v>581.0</v>
      </c>
      <c r="B12396" s="9" t="s">
        <v>17412</v>
      </c>
      <c r="C12396" s="9" t="s">
        <v>882</v>
      </c>
      <c r="D12396" s="9" t="s">
        <v>95</v>
      </c>
      <c r="E12396" s="6" t="s">
        <v>11208</v>
      </c>
      <c r="F12396" s="9" t="s">
        <v>18869</v>
      </c>
    </row>
    <row r="12397" ht="33.75" customHeight="1">
      <c r="A12397" s="7">
        <v>581.0</v>
      </c>
      <c r="B12397" s="9" t="s">
        <v>17412</v>
      </c>
      <c r="C12397" s="9" t="s">
        <v>882</v>
      </c>
      <c r="D12397" s="9" t="s">
        <v>98</v>
      </c>
      <c r="E12397" s="6" t="s">
        <v>11209</v>
      </c>
      <c r="F12397" s="9" t="s">
        <v>18869</v>
      </c>
    </row>
    <row r="12398" ht="33.75" customHeight="1">
      <c r="A12398" s="7">
        <v>581.0</v>
      </c>
      <c r="B12398" s="9" t="s">
        <v>17412</v>
      </c>
      <c r="C12398" s="9" t="s">
        <v>882</v>
      </c>
      <c r="D12398" s="9" t="s">
        <v>99</v>
      </c>
      <c r="E12398" s="6" t="s">
        <v>11209</v>
      </c>
      <c r="F12398" s="9" t="s">
        <v>18869</v>
      </c>
    </row>
    <row r="12399" ht="33.75" customHeight="1">
      <c r="A12399" s="7">
        <v>581.0</v>
      </c>
      <c r="B12399" s="9" t="s">
        <v>17412</v>
      </c>
      <c r="C12399" s="9" t="s">
        <v>882</v>
      </c>
      <c r="D12399" s="9" t="s">
        <v>101</v>
      </c>
      <c r="E12399" s="6" t="s">
        <v>11209</v>
      </c>
      <c r="F12399" s="9" t="s">
        <v>18869</v>
      </c>
    </row>
    <row r="12400" ht="33.75" customHeight="1">
      <c r="A12400" s="7">
        <v>581.0</v>
      </c>
      <c r="B12400" s="9" t="s">
        <v>17412</v>
      </c>
      <c r="C12400" s="9" t="s">
        <v>882</v>
      </c>
      <c r="D12400" s="9" t="s">
        <v>105</v>
      </c>
      <c r="E12400" s="6" t="s">
        <v>11207</v>
      </c>
      <c r="F12400" s="9" t="s">
        <v>18869</v>
      </c>
    </row>
    <row r="12401" ht="33.75" customHeight="1">
      <c r="A12401" s="7">
        <v>581.0</v>
      </c>
      <c r="B12401" s="9" t="s">
        <v>17412</v>
      </c>
      <c r="C12401" s="9" t="s">
        <v>882</v>
      </c>
      <c r="D12401" s="9" t="s">
        <v>107</v>
      </c>
      <c r="E12401" s="6" t="s">
        <v>11209</v>
      </c>
      <c r="F12401" s="9" t="s">
        <v>18869</v>
      </c>
    </row>
    <row r="12402" ht="33.75" customHeight="1">
      <c r="A12402" s="7">
        <v>581.0</v>
      </c>
      <c r="B12402" s="9" t="s">
        <v>17412</v>
      </c>
      <c r="C12402" s="9" t="s">
        <v>882</v>
      </c>
      <c r="D12402" s="9" t="s">
        <v>109</v>
      </c>
      <c r="E12402" s="6" t="s">
        <v>11207</v>
      </c>
      <c r="F12402" s="9" t="s">
        <v>18869</v>
      </c>
    </row>
    <row r="12403" ht="33.75" customHeight="1">
      <c r="A12403" s="7">
        <v>582.0</v>
      </c>
      <c r="B12403" s="9" t="s">
        <v>17417</v>
      </c>
      <c r="C12403" s="9" t="s">
        <v>715</v>
      </c>
      <c r="D12403" s="9" t="s">
        <v>93</v>
      </c>
      <c r="E12403" s="6" t="s">
        <v>11210</v>
      </c>
      <c r="F12403" s="9" t="s">
        <v>18896</v>
      </c>
      <c r="G12403" t="inlineStr" s="6">
        <is>
          <t xml:space="preserve">The temperature of their breath is -58° F. They create snow crystals and make snow fall in the areas around them. This Pokémon formed from icicles bathed in energy from the morning sun. It sleeps buried in snow. Theoretically, this Pokémon formed from icicles bathed in energy from the morning sun. Their breath is -58° F. The temperature of their breath is -58 degrees Fahrenheit. Born of an icicle, this Pokémon uses its frosty breath to make ice crystals, causing snow to fall. It feels pleasantly cool when embraced. This Pokémon is treasured by households in warm regions. It exhales cold air that is at –58 degrees Fahrenheit. When it’s in a warm place, it shrinks little by little. When the morning sun hit an icicle, it wished not to melt, and thus Vanillite was born. At night, it buries itself in snow to sleep. Unable to survive in hot areas, it makes itself comfortable by breathing out air cold enough to cause snow. It burrows into the snow to sleep. Supposedly, this Pokémon was born from an icicle. It spews out freezing air at −58 degrees Fahrenheit to make itself more comfortable.</t>
        </is>
      </c>
    </row>
    <row r="12404" ht="33.75" customHeight="1">
      <c r="A12404" s="7">
        <v>582.0</v>
      </c>
      <c r="B12404" s="9" t="s">
        <v>17417</v>
      </c>
      <c r="C12404" s="9" t="s">
        <v>715</v>
      </c>
      <c r="D12404" s="9" t="s">
        <v>95</v>
      </c>
      <c r="E12404" s="6" t="s">
        <v>11211</v>
      </c>
      <c r="F12404" s="9" t="s">
        <v>18896</v>
      </c>
    </row>
    <row r="12405" ht="33.75" customHeight="1">
      <c r="A12405" s="7">
        <v>582.0</v>
      </c>
      <c r="B12405" s="9" t="s">
        <v>17417</v>
      </c>
      <c r="C12405" s="9" t="s">
        <v>715</v>
      </c>
      <c r="D12405" s="9" t="s">
        <v>98</v>
      </c>
      <c r="E12405" s="6" t="s">
        <v>11212</v>
      </c>
      <c r="F12405" s="9" t="s">
        <v>18896</v>
      </c>
    </row>
    <row r="12406" ht="33.75" customHeight="1">
      <c r="A12406" s="7">
        <v>582.0</v>
      </c>
      <c r="B12406" s="9" t="s">
        <v>17417</v>
      </c>
      <c r="C12406" s="9" t="s">
        <v>715</v>
      </c>
      <c r="D12406" s="9" t="s">
        <v>99</v>
      </c>
      <c r="E12406" s="6" t="s">
        <v>11212</v>
      </c>
      <c r="F12406" s="9" t="s">
        <v>18896</v>
      </c>
    </row>
    <row r="12407" ht="33.75" customHeight="1">
      <c r="A12407" s="7">
        <v>582.0</v>
      </c>
      <c r="B12407" s="9" t="s">
        <v>17417</v>
      </c>
      <c r="C12407" s="9" t="s">
        <v>715</v>
      </c>
      <c r="D12407" s="9" t="s">
        <v>101</v>
      </c>
      <c r="E12407" s="6" t="s">
        <v>11213</v>
      </c>
      <c r="F12407" s="9" t="s">
        <v>18896</v>
      </c>
    </row>
    <row r="12408" ht="33.75" customHeight="1">
      <c r="A12408" s="7">
        <v>582.0</v>
      </c>
      <c r="B12408" s="9" t="s">
        <v>17417</v>
      </c>
      <c r="C12408" s="9" t="s">
        <v>715</v>
      </c>
      <c r="D12408" s="9" t="s">
        <v>105</v>
      </c>
      <c r="E12408" s="6" t="s">
        <v>11211</v>
      </c>
      <c r="F12408" s="9" t="s">
        <v>18896</v>
      </c>
    </row>
    <row r="12409" ht="33.75" customHeight="1">
      <c r="A12409" s="7">
        <v>582.0</v>
      </c>
      <c r="B12409" s="9" t="s">
        <v>17417</v>
      </c>
      <c r="C12409" s="9" t="s">
        <v>715</v>
      </c>
      <c r="D12409" s="9" t="s">
        <v>107</v>
      </c>
      <c r="E12409" s="6" t="s">
        <v>11213</v>
      </c>
      <c r="F12409" s="9" t="s">
        <v>18896</v>
      </c>
    </row>
    <row r="12410" ht="33.75" customHeight="1">
      <c r="A12410" s="7">
        <v>582.0</v>
      </c>
      <c r="B12410" s="9" t="s">
        <v>17417</v>
      </c>
      <c r="C12410" s="9" t="s">
        <v>715</v>
      </c>
      <c r="D12410" s="9" t="s">
        <v>109</v>
      </c>
      <c r="E12410" s="6" t="s">
        <v>11211</v>
      </c>
      <c r="F12410" s="9" t="s">
        <v>18896</v>
      </c>
    </row>
    <row r="12411" ht="33.75" customHeight="1">
      <c r="A12411" s="7">
        <v>582.0</v>
      </c>
      <c r="B12411" s="9" t="s">
        <v>17417</v>
      </c>
      <c r="C12411" s="9" t="s">
        <v>715</v>
      </c>
      <c r="D12411" s="9" t="s">
        <v>637</v>
      </c>
      <c r="E12411" s="6" t="s">
        <v>11214</v>
      </c>
      <c r="F12411" s="9" t="s">
        <v>18896</v>
      </c>
    </row>
    <row r="12412" ht="33.75" customHeight="1">
      <c r="A12412" s="7">
        <v>582.0</v>
      </c>
      <c r="B12412" s="9" t="s">
        <v>17417</v>
      </c>
      <c r="C12412" s="9" t="s">
        <v>715</v>
      </c>
      <c r="D12412" s="9" t="s">
        <v>642</v>
      </c>
      <c r="E12412" s="6" t="s">
        <v>11215</v>
      </c>
      <c r="F12412" s="9" t="s">
        <v>18896</v>
      </c>
    </row>
    <row r="12413" ht="33.75" customHeight="1">
      <c r="A12413" s="7">
        <v>582.0</v>
      </c>
      <c r="B12413" s="9" t="s">
        <v>17417</v>
      </c>
      <c r="C12413" s="9" t="s">
        <v>715</v>
      </c>
      <c r="D12413" s="9" t="s">
        <v>647</v>
      </c>
      <c r="E12413" s="6" t="s">
        <v>11216</v>
      </c>
      <c r="F12413" s="9" t="s">
        <v>18896</v>
      </c>
    </row>
    <row r="12414" ht="33.75" customHeight="1">
      <c r="A12414" s="7">
        <v>582.0</v>
      </c>
      <c r="B12414" s="9" t="s">
        <v>17417</v>
      </c>
      <c r="C12414" s="9" t="s">
        <v>715</v>
      </c>
      <c r="D12414" s="9" t="s">
        <v>652</v>
      </c>
      <c r="E12414" s="6" t="s">
        <v>11218</v>
      </c>
      <c r="F12414" s="9" t="s">
        <v>18896</v>
      </c>
    </row>
    <row r="12415" ht="33.75" customHeight="1">
      <c r="A12415" s="7">
        <v>582.0</v>
      </c>
      <c r="B12415" s="9" t="s">
        <v>17417</v>
      </c>
      <c r="C12415" s="9" t="s">
        <v>715</v>
      </c>
      <c r="D12415" s="9" t="s">
        <v>114</v>
      </c>
      <c r="E12415" s="6" t="s">
        <v>11219</v>
      </c>
      <c r="F12415" s="9" t="s">
        <v>18896</v>
      </c>
    </row>
    <row r="12416" ht="33.75" customHeight="1">
      <c r="A12416" s="7">
        <v>582.0</v>
      </c>
      <c r="B12416" s="9" t="s">
        <v>17417</v>
      </c>
      <c r="C12416" s="9" t="s">
        <v>715</v>
      </c>
      <c r="D12416" s="9" t="s">
        <v>117</v>
      </c>
      <c r="E12416" s="6" t="s">
        <v>11220</v>
      </c>
      <c r="F12416" s="9" t="s">
        <v>18896</v>
      </c>
    </row>
    <row r="12417" ht="33.75" customHeight="1">
      <c r="A12417" s="7">
        <v>583.0</v>
      </c>
      <c r="B12417" s="9" t="s">
        <v>17429</v>
      </c>
      <c r="C12417" s="9" t="s">
        <v>884</v>
      </c>
      <c r="D12417" s="9" t="s">
        <v>93</v>
      </c>
      <c r="E12417" s="6" t="s">
        <v>11221</v>
      </c>
      <c r="F12417" s="9" t="s">
        <v>18924</v>
      </c>
      <c r="G12417" t="inlineStr" s="6">
        <is>
          <t xml:space="preserve">Snowy mountains are this Pokémon’s habitat. During an ancient ice age, they moved to southern areas. It conceals itself from enemy eyes by creating many small ice particles and hiding among them. They cool down the surrounding air and create ice particles, which they use to freeze their foes. Hot days cause its body to melt. It can be restored by refreezing it, but the process leaves its body slightly warped. This Pokémon has existed since the Ice Age. It controls particles of ice, freezes its opponents, and then shatters them with a headbutt. It sprays its enemies with grains of ice to freeze them. Most Vanillish in Alola are smaller than average. This hearty Pokémon survived the Ice Age. It’s incredibly popular in very hot regions. By drinking pure water, it grows its icy body. This Pokémon can be hard to find on days with warm, sunny weather. It blasts enemies with cold air reaching −148 degrees Fahrenheit, freezing them solid. But it spares their lives afterward—it’s a kind Pokémon.</t>
        </is>
      </c>
    </row>
    <row r="12418" ht="33.75" customHeight="1">
      <c r="A12418" s="7">
        <v>583.0</v>
      </c>
      <c r="B12418" s="9" t="s">
        <v>17429</v>
      </c>
      <c r="C12418" s="9" t="s">
        <v>884</v>
      </c>
      <c r="D12418" s="9" t="s">
        <v>95</v>
      </c>
      <c r="E12418" s="6" t="s">
        <v>11222</v>
      </c>
      <c r="F12418" s="9" t="s">
        <v>18924</v>
      </c>
    </row>
    <row r="12419" ht="33.75" customHeight="1">
      <c r="A12419" s="7">
        <v>583.0</v>
      </c>
      <c r="B12419" s="9" t="s">
        <v>17429</v>
      </c>
      <c r="C12419" s="9" t="s">
        <v>884</v>
      </c>
      <c r="D12419" s="9" t="s">
        <v>98</v>
      </c>
      <c r="E12419" s="6" t="s">
        <v>11224</v>
      </c>
      <c r="F12419" s="9" t="s">
        <v>18924</v>
      </c>
    </row>
    <row r="12420" ht="33.75" customHeight="1">
      <c r="A12420" s="7">
        <v>583.0</v>
      </c>
      <c r="B12420" s="9" t="s">
        <v>17429</v>
      </c>
      <c r="C12420" s="9" t="s">
        <v>884</v>
      </c>
      <c r="D12420" s="9" t="s">
        <v>99</v>
      </c>
      <c r="E12420" s="6" t="s">
        <v>11224</v>
      </c>
      <c r="F12420" s="9" t="s">
        <v>18924</v>
      </c>
    </row>
    <row r="12421" ht="33.75" customHeight="1">
      <c r="A12421" s="7">
        <v>583.0</v>
      </c>
      <c r="B12421" s="9" t="s">
        <v>17429</v>
      </c>
      <c r="C12421" s="9" t="s">
        <v>884</v>
      </c>
      <c r="D12421" s="9" t="s">
        <v>101</v>
      </c>
      <c r="E12421" s="6" t="s">
        <v>11224</v>
      </c>
      <c r="F12421" s="9" t="s">
        <v>18924</v>
      </c>
    </row>
    <row r="12422" ht="33.75" customHeight="1">
      <c r="A12422" s="7">
        <v>583.0</v>
      </c>
      <c r="B12422" s="9" t="s">
        <v>17429</v>
      </c>
      <c r="C12422" s="9" t="s">
        <v>884</v>
      </c>
      <c r="D12422" s="9" t="s">
        <v>105</v>
      </c>
      <c r="E12422" s="6" t="s">
        <v>11221</v>
      </c>
      <c r="F12422" s="9" t="s">
        <v>18924</v>
      </c>
    </row>
    <row r="12423" ht="33.75" customHeight="1">
      <c r="A12423" s="7">
        <v>583.0</v>
      </c>
      <c r="B12423" s="9" t="s">
        <v>17429</v>
      </c>
      <c r="C12423" s="9" t="s">
        <v>884</v>
      </c>
      <c r="D12423" s="9" t="s">
        <v>107</v>
      </c>
      <c r="E12423" s="6" t="s">
        <v>11224</v>
      </c>
      <c r="F12423" s="9" t="s">
        <v>18924</v>
      </c>
    </row>
    <row r="12424" ht="33.75" customHeight="1">
      <c r="A12424" s="7">
        <v>583.0</v>
      </c>
      <c r="B12424" s="9" t="s">
        <v>17429</v>
      </c>
      <c r="C12424" s="9" t="s">
        <v>884</v>
      </c>
      <c r="D12424" s="9" t="s">
        <v>109</v>
      </c>
      <c r="E12424" s="6" t="s">
        <v>11221</v>
      </c>
      <c r="F12424" s="9" t="s">
        <v>18924</v>
      </c>
    </row>
    <row r="12425" ht="33.75" customHeight="1">
      <c r="A12425" s="7">
        <v>583.0</v>
      </c>
      <c r="B12425" s="9" t="s">
        <v>17429</v>
      </c>
      <c r="C12425" s="9" t="s">
        <v>884</v>
      </c>
      <c r="D12425" s="9" t="s">
        <v>637</v>
      </c>
      <c r="E12425" s="6" t="s">
        <v>11226</v>
      </c>
      <c r="F12425" s="9" t="s">
        <v>18924</v>
      </c>
    </row>
    <row r="12426" ht="33.75" customHeight="1">
      <c r="A12426" s="7">
        <v>583.0</v>
      </c>
      <c r="B12426" s="9" t="s">
        <v>17429</v>
      </c>
      <c r="C12426" s="9" t="s">
        <v>884</v>
      </c>
      <c r="D12426" s="9" t="s">
        <v>642</v>
      </c>
      <c r="E12426" s="6" t="s">
        <v>11229</v>
      </c>
      <c r="F12426" s="9" t="s">
        <v>18924</v>
      </c>
    </row>
    <row r="12427" ht="33.75" customHeight="1">
      <c r="A12427" s="7">
        <v>583.0</v>
      </c>
      <c r="B12427" s="9" t="s">
        <v>17429</v>
      </c>
      <c r="C12427" s="9" t="s">
        <v>884</v>
      </c>
      <c r="D12427" s="9" t="s">
        <v>647</v>
      </c>
      <c r="E12427" s="6" t="s">
        <v>11231</v>
      </c>
      <c r="F12427" s="9" t="s">
        <v>18924</v>
      </c>
    </row>
    <row r="12428" ht="33.75" customHeight="1">
      <c r="A12428" s="7">
        <v>583.0</v>
      </c>
      <c r="B12428" s="9" t="s">
        <v>17429</v>
      </c>
      <c r="C12428" s="9" t="s">
        <v>884</v>
      </c>
      <c r="D12428" s="9" t="s">
        <v>652</v>
      </c>
      <c r="E12428" s="6" t="s">
        <v>11233</v>
      </c>
      <c r="F12428" s="9" t="s">
        <v>18924</v>
      </c>
    </row>
    <row r="12429" ht="33.75" customHeight="1">
      <c r="A12429" s="7">
        <v>583.0</v>
      </c>
      <c r="B12429" s="9" t="s">
        <v>17429</v>
      </c>
      <c r="C12429" s="9" t="s">
        <v>884</v>
      </c>
      <c r="D12429" s="9" t="s">
        <v>114</v>
      </c>
      <c r="E12429" s="6" t="s">
        <v>11234</v>
      </c>
      <c r="F12429" s="9" t="s">
        <v>18924</v>
      </c>
    </row>
    <row r="12430" ht="33.75" customHeight="1">
      <c r="A12430" s="7">
        <v>583.0</v>
      </c>
      <c r="B12430" s="9" t="s">
        <v>17429</v>
      </c>
      <c r="C12430" s="9" t="s">
        <v>884</v>
      </c>
      <c r="D12430" s="9" t="s">
        <v>117</v>
      </c>
      <c r="E12430" s="6" t="s">
        <v>11236</v>
      </c>
      <c r="F12430" s="9" t="s">
        <v>18924</v>
      </c>
    </row>
    <row r="12431" ht="33.75" customHeight="1">
      <c r="A12431" s="7">
        <v>584.0</v>
      </c>
      <c r="B12431" s="9" t="s">
        <v>17440</v>
      </c>
      <c r="C12431" s="9" t="s">
        <v>886</v>
      </c>
      <c r="D12431" s="9" t="s">
        <v>93</v>
      </c>
      <c r="E12431" s="6" t="s">
        <v>11237</v>
      </c>
      <c r="F12431" s="9" t="s">
        <v>18959</v>
      </c>
      <c r="G12431" t="inlineStr" s="6">
        <is>
          <t xml:space="preserve">Swallowing large amounts of water, they make snow clouds inside their bodies and attack their foes with violent blizzards. If both heads get angry simultaneously, this Pokémon expels a blizzard, burying everything in snow. Swallowing large amounts of water, they make snow clouds inside their bodies and, when angry, cause violent blizzards. Each of its two heads has a brain, and when they are in agreement, it attacks its enemies by exhaling a violent blizzard. Even if it loses one of its heads, it can live relatively problem-free. It makes snow clouds inside its body. It blasts blizzards from its two mouths. It can create snow anywhere, so it gets a lot of love from skiers and snowboarders. Vanilluxe is born when two Vanillish, half-melted by the day’s light, stick to each other and freeze together in the cold return of night. When its anger reaches a breaking point, this Pokémon unleashes a fierce blizzard that freezes every creature around it, be they friend or foe. People believe this Pokémon formed when two Vanillish stuck together. Its body temperature is roughly 21 degrees Fahrenheit.</t>
        </is>
      </c>
    </row>
    <row r="12432" ht="33.75" customHeight="1">
      <c r="A12432" s="7">
        <v>584.0</v>
      </c>
      <c r="B12432" s="9" t="s">
        <v>17440</v>
      </c>
      <c r="C12432" s="9" t="s">
        <v>886</v>
      </c>
      <c r="D12432" s="9" t="s">
        <v>95</v>
      </c>
      <c r="E12432" s="6" t="s">
        <v>11238</v>
      </c>
      <c r="F12432" s="9" t="s">
        <v>18959</v>
      </c>
    </row>
    <row r="12433" ht="33.75" customHeight="1">
      <c r="A12433" s="7">
        <v>584.0</v>
      </c>
      <c r="B12433" s="9" t="s">
        <v>17440</v>
      </c>
      <c r="C12433" s="9" t="s">
        <v>886</v>
      </c>
      <c r="D12433" s="9" t="s">
        <v>98</v>
      </c>
      <c r="E12433" s="6" t="s">
        <v>11240</v>
      </c>
      <c r="F12433" s="9" t="s">
        <v>18959</v>
      </c>
    </row>
    <row r="12434" ht="33.75" customHeight="1">
      <c r="A12434" s="7">
        <v>584.0</v>
      </c>
      <c r="B12434" s="9" t="s">
        <v>17440</v>
      </c>
      <c r="C12434" s="9" t="s">
        <v>886</v>
      </c>
      <c r="D12434" s="9" t="s">
        <v>99</v>
      </c>
      <c r="E12434" s="6" t="s">
        <v>11240</v>
      </c>
      <c r="F12434" s="9" t="s">
        <v>18959</v>
      </c>
    </row>
    <row r="12435" ht="33.75" customHeight="1">
      <c r="A12435" s="7">
        <v>584.0</v>
      </c>
      <c r="B12435" s="9" t="s">
        <v>17440</v>
      </c>
      <c r="C12435" s="9" t="s">
        <v>886</v>
      </c>
      <c r="D12435" s="9" t="s">
        <v>101</v>
      </c>
      <c r="E12435" s="6" t="s">
        <v>11238</v>
      </c>
      <c r="F12435" s="9" t="s">
        <v>18959</v>
      </c>
    </row>
    <row r="12436" ht="33.75" customHeight="1">
      <c r="A12436" s="7">
        <v>584.0</v>
      </c>
      <c r="B12436" s="9" t="s">
        <v>17440</v>
      </c>
      <c r="C12436" s="9" t="s">
        <v>886</v>
      </c>
      <c r="D12436" s="9" t="s">
        <v>105</v>
      </c>
      <c r="E12436" s="6" t="s">
        <v>11240</v>
      </c>
      <c r="F12436" s="9" t="s">
        <v>18959</v>
      </c>
    </row>
    <row r="12437" ht="33.75" customHeight="1">
      <c r="A12437" s="7">
        <v>584.0</v>
      </c>
      <c r="B12437" s="9" t="s">
        <v>17440</v>
      </c>
      <c r="C12437" s="9" t="s">
        <v>886</v>
      </c>
      <c r="D12437" s="9" t="s">
        <v>107</v>
      </c>
      <c r="E12437" s="6" t="s">
        <v>11238</v>
      </c>
      <c r="F12437" s="9" t="s">
        <v>18959</v>
      </c>
    </row>
    <row r="12438" ht="33.75" customHeight="1">
      <c r="A12438" s="7">
        <v>584.0</v>
      </c>
      <c r="B12438" s="9" t="s">
        <v>17440</v>
      </c>
      <c r="C12438" s="9" t="s">
        <v>886</v>
      </c>
      <c r="D12438" s="9" t="s">
        <v>109</v>
      </c>
      <c r="E12438" s="6" t="s">
        <v>11240</v>
      </c>
      <c r="F12438" s="9" t="s">
        <v>18959</v>
      </c>
    </row>
    <row r="12439" ht="33.75" customHeight="1">
      <c r="A12439" s="7">
        <v>584.0</v>
      </c>
      <c r="B12439" s="9" t="s">
        <v>17440</v>
      </c>
      <c r="C12439" s="9" t="s">
        <v>886</v>
      </c>
      <c r="D12439" s="9" t="s">
        <v>637</v>
      </c>
      <c r="E12439" s="6" t="s">
        <v>11241</v>
      </c>
      <c r="F12439" s="9" t="s">
        <v>18959</v>
      </c>
    </row>
    <row r="12440" ht="33.75" customHeight="1">
      <c r="A12440" s="7">
        <v>584.0</v>
      </c>
      <c r="B12440" s="9" t="s">
        <v>17440</v>
      </c>
      <c r="C12440" s="9" t="s">
        <v>886</v>
      </c>
      <c r="D12440" s="9" t="s">
        <v>642</v>
      </c>
      <c r="E12440" s="6" t="s">
        <v>11242</v>
      </c>
      <c r="F12440" s="9" t="s">
        <v>18959</v>
      </c>
    </row>
    <row r="12441" ht="33.75" customHeight="1">
      <c r="A12441" s="7">
        <v>584.0</v>
      </c>
      <c r="B12441" s="9" t="s">
        <v>17440</v>
      </c>
      <c r="C12441" s="9" t="s">
        <v>886</v>
      </c>
      <c r="D12441" s="9" t="s">
        <v>647</v>
      </c>
      <c r="E12441" s="6" t="s">
        <v>11243</v>
      </c>
      <c r="F12441" s="9" t="s">
        <v>18959</v>
      </c>
    </row>
    <row r="12442" ht="33.75" customHeight="1">
      <c r="A12442" s="7">
        <v>584.0</v>
      </c>
      <c r="B12442" s="9" t="s">
        <v>17440</v>
      </c>
      <c r="C12442" s="9" t="s">
        <v>886</v>
      </c>
      <c r="D12442" s="9" t="s">
        <v>652</v>
      </c>
      <c r="E12442" s="6" t="s">
        <v>11244</v>
      </c>
      <c r="F12442" s="9" t="s">
        <v>18959</v>
      </c>
    </row>
    <row r="12443" ht="33.75" customHeight="1">
      <c r="A12443" s="7">
        <v>584.0</v>
      </c>
      <c r="B12443" s="9" t="s">
        <v>17440</v>
      </c>
      <c r="C12443" s="9" t="s">
        <v>886</v>
      </c>
      <c r="D12443" s="9" t="s">
        <v>114</v>
      </c>
      <c r="E12443" s="6" t="s">
        <v>11246</v>
      </c>
      <c r="F12443" s="9" t="s">
        <v>18959</v>
      </c>
    </row>
    <row r="12444" ht="33.75" customHeight="1">
      <c r="A12444" s="7">
        <v>584.0</v>
      </c>
      <c r="B12444" s="9" t="s">
        <v>17440</v>
      </c>
      <c r="C12444" s="9" t="s">
        <v>886</v>
      </c>
      <c r="D12444" s="9" t="s">
        <v>117</v>
      </c>
      <c r="E12444" s="6" t="s">
        <v>11248</v>
      </c>
      <c r="F12444" s="9" t="s">
        <v>18959</v>
      </c>
    </row>
    <row r="12445" ht="33.75" customHeight="1">
      <c r="A12445" s="7">
        <v>585.0</v>
      </c>
      <c r="B12445" s="9" t="s">
        <v>17452</v>
      </c>
      <c r="C12445" s="9" t="s">
        <v>888</v>
      </c>
      <c r="D12445" s="9" t="s">
        <v>93</v>
      </c>
      <c r="E12445" s="6" t="s">
        <v>11249</v>
      </c>
      <c r="F12445" s="9" t="s">
        <v>18986</v>
      </c>
      <c r="G12445" t="inlineStr" s="6">
        <is>
          <t xml:space="preserve">The color and scent of their fur changes to match the mountain grass. When they sense hostility, they hide in the grass. The turning of the seasons changes the color and scent of this Pokémon’s fur. People use it to mark the seasons. Their coloring changes according to the seasons and can be slightly affected by the temperature and humidity as well.</t>
        </is>
      </c>
    </row>
    <row r="12446" ht="33.75" customHeight="1">
      <c r="A12446" s="7">
        <v>585.0</v>
      </c>
      <c r="B12446" s="9" t="s">
        <v>17452</v>
      </c>
      <c r="C12446" s="9" t="s">
        <v>888</v>
      </c>
      <c r="D12446" s="9" t="s">
        <v>95</v>
      </c>
      <c r="E12446" s="6" t="s">
        <v>11251</v>
      </c>
      <c r="F12446" s="9" t="s">
        <v>18986</v>
      </c>
    </row>
    <row r="12447" ht="33.75" customHeight="1">
      <c r="A12447" s="7">
        <v>585.0</v>
      </c>
      <c r="B12447" s="9" t="s">
        <v>17452</v>
      </c>
      <c r="C12447" s="9" t="s">
        <v>888</v>
      </c>
      <c r="D12447" s="9" t="s">
        <v>98</v>
      </c>
      <c r="E12447" s="6" t="s">
        <v>11252</v>
      </c>
      <c r="F12447" s="9" t="s">
        <v>18986</v>
      </c>
    </row>
    <row r="12448" ht="33.75" customHeight="1">
      <c r="A12448" s="7">
        <v>585.0</v>
      </c>
      <c r="B12448" s="9" t="s">
        <v>17452</v>
      </c>
      <c r="C12448" s="9" t="s">
        <v>888</v>
      </c>
      <c r="D12448" s="9" t="s">
        <v>99</v>
      </c>
      <c r="E12448" s="6" t="s">
        <v>11252</v>
      </c>
      <c r="F12448" s="9" t="s">
        <v>18986</v>
      </c>
    </row>
    <row r="12449" ht="33.75" customHeight="1">
      <c r="A12449" s="7">
        <v>585.0</v>
      </c>
      <c r="B12449" s="9" t="s">
        <v>17452</v>
      </c>
      <c r="C12449" s="9" t="s">
        <v>888</v>
      </c>
      <c r="D12449" s="9" t="s">
        <v>101</v>
      </c>
      <c r="E12449" s="6" t="s">
        <v>11252</v>
      </c>
      <c r="F12449" s="9" t="s">
        <v>18986</v>
      </c>
    </row>
    <row r="12450" ht="33.75" customHeight="1">
      <c r="A12450" s="7">
        <v>585.0</v>
      </c>
      <c r="B12450" s="9" t="s">
        <v>17452</v>
      </c>
      <c r="C12450" s="9" t="s">
        <v>888</v>
      </c>
      <c r="D12450" s="9" t="s">
        <v>105</v>
      </c>
      <c r="E12450" s="6" t="s">
        <v>11251</v>
      </c>
      <c r="F12450" s="9" t="s">
        <v>18986</v>
      </c>
    </row>
    <row r="12451" ht="33.75" customHeight="1">
      <c r="A12451" s="7">
        <v>585.0</v>
      </c>
      <c r="B12451" s="9" t="s">
        <v>17452</v>
      </c>
      <c r="C12451" s="9" t="s">
        <v>888</v>
      </c>
      <c r="D12451" s="9" t="s">
        <v>107</v>
      </c>
      <c r="E12451" s="6" t="s">
        <v>11252</v>
      </c>
      <c r="F12451" s="9" t="s">
        <v>18986</v>
      </c>
    </row>
    <row r="12452" ht="33.75" customHeight="1">
      <c r="A12452" s="7">
        <v>585.0</v>
      </c>
      <c r="B12452" s="9" t="s">
        <v>17452</v>
      </c>
      <c r="C12452" s="9" t="s">
        <v>888</v>
      </c>
      <c r="D12452" s="9" t="s">
        <v>109</v>
      </c>
      <c r="E12452" s="6" t="s">
        <v>11251</v>
      </c>
      <c r="F12452" s="9" t="s">
        <v>18986</v>
      </c>
    </row>
    <row r="12453" ht="33.75" customHeight="1">
      <c r="A12453" s="7">
        <v>586.0</v>
      </c>
      <c r="B12453" s="9" t="s">
        <v>17458</v>
      </c>
      <c r="C12453" s="9" t="s">
        <v>888</v>
      </c>
      <c r="D12453" s="9" t="s">
        <v>93</v>
      </c>
      <c r="E12453" s="6" t="s">
        <v>11253</v>
      </c>
      <c r="F12453" s="9" t="s">
        <v>19006</v>
      </c>
      <c r="G12453" t="inlineStr" s="6">
        <is>
          <t xml:space="preserve">They migrate according to the seasons. People can tell the season by looking at Sawsbuck’s horns. The plants growing on its horns change according to the season. The leaders of the herd possess magnificent horns. They migrate according to the seasons, so some people call Sawsbuck the harbingers of spring.</t>
        </is>
      </c>
    </row>
    <row r="12454" ht="33.75" customHeight="1">
      <c r="A12454" s="7">
        <v>586.0</v>
      </c>
      <c r="B12454" s="9" t="s">
        <v>17458</v>
      </c>
      <c r="C12454" s="9" t="s">
        <v>888</v>
      </c>
      <c r="D12454" s="9" t="s">
        <v>95</v>
      </c>
      <c r="E12454" s="6" t="s">
        <v>11254</v>
      </c>
      <c r="F12454" s="9" t="s">
        <v>19006</v>
      </c>
    </row>
    <row r="12455" ht="33.75" customHeight="1">
      <c r="A12455" s="7">
        <v>586.0</v>
      </c>
      <c r="B12455" s="9" t="s">
        <v>17458</v>
      </c>
      <c r="C12455" s="9" t="s">
        <v>888</v>
      </c>
      <c r="D12455" s="9" t="s">
        <v>98</v>
      </c>
      <c r="E12455" s="6" t="s">
        <v>11255</v>
      </c>
      <c r="F12455" s="9" t="s">
        <v>19006</v>
      </c>
    </row>
    <row r="12456" ht="33.75" customHeight="1">
      <c r="A12456" s="7">
        <v>586.0</v>
      </c>
      <c r="B12456" s="9" t="s">
        <v>17458</v>
      </c>
      <c r="C12456" s="9" t="s">
        <v>888</v>
      </c>
      <c r="D12456" s="9" t="s">
        <v>99</v>
      </c>
      <c r="E12456" s="6" t="s">
        <v>11255</v>
      </c>
      <c r="F12456" s="9" t="s">
        <v>19006</v>
      </c>
    </row>
    <row r="12457" ht="33.75" customHeight="1">
      <c r="A12457" s="7">
        <v>586.0</v>
      </c>
      <c r="B12457" s="9" t="s">
        <v>17458</v>
      </c>
      <c r="C12457" s="9" t="s">
        <v>888</v>
      </c>
      <c r="D12457" s="9" t="s">
        <v>101</v>
      </c>
      <c r="E12457" s="6" t="s">
        <v>11253</v>
      </c>
      <c r="F12457" s="9" t="s">
        <v>19006</v>
      </c>
    </row>
    <row r="12458" ht="33.75" customHeight="1">
      <c r="A12458" s="7">
        <v>586.0</v>
      </c>
      <c r="B12458" s="9" t="s">
        <v>17458</v>
      </c>
      <c r="C12458" s="9" t="s">
        <v>888</v>
      </c>
      <c r="D12458" s="9" t="s">
        <v>105</v>
      </c>
      <c r="E12458" s="6" t="s">
        <v>11255</v>
      </c>
      <c r="F12458" s="9" t="s">
        <v>19006</v>
      </c>
    </row>
    <row r="12459" ht="33.75" customHeight="1">
      <c r="A12459" s="7">
        <v>586.0</v>
      </c>
      <c r="B12459" s="9" t="s">
        <v>17458</v>
      </c>
      <c r="C12459" s="9" t="s">
        <v>888</v>
      </c>
      <c r="D12459" s="9" t="s">
        <v>107</v>
      </c>
      <c r="E12459" s="6" t="s">
        <v>11253</v>
      </c>
      <c r="F12459" s="9" t="s">
        <v>19006</v>
      </c>
    </row>
    <row r="12460" ht="33.75" customHeight="1">
      <c r="A12460" s="7">
        <v>586.0</v>
      </c>
      <c r="B12460" s="9" t="s">
        <v>17458</v>
      </c>
      <c r="C12460" s="9" t="s">
        <v>888</v>
      </c>
      <c r="D12460" s="9" t="s">
        <v>109</v>
      </c>
      <c r="E12460" s="6" t="s">
        <v>11255</v>
      </c>
      <c r="F12460" s="9" t="s">
        <v>19006</v>
      </c>
    </row>
    <row r="12461" ht="33.75" customHeight="1">
      <c r="A12461" s="7">
        <v>587.0</v>
      </c>
      <c r="B12461" s="9" t="s">
        <v>17462</v>
      </c>
      <c r="C12461" s="9" t="s">
        <v>889</v>
      </c>
      <c r="D12461" s="9" t="s">
        <v>93</v>
      </c>
      <c r="E12461" s="6" t="s">
        <v>11256</v>
      </c>
      <c r="F12461" s="9" t="s">
        <v>19020</v>
      </c>
      <c r="G12461" t="inlineStr" s="6">
        <is>
          <t xml:space="preserve">The energy made in Emolga's cheeks’ electric pouches is stored inside its membrane and released while it is gliding. They live on treetops and glide using the inside of a cape-like membrane while discharging electricity. It glides on its outstretched membrane while shocking foes with the electricity stored in the pouches on its cheeks. It glides using its cape-like membrane. Electrical energy scatters from it, shocking its friends and foes alike. It grills berries and bug Pokémon with electric shocks and makes a meal of them. It usually nests in the holes gouged in trees by Pikipek. They store up electricity to fly through the air. When thunder cracks at night, sometimes there are almost enough of them to blot out the sky. As it flies, it scatters electricity around, so bird Pokémon keep their distance. That’s why Emolga can keep all its food to itself. As Emolga flutters through the air, it crackles with electricity. This Pokémon is cute, but it can cause a lot of trouble. This Pokémon absolutely loves sweet berries. Sometimes it stuffs its cheeks full of so much food that it can’t fly properly.</t>
        </is>
      </c>
    </row>
    <row r="12462" ht="33.75" customHeight="1">
      <c r="A12462" s="7">
        <v>587.0</v>
      </c>
      <c r="B12462" s="9" t="s">
        <v>17462</v>
      </c>
      <c r="C12462" s="9" t="s">
        <v>889</v>
      </c>
      <c r="D12462" s="9" t="s">
        <v>95</v>
      </c>
      <c r="E12462" s="6" t="s">
        <v>11257</v>
      </c>
      <c r="F12462" s="9" t="s">
        <v>19020</v>
      </c>
    </row>
    <row r="12463" ht="33.75" customHeight="1">
      <c r="A12463" s="7">
        <v>587.0</v>
      </c>
      <c r="B12463" s="9" t="s">
        <v>17462</v>
      </c>
      <c r="C12463" s="9" t="s">
        <v>889</v>
      </c>
      <c r="D12463" s="9" t="s">
        <v>98</v>
      </c>
      <c r="E12463" s="6" t="s">
        <v>11258</v>
      </c>
      <c r="F12463" s="9" t="s">
        <v>19020</v>
      </c>
    </row>
    <row r="12464" ht="33.75" customHeight="1">
      <c r="A12464" s="7">
        <v>587.0</v>
      </c>
      <c r="B12464" s="9" t="s">
        <v>17462</v>
      </c>
      <c r="C12464" s="9" t="s">
        <v>889</v>
      </c>
      <c r="D12464" s="9" t="s">
        <v>99</v>
      </c>
      <c r="E12464" s="6" t="s">
        <v>11258</v>
      </c>
      <c r="F12464" s="9" t="s">
        <v>19020</v>
      </c>
    </row>
    <row r="12465" ht="33.75" customHeight="1">
      <c r="A12465" s="7">
        <v>587.0</v>
      </c>
      <c r="B12465" s="9" t="s">
        <v>17462</v>
      </c>
      <c r="C12465" s="9" t="s">
        <v>889</v>
      </c>
      <c r="D12465" s="9" t="s">
        <v>101</v>
      </c>
      <c r="E12465" s="6" t="s">
        <v>11257</v>
      </c>
      <c r="F12465" s="9" t="s">
        <v>19020</v>
      </c>
    </row>
    <row r="12466" ht="33.75" customHeight="1">
      <c r="A12466" s="7">
        <v>587.0</v>
      </c>
      <c r="B12466" s="9" t="s">
        <v>17462</v>
      </c>
      <c r="C12466" s="9" t="s">
        <v>889</v>
      </c>
      <c r="D12466" s="9" t="s">
        <v>105</v>
      </c>
      <c r="E12466" s="6" t="s">
        <v>11256</v>
      </c>
      <c r="F12466" s="9" t="s">
        <v>19020</v>
      </c>
    </row>
    <row r="12467" ht="33.75" customHeight="1">
      <c r="A12467" s="7">
        <v>587.0</v>
      </c>
      <c r="B12467" s="9" t="s">
        <v>17462</v>
      </c>
      <c r="C12467" s="9" t="s">
        <v>889</v>
      </c>
      <c r="D12467" s="9" t="s">
        <v>107</v>
      </c>
      <c r="E12467" s="6" t="s">
        <v>11257</v>
      </c>
      <c r="F12467" s="9" t="s">
        <v>19020</v>
      </c>
    </row>
    <row r="12468" ht="33.75" customHeight="1">
      <c r="A12468" s="7">
        <v>587.0</v>
      </c>
      <c r="B12468" s="9" t="s">
        <v>17462</v>
      </c>
      <c r="C12468" s="9" t="s">
        <v>889</v>
      </c>
      <c r="D12468" s="9" t="s">
        <v>109</v>
      </c>
      <c r="E12468" s="6" t="s">
        <v>11256</v>
      </c>
      <c r="F12468" s="9" t="s">
        <v>19020</v>
      </c>
    </row>
    <row r="12469" ht="33.75" customHeight="1">
      <c r="A12469" s="7">
        <v>587.0</v>
      </c>
      <c r="B12469" s="9" t="s">
        <v>17462</v>
      </c>
      <c r="C12469" s="9" t="s">
        <v>889</v>
      </c>
      <c r="D12469" s="9" t="s">
        <v>637</v>
      </c>
      <c r="E12469" s="6" t="s">
        <v>11259</v>
      </c>
      <c r="F12469" s="9" t="s">
        <v>19020</v>
      </c>
    </row>
    <row r="12470" ht="33.75" customHeight="1">
      <c r="A12470" s="7">
        <v>587.0</v>
      </c>
      <c r="B12470" s="9" t="s">
        <v>17462</v>
      </c>
      <c r="C12470" s="9" t="s">
        <v>889</v>
      </c>
      <c r="D12470" s="9" t="s">
        <v>642</v>
      </c>
      <c r="E12470" s="6" t="s">
        <v>11260</v>
      </c>
      <c r="F12470" s="9" t="s">
        <v>19020</v>
      </c>
    </row>
    <row r="12471" ht="33.75" customHeight="1">
      <c r="A12471" s="7">
        <v>587.0</v>
      </c>
      <c r="B12471" s="9" t="s">
        <v>17462</v>
      </c>
      <c r="C12471" s="9" t="s">
        <v>889</v>
      </c>
      <c r="D12471" s="9" t="s">
        <v>647</v>
      </c>
      <c r="E12471" s="6" t="s">
        <v>11261</v>
      </c>
      <c r="F12471" s="9" t="s">
        <v>19020</v>
      </c>
    </row>
    <row r="12472" ht="33.75" customHeight="1">
      <c r="A12472" s="7">
        <v>587.0</v>
      </c>
      <c r="B12472" s="9" t="s">
        <v>17462</v>
      </c>
      <c r="C12472" s="9" t="s">
        <v>889</v>
      </c>
      <c r="D12472" s="9" t="s">
        <v>652</v>
      </c>
      <c r="E12472" s="6" t="s">
        <v>11262</v>
      </c>
      <c r="F12472" s="9" t="s">
        <v>19020</v>
      </c>
    </row>
    <row r="12473" ht="33.75" customHeight="1">
      <c r="A12473" s="7">
        <v>587.0</v>
      </c>
      <c r="B12473" s="9" t="s">
        <v>17462</v>
      </c>
      <c r="C12473" s="9" t="s">
        <v>889</v>
      </c>
      <c r="D12473" s="9" t="s">
        <v>114</v>
      </c>
      <c r="E12473" s="6" t="s">
        <v>11264</v>
      </c>
      <c r="F12473" s="9" t="s">
        <v>19020</v>
      </c>
    </row>
    <row r="12474" ht="33.75" customHeight="1">
      <c r="A12474" s="7">
        <v>587.0</v>
      </c>
      <c r="B12474" s="9" t="s">
        <v>17462</v>
      </c>
      <c r="C12474" s="9" t="s">
        <v>889</v>
      </c>
      <c r="D12474" s="9" t="s">
        <v>117</v>
      </c>
      <c r="E12474" s="6" t="s">
        <v>11265</v>
      </c>
      <c r="F12474" s="9" t="s">
        <v>19020</v>
      </c>
    </row>
    <row r="12475" ht="33.75" customHeight="1">
      <c r="A12475" s="7">
        <v>588.0</v>
      </c>
      <c r="B12475" s="9" t="s">
        <v>17474</v>
      </c>
      <c r="C12475" s="9" t="s">
        <v>890</v>
      </c>
      <c r="D12475" s="9" t="s">
        <v>93</v>
      </c>
      <c r="E12475" s="6" t="s">
        <v>11266</v>
      </c>
      <c r="F12475" s="9" t="s">
        <v>19054</v>
      </c>
      <c r="G12475" t="inlineStr" s="6">
        <is>
          <t xml:space="preserve">These mysterious Pokémon evolve when they receive electrical stimulation while they are in the same place as Shelmet. When they feel threatened, they spit an acidic liquid to drive attackers away. This Pokémon targets Shelmet. For some reason they evolve when they receive electrical energy while they are attacking Shelmet. Its strange physiology reacts to electrical energy in interesting ways. The presence of a Shelmet will cause this Pokémon to evolve. It spits a liquid from its mouth to melt through Shelmet’s shell. Karrablast doesn’t eat the shell— it eats only the contents.</t>
        </is>
      </c>
    </row>
    <row r="12476" ht="33.75" customHeight="1">
      <c r="A12476" s="7">
        <v>588.0</v>
      </c>
      <c r="B12476" s="9" t="s">
        <v>17474</v>
      </c>
      <c r="C12476" s="9" t="s">
        <v>890</v>
      </c>
      <c r="D12476" s="9" t="s">
        <v>95</v>
      </c>
      <c r="E12476" s="6" t="s">
        <v>11267</v>
      </c>
      <c r="F12476" s="9" t="s">
        <v>19054</v>
      </c>
    </row>
    <row r="12477" ht="33.75" customHeight="1">
      <c r="A12477" s="7">
        <v>588.0</v>
      </c>
      <c r="B12477" s="9" t="s">
        <v>17474</v>
      </c>
      <c r="C12477" s="9" t="s">
        <v>890</v>
      </c>
      <c r="D12477" s="9" t="s">
        <v>98</v>
      </c>
      <c r="E12477" s="6" t="s">
        <v>11269</v>
      </c>
      <c r="F12477" s="9" t="s">
        <v>19054</v>
      </c>
    </row>
    <row r="12478" ht="33.75" customHeight="1">
      <c r="A12478" s="7">
        <v>588.0</v>
      </c>
      <c r="B12478" s="9" t="s">
        <v>17474</v>
      </c>
      <c r="C12478" s="9" t="s">
        <v>890</v>
      </c>
      <c r="D12478" s="9" t="s">
        <v>99</v>
      </c>
      <c r="E12478" s="6" t="s">
        <v>11269</v>
      </c>
      <c r="F12478" s="9" t="s">
        <v>19054</v>
      </c>
    </row>
    <row r="12479" ht="33.75" customHeight="1">
      <c r="A12479" s="7">
        <v>588.0</v>
      </c>
      <c r="B12479" s="9" t="s">
        <v>17474</v>
      </c>
      <c r="C12479" s="9" t="s">
        <v>890</v>
      </c>
      <c r="D12479" s="9" t="s">
        <v>101</v>
      </c>
      <c r="E12479" s="6" t="s">
        <v>11266</v>
      </c>
      <c r="F12479" s="9" t="s">
        <v>19054</v>
      </c>
    </row>
    <row r="12480" ht="33.75" customHeight="1">
      <c r="A12480" s="7">
        <v>588.0</v>
      </c>
      <c r="B12480" s="9" t="s">
        <v>17474</v>
      </c>
      <c r="C12480" s="9" t="s">
        <v>890</v>
      </c>
      <c r="D12480" s="9" t="s">
        <v>105</v>
      </c>
      <c r="E12480" s="6" t="s">
        <v>11269</v>
      </c>
      <c r="F12480" s="9" t="s">
        <v>19054</v>
      </c>
    </row>
    <row r="12481" ht="33.75" customHeight="1">
      <c r="A12481" s="7">
        <v>588.0</v>
      </c>
      <c r="B12481" s="9" t="s">
        <v>17474</v>
      </c>
      <c r="C12481" s="9" t="s">
        <v>890</v>
      </c>
      <c r="D12481" s="9" t="s">
        <v>107</v>
      </c>
      <c r="E12481" s="6" t="s">
        <v>11266</v>
      </c>
      <c r="F12481" s="9" t="s">
        <v>19054</v>
      </c>
    </row>
    <row r="12482" ht="33.75" customHeight="1">
      <c r="A12482" s="7">
        <v>588.0</v>
      </c>
      <c r="B12482" s="9" t="s">
        <v>17474</v>
      </c>
      <c r="C12482" s="9" t="s">
        <v>890</v>
      </c>
      <c r="D12482" s="9" t="s">
        <v>109</v>
      </c>
      <c r="E12482" s="6" t="s">
        <v>11269</v>
      </c>
      <c r="F12482" s="9" t="s">
        <v>19054</v>
      </c>
    </row>
    <row r="12483" ht="33.75" customHeight="1">
      <c r="A12483" s="7">
        <v>588.0</v>
      </c>
      <c r="B12483" s="9" t="s">
        <v>17474</v>
      </c>
      <c r="C12483" s="9" t="s">
        <v>890</v>
      </c>
      <c r="D12483" s="9" t="s">
        <v>114</v>
      </c>
      <c r="E12483" s="6" t="s">
        <v>11270</v>
      </c>
      <c r="F12483" s="9" t="s">
        <v>19054</v>
      </c>
    </row>
    <row r="12484" ht="33.75" customHeight="1">
      <c r="A12484" s="7">
        <v>588.0</v>
      </c>
      <c r="B12484" s="9" t="s">
        <v>17474</v>
      </c>
      <c r="C12484" s="9" t="s">
        <v>890</v>
      </c>
      <c r="D12484" s="9" t="s">
        <v>117</v>
      </c>
      <c r="E12484" s="6" t="s">
        <v>11272</v>
      </c>
      <c r="F12484" s="9" t="s">
        <v>19054</v>
      </c>
    </row>
    <row r="12485" ht="33.75" customHeight="1">
      <c r="A12485" s="7">
        <v>589.0</v>
      </c>
      <c r="B12485" s="9" t="s">
        <v>17481</v>
      </c>
      <c r="C12485" s="9" t="s">
        <v>891</v>
      </c>
      <c r="D12485" s="9" t="s">
        <v>93</v>
      </c>
      <c r="E12485" s="6" t="s">
        <v>11273</v>
      </c>
      <c r="F12485" s="9" t="s">
        <v>19074</v>
      </c>
      <c r="G12485" t="inlineStr" s="6">
        <is>
          <t xml:space="preserve">They fly around at high speed, striking with their pointed spears. Even when in trouble, they face opponents bravely. These Pokémon evolve by wearing the shell covering of a Shelmet. The steel armor protects their whole body. Wearing the shell covering they stole from Shelmet, they defend themselves and attack with two lances. They use shells they’ve stolen from Shelmet to arm and protect themselves. They’re very popular Pokémon in the Galar region. It charges its enemies, lances at the ready. An image of one of its duels is captured in a famous painting of Escavalier clashing with Sirfetch’d.</t>
        </is>
      </c>
    </row>
    <row r="12486" ht="33.75" customHeight="1">
      <c r="A12486" s="7">
        <v>589.0</v>
      </c>
      <c r="B12486" s="9" t="s">
        <v>17481</v>
      </c>
      <c r="C12486" s="9" t="s">
        <v>891</v>
      </c>
      <c r="D12486" s="9" t="s">
        <v>95</v>
      </c>
      <c r="E12486" s="6" t="s">
        <v>11275</v>
      </c>
      <c r="F12486" s="9" t="s">
        <v>19074</v>
      </c>
    </row>
    <row r="12487" ht="33.75" customHeight="1">
      <c r="A12487" s="7">
        <v>589.0</v>
      </c>
      <c r="B12487" s="9" t="s">
        <v>17481</v>
      </c>
      <c r="C12487" s="9" t="s">
        <v>891</v>
      </c>
      <c r="D12487" s="9" t="s">
        <v>98</v>
      </c>
      <c r="E12487" s="6" t="s">
        <v>11277</v>
      </c>
      <c r="F12487" s="9" t="s">
        <v>19074</v>
      </c>
    </row>
    <row r="12488" ht="33.75" customHeight="1">
      <c r="A12488" s="7">
        <v>589.0</v>
      </c>
      <c r="B12488" s="9" t="s">
        <v>17481</v>
      </c>
      <c r="C12488" s="9" t="s">
        <v>891</v>
      </c>
      <c r="D12488" s="9" t="s">
        <v>99</v>
      </c>
      <c r="E12488" s="6" t="s">
        <v>11277</v>
      </c>
      <c r="F12488" s="9" t="s">
        <v>19074</v>
      </c>
    </row>
    <row r="12489" ht="33.75" customHeight="1">
      <c r="A12489" s="7">
        <v>589.0</v>
      </c>
      <c r="B12489" s="9" t="s">
        <v>17481</v>
      </c>
      <c r="C12489" s="9" t="s">
        <v>891</v>
      </c>
      <c r="D12489" s="9" t="s">
        <v>101</v>
      </c>
      <c r="E12489" s="6" t="s">
        <v>11277</v>
      </c>
      <c r="F12489" s="9" t="s">
        <v>19074</v>
      </c>
    </row>
    <row r="12490" ht="33.75" customHeight="1">
      <c r="A12490" s="7">
        <v>589.0</v>
      </c>
      <c r="B12490" s="9" t="s">
        <v>17481</v>
      </c>
      <c r="C12490" s="9" t="s">
        <v>891</v>
      </c>
      <c r="D12490" s="9" t="s">
        <v>105</v>
      </c>
      <c r="E12490" s="6" t="s">
        <v>11275</v>
      </c>
      <c r="F12490" s="9" t="s">
        <v>19074</v>
      </c>
    </row>
    <row r="12491" ht="33.75" customHeight="1">
      <c r="A12491" s="7">
        <v>589.0</v>
      </c>
      <c r="B12491" s="9" t="s">
        <v>17481</v>
      </c>
      <c r="C12491" s="9" t="s">
        <v>891</v>
      </c>
      <c r="D12491" s="9" t="s">
        <v>107</v>
      </c>
      <c r="E12491" s="6" t="s">
        <v>11277</v>
      </c>
      <c r="F12491" s="9" t="s">
        <v>19074</v>
      </c>
    </row>
    <row r="12492" ht="33.75" customHeight="1">
      <c r="A12492" s="7">
        <v>589.0</v>
      </c>
      <c r="B12492" s="9" t="s">
        <v>17481</v>
      </c>
      <c r="C12492" s="9" t="s">
        <v>891</v>
      </c>
      <c r="D12492" s="9" t="s">
        <v>109</v>
      </c>
      <c r="E12492" s="6" t="s">
        <v>11275</v>
      </c>
      <c r="F12492" s="9" t="s">
        <v>19074</v>
      </c>
    </row>
    <row r="12493" ht="33.75" customHeight="1">
      <c r="A12493" s="7">
        <v>589.0</v>
      </c>
      <c r="B12493" s="9" t="s">
        <v>17481</v>
      </c>
      <c r="C12493" s="9" t="s">
        <v>891</v>
      </c>
      <c r="D12493" s="9" t="s">
        <v>114</v>
      </c>
      <c r="E12493" s="6" t="s">
        <v>11280</v>
      </c>
      <c r="F12493" s="9" t="s">
        <v>19074</v>
      </c>
    </row>
    <row r="12494" ht="33.75" customHeight="1">
      <c r="A12494" s="7">
        <v>589.0</v>
      </c>
      <c r="B12494" s="9" t="s">
        <v>17481</v>
      </c>
      <c r="C12494" s="9" t="s">
        <v>891</v>
      </c>
      <c r="D12494" s="9" t="s">
        <v>117</v>
      </c>
      <c r="E12494" s="6" t="s">
        <v>11281</v>
      </c>
      <c r="F12494" s="9" t="s">
        <v>19074</v>
      </c>
    </row>
    <row r="12495" ht="33.75" customHeight="1">
      <c r="A12495" s="7">
        <v>590.0</v>
      </c>
      <c r="B12495" s="9" t="s">
        <v>17488</v>
      </c>
      <c r="C12495" s="9" t="s">
        <v>122</v>
      </c>
      <c r="D12495" s="9" t="s">
        <v>93</v>
      </c>
      <c r="E12495" s="6" t="s">
        <v>11283</v>
      </c>
      <c r="F12495" s="9" t="s">
        <v>19097</v>
      </c>
      <c r="G12495" t="inlineStr" s="6">
        <is>
          <t xml:space="preserve">It lures people in with Foongus's Poké Ball pattern, then releases poison spores. Why it resembles a Poké Ball is unknown. For some reason, this Pokémon resembles a Poké Ball. They release poison spores to repel those who try to catch them. It lures Pokémon with its pattern that looks just like a Poké Ball then releases poison spores. It lures Pokémon with its pattern that looks just like a Poké Ball, then releases poison spores. No one knows what the Poké Ball–like pattern on Foongus means or why Foongus has it. The spores released from this Pokémon’s hands are highly poisonous, but when thoroughly dried, the spores can be used as stomach medicine.</t>
        </is>
      </c>
    </row>
    <row r="12496" ht="33.75" customHeight="1">
      <c r="A12496" s="7">
        <v>590.0</v>
      </c>
      <c r="B12496" s="9" t="s">
        <v>17488</v>
      </c>
      <c r="C12496" s="9" t="s">
        <v>122</v>
      </c>
      <c r="D12496" s="9" t="s">
        <v>95</v>
      </c>
      <c r="E12496" s="6" t="s">
        <v>11284</v>
      </c>
      <c r="F12496" s="9" t="s">
        <v>19097</v>
      </c>
    </row>
    <row r="12497" ht="33.75" customHeight="1">
      <c r="A12497" s="7">
        <v>590.0</v>
      </c>
      <c r="B12497" s="9" t="s">
        <v>17488</v>
      </c>
      <c r="C12497" s="9" t="s">
        <v>122</v>
      </c>
      <c r="D12497" s="9" t="s">
        <v>98</v>
      </c>
      <c r="E12497" s="6" t="s">
        <v>11286</v>
      </c>
      <c r="F12497" s="9" t="s">
        <v>19097</v>
      </c>
    </row>
    <row r="12498" ht="33.75" customHeight="1">
      <c r="A12498" s="7">
        <v>590.0</v>
      </c>
      <c r="B12498" s="9" t="s">
        <v>17488</v>
      </c>
      <c r="C12498" s="9" t="s">
        <v>122</v>
      </c>
      <c r="D12498" s="9" t="s">
        <v>99</v>
      </c>
      <c r="E12498" s="6" t="s">
        <v>11286</v>
      </c>
      <c r="F12498" s="9" t="s">
        <v>19097</v>
      </c>
    </row>
    <row r="12499" ht="33.75" customHeight="1">
      <c r="A12499" s="7">
        <v>590.0</v>
      </c>
      <c r="B12499" s="9" t="s">
        <v>17488</v>
      </c>
      <c r="C12499" s="9" t="s">
        <v>122</v>
      </c>
      <c r="D12499" s="9" t="s">
        <v>101</v>
      </c>
      <c r="E12499" s="6" t="s">
        <v>11283</v>
      </c>
      <c r="F12499" s="9" t="s">
        <v>19097</v>
      </c>
    </row>
    <row r="12500" ht="33.75" customHeight="1">
      <c r="A12500" s="7">
        <v>590.0</v>
      </c>
      <c r="B12500" s="9" t="s">
        <v>17488</v>
      </c>
      <c r="C12500" s="9" t="s">
        <v>122</v>
      </c>
      <c r="D12500" s="9" t="s">
        <v>105</v>
      </c>
      <c r="E12500" s="6" t="s">
        <v>11287</v>
      </c>
      <c r="F12500" s="9" t="s">
        <v>19097</v>
      </c>
    </row>
    <row r="12501" ht="33.75" customHeight="1">
      <c r="A12501" s="7">
        <v>590.0</v>
      </c>
      <c r="B12501" s="9" t="s">
        <v>17488</v>
      </c>
      <c r="C12501" s="9" t="s">
        <v>122</v>
      </c>
      <c r="D12501" s="9" t="s">
        <v>107</v>
      </c>
      <c r="E12501" s="6" t="s">
        <v>11283</v>
      </c>
      <c r="F12501" s="9" t="s">
        <v>19097</v>
      </c>
    </row>
    <row r="12502" ht="33.75" customHeight="1">
      <c r="A12502" s="7">
        <v>590.0</v>
      </c>
      <c r="B12502" s="9" t="s">
        <v>17488</v>
      </c>
      <c r="C12502" s="9" t="s">
        <v>122</v>
      </c>
      <c r="D12502" s="9" t="s">
        <v>109</v>
      </c>
      <c r="E12502" s="6" t="s">
        <v>11287</v>
      </c>
      <c r="F12502" s="9" t="s">
        <v>19097</v>
      </c>
    </row>
    <row r="12503" ht="33.75" customHeight="1">
      <c r="A12503" s="7">
        <v>590.0</v>
      </c>
      <c r="B12503" s="9" t="s">
        <v>17488</v>
      </c>
      <c r="C12503" s="9" t="s">
        <v>122</v>
      </c>
      <c r="D12503" s="9" t="s">
        <v>114</v>
      </c>
      <c r="E12503" s="6" t="s">
        <v>11289</v>
      </c>
      <c r="F12503" s="9" t="s">
        <v>19097</v>
      </c>
    </row>
    <row r="12504" ht="33.75" customHeight="1">
      <c r="A12504" s="7">
        <v>590.0</v>
      </c>
      <c r="B12504" s="9" t="s">
        <v>17488</v>
      </c>
      <c r="C12504" s="9" t="s">
        <v>122</v>
      </c>
      <c r="D12504" s="9" t="s">
        <v>117</v>
      </c>
      <c r="E12504" s="6" t="s">
        <v>11290</v>
      </c>
      <c r="F12504" s="9" t="s">
        <v>19097</v>
      </c>
    </row>
    <row r="12505" ht="33.75" customHeight="1">
      <c r="A12505" s="7">
        <v>591.0</v>
      </c>
      <c r="B12505" s="9" t="s">
        <v>17495</v>
      </c>
      <c r="C12505" s="9" t="s">
        <v>122</v>
      </c>
      <c r="D12505" s="9" t="s">
        <v>93</v>
      </c>
      <c r="E12505" s="6" t="s">
        <v>11291</v>
      </c>
      <c r="F12505" s="9" t="s">
        <v>19123</v>
      </c>
      <c r="G12505" t="inlineStr" s="6">
        <is>
          <t xml:space="preserve">It lures prey close by dancing and waving Amoonguss's arm caps, which resemble Poké Balls, in a swaying motion. They show off their Poké Ball caps to lure prey, but very few Pokémon are fooled by this. It moves the caps on both arms and does a dance to lure prey. It prefers damp places. This Pokémon puffs poisonous spores at its foes. If the spores aren’t washed off quickly, they’ll grow into mushrooms wherever they land. Amoonguss generally doesn’t move much. It tends to stand still near Poké Balls that have been dropped on the ground.</t>
        </is>
      </c>
    </row>
    <row r="12506" ht="33.75" customHeight="1">
      <c r="A12506" s="7">
        <v>591.0</v>
      </c>
      <c r="B12506" s="9" t="s">
        <v>17495</v>
      </c>
      <c r="C12506" s="9" t="s">
        <v>122</v>
      </c>
      <c r="D12506" s="9" t="s">
        <v>95</v>
      </c>
      <c r="E12506" s="6" t="s">
        <v>11293</v>
      </c>
      <c r="F12506" s="9" t="s">
        <v>19123</v>
      </c>
    </row>
    <row r="12507" ht="33.75" customHeight="1">
      <c r="A12507" s="7">
        <v>591.0</v>
      </c>
      <c r="B12507" s="9" t="s">
        <v>17495</v>
      </c>
      <c r="C12507" s="9" t="s">
        <v>122</v>
      </c>
      <c r="D12507" s="9" t="s">
        <v>98</v>
      </c>
      <c r="E12507" s="6" t="s">
        <v>11294</v>
      </c>
      <c r="F12507" s="9" t="s">
        <v>19123</v>
      </c>
    </row>
    <row r="12508" ht="33.75" customHeight="1">
      <c r="A12508" s="7">
        <v>591.0</v>
      </c>
      <c r="B12508" s="9" t="s">
        <v>17495</v>
      </c>
      <c r="C12508" s="9" t="s">
        <v>122</v>
      </c>
      <c r="D12508" s="9" t="s">
        <v>99</v>
      </c>
      <c r="E12508" s="6" t="s">
        <v>11294</v>
      </c>
      <c r="F12508" s="9" t="s">
        <v>19123</v>
      </c>
    </row>
    <row r="12509" ht="33.75" customHeight="1">
      <c r="A12509" s="7">
        <v>591.0</v>
      </c>
      <c r="B12509" s="9" t="s">
        <v>17495</v>
      </c>
      <c r="C12509" s="9" t="s">
        <v>122</v>
      </c>
      <c r="D12509" s="9" t="s">
        <v>101</v>
      </c>
      <c r="E12509" s="6" t="s">
        <v>11293</v>
      </c>
      <c r="F12509" s="9" t="s">
        <v>19123</v>
      </c>
    </row>
    <row r="12510" ht="33.75" customHeight="1">
      <c r="A12510" s="7">
        <v>591.0</v>
      </c>
      <c r="B12510" s="9" t="s">
        <v>17495</v>
      </c>
      <c r="C12510" s="9" t="s">
        <v>122</v>
      </c>
      <c r="D12510" s="9" t="s">
        <v>105</v>
      </c>
      <c r="E12510" s="6" t="s">
        <v>11291</v>
      </c>
      <c r="F12510" s="9" t="s">
        <v>19123</v>
      </c>
    </row>
    <row r="12511" ht="33.75" customHeight="1">
      <c r="A12511" s="7">
        <v>591.0</v>
      </c>
      <c r="B12511" s="9" t="s">
        <v>17495</v>
      </c>
      <c r="C12511" s="9" t="s">
        <v>122</v>
      </c>
      <c r="D12511" s="9" t="s">
        <v>107</v>
      </c>
      <c r="E12511" s="6" t="s">
        <v>11293</v>
      </c>
      <c r="F12511" s="9" t="s">
        <v>19123</v>
      </c>
    </row>
    <row r="12512" ht="33.75" customHeight="1">
      <c r="A12512" s="7">
        <v>591.0</v>
      </c>
      <c r="B12512" s="9" t="s">
        <v>17495</v>
      </c>
      <c r="C12512" s="9" t="s">
        <v>122</v>
      </c>
      <c r="D12512" s="9" t="s">
        <v>109</v>
      </c>
      <c r="E12512" s="6" t="s">
        <v>11291</v>
      </c>
      <c r="F12512" s="9" t="s">
        <v>19123</v>
      </c>
    </row>
    <row r="12513" ht="33.75" customHeight="1">
      <c r="A12513" s="7">
        <v>591.0</v>
      </c>
      <c r="B12513" s="9" t="s">
        <v>17495</v>
      </c>
      <c r="C12513" s="9" t="s">
        <v>122</v>
      </c>
      <c r="D12513" s="9" t="s">
        <v>114</v>
      </c>
      <c r="E12513" s="6" t="s">
        <v>11295</v>
      </c>
      <c r="F12513" s="9" t="s">
        <v>19123</v>
      </c>
    </row>
    <row r="12514" ht="33.75" customHeight="1">
      <c r="A12514" s="7">
        <v>591.0</v>
      </c>
      <c r="B12514" s="9" t="s">
        <v>17495</v>
      </c>
      <c r="C12514" s="9" t="s">
        <v>122</v>
      </c>
      <c r="D12514" s="9" t="s">
        <v>117</v>
      </c>
      <c r="E12514" s="6" t="s">
        <v>11296</v>
      </c>
      <c r="F12514" s="9" t="s">
        <v>19123</v>
      </c>
    </row>
    <row r="12515" ht="33.75" customHeight="1">
      <c r="A12515" s="7">
        <v>592.0</v>
      </c>
      <c r="B12515" s="9" t="s">
        <v>17502</v>
      </c>
      <c r="C12515" s="9" t="s">
        <v>893</v>
      </c>
      <c r="D12515" s="9" t="s">
        <v>93</v>
      </c>
      <c r="E12515" s="6" t="s">
        <v>11297</v>
      </c>
      <c r="F12515" s="9" t="s">
        <v>19142</v>
      </c>
      <c r="G12515" t="inlineStr" s="6">
        <is>
          <t xml:space="preserve">With Frillish's thin, veil-like arms wrapped around the body of its opponent, it sinks to the ocean floor. They paralyze prey with poison, then drag them down to their lairs, five miles below the surface. If its veil-like arms stun and wrap a foe, that foe will be dragged miles below the surface, never to return. It wraps its veillike arms and legs around prey swimming by and drags them down to the depths of the ocean. Using the invisible poison spikes on its veillike arms and legs, it paralyzes its enemies and causes them to drown. It envelops its prey in its veillike arms and draws it down to the deeps, five miles below the ocean’s surface. Legend has it that the residents of a sunken ancient city changed into these Pokémon.</t>
        </is>
      </c>
    </row>
    <row r="12516" ht="33.75" customHeight="1">
      <c r="A12516" s="7">
        <v>592.0</v>
      </c>
      <c r="B12516" s="9" t="s">
        <v>17502</v>
      </c>
      <c r="C12516" s="9" t="s">
        <v>893</v>
      </c>
      <c r="D12516" s="9" t="s">
        <v>95</v>
      </c>
      <c r="E12516" s="6" t="s">
        <v>11298</v>
      </c>
      <c r="F12516" s="9" t="s">
        <v>19142</v>
      </c>
    </row>
    <row r="12517" ht="33.75" customHeight="1">
      <c r="A12517" s="7">
        <v>592.0</v>
      </c>
      <c r="B12517" s="9" t="s">
        <v>17502</v>
      </c>
      <c r="C12517" s="9" t="s">
        <v>893</v>
      </c>
      <c r="D12517" s="9" t="s">
        <v>98</v>
      </c>
      <c r="E12517" s="6" t="s">
        <v>11300</v>
      </c>
      <c r="F12517" s="9" t="s">
        <v>19142</v>
      </c>
    </row>
    <row r="12518" ht="33.75" customHeight="1">
      <c r="A12518" s="7">
        <v>592.0</v>
      </c>
      <c r="B12518" s="9" t="s">
        <v>17502</v>
      </c>
      <c r="C12518" s="9" t="s">
        <v>893</v>
      </c>
      <c r="D12518" s="9" t="s">
        <v>99</v>
      </c>
      <c r="E12518" s="6" t="s">
        <v>11300</v>
      </c>
      <c r="F12518" s="9" t="s">
        <v>19142</v>
      </c>
    </row>
    <row r="12519" ht="33.75" customHeight="1">
      <c r="A12519" s="7">
        <v>592.0</v>
      </c>
      <c r="B12519" s="9" t="s">
        <v>17502</v>
      </c>
      <c r="C12519" s="9" t="s">
        <v>893</v>
      </c>
      <c r="D12519" s="9" t="s">
        <v>101</v>
      </c>
      <c r="E12519" s="6" t="s">
        <v>11298</v>
      </c>
      <c r="F12519" s="9" t="s">
        <v>19142</v>
      </c>
    </row>
    <row r="12520" ht="33.75" customHeight="1">
      <c r="A12520" s="7">
        <v>592.0</v>
      </c>
      <c r="B12520" s="9" t="s">
        <v>17502</v>
      </c>
      <c r="C12520" s="9" t="s">
        <v>893</v>
      </c>
      <c r="D12520" s="9" t="s">
        <v>105</v>
      </c>
      <c r="E12520" s="6" t="s">
        <v>11300</v>
      </c>
      <c r="F12520" s="9" t="s">
        <v>19142</v>
      </c>
    </row>
    <row r="12521" ht="33.75" customHeight="1">
      <c r="A12521" s="7">
        <v>592.0</v>
      </c>
      <c r="B12521" s="9" t="s">
        <v>17502</v>
      </c>
      <c r="C12521" s="9" t="s">
        <v>893</v>
      </c>
      <c r="D12521" s="9" t="s">
        <v>107</v>
      </c>
      <c r="E12521" s="6" t="s">
        <v>11298</v>
      </c>
      <c r="F12521" s="9" t="s">
        <v>19142</v>
      </c>
    </row>
    <row r="12522" ht="33.75" customHeight="1">
      <c r="A12522" s="7">
        <v>592.0</v>
      </c>
      <c r="B12522" s="9" t="s">
        <v>17502</v>
      </c>
      <c r="C12522" s="9" t="s">
        <v>893</v>
      </c>
      <c r="D12522" s="9" t="s">
        <v>109</v>
      </c>
      <c r="E12522" s="6" t="s">
        <v>11300</v>
      </c>
      <c r="F12522" s="9" t="s">
        <v>19142</v>
      </c>
    </row>
    <row r="12523" ht="33.75" customHeight="1">
      <c r="A12523" s="7">
        <v>592.0</v>
      </c>
      <c r="B12523" s="9" t="s">
        <v>17502</v>
      </c>
      <c r="C12523" s="9" t="s">
        <v>893</v>
      </c>
      <c r="D12523" s="9" t="s">
        <v>647</v>
      </c>
      <c r="E12523" s="6" t="s">
        <v>11301</v>
      </c>
      <c r="F12523" s="9" t="s">
        <v>19142</v>
      </c>
    </row>
    <row r="12524" ht="33.75" customHeight="1">
      <c r="A12524" s="7">
        <v>592.0</v>
      </c>
      <c r="B12524" s="9" t="s">
        <v>17502</v>
      </c>
      <c r="C12524" s="9" t="s">
        <v>893</v>
      </c>
      <c r="D12524" s="9" t="s">
        <v>652</v>
      </c>
      <c r="E12524" s="6" t="s">
        <v>11302</v>
      </c>
      <c r="F12524" s="9" t="s">
        <v>19142</v>
      </c>
    </row>
    <row r="12525" ht="33.75" customHeight="1">
      <c r="A12525" s="7">
        <v>592.0</v>
      </c>
      <c r="B12525" s="9" t="s">
        <v>17502</v>
      </c>
      <c r="C12525" s="9" t="s">
        <v>893</v>
      </c>
      <c r="D12525" s="9" t="s">
        <v>114</v>
      </c>
      <c r="E12525" s="6" t="s">
        <v>11303</v>
      </c>
      <c r="F12525" s="9" t="s">
        <v>19142</v>
      </c>
    </row>
    <row r="12526" ht="33.75" customHeight="1">
      <c r="A12526" s="7">
        <v>592.0</v>
      </c>
      <c r="B12526" s="9" t="s">
        <v>17502</v>
      </c>
      <c r="C12526" s="9" t="s">
        <v>893</v>
      </c>
      <c r="D12526" s="9" t="s">
        <v>117</v>
      </c>
      <c r="E12526" s="6" t="s">
        <v>11304</v>
      </c>
      <c r="F12526" s="9" t="s">
        <v>19142</v>
      </c>
    </row>
    <row r="12527" ht="33.75" customHeight="1">
      <c r="A12527" s="7">
        <v>593.0</v>
      </c>
      <c r="B12527" s="9" t="s">
        <v>17512</v>
      </c>
      <c r="C12527" s="9" t="s">
        <v>893</v>
      </c>
      <c r="D12527" s="9" t="s">
        <v>93</v>
      </c>
      <c r="E12527" s="6" t="s">
        <v>11306</v>
      </c>
      <c r="F12527" s="9" t="s">
        <v>19170</v>
      </c>
      <c r="G12527" t="inlineStr" s="6">
        <is>
          <t xml:space="preserve">The fate of the ships and crew that wander into Jellicent’s habitat: all sunken, all lost, all vanished. They propel themselves by expelling absorbed seawater from their bodies. Their favorite food is life energy. Its body is mostly seawater. It’s said there’s a castle of ships Jellicent have sunk on the seafloor. Jellicent is always hanging around fancy cruise ships and tankers, hoping to drag away its prey. Fishermen are terrified of Jellicent. It’s rumored to drag them into the sea and steal their lives away. Most of this Pokémon’s body composition is identical to sea water. It makes sunken ships its lair. Whenever a full moon hangs in the night sky, schools of Jellicent gather near the surface of the sea, waiting for their prey to appear.</t>
        </is>
      </c>
    </row>
    <row r="12528" ht="33.75" customHeight="1">
      <c r="A12528" s="7">
        <v>593.0</v>
      </c>
      <c r="B12528" s="9" t="s">
        <v>17512</v>
      </c>
      <c r="C12528" s="9" t="s">
        <v>893</v>
      </c>
      <c r="D12528" s="9" t="s">
        <v>95</v>
      </c>
      <c r="E12528" s="6" t="s">
        <v>11307</v>
      </c>
      <c r="F12528" s="9" t="s">
        <v>19170</v>
      </c>
    </row>
    <row r="12529" ht="33.75" customHeight="1">
      <c r="A12529" s="7">
        <v>593.0</v>
      </c>
      <c r="B12529" s="9" t="s">
        <v>17512</v>
      </c>
      <c r="C12529" s="9" t="s">
        <v>893</v>
      </c>
      <c r="D12529" s="9" t="s">
        <v>98</v>
      </c>
      <c r="E12529" s="6" t="s">
        <v>11308</v>
      </c>
      <c r="F12529" s="9" t="s">
        <v>19170</v>
      </c>
    </row>
    <row r="12530" ht="33.75" customHeight="1">
      <c r="A12530" s="7">
        <v>593.0</v>
      </c>
      <c r="B12530" s="9" t="s">
        <v>17512</v>
      </c>
      <c r="C12530" s="9" t="s">
        <v>893</v>
      </c>
      <c r="D12530" s="9" t="s">
        <v>99</v>
      </c>
      <c r="E12530" s="6" t="s">
        <v>11308</v>
      </c>
      <c r="F12530" s="9" t="s">
        <v>19170</v>
      </c>
    </row>
    <row r="12531" ht="33.75" customHeight="1">
      <c r="A12531" s="7">
        <v>593.0</v>
      </c>
      <c r="B12531" s="9" t="s">
        <v>17512</v>
      </c>
      <c r="C12531" s="9" t="s">
        <v>893</v>
      </c>
      <c r="D12531" s="9" t="s">
        <v>101</v>
      </c>
      <c r="E12531" s="6" t="s">
        <v>11308</v>
      </c>
      <c r="F12531" s="9" t="s">
        <v>19170</v>
      </c>
    </row>
    <row r="12532" ht="33.75" customHeight="1">
      <c r="A12532" s="7">
        <v>593.0</v>
      </c>
      <c r="B12532" s="9" t="s">
        <v>17512</v>
      </c>
      <c r="C12532" s="9" t="s">
        <v>893</v>
      </c>
      <c r="D12532" s="9" t="s">
        <v>105</v>
      </c>
      <c r="E12532" s="6" t="s">
        <v>11306</v>
      </c>
      <c r="F12532" s="9" t="s">
        <v>19170</v>
      </c>
    </row>
    <row r="12533" ht="33.75" customHeight="1">
      <c r="A12533" s="7">
        <v>593.0</v>
      </c>
      <c r="B12533" s="9" t="s">
        <v>17512</v>
      </c>
      <c r="C12533" s="9" t="s">
        <v>893</v>
      </c>
      <c r="D12533" s="9" t="s">
        <v>107</v>
      </c>
      <c r="E12533" s="6" t="s">
        <v>11308</v>
      </c>
      <c r="F12533" s="9" t="s">
        <v>19170</v>
      </c>
    </row>
    <row r="12534" ht="33.75" customHeight="1">
      <c r="A12534" s="7">
        <v>593.0</v>
      </c>
      <c r="B12534" s="9" t="s">
        <v>17512</v>
      </c>
      <c r="C12534" s="9" t="s">
        <v>893</v>
      </c>
      <c r="D12534" s="9" t="s">
        <v>109</v>
      </c>
      <c r="E12534" s="6" t="s">
        <v>11306</v>
      </c>
      <c r="F12534" s="9" t="s">
        <v>19170</v>
      </c>
    </row>
    <row r="12535" ht="33.75" customHeight="1">
      <c r="A12535" s="7">
        <v>593.0</v>
      </c>
      <c r="B12535" s="9" t="s">
        <v>17512</v>
      </c>
      <c r="C12535" s="9" t="s">
        <v>893</v>
      </c>
      <c r="D12535" s="9" t="s">
        <v>647</v>
      </c>
      <c r="E12535" s="6" t="s">
        <v>11309</v>
      </c>
      <c r="F12535" s="9" t="s">
        <v>19170</v>
      </c>
    </row>
    <row r="12536" ht="33.75" customHeight="1">
      <c r="A12536" s="7">
        <v>593.0</v>
      </c>
      <c r="B12536" s="9" t="s">
        <v>17512</v>
      </c>
      <c r="C12536" s="9" t="s">
        <v>893</v>
      </c>
      <c r="D12536" s="9" t="s">
        <v>652</v>
      </c>
      <c r="E12536" s="6" t="s">
        <v>11310</v>
      </c>
      <c r="F12536" s="9" t="s">
        <v>19170</v>
      </c>
    </row>
    <row r="12537" ht="33.75" customHeight="1">
      <c r="A12537" s="7">
        <v>593.0</v>
      </c>
      <c r="B12537" s="9" t="s">
        <v>17512</v>
      </c>
      <c r="C12537" s="9" t="s">
        <v>893</v>
      </c>
      <c r="D12537" s="9" t="s">
        <v>114</v>
      </c>
      <c r="E12537" s="6" t="s">
        <v>11311</v>
      </c>
      <c r="F12537" s="9" t="s">
        <v>19170</v>
      </c>
    </row>
    <row r="12538" ht="33.75" customHeight="1">
      <c r="A12538" s="7">
        <v>593.0</v>
      </c>
      <c r="B12538" s="9" t="s">
        <v>17512</v>
      </c>
      <c r="C12538" s="9" t="s">
        <v>893</v>
      </c>
      <c r="D12538" s="9" t="s">
        <v>117</v>
      </c>
      <c r="E12538" s="6" t="s">
        <v>11312</v>
      </c>
      <c r="F12538" s="9" t="s">
        <v>19170</v>
      </c>
    </row>
    <row r="12539" ht="33.75" customHeight="1">
      <c r="A12539" s="7">
        <v>594.0</v>
      </c>
      <c r="B12539" s="9" t="s">
        <v>17520</v>
      </c>
      <c r="C12539" s="9" t="s">
        <v>895</v>
      </c>
      <c r="D12539" s="9" t="s">
        <v>93</v>
      </c>
      <c r="E12539" s="6" t="s">
        <v>11314</v>
      </c>
      <c r="F12539" s="9" t="s">
        <v>19196</v>
      </c>
      <c r="G12539" t="inlineStr" s="6">
        <is>
          <t xml:space="preserve">The special membrane enveloping Alomomola has the ability to heal wounds. Floating in the open sea is how they live. When they find a wounded Pokémon, they embrace it and bring it to shore. It gently holds injured and weak Pokémon in its fins. Its special membrane heals their wounds. It uses its special mucus to close the wounds of injured Pokémon. The reason for this behavior remains unknown. They float upon the open sea. Many water Pokémon gather in the area around Alomomola. Fishermen take them along on long voyages, because if you have an Alomomola with you, there’ll be no need for a doctor or medicine. The reason it helps Pokémon in a weakened condition is that any Pokémon coming after them may also attack Alomomola.</t>
        </is>
      </c>
    </row>
    <row r="12540" ht="33.75" customHeight="1">
      <c r="A12540" s="7">
        <v>594.0</v>
      </c>
      <c r="B12540" s="9" t="s">
        <v>17520</v>
      </c>
      <c r="C12540" s="9" t="s">
        <v>895</v>
      </c>
      <c r="D12540" s="9" t="s">
        <v>95</v>
      </c>
      <c r="E12540" s="6" t="s">
        <v>11315</v>
      </c>
      <c r="F12540" s="9" t="s">
        <v>19196</v>
      </c>
    </row>
    <row r="12541" ht="33.75" customHeight="1">
      <c r="A12541" s="7">
        <v>594.0</v>
      </c>
      <c r="B12541" s="9" t="s">
        <v>17520</v>
      </c>
      <c r="C12541" s="9" t="s">
        <v>895</v>
      </c>
      <c r="D12541" s="9" t="s">
        <v>98</v>
      </c>
      <c r="E12541" s="6" t="s">
        <v>11316</v>
      </c>
      <c r="F12541" s="9" t="s">
        <v>19196</v>
      </c>
    </row>
    <row r="12542" ht="33.75" customHeight="1">
      <c r="A12542" s="7">
        <v>594.0</v>
      </c>
      <c r="B12542" s="9" t="s">
        <v>17520</v>
      </c>
      <c r="C12542" s="9" t="s">
        <v>895</v>
      </c>
      <c r="D12542" s="9" t="s">
        <v>99</v>
      </c>
      <c r="E12542" s="6" t="s">
        <v>11316</v>
      </c>
      <c r="F12542" s="9" t="s">
        <v>19196</v>
      </c>
    </row>
    <row r="12543" ht="33.75" customHeight="1">
      <c r="A12543" s="7">
        <v>594.0</v>
      </c>
      <c r="B12543" s="9" t="s">
        <v>17520</v>
      </c>
      <c r="C12543" s="9" t="s">
        <v>895</v>
      </c>
      <c r="D12543" s="9" t="s">
        <v>101</v>
      </c>
      <c r="E12543" s="6" t="s">
        <v>11315</v>
      </c>
      <c r="F12543" s="9" t="s">
        <v>19196</v>
      </c>
    </row>
    <row r="12544" ht="33.75" customHeight="1">
      <c r="A12544" s="7">
        <v>594.0</v>
      </c>
      <c r="B12544" s="9" t="s">
        <v>17520</v>
      </c>
      <c r="C12544" s="9" t="s">
        <v>895</v>
      </c>
      <c r="D12544" s="9" t="s">
        <v>105</v>
      </c>
      <c r="E12544" s="6" t="s">
        <v>11316</v>
      </c>
      <c r="F12544" s="9" t="s">
        <v>19196</v>
      </c>
    </row>
    <row r="12545" ht="33.75" customHeight="1">
      <c r="A12545" s="7">
        <v>594.0</v>
      </c>
      <c r="B12545" s="9" t="s">
        <v>17520</v>
      </c>
      <c r="C12545" s="9" t="s">
        <v>895</v>
      </c>
      <c r="D12545" s="9" t="s">
        <v>107</v>
      </c>
      <c r="E12545" s="6" t="s">
        <v>11315</v>
      </c>
      <c r="F12545" s="9" t="s">
        <v>19196</v>
      </c>
    </row>
    <row r="12546" ht="33.75" customHeight="1">
      <c r="A12546" s="7">
        <v>594.0</v>
      </c>
      <c r="B12546" s="9" t="s">
        <v>17520</v>
      </c>
      <c r="C12546" s="9" t="s">
        <v>895</v>
      </c>
      <c r="D12546" s="9" t="s">
        <v>109</v>
      </c>
      <c r="E12546" s="6" t="s">
        <v>11316</v>
      </c>
      <c r="F12546" s="9" t="s">
        <v>19196</v>
      </c>
    </row>
    <row r="12547" ht="33.75" customHeight="1">
      <c r="A12547" s="7">
        <v>594.0</v>
      </c>
      <c r="B12547" s="9" t="s">
        <v>17520</v>
      </c>
      <c r="C12547" s="9" t="s">
        <v>895</v>
      </c>
      <c r="D12547" s="9" t="s">
        <v>637</v>
      </c>
      <c r="E12547" s="6" t="s">
        <v>11318</v>
      </c>
      <c r="F12547" s="9" t="s">
        <v>19196</v>
      </c>
    </row>
    <row r="12548" ht="33.75" customHeight="1">
      <c r="A12548" s="7">
        <v>594.0</v>
      </c>
      <c r="B12548" s="9" t="s">
        <v>17520</v>
      </c>
      <c r="C12548" s="9" t="s">
        <v>895</v>
      </c>
      <c r="D12548" s="9" t="s">
        <v>642</v>
      </c>
      <c r="E12548" s="6" t="s">
        <v>11319</v>
      </c>
      <c r="F12548" s="9" t="s">
        <v>19196</v>
      </c>
    </row>
    <row r="12549" ht="33.75" customHeight="1">
      <c r="A12549" s="7">
        <v>594.0</v>
      </c>
      <c r="B12549" s="9" t="s">
        <v>17520</v>
      </c>
      <c r="C12549" s="9" t="s">
        <v>895</v>
      </c>
      <c r="D12549" s="9" t="s">
        <v>647</v>
      </c>
      <c r="E12549" s="6" t="s">
        <v>11320</v>
      </c>
      <c r="F12549" s="9" t="s">
        <v>19196</v>
      </c>
    </row>
    <row r="12550" ht="33.75" customHeight="1">
      <c r="A12550" s="7">
        <v>594.0</v>
      </c>
      <c r="B12550" s="9" t="s">
        <v>17520</v>
      </c>
      <c r="C12550" s="9" t="s">
        <v>895</v>
      </c>
      <c r="D12550" s="9" t="s">
        <v>652</v>
      </c>
      <c r="E12550" s="6" t="s">
        <v>11321</v>
      </c>
      <c r="F12550" s="9" t="s">
        <v>19196</v>
      </c>
    </row>
    <row r="12551" ht="33.75" customHeight="1">
      <c r="A12551" s="7">
        <v>595.0</v>
      </c>
      <c r="B12551" s="9" t="s">
        <v>17530</v>
      </c>
      <c r="C12551" s="9" t="s">
        <v>897</v>
      </c>
      <c r="D12551" s="9" t="s">
        <v>93</v>
      </c>
      <c r="E12551" s="6" t="s">
        <v>11322</v>
      </c>
      <c r="F12551" s="9" t="s">
        <v>19219</v>
      </c>
      <c r="G12551" t="inlineStr" s="6">
        <is>
          <t xml:space="preserve">Joltik that live in cities have learned a technique for sucking electricity from the outlets in houses. They attach themselves to large-bodied Pokémon and absorb static electricity, which they store in an electric pouch. Since it can’t generate its own electricity, it sticks onto large-bodied Pokémon and absorbs static electricity. Joltik can be found clinging to other Pokémon. It’s soaking up static electricity because it can’t produce a charge on its own. Joltik latch on to other Pokémon and suck out static electricity. They’re often found sticking to Yamper’s hindquarters.</t>
        </is>
      </c>
    </row>
    <row r="12552" ht="33.75" customHeight="1">
      <c r="A12552" s="7">
        <v>595.0</v>
      </c>
      <c r="B12552" s="9" t="s">
        <v>17530</v>
      </c>
      <c r="C12552" s="9" t="s">
        <v>897</v>
      </c>
      <c r="D12552" s="9" t="s">
        <v>95</v>
      </c>
      <c r="E12552" s="6" t="s">
        <v>11324</v>
      </c>
      <c r="F12552" s="9" t="s">
        <v>19219</v>
      </c>
    </row>
    <row r="12553" ht="33.75" customHeight="1">
      <c r="A12553" s="7">
        <v>595.0</v>
      </c>
      <c r="B12553" s="9" t="s">
        <v>17530</v>
      </c>
      <c r="C12553" s="9" t="s">
        <v>897</v>
      </c>
      <c r="D12553" s="9" t="s">
        <v>98</v>
      </c>
      <c r="E12553" s="6" t="s">
        <v>11325</v>
      </c>
      <c r="F12553" s="9" t="s">
        <v>19219</v>
      </c>
    </row>
    <row r="12554" ht="33.75" customHeight="1">
      <c r="A12554" s="7">
        <v>595.0</v>
      </c>
      <c r="B12554" s="9" t="s">
        <v>17530</v>
      </c>
      <c r="C12554" s="9" t="s">
        <v>897</v>
      </c>
      <c r="D12554" s="9" t="s">
        <v>99</v>
      </c>
      <c r="E12554" s="6" t="s">
        <v>11325</v>
      </c>
      <c r="F12554" s="9" t="s">
        <v>19219</v>
      </c>
    </row>
    <row r="12555" ht="33.75" customHeight="1">
      <c r="A12555" s="7">
        <v>595.0</v>
      </c>
      <c r="B12555" s="9" t="s">
        <v>17530</v>
      </c>
      <c r="C12555" s="9" t="s">
        <v>897</v>
      </c>
      <c r="D12555" s="9" t="s">
        <v>101</v>
      </c>
      <c r="E12555" s="6" t="s">
        <v>11325</v>
      </c>
      <c r="F12555" s="9" t="s">
        <v>19219</v>
      </c>
    </row>
    <row r="12556" ht="33.75" customHeight="1">
      <c r="A12556" s="7">
        <v>595.0</v>
      </c>
      <c r="B12556" s="9" t="s">
        <v>17530</v>
      </c>
      <c r="C12556" s="9" t="s">
        <v>897</v>
      </c>
      <c r="D12556" s="9" t="s">
        <v>105</v>
      </c>
      <c r="E12556" s="6" t="s">
        <v>11324</v>
      </c>
      <c r="F12556" s="9" t="s">
        <v>19219</v>
      </c>
    </row>
    <row r="12557" ht="33.75" customHeight="1">
      <c r="A12557" s="7">
        <v>595.0</v>
      </c>
      <c r="B12557" s="9" t="s">
        <v>17530</v>
      </c>
      <c r="C12557" s="9" t="s">
        <v>897</v>
      </c>
      <c r="D12557" s="9" t="s">
        <v>107</v>
      </c>
      <c r="E12557" s="6" t="s">
        <v>11325</v>
      </c>
      <c r="F12557" s="9" t="s">
        <v>19219</v>
      </c>
    </row>
    <row r="12558" ht="33.75" customHeight="1">
      <c r="A12558" s="7">
        <v>595.0</v>
      </c>
      <c r="B12558" s="9" t="s">
        <v>17530</v>
      </c>
      <c r="C12558" s="9" t="s">
        <v>897</v>
      </c>
      <c r="D12558" s="9" t="s">
        <v>109</v>
      </c>
      <c r="E12558" s="6" t="s">
        <v>11324</v>
      </c>
      <c r="F12558" s="9" t="s">
        <v>19219</v>
      </c>
    </row>
    <row r="12559" ht="33.75" customHeight="1">
      <c r="A12559" s="7">
        <v>595.0</v>
      </c>
      <c r="B12559" s="9" t="s">
        <v>17530</v>
      </c>
      <c r="C12559" s="9" t="s">
        <v>897</v>
      </c>
      <c r="D12559" s="9" t="s">
        <v>114</v>
      </c>
      <c r="E12559" s="6" t="s">
        <v>11327</v>
      </c>
      <c r="F12559" s="9" t="s">
        <v>19219</v>
      </c>
    </row>
    <row r="12560" ht="33.75" customHeight="1">
      <c r="A12560" s="7">
        <v>595.0</v>
      </c>
      <c r="B12560" s="9" t="s">
        <v>17530</v>
      </c>
      <c r="C12560" s="9" t="s">
        <v>897</v>
      </c>
      <c r="D12560" s="9" t="s">
        <v>117</v>
      </c>
      <c r="E12560" s="6" t="s">
        <v>11330</v>
      </c>
      <c r="F12560" s="9" t="s">
        <v>19219</v>
      </c>
    </row>
    <row r="12561" ht="33.75" customHeight="1">
      <c r="A12561" s="7">
        <v>596.0</v>
      </c>
      <c r="B12561" s="9" t="s">
        <v>17537</v>
      </c>
      <c r="C12561" s="9" t="s">
        <v>898</v>
      </c>
      <c r="D12561" s="9" t="s">
        <v>93</v>
      </c>
      <c r="E12561" s="6" t="s">
        <v>11332</v>
      </c>
      <c r="F12561" s="9" t="s">
        <v>19240</v>
      </c>
      <c r="G12561" t="inlineStr" s="6">
        <is>
          <t xml:space="preserve">When attacked, they create an electric barrier by spitting out many electrically charged threads. They employ an electrically charged web to trap their prey. While it is immobilized by shock, they leisurely consume it. It creates barriers from electrified silk that stun foes. This works as a weapon as well as a defense. It launches electrified fur from its abdomen as its means of attack. Opponents hit by the fur could be in for three full days and nights of paralysis. It lays traps of electrified threads near the nests of bird Pokémon, aiming to snare chicks that are not yet good at flying.</t>
        </is>
      </c>
    </row>
    <row r="12562" ht="33.75" customHeight="1">
      <c r="A12562" s="7">
        <v>596.0</v>
      </c>
      <c r="B12562" s="9" t="s">
        <v>17537</v>
      </c>
      <c r="C12562" s="9" t="s">
        <v>898</v>
      </c>
      <c r="D12562" s="9" t="s">
        <v>95</v>
      </c>
      <c r="E12562" s="6" t="s">
        <v>11333</v>
      </c>
      <c r="F12562" s="9" t="s">
        <v>19240</v>
      </c>
    </row>
    <row r="12563" ht="33.75" customHeight="1">
      <c r="A12563" s="7">
        <v>596.0</v>
      </c>
      <c r="B12563" s="9" t="s">
        <v>17537</v>
      </c>
      <c r="C12563" s="9" t="s">
        <v>898</v>
      </c>
      <c r="D12563" s="9" t="s">
        <v>98</v>
      </c>
      <c r="E12563" s="6" t="s">
        <v>11335</v>
      </c>
      <c r="F12563" s="9" t="s">
        <v>19240</v>
      </c>
    </row>
    <row r="12564" ht="33.75" customHeight="1">
      <c r="A12564" s="7">
        <v>596.0</v>
      </c>
      <c r="B12564" s="9" t="s">
        <v>17537</v>
      </c>
      <c r="C12564" s="9" t="s">
        <v>898</v>
      </c>
      <c r="D12564" s="9" t="s">
        <v>99</v>
      </c>
      <c r="E12564" s="6" t="s">
        <v>11335</v>
      </c>
      <c r="F12564" s="9" t="s">
        <v>19240</v>
      </c>
    </row>
    <row r="12565" ht="33.75" customHeight="1">
      <c r="A12565" s="7">
        <v>596.0</v>
      </c>
      <c r="B12565" s="9" t="s">
        <v>17537</v>
      </c>
      <c r="C12565" s="9" t="s">
        <v>898</v>
      </c>
      <c r="D12565" s="9" t="s">
        <v>101</v>
      </c>
      <c r="E12565" s="6" t="s">
        <v>11333</v>
      </c>
      <c r="F12565" s="9" t="s">
        <v>19240</v>
      </c>
    </row>
    <row r="12566" ht="33.75" customHeight="1">
      <c r="A12566" s="7">
        <v>596.0</v>
      </c>
      <c r="B12566" s="9" t="s">
        <v>17537</v>
      </c>
      <c r="C12566" s="9" t="s">
        <v>898</v>
      </c>
      <c r="D12566" s="9" t="s">
        <v>105</v>
      </c>
      <c r="E12566" s="6" t="s">
        <v>11332</v>
      </c>
      <c r="F12566" s="9" t="s">
        <v>19240</v>
      </c>
    </row>
    <row r="12567" ht="33.75" customHeight="1">
      <c r="A12567" s="7">
        <v>596.0</v>
      </c>
      <c r="B12567" s="9" t="s">
        <v>17537</v>
      </c>
      <c r="C12567" s="9" t="s">
        <v>898</v>
      </c>
      <c r="D12567" s="9" t="s">
        <v>107</v>
      </c>
      <c r="E12567" s="6" t="s">
        <v>11333</v>
      </c>
      <c r="F12567" s="9" t="s">
        <v>19240</v>
      </c>
    </row>
    <row r="12568" ht="33.75" customHeight="1">
      <c r="A12568" s="7">
        <v>596.0</v>
      </c>
      <c r="B12568" s="9" t="s">
        <v>17537</v>
      </c>
      <c r="C12568" s="9" t="s">
        <v>898</v>
      </c>
      <c r="D12568" s="9" t="s">
        <v>109</v>
      </c>
      <c r="E12568" s="6" t="s">
        <v>11332</v>
      </c>
      <c r="F12568" s="9" t="s">
        <v>19240</v>
      </c>
    </row>
    <row r="12569" ht="33.75" customHeight="1">
      <c r="A12569" s="7">
        <v>596.0</v>
      </c>
      <c r="B12569" s="9" t="s">
        <v>17537</v>
      </c>
      <c r="C12569" s="9" t="s">
        <v>898</v>
      </c>
      <c r="D12569" s="9" t="s">
        <v>114</v>
      </c>
      <c r="E12569" s="6" t="s">
        <v>11337</v>
      </c>
      <c r="F12569" s="9" t="s">
        <v>19240</v>
      </c>
    </row>
    <row r="12570" ht="33.75" customHeight="1">
      <c r="A12570" s="7">
        <v>596.0</v>
      </c>
      <c r="B12570" s="9" t="s">
        <v>17537</v>
      </c>
      <c r="C12570" s="9" t="s">
        <v>898</v>
      </c>
      <c r="D12570" s="9" t="s">
        <v>117</v>
      </c>
      <c r="E12570" s="6" t="s">
        <v>11338</v>
      </c>
      <c r="F12570" s="9" t="s">
        <v>19240</v>
      </c>
    </row>
    <row r="12571" ht="33.75" customHeight="1">
      <c r="A12571" s="7">
        <v>597.0</v>
      </c>
      <c r="B12571" s="9" t="s">
        <v>17545</v>
      </c>
      <c r="C12571" s="9" t="s">
        <v>900</v>
      </c>
      <c r="D12571" s="9" t="s">
        <v>93</v>
      </c>
      <c r="E12571" s="6" t="s">
        <v>11340</v>
      </c>
      <c r="F12571" s="9" t="s">
        <v>19253</v>
      </c>
      <c r="G12571" t="inlineStr" s="6">
        <is>
          <t xml:space="preserve">When threatened, Ferroseed attacks by shooting a barrage of spikes, which gives it a chance to escape by rolling away. They stick their spikes into cave walls and absorb the minerals they find in the rock. It absorbs the iron it finds in the rock while clinging to the ceiling. It shoots spikes when in danger. It defends itself by launching spikes, but its aim isn’t very good at first. Only after a lot of practice will it improve. Mossy caves are their preferred dwellings. Enzymes contained in mosses help Ferroseed’s spikes grow big and strong.</t>
        </is>
      </c>
    </row>
    <row r="12572" ht="33.75" customHeight="1">
      <c r="A12572" s="7">
        <v>597.0</v>
      </c>
      <c r="B12572" s="9" t="s">
        <v>17545</v>
      </c>
      <c r="C12572" s="9" t="s">
        <v>900</v>
      </c>
      <c r="D12572" s="9" t="s">
        <v>95</v>
      </c>
      <c r="E12572" s="6" t="s">
        <v>11341</v>
      </c>
      <c r="F12572" s="9" t="s">
        <v>19253</v>
      </c>
    </row>
    <row r="12573" ht="33.75" customHeight="1">
      <c r="A12573" s="7">
        <v>597.0</v>
      </c>
      <c r="B12573" s="9" t="s">
        <v>17545</v>
      </c>
      <c r="C12573" s="9" t="s">
        <v>900</v>
      </c>
      <c r="D12573" s="9" t="s">
        <v>98</v>
      </c>
      <c r="E12573" s="6" t="s">
        <v>11342</v>
      </c>
      <c r="F12573" s="9" t="s">
        <v>19253</v>
      </c>
    </row>
    <row r="12574" ht="33.75" customHeight="1">
      <c r="A12574" s="7">
        <v>597.0</v>
      </c>
      <c r="B12574" s="9" t="s">
        <v>17545</v>
      </c>
      <c r="C12574" s="9" t="s">
        <v>900</v>
      </c>
      <c r="D12574" s="9" t="s">
        <v>99</v>
      </c>
      <c r="E12574" s="6" t="s">
        <v>11342</v>
      </c>
      <c r="F12574" s="9" t="s">
        <v>19253</v>
      </c>
    </row>
    <row r="12575" ht="33.75" customHeight="1">
      <c r="A12575" s="7">
        <v>597.0</v>
      </c>
      <c r="B12575" s="9" t="s">
        <v>17545</v>
      </c>
      <c r="C12575" s="9" t="s">
        <v>900</v>
      </c>
      <c r="D12575" s="9" t="s">
        <v>101</v>
      </c>
      <c r="E12575" s="6" t="s">
        <v>11340</v>
      </c>
      <c r="F12575" s="9" t="s">
        <v>19253</v>
      </c>
    </row>
    <row r="12576" ht="33.75" customHeight="1">
      <c r="A12576" s="7">
        <v>597.0</v>
      </c>
      <c r="B12576" s="9" t="s">
        <v>17545</v>
      </c>
      <c r="C12576" s="9" t="s">
        <v>900</v>
      </c>
      <c r="D12576" s="9" t="s">
        <v>105</v>
      </c>
      <c r="E12576" s="6" t="s">
        <v>11342</v>
      </c>
      <c r="F12576" s="9" t="s">
        <v>19253</v>
      </c>
    </row>
    <row r="12577" ht="33.75" customHeight="1">
      <c r="A12577" s="7">
        <v>597.0</v>
      </c>
      <c r="B12577" s="9" t="s">
        <v>17545</v>
      </c>
      <c r="C12577" s="9" t="s">
        <v>900</v>
      </c>
      <c r="D12577" s="9" t="s">
        <v>107</v>
      </c>
      <c r="E12577" s="6" t="s">
        <v>11340</v>
      </c>
      <c r="F12577" s="9" t="s">
        <v>19253</v>
      </c>
    </row>
    <row r="12578" ht="33.75" customHeight="1">
      <c r="A12578" s="7">
        <v>597.0</v>
      </c>
      <c r="B12578" s="9" t="s">
        <v>17545</v>
      </c>
      <c r="C12578" s="9" t="s">
        <v>900</v>
      </c>
      <c r="D12578" s="9" t="s">
        <v>109</v>
      </c>
      <c r="E12578" s="6" t="s">
        <v>11342</v>
      </c>
      <c r="F12578" s="9" t="s">
        <v>19253</v>
      </c>
    </row>
    <row r="12579" ht="33.75" customHeight="1">
      <c r="A12579" s="7">
        <v>597.0</v>
      </c>
      <c r="B12579" s="9" t="s">
        <v>17545</v>
      </c>
      <c r="C12579" s="9" t="s">
        <v>900</v>
      </c>
      <c r="D12579" s="9" t="s">
        <v>114</v>
      </c>
      <c r="E12579" s="6" t="s">
        <v>11343</v>
      </c>
      <c r="F12579" s="9" t="s">
        <v>19253</v>
      </c>
    </row>
    <row r="12580" ht="33.75" customHeight="1">
      <c r="A12580" s="7">
        <v>597.0</v>
      </c>
      <c r="B12580" s="9" t="s">
        <v>17545</v>
      </c>
      <c r="C12580" s="9" t="s">
        <v>900</v>
      </c>
      <c r="D12580" s="9" t="s">
        <v>117</v>
      </c>
      <c r="E12580" s="6" t="s">
        <v>11345</v>
      </c>
      <c r="F12580" s="9" t="s">
        <v>19253</v>
      </c>
    </row>
    <row r="12581" ht="33.75" customHeight="1">
      <c r="A12581" s="7">
        <v>598.0</v>
      </c>
      <c r="B12581" s="9" t="s">
        <v>17552</v>
      </c>
      <c r="C12581" s="9" t="s">
        <v>901</v>
      </c>
      <c r="D12581" s="9" t="s">
        <v>93</v>
      </c>
      <c r="E12581" s="6" t="s">
        <v>11346</v>
      </c>
      <c r="F12581" s="9" t="s">
        <v>19264</v>
      </c>
      <c r="G12581" t="inlineStr" s="6">
        <is>
          <t xml:space="preserve">It fights by swinging around Ferrothorn's three spiky feelers. A hit from these steel spikes can reduce a boulder to rubble. They attach themselves to cave ceilings, firing steel spikes at targets passing beneath them. By swinging around its three spiky feelers and shooting spikes, it can obliterate an opponent. This Pokémon scrapes its spikes across rocks, and then uses the tips of its feelers to absorb the nutrients it finds within the stone. Its spikes are harder than steel. This Pokémon crawls across rock walls by stabbing the spikes on its feelers into the stone.</t>
        </is>
      </c>
    </row>
    <row r="12582" ht="33.75" customHeight="1">
      <c r="A12582" s="7">
        <v>598.0</v>
      </c>
      <c r="B12582" s="9" t="s">
        <v>17552</v>
      </c>
      <c r="C12582" s="9" t="s">
        <v>901</v>
      </c>
      <c r="D12582" s="9" t="s">
        <v>95</v>
      </c>
      <c r="E12582" s="6" t="s">
        <v>11347</v>
      </c>
      <c r="F12582" s="9" t="s">
        <v>19264</v>
      </c>
    </row>
    <row r="12583" ht="33.75" customHeight="1">
      <c r="A12583" s="7">
        <v>598.0</v>
      </c>
      <c r="B12583" s="9" t="s">
        <v>17552</v>
      </c>
      <c r="C12583" s="9" t="s">
        <v>901</v>
      </c>
      <c r="D12583" s="9" t="s">
        <v>98</v>
      </c>
      <c r="E12583" s="6" t="s">
        <v>11348</v>
      </c>
      <c r="F12583" s="9" t="s">
        <v>19264</v>
      </c>
    </row>
    <row r="12584" ht="33.75" customHeight="1">
      <c r="A12584" s="7">
        <v>598.0</v>
      </c>
      <c r="B12584" s="9" t="s">
        <v>17552</v>
      </c>
      <c r="C12584" s="9" t="s">
        <v>901</v>
      </c>
      <c r="D12584" s="9" t="s">
        <v>99</v>
      </c>
      <c r="E12584" s="6" t="s">
        <v>11348</v>
      </c>
      <c r="F12584" s="9" t="s">
        <v>19264</v>
      </c>
    </row>
    <row r="12585" ht="33.75" customHeight="1">
      <c r="A12585" s="7">
        <v>598.0</v>
      </c>
      <c r="B12585" s="9" t="s">
        <v>17552</v>
      </c>
      <c r="C12585" s="9" t="s">
        <v>901</v>
      </c>
      <c r="D12585" s="9" t="s">
        <v>101</v>
      </c>
      <c r="E12585" s="6" t="s">
        <v>11348</v>
      </c>
      <c r="F12585" s="9" t="s">
        <v>19264</v>
      </c>
    </row>
    <row r="12586" ht="33.75" customHeight="1">
      <c r="A12586" s="7">
        <v>598.0</v>
      </c>
      <c r="B12586" s="9" t="s">
        <v>17552</v>
      </c>
      <c r="C12586" s="9" t="s">
        <v>901</v>
      </c>
      <c r="D12586" s="9" t="s">
        <v>105</v>
      </c>
      <c r="E12586" s="6" t="s">
        <v>11347</v>
      </c>
      <c r="F12586" s="9" t="s">
        <v>19264</v>
      </c>
    </row>
    <row r="12587" ht="33.75" customHeight="1">
      <c r="A12587" s="7">
        <v>598.0</v>
      </c>
      <c r="B12587" s="9" t="s">
        <v>17552</v>
      </c>
      <c r="C12587" s="9" t="s">
        <v>901</v>
      </c>
      <c r="D12587" s="9" t="s">
        <v>107</v>
      </c>
      <c r="E12587" s="6" t="s">
        <v>11348</v>
      </c>
      <c r="F12587" s="9" t="s">
        <v>19264</v>
      </c>
    </row>
    <row r="12588" ht="33.75" customHeight="1">
      <c r="A12588" s="7">
        <v>598.0</v>
      </c>
      <c r="B12588" s="9" t="s">
        <v>17552</v>
      </c>
      <c r="C12588" s="9" t="s">
        <v>901</v>
      </c>
      <c r="D12588" s="9" t="s">
        <v>109</v>
      </c>
      <c r="E12588" s="6" t="s">
        <v>11347</v>
      </c>
      <c r="F12588" s="9" t="s">
        <v>19264</v>
      </c>
    </row>
    <row r="12589" ht="33.75" customHeight="1">
      <c r="A12589" s="7">
        <v>598.0</v>
      </c>
      <c r="B12589" s="9" t="s">
        <v>17552</v>
      </c>
      <c r="C12589" s="9" t="s">
        <v>901</v>
      </c>
      <c r="D12589" s="9" t="s">
        <v>114</v>
      </c>
      <c r="E12589" s="6" t="s">
        <v>11349</v>
      </c>
      <c r="F12589" s="9" t="s">
        <v>19264</v>
      </c>
    </row>
    <row r="12590" ht="33.75" customHeight="1">
      <c r="A12590" s="7">
        <v>598.0</v>
      </c>
      <c r="B12590" s="9" t="s">
        <v>17552</v>
      </c>
      <c r="C12590" s="9" t="s">
        <v>901</v>
      </c>
      <c r="D12590" s="9" t="s">
        <v>117</v>
      </c>
      <c r="E12590" s="6" t="s">
        <v>11350</v>
      </c>
      <c r="F12590" s="9" t="s">
        <v>19264</v>
      </c>
    </row>
    <row r="12591" ht="33.75" customHeight="1">
      <c r="A12591" s="7">
        <v>599.0</v>
      </c>
      <c r="B12591" s="9" t="s">
        <v>17560</v>
      </c>
      <c r="C12591" s="9" t="s">
        <v>903</v>
      </c>
      <c r="D12591" s="9" t="s">
        <v>93</v>
      </c>
      <c r="E12591" s="6" t="s">
        <v>11351</v>
      </c>
      <c r="F12591" s="9" t="s">
        <v>19273</v>
      </c>
      <c r="G12591" t="inlineStr" s="6">
        <is>
          <t xml:space="preserve">The two minigears that mesh together are predetermined. Each will rebound from other minigears without meshing. Interlocking two bodies and spinning around generates the energy they need to live. Two bodies comprise a fixed pair. They spin around each other to generate energy. The two minigears that compose this Pokémon are closer than twins. They mesh well only with each other. It’s suspected that Klink were the inspiration behind ancient people’s invention of the first gears.</t>
        </is>
      </c>
    </row>
    <row r="12592" ht="33.75" customHeight="1">
      <c r="A12592" s="7">
        <v>599.0</v>
      </c>
      <c r="B12592" s="9" t="s">
        <v>17560</v>
      </c>
      <c r="C12592" s="9" t="s">
        <v>903</v>
      </c>
      <c r="D12592" s="9" t="s">
        <v>95</v>
      </c>
      <c r="E12592" s="6" t="s">
        <v>11352</v>
      </c>
      <c r="F12592" s="9" t="s">
        <v>19273</v>
      </c>
    </row>
    <row r="12593" ht="33.75" customHeight="1">
      <c r="A12593" s="7">
        <v>599.0</v>
      </c>
      <c r="B12593" s="9" t="s">
        <v>17560</v>
      </c>
      <c r="C12593" s="9" t="s">
        <v>903</v>
      </c>
      <c r="D12593" s="9" t="s">
        <v>98</v>
      </c>
      <c r="E12593" s="6" t="s">
        <v>11354</v>
      </c>
      <c r="F12593" s="9" t="s">
        <v>19273</v>
      </c>
    </row>
    <row r="12594" ht="33.75" customHeight="1">
      <c r="A12594" s="7">
        <v>599.0</v>
      </c>
      <c r="B12594" s="9" t="s">
        <v>17560</v>
      </c>
      <c r="C12594" s="9" t="s">
        <v>903</v>
      </c>
      <c r="D12594" s="9" t="s">
        <v>99</v>
      </c>
      <c r="E12594" s="6" t="s">
        <v>11354</v>
      </c>
      <c r="F12594" s="9" t="s">
        <v>19273</v>
      </c>
    </row>
    <row r="12595" ht="33.75" customHeight="1">
      <c r="A12595" s="7">
        <v>599.0</v>
      </c>
      <c r="B12595" s="9" t="s">
        <v>17560</v>
      </c>
      <c r="C12595" s="9" t="s">
        <v>903</v>
      </c>
      <c r="D12595" s="9" t="s">
        <v>101</v>
      </c>
      <c r="E12595" s="6" t="s">
        <v>11352</v>
      </c>
      <c r="F12595" s="9" t="s">
        <v>19273</v>
      </c>
    </row>
    <row r="12596" ht="33.75" customHeight="1">
      <c r="A12596" s="7">
        <v>599.0</v>
      </c>
      <c r="B12596" s="9" t="s">
        <v>17560</v>
      </c>
      <c r="C12596" s="9" t="s">
        <v>903</v>
      </c>
      <c r="D12596" s="9" t="s">
        <v>105</v>
      </c>
      <c r="E12596" s="6" t="s">
        <v>11351</v>
      </c>
      <c r="F12596" s="9" t="s">
        <v>19273</v>
      </c>
    </row>
    <row r="12597" ht="33.75" customHeight="1">
      <c r="A12597" s="7">
        <v>599.0</v>
      </c>
      <c r="B12597" s="9" t="s">
        <v>17560</v>
      </c>
      <c r="C12597" s="9" t="s">
        <v>903</v>
      </c>
      <c r="D12597" s="9" t="s">
        <v>107</v>
      </c>
      <c r="E12597" s="6" t="s">
        <v>11352</v>
      </c>
      <c r="F12597" s="9" t="s">
        <v>19273</v>
      </c>
    </row>
    <row r="12598" ht="33.75" customHeight="1">
      <c r="A12598" s="7">
        <v>599.0</v>
      </c>
      <c r="B12598" s="9" t="s">
        <v>17560</v>
      </c>
      <c r="C12598" s="9" t="s">
        <v>903</v>
      </c>
      <c r="D12598" s="9" t="s">
        <v>109</v>
      </c>
      <c r="E12598" s="6" t="s">
        <v>11351</v>
      </c>
      <c r="F12598" s="9" t="s">
        <v>19273</v>
      </c>
    </row>
    <row r="12599" ht="33.75" customHeight="1">
      <c r="A12599" s="7">
        <v>599.0</v>
      </c>
      <c r="B12599" s="9" t="s">
        <v>17560</v>
      </c>
      <c r="C12599" s="9" t="s">
        <v>903</v>
      </c>
      <c r="D12599" s="9" t="s">
        <v>114</v>
      </c>
      <c r="E12599" s="6" t="s">
        <v>11355</v>
      </c>
      <c r="F12599" s="9" t="s">
        <v>19273</v>
      </c>
    </row>
    <row r="12600" ht="33.75" customHeight="1">
      <c r="A12600" s="7">
        <v>599.0</v>
      </c>
      <c r="B12600" s="9" t="s">
        <v>17560</v>
      </c>
      <c r="C12600" s="9" t="s">
        <v>903</v>
      </c>
      <c r="D12600" s="9" t="s">
        <v>117</v>
      </c>
      <c r="E12600" s="6" t="s">
        <v>11357</v>
      </c>
      <c r="F12600" s="9" t="s">
        <v>19273</v>
      </c>
    </row>
    <row r="12601" ht="33.75" customHeight="1">
      <c r="A12601" s="7">
        <v>600.0</v>
      </c>
      <c r="B12601" s="9" t="s">
        <v>17567</v>
      </c>
      <c r="C12601" s="9" t="s">
        <v>903</v>
      </c>
      <c r="D12601" s="9" t="s">
        <v>93</v>
      </c>
      <c r="E12601" s="6" t="s">
        <v>11358</v>
      </c>
      <c r="F12601" s="9" t="s">
        <v>19282</v>
      </c>
      <c r="G12601" t="inlineStr" s="6">
        <is>
          <t xml:space="preserve">By changing the direction in which it rotates, it communicates Klang's feelings to others. When angry, it rotates faster. Spinning minigears are rotated at high speed and repeatedly fired away. It is dangerous if the gears don’t return. A minigear and big gear comprise its body. If the minigear it launches at a foe doesn’t return, it will die. When Klang goes all out, the minigear links up perfectly with the outer part of the big gear, and this Pokémon’s rotation speed increases sharply. Many companies in the Galar region choose Klang as their logo. This Pokémon is considered the symbol of industrial technology.</t>
        </is>
      </c>
    </row>
    <row r="12602" ht="33.75" customHeight="1">
      <c r="A12602" s="7">
        <v>600.0</v>
      </c>
      <c r="B12602" s="9" t="s">
        <v>17567</v>
      </c>
      <c r="C12602" s="9" t="s">
        <v>903</v>
      </c>
      <c r="D12602" s="9" t="s">
        <v>95</v>
      </c>
      <c r="E12602" s="6" t="s">
        <v>11359</v>
      </c>
      <c r="F12602" s="9" t="s">
        <v>19282</v>
      </c>
    </row>
    <row r="12603" ht="33.75" customHeight="1">
      <c r="A12603" s="7">
        <v>600.0</v>
      </c>
      <c r="B12603" s="9" t="s">
        <v>17567</v>
      </c>
      <c r="C12603" s="9" t="s">
        <v>903</v>
      </c>
      <c r="D12603" s="9" t="s">
        <v>98</v>
      </c>
      <c r="E12603" s="6" t="s">
        <v>11361</v>
      </c>
      <c r="F12603" s="9" t="s">
        <v>19282</v>
      </c>
    </row>
    <row r="12604" ht="33.75" customHeight="1">
      <c r="A12604" s="7">
        <v>600.0</v>
      </c>
      <c r="B12604" s="9" t="s">
        <v>17567</v>
      </c>
      <c r="C12604" s="9" t="s">
        <v>903</v>
      </c>
      <c r="D12604" s="9" t="s">
        <v>99</v>
      </c>
      <c r="E12604" s="6" t="s">
        <v>11361</v>
      </c>
      <c r="F12604" s="9" t="s">
        <v>19282</v>
      </c>
    </row>
    <row r="12605" ht="33.75" customHeight="1">
      <c r="A12605" s="7">
        <v>600.0</v>
      </c>
      <c r="B12605" s="9" t="s">
        <v>17567</v>
      </c>
      <c r="C12605" s="9" t="s">
        <v>903</v>
      </c>
      <c r="D12605" s="9" t="s">
        <v>101</v>
      </c>
      <c r="E12605" s="6" t="s">
        <v>11358</v>
      </c>
      <c r="F12605" s="9" t="s">
        <v>19282</v>
      </c>
    </row>
    <row r="12606" ht="33.75" customHeight="1">
      <c r="A12606" s="7">
        <v>600.0</v>
      </c>
      <c r="B12606" s="9" t="s">
        <v>17567</v>
      </c>
      <c r="C12606" s="9" t="s">
        <v>903</v>
      </c>
      <c r="D12606" s="9" t="s">
        <v>105</v>
      </c>
      <c r="E12606" s="6" t="s">
        <v>11361</v>
      </c>
      <c r="F12606" s="9" t="s">
        <v>19282</v>
      </c>
    </row>
    <row r="12607" ht="33.75" customHeight="1">
      <c r="A12607" s="7">
        <v>600.0</v>
      </c>
      <c r="B12607" s="9" t="s">
        <v>17567</v>
      </c>
      <c r="C12607" s="9" t="s">
        <v>903</v>
      </c>
      <c r="D12607" s="9" t="s">
        <v>107</v>
      </c>
      <c r="E12607" s="6" t="s">
        <v>11358</v>
      </c>
      <c r="F12607" s="9" t="s">
        <v>19282</v>
      </c>
    </row>
    <row r="12608" ht="33.75" customHeight="1">
      <c r="A12608" s="7">
        <v>600.0</v>
      </c>
      <c r="B12608" s="9" t="s">
        <v>17567</v>
      </c>
      <c r="C12608" s="9" t="s">
        <v>903</v>
      </c>
      <c r="D12608" s="9" t="s">
        <v>109</v>
      </c>
      <c r="E12608" s="6" t="s">
        <v>11361</v>
      </c>
      <c r="F12608" s="9" t="s">
        <v>19282</v>
      </c>
    </row>
    <row r="12609" ht="33.75" customHeight="1">
      <c r="A12609" s="7">
        <v>600.0</v>
      </c>
      <c r="B12609" s="9" t="s">
        <v>17567</v>
      </c>
      <c r="C12609" s="9" t="s">
        <v>903</v>
      </c>
      <c r="D12609" s="9" t="s">
        <v>114</v>
      </c>
      <c r="E12609" s="6" t="s">
        <v>11363</v>
      </c>
      <c r="F12609" s="9" t="s">
        <v>19282</v>
      </c>
    </row>
    <row r="12610" ht="33.75" customHeight="1">
      <c r="A12610" s="7">
        <v>600.0</v>
      </c>
      <c r="B12610" s="9" t="s">
        <v>17567</v>
      </c>
      <c r="C12610" s="9" t="s">
        <v>903</v>
      </c>
      <c r="D12610" s="9" t="s">
        <v>117</v>
      </c>
      <c r="E12610" s="6" t="s">
        <v>11366</v>
      </c>
      <c r="F12610" s="9" t="s">
        <v>19282</v>
      </c>
    </row>
    <row r="12611" ht="33.75" customHeight="1">
      <c r="A12611" s="7">
        <v>601.0</v>
      </c>
      <c r="B12611" s="9" t="s">
        <v>17574</v>
      </c>
      <c r="C12611" s="9" t="s">
        <v>903</v>
      </c>
      <c r="D12611" s="9" t="s">
        <v>93</v>
      </c>
      <c r="E12611" s="6" t="s">
        <v>11368</v>
      </c>
      <c r="F12611" s="9" t="s">
        <v>19296</v>
      </c>
      <c r="G12611" t="inlineStr" s="6">
        <is>
          <t xml:space="preserve">Klinklang's red core functions as an energy tank. It fires the charged energy through its spikes into an area. The gear with the red core is rotated at high speed for a rapid energy charge. The minigear spins at high speed. Then the energy from the red core charges the minigear to make it ready to fire. From its spikes, it launches powerful blasts of electricity. Its red core contains an enormous amount of energy. The three gears that compose this Pokémon spin at high speed. Its new spiked gear isn’t a living creature.</t>
        </is>
      </c>
    </row>
    <row r="12612" ht="33.75" customHeight="1">
      <c r="A12612" s="7">
        <v>601.0</v>
      </c>
      <c r="B12612" s="9" t="s">
        <v>17574</v>
      </c>
      <c r="C12612" s="9" t="s">
        <v>903</v>
      </c>
      <c r="D12612" s="9" t="s">
        <v>95</v>
      </c>
      <c r="E12612" s="6" t="s">
        <v>11370</v>
      </c>
      <c r="F12612" s="9" t="s">
        <v>19296</v>
      </c>
    </row>
    <row r="12613" ht="33.75" customHeight="1">
      <c r="A12613" s="7">
        <v>601.0</v>
      </c>
      <c r="B12613" s="9" t="s">
        <v>17574</v>
      </c>
      <c r="C12613" s="9" t="s">
        <v>903</v>
      </c>
      <c r="D12613" s="9" t="s">
        <v>98</v>
      </c>
      <c r="E12613" s="6" t="s">
        <v>11372</v>
      </c>
      <c r="F12613" s="9" t="s">
        <v>19296</v>
      </c>
    </row>
    <row r="12614" ht="33.75" customHeight="1">
      <c r="A12614" s="7">
        <v>601.0</v>
      </c>
      <c r="B12614" s="9" t="s">
        <v>17574</v>
      </c>
      <c r="C12614" s="9" t="s">
        <v>903</v>
      </c>
      <c r="D12614" s="9" t="s">
        <v>99</v>
      </c>
      <c r="E12614" s="6" t="s">
        <v>11372</v>
      </c>
      <c r="F12614" s="9" t="s">
        <v>19296</v>
      </c>
    </row>
    <row r="12615" ht="33.75" customHeight="1">
      <c r="A12615" s="7">
        <v>601.0</v>
      </c>
      <c r="B12615" s="9" t="s">
        <v>17574</v>
      </c>
      <c r="C12615" s="9" t="s">
        <v>903</v>
      </c>
      <c r="D12615" s="9" t="s">
        <v>101</v>
      </c>
      <c r="E12615" s="6" t="s">
        <v>11370</v>
      </c>
      <c r="F12615" s="9" t="s">
        <v>19296</v>
      </c>
    </row>
    <row r="12616" ht="33.75" customHeight="1">
      <c r="A12616" s="7">
        <v>601.0</v>
      </c>
      <c r="B12616" s="9" t="s">
        <v>17574</v>
      </c>
      <c r="C12616" s="9" t="s">
        <v>903</v>
      </c>
      <c r="D12616" s="9" t="s">
        <v>105</v>
      </c>
      <c r="E12616" s="6" t="s">
        <v>11368</v>
      </c>
      <c r="F12616" s="9" t="s">
        <v>19296</v>
      </c>
    </row>
    <row r="12617" ht="33.75" customHeight="1">
      <c r="A12617" s="7">
        <v>601.0</v>
      </c>
      <c r="B12617" s="9" t="s">
        <v>17574</v>
      </c>
      <c r="C12617" s="9" t="s">
        <v>903</v>
      </c>
      <c r="D12617" s="9" t="s">
        <v>107</v>
      </c>
      <c r="E12617" s="6" t="s">
        <v>11370</v>
      </c>
      <c r="F12617" s="9" t="s">
        <v>19296</v>
      </c>
    </row>
    <row r="12618" ht="33.75" customHeight="1">
      <c r="A12618" s="7">
        <v>601.0</v>
      </c>
      <c r="B12618" s="9" t="s">
        <v>17574</v>
      </c>
      <c r="C12618" s="9" t="s">
        <v>903</v>
      </c>
      <c r="D12618" s="9" t="s">
        <v>109</v>
      </c>
      <c r="E12618" s="6" t="s">
        <v>11368</v>
      </c>
      <c r="F12618" s="9" t="s">
        <v>19296</v>
      </c>
    </row>
    <row r="12619" ht="33.75" customHeight="1">
      <c r="A12619" s="7">
        <v>601.0</v>
      </c>
      <c r="B12619" s="9" t="s">
        <v>17574</v>
      </c>
      <c r="C12619" s="9" t="s">
        <v>903</v>
      </c>
      <c r="D12619" s="9" t="s">
        <v>114</v>
      </c>
      <c r="E12619" s="6" t="s">
        <v>11373</v>
      </c>
      <c r="F12619" s="9" t="s">
        <v>19296</v>
      </c>
    </row>
    <row r="12620" ht="33.75" customHeight="1">
      <c r="A12620" s="7">
        <v>601.0</v>
      </c>
      <c r="B12620" s="9" t="s">
        <v>17574</v>
      </c>
      <c r="C12620" s="9" t="s">
        <v>903</v>
      </c>
      <c r="D12620" s="9" t="s">
        <v>117</v>
      </c>
      <c r="E12620" s="6" t="s">
        <v>11375</v>
      </c>
      <c r="F12620" s="9" t="s">
        <v>19296</v>
      </c>
    </row>
    <row r="12621" ht="33.75" customHeight="1">
      <c r="A12621" s="7">
        <v>602.0</v>
      </c>
      <c r="B12621" s="9" t="s">
        <v>17581</v>
      </c>
      <c r="C12621" s="9" t="s">
        <v>904</v>
      </c>
      <c r="D12621" s="9" t="s">
        <v>93</v>
      </c>
      <c r="E12621" s="6" t="s">
        <v>11376</v>
      </c>
      <c r="F12621" s="9" t="s">
        <v>19315</v>
      </c>
      <c r="G12621" t="inlineStr" s="6">
        <is>
          <t xml:space="preserve">While one alone doesn’t have much power, a chain of many Tynamo can be as powerful as lightning. These Pokémon move in schools. They have an electricity-generating organ, so they discharge electricity if in danger. One alone can emit only a trickle of electricity, so a group of them gathers to unleash a powerful electric shock.</t>
        </is>
      </c>
    </row>
    <row r="12622" ht="33.75" customHeight="1">
      <c r="A12622" s="7">
        <v>602.0</v>
      </c>
      <c r="B12622" s="9" t="s">
        <v>17581</v>
      </c>
      <c r="C12622" s="9" t="s">
        <v>904</v>
      </c>
      <c r="D12622" s="9" t="s">
        <v>95</v>
      </c>
      <c r="E12622" s="6" t="s">
        <v>11378</v>
      </c>
      <c r="F12622" s="9" t="s">
        <v>19315</v>
      </c>
    </row>
    <row r="12623" ht="33.75" customHeight="1">
      <c r="A12623" s="7">
        <v>602.0</v>
      </c>
      <c r="B12623" s="9" t="s">
        <v>17581</v>
      </c>
      <c r="C12623" s="9" t="s">
        <v>904</v>
      </c>
      <c r="D12623" s="9" t="s">
        <v>98</v>
      </c>
      <c r="E12623" s="6" t="s">
        <v>11379</v>
      </c>
      <c r="F12623" s="9" t="s">
        <v>19315</v>
      </c>
    </row>
    <row r="12624" ht="33.75" customHeight="1">
      <c r="A12624" s="7">
        <v>602.0</v>
      </c>
      <c r="B12624" s="9" t="s">
        <v>17581</v>
      </c>
      <c r="C12624" s="9" t="s">
        <v>904</v>
      </c>
      <c r="D12624" s="9" t="s">
        <v>99</v>
      </c>
      <c r="E12624" s="6" t="s">
        <v>11379</v>
      </c>
      <c r="F12624" s="9" t="s">
        <v>19315</v>
      </c>
    </row>
    <row r="12625" ht="33.75" customHeight="1">
      <c r="A12625" s="7">
        <v>602.0</v>
      </c>
      <c r="B12625" s="9" t="s">
        <v>17581</v>
      </c>
      <c r="C12625" s="9" t="s">
        <v>904</v>
      </c>
      <c r="D12625" s="9" t="s">
        <v>101</v>
      </c>
      <c r="E12625" s="6" t="s">
        <v>11376</v>
      </c>
      <c r="F12625" s="9" t="s">
        <v>19315</v>
      </c>
    </row>
    <row r="12626" ht="33.75" customHeight="1">
      <c r="A12626" s="7">
        <v>602.0</v>
      </c>
      <c r="B12626" s="9" t="s">
        <v>17581</v>
      </c>
      <c r="C12626" s="9" t="s">
        <v>904</v>
      </c>
      <c r="D12626" s="9" t="s">
        <v>105</v>
      </c>
      <c r="E12626" s="6" t="s">
        <v>11379</v>
      </c>
      <c r="F12626" s="9" t="s">
        <v>19315</v>
      </c>
    </row>
    <row r="12627" ht="33.75" customHeight="1">
      <c r="A12627" s="7">
        <v>602.0</v>
      </c>
      <c r="B12627" s="9" t="s">
        <v>17581</v>
      </c>
      <c r="C12627" s="9" t="s">
        <v>904</v>
      </c>
      <c r="D12627" s="9" t="s">
        <v>107</v>
      </c>
      <c r="E12627" s="6" t="s">
        <v>11376</v>
      </c>
      <c r="F12627" s="9" t="s">
        <v>19315</v>
      </c>
    </row>
    <row r="12628" ht="33.75" customHeight="1">
      <c r="A12628" s="7">
        <v>602.0</v>
      </c>
      <c r="B12628" s="9" t="s">
        <v>17581</v>
      </c>
      <c r="C12628" s="9" t="s">
        <v>904</v>
      </c>
      <c r="D12628" s="9" t="s">
        <v>109</v>
      </c>
      <c r="E12628" s="6" t="s">
        <v>11379</v>
      </c>
      <c r="F12628" s="9" t="s">
        <v>19315</v>
      </c>
    </row>
    <row r="12629" ht="33.75" customHeight="1">
      <c r="A12629" s="7">
        <v>603.0</v>
      </c>
      <c r="B12629" s="9" t="s">
        <v>17586</v>
      </c>
      <c r="C12629" s="9" t="s">
        <v>904</v>
      </c>
      <c r="D12629" s="9" t="s">
        <v>93</v>
      </c>
      <c r="E12629" s="6" t="s">
        <v>11380</v>
      </c>
      <c r="F12629" s="9" t="s">
        <v>19327</v>
      </c>
      <c r="G12629" t="inlineStr" s="6">
        <is>
          <t xml:space="preserve">They coil around foes and shock them with electricity-generating organs that seem simply to be circular patterns. These Pokémon have a big appetite. When they spot their prey, they attack it and paralyze it with electricity. It wraps itself around its prey and paralyzes it with electricity from the round spots on its sides. Then it chomps.</t>
        </is>
      </c>
    </row>
    <row r="12630" ht="33.75" customHeight="1">
      <c r="A12630" s="7">
        <v>603.0</v>
      </c>
      <c r="B12630" s="9" t="s">
        <v>17586</v>
      </c>
      <c r="C12630" s="9" t="s">
        <v>904</v>
      </c>
      <c r="D12630" s="9" t="s">
        <v>95</v>
      </c>
      <c r="E12630" s="6" t="s">
        <v>11381</v>
      </c>
      <c r="F12630" s="9" t="s">
        <v>19327</v>
      </c>
    </row>
    <row r="12631" ht="33.75" customHeight="1">
      <c r="A12631" s="7">
        <v>603.0</v>
      </c>
      <c r="B12631" s="9" t="s">
        <v>17586</v>
      </c>
      <c r="C12631" s="9" t="s">
        <v>904</v>
      </c>
      <c r="D12631" s="9" t="s">
        <v>98</v>
      </c>
      <c r="E12631" s="6" t="s">
        <v>11383</v>
      </c>
      <c r="F12631" s="9" t="s">
        <v>19327</v>
      </c>
    </row>
    <row r="12632" ht="33.75" customHeight="1">
      <c r="A12632" s="7">
        <v>603.0</v>
      </c>
      <c r="B12632" s="9" t="s">
        <v>17586</v>
      </c>
      <c r="C12632" s="9" t="s">
        <v>904</v>
      </c>
      <c r="D12632" s="9" t="s">
        <v>99</v>
      </c>
      <c r="E12632" s="6" t="s">
        <v>11383</v>
      </c>
      <c r="F12632" s="9" t="s">
        <v>19327</v>
      </c>
    </row>
    <row r="12633" ht="33.75" customHeight="1">
      <c r="A12633" s="7">
        <v>603.0</v>
      </c>
      <c r="B12633" s="9" t="s">
        <v>17586</v>
      </c>
      <c r="C12633" s="9" t="s">
        <v>904</v>
      </c>
      <c r="D12633" s="9" t="s">
        <v>101</v>
      </c>
      <c r="E12633" s="6" t="s">
        <v>11383</v>
      </c>
      <c r="F12633" s="9" t="s">
        <v>19327</v>
      </c>
    </row>
    <row r="12634" ht="33.75" customHeight="1">
      <c r="A12634" s="7">
        <v>603.0</v>
      </c>
      <c r="B12634" s="9" t="s">
        <v>17586</v>
      </c>
      <c r="C12634" s="9" t="s">
        <v>904</v>
      </c>
      <c r="D12634" s="9" t="s">
        <v>105</v>
      </c>
      <c r="E12634" s="6" t="s">
        <v>11381</v>
      </c>
      <c r="F12634" s="9" t="s">
        <v>19327</v>
      </c>
    </row>
    <row r="12635" ht="33.75" customHeight="1">
      <c r="A12635" s="7">
        <v>603.0</v>
      </c>
      <c r="B12635" s="9" t="s">
        <v>17586</v>
      </c>
      <c r="C12635" s="9" t="s">
        <v>904</v>
      </c>
      <c r="D12635" s="9" t="s">
        <v>107</v>
      </c>
      <c r="E12635" s="6" t="s">
        <v>11383</v>
      </c>
      <c r="F12635" s="9" t="s">
        <v>19327</v>
      </c>
    </row>
    <row r="12636" ht="33.75" customHeight="1">
      <c r="A12636" s="7">
        <v>603.0</v>
      </c>
      <c r="B12636" s="9" t="s">
        <v>17586</v>
      </c>
      <c r="C12636" s="9" t="s">
        <v>904</v>
      </c>
      <c r="D12636" s="9" t="s">
        <v>109</v>
      </c>
      <c r="E12636" s="6" t="s">
        <v>11381</v>
      </c>
      <c r="F12636" s="9" t="s">
        <v>19327</v>
      </c>
    </row>
    <row r="12637" ht="33.75" customHeight="1">
      <c r="A12637" s="7">
        <v>604.0</v>
      </c>
      <c r="B12637" s="9" t="s">
        <v>17591</v>
      </c>
      <c r="C12637" s="9" t="s">
        <v>904</v>
      </c>
      <c r="D12637" s="9" t="s">
        <v>93</v>
      </c>
      <c r="E12637" s="6" t="s">
        <v>11384</v>
      </c>
      <c r="F12637" s="9" t="s">
        <v>19336</v>
      </c>
      <c r="G12637" t="inlineStr" s="6">
        <is>
          <t xml:space="preserve">They crawl out of the ocean using their arms. They will attack prey on shore and immediately drag it into the ocean. With their sucker mouths, they suck in prey. Then they use their fangs to shock the prey with electricity. It latches on to prey with its sucker mouth, sinking in its fangs and shocking the prey with powerful electricity.</t>
        </is>
      </c>
    </row>
    <row r="12638" ht="33.75" customHeight="1">
      <c r="A12638" s="7">
        <v>604.0</v>
      </c>
      <c r="B12638" s="9" t="s">
        <v>17591</v>
      </c>
      <c r="C12638" s="9" t="s">
        <v>904</v>
      </c>
      <c r="D12638" s="9" t="s">
        <v>95</v>
      </c>
      <c r="E12638" s="6" t="s">
        <v>11385</v>
      </c>
      <c r="F12638" s="9" t="s">
        <v>19336</v>
      </c>
    </row>
    <row r="12639" ht="33.75" customHeight="1">
      <c r="A12639" s="7">
        <v>604.0</v>
      </c>
      <c r="B12639" s="9" t="s">
        <v>17591</v>
      </c>
      <c r="C12639" s="9" t="s">
        <v>904</v>
      </c>
      <c r="D12639" s="9" t="s">
        <v>98</v>
      </c>
      <c r="E12639" s="6" t="s">
        <v>11387</v>
      </c>
      <c r="F12639" s="9" t="s">
        <v>19336</v>
      </c>
    </row>
    <row r="12640" ht="33.75" customHeight="1">
      <c r="A12640" s="7">
        <v>604.0</v>
      </c>
      <c r="B12640" s="9" t="s">
        <v>17591</v>
      </c>
      <c r="C12640" s="9" t="s">
        <v>904</v>
      </c>
      <c r="D12640" s="9" t="s">
        <v>99</v>
      </c>
      <c r="E12640" s="6" t="s">
        <v>11387</v>
      </c>
      <c r="F12640" s="9" t="s">
        <v>19336</v>
      </c>
    </row>
    <row r="12641" ht="33.75" customHeight="1">
      <c r="A12641" s="7">
        <v>604.0</v>
      </c>
      <c r="B12641" s="9" t="s">
        <v>17591</v>
      </c>
      <c r="C12641" s="9" t="s">
        <v>904</v>
      </c>
      <c r="D12641" s="9" t="s">
        <v>101</v>
      </c>
      <c r="E12641" s="6" t="s">
        <v>11385</v>
      </c>
      <c r="F12641" s="9" t="s">
        <v>19336</v>
      </c>
    </row>
    <row r="12642" ht="33.75" customHeight="1">
      <c r="A12642" s="7">
        <v>604.0</v>
      </c>
      <c r="B12642" s="9" t="s">
        <v>17591</v>
      </c>
      <c r="C12642" s="9" t="s">
        <v>904</v>
      </c>
      <c r="D12642" s="9" t="s">
        <v>105</v>
      </c>
      <c r="E12642" s="6" t="s">
        <v>11384</v>
      </c>
      <c r="F12642" s="9" t="s">
        <v>19336</v>
      </c>
    </row>
    <row r="12643" ht="33.75" customHeight="1">
      <c r="A12643" s="7">
        <v>604.0</v>
      </c>
      <c r="B12643" s="9" t="s">
        <v>17591</v>
      </c>
      <c r="C12643" s="9" t="s">
        <v>904</v>
      </c>
      <c r="D12643" s="9" t="s">
        <v>107</v>
      </c>
      <c r="E12643" s="6" t="s">
        <v>11385</v>
      </c>
      <c r="F12643" s="9" t="s">
        <v>19336</v>
      </c>
    </row>
    <row r="12644" ht="33.75" customHeight="1">
      <c r="A12644" s="7">
        <v>604.0</v>
      </c>
      <c r="B12644" s="9" t="s">
        <v>17591</v>
      </c>
      <c r="C12644" s="9" t="s">
        <v>904</v>
      </c>
      <c r="D12644" s="9" t="s">
        <v>109</v>
      </c>
      <c r="E12644" s="6" t="s">
        <v>11384</v>
      </c>
      <c r="F12644" s="9" t="s">
        <v>19336</v>
      </c>
    </row>
    <row r="12645" ht="33.75" customHeight="1">
      <c r="A12645" s="7">
        <v>605.0</v>
      </c>
      <c r="B12645" s="9" t="s">
        <v>17596</v>
      </c>
      <c r="C12645" s="9" t="s">
        <v>906</v>
      </c>
      <c r="D12645" s="9" t="s">
        <v>93</v>
      </c>
      <c r="E12645" s="6" t="s">
        <v>11388</v>
      </c>
      <c r="F12645" s="9" t="s">
        <v>19352</v>
      </c>
      <c r="G12645" t="inlineStr" s="6">
        <is>
          <t xml:space="preserve">It uses Elgyem's strong psychic power to squeeze its opponent’s brain, causing unendurable headaches. This Pokémon had never been seen until it appeared from far in the desert 50 years ago. Rumors of its origin are linked to a UFO crash site in the desert 50 years ago. It controls tremendous psychic power. Most reports of alien sightings are actually just people mistaking Elgyem for an alien. This Pokémon is shrouded in mystery. It’s said to have appeared from a UFO that fell from the sky about 50 years ago. If this Pokémon stands near a TV, strange scenery will appear on the screen. That scenery is said to be from its home. This Pokémon was discovered about 50 years ago. Its highly developed brain enables it to exert its psychic powers.</t>
        </is>
      </c>
    </row>
    <row r="12646" ht="33.75" customHeight="1">
      <c r="A12646" s="7">
        <v>605.0</v>
      </c>
      <c r="B12646" s="9" t="s">
        <v>17596</v>
      </c>
      <c r="C12646" s="9" t="s">
        <v>906</v>
      </c>
      <c r="D12646" s="9" t="s">
        <v>95</v>
      </c>
      <c r="E12646" s="6" t="s">
        <v>11389</v>
      </c>
      <c r="F12646" s="9" t="s">
        <v>19352</v>
      </c>
    </row>
    <row r="12647" ht="33.75" customHeight="1">
      <c r="A12647" s="7">
        <v>605.0</v>
      </c>
      <c r="B12647" s="9" t="s">
        <v>17596</v>
      </c>
      <c r="C12647" s="9" t="s">
        <v>906</v>
      </c>
      <c r="D12647" s="9" t="s">
        <v>98</v>
      </c>
      <c r="E12647" s="6" t="s">
        <v>11390</v>
      </c>
      <c r="F12647" s="9" t="s">
        <v>19352</v>
      </c>
    </row>
    <row r="12648" ht="33.75" customHeight="1">
      <c r="A12648" s="7">
        <v>605.0</v>
      </c>
      <c r="B12648" s="9" t="s">
        <v>17596</v>
      </c>
      <c r="C12648" s="9" t="s">
        <v>906</v>
      </c>
      <c r="D12648" s="9" t="s">
        <v>99</v>
      </c>
      <c r="E12648" s="6" t="s">
        <v>11390</v>
      </c>
      <c r="F12648" s="9" t="s">
        <v>19352</v>
      </c>
    </row>
    <row r="12649" ht="33.75" customHeight="1">
      <c r="A12649" s="7">
        <v>605.0</v>
      </c>
      <c r="B12649" s="9" t="s">
        <v>17596</v>
      </c>
      <c r="C12649" s="9" t="s">
        <v>906</v>
      </c>
      <c r="D12649" s="9" t="s">
        <v>101</v>
      </c>
      <c r="E12649" s="6" t="s">
        <v>11388</v>
      </c>
      <c r="F12649" s="9" t="s">
        <v>19352</v>
      </c>
    </row>
    <row r="12650" ht="33.75" customHeight="1">
      <c r="A12650" s="7">
        <v>605.0</v>
      </c>
      <c r="B12650" s="9" t="s">
        <v>17596</v>
      </c>
      <c r="C12650" s="9" t="s">
        <v>906</v>
      </c>
      <c r="D12650" s="9" t="s">
        <v>105</v>
      </c>
      <c r="E12650" s="6" t="s">
        <v>11390</v>
      </c>
      <c r="F12650" s="9" t="s">
        <v>19352</v>
      </c>
    </row>
    <row r="12651" ht="33.75" customHeight="1">
      <c r="A12651" s="7">
        <v>605.0</v>
      </c>
      <c r="B12651" s="9" t="s">
        <v>17596</v>
      </c>
      <c r="C12651" s="9" t="s">
        <v>906</v>
      </c>
      <c r="D12651" s="9" t="s">
        <v>107</v>
      </c>
      <c r="E12651" s="6" t="s">
        <v>11388</v>
      </c>
      <c r="F12651" s="9" t="s">
        <v>19352</v>
      </c>
    </row>
    <row r="12652" ht="33.75" customHeight="1">
      <c r="A12652" s="7">
        <v>605.0</v>
      </c>
      <c r="B12652" s="9" t="s">
        <v>17596</v>
      </c>
      <c r="C12652" s="9" t="s">
        <v>906</v>
      </c>
      <c r="D12652" s="9" t="s">
        <v>109</v>
      </c>
      <c r="E12652" s="6" t="s">
        <v>11390</v>
      </c>
      <c r="F12652" s="9" t="s">
        <v>19352</v>
      </c>
    </row>
    <row r="12653" ht="33.75" customHeight="1">
      <c r="A12653" s="7">
        <v>605.0</v>
      </c>
      <c r="B12653" s="9" t="s">
        <v>17596</v>
      </c>
      <c r="C12653" s="9" t="s">
        <v>906</v>
      </c>
      <c r="D12653" s="9" t="s">
        <v>647</v>
      </c>
      <c r="E12653" s="6" t="s">
        <v>11391</v>
      </c>
      <c r="F12653" s="9" t="s">
        <v>19352</v>
      </c>
    </row>
    <row r="12654" ht="33.75" customHeight="1">
      <c r="A12654" s="7">
        <v>605.0</v>
      </c>
      <c r="B12654" s="9" t="s">
        <v>17596</v>
      </c>
      <c r="C12654" s="9" t="s">
        <v>906</v>
      </c>
      <c r="D12654" s="9" t="s">
        <v>652</v>
      </c>
      <c r="E12654" s="6" t="s">
        <v>11392</v>
      </c>
      <c r="F12654" s="9" t="s">
        <v>19352</v>
      </c>
    </row>
    <row r="12655" ht="33.75" customHeight="1">
      <c r="A12655" s="7">
        <v>605.0</v>
      </c>
      <c r="B12655" s="9" t="s">
        <v>17596</v>
      </c>
      <c r="C12655" s="9" t="s">
        <v>906</v>
      </c>
      <c r="D12655" s="9" t="s">
        <v>114</v>
      </c>
      <c r="E12655" s="6" t="s">
        <v>11393</v>
      </c>
      <c r="F12655" s="9" t="s">
        <v>19352</v>
      </c>
    </row>
    <row r="12656" ht="33.75" customHeight="1">
      <c r="A12656" s="7">
        <v>605.0</v>
      </c>
      <c r="B12656" s="9" t="s">
        <v>17596</v>
      </c>
      <c r="C12656" s="9" t="s">
        <v>906</v>
      </c>
      <c r="D12656" s="9" t="s">
        <v>117</v>
      </c>
      <c r="E12656" s="6" t="s">
        <v>11395</v>
      </c>
      <c r="F12656" s="9" t="s">
        <v>19352</v>
      </c>
    </row>
    <row r="12657" ht="33.75" customHeight="1">
      <c r="A12657" s="7">
        <v>606.0</v>
      </c>
      <c r="B12657" s="9" t="s">
        <v>17606</v>
      </c>
      <c r="C12657" s="9" t="s">
        <v>906</v>
      </c>
      <c r="D12657" s="9" t="s">
        <v>93</v>
      </c>
      <c r="E12657" s="6" t="s">
        <v>11396</v>
      </c>
      <c r="F12657" s="9" t="s">
        <v>19368</v>
      </c>
      <c r="G12657" t="inlineStr" s="6">
        <is>
          <t xml:space="preserve">Beheeyem can manipulate an opponent’s memory. Apparently, it communicates by flashing its three different-colored fingers. It uses psychic power to control an opponent’s brain and tamper with its memories. Apparently, it communicates by flashing its three fingers, but those patterns haven’t been decoded. With its psychic powers, it rewrites its opponents’ memories. You, too, may have already had your memories rewritten. It has strong psychic powers. Using its fingers that flash three different colors, it controls its opponents and rewrites their memories. Whenever a Beheeyem visits a farm, a Dubwool mysteriously disappears. Sometimes found drifting above wheat fields, this Pokémon can control the memories of its opponents.</t>
        </is>
      </c>
    </row>
    <row r="12658" ht="33.75" customHeight="1">
      <c r="A12658" s="7">
        <v>606.0</v>
      </c>
      <c r="B12658" s="9" t="s">
        <v>17606</v>
      </c>
      <c r="C12658" s="9" t="s">
        <v>906</v>
      </c>
      <c r="D12658" s="9" t="s">
        <v>95</v>
      </c>
      <c r="E12658" s="6" t="s">
        <v>11397</v>
      </c>
      <c r="F12658" s="9" t="s">
        <v>19368</v>
      </c>
    </row>
    <row r="12659" ht="33.75" customHeight="1">
      <c r="A12659" s="7">
        <v>606.0</v>
      </c>
      <c r="B12659" s="9" t="s">
        <v>17606</v>
      </c>
      <c r="C12659" s="9" t="s">
        <v>906</v>
      </c>
      <c r="D12659" s="9" t="s">
        <v>98</v>
      </c>
      <c r="E12659" s="6" t="s">
        <v>11398</v>
      </c>
      <c r="F12659" s="9" t="s">
        <v>19368</v>
      </c>
    </row>
    <row r="12660" ht="33.75" customHeight="1">
      <c r="A12660" s="7">
        <v>606.0</v>
      </c>
      <c r="B12660" s="9" t="s">
        <v>17606</v>
      </c>
      <c r="C12660" s="9" t="s">
        <v>906</v>
      </c>
      <c r="D12660" s="9" t="s">
        <v>99</v>
      </c>
      <c r="E12660" s="6" t="s">
        <v>11398</v>
      </c>
      <c r="F12660" s="9" t="s">
        <v>19368</v>
      </c>
    </row>
    <row r="12661" ht="33.75" customHeight="1">
      <c r="A12661" s="7">
        <v>606.0</v>
      </c>
      <c r="B12661" s="9" t="s">
        <v>17606</v>
      </c>
      <c r="C12661" s="9" t="s">
        <v>906</v>
      </c>
      <c r="D12661" s="9" t="s">
        <v>101</v>
      </c>
      <c r="E12661" s="6" t="s">
        <v>11398</v>
      </c>
      <c r="F12661" s="9" t="s">
        <v>19368</v>
      </c>
    </row>
    <row r="12662" ht="33.75" customHeight="1">
      <c r="A12662" s="7">
        <v>606.0</v>
      </c>
      <c r="B12662" s="9" t="s">
        <v>17606</v>
      </c>
      <c r="C12662" s="9" t="s">
        <v>906</v>
      </c>
      <c r="D12662" s="9" t="s">
        <v>105</v>
      </c>
      <c r="E12662" s="6" t="s">
        <v>11397</v>
      </c>
      <c r="F12662" s="9" t="s">
        <v>19368</v>
      </c>
    </row>
    <row r="12663" ht="33.75" customHeight="1">
      <c r="A12663" s="7">
        <v>606.0</v>
      </c>
      <c r="B12663" s="9" t="s">
        <v>17606</v>
      </c>
      <c r="C12663" s="9" t="s">
        <v>906</v>
      </c>
      <c r="D12663" s="9" t="s">
        <v>107</v>
      </c>
      <c r="E12663" s="6" t="s">
        <v>11398</v>
      </c>
      <c r="F12663" s="9" t="s">
        <v>19368</v>
      </c>
    </row>
    <row r="12664" ht="33.75" customHeight="1">
      <c r="A12664" s="7">
        <v>606.0</v>
      </c>
      <c r="B12664" s="9" t="s">
        <v>17606</v>
      </c>
      <c r="C12664" s="9" t="s">
        <v>906</v>
      </c>
      <c r="D12664" s="9" t="s">
        <v>109</v>
      </c>
      <c r="E12664" s="6" t="s">
        <v>11397</v>
      </c>
      <c r="F12664" s="9" t="s">
        <v>19368</v>
      </c>
    </row>
    <row r="12665" ht="33.75" customHeight="1">
      <c r="A12665" s="7">
        <v>606.0</v>
      </c>
      <c r="B12665" s="9" t="s">
        <v>17606</v>
      </c>
      <c r="C12665" s="9" t="s">
        <v>906</v>
      </c>
      <c r="D12665" s="9" t="s">
        <v>647</v>
      </c>
      <c r="E12665" s="6" t="s">
        <v>11399</v>
      </c>
      <c r="F12665" s="9" t="s">
        <v>19368</v>
      </c>
    </row>
    <row r="12666" ht="33.75" customHeight="1">
      <c r="A12666" s="7">
        <v>606.0</v>
      </c>
      <c r="B12666" s="9" t="s">
        <v>17606</v>
      </c>
      <c r="C12666" s="9" t="s">
        <v>906</v>
      </c>
      <c r="D12666" s="9" t="s">
        <v>652</v>
      </c>
      <c r="E12666" s="6" t="s">
        <v>11401</v>
      </c>
      <c r="F12666" s="9" t="s">
        <v>19368</v>
      </c>
    </row>
    <row r="12667" ht="33.75" customHeight="1">
      <c r="A12667" s="7">
        <v>606.0</v>
      </c>
      <c r="B12667" s="9" t="s">
        <v>17606</v>
      </c>
      <c r="C12667" s="9" t="s">
        <v>906</v>
      </c>
      <c r="D12667" s="9" t="s">
        <v>114</v>
      </c>
      <c r="E12667" s="6" t="s">
        <v>11402</v>
      </c>
      <c r="F12667" s="9" t="s">
        <v>19368</v>
      </c>
    </row>
    <row r="12668" ht="33.75" customHeight="1">
      <c r="A12668" s="7">
        <v>606.0</v>
      </c>
      <c r="B12668" s="9" t="s">
        <v>17606</v>
      </c>
      <c r="C12668" s="9" t="s">
        <v>906</v>
      </c>
      <c r="D12668" s="9" t="s">
        <v>117</v>
      </c>
      <c r="E12668" s="6" t="s">
        <v>11403</v>
      </c>
      <c r="F12668" s="9" t="s">
        <v>19368</v>
      </c>
    </row>
    <row r="12669" ht="33.75" customHeight="1">
      <c r="A12669" s="7">
        <v>607.0</v>
      </c>
      <c r="B12669" s="9" t="s">
        <v>17615</v>
      </c>
      <c r="C12669" s="9" t="s">
        <v>908</v>
      </c>
      <c r="D12669" s="9" t="s">
        <v>93</v>
      </c>
      <c r="E12669" s="6" t="s">
        <v>11405</v>
      </c>
      <c r="F12669" s="9" t="s">
        <v>19380</v>
      </c>
      <c r="G12669" t="inlineStr" s="6">
        <is>
          <t xml:space="preserve">Litwick shines a light that absorbs the life energy of people and Pokémon, which becomes the fuel that it burns. While shining a light and pretending to be a guide, it leeches off the life force of any who follow it. Its flame is usually out, but it starts shining when it absorbs life force from people or Pokémon. The flame on its head keeps its body slightly warm. This Pokémon takes lost children by the hand to guide them to the spirit world. The younger the life this Pokémon absorbs, the brighter and eerier the flame on its head burns.</t>
        </is>
      </c>
    </row>
    <row r="12670" ht="33.75" customHeight="1">
      <c r="A12670" s="7">
        <v>607.0</v>
      </c>
      <c r="B12670" s="9" t="s">
        <v>17615</v>
      </c>
      <c r="C12670" s="9" t="s">
        <v>908</v>
      </c>
      <c r="D12670" s="9" t="s">
        <v>95</v>
      </c>
      <c r="E12670" s="6" t="s">
        <v>11406</v>
      </c>
      <c r="F12670" s="9" t="s">
        <v>19380</v>
      </c>
    </row>
    <row r="12671" ht="33.75" customHeight="1">
      <c r="A12671" s="7">
        <v>607.0</v>
      </c>
      <c r="B12671" s="9" t="s">
        <v>17615</v>
      </c>
      <c r="C12671" s="9" t="s">
        <v>908</v>
      </c>
      <c r="D12671" s="9" t="s">
        <v>98</v>
      </c>
      <c r="E12671" s="6" t="s">
        <v>11407</v>
      </c>
      <c r="F12671" s="9" t="s">
        <v>19380</v>
      </c>
    </row>
    <row r="12672" ht="33.75" customHeight="1">
      <c r="A12672" s="7">
        <v>607.0</v>
      </c>
      <c r="B12672" s="9" t="s">
        <v>17615</v>
      </c>
      <c r="C12672" s="9" t="s">
        <v>908</v>
      </c>
      <c r="D12672" s="9" t="s">
        <v>99</v>
      </c>
      <c r="E12672" s="6" t="s">
        <v>11407</v>
      </c>
      <c r="F12672" s="9" t="s">
        <v>19380</v>
      </c>
    </row>
    <row r="12673" ht="33.75" customHeight="1">
      <c r="A12673" s="7">
        <v>607.0</v>
      </c>
      <c r="B12673" s="9" t="s">
        <v>17615</v>
      </c>
      <c r="C12673" s="9" t="s">
        <v>908</v>
      </c>
      <c r="D12673" s="9" t="s">
        <v>101</v>
      </c>
      <c r="E12673" s="6" t="s">
        <v>11406</v>
      </c>
      <c r="F12673" s="9" t="s">
        <v>19380</v>
      </c>
    </row>
    <row r="12674" ht="33.75" customHeight="1">
      <c r="A12674" s="7">
        <v>607.0</v>
      </c>
      <c r="B12674" s="9" t="s">
        <v>17615</v>
      </c>
      <c r="C12674" s="9" t="s">
        <v>908</v>
      </c>
      <c r="D12674" s="9" t="s">
        <v>105</v>
      </c>
      <c r="E12674" s="6" t="s">
        <v>11405</v>
      </c>
      <c r="F12674" s="9" t="s">
        <v>19380</v>
      </c>
    </row>
    <row r="12675" ht="33.75" customHeight="1">
      <c r="A12675" s="7">
        <v>607.0</v>
      </c>
      <c r="B12675" s="9" t="s">
        <v>17615</v>
      </c>
      <c r="C12675" s="9" t="s">
        <v>908</v>
      </c>
      <c r="D12675" s="9" t="s">
        <v>107</v>
      </c>
      <c r="E12675" s="6" t="s">
        <v>11406</v>
      </c>
      <c r="F12675" s="9" t="s">
        <v>19380</v>
      </c>
    </row>
    <row r="12676" ht="33.75" customHeight="1">
      <c r="A12676" s="7">
        <v>607.0</v>
      </c>
      <c r="B12676" s="9" t="s">
        <v>17615</v>
      </c>
      <c r="C12676" s="9" t="s">
        <v>908</v>
      </c>
      <c r="D12676" s="9" t="s">
        <v>109</v>
      </c>
      <c r="E12676" s="6" t="s">
        <v>11405</v>
      </c>
      <c r="F12676" s="9" t="s">
        <v>19380</v>
      </c>
    </row>
    <row r="12677" ht="33.75" customHeight="1">
      <c r="A12677" s="7">
        <v>607.0</v>
      </c>
      <c r="B12677" s="9" t="s">
        <v>17615</v>
      </c>
      <c r="C12677" s="9" t="s">
        <v>908</v>
      </c>
      <c r="D12677" s="9" t="s">
        <v>114</v>
      </c>
      <c r="E12677" s="6" t="s">
        <v>11410</v>
      </c>
      <c r="F12677" s="9" t="s">
        <v>19380</v>
      </c>
    </row>
    <row r="12678" ht="33.75" customHeight="1">
      <c r="A12678" s="7">
        <v>607.0</v>
      </c>
      <c r="B12678" s="9" t="s">
        <v>17615</v>
      </c>
      <c r="C12678" s="9" t="s">
        <v>908</v>
      </c>
      <c r="D12678" s="9" t="s">
        <v>117</v>
      </c>
      <c r="E12678" s="6" t="s">
        <v>11412</v>
      </c>
      <c r="F12678" s="9" t="s">
        <v>19380</v>
      </c>
    </row>
    <row r="12679" ht="33.75" customHeight="1">
      <c r="A12679" s="7">
        <v>608.0</v>
      </c>
      <c r="B12679" s="9" t="s">
        <v>17622</v>
      </c>
      <c r="C12679" s="9" t="s">
        <v>909</v>
      </c>
      <c r="D12679" s="9" t="s">
        <v>93</v>
      </c>
      <c r="E12679" s="6" t="s">
        <v>11414</v>
      </c>
      <c r="F12679" s="9" t="s">
        <v>19391</v>
      </c>
      <c r="G12679" t="inlineStr" s="6">
        <is>
          <t xml:space="preserve">This ominous Pokémon is feared. Through cities it wanders, searching for the spirits of the fallen. It arrives near the moment of death and steals spirit from the body. The spirits it absorbs fuel its baleful fire. It hangs around hospitals waiting for people to pass on. This Pokémon appears just before someone passes away, so it’s feared as an emissary of death. It lurks in cities, pretending to be a lamp. Once it finds someone whose death is near, it will trail quietly after them.</t>
        </is>
      </c>
    </row>
    <row r="12680" ht="33.75" customHeight="1">
      <c r="A12680" s="7">
        <v>608.0</v>
      </c>
      <c r="B12680" s="9" t="s">
        <v>17622</v>
      </c>
      <c r="C12680" s="9" t="s">
        <v>909</v>
      </c>
      <c r="D12680" s="9" t="s">
        <v>95</v>
      </c>
      <c r="E12680" s="6" t="s">
        <v>11415</v>
      </c>
      <c r="F12680" s="9" t="s">
        <v>19391</v>
      </c>
    </row>
    <row r="12681" ht="33.75" customHeight="1">
      <c r="A12681" s="7">
        <v>608.0</v>
      </c>
      <c r="B12681" s="9" t="s">
        <v>17622</v>
      </c>
      <c r="C12681" s="9" t="s">
        <v>909</v>
      </c>
      <c r="D12681" s="9" t="s">
        <v>98</v>
      </c>
      <c r="E12681" s="6" t="s">
        <v>11417</v>
      </c>
      <c r="F12681" s="9" t="s">
        <v>19391</v>
      </c>
    </row>
    <row r="12682" ht="33.75" customHeight="1">
      <c r="A12682" s="7">
        <v>608.0</v>
      </c>
      <c r="B12682" s="9" t="s">
        <v>17622</v>
      </c>
      <c r="C12682" s="9" t="s">
        <v>909</v>
      </c>
      <c r="D12682" s="9" t="s">
        <v>99</v>
      </c>
      <c r="E12682" s="6" t="s">
        <v>11417</v>
      </c>
      <c r="F12682" s="9" t="s">
        <v>19391</v>
      </c>
    </row>
    <row r="12683" ht="33.75" customHeight="1">
      <c r="A12683" s="7">
        <v>608.0</v>
      </c>
      <c r="B12683" s="9" t="s">
        <v>17622</v>
      </c>
      <c r="C12683" s="9" t="s">
        <v>909</v>
      </c>
      <c r="D12683" s="9" t="s">
        <v>101</v>
      </c>
      <c r="E12683" s="6" t="s">
        <v>11417</v>
      </c>
      <c r="F12683" s="9" t="s">
        <v>19391</v>
      </c>
    </row>
    <row r="12684" ht="33.75" customHeight="1">
      <c r="A12684" s="7">
        <v>608.0</v>
      </c>
      <c r="B12684" s="9" t="s">
        <v>17622</v>
      </c>
      <c r="C12684" s="9" t="s">
        <v>909</v>
      </c>
      <c r="D12684" s="9" t="s">
        <v>105</v>
      </c>
      <c r="E12684" s="6" t="s">
        <v>11415</v>
      </c>
      <c r="F12684" s="9" t="s">
        <v>19391</v>
      </c>
    </row>
    <row r="12685" ht="33.75" customHeight="1">
      <c r="A12685" s="7">
        <v>608.0</v>
      </c>
      <c r="B12685" s="9" t="s">
        <v>17622</v>
      </c>
      <c r="C12685" s="9" t="s">
        <v>909</v>
      </c>
      <c r="D12685" s="9" t="s">
        <v>107</v>
      </c>
      <c r="E12685" s="6" t="s">
        <v>11417</v>
      </c>
      <c r="F12685" s="9" t="s">
        <v>19391</v>
      </c>
    </row>
    <row r="12686" ht="33.75" customHeight="1">
      <c r="A12686" s="7">
        <v>608.0</v>
      </c>
      <c r="B12686" s="9" t="s">
        <v>17622</v>
      </c>
      <c r="C12686" s="9" t="s">
        <v>909</v>
      </c>
      <c r="D12686" s="9" t="s">
        <v>109</v>
      </c>
      <c r="E12686" s="6" t="s">
        <v>11415</v>
      </c>
      <c r="F12686" s="9" t="s">
        <v>19391</v>
      </c>
    </row>
    <row r="12687" ht="33.75" customHeight="1">
      <c r="A12687" s="7">
        <v>608.0</v>
      </c>
      <c r="B12687" s="9" t="s">
        <v>17622</v>
      </c>
      <c r="C12687" s="9" t="s">
        <v>909</v>
      </c>
      <c r="D12687" s="9" t="s">
        <v>114</v>
      </c>
      <c r="E12687" s="6" t="s">
        <v>11419</v>
      </c>
      <c r="F12687" s="9" t="s">
        <v>19391</v>
      </c>
    </row>
    <row r="12688" ht="33.75" customHeight="1">
      <c r="A12688" s="7">
        <v>608.0</v>
      </c>
      <c r="B12688" s="9" t="s">
        <v>17622</v>
      </c>
      <c r="C12688" s="9" t="s">
        <v>909</v>
      </c>
      <c r="D12688" s="9" t="s">
        <v>117</v>
      </c>
      <c r="E12688" s="6" t="s">
        <v>11420</v>
      </c>
      <c r="F12688" s="9" t="s">
        <v>19391</v>
      </c>
    </row>
    <row r="12689" ht="33.75" customHeight="1">
      <c r="A12689" s="7">
        <v>609.0</v>
      </c>
      <c r="B12689" s="9" t="s">
        <v>17630</v>
      </c>
      <c r="C12689" s="9" t="s">
        <v>912</v>
      </c>
      <c r="D12689" s="9" t="s">
        <v>93</v>
      </c>
      <c r="E12689" s="6" t="s">
        <v>11421</v>
      </c>
      <c r="F12689" s="9" t="s">
        <v>19400</v>
      </c>
      <c r="G12689" t="inlineStr" s="6">
        <is>
          <t xml:space="preserve">It absorbs a spirit, which it then burns. By waving the flames on its arms, it puts its foes into a hypnotic trance. Being consumed in Chandelure’s flame burns up the spirit, leaving the body behind. The spirits burned up in its ominous flame lose their way and wander this world forever. This Pokémon haunts dilapidated mansions. It sways its arms to hypnotize opponents with the ominous dancing of its flames. In homes illuminated by Chandelure instead of lights, funerals were a constant occurrence— or so it’s said.</t>
        </is>
      </c>
    </row>
    <row r="12690" ht="33.75" customHeight="1">
      <c r="A12690" s="7">
        <v>609.0</v>
      </c>
      <c r="B12690" s="9" t="s">
        <v>17630</v>
      </c>
      <c r="C12690" s="9" t="s">
        <v>912</v>
      </c>
      <c r="D12690" s="9" t="s">
        <v>95</v>
      </c>
      <c r="E12690" s="6" t="s">
        <v>11423</v>
      </c>
      <c r="F12690" s="9" t="s">
        <v>19400</v>
      </c>
    </row>
    <row r="12691" ht="33.75" customHeight="1">
      <c r="A12691" s="7">
        <v>609.0</v>
      </c>
      <c r="B12691" s="9" t="s">
        <v>17630</v>
      </c>
      <c r="C12691" s="9" t="s">
        <v>912</v>
      </c>
      <c r="D12691" s="9" t="s">
        <v>98</v>
      </c>
      <c r="E12691" s="6" t="s">
        <v>11425</v>
      </c>
      <c r="F12691" s="9" t="s">
        <v>19400</v>
      </c>
    </row>
    <row r="12692" ht="33.75" customHeight="1">
      <c r="A12692" s="7">
        <v>609.0</v>
      </c>
      <c r="B12692" s="9" t="s">
        <v>17630</v>
      </c>
      <c r="C12692" s="9" t="s">
        <v>912</v>
      </c>
      <c r="D12692" s="9" t="s">
        <v>99</v>
      </c>
      <c r="E12692" s="6" t="s">
        <v>11425</v>
      </c>
      <c r="F12692" s="9" t="s">
        <v>19400</v>
      </c>
    </row>
    <row r="12693" ht="33.75" customHeight="1">
      <c r="A12693" s="7">
        <v>609.0</v>
      </c>
      <c r="B12693" s="9" t="s">
        <v>17630</v>
      </c>
      <c r="C12693" s="9" t="s">
        <v>912</v>
      </c>
      <c r="D12693" s="9" t="s">
        <v>101</v>
      </c>
      <c r="E12693" s="6" t="s">
        <v>11423</v>
      </c>
      <c r="F12693" s="9" t="s">
        <v>19400</v>
      </c>
    </row>
    <row r="12694" ht="33.75" customHeight="1">
      <c r="A12694" s="7">
        <v>609.0</v>
      </c>
      <c r="B12694" s="9" t="s">
        <v>17630</v>
      </c>
      <c r="C12694" s="9" t="s">
        <v>912</v>
      </c>
      <c r="D12694" s="9" t="s">
        <v>105</v>
      </c>
      <c r="E12694" s="6" t="s">
        <v>11425</v>
      </c>
      <c r="F12694" s="9" t="s">
        <v>19400</v>
      </c>
    </row>
    <row r="12695" ht="33.75" customHeight="1">
      <c r="A12695" s="7">
        <v>609.0</v>
      </c>
      <c r="B12695" s="9" t="s">
        <v>17630</v>
      </c>
      <c r="C12695" s="9" t="s">
        <v>912</v>
      </c>
      <c r="D12695" s="9" t="s">
        <v>107</v>
      </c>
      <c r="E12695" s="6" t="s">
        <v>11423</v>
      </c>
      <c r="F12695" s="9" t="s">
        <v>19400</v>
      </c>
    </row>
    <row r="12696" ht="33.75" customHeight="1">
      <c r="A12696" s="7">
        <v>609.0</v>
      </c>
      <c r="B12696" s="9" t="s">
        <v>17630</v>
      </c>
      <c r="C12696" s="9" t="s">
        <v>912</v>
      </c>
      <c r="D12696" s="9" t="s">
        <v>109</v>
      </c>
      <c r="E12696" s="6" t="s">
        <v>11425</v>
      </c>
      <c r="F12696" s="9" t="s">
        <v>19400</v>
      </c>
    </row>
    <row r="12697" ht="33.75" customHeight="1">
      <c r="A12697" s="7">
        <v>609.0</v>
      </c>
      <c r="B12697" s="9" t="s">
        <v>17630</v>
      </c>
      <c r="C12697" s="9" t="s">
        <v>912</v>
      </c>
      <c r="D12697" s="9" t="s">
        <v>114</v>
      </c>
      <c r="E12697" s="6" t="s">
        <v>11426</v>
      </c>
      <c r="F12697" s="9" t="s">
        <v>19400</v>
      </c>
    </row>
    <row r="12698" ht="33.75" customHeight="1">
      <c r="A12698" s="7">
        <v>609.0</v>
      </c>
      <c r="B12698" s="9" t="s">
        <v>17630</v>
      </c>
      <c r="C12698" s="9" t="s">
        <v>912</v>
      </c>
      <c r="D12698" s="9" t="s">
        <v>117</v>
      </c>
      <c r="E12698" s="6" t="s">
        <v>11427</v>
      </c>
      <c r="F12698" s="9" t="s">
        <v>19400</v>
      </c>
    </row>
    <row r="12699" ht="33.75" customHeight="1">
      <c r="A12699" s="7">
        <v>610.0</v>
      </c>
      <c r="B12699" s="9" t="s">
        <v>17638</v>
      </c>
      <c r="C12699" s="9" t="s">
        <v>914</v>
      </c>
      <c r="D12699" s="9" t="s">
        <v>93</v>
      </c>
      <c r="E12699" s="6" t="s">
        <v>11429</v>
      </c>
      <c r="F12699" s="9" t="s">
        <v>19412</v>
      </c>
      <c r="G12699" t="inlineStr" s="6">
        <is>
          <t xml:space="preserve">They use their tusks to crush the berries they eat. Repeated regrowth makes their tusks strong and sharp. They mark their territory by leaving gashes in trees with their tusks. If a tusk breaks, a new one grows in quickly. Its large tusks have a tendency to break, but each time they grow back, they grow in harder and sturdier. These Pokémon nest in the ground and use their tusks to crush hard berries. Crushing berries is also how they test each other’s strength. They play with each other by knocking their large tusks together. Their tusks break sometimes, but they grow back so quickly that it isn’t a concern.</t>
        </is>
      </c>
    </row>
    <row r="12700" ht="33.75" customHeight="1">
      <c r="A12700" s="7">
        <v>610.0</v>
      </c>
      <c r="B12700" s="9" t="s">
        <v>17638</v>
      </c>
      <c r="C12700" s="9" t="s">
        <v>914</v>
      </c>
      <c r="D12700" s="9" t="s">
        <v>95</v>
      </c>
      <c r="E12700" s="6" t="s">
        <v>11431</v>
      </c>
      <c r="F12700" s="9" t="s">
        <v>19412</v>
      </c>
    </row>
    <row r="12701" ht="33.75" customHeight="1">
      <c r="A12701" s="7">
        <v>610.0</v>
      </c>
      <c r="B12701" s="9" t="s">
        <v>17638</v>
      </c>
      <c r="C12701" s="9" t="s">
        <v>914</v>
      </c>
      <c r="D12701" s="9" t="s">
        <v>98</v>
      </c>
      <c r="E12701" s="6" t="s">
        <v>11433</v>
      </c>
      <c r="F12701" s="9" t="s">
        <v>19412</v>
      </c>
    </row>
    <row r="12702" ht="33.75" customHeight="1">
      <c r="A12702" s="7">
        <v>610.0</v>
      </c>
      <c r="B12702" s="9" t="s">
        <v>17638</v>
      </c>
      <c r="C12702" s="9" t="s">
        <v>914</v>
      </c>
      <c r="D12702" s="9" t="s">
        <v>99</v>
      </c>
      <c r="E12702" s="6" t="s">
        <v>11433</v>
      </c>
      <c r="F12702" s="9" t="s">
        <v>19412</v>
      </c>
    </row>
    <row r="12703" ht="33.75" customHeight="1">
      <c r="A12703" s="7">
        <v>610.0</v>
      </c>
      <c r="B12703" s="9" t="s">
        <v>17638</v>
      </c>
      <c r="C12703" s="9" t="s">
        <v>914</v>
      </c>
      <c r="D12703" s="9" t="s">
        <v>101</v>
      </c>
      <c r="E12703" s="6" t="s">
        <v>11429</v>
      </c>
      <c r="F12703" s="9" t="s">
        <v>19412</v>
      </c>
    </row>
    <row r="12704" ht="33.75" customHeight="1">
      <c r="A12704" s="7">
        <v>610.0</v>
      </c>
      <c r="B12704" s="9" t="s">
        <v>17638</v>
      </c>
      <c r="C12704" s="9" t="s">
        <v>914</v>
      </c>
      <c r="D12704" s="9" t="s">
        <v>105</v>
      </c>
      <c r="E12704" s="6" t="s">
        <v>11431</v>
      </c>
      <c r="F12704" s="9" t="s">
        <v>19412</v>
      </c>
    </row>
    <row r="12705" ht="33.75" customHeight="1">
      <c r="A12705" s="7">
        <v>610.0</v>
      </c>
      <c r="B12705" s="9" t="s">
        <v>17638</v>
      </c>
      <c r="C12705" s="9" t="s">
        <v>914</v>
      </c>
      <c r="D12705" s="9" t="s">
        <v>107</v>
      </c>
      <c r="E12705" s="6" t="s">
        <v>11429</v>
      </c>
      <c r="F12705" s="9" t="s">
        <v>19412</v>
      </c>
    </row>
    <row r="12706" ht="33.75" customHeight="1">
      <c r="A12706" s="7">
        <v>610.0</v>
      </c>
      <c r="B12706" s="9" t="s">
        <v>17638</v>
      </c>
      <c r="C12706" s="9" t="s">
        <v>914</v>
      </c>
      <c r="D12706" s="9" t="s">
        <v>109</v>
      </c>
      <c r="E12706" s="6" t="s">
        <v>11431</v>
      </c>
      <c r="F12706" s="9" t="s">
        <v>19412</v>
      </c>
    </row>
    <row r="12707" ht="33.75" customHeight="1">
      <c r="A12707" s="7">
        <v>610.0</v>
      </c>
      <c r="B12707" s="9" t="s">
        <v>17638</v>
      </c>
      <c r="C12707" s="9" t="s">
        <v>914</v>
      </c>
      <c r="D12707" s="9" t="s">
        <v>114</v>
      </c>
      <c r="E12707" s="6" t="s">
        <v>11435</v>
      </c>
      <c r="F12707" s="9" t="s">
        <v>19412</v>
      </c>
    </row>
    <row r="12708" ht="33.75" customHeight="1">
      <c r="A12708" s="7">
        <v>610.0</v>
      </c>
      <c r="B12708" s="9" t="s">
        <v>17638</v>
      </c>
      <c r="C12708" s="9" t="s">
        <v>914</v>
      </c>
      <c r="D12708" s="9" t="s">
        <v>117</v>
      </c>
      <c r="E12708" s="6" t="s">
        <v>11436</v>
      </c>
      <c r="F12708" s="9" t="s">
        <v>19412</v>
      </c>
    </row>
    <row r="12709" ht="33.75" customHeight="1">
      <c r="A12709" s="7">
        <v>611.0</v>
      </c>
      <c r="B12709" s="9" t="s">
        <v>17645</v>
      </c>
      <c r="C12709" s="9" t="s">
        <v>915</v>
      </c>
      <c r="D12709" s="9" t="s">
        <v>93</v>
      </c>
      <c r="E12709" s="6" t="s">
        <v>11437</v>
      </c>
      <c r="F12709" s="9" t="s">
        <v>19425</v>
      </c>
      <c r="G12709" t="inlineStr" s="6">
        <is>
          <t xml:space="preserve">Since a broken tusk will not grow back, they diligently sharpen their tusks on river rocks after they’ve been fighting. Their tusks can shatter rocks. Territory battles between Fraxure can be intensely violent. A broken tusk will not grow back, so it diligently sharpens its tusks on river rocks after the end of a battle. After battle, this Pokémon carefully sharpens its tusks on river rocks. It needs to take care of its tusks—if one breaks, it will never grow back. Its skin is as hard as a suit of armor. Fraxure’s favorite strategy is to tackle its opponents, stabbing them with its tusks at the same time.</t>
        </is>
      </c>
    </row>
    <row r="12710" ht="33.75" customHeight="1">
      <c r="A12710" s="7">
        <v>611.0</v>
      </c>
      <c r="B12710" s="9" t="s">
        <v>17645</v>
      </c>
      <c r="C12710" s="9" t="s">
        <v>915</v>
      </c>
      <c r="D12710" s="9" t="s">
        <v>95</v>
      </c>
      <c r="E12710" s="6" t="s">
        <v>11438</v>
      </c>
      <c r="F12710" s="9" t="s">
        <v>19425</v>
      </c>
    </row>
    <row r="12711" ht="33.75" customHeight="1">
      <c r="A12711" s="7">
        <v>611.0</v>
      </c>
      <c r="B12711" s="9" t="s">
        <v>17645</v>
      </c>
      <c r="C12711" s="9" t="s">
        <v>915</v>
      </c>
      <c r="D12711" s="9" t="s">
        <v>98</v>
      </c>
      <c r="E12711" s="6" t="s">
        <v>11439</v>
      </c>
      <c r="F12711" s="9" t="s">
        <v>19425</v>
      </c>
    </row>
    <row r="12712" ht="33.75" customHeight="1">
      <c r="A12712" s="7">
        <v>611.0</v>
      </c>
      <c r="B12712" s="9" t="s">
        <v>17645</v>
      </c>
      <c r="C12712" s="9" t="s">
        <v>915</v>
      </c>
      <c r="D12712" s="9" t="s">
        <v>99</v>
      </c>
      <c r="E12712" s="6" t="s">
        <v>11439</v>
      </c>
      <c r="F12712" s="9" t="s">
        <v>19425</v>
      </c>
    </row>
    <row r="12713" ht="33.75" customHeight="1">
      <c r="A12713" s="7">
        <v>611.0</v>
      </c>
      <c r="B12713" s="9" t="s">
        <v>17645</v>
      </c>
      <c r="C12713" s="9" t="s">
        <v>915</v>
      </c>
      <c r="D12713" s="9" t="s">
        <v>101</v>
      </c>
      <c r="E12713" s="6" t="s">
        <v>11438</v>
      </c>
      <c r="F12713" s="9" t="s">
        <v>19425</v>
      </c>
    </row>
    <row r="12714" ht="33.75" customHeight="1">
      <c r="A12714" s="7">
        <v>611.0</v>
      </c>
      <c r="B12714" s="9" t="s">
        <v>17645</v>
      </c>
      <c r="C12714" s="9" t="s">
        <v>915</v>
      </c>
      <c r="D12714" s="9" t="s">
        <v>105</v>
      </c>
      <c r="E12714" s="6" t="s">
        <v>11439</v>
      </c>
      <c r="F12714" s="9" t="s">
        <v>19425</v>
      </c>
    </row>
    <row r="12715" ht="33.75" customHeight="1">
      <c r="A12715" s="7">
        <v>611.0</v>
      </c>
      <c r="B12715" s="9" t="s">
        <v>17645</v>
      </c>
      <c r="C12715" s="9" t="s">
        <v>915</v>
      </c>
      <c r="D12715" s="9" t="s">
        <v>107</v>
      </c>
      <c r="E12715" s="6" t="s">
        <v>11438</v>
      </c>
      <c r="F12715" s="9" t="s">
        <v>19425</v>
      </c>
    </row>
    <row r="12716" ht="33.75" customHeight="1">
      <c r="A12716" s="7">
        <v>611.0</v>
      </c>
      <c r="B12716" s="9" t="s">
        <v>17645</v>
      </c>
      <c r="C12716" s="9" t="s">
        <v>915</v>
      </c>
      <c r="D12716" s="9" t="s">
        <v>109</v>
      </c>
      <c r="E12716" s="6" t="s">
        <v>11439</v>
      </c>
      <c r="F12716" s="9" t="s">
        <v>19425</v>
      </c>
    </row>
    <row r="12717" ht="33.75" customHeight="1">
      <c r="A12717" s="7">
        <v>611.0</v>
      </c>
      <c r="B12717" s="9" t="s">
        <v>17645</v>
      </c>
      <c r="C12717" s="9" t="s">
        <v>915</v>
      </c>
      <c r="D12717" s="9" t="s">
        <v>114</v>
      </c>
      <c r="E12717" s="6" t="s">
        <v>11440</v>
      </c>
      <c r="F12717" s="9" t="s">
        <v>19425</v>
      </c>
    </row>
    <row r="12718" ht="33.75" customHeight="1">
      <c r="A12718" s="7">
        <v>611.0</v>
      </c>
      <c r="B12718" s="9" t="s">
        <v>17645</v>
      </c>
      <c r="C12718" s="9" t="s">
        <v>915</v>
      </c>
      <c r="D12718" s="9" t="s">
        <v>117</v>
      </c>
      <c r="E12718" s="6" t="s">
        <v>11441</v>
      </c>
      <c r="F12718" s="9" t="s">
        <v>19425</v>
      </c>
    </row>
    <row r="12719" ht="33.75" customHeight="1">
      <c r="A12719" s="7">
        <v>612.0</v>
      </c>
      <c r="B12719" s="9" t="s">
        <v>17653</v>
      </c>
      <c r="C12719" s="9" t="s">
        <v>915</v>
      </c>
      <c r="D12719" s="9" t="s">
        <v>93</v>
      </c>
      <c r="E12719" s="6" t="s">
        <v>11442</v>
      </c>
      <c r="F12719" s="9" t="s">
        <v>19452</v>
      </c>
      <c r="G12719" t="inlineStr" s="6">
        <is>
          <t xml:space="preserve">They are kind but can be relentless when defending territory. They challenge foes with tusks that can cut steel. Their sturdy tusks will stay sharp even if used to cut steel beams. These Pokémon are covered in hard armor. Its tusks are incredibly destructive. They can easily slice through a thick, sturdy steel column every time. Its resilient tusks are its pride and joy. It licks up dirt to take in the minerals it needs to keep its tusks in top condition. While usually kindhearted, it can be terrifying if angered. Tusks that can slice through steel beams are how Haxorus deals with its adversaries.</t>
        </is>
      </c>
    </row>
    <row r="12720" ht="33.75" customHeight="1">
      <c r="A12720" s="7">
        <v>612.0</v>
      </c>
      <c r="B12720" s="9" t="s">
        <v>17653</v>
      </c>
      <c r="C12720" s="9" t="s">
        <v>915</v>
      </c>
      <c r="D12720" s="9" t="s">
        <v>95</v>
      </c>
      <c r="E12720" s="6" t="s">
        <v>11443</v>
      </c>
      <c r="F12720" s="9" t="s">
        <v>19452</v>
      </c>
    </row>
    <row r="12721" ht="33.75" customHeight="1">
      <c r="A12721" s="7">
        <v>612.0</v>
      </c>
      <c r="B12721" s="9" t="s">
        <v>17653</v>
      </c>
      <c r="C12721" s="9" t="s">
        <v>915</v>
      </c>
      <c r="D12721" s="9" t="s">
        <v>98</v>
      </c>
      <c r="E12721" s="6" t="s">
        <v>11444</v>
      </c>
      <c r="F12721" s="9" t="s">
        <v>19452</v>
      </c>
    </row>
    <row r="12722" ht="33.75" customHeight="1">
      <c r="A12722" s="7">
        <v>612.0</v>
      </c>
      <c r="B12722" s="9" t="s">
        <v>17653</v>
      </c>
      <c r="C12722" s="9" t="s">
        <v>915</v>
      </c>
      <c r="D12722" s="9" t="s">
        <v>99</v>
      </c>
      <c r="E12722" s="6" t="s">
        <v>11444</v>
      </c>
      <c r="F12722" s="9" t="s">
        <v>19452</v>
      </c>
    </row>
    <row r="12723" ht="33.75" customHeight="1">
      <c r="A12723" s="7">
        <v>612.0</v>
      </c>
      <c r="B12723" s="9" t="s">
        <v>17653</v>
      </c>
      <c r="C12723" s="9" t="s">
        <v>915</v>
      </c>
      <c r="D12723" s="9" t="s">
        <v>101</v>
      </c>
      <c r="E12723" s="6" t="s">
        <v>11442</v>
      </c>
      <c r="F12723" s="9" t="s">
        <v>19452</v>
      </c>
    </row>
    <row r="12724" ht="33.75" customHeight="1">
      <c r="A12724" s="7">
        <v>612.0</v>
      </c>
      <c r="B12724" s="9" t="s">
        <v>17653</v>
      </c>
      <c r="C12724" s="9" t="s">
        <v>915</v>
      </c>
      <c r="D12724" s="9" t="s">
        <v>105</v>
      </c>
      <c r="E12724" s="6" t="s">
        <v>11443</v>
      </c>
      <c r="F12724" s="9" t="s">
        <v>19452</v>
      </c>
    </row>
    <row r="12725" ht="33.75" customHeight="1">
      <c r="A12725" s="7">
        <v>612.0</v>
      </c>
      <c r="B12725" s="9" t="s">
        <v>17653</v>
      </c>
      <c r="C12725" s="9" t="s">
        <v>915</v>
      </c>
      <c r="D12725" s="9" t="s">
        <v>107</v>
      </c>
      <c r="E12725" s="6" t="s">
        <v>11442</v>
      </c>
      <c r="F12725" s="9" t="s">
        <v>19452</v>
      </c>
    </row>
    <row r="12726" ht="33.75" customHeight="1">
      <c r="A12726" s="7">
        <v>612.0</v>
      </c>
      <c r="B12726" s="9" t="s">
        <v>17653</v>
      </c>
      <c r="C12726" s="9" t="s">
        <v>915</v>
      </c>
      <c r="D12726" s="9" t="s">
        <v>109</v>
      </c>
      <c r="E12726" s="6" t="s">
        <v>11443</v>
      </c>
      <c r="F12726" s="9" t="s">
        <v>19452</v>
      </c>
    </row>
    <row r="12727" ht="33.75" customHeight="1">
      <c r="A12727" s="7">
        <v>612.0</v>
      </c>
      <c r="B12727" s="9" t="s">
        <v>17653</v>
      </c>
      <c r="C12727" s="9" t="s">
        <v>915</v>
      </c>
      <c r="D12727" s="9" t="s">
        <v>114</v>
      </c>
      <c r="E12727" s="6" t="s">
        <v>11446</v>
      </c>
      <c r="F12727" s="9" t="s">
        <v>19452</v>
      </c>
    </row>
    <row r="12728" ht="33.75" customHeight="1">
      <c r="A12728" s="7">
        <v>612.0</v>
      </c>
      <c r="B12728" s="9" t="s">
        <v>17653</v>
      </c>
      <c r="C12728" s="9" t="s">
        <v>915</v>
      </c>
      <c r="D12728" s="9" t="s">
        <v>117</v>
      </c>
      <c r="E12728" s="6" t="s">
        <v>11447</v>
      </c>
      <c r="F12728" s="9" t="s">
        <v>19452</v>
      </c>
    </row>
    <row r="12729" ht="33.75" customHeight="1">
      <c r="A12729" s="7">
        <v>613.0</v>
      </c>
      <c r="B12729" s="9" t="s">
        <v>17660</v>
      </c>
      <c r="C12729" s="9" t="s">
        <v>917</v>
      </c>
      <c r="D12729" s="9" t="s">
        <v>93</v>
      </c>
      <c r="E12729" s="6" t="s">
        <v>11448</v>
      </c>
      <c r="F12729" s="9" t="s">
        <v>19468</v>
      </c>
      <c r="G12729" t="inlineStr" s="6">
        <is>
          <t xml:space="preserve">When it is not feeling well, Cubchoo's mucus gets watery and the power of its Ice-type moves decreases. Its nose is always running. It sniffs the snot back up because the mucus provides the raw material for its moves. Their snot is a barometer of health. When healthy, their snot is sticky and the power of their ice moves increases. When this Pokémon is in good health, its snot becomes thicker and stickier. It will smear its snot on anyone it doesn’t like. It sniffles before performing a move, using its frosty snot to provide an icy element to any move that needs it.</t>
        </is>
      </c>
    </row>
    <row r="12730" ht="33.75" customHeight="1">
      <c r="A12730" s="7">
        <v>613.0</v>
      </c>
      <c r="B12730" s="9" t="s">
        <v>17660</v>
      </c>
      <c r="C12730" s="9" t="s">
        <v>917</v>
      </c>
      <c r="D12730" s="9" t="s">
        <v>95</v>
      </c>
      <c r="E12730" s="6" t="s">
        <v>11449</v>
      </c>
      <c r="F12730" s="9" t="s">
        <v>19468</v>
      </c>
    </row>
    <row r="12731" ht="33.75" customHeight="1">
      <c r="A12731" s="7">
        <v>613.0</v>
      </c>
      <c r="B12731" s="9" t="s">
        <v>17660</v>
      </c>
      <c r="C12731" s="9" t="s">
        <v>917</v>
      </c>
      <c r="D12731" s="9" t="s">
        <v>98</v>
      </c>
      <c r="E12731" s="6" t="s">
        <v>11450</v>
      </c>
      <c r="F12731" s="9" t="s">
        <v>19468</v>
      </c>
    </row>
    <row r="12732" ht="33.75" customHeight="1">
      <c r="A12732" s="7">
        <v>613.0</v>
      </c>
      <c r="B12732" s="9" t="s">
        <v>17660</v>
      </c>
      <c r="C12732" s="9" t="s">
        <v>917</v>
      </c>
      <c r="D12732" s="9" t="s">
        <v>99</v>
      </c>
      <c r="E12732" s="6" t="s">
        <v>11450</v>
      </c>
      <c r="F12732" s="9" t="s">
        <v>19468</v>
      </c>
    </row>
    <row r="12733" ht="33.75" customHeight="1">
      <c r="A12733" s="7">
        <v>613.0</v>
      </c>
      <c r="B12733" s="9" t="s">
        <v>17660</v>
      </c>
      <c r="C12733" s="9" t="s">
        <v>917</v>
      </c>
      <c r="D12733" s="9" t="s">
        <v>101</v>
      </c>
      <c r="E12733" s="6" t="s">
        <v>11449</v>
      </c>
      <c r="F12733" s="9" t="s">
        <v>19468</v>
      </c>
    </row>
    <row r="12734" ht="33.75" customHeight="1">
      <c r="A12734" s="7">
        <v>613.0</v>
      </c>
      <c r="B12734" s="9" t="s">
        <v>17660</v>
      </c>
      <c r="C12734" s="9" t="s">
        <v>917</v>
      </c>
      <c r="D12734" s="9" t="s">
        <v>105</v>
      </c>
      <c r="E12734" s="6" t="s">
        <v>11450</v>
      </c>
      <c r="F12734" s="9" t="s">
        <v>19468</v>
      </c>
    </row>
    <row r="12735" ht="33.75" customHeight="1">
      <c r="A12735" s="7">
        <v>613.0</v>
      </c>
      <c r="B12735" s="9" t="s">
        <v>17660</v>
      </c>
      <c r="C12735" s="9" t="s">
        <v>917</v>
      </c>
      <c r="D12735" s="9" t="s">
        <v>107</v>
      </c>
      <c r="E12735" s="6" t="s">
        <v>11449</v>
      </c>
      <c r="F12735" s="9" t="s">
        <v>19468</v>
      </c>
    </row>
    <row r="12736" ht="33.75" customHeight="1">
      <c r="A12736" s="7">
        <v>613.0</v>
      </c>
      <c r="B12736" s="9" t="s">
        <v>17660</v>
      </c>
      <c r="C12736" s="9" t="s">
        <v>917</v>
      </c>
      <c r="D12736" s="9" t="s">
        <v>109</v>
      </c>
      <c r="E12736" s="6" t="s">
        <v>11450</v>
      </c>
      <c r="F12736" s="9" t="s">
        <v>19468</v>
      </c>
    </row>
    <row r="12737" ht="33.75" customHeight="1">
      <c r="A12737" s="7">
        <v>613.0</v>
      </c>
      <c r="B12737" s="9" t="s">
        <v>17660</v>
      </c>
      <c r="C12737" s="9" t="s">
        <v>917</v>
      </c>
      <c r="D12737" s="9" t="s">
        <v>114</v>
      </c>
      <c r="E12737" s="6" t="s">
        <v>11453</v>
      </c>
      <c r="F12737" s="9" t="s">
        <v>19468</v>
      </c>
    </row>
    <row r="12738" ht="33.75" customHeight="1">
      <c r="A12738" s="7">
        <v>613.0</v>
      </c>
      <c r="B12738" s="9" t="s">
        <v>17660</v>
      </c>
      <c r="C12738" s="9" t="s">
        <v>917</v>
      </c>
      <c r="D12738" s="9" t="s">
        <v>117</v>
      </c>
      <c r="E12738" s="6" t="s">
        <v>11455</v>
      </c>
      <c r="F12738" s="9" t="s">
        <v>19468</v>
      </c>
    </row>
    <row r="12739" ht="33.75" customHeight="1">
      <c r="A12739" s="7">
        <v>614.0</v>
      </c>
      <c r="B12739" s="9" t="s">
        <v>17669</v>
      </c>
      <c r="C12739" s="9" t="s">
        <v>919</v>
      </c>
      <c r="D12739" s="9" t="s">
        <v>93</v>
      </c>
      <c r="E12739" s="6" t="s">
        <v>11457</v>
      </c>
      <c r="F12739" s="9" t="s">
        <v>19503</v>
      </c>
      <c r="G12739" t="inlineStr" s="6">
        <is>
          <t xml:space="preserve">It can make Beartic's breath freeze at will. Very able in the water, it swims around in northern seas and catches prey. It freezes its breath to create fangs and claws of ice to fight with. Cold northern areas are its habitat. They love the cold seas of the north. They create pathways across the ocean waters by freezing their own breath. It swims through frigid seas, searching for prey. From its frozen breath, it forms icy fangs that are harder than steel. It swims energetically through frigid seas. When it gets tired, it freezes the seawater with its breath so it can rest on the ice.</t>
        </is>
      </c>
    </row>
    <row r="12740" ht="33.75" customHeight="1">
      <c r="A12740" s="7">
        <v>614.0</v>
      </c>
      <c r="B12740" s="9" t="s">
        <v>17669</v>
      </c>
      <c r="C12740" s="9" t="s">
        <v>919</v>
      </c>
      <c r="D12740" s="9" t="s">
        <v>95</v>
      </c>
      <c r="E12740" s="6" t="s">
        <v>11459</v>
      </c>
      <c r="F12740" s="9" t="s">
        <v>19503</v>
      </c>
    </row>
    <row r="12741" ht="33.75" customHeight="1">
      <c r="A12741" s="7">
        <v>614.0</v>
      </c>
      <c r="B12741" s="9" t="s">
        <v>17669</v>
      </c>
      <c r="C12741" s="9" t="s">
        <v>919</v>
      </c>
      <c r="D12741" s="9" t="s">
        <v>98</v>
      </c>
      <c r="E12741" s="6" t="s">
        <v>11461</v>
      </c>
      <c r="F12741" s="9" t="s">
        <v>19503</v>
      </c>
    </row>
    <row r="12742" ht="33.75" customHeight="1">
      <c r="A12742" s="7">
        <v>614.0</v>
      </c>
      <c r="B12742" s="9" t="s">
        <v>17669</v>
      </c>
      <c r="C12742" s="9" t="s">
        <v>919</v>
      </c>
      <c r="D12742" s="9" t="s">
        <v>99</v>
      </c>
      <c r="E12742" s="6" t="s">
        <v>11461</v>
      </c>
      <c r="F12742" s="9" t="s">
        <v>19503</v>
      </c>
    </row>
    <row r="12743" ht="33.75" customHeight="1">
      <c r="A12743" s="7">
        <v>614.0</v>
      </c>
      <c r="B12743" s="9" t="s">
        <v>17669</v>
      </c>
      <c r="C12743" s="9" t="s">
        <v>919</v>
      </c>
      <c r="D12743" s="9" t="s">
        <v>101</v>
      </c>
      <c r="E12743" s="6" t="s">
        <v>11461</v>
      </c>
      <c r="F12743" s="9" t="s">
        <v>19503</v>
      </c>
    </row>
    <row r="12744" ht="33.75" customHeight="1">
      <c r="A12744" s="7">
        <v>614.0</v>
      </c>
      <c r="B12744" s="9" t="s">
        <v>17669</v>
      </c>
      <c r="C12744" s="9" t="s">
        <v>919</v>
      </c>
      <c r="D12744" s="9" t="s">
        <v>105</v>
      </c>
      <c r="E12744" s="6" t="s">
        <v>11459</v>
      </c>
      <c r="F12744" s="9" t="s">
        <v>19503</v>
      </c>
    </row>
    <row r="12745" ht="33.75" customHeight="1">
      <c r="A12745" s="7">
        <v>614.0</v>
      </c>
      <c r="B12745" s="9" t="s">
        <v>17669</v>
      </c>
      <c r="C12745" s="9" t="s">
        <v>919</v>
      </c>
      <c r="D12745" s="9" t="s">
        <v>107</v>
      </c>
      <c r="E12745" s="6" t="s">
        <v>11461</v>
      </c>
      <c r="F12745" s="9" t="s">
        <v>19503</v>
      </c>
    </row>
    <row r="12746" ht="33.75" customHeight="1">
      <c r="A12746" s="7">
        <v>614.0</v>
      </c>
      <c r="B12746" s="9" t="s">
        <v>17669</v>
      </c>
      <c r="C12746" s="9" t="s">
        <v>919</v>
      </c>
      <c r="D12746" s="9" t="s">
        <v>109</v>
      </c>
      <c r="E12746" s="6" t="s">
        <v>11459</v>
      </c>
      <c r="F12746" s="9" t="s">
        <v>19503</v>
      </c>
    </row>
    <row r="12747" ht="33.75" customHeight="1">
      <c r="A12747" s="7">
        <v>614.0</v>
      </c>
      <c r="B12747" s="9" t="s">
        <v>17669</v>
      </c>
      <c r="C12747" s="9" t="s">
        <v>919</v>
      </c>
      <c r="D12747" s="9" t="s">
        <v>114</v>
      </c>
      <c r="E12747" s="6" t="s">
        <v>11462</v>
      </c>
      <c r="F12747" s="9" t="s">
        <v>19503</v>
      </c>
    </row>
    <row r="12748" ht="33.75" customHeight="1">
      <c r="A12748" s="7">
        <v>614.0</v>
      </c>
      <c r="B12748" s="9" t="s">
        <v>17669</v>
      </c>
      <c r="C12748" s="9" t="s">
        <v>919</v>
      </c>
      <c r="D12748" s="9" t="s">
        <v>117</v>
      </c>
      <c r="E12748" s="6" t="s">
        <v>11464</v>
      </c>
      <c r="F12748" s="9" t="s">
        <v>19503</v>
      </c>
    </row>
    <row r="12749" ht="33.75" customHeight="1">
      <c r="A12749" s="7">
        <v>615.0</v>
      </c>
      <c r="B12749" s="9" t="s">
        <v>17678</v>
      </c>
      <c r="C12749" s="9" t="s">
        <v>921</v>
      </c>
      <c r="D12749" s="9" t="s">
        <v>93</v>
      </c>
      <c r="E12749" s="6" t="s">
        <v>11466</v>
      </c>
      <c r="F12749" s="9" t="s">
        <v>19517</v>
      </c>
      <c r="G12749" t="inlineStr" s="6">
        <is>
          <t xml:space="preserve">When Cryogonal's body temperature goes up, it turns into steam and vanishes. When its temperature lowers, it returns to ice. They are born in snow clouds. They use chains made of ice crystals to capture prey. They are composed of ice crystals. They capture prey with chains of ice, freezing the prey at -148° F. They capture prey with chains of ice, freezing the prey at -148 degrees Fahrenheit. With its icy chains, Cryogonal freezes those it encounters. It then takes its victims away to somewhere unknown. When the weather gets hot, these Pokémon turn into water vapor. Cryogonal are almost never seen during summer.</t>
        </is>
      </c>
    </row>
    <row r="12750" ht="33.75" customHeight="1">
      <c r="A12750" s="7">
        <v>615.0</v>
      </c>
      <c r="B12750" s="9" t="s">
        <v>17678</v>
      </c>
      <c r="C12750" s="9" t="s">
        <v>921</v>
      </c>
      <c r="D12750" s="9" t="s">
        <v>95</v>
      </c>
      <c r="E12750" s="6" t="s">
        <v>11467</v>
      </c>
      <c r="F12750" s="9" t="s">
        <v>19517</v>
      </c>
    </row>
    <row r="12751" ht="33.75" customHeight="1">
      <c r="A12751" s="7">
        <v>615.0</v>
      </c>
      <c r="B12751" s="9" t="s">
        <v>17678</v>
      </c>
      <c r="C12751" s="9" t="s">
        <v>921</v>
      </c>
      <c r="D12751" s="9" t="s">
        <v>98</v>
      </c>
      <c r="E12751" s="6" t="s">
        <v>11468</v>
      </c>
      <c r="F12751" s="9" t="s">
        <v>19517</v>
      </c>
    </row>
    <row r="12752" ht="33.75" customHeight="1">
      <c r="A12752" s="7">
        <v>615.0</v>
      </c>
      <c r="B12752" s="9" t="s">
        <v>17678</v>
      </c>
      <c r="C12752" s="9" t="s">
        <v>921</v>
      </c>
      <c r="D12752" s="9" t="s">
        <v>99</v>
      </c>
      <c r="E12752" s="6" t="s">
        <v>11468</v>
      </c>
      <c r="F12752" s="9" t="s">
        <v>19517</v>
      </c>
    </row>
    <row r="12753" ht="33.75" customHeight="1">
      <c r="A12753" s="7">
        <v>615.0</v>
      </c>
      <c r="B12753" s="9" t="s">
        <v>17678</v>
      </c>
      <c r="C12753" s="9" t="s">
        <v>921</v>
      </c>
      <c r="D12753" s="9" t="s">
        <v>101</v>
      </c>
      <c r="E12753" s="6" t="s">
        <v>11467</v>
      </c>
      <c r="F12753" s="9" t="s">
        <v>19517</v>
      </c>
    </row>
    <row r="12754" ht="33.75" customHeight="1">
      <c r="A12754" s="7">
        <v>615.0</v>
      </c>
      <c r="B12754" s="9" t="s">
        <v>17678</v>
      </c>
      <c r="C12754" s="9" t="s">
        <v>921</v>
      </c>
      <c r="D12754" s="9" t="s">
        <v>105</v>
      </c>
      <c r="E12754" s="6" t="s">
        <v>11469</v>
      </c>
      <c r="F12754" s="9" t="s">
        <v>19517</v>
      </c>
    </row>
    <row r="12755" ht="33.75" customHeight="1">
      <c r="A12755" s="7">
        <v>615.0</v>
      </c>
      <c r="B12755" s="9" t="s">
        <v>17678</v>
      </c>
      <c r="C12755" s="9" t="s">
        <v>921</v>
      </c>
      <c r="D12755" s="9" t="s">
        <v>107</v>
      </c>
      <c r="E12755" s="6" t="s">
        <v>11467</v>
      </c>
      <c r="F12755" s="9" t="s">
        <v>19517</v>
      </c>
    </row>
    <row r="12756" ht="33.75" customHeight="1">
      <c r="A12756" s="7">
        <v>615.0</v>
      </c>
      <c r="B12756" s="9" t="s">
        <v>17678</v>
      </c>
      <c r="C12756" s="9" t="s">
        <v>921</v>
      </c>
      <c r="D12756" s="9" t="s">
        <v>109</v>
      </c>
      <c r="E12756" s="6" t="s">
        <v>11469</v>
      </c>
      <c r="F12756" s="9" t="s">
        <v>19517</v>
      </c>
    </row>
    <row r="12757" ht="33.75" customHeight="1">
      <c r="A12757" s="7">
        <v>615.0</v>
      </c>
      <c r="B12757" s="9" t="s">
        <v>17678</v>
      </c>
      <c r="C12757" s="9" t="s">
        <v>921</v>
      </c>
      <c r="D12757" s="9" t="s">
        <v>114</v>
      </c>
      <c r="E12757" s="6" t="s">
        <v>11471</v>
      </c>
      <c r="F12757" s="9" t="s">
        <v>19517</v>
      </c>
    </row>
    <row r="12758" ht="33.75" customHeight="1">
      <c r="A12758" s="7">
        <v>615.0</v>
      </c>
      <c r="B12758" s="9" t="s">
        <v>17678</v>
      </c>
      <c r="C12758" s="9" t="s">
        <v>921</v>
      </c>
      <c r="D12758" s="9" t="s">
        <v>117</v>
      </c>
      <c r="E12758" s="6" t="s">
        <v>11472</v>
      </c>
      <c r="F12758" s="9" t="s">
        <v>19517</v>
      </c>
    </row>
    <row r="12759" ht="33.75" customHeight="1">
      <c r="A12759" s="7">
        <v>616.0</v>
      </c>
      <c r="B12759" s="9" t="s">
        <v>17687</v>
      </c>
      <c r="C12759" s="9" t="s">
        <v>922</v>
      </c>
      <c r="D12759" s="9" t="s">
        <v>93</v>
      </c>
      <c r="E12759" s="6" t="s">
        <v>11474</v>
      </c>
      <c r="F12759" s="9" t="s">
        <v>19528</v>
      </c>
      <c r="G12759" t="inlineStr" s="6">
        <is>
          <t xml:space="preserve">When attacked, it defends itself by closing the lid of Shelmet's shell. It can spit a sticky, poisonous liquid. It evolves when bathed in an electric-like energy along with Karrablast. The reason is still unknown. When it and Karrablast are together, and both receive electrical stimulation, they both evolve. When attacked, it tightly shuts the lid of its shell. This reaction fails to protect it from Karrablast, however, because they can still get into the shell. It has a strange physiology that responds to electricity. When together with Karrablast, Shelmet evolves for some reason.</t>
        </is>
      </c>
    </row>
    <row r="12760" ht="33.75" customHeight="1">
      <c r="A12760" s="7">
        <v>616.0</v>
      </c>
      <c r="B12760" s="9" t="s">
        <v>17687</v>
      </c>
      <c r="C12760" s="9" t="s">
        <v>922</v>
      </c>
      <c r="D12760" s="9" t="s">
        <v>95</v>
      </c>
      <c r="E12760" s="6" t="s">
        <v>11476</v>
      </c>
      <c r="F12760" s="9" t="s">
        <v>19528</v>
      </c>
    </row>
    <row r="12761" ht="33.75" customHeight="1">
      <c r="A12761" s="7">
        <v>616.0</v>
      </c>
      <c r="B12761" s="9" t="s">
        <v>17687</v>
      </c>
      <c r="C12761" s="9" t="s">
        <v>922</v>
      </c>
      <c r="D12761" s="9" t="s">
        <v>98</v>
      </c>
      <c r="E12761" s="6" t="s">
        <v>11478</v>
      </c>
      <c r="F12761" s="9" t="s">
        <v>19528</v>
      </c>
    </row>
    <row r="12762" ht="33.75" customHeight="1">
      <c r="A12762" s="7">
        <v>616.0</v>
      </c>
      <c r="B12762" s="9" t="s">
        <v>17687</v>
      </c>
      <c r="C12762" s="9" t="s">
        <v>922</v>
      </c>
      <c r="D12762" s="9" t="s">
        <v>99</v>
      </c>
      <c r="E12762" s="6" t="s">
        <v>11478</v>
      </c>
      <c r="F12762" s="9" t="s">
        <v>19528</v>
      </c>
    </row>
    <row r="12763" ht="33.75" customHeight="1">
      <c r="A12763" s="7">
        <v>616.0</v>
      </c>
      <c r="B12763" s="9" t="s">
        <v>17687</v>
      </c>
      <c r="C12763" s="9" t="s">
        <v>922</v>
      </c>
      <c r="D12763" s="9" t="s">
        <v>101</v>
      </c>
      <c r="E12763" s="6" t="s">
        <v>11478</v>
      </c>
      <c r="F12763" s="9" t="s">
        <v>19528</v>
      </c>
    </row>
    <row r="12764" ht="33.75" customHeight="1">
      <c r="A12764" s="7">
        <v>616.0</v>
      </c>
      <c r="B12764" s="9" t="s">
        <v>17687</v>
      </c>
      <c r="C12764" s="9" t="s">
        <v>922</v>
      </c>
      <c r="D12764" s="9" t="s">
        <v>105</v>
      </c>
      <c r="E12764" s="6" t="s">
        <v>11476</v>
      </c>
      <c r="F12764" s="9" t="s">
        <v>19528</v>
      </c>
    </row>
    <row r="12765" ht="33.75" customHeight="1">
      <c r="A12765" s="7">
        <v>616.0</v>
      </c>
      <c r="B12765" s="9" t="s">
        <v>17687</v>
      </c>
      <c r="C12765" s="9" t="s">
        <v>922</v>
      </c>
      <c r="D12765" s="9" t="s">
        <v>107</v>
      </c>
      <c r="E12765" s="6" t="s">
        <v>11478</v>
      </c>
      <c r="F12765" s="9" t="s">
        <v>19528</v>
      </c>
    </row>
    <row r="12766" ht="33.75" customHeight="1">
      <c r="A12766" s="7">
        <v>616.0</v>
      </c>
      <c r="B12766" s="9" t="s">
        <v>17687</v>
      </c>
      <c r="C12766" s="9" t="s">
        <v>922</v>
      </c>
      <c r="D12766" s="9" t="s">
        <v>109</v>
      </c>
      <c r="E12766" s="6" t="s">
        <v>11476</v>
      </c>
      <c r="F12766" s="9" t="s">
        <v>19528</v>
      </c>
    </row>
    <row r="12767" ht="33.75" customHeight="1">
      <c r="A12767" s="7">
        <v>616.0</v>
      </c>
      <c r="B12767" s="9" t="s">
        <v>17687</v>
      </c>
      <c r="C12767" s="9" t="s">
        <v>922</v>
      </c>
      <c r="D12767" s="9" t="s">
        <v>114</v>
      </c>
      <c r="E12767" s="6" t="s">
        <v>11479</v>
      </c>
      <c r="F12767" s="9" t="s">
        <v>19528</v>
      </c>
    </row>
    <row r="12768" ht="33.75" customHeight="1">
      <c r="A12768" s="7">
        <v>616.0</v>
      </c>
      <c r="B12768" s="9" t="s">
        <v>17687</v>
      </c>
      <c r="C12768" s="9" t="s">
        <v>922</v>
      </c>
      <c r="D12768" s="9" t="s">
        <v>117</v>
      </c>
      <c r="E12768" s="6" t="s">
        <v>11480</v>
      </c>
      <c r="F12768" s="9" t="s">
        <v>19528</v>
      </c>
    </row>
    <row r="12769" ht="33.75" customHeight="1">
      <c r="A12769" s="7">
        <v>617.0</v>
      </c>
      <c r="B12769" s="9" t="s">
        <v>17696</v>
      </c>
      <c r="C12769" s="9" t="s">
        <v>924</v>
      </c>
      <c r="D12769" s="9" t="s">
        <v>93</v>
      </c>
      <c r="E12769" s="6" t="s">
        <v>11481</v>
      </c>
      <c r="F12769" s="9" t="s">
        <v>19541</v>
      </c>
      <c r="G12769" t="inlineStr" s="6">
        <is>
          <t xml:space="preserve">When Accelgor's body dries out, it weakens. So, to prevent dehydration, it wraps itself in many layers of thin membrane. Having removed its heavy shell, it becomes very light and can fight with ninja-like movements. So it wraps a membrane around itself for protection while it spits poison. It moves with blinding speed and lobs poison at foes. Featuring Accelgor as a main character is a surefire way to make a movie or comic popular. Discarding its shell made it nimble. To keep itself from dehydrating, it wraps its body in bands of membrane.</t>
        </is>
      </c>
    </row>
    <row r="12770" ht="33.75" customHeight="1">
      <c r="A12770" s="7">
        <v>617.0</v>
      </c>
      <c r="B12770" s="9" t="s">
        <v>17696</v>
      </c>
      <c r="C12770" s="9" t="s">
        <v>924</v>
      </c>
      <c r="D12770" s="9" t="s">
        <v>95</v>
      </c>
      <c r="E12770" s="6" t="s">
        <v>11483</v>
      </c>
      <c r="F12770" s="9" t="s">
        <v>19541</v>
      </c>
    </row>
    <row r="12771" ht="33.75" customHeight="1">
      <c r="A12771" s="7">
        <v>617.0</v>
      </c>
      <c r="B12771" s="9" t="s">
        <v>17696</v>
      </c>
      <c r="C12771" s="9" t="s">
        <v>924</v>
      </c>
      <c r="D12771" s="9" t="s">
        <v>98</v>
      </c>
      <c r="E12771" s="6" t="s">
        <v>11485</v>
      </c>
      <c r="F12771" s="9" t="s">
        <v>19541</v>
      </c>
    </row>
    <row r="12772" ht="33.75" customHeight="1">
      <c r="A12772" s="7">
        <v>617.0</v>
      </c>
      <c r="B12772" s="9" t="s">
        <v>17696</v>
      </c>
      <c r="C12772" s="9" t="s">
        <v>924</v>
      </c>
      <c r="D12772" s="9" t="s">
        <v>99</v>
      </c>
      <c r="E12772" s="6" t="s">
        <v>11485</v>
      </c>
      <c r="F12772" s="9" t="s">
        <v>19541</v>
      </c>
    </row>
    <row r="12773" ht="33.75" customHeight="1">
      <c r="A12773" s="7">
        <v>617.0</v>
      </c>
      <c r="B12773" s="9" t="s">
        <v>17696</v>
      </c>
      <c r="C12773" s="9" t="s">
        <v>924</v>
      </c>
      <c r="D12773" s="9" t="s">
        <v>101</v>
      </c>
      <c r="E12773" s="6" t="s">
        <v>11483</v>
      </c>
      <c r="F12773" s="9" t="s">
        <v>19541</v>
      </c>
    </row>
    <row r="12774" ht="33.75" customHeight="1">
      <c r="A12774" s="7">
        <v>617.0</v>
      </c>
      <c r="B12774" s="9" t="s">
        <v>17696</v>
      </c>
      <c r="C12774" s="9" t="s">
        <v>924</v>
      </c>
      <c r="D12774" s="9" t="s">
        <v>105</v>
      </c>
      <c r="E12774" s="6" t="s">
        <v>11481</v>
      </c>
      <c r="F12774" s="9" t="s">
        <v>19541</v>
      </c>
    </row>
    <row r="12775" ht="33.75" customHeight="1">
      <c r="A12775" s="7">
        <v>617.0</v>
      </c>
      <c r="B12775" s="9" t="s">
        <v>17696</v>
      </c>
      <c r="C12775" s="9" t="s">
        <v>924</v>
      </c>
      <c r="D12775" s="9" t="s">
        <v>107</v>
      </c>
      <c r="E12775" s="6" t="s">
        <v>11483</v>
      </c>
      <c r="F12775" s="9" t="s">
        <v>19541</v>
      </c>
    </row>
    <row r="12776" ht="33.75" customHeight="1">
      <c r="A12776" s="7">
        <v>617.0</v>
      </c>
      <c r="B12776" s="9" t="s">
        <v>17696</v>
      </c>
      <c r="C12776" s="9" t="s">
        <v>924</v>
      </c>
      <c r="D12776" s="9" t="s">
        <v>109</v>
      </c>
      <c r="E12776" s="6" t="s">
        <v>11481</v>
      </c>
      <c r="F12776" s="9" t="s">
        <v>19541</v>
      </c>
    </row>
    <row r="12777" ht="33.75" customHeight="1">
      <c r="A12777" s="7">
        <v>617.0</v>
      </c>
      <c r="B12777" s="9" t="s">
        <v>17696</v>
      </c>
      <c r="C12777" s="9" t="s">
        <v>924</v>
      </c>
      <c r="D12777" s="9" t="s">
        <v>114</v>
      </c>
      <c r="E12777" s="6" t="s">
        <v>11486</v>
      </c>
      <c r="F12777" s="9" t="s">
        <v>19541</v>
      </c>
    </row>
    <row r="12778" ht="33.75" customHeight="1">
      <c r="A12778" s="7">
        <v>617.0</v>
      </c>
      <c r="B12778" s="9" t="s">
        <v>17696</v>
      </c>
      <c r="C12778" s="9" t="s">
        <v>924</v>
      </c>
      <c r="D12778" s="9" t="s">
        <v>117</v>
      </c>
      <c r="E12778" s="6" t="s">
        <v>11488</v>
      </c>
      <c r="F12778" s="9" t="s">
        <v>19541</v>
      </c>
    </row>
    <row r="12779" ht="33.75" customHeight="1">
      <c r="A12779" s="7">
        <v>618.0</v>
      </c>
      <c r="B12779" s="9" t="s">
        <v>17704</v>
      </c>
      <c r="C12779" s="9" t="s">
        <v>927</v>
      </c>
      <c r="D12779" s="9" t="s">
        <v>93</v>
      </c>
      <c r="E12779" s="6" t="s">
        <v>11491</v>
      </c>
      <c r="F12779" s="9" t="s">
        <v>19552</v>
      </c>
      <c r="G12779" t="inlineStr" s="6">
        <is>
          <t xml:space="preserve">Stunfisk's skin is very hard, so it is unhurt even if stepped on by sumo wrestlers. It smiles when transmitting electricity. It conceals itself in the mud of the seashore. Then it waits. When prey touch it, it delivers a jolt of electricity. When its opponent can’t be paralyzed, it contorts itself with unexpected speed and flops away. Thanks to bacteria that lived in the mud flats with it, this Pokémon developed the organs it uses to generate electricity. For some reason, this Pokémon smiles slightly when it emits a strong electric current from the yellow markings on its body.</t>
        </is>
      </c>
    </row>
    <row r="12780" ht="33.75" customHeight="1">
      <c r="A12780" s="7">
        <v>618.0</v>
      </c>
      <c r="B12780" s="9" t="s">
        <v>17704</v>
      </c>
      <c r="C12780" s="9" t="s">
        <v>927</v>
      </c>
      <c r="D12780" s="9" t="s">
        <v>95</v>
      </c>
      <c r="E12780" s="6" t="s">
        <v>11493</v>
      </c>
      <c r="F12780" s="9" t="s">
        <v>19552</v>
      </c>
    </row>
    <row r="12781" ht="33.75" customHeight="1">
      <c r="A12781" s="7">
        <v>618.0</v>
      </c>
      <c r="B12781" s="9" t="s">
        <v>17704</v>
      </c>
      <c r="C12781" s="9" t="s">
        <v>927</v>
      </c>
      <c r="D12781" s="9" t="s">
        <v>98</v>
      </c>
      <c r="E12781" s="6" t="s">
        <v>11495</v>
      </c>
      <c r="F12781" s="9" t="s">
        <v>19552</v>
      </c>
    </row>
    <row r="12782" ht="33.75" customHeight="1">
      <c r="A12782" s="7">
        <v>618.0</v>
      </c>
      <c r="B12782" s="9" t="s">
        <v>17704</v>
      </c>
      <c r="C12782" s="9" t="s">
        <v>927</v>
      </c>
      <c r="D12782" s="9" t="s">
        <v>99</v>
      </c>
      <c r="E12782" s="6" t="s">
        <v>11495</v>
      </c>
      <c r="F12782" s="9" t="s">
        <v>19552</v>
      </c>
    </row>
    <row r="12783" ht="33.75" customHeight="1">
      <c r="A12783" s="7">
        <v>618.0</v>
      </c>
      <c r="B12783" s="9" t="s">
        <v>17704</v>
      </c>
      <c r="C12783" s="9" t="s">
        <v>927</v>
      </c>
      <c r="D12783" s="9" t="s">
        <v>101</v>
      </c>
      <c r="E12783" s="6" t="s">
        <v>11491</v>
      </c>
      <c r="F12783" s="9" t="s">
        <v>19552</v>
      </c>
    </row>
    <row r="12784" ht="33.75" customHeight="1">
      <c r="A12784" s="7">
        <v>618.0</v>
      </c>
      <c r="B12784" s="9" t="s">
        <v>17704</v>
      </c>
      <c r="C12784" s="9" t="s">
        <v>927</v>
      </c>
      <c r="D12784" s="9" t="s">
        <v>105</v>
      </c>
      <c r="E12784" s="6" t="s">
        <v>11493</v>
      </c>
      <c r="F12784" s="9" t="s">
        <v>19552</v>
      </c>
    </row>
    <row r="12785" ht="33.75" customHeight="1">
      <c r="A12785" s="7">
        <v>618.0</v>
      </c>
      <c r="B12785" s="9" t="s">
        <v>17704</v>
      </c>
      <c r="C12785" s="9" t="s">
        <v>927</v>
      </c>
      <c r="D12785" s="9" t="s">
        <v>107</v>
      </c>
      <c r="E12785" s="6" t="s">
        <v>11491</v>
      </c>
      <c r="F12785" s="9" t="s">
        <v>19552</v>
      </c>
    </row>
    <row r="12786" ht="33.75" customHeight="1">
      <c r="A12786" s="7">
        <v>618.0</v>
      </c>
      <c r="B12786" s="9" t="s">
        <v>17704</v>
      </c>
      <c r="C12786" s="9" t="s">
        <v>927</v>
      </c>
      <c r="D12786" s="9" t="s">
        <v>109</v>
      </c>
      <c r="E12786" s="6" t="s">
        <v>11493</v>
      </c>
      <c r="F12786" s="9" t="s">
        <v>19552</v>
      </c>
    </row>
    <row r="12787" ht="33.75" customHeight="1">
      <c r="A12787" s="7">
        <v>618.0</v>
      </c>
      <c r="B12787" s="9" t="s">
        <v>17704</v>
      </c>
      <c r="C12787" s="9" t="s">
        <v>927</v>
      </c>
      <c r="D12787" s="9" t="s">
        <v>114</v>
      </c>
      <c r="E12787" s="6" t="s">
        <v>11496</v>
      </c>
      <c r="F12787" s="9" t="s">
        <v>19552</v>
      </c>
    </row>
    <row r="12788" ht="33.75" customHeight="1">
      <c r="A12788" s="7">
        <v>618.0</v>
      </c>
      <c r="B12788" s="9" t="s">
        <v>17704</v>
      </c>
      <c r="C12788" s="9" t="s">
        <v>927</v>
      </c>
      <c r="D12788" s="9" t="s">
        <v>117</v>
      </c>
      <c r="E12788" s="6" t="s">
        <v>11498</v>
      </c>
      <c r="F12788" s="9" t="s">
        <v>19552</v>
      </c>
    </row>
    <row r="12789" ht="33.75" customHeight="1">
      <c r="A12789" s="7">
        <v>619.0</v>
      </c>
      <c r="B12789" s="9" t="s">
        <v>17712</v>
      </c>
      <c r="C12789" s="9" t="s">
        <v>929</v>
      </c>
      <c r="D12789" s="9" t="s">
        <v>93</v>
      </c>
      <c r="E12789" s="6" t="s">
        <v>11500</v>
      </c>
      <c r="F12789" s="9" t="s">
        <v>19563</v>
      </c>
      <c r="G12789" t="inlineStr" s="6">
        <is>
          <t xml:space="preserve">In fights, they dominate with onslaughts of flowing, continuous attacks. With their sharp claws, they cut enemies. They have mastered elegant combos. As they concentrate, their battle moves become swifter and more precise. It takes pride in the speed at which it can use moves. What it loses in power, it makes up for in quantity. They can often be seen in packs in the morning, slowly moving their bodies through a series of poses. They seclude themselves in the mountains and devote themselves to training. The form of their kicks and chops differs from pack to pack. In one minute, a well-trained Mienfoo can chop with its arms more than 100 times. Though small, Mienfoo’s temperament is fierce. Any creature that approaches Mienfoo carelessly will be greeted with a flurry of graceful attacks.</t>
        </is>
      </c>
    </row>
    <row r="12790" ht="33.75" customHeight="1">
      <c r="A12790" s="7">
        <v>619.0</v>
      </c>
      <c r="B12790" s="9" t="s">
        <v>17712</v>
      </c>
      <c r="C12790" s="9" t="s">
        <v>929</v>
      </c>
      <c r="D12790" s="9" t="s">
        <v>95</v>
      </c>
      <c r="E12790" s="6" t="s">
        <v>11502</v>
      </c>
      <c r="F12790" s="9" t="s">
        <v>19563</v>
      </c>
    </row>
    <row r="12791" ht="33.75" customHeight="1">
      <c r="A12791" s="7">
        <v>619.0</v>
      </c>
      <c r="B12791" s="9" t="s">
        <v>17712</v>
      </c>
      <c r="C12791" s="9" t="s">
        <v>929</v>
      </c>
      <c r="D12791" s="9" t="s">
        <v>98</v>
      </c>
      <c r="E12791" s="6" t="s">
        <v>11503</v>
      </c>
      <c r="F12791" s="9" t="s">
        <v>19563</v>
      </c>
    </row>
    <row r="12792" ht="33.75" customHeight="1">
      <c r="A12792" s="7">
        <v>619.0</v>
      </c>
      <c r="B12792" s="9" t="s">
        <v>17712</v>
      </c>
      <c r="C12792" s="9" t="s">
        <v>929</v>
      </c>
      <c r="D12792" s="9" t="s">
        <v>99</v>
      </c>
      <c r="E12792" s="6" t="s">
        <v>11503</v>
      </c>
      <c r="F12792" s="9" t="s">
        <v>19563</v>
      </c>
    </row>
    <row r="12793" ht="33.75" customHeight="1">
      <c r="A12793" s="7">
        <v>619.0</v>
      </c>
      <c r="B12793" s="9" t="s">
        <v>17712</v>
      </c>
      <c r="C12793" s="9" t="s">
        <v>929</v>
      </c>
      <c r="D12793" s="9" t="s">
        <v>101</v>
      </c>
      <c r="E12793" s="6" t="s">
        <v>11503</v>
      </c>
      <c r="F12793" s="9" t="s">
        <v>19563</v>
      </c>
    </row>
    <row r="12794" ht="33.75" customHeight="1">
      <c r="A12794" s="7">
        <v>619.0</v>
      </c>
      <c r="B12794" s="9" t="s">
        <v>17712</v>
      </c>
      <c r="C12794" s="9" t="s">
        <v>929</v>
      </c>
      <c r="D12794" s="9" t="s">
        <v>105</v>
      </c>
      <c r="E12794" s="6" t="s">
        <v>11500</v>
      </c>
      <c r="F12794" s="9" t="s">
        <v>19563</v>
      </c>
    </row>
    <row r="12795" ht="33.75" customHeight="1">
      <c r="A12795" s="7">
        <v>619.0</v>
      </c>
      <c r="B12795" s="9" t="s">
        <v>17712</v>
      </c>
      <c r="C12795" s="9" t="s">
        <v>929</v>
      </c>
      <c r="D12795" s="9" t="s">
        <v>107</v>
      </c>
      <c r="E12795" s="6" t="s">
        <v>11503</v>
      </c>
      <c r="F12795" s="9" t="s">
        <v>19563</v>
      </c>
    </row>
    <row r="12796" ht="33.75" customHeight="1">
      <c r="A12796" s="7">
        <v>619.0</v>
      </c>
      <c r="B12796" s="9" t="s">
        <v>17712</v>
      </c>
      <c r="C12796" s="9" t="s">
        <v>929</v>
      </c>
      <c r="D12796" s="9" t="s">
        <v>109</v>
      </c>
      <c r="E12796" s="6" t="s">
        <v>11500</v>
      </c>
      <c r="F12796" s="9" t="s">
        <v>19563</v>
      </c>
    </row>
    <row r="12797" ht="33.75" customHeight="1">
      <c r="A12797" s="7">
        <v>619.0</v>
      </c>
      <c r="B12797" s="9" t="s">
        <v>17712</v>
      </c>
      <c r="C12797" s="9" t="s">
        <v>929</v>
      </c>
      <c r="D12797" s="9" t="s">
        <v>647</v>
      </c>
      <c r="E12797" s="6" t="s">
        <v>11505</v>
      </c>
      <c r="F12797" s="9" t="s">
        <v>19563</v>
      </c>
    </row>
    <row r="12798" ht="33.75" customHeight="1">
      <c r="A12798" s="7">
        <v>619.0</v>
      </c>
      <c r="B12798" s="9" t="s">
        <v>17712</v>
      </c>
      <c r="C12798" s="9" t="s">
        <v>929</v>
      </c>
      <c r="D12798" s="9" t="s">
        <v>652</v>
      </c>
      <c r="E12798" s="6" t="s">
        <v>11507</v>
      </c>
      <c r="F12798" s="9" t="s">
        <v>19563</v>
      </c>
    </row>
    <row r="12799" ht="33.75" customHeight="1">
      <c r="A12799" s="7">
        <v>619.0</v>
      </c>
      <c r="B12799" s="9" t="s">
        <v>17712</v>
      </c>
      <c r="C12799" s="9" t="s">
        <v>929</v>
      </c>
      <c r="D12799" s="9" t="s">
        <v>114</v>
      </c>
      <c r="E12799" s="6" t="s">
        <v>11508</v>
      </c>
      <c r="F12799" s="9" t="s">
        <v>19563</v>
      </c>
    </row>
    <row r="12800" ht="33.75" customHeight="1">
      <c r="A12800" s="7">
        <v>619.0</v>
      </c>
      <c r="B12800" s="9" t="s">
        <v>17712</v>
      </c>
      <c r="C12800" s="9" t="s">
        <v>929</v>
      </c>
      <c r="D12800" s="9" t="s">
        <v>117</v>
      </c>
      <c r="E12800" s="6" t="s">
        <v>11510</v>
      </c>
      <c r="F12800" s="9" t="s">
        <v>19563</v>
      </c>
    </row>
    <row r="12801" ht="33.75" customHeight="1">
      <c r="A12801" s="7">
        <v>620.0</v>
      </c>
      <c r="B12801" s="9" t="s">
        <v>17722</v>
      </c>
      <c r="C12801" s="9" t="s">
        <v>929</v>
      </c>
      <c r="D12801" s="9" t="s">
        <v>93</v>
      </c>
      <c r="E12801" s="6" t="s">
        <v>11511</v>
      </c>
      <c r="F12801" s="9" t="s">
        <v>19575</v>
      </c>
      <c r="G12801" t="inlineStr" s="6">
        <is>
          <t xml:space="preserve">It wields the fur on Mienshao's arms like a whip. Its arm attacks come with such rapidity that they cannot even be seen. They use the long fur on their arms as a whip to strike their opponents. Using the long fur on its arms like whips, it launches into combo attacks that, once started, no one can stop. It overwhelms its opponents with continuous attacks and then slowly stores up power before delivering the finishing blow. When Mienshao lets out a bizarre wail, you’re in danger. A flurry of kicks and chops too fast to see is about to be unleashed! When Mienshao comes across a truly challenging opponent, it will lighten itself by biting off the fur on its arms. Delivered at blinding speeds, kicks from this Pokémon can shatter massive boulders into tiny pieces.</t>
        </is>
      </c>
    </row>
    <row r="12802" ht="33.75" customHeight="1">
      <c r="A12802" s="7">
        <v>620.0</v>
      </c>
      <c r="B12802" s="9" t="s">
        <v>17722</v>
      </c>
      <c r="C12802" s="9" t="s">
        <v>929</v>
      </c>
      <c r="D12802" s="9" t="s">
        <v>95</v>
      </c>
      <c r="E12802" s="6" t="s">
        <v>11512</v>
      </c>
      <c r="F12802" s="9" t="s">
        <v>19575</v>
      </c>
    </row>
    <row r="12803" ht="33.75" customHeight="1">
      <c r="A12803" s="7">
        <v>620.0</v>
      </c>
      <c r="B12803" s="9" t="s">
        <v>17722</v>
      </c>
      <c r="C12803" s="9" t="s">
        <v>929</v>
      </c>
      <c r="D12803" s="9" t="s">
        <v>98</v>
      </c>
      <c r="E12803" s="6" t="s">
        <v>11513</v>
      </c>
      <c r="F12803" s="9" t="s">
        <v>19575</v>
      </c>
    </row>
    <row r="12804" ht="33.75" customHeight="1">
      <c r="A12804" s="7">
        <v>620.0</v>
      </c>
      <c r="B12804" s="9" t="s">
        <v>17722</v>
      </c>
      <c r="C12804" s="9" t="s">
        <v>929</v>
      </c>
      <c r="D12804" s="9" t="s">
        <v>99</v>
      </c>
      <c r="E12804" s="6" t="s">
        <v>11513</v>
      </c>
      <c r="F12804" s="9" t="s">
        <v>19575</v>
      </c>
    </row>
    <row r="12805" ht="33.75" customHeight="1">
      <c r="A12805" s="7">
        <v>620.0</v>
      </c>
      <c r="B12805" s="9" t="s">
        <v>17722</v>
      </c>
      <c r="C12805" s="9" t="s">
        <v>929</v>
      </c>
      <c r="D12805" s="9" t="s">
        <v>101</v>
      </c>
      <c r="E12805" s="6" t="s">
        <v>11511</v>
      </c>
      <c r="F12805" s="9" t="s">
        <v>19575</v>
      </c>
    </row>
    <row r="12806" ht="33.75" customHeight="1">
      <c r="A12806" s="7">
        <v>620.0</v>
      </c>
      <c r="B12806" s="9" t="s">
        <v>17722</v>
      </c>
      <c r="C12806" s="9" t="s">
        <v>929</v>
      </c>
      <c r="D12806" s="9" t="s">
        <v>105</v>
      </c>
      <c r="E12806" s="6" t="s">
        <v>11513</v>
      </c>
      <c r="F12806" s="9" t="s">
        <v>19575</v>
      </c>
    </row>
    <row r="12807" ht="33.75" customHeight="1">
      <c r="A12807" s="7">
        <v>620.0</v>
      </c>
      <c r="B12807" s="9" t="s">
        <v>17722</v>
      </c>
      <c r="C12807" s="9" t="s">
        <v>929</v>
      </c>
      <c r="D12807" s="9" t="s">
        <v>107</v>
      </c>
      <c r="E12807" s="6" t="s">
        <v>11511</v>
      </c>
      <c r="F12807" s="9" t="s">
        <v>19575</v>
      </c>
    </row>
    <row r="12808" ht="33.75" customHeight="1">
      <c r="A12808" s="7">
        <v>620.0</v>
      </c>
      <c r="B12808" s="9" t="s">
        <v>17722</v>
      </c>
      <c r="C12808" s="9" t="s">
        <v>929</v>
      </c>
      <c r="D12808" s="9" t="s">
        <v>109</v>
      </c>
      <c r="E12808" s="6" t="s">
        <v>11513</v>
      </c>
      <c r="F12808" s="9" t="s">
        <v>19575</v>
      </c>
    </row>
    <row r="12809" ht="33.75" customHeight="1">
      <c r="A12809" s="7">
        <v>620.0</v>
      </c>
      <c r="B12809" s="9" t="s">
        <v>17722</v>
      </c>
      <c r="C12809" s="9" t="s">
        <v>929</v>
      </c>
      <c r="D12809" s="9" t="s">
        <v>647</v>
      </c>
      <c r="E12809" s="6" t="s">
        <v>11514</v>
      </c>
      <c r="F12809" s="9" t="s">
        <v>19575</v>
      </c>
    </row>
    <row r="12810" ht="33.75" customHeight="1">
      <c r="A12810" s="7">
        <v>620.0</v>
      </c>
      <c r="B12810" s="9" t="s">
        <v>17722</v>
      </c>
      <c r="C12810" s="9" t="s">
        <v>929</v>
      </c>
      <c r="D12810" s="9" t="s">
        <v>652</v>
      </c>
      <c r="E12810" s="6" t="s">
        <v>11516</v>
      </c>
      <c r="F12810" s="9" t="s">
        <v>19575</v>
      </c>
    </row>
    <row r="12811" ht="33.75" customHeight="1">
      <c r="A12811" s="7">
        <v>620.0</v>
      </c>
      <c r="B12811" s="9" t="s">
        <v>17722</v>
      </c>
      <c r="C12811" s="9" t="s">
        <v>929</v>
      </c>
      <c r="D12811" s="9" t="s">
        <v>114</v>
      </c>
      <c r="E12811" s="6" t="s">
        <v>11517</v>
      </c>
      <c r="F12811" s="9" t="s">
        <v>19575</v>
      </c>
    </row>
    <row r="12812" ht="33.75" customHeight="1">
      <c r="A12812" s="7">
        <v>620.0</v>
      </c>
      <c r="B12812" s="9" t="s">
        <v>17722</v>
      </c>
      <c r="C12812" s="9" t="s">
        <v>929</v>
      </c>
      <c r="D12812" s="9" t="s">
        <v>117</v>
      </c>
      <c r="E12812" s="6" t="s">
        <v>11518</v>
      </c>
      <c r="F12812" s="9" t="s">
        <v>19575</v>
      </c>
    </row>
    <row r="12813" ht="33.75" customHeight="1">
      <c r="A12813" s="7">
        <v>621.0</v>
      </c>
      <c r="B12813" s="9" t="s">
        <v>17731</v>
      </c>
      <c r="C12813" s="9" t="s">
        <v>674</v>
      </c>
      <c r="D12813" s="9" t="s">
        <v>93</v>
      </c>
      <c r="E12813" s="6" t="s">
        <v>11519</v>
      </c>
      <c r="F12813" s="9" t="s">
        <v>19586</v>
      </c>
      <c r="G12813" t="inlineStr" s="6">
        <is>
          <t xml:space="preserve">It warms Druddigon's body by absorbing sunlight with its wings. When its body temperature falls, it can no longer move. It races through narrow caves, using its sharp claws to catch prey. The skin on its face is harder than a rock. It runs through the narrow tunnels formed by Excadrill and Onix. It uses its sharp claws to catch prey. The red skin on its face is harder than rock. In narrow caves, it squares off against its enemies and charges face-first right into them. It infiltrates tunnels that Pokémon like Diglett and Dugtrio have dug and quietly waits for prey to pass through. Druddigon lives in caves, but it never skips sunbathing—it won’t be able to move if its body gets too cold. Druddigon are vicious and cunning. They take up residence in nests dug out by other Pokémon, treating the stolen nests as their own lairs.</t>
        </is>
      </c>
    </row>
    <row r="12814" ht="33.75" customHeight="1">
      <c r="A12814" s="7">
        <v>621.0</v>
      </c>
      <c r="B12814" s="9" t="s">
        <v>17731</v>
      </c>
      <c r="C12814" s="9" t="s">
        <v>674</v>
      </c>
      <c r="D12814" s="9" t="s">
        <v>95</v>
      </c>
      <c r="E12814" s="6" t="s">
        <v>11521</v>
      </c>
      <c r="F12814" s="9" t="s">
        <v>19586</v>
      </c>
    </row>
    <row r="12815" ht="33.75" customHeight="1">
      <c r="A12815" s="7">
        <v>621.0</v>
      </c>
      <c r="B12815" s="9" t="s">
        <v>17731</v>
      </c>
      <c r="C12815" s="9" t="s">
        <v>674</v>
      </c>
      <c r="D12815" s="9" t="s">
        <v>98</v>
      </c>
      <c r="E12815" s="6" t="s">
        <v>11523</v>
      </c>
      <c r="F12815" s="9" t="s">
        <v>19586</v>
      </c>
    </row>
    <row r="12816" ht="33.75" customHeight="1">
      <c r="A12816" s="7">
        <v>621.0</v>
      </c>
      <c r="B12816" s="9" t="s">
        <v>17731</v>
      </c>
      <c r="C12816" s="9" t="s">
        <v>674</v>
      </c>
      <c r="D12816" s="9" t="s">
        <v>99</v>
      </c>
      <c r="E12816" s="6" t="s">
        <v>11523</v>
      </c>
      <c r="F12816" s="9" t="s">
        <v>19586</v>
      </c>
    </row>
    <row r="12817" ht="33.75" customHeight="1">
      <c r="A12817" s="7">
        <v>621.0</v>
      </c>
      <c r="B12817" s="9" t="s">
        <v>17731</v>
      </c>
      <c r="C12817" s="9" t="s">
        <v>674</v>
      </c>
      <c r="D12817" s="9" t="s">
        <v>101</v>
      </c>
      <c r="E12817" s="6" t="s">
        <v>11521</v>
      </c>
      <c r="F12817" s="9" t="s">
        <v>19586</v>
      </c>
    </row>
    <row r="12818" ht="33.75" customHeight="1">
      <c r="A12818" s="7">
        <v>621.0</v>
      </c>
      <c r="B12818" s="9" t="s">
        <v>17731</v>
      </c>
      <c r="C12818" s="9" t="s">
        <v>674</v>
      </c>
      <c r="D12818" s="9" t="s">
        <v>105</v>
      </c>
      <c r="E12818" s="6" t="s">
        <v>11519</v>
      </c>
      <c r="F12818" s="9" t="s">
        <v>19586</v>
      </c>
    </row>
    <row r="12819" ht="33.75" customHeight="1">
      <c r="A12819" s="7">
        <v>621.0</v>
      </c>
      <c r="B12819" s="9" t="s">
        <v>17731</v>
      </c>
      <c r="C12819" s="9" t="s">
        <v>674</v>
      </c>
      <c r="D12819" s="9" t="s">
        <v>107</v>
      </c>
      <c r="E12819" s="6" t="s">
        <v>11521</v>
      </c>
      <c r="F12819" s="9" t="s">
        <v>19586</v>
      </c>
    </row>
    <row r="12820" ht="33.75" customHeight="1">
      <c r="A12820" s="7">
        <v>621.0</v>
      </c>
      <c r="B12820" s="9" t="s">
        <v>17731</v>
      </c>
      <c r="C12820" s="9" t="s">
        <v>674</v>
      </c>
      <c r="D12820" s="9" t="s">
        <v>109</v>
      </c>
      <c r="E12820" s="6" t="s">
        <v>11519</v>
      </c>
      <c r="F12820" s="9" t="s">
        <v>19586</v>
      </c>
    </row>
    <row r="12821" ht="33.75" customHeight="1">
      <c r="A12821" s="7">
        <v>621.0</v>
      </c>
      <c r="B12821" s="9" t="s">
        <v>17731</v>
      </c>
      <c r="C12821" s="9" t="s">
        <v>674</v>
      </c>
      <c r="D12821" s="9" t="s">
        <v>647</v>
      </c>
      <c r="E12821" s="6" t="s">
        <v>11524</v>
      </c>
      <c r="F12821" s="9" t="s">
        <v>19586</v>
      </c>
    </row>
    <row r="12822" ht="33.75" customHeight="1">
      <c r="A12822" s="7">
        <v>621.0</v>
      </c>
      <c r="B12822" s="9" t="s">
        <v>17731</v>
      </c>
      <c r="C12822" s="9" t="s">
        <v>674</v>
      </c>
      <c r="D12822" s="9" t="s">
        <v>652</v>
      </c>
      <c r="E12822" s="6" t="s">
        <v>11526</v>
      </c>
      <c r="F12822" s="9" t="s">
        <v>19586</v>
      </c>
    </row>
    <row r="12823" ht="33.75" customHeight="1">
      <c r="A12823" s="7">
        <v>621.0</v>
      </c>
      <c r="B12823" s="9" t="s">
        <v>17731</v>
      </c>
      <c r="C12823" s="9" t="s">
        <v>674</v>
      </c>
      <c r="D12823" s="9" t="s">
        <v>114</v>
      </c>
      <c r="E12823" s="6" t="s">
        <v>11527</v>
      </c>
      <c r="F12823" s="9" t="s">
        <v>19586</v>
      </c>
    </row>
    <row r="12824" ht="33.75" customHeight="1">
      <c r="A12824" s="7">
        <v>621.0</v>
      </c>
      <c r="B12824" s="9" t="s">
        <v>17731</v>
      </c>
      <c r="C12824" s="9" t="s">
        <v>674</v>
      </c>
      <c r="D12824" s="9" t="s">
        <v>117</v>
      </c>
      <c r="E12824" s="6" t="s">
        <v>11529</v>
      </c>
      <c r="F12824" s="9" t="s">
        <v>19586</v>
      </c>
    </row>
    <row r="12825" ht="33.75" customHeight="1">
      <c r="A12825" s="7">
        <v>622.0</v>
      </c>
      <c r="B12825" s="9" t="s">
        <v>17740</v>
      </c>
      <c r="C12825" s="9" t="s">
        <v>931</v>
      </c>
      <c r="D12825" s="9" t="s">
        <v>93</v>
      </c>
      <c r="E12825" s="6" t="s">
        <v>11530</v>
      </c>
      <c r="F12825" s="9" t="s">
        <v>19599</v>
      </c>
      <c r="G12825" t="inlineStr" s="6">
        <is>
          <t xml:space="preserve">The energy that burns inside it enables it to move, but no one has yet been able to identify this energy. These Pokémon are thought to have been created by the science of an ancient and mysterious civilization. Ancient science fashioned this Pokémon from clay. It’s been active for thousands of years. Its movements are powered by a mysterious energy. It has continued to move since ancient times, so its power may soon run out. Although ancient people apparently built it by working with clay, the source of its energy is unclear. They were sculpted from clay in ancient times. No one knows why, but some of them are driven to continually line up boulders. This Pokémon was created from clay. It received orders from its master many thousands of years ago, and it still follows those orders to this day.</t>
        </is>
      </c>
    </row>
    <row r="12826" ht="33.75" customHeight="1">
      <c r="A12826" s="7">
        <v>622.0</v>
      </c>
      <c r="B12826" s="9" t="s">
        <v>17740</v>
      </c>
      <c r="C12826" s="9" t="s">
        <v>931</v>
      </c>
      <c r="D12826" s="9" t="s">
        <v>95</v>
      </c>
      <c r="E12826" s="6" t="s">
        <v>11531</v>
      </c>
      <c r="F12826" s="9" t="s">
        <v>19599</v>
      </c>
    </row>
    <row r="12827" ht="33.75" customHeight="1">
      <c r="A12827" s="7">
        <v>622.0</v>
      </c>
      <c r="B12827" s="9" t="s">
        <v>17740</v>
      </c>
      <c r="C12827" s="9" t="s">
        <v>931</v>
      </c>
      <c r="D12827" s="9" t="s">
        <v>98</v>
      </c>
      <c r="E12827" s="6" t="s">
        <v>11532</v>
      </c>
      <c r="F12827" s="9" t="s">
        <v>19599</v>
      </c>
    </row>
    <row r="12828" ht="33.75" customHeight="1">
      <c r="A12828" s="7">
        <v>622.0</v>
      </c>
      <c r="B12828" s="9" t="s">
        <v>17740</v>
      </c>
      <c r="C12828" s="9" t="s">
        <v>931</v>
      </c>
      <c r="D12828" s="9" t="s">
        <v>99</v>
      </c>
      <c r="E12828" s="6" t="s">
        <v>11532</v>
      </c>
      <c r="F12828" s="9" t="s">
        <v>19599</v>
      </c>
    </row>
    <row r="12829" ht="33.75" customHeight="1">
      <c r="A12829" s="7">
        <v>622.0</v>
      </c>
      <c r="B12829" s="9" t="s">
        <v>17740</v>
      </c>
      <c r="C12829" s="9" t="s">
        <v>931</v>
      </c>
      <c r="D12829" s="9" t="s">
        <v>101</v>
      </c>
      <c r="E12829" s="6" t="s">
        <v>11530</v>
      </c>
      <c r="F12829" s="9" t="s">
        <v>19599</v>
      </c>
    </row>
    <row r="12830" ht="33.75" customHeight="1">
      <c r="A12830" s="7">
        <v>622.0</v>
      </c>
      <c r="B12830" s="9" t="s">
        <v>17740</v>
      </c>
      <c r="C12830" s="9" t="s">
        <v>931</v>
      </c>
      <c r="D12830" s="9" t="s">
        <v>105</v>
      </c>
      <c r="E12830" s="6" t="s">
        <v>11532</v>
      </c>
      <c r="F12830" s="9" t="s">
        <v>19599</v>
      </c>
    </row>
    <row r="12831" ht="33.75" customHeight="1">
      <c r="A12831" s="7">
        <v>622.0</v>
      </c>
      <c r="B12831" s="9" t="s">
        <v>17740</v>
      </c>
      <c r="C12831" s="9" t="s">
        <v>931</v>
      </c>
      <c r="D12831" s="9" t="s">
        <v>107</v>
      </c>
      <c r="E12831" s="6" t="s">
        <v>11530</v>
      </c>
      <c r="F12831" s="9" t="s">
        <v>19599</v>
      </c>
    </row>
    <row r="12832" ht="33.75" customHeight="1">
      <c r="A12832" s="7">
        <v>622.0</v>
      </c>
      <c r="B12832" s="9" t="s">
        <v>17740</v>
      </c>
      <c r="C12832" s="9" t="s">
        <v>931</v>
      </c>
      <c r="D12832" s="9" t="s">
        <v>109</v>
      </c>
      <c r="E12832" s="6" t="s">
        <v>11532</v>
      </c>
      <c r="F12832" s="9" t="s">
        <v>19599</v>
      </c>
    </row>
    <row r="12833" ht="33.75" customHeight="1">
      <c r="A12833" s="7">
        <v>622.0</v>
      </c>
      <c r="B12833" s="9" t="s">
        <v>17740</v>
      </c>
      <c r="C12833" s="9" t="s">
        <v>931</v>
      </c>
      <c r="D12833" s="9" t="s">
        <v>647</v>
      </c>
      <c r="E12833" s="6" t="s">
        <v>11533</v>
      </c>
      <c r="F12833" s="9" t="s">
        <v>19599</v>
      </c>
    </row>
    <row r="12834" ht="33.75" customHeight="1">
      <c r="A12834" s="7">
        <v>622.0</v>
      </c>
      <c r="B12834" s="9" t="s">
        <v>17740</v>
      </c>
      <c r="C12834" s="9" t="s">
        <v>931</v>
      </c>
      <c r="D12834" s="9" t="s">
        <v>652</v>
      </c>
      <c r="E12834" s="6" t="s">
        <v>11538</v>
      </c>
      <c r="F12834" s="9" t="s">
        <v>19599</v>
      </c>
    </row>
    <row r="12835" ht="33.75" customHeight="1">
      <c r="A12835" s="7">
        <v>622.0</v>
      </c>
      <c r="B12835" s="9" t="s">
        <v>17740</v>
      </c>
      <c r="C12835" s="9" t="s">
        <v>931</v>
      </c>
      <c r="D12835" s="9" t="s">
        <v>114</v>
      </c>
      <c r="E12835" s="6" t="s">
        <v>11540</v>
      </c>
      <c r="F12835" s="9" t="s">
        <v>19599</v>
      </c>
    </row>
    <row r="12836" ht="33.75" customHeight="1">
      <c r="A12836" s="7">
        <v>622.0</v>
      </c>
      <c r="B12836" s="9" t="s">
        <v>17740</v>
      </c>
      <c r="C12836" s="9" t="s">
        <v>931</v>
      </c>
      <c r="D12836" s="9" t="s">
        <v>117</v>
      </c>
      <c r="E12836" s="6" t="s">
        <v>11543</v>
      </c>
      <c r="F12836" s="9" t="s">
        <v>19599</v>
      </c>
    </row>
    <row r="12837" ht="33.75" customHeight="1">
      <c r="A12837" s="7">
        <v>623.0</v>
      </c>
      <c r="B12837" s="9" t="s">
        <v>17751</v>
      </c>
      <c r="C12837" s="9" t="s">
        <v>931</v>
      </c>
      <c r="D12837" s="9" t="s">
        <v>93</v>
      </c>
      <c r="E12837" s="6" t="s">
        <v>11545</v>
      </c>
      <c r="F12837" s="9" t="s">
        <v>19613</v>
      </c>
      <c r="G12837" t="inlineStr" s="6">
        <is>
          <t xml:space="preserve">It flies across the sky at Mach speeds. Removing the seal on its chest makes its internal energy go out of control. It is said that Golurk were ordered to protect people and Pokémon by the ancient people who made them. Golurk were created to protect people and Pokémon. They run on a mysterious energy. Some say that ancient people invented Golurk to serve as a laborer. It follows its master’s orders faithfully. When the seal on its chest is removed, it rages indiscriminately, turning the whole town around it into a mountain of rubble. Artillery platforms built into the walls of ancient castles served as perches from which Golurk could fire energy beams. There’s a theory that inside Golurk is a perpetual motion machine that produces limitless energy, but this belief hasn’t been proven.</t>
        </is>
      </c>
    </row>
    <row r="12838" ht="33.75" customHeight="1">
      <c r="A12838" s="7">
        <v>623.0</v>
      </c>
      <c r="B12838" s="9" t="s">
        <v>17751</v>
      </c>
      <c r="C12838" s="9" t="s">
        <v>931</v>
      </c>
      <c r="D12838" s="9" t="s">
        <v>95</v>
      </c>
      <c r="E12838" s="6" t="s">
        <v>11547</v>
      </c>
      <c r="F12838" s="9" t="s">
        <v>19613</v>
      </c>
    </row>
    <row r="12839" ht="33.75" customHeight="1">
      <c r="A12839" s="7">
        <v>623.0</v>
      </c>
      <c r="B12839" s="9" t="s">
        <v>17751</v>
      </c>
      <c r="C12839" s="9" t="s">
        <v>931</v>
      </c>
      <c r="D12839" s="9" t="s">
        <v>98</v>
      </c>
      <c r="E12839" s="6" t="s">
        <v>11548</v>
      </c>
      <c r="F12839" s="9" t="s">
        <v>19613</v>
      </c>
    </row>
    <row r="12840" ht="33.75" customHeight="1">
      <c r="A12840" s="7">
        <v>623.0</v>
      </c>
      <c r="B12840" s="9" t="s">
        <v>17751</v>
      </c>
      <c r="C12840" s="9" t="s">
        <v>931</v>
      </c>
      <c r="D12840" s="9" t="s">
        <v>99</v>
      </c>
      <c r="E12840" s="6" t="s">
        <v>11548</v>
      </c>
      <c r="F12840" s="9" t="s">
        <v>19613</v>
      </c>
    </row>
    <row r="12841" ht="33.75" customHeight="1">
      <c r="A12841" s="7">
        <v>623.0</v>
      </c>
      <c r="B12841" s="9" t="s">
        <v>17751</v>
      </c>
      <c r="C12841" s="9" t="s">
        <v>931</v>
      </c>
      <c r="D12841" s="9" t="s">
        <v>101</v>
      </c>
      <c r="E12841" s="6" t="s">
        <v>11547</v>
      </c>
      <c r="F12841" s="9" t="s">
        <v>19613</v>
      </c>
    </row>
    <row r="12842" ht="33.75" customHeight="1">
      <c r="A12842" s="7">
        <v>623.0</v>
      </c>
      <c r="B12842" s="9" t="s">
        <v>17751</v>
      </c>
      <c r="C12842" s="9" t="s">
        <v>931</v>
      </c>
      <c r="D12842" s="9" t="s">
        <v>105</v>
      </c>
      <c r="E12842" s="6" t="s">
        <v>11545</v>
      </c>
      <c r="F12842" s="9" t="s">
        <v>19613</v>
      </c>
    </row>
    <row r="12843" ht="33.75" customHeight="1">
      <c r="A12843" s="7">
        <v>623.0</v>
      </c>
      <c r="B12843" s="9" t="s">
        <v>17751</v>
      </c>
      <c r="C12843" s="9" t="s">
        <v>931</v>
      </c>
      <c r="D12843" s="9" t="s">
        <v>107</v>
      </c>
      <c r="E12843" s="6" t="s">
        <v>11547</v>
      </c>
      <c r="F12843" s="9" t="s">
        <v>19613</v>
      </c>
    </row>
    <row r="12844" ht="33.75" customHeight="1">
      <c r="A12844" s="7">
        <v>623.0</v>
      </c>
      <c r="B12844" s="9" t="s">
        <v>17751</v>
      </c>
      <c r="C12844" s="9" t="s">
        <v>931</v>
      </c>
      <c r="D12844" s="9" t="s">
        <v>109</v>
      </c>
      <c r="E12844" s="6" t="s">
        <v>11545</v>
      </c>
      <c r="F12844" s="9" t="s">
        <v>19613</v>
      </c>
    </row>
    <row r="12845" ht="33.75" customHeight="1">
      <c r="A12845" s="7">
        <v>623.0</v>
      </c>
      <c r="B12845" s="9" t="s">
        <v>17751</v>
      </c>
      <c r="C12845" s="9" t="s">
        <v>931</v>
      </c>
      <c r="D12845" s="9" t="s">
        <v>647</v>
      </c>
      <c r="E12845" s="6" t="s">
        <v>11550</v>
      </c>
      <c r="F12845" s="9" t="s">
        <v>19613</v>
      </c>
    </row>
    <row r="12846" ht="33.75" customHeight="1">
      <c r="A12846" s="7">
        <v>623.0</v>
      </c>
      <c r="B12846" s="9" t="s">
        <v>17751</v>
      </c>
      <c r="C12846" s="9" t="s">
        <v>931</v>
      </c>
      <c r="D12846" s="9" t="s">
        <v>652</v>
      </c>
      <c r="E12846" s="6" t="s">
        <v>11551</v>
      </c>
      <c r="F12846" s="9" t="s">
        <v>19613</v>
      </c>
    </row>
    <row r="12847" ht="33.75" customHeight="1">
      <c r="A12847" s="7">
        <v>623.0</v>
      </c>
      <c r="B12847" s="9" t="s">
        <v>17751</v>
      </c>
      <c r="C12847" s="9" t="s">
        <v>931</v>
      </c>
      <c r="D12847" s="9" t="s">
        <v>114</v>
      </c>
      <c r="E12847" s="6" t="s">
        <v>11552</v>
      </c>
      <c r="F12847" s="9" t="s">
        <v>19613</v>
      </c>
    </row>
    <row r="12848" ht="33.75" customHeight="1">
      <c r="A12848" s="7">
        <v>623.0</v>
      </c>
      <c r="B12848" s="9" t="s">
        <v>17751</v>
      </c>
      <c r="C12848" s="9" t="s">
        <v>931</v>
      </c>
      <c r="D12848" s="9" t="s">
        <v>117</v>
      </c>
      <c r="E12848" s="6" t="s">
        <v>11554</v>
      </c>
      <c r="F12848" s="9" t="s">
        <v>19613</v>
      </c>
    </row>
    <row r="12849" ht="33.75" customHeight="1">
      <c r="A12849" s="7">
        <v>624.0</v>
      </c>
      <c r="B12849" s="9" t="s">
        <v>17760</v>
      </c>
      <c r="C12849" s="9" t="s">
        <v>933</v>
      </c>
      <c r="D12849" s="9" t="s">
        <v>93</v>
      </c>
      <c r="E12849" s="6" t="s">
        <v>11556</v>
      </c>
      <c r="F12849" s="9" t="s">
        <v>19625</v>
      </c>
      <c r="G12849" t="inlineStr" s="6">
        <is>
          <t xml:space="preserve">Blades comprise this Pokémon’s entire body. If battling dulls the blades, it sharpens them on stones by the river. They fight at Bisharp’s command. They cling to their prey and inflict damage by sinking their blades into it. Ignoring their injuries, groups attack by sinking the blades that cover their bodies into their prey. After shredding its prey, it sharpens its blades on a stone by the river. Each Pawniard has its own favorite sharpening stone. It follows Bisharp’s orders to a tee when it attacks enemies. After slashing an opponent, Pawniard clangs both of its blades together. It uses river stones to maintain the cutting edges of the blades covering its body. These sharpened blades allow it to bring down opponents. A pack of these Pokémon forms to serve a Bisharp boss. Each Pawniard trains diligently, dreaming of one day taking the lead.</t>
        </is>
      </c>
    </row>
    <row r="12850" ht="33.75" customHeight="1">
      <c r="A12850" s="7">
        <v>624.0</v>
      </c>
      <c r="B12850" s="9" t="s">
        <v>17760</v>
      </c>
      <c r="C12850" s="9" t="s">
        <v>933</v>
      </c>
      <c r="D12850" s="9" t="s">
        <v>95</v>
      </c>
      <c r="E12850" s="6" t="s">
        <v>11557</v>
      </c>
      <c r="F12850" s="9" t="s">
        <v>19625</v>
      </c>
    </row>
    <row r="12851" ht="33.75" customHeight="1">
      <c r="A12851" s="7">
        <v>624.0</v>
      </c>
      <c r="B12851" s="9" t="s">
        <v>17760</v>
      </c>
      <c r="C12851" s="9" t="s">
        <v>933</v>
      </c>
      <c r="D12851" s="9" t="s">
        <v>98</v>
      </c>
      <c r="E12851" s="6" t="s">
        <v>11558</v>
      </c>
      <c r="F12851" s="9" t="s">
        <v>19625</v>
      </c>
    </row>
    <row r="12852" ht="33.75" customHeight="1">
      <c r="A12852" s="7">
        <v>624.0</v>
      </c>
      <c r="B12852" s="9" t="s">
        <v>17760</v>
      </c>
      <c r="C12852" s="9" t="s">
        <v>933</v>
      </c>
      <c r="D12852" s="9" t="s">
        <v>99</v>
      </c>
      <c r="E12852" s="6" t="s">
        <v>11558</v>
      </c>
      <c r="F12852" s="9" t="s">
        <v>19625</v>
      </c>
    </row>
    <row r="12853" ht="33.75" customHeight="1">
      <c r="A12853" s="7">
        <v>624.0</v>
      </c>
      <c r="B12853" s="9" t="s">
        <v>17760</v>
      </c>
      <c r="C12853" s="9" t="s">
        <v>933</v>
      </c>
      <c r="D12853" s="9" t="s">
        <v>101</v>
      </c>
      <c r="E12853" s="6" t="s">
        <v>11556</v>
      </c>
      <c r="F12853" s="9" t="s">
        <v>19625</v>
      </c>
    </row>
    <row r="12854" ht="33.75" customHeight="1">
      <c r="A12854" s="7">
        <v>624.0</v>
      </c>
      <c r="B12854" s="9" t="s">
        <v>17760</v>
      </c>
      <c r="C12854" s="9" t="s">
        <v>933</v>
      </c>
      <c r="D12854" s="9" t="s">
        <v>105</v>
      </c>
      <c r="E12854" s="6" t="s">
        <v>11558</v>
      </c>
      <c r="F12854" s="9" t="s">
        <v>19625</v>
      </c>
    </row>
    <row r="12855" ht="33.75" customHeight="1">
      <c r="A12855" s="7">
        <v>624.0</v>
      </c>
      <c r="B12855" s="9" t="s">
        <v>17760</v>
      </c>
      <c r="C12855" s="9" t="s">
        <v>933</v>
      </c>
      <c r="D12855" s="9" t="s">
        <v>107</v>
      </c>
      <c r="E12855" s="6" t="s">
        <v>11556</v>
      </c>
      <c r="F12855" s="9" t="s">
        <v>19625</v>
      </c>
    </row>
    <row r="12856" ht="33.75" customHeight="1">
      <c r="A12856" s="7">
        <v>624.0</v>
      </c>
      <c r="B12856" s="9" t="s">
        <v>17760</v>
      </c>
      <c r="C12856" s="9" t="s">
        <v>933</v>
      </c>
      <c r="D12856" s="9" t="s">
        <v>109</v>
      </c>
      <c r="E12856" s="6" t="s">
        <v>11558</v>
      </c>
      <c r="F12856" s="9" t="s">
        <v>19625</v>
      </c>
    </row>
    <row r="12857" ht="33.75" customHeight="1">
      <c r="A12857" s="7">
        <v>624.0</v>
      </c>
      <c r="B12857" s="9" t="s">
        <v>17760</v>
      </c>
      <c r="C12857" s="9" t="s">
        <v>933</v>
      </c>
      <c r="D12857" s="9" t="s">
        <v>647</v>
      </c>
      <c r="E12857" s="6" t="s">
        <v>11559</v>
      </c>
      <c r="F12857" s="9" t="s">
        <v>19625</v>
      </c>
    </row>
    <row r="12858" ht="33.75" customHeight="1">
      <c r="A12858" s="7">
        <v>624.0</v>
      </c>
      <c r="B12858" s="9" t="s">
        <v>17760</v>
      </c>
      <c r="C12858" s="9" t="s">
        <v>933</v>
      </c>
      <c r="D12858" s="9" t="s">
        <v>652</v>
      </c>
      <c r="E12858" s="6" t="s">
        <v>11560</v>
      </c>
      <c r="F12858" s="9" t="s">
        <v>19625</v>
      </c>
    </row>
    <row r="12859" ht="33.75" customHeight="1">
      <c r="A12859" s="7">
        <v>624.0</v>
      </c>
      <c r="B12859" s="9" t="s">
        <v>17760</v>
      </c>
      <c r="C12859" s="9" t="s">
        <v>933</v>
      </c>
      <c r="D12859" s="9" t="s">
        <v>114</v>
      </c>
      <c r="E12859" s="6" t="s">
        <v>11561</v>
      </c>
      <c r="F12859" s="9" t="s">
        <v>19625</v>
      </c>
    </row>
    <row r="12860" ht="33.75" customHeight="1">
      <c r="A12860" s="7">
        <v>624.0</v>
      </c>
      <c r="B12860" s="9" t="s">
        <v>17760</v>
      </c>
      <c r="C12860" s="9" t="s">
        <v>933</v>
      </c>
      <c r="D12860" s="9" t="s">
        <v>117</v>
      </c>
      <c r="E12860" s="6" t="s">
        <v>11563</v>
      </c>
      <c r="F12860" s="9" t="s">
        <v>19625</v>
      </c>
    </row>
    <row r="12861" ht="33.75" customHeight="1">
      <c r="A12861" s="7">
        <v>625.0</v>
      </c>
      <c r="B12861" s="9" t="s">
        <v>17769</v>
      </c>
      <c r="C12861" s="9" t="s">
        <v>934</v>
      </c>
      <c r="D12861" s="9" t="s">
        <v>93</v>
      </c>
      <c r="E12861" s="6" t="s">
        <v>11564</v>
      </c>
      <c r="F12861" s="9" t="s">
        <v>19642</v>
      </c>
      <c r="G12861" t="inlineStr" s="6">
        <is>
          <t xml:space="preserve">It leads a group of Pawniard. It battles to become the boss, but will be driven from the group if it loses. Bisharp pursues prey in the company of a large group of Pawniard. Then Bisharp finishes off the prey. This pitiless Pokémon commands a group of Pawniard to hound prey into immobility. It then moves in to finish the prey off. No matter how strong the Bisharp, it’s said that if the blade on its head is chipped, it will retire from its position as the boss. Bisharp doesn’t even change its expression when it deals the finishing blow to an opponent. It’s accompanied by a large retinue of Pawniard. Bisharp keeps a keen eye on its minions, ensuring none of them even think of double-crossing it. Violent conflicts erupt between Bisharp and Fraxure over places where sharpening stones can be found.</t>
        </is>
      </c>
    </row>
    <row r="12862" ht="33.75" customHeight="1">
      <c r="A12862" s="7">
        <v>625.0</v>
      </c>
      <c r="B12862" s="9" t="s">
        <v>17769</v>
      </c>
      <c r="C12862" s="9" t="s">
        <v>934</v>
      </c>
      <c r="D12862" s="9" t="s">
        <v>95</v>
      </c>
      <c r="E12862" s="6" t="s">
        <v>11565</v>
      </c>
      <c r="F12862" s="9" t="s">
        <v>19642</v>
      </c>
    </row>
    <row r="12863" ht="33.75" customHeight="1">
      <c r="A12863" s="7">
        <v>625.0</v>
      </c>
      <c r="B12863" s="9" t="s">
        <v>17769</v>
      </c>
      <c r="C12863" s="9" t="s">
        <v>934</v>
      </c>
      <c r="D12863" s="9" t="s">
        <v>98</v>
      </c>
      <c r="E12863" s="6" t="s">
        <v>11567</v>
      </c>
      <c r="F12863" s="9" t="s">
        <v>19642</v>
      </c>
    </row>
    <row r="12864" ht="33.75" customHeight="1">
      <c r="A12864" s="7">
        <v>625.0</v>
      </c>
      <c r="B12864" s="9" t="s">
        <v>17769</v>
      </c>
      <c r="C12864" s="9" t="s">
        <v>934</v>
      </c>
      <c r="D12864" s="9" t="s">
        <v>99</v>
      </c>
      <c r="E12864" s="6" t="s">
        <v>11567</v>
      </c>
      <c r="F12864" s="9" t="s">
        <v>19642</v>
      </c>
    </row>
    <row r="12865" ht="33.75" customHeight="1">
      <c r="A12865" s="7">
        <v>625.0</v>
      </c>
      <c r="B12865" s="9" t="s">
        <v>17769</v>
      </c>
      <c r="C12865" s="9" t="s">
        <v>934</v>
      </c>
      <c r="D12865" s="9" t="s">
        <v>101</v>
      </c>
      <c r="E12865" s="6" t="s">
        <v>11567</v>
      </c>
      <c r="F12865" s="9" t="s">
        <v>19642</v>
      </c>
    </row>
    <row r="12866" ht="33.75" customHeight="1">
      <c r="A12866" s="7">
        <v>625.0</v>
      </c>
      <c r="B12866" s="9" t="s">
        <v>17769</v>
      </c>
      <c r="C12866" s="9" t="s">
        <v>934</v>
      </c>
      <c r="D12866" s="9" t="s">
        <v>105</v>
      </c>
      <c r="E12866" s="6" t="s">
        <v>11565</v>
      </c>
      <c r="F12866" s="9" t="s">
        <v>19642</v>
      </c>
    </row>
    <row r="12867" ht="33.75" customHeight="1">
      <c r="A12867" s="7">
        <v>625.0</v>
      </c>
      <c r="B12867" s="9" t="s">
        <v>17769</v>
      </c>
      <c r="C12867" s="9" t="s">
        <v>934</v>
      </c>
      <c r="D12867" s="9" t="s">
        <v>107</v>
      </c>
      <c r="E12867" s="6" t="s">
        <v>11567</v>
      </c>
      <c r="F12867" s="9" t="s">
        <v>19642</v>
      </c>
    </row>
    <row r="12868" ht="33.75" customHeight="1">
      <c r="A12868" s="7">
        <v>625.0</v>
      </c>
      <c r="B12868" s="9" t="s">
        <v>17769</v>
      </c>
      <c r="C12868" s="9" t="s">
        <v>934</v>
      </c>
      <c r="D12868" s="9" t="s">
        <v>109</v>
      </c>
      <c r="E12868" s="6" t="s">
        <v>11565</v>
      </c>
      <c r="F12868" s="9" t="s">
        <v>19642</v>
      </c>
    </row>
    <row r="12869" ht="33.75" customHeight="1">
      <c r="A12869" s="7">
        <v>625.0</v>
      </c>
      <c r="B12869" s="9" t="s">
        <v>17769</v>
      </c>
      <c r="C12869" s="9" t="s">
        <v>934</v>
      </c>
      <c r="D12869" s="9" t="s">
        <v>647</v>
      </c>
      <c r="E12869" s="6" t="s">
        <v>11568</v>
      </c>
      <c r="F12869" s="9" t="s">
        <v>19642</v>
      </c>
    </row>
    <row r="12870" ht="33.75" customHeight="1">
      <c r="A12870" s="7">
        <v>625.0</v>
      </c>
      <c r="B12870" s="9" t="s">
        <v>17769</v>
      </c>
      <c r="C12870" s="9" t="s">
        <v>934</v>
      </c>
      <c r="D12870" s="9" t="s">
        <v>652</v>
      </c>
      <c r="E12870" s="6" t="s">
        <v>11570</v>
      </c>
      <c r="F12870" s="9" t="s">
        <v>19642</v>
      </c>
    </row>
    <row r="12871" ht="33.75" customHeight="1">
      <c r="A12871" s="7">
        <v>625.0</v>
      </c>
      <c r="B12871" s="9" t="s">
        <v>17769</v>
      </c>
      <c r="C12871" s="9" t="s">
        <v>934</v>
      </c>
      <c r="D12871" s="9" t="s">
        <v>114</v>
      </c>
      <c r="E12871" s="6" t="s">
        <v>11571</v>
      </c>
      <c r="F12871" s="9" t="s">
        <v>19642</v>
      </c>
    </row>
    <row r="12872" ht="33.75" customHeight="1">
      <c r="A12872" s="7">
        <v>625.0</v>
      </c>
      <c r="B12872" s="9" t="s">
        <v>17769</v>
      </c>
      <c r="C12872" s="9" t="s">
        <v>934</v>
      </c>
      <c r="D12872" s="9" t="s">
        <v>117</v>
      </c>
      <c r="E12872" s="6" t="s">
        <v>11572</v>
      </c>
      <c r="F12872" s="9" t="s">
        <v>19642</v>
      </c>
    </row>
    <row r="12873" ht="33.75" customHeight="1">
      <c r="A12873" s="7">
        <v>626.0</v>
      </c>
      <c r="B12873" s="9" t="s">
        <v>17779</v>
      </c>
      <c r="C12873" s="9" t="s">
        <v>935</v>
      </c>
      <c r="D12873" s="9" t="s">
        <v>93</v>
      </c>
      <c r="E12873" s="6" t="s">
        <v>11574</v>
      </c>
      <c r="F12873" s="9" t="s">
        <v>19650</v>
      </c>
      <c r="G12873" t="inlineStr" s="6">
        <is>
          <t xml:space="preserve">Their fluffy fur absorbs damage, even if they strike foes with a fierce headbutt. They charge wildly and headbutt everything. Their headbutts have enough destructive force to derail a train. They are known to charge so wildly that if a train were to enter their territory, they would send it flying. These Pokémon can crush a car with no more than a headbutt. Bouffalant with more hair on their heads hold higher positions within the herd. These Pokémon live in herds of about 20 individuals. Bouffalant that betray the herd will lose the hair on their heads for some reason.</t>
        </is>
      </c>
    </row>
    <row r="12874" ht="33.75" customHeight="1">
      <c r="A12874" s="7">
        <v>626.0</v>
      </c>
      <c r="B12874" s="9" t="s">
        <v>17779</v>
      </c>
      <c r="C12874" s="9" t="s">
        <v>935</v>
      </c>
      <c r="D12874" s="9" t="s">
        <v>95</v>
      </c>
      <c r="E12874" s="6" t="s">
        <v>11576</v>
      </c>
      <c r="F12874" s="9" t="s">
        <v>19650</v>
      </c>
    </row>
    <row r="12875" ht="33.75" customHeight="1">
      <c r="A12875" s="7">
        <v>626.0</v>
      </c>
      <c r="B12875" s="9" t="s">
        <v>17779</v>
      </c>
      <c r="C12875" s="9" t="s">
        <v>935</v>
      </c>
      <c r="D12875" s="9" t="s">
        <v>98</v>
      </c>
      <c r="E12875" s="6" t="s">
        <v>11578</v>
      </c>
      <c r="F12875" s="9" t="s">
        <v>19650</v>
      </c>
    </row>
    <row r="12876" ht="33.75" customHeight="1">
      <c r="A12876" s="7">
        <v>626.0</v>
      </c>
      <c r="B12876" s="9" t="s">
        <v>17779</v>
      </c>
      <c r="C12876" s="9" t="s">
        <v>935</v>
      </c>
      <c r="D12876" s="9" t="s">
        <v>99</v>
      </c>
      <c r="E12876" s="6" t="s">
        <v>11578</v>
      </c>
      <c r="F12876" s="9" t="s">
        <v>19650</v>
      </c>
    </row>
    <row r="12877" ht="33.75" customHeight="1">
      <c r="A12877" s="7">
        <v>626.0</v>
      </c>
      <c r="B12877" s="9" t="s">
        <v>17779</v>
      </c>
      <c r="C12877" s="9" t="s">
        <v>935</v>
      </c>
      <c r="D12877" s="9" t="s">
        <v>101</v>
      </c>
      <c r="E12877" s="6" t="s">
        <v>11576</v>
      </c>
      <c r="F12877" s="9" t="s">
        <v>19650</v>
      </c>
    </row>
    <row r="12878" ht="33.75" customHeight="1">
      <c r="A12878" s="7">
        <v>626.0</v>
      </c>
      <c r="B12878" s="9" t="s">
        <v>17779</v>
      </c>
      <c r="C12878" s="9" t="s">
        <v>935</v>
      </c>
      <c r="D12878" s="9" t="s">
        <v>105</v>
      </c>
      <c r="E12878" s="6" t="s">
        <v>11574</v>
      </c>
      <c r="F12878" s="9" t="s">
        <v>19650</v>
      </c>
    </row>
    <row r="12879" ht="33.75" customHeight="1">
      <c r="A12879" s="7">
        <v>626.0</v>
      </c>
      <c r="B12879" s="9" t="s">
        <v>17779</v>
      </c>
      <c r="C12879" s="9" t="s">
        <v>935</v>
      </c>
      <c r="D12879" s="9" t="s">
        <v>107</v>
      </c>
      <c r="E12879" s="6" t="s">
        <v>11576</v>
      </c>
      <c r="F12879" s="9" t="s">
        <v>19650</v>
      </c>
    </row>
    <row r="12880" ht="33.75" customHeight="1">
      <c r="A12880" s="7">
        <v>626.0</v>
      </c>
      <c r="B12880" s="9" t="s">
        <v>17779</v>
      </c>
      <c r="C12880" s="9" t="s">
        <v>935</v>
      </c>
      <c r="D12880" s="9" t="s">
        <v>109</v>
      </c>
      <c r="E12880" s="6" t="s">
        <v>11574</v>
      </c>
      <c r="F12880" s="9" t="s">
        <v>19650</v>
      </c>
    </row>
    <row r="12881" ht="33.75" customHeight="1">
      <c r="A12881" s="7">
        <v>626.0</v>
      </c>
      <c r="B12881" s="9" t="s">
        <v>17779</v>
      </c>
      <c r="C12881" s="9" t="s">
        <v>935</v>
      </c>
      <c r="D12881" s="9" t="s">
        <v>114</v>
      </c>
      <c r="E12881" s="6" t="s">
        <v>11580</v>
      </c>
      <c r="F12881" s="9" t="s">
        <v>19650</v>
      </c>
    </row>
    <row r="12882" ht="33.75" customHeight="1">
      <c r="A12882" s="7">
        <v>626.0</v>
      </c>
      <c r="B12882" s="9" t="s">
        <v>17779</v>
      </c>
      <c r="C12882" s="9" t="s">
        <v>935</v>
      </c>
      <c r="D12882" s="9" t="s">
        <v>117</v>
      </c>
      <c r="E12882" s="6" t="s">
        <v>11581</v>
      </c>
      <c r="F12882" s="9" t="s">
        <v>19650</v>
      </c>
    </row>
    <row r="12883" ht="33.75" customHeight="1">
      <c r="A12883" s="7">
        <v>627.0</v>
      </c>
      <c r="B12883" s="9" t="s">
        <v>17787</v>
      </c>
      <c r="C12883" s="9" t="s">
        <v>936</v>
      </c>
      <c r="D12883" s="9" t="s">
        <v>93</v>
      </c>
      <c r="E12883" s="6" t="s">
        <v>11583</v>
      </c>
      <c r="F12883" s="9" t="s">
        <v>19659</v>
      </c>
      <c r="G12883" t="inlineStr" s="6">
        <is>
          <t xml:space="preserve">They crush berries with their talons. They bravely stand up to any opponent, no matter how strong it is. They will challenge anything, even strong opponents, without fear. Their frequent fights help them become stronger. It stands up to massive opponents, not out of courage, but out of recklessness. But that is how it gets stronger. They pick fights indiscriminately. They grow stronger and more powerful each time they faint or are injured. With its sharp claws, this Pokémon pierces its prey, and then it pecks at them. Although it also consumes berries, it’s a carnivore at heart. With its powerful legs and sturdy claws, it can crack even the hard shells of Shellder and pluck out their insides. Known as a natural-born warrior, soon after its hatching, it will challenge its parent to a fight in order to gain their acceptance. If it spies a strong Pokémon, Rufflet can’t resist challenging it to a battle. But if Rufflet loses, it starts bawling. A combative Pokémon, it’s ready to pick a fight with anyone. It has talons that can crush hard berries. Its chick-like looks belie its hotheadedness. It challenges its parents at every opportunity, desperate to prove its strength.</t>
        </is>
      </c>
    </row>
    <row r="12884" ht="33.75" customHeight="1">
      <c r="A12884" s="7">
        <v>627.0</v>
      </c>
      <c r="B12884" s="9" t="s">
        <v>17787</v>
      </c>
      <c r="C12884" s="9" t="s">
        <v>936</v>
      </c>
      <c r="D12884" s="9" t="s">
        <v>95</v>
      </c>
      <c r="E12884" s="6" t="s">
        <v>11585</v>
      </c>
      <c r="F12884" s="9" t="s">
        <v>19659</v>
      </c>
    </row>
    <row r="12885" ht="33.75" customHeight="1">
      <c r="A12885" s="7">
        <v>627.0</v>
      </c>
      <c r="B12885" s="9" t="s">
        <v>17787</v>
      </c>
      <c r="C12885" s="9" t="s">
        <v>936</v>
      </c>
      <c r="D12885" s="9" t="s">
        <v>98</v>
      </c>
      <c r="E12885" s="6" t="s">
        <v>11588</v>
      </c>
      <c r="F12885" s="9" t="s">
        <v>19659</v>
      </c>
    </row>
    <row r="12886" ht="33.75" customHeight="1">
      <c r="A12886" s="7">
        <v>627.0</v>
      </c>
      <c r="B12886" s="9" t="s">
        <v>17787</v>
      </c>
      <c r="C12886" s="9" t="s">
        <v>936</v>
      </c>
      <c r="D12886" s="9" t="s">
        <v>99</v>
      </c>
      <c r="E12886" s="6" t="s">
        <v>11588</v>
      </c>
      <c r="F12886" s="9" t="s">
        <v>19659</v>
      </c>
    </row>
    <row r="12887" ht="33.75" customHeight="1">
      <c r="A12887" s="7">
        <v>627.0</v>
      </c>
      <c r="B12887" s="9" t="s">
        <v>17787</v>
      </c>
      <c r="C12887" s="9" t="s">
        <v>936</v>
      </c>
      <c r="D12887" s="9" t="s">
        <v>101</v>
      </c>
      <c r="E12887" s="6" t="s">
        <v>11583</v>
      </c>
      <c r="F12887" s="9" t="s">
        <v>19659</v>
      </c>
    </row>
    <row r="12888" ht="33.75" customHeight="1">
      <c r="A12888" s="7">
        <v>627.0</v>
      </c>
      <c r="B12888" s="9" t="s">
        <v>17787</v>
      </c>
      <c r="C12888" s="9" t="s">
        <v>936</v>
      </c>
      <c r="D12888" s="9" t="s">
        <v>105</v>
      </c>
      <c r="E12888" s="6" t="s">
        <v>11585</v>
      </c>
      <c r="F12888" s="9" t="s">
        <v>19659</v>
      </c>
    </row>
    <row r="12889" ht="33.75" customHeight="1">
      <c r="A12889" s="7">
        <v>627.0</v>
      </c>
      <c r="B12889" s="9" t="s">
        <v>17787</v>
      </c>
      <c r="C12889" s="9" t="s">
        <v>936</v>
      </c>
      <c r="D12889" s="9" t="s">
        <v>107</v>
      </c>
      <c r="E12889" s="6" t="s">
        <v>11583</v>
      </c>
      <c r="F12889" s="9" t="s">
        <v>19659</v>
      </c>
    </row>
    <row r="12890" ht="33.75" customHeight="1">
      <c r="A12890" s="7">
        <v>627.0</v>
      </c>
      <c r="B12890" s="9" t="s">
        <v>17787</v>
      </c>
      <c r="C12890" s="9" t="s">
        <v>936</v>
      </c>
      <c r="D12890" s="9" t="s">
        <v>109</v>
      </c>
      <c r="E12890" s="6" t="s">
        <v>11585</v>
      </c>
      <c r="F12890" s="9" t="s">
        <v>19659</v>
      </c>
    </row>
    <row r="12891" ht="33.75" customHeight="1">
      <c r="A12891" s="7">
        <v>627.0</v>
      </c>
      <c r="B12891" s="9" t="s">
        <v>17787</v>
      </c>
      <c r="C12891" s="9" t="s">
        <v>936</v>
      </c>
      <c r="D12891" s="9" t="s">
        <v>637</v>
      </c>
      <c r="E12891" s="6" t="s">
        <v>11590</v>
      </c>
      <c r="F12891" s="9" t="s">
        <v>19659</v>
      </c>
    </row>
    <row r="12892" ht="33.75" customHeight="1">
      <c r="A12892" s="7">
        <v>627.0</v>
      </c>
      <c r="B12892" s="9" t="s">
        <v>17787</v>
      </c>
      <c r="C12892" s="9" t="s">
        <v>936</v>
      </c>
      <c r="D12892" s="9" t="s">
        <v>642</v>
      </c>
      <c r="E12892" s="6" t="s">
        <v>11591</v>
      </c>
      <c r="F12892" s="9" t="s">
        <v>19659</v>
      </c>
    </row>
    <row r="12893" ht="33.75" customHeight="1">
      <c r="A12893" s="7">
        <v>627.0</v>
      </c>
      <c r="B12893" s="9" t="s">
        <v>17787</v>
      </c>
      <c r="C12893" s="9" t="s">
        <v>936</v>
      </c>
      <c r="D12893" s="9" t="s">
        <v>647</v>
      </c>
      <c r="E12893" s="6" t="s">
        <v>11593</v>
      </c>
      <c r="F12893" s="9" t="s">
        <v>19659</v>
      </c>
    </row>
    <row r="12894" ht="33.75" customHeight="1">
      <c r="A12894" s="7">
        <v>627.0</v>
      </c>
      <c r="B12894" s="9" t="s">
        <v>17787</v>
      </c>
      <c r="C12894" s="9" t="s">
        <v>936</v>
      </c>
      <c r="D12894" s="9" t="s">
        <v>652</v>
      </c>
      <c r="E12894" s="6" t="s">
        <v>11594</v>
      </c>
      <c r="F12894" s="9" t="s">
        <v>19659</v>
      </c>
    </row>
    <row r="12895" ht="33.75" customHeight="1">
      <c r="A12895" s="7">
        <v>627.0</v>
      </c>
      <c r="B12895" s="9" t="s">
        <v>17787</v>
      </c>
      <c r="C12895" s="9" t="s">
        <v>936</v>
      </c>
      <c r="D12895" s="9" t="s">
        <v>114</v>
      </c>
      <c r="E12895" s="6" t="s">
        <v>11596</v>
      </c>
      <c r="F12895" s="9" t="s">
        <v>19659</v>
      </c>
    </row>
    <row r="12896" ht="33.75" customHeight="1">
      <c r="A12896" s="7">
        <v>627.0</v>
      </c>
      <c r="B12896" s="9" t="s">
        <v>17787</v>
      </c>
      <c r="C12896" s="9" t="s">
        <v>936</v>
      </c>
      <c r="D12896" s="9" t="s">
        <v>117</v>
      </c>
      <c r="E12896" s="6" t="s">
        <v>11598</v>
      </c>
      <c r="F12896" s="9" t="s">
        <v>19659</v>
      </c>
    </row>
    <row r="12897" ht="33.75" customHeight="1">
      <c r="A12897" s="7">
        <v>627.0</v>
      </c>
      <c r="B12897" s="9" t="s">
        <v>17787</v>
      </c>
      <c r="C12897" s="9" t="s">
        <v>936</v>
      </c>
      <c r="D12897" s="9" t="s">
        <v>1577</v>
      </c>
      <c r="E12897" s="6" t="s">
        <v>11599</v>
      </c>
      <c r="F12897" s="9" t="s">
        <v>19659</v>
      </c>
    </row>
    <row r="12898" ht="33.75" customHeight="1">
      <c r="A12898" s="7">
        <v>628.0</v>
      </c>
      <c r="B12898" s="9" t="s">
        <v>17801</v>
      </c>
      <c r="C12898" s="9" t="s">
        <v>937</v>
      </c>
      <c r="D12898" s="9" t="s">
        <v>93</v>
      </c>
      <c r="E12898" s="6" t="s">
        <v>11600</v>
      </c>
      <c r="F12898" s="9" t="s">
        <v>19672</v>
      </c>
      <c r="G12898" t="inlineStr" s="6">
        <is>
          <t xml:space="preserve">They fight for their friends without any thought about danger to themselves. One can carry a car while flying. The more scars they have, the more respect these brave soldiers of the sky get from their peers. For the sake of its friends, this brave warrior of the sky will not stop battling, even if injured. With its brave disposition, it fears nothing—not even death. Ancient Alolan people respected it, referring to it as “the hero of the sky. It’s thought that people disturbed their habitats in the past, so Braviary banded together to fight back. The more scars it has on its front, the more heroic it’s considered to be. Those with many scars on their back are mocked by the flock. Known as “the hero of the skies,” this Pokémon is so proud and so brave that it will never retreat, even when it’s injured. Known for its bravery and pride, this majestic Pokémon is often seen as a motif for various kinds of emblems. Because this Pokémon is hotheaded and belligerent, it’s Corviknight that’s taken the role of transportation in Galar. Screaming a bloodcurdling battle cry, this huge and ferocious bird Pokémon goes out on the hunt. It blasts lakes with shock waves, then scoops up any prey that float to the water's surface.</t>
        </is>
      </c>
    </row>
    <row r="12899" ht="33.75" customHeight="1">
      <c r="A12899" s="7">
        <v>628.0</v>
      </c>
      <c r="B12899" s="9" t="s">
        <v>17801</v>
      </c>
      <c r="C12899" s="9" t="s">
        <v>937</v>
      </c>
      <c r="D12899" s="9" t="s">
        <v>95</v>
      </c>
      <c r="E12899" s="6" t="s">
        <v>11602</v>
      </c>
      <c r="F12899" s="9" t="s">
        <v>19672</v>
      </c>
    </row>
    <row r="12900" ht="33.75" customHeight="1">
      <c r="A12900" s="7">
        <v>628.0</v>
      </c>
      <c r="B12900" s="9" t="s">
        <v>17801</v>
      </c>
      <c r="C12900" s="9" t="s">
        <v>937</v>
      </c>
      <c r="D12900" s="9" t="s">
        <v>98</v>
      </c>
      <c r="E12900" s="6" t="s">
        <v>11603</v>
      </c>
      <c r="F12900" s="9" t="s">
        <v>19672</v>
      </c>
    </row>
    <row r="12901" ht="33.75" customHeight="1">
      <c r="A12901" s="7">
        <v>628.0</v>
      </c>
      <c r="B12901" s="9" t="s">
        <v>17801</v>
      </c>
      <c r="C12901" s="9" t="s">
        <v>937</v>
      </c>
      <c r="D12901" s="9" t="s">
        <v>99</v>
      </c>
      <c r="E12901" s="6" t="s">
        <v>11603</v>
      </c>
      <c r="F12901" s="9" t="s">
        <v>19672</v>
      </c>
    </row>
    <row r="12902" ht="33.75" customHeight="1">
      <c r="A12902" s="7">
        <v>628.0</v>
      </c>
      <c r="B12902" s="9" t="s">
        <v>17801</v>
      </c>
      <c r="C12902" s="9" t="s">
        <v>937</v>
      </c>
      <c r="D12902" s="9" t="s">
        <v>101</v>
      </c>
      <c r="E12902" s="6" t="s">
        <v>11603</v>
      </c>
      <c r="F12902" s="9" t="s">
        <v>19672</v>
      </c>
    </row>
    <row r="12903" ht="33.75" customHeight="1">
      <c r="A12903" s="7">
        <v>628.0</v>
      </c>
      <c r="B12903" s="9" t="s">
        <v>17801</v>
      </c>
      <c r="C12903" s="9" t="s">
        <v>937</v>
      </c>
      <c r="D12903" s="9" t="s">
        <v>105</v>
      </c>
      <c r="E12903" s="6" t="s">
        <v>11600</v>
      </c>
      <c r="F12903" s="9" t="s">
        <v>19672</v>
      </c>
    </row>
    <row r="12904" ht="33.75" customHeight="1">
      <c r="A12904" s="7">
        <v>628.0</v>
      </c>
      <c r="B12904" s="9" t="s">
        <v>17801</v>
      </c>
      <c r="C12904" s="9" t="s">
        <v>937</v>
      </c>
      <c r="D12904" s="9" t="s">
        <v>107</v>
      </c>
      <c r="E12904" s="6" t="s">
        <v>11603</v>
      </c>
      <c r="F12904" s="9" t="s">
        <v>19672</v>
      </c>
    </row>
    <row r="12905" ht="33.75" customHeight="1">
      <c r="A12905" s="7">
        <v>628.0</v>
      </c>
      <c r="B12905" s="9" t="s">
        <v>17801</v>
      </c>
      <c r="C12905" s="9" t="s">
        <v>937</v>
      </c>
      <c r="D12905" s="9" t="s">
        <v>109</v>
      </c>
      <c r="E12905" s="6" t="s">
        <v>11600</v>
      </c>
      <c r="F12905" s="9" t="s">
        <v>19672</v>
      </c>
    </row>
    <row r="12906" ht="33.75" customHeight="1">
      <c r="A12906" s="7">
        <v>628.0</v>
      </c>
      <c r="B12906" s="9" t="s">
        <v>17801</v>
      </c>
      <c r="C12906" s="9" t="s">
        <v>937</v>
      </c>
      <c r="D12906" s="9" t="s">
        <v>637</v>
      </c>
      <c r="E12906" s="6" t="s">
        <v>11604</v>
      </c>
      <c r="F12906" s="9" t="s">
        <v>19672</v>
      </c>
    </row>
    <row r="12907" ht="33.75" customHeight="1">
      <c r="A12907" s="7">
        <v>628.0</v>
      </c>
      <c r="B12907" s="9" t="s">
        <v>17801</v>
      </c>
      <c r="C12907" s="9" t="s">
        <v>937</v>
      </c>
      <c r="D12907" s="9" t="s">
        <v>642</v>
      </c>
      <c r="E12907" s="6" t="s">
        <v>11606</v>
      </c>
      <c r="F12907" s="9" t="s">
        <v>19672</v>
      </c>
    </row>
    <row r="12908" ht="33.75" customHeight="1">
      <c r="A12908" s="7">
        <v>628.0</v>
      </c>
      <c r="B12908" s="9" t="s">
        <v>17801</v>
      </c>
      <c r="C12908" s="9" t="s">
        <v>937</v>
      </c>
      <c r="D12908" s="9" t="s">
        <v>647</v>
      </c>
      <c r="E12908" s="6" t="s">
        <v>11608</v>
      </c>
      <c r="F12908" s="9" t="s">
        <v>19672</v>
      </c>
    </row>
    <row r="12909" ht="33.75" customHeight="1">
      <c r="A12909" s="7">
        <v>628.0</v>
      </c>
      <c r="B12909" s="9" t="s">
        <v>17801</v>
      </c>
      <c r="C12909" s="9" t="s">
        <v>937</v>
      </c>
      <c r="D12909" s="9" t="s">
        <v>652</v>
      </c>
      <c r="E12909" s="6" t="s">
        <v>11610</v>
      </c>
      <c r="F12909" s="9" t="s">
        <v>19672</v>
      </c>
    </row>
    <row r="12910" ht="33.75" customHeight="1">
      <c r="A12910" s="7">
        <v>628.0</v>
      </c>
      <c r="B12910" s="9" t="s">
        <v>17801</v>
      </c>
      <c r="C12910" s="9" t="s">
        <v>937</v>
      </c>
      <c r="D12910" s="9" t="s">
        <v>114</v>
      </c>
      <c r="E12910" s="6" t="s">
        <v>11611</v>
      </c>
      <c r="F12910" s="9" t="s">
        <v>19672</v>
      </c>
    </row>
    <row r="12911" ht="33.75" customHeight="1">
      <c r="A12911" s="7">
        <v>628.0</v>
      </c>
      <c r="B12911" s="9" t="s">
        <v>17801</v>
      </c>
      <c r="C12911" s="9" t="s">
        <v>937</v>
      </c>
      <c r="D12911" s="9" t="s">
        <v>117</v>
      </c>
      <c r="E12911" s="6" t="s">
        <v>11612</v>
      </c>
      <c r="F12911" s="9" t="s">
        <v>19672</v>
      </c>
    </row>
    <row r="12912" ht="33.75" customHeight="1">
      <c r="A12912" s="7">
        <v>628.0</v>
      </c>
      <c r="B12912" s="9" t="s">
        <v>17801</v>
      </c>
      <c r="C12912" s="9" t="s">
        <v>937</v>
      </c>
      <c r="D12912" s="9" t="s">
        <v>1577</v>
      </c>
      <c r="E12912" s="6" t="s">
        <v>11613</v>
      </c>
      <c r="F12912" s="9" t="s">
        <v>19672</v>
      </c>
    </row>
    <row r="12913" ht="33.75" customHeight="1">
      <c r="A12913" s="7">
        <v>629.0</v>
      </c>
      <c r="B12913" s="9" t="s">
        <v>17814</v>
      </c>
      <c r="C12913" s="9" t="s">
        <v>938</v>
      </c>
      <c r="D12913" s="9" t="s">
        <v>93</v>
      </c>
      <c r="E12913" s="6" t="s">
        <v>11614</v>
      </c>
      <c r="F12913" s="9" t="s">
        <v>19686</v>
      </c>
      <c r="G12913" t="inlineStr" s="6">
        <is>
          <t xml:space="preserve">Vullaby's wings are too tiny to allow it to fly. As the time approaches for it to evolve, it discards the bones it was wearing. They tend to guard their posteriors with suitable bones they have found. They pursue weak Pokémon. Their wings are too tiny to allow them to fly. They guard their posteriors with bones that were gathered by Mandibuzz. It protects its plump posterior with the bones of prey it has consumed. As it grows, it replaces the bones. It can’t fly yet and must wait until its wings have developed more. Since it’s still at a playful age, it hops around friskily. Mandibuzz gives it the bones it wears. Vullaby’s wings are short, so it can’t fly yet, but it jumps around, dreaming of wide open skies. Its healthy appetite leads to visible growth spurts. It often has to replace the bones it wears as its size increases. It wears a bone to protect its rear. It often squabbles with others of its kind over particularly comfy bones. Vullaby grow quickly. Bones that have gotten too small for older Vullaby to wear often get passed down to younger ones in the nest.</t>
        </is>
      </c>
    </row>
    <row r="12914" ht="33.75" customHeight="1">
      <c r="A12914" s="7">
        <v>629.0</v>
      </c>
      <c r="B12914" s="9" t="s">
        <v>17814</v>
      </c>
      <c r="C12914" s="9" t="s">
        <v>938</v>
      </c>
      <c r="D12914" s="9" t="s">
        <v>95</v>
      </c>
      <c r="E12914" s="6" t="s">
        <v>11615</v>
      </c>
      <c r="F12914" s="9" t="s">
        <v>19686</v>
      </c>
    </row>
    <row r="12915" ht="33.75" customHeight="1">
      <c r="A12915" s="7">
        <v>629.0</v>
      </c>
      <c r="B12915" s="9" t="s">
        <v>17814</v>
      </c>
      <c r="C12915" s="9" t="s">
        <v>938</v>
      </c>
      <c r="D12915" s="9" t="s">
        <v>98</v>
      </c>
      <c r="E12915" s="6" t="s">
        <v>11617</v>
      </c>
      <c r="F12915" s="9" t="s">
        <v>19686</v>
      </c>
    </row>
    <row r="12916" ht="33.75" customHeight="1">
      <c r="A12916" s="7">
        <v>629.0</v>
      </c>
      <c r="B12916" s="9" t="s">
        <v>17814</v>
      </c>
      <c r="C12916" s="9" t="s">
        <v>938</v>
      </c>
      <c r="D12916" s="9" t="s">
        <v>99</v>
      </c>
      <c r="E12916" s="6" t="s">
        <v>11617</v>
      </c>
      <c r="F12916" s="9" t="s">
        <v>19686</v>
      </c>
    </row>
    <row r="12917" ht="33.75" customHeight="1">
      <c r="A12917" s="7">
        <v>629.0</v>
      </c>
      <c r="B12917" s="9" t="s">
        <v>17814</v>
      </c>
      <c r="C12917" s="9" t="s">
        <v>938</v>
      </c>
      <c r="D12917" s="9" t="s">
        <v>101</v>
      </c>
      <c r="E12917" s="6" t="s">
        <v>11614</v>
      </c>
      <c r="F12917" s="9" t="s">
        <v>19686</v>
      </c>
    </row>
    <row r="12918" ht="33.75" customHeight="1">
      <c r="A12918" s="7">
        <v>629.0</v>
      </c>
      <c r="B12918" s="9" t="s">
        <v>17814</v>
      </c>
      <c r="C12918" s="9" t="s">
        <v>938</v>
      </c>
      <c r="D12918" s="9" t="s">
        <v>105</v>
      </c>
      <c r="E12918" s="6" t="s">
        <v>11617</v>
      </c>
      <c r="F12918" s="9" t="s">
        <v>19686</v>
      </c>
    </row>
    <row r="12919" ht="33.75" customHeight="1">
      <c r="A12919" s="7">
        <v>629.0</v>
      </c>
      <c r="B12919" s="9" t="s">
        <v>17814</v>
      </c>
      <c r="C12919" s="9" t="s">
        <v>938</v>
      </c>
      <c r="D12919" s="9" t="s">
        <v>107</v>
      </c>
      <c r="E12919" s="6" t="s">
        <v>11614</v>
      </c>
      <c r="F12919" s="9" t="s">
        <v>19686</v>
      </c>
    </row>
    <row r="12920" ht="33.75" customHeight="1">
      <c r="A12920" s="7">
        <v>629.0</v>
      </c>
      <c r="B12920" s="9" t="s">
        <v>17814</v>
      </c>
      <c r="C12920" s="9" t="s">
        <v>938</v>
      </c>
      <c r="D12920" s="9" t="s">
        <v>109</v>
      </c>
      <c r="E12920" s="6" t="s">
        <v>11617</v>
      </c>
      <c r="F12920" s="9" t="s">
        <v>19686</v>
      </c>
    </row>
    <row r="12921" ht="33.75" customHeight="1">
      <c r="A12921" s="7">
        <v>629.0</v>
      </c>
      <c r="B12921" s="9" t="s">
        <v>17814</v>
      </c>
      <c r="C12921" s="9" t="s">
        <v>938</v>
      </c>
      <c r="D12921" s="9" t="s">
        <v>637</v>
      </c>
      <c r="E12921" s="6" t="s">
        <v>11618</v>
      </c>
      <c r="F12921" s="9" t="s">
        <v>19686</v>
      </c>
    </row>
    <row r="12922" ht="33.75" customHeight="1">
      <c r="A12922" s="7">
        <v>629.0</v>
      </c>
      <c r="B12922" s="9" t="s">
        <v>17814</v>
      </c>
      <c r="C12922" s="9" t="s">
        <v>938</v>
      </c>
      <c r="D12922" s="9" t="s">
        <v>642</v>
      </c>
      <c r="E12922" s="6" t="s">
        <v>11620</v>
      </c>
      <c r="F12922" s="9" t="s">
        <v>19686</v>
      </c>
    </row>
    <row r="12923" ht="33.75" customHeight="1">
      <c r="A12923" s="7">
        <v>629.0</v>
      </c>
      <c r="B12923" s="9" t="s">
        <v>17814</v>
      </c>
      <c r="C12923" s="9" t="s">
        <v>938</v>
      </c>
      <c r="D12923" s="9" t="s">
        <v>647</v>
      </c>
      <c r="E12923" s="6" t="s">
        <v>11621</v>
      </c>
      <c r="F12923" s="9" t="s">
        <v>19686</v>
      </c>
    </row>
    <row r="12924" ht="33.75" customHeight="1">
      <c r="A12924" s="7">
        <v>629.0</v>
      </c>
      <c r="B12924" s="9" t="s">
        <v>17814</v>
      </c>
      <c r="C12924" s="9" t="s">
        <v>938</v>
      </c>
      <c r="D12924" s="9" t="s">
        <v>652</v>
      </c>
      <c r="E12924" s="6" t="s">
        <v>11623</v>
      </c>
      <c r="F12924" s="9" t="s">
        <v>19686</v>
      </c>
    </row>
    <row r="12925" ht="33.75" customHeight="1">
      <c r="A12925" s="7">
        <v>629.0</v>
      </c>
      <c r="B12925" s="9" t="s">
        <v>17814</v>
      </c>
      <c r="C12925" s="9" t="s">
        <v>938</v>
      </c>
      <c r="D12925" s="9" t="s">
        <v>114</v>
      </c>
      <c r="E12925" s="6" t="s">
        <v>11624</v>
      </c>
      <c r="F12925" s="9" t="s">
        <v>19686</v>
      </c>
    </row>
    <row r="12926" ht="33.75" customHeight="1">
      <c r="A12926" s="7">
        <v>629.0</v>
      </c>
      <c r="B12926" s="9" t="s">
        <v>17814</v>
      </c>
      <c r="C12926" s="9" t="s">
        <v>938</v>
      </c>
      <c r="D12926" s="9" t="s">
        <v>117</v>
      </c>
      <c r="E12926" s="6" t="s">
        <v>11625</v>
      </c>
      <c r="F12926" s="9" t="s">
        <v>19686</v>
      </c>
    </row>
    <row r="12927" ht="33.75" customHeight="1">
      <c r="A12927" s="7">
        <v>630.0</v>
      </c>
      <c r="B12927" s="9" t="s">
        <v>17826</v>
      </c>
      <c r="C12927" s="9" t="s">
        <v>940</v>
      </c>
      <c r="D12927" s="9" t="s">
        <v>93</v>
      </c>
      <c r="E12927" s="6" t="s">
        <v>11627</v>
      </c>
      <c r="F12927" s="9" t="s">
        <v>19703</v>
      </c>
      <c r="G12927" t="inlineStr" s="6">
        <is>
          <t xml:space="preserve">Mandibuzz makes a nest out of bones it finds. It grabs weakened prey in its talons and hauls it to its nest of bones. Watching from the sky, they swoop to strike weakened Pokémon on the ground. They decorate themselves with bones. They fly in circles around the sky. When they spot prey, they attack and carry it back to their nest with ease. They adorn themselves beautifully with bones. This is supposedly an effort to attract males, but no male Mandibuzz have ever been found. It circles in the sky, keeping a keen eye out for Pokémon in a weakened state. Its choicest food is Cubone. It skillfully arranges the bones of its prey to construct its nest. Most of the bones are Cubone. It’s always searching for food for Vullaby. When it finds a weak Pokémon, Mandibuzz swoops it right off to its nest. Although it’s a bit of a ruffian, this Pokémon will take lost Vullaby under its wing and care for them till they’re ready to leave the nest. They adorn themselves with bones. There seem to be fashion trends among them, as different bones come into and fall out of popularity.</t>
        </is>
      </c>
    </row>
    <row r="12928" ht="33.75" customHeight="1">
      <c r="A12928" s="7">
        <v>630.0</v>
      </c>
      <c r="B12928" s="9" t="s">
        <v>17826</v>
      </c>
      <c r="C12928" s="9" t="s">
        <v>940</v>
      </c>
      <c r="D12928" s="9" t="s">
        <v>95</v>
      </c>
      <c r="E12928" s="6" t="s">
        <v>11629</v>
      </c>
      <c r="F12928" s="9" t="s">
        <v>19703</v>
      </c>
    </row>
    <row r="12929" ht="33.75" customHeight="1">
      <c r="A12929" s="7">
        <v>630.0</v>
      </c>
      <c r="B12929" s="9" t="s">
        <v>17826</v>
      </c>
      <c r="C12929" s="9" t="s">
        <v>940</v>
      </c>
      <c r="D12929" s="9" t="s">
        <v>98</v>
      </c>
      <c r="E12929" s="6" t="s">
        <v>11630</v>
      </c>
      <c r="F12929" s="9" t="s">
        <v>19703</v>
      </c>
    </row>
    <row r="12930" ht="33.75" customHeight="1">
      <c r="A12930" s="7">
        <v>630.0</v>
      </c>
      <c r="B12930" s="9" t="s">
        <v>17826</v>
      </c>
      <c r="C12930" s="9" t="s">
        <v>940</v>
      </c>
      <c r="D12930" s="9" t="s">
        <v>99</v>
      </c>
      <c r="E12930" s="6" t="s">
        <v>11630</v>
      </c>
      <c r="F12930" s="9" t="s">
        <v>19703</v>
      </c>
    </row>
    <row r="12931" ht="33.75" customHeight="1">
      <c r="A12931" s="7">
        <v>630.0</v>
      </c>
      <c r="B12931" s="9" t="s">
        <v>17826</v>
      </c>
      <c r="C12931" s="9" t="s">
        <v>940</v>
      </c>
      <c r="D12931" s="9" t="s">
        <v>101</v>
      </c>
      <c r="E12931" s="6" t="s">
        <v>11630</v>
      </c>
      <c r="F12931" s="9" t="s">
        <v>19703</v>
      </c>
    </row>
    <row r="12932" ht="33.75" customHeight="1">
      <c r="A12932" s="7">
        <v>630.0</v>
      </c>
      <c r="B12932" s="9" t="s">
        <v>17826</v>
      </c>
      <c r="C12932" s="9" t="s">
        <v>940</v>
      </c>
      <c r="D12932" s="9" t="s">
        <v>105</v>
      </c>
      <c r="E12932" s="6" t="s">
        <v>11629</v>
      </c>
      <c r="F12932" s="9" t="s">
        <v>19703</v>
      </c>
    </row>
    <row r="12933" ht="33.75" customHeight="1">
      <c r="A12933" s="7">
        <v>630.0</v>
      </c>
      <c r="B12933" s="9" t="s">
        <v>17826</v>
      </c>
      <c r="C12933" s="9" t="s">
        <v>940</v>
      </c>
      <c r="D12933" s="9" t="s">
        <v>107</v>
      </c>
      <c r="E12933" s="6" t="s">
        <v>11630</v>
      </c>
      <c r="F12933" s="9" t="s">
        <v>19703</v>
      </c>
    </row>
    <row r="12934" ht="33.75" customHeight="1">
      <c r="A12934" s="7">
        <v>630.0</v>
      </c>
      <c r="B12934" s="9" t="s">
        <v>17826</v>
      </c>
      <c r="C12934" s="9" t="s">
        <v>940</v>
      </c>
      <c r="D12934" s="9" t="s">
        <v>109</v>
      </c>
      <c r="E12934" s="6" t="s">
        <v>11629</v>
      </c>
      <c r="F12934" s="9" t="s">
        <v>19703</v>
      </c>
    </row>
    <row r="12935" ht="33.75" customHeight="1">
      <c r="A12935" s="7">
        <v>630.0</v>
      </c>
      <c r="B12935" s="9" t="s">
        <v>17826</v>
      </c>
      <c r="C12935" s="9" t="s">
        <v>940</v>
      </c>
      <c r="D12935" s="9" t="s">
        <v>637</v>
      </c>
      <c r="E12935" s="6" t="s">
        <v>11632</v>
      </c>
      <c r="F12935" s="9" t="s">
        <v>19703</v>
      </c>
    </row>
    <row r="12936" ht="33.75" customHeight="1">
      <c r="A12936" s="7">
        <v>630.0</v>
      </c>
      <c r="B12936" s="9" t="s">
        <v>17826</v>
      </c>
      <c r="C12936" s="9" t="s">
        <v>940</v>
      </c>
      <c r="D12936" s="9" t="s">
        <v>642</v>
      </c>
      <c r="E12936" s="6" t="s">
        <v>11634</v>
      </c>
      <c r="F12936" s="9" t="s">
        <v>19703</v>
      </c>
    </row>
    <row r="12937" ht="33.75" customHeight="1">
      <c r="A12937" s="7">
        <v>630.0</v>
      </c>
      <c r="B12937" s="9" t="s">
        <v>17826</v>
      </c>
      <c r="C12937" s="9" t="s">
        <v>940</v>
      </c>
      <c r="D12937" s="9" t="s">
        <v>647</v>
      </c>
      <c r="E12937" s="6" t="s">
        <v>11636</v>
      </c>
      <c r="F12937" s="9" t="s">
        <v>19703</v>
      </c>
    </row>
    <row r="12938" ht="33.75" customHeight="1">
      <c r="A12938" s="7">
        <v>630.0</v>
      </c>
      <c r="B12938" s="9" t="s">
        <v>17826</v>
      </c>
      <c r="C12938" s="9" t="s">
        <v>940</v>
      </c>
      <c r="D12938" s="9" t="s">
        <v>652</v>
      </c>
      <c r="E12938" s="6" t="s">
        <v>11639</v>
      </c>
      <c r="F12938" s="9" t="s">
        <v>19703</v>
      </c>
    </row>
    <row r="12939" ht="33.75" customHeight="1">
      <c r="A12939" s="7">
        <v>630.0</v>
      </c>
      <c r="B12939" s="9" t="s">
        <v>17826</v>
      </c>
      <c r="C12939" s="9" t="s">
        <v>940</v>
      </c>
      <c r="D12939" s="9" t="s">
        <v>114</v>
      </c>
      <c r="E12939" s="6" t="s">
        <v>11641</v>
      </c>
      <c r="F12939" s="9" t="s">
        <v>19703</v>
      </c>
    </row>
    <row r="12940" ht="33.75" customHeight="1">
      <c r="A12940" s="7">
        <v>630.0</v>
      </c>
      <c r="B12940" s="9" t="s">
        <v>17826</v>
      </c>
      <c r="C12940" s="9" t="s">
        <v>940</v>
      </c>
      <c r="D12940" s="9" t="s">
        <v>117</v>
      </c>
      <c r="E12940" s="6" t="s">
        <v>11643</v>
      </c>
      <c r="F12940" s="9" t="s">
        <v>19703</v>
      </c>
    </row>
    <row r="12941" ht="33.75" customHeight="1">
      <c r="A12941" s="7">
        <v>631.0</v>
      </c>
      <c r="B12941" s="9" t="s">
        <v>17839</v>
      </c>
      <c r="C12941" s="9" t="s">
        <v>942</v>
      </c>
      <c r="D12941" s="9" t="s">
        <v>93</v>
      </c>
      <c r="E12941" s="6" t="s">
        <v>11645</v>
      </c>
      <c r="F12941" s="9" t="s">
        <v>19716</v>
      </c>
      <c r="G12941" t="inlineStr" s="6">
        <is>
          <t xml:space="preserve">It breathes through a hole in Heatmor's tail while it burns with an internal fire. Durant is its prey. Using their very hot, flame-covered tongues, they burn through Durant’s steel bodies and consume their insides. It draws in air through its tail, transforms it into fire, and uses it like a tongue. It melts Durant and eats them. There’s a hole in its tail that allows it to draw in the air it needs to keep its fire burning. If the hole gets blocked, this Pokémon will fall ill. A flame serves as its tongue, melting through the hard shell of Durant so that Heatmor can devour their insides.</t>
        </is>
      </c>
    </row>
    <row r="12942" ht="33.75" customHeight="1">
      <c r="A12942" s="7">
        <v>631.0</v>
      </c>
      <c r="B12942" s="9" t="s">
        <v>17839</v>
      </c>
      <c r="C12942" s="9" t="s">
        <v>942</v>
      </c>
      <c r="D12942" s="9" t="s">
        <v>95</v>
      </c>
      <c r="E12942" s="6" t="s">
        <v>11647</v>
      </c>
      <c r="F12942" s="9" t="s">
        <v>19716</v>
      </c>
    </row>
    <row r="12943" ht="33.75" customHeight="1">
      <c r="A12943" s="7">
        <v>631.0</v>
      </c>
      <c r="B12943" s="9" t="s">
        <v>17839</v>
      </c>
      <c r="C12943" s="9" t="s">
        <v>942</v>
      </c>
      <c r="D12943" s="9" t="s">
        <v>98</v>
      </c>
      <c r="E12943" s="6" t="s">
        <v>11648</v>
      </c>
      <c r="F12943" s="9" t="s">
        <v>19716</v>
      </c>
    </row>
    <row r="12944" ht="33.75" customHeight="1">
      <c r="A12944" s="7">
        <v>631.0</v>
      </c>
      <c r="B12944" s="9" t="s">
        <v>17839</v>
      </c>
      <c r="C12944" s="9" t="s">
        <v>942</v>
      </c>
      <c r="D12944" s="9" t="s">
        <v>99</v>
      </c>
      <c r="E12944" s="6" t="s">
        <v>11648</v>
      </c>
      <c r="F12944" s="9" t="s">
        <v>19716</v>
      </c>
    </row>
    <row r="12945" ht="33.75" customHeight="1">
      <c r="A12945" s="7">
        <v>631.0</v>
      </c>
      <c r="B12945" s="9" t="s">
        <v>17839</v>
      </c>
      <c r="C12945" s="9" t="s">
        <v>942</v>
      </c>
      <c r="D12945" s="9" t="s">
        <v>101</v>
      </c>
      <c r="E12945" s="6" t="s">
        <v>11647</v>
      </c>
      <c r="F12945" s="9" t="s">
        <v>19716</v>
      </c>
    </row>
    <row r="12946" ht="33.75" customHeight="1">
      <c r="A12946" s="7">
        <v>631.0</v>
      </c>
      <c r="B12946" s="9" t="s">
        <v>17839</v>
      </c>
      <c r="C12946" s="9" t="s">
        <v>942</v>
      </c>
      <c r="D12946" s="9" t="s">
        <v>105</v>
      </c>
      <c r="E12946" s="6" t="s">
        <v>11648</v>
      </c>
      <c r="F12946" s="9" t="s">
        <v>19716</v>
      </c>
    </row>
    <row r="12947" ht="33.75" customHeight="1">
      <c r="A12947" s="7">
        <v>631.0</v>
      </c>
      <c r="B12947" s="9" t="s">
        <v>17839</v>
      </c>
      <c r="C12947" s="9" t="s">
        <v>942</v>
      </c>
      <c r="D12947" s="9" t="s">
        <v>107</v>
      </c>
      <c r="E12947" s="6" t="s">
        <v>11647</v>
      </c>
      <c r="F12947" s="9" t="s">
        <v>19716</v>
      </c>
    </row>
    <row r="12948" ht="33.75" customHeight="1">
      <c r="A12948" s="7">
        <v>631.0</v>
      </c>
      <c r="B12948" s="9" t="s">
        <v>17839</v>
      </c>
      <c r="C12948" s="9" t="s">
        <v>942</v>
      </c>
      <c r="D12948" s="9" t="s">
        <v>109</v>
      </c>
      <c r="E12948" s="6" t="s">
        <v>11648</v>
      </c>
      <c r="F12948" s="9" t="s">
        <v>19716</v>
      </c>
    </row>
    <row r="12949" ht="33.75" customHeight="1">
      <c r="A12949" s="7">
        <v>631.0</v>
      </c>
      <c r="B12949" s="9" t="s">
        <v>17839</v>
      </c>
      <c r="C12949" s="9" t="s">
        <v>942</v>
      </c>
      <c r="D12949" s="9" t="s">
        <v>114</v>
      </c>
      <c r="E12949" s="6" t="s">
        <v>11649</v>
      </c>
      <c r="F12949" s="9" t="s">
        <v>19716</v>
      </c>
    </row>
    <row r="12950" ht="33.75" customHeight="1">
      <c r="A12950" s="7">
        <v>631.0</v>
      </c>
      <c r="B12950" s="9" t="s">
        <v>17839</v>
      </c>
      <c r="C12950" s="9" t="s">
        <v>942</v>
      </c>
      <c r="D12950" s="9" t="s">
        <v>117</v>
      </c>
      <c r="E12950" s="6" t="s">
        <v>11651</v>
      </c>
      <c r="F12950" s="9" t="s">
        <v>19716</v>
      </c>
    </row>
    <row r="12951" ht="33.75" customHeight="1">
      <c r="A12951" s="7">
        <v>632.0</v>
      </c>
      <c r="B12951" s="9" t="s">
        <v>17846</v>
      </c>
      <c r="C12951" s="9" t="s">
        <v>943</v>
      </c>
      <c r="D12951" s="9" t="s">
        <v>93</v>
      </c>
      <c r="E12951" s="6" t="s">
        <v>11652</v>
      </c>
      <c r="F12951" s="9" t="s">
        <v>19730</v>
      </c>
      <c r="G12951" t="inlineStr" s="6">
        <is>
          <t xml:space="preserve">They attack in groups, covering themselves in steel armor to protect themselves from Heatmor. Durant dig nests in mountains. They build their complicated, interconnected tunnels into mazes. Individuals each play different roles in driving Heatmor, their natural predator, away from their colony. They lay their eggs deep inside their nests. When attacked by Heatmor, they retaliate using their massive mandibles. With their large mandibles, these Pokémon can crunch their way through rock. They work together to protect their eggs from Sandaconda.</t>
        </is>
      </c>
    </row>
    <row r="12952" ht="33.75" customHeight="1">
      <c r="A12952" s="7">
        <v>632.0</v>
      </c>
      <c r="B12952" s="9" t="s">
        <v>17846</v>
      </c>
      <c r="C12952" s="9" t="s">
        <v>943</v>
      </c>
      <c r="D12952" s="9" t="s">
        <v>95</v>
      </c>
      <c r="E12952" s="6" t="s">
        <v>11654</v>
      </c>
      <c r="F12952" s="9" t="s">
        <v>19730</v>
      </c>
    </row>
    <row r="12953" ht="33.75" customHeight="1">
      <c r="A12953" s="7">
        <v>632.0</v>
      </c>
      <c r="B12953" s="9" t="s">
        <v>17846</v>
      </c>
      <c r="C12953" s="9" t="s">
        <v>943</v>
      </c>
      <c r="D12953" s="9" t="s">
        <v>98</v>
      </c>
      <c r="E12953" s="6" t="s">
        <v>11655</v>
      </c>
      <c r="F12953" s="9" t="s">
        <v>19730</v>
      </c>
    </row>
    <row r="12954" ht="33.75" customHeight="1">
      <c r="A12954" s="7">
        <v>632.0</v>
      </c>
      <c r="B12954" s="9" t="s">
        <v>17846</v>
      </c>
      <c r="C12954" s="9" t="s">
        <v>943</v>
      </c>
      <c r="D12954" s="9" t="s">
        <v>99</v>
      </c>
      <c r="E12954" s="6" t="s">
        <v>11655</v>
      </c>
      <c r="F12954" s="9" t="s">
        <v>19730</v>
      </c>
    </row>
    <row r="12955" ht="33.75" customHeight="1">
      <c r="A12955" s="7">
        <v>632.0</v>
      </c>
      <c r="B12955" s="9" t="s">
        <v>17846</v>
      </c>
      <c r="C12955" s="9" t="s">
        <v>943</v>
      </c>
      <c r="D12955" s="9" t="s">
        <v>101</v>
      </c>
      <c r="E12955" s="6" t="s">
        <v>11655</v>
      </c>
      <c r="F12955" s="9" t="s">
        <v>19730</v>
      </c>
    </row>
    <row r="12956" ht="33.75" customHeight="1">
      <c r="A12956" s="7">
        <v>632.0</v>
      </c>
      <c r="B12956" s="9" t="s">
        <v>17846</v>
      </c>
      <c r="C12956" s="9" t="s">
        <v>943</v>
      </c>
      <c r="D12956" s="9" t="s">
        <v>105</v>
      </c>
      <c r="E12956" s="6" t="s">
        <v>11652</v>
      </c>
      <c r="F12956" s="9" t="s">
        <v>19730</v>
      </c>
    </row>
    <row r="12957" ht="33.75" customHeight="1">
      <c r="A12957" s="7">
        <v>632.0</v>
      </c>
      <c r="B12957" s="9" t="s">
        <v>17846</v>
      </c>
      <c r="C12957" s="9" t="s">
        <v>943</v>
      </c>
      <c r="D12957" s="9" t="s">
        <v>107</v>
      </c>
      <c r="E12957" s="6" t="s">
        <v>11655</v>
      </c>
      <c r="F12957" s="9" t="s">
        <v>19730</v>
      </c>
    </row>
    <row r="12958" ht="33.75" customHeight="1">
      <c r="A12958" s="7">
        <v>632.0</v>
      </c>
      <c r="B12958" s="9" t="s">
        <v>17846</v>
      </c>
      <c r="C12958" s="9" t="s">
        <v>943</v>
      </c>
      <c r="D12958" s="9" t="s">
        <v>109</v>
      </c>
      <c r="E12958" s="6" t="s">
        <v>11652</v>
      </c>
      <c r="F12958" s="9" t="s">
        <v>19730</v>
      </c>
    </row>
    <row r="12959" ht="33.75" customHeight="1">
      <c r="A12959" s="7">
        <v>632.0</v>
      </c>
      <c r="B12959" s="9" t="s">
        <v>17846</v>
      </c>
      <c r="C12959" s="9" t="s">
        <v>943</v>
      </c>
      <c r="D12959" s="9" t="s">
        <v>114</v>
      </c>
      <c r="E12959" s="6" t="s">
        <v>11657</v>
      </c>
      <c r="F12959" s="9" t="s">
        <v>19730</v>
      </c>
    </row>
    <row r="12960" ht="33.75" customHeight="1">
      <c r="A12960" s="7">
        <v>632.0</v>
      </c>
      <c r="B12960" s="9" t="s">
        <v>17846</v>
      </c>
      <c r="C12960" s="9" t="s">
        <v>943</v>
      </c>
      <c r="D12960" s="9" t="s">
        <v>117</v>
      </c>
      <c r="E12960" s="6" t="s">
        <v>11658</v>
      </c>
      <c r="F12960" s="9" t="s">
        <v>19730</v>
      </c>
    </row>
    <row r="12961" ht="33.75" customHeight="1">
      <c r="A12961" s="7">
        <v>633.0</v>
      </c>
      <c r="B12961" s="9" t="s">
        <v>17854</v>
      </c>
      <c r="C12961" s="9" t="s">
        <v>944</v>
      </c>
      <c r="D12961" s="9" t="s">
        <v>93</v>
      </c>
      <c r="E12961" s="6" t="s">
        <v>11659</v>
      </c>
      <c r="F12961" s="9" t="s">
        <v>19753</v>
      </c>
      <c r="G12961" t="inlineStr" s="6">
        <is>
          <t xml:space="preserve">Deino tends to bite everything, and it is not a picky eater. Approaching it carelessly is dangerous. They cannot see, so they tackle and bite to learn about their surroundings. Their bodies are covered in wounds. Lacking sight, it’s unaware of its surroundings, so it bumps into things and eats anything that moves. When it encounters something, its first urge is usually to bite it. If it likes what it tastes, it will commit the associated scent to memory. Because it can’t see, this Pokémon is constantly biting at everything it touches, trying to keep track of its surroundings.</t>
        </is>
      </c>
    </row>
    <row r="12962" ht="33.75" customHeight="1">
      <c r="A12962" s="7">
        <v>633.0</v>
      </c>
      <c r="B12962" s="9" t="s">
        <v>17854</v>
      </c>
      <c r="C12962" s="9" t="s">
        <v>944</v>
      </c>
      <c r="D12962" s="9" t="s">
        <v>95</v>
      </c>
      <c r="E12962" s="6" t="s">
        <v>11660</v>
      </c>
      <c r="F12962" s="9" t="s">
        <v>19753</v>
      </c>
    </row>
    <row r="12963" ht="33.75" customHeight="1">
      <c r="A12963" s="7">
        <v>633.0</v>
      </c>
      <c r="B12963" s="9" t="s">
        <v>17854</v>
      </c>
      <c r="C12963" s="9" t="s">
        <v>944</v>
      </c>
      <c r="D12963" s="9" t="s">
        <v>98</v>
      </c>
      <c r="E12963" s="6" t="s">
        <v>11661</v>
      </c>
      <c r="F12963" s="9" t="s">
        <v>19753</v>
      </c>
    </row>
    <row r="12964" ht="33.75" customHeight="1">
      <c r="A12964" s="7">
        <v>633.0</v>
      </c>
      <c r="B12964" s="9" t="s">
        <v>17854</v>
      </c>
      <c r="C12964" s="9" t="s">
        <v>944</v>
      </c>
      <c r="D12964" s="9" t="s">
        <v>99</v>
      </c>
      <c r="E12964" s="6" t="s">
        <v>11661</v>
      </c>
      <c r="F12964" s="9" t="s">
        <v>19753</v>
      </c>
    </row>
    <row r="12965" ht="33.75" customHeight="1">
      <c r="A12965" s="7">
        <v>633.0</v>
      </c>
      <c r="B12965" s="9" t="s">
        <v>17854</v>
      </c>
      <c r="C12965" s="9" t="s">
        <v>944</v>
      </c>
      <c r="D12965" s="9" t="s">
        <v>101</v>
      </c>
      <c r="E12965" s="6" t="s">
        <v>11660</v>
      </c>
      <c r="F12965" s="9" t="s">
        <v>19753</v>
      </c>
    </row>
    <row r="12966" ht="33.75" customHeight="1">
      <c r="A12966" s="7">
        <v>633.0</v>
      </c>
      <c r="B12966" s="9" t="s">
        <v>17854</v>
      </c>
      <c r="C12966" s="9" t="s">
        <v>944</v>
      </c>
      <c r="D12966" s="9" t="s">
        <v>105</v>
      </c>
      <c r="E12966" s="6" t="s">
        <v>11661</v>
      </c>
      <c r="F12966" s="9" t="s">
        <v>19753</v>
      </c>
    </row>
    <row r="12967" ht="33.75" customHeight="1">
      <c r="A12967" s="7">
        <v>633.0</v>
      </c>
      <c r="B12967" s="9" t="s">
        <v>17854</v>
      </c>
      <c r="C12967" s="9" t="s">
        <v>944</v>
      </c>
      <c r="D12967" s="9" t="s">
        <v>107</v>
      </c>
      <c r="E12967" s="6" t="s">
        <v>11660</v>
      </c>
      <c r="F12967" s="9" t="s">
        <v>19753</v>
      </c>
    </row>
    <row r="12968" ht="33.75" customHeight="1">
      <c r="A12968" s="7">
        <v>633.0</v>
      </c>
      <c r="B12968" s="9" t="s">
        <v>17854</v>
      </c>
      <c r="C12968" s="9" t="s">
        <v>944</v>
      </c>
      <c r="D12968" s="9" t="s">
        <v>109</v>
      </c>
      <c r="E12968" s="6" t="s">
        <v>11661</v>
      </c>
      <c r="F12968" s="9" t="s">
        <v>19753</v>
      </c>
    </row>
    <row r="12969" ht="33.75" customHeight="1">
      <c r="A12969" s="7">
        <v>633.0</v>
      </c>
      <c r="B12969" s="9" t="s">
        <v>17854</v>
      </c>
      <c r="C12969" s="9" t="s">
        <v>944</v>
      </c>
      <c r="D12969" s="9" t="s">
        <v>114</v>
      </c>
      <c r="E12969" s="6" t="s">
        <v>11662</v>
      </c>
      <c r="F12969" s="9" t="s">
        <v>19753</v>
      </c>
    </row>
    <row r="12970" ht="33.75" customHeight="1">
      <c r="A12970" s="7">
        <v>633.0</v>
      </c>
      <c r="B12970" s="9" t="s">
        <v>17854</v>
      </c>
      <c r="C12970" s="9" t="s">
        <v>944</v>
      </c>
      <c r="D12970" s="9" t="s">
        <v>117</v>
      </c>
      <c r="E12970" s="6" t="s">
        <v>11664</v>
      </c>
      <c r="F12970" s="9" t="s">
        <v>19753</v>
      </c>
    </row>
    <row r="12971" ht="33.75" customHeight="1">
      <c r="A12971" s="7">
        <v>634.0</v>
      </c>
      <c r="B12971" s="9" t="s">
        <v>17862</v>
      </c>
      <c r="C12971" s="9" t="s">
        <v>843</v>
      </c>
      <c r="D12971" s="9" t="s">
        <v>93</v>
      </c>
      <c r="E12971" s="6" t="s">
        <v>11665</v>
      </c>
      <c r="F12971" s="9" t="s">
        <v>19771</v>
      </c>
      <c r="G12971" t="inlineStr" s="6">
        <is>
          <t xml:space="preserve">After it has eaten up all the food in Zweilous's territory, it moves to another area. Its two heads do not get along. Since their two heads do not get along and compete with each other for food, they always eat too much. The two heads do not get along. Whichever head eats more than the other gets to be the leader. While hunting for prey, Zweilous wanders its territory, its two heads often bickering over which way to go. Their two heads will fight each other over a single piece of food. Zweilous are covered in scars even without battling others.</t>
        </is>
      </c>
    </row>
    <row r="12972" ht="33.75" customHeight="1">
      <c r="A12972" s="7">
        <v>634.0</v>
      </c>
      <c r="B12972" s="9" t="s">
        <v>17862</v>
      </c>
      <c r="C12972" s="9" t="s">
        <v>843</v>
      </c>
      <c r="D12972" s="9" t="s">
        <v>95</v>
      </c>
      <c r="E12972" s="6" t="s">
        <v>11666</v>
      </c>
      <c r="F12972" s="9" t="s">
        <v>19771</v>
      </c>
    </row>
    <row r="12973" ht="33.75" customHeight="1">
      <c r="A12973" s="7">
        <v>634.0</v>
      </c>
      <c r="B12973" s="9" t="s">
        <v>17862</v>
      </c>
      <c r="C12973" s="9" t="s">
        <v>843</v>
      </c>
      <c r="D12973" s="9" t="s">
        <v>98</v>
      </c>
      <c r="E12973" s="6" t="s">
        <v>11667</v>
      </c>
      <c r="F12973" s="9" t="s">
        <v>19771</v>
      </c>
    </row>
    <row r="12974" ht="33.75" customHeight="1">
      <c r="A12974" s="7">
        <v>634.0</v>
      </c>
      <c r="B12974" s="9" t="s">
        <v>17862</v>
      </c>
      <c r="C12974" s="9" t="s">
        <v>843</v>
      </c>
      <c r="D12974" s="9" t="s">
        <v>99</v>
      </c>
      <c r="E12974" s="6" t="s">
        <v>11667</v>
      </c>
      <c r="F12974" s="9" t="s">
        <v>19771</v>
      </c>
    </row>
    <row r="12975" ht="33.75" customHeight="1">
      <c r="A12975" s="7">
        <v>634.0</v>
      </c>
      <c r="B12975" s="9" t="s">
        <v>17862</v>
      </c>
      <c r="C12975" s="9" t="s">
        <v>843</v>
      </c>
      <c r="D12975" s="9" t="s">
        <v>101</v>
      </c>
      <c r="E12975" s="6" t="s">
        <v>11667</v>
      </c>
      <c r="F12975" s="9" t="s">
        <v>19771</v>
      </c>
    </row>
    <row r="12976" ht="33.75" customHeight="1">
      <c r="A12976" s="7">
        <v>634.0</v>
      </c>
      <c r="B12976" s="9" t="s">
        <v>17862</v>
      </c>
      <c r="C12976" s="9" t="s">
        <v>843</v>
      </c>
      <c r="D12976" s="9" t="s">
        <v>105</v>
      </c>
      <c r="E12976" s="6" t="s">
        <v>11665</v>
      </c>
      <c r="F12976" s="9" t="s">
        <v>19771</v>
      </c>
    </row>
    <row r="12977" ht="33.75" customHeight="1">
      <c r="A12977" s="7">
        <v>634.0</v>
      </c>
      <c r="B12977" s="9" t="s">
        <v>17862</v>
      </c>
      <c r="C12977" s="9" t="s">
        <v>843</v>
      </c>
      <c r="D12977" s="9" t="s">
        <v>107</v>
      </c>
      <c r="E12977" s="6" t="s">
        <v>11667</v>
      </c>
      <c r="F12977" s="9" t="s">
        <v>19771</v>
      </c>
    </row>
    <row r="12978" ht="33.75" customHeight="1">
      <c r="A12978" s="7">
        <v>634.0</v>
      </c>
      <c r="B12978" s="9" t="s">
        <v>17862</v>
      </c>
      <c r="C12978" s="9" t="s">
        <v>843</v>
      </c>
      <c r="D12978" s="9" t="s">
        <v>109</v>
      </c>
      <c r="E12978" s="6" t="s">
        <v>11665</v>
      </c>
      <c r="F12978" s="9" t="s">
        <v>19771</v>
      </c>
    </row>
    <row r="12979" ht="33.75" customHeight="1">
      <c r="A12979" s="7">
        <v>634.0</v>
      </c>
      <c r="B12979" s="9" t="s">
        <v>17862</v>
      </c>
      <c r="C12979" s="9" t="s">
        <v>843</v>
      </c>
      <c r="D12979" s="9" t="s">
        <v>114</v>
      </c>
      <c r="E12979" s="6" t="s">
        <v>11668</v>
      </c>
      <c r="F12979" s="9" t="s">
        <v>19771</v>
      </c>
    </row>
    <row r="12980" ht="33.75" customHeight="1">
      <c r="A12980" s="7">
        <v>634.0</v>
      </c>
      <c r="B12980" s="9" t="s">
        <v>17862</v>
      </c>
      <c r="C12980" s="9" t="s">
        <v>843</v>
      </c>
      <c r="D12980" s="9" t="s">
        <v>117</v>
      </c>
      <c r="E12980" s="6" t="s">
        <v>11669</v>
      </c>
      <c r="F12980" s="9" t="s">
        <v>19771</v>
      </c>
    </row>
    <row r="12981" ht="33.75" customHeight="1">
      <c r="A12981" s="7">
        <v>635.0</v>
      </c>
      <c r="B12981" s="9" t="s">
        <v>17868</v>
      </c>
      <c r="C12981" s="9" t="s">
        <v>478</v>
      </c>
      <c r="D12981" s="9" t="s">
        <v>93</v>
      </c>
      <c r="E12981" s="6" t="s">
        <v>11671</v>
      </c>
      <c r="F12981" s="9" t="s">
        <v>19784</v>
      </c>
      <c r="G12981" t="inlineStr" s="6">
        <is>
          <t xml:space="preserve">This brutal Pokémon travels the skies on Hydreigon's six wings. Anything that moves seems like a foe to it, triggering its attack. The heads on their arms do not have brains. They use all three heads to consume and destroy everything. It responds to movement by attacking. This scary, three-headed Pokémon devours everything in its path! There are a slew of stories about villages that were destroyed by Hydreigon. It bites anything that moves. The three heads take turns sinking their teeth into the opponent. Their attacks won’t slow until their target goes down.</t>
        </is>
      </c>
    </row>
    <row r="12982" ht="33.75" customHeight="1">
      <c r="A12982" s="7">
        <v>635.0</v>
      </c>
      <c r="B12982" s="9" t="s">
        <v>17868</v>
      </c>
      <c r="C12982" s="9" t="s">
        <v>478</v>
      </c>
      <c r="D12982" s="9" t="s">
        <v>95</v>
      </c>
      <c r="E12982" s="6" t="s">
        <v>11673</v>
      </c>
      <c r="F12982" s="9" t="s">
        <v>19784</v>
      </c>
    </row>
    <row r="12983" ht="33.75" customHeight="1">
      <c r="A12983" s="7">
        <v>635.0</v>
      </c>
      <c r="B12983" s="9" t="s">
        <v>17868</v>
      </c>
      <c r="C12983" s="9" t="s">
        <v>478</v>
      </c>
      <c r="D12983" s="9" t="s">
        <v>98</v>
      </c>
      <c r="E12983" s="6" t="s">
        <v>11674</v>
      </c>
      <c r="F12983" s="9" t="s">
        <v>19784</v>
      </c>
    </row>
    <row r="12984" ht="33.75" customHeight="1">
      <c r="A12984" s="7">
        <v>635.0</v>
      </c>
      <c r="B12984" s="9" t="s">
        <v>17868</v>
      </c>
      <c r="C12984" s="9" t="s">
        <v>478</v>
      </c>
      <c r="D12984" s="9" t="s">
        <v>99</v>
      </c>
      <c r="E12984" s="6" t="s">
        <v>11674</v>
      </c>
      <c r="F12984" s="9" t="s">
        <v>19784</v>
      </c>
    </row>
    <row r="12985" ht="33.75" customHeight="1">
      <c r="A12985" s="7">
        <v>635.0</v>
      </c>
      <c r="B12985" s="9" t="s">
        <v>17868</v>
      </c>
      <c r="C12985" s="9" t="s">
        <v>478</v>
      </c>
      <c r="D12985" s="9" t="s">
        <v>101</v>
      </c>
      <c r="E12985" s="6" t="s">
        <v>11673</v>
      </c>
      <c r="F12985" s="9" t="s">
        <v>19784</v>
      </c>
    </row>
    <row r="12986" ht="33.75" customHeight="1">
      <c r="A12986" s="7">
        <v>635.0</v>
      </c>
      <c r="B12986" s="9" t="s">
        <v>17868</v>
      </c>
      <c r="C12986" s="9" t="s">
        <v>478</v>
      </c>
      <c r="D12986" s="9" t="s">
        <v>105</v>
      </c>
      <c r="E12986" s="6" t="s">
        <v>11674</v>
      </c>
      <c r="F12986" s="9" t="s">
        <v>19784</v>
      </c>
    </row>
    <row r="12987" ht="33.75" customHeight="1">
      <c r="A12987" s="7">
        <v>635.0</v>
      </c>
      <c r="B12987" s="9" t="s">
        <v>17868</v>
      </c>
      <c r="C12987" s="9" t="s">
        <v>478</v>
      </c>
      <c r="D12987" s="9" t="s">
        <v>107</v>
      </c>
      <c r="E12987" s="6" t="s">
        <v>11673</v>
      </c>
      <c r="F12987" s="9" t="s">
        <v>19784</v>
      </c>
    </row>
    <row r="12988" ht="33.75" customHeight="1">
      <c r="A12988" s="7">
        <v>635.0</v>
      </c>
      <c r="B12988" s="9" t="s">
        <v>17868</v>
      </c>
      <c r="C12988" s="9" t="s">
        <v>478</v>
      </c>
      <c r="D12988" s="9" t="s">
        <v>109</v>
      </c>
      <c r="E12988" s="6" t="s">
        <v>11674</v>
      </c>
      <c r="F12988" s="9" t="s">
        <v>19784</v>
      </c>
    </row>
    <row r="12989" ht="33.75" customHeight="1">
      <c r="A12989" s="7">
        <v>635.0</v>
      </c>
      <c r="B12989" s="9" t="s">
        <v>17868</v>
      </c>
      <c r="C12989" s="9" t="s">
        <v>478</v>
      </c>
      <c r="D12989" s="9" t="s">
        <v>114</v>
      </c>
      <c r="E12989" s="6" t="s">
        <v>11676</v>
      </c>
      <c r="F12989" s="9" t="s">
        <v>19784</v>
      </c>
    </row>
    <row r="12990" ht="33.75" customHeight="1">
      <c r="A12990" s="7">
        <v>635.0</v>
      </c>
      <c r="B12990" s="9" t="s">
        <v>17868</v>
      </c>
      <c r="C12990" s="9" t="s">
        <v>478</v>
      </c>
      <c r="D12990" s="9" t="s">
        <v>117</v>
      </c>
      <c r="E12990" s="6" t="s">
        <v>11677</v>
      </c>
      <c r="F12990" s="9" t="s">
        <v>19784</v>
      </c>
    </row>
    <row r="12991" ht="33.75" customHeight="1">
      <c r="A12991" s="7">
        <v>636.0</v>
      </c>
      <c r="B12991" s="9" t="s">
        <v>17875</v>
      </c>
      <c r="C12991" s="9" t="s">
        <v>946</v>
      </c>
      <c r="D12991" s="9" t="s">
        <v>93</v>
      </c>
      <c r="E12991" s="6" t="s">
        <v>11679</v>
      </c>
      <c r="F12991" s="9" t="s">
        <v>19793</v>
      </c>
      <c r="G12991" t="inlineStr" s="6">
        <is>
          <t xml:space="preserve">This Pokémon was believed to have been born from the sun. When it evolves, its entire body is engulfed in flames. The base of volcanoes is where they make their homes. They shoot fire from their five horns to repel attacking enemies. Said to have been born from the sun, it spews fire from its horns and encases itself in a cocoon of fire when it evolves. When battling opponents, it sprays fire from its five horns. The max temperature of the flames can reach nearly 5,500 degrees Fahrenheit. It protects itself with flame. Long years ago, people believed Larvesta had a nest on the sun. The people of ancient times believed that Larvesta fell from the sun. Larvesta’s body is warm all over. It spouts fire from the tips of its horns to intimidate predators and scare prey.</t>
        </is>
      </c>
    </row>
    <row r="12992" ht="33.75" customHeight="1">
      <c r="A12992" s="7">
        <v>636.0</v>
      </c>
      <c r="B12992" s="9" t="s">
        <v>17875</v>
      </c>
      <c r="C12992" s="9" t="s">
        <v>946</v>
      </c>
      <c r="D12992" s="9" t="s">
        <v>95</v>
      </c>
      <c r="E12992" s="6" t="s">
        <v>11680</v>
      </c>
      <c r="F12992" s="9" t="s">
        <v>19793</v>
      </c>
    </row>
    <row r="12993" ht="33.75" customHeight="1">
      <c r="A12993" s="7">
        <v>636.0</v>
      </c>
      <c r="B12993" s="9" t="s">
        <v>17875</v>
      </c>
      <c r="C12993" s="9" t="s">
        <v>946</v>
      </c>
      <c r="D12993" s="9" t="s">
        <v>98</v>
      </c>
      <c r="E12993" s="6" t="s">
        <v>11682</v>
      </c>
      <c r="F12993" s="9" t="s">
        <v>19793</v>
      </c>
    </row>
    <row r="12994" ht="33.75" customHeight="1">
      <c r="A12994" s="7">
        <v>636.0</v>
      </c>
      <c r="B12994" s="9" t="s">
        <v>17875</v>
      </c>
      <c r="C12994" s="9" t="s">
        <v>946</v>
      </c>
      <c r="D12994" s="9" t="s">
        <v>99</v>
      </c>
      <c r="E12994" s="6" t="s">
        <v>11682</v>
      </c>
      <c r="F12994" s="9" t="s">
        <v>19793</v>
      </c>
    </row>
    <row r="12995" ht="33.75" customHeight="1">
      <c r="A12995" s="7">
        <v>636.0</v>
      </c>
      <c r="B12995" s="9" t="s">
        <v>17875</v>
      </c>
      <c r="C12995" s="9" t="s">
        <v>946</v>
      </c>
      <c r="D12995" s="9" t="s">
        <v>101</v>
      </c>
      <c r="E12995" s="6" t="s">
        <v>11682</v>
      </c>
      <c r="F12995" s="9" t="s">
        <v>19793</v>
      </c>
    </row>
    <row r="12996" ht="33.75" customHeight="1">
      <c r="A12996" s="7">
        <v>636.0</v>
      </c>
      <c r="B12996" s="9" t="s">
        <v>17875</v>
      </c>
      <c r="C12996" s="9" t="s">
        <v>946</v>
      </c>
      <c r="D12996" s="9" t="s">
        <v>105</v>
      </c>
      <c r="E12996" s="6" t="s">
        <v>11680</v>
      </c>
      <c r="F12996" s="9" t="s">
        <v>19793</v>
      </c>
    </row>
    <row r="12997" ht="33.75" customHeight="1">
      <c r="A12997" s="7">
        <v>636.0</v>
      </c>
      <c r="B12997" s="9" t="s">
        <v>17875</v>
      </c>
      <c r="C12997" s="9" t="s">
        <v>946</v>
      </c>
      <c r="D12997" s="9" t="s">
        <v>107</v>
      </c>
      <c r="E12997" s="6" t="s">
        <v>11682</v>
      </c>
      <c r="F12997" s="9" t="s">
        <v>19793</v>
      </c>
    </row>
    <row r="12998" ht="33.75" customHeight="1">
      <c r="A12998" s="7">
        <v>636.0</v>
      </c>
      <c r="B12998" s="9" t="s">
        <v>17875</v>
      </c>
      <c r="C12998" s="9" t="s">
        <v>946</v>
      </c>
      <c r="D12998" s="9" t="s">
        <v>109</v>
      </c>
      <c r="E12998" s="6" t="s">
        <v>11680</v>
      </c>
      <c r="F12998" s="9" t="s">
        <v>19793</v>
      </c>
    </row>
    <row r="12999" ht="33.75" customHeight="1">
      <c r="A12999" s="7">
        <v>636.0</v>
      </c>
      <c r="B12999" s="9" t="s">
        <v>17875</v>
      </c>
      <c r="C12999" s="9" t="s">
        <v>946</v>
      </c>
      <c r="D12999" s="9" t="s">
        <v>647</v>
      </c>
      <c r="E12999" s="6" t="s">
        <v>11685</v>
      </c>
      <c r="F12999" s="9" t="s">
        <v>19793</v>
      </c>
    </row>
    <row r="13000" ht="33.75" customHeight="1">
      <c r="A13000" s="7">
        <v>636.0</v>
      </c>
      <c r="B13000" s="9" t="s">
        <v>17875</v>
      </c>
      <c r="C13000" s="9" t="s">
        <v>946</v>
      </c>
      <c r="D13000" s="9" t="s">
        <v>652</v>
      </c>
      <c r="E13000" s="6" t="s">
        <v>11686</v>
      </c>
      <c r="F13000" s="9" t="s">
        <v>19793</v>
      </c>
    </row>
    <row r="13001" ht="33.75" customHeight="1">
      <c r="A13001" s="7">
        <v>636.0</v>
      </c>
      <c r="B13001" s="9" t="s">
        <v>17875</v>
      </c>
      <c r="C13001" s="9" t="s">
        <v>946</v>
      </c>
      <c r="D13001" s="9" t="s">
        <v>114</v>
      </c>
      <c r="E13001" s="6" t="s">
        <v>11688</v>
      </c>
      <c r="F13001" s="9" t="s">
        <v>19793</v>
      </c>
    </row>
    <row r="13002" ht="33.75" customHeight="1">
      <c r="A13002" s="7">
        <v>636.0</v>
      </c>
      <c r="B13002" s="9" t="s">
        <v>17875</v>
      </c>
      <c r="C13002" s="9" t="s">
        <v>946</v>
      </c>
      <c r="D13002" s="9" t="s">
        <v>117</v>
      </c>
      <c r="E13002" s="6" t="s">
        <v>11690</v>
      </c>
      <c r="F13002" s="9" t="s">
        <v>19793</v>
      </c>
    </row>
    <row r="13003" ht="33.75" customHeight="1">
      <c r="A13003" s="7">
        <v>637.0</v>
      </c>
      <c r="B13003" s="9" t="s">
        <v>17884</v>
      </c>
      <c r="C13003" s="9" t="s">
        <v>287</v>
      </c>
      <c r="D13003" s="9" t="s">
        <v>93</v>
      </c>
      <c r="E13003" s="6" t="s">
        <v>11694</v>
      </c>
      <c r="F13003" s="9" t="s">
        <v>19806</v>
      </c>
      <c r="G13003" t="inlineStr" s="6">
        <is>
          <t xml:space="preserve">When volcanic ash darkened the atmosphere, Volcarona is said that Volcarona’s fire provided a replacement for the sun. A sea of fire engulfs the surroundings of their battles, since they use their six wings to scatter their ember scales. Thought to be an embodiment of the sun, it appeared during a bitterly cold winter and saved Pokémon from freezing. As it flies, it scatters its flaming scales. It was feared by ancient people, who referred to it as “the rage of the sun. According to legends, it was hatched from a flaming cocoon to save people and Pokémon that were suffering from the cold. Volcarona scatters burning scales. Some say it does this to start fires. Others say it’s trying to rescue those that suffer in the cold. This Pokémon emerges from a cocoon formed of raging flames. Ancient murals depict Volcarona as a deity of fire.</t>
        </is>
      </c>
    </row>
    <row r="13004" ht="33.75" customHeight="1">
      <c r="A13004" s="7">
        <v>637.0</v>
      </c>
      <c r="B13004" s="9" t="s">
        <v>17884</v>
      </c>
      <c r="C13004" s="9" t="s">
        <v>287</v>
      </c>
      <c r="D13004" s="9" t="s">
        <v>95</v>
      </c>
      <c r="E13004" s="6" t="s">
        <v>11695</v>
      </c>
      <c r="F13004" s="9" t="s">
        <v>19806</v>
      </c>
    </row>
    <row r="13005" ht="33.75" customHeight="1">
      <c r="A13005" s="7">
        <v>637.0</v>
      </c>
      <c r="B13005" s="9" t="s">
        <v>17884</v>
      </c>
      <c r="C13005" s="9" t="s">
        <v>287</v>
      </c>
      <c r="D13005" s="9" t="s">
        <v>98</v>
      </c>
      <c r="E13005" s="6" t="s">
        <v>11697</v>
      </c>
      <c r="F13005" s="9" t="s">
        <v>19806</v>
      </c>
    </row>
    <row r="13006" ht="33.75" customHeight="1">
      <c r="A13006" s="7">
        <v>637.0</v>
      </c>
      <c r="B13006" s="9" t="s">
        <v>17884</v>
      </c>
      <c r="C13006" s="9" t="s">
        <v>287</v>
      </c>
      <c r="D13006" s="9" t="s">
        <v>99</v>
      </c>
      <c r="E13006" s="6" t="s">
        <v>11697</v>
      </c>
      <c r="F13006" s="9" t="s">
        <v>19806</v>
      </c>
    </row>
    <row r="13007" ht="33.75" customHeight="1">
      <c r="A13007" s="7">
        <v>637.0</v>
      </c>
      <c r="B13007" s="9" t="s">
        <v>17884</v>
      </c>
      <c r="C13007" s="9" t="s">
        <v>287</v>
      </c>
      <c r="D13007" s="9" t="s">
        <v>101</v>
      </c>
      <c r="E13007" s="6" t="s">
        <v>11695</v>
      </c>
      <c r="F13007" s="9" t="s">
        <v>19806</v>
      </c>
    </row>
    <row r="13008" ht="33.75" customHeight="1">
      <c r="A13008" s="7">
        <v>637.0</v>
      </c>
      <c r="B13008" s="9" t="s">
        <v>17884</v>
      </c>
      <c r="C13008" s="9" t="s">
        <v>287</v>
      </c>
      <c r="D13008" s="9" t="s">
        <v>105</v>
      </c>
      <c r="E13008" s="6" t="s">
        <v>11694</v>
      </c>
      <c r="F13008" s="9" t="s">
        <v>19806</v>
      </c>
    </row>
    <row r="13009" ht="33.75" customHeight="1">
      <c r="A13009" s="7">
        <v>637.0</v>
      </c>
      <c r="B13009" s="9" t="s">
        <v>17884</v>
      </c>
      <c r="C13009" s="9" t="s">
        <v>287</v>
      </c>
      <c r="D13009" s="9" t="s">
        <v>107</v>
      </c>
      <c r="E13009" s="6" t="s">
        <v>11695</v>
      </c>
      <c r="F13009" s="9" t="s">
        <v>19806</v>
      </c>
    </row>
    <row r="13010" ht="33.75" customHeight="1">
      <c r="A13010" s="7">
        <v>637.0</v>
      </c>
      <c r="B13010" s="9" t="s">
        <v>17884</v>
      </c>
      <c r="C13010" s="9" t="s">
        <v>287</v>
      </c>
      <c r="D13010" s="9" t="s">
        <v>109</v>
      </c>
      <c r="E13010" s="6" t="s">
        <v>11694</v>
      </c>
      <c r="F13010" s="9" t="s">
        <v>19806</v>
      </c>
    </row>
    <row r="13011" ht="33.75" customHeight="1">
      <c r="A13011" s="7">
        <v>637.0</v>
      </c>
      <c r="B13011" s="9" t="s">
        <v>17884</v>
      </c>
      <c r="C13011" s="9" t="s">
        <v>287</v>
      </c>
      <c r="D13011" s="9" t="s">
        <v>647</v>
      </c>
      <c r="E13011" s="6" t="s">
        <v>11699</v>
      </c>
      <c r="F13011" s="9" t="s">
        <v>19806</v>
      </c>
    </row>
    <row r="13012" ht="33.75" customHeight="1">
      <c r="A13012" s="7">
        <v>637.0</v>
      </c>
      <c r="B13012" s="9" t="s">
        <v>17884</v>
      </c>
      <c r="C13012" s="9" t="s">
        <v>287</v>
      </c>
      <c r="D13012" s="9" t="s">
        <v>652</v>
      </c>
      <c r="E13012" s="6" t="s">
        <v>11700</v>
      </c>
      <c r="F13012" s="9" t="s">
        <v>19806</v>
      </c>
    </row>
    <row r="13013" ht="33.75" customHeight="1">
      <c r="A13013" s="7">
        <v>637.0</v>
      </c>
      <c r="B13013" s="9" t="s">
        <v>17884</v>
      </c>
      <c r="C13013" s="9" t="s">
        <v>287</v>
      </c>
      <c r="D13013" s="9" t="s">
        <v>114</v>
      </c>
      <c r="E13013" s="6" t="s">
        <v>11702</v>
      </c>
      <c r="F13013" s="9" t="s">
        <v>19806</v>
      </c>
    </row>
    <row r="13014" ht="33.75" customHeight="1">
      <c r="A13014" s="7">
        <v>637.0</v>
      </c>
      <c r="B13014" s="9" t="s">
        <v>17884</v>
      </c>
      <c r="C13014" s="9" t="s">
        <v>287</v>
      </c>
      <c r="D13014" s="9" t="s">
        <v>117</v>
      </c>
      <c r="E13014" s="6" t="s">
        <v>11703</v>
      </c>
      <c r="F13014" s="9" t="s">
        <v>19806</v>
      </c>
    </row>
    <row r="13015" ht="33.75" customHeight="1">
      <c r="A13015" s="7">
        <v>638.0</v>
      </c>
      <c r="B13015" s="9" t="s">
        <v>17893</v>
      </c>
      <c r="C13015" s="9" t="s">
        <v>947</v>
      </c>
      <c r="D13015" s="9" t="s">
        <v>93</v>
      </c>
      <c r="E13015" s="6" t="s">
        <v>11704</v>
      </c>
      <c r="F13015" s="9" t="s">
        <v>19815</v>
      </c>
      <c r="G13015" t="inlineStr" s="6">
        <is>
          <t xml:space="preserve">This legendary Pokémon battled against humans to protect Pokémon. Its personality is calm and composed. It has a body and heart of steel. Its glare is sufficient to make even an unruly Pokémon obey it. It worked with its allies to punish people when they hurt Pokémon. This Pokémon appears in a legend alongside Terrakion and Virizion, fighting against humans in defense of the Unova region’s Pokémon. From the moment it’s born, this Pokémon radiates the air of a leader. Its presence will calm even vicious foes.</t>
        </is>
      </c>
    </row>
    <row r="13016" ht="33.75" customHeight="1">
      <c r="A13016" s="7">
        <v>638.0</v>
      </c>
      <c r="B13016" s="9" t="s">
        <v>17893</v>
      </c>
      <c r="C13016" s="9" t="s">
        <v>947</v>
      </c>
      <c r="D13016" s="9" t="s">
        <v>95</v>
      </c>
      <c r="E13016" s="6" t="s">
        <v>11706</v>
      </c>
      <c r="F13016" s="9" t="s">
        <v>19815</v>
      </c>
    </row>
    <row r="13017" ht="33.75" customHeight="1">
      <c r="A13017" s="7">
        <v>638.0</v>
      </c>
      <c r="B13017" s="9" t="s">
        <v>17893</v>
      </c>
      <c r="C13017" s="9" t="s">
        <v>947</v>
      </c>
      <c r="D13017" s="9" t="s">
        <v>98</v>
      </c>
      <c r="E13017" s="6" t="s">
        <v>11707</v>
      </c>
      <c r="F13017" s="9" t="s">
        <v>19815</v>
      </c>
    </row>
    <row r="13018" ht="33.75" customHeight="1">
      <c r="A13018" s="7">
        <v>638.0</v>
      </c>
      <c r="B13018" s="9" t="s">
        <v>17893</v>
      </c>
      <c r="C13018" s="9" t="s">
        <v>947</v>
      </c>
      <c r="D13018" s="9" t="s">
        <v>99</v>
      </c>
      <c r="E13018" s="6" t="s">
        <v>11707</v>
      </c>
      <c r="F13018" s="9" t="s">
        <v>19815</v>
      </c>
    </row>
    <row r="13019" ht="33.75" customHeight="1">
      <c r="A13019" s="7">
        <v>638.0</v>
      </c>
      <c r="B13019" s="9" t="s">
        <v>17893</v>
      </c>
      <c r="C13019" s="9" t="s">
        <v>947</v>
      </c>
      <c r="D13019" s="9" t="s">
        <v>101</v>
      </c>
      <c r="E13019" s="6" t="s">
        <v>11706</v>
      </c>
      <c r="F13019" s="9" t="s">
        <v>19815</v>
      </c>
    </row>
    <row r="13020" ht="33.75" customHeight="1">
      <c r="A13020" s="7">
        <v>638.0</v>
      </c>
      <c r="B13020" s="9" t="s">
        <v>17893</v>
      </c>
      <c r="C13020" s="9" t="s">
        <v>947</v>
      </c>
      <c r="D13020" s="9" t="s">
        <v>105</v>
      </c>
      <c r="E13020" s="6" t="s">
        <v>11707</v>
      </c>
      <c r="F13020" s="9" t="s">
        <v>19815</v>
      </c>
    </row>
    <row r="13021" ht="33.75" customHeight="1">
      <c r="A13021" s="7">
        <v>638.0</v>
      </c>
      <c r="B13021" s="9" t="s">
        <v>17893</v>
      </c>
      <c r="C13021" s="9" t="s">
        <v>947</v>
      </c>
      <c r="D13021" s="9" t="s">
        <v>107</v>
      </c>
      <c r="E13021" s="6" t="s">
        <v>11706</v>
      </c>
      <c r="F13021" s="9" t="s">
        <v>19815</v>
      </c>
    </row>
    <row r="13022" ht="33.75" customHeight="1">
      <c r="A13022" s="7">
        <v>638.0</v>
      </c>
      <c r="B13022" s="9" t="s">
        <v>17893</v>
      </c>
      <c r="C13022" s="9" t="s">
        <v>947</v>
      </c>
      <c r="D13022" s="9" t="s">
        <v>109</v>
      </c>
      <c r="E13022" s="6" t="s">
        <v>11707</v>
      </c>
      <c r="F13022" s="9" t="s">
        <v>19815</v>
      </c>
    </row>
    <row r="13023" ht="33.75" customHeight="1">
      <c r="A13023" s="7">
        <v>638.0</v>
      </c>
      <c r="B13023" s="9" t="s">
        <v>17893</v>
      </c>
      <c r="C13023" s="9" t="s">
        <v>947</v>
      </c>
      <c r="D13023" s="9" t="s">
        <v>114</v>
      </c>
      <c r="E13023" s="6" t="s">
        <v>11708</v>
      </c>
      <c r="F13023" s="9" t="s">
        <v>19815</v>
      </c>
    </row>
    <row r="13024" ht="33.75" customHeight="1">
      <c r="A13024" s="7">
        <v>638.0</v>
      </c>
      <c r="B13024" s="9" t="s">
        <v>17893</v>
      </c>
      <c r="C13024" s="9" t="s">
        <v>947</v>
      </c>
      <c r="D13024" s="9" t="s">
        <v>117</v>
      </c>
      <c r="E13024" s="6" t="s">
        <v>11709</v>
      </c>
      <c r="F13024" s="9" t="s">
        <v>19815</v>
      </c>
    </row>
    <row r="13025" ht="33.75" customHeight="1">
      <c r="A13025" s="7">
        <v>639.0</v>
      </c>
      <c r="B13025" s="9" t="s">
        <v>17901</v>
      </c>
      <c r="C13025" s="9" t="s">
        <v>949</v>
      </c>
      <c r="D13025" s="9" t="s">
        <v>93</v>
      </c>
      <c r="E13025" s="6" t="s">
        <v>11710</v>
      </c>
      <c r="F13025" s="9" t="s">
        <v>19839</v>
      </c>
      <c r="G13025" t="inlineStr" s="6">
        <is>
          <t xml:space="preserve">This Pokémon came to the defense of Pokémon that had lost their homes in a war among humans. Its charge is strong enough to break through a giant castle wall in one blow. This Pokémon is spoken of in legends. Spoken of in legend, this Pokémon used its phenomenal power to destroy a castle in its effort to protect Pokémon. It has phenomenal power. It will mercilessly crush anyone or anything that bullies small Pokémon. In Unovan legend, Terrakion battled against humans in an effort to protect other Pokémon.</t>
        </is>
      </c>
    </row>
    <row r="13026" ht="33.75" customHeight="1">
      <c r="A13026" s="7">
        <v>639.0</v>
      </c>
      <c r="B13026" s="9" t="s">
        <v>17901</v>
      </c>
      <c r="C13026" s="9" t="s">
        <v>949</v>
      </c>
      <c r="D13026" s="9" t="s">
        <v>95</v>
      </c>
      <c r="E13026" s="6" t="s">
        <v>11711</v>
      </c>
      <c r="F13026" s="9" t="s">
        <v>19839</v>
      </c>
    </row>
    <row r="13027" ht="33.75" customHeight="1">
      <c r="A13027" s="7">
        <v>639.0</v>
      </c>
      <c r="B13027" s="9" t="s">
        <v>17901</v>
      </c>
      <c r="C13027" s="9" t="s">
        <v>949</v>
      </c>
      <c r="D13027" s="9" t="s">
        <v>98</v>
      </c>
      <c r="E13027" s="6" t="s">
        <v>11713</v>
      </c>
      <c r="F13027" s="9" t="s">
        <v>19839</v>
      </c>
    </row>
    <row r="13028" ht="33.75" customHeight="1">
      <c r="A13028" s="7">
        <v>639.0</v>
      </c>
      <c r="B13028" s="9" t="s">
        <v>17901</v>
      </c>
      <c r="C13028" s="9" t="s">
        <v>949</v>
      </c>
      <c r="D13028" s="9" t="s">
        <v>99</v>
      </c>
      <c r="E13028" s="6" t="s">
        <v>11713</v>
      </c>
      <c r="F13028" s="9" t="s">
        <v>19839</v>
      </c>
    </row>
    <row r="13029" ht="33.75" customHeight="1">
      <c r="A13029" s="7">
        <v>639.0</v>
      </c>
      <c r="B13029" s="9" t="s">
        <v>17901</v>
      </c>
      <c r="C13029" s="9" t="s">
        <v>949</v>
      </c>
      <c r="D13029" s="9" t="s">
        <v>101</v>
      </c>
      <c r="E13029" s="6" t="s">
        <v>11711</v>
      </c>
      <c r="F13029" s="9" t="s">
        <v>19839</v>
      </c>
    </row>
    <row r="13030" ht="33.75" customHeight="1">
      <c r="A13030" s="7">
        <v>639.0</v>
      </c>
      <c r="B13030" s="9" t="s">
        <v>17901</v>
      </c>
      <c r="C13030" s="9" t="s">
        <v>949</v>
      </c>
      <c r="D13030" s="9" t="s">
        <v>105</v>
      </c>
      <c r="E13030" s="6" t="s">
        <v>11713</v>
      </c>
      <c r="F13030" s="9" t="s">
        <v>19839</v>
      </c>
    </row>
    <row r="13031" ht="33.75" customHeight="1">
      <c r="A13031" s="7">
        <v>639.0</v>
      </c>
      <c r="B13031" s="9" t="s">
        <v>17901</v>
      </c>
      <c r="C13031" s="9" t="s">
        <v>949</v>
      </c>
      <c r="D13031" s="9" t="s">
        <v>107</v>
      </c>
      <c r="E13031" s="6" t="s">
        <v>11711</v>
      </c>
      <c r="F13031" s="9" t="s">
        <v>19839</v>
      </c>
    </row>
    <row r="13032" ht="33.75" customHeight="1">
      <c r="A13032" s="7">
        <v>639.0</v>
      </c>
      <c r="B13032" s="9" t="s">
        <v>17901</v>
      </c>
      <c r="C13032" s="9" t="s">
        <v>949</v>
      </c>
      <c r="D13032" s="9" t="s">
        <v>109</v>
      </c>
      <c r="E13032" s="6" t="s">
        <v>11713</v>
      </c>
      <c r="F13032" s="9" t="s">
        <v>19839</v>
      </c>
    </row>
    <row r="13033" ht="33.75" customHeight="1">
      <c r="A13033" s="7">
        <v>639.0</v>
      </c>
      <c r="B13033" s="9" t="s">
        <v>17901</v>
      </c>
      <c r="C13033" s="9" t="s">
        <v>949</v>
      </c>
      <c r="D13033" s="9" t="s">
        <v>114</v>
      </c>
      <c r="E13033" s="6" t="s">
        <v>11714</v>
      </c>
      <c r="F13033" s="9" t="s">
        <v>19839</v>
      </c>
    </row>
    <row r="13034" ht="33.75" customHeight="1">
      <c r="A13034" s="7">
        <v>639.0</v>
      </c>
      <c r="B13034" s="9" t="s">
        <v>17901</v>
      </c>
      <c r="C13034" s="9" t="s">
        <v>949</v>
      </c>
      <c r="D13034" s="9" t="s">
        <v>117</v>
      </c>
      <c r="E13034" s="6" t="s">
        <v>11715</v>
      </c>
      <c r="F13034" s="9" t="s">
        <v>19839</v>
      </c>
    </row>
    <row r="13035" ht="33.75" customHeight="1">
      <c r="A13035" s="7">
        <v>640.0</v>
      </c>
      <c r="B13035" s="9" t="s">
        <v>17908</v>
      </c>
      <c r="C13035" s="9" t="s">
        <v>950</v>
      </c>
      <c r="D13035" s="9" t="s">
        <v>93</v>
      </c>
      <c r="E13035" s="6" t="s">
        <v>11717</v>
      </c>
      <c r="F13035" s="9" t="s">
        <v>19851</v>
      </c>
      <c r="G13035" t="inlineStr" s="6">
        <is>
          <t xml:space="preserve">This Pokémon fought humans in order to protect Virizion's friends. Legends about it continue to be passed down. Its head sprouts horns as sharp as blades. Using whirlwind-like movements, it confounds and swiftly cuts opponents. Legends say this Pokémon confounded opponents with its swift movements. A legend tells of this Pokémon working together with Cobalion and Terrakion to protect the Pokémon of the Unova region. It darts around opponents with a flurry of quick movements, slicing them up with its horns.</t>
        </is>
      </c>
    </row>
    <row r="13036" ht="33.75" customHeight="1">
      <c r="A13036" s="7">
        <v>640.0</v>
      </c>
      <c r="B13036" s="9" t="s">
        <v>17908</v>
      </c>
      <c r="C13036" s="9" t="s">
        <v>950</v>
      </c>
      <c r="D13036" s="9" t="s">
        <v>95</v>
      </c>
      <c r="E13036" s="6" t="s">
        <v>11719</v>
      </c>
      <c r="F13036" s="9" t="s">
        <v>19851</v>
      </c>
    </row>
    <row r="13037" ht="33.75" customHeight="1">
      <c r="A13037" s="7">
        <v>640.0</v>
      </c>
      <c r="B13037" s="9" t="s">
        <v>17908</v>
      </c>
      <c r="C13037" s="9" t="s">
        <v>950</v>
      </c>
      <c r="D13037" s="9" t="s">
        <v>98</v>
      </c>
      <c r="E13037" s="6" t="s">
        <v>11720</v>
      </c>
      <c r="F13037" s="9" t="s">
        <v>19851</v>
      </c>
    </row>
    <row r="13038" ht="33.75" customHeight="1">
      <c r="A13038" s="7">
        <v>640.0</v>
      </c>
      <c r="B13038" s="9" t="s">
        <v>17908</v>
      </c>
      <c r="C13038" s="9" t="s">
        <v>950</v>
      </c>
      <c r="D13038" s="9" t="s">
        <v>99</v>
      </c>
      <c r="E13038" s="6" t="s">
        <v>11720</v>
      </c>
      <c r="F13038" s="9" t="s">
        <v>19851</v>
      </c>
    </row>
    <row r="13039" ht="33.75" customHeight="1">
      <c r="A13039" s="7">
        <v>640.0</v>
      </c>
      <c r="B13039" s="9" t="s">
        <v>17908</v>
      </c>
      <c r="C13039" s="9" t="s">
        <v>950</v>
      </c>
      <c r="D13039" s="9" t="s">
        <v>101</v>
      </c>
      <c r="E13039" s="6" t="s">
        <v>11719</v>
      </c>
      <c r="F13039" s="9" t="s">
        <v>19851</v>
      </c>
    </row>
    <row r="13040" ht="33.75" customHeight="1">
      <c r="A13040" s="7">
        <v>640.0</v>
      </c>
      <c r="B13040" s="9" t="s">
        <v>17908</v>
      </c>
      <c r="C13040" s="9" t="s">
        <v>950</v>
      </c>
      <c r="D13040" s="9" t="s">
        <v>105</v>
      </c>
      <c r="E13040" s="6" t="s">
        <v>11720</v>
      </c>
      <c r="F13040" s="9" t="s">
        <v>19851</v>
      </c>
    </row>
    <row r="13041" ht="33.75" customHeight="1">
      <c r="A13041" s="7">
        <v>640.0</v>
      </c>
      <c r="B13041" s="9" t="s">
        <v>17908</v>
      </c>
      <c r="C13041" s="9" t="s">
        <v>950</v>
      </c>
      <c r="D13041" s="9" t="s">
        <v>107</v>
      </c>
      <c r="E13041" s="6" t="s">
        <v>11719</v>
      </c>
      <c r="F13041" s="9" t="s">
        <v>19851</v>
      </c>
    </row>
    <row r="13042" ht="33.75" customHeight="1">
      <c r="A13042" s="7">
        <v>640.0</v>
      </c>
      <c r="B13042" s="9" t="s">
        <v>17908</v>
      </c>
      <c r="C13042" s="9" t="s">
        <v>950</v>
      </c>
      <c r="D13042" s="9" t="s">
        <v>109</v>
      </c>
      <c r="E13042" s="6" t="s">
        <v>11720</v>
      </c>
      <c r="F13042" s="9" t="s">
        <v>19851</v>
      </c>
    </row>
    <row r="13043" ht="33.75" customHeight="1">
      <c r="A13043" s="7">
        <v>640.0</v>
      </c>
      <c r="B13043" s="9" t="s">
        <v>17908</v>
      </c>
      <c r="C13043" s="9" t="s">
        <v>950</v>
      </c>
      <c r="D13043" s="9" t="s">
        <v>114</v>
      </c>
      <c r="E13043" s="6" t="s">
        <v>11721</v>
      </c>
      <c r="F13043" s="9" t="s">
        <v>19851</v>
      </c>
    </row>
    <row r="13044" ht="33.75" customHeight="1">
      <c r="A13044" s="7">
        <v>640.0</v>
      </c>
      <c r="B13044" s="9" t="s">
        <v>17908</v>
      </c>
      <c r="C13044" s="9" t="s">
        <v>950</v>
      </c>
      <c r="D13044" s="9" t="s">
        <v>117</v>
      </c>
      <c r="E13044" s="6" t="s">
        <v>11723</v>
      </c>
      <c r="F13044" s="9" t="s">
        <v>19851</v>
      </c>
    </row>
    <row r="13045" ht="33.75" customHeight="1">
      <c r="A13045" s="7">
        <v>641.0</v>
      </c>
      <c r="B13045" s="9" t="s">
        <v>17915</v>
      </c>
      <c r="C13045" s="9" t="s">
        <v>951</v>
      </c>
      <c r="D13045" s="9" t="s">
        <v>93</v>
      </c>
      <c r="E13045" s="6" t="s">
        <v>11724</v>
      </c>
      <c r="F13045" s="9" t="s">
        <v>19864</v>
      </c>
      <c r="G13045" t="inlineStr" s="6">
        <is>
          <t xml:space="preserve">The lower half of Tornadus's body is wrapped in a cloud of energy. It zooms through the sky at 200 mph. Tornadus expels massive energy from its tail, causing severe storms. Its power is great enough to blow houses away. In every direction it flies, creating winds so powerful, they blow everything away. This storm-stirring Pokémon is said to cause the seasons to turn by whipping up the air. I suspect its humanlike form to be a false one.</t>
        </is>
      </c>
    </row>
    <row r="13046" ht="33.75" customHeight="1">
      <c r="A13046" s="7">
        <v>641.0</v>
      </c>
      <c r="B13046" s="9" t="s">
        <v>17915</v>
      </c>
      <c r="C13046" s="9" t="s">
        <v>951</v>
      </c>
      <c r="D13046" s="9" t="s">
        <v>95</v>
      </c>
      <c r="E13046" s="6" t="s">
        <v>11725</v>
      </c>
      <c r="F13046" s="9" t="s">
        <v>19864</v>
      </c>
    </row>
    <row r="13047" ht="33.75" customHeight="1">
      <c r="A13047" s="7">
        <v>641.0</v>
      </c>
      <c r="B13047" s="9" t="s">
        <v>17915</v>
      </c>
      <c r="C13047" s="9" t="s">
        <v>951</v>
      </c>
      <c r="D13047" s="9" t="s">
        <v>98</v>
      </c>
      <c r="E13047" s="6" t="s">
        <v>11726</v>
      </c>
      <c r="F13047" s="9" t="s">
        <v>19864</v>
      </c>
    </row>
    <row r="13048" ht="33.75" customHeight="1">
      <c r="A13048" s="7">
        <v>641.0</v>
      </c>
      <c r="B13048" s="9" t="s">
        <v>17915</v>
      </c>
      <c r="C13048" s="9" t="s">
        <v>951</v>
      </c>
      <c r="D13048" s="9" t="s">
        <v>99</v>
      </c>
      <c r="E13048" s="6" t="s">
        <v>11726</v>
      </c>
      <c r="F13048" s="9" t="s">
        <v>19864</v>
      </c>
    </row>
    <row r="13049" ht="33.75" customHeight="1">
      <c r="A13049" s="7">
        <v>641.0</v>
      </c>
      <c r="B13049" s="9" t="s">
        <v>17915</v>
      </c>
      <c r="C13049" s="9" t="s">
        <v>951</v>
      </c>
      <c r="D13049" s="9" t="s">
        <v>101</v>
      </c>
      <c r="E13049" s="6" t="s">
        <v>11724</v>
      </c>
      <c r="F13049" s="9" t="s">
        <v>19864</v>
      </c>
    </row>
    <row r="13050" ht="33.75" customHeight="1">
      <c r="A13050" s="7">
        <v>641.0</v>
      </c>
      <c r="B13050" s="9" t="s">
        <v>17915</v>
      </c>
      <c r="C13050" s="9" t="s">
        <v>951</v>
      </c>
      <c r="D13050" s="9" t="s">
        <v>105</v>
      </c>
      <c r="E13050" s="6" t="s">
        <v>11725</v>
      </c>
      <c r="F13050" s="9" t="s">
        <v>19864</v>
      </c>
    </row>
    <row r="13051" ht="33.75" customHeight="1">
      <c r="A13051" s="7">
        <v>641.0</v>
      </c>
      <c r="B13051" s="9" t="s">
        <v>17915</v>
      </c>
      <c r="C13051" s="9" t="s">
        <v>951</v>
      </c>
      <c r="D13051" s="9" t="s">
        <v>107</v>
      </c>
      <c r="E13051" s="6" t="s">
        <v>11724</v>
      </c>
      <c r="F13051" s="9" t="s">
        <v>19864</v>
      </c>
    </row>
    <row r="13052" ht="33.75" customHeight="1">
      <c r="A13052" s="7">
        <v>641.0</v>
      </c>
      <c r="B13052" s="9" t="s">
        <v>17915</v>
      </c>
      <c r="C13052" s="9" t="s">
        <v>951</v>
      </c>
      <c r="D13052" s="9" t="s">
        <v>109</v>
      </c>
      <c r="E13052" s="6" t="s">
        <v>11725</v>
      </c>
      <c r="F13052" s="9" t="s">
        <v>19864</v>
      </c>
    </row>
    <row r="13053" ht="33.75" customHeight="1">
      <c r="A13053" s="7">
        <v>641.0</v>
      </c>
      <c r="B13053" s="9" t="s">
        <v>17915</v>
      </c>
      <c r="C13053" s="9" t="s">
        <v>951</v>
      </c>
      <c r="D13053" s="9" t="s">
        <v>1577</v>
      </c>
      <c r="E13053" s="6" t="s">
        <v>11727</v>
      </c>
      <c r="F13053" s="9" t="s">
        <v>19864</v>
      </c>
    </row>
    <row r="13054" ht="33.75" customHeight="1">
      <c r="A13054" s="7">
        <v>642.0</v>
      </c>
      <c r="B13054" s="9" t="s">
        <v>17922</v>
      </c>
      <c r="C13054" s="9" t="s">
        <v>953</v>
      </c>
      <c r="D13054" s="9" t="s">
        <v>93</v>
      </c>
      <c r="E13054" s="6" t="s">
        <v>11728</v>
      </c>
      <c r="F13054" s="9" t="s">
        <v>19876</v>
      </c>
      <c r="G13054" t="inlineStr" s="6">
        <is>
          <t xml:space="preserve">Countless charred remains mar the landscape of places through which Thundurus has passed. The spikes on its tail discharge immense bolts of lightning. It flies around the Unova region firing off lightning bolts. As it flies around, it shoots lightning all over the place and causes forest fires. It is therefore disliked. They say this wielder of electricity has waged war with its nemesis, Tornadus, since time immemorial. The lightning bolts it hurls pierce the very earth and enrich the soil.</t>
        </is>
      </c>
    </row>
    <row r="13055" ht="33.75" customHeight="1">
      <c r="A13055" s="7">
        <v>642.0</v>
      </c>
      <c r="B13055" s="9" t="s">
        <v>17922</v>
      </c>
      <c r="C13055" s="9" t="s">
        <v>953</v>
      </c>
      <c r="D13055" s="9" t="s">
        <v>95</v>
      </c>
      <c r="E13055" s="6" t="s">
        <v>11729</v>
      </c>
      <c r="F13055" s="9" t="s">
        <v>19876</v>
      </c>
    </row>
    <row r="13056" ht="33.75" customHeight="1">
      <c r="A13056" s="7">
        <v>642.0</v>
      </c>
      <c r="B13056" s="9" t="s">
        <v>17922</v>
      </c>
      <c r="C13056" s="9" t="s">
        <v>953</v>
      </c>
      <c r="D13056" s="9" t="s">
        <v>98</v>
      </c>
      <c r="E13056" s="6" t="s">
        <v>11730</v>
      </c>
      <c r="F13056" s="9" t="s">
        <v>19876</v>
      </c>
    </row>
    <row r="13057" ht="33.75" customHeight="1">
      <c r="A13057" s="7">
        <v>642.0</v>
      </c>
      <c r="B13057" s="9" t="s">
        <v>17922</v>
      </c>
      <c r="C13057" s="9" t="s">
        <v>953</v>
      </c>
      <c r="D13057" s="9" t="s">
        <v>99</v>
      </c>
      <c r="E13057" s="6" t="s">
        <v>11730</v>
      </c>
      <c r="F13057" s="9" t="s">
        <v>19876</v>
      </c>
    </row>
    <row r="13058" ht="33.75" customHeight="1">
      <c r="A13058" s="7">
        <v>642.0</v>
      </c>
      <c r="B13058" s="9" t="s">
        <v>17922</v>
      </c>
      <c r="C13058" s="9" t="s">
        <v>953</v>
      </c>
      <c r="D13058" s="9" t="s">
        <v>101</v>
      </c>
      <c r="E13058" s="6" t="s">
        <v>11729</v>
      </c>
      <c r="F13058" s="9" t="s">
        <v>19876</v>
      </c>
    </row>
    <row r="13059" ht="33.75" customHeight="1">
      <c r="A13059" s="7">
        <v>642.0</v>
      </c>
      <c r="B13059" s="9" t="s">
        <v>17922</v>
      </c>
      <c r="C13059" s="9" t="s">
        <v>953</v>
      </c>
      <c r="D13059" s="9" t="s">
        <v>105</v>
      </c>
      <c r="E13059" s="6" t="s">
        <v>11730</v>
      </c>
      <c r="F13059" s="9" t="s">
        <v>19876</v>
      </c>
    </row>
    <row r="13060" ht="33.75" customHeight="1">
      <c r="A13060" s="7">
        <v>642.0</v>
      </c>
      <c r="B13060" s="9" t="s">
        <v>17922</v>
      </c>
      <c r="C13060" s="9" t="s">
        <v>953</v>
      </c>
      <c r="D13060" s="9" t="s">
        <v>107</v>
      </c>
      <c r="E13060" s="6" t="s">
        <v>11729</v>
      </c>
      <c r="F13060" s="9" t="s">
        <v>19876</v>
      </c>
    </row>
    <row r="13061" ht="33.75" customHeight="1">
      <c r="A13061" s="7">
        <v>642.0</v>
      </c>
      <c r="B13061" s="9" t="s">
        <v>17922</v>
      </c>
      <c r="C13061" s="9" t="s">
        <v>953</v>
      </c>
      <c r="D13061" s="9" t="s">
        <v>109</v>
      </c>
      <c r="E13061" s="6" t="s">
        <v>11730</v>
      </c>
      <c r="F13061" s="9" t="s">
        <v>19876</v>
      </c>
    </row>
    <row r="13062" ht="33.75" customHeight="1">
      <c r="A13062" s="7">
        <v>642.0</v>
      </c>
      <c r="B13062" s="9" t="s">
        <v>17922</v>
      </c>
      <c r="C13062" s="9" t="s">
        <v>953</v>
      </c>
      <c r="D13062" s="9" t="s">
        <v>1577</v>
      </c>
      <c r="E13062" s="6" t="s">
        <v>11731</v>
      </c>
      <c r="F13062" s="9" t="s">
        <v>19876</v>
      </c>
    </row>
    <row r="13063" ht="33.75" customHeight="1">
      <c r="A13063" s="7">
        <v>643.0</v>
      </c>
      <c r="B13063" s="9" t="s">
        <v>17928</v>
      </c>
      <c r="C13063" s="9" t="s">
        <v>956</v>
      </c>
      <c r="D13063" s="9" t="s">
        <v>93</v>
      </c>
      <c r="E13063" s="6" t="s">
        <v>11732</v>
      </c>
      <c r="F13063" s="9" t="s">
        <v>19887</v>
      </c>
      <c r="G13063" t="inlineStr" s="6">
        <is>
          <t xml:space="preserve">This Pokémon appears in legends. It sends flames into the air from its tail, burning up everything around it. When Reshiram’s tail flares, the heat energy moves the atmosphere and changes the world’s weather. This legendary Pokémon can scorch the world with fire. It helps those who want to build a world of truth. Flames spew from its tail as it flies through the sky like a jet airplane. It’s said that this Pokémon will scorch the world. According to myth, if people ignore truth and let themselves become consumed by greed, Reshiram will arrive to burn their kingdoms down.</t>
        </is>
      </c>
    </row>
    <row r="13064" ht="33.75" customHeight="1">
      <c r="A13064" s="7">
        <v>643.0</v>
      </c>
      <c r="B13064" s="9" t="s">
        <v>17928</v>
      </c>
      <c r="C13064" s="9" t="s">
        <v>956</v>
      </c>
      <c r="D13064" s="9" t="s">
        <v>95</v>
      </c>
      <c r="E13064" s="6" t="s">
        <v>11733</v>
      </c>
      <c r="F13064" s="9" t="s">
        <v>19887</v>
      </c>
    </row>
    <row r="13065" ht="33.75" customHeight="1">
      <c r="A13065" s="7">
        <v>643.0</v>
      </c>
      <c r="B13065" s="9" t="s">
        <v>17928</v>
      </c>
      <c r="C13065" s="9" t="s">
        <v>956</v>
      </c>
      <c r="D13065" s="9" t="s">
        <v>98</v>
      </c>
      <c r="E13065" s="6" t="s">
        <v>11734</v>
      </c>
      <c r="F13065" s="9" t="s">
        <v>19887</v>
      </c>
    </row>
    <row r="13066" ht="33.75" customHeight="1">
      <c r="A13066" s="7">
        <v>643.0</v>
      </c>
      <c r="B13066" s="9" t="s">
        <v>17928</v>
      </c>
      <c r="C13066" s="9" t="s">
        <v>956</v>
      </c>
      <c r="D13066" s="9" t="s">
        <v>99</v>
      </c>
      <c r="E13066" s="6" t="s">
        <v>11734</v>
      </c>
      <c r="F13066" s="9" t="s">
        <v>19887</v>
      </c>
    </row>
    <row r="13067" ht="33.75" customHeight="1">
      <c r="A13067" s="7">
        <v>643.0</v>
      </c>
      <c r="B13067" s="9" t="s">
        <v>17928</v>
      </c>
      <c r="C13067" s="9" t="s">
        <v>956</v>
      </c>
      <c r="D13067" s="9" t="s">
        <v>101</v>
      </c>
      <c r="E13067" s="6" t="s">
        <v>11734</v>
      </c>
      <c r="F13067" s="9" t="s">
        <v>19887</v>
      </c>
    </row>
    <row r="13068" ht="33.75" customHeight="1">
      <c r="A13068" s="7">
        <v>643.0</v>
      </c>
      <c r="B13068" s="9" t="s">
        <v>17928</v>
      </c>
      <c r="C13068" s="9" t="s">
        <v>956</v>
      </c>
      <c r="D13068" s="9" t="s">
        <v>105</v>
      </c>
      <c r="E13068" s="6" t="s">
        <v>11733</v>
      </c>
      <c r="F13068" s="9" t="s">
        <v>19887</v>
      </c>
    </row>
    <row r="13069" ht="33.75" customHeight="1">
      <c r="A13069" s="7">
        <v>643.0</v>
      </c>
      <c r="B13069" s="9" t="s">
        <v>17928</v>
      </c>
      <c r="C13069" s="9" t="s">
        <v>956</v>
      </c>
      <c r="D13069" s="9" t="s">
        <v>107</v>
      </c>
      <c r="E13069" s="6" t="s">
        <v>11734</v>
      </c>
      <c r="F13069" s="9" t="s">
        <v>19887</v>
      </c>
    </row>
    <row r="13070" ht="33.75" customHeight="1">
      <c r="A13070" s="7">
        <v>643.0</v>
      </c>
      <c r="B13070" s="9" t="s">
        <v>17928</v>
      </c>
      <c r="C13070" s="9" t="s">
        <v>956</v>
      </c>
      <c r="D13070" s="9" t="s">
        <v>109</v>
      </c>
      <c r="E13070" s="6" t="s">
        <v>11733</v>
      </c>
      <c r="F13070" s="9" t="s">
        <v>19887</v>
      </c>
    </row>
    <row r="13071" ht="33.75" customHeight="1">
      <c r="A13071" s="7">
        <v>643.0</v>
      </c>
      <c r="B13071" s="9" t="s">
        <v>17928</v>
      </c>
      <c r="C13071" s="9" t="s">
        <v>956</v>
      </c>
      <c r="D13071" s="9" t="s">
        <v>114</v>
      </c>
      <c r="E13071" s="6" t="s">
        <v>11736</v>
      </c>
      <c r="F13071" s="9" t="s">
        <v>19887</v>
      </c>
    </row>
    <row r="13072" ht="33.75" customHeight="1">
      <c r="A13072" s="7">
        <v>643.0</v>
      </c>
      <c r="B13072" s="9" t="s">
        <v>17928</v>
      </c>
      <c r="C13072" s="9" t="s">
        <v>956</v>
      </c>
      <c r="D13072" s="9" t="s">
        <v>117</v>
      </c>
      <c r="E13072" s="6" t="s">
        <v>11737</v>
      </c>
      <c r="F13072" s="9" t="s">
        <v>19887</v>
      </c>
    </row>
    <row r="13073" ht="33.75" customHeight="1">
      <c r="A13073" s="7">
        <v>644.0</v>
      </c>
      <c r="B13073" s="9" t="s">
        <v>17935</v>
      </c>
      <c r="C13073" s="9" t="s">
        <v>957</v>
      </c>
      <c r="D13073" s="9" t="s">
        <v>93</v>
      </c>
      <c r="E13073" s="6" t="s">
        <v>11738</v>
      </c>
      <c r="F13073" s="9" t="s">
        <v>19894</v>
      </c>
      <c r="G13073" t="inlineStr" s="6">
        <is>
          <t xml:space="preserve">Concealing itself in lightning clouds, it flies throughout the Unova region. It creates electricity in its tail. This Pokémon appears in legends. In its tail, it has a giant generator that creates electricity. This legendary Pokémon can scorch the world with lightning. It assists those who want to build an ideal world. When the interior part of its tail spins like a motor, Zekrom can generate many bolts of lightning to blast its surroundings. Mythology tells us that if people lose the righteousness in their hearts, their kingdoms will be razed by Zekrom’s lightning.</t>
        </is>
      </c>
    </row>
    <row r="13074" ht="33.75" customHeight="1">
      <c r="A13074" s="7">
        <v>644.0</v>
      </c>
      <c r="B13074" s="9" t="s">
        <v>17935</v>
      </c>
      <c r="C13074" s="9" t="s">
        <v>957</v>
      </c>
      <c r="D13074" s="9" t="s">
        <v>95</v>
      </c>
      <c r="E13074" s="6" t="s">
        <v>11739</v>
      </c>
      <c r="F13074" s="9" t="s">
        <v>19894</v>
      </c>
    </row>
    <row r="13075" ht="33.75" customHeight="1">
      <c r="A13075" s="7">
        <v>644.0</v>
      </c>
      <c r="B13075" s="9" t="s">
        <v>17935</v>
      </c>
      <c r="C13075" s="9" t="s">
        <v>957</v>
      </c>
      <c r="D13075" s="9" t="s">
        <v>98</v>
      </c>
      <c r="E13075" s="6" t="s">
        <v>11741</v>
      </c>
      <c r="F13075" s="9" t="s">
        <v>19894</v>
      </c>
    </row>
    <row r="13076" ht="33.75" customHeight="1">
      <c r="A13076" s="7">
        <v>644.0</v>
      </c>
      <c r="B13076" s="9" t="s">
        <v>17935</v>
      </c>
      <c r="C13076" s="9" t="s">
        <v>957</v>
      </c>
      <c r="D13076" s="9" t="s">
        <v>99</v>
      </c>
      <c r="E13076" s="6" t="s">
        <v>11741</v>
      </c>
      <c r="F13076" s="9" t="s">
        <v>19894</v>
      </c>
    </row>
    <row r="13077" ht="33.75" customHeight="1">
      <c r="A13077" s="7">
        <v>644.0</v>
      </c>
      <c r="B13077" s="9" t="s">
        <v>17935</v>
      </c>
      <c r="C13077" s="9" t="s">
        <v>957</v>
      </c>
      <c r="D13077" s="9" t="s">
        <v>101</v>
      </c>
      <c r="E13077" s="6" t="s">
        <v>11741</v>
      </c>
      <c r="F13077" s="9" t="s">
        <v>19894</v>
      </c>
    </row>
    <row r="13078" ht="33.75" customHeight="1">
      <c r="A13078" s="7">
        <v>644.0</v>
      </c>
      <c r="B13078" s="9" t="s">
        <v>17935</v>
      </c>
      <c r="C13078" s="9" t="s">
        <v>957</v>
      </c>
      <c r="D13078" s="9" t="s">
        <v>105</v>
      </c>
      <c r="E13078" s="6" t="s">
        <v>11738</v>
      </c>
      <c r="F13078" s="9" t="s">
        <v>19894</v>
      </c>
    </row>
    <row r="13079" ht="33.75" customHeight="1">
      <c r="A13079" s="7">
        <v>644.0</v>
      </c>
      <c r="B13079" s="9" t="s">
        <v>17935</v>
      </c>
      <c r="C13079" s="9" t="s">
        <v>957</v>
      </c>
      <c r="D13079" s="9" t="s">
        <v>107</v>
      </c>
      <c r="E13079" s="6" t="s">
        <v>11741</v>
      </c>
      <c r="F13079" s="9" t="s">
        <v>19894</v>
      </c>
    </row>
    <row r="13080" ht="33.75" customHeight="1">
      <c r="A13080" s="7">
        <v>644.0</v>
      </c>
      <c r="B13080" s="9" t="s">
        <v>17935</v>
      </c>
      <c r="C13080" s="9" t="s">
        <v>957</v>
      </c>
      <c r="D13080" s="9" t="s">
        <v>109</v>
      </c>
      <c r="E13080" s="6" t="s">
        <v>11738</v>
      </c>
      <c r="F13080" s="9" t="s">
        <v>19894</v>
      </c>
    </row>
    <row r="13081" ht="33.75" customHeight="1">
      <c r="A13081" s="7">
        <v>644.0</v>
      </c>
      <c r="B13081" s="9" t="s">
        <v>17935</v>
      </c>
      <c r="C13081" s="9" t="s">
        <v>957</v>
      </c>
      <c r="D13081" s="9" t="s">
        <v>114</v>
      </c>
      <c r="E13081" s="6" t="s">
        <v>11742</v>
      </c>
      <c r="F13081" s="9" t="s">
        <v>19894</v>
      </c>
    </row>
    <row r="13082" ht="33.75" customHeight="1">
      <c r="A13082" s="7">
        <v>644.0</v>
      </c>
      <c r="B13082" s="9" t="s">
        <v>17935</v>
      </c>
      <c r="C13082" s="9" t="s">
        <v>957</v>
      </c>
      <c r="D13082" s="9" t="s">
        <v>117</v>
      </c>
      <c r="E13082" s="6" t="s">
        <v>11744</v>
      </c>
      <c r="F13082" s="9" t="s">
        <v>19894</v>
      </c>
    </row>
    <row r="13083" ht="33.75" customHeight="1">
      <c r="A13083" s="7">
        <v>645.0</v>
      </c>
      <c r="B13083" s="9" t="s">
        <v>17943</v>
      </c>
      <c r="C13083" s="9" t="s">
        <v>959</v>
      </c>
      <c r="D13083" s="9" t="s">
        <v>93</v>
      </c>
      <c r="E13083" s="6" t="s">
        <v>11745</v>
      </c>
      <c r="F13083" s="9" t="s">
        <v>19903</v>
      </c>
      <c r="G13083" t="inlineStr" s="6">
        <is>
          <t xml:space="preserve">Lands visited by Landorus grant such bountiful crops that Landorus has been hailed as “The Guardian of the Fields. The energy that comes pouring from its tail increases the nutrition in the soil, making crops grow to great size. From the forces of lightning and wind, it creates energy to give nutrients to the soil and make the land abundant. When the incarnations of wind and of lightning clash, Landorus arrives to quell the conflict. After the tempests and thunderbolts abate, the land is sure to be blessed with bountiful harvests.</t>
        </is>
      </c>
    </row>
    <row r="13084" ht="33.75" customHeight="1">
      <c r="A13084" s="7">
        <v>645.0</v>
      </c>
      <c r="B13084" s="9" t="s">
        <v>17943</v>
      </c>
      <c r="C13084" s="9" t="s">
        <v>959</v>
      </c>
      <c r="D13084" s="9" t="s">
        <v>95</v>
      </c>
      <c r="E13084" s="6" t="s">
        <v>11746</v>
      </c>
      <c r="F13084" s="9" t="s">
        <v>19903</v>
      </c>
    </row>
    <row r="13085" ht="33.75" customHeight="1">
      <c r="A13085" s="7">
        <v>645.0</v>
      </c>
      <c r="B13085" s="9" t="s">
        <v>17943</v>
      </c>
      <c r="C13085" s="9" t="s">
        <v>959</v>
      </c>
      <c r="D13085" s="9" t="s">
        <v>98</v>
      </c>
      <c r="E13085" s="6" t="s">
        <v>11748</v>
      </c>
      <c r="F13085" s="9" t="s">
        <v>19903</v>
      </c>
    </row>
    <row r="13086" ht="33.75" customHeight="1">
      <c r="A13086" s="7">
        <v>645.0</v>
      </c>
      <c r="B13086" s="9" t="s">
        <v>17943</v>
      </c>
      <c r="C13086" s="9" t="s">
        <v>959</v>
      </c>
      <c r="D13086" s="9" t="s">
        <v>99</v>
      </c>
      <c r="E13086" s="6" t="s">
        <v>11748</v>
      </c>
      <c r="F13086" s="9" t="s">
        <v>19903</v>
      </c>
    </row>
    <row r="13087" ht="33.75" customHeight="1">
      <c r="A13087" s="7">
        <v>645.0</v>
      </c>
      <c r="B13087" s="9" t="s">
        <v>17943</v>
      </c>
      <c r="C13087" s="9" t="s">
        <v>959</v>
      </c>
      <c r="D13087" s="9" t="s">
        <v>101</v>
      </c>
      <c r="E13087" s="6" t="s">
        <v>11745</v>
      </c>
      <c r="F13087" s="9" t="s">
        <v>19903</v>
      </c>
    </row>
    <row r="13088" ht="33.75" customHeight="1">
      <c r="A13088" s="7">
        <v>645.0</v>
      </c>
      <c r="B13088" s="9" t="s">
        <v>17943</v>
      </c>
      <c r="C13088" s="9" t="s">
        <v>959</v>
      </c>
      <c r="D13088" s="9" t="s">
        <v>105</v>
      </c>
      <c r="E13088" s="6" t="s">
        <v>11748</v>
      </c>
      <c r="F13088" s="9" t="s">
        <v>19903</v>
      </c>
    </row>
    <row r="13089" ht="33.75" customHeight="1">
      <c r="A13089" s="7">
        <v>645.0</v>
      </c>
      <c r="B13089" s="9" t="s">
        <v>17943</v>
      </c>
      <c r="C13089" s="9" t="s">
        <v>959</v>
      </c>
      <c r="D13089" s="9" t="s">
        <v>107</v>
      </c>
      <c r="E13089" s="6" t="s">
        <v>11745</v>
      </c>
      <c r="F13089" s="9" t="s">
        <v>19903</v>
      </c>
    </row>
    <row r="13090" ht="33.75" customHeight="1">
      <c r="A13090" s="7">
        <v>645.0</v>
      </c>
      <c r="B13090" s="9" t="s">
        <v>17943</v>
      </c>
      <c r="C13090" s="9" t="s">
        <v>959</v>
      </c>
      <c r="D13090" s="9" t="s">
        <v>109</v>
      </c>
      <c r="E13090" s="6" t="s">
        <v>11748</v>
      </c>
      <c r="F13090" s="9" t="s">
        <v>19903</v>
      </c>
    </row>
    <row r="13091" ht="33.75" customHeight="1">
      <c r="A13091" s="7">
        <v>645.0</v>
      </c>
      <c r="B13091" s="9" t="s">
        <v>17943</v>
      </c>
      <c r="C13091" s="9" t="s">
        <v>959</v>
      </c>
      <c r="D13091" s="9" t="s">
        <v>1577</v>
      </c>
      <c r="E13091" s="6" t="s">
        <v>11749</v>
      </c>
      <c r="F13091" s="9" t="s">
        <v>19903</v>
      </c>
    </row>
    <row r="13092" ht="33.75" customHeight="1">
      <c r="A13092" s="7">
        <v>646.0</v>
      </c>
      <c r="B13092" s="9" t="s">
        <v>17950</v>
      </c>
      <c r="C13092" s="9" t="s">
        <v>960</v>
      </c>
      <c r="D13092" s="9" t="s">
        <v>93</v>
      </c>
      <c r="E13092" s="6" t="s">
        <v>11751</v>
      </c>
      <c r="F13092" s="9" t="s">
        <v>19914</v>
      </c>
      <c r="G13092" t="inlineStr" s="6">
        <is>
          <t xml:space="preserve">It generates a powerful, freezing energy inside itself, but Kyurem's body became frozen when the energy leaked out. It can produce ultracold air. Its body is frozen. This legendary ice Pokémon waits for a hero to fill in the missing parts of its body with truth or ideals. Dwelling within it is a power even greater than that of Reshiram or Zekrom, but the extreme cold keeps that power bound. It appears that this Pokémon uses its powers over ice to freeze its own body in order to stabilize its cellular structure.</t>
        </is>
      </c>
    </row>
    <row r="13093" ht="33.75" customHeight="1">
      <c r="A13093" s="7">
        <v>646.0</v>
      </c>
      <c r="B13093" s="9" t="s">
        <v>17950</v>
      </c>
      <c r="C13093" s="9" t="s">
        <v>960</v>
      </c>
      <c r="D13093" s="9" t="s">
        <v>95</v>
      </c>
      <c r="E13093" s="6" t="s">
        <v>11752</v>
      </c>
      <c r="F13093" s="9" t="s">
        <v>19914</v>
      </c>
    </row>
    <row r="13094" ht="33.75" customHeight="1">
      <c r="A13094" s="7">
        <v>646.0</v>
      </c>
      <c r="B13094" s="9" t="s">
        <v>17950</v>
      </c>
      <c r="C13094" s="9" t="s">
        <v>960</v>
      </c>
      <c r="D13094" s="9" t="s">
        <v>98</v>
      </c>
      <c r="E13094" s="6" t="s">
        <v>11756</v>
      </c>
      <c r="F13094" s="9" t="s">
        <v>19914</v>
      </c>
    </row>
    <row r="13095" ht="33.75" customHeight="1">
      <c r="A13095" s="7">
        <v>646.0</v>
      </c>
      <c r="B13095" s="9" t="s">
        <v>17950</v>
      </c>
      <c r="C13095" s="9" t="s">
        <v>960</v>
      </c>
      <c r="D13095" s="9" t="s">
        <v>99</v>
      </c>
      <c r="E13095" s="6" t="s">
        <v>11756</v>
      </c>
      <c r="F13095" s="9" t="s">
        <v>19914</v>
      </c>
    </row>
    <row r="13096" ht="33.75" customHeight="1">
      <c r="A13096" s="7">
        <v>646.0</v>
      </c>
      <c r="B13096" s="9" t="s">
        <v>17950</v>
      </c>
      <c r="C13096" s="9" t="s">
        <v>960</v>
      </c>
      <c r="D13096" s="9" t="s">
        <v>101</v>
      </c>
      <c r="E13096" s="6" t="s">
        <v>11756</v>
      </c>
      <c r="F13096" s="9" t="s">
        <v>19914</v>
      </c>
    </row>
    <row r="13097" ht="33.75" customHeight="1">
      <c r="A13097" s="7">
        <v>646.0</v>
      </c>
      <c r="B13097" s="9" t="s">
        <v>17950</v>
      </c>
      <c r="C13097" s="9" t="s">
        <v>960</v>
      </c>
      <c r="D13097" s="9" t="s">
        <v>105</v>
      </c>
      <c r="E13097" s="6" t="s">
        <v>11751</v>
      </c>
      <c r="F13097" s="9" t="s">
        <v>19914</v>
      </c>
    </row>
    <row r="13098" ht="33.75" customHeight="1">
      <c r="A13098" s="7">
        <v>646.0</v>
      </c>
      <c r="B13098" s="9" t="s">
        <v>17950</v>
      </c>
      <c r="C13098" s="9" t="s">
        <v>960</v>
      </c>
      <c r="D13098" s="9" t="s">
        <v>107</v>
      </c>
      <c r="E13098" s="6" t="s">
        <v>11756</v>
      </c>
      <c r="F13098" s="9" t="s">
        <v>19914</v>
      </c>
    </row>
    <row r="13099" ht="33.75" customHeight="1">
      <c r="A13099" s="7">
        <v>646.0</v>
      </c>
      <c r="B13099" s="9" t="s">
        <v>17950</v>
      </c>
      <c r="C13099" s="9" t="s">
        <v>960</v>
      </c>
      <c r="D13099" s="9" t="s">
        <v>109</v>
      </c>
      <c r="E13099" s="6" t="s">
        <v>11751</v>
      </c>
      <c r="F13099" s="9" t="s">
        <v>19914</v>
      </c>
    </row>
    <row r="13100" ht="33.75" customHeight="1">
      <c r="A13100" s="7">
        <v>646.0</v>
      </c>
      <c r="B13100" s="9" t="s">
        <v>17950</v>
      </c>
      <c r="C13100" s="9" t="s">
        <v>960</v>
      </c>
      <c r="D13100" s="9" t="s">
        <v>114</v>
      </c>
      <c r="E13100" s="6" t="s">
        <v>11758</v>
      </c>
      <c r="F13100" s="9" t="s">
        <v>19914</v>
      </c>
    </row>
    <row r="13101" ht="33.75" customHeight="1">
      <c r="A13101" s="7">
        <v>646.0</v>
      </c>
      <c r="B13101" s="9" t="s">
        <v>17950</v>
      </c>
      <c r="C13101" s="9" t="s">
        <v>960</v>
      </c>
      <c r="D13101" s="9" t="s">
        <v>117</v>
      </c>
      <c r="E13101" s="6" t="s">
        <v>11759</v>
      </c>
      <c r="F13101" s="9" t="s">
        <v>19914</v>
      </c>
    </row>
    <row r="13102" ht="33.75" customHeight="1">
      <c r="A13102" s="7">
        <v>647.0</v>
      </c>
      <c r="B13102" s="9" t="s">
        <v>17957</v>
      </c>
      <c r="C13102" s="9" t="s">
        <v>961</v>
      </c>
      <c r="D13102" s="9" t="s">
        <v>93</v>
      </c>
      <c r="E13102" s="6" t="s">
        <v>11761</v>
      </c>
      <c r="F13102" s="9" t="s">
        <v>19928</v>
      </c>
      <c r="G13102" t="inlineStr" s="6">
        <is>
          <t xml:space="preserve">By blasting water from Keldeo's hooves, it can glide across water. It excels at using leg moves while battling. It crosses the world, running over the surfaces of oceans and rivers. It appears at scenic waterfronts. When it is resolute, its body fills with power and it becomes swifter. Its jumps are then too fast to follow. Cobalion, Terrakion, and Virizion taught this Pokémon how to fight. It dashes across the world, seeking more opportunities to further its training. They say that Keldeo must survive harsh battles and fully develop the horn on its forehead before this Pokémon’s true power will awaken.</t>
        </is>
      </c>
    </row>
    <row r="13103" ht="33.75" customHeight="1">
      <c r="A13103" s="7">
        <v>647.0</v>
      </c>
      <c r="B13103" s="9" t="s">
        <v>17957</v>
      </c>
      <c r="C13103" s="9" t="s">
        <v>961</v>
      </c>
      <c r="D13103" s="9" t="s">
        <v>95</v>
      </c>
      <c r="E13103" s="6" t="s">
        <v>11762</v>
      </c>
      <c r="F13103" s="9" t="s">
        <v>19928</v>
      </c>
    </row>
    <row r="13104" ht="33.75" customHeight="1">
      <c r="A13104" s="7">
        <v>647.0</v>
      </c>
      <c r="B13104" s="9" t="s">
        <v>17957</v>
      </c>
      <c r="C13104" s="9" t="s">
        <v>961</v>
      </c>
      <c r="D13104" s="9" t="s">
        <v>98</v>
      </c>
      <c r="E13104" s="6" t="s">
        <v>11764</v>
      </c>
      <c r="F13104" s="9" t="s">
        <v>19928</v>
      </c>
    </row>
    <row r="13105" ht="33.75" customHeight="1">
      <c r="A13105" s="7">
        <v>647.0</v>
      </c>
      <c r="B13105" s="9" t="s">
        <v>17957</v>
      </c>
      <c r="C13105" s="9" t="s">
        <v>961</v>
      </c>
      <c r="D13105" s="9" t="s">
        <v>99</v>
      </c>
      <c r="E13105" s="6" t="s">
        <v>11764</v>
      </c>
      <c r="F13105" s="9" t="s">
        <v>19928</v>
      </c>
    </row>
    <row r="13106" ht="33.75" customHeight="1">
      <c r="A13106" s="7">
        <v>647.0</v>
      </c>
      <c r="B13106" s="9" t="s">
        <v>17957</v>
      </c>
      <c r="C13106" s="9" t="s">
        <v>961</v>
      </c>
      <c r="D13106" s="9" t="s">
        <v>101</v>
      </c>
      <c r="E13106" s="6" t="s">
        <v>11762</v>
      </c>
      <c r="F13106" s="9" t="s">
        <v>19928</v>
      </c>
    </row>
    <row r="13107" ht="33.75" customHeight="1">
      <c r="A13107" s="7">
        <v>647.0</v>
      </c>
      <c r="B13107" s="9" t="s">
        <v>17957</v>
      </c>
      <c r="C13107" s="9" t="s">
        <v>961</v>
      </c>
      <c r="D13107" s="9" t="s">
        <v>105</v>
      </c>
      <c r="E13107" s="6" t="s">
        <v>11764</v>
      </c>
      <c r="F13107" s="9" t="s">
        <v>19928</v>
      </c>
    </row>
    <row r="13108" ht="33.75" customHeight="1">
      <c r="A13108" s="7">
        <v>647.0</v>
      </c>
      <c r="B13108" s="9" t="s">
        <v>17957</v>
      </c>
      <c r="C13108" s="9" t="s">
        <v>961</v>
      </c>
      <c r="D13108" s="9" t="s">
        <v>107</v>
      </c>
      <c r="E13108" s="6" t="s">
        <v>11762</v>
      </c>
      <c r="F13108" s="9" t="s">
        <v>19928</v>
      </c>
    </row>
    <row r="13109" ht="33.75" customHeight="1">
      <c r="A13109" s="7">
        <v>647.0</v>
      </c>
      <c r="B13109" s="9" t="s">
        <v>17957</v>
      </c>
      <c r="C13109" s="9" t="s">
        <v>961</v>
      </c>
      <c r="D13109" s="9" t="s">
        <v>109</v>
      </c>
      <c r="E13109" s="6" t="s">
        <v>11764</v>
      </c>
      <c r="F13109" s="9" t="s">
        <v>19928</v>
      </c>
    </row>
    <row r="13110" ht="33.75" customHeight="1">
      <c r="A13110" s="7">
        <v>647.0</v>
      </c>
      <c r="B13110" s="9" t="s">
        <v>17957</v>
      </c>
      <c r="C13110" s="9" t="s">
        <v>961</v>
      </c>
      <c r="D13110" s="9" t="s">
        <v>114</v>
      </c>
      <c r="E13110" s="6" t="s">
        <v>11765</v>
      </c>
      <c r="F13110" s="9" t="s">
        <v>19928</v>
      </c>
    </row>
    <row r="13111" ht="33.75" customHeight="1">
      <c r="A13111" s="7">
        <v>647.0</v>
      </c>
      <c r="B13111" s="9" t="s">
        <v>17957</v>
      </c>
      <c r="C13111" s="9" t="s">
        <v>961</v>
      </c>
      <c r="D13111" s="9" t="s">
        <v>117</v>
      </c>
      <c r="E13111" s="6" t="s">
        <v>11767</v>
      </c>
      <c r="F13111" s="9" t="s">
        <v>19928</v>
      </c>
    </row>
    <row r="13112" ht="33.75" customHeight="1">
      <c r="A13112" s="7">
        <v>648.0</v>
      </c>
      <c r="B13112" s="9" t="s">
        <v>17964</v>
      </c>
      <c r="C13112" s="9" t="s">
        <v>963</v>
      </c>
      <c r="D13112" s="9" t="s">
        <v>93</v>
      </c>
      <c r="E13112" s="6" t="s">
        <v>11768</v>
      </c>
      <c r="F13112" s="9" t="s">
        <v>19930</v>
      </c>
      <c r="G13112" t="inlineStr" s="6">
        <is>
          <t xml:space="preserve">Meloetta's melodies are sung with a special vocalization method that can control the feelings of those who hear it. Many famous songs have been inspired by the melodies that Meloetta plays. The melodies sung by Meloetta have the power to make Pokémon that hear them happy or sad.</t>
        </is>
      </c>
    </row>
    <row r="13113" ht="33.75" customHeight="1">
      <c r="A13113" s="7">
        <v>648.0</v>
      </c>
      <c r="B13113" s="9" t="s">
        <v>17964</v>
      </c>
      <c r="C13113" s="9" t="s">
        <v>963</v>
      </c>
      <c r="D13113" s="9" t="s">
        <v>95</v>
      </c>
      <c r="E13113" s="6" t="s">
        <v>11769</v>
      </c>
      <c r="F13113" s="9" t="s">
        <v>19930</v>
      </c>
    </row>
    <row r="13114" ht="33.75" customHeight="1">
      <c r="A13114" s="7">
        <v>648.0</v>
      </c>
      <c r="B13114" s="9" t="s">
        <v>17964</v>
      </c>
      <c r="C13114" s="9" t="s">
        <v>963</v>
      </c>
      <c r="D13114" s="9" t="s">
        <v>98</v>
      </c>
      <c r="E13114" s="6" t="s">
        <v>11770</v>
      </c>
      <c r="F13114" s="9" t="s">
        <v>19930</v>
      </c>
    </row>
    <row r="13115" ht="33.75" customHeight="1">
      <c r="A13115" s="7">
        <v>648.0</v>
      </c>
      <c r="B13115" s="9" t="s">
        <v>17964</v>
      </c>
      <c r="C13115" s="9" t="s">
        <v>963</v>
      </c>
      <c r="D13115" s="9" t="s">
        <v>99</v>
      </c>
      <c r="E13115" s="6" t="s">
        <v>11770</v>
      </c>
      <c r="F13115" s="9" t="s">
        <v>19930</v>
      </c>
    </row>
    <row r="13116" ht="33.75" customHeight="1">
      <c r="A13116" s="7">
        <v>648.0</v>
      </c>
      <c r="B13116" s="9" t="s">
        <v>17964</v>
      </c>
      <c r="C13116" s="9" t="s">
        <v>963</v>
      </c>
      <c r="D13116" s="9" t="s">
        <v>101</v>
      </c>
      <c r="E13116" s="6" t="s">
        <v>11770</v>
      </c>
      <c r="F13116" s="9" t="s">
        <v>19930</v>
      </c>
    </row>
    <row r="13117" ht="33.75" customHeight="1">
      <c r="A13117" s="7">
        <v>648.0</v>
      </c>
      <c r="B13117" s="9" t="s">
        <v>17964</v>
      </c>
      <c r="C13117" s="9" t="s">
        <v>963</v>
      </c>
      <c r="D13117" s="9" t="s">
        <v>105</v>
      </c>
      <c r="E13117" s="6" t="s">
        <v>11768</v>
      </c>
      <c r="F13117" s="9" t="s">
        <v>19930</v>
      </c>
    </row>
    <row r="13118" ht="33.75" customHeight="1">
      <c r="A13118" s="7">
        <v>648.0</v>
      </c>
      <c r="B13118" s="9" t="s">
        <v>17964</v>
      </c>
      <c r="C13118" s="9" t="s">
        <v>963</v>
      </c>
      <c r="D13118" s="9" t="s">
        <v>107</v>
      </c>
      <c r="E13118" s="6" t="s">
        <v>11770</v>
      </c>
      <c r="F13118" s="9" t="s">
        <v>19930</v>
      </c>
    </row>
    <row r="13119" ht="33.75" customHeight="1">
      <c r="A13119" s="7">
        <v>648.0</v>
      </c>
      <c r="B13119" s="9" t="s">
        <v>17964</v>
      </c>
      <c r="C13119" s="9" t="s">
        <v>963</v>
      </c>
      <c r="D13119" s="9" t="s">
        <v>109</v>
      </c>
      <c r="E13119" s="6" t="s">
        <v>11768</v>
      </c>
      <c r="F13119" s="9" t="s">
        <v>19930</v>
      </c>
    </row>
    <row r="13120" ht="33.75" customHeight="1">
      <c r="A13120" s="7">
        <v>649.0</v>
      </c>
      <c r="B13120" s="9" t="s">
        <v>17970</v>
      </c>
      <c r="C13120" s="9" t="s">
        <v>965</v>
      </c>
      <c r="D13120" s="9" t="s">
        <v>93</v>
      </c>
      <c r="E13120" s="6" t="s">
        <v>11773</v>
      </c>
      <c r="F13120" s="9" t="s">
        <v>19931</v>
      </c>
      <c r="G13120" t="inlineStr" s="6">
        <is>
          <t xml:space="preserve">Over 300 million years ago, Genesect was feared as the strongest of hunters. It has been modified by Team Plasma. This ancient bug Pokémon was altered by Team Plasma. They upgraded the cannon on its back. This Pokémon existed 300 million years ago. Team Plasma altered it and attached a cannon to its back.</t>
        </is>
      </c>
    </row>
    <row r="13121" ht="33.75" customHeight="1">
      <c r="A13121" s="7">
        <v>649.0</v>
      </c>
      <c r="B13121" s="9" t="s">
        <v>17970</v>
      </c>
      <c r="C13121" s="9" t="s">
        <v>965</v>
      </c>
      <c r="D13121" s="9" t="s">
        <v>95</v>
      </c>
      <c r="E13121" s="6" t="s">
        <v>11774</v>
      </c>
      <c r="F13121" s="9" t="s">
        <v>19931</v>
      </c>
    </row>
    <row r="13122" ht="33.75" customHeight="1">
      <c r="A13122" s="7">
        <v>649.0</v>
      </c>
      <c r="B13122" s="9" t="s">
        <v>17970</v>
      </c>
      <c r="C13122" s="9" t="s">
        <v>965</v>
      </c>
      <c r="D13122" s="9" t="s">
        <v>98</v>
      </c>
      <c r="E13122" s="6" t="s">
        <v>11775</v>
      </c>
      <c r="F13122" s="9" t="s">
        <v>19931</v>
      </c>
    </row>
    <row r="13123" ht="33.75" customHeight="1">
      <c r="A13123" s="7">
        <v>649.0</v>
      </c>
      <c r="B13123" s="9" t="s">
        <v>17970</v>
      </c>
      <c r="C13123" s="9" t="s">
        <v>965</v>
      </c>
      <c r="D13123" s="9" t="s">
        <v>99</v>
      </c>
      <c r="E13123" s="6" t="s">
        <v>11775</v>
      </c>
      <c r="F13123" s="9" t="s">
        <v>19931</v>
      </c>
    </row>
    <row r="13124" ht="33.75" customHeight="1">
      <c r="A13124" s="7">
        <v>649.0</v>
      </c>
      <c r="B13124" s="9" t="s">
        <v>17970</v>
      </c>
      <c r="C13124" s="9" t="s">
        <v>965</v>
      </c>
      <c r="D13124" s="9" t="s">
        <v>101</v>
      </c>
      <c r="E13124" s="6" t="s">
        <v>11774</v>
      </c>
      <c r="F13124" s="9" t="s">
        <v>19931</v>
      </c>
    </row>
    <row r="13125" ht="33.75" customHeight="1">
      <c r="A13125" s="7">
        <v>649.0</v>
      </c>
      <c r="B13125" s="9" t="s">
        <v>17970</v>
      </c>
      <c r="C13125" s="9" t="s">
        <v>965</v>
      </c>
      <c r="D13125" s="9" t="s">
        <v>105</v>
      </c>
      <c r="E13125" s="6" t="s">
        <v>11775</v>
      </c>
      <c r="F13125" s="9" t="s">
        <v>19931</v>
      </c>
    </row>
    <row r="13126" ht="33.75" customHeight="1">
      <c r="A13126" s="7">
        <v>649.0</v>
      </c>
      <c r="B13126" s="9" t="s">
        <v>17970</v>
      </c>
      <c r="C13126" s="9" t="s">
        <v>965</v>
      </c>
      <c r="D13126" s="9" t="s">
        <v>107</v>
      </c>
      <c r="E13126" s="6" t="s">
        <v>11774</v>
      </c>
      <c r="F13126" s="9" t="s">
        <v>19931</v>
      </c>
    </row>
    <row r="13127" ht="33.75" customHeight="1">
      <c r="A13127" s="7">
        <v>649.0</v>
      </c>
      <c r="B13127" s="9" t="s">
        <v>17970</v>
      </c>
      <c r="C13127" s="9" t="s">
        <v>965</v>
      </c>
      <c r="D13127" s="9" t="s">
        <v>109</v>
      </c>
      <c r="E13127" s="6" t="s">
        <v>11775</v>
      </c>
      <c r="F13127" s="9" t="s">
        <v>19931</v>
      </c>
    </row>
    <row r="13128" ht="33.75" customHeight="1">
      <c r="A13128" s="7">
        <v>650.0</v>
      </c>
      <c r="B13128" s="9" t="s">
        <v>17975</v>
      </c>
      <c r="C13128" s="9" t="s">
        <v>966</v>
      </c>
      <c r="D13128" s="9" t="s">
        <v>101</v>
      </c>
      <c r="E13128" s="6" t="s">
        <v>11776</v>
      </c>
      <c r="F13128" s="9" t="s">
        <v>19932</v>
      </c>
      <c r="G13128" t="inlineStr" s="6">
        <is>
          <t xml:space="preserve">The quills on Chespin's head are usually soft. When it flexes them, the points become so hard and sharp that they can pierce rock. Such a thick shell of wood covers its head and back that even a direct hit from a truck wouldn’t faze it.</t>
        </is>
      </c>
    </row>
    <row r="13129" ht="33.75" customHeight="1">
      <c r="A13129" s="7">
        <v>650.0</v>
      </c>
      <c r="B13129" s="9" t="s">
        <v>17975</v>
      </c>
      <c r="C13129" s="9" t="s">
        <v>966</v>
      </c>
      <c r="D13129" s="9" t="s">
        <v>105</v>
      </c>
      <c r="E13129" s="6" t="s">
        <v>11777</v>
      </c>
      <c r="F13129" s="9" t="s">
        <v>19932</v>
      </c>
    </row>
    <row r="13130" ht="33.75" customHeight="1">
      <c r="A13130" s="7">
        <v>650.0</v>
      </c>
      <c r="B13130" s="9" t="s">
        <v>17975</v>
      </c>
      <c r="C13130" s="9" t="s">
        <v>966</v>
      </c>
      <c r="D13130" s="9" t="s">
        <v>107</v>
      </c>
      <c r="E13130" s="6" t="s">
        <v>11776</v>
      </c>
      <c r="F13130" s="9" t="s">
        <v>19932</v>
      </c>
    </row>
    <row r="13131" ht="33.75" customHeight="1">
      <c r="A13131" s="7">
        <v>650.0</v>
      </c>
      <c r="B13131" s="9" t="s">
        <v>17975</v>
      </c>
      <c r="C13131" s="9" t="s">
        <v>966</v>
      </c>
      <c r="D13131" s="9" t="s">
        <v>109</v>
      </c>
      <c r="E13131" s="6" t="s">
        <v>11777</v>
      </c>
      <c r="F13131" s="9" t="s">
        <v>19932</v>
      </c>
    </row>
    <row r="13132" ht="33.75" customHeight="1">
      <c r="A13132" s="7">
        <v>651.0</v>
      </c>
      <c r="B13132" s="9" t="s">
        <v>17979</v>
      </c>
      <c r="C13132" s="9" t="s">
        <v>968</v>
      </c>
      <c r="D13132" s="9" t="s">
        <v>101</v>
      </c>
      <c r="E13132" s="6" t="s">
        <v>11779</v>
      </c>
      <c r="F13132" s="9" t="s">
        <v>19933</v>
      </c>
      <c r="G13132" t="inlineStr" s="6">
        <is>
          <t xml:space="preserve">It relies on Quilladin's sturdy shell to deflect predators’ attacks. It counterattacks with its sharp quills. They strengthen their lower bodies by running into one another. They are very kind and won’t start fights.</t>
        </is>
      </c>
    </row>
    <row r="13133" ht="33.75" customHeight="1">
      <c r="A13133" s="7">
        <v>651.0</v>
      </c>
      <c r="B13133" s="9" t="s">
        <v>17979</v>
      </c>
      <c r="C13133" s="9" t="s">
        <v>968</v>
      </c>
      <c r="D13133" s="9" t="s">
        <v>105</v>
      </c>
      <c r="E13133" s="6" t="s">
        <v>11780</v>
      </c>
      <c r="F13133" s="9" t="s">
        <v>19933</v>
      </c>
    </row>
    <row r="13134" ht="33.75" customHeight="1">
      <c r="A13134" s="7">
        <v>651.0</v>
      </c>
      <c r="B13134" s="9" t="s">
        <v>17979</v>
      </c>
      <c r="C13134" s="9" t="s">
        <v>968</v>
      </c>
      <c r="D13134" s="9" t="s">
        <v>107</v>
      </c>
      <c r="E13134" s="6" t="s">
        <v>11779</v>
      </c>
      <c r="F13134" s="9" t="s">
        <v>19933</v>
      </c>
    </row>
    <row r="13135" ht="33.75" customHeight="1">
      <c r="A13135" s="7">
        <v>651.0</v>
      </c>
      <c r="B13135" s="9" t="s">
        <v>17979</v>
      </c>
      <c r="C13135" s="9" t="s">
        <v>968</v>
      </c>
      <c r="D13135" s="9" t="s">
        <v>109</v>
      </c>
      <c r="E13135" s="6" t="s">
        <v>11780</v>
      </c>
      <c r="F13135" s="9" t="s">
        <v>19933</v>
      </c>
    </row>
    <row r="13136" ht="33.75" customHeight="1">
      <c r="A13136" s="7">
        <v>652.0</v>
      </c>
      <c r="B13136" s="9" t="s">
        <v>17984</v>
      </c>
      <c r="C13136" s="9" t="s">
        <v>968</v>
      </c>
      <c r="D13136" s="9" t="s">
        <v>101</v>
      </c>
      <c r="E13136" s="6" t="s">
        <v>11781</v>
      </c>
      <c r="F13136" s="9" t="s">
        <v>19934</v>
      </c>
      <c r="G13136" t="inlineStr" s="6">
        <is>
          <t xml:space="preserve">Chesnaught's Tackle is forceful enough to flip a 50-ton tank. It shields its allies from danger with its own body. When it takes a defensive posture with its fists guarding its face, it could withstand a bomb blast.</t>
        </is>
      </c>
    </row>
    <row r="13137" ht="33.75" customHeight="1">
      <c r="A13137" s="7">
        <v>652.0</v>
      </c>
      <c r="B13137" s="9" t="s">
        <v>17984</v>
      </c>
      <c r="C13137" s="9" t="s">
        <v>968</v>
      </c>
      <c r="D13137" s="9" t="s">
        <v>105</v>
      </c>
      <c r="E13137" s="6" t="s">
        <v>11783</v>
      </c>
      <c r="F13137" s="9" t="s">
        <v>19934</v>
      </c>
    </row>
    <row r="13138" ht="33.75" customHeight="1">
      <c r="A13138" s="7">
        <v>652.0</v>
      </c>
      <c r="B13138" s="9" t="s">
        <v>17984</v>
      </c>
      <c r="C13138" s="9" t="s">
        <v>968</v>
      </c>
      <c r="D13138" s="9" t="s">
        <v>107</v>
      </c>
      <c r="E13138" s="6" t="s">
        <v>11781</v>
      </c>
      <c r="F13138" s="9" t="s">
        <v>19934</v>
      </c>
    </row>
    <row r="13139" ht="33.75" customHeight="1">
      <c r="A13139" s="7">
        <v>652.0</v>
      </c>
      <c r="B13139" s="9" t="s">
        <v>17984</v>
      </c>
      <c r="C13139" s="9" t="s">
        <v>968</v>
      </c>
      <c r="D13139" s="9" t="s">
        <v>109</v>
      </c>
      <c r="E13139" s="6" t="s">
        <v>11783</v>
      </c>
      <c r="F13139" s="9" t="s">
        <v>19934</v>
      </c>
    </row>
    <row r="13140" ht="33.75" customHeight="1">
      <c r="A13140" s="7">
        <v>653.0</v>
      </c>
      <c r="B13140" s="9" t="s">
        <v>17987</v>
      </c>
      <c r="C13140" s="9" t="s">
        <v>106</v>
      </c>
      <c r="D13140" s="9" t="s">
        <v>101</v>
      </c>
      <c r="E13140" s="6" t="s">
        <v>11784</v>
      </c>
      <c r="F13140" s="9" t="s">
        <v>19935</v>
      </c>
      <c r="G13140" t="inlineStr" s="6">
        <is>
          <t xml:space="preserve">Eating a twig fills it with energy, and Fennekin's roomy ears give vent to air hotter than 390 degrees Fahrenheit. As it walks, it munches on a twig in place of a snack. It intimidates opponents by puffing hot air out of its ears.</t>
        </is>
      </c>
    </row>
    <row r="13141" ht="33.75" customHeight="1">
      <c r="A13141" s="7">
        <v>653.0</v>
      </c>
      <c r="B13141" s="9" t="s">
        <v>17987</v>
      </c>
      <c r="C13141" s="9" t="s">
        <v>106</v>
      </c>
      <c r="D13141" s="9" t="s">
        <v>105</v>
      </c>
      <c r="E13141" s="6" t="s">
        <v>11786</v>
      </c>
      <c r="F13141" s="9" t="s">
        <v>19935</v>
      </c>
    </row>
    <row r="13142" ht="33.75" customHeight="1">
      <c r="A13142" s="7">
        <v>653.0</v>
      </c>
      <c r="B13142" s="9" t="s">
        <v>17987</v>
      </c>
      <c r="C13142" s="9" t="s">
        <v>106</v>
      </c>
      <c r="D13142" s="9" t="s">
        <v>107</v>
      </c>
      <c r="E13142" s="6" t="s">
        <v>11784</v>
      </c>
      <c r="F13142" s="9" t="s">
        <v>19935</v>
      </c>
    </row>
    <row r="13143" ht="33.75" customHeight="1">
      <c r="A13143" s="7">
        <v>653.0</v>
      </c>
      <c r="B13143" s="9" t="s">
        <v>17987</v>
      </c>
      <c r="C13143" s="9" t="s">
        <v>106</v>
      </c>
      <c r="D13143" s="9" t="s">
        <v>109</v>
      </c>
      <c r="E13143" s="6" t="s">
        <v>11786</v>
      </c>
      <c r="F13143" s="9" t="s">
        <v>19935</v>
      </c>
    </row>
    <row r="13144" ht="33.75" customHeight="1">
      <c r="A13144" s="7">
        <v>654.0</v>
      </c>
      <c r="B13144" s="9" t="s">
        <v>17990</v>
      </c>
      <c r="C13144" s="9" t="s">
        <v>106</v>
      </c>
      <c r="D13144" s="9" t="s">
        <v>101</v>
      </c>
      <c r="E13144" s="6" t="s">
        <v>11787</v>
      </c>
      <c r="F13144" s="9" t="s">
        <v>19936</v>
      </c>
      <c r="G13144" t="inlineStr" s="6">
        <is>
          <t xml:space="preserve">It has a twig stuck in Braixen's tail. With friction from its tail fur, it sets the twig on fire and launches into battle. When the twig is plucked from its tail, friction sets the twig alight. The flame is used to send signals to its allies.</t>
        </is>
      </c>
    </row>
    <row r="13145" ht="33.75" customHeight="1">
      <c r="A13145" s="7">
        <v>654.0</v>
      </c>
      <c r="B13145" s="9" t="s">
        <v>17990</v>
      </c>
      <c r="C13145" s="9" t="s">
        <v>106</v>
      </c>
      <c r="D13145" s="9" t="s">
        <v>105</v>
      </c>
      <c r="E13145" s="6" t="s">
        <v>11788</v>
      </c>
      <c r="F13145" s="9" t="s">
        <v>19936</v>
      </c>
    </row>
    <row r="13146" ht="33.75" customHeight="1">
      <c r="A13146" s="7">
        <v>654.0</v>
      </c>
      <c r="B13146" s="9" t="s">
        <v>17990</v>
      </c>
      <c r="C13146" s="9" t="s">
        <v>106</v>
      </c>
      <c r="D13146" s="9" t="s">
        <v>107</v>
      </c>
      <c r="E13146" s="6" t="s">
        <v>11787</v>
      </c>
      <c r="F13146" s="9" t="s">
        <v>19936</v>
      </c>
    </row>
    <row r="13147" ht="33.75" customHeight="1">
      <c r="A13147" s="7">
        <v>654.0</v>
      </c>
      <c r="B13147" s="9" t="s">
        <v>17990</v>
      </c>
      <c r="C13147" s="9" t="s">
        <v>106</v>
      </c>
      <c r="D13147" s="9" t="s">
        <v>109</v>
      </c>
      <c r="E13147" s="6" t="s">
        <v>11788</v>
      </c>
      <c r="F13147" s="9" t="s">
        <v>19936</v>
      </c>
    </row>
    <row r="13148" ht="33.75" customHeight="1">
      <c r="A13148" s="7">
        <v>655.0</v>
      </c>
      <c r="B13148" s="9" t="s">
        <v>17993</v>
      </c>
      <c r="C13148" s="9" t="s">
        <v>106</v>
      </c>
      <c r="D13148" s="9" t="s">
        <v>101</v>
      </c>
      <c r="E13148" s="6" t="s">
        <v>11790</v>
      </c>
      <c r="F13148" s="9" t="s">
        <v>19937</v>
      </c>
      <c r="G13148" t="inlineStr" s="6">
        <is>
          <t xml:space="preserve">It gazes into the flame at the tip of Delphox's branch to achieve a focused state, which allows it to see into the future. Using psychic power, it generates a fiery vortex of 5,400 degrees Fahrenheit, incinerating foes swept into this whirl of flame.</t>
        </is>
      </c>
    </row>
    <row r="13149" ht="33.75" customHeight="1">
      <c r="A13149" s="7">
        <v>655.0</v>
      </c>
      <c r="B13149" s="9" t="s">
        <v>17993</v>
      </c>
      <c r="C13149" s="9" t="s">
        <v>106</v>
      </c>
      <c r="D13149" s="9" t="s">
        <v>105</v>
      </c>
      <c r="E13149" s="6" t="s">
        <v>11791</v>
      </c>
      <c r="F13149" s="9" t="s">
        <v>19937</v>
      </c>
    </row>
    <row r="13150" ht="33.75" customHeight="1">
      <c r="A13150" s="7">
        <v>655.0</v>
      </c>
      <c r="B13150" s="9" t="s">
        <v>17993</v>
      </c>
      <c r="C13150" s="9" t="s">
        <v>106</v>
      </c>
      <c r="D13150" s="9" t="s">
        <v>107</v>
      </c>
      <c r="E13150" s="6" t="s">
        <v>11790</v>
      </c>
      <c r="F13150" s="9" t="s">
        <v>19937</v>
      </c>
    </row>
    <row r="13151" ht="33.75" customHeight="1">
      <c r="A13151" s="7">
        <v>655.0</v>
      </c>
      <c r="B13151" s="9" t="s">
        <v>17993</v>
      </c>
      <c r="C13151" s="9" t="s">
        <v>106</v>
      </c>
      <c r="D13151" s="9" t="s">
        <v>109</v>
      </c>
      <c r="E13151" s="6" t="s">
        <v>11791</v>
      </c>
      <c r="F13151" s="9" t="s">
        <v>19937</v>
      </c>
    </row>
    <row r="13152" ht="33.75" customHeight="1">
      <c r="A13152" s="7">
        <v>656.0</v>
      </c>
      <c r="B13152" s="9" t="s">
        <v>17996</v>
      </c>
      <c r="C13152" s="9" t="s">
        <v>969</v>
      </c>
      <c r="D13152" s="9" t="s">
        <v>101</v>
      </c>
      <c r="E13152" s="6" t="s">
        <v>11792</v>
      </c>
      <c r="F13152" s="9" t="s">
        <v>19938</v>
      </c>
      <c r="G13152" t="inlineStr" s="6">
        <is>
          <t xml:space="preserve">It secretes flexible bubbles from Froakie's chest and back. The bubbles reduce the damage it would otherwise take when attacked. It protects its skin by covering its body in delicate bubbles. Beneath its happy-go-lucky air, it keeps a watchful eye on its surroundings.</t>
        </is>
      </c>
    </row>
    <row r="13153" ht="33.75" customHeight="1">
      <c r="A13153" s="7">
        <v>656.0</v>
      </c>
      <c r="B13153" s="9" t="s">
        <v>17996</v>
      </c>
      <c r="C13153" s="9" t="s">
        <v>969</v>
      </c>
      <c r="D13153" s="9" t="s">
        <v>105</v>
      </c>
      <c r="E13153" s="6" t="s">
        <v>11793</v>
      </c>
      <c r="F13153" s="9" t="s">
        <v>19938</v>
      </c>
    </row>
    <row r="13154" ht="33.75" customHeight="1">
      <c r="A13154" s="7">
        <v>656.0</v>
      </c>
      <c r="B13154" s="9" t="s">
        <v>17996</v>
      </c>
      <c r="C13154" s="9" t="s">
        <v>969</v>
      </c>
      <c r="D13154" s="9" t="s">
        <v>107</v>
      </c>
      <c r="E13154" s="6" t="s">
        <v>11792</v>
      </c>
      <c r="F13154" s="9" t="s">
        <v>19938</v>
      </c>
    </row>
    <row r="13155" ht="33.75" customHeight="1">
      <c r="A13155" s="7">
        <v>656.0</v>
      </c>
      <c r="B13155" s="9" t="s">
        <v>17996</v>
      </c>
      <c r="C13155" s="9" t="s">
        <v>969</v>
      </c>
      <c r="D13155" s="9" t="s">
        <v>109</v>
      </c>
      <c r="E13155" s="6" t="s">
        <v>11793</v>
      </c>
      <c r="F13155" s="9" t="s">
        <v>19938</v>
      </c>
    </row>
    <row r="13156" ht="33.75" customHeight="1">
      <c r="A13156" s="7">
        <v>657.0</v>
      </c>
      <c r="B13156" s="9" t="s">
        <v>18001</v>
      </c>
      <c r="C13156" s="9" t="s">
        <v>969</v>
      </c>
      <c r="D13156" s="9" t="s">
        <v>101</v>
      </c>
      <c r="E13156" s="6" t="s">
        <v>11794</v>
      </c>
      <c r="F13156" s="9" t="s">
        <v>19939</v>
      </c>
      <c r="G13156" t="inlineStr" s="6">
        <is>
          <t xml:space="preserve">Frogadier can throw bubble-covered pebbles with precise control, hitting empty cans up to a hundred feet away. Its swiftness is unparalleled. It can scale a tower of more than 2,000 feet in a minute’s time.</t>
        </is>
      </c>
    </row>
    <row r="13157" ht="33.75" customHeight="1">
      <c r="A13157" s="7">
        <v>657.0</v>
      </c>
      <c r="B13157" s="9" t="s">
        <v>18001</v>
      </c>
      <c r="C13157" s="9" t="s">
        <v>969</v>
      </c>
      <c r="D13157" s="9" t="s">
        <v>105</v>
      </c>
      <c r="E13157" s="6" t="s">
        <v>11795</v>
      </c>
      <c r="F13157" s="9" t="s">
        <v>19939</v>
      </c>
    </row>
    <row r="13158" ht="33.75" customHeight="1">
      <c r="A13158" s="7">
        <v>657.0</v>
      </c>
      <c r="B13158" s="9" t="s">
        <v>18001</v>
      </c>
      <c r="C13158" s="9" t="s">
        <v>969</v>
      </c>
      <c r="D13158" s="9" t="s">
        <v>107</v>
      </c>
      <c r="E13158" s="6" t="s">
        <v>11794</v>
      </c>
      <c r="F13158" s="9" t="s">
        <v>19939</v>
      </c>
    </row>
    <row r="13159" ht="33.75" customHeight="1">
      <c r="A13159" s="7">
        <v>657.0</v>
      </c>
      <c r="B13159" s="9" t="s">
        <v>18001</v>
      </c>
      <c r="C13159" s="9" t="s">
        <v>969</v>
      </c>
      <c r="D13159" s="9" t="s">
        <v>109</v>
      </c>
      <c r="E13159" s="6" t="s">
        <v>11795</v>
      </c>
      <c r="F13159" s="9" t="s">
        <v>19939</v>
      </c>
    </row>
    <row r="13160" ht="33.75" customHeight="1">
      <c r="A13160" s="7">
        <v>658.0</v>
      </c>
      <c r="B13160" s="9" t="s">
        <v>18004</v>
      </c>
      <c r="C13160" s="9" t="s">
        <v>433</v>
      </c>
      <c r="D13160" s="9" t="s">
        <v>101</v>
      </c>
      <c r="E13160" s="6" t="s">
        <v>11796</v>
      </c>
      <c r="F13160" s="9" t="s">
        <v>19940</v>
      </c>
      <c r="G13160" t="inlineStr" s="6">
        <is>
          <t xml:space="preserve">Greninja creates throwing stars out of compressed water. When it spins them and throws them at high speed, these stars can split metal in two. It appears and vanishes with a ninja’s grace. It toys with its enemies using swift movements, while slicing them with throwing stars of sharpest water.</t>
        </is>
      </c>
    </row>
    <row r="13161" ht="33.75" customHeight="1">
      <c r="A13161" s="7">
        <v>658.0</v>
      </c>
      <c r="B13161" s="9" t="s">
        <v>18004</v>
      </c>
      <c r="C13161" s="9" t="s">
        <v>433</v>
      </c>
      <c r="D13161" s="9" t="s">
        <v>105</v>
      </c>
      <c r="E13161" s="6" t="s">
        <v>11797</v>
      </c>
      <c r="F13161" s="9" t="s">
        <v>19940</v>
      </c>
    </row>
    <row r="13162" ht="33.75" customHeight="1">
      <c r="A13162" s="7">
        <v>658.0</v>
      </c>
      <c r="B13162" s="9" t="s">
        <v>18004</v>
      </c>
      <c r="C13162" s="9" t="s">
        <v>433</v>
      </c>
      <c r="D13162" s="9" t="s">
        <v>107</v>
      </c>
      <c r="E13162" s="6" t="s">
        <v>11796</v>
      </c>
      <c r="F13162" s="9" t="s">
        <v>19940</v>
      </c>
    </row>
    <row r="13163" ht="33.75" customHeight="1">
      <c r="A13163" s="7">
        <v>658.0</v>
      </c>
      <c r="B13163" s="9" t="s">
        <v>18004</v>
      </c>
      <c r="C13163" s="9" t="s">
        <v>433</v>
      </c>
      <c r="D13163" s="9" t="s">
        <v>109</v>
      </c>
      <c r="E13163" s="6" t="s">
        <v>11797</v>
      </c>
      <c r="F13163" s="9" t="s">
        <v>19940</v>
      </c>
    </row>
    <row r="13164" ht="33.75" customHeight="1">
      <c r="A13164" s="7">
        <v>659.0</v>
      </c>
      <c r="B13164" s="9" t="s">
        <v>18007</v>
      </c>
      <c r="C13164" s="9" t="s">
        <v>971</v>
      </c>
      <c r="D13164" s="9" t="s">
        <v>101</v>
      </c>
      <c r="E13164" s="6" t="s">
        <v>11798</v>
      </c>
      <c r="F13164" s="9" t="s">
        <v>19941</v>
      </c>
      <c r="G13164" t="inlineStr" s="6">
        <is>
          <t xml:space="preserve">They use their large ears to dig burrows. They will dig the whole night through. It has ears like shovels. Digging holes strengthens its ears so much that they can sever thick roots effortlessly. It excels at digging holes. Using its ears, it can dig a nest 33 feet deep in one night. It’s very sensitive to danger. The sound of Corviknight’s flapping will have Bunnelby digging a hole to hide underground in moments.</t>
        </is>
      </c>
    </row>
    <row r="13165" ht="33.75" customHeight="1">
      <c r="A13165" s="7">
        <v>659.0</v>
      </c>
      <c r="B13165" s="9" t="s">
        <v>18007</v>
      </c>
      <c r="C13165" s="9" t="s">
        <v>971</v>
      </c>
      <c r="D13165" s="9" t="s">
        <v>105</v>
      </c>
      <c r="E13165" s="6" t="s">
        <v>11800</v>
      </c>
      <c r="F13165" s="9" t="s">
        <v>19941</v>
      </c>
    </row>
    <row r="13166" ht="33.75" customHeight="1">
      <c r="A13166" s="7">
        <v>659.0</v>
      </c>
      <c r="B13166" s="9" t="s">
        <v>18007</v>
      </c>
      <c r="C13166" s="9" t="s">
        <v>971</v>
      </c>
      <c r="D13166" s="9" t="s">
        <v>107</v>
      </c>
      <c r="E13166" s="6" t="s">
        <v>11798</v>
      </c>
      <c r="F13166" s="9" t="s">
        <v>19941</v>
      </c>
    </row>
    <row r="13167" ht="33.75" customHeight="1">
      <c r="A13167" s="7">
        <v>659.0</v>
      </c>
      <c r="B13167" s="9" t="s">
        <v>18007</v>
      </c>
      <c r="C13167" s="9" t="s">
        <v>971</v>
      </c>
      <c r="D13167" s="9" t="s">
        <v>109</v>
      </c>
      <c r="E13167" s="6" t="s">
        <v>11800</v>
      </c>
      <c r="F13167" s="9" t="s">
        <v>19941</v>
      </c>
    </row>
    <row r="13168" ht="33.75" customHeight="1">
      <c r="A13168" s="7">
        <v>659.0</v>
      </c>
      <c r="B13168" s="9" t="s">
        <v>18007</v>
      </c>
      <c r="C13168" s="9" t="s">
        <v>971</v>
      </c>
      <c r="D13168" s="9" t="s">
        <v>114</v>
      </c>
      <c r="E13168" s="6" t="s">
        <v>11802</v>
      </c>
      <c r="F13168" s="9" t="s">
        <v>19941</v>
      </c>
    </row>
    <row r="13169" ht="33.75" customHeight="1">
      <c r="A13169" s="7">
        <v>659.0</v>
      </c>
      <c r="B13169" s="9" t="s">
        <v>18007</v>
      </c>
      <c r="C13169" s="9" t="s">
        <v>971</v>
      </c>
      <c r="D13169" s="9" t="s">
        <v>117</v>
      </c>
      <c r="E13169" s="6" t="s">
        <v>11803</v>
      </c>
      <c r="F13169" s="9" t="s">
        <v>19941</v>
      </c>
    </row>
    <row r="13170" ht="33.75" customHeight="1">
      <c r="A13170" s="7">
        <v>660.0</v>
      </c>
      <c r="B13170" s="9" t="s">
        <v>18014</v>
      </c>
      <c r="C13170" s="9" t="s">
        <v>971</v>
      </c>
      <c r="D13170" s="9" t="s">
        <v>101</v>
      </c>
      <c r="E13170" s="6" t="s">
        <v>11806</v>
      </c>
      <c r="F13170" s="9" t="s">
        <v>19942</v>
      </c>
      <c r="G13170" t="inlineStr" s="6">
        <is>
          <t xml:space="preserve">With their powerful ears, they can heft boulders of a ton or more with ease. They can be a big help at construction sites. As powerful as an excavator, its ears can reduce dense bedrock to rubble. When it’s finished digging, it lounges lazily. With power equal to an excavator, it can dig through dense bedrock. It’s a huge help during tunnel construction. The fur on its belly retains heat exceptionally well. People used to make heavy winter clothing from fur shed by this Pokémon.</t>
        </is>
      </c>
    </row>
    <row r="13171" ht="33.75" customHeight="1">
      <c r="A13171" s="7">
        <v>660.0</v>
      </c>
      <c r="B13171" s="9" t="s">
        <v>18014</v>
      </c>
      <c r="C13171" s="9" t="s">
        <v>971</v>
      </c>
      <c r="D13171" s="9" t="s">
        <v>105</v>
      </c>
      <c r="E13171" s="6" t="s">
        <v>11809</v>
      </c>
      <c r="F13171" s="9" t="s">
        <v>19942</v>
      </c>
    </row>
    <row r="13172" ht="33.75" customHeight="1">
      <c r="A13172" s="7">
        <v>660.0</v>
      </c>
      <c r="B13172" s="9" t="s">
        <v>18014</v>
      </c>
      <c r="C13172" s="9" t="s">
        <v>971</v>
      </c>
      <c r="D13172" s="9" t="s">
        <v>107</v>
      </c>
      <c r="E13172" s="6" t="s">
        <v>11806</v>
      </c>
      <c r="F13172" s="9" t="s">
        <v>19942</v>
      </c>
    </row>
    <row r="13173" ht="33.75" customHeight="1">
      <c r="A13173" s="7">
        <v>660.0</v>
      </c>
      <c r="B13173" s="9" t="s">
        <v>18014</v>
      </c>
      <c r="C13173" s="9" t="s">
        <v>971</v>
      </c>
      <c r="D13173" s="9" t="s">
        <v>109</v>
      </c>
      <c r="E13173" s="6" t="s">
        <v>11809</v>
      </c>
      <c r="F13173" s="9" t="s">
        <v>19942</v>
      </c>
    </row>
    <row r="13174" ht="33.75" customHeight="1">
      <c r="A13174" s="7">
        <v>660.0</v>
      </c>
      <c r="B13174" s="9" t="s">
        <v>18014</v>
      </c>
      <c r="C13174" s="9" t="s">
        <v>971</v>
      </c>
      <c r="D13174" s="9" t="s">
        <v>114</v>
      </c>
      <c r="E13174" s="6" t="s">
        <v>11810</v>
      </c>
      <c r="F13174" s="9" t="s">
        <v>19942</v>
      </c>
    </row>
    <row r="13175" ht="33.75" customHeight="1">
      <c r="A13175" s="7">
        <v>660.0</v>
      </c>
      <c r="B13175" s="9" t="s">
        <v>18014</v>
      </c>
      <c r="C13175" s="9" t="s">
        <v>971</v>
      </c>
      <c r="D13175" s="9" t="s">
        <v>117</v>
      </c>
      <c r="E13175" s="6" t="s">
        <v>11812</v>
      </c>
      <c r="F13175" s="9" t="s">
        <v>19942</v>
      </c>
    </row>
    <row r="13176" ht="33.75" customHeight="1">
      <c r="A13176" s="7">
        <v>661.0</v>
      </c>
      <c r="B13176" s="9" t="s">
        <v>18019</v>
      </c>
      <c r="C13176" s="9" t="s">
        <v>973</v>
      </c>
      <c r="D13176" s="9" t="s">
        <v>101</v>
      </c>
      <c r="E13176" s="6" t="s">
        <v>11814</v>
      </c>
      <c r="F13176" s="9" t="s">
        <v>19943</v>
      </c>
      <c r="G13176" t="inlineStr" s="6">
        <is>
          <t xml:space="preserve">These friendly Pokémon send signals to one another with beautiful chirps and tail-feather movements. Despite the beauty of its lilting voice, it’s merciless to intruders that enter its territory. This amiable Pokémon is easy to train. But when battle is joined, it shows its ferocious side. When it’s excited, its temperature can double, spiking hormone production in its body. While it’s an amiable Pokémon, if you touch it unexpectedly, it will heat up its body in an instant, and you’ll be burned. Its body is always warm. Trainers who live in cold areas apparently sleep with it in their bed. Its melodious cries are actually warnings. Fletchling will mercilessly peck at anything that enters its territory. When this Pokémon gets excited, its body temperature increases sharply. If you touch a Fletchling with bare hands, you might get burned.</t>
        </is>
      </c>
    </row>
    <row r="13177" ht="33.75" customHeight="1">
      <c r="A13177" s="7">
        <v>661.0</v>
      </c>
      <c r="B13177" s="9" t="s">
        <v>18019</v>
      </c>
      <c r="C13177" s="9" t="s">
        <v>973</v>
      </c>
      <c r="D13177" s="9" t="s">
        <v>105</v>
      </c>
      <c r="E13177" s="6" t="s">
        <v>11816</v>
      </c>
      <c r="F13177" s="9" t="s">
        <v>19943</v>
      </c>
    </row>
    <row r="13178" ht="33.75" customHeight="1">
      <c r="A13178" s="7">
        <v>661.0</v>
      </c>
      <c r="B13178" s="9" t="s">
        <v>18019</v>
      </c>
      <c r="C13178" s="9" t="s">
        <v>973</v>
      </c>
      <c r="D13178" s="9" t="s">
        <v>107</v>
      </c>
      <c r="E13178" s="6" t="s">
        <v>11814</v>
      </c>
      <c r="F13178" s="9" t="s">
        <v>19943</v>
      </c>
    </row>
    <row r="13179" ht="33.75" customHeight="1">
      <c r="A13179" s="7">
        <v>661.0</v>
      </c>
      <c r="B13179" s="9" t="s">
        <v>18019</v>
      </c>
      <c r="C13179" s="9" t="s">
        <v>973</v>
      </c>
      <c r="D13179" s="9" t="s">
        <v>109</v>
      </c>
      <c r="E13179" s="6" t="s">
        <v>11816</v>
      </c>
      <c r="F13179" s="9" t="s">
        <v>19943</v>
      </c>
    </row>
    <row r="13180" ht="33.75" customHeight="1">
      <c r="A13180" s="7">
        <v>661.0</v>
      </c>
      <c r="B13180" s="9" t="s">
        <v>18019</v>
      </c>
      <c r="C13180" s="9" t="s">
        <v>973</v>
      </c>
      <c r="D13180" s="9" t="s">
        <v>637</v>
      </c>
      <c r="E13180" s="6" t="s">
        <v>11817</v>
      </c>
      <c r="F13180" s="9" t="s">
        <v>19943</v>
      </c>
    </row>
    <row r="13181" ht="33.75" customHeight="1">
      <c r="A13181" s="7">
        <v>661.0</v>
      </c>
      <c r="B13181" s="9" t="s">
        <v>18019</v>
      </c>
      <c r="C13181" s="9" t="s">
        <v>973</v>
      </c>
      <c r="D13181" s="9" t="s">
        <v>642</v>
      </c>
      <c r="E13181" s="6" t="s">
        <v>11819</v>
      </c>
      <c r="F13181" s="9" t="s">
        <v>19943</v>
      </c>
    </row>
    <row r="13182" ht="33.75" customHeight="1">
      <c r="A13182" s="7">
        <v>661.0</v>
      </c>
      <c r="B13182" s="9" t="s">
        <v>18019</v>
      </c>
      <c r="C13182" s="9" t="s">
        <v>973</v>
      </c>
      <c r="D13182" s="9" t="s">
        <v>647</v>
      </c>
      <c r="E13182" s="6" t="s">
        <v>11820</v>
      </c>
      <c r="F13182" s="9" t="s">
        <v>19943</v>
      </c>
    </row>
    <row r="13183" ht="33.75" customHeight="1">
      <c r="A13183" s="7">
        <v>661.0</v>
      </c>
      <c r="B13183" s="9" t="s">
        <v>18019</v>
      </c>
      <c r="C13183" s="9" t="s">
        <v>973</v>
      </c>
      <c r="D13183" s="9" t="s">
        <v>652</v>
      </c>
      <c r="E13183" s="6" t="s">
        <v>11822</v>
      </c>
      <c r="F13183" s="9" t="s">
        <v>19943</v>
      </c>
    </row>
    <row r="13184" ht="33.75" customHeight="1">
      <c r="A13184" s="7">
        <v>661.0</v>
      </c>
      <c r="B13184" s="9" t="s">
        <v>18019</v>
      </c>
      <c r="C13184" s="9" t="s">
        <v>973</v>
      </c>
      <c r="D13184" s="9" t="s">
        <v>114</v>
      </c>
      <c r="E13184" s="6" t="s">
        <v>11823</v>
      </c>
      <c r="F13184" s="9" t="s">
        <v>19943</v>
      </c>
    </row>
    <row r="13185" ht="33.75" customHeight="1">
      <c r="A13185" s="7">
        <v>661.0</v>
      </c>
      <c r="B13185" s="9" t="s">
        <v>18019</v>
      </c>
      <c r="C13185" s="9" t="s">
        <v>973</v>
      </c>
      <c r="D13185" s="9" t="s">
        <v>117</v>
      </c>
      <c r="E13185" s="6" t="s">
        <v>11824</v>
      </c>
      <c r="F13185" s="9" t="s">
        <v>19943</v>
      </c>
    </row>
    <row r="13186" ht="33.75" customHeight="1">
      <c r="A13186" s="7">
        <v>662.0</v>
      </c>
      <c r="B13186" s="9" t="s">
        <v>18030</v>
      </c>
      <c r="C13186" s="9" t="s">
        <v>782</v>
      </c>
      <c r="D13186" s="9" t="s">
        <v>101</v>
      </c>
      <c r="E13186" s="6" t="s">
        <v>11825</v>
      </c>
      <c r="F13186" s="9" t="s">
        <v>19944</v>
      </c>
      <c r="G13186" t="inlineStr" s="6">
        <is>
          <t xml:space="preserve">From Fletchinder's beak, it expels embers that set the tall grass on fire. Then it pounces on the bewildered prey that pop out of the grass. The hotter the flame sac on its belly, the faster it can fly, but it takes some time to get the fire going. From its beak, it fires embers at its prey. Once it has caught them, it grills them at high heat before feasting upon them. It will not tolerate other Fletchinder entering its territory, which has a radius of several miles. It scatters embers in the tall grass. Then bug Pokémon, frightened by the flames, come flying out, and Fletchinder gobbles them up. Its speed right after takeoff already puts it in the top speed class of all bird Pokémon. Fletchinder launches embers into the den of its prey. When the prey comes leaping out, Fletchinder’s sharp talons finish it off. Fletchinder are exceedingly territorial and aggressive. These Pokémon fight among themselves over feeding grounds.</t>
        </is>
      </c>
    </row>
    <row r="13187" ht="33.75" customHeight="1">
      <c r="A13187" s="7">
        <v>662.0</v>
      </c>
      <c r="B13187" s="9" t="s">
        <v>18030</v>
      </c>
      <c r="C13187" s="9" t="s">
        <v>782</v>
      </c>
      <c r="D13187" s="9" t="s">
        <v>105</v>
      </c>
      <c r="E13187" s="6" t="s">
        <v>11827</v>
      </c>
      <c r="F13187" s="9" t="s">
        <v>19944</v>
      </c>
    </row>
    <row r="13188" ht="33.75" customHeight="1">
      <c r="A13188" s="7">
        <v>662.0</v>
      </c>
      <c r="B13188" s="9" t="s">
        <v>18030</v>
      </c>
      <c r="C13188" s="9" t="s">
        <v>782</v>
      </c>
      <c r="D13188" s="9" t="s">
        <v>107</v>
      </c>
      <c r="E13188" s="6" t="s">
        <v>11825</v>
      </c>
      <c r="F13188" s="9" t="s">
        <v>19944</v>
      </c>
    </row>
    <row r="13189" ht="33.75" customHeight="1">
      <c r="A13189" s="7">
        <v>662.0</v>
      </c>
      <c r="B13189" s="9" t="s">
        <v>18030</v>
      </c>
      <c r="C13189" s="9" t="s">
        <v>782</v>
      </c>
      <c r="D13189" s="9" t="s">
        <v>109</v>
      </c>
      <c r="E13189" s="6" t="s">
        <v>11827</v>
      </c>
      <c r="F13189" s="9" t="s">
        <v>19944</v>
      </c>
    </row>
    <row r="13190" ht="33.75" customHeight="1">
      <c r="A13190" s="7">
        <v>662.0</v>
      </c>
      <c r="B13190" s="9" t="s">
        <v>18030</v>
      </c>
      <c r="C13190" s="9" t="s">
        <v>782</v>
      </c>
      <c r="D13190" s="9" t="s">
        <v>637</v>
      </c>
      <c r="E13190" s="6" t="s">
        <v>11829</v>
      </c>
      <c r="F13190" s="9" t="s">
        <v>19944</v>
      </c>
    </row>
    <row r="13191" ht="33.75" customHeight="1">
      <c r="A13191" s="7">
        <v>662.0</v>
      </c>
      <c r="B13191" s="9" t="s">
        <v>18030</v>
      </c>
      <c r="C13191" s="9" t="s">
        <v>782</v>
      </c>
      <c r="D13191" s="9" t="s">
        <v>642</v>
      </c>
      <c r="E13191" s="6" t="s">
        <v>11830</v>
      </c>
      <c r="F13191" s="9" t="s">
        <v>19944</v>
      </c>
    </row>
    <row r="13192" ht="33.75" customHeight="1">
      <c r="A13192" s="7">
        <v>662.0</v>
      </c>
      <c r="B13192" s="9" t="s">
        <v>18030</v>
      </c>
      <c r="C13192" s="9" t="s">
        <v>782</v>
      </c>
      <c r="D13192" s="9" t="s">
        <v>647</v>
      </c>
      <c r="E13192" s="6" t="s">
        <v>11831</v>
      </c>
      <c r="F13192" s="9" t="s">
        <v>19944</v>
      </c>
    </row>
    <row r="13193" ht="33.75" customHeight="1">
      <c r="A13193" s="7">
        <v>662.0</v>
      </c>
      <c r="B13193" s="9" t="s">
        <v>18030</v>
      </c>
      <c r="C13193" s="9" t="s">
        <v>782</v>
      </c>
      <c r="D13193" s="9" t="s">
        <v>652</v>
      </c>
      <c r="E13193" s="6" t="s">
        <v>11832</v>
      </c>
      <c r="F13193" s="9" t="s">
        <v>19944</v>
      </c>
    </row>
    <row r="13194" ht="33.75" customHeight="1">
      <c r="A13194" s="7">
        <v>662.0</v>
      </c>
      <c r="B13194" s="9" t="s">
        <v>18030</v>
      </c>
      <c r="C13194" s="9" t="s">
        <v>782</v>
      </c>
      <c r="D13194" s="9" t="s">
        <v>114</v>
      </c>
      <c r="E13194" s="6" t="s">
        <v>11834</v>
      </c>
      <c r="F13194" s="9" t="s">
        <v>19944</v>
      </c>
    </row>
    <row r="13195" ht="33.75" customHeight="1">
      <c r="A13195" s="7">
        <v>662.0</v>
      </c>
      <c r="B13195" s="9" t="s">
        <v>18030</v>
      </c>
      <c r="C13195" s="9" t="s">
        <v>782</v>
      </c>
      <c r="D13195" s="9" t="s">
        <v>117</v>
      </c>
      <c r="E13195" s="6" t="s">
        <v>11835</v>
      </c>
      <c r="F13195" s="9" t="s">
        <v>19944</v>
      </c>
    </row>
    <row r="13196" ht="33.75" customHeight="1">
      <c r="A13196" s="7">
        <v>663.0</v>
      </c>
      <c r="B13196" s="9" t="s">
        <v>18040</v>
      </c>
      <c r="C13196" s="9" t="s">
        <v>974</v>
      </c>
      <c r="D13196" s="9" t="s">
        <v>101</v>
      </c>
      <c r="E13196" s="6" t="s">
        <v>11836</v>
      </c>
      <c r="F13196" s="9" t="s">
        <v>19945</v>
      </c>
      <c r="G13196" t="inlineStr" s="6">
        <is>
          <t xml:space="preserve">In the fever of an exciting battle, it showers embers from the gaps between Talonflame's feathers and takes to the air. When attacking prey, it can reach speeds of up to 310 mph. It finishes its prey off with a colossal kick. Its favorite foods are Wingull and Pikipek. It attacks with a powerful kick and grasps them firmly in its talons. It zooms directly at its prey at flight speeds of close to 310 mph, while fiery embers scatter from gaps in its feathers. Its tough wings don’t allow fire to pass through them. A long time ago, firefighters’ outfits were made from Talonflame wings. Bird Pokémon make up most of its diet. It approaches at high speeds and smacks them down to the ground with its powerful kick. Talonflame mainly preys upon other bird Pokémon. To intimidate opponents, it sends embers spewing from gaps between its feathers. Talonflame dives toward prey at speeds of up to 310 mph and assaults them with powerful kicks, giving the prey no chance to escape.</t>
        </is>
      </c>
    </row>
    <row r="13197" ht="33.75" customHeight="1">
      <c r="A13197" s="7">
        <v>663.0</v>
      </c>
      <c r="B13197" s="9" t="s">
        <v>18040</v>
      </c>
      <c r="C13197" s="9" t="s">
        <v>974</v>
      </c>
      <c r="D13197" s="9" t="s">
        <v>105</v>
      </c>
      <c r="E13197" s="6" t="s">
        <v>11837</v>
      </c>
      <c r="F13197" s="9" t="s">
        <v>19945</v>
      </c>
    </row>
    <row r="13198" ht="33.75" customHeight="1">
      <c r="A13198" s="7">
        <v>663.0</v>
      </c>
      <c r="B13198" s="9" t="s">
        <v>18040</v>
      </c>
      <c r="C13198" s="9" t="s">
        <v>974</v>
      </c>
      <c r="D13198" s="9" t="s">
        <v>107</v>
      </c>
      <c r="E13198" s="6" t="s">
        <v>11836</v>
      </c>
      <c r="F13198" s="9" t="s">
        <v>19945</v>
      </c>
    </row>
    <row r="13199" ht="33.75" customHeight="1">
      <c r="A13199" s="7">
        <v>663.0</v>
      </c>
      <c r="B13199" s="9" t="s">
        <v>18040</v>
      </c>
      <c r="C13199" s="9" t="s">
        <v>974</v>
      </c>
      <c r="D13199" s="9" t="s">
        <v>109</v>
      </c>
      <c r="E13199" s="6" t="s">
        <v>11837</v>
      </c>
      <c r="F13199" s="9" t="s">
        <v>19945</v>
      </c>
    </row>
    <row r="13200" ht="33.75" customHeight="1">
      <c r="A13200" s="7">
        <v>663.0</v>
      </c>
      <c r="B13200" s="9" t="s">
        <v>18040</v>
      </c>
      <c r="C13200" s="9" t="s">
        <v>974</v>
      </c>
      <c r="D13200" s="9" t="s">
        <v>637</v>
      </c>
      <c r="E13200" s="6" t="s">
        <v>11838</v>
      </c>
      <c r="F13200" s="9" t="s">
        <v>19945</v>
      </c>
    </row>
    <row r="13201" ht="33.75" customHeight="1">
      <c r="A13201" s="7">
        <v>663.0</v>
      </c>
      <c r="B13201" s="9" t="s">
        <v>18040</v>
      </c>
      <c r="C13201" s="9" t="s">
        <v>974</v>
      </c>
      <c r="D13201" s="9" t="s">
        <v>642</v>
      </c>
      <c r="E13201" s="6" t="s">
        <v>11839</v>
      </c>
      <c r="F13201" s="9" t="s">
        <v>19945</v>
      </c>
    </row>
    <row r="13202" ht="33.75" customHeight="1">
      <c r="A13202" s="7">
        <v>663.0</v>
      </c>
      <c r="B13202" s="9" t="s">
        <v>18040</v>
      </c>
      <c r="C13202" s="9" t="s">
        <v>974</v>
      </c>
      <c r="D13202" s="9" t="s">
        <v>647</v>
      </c>
      <c r="E13202" s="6" t="s">
        <v>11840</v>
      </c>
      <c r="F13202" s="9" t="s">
        <v>19945</v>
      </c>
    </row>
    <row r="13203" ht="33.75" customHeight="1">
      <c r="A13203" s="7">
        <v>663.0</v>
      </c>
      <c r="B13203" s="9" t="s">
        <v>18040</v>
      </c>
      <c r="C13203" s="9" t="s">
        <v>974</v>
      </c>
      <c r="D13203" s="9" t="s">
        <v>652</v>
      </c>
      <c r="E13203" s="6" t="s">
        <v>11841</v>
      </c>
      <c r="F13203" s="9" t="s">
        <v>19945</v>
      </c>
    </row>
    <row r="13204" ht="33.75" customHeight="1">
      <c r="A13204" s="7">
        <v>663.0</v>
      </c>
      <c r="B13204" s="9" t="s">
        <v>18040</v>
      </c>
      <c r="C13204" s="9" t="s">
        <v>974</v>
      </c>
      <c r="D13204" s="9" t="s">
        <v>114</v>
      </c>
      <c r="E13204" s="6" t="s">
        <v>11842</v>
      </c>
      <c r="F13204" s="9" t="s">
        <v>19945</v>
      </c>
    </row>
    <row r="13205" ht="33.75" customHeight="1">
      <c r="A13205" s="7">
        <v>663.0</v>
      </c>
      <c r="B13205" s="9" t="s">
        <v>18040</v>
      </c>
      <c r="C13205" s="9" t="s">
        <v>974</v>
      </c>
      <c r="D13205" s="9" t="s">
        <v>117</v>
      </c>
      <c r="E13205" s="6" t="s">
        <v>11843</v>
      </c>
      <c r="F13205" s="9" t="s">
        <v>19945</v>
      </c>
    </row>
    <row r="13206" ht="33.75" customHeight="1">
      <c r="A13206" s="7">
        <v>664.0</v>
      </c>
      <c r="B13206" s="9" t="s">
        <v>18050</v>
      </c>
      <c r="C13206" s="9" t="s">
        <v>978</v>
      </c>
      <c r="D13206" s="9" t="s">
        <v>101</v>
      </c>
      <c r="E13206" s="6" t="s">
        <v>11844</v>
      </c>
      <c r="F13206" s="9" t="s">
        <v>19946</v>
      </c>
      <c r="G13206" t="inlineStr" s="6">
        <is>
          <t xml:space="preserve">When under attack from bird Pokémon, it spews a poisonous black powder that causes paralysis on contact. The powder that covers its body regulates its temperature, so it can live in any region or climate.</t>
        </is>
      </c>
    </row>
    <row r="13207" ht="33.75" customHeight="1">
      <c r="A13207" s="7">
        <v>664.0</v>
      </c>
      <c r="B13207" s="9" t="s">
        <v>18050</v>
      </c>
      <c r="C13207" s="9" t="s">
        <v>978</v>
      </c>
      <c r="D13207" s="9" t="s">
        <v>105</v>
      </c>
      <c r="E13207" s="6" t="s">
        <v>11845</v>
      </c>
      <c r="F13207" s="9" t="s">
        <v>19946</v>
      </c>
    </row>
    <row r="13208" ht="33.75" customHeight="1">
      <c r="A13208" s="7">
        <v>664.0</v>
      </c>
      <c r="B13208" s="9" t="s">
        <v>18050</v>
      </c>
      <c r="C13208" s="9" t="s">
        <v>978</v>
      </c>
      <c r="D13208" s="9" t="s">
        <v>107</v>
      </c>
      <c r="E13208" s="6" t="s">
        <v>11844</v>
      </c>
      <c r="F13208" s="9" t="s">
        <v>19946</v>
      </c>
    </row>
    <row r="13209" ht="33.75" customHeight="1">
      <c r="A13209" s="7">
        <v>664.0</v>
      </c>
      <c r="B13209" s="9" t="s">
        <v>18050</v>
      </c>
      <c r="C13209" s="9" t="s">
        <v>978</v>
      </c>
      <c r="D13209" s="9" t="s">
        <v>109</v>
      </c>
      <c r="E13209" s="6" t="s">
        <v>11845</v>
      </c>
      <c r="F13209" s="9" t="s">
        <v>19946</v>
      </c>
    </row>
    <row r="13210" ht="33.75" customHeight="1">
      <c r="A13210" s="7">
        <v>665.0</v>
      </c>
      <c r="B13210" s="9" t="s">
        <v>18055</v>
      </c>
      <c r="C13210" s="9" t="s">
        <v>978</v>
      </c>
      <c r="D13210" s="9" t="s">
        <v>101</v>
      </c>
      <c r="E13210" s="6" t="s">
        <v>11847</v>
      </c>
      <c r="F13210" s="9" t="s">
        <v>19947</v>
      </c>
      <c r="G13210" t="inlineStr" s="6">
        <is>
          <t xml:space="preserve">Spewpa lives hidden within thicket shadows. When predators attack, it quickly bristles the fur covering its body in an effort to threaten them. The beaks of bird Pokémon can’t begin to scratch its stalwart body. To defend itself, it spews powder.</t>
        </is>
      </c>
    </row>
    <row r="13211" ht="33.75" customHeight="1">
      <c r="A13211" s="7">
        <v>665.0</v>
      </c>
      <c r="B13211" s="9" t="s">
        <v>18055</v>
      </c>
      <c r="C13211" s="9" t="s">
        <v>978</v>
      </c>
      <c r="D13211" s="9" t="s">
        <v>105</v>
      </c>
      <c r="E13211" s="6" t="s">
        <v>11848</v>
      </c>
      <c r="F13211" s="9" t="s">
        <v>19947</v>
      </c>
    </row>
    <row r="13212" ht="33.75" customHeight="1">
      <c r="A13212" s="7">
        <v>665.0</v>
      </c>
      <c r="B13212" s="9" t="s">
        <v>18055</v>
      </c>
      <c r="C13212" s="9" t="s">
        <v>978</v>
      </c>
      <c r="D13212" s="9" t="s">
        <v>107</v>
      </c>
      <c r="E13212" s="6" t="s">
        <v>11847</v>
      </c>
      <c r="F13212" s="9" t="s">
        <v>19947</v>
      </c>
    </row>
    <row r="13213" ht="33.75" customHeight="1">
      <c r="A13213" s="7">
        <v>665.0</v>
      </c>
      <c r="B13213" s="9" t="s">
        <v>18055</v>
      </c>
      <c r="C13213" s="9" t="s">
        <v>978</v>
      </c>
      <c r="D13213" s="9" t="s">
        <v>109</v>
      </c>
      <c r="E13213" s="6" t="s">
        <v>11848</v>
      </c>
      <c r="F13213" s="9" t="s">
        <v>19947</v>
      </c>
    </row>
    <row r="13214" ht="33.75" customHeight="1">
      <c r="A13214" s="7">
        <v>666.0</v>
      </c>
      <c r="B13214" s="9" t="s">
        <v>18058</v>
      </c>
      <c r="C13214" s="9" t="s">
        <v>979</v>
      </c>
      <c r="D13214" s="9" t="s">
        <v>101</v>
      </c>
      <c r="E13214" s="6" t="s">
        <v>11850</v>
      </c>
      <c r="F13214" s="9" t="s">
        <v>19948</v>
      </c>
      <c r="G13214" t="inlineStr" s="6">
        <is>
          <t xml:space="preserve">Vivillon with many different patterns are found all over the world. These patterns are affected by the climate of their habitat. The patterns on this Pokémon’s wings depend on the climate and topography of its habitat. It scatters colorful scales.</t>
        </is>
      </c>
    </row>
    <row r="13215" ht="33.75" customHeight="1">
      <c r="A13215" s="7">
        <v>666.0</v>
      </c>
      <c r="B13215" s="9" t="s">
        <v>18058</v>
      </c>
      <c r="C13215" s="9" t="s">
        <v>979</v>
      </c>
      <c r="D13215" s="9" t="s">
        <v>105</v>
      </c>
      <c r="E13215" s="6" t="s">
        <v>11851</v>
      </c>
      <c r="F13215" s="9" t="s">
        <v>19948</v>
      </c>
    </row>
    <row r="13216" ht="33.75" customHeight="1">
      <c r="A13216" s="7">
        <v>666.0</v>
      </c>
      <c r="B13216" s="9" t="s">
        <v>18058</v>
      </c>
      <c r="C13216" s="9" t="s">
        <v>979</v>
      </c>
      <c r="D13216" s="9" t="s">
        <v>107</v>
      </c>
      <c r="E13216" s="6" t="s">
        <v>11850</v>
      </c>
      <c r="F13216" s="9" t="s">
        <v>19948</v>
      </c>
    </row>
    <row r="13217" ht="33.75" customHeight="1">
      <c r="A13217" s="7">
        <v>666.0</v>
      </c>
      <c r="B13217" s="9" t="s">
        <v>18058</v>
      </c>
      <c r="C13217" s="9" t="s">
        <v>979</v>
      </c>
      <c r="D13217" s="9" t="s">
        <v>109</v>
      </c>
      <c r="E13217" s="6" t="s">
        <v>11851</v>
      </c>
      <c r="F13217" s="9" t="s">
        <v>19948</v>
      </c>
    </row>
    <row r="13218" ht="33.75" customHeight="1">
      <c r="A13218" s="7">
        <v>667.0</v>
      </c>
      <c r="B13218" s="9" t="s">
        <v>18063</v>
      </c>
      <c r="C13218" s="9" t="s">
        <v>980</v>
      </c>
      <c r="D13218" s="9" t="s">
        <v>101</v>
      </c>
      <c r="E13218" s="6" t="s">
        <v>11852</v>
      </c>
      <c r="F13218" s="9" t="s">
        <v>19949</v>
      </c>
      <c r="G13218" t="inlineStr" s="6">
        <is>
          <t xml:space="preserve">The stronger the opponent it faces, the more heat surges from Litleo's mane and the more power flows through its body. They set off on their own from their pride and live by themselves to become stronger. These hot-blooded Pokémon are quick to fight. When they’re young, they live with a pride. Once they’re able to hunt prey on their own, they’re kicked out and have to make their own way. This hot-blooded Pokémon is filled with curiosity. When it gets angry or starts fighting, its short mane gets hot.</t>
        </is>
      </c>
    </row>
    <row r="13219" ht="33.75" customHeight="1">
      <c r="A13219" s="7">
        <v>667.0</v>
      </c>
      <c r="B13219" s="9" t="s">
        <v>18063</v>
      </c>
      <c r="C13219" s="9" t="s">
        <v>980</v>
      </c>
      <c r="D13219" s="9" t="s">
        <v>105</v>
      </c>
      <c r="E13219" s="6" t="s">
        <v>11854</v>
      </c>
      <c r="F13219" s="9" t="s">
        <v>19949</v>
      </c>
    </row>
    <row r="13220" ht="33.75" customHeight="1">
      <c r="A13220" s="7">
        <v>667.0</v>
      </c>
      <c r="B13220" s="9" t="s">
        <v>18063</v>
      </c>
      <c r="C13220" s="9" t="s">
        <v>980</v>
      </c>
      <c r="D13220" s="9" t="s">
        <v>107</v>
      </c>
      <c r="E13220" s="6" t="s">
        <v>11852</v>
      </c>
      <c r="F13220" s="9" t="s">
        <v>19949</v>
      </c>
    </row>
    <row r="13221" ht="33.75" customHeight="1">
      <c r="A13221" s="7">
        <v>667.0</v>
      </c>
      <c r="B13221" s="9" t="s">
        <v>18063</v>
      </c>
      <c r="C13221" s="9" t="s">
        <v>980</v>
      </c>
      <c r="D13221" s="9" t="s">
        <v>109</v>
      </c>
      <c r="E13221" s="6" t="s">
        <v>11854</v>
      </c>
      <c r="F13221" s="9" t="s">
        <v>19949</v>
      </c>
    </row>
    <row r="13222" ht="33.75" customHeight="1">
      <c r="A13222" s="7">
        <v>667.0</v>
      </c>
      <c r="B13222" s="9" t="s">
        <v>18063</v>
      </c>
      <c r="C13222" s="9" t="s">
        <v>980</v>
      </c>
      <c r="D13222" s="9" t="s">
        <v>647</v>
      </c>
      <c r="E13222" s="6" t="s">
        <v>11857</v>
      </c>
      <c r="F13222" s="9" t="s">
        <v>19949</v>
      </c>
    </row>
    <row r="13223" ht="33.75" customHeight="1">
      <c r="A13223" s="7">
        <v>667.0</v>
      </c>
      <c r="B13223" s="9" t="s">
        <v>18063</v>
      </c>
      <c r="C13223" s="9" t="s">
        <v>980</v>
      </c>
      <c r="D13223" s="9" t="s">
        <v>652</v>
      </c>
      <c r="E13223" s="6" t="s">
        <v>11859</v>
      </c>
      <c r="F13223" s="9" t="s">
        <v>19949</v>
      </c>
    </row>
    <row r="13224" ht="33.75" customHeight="1">
      <c r="A13224" s="7">
        <v>668.0</v>
      </c>
      <c r="B13224" s="9" t="s">
        <v>18069</v>
      </c>
      <c r="C13224" s="9" t="s">
        <v>297</v>
      </c>
      <c r="D13224" s="9" t="s">
        <v>101</v>
      </c>
      <c r="E13224" s="6" t="s">
        <v>11861</v>
      </c>
      <c r="F13224" s="9" t="s">
        <v>19950</v>
      </c>
      <c r="G13224" t="inlineStr" s="6">
        <is>
          <t xml:space="preserve">The male with the largest mane of fire is the leader of the pride. With fiery breath of more than 10,000 degrees Fahrenheit, they viciously threaten any challenger. The females protect the pride’s cubs. The males are usually lazy, but when attacked by a strong foe, a male will protect its friends with no regard for its own safety. The temperature of its breath is over 10,000 degrees Fahrenheit, but Pyroar doesn’t use it on its prey. This Pokémon prefers to eat raw meat.</t>
        </is>
      </c>
    </row>
    <row r="13225" ht="33.75" customHeight="1">
      <c r="A13225" s="7">
        <v>668.0</v>
      </c>
      <c r="B13225" s="9" t="s">
        <v>18069</v>
      </c>
      <c r="C13225" s="9" t="s">
        <v>297</v>
      </c>
      <c r="D13225" s="9" t="s">
        <v>105</v>
      </c>
      <c r="E13225" s="6" t="s">
        <v>11862</v>
      </c>
      <c r="F13225" s="9" t="s">
        <v>19950</v>
      </c>
    </row>
    <row r="13226" ht="33.75" customHeight="1">
      <c r="A13226" s="7">
        <v>668.0</v>
      </c>
      <c r="B13226" s="9" t="s">
        <v>18069</v>
      </c>
      <c r="C13226" s="9" t="s">
        <v>297</v>
      </c>
      <c r="D13226" s="9" t="s">
        <v>107</v>
      </c>
      <c r="E13226" s="6" t="s">
        <v>11861</v>
      </c>
      <c r="F13226" s="9" t="s">
        <v>19950</v>
      </c>
    </row>
    <row r="13227" ht="33.75" customHeight="1">
      <c r="A13227" s="7">
        <v>668.0</v>
      </c>
      <c r="B13227" s="9" t="s">
        <v>18069</v>
      </c>
      <c r="C13227" s="9" t="s">
        <v>297</v>
      </c>
      <c r="D13227" s="9" t="s">
        <v>109</v>
      </c>
      <c r="E13227" s="6" t="s">
        <v>11862</v>
      </c>
      <c r="F13227" s="9" t="s">
        <v>19950</v>
      </c>
    </row>
    <row r="13228" ht="33.75" customHeight="1">
      <c r="A13228" s="7">
        <v>668.0</v>
      </c>
      <c r="B13228" s="9" t="s">
        <v>18069</v>
      </c>
      <c r="C13228" s="9" t="s">
        <v>297</v>
      </c>
      <c r="D13228" s="9" t="s">
        <v>647</v>
      </c>
      <c r="E13228" s="6" t="s">
        <v>11864</v>
      </c>
      <c r="F13228" s="9" t="s">
        <v>19950</v>
      </c>
    </row>
    <row r="13229" ht="33.75" customHeight="1">
      <c r="A13229" s="7">
        <v>668.0</v>
      </c>
      <c r="B13229" s="9" t="s">
        <v>18069</v>
      </c>
      <c r="C13229" s="9" t="s">
        <v>297</v>
      </c>
      <c r="D13229" s="9" t="s">
        <v>652</v>
      </c>
      <c r="E13229" s="6" t="s">
        <v>11866</v>
      </c>
      <c r="F13229" s="9" t="s">
        <v>19950</v>
      </c>
    </row>
    <row r="13230" ht="33.75" customHeight="1">
      <c r="A13230" s="7">
        <v>669.0</v>
      </c>
      <c r="B13230" s="9" t="s">
        <v>18075</v>
      </c>
      <c r="C13230" s="9" t="s">
        <v>982</v>
      </c>
      <c r="D13230" s="9" t="s">
        <v>101</v>
      </c>
      <c r="E13230" s="6" t="s">
        <v>11867</v>
      </c>
      <c r="F13230" s="9" t="s">
        <v>19951</v>
      </c>
      <c r="G13230" t="inlineStr" s="6">
        <is>
          <t xml:space="preserve">It draws out and controls the hidden power of flowers. The flower Flabébé holds is most likely part of its body. When it finds a flower it likes, it dwells on that flower its whole life long. It floats in the wind’s embrace with an untroubled heart. It’s not safe without the power of a flower, but it will keep traveling around until it finds one with the color and shape it wants. Flabébé wears a crown made from pollen it’s collected from its flower. The crown has hidden healing properties.</t>
        </is>
      </c>
    </row>
    <row r="13231" ht="33.75" customHeight="1">
      <c r="A13231" s="7">
        <v>669.0</v>
      </c>
      <c r="B13231" s="9" t="s">
        <v>18075</v>
      </c>
      <c r="C13231" s="9" t="s">
        <v>982</v>
      </c>
      <c r="D13231" s="9" t="s">
        <v>105</v>
      </c>
      <c r="E13231" s="6" t="s">
        <v>11869</v>
      </c>
      <c r="F13231" s="9" t="s">
        <v>19951</v>
      </c>
    </row>
    <row r="13232" ht="33.75" customHeight="1">
      <c r="A13232" s="7">
        <v>669.0</v>
      </c>
      <c r="B13232" s="9" t="s">
        <v>18075</v>
      </c>
      <c r="C13232" s="9" t="s">
        <v>982</v>
      </c>
      <c r="D13232" s="9" t="s">
        <v>107</v>
      </c>
      <c r="E13232" s="6" t="s">
        <v>11867</v>
      </c>
      <c r="F13232" s="9" t="s">
        <v>19951</v>
      </c>
    </row>
    <row r="13233" ht="33.75" customHeight="1">
      <c r="A13233" s="7">
        <v>669.0</v>
      </c>
      <c r="B13233" s="9" t="s">
        <v>18075</v>
      </c>
      <c r="C13233" s="9" t="s">
        <v>982</v>
      </c>
      <c r="D13233" s="9" t="s">
        <v>109</v>
      </c>
      <c r="E13233" s="6" t="s">
        <v>11869</v>
      </c>
      <c r="F13233" s="9" t="s">
        <v>19951</v>
      </c>
    </row>
    <row r="13234" ht="33.75" customHeight="1">
      <c r="A13234" s="7">
        <v>669.0</v>
      </c>
      <c r="B13234" s="9" t="s">
        <v>18075</v>
      </c>
      <c r="C13234" s="9" t="s">
        <v>982</v>
      </c>
      <c r="D13234" s="9" t="s">
        <v>647</v>
      </c>
      <c r="E13234" s="6" t="s">
        <v>11870</v>
      </c>
      <c r="F13234" s="9" t="s">
        <v>19951</v>
      </c>
    </row>
    <row r="13235" ht="33.75" customHeight="1">
      <c r="A13235" s="7">
        <v>669.0</v>
      </c>
      <c r="B13235" s="9" t="s">
        <v>18075</v>
      </c>
      <c r="C13235" s="9" t="s">
        <v>982</v>
      </c>
      <c r="D13235" s="9" t="s">
        <v>652</v>
      </c>
      <c r="E13235" s="6" t="s">
        <v>11871</v>
      </c>
      <c r="F13235" s="9" t="s">
        <v>19951</v>
      </c>
    </row>
    <row r="13236" ht="33.75" customHeight="1">
      <c r="A13236" s="7">
        <v>670.0</v>
      </c>
      <c r="B13236" s="9" t="s">
        <v>18082</v>
      </c>
      <c r="C13236" s="9" t="s">
        <v>982</v>
      </c>
      <c r="D13236" s="9" t="s">
        <v>101</v>
      </c>
      <c r="E13236" s="6" t="s">
        <v>11872</v>
      </c>
      <c r="F13236" s="9" t="s">
        <v>19952</v>
      </c>
      <c r="G13236" t="inlineStr" s="6">
        <is>
          <t xml:space="preserve">It flutters around fields of flowers and cares for flowers that are starting to wilt. It draws out the hidden power of flowers to battle. When the flowers of a well-tended flower bed bloom, it appears and celebrates with an elegant dance. It raises flowers and uses them as weapons. The more gorgeous the blossom, the more power it contains. It gives its own power to flowers, pouring its heart into caring for them. Floette never forgives anyone who messes up a flower bed.</t>
        </is>
      </c>
    </row>
    <row r="13237" ht="33.75" customHeight="1">
      <c r="A13237" s="7">
        <v>670.0</v>
      </c>
      <c r="B13237" s="9" t="s">
        <v>18082</v>
      </c>
      <c r="C13237" s="9" t="s">
        <v>982</v>
      </c>
      <c r="D13237" s="9" t="s">
        <v>105</v>
      </c>
      <c r="E13237" s="6" t="s">
        <v>11873</v>
      </c>
      <c r="F13237" s="9" t="s">
        <v>19952</v>
      </c>
    </row>
    <row r="13238" ht="33.75" customHeight="1">
      <c r="A13238" s="7">
        <v>670.0</v>
      </c>
      <c r="B13238" s="9" t="s">
        <v>18082</v>
      </c>
      <c r="C13238" s="9" t="s">
        <v>982</v>
      </c>
      <c r="D13238" s="9" t="s">
        <v>107</v>
      </c>
      <c r="E13238" s="6" t="s">
        <v>11872</v>
      </c>
      <c r="F13238" s="9" t="s">
        <v>19952</v>
      </c>
    </row>
    <row r="13239" ht="33.75" customHeight="1">
      <c r="A13239" s="7">
        <v>670.0</v>
      </c>
      <c r="B13239" s="9" t="s">
        <v>18082</v>
      </c>
      <c r="C13239" s="9" t="s">
        <v>982</v>
      </c>
      <c r="D13239" s="9" t="s">
        <v>109</v>
      </c>
      <c r="E13239" s="6" t="s">
        <v>11873</v>
      </c>
      <c r="F13239" s="9" t="s">
        <v>19952</v>
      </c>
    </row>
    <row r="13240" ht="33.75" customHeight="1">
      <c r="A13240" s="7">
        <v>670.0</v>
      </c>
      <c r="B13240" s="9" t="s">
        <v>18082</v>
      </c>
      <c r="C13240" s="9" t="s">
        <v>982</v>
      </c>
      <c r="D13240" s="9" t="s">
        <v>647</v>
      </c>
      <c r="E13240" s="6" t="s">
        <v>11875</v>
      </c>
      <c r="F13240" s="9" t="s">
        <v>19952</v>
      </c>
    </row>
    <row r="13241" ht="33.75" customHeight="1">
      <c r="A13241" s="7">
        <v>670.0</v>
      </c>
      <c r="B13241" s="9" t="s">
        <v>18082</v>
      </c>
      <c r="C13241" s="9" t="s">
        <v>982</v>
      </c>
      <c r="D13241" s="9" t="s">
        <v>652</v>
      </c>
      <c r="E13241" s="6" t="s">
        <v>11876</v>
      </c>
      <c r="F13241" s="9" t="s">
        <v>19952</v>
      </c>
    </row>
    <row r="13242" ht="33.75" customHeight="1">
      <c r="A13242" s="7">
        <v>671.0</v>
      </c>
      <c r="B13242" s="9" t="s">
        <v>18087</v>
      </c>
      <c r="C13242" s="9" t="s">
        <v>984</v>
      </c>
      <c r="D13242" s="9" t="s">
        <v>101</v>
      </c>
      <c r="E13242" s="6" t="s">
        <v>11878</v>
      </c>
      <c r="F13242" s="9" t="s">
        <v>19953</v>
      </c>
      <c r="G13242" t="inlineStr" s="6">
        <is>
          <t xml:space="preserve">It claims exquisite flower gardens as Florges's territory, and it obtains power from basking in the energy emitted by flowering plants. In times long past, governors of castles would invite Florges to create flower gardens to embellish the castle domains. It controls the flowers it grows. The petal blizzards that Florges triggers are overwhelming in their beauty and power. Its life can span several hundred years. It’s said to devote its entire life to protecting gardens.</t>
        </is>
      </c>
    </row>
    <row r="13243" ht="33.75" customHeight="1">
      <c r="A13243" s="7">
        <v>671.0</v>
      </c>
      <c r="B13243" s="9" t="s">
        <v>18087</v>
      </c>
      <c r="C13243" s="9" t="s">
        <v>984</v>
      </c>
      <c r="D13243" s="9" t="s">
        <v>105</v>
      </c>
      <c r="E13243" s="6" t="s">
        <v>11880</v>
      </c>
      <c r="F13243" s="9" t="s">
        <v>19953</v>
      </c>
    </row>
    <row r="13244" ht="33.75" customHeight="1">
      <c r="A13244" s="7">
        <v>671.0</v>
      </c>
      <c r="B13244" s="9" t="s">
        <v>18087</v>
      </c>
      <c r="C13244" s="9" t="s">
        <v>984</v>
      </c>
      <c r="D13244" s="9" t="s">
        <v>107</v>
      </c>
      <c r="E13244" s="6" t="s">
        <v>11878</v>
      </c>
      <c r="F13244" s="9" t="s">
        <v>19953</v>
      </c>
    </row>
    <row r="13245" ht="33.75" customHeight="1">
      <c r="A13245" s="7">
        <v>671.0</v>
      </c>
      <c r="B13245" s="9" t="s">
        <v>18087</v>
      </c>
      <c r="C13245" s="9" t="s">
        <v>984</v>
      </c>
      <c r="D13245" s="9" t="s">
        <v>109</v>
      </c>
      <c r="E13245" s="6" t="s">
        <v>11880</v>
      </c>
      <c r="F13245" s="9" t="s">
        <v>19953</v>
      </c>
    </row>
    <row r="13246" ht="33.75" customHeight="1">
      <c r="A13246" s="7">
        <v>671.0</v>
      </c>
      <c r="B13246" s="9" t="s">
        <v>18087</v>
      </c>
      <c r="C13246" s="9" t="s">
        <v>984</v>
      </c>
      <c r="D13246" s="9" t="s">
        <v>647</v>
      </c>
      <c r="E13246" s="6" t="s">
        <v>11881</v>
      </c>
      <c r="F13246" s="9" t="s">
        <v>19953</v>
      </c>
    </row>
    <row r="13247" ht="33.75" customHeight="1">
      <c r="A13247" s="7">
        <v>671.0</v>
      </c>
      <c r="B13247" s="9" t="s">
        <v>18087</v>
      </c>
      <c r="C13247" s="9" t="s">
        <v>984</v>
      </c>
      <c r="D13247" s="9" t="s">
        <v>652</v>
      </c>
      <c r="E13247" s="6" t="s">
        <v>11883</v>
      </c>
      <c r="F13247" s="9" t="s">
        <v>19953</v>
      </c>
    </row>
    <row r="13248" ht="33.75" customHeight="1">
      <c r="A13248" s="7">
        <v>672.0</v>
      </c>
      <c r="B13248" s="9" t="s">
        <v>18093</v>
      </c>
      <c r="C13248" s="9" t="s">
        <v>986</v>
      </c>
      <c r="D13248" s="9" t="s">
        <v>101</v>
      </c>
      <c r="E13248" s="6" t="s">
        <v>11884</v>
      </c>
      <c r="F13248" s="9" t="s">
        <v>19954</v>
      </c>
      <c r="G13248" t="inlineStr" s="6">
        <is>
          <t xml:space="preserve">Thought to be one of the first Pokémon to live in harmony with humans, Skiddo has a placid disposition. If it has sunshine and water, it doesn’t need to eat, because it can generate energy from the leaves on its back.</t>
        </is>
      </c>
    </row>
    <row r="13249" ht="33.75" customHeight="1">
      <c r="A13249" s="7">
        <v>672.0</v>
      </c>
      <c r="B13249" s="9" t="s">
        <v>18093</v>
      </c>
      <c r="C13249" s="9" t="s">
        <v>986</v>
      </c>
      <c r="D13249" s="9" t="s">
        <v>105</v>
      </c>
      <c r="E13249" s="6" t="s">
        <v>11885</v>
      </c>
      <c r="F13249" s="9" t="s">
        <v>19954</v>
      </c>
    </row>
    <row r="13250" ht="33.75" customHeight="1">
      <c r="A13250" s="7">
        <v>672.0</v>
      </c>
      <c r="B13250" s="9" t="s">
        <v>18093</v>
      </c>
      <c r="C13250" s="9" t="s">
        <v>986</v>
      </c>
      <c r="D13250" s="9" t="s">
        <v>107</v>
      </c>
      <c r="E13250" s="6" t="s">
        <v>11884</v>
      </c>
      <c r="F13250" s="9" t="s">
        <v>19954</v>
      </c>
    </row>
    <row r="13251" ht="33.75" customHeight="1">
      <c r="A13251" s="7">
        <v>672.0</v>
      </c>
      <c r="B13251" s="9" t="s">
        <v>18093</v>
      </c>
      <c r="C13251" s="9" t="s">
        <v>986</v>
      </c>
      <c r="D13251" s="9" t="s">
        <v>109</v>
      </c>
      <c r="E13251" s="6" t="s">
        <v>11885</v>
      </c>
      <c r="F13251" s="9" t="s">
        <v>19954</v>
      </c>
    </row>
    <row r="13252" ht="33.75" customHeight="1">
      <c r="A13252" s="7">
        <v>673.0</v>
      </c>
      <c r="B13252" s="9" t="s">
        <v>18098</v>
      </c>
      <c r="C13252" s="9" t="s">
        <v>986</v>
      </c>
      <c r="D13252" s="9" t="s">
        <v>101</v>
      </c>
      <c r="E13252" s="6" t="s">
        <v>11886</v>
      </c>
      <c r="F13252" s="9" t="s">
        <v>19955</v>
      </c>
      <c r="G13252" t="inlineStr" s="6">
        <is>
          <t xml:space="preserve">It can tell how Gogoat's Trainer is feeling by subtle shifts in the grip on its horns. This empathic sense lets them run as if one being. They inhabit mountainous regions. The leader of the herd is decided by a battle of clashing horns.</t>
        </is>
      </c>
    </row>
    <row r="13253" ht="33.75" customHeight="1">
      <c r="A13253" s="7">
        <v>673.0</v>
      </c>
      <c r="B13253" s="9" t="s">
        <v>18098</v>
      </c>
      <c r="C13253" s="9" t="s">
        <v>986</v>
      </c>
      <c r="D13253" s="9" t="s">
        <v>105</v>
      </c>
      <c r="E13253" s="6" t="s">
        <v>11887</v>
      </c>
      <c r="F13253" s="9" t="s">
        <v>19955</v>
      </c>
    </row>
    <row r="13254" ht="33.75" customHeight="1">
      <c r="A13254" s="7">
        <v>673.0</v>
      </c>
      <c r="B13254" s="9" t="s">
        <v>18098</v>
      </c>
      <c r="C13254" s="9" t="s">
        <v>986</v>
      </c>
      <c r="D13254" s="9" t="s">
        <v>107</v>
      </c>
      <c r="E13254" s="6" t="s">
        <v>11886</v>
      </c>
      <c r="F13254" s="9" t="s">
        <v>19955</v>
      </c>
    </row>
    <row r="13255" ht="33.75" customHeight="1">
      <c r="A13255" s="7">
        <v>673.0</v>
      </c>
      <c r="B13255" s="9" t="s">
        <v>18098</v>
      </c>
      <c r="C13255" s="9" t="s">
        <v>986</v>
      </c>
      <c r="D13255" s="9" t="s">
        <v>109</v>
      </c>
      <c r="E13255" s="6" t="s">
        <v>11887</v>
      </c>
      <c r="F13255" s="9" t="s">
        <v>19955</v>
      </c>
    </row>
    <row r="13256" ht="33.75" customHeight="1">
      <c r="A13256" s="7">
        <v>674.0</v>
      </c>
      <c r="B13256" s="9" t="s">
        <v>18101</v>
      </c>
      <c r="C13256" s="9" t="s">
        <v>604</v>
      </c>
      <c r="D13256" s="9" t="s">
        <v>101</v>
      </c>
      <c r="E13256" s="6" t="s">
        <v>11888</v>
      </c>
      <c r="F13256" s="9" t="s">
        <v>19956</v>
      </c>
      <c r="G13256" t="inlineStr" s="6">
        <is>
          <t xml:space="preserve">It does Pancham's best to be taken seriously by its enemies, but its glare is not sufficiently intimidating. Chewing on a leaf is its trademark. It does its level best to glare and pull a scary face, but it can’t help grinning if anyone pats its head. It grows up imitating the behavior of Pangoro, which it looks up to as a leader. There’s no point to the leaf in its mouth, aside from an effort to look cool. It’s mischievous, so it’s not well suited to inexperienced Trainers. It follows Pangoro around like a henchman. When Pancham makes a big mistake, its leaf gets taken away. It’s desperate to intimidate its opponents. Be nice and pretend to be scared if you catch it glaring at you intensely. It chooses a Pangoro as its master and then imitates its master’s actions. This is how it learns to battle and hunt for prey. Wanting to make sure it’s taken seriously, Pancham’s always giving others a glare. But if it’s not focusing, it ends up smiling.</t>
        </is>
      </c>
    </row>
    <row r="13257" ht="33.75" customHeight="1">
      <c r="A13257" s="7">
        <v>674.0</v>
      </c>
      <c r="B13257" s="9" t="s">
        <v>18101</v>
      </c>
      <c r="C13257" s="9" t="s">
        <v>604</v>
      </c>
      <c r="D13257" s="9" t="s">
        <v>105</v>
      </c>
      <c r="E13257" s="6" t="s">
        <v>11889</v>
      </c>
      <c r="F13257" s="9" t="s">
        <v>19956</v>
      </c>
    </row>
    <row r="13258" ht="33.75" customHeight="1">
      <c r="A13258" s="7">
        <v>674.0</v>
      </c>
      <c r="B13258" s="9" t="s">
        <v>18101</v>
      </c>
      <c r="C13258" s="9" t="s">
        <v>604</v>
      </c>
      <c r="D13258" s="9" t="s">
        <v>107</v>
      </c>
      <c r="E13258" s="6" t="s">
        <v>11888</v>
      </c>
      <c r="F13258" s="9" t="s">
        <v>19956</v>
      </c>
    </row>
    <row r="13259" ht="33.75" customHeight="1">
      <c r="A13259" s="7">
        <v>674.0</v>
      </c>
      <c r="B13259" s="9" t="s">
        <v>18101</v>
      </c>
      <c r="C13259" s="9" t="s">
        <v>604</v>
      </c>
      <c r="D13259" s="9" t="s">
        <v>109</v>
      </c>
      <c r="E13259" s="6" t="s">
        <v>11889</v>
      </c>
      <c r="F13259" s="9" t="s">
        <v>19956</v>
      </c>
    </row>
    <row r="13260" ht="33.75" customHeight="1">
      <c r="A13260" s="7">
        <v>674.0</v>
      </c>
      <c r="B13260" s="9" t="s">
        <v>18101</v>
      </c>
      <c r="C13260" s="9" t="s">
        <v>604</v>
      </c>
      <c r="D13260" s="9" t="s">
        <v>637</v>
      </c>
      <c r="E13260" s="6" t="s">
        <v>11890</v>
      </c>
      <c r="F13260" s="9" t="s">
        <v>19956</v>
      </c>
    </row>
    <row r="13261" ht="33.75" customHeight="1">
      <c r="A13261" s="7">
        <v>674.0</v>
      </c>
      <c r="B13261" s="9" t="s">
        <v>18101</v>
      </c>
      <c r="C13261" s="9" t="s">
        <v>604</v>
      </c>
      <c r="D13261" s="9" t="s">
        <v>642</v>
      </c>
      <c r="E13261" s="6" t="s">
        <v>11891</v>
      </c>
      <c r="F13261" s="9" t="s">
        <v>19956</v>
      </c>
    </row>
    <row r="13262" ht="33.75" customHeight="1">
      <c r="A13262" s="7">
        <v>674.0</v>
      </c>
      <c r="B13262" s="9" t="s">
        <v>18101</v>
      </c>
      <c r="C13262" s="9" t="s">
        <v>604</v>
      </c>
      <c r="D13262" s="9" t="s">
        <v>647</v>
      </c>
      <c r="E13262" s="6" t="s">
        <v>11892</v>
      </c>
      <c r="F13262" s="9" t="s">
        <v>19956</v>
      </c>
    </row>
    <row r="13263" ht="33.75" customHeight="1">
      <c r="A13263" s="7">
        <v>674.0</v>
      </c>
      <c r="B13263" s="9" t="s">
        <v>18101</v>
      </c>
      <c r="C13263" s="9" t="s">
        <v>604</v>
      </c>
      <c r="D13263" s="9" t="s">
        <v>652</v>
      </c>
      <c r="E13263" s="6" t="s">
        <v>11893</v>
      </c>
      <c r="F13263" s="9" t="s">
        <v>19956</v>
      </c>
    </row>
    <row r="13264" ht="33.75" customHeight="1">
      <c r="A13264" s="7">
        <v>674.0</v>
      </c>
      <c r="B13264" s="9" t="s">
        <v>18101</v>
      </c>
      <c r="C13264" s="9" t="s">
        <v>604</v>
      </c>
      <c r="D13264" s="9" t="s">
        <v>114</v>
      </c>
      <c r="E13264" s="6" t="s">
        <v>11894</v>
      </c>
      <c r="F13264" s="9" t="s">
        <v>19956</v>
      </c>
    </row>
    <row r="13265" ht="33.75" customHeight="1">
      <c r="A13265" s="7">
        <v>674.0</v>
      </c>
      <c r="B13265" s="9" t="s">
        <v>18101</v>
      </c>
      <c r="C13265" s="9" t="s">
        <v>604</v>
      </c>
      <c r="D13265" s="9" t="s">
        <v>117</v>
      </c>
      <c r="E13265" s="6" t="s">
        <v>11895</v>
      </c>
      <c r="F13265" s="9" t="s">
        <v>19956</v>
      </c>
    </row>
    <row r="13266" ht="33.75" customHeight="1">
      <c r="A13266" s="7">
        <v>675.0</v>
      </c>
      <c r="B13266" s="9" t="s">
        <v>18111</v>
      </c>
      <c r="C13266" s="9" t="s">
        <v>987</v>
      </c>
      <c r="D13266" s="9" t="s">
        <v>101</v>
      </c>
      <c r="E13266" s="6" t="s">
        <v>11897</v>
      </c>
      <c r="F13266" s="9" t="s">
        <v>19957</v>
      </c>
      <c r="G13266" t="inlineStr" s="6">
        <is>
          <t xml:space="preserve">Although it possesses a violent temperament, it won’t put up with bullying. It uses the leaf in its mouth to sense the movements of its enemies. It charges ahead and bashes its opponents like a berserker, uncaring about any hits it might take. Its arms are mighty enough to snap a telephone pole. It boasts superb physical strength. Those who wish to become Pangoro’s Trainer have no choice but to converse with their fists. From the slight twitches of its bamboo leaf, it deduces its opponent’s movements. It’s eager to tussle but kindhearted toward its companions. This rowdy Pokémon boasts great physical strength. Many Trainers are also smitten by its lively character. Pangoro is the type to talk with its fists. It doesn’t say much as it pummels opponents with enough force to send a dump truck flying. This Pokémon is quick to anger, and it has no problem using its prodigious strength to get its way. It lives for duels against Obstagoon. Using its leaf, Pangoro can predict the moves of its opponents. It strikes with punches that can turn a dump truck into scrap with just one hit.</t>
        </is>
      </c>
    </row>
    <row r="13267" ht="33.75" customHeight="1">
      <c r="A13267" s="7">
        <v>675.0</v>
      </c>
      <c r="B13267" s="9" t="s">
        <v>18111</v>
      </c>
      <c r="C13267" s="9" t="s">
        <v>987</v>
      </c>
      <c r="D13267" s="9" t="s">
        <v>105</v>
      </c>
      <c r="E13267" s="6" t="s">
        <v>11898</v>
      </c>
      <c r="F13267" s="9" t="s">
        <v>19957</v>
      </c>
    </row>
    <row r="13268" ht="33.75" customHeight="1">
      <c r="A13268" s="7">
        <v>675.0</v>
      </c>
      <c r="B13268" s="9" t="s">
        <v>18111</v>
      </c>
      <c r="C13268" s="9" t="s">
        <v>987</v>
      </c>
      <c r="D13268" s="9" t="s">
        <v>107</v>
      </c>
      <c r="E13268" s="6" t="s">
        <v>11897</v>
      </c>
      <c r="F13268" s="9" t="s">
        <v>19957</v>
      </c>
    </row>
    <row r="13269" ht="33.75" customHeight="1">
      <c r="A13269" s="7">
        <v>675.0</v>
      </c>
      <c r="B13269" s="9" t="s">
        <v>18111</v>
      </c>
      <c r="C13269" s="9" t="s">
        <v>987</v>
      </c>
      <c r="D13269" s="9" t="s">
        <v>109</v>
      </c>
      <c r="E13269" s="6" t="s">
        <v>11898</v>
      </c>
      <c r="F13269" s="9" t="s">
        <v>19957</v>
      </c>
    </row>
    <row r="13270" ht="33.75" customHeight="1">
      <c r="A13270" s="7">
        <v>675.0</v>
      </c>
      <c r="B13270" s="9" t="s">
        <v>18111</v>
      </c>
      <c r="C13270" s="9" t="s">
        <v>987</v>
      </c>
      <c r="D13270" s="9" t="s">
        <v>637</v>
      </c>
      <c r="E13270" s="6" t="s">
        <v>11901</v>
      </c>
      <c r="F13270" s="9" t="s">
        <v>19957</v>
      </c>
    </row>
    <row r="13271" ht="33.75" customHeight="1">
      <c r="A13271" s="7">
        <v>675.0</v>
      </c>
      <c r="B13271" s="9" t="s">
        <v>18111</v>
      </c>
      <c r="C13271" s="9" t="s">
        <v>987</v>
      </c>
      <c r="D13271" s="9" t="s">
        <v>642</v>
      </c>
      <c r="E13271" s="6" t="s">
        <v>11904</v>
      </c>
      <c r="F13271" s="9" t="s">
        <v>19957</v>
      </c>
    </row>
    <row r="13272" ht="33.75" customHeight="1">
      <c r="A13272" s="7">
        <v>675.0</v>
      </c>
      <c r="B13272" s="9" t="s">
        <v>18111</v>
      </c>
      <c r="C13272" s="9" t="s">
        <v>987</v>
      </c>
      <c r="D13272" s="9" t="s">
        <v>647</v>
      </c>
      <c r="E13272" s="6" t="s">
        <v>11905</v>
      </c>
      <c r="F13272" s="9" t="s">
        <v>19957</v>
      </c>
    </row>
    <row r="13273" ht="33.75" customHeight="1">
      <c r="A13273" s="7">
        <v>675.0</v>
      </c>
      <c r="B13273" s="9" t="s">
        <v>18111</v>
      </c>
      <c r="C13273" s="9" t="s">
        <v>987</v>
      </c>
      <c r="D13273" s="9" t="s">
        <v>652</v>
      </c>
      <c r="E13273" s="6" t="s">
        <v>11907</v>
      </c>
      <c r="F13273" s="9" t="s">
        <v>19957</v>
      </c>
    </row>
    <row r="13274" ht="33.75" customHeight="1">
      <c r="A13274" s="7">
        <v>675.0</v>
      </c>
      <c r="B13274" s="9" t="s">
        <v>18111</v>
      </c>
      <c r="C13274" s="9" t="s">
        <v>987</v>
      </c>
      <c r="D13274" s="9" t="s">
        <v>114</v>
      </c>
      <c r="E13274" s="6" t="s">
        <v>11909</v>
      </c>
      <c r="F13274" s="9" t="s">
        <v>19957</v>
      </c>
    </row>
    <row r="13275" ht="33.75" customHeight="1">
      <c r="A13275" s="7">
        <v>675.0</v>
      </c>
      <c r="B13275" s="9" t="s">
        <v>18111</v>
      </c>
      <c r="C13275" s="9" t="s">
        <v>987</v>
      </c>
      <c r="D13275" s="9" t="s">
        <v>117</v>
      </c>
      <c r="E13275" s="6" t="s">
        <v>11911</v>
      </c>
      <c r="F13275" s="9" t="s">
        <v>19957</v>
      </c>
    </row>
    <row r="13276" ht="33.75" customHeight="1">
      <c r="A13276" s="7">
        <v>676.0</v>
      </c>
      <c r="B13276" s="9" t="s">
        <v>18122</v>
      </c>
      <c r="C13276" s="9" t="s">
        <v>989</v>
      </c>
      <c r="D13276" s="9" t="s">
        <v>101</v>
      </c>
      <c r="E13276" s="6" t="s">
        <v>11912</v>
      </c>
      <c r="F13276" s="9" t="s">
        <v>19958</v>
      </c>
      <c r="G13276" t="inlineStr" s="6">
        <is>
          <t xml:space="preserve">Trimming Furfrou's fluffy fur not only makes it more elegant but also increases the swiftness of its movements. Historically, in the Kalos region, these Pokémon were the designated guardians of the king. There was an era when aristocrats would compete to see who could trim their Furfrou’s fur into the most exquisite style. Left alone, its fur will grow longer and longer, but it will only allow someone it trusts to cut it.</t>
        </is>
      </c>
    </row>
    <row r="13277" ht="33.75" customHeight="1">
      <c r="A13277" s="7">
        <v>676.0</v>
      </c>
      <c r="B13277" s="9" t="s">
        <v>18122</v>
      </c>
      <c r="C13277" s="9" t="s">
        <v>989</v>
      </c>
      <c r="D13277" s="9" t="s">
        <v>105</v>
      </c>
      <c r="E13277" s="6" t="s">
        <v>11914</v>
      </c>
      <c r="F13277" s="9" t="s">
        <v>19958</v>
      </c>
    </row>
    <row r="13278" ht="33.75" customHeight="1">
      <c r="A13278" s="7">
        <v>676.0</v>
      </c>
      <c r="B13278" s="9" t="s">
        <v>18122</v>
      </c>
      <c r="C13278" s="9" t="s">
        <v>989</v>
      </c>
      <c r="D13278" s="9" t="s">
        <v>107</v>
      </c>
      <c r="E13278" s="6" t="s">
        <v>11912</v>
      </c>
      <c r="F13278" s="9" t="s">
        <v>19958</v>
      </c>
    </row>
    <row r="13279" ht="33.75" customHeight="1">
      <c r="A13279" s="7">
        <v>676.0</v>
      </c>
      <c r="B13279" s="9" t="s">
        <v>18122</v>
      </c>
      <c r="C13279" s="9" t="s">
        <v>989</v>
      </c>
      <c r="D13279" s="9" t="s">
        <v>109</v>
      </c>
      <c r="E13279" s="6" t="s">
        <v>11914</v>
      </c>
      <c r="F13279" s="9" t="s">
        <v>19958</v>
      </c>
    </row>
    <row r="13280" ht="33.75" customHeight="1">
      <c r="A13280" s="7">
        <v>676.0</v>
      </c>
      <c r="B13280" s="9" t="s">
        <v>18122</v>
      </c>
      <c r="C13280" s="9" t="s">
        <v>989</v>
      </c>
      <c r="D13280" s="9" t="s">
        <v>647</v>
      </c>
      <c r="E13280" s="6" t="s">
        <v>11915</v>
      </c>
      <c r="F13280" s="9" t="s">
        <v>19958</v>
      </c>
    </row>
    <row r="13281" ht="33.75" customHeight="1">
      <c r="A13281" s="7">
        <v>676.0</v>
      </c>
      <c r="B13281" s="9" t="s">
        <v>18122</v>
      </c>
      <c r="C13281" s="9" t="s">
        <v>989</v>
      </c>
      <c r="D13281" s="9" t="s">
        <v>652</v>
      </c>
      <c r="E13281" s="6" t="s">
        <v>11916</v>
      </c>
      <c r="F13281" s="9" t="s">
        <v>19958</v>
      </c>
    </row>
    <row r="13282" ht="33.75" customHeight="1">
      <c r="A13282" s="7">
        <v>677.0</v>
      </c>
      <c r="B13282" s="9" t="s">
        <v>18128</v>
      </c>
      <c r="C13282" s="9" t="s">
        <v>991</v>
      </c>
      <c r="D13282" s="9" t="s">
        <v>101</v>
      </c>
      <c r="E13282" s="6" t="s">
        <v>11918</v>
      </c>
      <c r="F13282" s="9" t="s">
        <v>19959</v>
      </c>
      <c r="G13282" t="inlineStr" s="6">
        <is>
          <t xml:space="preserve">The organ that emits Espurr's intense psychic power is sheltered by its ears to keep power from leaking out. It has enough psychic energy to blast everything within 300 feet of itself, but it has no control over its power. Though Espurr’s expression never changes, behind that blank stare is an intense struggle to contain its devastating psychic power. There’s enough psychic power in Espurr to send a wrestler flying, but because this power can’t be controlled, Espurr finds it troublesome.</t>
        </is>
      </c>
    </row>
    <row r="13283" ht="33.75" customHeight="1">
      <c r="A13283" s="7">
        <v>677.0</v>
      </c>
      <c r="B13283" s="9" t="s">
        <v>18128</v>
      </c>
      <c r="C13283" s="9" t="s">
        <v>991</v>
      </c>
      <c r="D13283" s="9" t="s">
        <v>105</v>
      </c>
      <c r="E13283" s="6" t="s">
        <v>11919</v>
      </c>
      <c r="F13283" s="9" t="s">
        <v>19959</v>
      </c>
    </row>
    <row r="13284" ht="33.75" customHeight="1">
      <c r="A13284" s="7">
        <v>677.0</v>
      </c>
      <c r="B13284" s="9" t="s">
        <v>18128</v>
      </c>
      <c r="C13284" s="9" t="s">
        <v>991</v>
      </c>
      <c r="D13284" s="9" t="s">
        <v>107</v>
      </c>
      <c r="E13284" s="6" t="s">
        <v>11918</v>
      </c>
      <c r="F13284" s="9" t="s">
        <v>19959</v>
      </c>
    </row>
    <row r="13285" ht="33.75" customHeight="1">
      <c r="A13285" s="7">
        <v>677.0</v>
      </c>
      <c r="B13285" s="9" t="s">
        <v>18128</v>
      </c>
      <c r="C13285" s="9" t="s">
        <v>991</v>
      </c>
      <c r="D13285" s="9" t="s">
        <v>109</v>
      </c>
      <c r="E13285" s="6" t="s">
        <v>11919</v>
      </c>
      <c r="F13285" s="9" t="s">
        <v>19959</v>
      </c>
    </row>
    <row r="13286" ht="33.75" customHeight="1">
      <c r="A13286" s="7">
        <v>677.0</v>
      </c>
      <c r="B13286" s="9" t="s">
        <v>18128</v>
      </c>
      <c r="C13286" s="9" t="s">
        <v>991</v>
      </c>
      <c r="D13286" s="9" t="s">
        <v>114</v>
      </c>
      <c r="E13286" s="6" t="s">
        <v>11921</v>
      </c>
      <c r="F13286" s="9" t="s">
        <v>19959</v>
      </c>
    </row>
    <row r="13287" ht="33.75" customHeight="1">
      <c r="A13287" s="7">
        <v>677.0</v>
      </c>
      <c r="B13287" s="9" t="s">
        <v>18128</v>
      </c>
      <c r="C13287" s="9" t="s">
        <v>991</v>
      </c>
      <c r="D13287" s="9" t="s">
        <v>117</v>
      </c>
      <c r="E13287" s="6" t="s">
        <v>11923</v>
      </c>
      <c r="F13287" s="9" t="s">
        <v>19959</v>
      </c>
    </row>
    <row r="13288" ht="33.75" customHeight="1">
      <c r="A13288" s="7">
        <v>678.0</v>
      </c>
      <c r="B13288" s="9" t="s">
        <v>18135</v>
      </c>
      <c r="C13288" s="9" t="s">
        <v>992</v>
      </c>
      <c r="D13288" s="9" t="s">
        <v>101</v>
      </c>
      <c r="E13288" s="6" t="s">
        <v>11924</v>
      </c>
      <c r="F13288" s="9" t="s">
        <v>19960</v>
      </c>
      <c r="G13288" t="inlineStr" s="6">
        <is>
          <t xml:space="preserve">When in danger, it raises Meowstic's ears and releases enough psychic power to grind a 10-ton truck into dust. The eyeball patterns on the interior of its ears emit psychic energy. It keeps the patterns tightly covered because that power is too immense. Revealing the eyelike patterns on the insides of its ears will unleash its psychic powers. It normally keeps the patterns hidden, however. The defensive instinct of the males is strong. It’s when they’re protecting themselves or their partners that they unleash their full power.</t>
        </is>
      </c>
    </row>
    <row r="13289" ht="33.75" customHeight="1">
      <c r="A13289" s="7">
        <v>678.0</v>
      </c>
      <c r="B13289" s="9" t="s">
        <v>18135</v>
      </c>
      <c r="C13289" s="9" t="s">
        <v>992</v>
      </c>
      <c r="D13289" s="9" t="s">
        <v>105</v>
      </c>
      <c r="E13289" s="6" t="s">
        <v>11926</v>
      </c>
      <c r="F13289" s="9" t="s">
        <v>19960</v>
      </c>
    </row>
    <row r="13290" ht="33.75" customHeight="1">
      <c r="A13290" s="7">
        <v>678.0</v>
      </c>
      <c r="B13290" s="9" t="s">
        <v>18135</v>
      </c>
      <c r="C13290" s="9" t="s">
        <v>992</v>
      </c>
      <c r="D13290" s="9" t="s">
        <v>107</v>
      </c>
      <c r="E13290" s="6" t="s">
        <v>11924</v>
      </c>
      <c r="F13290" s="9" t="s">
        <v>19960</v>
      </c>
    </row>
    <row r="13291" ht="33.75" customHeight="1">
      <c r="A13291" s="7">
        <v>678.0</v>
      </c>
      <c r="B13291" s="9" t="s">
        <v>18135</v>
      </c>
      <c r="C13291" s="9" t="s">
        <v>992</v>
      </c>
      <c r="D13291" s="9" t="s">
        <v>109</v>
      </c>
      <c r="E13291" s="6" t="s">
        <v>11926</v>
      </c>
      <c r="F13291" s="9" t="s">
        <v>19960</v>
      </c>
    </row>
    <row r="13292" ht="33.75" customHeight="1">
      <c r="A13292" s="7">
        <v>678.0</v>
      </c>
      <c r="B13292" s="9" t="s">
        <v>18135</v>
      </c>
      <c r="C13292" s="9" t="s">
        <v>992</v>
      </c>
      <c r="D13292" s="9" t="s">
        <v>114</v>
      </c>
      <c r="E13292" s="6" t="s">
        <v>11927</v>
      </c>
      <c r="F13292" s="9" t="s">
        <v>19960</v>
      </c>
    </row>
    <row r="13293" ht="33.75" customHeight="1">
      <c r="A13293" s="7">
        <v>678.0</v>
      </c>
      <c r="B13293" s="9" t="s">
        <v>18135</v>
      </c>
      <c r="C13293" s="9" t="s">
        <v>992</v>
      </c>
      <c r="D13293" s="9" t="s">
        <v>117</v>
      </c>
      <c r="E13293" s="6" t="s">
        <v>11928</v>
      </c>
      <c r="F13293" s="9" t="s">
        <v>19960</v>
      </c>
    </row>
    <row r="13294" ht="33.75" customHeight="1">
      <c r="A13294" s="7">
        <v>679.0</v>
      </c>
      <c r="B13294" s="9" t="s">
        <v>18141</v>
      </c>
      <c r="C13294" s="9" t="s">
        <v>994</v>
      </c>
      <c r="D13294" s="9" t="s">
        <v>101</v>
      </c>
      <c r="E13294" s="6" t="s">
        <v>11929</v>
      </c>
      <c r="F13294" s="9" t="s">
        <v>19961</v>
      </c>
      <c r="G13294" t="inlineStr" s="6">
        <is>
          <t xml:space="preserve">Apparently this Pokémon is born when a departed spirit inhabits a sword. It attaches itself to people and drinks their life force. If anyone dares to grab its hilt, it wraps a blue cloth around that person’s arm and drains that person’s life energy completely. Honedge’s soul once belonged to a person who was killed a long time ago by the sword that makes up Honedge’s body. The blue eye on the sword’s handguard is the true body of Honedge. With its old cloth, it drains people’s lives away.</t>
        </is>
      </c>
    </row>
    <row r="13295" ht="33.75" customHeight="1">
      <c r="A13295" s="7">
        <v>679.0</v>
      </c>
      <c r="B13295" s="9" t="s">
        <v>18141</v>
      </c>
      <c r="C13295" s="9" t="s">
        <v>994</v>
      </c>
      <c r="D13295" s="9" t="s">
        <v>105</v>
      </c>
      <c r="E13295" s="6" t="s">
        <v>11930</v>
      </c>
      <c r="F13295" s="9" t="s">
        <v>19961</v>
      </c>
    </row>
    <row r="13296" ht="33.75" customHeight="1">
      <c r="A13296" s="7">
        <v>679.0</v>
      </c>
      <c r="B13296" s="9" t="s">
        <v>18141</v>
      </c>
      <c r="C13296" s="9" t="s">
        <v>994</v>
      </c>
      <c r="D13296" s="9" t="s">
        <v>107</v>
      </c>
      <c r="E13296" s="6" t="s">
        <v>11929</v>
      </c>
      <c r="F13296" s="9" t="s">
        <v>19961</v>
      </c>
    </row>
    <row r="13297" ht="33.75" customHeight="1">
      <c r="A13297" s="7">
        <v>679.0</v>
      </c>
      <c r="B13297" s="9" t="s">
        <v>18141</v>
      </c>
      <c r="C13297" s="9" t="s">
        <v>994</v>
      </c>
      <c r="D13297" s="9" t="s">
        <v>109</v>
      </c>
      <c r="E13297" s="6" t="s">
        <v>11930</v>
      </c>
      <c r="F13297" s="9" t="s">
        <v>19961</v>
      </c>
    </row>
    <row r="13298" ht="33.75" customHeight="1">
      <c r="A13298" s="7">
        <v>679.0</v>
      </c>
      <c r="B13298" s="9" t="s">
        <v>18141</v>
      </c>
      <c r="C13298" s="9" t="s">
        <v>994</v>
      </c>
      <c r="D13298" s="9" t="s">
        <v>114</v>
      </c>
      <c r="E13298" s="6" t="s">
        <v>11931</v>
      </c>
      <c r="F13298" s="9" t="s">
        <v>19961</v>
      </c>
    </row>
    <row r="13299" ht="33.75" customHeight="1">
      <c r="A13299" s="7">
        <v>679.0</v>
      </c>
      <c r="B13299" s="9" t="s">
        <v>18141</v>
      </c>
      <c r="C13299" s="9" t="s">
        <v>994</v>
      </c>
      <c r="D13299" s="9" t="s">
        <v>117</v>
      </c>
      <c r="E13299" s="6" t="s">
        <v>11932</v>
      </c>
      <c r="F13299" s="9" t="s">
        <v>19961</v>
      </c>
    </row>
    <row r="13300" ht="33.75" customHeight="1">
      <c r="A13300" s="7">
        <v>680.0</v>
      </c>
      <c r="B13300" s="9" t="s">
        <v>18148</v>
      </c>
      <c r="C13300" s="9" t="s">
        <v>994</v>
      </c>
      <c r="D13300" s="9" t="s">
        <v>101</v>
      </c>
      <c r="E13300" s="6" t="s">
        <v>11933</v>
      </c>
      <c r="F13300" s="9" t="s">
        <v>19962</v>
      </c>
      <c r="G13300" t="inlineStr" s="6">
        <is>
          <t xml:space="preserve">When Honedge evolves, it divides into two swords, which cooperate via telepathy to coordinate attacks and slash their enemies to ribbons. The complex attack patterns of its two swords are unstoppable, even for an opponent greatly accomplished at swordplay. Honedge evolves into twins. The two blades rub together to emit a metallic sound that unnerves opponents. The two swords employ a strategy of rapidly alternating between offense and defense to bring down their prey.</t>
        </is>
      </c>
    </row>
    <row r="13301" ht="33.75" customHeight="1">
      <c r="A13301" s="7">
        <v>680.0</v>
      </c>
      <c r="B13301" s="9" t="s">
        <v>18148</v>
      </c>
      <c r="C13301" s="9" t="s">
        <v>994</v>
      </c>
      <c r="D13301" s="9" t="s">
        <v>105</v>
      </c>
      <c r="E13301" s="6" t="s">
        <v>11934</v>
      </c>
      <c r="F13301" s="9" t="s">
        <v>19962</v>
      </c>
    </row>
    <row r="13302" ht="33.75" customHeight="1">
      <c r="A13302" s="7">
        <v>680.0</v>
      </c>
      <c r="B13302" s="9" t="s">
        <v>18148</v>
      </c>
      <c r="C13302" s="9" t="s">
        <v>994</v>
      </c>
      <c r="D13302" s="9" t="s">
        <v>107</v>
      </c>
      <c r="E13302" s="6" t="s">
        <v>11933</v>
      </c>
      <c r="F13302" s="9" t="s">
        <v>19962</v>
      </c>
    </row>
    <row r="13303" ht="33.75" customHeight="1">
      <c r="A13303" s="7">
        <v>680.0</v>
      </c>
      <c r="B13303" s="9" t="s">
        <v>18148</v>
      </c>
      <c r="C13303" s="9" t="s">
        <v>994</v>
      </c>
      <c r="D13303" s="9" t="s">
        <v>109</v>
      </c>
      <c r="E13303" s="6" t="s">
        <v>11934</v>
      </c>
      <c r="F13303" s="9" t="s">
        <v>19962</v>
      </c>
    </row>
    <row r="13304" ht="33.75" customHeight="1">
      <c r="A13304" s="7">
        <v>680.0</v>
      </c>
      <c r="B13304" s="9" t="s">
        <v>18148</v>
      </c>
      <c r="C13304" s="9" t="s">
        <v>994</v>
      </c>
      <c r="D13304" s="9" t="s">
        <v>114</v>
      </c>
      <c r="E13304" s="6" t="s">
        <v>11935</v>
      </c>
      <c r="F13304" s="9" t="s">
        <v>19962</v>
      </c>
    </row>
    <row r="13305" ht="33.75" customHeight="1">
      <c r="A13305" s="7">
        <v>680.0</v>
      </c>
      <c r="B13305" s="9" t="s">
        <v>18148</v>
      </c>
      <c r="C13305" s="9" t="s">
        <v>994</v>
      </c>
      <c r="D13305" s="9" t="s">
        <v>117</v>
      </c>
      <c r="E13305" s="6" t="s">
        <v>11936</v>
      </c>
      <c r="F13305" s="9" t="s">
        <v>19962</v>
      </c>
    </row>
    <row r="13306" ht="33.75" customHeight="1">
      <c r="A13306" s="7">
        <v>681.0</v>
      </c>
      <c r="B13306" s="9" t="s">
        <v>18153</v>
      </c>
      <c r="C13306" s="9" t="s">
        <v>996</v>
      </c>
      <c r="D13306" s="9" t="s">
        <v>101</v>
      </c>
      <c r="E13306" s="6" t="s">
        <v>11937</v>
      </c>
      <c r="F13306" s="9" t="s">
        <v>19963</v>
      </c>
      <c r="G13306" t="inlineStr" s="6">
        <is>
          <t xml:space="preserve">Generations of kings were attended by these Pokémon, which used their spectral power to manipulate and control people and Pokémon. Apparently, it can detect the innate qualities of leadership. According to legend, whoever it recognizes is destined to become king. In this defensive stance, Aegislash uses its steel body and a force field of spectral power to reduce the damage of any attack. Its potent spectral powers allow it to manipulate others. It once used its powers to force people and Pokémon to build a kingdom to its liking.</t>
        </is>
      </c>
    </row>
    <row r="13307" ht="33.75" customHeight="1">
      <c r="A13307" s="7">
        <v>681.0</v>
      </c>
      <c r="B13307" s="9" t="s">
        <v>18153</v>
      </c>
      <c r="C13307" s="9" t="s">
        <v>996</v>
      </c>
      <c r="D13307" s="9" t="s">
        <v>105</v>
      </c>
      <c r="E13307" s="6" t="s">
        <v>11938</v>
      </c>
      <c r="F13307" s="9" t="s">
        <v>19963</v>
      </c>
    </row>
    <row r="13308" ht="33.75" customHeight="1">
      <c r="A13308" s="7">
        <v>681.0</v>
      </c>
      <c r="B13308" s="9" t="s">
        <v>18153</v>
      </c>
      <c r="C13308" s="9" t="s">
        <v>996</v>
      </c>
      <c r="D13308" s="9" t="s">
        <v>107</v>
      </c>
      <c r="E13308" s="6" t="s">
        <v>11937</v>
      </c>
      <c r="F13308" s="9" t="s">
        <v>19963</v>
      </c>
    </row>
    <row r="13309" ht="33.75" customHeight="1">
      <c r="A13309" s="7">
        <v>681.0</v>
      </c>
      <c r="B13309" s="9" t="s">
        <v>18153</v>
      </c>
      <c r="C13309" s="9" t="s">
        <v>996</v>
      </c>
      <c r="D13309" s="9" t="s">
        <v>109</v>
      </c>
      <c r="E13309" s="6" t="s">
        <v>11938</v>
      </c>
      <c r="F13309" s="9" t="s">
        <v>19963</v>
      </c>
    </row>
    <row r="13310" ht="33.75" customHeight="1">
      <c r="A13310" s="7">
        <v>681.0</v>
      </c>
      <c r="B13310" s="9" t="s">
        <v>18153</v>
      </c>
      <c r="C13310" s="9" t="s">
        <v>996</v>
      </c>
      <c r="D13310" s="9" t="s">
        <v>114</v>
      </c>
      <c r="E13310" s="6" t="s">
        <v>11939</v>
      </c>
      <c r="F13310" s="9" t="s">
        <v>19963</v>
      </c>
    </row>
    <row r="13311" ht="33.75" customHeight="1">
      <c r="A13311" s="7">
        <v>681.0</v>
      </c>
      <c r="B13311" s="9" t="s">
        <v>18153</v>
      </c>
      <c r="C13311" s="9" t="s">
        <v>996</v>
      </c>
      <c r="D13311" s="9" t="s">
        <v>117</v>
      </c>
      <c r="E13311" s="6" t="s">
        <v>11940</v>
      </c>
      <c r="F13311" s="9" t="s">
        <v>19963</v>
      </c>
    </row>
    <row r="13312" ht="33.75" customHeight="1">
      <c r="A13312" s="7">
        <v>682.0</v>
      </c>
      <c r="B13312" s="9" t="s">
        <v>18160</v>
      </c>
      <c r="C13312" s="9" t="s">
        <v>998</v>
      </c>
      <c r="D13312" s="9" t="s">
        <v>101</v>
      </c>
      <c r="E13312" s="6" t="s">
        <v>11941</v>
      </c>
      <c r="F13312" s="9" t="s">
        <v>19964</v>
      </c>
      <c r="G13312" t="inlineStr" s="6">
        <is>
          <t xml:space="preserve">It emits a scent that enraptures those who smell it. This fragrance changes depending on what it has eaten. In the past, rather than using perfume, royal ladies carried a Spritzee that would waft a fragrance they liked. A scent pouch within this Pokémon’s body allows it to create various scents. A change in its diet will alter the fragrance it produces. The scent its body gives off enraptures those who smell it. Noble ladies had no shortage of love for Spritzee.</t>
        </is>
      </c>
    </row>
    <row r="13313" ht="33.75" customHeight="1">
      <c r="A13313" s="7">
        <v>682.0</v>
      </c>
      <c r="B13313" s="9" t="s">
        <v>18160</v>
      </c>
      <c r="C13313" s="9" t="s">
        <v>998</v>
      </c>
      <c r="D13313" s="9" t="s">
        <v>105</v>
      </c>
      <c r="E13313" s="6" t="s">
        <v>11942</v>
      </c>
      <c r="F13313" s="9" t="s">
        <v>19964</v>
      </c>
    </row>
    <row r="13314" ht="33.75" customHeight="1">
      <c r="A13314" s="7">
        <v>682.0</v>
      </c>
      <c r="B13314" s="9" t="s">
        <v>18160</v>
      </c>
      <c r="C13314" s="9" t="s">
        <v>998</v>
      </c>
      <c r="D13314" s="9" t="s">
        <v>107</v>
      </c>
      <c r="E13314" s="6" t="s">
        <v>11941</v>
      </c>
      <c r="F13314" s="9" t="s">
        <v>19964</v>
      </c>
    </row>
    <row r="13315" ht="33.75" customHeight="1">
      <c r="A13315" s="7">
        <v>682.0</v>
      </c>
      <c r="B13315" s="9" t="s">
        <v>18160</v>
      </c>
      <c r="C13315" s="9" t="s">
        <v>998</v>
      </c>
      <c r="D13315" s="9" t="s">
        <v>109</v>
      </c>
      <c r="E13315" s="6" t="s">
        <v>11942</v>
      </c>
      <c r="F13315" s="9" t="s">
        <v>19964</v>
      </c>
    </row>
    <row r="13316" ht="33.75" customHeight="1">
      <c r="A13316" s="7">
        <v>682.0</v>
      </c>
      <c r="B13316" s="9" t="s">
        <v>18160</v>
      </c>
      <c r="C13316" s="9" t="s">
        <v>998</v>
      </c>
      <c r="D13316" s="9" t="s">
        <v>114</v>
      </c>
      <c r="E13316" s="6" t="s">
        <v>11943</v>
      </c>
      <c r="F13316" s="9" t="s">
        <v>19964</v>
      </c>
    </row>
    <row r="13317" ht="33.75" customHeight="1">
      <c r="A13317" s="7">
        <v>682.0</v>
      </c>
      <c r="B13317" s="9" t="s">
        <v>18160</v>
      </c>
      <c r="C13317" s="9" t="s">
        <v>998</v>
      </c>
      <c r="D13317" s="9" t="s">
        <v>117</v>
      </c>
      <c r="E13317" s="6" t="s">
        <v>11944</v>
      </c>
      <c r="F13317" s="9" t="s">
        <v>19964</v>
      </c>
    </row>
    <row r="13318" ht="33.75" customHeight="1">
      <c r="A13318" s="7">
        <v>683.0</v>
      </c>
      <c r="B13318" s="9" t="s">
        <v>18166</v>
      </c>
      <c r="C13318" s="9" t="s">
        <v>1000</v>
      </c>
      <c r="D13318" s="9" t="s">
        <v>101</v>
      </c>
      <c r="E13318" s="6" t="s">
        <v>11945</v>
      </c>
      <c r="F13318" s="9" t="s">
        <v>19965</v>
      </c>
      <c r="G13318" t="inlineStr" s="6">
        <is>
          <t xml:space="preserve">It devises various scents, pleasant and unpleasant, and emits scents that Aromatisse's enemies dislike in order to gain an edge in battle. Its scent is so overpowering that, unless a Trainer happens to really enjoy the smell, he or she will have a hard time walking alongside it. The scent that constantly emits from its fur is so powerful that this Pokémon’s companions will eventually lose their sense of smell. The scents Aromatisse can produce range from sweet smells that bolster allies to foul smells that sap an opponent’s will to fight.</t>
        </is>
      </c>
    </row>
    <row r="13319" ht="33.75" customHeight="1">
      <c r="A13319" s="7">
        <v>683.0</v>
      </c>
      <c r="B13319" s="9" t="s">
        <v>18166</v>
      </c>
      <c r="C13319" s="9" t="s">
        <v>1000</v>
      </c>
      <c r="D13319" s="9" t="s">
        <v>105</v>
      </c>
      <c r="E13319" s="6" t="s">
        <v>11946</v>
      </c>
      <c r="F13319" s="9" t="s">
        <v>19965</v>
      </c>
    </row>
    <row r="13320" ht="33.75" customHeight="1">
      <c r="A13320" s="7">
        <v>683.0</v>
      </c>
      <c r="B13320" s="9" t="s">
        <v>18166</v>
      </c>
      <c r="C13320" s="9" t="s">
        <v>1000</v>
      </c>
      <c r="D13320" s="9" t="s">
        <v>107</v>
      </c>
      <c r="E13320" s="6" t="s">
        <v>11945</v>
      </c>
      <c r="F13320" s="9" t="s">
        <v>19965</v>
      </c>
    </row>
    <row r="13321" ht="33.75" customHeight="1">
      <c r="A13321" s="7">
        <v>683.0</v>
      </c>
      <c r="B13321" s="9" t="s">
        <v>18166</v>
      </c>
      <c r="C13321" s="9" t="s">
        <v>1000</v>
      </c>
      <c r="D13321" s="9" t="s">
        <v>109</v>
      </c>
      <c r="E13321" s="6" t="s">
        <v>11946</v>
      </c>
      <c r="F13321" s="9" t="s">
        <v>19965</v>
      </c>
    </row>
    <row r="13322" ht="33.75" customHeight="1">
      <c r="A13322" s="7">
        <v>683.0</v>
      </c>
      <c r="B13322" s="9" t="s">
        <v>18166</v>
      </c>
      <c r="C13322" s="9" t="s">
        <v>1000</v>
      </c>
      <c r="D13322" s="9" t="s">
        <v>114</v>
      </c>
      <c r="E13322" s="6" t="s">
        <v>11947</v>
      </c>
      <c r="F13322" s="9" t="s">
        <v>19965</v>
      </c>
    </row>
    <row r="13323" ht="33.75" customHeight="1">
      <c r="A13323" s="7">
        <v>683.0</v>
      </c>
      <c r="B13323" s="9" t="s">
        <v>18166</v>
      </c>
      <c r="C13323" s="9" t="s">
        <v>1000</v>
      </c>
      <c r="D13323" s="9" t="s">
        <v>117</v>
      </c>
      <c r="E13323" s="6" t="s">
        <v>11949</v>
      </c>
      <c r="F13323" s="9" t="s">
        <v>19965</v>
      </c>
    </row>
    <row r="13324" ht="33.75" customHeight="1">
      <c r="A13324" s="7">
        <v>684.0</v>
      </c>
      <c r="B13324" s="9" t="s">
        <v>18173</v>
      </c>
      <c r="C13324" s="9" t="s">
        <v>1001</v>
      </c>
      <c r="D13324" s="9" t="s">
        <v>101</v>
      </c>
      <c r="E13324" s="6" t="s">
        <v>11950</v>
      </c>
      <c r="F13324" s="9" t="s">
        <v>19966</v>
      </c>
      <c r="G13324" t="inlineStr" s="6">
        <is>
          <t xml:space="preserve">To entangle Swirlix's opponents in battle, it extrudes white threads as sweet and sticky as cotton candy. Because it eats nothing but sweets, its fur is as sticky sweet as cotton candy. It eats its own weight in sugar every day. If it doesn’t get enough sugar, it becomes incredibly grumpy. The sweet smell of cotton candy perfumes Swirlix’s fluffy fur. This Pokémon spits out sticky string to tangle up its enemies.</t>
        </is>
      </c>
    </row>
    <row r="13325" ht="33.75" customHeight="1">
      <c r="A13325" s="7">
        <v>684.0</v>
      </c>
      <c r="B13325" s="9" t="s">
        <v>18173</v>
      </c>
      <c r="C13325" s="9" t="s">
        <v>1001</v>
      </c>
      <c r="D13325" s="9" t="s">
        <v>105</v>
      </c>
      <c r="E13325" s="6" t="s">
        <v>11951</v>
      </c>
      <c r="F13325" s="9" t="s">
        <v>19966</v>
      </c>
    </row>
    <row r="13326" ht="33.75" customHeight="1">
      <c r="A13326" s="7">
        <v>684.0</v>
      </c>
      <c r="B13326" s="9" t="s">
        <v>18173</v>
      </c>
      <c r="C13326" s="9" t="s">
        <v>1001</v>
      </c>
      <c r="D13326" s="9" t="s">
        <v>107</v>
      </c>
      <c r="E13326" s="6" t="s">
        <v>11950</v>
      </c>
      <c r="F13326" s="9" t="s">
        <v>19966</v>
      </c>
    </row>
    <row r="13327" ht="33.75" customHeight="1">
      <c r="A13327" s="7">
        <v>684.0</v>
      </c>
      <c r="B13327" s="9" t="s">
        <v>18173</v>
      </c>
      <c r="C13327" s="9" t="s">
        <v>1001</v>
      </c>
      <c r="D13327" s="9" t="s">
        <v>109</v>
      </c>
      <c r="E13327" s="6" t="s">
        <v>11951</v>
      </c>
      <c r="F13327" s="9" t="s">
        <v>19966</v>
      </c>
    </row>
    <row r="13328" ht="33.75" customHeight="1">
      <c r="A13328" s="7">
        <v>684.0</v>
      </c>
      <c r="B13328" s="9" t="s">
        <v>18173</v>
      </c>
      <c r="C13328" s="9" t="s">
        <v>1001</v>
      </c>
      <c r="D13328" s="9" t="s">
        <v>114</v>
      </c>
      <c r="E13328" s="6" t="s">
        <v>11952</v>
      </c>
      <c r="F13328" s="9" t="s">
        <v>19966</v>
      </c>
    </row>
    <row r="13329" ht="33.75" customHeight="1">
      <c r="A13329" s="7">
        <v>684.0</v>
      </c>
      <c r="B13329" s="9" t="s">
        <v>18173</v>
      </c>
      <c r="C13329" s="9" t="s">
        <v>1001</v>
      </c>
      <c r="D13329" s="9" t="s">
        <v>117</v>
      </c>
      <c r="E13329" s="6" t="s">
        <v>11953</v>
      </c>
      <c r="F13329" s="9" t="s">
        <v>19966</v>
      </c>
    </row>
    <row r="13330" ht="33.75" customHeight="1">
      <c r="A13330" s="7">
        <v>685.0</v>
      </c>
      <c r="B13330" s="9" t="s">
        <v>18179</v>
      </c>
      <c r="C13330" s="9" t="s">
        <v>1003</v>
      </c>
      <c r="D13330" s="9" t="s">
        <v>101</v>
      </c>
      <c r="E13330" s="6" t="s">
        <v>11954</v>
      </c>
      <c r="F13330" s="9" t="s">
        <v>19967</v>
      </c>
      <c r="G13330" t="inlineStr" s="6">
        <is>
          <t xml:space="preserve">Slurpuff can distinguish the faintest of scents. It puts its sensitive sense of smell to use by helping pastry chefs in their work. Its sense of smell is 100 million times better than a human’s, so even the faintest scent tells it about everything in the area. It’s like it can see with its nose! By taking in a person’s scent, it can sniff out their mental and physical condition. It’s hoped that this skill will have many medical applications. Slurpuff’s fur contains a lot of air, making it soft to the touch and lighter than it looks.</t>
        </is>
      </c>
    </row>
    <row r="13331" ht="33.75" customHeight="1">
      <c r="A13331" s="7">
        <v>685.0</v>
      </c>
      <c r="B13331" s="9" t="s">
        <v>18179</v>
      </c>
      <c r="C13331" s="9" t="s">
        <v>1003</v>
      </c>
      <c r="D13331" s="9" t="s">
        <v>105</v>
      </c>
      <c r="E13331" s="6" t="s">
        <v>11956</v>
      </c>
      <c r="F13331" s="9" t="s">
        <v>19967</v>
      </c>
    </row>
    <row r="13332" ht="33.75" customHeight="1">
      <c r="A13332" s="7">
        <v>685.0</v>
      </c>
      <c r="B13332" s="9" t="s">
        <v>18179</v>
      </c>
      <c r="C13332" s="9" t="s">
        <v>1003</v>
      </c>
      <c r="D13332" s="9" t="s">
        <v>107</v>
      </c>
      <c r="E13332" s="6" t="s">
        <v>11954</v>
      </c>
      <c r="F13332" s="9" t="s">
        <v>19967</v>
      </c>
    </row>
    <row r="13333" ht="33.75" customHeight="1">
      <c r="A13333" s="7">
        <v>685.0</v>
      </c>
      <c r="B13333" s="9" t="s">
        <v>18179</v>
      </c>
      <c r="C13333" s="9" t="s">
        <v>1003</v>
      </c>
      <c r="D13333" s="9" t="s">
        <v>109</v>
      </c>
      <c r="E13333" s="6" t="s">
        <v>11956</v>
      </c>
      <c r="F13333" s="9" t="s">
        <v>19967</v>
      </c>
    </row>
    <row r="13334" ht="33.75" customHeight="1">
      <c r="A13334" s="7">
        <v>685.0</v>
      </c>
      <c r="B13334" s="9" t="s">
        <v>18179</v>
      </c>
      <c r="C13334" s="9" t="s">
        <v>1003</v>
      </c>
      <c r="D13334" s="9" t="s">
        <v>114</v>
      </c>
      <c r="E13334" s="6" t="s">
        <v>11957</v>
      </c>
      <c r="F13334" s="9" t="s">
        <v>19967</v>
      </c>
    </row>
    <row r="13335" ht="33.75" customHeight="1">
      <c r="A13335" s="7">
        <v>685.0</v>
      </c>
      <c r="B13335" s="9" t="s">
        <v>18179</v>
      </c>
      <c r="C13335" s="9" t="s">
        <v>1003</v>
      </c>
      <c r="D13335" s="9" t="s">
        <v>117</v>
      </c>
      <c r="E13335" s="6" t="s">
        <v>11961</v>
      </c>
      <c r="F13335" s="9" t="s">
        <v>19967</v>
      </c>
    </row>
    <row r="13336" ht="33.75" customHeight="1">
      <c r="A13336" s="7">
        <v>686.0</v>
      </c>
      <c r="B13336" s="9" t="s">
        <v>18185</v>
      </c>
      <c r="C13336" s="9" t="s">
        <v>1004</v>
      </c>
      <c r="D13336" s="9" t="s">
        <v>101</v>
      </c>
      <c r="E13336" s="6" t="s">
        <v>11962</v>
      </c>
      <c r="F13336" s="9" t="s">
        <v>19968</v>
      </c>
      <c r="G13336" t="inlineStr" s="6">
        <is>
          <t xml:space="preserve">Opponents who stare at the flashing of the light-emitting spots on Inkay's body become dazed and lose their will to fight. It flashes the light-emitting spots on its body, which drains its opponent’s will to fight. It takes the opportunity to scuttle away and hide. It draws prey near with its blinking lights and then wraps them up in its long tentacles and holds them in place. When exchanging information with others of its kind, it flashes the light-emitting spots on its body in a complex rhythm. It spins while making its luminescent spots flash. These spots allow it to communicate with others by using different patterns of light. By exposing foes to the blinking of its luminescent spots, Inkay demoralizes them, and then it seizes the chance to flee.</t>
        </is>
      </c>
    </row>
    <row r="13337" ht="33.75" customHeight="1">
      <c r="A13337" s="7">
        <v>686.0</v>
      </c>
      <c r="B13337" s="9" t="s">
        <v>18185</v>
      </c>
      <c r="C13337" s="9" t="s">
        <v>1004</v>
      </c>
      <c r="D13337" s="9" t="s">
        <v>105</v>
      </c>
      <c r="E13337" s="6" t="s">
        <v>11963</v>
      </c>
      <c r="F13337" s="9" t="s">
        <v>19968</v>
      </c>
    </row>
    <row r="13338" ht="33.75" customHeight="1">
      <c r="A13338" s="7">
        <v>686.0</v>
      </c>
      <c r="B13338" s="9" t="s">
        <v>18185</v>
      </c>
      <c r="C13338" s="9" t="s">
        <v>1004</v>
      </c>
      <c r="D13338" s="9" t="s">
        <v>107</v>
      </c>
      <c r="E13338" s="6" t="s">
        <v>11962</v>
      </c>
      <c r="F13338" s="9" t="s">
        <v>19968</v>
      </c>
    </row>
    <row r="13339" ht="33.75" customHeight="1">
      <c r="A13339" s="7">
        <v>686.0</v>
      </c>
      <c r="B13339" s="9" t="s">
        <v>18185</v>
      </c>
      <c r="C13339" s="9" t="s">
        <v>1004</v>
      </c>
      <c r="D13339" s="9" t="s">
        <v>109</v>
      </c>
      <c r="E13339" s="6" t="s">
        <v>11963</v>
      </c>
      <c r="F13339" s="9" t="s">
        <v>19968</v>
      </c>
    </row>
    <row r="13340" ht="33.75" customHeight="1">
      <c r="A13340" s="7">
        <v>686.0</v>
      </c>
      <c r="B13340" s="9" t="s">
        <v>18185</v>
      </c>
      <c r="C13340" s="9" t="s">
        <v>1004</v>
      </c>
      <c r="D13340" s="9" t="s">
        <v>647</v>
      </c>
      <c r="E13340" s="6" t="s">
        <v>11965</v>
      </c>
      <c r="F13340" s="9" t="s">
        <v>19968</v>
      </c>
    </row>
    <row r="13341" ht="33.75" customHeight="1">
      <c r="A13341" s="7">
        <v>686.0</v>
      </c>
      <c r="B13341" s="9" t="s">
        <v>18185</v>
      </c>
      <c r="C13341" s="9" t="s">
        <v>1004</v>
      </c>
      <c r="D13341" s="9" t="s">
        <v>652</v>
      </c>
      <c r="E13341" s="6" t="s">
        <v>11966</v>
      </c>
      <c r="F13341" s="9" t="s">
        <v>19968</v>
      </c>
    </row>
    <row r="13342" ht="33.75" customHeight="1">
      <c r="A13342" s="7">
        <v>686.0</v>
      </c>
      <c r="B13342" s="9" t="s">
        <v>18185</v>
      </c>
      <c r="C13342" s="9" t="s">
        <v>1004</v>
      </c>
      <c r="D13342" s="9" t="s">
        <v>114</v>
      </c>
      <c r="E13342" s="6" t="s">
        <v>11967</v>
      </c>
      <c r="F13342" s="9" t="s">
        <v>19968</v>
      </c>
    </row>
    <row r="13343" ht="33.75" customHeight="1">
      <c r="A13343" s="7">
        <v>686.0</v>
      </c>
      <c r="B13343" s="9" t="s">
        <v>18185</v>
      </c>
      <c r="C13343" s="9" t="s">
        <v>1004</v>
      </c>
      <c r="D13343" s="9" t="s">
        <v>117</v>
      </c>
      <c r="E13343" s="6" t="s">
        <v>11969</v>
      </c>
      <c r="F13343" s="9" t="s">
        <v>19968</v>
      </c>
    </row>
    <row r="13344" ht="33.75" customHeight="1">
      <c r="A13344" s="7">
        <v>687.0</v>
      </c>
      <c r="B13344" s="9" t="s">
        <v>18194</v>
      </c>
      <c r="C13344" s="9" t="s">
        <v>1005</v>
      </c>
      <c r="D13344" s="9" t="s">
        <v>101</v>
      </c>
      <c r="E13344" s="6" t="s">
        <v>11970</v>
      </c>
      <c r="F13344" s="9" t="s">
        <v>19969</v>
      </c>
      <c r="G13344" t="inlineStr" s="6">
        <is>
          <t xml:space="preserve">It wields the most compelling hypnotic powers of any Pokémon, and it forces others to do whatever it wants. It lures its prey close with hypnotic motions, then wraps its tentacles around it before finishing it off with digestive fluids. When it comes to strong hypnosis, there’s an endless number of people who utilize Malamar for their nefarious deeds. It flashes the pattern on its torso to control its prey and draw them in. The edges of its fins are supremely sharp. Gazing at its luminescent spots will quickly induce a hypnotic state, putting the observer under Malamar’s control. It’s said that Malamar’s hypnotic powers played a role in certain history-changing events.</t>
        </is>
      </c>
    </row>
    <row r="13345" ht="33.75" customHeight="1">
      <c r="A13345" s="7">
        <v>687.0</v>
      </c>
      <c r="B13345" s="9" t="s">
        <v>18194</v>
      </c>
      <c r="C13345" s="9" t="s">
        <v>1005</v>
      </c>
      <c r="D13345" s="9" t="s">
        <v>105</v>
      </c>
      <c r="E13345" s="6" t="s">
        <v>11972</v>
      </c>
      <c r="F13345" s="9" t="s">
        <v>19969</v>
      </c>
    </row>
    <row r="13346" ht="33.75" customHeight="1">
      <c r="A13346" s="7">
        <v>687.0</v>
      </c>
      <c r="B13346" s="9" t="s">
        <v>18194</v>
      </c>
      <c r="C13346" s="9" t="s">
        <v>1005</v>
      </c>
      <c r="D13346" s="9" t="s">
        <v>107</v>
      </c>
      <c r="E13346" s="6" t="s">
        <v>11970</v>
      </c>
      <c r="F13346" s="9" t="s">
        <v>19969</v>
      </c>
    </row>
    <row r="13347" ht="33.75" customHeight="1">
      <c r="A13347" s="7">
        <v>687.0</v>
      </c>
      <c r="B13347" s="9" t="s">
        <v>18194</v>
      </c>
      <c r="C13347" s="9" t="s">
        <v>1005</v>
      </c>
      <c r="D13347" s="9" t="s">
        <v>109</v>
      </c>
      <c r="E13347" s="6" t="s">
        <v>11972</v>
      </c>
      <c r="F13347" s="9" t="s">
        <v>19969</v>
      </c>
    </row>
    <row r="13348" ht="33.75" customHeight="1">
      <c r="A13348" s="7">
        <v>687.0</v>
      </c>
      <c r="B13348" s="9" t="s">
        <v>18194</v>
      </c>
      <c r="C13348" s="9" t="s">
        <v>1005</v>
      </c>
      <c r="D13348" s="9" t="s">
        <v>647</v>
      </c>
      <c r="E13348" s="6" t="s">
        <v>11973</v>
      </c>
      <c r="F13348" s="9" t="s">
        <v>19969</v>
      </c>
    </row>
    <row r="13349" ht="33.75" customHeight="1">
      <c r="A13349" s="7">
        <v>687.0</v>
      </c>
      <c r="B13349" s="9" t="s">
        <v>18194</v>
      </c>
      <c r="C13349" s="9" t="s">
        <v>1005</v>
      </c>
      <c r="D13349" s="9" t="s">
        <v>652</v>
      </c>
      <c r="E13349" s="6" t="s">
        <v>11974</v>
      </c>
      <c r="F13349" s="9" t="s">
        <v>19969</v>
      </c>
    </row>
    <row r="13350" ht="33.75" customHeight="1">
      <c r="A13350" s="7">
        <v>687.0</v>
      </c>
      <c r="B13350" s="9" t="s">
        <v>18194</v>
      </c>
      <c r="C13350" s="9" t="s">
        <v>1005</v>
      </c>
      <c r="D13350" s="9" t="s">
        <v>114</v>
      </c>
      <c r="E13350" s="6" t="s">
        <v>11975</v>
      </c>
      <c r="F13350" s="9" t="s">
        <v>19969</v>
      </c>
    </row>
    <row r="13351" ht="33.75" customHeight="1">
      <c r="A13351" s="7">
        <v>687.0</v>
      </c>
      <c r="B13351" s="9" t="s">
        <v>18194</v>
      </c>
      <c r="C13351" s="9" t="s">
        <v>1005</v>
      </c>
      <c r="D13351" s="9" t="s">
        <v>117</v>
      </c>
      <c r="E13351" s="6" t="s">
        <v>11977</v>
      </c>
      <c r="F13351" s="9" t="s">
        <v>19969</v>
      </c>
    </row>
    <row r="13352" ht="33.75" customHeight="1">
      <c r="A13352" s="7">
        <v>688.0</v>
      </c>
      <c r="B13352" s="9" t="s">
        <v>18202</v>
      </c>
      <c r="C13352" s="9" t="s">
        <v>1006</v>
      </c>
      <c r="D13352" s="9" t="s">
        <v>101</v>
      </c>
      <c r="E13352" s="6" t="s">
        <v>11979</v>
      </c>
      <c r="F13352" s="9" t="s">
        <v>19970</v>
      </c>
      <c r="G13352" t="inlineStr" s="6">
        <is>
          <t xml:space="preserve">Two Binacle live together on one rock. When they fight, one of them will move to a different rock. They stretch and then contract, yanking their rocks along with them in bold hops. They eat seaweed that washes up on the shoreline. After two Binacle find a suitably sized rock, they adhere themselves to it and live together. They cooperate to gather food during high tide. If the two don’t work well together, both their offense and defense fall apart. Without good teamwork, they won’t survive.</t>
        </is>
      </c>
    </row>
    <row r="13353" ht="33.75" customHeight="1">
      <c r="A13353" s="7">
        <v>688.0</v>
      </c>
      <c r="B13353" s="9" t="s">
        <v>18202</v>
      </c>
      <c r="C13353" s="9" t="s">
        <v>1006</v>
      </c>
      <c r="D13353" s="9" t="s">
        <v>105</v>
      </c>
      <c r="E13353" s="6" t="s">
        <v>11980</v>
      </c>
      <c r="F13353" s="9" t="s">
        <v>19970</v>
      </c>
    </row>
    <row r="13354" ht="33.75" customHeight="1">
      <c r="A13354" s="7">
        <v>688.0</v>
      </c>
      <c r="B13354" s="9" t="s">
        <v>18202</v>
      </c>
      <c r="C13354" s="9" t="s">
        <v>1006</v>
      </c>
      <c r="D13354" s="9" t="s">
        <v>107</v>
      </c>
      <c r="E13354" s="6" t="s">
        <v>11979</v>
      </c>
      <c r="F13354" s="9" t="s">
        <v>19970</v>
      </c>
    </row>
    <row r="13355" ht="33.75" customHeight="1">
      <c r="A13355" s="7">
        <v>688.0</v>
      </c>
      <c r="B13355" s="9" t="s">
        <v>18202</v>
      </c>
      <c r="C13355" s="9" t="s">
        <v>1006</v>
      </c>
      <c r="D13355" s="9" t="s">
        <v>109</v>
      </c>
      <c r="E13355" s="6" t="s">
        <v>11980</v>
      </c>
      <c r="F13355" s="9" t="s">
        <v>19970</v>
      </c>
    </row>
    <row r="13356" ht="33.75" customHeight="1">
      <c r="A13356" s="7">
        <v>688.0</v>
      </c>
      <c r="B13356" s="9" t="s">
        <v>18202</v>
      </c>
      <c r="C13356" s="9" t="s">
        <v>1006</v>
      </c>
      <c r="D13356" s="9" t="s">
        <v>114</v>
      </c>
      <c r="E13356" s="6" t="s">
        <v>11981</v>
      </c>
      <c r="F13356" s="9" t="s">
        <v>19970</v>
      </c>
    </row>
    <row r="13357" ht="33.75" customHeight="1">
      <c r="A13357" s="7">
        <v>688.0</v>
      </c>
      <c r="B13357" s="9" t="s">
        <v>18202</v>
      </c>
      <c r="C13357" s="9" t="s">
        <v>1006</v>
      </c>
      <c r="D13357" s="9" t="s">
        <v>117</v>
      </c>
      <c r="E13357" s="6" t="s">
        <v>11982</v>
      </c>
      <c r="F13357" s="9" t="s">
        <v>19970</v>
      </c>
    </row>
    <row r="13358" ht="33.75" customHeight="1">
      <c r="A13358" s="7">
        <v>689.0</v>
      </c>
      <c r="B13358" s="9" t="s">
        <v>18209</v>
      </c>
      <c r="C13358" s="9" t="s">
        <v>1007</v>
      </c>
      <c r="D13358" s="9" t="s">
        <v>101</v>
      </c>
      <c r="E13358" s="6" t="s">
        <v>11984</v>
      </c>
      <c r="F13358" s="9" t="s">
        <v>19971</v>
      </c>
      <c r="G13358" t="inlineStr" s="6">
        <is>
          <t xml:space="preserve">When they evolve, two Binacle multiply into seven. They fight with the power of seven Binacle. Barbaracle’s legs and hands have minds of their own, and they will move independently. But they usually follow the head’s orders. Seven Binacle come together to form one Barbaracle. The Binacle that serves as the head gives orders to those serving as the limbs. Having an eye on each palm allows it to keep watch in all directions. In a pinch, its limbs start to act on their own to ensure the enemy’s defeat.</t>
        </is>
      </c>
    </row>
    <row r="13359" ht="33.75" customHeight="1">
      <c r="A13359" s="7">
        <v>689.0</v>
      </c>
      <c r="B13359" s="9" t="s">
        <v>18209</v>
      </c>
      <c r="C13359" s="9" t="s">
        <v>1007</v>
      </c>
      <c r="D13359" s="9" t="s">
        <v>105</v>
      </c>
      <c r="E13359" s="6" t="s">
        <v>11985</v>
      </c>
      <c r="F13359" s="9" t="s">
        <v>19971</v>
      </c>
    </row>
    <row r="13360" ht="33.75" customHeight="1">
      <c r="A13360" s="7">
        <v>689.0</v>
      </c>
      <c r="B13360" s="9" t="s">
        <v>18209</v>
      </c>
      <c r="C13360" s="9" t="s">
        <v>1007</v>
      </c>
      <c r="D13360" s="9" t="s">
        <v>107</v>
      </c>
      <c r="E13360" s="6" t="s">
        <v>11984</v>
      </c>
      <c r="F13360" s="9" t="s">
        <v>19971</v>
      </c>
    </row>
    <row r="13361" ht="33.75" customHeight="1">
      <c r="A13361" s="7">
        <v>689.0</v>
      </c>
      <c r="B13361" s="9" t="s">
        <v>18209</v>
      </c>
      <c r="C13361" s="9" t="s">
        <v>1007</v>
      </c>
      <c r="D13361" s="9" t="s">
        <v>109</v>
      </c>
      <c r="E13361" s="6" t="s">
        <v>11985</v>
      </c>
      <c r="F13361" s="9" t="s">
        <v>19971</v>
      </c>
    </row>
    <row r="13362" ht="33.75" customHeight="1">
      <c r="A13362" s="7">
        <v>689.0</v>
      </c>
      <c r="B13362" s="9" t="s">
        <v>18209</v>
      </c>
      <c r="C13362" s="9" t="s">
        <v>1007</v>
      </c>
      <c r="D13362" s="9" t="s">
        <v>114</v>
      </c>
      <c r="E13362" s="6" t="s">
        <v>11986</v>
      </c>
      <c r="F13362" s="9" t="s">
        <v>19971</v>
      </c>
    </row>
    <row r="13363" ht="33.75" customHeight="1">
      <c r="A13363" s="7">
        <v>689.0</v>
      </c>
      <c r="B13363" s="9" t="s">
        <v>18209</v>
      </c>
      <c r="C13363" s="9" t="s">
        <v>1007</v>
      </c>
      <c r="D13363" s="9" t="s">
        <v>117</v>
      </c>
      <c r="E13363" s="6" t="s">
        <v>11988</v>
      </c>
      <c r="F13363" s="9" t="s">
        <v>19971</v>
      </c>
    </row>
    <row r="13364" ht="33.75" customHeight="1">
      <c r="A13364" s="7">
        <v>690.0</v>
      </c>
      <c r="B13364" s="9" t="s">
        <v>18216</v>
      </c>
      <c r="C13364" s="9" t="s">
        <v>1008</v>
      </c>
      <c r="D13364" s="9" t="s">
        <v>101</v>
      </c>
      <c r="E13364" s="6" t="s">
        <v>11989</v>
      </c>
      <c r="F13364" s="9" t="s">
        <v>19972</v>
      </c>
      <c r="G13364" t="inlineStr" s="6">
        <is>
          <t xml:space="preserve">Camouflaged as rotten kelp, they spray liquid poison on prey that approaches unawares and then finish it off. It looks just like rotten kelp. It hides from foes while storing up power for its evolution. It vanishes into seaweed and remains perfectly still to avoid attacks from large Pokémon. Rotten seaweed is its main food source. It’s not good at swimming, so it clings to the seaweed. In the Alola region, it’s often found near Dhelmise. It drifts in the ocean, blending in with floating seaweed. When other Pokémon come to feast on the seaweed, Skrelp feasts on them instead. Skrelp looks like a piece of rotten seaweed, so it can blend in with seaweed drifting on the ocean and avoid being detected by enemies.</t>
        </is>
      </c>
    </row>
    <row r="13365" ht="33.75" customHeight="1">
      <c r="A13365" s="7">
        <v>690.0</v>
      </c>
      <c r="B13365" s="9" t="s">
        <v>18216</v>
      </c>
      <c r="C13365" s="9" t="s">
        <v>1008</v>
      </c>
      <c r="D13365" s="9" t="s">
        <v>105</v>
      </c>
      <c r="E13365" s="6" t="s">
        <v>11991</v>
      </c>
      <c r="F13365" s="9" t="s">
        <v>19972</v>
      </c>
    </row>
    <row r="13366" ht="33.75" customHeight="1">
      <c r="A13366" s="7">
        <v>690.0</v>
      </c>
      <c r="B13366" s="9" t="s">
        <v>18216</v>
      </c>
      <c r="C13366" s="9" t="s">
        <v>1008</v>
      </c>
      <c r="D13366" s="9" t="s">
        <v>107</v>
      </c>
      <c r="E13366" s="6" t="s">
        <v>11989</v>
      </c>
      <c r="F13366" s="9" t="s">
        <v>19972</v>
      </c>
    </row>
    <row r="13367" ht="33.75" customHeight="1">
      <c r="A13367" s="7">
        <v>690.0</v>
      </c>
      <c r="B13367" s="9" t="s">
        <v>18216</v>
      </c>
      <c r="C13367" s="9" t="s">
        <v>1008</v>
      </c>
      <c r="D13367" s="9" t="s">
        <v>109</v>
      </c>
      <c r="E13367" s="6" t="s">
        <v>11991</v>
      </c>
      <c r="F13367" s="9" t="s">
        <v>19972</v>
      </c>
    </row>
    <row r="13368" ht="33.75" customHeight="1">
      <c r="A13368" s="7">
        <v>690.0</v>
      </c>
      <c r="B13368" s="9" t="s">
        <v>18216</v>
      </c>
      <c r="C13368" s="9" t="s">
        <v>1008</v>
      </c>
      <c r="D13368" s="9" t="s">
        <v>647</v>
      </c>
      <c r="E13368" s="6" t="s">
        <v>11992</v>
      </c>
      <c r="F13368" s="9" t="s">
        <v>19972</v>
      </c>
    </row>
    <row r="13369" ht="33.75" customHeight="1">
      <c r="A13369" s="7">
        <v>690.0</v>
      </c>
      <c r="B13369" s="9" t="s">
        <v>18216</v>
      </c>
      <c r="C13369" s="9" t="s">
        <v>1008</v>
      </c>
      <c r="D13369" s="9" t="s">
        <v>652</v>
      </c>
      <c r="E13369" s="6" t="s">
        <v>11993</v>
      </c>
      <c r="F13369" s="9" t="s">
        <v>19972</v>
      </c>
    </row>
    <row r="13370" ht="33.75" customHeight="1">
      <c r="A13370" s="7">
        <v>690.0</v>
      </c>
      <c r="B13370" s="9" t="s">
        <v>18216</v>
      </c>
      <c r="C13370" s="9" t="s">
        <v>1008</v>
      </c>
      <c r="D13370" s="9" t="s">
        <v>114</v>
      </c>
      <c r="E13370" s="6" t="s">
        <v>11994</v>
      </c>
      <c r="F13370" s="9" t="s">
        <v>19972</v>
      </c>
    </row>
    <row r="13371" ht="33.75" customHeight="1">
      <c r="A13371" s="7">
        <v>690.0</v>
      </c>
      <c r="B13371" s="9" t="s">
        <v>18216</v>
      </c>
      <c r="C13371" s="9" t="s">
        <v>1008</v>
      </c>
      <c r="D13371" s="9" t="s">
        <v>117</v>
      </c>
      <c r="E13371" s="6" t="s">
        <v>11995</v>
      </c>
      <c r="F13371" s="9" t="s">
        <v>19972</v>
      </c>
    </row>
    <row r="13372" ht="33.75" customHeight="1">
      <c r="A13372" s="7">
        <v>691.0</v>
      </c>
      <c r="B13372" s="9" t="s">
        <v>18225</v>
      </c>
      <c r="C13372" s="9" t="s">
        <v>1008</v>
      </c>
      <c r="D13372" s="9" t="s">
        <v>101</v>
      </c>
      <c r="E13372" s="6" t="s">
        <v>11996</v>
      </c>
      <c r="F13372" s="9" t="s">
        <v>19973</v>
      </c>
      <c r="G13372" t="inlineStr" s="6">
        <is>
          <t xml:space="preserve">Their poison is strong enough to eat through the hull of a tanker, and they spit it indiscriminately at anything that enters their territory. Tales are told of ships that wander into seas where Dragalge live, never to return. This vicious Pokémon sprays a poisonous liquid on opponents that come near. For whatever reason, it gets along really well with Dhelmise. It blends in with seaweed to ambush its prey and then takes them down with a poisonous liquid strong enough to melt metal. Dragalge uses a poisonous liquid capable of corroding metal to send tankers that enter its territory to the bottom of the sea. Dragalge generates dragon energy by sticking the plume on its head out above the ocean’s surface and bathing it in sunlight.</t>
        </is>
      </c>
    </row>
    <row r="13373" ht="33.75" customHeight="1">
      <c r="A13373" s="7">
        <v>691.0</v>
      </c>
      <c r="B13373" s="9" t="s">
        <v>18225</v>
      </c>
      <c r="C13373" s="9" t="s">
        <v>1008</v>
      </c>
      <c r="D13373" s="9" t="s">
        <v>105</v>
      </c>
      <c r="E13373" s="6" t="s">
        <v>11997</v>
      </c>
      <c r="F13373" s="9" t="s">
        <v>19973</v>
      </c>
    </row>
    <row r="13374" ht="33.75" customHeight="1">
      <c r="A13374" s="7">
        <v>691.0</v>
      </c>
      <c r="B13374" s="9" t="s">
        <v>18225</v>
      </c>
      <c r="C13374" s="9" t="s">
        <v>1008</v>
      </c>
      <c r="D13374" s="9" t="s">
        <v>107</v>
      </c>
      <c r="E13374" s="6" t="s">
        <v>11996</v>
      </c>
      <c r="F13374" s="9" t="s">
        <v>19973</v>
      </c>
    </row>
    <row r="13375" ht="33.75" customHeight="1">
      <c r="A13375" s="7">
        <v>691.0</v>
      </c>
      <c r="B13375" s="9" t="s">
        <v>18225</v>
      </c>
      <c r="C13375" s="9" t="s">
        <v>1008</v>
      </c>
      <c r="D13375" s="9" t="s">
        <v>109</v>
      </c>
      <c r="E13375" s="6" t="s">
        <v>11997</v>
      </c>
      <c r="F13375" s="9" t="s">
        <v>19973</v>
      </c>
    </row>
    <row r="13376" ht="33.75" customHeight="1">
      <c r="A13376" s="7">
        <v>691.0</v>
      </c>
      <c r="B13376" s="9" t="s">
        <v>18225</v>
      </c>
      <c r="C13376" s="9" t="s">
        <v>1008</v>
      </c>
      <c r="D13376" s="9" t="s">
        <v>647</v>
      </c>
      <c r="E13376" s="6" t="s">
        <v>11998</v>
      </c>
      <c r="F13376" s="9" t="s">
        <v>19973</v>
      </c>
    </row>
    <row r="13377" ht="33.75" customHeight="1">
      <c r="A13377" s="7">
        <v>691.0</v>
      </c>
      <c r="B13377" s="9" t="s">
        <v>18225</v>
      </c>
      <c r="C13377" s="9" t="s">
        <v>1008</v>
      </c>
      <c r="D13377" s="9" t="s">
        <v>652</v>
      </c>
      <c r="E13377" s="6" t="s">
        <v>11999</v>
      </c>
      <c r="F13377" s="9" t="s">
        <v>19973</v>
      </c>
    </row>
    <row r="13378" ht="33.75" customHeight="1">
      <c r="A13378" s="7">
        <v>691.0</v>
      </c>
      <c r="B13378" s="9" t="s">
        <v>18225</v>
      </c>
      <c r="C13378" s="9" t="s">
        <v>1008</v>
      </c>
      <c r="D13378" s="9" t="s">
        <v>114</v>
      </c>
      <c r="E13378" s="6" t="s">
        <v>12000</v>
      </c>
      <c r="F13378" s="9" t="s">
        <v>19973</v>
      </c>
    </row>
    <row r="13379" ht="33.75" customHeight="1">
      <c r="A13379" s="7">
        <v>691.0</v>
      </c>
      <c r="B13379" s="9" t="s">
        <v>18225</v>
      </c>
      <c r="C13379" s="9" t="s">
        <v>1008</v>
      </c>
      <c r="D13379" s="9" t="s">
        <v>117</v>
      </c>
      <c r="E13379" s="6" t="s">
        <v>12001</v>
      </c>
      <c r="F13379" s="9" t="s">
        <v>19973</v>
      </c>
    </row>
    <row r="13380" ht="33.75" customHeight="1">
      <c r="A13380" s="7">
        <v>692.0</v>
      </c>
      <c r="B13380" s="9" t="s">
        <v>18232</v>
      </c>
      <c r="C13380" s="9" t="s">
        <v>1009</v>
      </c>
      <c r="D13380" s="9" t="s">
        <v>101</v>
      </c>
      <c r="E13380" s="6" t="s">
        <v>12003</v>
      </c>
      <c r="F13380" s="9" t="s">
        <v>19974</v>
      </c>
      <c r="G13380" t="inlineStr" s="6">
        <is>
          <t xml:space="preserve">They knock down flying prey by firing compressed water from their massive claws like shooting a pistol. Through controlled explosions of internal gas, it can expel water like a pistol shot. At close distances, it can shatter rock. Its claws occasionally fall off, and it keeps a low profile until they grow back. The meat of its claws is so delicious! It moves around by jetting water from its right pincer. It has a poor sense of balance, so it’s terrible at swimming straight. Clauncher’s claws can fall off during battle, but they’ll regenerate. The meat inside the claws is popular as a delicacy in Galar. By detonating gas that accumulates in its right claw, this Pokémon launches water like a bullet. This is how Clauncher defeats its enemies.</t>
        </is>
      </c>
    </row>
    <row r="13381" ht="33.75" customHeight="1">
      <c r="A13381" s="7">
        <v>692.0</v>
      </c>
      <c r="B13381" s="9" t="s">
        <v>18232</v>
      </c>
      <c r="C13381" s="9" t="s">
        <v>1009</v>
      </c>
      <c r="D13381" s="9" t="s">
        <v>105</v>
      </c>
      <c r="E13381" s="6" t="s">
        <v>12004</v>
      </c>
      <c r="F13381" s="9" t="s">
        <v>19974</v>
      </c>
    </row>
    <row r="13382" ht="33.75" customHeight="1">
      <c r="A13382" s="7">
        <v>692.0</v>
      </c>
      <c r="B13382" s="9" t="s">
        <v>18232</v>
      </c>
      <c r="C13382" s="9" t="s">
        <v>1009</v>
      </c>
      <c r="D13382" s="9" t="s">
        <v>107</v>
      </c>
      <c r="E13382" s="6" t="s">
        <v>12003</v>
      </c>
      <c r="F13382" s="9" t="s">
        <v>19974</v>
      </c>
    </row>
    <row r="13383" ht="33.75" customHeight="1">
      <c r="A13383" s="7">
        <v>692.0</v>
      </c>
      <c r="B13383" s="9" t="s">
        <v>18232</v>
      </c>
      <c r="C13383" s="9" t="s">
        <v>1009</v>
      </c>
      <c r="D13383" s="9" t="s">
        <v>109</v>
      </c>
      <c r="E13383" s="6" t="s">
        <v>12004</v>
      </c>
      <c r="F13383" s="9" t="s">
        <v>19974</v>
      </c>
    </row>
    <row r="13384" ht="33.75" customHeight="1">
      <c r="A13384" s="7">
        <v>692.0</v>
      </c>
      <c r="B13384" s="9" t="s">
        <v>18232</v>
      </c>
      <c r="C13384" s="9" t="s">
        <v>1009</v>
      </c>
      <c r="D13384" s="9" t="s">
        <v>647</v>
      </c>
      <c r="E13384" s="6" t="s">
        <v>12006</v>
      </c>
      <c r="F13384" s="9" t="s">
        <v>19974</v>
      </c>
    </row>
    <row r="13385" ht="33.75" customHeight="1">
      <c r="A13385" s="7">
        <v>692.0</v>
      </c>
      <c r="B13385" s="9" t="s">
        <v>18232</v>
      </c>
      <c r="C13385" s="9" t="s">
        <v>1009</v>
      </c>
      <c r="D13385" s="9" t="s">
        <v>652</v>
      </c>
      <c r="E13385" s="6" t="s">
        <v>12008</v>
      </c>
      <c r="F13385" s="9" t="s">
        <v>19974</v>
      </c>
    </row>
    <row r="13386" ht="33.75" customHeight="1">
      <c r="A13386" s="7">
        <v>692.0</v>
      </c>
      <c r="B13386" s="9" t="s">
        <v>18232</v>
      </c>
      <c r="C13386" s="9" t="s">
        <v>1009</v>
      </c>
      <c r="D13386" s="9" t="s">
        <v>114</v>
      </c>
      <c r="E13386" s="6" t="s">
        <v>12010</v>
      </c>
      <c r="F13386" s="9" t="s">
        <v>19974</v>
      </c>
    </row>
    <row r="13387" ht="33.75" customHeight="1">
      <c r="A13387" s="7">
        <v>692.0</v>
      </c>
      <c r="B13387" s="9" t="s">
        <v>18232</v>
      </c>
      <c r="C13387" s="9" t="s">
        <v>1009</v>
      </c>
      <c r="D13387" s="9" t="s">
        <v>117</v>
      </c>
      <c r="E13387" s="6" t="s">
        <v>12011</v>
      </c>
      <c r="F13387" s="9" t="s">
        <v>19974</v>
      </c>
    </row>
    <row r="13388" ht="33.75" customHeight="1">
      <c r="A13388" s="7">
        <v>693.0</v>
      </c>
      <c r="B13388" s="9" t="s">
        <v>18241</v>
      </c>
      <c r="C13388" s="9" t="s">
        <v>1012</v>
      </c>
      <c r="D13388" s="9" t="s">
        <v>101</v>
      </c>
      <c r="E13388" s="6" t="s">
        <v>12012</v>
      </c>
      <c r="F13388" s="9" t="s">
        <v>19975</v>
      </c>
      <c r="G13388" t="inlineStr" s="6">
        <is>
          <t xml:space="preserve">Their enormous claws launch cannonballs of water powerful enough to pierce tanker hulls. By expelling water from the nozzle in the back of its claw, it can move at a speed of 60 knots. It compresses the water it has sucked up and then projects it with enough power to punch a hole right through a thick sheet of iron. Its right arm is packed with meat. When its pincer falls off, it’s exported to be used as a cooking ingredient. After using the feelers on its oversized claw to detect the location of prey, Clawitzer launches a cannonball of water at its target. Clawitzer’s right arm is a cannon that launches projectiles made of seawater. Shots from a Clawitzer’s cannon arm can sink a tanker.</t>
        </is>
      </c>
    </row>
    <row r="13389" ht="33.75" customHeight="1">
      <c r="A13389" s="7">
        <v>693.0</v>
      </c>
      <c r="B13389" s="9" t="s">
        <v>18241</v>
      </c>
      <c r="C13389" s="9" t="s">
        <v>1012</v>
      </c>
      <c r="D13389" s="9" t="s">
        <v>105</v>
      </c>
      <c r="E13389" s="6" t="s">
        <v>12014</v>
      </c>
      <c r="F13389" s="9" t="s">
        <v>19975</v>
      </c>
    </row>
    <row r="13390" ht="33.75" customHeight="1">
      <c r="A13390" s="7">
        <v>693.0</v>
      </c>
      <c r="B13390" s="9" t="s">
        <v>18241</v>
      </c>
      <c r="C13390" s="9" t="s">
        <v>1012</v>
      </c>
      <c r="D13390" s="9" t="s">
        <v>107</v>
      </c>
      <c r="E13390" s="6" t="s">
        <v>12012</v>
      </c>
      <c r="F13390" s="9" t="s">
        <v>19975</v>
      </c>
    </row>
    <row r="13391" ht="33.75" customHeight="1">
      <c r="A13391" s="7">
        <v>693.0</v>
      </c>
      <c r="B13391" s="9" t="s">
        <v>18241</v>
      </c>
      <c r="C13391" s="9" t="s">
        <v>1012</v>
      </c>
      <c r="D13391" s="9" t="s">
        <v>109</v>
      </c>
      <c r="E13391" s="6" t="s">
        <v>12014</v>
      </c>
      <c r="F13391" s="9" t="s">
        <v>19975</v>
      </c>
    </row>
    <row r="13392" ht="33.75" customHeight="1">
      <c r="A13392" s="7">
        <v>693.0</v>
      </c>
      <c r="B13392" s="9" t="s">
        <v>18241</v>
      </c>
      <c r="C13392" s="9" t="s">
        <v>1012</v>
      </c>
      <c r="D13392" s="9" t="s">
        <v>647</v>
      </c>
      <c r="E13392" s="6" t="s">
        <v>12015</v>
      </c>
      <c r="F13392" s="9" t="s">
        <v>19975</v>
      </c>
    </row>
    <row r="13393" ht="33.75" customHeight="1">
      <c r="A13393" s="7">
        <v>693.0</v>
      </c>
      <c r="B13393" s="9" t="s">
        <v>18241</v>
      </c>
      <c r="C13393" s="9" t="s">
        <v>1012</v>
      </c>
      <c r="D13393" s="9" t="s">
        <v>652</v>
      </c>
      <c r="E13393" s="6" t="s">
        <v>12017</v>
      </c>
      <c r="F13393" s="9" t="s">
        <v>19975</v>
      </c>
    </row>
    <row r="13394" ht="33.75" customHeight="1">
      <c r="A13394" s="7">
        <v>693.0</v>
      </c>
      <c r="B13394" s="9" t="s">
        <v>18241</v>
      </c>
      <c r="C13394" s="9" t="s">
        <v>1012</v>
      </c>
      <c r="D13394" s="9" t="s">
        <v>114</v>
      </c>
      <c r="E13394" s="6" t="s">
        <v>12018</v>
      </c>
      <c r="F13394" s="9" t="s">
        <v>19975</v>
      </c>
    </row>
    <row r="13395" ht="33.75" customHeight="1">
      <c r="A13395" s="7">
        <v>693.0</v>
      </c>
      <c r="B13395" s="9" t="s">
        <v>18241</v>
      </c>
      <c r="C13395" s="9" t="s">
        <v>1012</v>
      </c>
      <c r="D13395" s="9" t="s">
        <v>117</v>
      </c>
      <c r="E13395" s="6" t="s">
        <v>12020</v>
      </c>
      <c r="F13395" s="9" t="s">
        <v>19975</v>
      </c>
    </row>
    <row r="13396" ht="33.75" customHeight="1">
      <c r="A13396" s="7">
        <v>694.0</v>
      </c>
      <c r="B13396" s="9" t="s">
        <v>18249</v>
      </c>
      <c r="C13396" s="9" t="s">
        <v>1013</v>
      </c>
      <c r="D13396" s="9" t="s">
        <v>101</v>
      </c>
      <c r="E13396" s="6" t="s">
        <v>12021</v>
      </c>
      <c r="F13396" s="9" t="s">
        <v>19976</v>
      </c>
      <c r="G13396" t="inlineStr" s="6">
        <is>
          <t xml:space="preserve">They make their home in deserts. They can generate their energy from basking in the sun, so eating food is not a requirement. The frills on either side of its head have cells that generate electricity when exposed to sunlight. When spread, the frills on its head act like solar panels, generating the power behind this Pokémon’s electric moves. The sun powers this Pokémon’s electricity generation. Interruption of that process stresses Helioptile to the point of weakness.</t>
        </is>
      </c>
    </row>
    <row r="13397" ht="33.75" customHeight="1">
      <c r="A13397" s="7">
        <v>694.0</v>
      </c>
      <c r="B13397" s="9" t="s">
        <v>18249</v>
      </c>
      <c r="C13397" s="9" t="s">
        <v>1013</v>
      </c>
      <c r="D13397" s="9" t="s">
        <v>105</v>
      </c>
      <c r="E13397" s="6" t="s">
        <v>12023</v>
      </c>
      <c r="F13397" s="9" t="s">
        <v>19976</v>
      </c>
    </row>
    <row r="13398" ht="33.75" customHeight="1">
      <c r="A13398" s="7">
        <v>694.0</v>
      </c>
      <c r="B13398" s="9" t="s">
        <v>18249</v>
      </c>
      <c r="C13398" s="9" t="s">
        <v>1013</v>
      </c>
      <c r="D13398" s="9" t="s">
        <v>107</v>
      </c>
      <c r="E13398" s="6" t="s">
        <v>12021</v>
      </c>
      <c r="F13398" s="9" t="s">
        <v>19976</v>
      </c>
    </row>
    <row r="13399" ht="33.75" customHeight="1">
      <c r="A13399" s="7">
        <v>694.0</v>
      </c>
      <c r="B13399" s="9" t="s">
        <v>18249</v>
      </c>
      <c r="C13399" s="9" t="s">
        <v>1013</v>
      </c>
      <c r="D13399" s="9" t="s">
        <v>109</v>
      </c>
      <c r="E13399" s="6" t="s">
        <v>12023</v>
      </c>
      <c r="F13399" s="9" t="s">
        <v>19976</v>
      </c>
    </row>
    <row r="13400" ht="33.75" customHeight="1">
      <c r="A13400" s="7">
        <v>694.0</v>
      </c>
      <c r="B13400" s="9" t="s">
        <v>18249</v>
      </c>
      <c r="C13400" s="9" t="s">
        <v>1013</v>
      </c>
      <c r="D13400" s="9" t="s">
        <v>114</v>
      </c>
      <c r="E13400" s="6" t="s">
        <v>12025</v>
      </c>
      <c r="F13400" s="9" t="s">
        <v>19976</v>
      </c>
    </row>
    <row r="13401" ht="33.75" customHeight="1">
      <c r="A13401" s="7">
        <v>694.0</v>
      </c>
      <c r="B13401" s="9" t="s">
        <v>18249</v>
      </c>
      <c r="C13401" s="9" t="s">
        <v>1013</v>
      </c>
      <c r="D13401" s="9" t="s">
        <v>117</v>
      </c>
      <c r="E13401" s="6" t="s">
        <v>12026</v>
      </c>
      <c r="F13401" s="9" t="s">
        <v>19976</v>
      </c>
    </row>
    <row r="13402" ht="33.75" customHeight="1">
      <c r="A13402" s="7">
        <v>695.0</v>
      </c>
      <c r="B13402" s="9" t="s">
        <v>18256</v>
      </c>
      <c r="C13402" s="9" t="s">
        <v>1013</v>
      </c>
      <c r="D13402" s="9" t="s">
        <v>101</v>
      </c>
      <c r="E13402" s="6" t="s">
        <v>12027</v>
      </c>
      <c r="F13402" s="9" t="s">
        <v>19977</v>
      </c>
      <c r="G13402" t="inlineStr" s="6">
        <is>
          <t xml:space="preserve">They flare their frills and generate energy. A single Heliolisk can generate sufficient electricity to power a skyscraper. It stimulates its muscles with electricity, boosting the strength in its legs and enabling it to run 100 yards in five seconds. A now-vanished desert culture treasured these Pokémon. Appropriately, when Heliolisk came to the Galar region, treasure came with them. One Heliolisk basking in the sun with its frill outspread is all it would take to produce enough electricity to power a city.</t>
        </is>
      </c>
    </row>
    <row r="13403" ht="33.75" customHeight="1">
      <c r="A13403" s="7">
        <v>695.0</v>
      </c>
      <c r="B13403" s="9" t="s">
        <v>18256</v>
      </c>
      <c r="C13403" s="9" t="s">
        <v>1013</v>
      </c>
      <c r="D13403" s="9" t="s">
        <v>105</v>
      </c>
      <c r="E13403" s="6" t="s">
        <v>12028</v>
      </c>
      <c r="F13403" s="9" t="s">
        <v>19977</v>
      </c>
    </row>
    <row r="13404" ht="33.75" customHeight="1">
      <c r="A13404" s="7">
        <v>695.0</v>
      </c>
      <c r="B13404" s="9" t="s">
        <v>18256</v>
      </c>
      <c r="C13404" s="9" t="s">
        <v>1013</v>
      </c>
      <c r="D13404" s="9" t="s">
        <v>107</v>
      </c>
      <c r="E13404" s="6" t="s">
        <v>12027</v>
      </c>
      <c r="F13404" s="9" t="s">
        <v>19977</v>
      </c>
    </row>
    <row r="13405" ht="33.75" customHeight="1">
      <c r="A13405" s="7">
        <v>695.0</v>
      </c>
      <c r="B13405" s="9" t="s">
        <v>18256</v>
      </c>
      <c r="C13405" s="9" t="s">
        <v>1013</v>
      </c>
      <c r="D13405" s="9" t="s">
        <v>109</v>
      </c>
      <c r="E13405" s="6" t="s">
        <v>12028</v>
      </c>
      <c r="F13405" s="9" t="s">
        <v>19977</v>
      </c>
    </row>
    <row r="13406" ht="33.75" customHeight="1">
      <c r="A13406" s="7">
        <v>695.0</v>
      </c>
      <c r="B13406" s="9" t="s">
        <v>18256</v>
      </c>
      <c r="C13406" s="9" t="s">
        <v>1013</v>
      </c>
      <c r="D13406" s="9" t="s">
        <v>114</v>
      </c>
      <c r="E13406" s="6" t="s">
        <v>12029</v>
      </c>
      <c r="F13406" s="9" t="s">
        <v>19977</v>
      </c>
    </row>
    <row r="13407" ht="33.75" customHeight="1">
      <c r="A13407" s="7">
        <v>695.0</v>
      </c>
      <c r="B13407" s="9" t="s">
        <v>18256</v>
      </c>
      <c r="C13407" s="9" t="s">
        <v>1013</v>
      </c>
      <c r="D13407" s="9" t="s">
        <v>117</v>
      </c>
      <c r="E13407" s="6" t="s">
        <v>12030</v>
      </c>
      <c r="F13407" s="9" t="s">
        <v>19977</v>
      </c>
    </row>
    <row r="13408" ht="33.75" customHeight="1">
      <c r="A13408" s="7">
        <v>696.0</v>
      </c>
      <c r="B13408" s="9" t="s">
        <v>18261</v>
      </c>
      <c r="C13408" s="9" t="s">
        <v>1014</v>
      </c>
      <c r="D13408" s="9" t="s">
        <v>101</v>
      </c>
      <c r="E13408" s="6" t="s">
        <v>12031</v>
      </c>
      <c r="F13408" s="9" t="s">
        <v>19978</v>
      </c>
      <c r="G13408" t="inlineStr" s="6">
        <is>
          <t xml:space="preserve">This Pokémon was restored from a fossil. If something happens that it doesn’t like, it throws a tantrum and runs wild. Its immense jaws have enough destructive force that it can chew up an automobile. It lived 100 million years ago. Its large jaw has incredible destructive power. Some theories suggest that its restored form is different from its form of long ago. Tyrunt is spoiled and selfish. It may just be trying to frolic, but sometimes the ones it’s trying to frolic with are gravely injured. This is an ancient Pokémon, revived in modern times. It has a violent disposition, and it’ll tear apart anything it gets between its hefty jaws. This Pokémon is selfish and likes to be pampered. It can also inflict grievous wounds on its Trainer just by playing around.</t>
        </is>
      </c>
    </row>
    <row r="13409" ht="33.75" customHeight="1">
      <c r="A13409" s="7">
        <v>696.0</v>
      </c>
      <c r="B13409" s="9" t="s">
        <v>18261</v>
      </c>
      <c r="C13409" s="9" t="s">
        <v>1014</v>
      </c>
      <c r="D13409" s="9" t="s">
        <v>105</v>
      </c>
      <c r="E13409" s="6" t="s">
        <v>12032</v>
      </c>
      <c r="F13409" s="9" t="s">
        <v>19978</v>
      </c>
    </row>
    <row r="13410" ht="33.75" customHeight="1">
      <c r="A13410" s="7">
        <v>696.0</v>
      </c>
      <c r="B13410" s="9" t="s">
        <v>18261</v>
      </c>
      <c r="C13410" s="9" t="s">
        <v>1014</v>
      </c>
      <c r="D13410" s="9" t="s">
        <v>107</v>
      </c>
      <c r="E13410" s="6" t="s">
        <v>12031</v>
      </c>
      <c r="F13410" s="9" t="s">
        <v>19978</v>
      </c>
    </row>
    <row r="13411" ht="33.75" customHeight="1">
      <c r="A13411" s="7">
        <v>696.0</v>
      </c>
      <c r="B13411" s="9" t="s">
        <v>18261</v>
      </c>
      <c r="C13411" s="9" t="s">
        <v>1014</v>
      </c>
      <c r="D13411" s="9" t="s">
        <v>109</v>
      </c>
      <c r="E13411" s="6" t="s">
        <v>12032</v>
      </c>
      <c r="F13411" s="9" t="s">
        <v>19978</v>
      </c>
    </row>
    <row r="13412" ht="33.75" customHeight="1">
      <c r="A13412" s="7">
        <v>696.0</v>
      </c>
      <c r="B13412" s="9" t="s">
        <v>18261</v>
      </c>
      <c r="C13412" s="9" t="s">
        <v>1014</v>
      </c>
      <c r="D13412" s="9" t="s">
        <v>647</v>
      </c>
      <c r="E13412" s="6" t="s">
        <v>12034</v>
      </c>
      <c r="F13412" s="9" t="s">
        <v>19978</v>
      </c>
    </row>
    <row r="13413" ht="33.75" customHeight="1">
      <c r="A13413" s="7">
        <v>696.0</v>
      </c>
      <c r="B13413" s="9" t="s">
        <v>18261</v>
      </c>
      <c r="C13413" s="9" t="s">
        <v>1014</v>
      </c>
      <c r="D13413" s="9" t="s">
        <v>652</v>
      </c>
      <c r="E13413" s="6" t="s">
        <v>12035</v>
      </c>
      <c r="F13413" s="9" t="s">
        <v>19978</v>
      </c>
    </row>
    <row r="13414" ht="33.75" customHeight="1">
      <c r="A13414" s="7">
        <v>696.0</v>
      </c>
      <c r="B13414" s="9" t="s">
        <v>18261</v>
      </c>
      <c r="C13414" s="9" t="s">
        <v>1014</v>
      </c>
      <c r="D13414" s="9" t="s">
        <v>114</v>
      </c>
      <c r="E13414" s="6" t="s">
        <v>12036</v>
      </c>
      <c r="F13414" s="9" t="s">
        <v>19978</v>
      </c>
    </row>
    <row r="13415" ht="33.75" customHeight="1">
      <c r="A13415" s="7">
        <v>696.0</v>
      </c>
      <c r="B13415" s="9" t="s">
        <v>18261</v>
      </c>
      <c r="C13415" s="9" t="s">
        <v>1014</v>
      </c>
      <c r="D13415" s="9" t="s">
        <v>117</v>
      </c>
      <c r="E13415" s="6" t="s">
        <v>12038</v>
      </c>
      <c r="F13415" s="9" t="s">
        <v>19978</v>
      </c>
    </row>
    <row r="13416" ht="33.75" customHeight="1">
      <c r="A13416" s="7">
        <v>697.0</v>
      </c>
      <c r="B13416" s="9" t="s">
        <v>18269</v>
      </c>
      <c r="C13416" s="9" t="s">
        <v>1016</v>
      </c>
      <c r="D13416" s="9" t="s">
        <v>101</v>
      </c>
      <c r="E13416" s="6" t="s">
        <v>12039</v>
      </c>
      <c r="F13416" s="9" t="s">
        <v>19979</v>
      </c>
      <c r="G13416" t="inlineStr" s="6">
        <is>
          <t xml:space="preserve">Thanks to Tyrantrum's gargantuan jaws, which could shred thick metal plates as if they were paper, it was invincible in the ancient world it once inhabited. Nothing could stop this Pokémon 100 million years ago, so it behaved like a king. Complete restoration is impossible, allowing room for theories that its entire body was once covered in a feather-like coat. The king of the ancient world, it can easily crunch a car with the devastating strength of its enormous jaws. This Pokémon is from about 100,000,000 years ago. It has the presence of a king, vicious but magnificent. A single bite of Tyrantrum’s massive jaws will demolish a car. This Pokémon was the king of the ancient world.</t>
        </is>
      </c>
    </row>
    <row r="13417" ht="33.75" customHeight="1">
      <c r="A13417" s="7">
        <v>697.0</v>
      </c>
      <c r="B13417" s="9" t="s">
        <v>18269</v>
      </c>
      <c r="C13417" s="9" t="s">
        <v>1016</v>
      </c>
      <c r="D13417" s="9" t="s">
        <v>105</v>
      </c>
      <c r="E13417" s="6" t="s">
        <v>12040</v>
      </c>
      <c r="F13417" s="9" t="s">
        <v>19979</v>
      </c>
    </row>
    <row r="13418" ht="33.75" customHeight="1">
      <c r="A13418" s="7">
        <v>697.0</v>
      </c>
      <c r="B13418" s="9" t="s">
        <v>18269</v>
      </c>
      <c r="C13418" s="9" t="s">
        <v>1016</v>
      </c>
      <c r="D13418" s="9" t="s">
        <v>107</v>
      </c>
      <c r="E13418" s="6" t="s">
        <v>12039</v>
      </c>
      <c r="F13418" s="9" t="s">
        <v>19979</v>
      </c>
    </row>
    <row r="13419" ht="33.75" customHeight="1">
      <c r="A13419" s="7">
        <v>697.0</v>
      </c>
      <c r="B13419" s="9" t="s">
        <v>18269</v>
      </c>
      <c r="C13419" s="9" t="s">
        <v>1016</v>
      </c>
      <c r="D13419" s="9" t="s">
        <v>109</v>
      </c>
      <c r="E13419" s="6" t="s">
        <v>12040</v>
      </c>
      <c r="F13419" s="9" t="s">
        <v>19979</v>
      </c>
    </row>
    <row r="13420" ht="33.75" customHeight="1">
      <c r="A13420" s="7">
        <v>697.0</v>
      </c>
      <c r="B13420" s="9" t="s">
        <v>18269</v>
      </c>
      <c r="C13420" s="9" t="s">
        <v>1016</v>
      </c>
      <c r="D13420" s="9" t="s">
        <v>647</v>
      </c>
      <c r="E13420" s="6" t="s">
        <v>12042</v>
      </c>
      <c r="F13420" s="9" t="s">
        <v>19979</v>
      </c>
    </row>
    <row r="13421" ht="33.75" customHeight="1">
      <c r="A13421" s="7">
        <v>697.0</v>
      </c>
      <c r="B13421" s="9" t="s">
        <v>18269</v>
      </c>
      <c r="C13421" s="9" t="s">
        <v>1016</v>
      </c>
      <c r="D13421" s="9" t="s">
        <v>652</v>
      </c>
      <c r="E13421" s="6" t="s">
        <v>12043</v>
      </c>
      <c r="F13421" s="9" t="s">
        <v>19979</v>
      </c>
    </row>
    <row r="13422" ht="33.75" customHeight="1">
      <c r="A13422" s="7">
        <v>697.0</v>
      </c>
      <c r="B13422" s="9" t="s">
        <v>18269</v>
      </c>
      <c r="C13422" s="9" t="s">
        <v>1016</v>
      </c>
      <c r="D13422" s="9" t="s">
        <v>114</v>
      </c>
      <c r="E13422" s="6" t="s">
        <v>12044</v>
      </c>
      <c r="F13422" s="9" t="s">
        <v>19979</v>
      </c>
    </row>
    <row r="13423" ht="33.75" customHeight="1">
      <c r="A13423" s="7">
        <v>697.0</v>
      </c>
      <c r="B13423" s="9" t="s">
        <v>18269</v>
      </c>
      <c r="C13423" s="9" t="s">
        <v>1016</v>
      </c>
      <c r="D13423" s="9" t="s">
        <v>117</v>
      </c>
      <c r="E13423" s="6" t="s">
        <v>12045</v>
      </c>
      <c r="F13423" s="9" t="s">
        <v>19979</v>
      </c>
    </row>
    <row r="13424" ht="33.75" customHeight="1">
      <c r="A13424" s="7">
        <v>698.0</v>
      </c>
      <c r="B13424" s="9" t="s">
        <v>18278</v>
      </c>
      <c r="C13424" s="9" t="s">
        <v>1018</v>
      </c>
      <c r="D13424" s="9" t="s">
        <v>101</v>
      </c>
      <c r="E13424" s="6" t="s">
        <v>12046</v>
      </c>
      <c r="F13424" s="9" t="s">
        <v>19980</v>
      </c>
      <c r="G13424" t="inlineStr" s="6">
        <is>
          <t xml:space="preserve">This ancient Pokémon was restored from part of Amaura's body that had been frozen in ice for over 100 million years. This calm Pokémon lived in a cold land where there were no violent predators like Tyrantrum. It lived in cold areas in ancient times. It’s said that when Amaura whinnies, auroras appear in the night sky. Amaura was restored successfully, but it’s not expected to live long because of the heat of the current environment. This Pokémon was successfully restored from a fossil. In the past, it lived with others of its kind in cold lands where there were fewer predators. Amaura is an ancient Pokémon that has gone extinct. Specimens of this species can sometimes be found frozen in ice.</t>
        </is>
      </c>
    </row>
    <row r="13425" ht="33.75" customHeight="1">
      <c r="A13425" s="7">
        <v>698.0</v>
      </c>
      <c r="B13425" s="9" t="s">
        <v>18278</v>
      </c>
      <c r="C13425" s="9" t="s">
        <v>1018</v>
      </c>
      <c r="D13425" s="9" t="s">
        <v>105</v>
      </c>
      <c r="E13425" s="6" t="s">
        <v>12048</v>
      </c>
      <c r="F13425" s="9" t="s">
        <v>19980</v>
      </c>
    </row>
    <row r="13426" ht="33.75" customHeight="1">
      <c r="A13426" s="7">
        <v>698.0</v>
      </c>
      <c r="B13426" s="9" t="s">
        <v>18278</v>
      </c>
      <c r="C13426" s="9" t="s">
        <v>1018</v>
      </c>
      <c r="D13426" s="9" t="s">
        <v>107</v>
      </c>
      <c r="E13426" s="6" t="s">
        <v>12046</v>
      </c>
      <c r="F13426" s="9" t="s">
        <v>19980</v>
      </c>
    </row>
    <row r="13427" ht="33.75" customHeight="1">
      <c r="A13427" s="7">
        <v>698.0</v>
      </c>
      <c r="B13427" s="9" t="s">
        <v>18278</v>
      </c>
      <c r="C13427" s="9" t="s">
        <v>1018</v>
      </c>
      <c r="D13427" s="9" t="s">
        <v>109</v>
      </c>
      <c r="E13427" s="6" t="s">
        <v>12048</v>
      </c>
      <c r="F13427" s="9" t="s">
        <v>19980</v>
      </c>
    </row>
    <row r="13428" ht="33.75" customHeight="1">
      <c r="A13428" s="7">
        <v>698.0</v>
      </c>
      <c r="B13428" s="9" t="s">
        <v>18278</v>
      </c>
      <c r="C13428" s="9" t="s">
        <v>1018</v>
      </c>
      <c r="D13428" s="9" t="s">
        <v>647</v>
      </c>
      <c r="E13428" s="6" t="s">
        <v>12049</v>
      </c>
      <c r="F13428" s="9" t="s">
        <v>19980</v>
      </c>
    </row>
    <row r="13429" ht="33.75" customHeight="1">
      <c r="A13429" s="7">
        <v>698.0</v>
      </c>
      <c r="B13429" s="9" t="s">
        <v>18278</v>
      </c>
      <c r="C13429" s="9" t="s">
        <v>1018</v>
      </c>
      <c r="D13429" s="9" t="s">
        <v>652</v>
      </c>
      <c r="E13429" s="6" t="s">
        <v>12051</v>
      </c>
      <c r="F13429" s="9" t="s">
        <v>19980</v>
      </c>
    </row>
    <row r="13430" ht="33.75" customHeight="1">
      <c r="A13430" s="7">
        <v>698.0</v>
      </c>
      <c r="B13430" s="9" t="s">
        <v>18278</v>
      </c>
      <c r="C13430" s="9" t="s">
        <v>1018</v>
      </c>
      <c r="D13430" s="9" t="s">
        <v>114</v>
      </c>
      <c r="E13430" s="6" t="s">
        <v>12052</v>
      </c>
      <c r="F13430" s="9" t="s">
        <v>19980</v>
      </c>
    </row>
    <row r="13431" ht="33.75" customHeight="1">
      <c r="A13431" s="7">
        <v>698.0</v>
      </c>
      <c r="B13431" s="9" t="s">
        <v>18278</v>
      </c>
      <c r="C13431" s="9" t="s">
        <v>1018</v>
      </c>
      <c r="D13431" s="9" t="s">
        <v>117</v>
      </c>
      <c r="E13431" s="6" t="s">
        <v>12053</v>
      </c>
      <c r="F13431" s="9" t="s">
        <v>19980</v>
      </c>
    </row>
    <row r="13432" ht="33.75" customHeight="1">
      <c r="A13432" s="7">
        <v>699.0</v>
      </c>
      <c r="B13432" s="9" t="s">
        <v>18286</v>
      </c>
      <c r="C13432" s="9" t="s">
        <v>1018</v>
      </c>
      <c r="D13432" s="9" t="s">
        <v>101</v>
      </c>
      <c r="E13432" s="6" t="s">
        <v>12054</v>
      </c>
      <c r="F13432" s="9" t="s">
        <v>19981</v>
      </c>
      <c r="G13432" t="inlineStr" s="6">
        <is>
          <t xml:space="preserve">The diamond-shaped crystals on Aurorus's body expel air as cold as -240 degrees Fahrenheit, surrounding its enemies and encasing them in ice. Using its diamond-shaped crystals, it can instantly create a wall of ice to block an opponent’s attack. An Aurorus was found frozen solid within a glacier, just as it appeared long ago, which became quite a big event in the news. This usually quiet and kindly Pokémon has a surface temperature of around –240 degrees Fahrenheit. Aurorus was restored from a fossil. It’s said that when this Pokémon howls, auroras appear in the night sky. When gripped by rage, Aurorus will emanate freezing air, covering everything around it in ice.</t>
        </is>
      </c>
    </row>
    <row r="13433" ht="33.75" customHeight="1">
      <c r="A13433" s="7">
        <v>699.0</v>
      </c>
      <c r="B13433" s="9" t="s">
        <v>18286</v>
      </c>
      <c r="C13433" s="9" t="s">
        <v>1018</v>
      </c>
      <c r="D13433" s="9" t="s">
        <v>105</v>
      </c>
      <c r="E13433" s="6" t="s">
        <v>12056</v>
      </c>
      <c r="F13433" s="9" t="s">
        <v>19981</v>
      </c>
    </row>
    <row r="13434" ht="33.75" customHeight="1">
      <c r="A13434" s="7">
        <v>699.0</v>
      </c>
      <c r="B13434" s="9" t="s">
        <v>18286</v>
      </c>
      <c r="C13434" s="9" t="s">
        <v>1018</v>
      </c>
      <c r="D13434" s="9" t="s">
        <v>107</v>
      </c>
      <c r="E13434" s="6" t="s">
        <v>12054</v>
      </c>
      <c r="F13434" s="9" t="s">
        <v>19981</v>
      </c>
    </row>
    <row r="13435" ht="33.75" customHeight="1">
      <c r="A13435" s="7">
        <v>699.0</v>
      </c>
      <c r="B13435" s="9" t="s">
        <v>18286</v>
      </c>
      <c r="C13435" s="9" t="s">
        <v>1018</v>
      </c>
      <c r="D13435" s="9" t="s">
        <v>109</v>
      </c>
      <c r="E13435" s="6" t="s">
        <v>12056</v>
      </c>
      <c r="F13435" s="9" t="s">
        <v>19981</v>
      </c>
    </row>
    <row r="13436" ht="33.75" customHeight="1">
      <c r="A13436" s="7">
        <v>699.0</v>
      </c>
      <c r="B13436" s="9" t="s">
        <v>18286</v>
      </c>
      <c r="C13436" s="9" t="s">
        <v>1018</v>
      </c>
      <c r="D13436" s="9" t="s">
        <v>647</v>
      </c>
      <c r="E13436" s="6" t="s">
        <v>12058</v>
      </c>
      <c r="F13436" s="9" t="s">
        <v>19981</v>
      </c>
    </row>
    <row r="13437" ht="33.75" customHeight="1">
      <c r="A13437" s="7">
        <v>699.0</v>
      </c>
      <c r="B13437" s="9" t="s">
        <v>18286</v>
      </c>
      <c r="C13437" s="9" t="s">
        <v>1018</v>
      </c>
      <c r="D13437" s="9" t="s">
        <v>652</v>
      </c>
      <c r="E13437" s="6" t="s">
        <v>12059</v>
      </c>
      <c r="F13437" s="9" t="s">
        <v>19981</v>
      </c>
    </row>
    <row r="13438" ht="33.75" customHeight="1">
      <c r="A13438" s="7">
        <v>699.0</v>
      </c>
      <c r="B13438" s="9" t="s">
        <v>18286</v>
      </c>
      <c r="C13438" s="9" t="s">
        <v>1018</v>
      </c>
      <c r="D13438" s="9" t="s">
        <v>114</v>
      </c>
      <c r="E13438" s="6" t="s">
        <v>12060</v>
      </c>
      <c r="F13438" s="9" t="s">
        <v>19981</v>
      </c>
    </row>
    <row r="13439" ht="33.75" customHeight="1">
      <c r="A13439" s="7">
        <v>699.0</v>
      </c>
      <c r="B13439" s="9" t="s">
        <v>18286</v>
      </c>
      <c r="C13439" s="9" t="s">
        <v>1018</v>
      </c>
      <c r="D13439" s="9" t="s">
        <v>117</v>
      </c>
      <c r="E13439" s="6" t="s">
        <v>12061</v>
      </c>
      <c r="F13439" s="9" t="s">
        <v>19981</v>
      </c>
    </row>
    <row r="13440" ht="33.75" customHeight="1">
      <c r="A13440" s="7">
        <v>700.0</v>
      </c>
      <c r="B13440" s="9" t="s">
        <v>18293</v>
      </c>
      <c r="C13440" s="9" t="s">
        <v>1019</v>
      </c>
      <c r="D13440" s="9" t="s">
        <v>101</v>
      </c>
      <c r="E13440" s="6" t="s">
        <v>12063</v>
      </c>
      <c r="F13440" s="9" t="s">
        <v>19982</v>
      </c>
      <c r="G13440" t="inlineStr" s="6">
        <is>
          <t xml:space="preserve">It sends a soothing aura from Sylveon's ribbonlike feelers to calm fights. It wraps its ribbonlike feelers around the arm of its beloved Trainer and walks with him or her. Its ribbonlike feelers give off an aura that weakens hostility in its prey, causing them to let down their guard. Then it attacks. When this Pokémon sights its prey, it swirls its ribbonlike feelers as a distraction. A moment later, it pounces. Once a fight breaks out, it will unflinchingly charge at dragon Pokémon that are many times larger than itself. Sylveon wraps its ribbonlike feelers around its Trainer’s arm because this touch enables it to read its Trainer’s feelings. By releasing enmity-erasing waves from its ribbonlike feelers, Sylveon stops any conflict. There’s a Galarian fairy tale that describes a beautiful Sylveon vanquishing a dreadful dragon Pokémon. It emits a soothing aura from its ribbon-shaped organs. It wraps these appendages around quarrelers to instantly restore calm to the situation.</t>
        </is>
      </c>
    </row>
    <row r="13441" ht="33.75" customHeight="1">
      <c r="A13441" s="7">
        <v>700.0</v>
      </c>
      <c r="B13441" s="9" t="s">
        <v>18293</v>
      </c>
      <c r="C13441" s="9" t="s">
        <v>1019</v>
      </c>
      <c r="D13441" s="9" t="s">
        <v>105</v>
      </c>
      <c r="E13441" s="6" t="s">
        <v>12064</v>
      </c>
      <c r="F13441" s="9" t="s">
        <v>19982</v>
      </c>
    </row>
    <row r="13442" ht="33.75" customHeight="1">
      <c r="A13442" s="7">
        <v>700.0</v>
      </c>
      <c r="B13442" s="9" t="s">
        <v>18293</v>
      </c>
      <c r="C13442" s="9" t="s">
        <v>1019</v>
      </c>
      <c r="D13442" s="9" t="s">
        <v>107</v>
      </c>
      <c r="E13442" s="6" t="s">
        <v>12063</v>
      </c>
      <c r="F13442" s="9" t="s">
        <v>19982</v>
      </c>
    </row>
    <row r="13443" ht="33.75" customHeight="1">
      <c r="A13443" s="7">
        <v>700.0</v>
      </c>
      <c r="B13443" s="9" t="s">
        <v>18293</v>
      </c>
      <c r="C13443" s="9" t="s">
        <v>1019</v>
      </c>
      <c r="D13443" s="9" t="s">
        <v>109</v>
      </c>
      <c r="E13443" s="6" t="s">
        <v>12064</v>
      </c>
      <c r="F13443" s="9" t="s">
        <v>19982</v>
      </c>
    </row>
    <row r="13444" ht="33.75" customHeight="1">
      <c r="A13444" s="7">
        <v>700.0</v>
      </c>
      <c r="B13444" s="9" t="s">
        <v>18293</v>
      </c>
      <c r="C13444" s="9" t="s">
        <v>1019</v>
      </c>
      <c r="D13444" s="9" t="s">
        <v>637</v>
      </c>
      <c r="E13444" s="6" t="s">
        <v>12065</v>
      </c>
      <c r="F13444" s="9" t="s">
        <v>19982</v>
      </c>
    </row>
    <row r="13445" ht="33.75" customHeight="1">
      <c r="A13445" s="7">
        <v>700.0</v>
      </c>
      <c r="B13445" s="9" t="s">
        <v>18293</v>
      </c>
      <c r="C13445" s="9" t="s">
        <v>1019</v>
      </c>
      <c r="D13445" s="9" t="s">
        <v>642</v>
      </c>
      <c r="E13445" s="6" t="s">
        <v>12066</v>
      </c>
      <c r="F13445" s="9" t="s">
        <v>19982</v>
      </c>
    </row>
    <row r="13446" ht="33.75" customHeight="1">
      <c r="A13446" s="7">
        <v>700.0</v>
      </c>
      <c r="B13446" s="9" t="s">
        <v>18293</v>
      </c>
      <c r="C13446" s="9" t="s">
        <v>1019</v>
      </c>
      <c r="D13446" s="9" t="s">
        <v>647</v>
      </c>
      <c r="E13446" s="6" t="s">
        <v>12067</v>
      </c>
      <c r="F13446" s="9" t="s">
        <v>19982</v>
      </c>
    </row>
    <row r="13447" ht="33.75" customHeight="1">
      <c r="A13447" s="7">
        <v>700.0</v>
      </c>
      <c r="B13447" s="9" t="s">
        <v>18293</v>
      </c>
      <c r="C13447" s="9" t="s">
        <v>1019</v>
      </c>
      <c r="D13447" s="9" t="s">
        <v>652</v>
      </c>
      <c r="E13447" s="6" t="s">
        <v>12068</v>
      </c>
      <c r="F13447" s="9" t="s">
        <v>19982</v>
      </c>
    </row>
    <row r="13448" ht="33.75" customHeight="1">
      <c r="A13448" s="7">
        <v>700.0</v>
      </c>
      <c r="B13448" s="9" t="s">
        <v>18293</v>
      </c>
      <c r="C13448" s="9" t="s">
        <v>1019</v>
      </c>
      <c r="D13448" s="9" t="s">
        <v>114</v>
      </c>
      <c r="E13448" s="6" t="s">
        <v>12070</v>
      </c>
      <c r="F13448" s="9" t="s">
        <v>19982</v>
      </c>
    </row>
    <row r="13449" ht="33.75" customHeight="1">
      <c r="A13449" s="7">
        <v>700.0</v>
      </c>
      <c r="B13449" s="9" t="s">
        <v>18293</v>
      </c>
      <c r="C13449" s="9" t="s">
        <v>1019</v>
      </c>
      <c r="D13449" s="9" t="s">
        <v>117</v>
      </c>
      <c r="E13449" s="6" t="s">
        <v>12072</v>
      </c>
      <c r="F13449" s="9" t="s">
        <v>19982</v>
      </c>
    </row>
    <row r="13450" ht="33.75" customHeight="1">
      <c r="A13450" s="7">
        <v>700.0</v>
      </c>
      <c r="B13450" s="9" t="s">
        <v>18293</v>
      </c>
      <c r="C13450" s="9" t="s">
        <v>1019</v>
      </c>
      <c r="D13450" s="9" t="s">
        <v>1577</v>
      </c>
      <c r="E13450" s="6" t="s">
        <v>12073</v>
      </c>
      <c r="F13450" s="9" t="s">
        <v>19982</v>
      </c>
    </row>
    <row r="13451" ht="33.75" customHeight="1">
      <c r="A13451" s="7">
        <v>701.0</v>
      </c>
      <c r="B13451" s="9" t="s">
        <v>18305</v>
      </c>
      <c r="C13451" s="9" t="s">
        <v>1021</v>
      </c>
      <c r="D13451" s="9" t="s">
        <v>101</v>
      </c>
      <c r="E13451" s="6" t="s">
        <v>12075</v>
      </c>
      <c r="F13451" s="9" t="s">
        <v>19983</v>
      </c>
      <c r="G13451" t="inlineStr" s="6">
        <is>
          <t xml:space="preserve">Although Hawlucha's body is small, its proficient fighting skills enable it to keep up with big bruisers like Machamp and Hariyama. With its wings, it controls its position in the air. It likes to attack from above, a maneuver that is difficult to defend against. It overwhelms opponents with quick moves, but sometimes it showboats for too long when it’s using a special move and gets itself into a pinch. In combat, Hawlucha leaps nimbly about, taking advantage of its opponents’ blind spots. It’s also skilled at using superb submission holds. It drives its opponents to exhaustion with its agile maneuvers, then ends the fight with a flashy finishing move. It always strikes a pose before going for its finishing move. Sometimes opponents take advantage of that time to counterattack.</t>
        </is>
      </c>
    </row>
    <row r="13452" ht="33.75" customHeight="1">
      <c r="A13452" s="7">
        <v>701.0</v>
      </c>
      <c r="B13452" s="9" t="s">
        <v>18305</v>
      </c>
      <c r="C13452" s="9" t="s">
        <v>1021</v>
      </c>
      <c r="D13452" s="9" t="s">
        <v>105</v>
      </c>
      <c r="E13452" s="6" t="s">
        <v>12076</v>
      </c>
      <c r="F13452" s="9" t="s">
        <v>19983</v>
      </c>
    </row>
    <row r="13453" ht="33.75" customHeight="1">
      <c r="A13453" s="7">
        <v>701.0</v>
      </c>
      <c r="B13453" s="9" t="s">
        <v>18305</v>
      </c>
      <c r="C13453" s="9" t="s">
        <v>1021</v>
      </c>
      <c r="D13453" s="9" t="s">
        <v>107</v>
      </c>
      <c r="E13453" s="6" t="s">
        <v>12075</v>
      </c>
      <c r="F13453" s="9" t="s">
        <v>19983</v>
      </c>
    </row>
    <row r="13454" ht="33.75" customHeight="1">
      <c r="A13454" s="7">
        <v>701.0</v>
      </c>
      <c r="B13454" s="9" t="s">
        <v>18305</v>
      </c>
      <c r="C13454" s="9" t="s">
        <v>1021</v>
      </c>
      <c r="D13454" s="9" t="s">
        <v>109</v>
      </c>
      <c r="E13454" s="6" t="s">
        <v>12076</v>
      </c>
      <c r="F13454" s="9" t="s">
        <v>19983</v>
      </c>
    </row>
    <row r="13455" ht="33.75" customHeight="1">
      <c r="A13455" s="7">
        <v>701.0</v>
      </c>
      <c r="B13455" s="9" t="s">
        <v>18305</v>
      </c>
      <c r="C13455" s="9" t="s">
        <v>1021</v>
      </c>
      <c r="D13455" s="9" t="s">
        <v>647</v>
      </c>
      <c r="E13455" s="6" t="s">
        <v>12078</v>
      </c>
      <c r="F13455" s="9" t="s">
        <v>19983</v>
      </c>
    </row>
    <row r="13456" ht="33.75" customHeight="1">
      <c r="A13456" s="7">
        <v>701.0</v>
      </c>
      <c r="B13456" s="9" t="s">
        <v>18305</v>
      </c>
      <c r="C13456" s="9" t="s">
        <v>1021</v>
      </c>
      <c r="D13456" s="9" t="s">
        <v>652</v>
      </c>
      <c r="E13456" s="6" t="s">
        <v>12082</v>
      </c>
      <c r="F13456" s="9" t="s">
        <v>19983</v>
      </c>
    </row>
    <row r="13457" ht="33.75" customHeight="1">
      <c r="A13457" s="7">
        <v>701.0</v>
      </c>
      <c r="B13457" s="9" t="s">
        <v>18305</v>
      </c>
      <c r="C13457" s="9" t="s">
        <v>1021</v>
      </c>
      <c r="D13457" s="9" t="s">
        <v>114</v>
      </c>
      <c r="E13457" s="6" t="s">
        <v>12083</v>
      </c>
      <c r="F13457" s="9" t="s">
        <v>19983</v>
      </c>
    </row>
    <row r="13458" ht="33.75" customHeight="1">
      <c r="A13458" s="7">
        <v>701.0</v>
      </c>
      <c r="B13458" s="9" t="s">
        <v>18305</v>
      </c>
      <c r="C13458" s="9" t="s">
        <v>1021</v>
      </c>
      <c r="D13458" s="9" t="s">
        <v>117</v>
      </c>
      <c r="E13458" s="6" t="s">
        <v>12085</v>
      </c>
      <c r="F13458" s="9" t="s">
        <v>19983</v>
      </c>
    </row>
    <row r="13459" ht="33.75" customHeight="1">
      <c r="A13459" s="7">
        <v>702.0</v>
      </c>
      <c r="B13459" s="9" t="s">
        <v>18314</v>
      </c>
      <c r="C13459" s="9" t="s">
        <v>1024</v>
      </c>
      <c r="D13459" s="9" t="s">
        <v>101</v>
      </c>
      <c r="E13459" s="6" t="s">
        <v>12087</v>
      </c>
      <c r="F13459" s="9" t="s">
        <v>19984</v>
      </c>
      <c r="G13459" t="inlineStr" s="6">
        <is>
          <t xml:space="preserve">Dedenne's whiskers serve as antennas. By sending and receiving electrical waves, it can communicate with others over vast distances. It uses its tail to absorb electricity from power plants or from outlets in houses, and then it fires the electricity from its whiskers. It sneaks into people’s homes and steals electricity from their outlets. When your electric bill seems off, it’s the handiwork of this rascal. Its upper whiskers are sensors that survey its surroundings. Its lower whiskers are organs that shoot electricity. A Dedenne’s whiskers pick up electrical waves other Dedenne send out. These Pokémon share locations of food or electricity with one another. Since Dedenne can’t generate much electricity on its own, it steals electricity from outlets or other electric Pokémon.</t>
        </is>
      </c>
    </row>
    <row r="13460" ht="33.75" customHeight="1">
      <c r="A13460" s="7">
        <v>702.0</v>
      </c>
      <c r="B13460" s="9" t="s">
        <v>18314</v>
      </c>
      <c r="C13460" s="9" t="s">
        <v>1024</v>
      </c>
      <c r="D13460" s="9" t="s">
        <v>105</v>
      </c>
      <c r="E13460" s="6" t="s">
        <v>12089</v>
      </c>
      <c r="F13460" s="9" t="s">
        <v>19984</v>
      </c>
    </row>
    <row r="13461" ht="33.75" customHeight="1">
      <c r="A13461" s="7">
        <v>702.0</v>
      </c>
      <c r="B13461" s="9" t="s">
        <v>18314</v>
      </c>
      <c r="C13461" s="9" t="s">
        <v>1024</v>
      </c>
      <c r="D13461" s="9" t="s">
        <v>107</v>
      </c>
      <c r="E13461" s="6" t="s">
        <v>12087</v>
      </c>
      <c r="F13461" s="9" t="s">
        <v>19984</v>
      </c>
    </row>
    <row r="13462" ht="33.75" customHeight="1">
      <c r="A13462" s="7">
        <v>702.0</v>
      </c>
      <c r="B13462" s="9" t="s">
        <v>18314</v>
      </c>
      <c r="C13462" s="9" t="s">
        <v>1024</v>
      </c>
      <c r="D13462" s="9" t="s">
        <v>109</v>
      </c>
      <c r="E13462" s="6" t="s">
        <v>12089</v>
      </c>
      <c r="F13462" s="9" t="s">
        <v>19984</v>
      </c>
    </row>
    <row r="13463" ht="33.75" customHeight="1">
      <c r="A13463" s="7">
        <v>702.0</v>
      </c>
      <c r="B13463" s="9" t="s">
        <v>18314</v>
      </c>
      <c r="C13463" s="9" t="s">
        <v>1024</v>
      </c>
      <c r="D13463" s="9" t="s">
        <v>647</v>
      </c>
      <c r="E13463" s="6" t="s">
        <v>12090</v>
      </c>
      <c r="F13463" s="9" t="s">
        <v>19984</v>
      </c>
    </row>
    <row r="13464" ht="33.75" customHeight="1">
      <c r="A13464" s="7">
        <v>702.0</v>
      </c>
      <c r="B13464" s="9" t="s">
        <v>18314</v>
      </c>
      <c r="C13464" s="9" t="s">
        <v>1024</v>
      </c>
      <c r="D13464" s="9" t="s">
        <v>652</v>
      </c>
      <c r="E13464" s="6" t="s">
        <v>12092</v>
      </c>
      <c r="F13464" s="9" t="s">
        <v>19984</v>
      </c>
    </row>
    <row r="13465" ht="33.75" customHeight="1">
      <c r="A13465" s="7">
        <v>702.0</v>
      </c>
      <c r="B13465" s="9" t="s">
        <v>18314</v>
      </c>
      <c r="C13465" s="9" t="s">
        <v>1024</v>
      </c>
      <c r="D13465" s="9" t="s">
        <v>114</v>
      </c>
      <c r="E13465" s="6" t="s">
        <v>12093</v>
      </c>
      <c r="F13465" s="9" t="s">
        <v>19984</v>
      </c>
    </row>
    <row r="13466" ht="33.75" customHeight="1">
      <c r="A13466" s="7">
        <v>702.0</v>
      </c>
      <c r="B13466" s="9" t="s">
        <v>18314</v>
      </c>
      <c r="C13466" s="9" t="s">
        <v>1024</v>
      </c>
      <c r="D13466" s="9" t="s">
        <v>117</v>
      </c>
      <c r="E13466" s="6" t="s">
        <v>12094</v>
      </c>
      <c r="F13466" s="9" t="s">
        <v>19984</v>
      </c>
    </row>
    <row r="13467" ht="33.75" customHeight="1">
      <c r="A13467" s="7">
        <v>703.0</v>
      </c>
      <c r="B13467" s="9" t="s">
        <v>18322</v>
      </c>
      <c r="C13467" s="9" t="s">
        <v>1026</v>
      </c>
      <c r="D13467" s="9" t="s">
        <v>101</v>
      </c>
      <c r="E13467" s="6" t="s">
        <v>12096</v>
      </c>
      <c r="F13467" s="9" t="s">
        <v>19985</v>
      </c>
      <c r="G13467" t="inlineStr" s="6">
        <is>
          <t xml:space="preserve">Born from the temperatures and pressures deep underground, it fires beams from the stone in Carbink's head. It has slept underground for hundreds of millions of years since its birth. It’s occasionally found during the excavation of caves. Born from the high temperatures and pressures deep underground, it defends itself by firing beams from the jewel part of its body. Although this Pokémon is not especially rare, its glittering, jewel-draped body draws attention from people. Some say that deep beneath the surface of the world, a pack of Carbink live with their queen in a kingdom of jewels. To keep the jewels on their bodies free of tarnish, packs of Carbink use their soft manes to polish one another’s jewels. When beset by attackers, Carbink wipes them all out by firing high-energy beams from the gems embedded in its body. It’s said that somewhere in the world, there’s a mineral vein housing a large pack of slumbering Carbink. It’s also said that this pack has a queen.</t>
        </is>
      </c>
    </row>
    <row r="13468" ht="33.75" customHeight="1">
      <c r="A13468" s="7">
        <v>703.0</v>
      </c>
      <c r="B13468" s="9" t="s">
        <v>18322</v>
      </c>
      <c r="C13468" s="9" t="s">
        <v>1026</v>
      </c>
      <c r="D13468" s="9" t="s">
        <v>105</v>
      </c>
      <c r="E13468" s="6" t="s">
        <v>12097</v>
      </c>
      <c r="F13468" s="9" t="s">
        <v>19985</v>
      </c>
    </row>
    <row r="13469" ht="33.75" customHeight="1">
      <c r="A13469" s="7">
        <v>703.0</v>
      </c>
      <c r="B13469" s="9" t="s">
        <v>18322</v>
      </c>
      <c r="C13469" s="9" t="s">
        <v>1026</v>
      </c>
      <c r="D13469" s="9" t="s">
        <v>107</v>
      </c>
      <c r="E13469" s="6" t="s">
        <v>12096</v>
      </c>
      <c r="F13469" s="9" t="s">
        <v>19985</v>
      </c>
    </row>
    <row r="13470" ht="33.75" customHeight="1">
      <c r="A13470" s="7">
        <v>703.0</v>
      </c>
      <c r="B13470" s="9" t="s">
        <v>18322</v>
      </c>
      <c r="C13470" s="9" t="s">
        <v>1026</v>
      </c>
      <c r="D13470" s="9" t="s">
        <v>109</v>
      </c>
      <c r="E13470" s="6" t="s">
        <v>12097</v>
      </c>
      <c r="F13470" s="9" t="s">
        <v>19985</v>
      </c>
    </row>
    <row r="13471" ht="33.75" customHeight="1">
      <c r="A13471" s="7">
        <v>703.0</v>
      </c>
      <c r="B13471" s="9" t="s">
        <v>18322</v>
      </c>
      <c r="C13471" s="9" t="s">
        <v>1026</v>
      </c>
      <c r="D13471" s="9" t="s">
        <v>637</v>
      </c>
      <c r="E13471" s="6" t="s">
        <v>12099</v>
      </c>
      <c r="F13471" s="9" t="s">
        <v>19985</v>
      </c>
    </row>
    <row r="13472" ht="33.75" customHeight="1">
      <c r="A13472" s="7">
        <v>703.0</v>
      </c>
      <c r="B13472" s="9" t="s">
        <v>18322</v>
      </c>
      <c r="C13472" s="9" t="s">
        <v>1026</v>
      </c>
      <c r="D13472" s="9" t="s">
        <v>642</v>
      </c>
      <c r="E13472" s="6" t="s">
        <v>12101</v>
      </c>
      <c r="F13472" s="9" t="s">
        <v>19985</v>
      </c>
    </row>
    <row r="13473" ht="33.75" customHeight="1">
      <c r="A13473" s="7">
        <v>703.0</v>
      </c>
      <c r="B13473" s="9" t="s">
        <v>18322</v>
      </c>
      <c r="C13473" s="9" t="s">
        <v>1026</v>
      </c>
      <c r="D13473" s="9" t="s">
        <v>647</v>
      </c>
      <c r="E13473" s="6" t="s">
        <v>12102</v>
      </c>
      <c r="F13473" s="9" t="s">
        <v>19985</v>
      </c>
    </row>
    <row r="13474" ht="33.75" customHeight="1">
      <c r="A13474" s="7">
        <v>703.0</v>
      </c>
      <c r="B13474" s="9" t="s">
        <v>18322</v>
      </c>
      <c r="C13474" s="9" t="s">
        <v>1026</v>
      </c>
      <c r="D13474" s="9" t="s">
        <v>652</v>
      </c>
      <c r="E13474" s="6" t="s">
        <v>12103</v>
      </c>
      <c r="F13474" s="9" t="s">
        <v>19985</v>
      </c>
    </row>
    <row r="13475" ht="33.75" customHeight="1">
      <c r="A13475" s="7">
        <v>703.0</v>
      </c>
      <c r="B13475" s="9" t="s">
        <v>18322</v>
      </c>
      <c r="C13475" s="9" t="s">
        <v>1026</v>
      </c>
      <c r="D13475" s="9" t="s">
        <v>114</v>
      </c>
      <c r="E13475" s="6" t="s">
        <v>12104</v>
      </c>
      <c r="F13475" s="9" t="s">
        <v>19985</v>
      </c>
    </row>
    <row r="13476" ht="33.75" customHeight="1">
      <c r="A13476" s="7">
        <v>703.0</v>
      </c>
      <c r="B13476" s="9" t="s">
        <v>18322</v>
      </c>
      <c r="C13476" s="9" t="s">
        <v>1026</v>
      </c>
      <c r="D13476" s="9" t="s">
        <v>117</v>
      </c>
      <c r="E13476" s="6" t="s">
        <v>12105</v>
      </c>
      <c r="F13476" s="9" t="s">
        <v>19985</v>
      </c>
    </row>
    <row r="13477" ht="33.75" customHeight="1">
      <c r="A13477" s="7">
        <v>704.0</v>
      </c>
      <c r="B13477" s="9" t="s">
        <v>18333</v>
      </c>
      <c r="C13477" s="9" t="s">
        <v>1028</v>
      </c>
      <c r="D13477" s="9" t="s">
        <v>101</v>
      </c>
      <c r="E13477" s="6" t="s">
        <v>12106</v>
      </c>
      <c r="F13477" s="9" t="s">
        <v>19986</v>
      </c>
      <c r="G13477" t="inlineStr" s="6">
        <is>
          <t xml:space="preserve">The weakest Dragon-type Pokémon, it lives in damp, shady places, so Goomy's body doesn’t dry out. It’s covered in a slimy membrane that makes any punches or kicks slide off it harmlessly. The weakest of all Dragon-type Pokémon, it’s unable to breathe if its skin dries out, so it sticks to shady places. Its source of protection is its slimy, germ-laden mucous membrane. Anyone who touches it needs some thorough hand-washing. It uses its horns to check out its surroundings. They’re very sensitive, so if you grab them, it will feel a strong shock and be unable to move. Its body is mostly water. If it dries out, it will die, so it’s always sitting with perfect stillness in the shade. Because most of its body is water, it will dry up if the weather becomes too arid. It’s considered the weakest dragon Pokémon. Their horns are powerful sensors. As soon as Goomy pick up any sign of enemies, they go into hiding. This is how they’ve survived. Goomy hides away in the shade of trees, where it's nice and humid. If the slime coating its body dries out, the Pokémon instantly becomes lethargic.</t>
        </is>
      </c>
    </row>
    <row r="13478" ht="33.75" customHeight="1">
      <c r="A13478" s="7">
        <v>704.0</v>
      </c>
      <c r="B13478" s="9" t="s">
        <v>18333</v>
      </c>
      <c r="C13478" s="9" t="s">
        <v>1028</v>
      </c>
      <c r="D13478" s="9" t="s">
        <v>105</v>
      </c>
      <c r="E13478" s="6" t="s">
        <v>12107</v>
      </c>
      <c r="F13478" s="9" t="s">
        <v>19986</v>
      </c>
    </row>
    <row r="13479" ht="33.75" customHeight="1">
      <c r="A13479" s="7">
        <v>704.0</v>
      </c>
      <c r="B13479" s="9" t="s">
        <v>18333</v>
      </c>
      <c r="C13479" s="9" t="s">
        <v>1028</v>
      </c>
      <c r="D13479" s="9" t="s">
        <v>107</v>
      </c>
      <c r="E13479" s="6" t="s">
        <v>12106</v>
      </c>
      <c r="F13479" s="9" t="s">
        <v>19986</v>
      </c>
    </row>
    <row r="13480" ht="33.75" customHeight="1">
      <c r="A13480" s="7">
        <v>704.0</v>
      </c>
      <c r="B13480" s="9" t="s">
        <v>18333</v>
      </c>
      <c r="C13480" s="9" t="s">
        <v>1028</v>
      </c>
      <c r="D13480" s="9" t="s">
        <v>109</v>
      </c>
      <c r="E13480" s="6" t="s">
        <v>12107</v>
      </c>
      <c r="F13480" s="9" t="s">
        <v>19986</v>
      </c>
    </row>
    <row r="13481" ht="33.75" customHeight="1">
      <c r="A13481" s="7">
        <v>704.0</v>
      </c>
      <c r="B13481" s="9" t="s">
        <v>18333</v>
      </c>
      <c r="C13481" s="9" t="s">
        <v>1028</v>
      </c>
      <c r="D13481" s="9" t="s">
        <v>637</v>
      </c>
      <c r="E13481" s="6" t="s">
        <v>12108</v>
      </c>
      <c r="F13481" s="9" t="s">
        <v>19986</v>
      </c>
    </row>
    <row r="13482" ht="33.75" customHeight="1">
      <c r="A13482" s="7">
        <v>704.0</v>
      </c>
      <c r="B13482" s="9" t="s">
        <v>18333</v>
      </c>
      <c r="C13482" s="9" t="s">
        <v>1028</v>
      </c>
      <c r="D13482" s="9" t="s">
        <v>642</v>
      </c>
      <c r="E13482" s="6" t="s">
        <v>12110</v>
      </c>
      <c r="F13482" s="9" t="s">
        <v>19986</v>
      </c>
    </row>
    <row r="13483" ht="33.75" customHeight="1">
      <c r="A13483" s="7">
        <v>704.0</v>
      </c>
      <c r="B13483" s="9" t="s">
        <v>18333</v>
      </c>
      <c r="C13483" s="9" t="s">
        <v>1028</v>
      </c>
      <c r="D13483" s="9" t="s">
        <v>647</v>
      </c>
      <c r="E13483" s="6" t="s">
        <v>12111</v>
      </c>
      <c r="F13483" s="9" t="s">
        <v>19986</v>
      </c>
    </row>
    <row r="13484" ht="33.75" customHeight="1">
      <c r="A13484" s="7">
        <v>704.0</v>
      </c>
      <c r="B13484" s="9" t="s">
        <v>18333</v>
      </c>
      <c r="C13484" s="9" t="s">
        <v>1028</v>
      </c>
      <c r="D13484" s="9" t="s">
        <v>652</v>
      </c>
      <c r="E13484" s="6" t="s">
        <v>12112</v>
      </c>
      <c r="F13484" s="9" t="s">
        <v>19986</v>
      </c>
    </row>
    <row r="13485" ht="33.75" customHeight="1">
      <c r="A13485" s="7">
        <v>704.0</v>
      </c>
      <c r="B13485" s="9" t="s">
        <v>18333</v>
      </c>
      <c r="C13485" s="9" t="s">
        <v>1028</v>
      </c>
      <c r="D13485" s="9" t="s">
        <v>114</v>
      </c>
      <c r="E13485" s="6" t="s">
        <v>12113</v>
      </c>
      <c r="F13485" s="9" t="s">
        <v>19986</v>
      </c>
    </row>
    <row r="13486" ht="33.75" customHeight="1">
      <c r="A13486" s="7">
        <v>704.0</v>
      </c>
      <c r="B13486" s="9" t="s">
        <v>18333</v>
      </c>
      <c r="C13486" s="9" t="s">
        <v>1028</v>
      </c>
      <c r="D13486" s="9" t="s">
        <v>117</v>
      </c>
      <c r="E13486" s="6" t="s">
        <v>12114</v>
      </c>
      <c r="F13486" s="9" t="s">
        <v>19986</v>
      </c>
    </row>
    <row r="13487" ht="33.75" customHeight="1">
      <c r="A13487" s="7">
        <v>704.0</v>
      </c>
      <c r="B13487" s="9" t="s">
        <v>18333</v>
      </c>
      <c r="C13487" s="9" t="s">
        <v>1028</v>
      </c>
      <c r="D13487" s="9" t="s">
        <v>1577</v>
      </c>
      <c r="E13487" s="6" t="s">
        <v>12115</v>
      </c>
      <c r="F13487" s="9" t="s">
        <v>19986</v>
      </c>
    </row>
    <row r="13488" ht="33.75" customHeight="1">
      <c r="A13488" s="7">
        <v>705.0</v>
      </c>
      <c r="B13488" s="9" t="s">
        <v>18345</v>
      </c>
      <c r="C13488" s="9" t="s">
        <v>1028</v>
      </c>
      <c r="D13488" s="9" t="s">
        <v>101</v>
      </c>
      <c r="E13488" s="6" t="s">
        <v>12116</v>
      </c>
      <c r="F13488" s="9" t="s">
        <v>19987</v>
      </c>
      <c r="G13488" t="inlineStr" s="6">
        <is>
          <t xml:space="preserve">It drives away opponents by excreting a sticky liquid that can dissolve anything. Its eyes devolved, so it can’t see anything. Its four horns are a high-performance radar system. It uses them to sense sounds and smells, rather than using ears or a nose. It has trouble drawing a line between friends and food. It will calmly try to melt and eat even those it gets along well with. This Pokémon’s mucous can dissolve anything. Toothless, it sprays mucous on its prey. Once they’re nicely dissolved, it slurps them up. It crawls along sluggishly. The swirly protrusion on its back is filled with its brain and other organs. Its entire body is covered with gooey mucus that can dissolve anything. Be sure to put gloves on if you’re going to touch it. Although this Pokémon isn’t very strong, its body is coated in a caustic slime that can melt through anything, so predators steer clear of it. The lump on its back contains its tiny brain. It thinks only of food and escaping its enemies. A creature given to melancholy. I suspect its metallic shell developed as a result of the mucus on its skin reacting with the iron in Hisui's water.</t>
        </is>
      </c>
    </row>
    <row r="13489" ht="33.75" customHeight="1">
      <c r="A13489" s="7">
        <v>705.0</v>
      </c>
      <c r="B13489" s="9" t="s">
        <v>18345</v>
      </c>
      <c r="C13489" s="9" t="s">
        <v>1028</v>
      </c>
      <c r="D13489" s="9" t="s">
        <v>105</v>
      </c>
      <c r="E13489" s="6" t="s">
        <v>12117</v>
      </c>
      <c r="F13489" s="9" t="s">
        <v>19987</v>
      </c>
    </row>
    <row r="13490" ht="33.75" customHeight="1">
      <c r="A13490" s="7">
        <v>705.0</v>
      </c>
      <c r="B13490" s="9" t="s">
        <v>18345</v>
      </c>
      <c r="C13490" s="9" t="s">
        <v>1028</v>
      </c>
      <c r="D13490" s="9" t="s">
        <v>107</v>
      </c>
      <c r="E13490" s="6" t="s">
        <v>12116</v>
      </c>
      <c r="F13490" s="9" t="s">
        <v>19987</v>
      </c>
    </row>
    <row r="13491" ht="33.75" customHeight="1">
      <c r="A13491" s="7">
        <v>705.0</v>
      </c>
      <c r="B13491" s="9" t="s">
        <v>18345</v>
      </c>
      <c r="C13491" s="9" t="s">
        <v>1028</v>
      </c>
      <c r="D13491" s="9" t="s">
        <v>109</v>
      </c>
      <c r="E13491" s="6" t="s">
        <v>12117</v>
      </c>
      <c r="F13491" s="9" t="s">
        <v>19987</v>
      </c>
    </row>
    <row r="13492" ht="33.75" customHeight="1">
      <c r="A13492" s="7">
        <v>705.0</v>
      </c>
      <c r="B13492" s="9" t="s">
        <v>18345</v>
      </c>
      <c r="C13492" s="9" t="s">
        <v>1028</v>
      </c>
      <c r="D13492" s="9" t="s">
        <v>637</v>
      </c>
      <c r="E13492" s="6" t="s">
        <v>12120</v>
      </c>
      <c r="F13492" s="9" t="s">
        <v>19987</v>
      </c>
    </row>
    <row r="13493" ht="33.75" customHeight="1">
      <c r="A13493" s="7">
        <v>705.0</v>
      </c>
      <c r="B13493" s="9" t="s">
        <v>18345</v>
      </c>
      <c r="C13493" s="9" t="s">
        <v>1028</v>
      </c>
      <c r="D13493" s="9" t="s">
        <v>642</v>
      </c>
      <c r="E13493" s="6" t="s">
        <v>12121</v>
      </c>
      <c r="F13493" s="9" t="s">
        <v>19987</v>
      </c>
    </row>
    <row r="13494" ht="33.75" customHeight="1">
      <c r="A13494" s="7">
        <v>705.0</v>
      </c>
      <c r="B13494" s="9" t="s">
        <v>18345</v>
      </c>
      <c r="C13494" s="9" t="s">
        <v>1028</v>
      </c>
      <c r="D13494" s="9" t="s">
        <v>647</v>
      </c>
      <c r="E13494" s="6" t="s">
        <v>12122</v>
      </c>
      <c r="F13494" s="9" t="s">
        <v>19987</v>
      </c>
    </row>
    <row r="13495" ht="33.75" customHeight="1">
      <c r="A13495" s="7">
        <v>705.0</v>
      </c>
      <c r="B13495" s="9" t="s">
        <v>18345</v>
      </c>
      <c r="C13495" s="9" t="s">
        <v>1028</v>
      </c>
      <c r="D13495" s="9" t="s">
        <v>652</v>
      </c>
      <c r="E13495" s="6" t="s">
        <v>12124</v>
      </c>
      <c r="F13495" s="9" t="s">
        <v>19987</v>
      </c>
    </row>
    <row r="13496" ht="33.75" customHeight="1">
      <c r="A13496" s="7">
        <v>705.0</v>
      </c>
      <c r="B13496" s="9" t="s">
        <v>18345</v>
      </c>
      <c r="C13496" s="9" t="s">
        <v>1028</v>
      </c>
      <c r="D13496" s="9" t="s">
        <v>114</v>
      </c>
      <c r="E13496" s="6" t="s">
        <v>12127</v>
      </c>
      <c r="F13496" s="9" t="s">
        <v>19987</v>
      </c>
    </row>
    <row r="13497" ht="33.75" customHeight="1">
      <c r="A13497" s="7">
        <v>705.0</v>
      </c>
      <c r="B13497" s="9" t="s">
        <v>18345</v>
      </c>
      <c r="C13497" s="9" t="s">
        <v>1028</v>
      </c>
      <c r="D13497" s="9" t="s">
        <v>117</v>
      </c>
      <c r="E13497" s="6" t="s">
        <v>12129</v>
      </c>
      <c r="F13497" s="9" t="s">
        <v>19987</v>
      </c>
    </row>
    <row r="13498" ht="33.75" customHeight="1">
      <c r="A13498" s="7">
        <v>705.0</v>
      </c>
      <c r="B13498" s="9" t="s">
        <v>18345</v>
      </c>
      <c r="C13498" s="9" t="s">
        <v>1028</v>
      </c>
      <c r="D13498" s="9" t="s">
        <v>1577</v>
      </c>
      <c r="E13498" s="6" t="s">
        <v>12130</v>
      </c>
      <c r="F13498" s="9" t="s">
        <v>19987</v>
      </c>
    </row>
    <row r="13499" ht="33.75" customHeight="1">
      <c r="A13499" s="7">
        <v>706.0</v>
      </c>
      <c r="B13499" s="9" t="s">
        <v>18356</v>
      </c>
      <c r="C13499" s="9" t="s">
        <v>195</v>
      </c>
      <c r="D13499" s="9" t="s">
        <v>101</v>
      </c>
      <c r="E13499" s="6" t="s">
        <v>12133</v>
      </c>
      <c r="F13499" s="9" t="s">
        <v>19988</v>
      </c>
      <c r="G13499" t="inlineStr" s="6">
        <is>
          <t xml:space="preserve">This very friendly Dragon-type Pokémon will hug Goodra's beloved Trainer, leaving that Trainer covered in sticky slime. It attacks with retractable horns. It throws a punch that’s the equivalent of the force of a hundred pro boxers. An amazingly friendly Pokémon, but if left to itself, loneliness overcomes it, and it oozes gooey tears. It gets picked on because it’s meek. But then, whoever teased it gets to feel the full force of its horns and a good swatting from its thick tail. It’s very friendly toward people. If you grow close to it, Goodra will hug you with its sticky, slime-covered body. Don’t get mad. Underneath its slimy skin is a thick layer of fat, and the combination of the two makes enemies’ attacks slide right off. Sometimes it misunderstands instructions and appears dazed or bewildered. Many Trainers don’t mind, finding this behavior to be adorable. Its form of offense is forcefully stretching out its horns. The strikes land 100 times harder than any blow from a heavyweight boxer. Able to freely control the hardness of its metallic shell. It loathes solitude and is extremely clingy—it will fume and run riot if those dearest to it ever leave its side.</t>
        </is>
      </c>
    </row>
    <row r="13500" ht="33.75" customHeight="1">
      <c r="A13500" s="7">
        <v>706.0</v>
      </c>
      <c r="B13500" s="9" t="s">
        <v>18356</v>
      </c>
      <c r="C13500" s="9" t="s">
        <v>195</v>
      </c>
      <c r="D13500" s="9" t="s">
        <v>105</v>
      </c>
      <c r="E13500" s="6" t="s">
        <v>12134</v>
      </c>
      <c r="F13500" s="9" t="s">
        <v>19988</v>
      </c>
    </row>
    <row r="13501" ht="33.75" customHeight="1">
      <c r="A13501" s="7">
        <v>706.0</v>
      </c>
      <c r="B13501" s="9" t="s">
        <v>18356</v>
      </c>
      <c r="C13501" s="9" t="s">
        <v>195</v>
      </c>
      <c r="D13501" s="9" t="s">
        <v>107</v>
      </c>
      <c r="E13501" s="6" t="s">
        <v>12133</v>
      </c>
      <c r="F13501" s="9" t="s">
        <v>19988</v>
      </c>
    </row>
    <row r="13502" ht="33.75" customHeight="1">
      <c r="A13502" s="7">
        <v>706.0</v>
      </c>
      <c r="B13502" s="9" t="s">
        <v>18356</v>
      </c>
      <c r="C13502" s="9" t="s">
        <v>195</v>
      </c>
      <c r="D13502" s="9" t="s">
        <v>109</v>
      </c>
      <c r="E13502" s="6" t="s">
        <v>12134</v>
      </c>
      <c r="F13502" s="9" t="s">
        <v>19988</v>
      </c>
    </row>
    <row r="13503" ht="33.75" customHeight="1">
      <c r="A13503" s="7">
        <v>706.0</v>
      </c>
      <c r="B13503" s="9" t="s">
        <v>18356</v>
      </c>
      <c r="C13503" s="9" t="s">
        <v>195</v>
      </c>
      <c r="D13503" s="9" t="s">
        <v>637</v>
      </c>
      <c r="E13503" s="6" t="s">
        <v>12136</v>
      </c>
      <c r="F13503" s="9" t="s">
        <v>19988</v>
      </c>
    </row>
    <row r="13504" ht="33.75" customHeight="1">
      <c r="A13504" s="7">
        <v>706.0</v>
      </c>
      <c r="B13504" s="9" t="s">
        <v>18356</v>
      </c>
      <c r="C13504" s="9" t="s">
        <v>195</v>
      </c>
      <c r="D13504" s="9" t="s">
        <v>642</v>
      </c>
      <c r="E13504" s="6" t="s">
        <v>12137</v>
      </c>
      <c r="F13504" s="9" t="s">
        <v>19988</v>
      </c>
    </row>
    <row r="13505" ht="33.75" customHeight="1">
      <c r="A13505" s="7">
        <v>706.0</v>
      </c>
      <c r="B13505" s="9" t="s">
        <v>18356</v>
      </c>
      <c r="C13505" s="9" t="s">
        <v>195</v>
      </c>
      <c r="D13505" s="9" t="s">
        <v>647</v>
      </c>
      <c r="E13505" s="6" t="s">
        <v>12139</v>
      </c>
      <c r="F13505" s="9" t="s">
        <v>19988</v>
      </c>
    </row>
    <row r="13506" ht="33.75" customHeight="1">
      <c r="A13506" s="7">
        <v>706.0</v>
      </c>
      <c r="B13506" s="9" t="s">
        <v>18356</v>
      </c>
      <c r="C13506" s="9" t="s">
        <v>195</v>
      </c>
      <c r="D13506" s="9" t="s">
        <v>652</v>
      </c>
      <c r="E13506" s="6" t="s">
        <v>12140</v>
      </c>
      <c r="F13506" s="9" t="s">
        <v>19988</v>
      </c>
    </row>
    <row r="13507" ht="33.75" customHeight="1">
      <c r="A13507" s="7">
        <v>706.0</v>
      </c>
      <c r="B13507" s="9" t="s">
        <v>18356</v>
      </c>
      <c r="C13507" s="9" t="s">
        <v>195</v>
      </c>
      <c r="D13507" s="9" t="s">
        <v>114</v>
      </c>
      <c r="E13507" s="6" t="s">
        <v>12141</v>
      </c>
      <c r="F13507" s="9" t="s">
        <v>19988</v>
      </c>
    </row>
    <row r="13508" ht="33.75" customHeight="1">
      <c r="A13508" s="7">
        <v>706.0</v>
      </c>
      <c r="B13508" s="9" t="s">
        <v>18356</v>
      </c>
      <c r="C13508" s="9" t="s">
        <v>195</v>
      </c>
      <c r="D13508" s="9" t="s">
        <v>117</v>
      </c>
      <c r="E13508" s="6" t="s">
        <v>12142</v>
      </c>
      <c r="F13508" s="9" t="s">
        <v>19988</v>
      </c>
    </row>
    <row r="13509" ht="33.75" customHeight="1">
      <c r="A13509" s="7">
        <v>706.0</v>
      </c>
      <c r="B13509" s="9" t="s">
        <v>18356</v>
      </c>
      <c r="C13509" s="9" t="s">
        <v>195</v>
      </c>
      <c r="D13509" s="9" t="s">
        <v>1577</v>
      </c>
      <c r="E13509" s="6" t="s">
        <v>12144</v>
      </c>
      <c r="F13509" s="9" t="s">
        <v>19988</v>
      </c>
    </row>
    <row r="13510" ht="33.75" customHeight="1">
      <c r="A13510" s="7">
        <v>707.0</v>
      </c>
      <c r="B13510" s="9" t="s">
        <v>18367</v>
      </c>
      <c r="C13510" s="9" t="s">
        <v>1030</v>
      </c>
      <c r="D13510" s="9" t="s">
        <v>101</v>
      </c>
      <c r="E13510" s="6" t="s">
        <v>12146</v>
      </c>
      <c r="F13510" s="9" t="s">
        <v>19989</v>
      </c>
      <c r="G13510" t="inlineStr" s="6">
        <is>
          <t xml:space="preserve">These key collectors threaten any attackers by fiercely jingling their keys at them. It never lets go of a key that it likes, so people give it the keys to vaults and safes as a way to prevent crime. This even-tempered Pokémon has a habit of collecting keys. It will sneak into people’s homes to steal their keys. It inserts its horn into chinks in metal, absorbing metal ions. For some reason, it collects keys. Although it’s unclear why it collects keys, giving it a key makes Klefki very happy. However, it apparently only likes master keys. Long ago it lived in mines, but once the minerals that make up its diet became scarcer, Klefki began appearing in human settlements. This Pokémon is constantly collecting keys. Entrust a Klefki with important keys, and the Pokémon will protect them no matter what. Klefki sucks in metal ions with the horn topping its head. It seems this Pokémon loves keys so much that its head needed to look like one, too.</t>
        </is>
      </c>
    </row>
    <row r="13511" ht="33.75" customHeight="1">
      <c r="A13511" s="7">
        <v>707.0</v>
      </c>
      <c r="B13511" s="9" t="s">
        <v>18367</v>
      </c>
      <c r="C13511" s="9" t="s">
        <v>1030</v>
      </c>
      <c r="D13511" s="9" t="s">
        <v>105</v>
      </c>
      <c r="E13511" s="6" t="s">
        <v>12147</v>
      </c>
      <c r="F13511" s="9" t="s">
        <v>19989</v>
      </c>
    </row>
    <row r="13512" ht="33.75" customHeight="1">
      <c r="A13512" s="7">
        <v>707.0</v>
      </c>
      <c r="B13512" s="9" t="s">
        <v>18367</v>
      </c>
      <c r="C13512" s="9" t="s">
        <v>1030</v>
      </c>
      <c r="D13512" s="9" t="s">
        <v>107</v>
      </c>
      <c r="E13512" s="6" t="s">
        <v>12146</v>
      </c>
      <c r="F13512" s="9" t="s">
        <v>19989</v>
      </c>
    </row>
    <row r="13513" ht="33.75" customHeight="1">
      <c r="A13513" s="7">
        <v>707.0</v>
      </c>
      <c r="B13513" s="9" t="s">
        <v>18367</v>
      </c>
      <c r="C13513" s="9" t="s">
        <v>1030</v>
      </c>
      <c r="D13513" s="9" t="s">
        <v>109</v>
      </c>
      <c r="E13513" s="6" t="s">
        <v>12147</v>
      </c>
      <c r="F13513" s="9" t="s">
        <v>19989</v>
      </c>
    </row>
    <row r="13514" ht="33.75" customHeight="1">
      <c r="A13514" s="7">
        <v>707.0</v>
      </c>
      <c r="B13514" s="9" t="s">
        <v>18367</v>
      </c>
      <c r="C13514" s="9" t="s">
        <v>1030</v>
      </c>
      <c r="D13514" s="9" t="s">
        <v>637</v>
      </c>
      <c r="E13514" s="6" t="s">
        <v>12149</v>
      </c>
      <c r="F13514" s="9" t="s">
        <v>19989</v>
      </c>
    </row>
    <row r="13515" ht="33.75" customHeight="1">
      <c r="A13515" s="7">
        <v>707.0</v>
      </c>
      <c r="B13515" s="9" t="s">
        <v>18367</v>
      </c>
      <c r="C13515" s="9" t="s">
        <v>1030</v>
      </c>
      <c r="D13515" s="9" t="s">
        <v>642</v>
      </c>
      <c r="E13515" s="6" t="s">
        <v>12150</v>
      </c>
      <c r="F13515" s="9" t="s">
        <v>19989</v>
      </c>
    </row>
    <row r="13516" ht="33.75" customHeight="1">
      <c r="A13516" s="7">
        <v>707.0</v>
      </c>
      <c r="B13516" s="9" t="s">
        <v>18367</v>
      </c>
      <c r="C13516" s="9" t="s">
        <v>1030</v>
      </c>
      <c r="D13516" s="9" t="s">
        <v>647</v>
      </c>
      <c r="E13516" s="6" t="s">
        <v>12151</v>
      </c>
      <c r="F13516" s="9" t="s">
        <v>19989</v>
      </c>
    </row>
    <row r="13517" ht="33.75" customHeight="1">
      <c r="A13517" s="7">
        <v>707.0</v>
      </c>
      <c r="B13517" s="9" t="s">
        <v>18367</v>
      </c>
      <c r="C13517" s="9" t="s">
        <v>1030</v>
      </c>
      <c r="D13517" s="9" t="s">
        <v>652</v>
      </c>
      <c r="E13517" s="6" t="s">
        <v>12153</v>
      </c>
      <c r="F13517" s="9" t="s">
        <v>19989</v>
      </c>
    </row>
    <row r="13518" ht="33.75" customHeight="1">
      <c r="A13518" s="7">
        <v>707.0</v>
      </c>
      <c r="B13518" s="9" t="s">
        <v>18367</v>
      </c>
      <c r="C13518" s="9" t="s">
        <v>1030</v>
      </c>
      <c r="D13518" s="9" t="s">
        <v>114</v>
      </c>
      <c r="E13518" s="6" t="s">
        <v>12154</v>
      </c>
      <c r="F13518" s="9" t="s">
        <v>19989</v>
      </c>
    </row>
    <row r="13519" ht="33.75" customHeight="1">
      <c r="A13519" s="7">
        <v>707.0</v>
      </c>
      <c r="B13519" s="9" t="s">
        <v>18367</v>
      </c>
      <c r="C13519" s="9" t="s">
        <v>1030</v>
      </c>
      <c r="D13519" s="9" t="s">
        <v>117</v>
      </c>
      <c r="E13519" s="6" t="s">
        <v>12155</v>
      </c>
      <c r="F13519" s="9" t="s">
        <v>19989</v>
      </c>
    </row>
    <row r="13520" ht="33.75" customHeight="1">
      <c r="A13520" s="7">
        <v>708.0</v>
      </c>
      <c r="B13520" s="9" t="s">
        <v>18378</v>
      </c>
      <c r="C13520" s="9" t="s">
        <v>1032</v>
      </c>
      <c r="D13520" s="9" t="s">
        <v>101</v>
      </c>
      <c r="E13520" s="6" t="s">
        <v>12156</v>
      </c>
      <c r="F13520" s="9" t="s">
        <v>19990</v>
      </c>
      <c r="G13520" t="inlineStr" s="6">
        <is>
          <t xml:space="preserve">These Pokémon are created when spirits possess rotten tree stumps. They prefer to live in abandoned forests. According to old tales, these Pokémon are stumps possessed by the spirits of children who died while lost in the forest. These Pokémon are stumps possessed by the spirits of children who died in the forest. Their cries sound like eerie screams. According to legend, medicine to cure any illness can be made by plucking the green leaves on its head, brewing them, and boiling down the liquid. By imitating the voice of a child, it causes people to get hopelessly lost deep in the forest. It’s trying to make friends with them. An unknown spirit came to lodge in a tree stump, creating this Pokémon. A cure-all can be made from an infusion of its green leaves. After a lost child perished in the forest, their spirit possessed a tree stump, causing the spirit’s rebirth as this Pokémon. With a voice like a human child’s, it cries out to lure adults deep into the forest, getting them lost among the trees.</t>
        </is>
      </c>
    </row>
    <row r="13521" ht="33.75" customHeight="1">
      <c r="A13521" s="7">
        <v>708.0</v>
      </c>
      <c r="B13521" s="9" t="s">
        <v>18378</v>
      </c>
      <c r="C13521" s="9" t="s">
        <v>1032</v>
      </c>
      <c r="D13521" s="9" t="s">
        <v>105</v>
      </c>
      <c r="E13521" s="6" t="s">
        <v>12158</v>
      </c>
      <c r="F13521" s="9" t="s">
        <v>19990</v>
      </c>
    </row>
    <row r="13522" ht="33.75" customHeight="1">
      <c r="A13522" s="7">
        <v>708.0</v>
      </c>
      <c r="B13522" s="9" t="s">
        <v>18378</v>
      </c>
      <c r="C13522" s="9" t="s">
        <v>1032</v>
      </c>
      <c r="D13522" s="9" t="s">
        <v>107</v>
      </c>
      <c r="E13522" s="6" t="s">
        <v>12156</v>
      </c>
      <c r="F13522" s="9" t="s">
        <v>19990</v>
      </c>
    </row>
    <row r="13523" ht="33.75" customHeight="1">
      <c r="A13523" s="7">
        <v>708.0</v>
      </c>
      <c r="B13523" s="9" t="s">
        <v>18378</v>
      </c>
      <c r="C13523" s="9" t="s">
        <v>1032</v>
      </c>
      <c r="D13523" s="9" t="s">
        <v>109</v>
      </c>
      <c r="E13523" s="6" t="s">
        <v>12158</v>
      </c>
      <c r="F13523" s="9" t="s">
        <v>19990</v>
      </c>
    </row>
    <row r="13524" ht="33.75" customHeight="1">
      <c r="A13524" s="7">
        <v>708.0</v>
      </c>
      <c r="B13524" s="9" t="s">
        <v>18378</v>
      </c>
      <c r="C13524" s="9" t="s">
        <v>1032</v>
      </c>
      <c r="D13524" s="9" t="s">
        <v>637</v>
      </c>
      <c r="E13524" s="6" t="s">
        <v>12159</v>
      </c>
      <c r="F13524" s="9" t="s">
        <v>19990</v>
      </c>
    </row>
    <row r="13525" ht="33.75" customHeight="1">
      <c r="A13525" s="7">
        <v>708.0</v>
      </c>
      <c r="B13525" s="9" t="s">
        <v>18378</v>
      </c>
      <c r="C13525" s="9" t="s">
        <v>1032</v>
      </c>
      <c r="D13525" s="9" t="s">
        <v>642</v>
      </c>
      <c r="E13525" s="6" t="s">
        <v>12160</v>
      </c>
      <c r="F13525" s="9" t="s">
        <v>19990</v>
      </c>
    </row>
    <row r="13526" ht="33.75" customHeight="1">
      <c r="A13526" s="7">
        <v>708.0</v>
      </c>
      <c r="B13526" s="9" t="s">
        <v>18378</v>
      </c>
      <c r="C13526" s="9" t="s">
        <v>1032</v>
      </c>
      <c r="D13526" s="9" t="s">
        <v>647</v>
      </c>
      <c r="E13526" s="6" t="s">
        <v>12161</v>
      </c>
      <c r="F13526" s="9" t="s">
        <v>19990</v>
      </c>
    </row>
    <row r="13527" ht="33.75" customHeight="1">
      <c r="A13527" s="7">
        <v>708.0</v>
      </c>
      <c r="B13527" s="9" t="s">
        <v>18378</v>
      </c>
      <c r="C13527" s="9" t="s">
        <v>1032</v>
      </c>
      <c r="D13527" s="9" t="s">
        <v>652</v>
      </c>
      <c r="E13527" s="6" t="s">
        <v>12162</v>
      </c>
      <c r="F13527" s="9" t="s">
        <v>19990</v>
      </c>
    </row>
    <row r="13528" ht="33.75" customHeight="1">
      <c r="A13528" s="7">
        <v>708.0</v>
      </c>
      <c r="B13528" s="9" t="s">
        <v>18378</v>
      </c>
      <c r="C13528" s="9" t="s">
        <v>1032</v>
      </c>
      <c r="D13528" s="9" t="s">
        <v>114</v>
      </c>
      <c r="E13528" s="6" t="s">
        <v>12163</v>
      </c>
      <c r="F13528" s="9" t="s">
        <v>19990</v>
      </c>
    </row>
    <row r="13529" ht="33.75" customHeight="1">
      <c r="A13529" s="7">
        <v>708.0</v>
      </c>
      <c r="B13529" s="9" t="s">
        <v>18378</v>
      </c>
      <c r="C13529" s="9" t="s">
        <v>1032</v>
      </c>
      <c r="D13529" s="9" t="s">
        <v>117</v>
      </c>
      <c r="E13529" s="6" t="s">
        <v>12164</v>
      </c>
      <c r="F13529" s="9" t="s">
        <v>19990</v>
      </c>
    </row>
    <row r="13530" ht="33.75" customHeight="1">
      <c r="A13530" s="7">
        <v>709.0</v>
      </c>
      <c r="B13530" s="9" t="s">
        <v>18390</v>
      </c>
      <c r="C13530" s="9" t="s">
        <v>1033</v>
      </c>
      <c r="D13530" s="9" t="s">
        <v>101</v>
      </c>
      <c r="E13530" s="6" t="s">
        <v>12165</v>
      </c>
      <c r="F13530" s="9" t="s">
        <v>19991</v>
      </c>
      <c r="G13530" t="inlineStr" s="6">
        <is>
          <t xml:space="preserve">Trevenant can control trees at will. It will trap people who harm the forest, so they can never leave. Using its roots as a nervous system, it controls the trees in the forest. It’s kind to the Pokémon that reside in its body. This Pokémon is said to devour anyone daring to ravage the forest. To the creatures dwelling in the forest, it offers great kindness. Through its roots, it exerts control over other trees. A deadly curse falls upon anyone cutting down trees in forests where Trevenant dwell. It’s feared as a ghost of the forest. Lumberjacks bring along Fire types, which Trevenant hates, when they enter the forest. This Pokémon controls trees via roots stretching from its feet, and it will attack anyone that dares to ravage the forest. People fear it due to a belief that it devours any who try to cut down trees in its forest, but to the Pokémon it shares its woods with, it’s kind. Small roots that extend from the tips of this Pokémon’s feet can tie into the trees of the forest and give Trevenant control over them.</t>
        </is>
      </c>
    </row>
    <row r="13531" ht="33.75" customHeight="1">
      <c r="A13531" s="7">
        <v>709.0</v>
      </c>
      <c r="B13531" s="9" t="s">
        <v>18390</v>
      </c>
      <c r="C13531" s="9" t="s">
        <v>1033</v>
      </c>
      <c r="D13531" s="9" t="s">
        <v>105</v>
      </c>
      <c r="E13531" s="6" t="s">
        <v>12167</v>
      </c>
      <c r="F13531" s="9" t="s">
        <v>19991</v>
      </c>
    </row>
    <row r="13532" ht="33.75" customHeight="1">
      <c r="A13532" s="7">
        <v>709.0</v>
      </c>
      <c r="B13532" s="9" t="s">
        <v>18390</v>
      </c>
      <c r="C13532" s="9" t="s">
        <v>1033</v>
      </c>
      <c r="D13532" s="9" t="s">
        <v>107</v>
      </c>
      <c r="E13532" s="6" t="s">
        <v>12165</v>
      </c>
      <c r="F13532" s="9" t="s">
        <v>19991</v>
      </c>
    </row>
    <row r="13533" ht="33.75" customHeight="1">
      <c r="A13533" s="7">
        <v>709.0</v>
      </c>
      <c r="B13533" s="9" t="s">
        <v>18390</v>
      </c>
      <c r="C13533" s="9" t="s">
        <v>1033</v>
      </c>
      <c r="D13533" s="9" t="s">
        <v>109</v>
      </c>
      <c r="E13533" s="6" t="s">
        <v>12167</v>
      </c>
      <c r="F13533" s="9" t="s">
        <v>19991</v>
      </c>
    </row>
    <row r="13534" ht="33.75" customHeight="1">
      <c r="A13534" s="7">
        <v>709.0</v>
      </c>
      <c r="B13534" s="9" t="s">
        <v>18390</v>
      </c>
      <c r="C13534" s="9" t="s">
        <v>1033</v>
      </c>
      <c r="D13534" s="9" t="s">
        <v>637</v>
      </c>
      <c r="E13534" s="6" t="s">
        <v>12168</v>
      </c>
      <c r="F13534" s="9" t="s">
        <v>19991</v>
      </c>
    </row>
    <row r="13535" ht="33.75" customHeight="1">
      <c r="A13535" s="7">
        <v>709.0</v>
      </c>
      <c r="B13535" s="9" t="s">
        <v>18390</v>
      </c>
      <c r="C13535" s="9" t="s">
        <v>1033</v>
      </c>
      <c r="D13535" s="9" t="s">
        <v>642</v>
      </c>
      <c r="E13535" s="6" t="s">
        <v>12169</v>
      </c>
      <c r="F13535" s="9" t="s">
        <v>19991</v>
      </c>
    </row>
    <row r="13536" ht="33.75" customHeight="1">
      <c r="A13536" s="7">
        <v>709.0</v>
      </c>
      <c r="B13536" s="9" t="s">
        <v>18390</v>
      </c>
      <c r="C13536" s="9" t="s">
        <v>1033</v>
      </c>
      <c r="D13536" s="9" t="s">
        <v>647</v>
      </c>
      <c r="E13536" s="6" t="s">
        <v>12171</v>
      </c>
      <c r="F13536" s="9" t="s">
        <v>19991</v>
      </c>
    </row>
    <row r="13537" ht="33.75" customHeight="1">
      <c r="A13537" s="7">
        <v>709.0</v>
      </c>
      <c r="B13537" s="9" t="s">
        <v>18390</v>
      </c>
      <c r="C13537" s="9" t="s">
        <v>1033</v>
      </c>
      <c r="D13537" s="9" t="s">
        <v>652</v>
      </c>
      <c r="E13537" s="6" t="s">
        <v>12172</v>
      </c>
      <c r="F13537" s="9" t="s">
        <v>19991</v>
      </c>
    </row>
    <row r="13538" ht="33.75" customHeight="1">
      <c r="A13538" s="7">
        <v>709.0</v>
      </c>
      <c r="B13538" s="9" t="s">
        <v>18390</v>
      </c>
      <c r="C13538" s="9" t="s">
        <v>1033</v>
      </c>
      <c r="D13538" s="9" t="s">
        <v>114</v>
      </c>
      <c r="E13538" s="6" t="s">
        <v>12173</v>
      </c>
      <c r="F13538" s="9" t="s">
        <v>19991</v>
      </c>
    </row>
    <row r="13539" ht="33.75" customHeight="1">
      <c r="A13539" s="7">
        <v>709.0</v>
      </c>
      <c r="B13539" s="9" t="s">
        <v>18390</v>
      </c>
      <c r="C13539" s="9" t="s">
        <v>1033</v>
      </c>
      <c r="D13539" s="9" t="s">
        <v>117</v>
      </c>
      <c r="E13539" s="6" t="s">
        <v>12174</v>
      </c>
      <c r="F13539" s="9" t="s">
        <v>19991</v>
      </c>
    </row>
    <row r="13540" ht="33.75" customHeight="1">
      <c r="A13540" s="7">
        <v>710.0</v>
      </c>
      <c r="B13540" s="9" t="s">
        <v>18401</v>
      </c>
      <c r="C13540" s="9" t="s">
        <v>1035</v>
      </c>
      <c r="D13540" s="9" t="s">
        <v>101</v>
      </c>
      <c r="E13540" s="6" t="s">
        <v>12176</v>
      </c>
      <c r="F13540" s="9" t="s">
        <v>19992</v>
      </c>
      <c r="G13540" t="inlineStr" s="6">
        <is>
          <t xml:space="preserve">The pumpkin body is inhabited by a spirit trapped in this world. As the sun sets, it becomes restless and active. It is said to carry wandering spirits to the place where they belong so they can move on. Spirits that wander this world are placed into Pumpkaboo’s body. They’re then moved on to the afterlife. The light that streams out from the holes in the pumpkin can hypnotize and control the people and Pokémon that see it.</t>
        </is>
      </c>
    </row>
    <row r="13541" ht="33.75" customHeight="1">
      <c r="A13541" s="7">
        <v>710.0</v>
      </c>
      <c r="B13541" s="9" t="s">
        <v>18401</v>
      </c>
      <c r="C13541" s="9" t="s">
        <v>1035</v>
      </c>
      <c r="D13541" s="9" t="s">
        <v>105</v>
      </c>
      <c r="E13541" s="6" t="s">
        <v>12178</v>
      </c>
      <c r="F13541" s="9" t="s">
        <v>19992</v>
      </c>
    </row>
    <row r="13542" ht="33.75" customHeight="1">
      <c r="A13542" s="7">
        <v>710.0</v>
      </c>
      <c r="B13542" s="9" t="s">
        <v>18401</v>
      </c>
      <c r="C13542" s="9" t="s">
        <v>1035</v>
      </c>
      <c r="D13542" s="9" t="s">
        <v>107</v>
      </c>
      <c r="E13542" s="6" t="s">
        <v>12176</v>
      </c>
      <c r="F13542" s="9" t="s">
        <v>19992</v>
      </c>
    </row>
    <row r="13543" ht="33.75" customHeight="1">
      <c r="A13543" s="7">
        <v>710.0</v>
      </c>
      <c r="B13543" s="9" t="s">
        <v>18401</v>
      </c>
      <c r="C13543" s="9" t="s">
        <v>1035</v>
      </c>
      <c r="D13543" s="9" t="s">
        <v>109</v>
      </c>
      <c r="E13543" s="6" t="s">
        <v>12178</v>
      </c>
      <c r="F13543" s="9" t="s">
        <v>19992</v>
      </c>
    </row>
    <row r="13544" ht="33.75" customHeight="1">
      <c r="A13544" s="7">
        <v>710.0</v>
      </c>
      <c r="B13544" s="9" t="s">
        <v>18401</v>
      </c>
      <c r="C13544" s="9" t="s">
        <v>1035</v>
      </c>
      <c r="D13544" s="9" t="s">
        <v>114</v>
      </c>
      <c r="E13544" s="6" t="s">
        <v>12180</v>
      </c>
      <c r="F13544" s="9" t="s">
        <v>19992</v>
      </c>
    </row>
    <row r="13545" ht="33.75" customHeight="1">
      <c r="A13545" s="7">
        <v>710.0</v>
      </c>
      <c r="B13545" s="9" t="s">
        <v>18401</v>
      </c>
      <c r="C13545" s="9" t="s">
        <v>1035</v>
      </c>
      <c r="D13545" s="9" t="s">
        <v>117</v>
      </c>
      <c r="E13545" s="6" t="s">
        <v>12183</v>
      </c>
      <c r="F13545" s="9" t="s">
        <v>19992</v>
      </c>
    </row>
    <row r="13546" ht="33.75" customHeight="1">
      <c r="A13546" s="7">
        <v>711.0</v>
      </c>
      <c r="B13546" s="9" t="s">
        <v>18407</v>
      </c>
      <c r="C13546" s="9" t="s">
        <v>1035</v>
      </c>
      <c r="D13546" s="9" t="s">
        <v>101</v>
      </c>
      <c r="E13546" s="6" t="s">
        <v>12185</v>
      </c>
      <c r="F13546" s="9" t="s">
        <v>19993</v>
      </c>
      <c r="G13546" t="inlineStr" s="6">
        <is>
          <t xml:space="preserve">Singing in eerie voices, they wander town streets on the night of the new moon. Anyone who hears their song is cursed. It enwraps its prey in its hairlike arms. It sings joyfully as it observes the suffering of its prey. Eerie cries emanate from its body in the dead of night. The sounds are said to be the wails of spirits who are suffering in the afterlife. In the darkness of a new-moon night, Gourgeist will come knocking. Whoever answers the door will be swept off to the afterlife.</t>
        </is>
      </c>
    </row>
    <row r="13547" ht="33.75" customHeight="1">
      <c r="A13547" s="7">
        <v>711.0</v>
      </c>
      <c r="B13547" s="9" t="s">
        <v>18407</v>
      </c>
      <c r="C13547" s="9" t="s">
        <v>1035</v>
      </c>
      <c r="D13547" s="9" t="s">
        <v>105</v>
      </c>
      <c r="E13547" s="6" t="s">
        <v>12186</v>
      </c>
      <c r="F13547" s="9" t="s">
        <v>19993</v>
      </c>
    </row>
    <row r="13548" ht="33.75" customHeight="1">
      <c r="A13548" s="7">
        <v>711.0</v>
      </c>
      <c r="B13548" s="9" t="s">
        <v>18407</v>
      </c>
      <c r="C13548" s="9" t="s">
        <v>1035</v>
      </c>
      <c r="D13548" s="9" t="s">
        <v>107</v>
      </c>
      <c r="E13548" s="6" t="s">
        <v>12185</v>
      </c>
      <c r="F13548" s="9" t="s">
        <v>19993</v>
      </c>
    </row>
    <row r="13549" ht="33.75" customHeight="1">
      <c r="A13549" s="7">
        <v>711.0</v>
      </c>
      <c r="B13549" s="9" t="s">
        <v>18407</v>
      </c>
      <c r="C13549" s="9" t="s">
        <v>1035</v>
      </c>
      <c r="D13549" s="9" t="s">
        <v>109</v>
      </c>
      <c r="E13549" s="6" t="s">
        <v>12186</v>
      </c>
      <c r="F13549" s="9" t="s">
        <v>19993</v>
      </c>
    </row>
    <row r="13550" ht="33.75" customHeight="1">
      <c r="A13550" s="7">
        <v>711.0</v>
      </c>
      <c r="B13550" s="9" t="s">
        <v>18407</v>
      </c>
      <c r="C13550" s="9" t="s">
        <v>1035</v>
      </c>
      <c r="D13550" s="9" t="s">
        <v>114</v>
      </c>
      <c r="E13550" s="6" t="s">
        <v>12188</v>
      </c>
      <c r="F13550" s="9" t="s">
        <v>19993</v>
      </c>
    </row>
    <row r="13551" ht="33.75" customHeight="1">
      <c r="A13551" s="7">
        <v>711.0</v>
      </c>
      <c r="B13551" s="9" t="s">
        <v>18407</v>
      </c>
      <c r="C13551" s="9" t="s">
        <v>1035</v>
      </c>
      <c r="D13551" s="9" t="s">
        <v>117</v>
      </c>
      <c r="E13551" s="6" t="s">
        <v>12189</v>
      </c>
      <c r="F13551" s="9" t="s">
        <v>19993</v>
      </c>
    </row>
    <row r="13552" ht="33.75" customHeight="1">
      <c r="A13552" s="7">
        <v>712.0</v>
      </c>
      <c r="B13552" s="9" t="s">
        <v>18412</v>
      </c>
      <c r="C13552" s="9" t="s">
        <v>1036</v>
      </c>
      <c r="D13552" s="9" t="s">
        <v>101</v>
      </c>
      <c r="E13552" s="6" t="s">
        <v>12190</v>
      </c>
      <c r="F13552" s="9" t="s">
        <v>19994</v>
      </c>
      <c r="G13552" t="inlineStr" s="6">
        <is>
          <t xml:space="preserve">It blocks opponents’ attacks with the ice that shields Bergmite's body. It uses cold air to repair any cracks with new ice. Using air of -150 degrees Fahrenheit, they freeze opponents solid. They live in herds above the snow line on mountains. They chill the air around them to −150 degrees Fahrenheit, freezing the water in the air into ice that they use as armor. This Pokémon lives in areas of frigid cold. It secures itself to the back of an Avalugg by freezing its feet in place. Lives on mountains blanketed in perennial snow. It freezes water vapor in the air to make the ice helmet that it dons for defense.</t>
        </is>
      </c>
    </row>
    <row r="13553" ht="33.75" customHeight="1">
      <c r="A13553" s="7">
        <v>712.0</v>
      </c>
      <c r="B13553" s="9" t="s">
        <v>18412</v>
      </c>
      <c r="C13553" s="9" t="s">
        <v>1036</v>
      </c>
      <c r="D13553" s="9" t="s">
        <v>105</v>
      </c>
      <c r="E13553" s="6" t="s">
        <v>12191</v>
      </c>
      <c r="F13553" s="9" t="s">
        <v>19994</v>
      </c>
    </row>
    <row r="13554" ht="33.75" customHeight="1">
      <c r="A13554" s="7">
        <v>712.0</v>
      </c>
      <c r="B13554" s="9" t="s">
        <v>18412</v>
      </c>
      <c r="C13554" s="9" t="s">
        <v>1036</v>
      </c>
      <c r="D13554" s="9" t="s">
        <v>107</v>
      </c>
      <c r="E13554" s="6" t="s">
        <v>12190</v>
      </c>
      <c r="F13554" s="9" t="s">
        <v>19994</v>
      </c>
    </row>
    <row r="13555" ht="33.75" customHeight="1">
      <c r="A13555" s="7">
        <v>712.0</v>
      </c>
      <c r="B13555" s="9" t="s">
        <v>18412</v>
      </c>
      <c r="C13555" s="9" t="s">
        <v>1036</v>
      </c>
      <c r="D13555" s="9" t="s">
        <v>109</v>
      </c>
      <c r="E13555" s="6" t="s">
        <v>12191</v>
      </c>
      <c r="F13555" s="9" t="s">
        <v>19994</v>
      </c>
    </row>
    <row r="13556" ht="33.75" customHeight="1">
      <c r="A13556" s="7">
        <v>712.0</v>
      </c>
      <c r="B13556" s="9" t="s">
        <v>18412</v>
      </c>
      <c r="C13556" s="9" t="s">
        <v>1036</v>
      </c>
      <c r="D13556" s="9" t="s">
        <v>114</v>
      </c>
      <c r="E13556" s="6" t="s">
        <v>12192</v>
      </c>
      <c r="F13556" s="9" t="s">
        <v>19994</v>
      </c>
    </row>
    <row r="13557" ht="33.75" customHeight="1">
      <c r="A13557" s="7">
        <v>712.0</v>
      </c>
      <c r="B13557" s="9" t="s">
        <v>18412</v>
      </c>
      <c r="C13557" s="9" t="s">
        <v>1036</v>
      </c>
      <c r="D13557" s="9" t="s">
        <v>117</v>
      </c>
      <c r="E13557" s="6" t="s">
        <v>12194</v>
      </c>
      <c r="F13557" s="9" t="s">
        <v>19994</v>
      </c>
    </row>
    <row r="13558" ht="33.75" customHeight="1">
      <c r="A13558" s="7">
        <v>712.0</v>
      </c>
      <c r="B13558" s="9" t="s">
        <v>18412</v>
      </c>
      <c r="C13558" s="9" t="s">
        <v>1036</v>
      </c>
      <c r="D13558" s="9" t="s">
        <v>1577</v>
      </c>
      <c r="E13558" s="6" t="s">
        <v>12195</v>
      </c>
      <c r="F13558" s="9" t="s">
        <v>19994</v>
      </c>
    </row>
    <row r="13559" ht="33.75" customHeight="1">
      <c r="A13559" s="7">
        <v>713.0</v>
      </c>
      <c r="B13559" s="9" t="s">
        <v>18420</v>
      </c>
      <c r="C13559" s="9" t="s">
        <v>582</v>
      </c>
      <c r="D13559" s="9" t="s">
        <v>101</v>
      </c>
      <c r="E13559" s="6" t="s">
        <v>12196</v>
      </c>
      <c r="F13559" s="9" t="s">
        <v>19995</v>
      </c>
      <c r="G13559" t="inlineStr" s="6">
        <is>
          <t xml:space="preserve">Avalugg's ice-covered body is as hard as steel. Its cumbersome frame crushes anything that stands in its way. The way several Bergmite huddle on its back makes it look like an aircraft carrier made of ice. At high latitudes, this Pokémon can be found with clusters of Bergmite on its back as it swims among the icebergs. As Avalugg moves about during the day, the cracks in its body deepen. The Pokémon’s body returns to a pristine state overnight. The armor of ice covering its lower jaw puts steel to shame and can shatter rocks with ease. This Pokémon barrels along steep mountain paths, cleaving through the deep snow.</t>
        </is>
      </c>
    </row>
    <row r="13560" ht="33.75" customHeight="1">
      <c r="A13560" s="7">
        <v>713.0</v>
      </c>
      <c r="B13560" s="9" t="s">
        <v>18420</v>
      </c>
      <c r="C13560" s="9" t="s">
        <v>582</v>
      </c>
      <c r="D13560" s="9" t="s">
        <v>105</v>
      </c>
      <c r="E13560" s="6" t="s">
        <v>12197</v>
      </c>
      <c r="F13560" s="9" t="s">
        <v>19995</v>
      </c>
    </row>
    <row r="13561" ht="33.75" customHeight="1">
      <c r="A13561" s="7">
        <v>713.0</v>
      </c>
      <c r="B13561" s="9" t="s">
        <v>18420</v>
      </c>
      <c r="C13561" s="9" t="s">
        <v>582</v>
      </c>
      <c r="D13561" s="9" t="s">
        <v>107</v>
      </c>
      <c r="E13561" s="6" t="s">
        <v>12196</v>
      </c>
      <c r="F13561" s="9" t="s">
        <v>19995</v>
      </c>
    </row>
    <row r="13562" ht="33.75" customHeight="1">
      <c r="A13562" s="7">
        <v>713.0</v>
      </c>
      <c r="B13562" s="9" t="s">
        <v>18420</v>
      </c>
      <c r="C13562" s="9" t="s">
        <v>582</v>
      </c>
      <c r="D13562" s="9" t="s">
        <v>109</v>
      </c>
      <c r="E13562" s="6" t="s">
        <v>12197</v>
      </c>
      <c r="F13562" s="9" t="s">
        <v>19995</v>
      </c>
    </row>
    <row r="13563" ht="33.75" customHeight="1">
      <c r="A13563" s="7">
        <v>713.0</v>
      </c>
      <c r="B13563" s="9" t="s">
        <v>18420</v>
      </c>
      <c r="C13563" s="9" t="s">
        <v>582</v>
      </c>
      <c r="D13563" s="9" t="s">
        <v>114</v>
      </c>
      <c r="E13563" s="6" t="s">
        <v>12198</v>
      </c>
      <c r="F13563" s="9" t="s">
        <v>19995</v>
      </c>
    </row>
    <row r="13564" ht="33.75" customHeight="1">
      <c r="A13564" s="7">
        <v>713.0</v>
      </c>
      <c r="B13564" s="9" t="s">
        <v>18420</v>
      </c>
      <c r="C13564" s="9" t="s">
        <v>582</v>
      </c>
      <c r="D13564" s="9" t="s">
        <v>117</v>
      </c>
      <c r="E13564" s="6" t="s">
        <v>12199</v>
      </c>
      <c r="F13564" s="9" t="s">
        <v>19995</v>
      </c>
    </row>
    <row r="13565" ht="33.75" customHeight="1">
      <c r="A13565" s="7">
        <v>713.0</v>
      </c>
      <c r="B13565" s="9" t="s">
        <v>18420</v>
      </c>
      <c r="C13565" s="9" t="s">
        <v>582</v>
      </c>
      <c r="D13565" s="9" t="s">
        <v>1577</v>
      </c>
      <c r="E13565" s="6" t="s">
        <v>12201</v>
      </c>
      <c r="F13565" s="9" t="s">
        <v>19995</v>
      </c>
    </row>
    <row r="13566" ht="33.75" customHeight="1">
      <c r="A13566" s="7">
        <v>714.0</v>
      </c>
      <c r="B13566" s="9" t="s">
        <v>18427</v>
      </c>
      <c r="C13566" s="9" t="s">
        <v>1037</v>
      </c>
      <c r="D13566" s="9" t="s">
        <v>101</v>
      </c>
      <c r="E13566" s="6" t="s">
        <v>12202</v>
      </c>
      <c r="F13566" s="9" t="s">
        <v>19996</v>
      </c>
      <c r="G13566" t="inlineStr" s="6">
        <is>
          <t xml:space="preserve">They live in pitch-black caves. Their enormous ears can emit ultrasonic waves of 200,000 hertz. Even a robust wrestler will become dizzy and unable to stand when exposed to its 200,000-hertz ultrasonic waves. Fruits are its favorite foods. This gourmet carefully picks out just the ripe ones using its sonar. It flies around in search of fruit to eat. It uses ultrasonic waves to detect which fruits are ripe. After nightfall, they emerge from the caves they nest in during the day. Using their ultrasonic waves, they go on the hunt for ripened fruit. No wavelength of sound is beyond Noibat’s ability to produce. The ultrasonic waves it generates can overcome much larger Pokémon.</t>
        </is>
      </c>
    </row>
    <row r="13567" ht="33.75" customHeight="1">
      <c r="A13567" s="7">
        <v>714.0</v>
      </c>
      <c r="B13567" s="9" t="s">
        <v>18427</v>
      </c>
      <c r="C13567" s="9" t="s">
        <v>1037</v>
      </c>
      <c r="D13567" s="9" t="s">
        <v>105</v>
      </c>
      <c r="E13567" s="6" t="s">
        <v>12203</v>
      </c>
      <c r="F13567" s="9" t="s">
        <v>19996</v>
      </c>
    </row>
    <row r="13568" ht="33.75" customHeight="1">
      <c r="A13568" s="7">
        <v>714.0</v>
      </c>
      <c r="B13568" s="9" t="s">
        <v>18427</v>
      </c>
      <c r="C13568" s="9" t="s">
        <v>1037</v>
      </c>
      <c r="D13568" s="9" t="s">
        <v>107</v>
      </c>
      <c r="E13568" s="6" t="s">
        <v>12202</v>
      </c>
      <c r="F13568" s="9" t="s">
        <v>19996</v>
      </c>
    </row>
    <row r="13569" ht="33.75" customHeight="1">
      <c r="A13569" s="7">
        <v>714.0</v>
      </c>
      <c r="B13569" s="9" t="s">
        <v>18427</v>
      </c>
      <c r="C13569" s="9" t="s">
        <v>1037</v>
      </c>
      <c r="D13569" s="9" t="s">
        <v>109</v>
      </c>
      <c r="E13569" s="6" t="s">
        <v>12203</v>
      </c>
      <c r="F13569" s="9" t="s">
        <v>19996</v>
      </c>
    </row>
    <row r="13570" ht="33.75" customHeight="1">
      <c r="A13570" s="7">
        <v>714.0</v>
      </c>
      <c r="B13570" s="9" t="s">
        <v>18427</v>
      </c>
      <c r="C13570" s="9" t="s">
        <v>1037</v>
      </c>
      <c r="D13570" s="9" t="s">
        <v>647</v>
      </c>
      <c r="E13570" s="6" t="s">
        <v>12204</v>
      </c>
      <c r="F13570" s="9" t="s">
        <v>19996</v>
      </c>
    </row>
    <row r="13571" ht="33.75" customHeight="1">
      <c r="A13571" s="7">
        <v>714.0</v>
      </c>
      <c r="B13571" s="9" t="s">
        <v>18427</v>
      </c>
      <c r="C13571" s="9" t="s">
        <v>1037</v>
      </c>
      <c r="D13571" s="9" t="s">
        <v>652</v>
      </c>
      <c r="E13571" s="6" t="s">
        <v>12205</v>
      </c>
      <c r="F13571" s="9" t="s">
        <v>19996</v>
      </c>
    </row>
    <row r="13572" ht="33.75" customHeight="1">
      <c r="A13572" s="7">
        <v>714.0</v>
      </c>
      <c r="B13572" s="9" t="s">
        <v>18427</v>
      </c>
      <c r="C13572" s="9" t="s">
        <v>1037</v>
      </c>
      <c r="D13572" s="9" t="s">
        <v>114</v>
      </c>
      <c r="E13572" s="6" t="s">
        <v>12206</v>
      </c>
      <c r="F13572" s="9" t="s">
        <v>19996</v>
      </c>
    </row>
    <row r="13573" ht="33.75" customHeight="1">
      <c r="A13573" s="7">
        <v>714.0</v>
      </c>
      <c r="B13573" s="9" t="s">
        <v>18427</v>
      </c>
      <c r="C13573" s="9" t="s">
        <v>1037</v>
      </c>
      <c r="D13573" s="9" t="s">
        <v>117</v>
      </c>
      <c r="E13573" s="6" t="s">
        <v>12207</v>
      </c>
      <c r="F13573" s="9" t="s">
        <v>19996</v>
      </c>
    </row>
    <row r="13574" ht="33.75" customHeight="1">
      <c r="A13574" s="7">
        <v>715.0</v>
      </c>
      <c r="B13574" s="9" t="s">
        <v>18436</v>
      </c>
      <c r="C13574" s="9" t="s">
        <v>1037</v>
      </c>
      <c r="D13574" s="9" t="s">
        <v>101</v>
      </c>
      <c r="E13574" s="6" t="s">
        <v>12208</v>
      </c>
      <c r="F13574" s="9" t="s">
        <v>19997</v>
      </c>
      <c r="G13574" t="inlineStr" s="6">
        <is>
          <t xml:space="preserve">They fly around on moonless nights and attack careless prey. Nothing can beat them in a battle in the dark. The ultrasonic waves it emits from its ears can reduce a large boulder to pebbles. It swoops out of the dark to attack. Although it has a violent disposition, if you give it a nice ripe fruit that it loves, Noivern will suddenly become tame. This hot-blooded Pokémon attacks anything it sees with ultrasonic waves that can crush boulders. Aggressive and cruel, this Pokémon will ruthlessly torment enemies that are helpless in the dark. Flying through the darkness, it weakens enemies with ultrasonic waves that could crush stone. Its fangs finish the fight.</t>
        </is>
      </c>
    </row>
    <row r="13575" ht="33.75" customHeight="1">
      <c r="A13575" s="7">
        <v>715.0</v>
      </c>
      <c r="B13575" s="9" t="s">
        <v>18436</v>
      </c>
      <c r="C13575" s="9" t="s">
        <v>1037</v>
      </c>
      <c r="D13575" s="9" t="s">
        <v>105</v>
      </c>
      <c r="E13575" s="6" t="s">
        <v>12209</v>
      </c>
      <c r="F13575" s="9" t="s">
        <v>19997</v>
      </c>
    </row>
    <row r="13576" ht="33.75" customHeight="1">
      <c r="A13576" s="7">
        <v>715.0</v>
      </c>
      <c r="B13576" s="9" t="s">
        <v>18436</v>
      </c>
      <c r="C13576" s="9" t="s">
        <v>1037</v>
      </c>
      <c r="D13576" s="9" t="s">
        <v>107</v>
      </c>
      <c r="E13576" s="6" t="s">
        <v>12208</v>
      </c>
      <c r="F13576" s="9" t="s">
        <v>19997</v>
      </c>
    </row>
    <row r="13577" ht="33.75" customHeight="1">
      <c r="A13577" s="7">
        <v>715.0</v>
      </c>
      <c r="B13577" s="9" t="s">
        <v>18436</v>
      </c>
      <c r="C13577" s="9" t="s">
        <v>1037</v>
      </c>
      <c r="D13577" s="9" t="s">
        <v>109</v>
      </c>
      <c r="E13577" s="6" t="s">
        <v>12209</v>
      </c>
      <c r="F13577" s="9" t="s">
        <v>19997</v>
      </c>
    </row>
    <row r="13578" ht="33.75" customHeight="1">
      <c r="A13578" s="7">
        <v>715.0</v>
      </c>
      <c r="B13578" s="9" t="s">
        <v>18436</v>
      </c>
      <c r="C13578" s="9" t="s">
        <v>1037</v>
      </c>
      <c r="D13578" s="9" t="s">
        <v>647</v>
      </c>
      <c r="E13578" s="6" t="s">
        <v>12210</v>
      </c>
      <c r="F13578" s="9" t="s">
        <v>19997</v>
      </c>
    </row>
    <row r="13579" ht="33.75" customHeight="1">
      <c r="A13579" s="7">
        <v>715.0</v>
      </c>
      <c r="B13579" s="9" t="s">
        <v>18436</v>
      </c>
      <c r="C13579" s="9" t="s">
        <v>1037</v>
      </c>
      <c r="D13579" s="9" t="s">
        <v>652</v>
      </c>
      <c r="E13579" s="6" t="s">
        <v>12211</v>
      </c>
      <c r="F13579" s="9" t="s">
        <v>19997</v>
      </c>
    </row>
    <row r="13580" ht="33.75" customHeight="1">
      <c r="A13580" s="7">
        <v>715.0</v>
      </c>
      <c r="B13580" s="9" t="s">
        <v>18436</v>
      </c>
      <c r="C13580" s="9" t="s">
        <v>1037</v>
      </c>
      <c r="D13580" s="9" t="s">
        <v>114</v>
      </c>
      <c r="E13580" s="6" t="s">
        <v>12212</v>
      </c>
      <c r="F13580" s="9" t="s">
        <v>19997</v>
      </c>
    </row>
    <row r="13581" ht="33.75" customHeight="1">
      <c r="A13581" s="7">
        <v>715.0</v>
      </c>
      <c r="B13581" s="9" t="s">
        <v>18436</v>
      </c>
      <c r="C13581" s="9" t="s">
        <v>1037</v>
      </c>
      <c r="D13581" s="9" t="s">
        <v>117</v>
      </c>
      <c r="E13581" s="6" t="s">
        <v>12213</v>
      </c>
      <c r="F13581" s="9" t="s">
        <v>19997</v>
      </c>
    </row>
    <row r="13582" ht="33.75" customHeight="1">
      <c r="A13582" s="7">
        <v>716.0</v>
      </c>
      <c r="B13582" s="9" t="s">
        <v>18443</v>
      </c>
      <c r="C13582" s="9" t="s">
        <v>1039</v>
      </c>
      <c r="D13582" s="9" t="s">
        <v>101</v>
      </c>
      <c r="E13582" s="6" t="s">
        <v>12214</v>
      </c>
      <c r="F13582" s="9" t="s">
        <v>19998</v>
      </c>
      <c r="G13582" t="inlineStr" s="6">
        <is>
          <t xml:space="preserve">Legends say Xerneas can share eternal life. It slept for a thousand years in the form of a tree before its revival. When the horns on its head shine in seven colors, it is said to be sharing everlasting life.</t>
        </is>
      </c>
    </row>
    <row r="13583" ht="33.75" customHeight="1">
      <c r="A13583" s="7">
        <v>716.0</v>
      </c>
      <c r="B13583" s="9" t="s">
        <v>18443</v>
      </c>
      <c r="C13583" s="9" t="s">
        <v>1039</v>
      </c>
      <c r="D13583" s="9" t="s">
        <v>105</v>
      </c>
      <c r="E13583" s="6" t="s">
        <v>12215</v>
      </c>
      <c r="F13583" s="9" t="s">
        <v>19998</v>
      </c>
    </row>
    <row r="13584" ht="33.75" customHeight="1">
      <c r="A13584" s="7">
        <v>716.0</v>
      </c>
      <c r="B13584" s="9" t="s">
        <v>18443</v>
      </c>
      <c r="C13584" s="9" t="s">
        <v>1039</v>
      </c>
      <c r="D13584" s="9" t="s">
        <v>107</v>
      </c>
      <c r="E13584" s="6" t="s">
        <v>12214</v>
      </c>
      <c r="F13584" s="9" t="s">
        <v>19998</v>
      </c>
    </row>
    <row r="13585" ht="33.75" customHeight="1">
      <c r="A13585" s="7">
        <v>716.0</v>
      </c>
      <c r="B13585" s="9" t="s">
        <v>18443</v>
      </c>
      <c r="C13585" s="9" t="s">
        <v>1039</v>
      </c>
      <c r="D13585" s="9" t="s">
        <v>109</v>
      </c>
      <c r="E13585" s="6" t="s">
        <v>12215</v>
      </c>
      <c r="F13585" s="9" t="s">
        <v>19998</v>
      </c>
    </row>
    <row r="13586" ht="33.75" customHeight="1">
      <c r="A13586" s="7">
        <v>717.0</v>
      </c>
      <c r="B13586" s="9" t="s">
        <v>18447</v>
      </c>
      <c r="C13586" s="9" t="s">
        <v>1042</v>
      </c>
      <c r="D13586" s="9" t="s">
        <v>101</v>
      </c>
      <c r="E13586" s="6" t="s">
        <v>12216</v>
      </c>
      <c r="F13586" s="9" t="s">
        <v>19999</v>
      </c>
      <c r="G13586" t="inlineStr" s="6">
        <is>
          <t xml:space="preserve">When this legendary Pokémon’s wings and tail feathers spread wide and glow red, it absorbs the life force of living creatures. When its life comes to an end, it absorbs the life energy of every living thing and turns into a cocoon once more.</t>
        </is>
      </c>
    </row>
    <row r="13587" ht="33.75" customHeight="1">
      <c r="A13587" s="7">
        <v>717.0</v>
      </c>
      <c r="B13587" s="9" t="s">
        <v>18447</v>
      </c>
      <c r="C13587" s="9" t="s">
        <v>1042</v>
      </c>
      <c r="D13587" s="9" t="s">
        <v>105</v>
      </c>
      <c r="E13587" s="6" t="s">
        <v>12217</v>
      </c>
      <c r="F13587" s="9" t="s">
        <v>19999</v>
      </c>
    </row>
    <row r="13588" ht="33.75" customHeight="1">
      <c r="A13588" s="7">
        <v>717.0</v>
      </c>
      <c r="B13588" s="9" t="s">
        <v>18447</v>
      </c>
      <c r="C13588" s="9" t="s">
        <v>1042</v>
      </c>
      <c r="D13588" s="9" t="s">
        <v>107</v>
      </c>
      <c r="E13588" s="6" t="s">
        <v>12216</v>
      </c>
      <c r="F13588" s="9" t="s">
        <v>19999</v>
      </c>
    </row>
    <row r="13589" ht="33.75" customHeight="1">
      <c r="A13589" s="7">
        <v>717.0</v>
      </c>
      <c r="B13589" s="9" t="s">
        <v>18447</v>
      </c>
      <c r="C13589" s="9" t="s">
        <v>1042</v>
      </c>
      <c r="D13589" s="9" t="s">
        <v>109</v>
      </c>
      <c r="E13589" s="6" t="s">
        <v>12217</v>
      </c>
      <c r="F13589" s="9" t="s">
        <v>19999</v>
      </c>
    </row>
    <row r="13590" ht="33.75" customHeight="1">
      <c r="A13590" s="7">
        <v>718.0</v>
      </c>
      <c r="B13590" s="9" t="s">
        <v>18452</v>
      </c>
      <c r="C13590" s="9" t="s">
        <v>1044</v>
      </c>
      <c r="D13590" s="9" t="s">
        <v>101</v>
      </c>
      <c r="E13590" s="6" t="s">
        <v>12218</v>
      </c>
      <c r="F13590" s="9" t="s">
        <v>20000</v>
      </c>
      <c r="G13590" t="inlineStr" s="6">
        <is>
          <t xml:space="preserve">When the Kalos region’s ecosystem falls into disarray, it appears and reveals Zygarde's secret power. It’s hypothesized that it’s monitoring those who destroy the ecosystem from deep in the cave where it lives. This is Zygarde’s form when it has gathered 50% of its cells. It wipes out all those who oppose it, showing not a shred of mercy. It’s thought to be monitoring the ecosystem. There are rumors that even greater power lies hidden within it. This is Zygarde’s form when about half of its pieces have been assembled. It plays the role of monitoring the ecosystem. Some say it can change to an even more powerful form when battling those who threaten the ecosystem.</t>
        </is>
      </c>
    </row>
    <row r="13591" ht="33.75" customHeight="1">
      <c r="A13591" s="7">
        <v>718.0</v>
      </c>
      <c r="B13591" s="9" t="s">
        <v>18452</v>
      </c>
      <c r="C13591" s="9" t="s">
        <v>1044</v>
      </c>
      <c r="D13591" s="9" t="s">
        <v>105</v>
      </c>
      <c r="E13591" s="6" t="s">
        <v>12219</v>
      </c>
      <c r="F13591" s="9" t="s">
        <v>20000</v>
      </c>
    </row>
    <row r="13592" ht="33.75" customHeight="1">
      <c r="A13592" s="7">
        <v>718.0</v>
      </c>
      <c r="B13592" s="9" t="s">
        <v>18452</v>
      </c>
      <c r="C13592" s="9" t="s">
        <v>1044</v>
      </c>
      <c r="D13592" s="9" t="s">
        <v>107</v>
      </c>
      <c r="E13592" s="6" t="s">
        <v>12218</v>
      </c>
      <c r="F13592" s="9" t="s">
        <v>20000</v>
      </c>
    </row>
    <row r="13593" ht="33.75" customHeight="1">
      <c r="A13593" s="7">
        <v>718.0</v>
      </c>
      <c r="B13593" s="9" t="s">
        <v>18452</v>
      </c>
      <c r="C13593" s="9" t="s">
        <v>1044</v>
      </c>
      <c r="D13593" s="9" t="s">
        <v>109</v>
      </c>
      <c r="E13593" s="6" t="s">
        <v>12219</v>
      </c>
      <c r="F13593" s="9" t="s">
        <v>20000</v>
      </c>
    </row>
    <row r="13594" ht="33.75" customHeight="1">
      <c r="A13594" s="7">
        <v>718.0</v>
      </c>
      <c r="B13594" s="9" t="s">
        <v>18452</v>
      </c>
      <c r="C13594" s="9" t="s">
        <v>1044</v>
      </c>
      <c r="D13594" s="9" t="s">
        <v>637</v>
      </c>
      <c r="E13594" s="6" t="s">
        <v>12220</v>
      </c>
      <c r="F13594" s="9" t="s">
        <v>20000</v>
      </c>
    </row>
    <row r="13595" ht="33.75" customHeight="1">
      <c r="A13595" s="7">
        <v>718.0</v>
      </c>
      <c r="B13595" s="9" t="s">
        <v>18452</v>
      </c>
      <c r="C13595" s="9" t="s">
        <v>1044</v>
      </c>
      <c r="D13595" s="9" t="s">
        <v>642</v>
      </c>
      <c r="E13595" s="6" t="s">
        <v>12221</v>
      </c>
      <c r="F13595" s="9" t="s">
        <v>20000</v>
      </c>
    </row>
    <row r="13596" ht="33.75" customHeight="1">
      <c r="A13596" s="7">
        <v>718.0</v>
      </c>
      <c r="B13596" s="9" t="s">
        <v>18452</v>
      </c>
      <c r="C13596" s="9" t="s">
        <v>1044</v>
      </c>
      <c r="D13596" s="9" t="s">
        <v>647</v>
      </c>
      <c r="E13596" s="6" t="s">
        <v>12223</v>
      </c>
      <c r="F13596" s="9" t="s">
        <v>20000</v>
      </c>
    </row>
    <row r="13597" ht="33.75" customHeight="1">
      <c r="A13597" s="7">
        <v>718.0</v>
      </c>
      <c r="B13597" s="9" t="s">
        <v>18452</v>
      </c>
      <c r="C13597" s="9" t="s">
        <v>1044</v>
      </c>
      <c r="D13597" s="9" t="s">
        <v>652</v>
      </c>
      <c r="E13597" s="6" t="s">
        <v>12224</v>
      </c>
      <c r="F13597" s="9" t="s">
        <v>20000</v>
      </c>
    </row>
    <row r="13598" ht="33.75" customHeight="1">
      <c r="A13598" s="7">
        <v>719.0</v>
      </c>
      <c r="B13598" s="9" t="s">
        <v>18460</v>
      </c>
      <c r="C13598" s="9" t="s">
        <v>1026</v>
      </c>
      <c r="D13598" s="9" t="s">
        <v>101</v>
      </c>
      <c r="E13598" s="6" t="s">
        <v>12225</v>
      </c>
      <c r="F13598" s="9" t="s">
        <v>20001</v>
      </c>
      <c r="G13598" t="inlineStr" s="6">
        <is>
          <t xml:space="preserve">A sudden transformation of Carbink, Diancie's pink, glimmering body is said to be the loveliest sight in the whole world. It can instantly create many diamonds by compressing the carbon in the air between its hands.</t>
        </is>
      </c>
    </row>
    <row r="13599" ht="33.75" customHeight="1">
      <c r="A13599" s="7">
        <v>719.0</v>
      </c>
      <c r="B13599" s="9" t="s">
        <v>18460</v>
      </c>
      <c r="C13599" s="9" t="s">
        <v>1026</v>
      </c>
      <c r="D13599" s="9" t="s">
        <v>105</v>
      </c>
      <c r="E13599" s="6" t="s">
        <v>12226</v>
      </c>
      <c r="F13599" s="9" t="s">
        <v>20001</v>
      </c>
    </row>
    <row r="13600" ht="33.75" customHeight="1">
      <c r="A13600" s="7">
        <v>719.0</v>
      </c>
      <c r="B13600" s="9" t="s">
        <v>18460</v>
      </c>
      <c r="C13600" s="9" t="s">
        <v>1026</v>
      </c>
      <c r="D13600" s="9" t="s">
        <v>107</v>
      </c>
      <c r="E13600" s="6" t="s">
        <v>12225</v>
      </c>
      <c r="F13600" s="9" t="s">
        <v>20001</v>
      </c>
    </row>
    <row r="13601" ht="33.75" customHeight="1">
      <c r="A13601" s="7">
        <v>719.0</v>
      </c>
      <c r="B13601" s="9" t="s">
        <v>18460</v>
      </c>
      <c r="C13601" s="9" t="s">
        <v>1026</v>
      </c>
      <c r="D13601" s="9" t="s">
        <v>109</v>
      </c>
      <c r="E13601" s="6" t="s">
        <v>12226</v>
      </c>
      <c r="F13601" s="9" t="s">
        <v>20001</v>
      </c>
    </row>
    <row r="13602" ht="33.75" customHeight="1">
      <c r="A13602" s="7">
        <v>720.0</v>
      </c>
      <c r="B13602" s="9" t="s">
        <v>18463</v>
      </c>
      <c r="C13602" s="9" t="s">
        <v>1045</v>
      </c>
      <c r="D13602" s="9" t="s">
        <v>101</v>
      </c>
      <c r="E13602" s="6" t="s">
        <v>12228</v>
      </c>
      <c r="F13602" s="9" t="s">
        <v>20002</v>
      </c>
      <c r="G13602" t="inlineStr" s="6">
        <is>
          <t xml:space="preserve">This troublemaker sends anything and everything to faraway places using Hoopa's loop, which can warp space. It gathers things it likes and passes them through its loop to teleport them to a secret place. In its true form, it possess a huge amount of power. Legends of its avarice tell how it once carried off an entire castle to gain the treasure hidden within. It is said to be able to seize anything it desires with its six rings and six huge arms. With its power sealed, it is transformed into a much smaller form.</t>
        </is>
      </c>
    </row>
    <row r="13603" ht="33.75" customHeight="1">
      <c r="A13603" s="7">
        <v>720.0</v>
      </c>
      <c r="B13603" s="9" t="s">
        <v>18463</v>
      </c>
      <c r="C13603" s="9" t="s">
        <v>1045</v>
      </c>
      <c r="D13603" s="9" t="s">
        <v>105</v>
      </c>
      <c r="E13603" s="6" t="s">
        <v>12230</v>
      </c>
      <c r="F13603" s="9" t="s">
        <v>20002</v>
      </c>
    </row>
    <row r="13604" ht="33.75" customHeight="1">
      <c r="A13604" s="7">
        <v>720.0</v>
      </c>
      <c r="B13604" s="9" t="s">
        <v>18463</v>
      </c>
      <c r="C13604" s="9" t="s">
        <v>1045</v>
      </c>
      <c r="D13604" s="9" t="s">
        <v>107</v>
      </c>
      <c r="E13604" s="6" t="s">
        <v>12232</v>
      </c>
      <c r="F13604" s="9" t="s">
        <v>20002</v>
      </c>
    </row>
    <row r="13605" ht="33.75" customHeight="1">
      <c r="A13605" s="7">
        <v>720.0</v>
      </c>
      <c r="B13605" s="9" t="s">
        <v>18463</v>
      </c>
      <c r="C13605" s="9" t="s">
        <v>1045</v>
      </c>
      <c r="D13605" s="9" t="s">
        <v>109</v>
      </c>
      <c r="E13605" s="6" t="s">
        <v>12234</v>
      </c>
      <c r="F13605" s="9" t="s">
        <v>20002</v>
      </c>
    </row>
    <row r="13606" ht="33.75" customHeight="1">
      <c r="A13606" s="7">
        <v>721.0</v>
      </c>
      <c r="B13606" s="9" t="s">
        <v>18469</v>
      </c>
      <c r="C13606" s="9" t="s">
        <v>1046</v>
      </c>
      <c r="D13606" s="9" t="s">
        <v>101</v>
      </c>
      <c r="E13606" s="6" t="s">
        <v>12235</v>
      </c>
      <c r="F13606" s="9" t="s">
        <v>20003</v>
      </c>
      <c r="G13606" t="inlineStr" s="6">
        <is>
          <t xml:space="preserve">It lets out billows of steam and disappears into the dense fog. It’s said to live in mountains where humans do not tread. It expels its internal steam from the arms on its back. It has enough power to blow away a mountain.</t>
        </is>
      </c>
    </row>
    <row r="13607" ht="33.75" customHeight="1">
      <c r="A13607" s="7">
        <v>721.0</v>
      </c>
      <c r="B13607" s="9" t="s">
        <v>18469</v>
      </c>
      <c r="C13607" s="9" t="s">
        <v>1046</v>
      </c>
      <c r="D13607" s="9" t="s">
        <v>105</v>
      </c>
      <c r="E13607" s="6" t="s">
        <v>12237</v>
      </c>
      <c r="F13607" s="9" t="s">
        <v>20003</v>
      </c>
    </row>
    <row r="13608" ht="33.75" customHeight="1">
      <c r="A13608" s="7">
        <v>721.0</v>
      </c>
      <c r="B13608" s="9" t="s">
        <v>18469</v>
      </c>
      <c r="C13608" s="9" t="s">
        <v>1046</v>
      </c>
      <c r="D13608" s="9" t="s">
        <v>107</v>
      </c>
      <c r="E13608" s="6" t="s">
        <v>12235</v>
      </c>
      <c r="F13608" s="9" t="s">
        <v>20003</v>
      </c>
    </row>
    <row r="13609" ht="33.75" customHeight="1">
      <c r="A13609" s="7">
        <v>721.0</v>
      </c>
      <c r="B13609" s="9" t="s">
        <v>18469</v>
      </c>
      <c r="C13609" s="9" t="s">
        <v>1046</v>
      </c>
      <c r="D13609" s="9" t="s">
        <v>109</v>
      </c>
      <c r="E13609" s="6" t="s">
        <v>12237</v>
      </c>
      <c r="F13609" s="9" t="s">
        <v>20003</v>
      </c>
    </row>
    <row r="13610" ht="33.75" customHeight="1">
      <c r="A13610" s="7">
        <v>722.0</v>
      </c>
      <c r="B13610" s="9" t="s">
        <v>18474</v>
      </c>
      <c r="C13610" s="9" t="s">
        <v>1047</v>
      </c>
      <c r="D13610" s="9" t="s">
        <v>637</v>
      </c>
      <c r="E13610" s="6" t="s">
        <v>12238</v>
      </c>
      <c r="F13610" s="9" t="s">
        <v>20004</v>
      </c>
      <c r="G13610" t="inlineStr" s="6">
        <is>
          <t xml:space="preserve">This wary Pokémon uses photosynthesis to store up energy during the day, while becoming active at night. Silently it glides, drawing near its targets. Before they even notice it, it begins to pelt them with vicious kicks. It sends its feathers, which are as sharp as blades, flying in attack. Its legs are strong, so its kicks are also formidable. It feels relaxed in tight, dark places and has been known to use its Trainer’s pocket or bag as a nest. At a distance, it launches its sharp feathers while flying about. If the enemy gets too close, Rowlet switches tactics and delivers vicious kicks. During the day, it builds up energy via photosynthesis. At night, it flies silently through the sky, on the prowl for prey. Flies noiselessly on delicate wings. It has mastered the art of deftly launching dagger-sharp feathers from those same wings.</t>
        </is>
      </c>
    </row>
    <row r="13611" ht="33.75" customHeight="1">
      <c r="A13611" s="7">
        <v>722.0</v>
      </c>
      <c r="B13611" s="9" t="s">
        <v>18474</v>
      </c>
      <c r="C13611" s="9" t="s">
        <v>1047</v>
      </c>
      <c r="D13611" s="9" t="s">
        <v>642</v>
      </c>
      <c r="E13611" s="6" t="s">
        <v>12240</v>
      </c>
      <c r="F13611" s="9" t="s">
        <v>20004</v>
      </c>
    </row>
    <row r="13612" ht="33.75" customHeight="1">
      <c r="A13612" s="7">
        <v>722.0</v>
      </c>
      <c r="B13612" s="9" t="s">
        <v>18474</v>
      </c>
      <c r="C13612" s="9" t="s">
        <v>1047</v>
      </c>
      <c r="D13612" s="9" t="s">
        <v>647</v>
      </c>
      <c r="E13612" s="6" t="s">
        <v>12242</v>
      </c>
      <c r="F13612" s="9" t="s">
        <v>20004</v>
      </c>
    </row>
    <row r="13613" ht="33.75" customHeight="1">
      <c r="A13613" s="7">
        <v>722.0</v>
      </c>
      <c r="B13613" s="9" t="s">
        <v>18474</v>
      </c>
      <c r="C13613" s="9" t="s">
        <v>1047</v>
      </c>
      <c r="D13613" s="9" t="s">
        <v>652</v>
      </c>
      <c r="E13613" s="6" t="s">
        <v>12243</v>
      </c>
      <c r="F13613" s="9" t="s">
        <v>20004</v>
      </c>
    </row>
    <row r="13614" ht="33.75" customHeight="1">
      <c r="A13614" s="7">
        <v>722.0</v>
      </c>
      <c r="B13614" s="9" t="s">
        <v>18474</v>
      </c>
      <c r="C13614" s="9" t="s">
        <v>1047</v>
      </c>
      <c r="D13614" s="9" t="s">
        <v>114</v>
      </c>
      <c r="E13614" s="6" t="s">
        <v>12245</v>
      </c>
      <c r="F13614" s="9" t="s">
        <v>20004</v>
      </c>
    </row>
    <row r="13615" ht="33.75" customHeight="1">
      <c r="A13615" s="7">
        <v>722.0</v>
      </c>
      <c r="B13615" s="9" t="s">
        <v>18474</v>
      </c>
      <c r="C13615" s="9" t="s">
        <v>1047</v>
      </c>
      <c r="D13615" s="9" t="s">
        <v>117</v>
      </c>
      <c r="E13615" s="6" t="s">
        <v>12246</v>
      </c>
      <c r="F13615" s="9" t="s">
        <v>20004</v>
      </c>
    </row>
    <row r="13616" ht="33.75" customHeight="1">
      <c r="A13616" s="7">
        <v>722.0</v>
      </c>
      <c r="B13616" s="9" t="s">
        <v>18474</v>
      </c>
      <c r="C13616" s="9" t="s">
        <v>1047</v>
      </c>
      <c r="D13616" s="9" t="s">
        <v>1577</v>
      </c>
      <c r="E13616" s="6" t="s">
        <v>12248</v>
      </c>
      <c r="F13616" s="9" t="s">
        <v>20004</v>
      </c>
    </row>
    <row r="13617" ht="33.75" customHeight="1">
      <c r="A13617" s="7">
        <v>723.0</v>
      </c>
      <c r="B13617" s="9" t="s">
        <v>18483</v>
      </c>
      <c r="C13617" s="9" t="s">
        <v>1048</v>
      </c>
      <c r="D13617" s="9" t="s">
        <v>637</v>
      </c>
      <c r="E13617" s="6" t="s">
        <v>12250</v>
      </c>
      <c r="F13617" s="9" t="s">
        <v>20005</v>
      </c>
      <c r="G13617" t="inlineStr" s="6">
        <is>
          <t xml:space="preserve">A bit of a dandy, it spends Dartrix's free time preening its wings. Its preoccupation with any dirt on its plumage can leave it unable to battle. It throws sharp feathers called blade quills at enemies or prey. It seldom misses. This narcissistic Pokémon is a clean freak. If you don’t groom it diligently, it will stop listening to you. Supremely sensitive to the presence of others, it can detect opponents standing behind it, flinging its sharp feathers to take them out. It throws one knifelike feather after another at its enemies, and each one precisely strikes a weak point. These feathers are known as blade quills. It never slacks when it comes to the task of cleaning its feathers. Thorough preening keeps it looking spiffy and its blade quills nice and sharp. Regularly basks in sunlight to gather power—presumably due to the frigid climate. Nonetheless, the edges of the blade quills set into its wings are keen as ever.</t>
        </is>
      </c>
    </row>
    <row r="13618" ht="33.75" customHeight="1">
      <c r="A13618" s="7">
        <v>723.0</v>
      </c>
      <c r="B13618" s="9" t="s">
        <v>18483</v>
      </c>
      <c r="C13618" s="9" t="s">
        <v>1048</v>
      </c>
      <c r="D13618" s="9" t="s">
        <v>642</v>
      </c>
      <c r="E13618" s="6" t="s">
        <v>12251</v>
      </c>
      <c r="F13618" s="9" t="s">
        <v>20005</v>
      </c>
    </row>
    <row r="13619" ht="33.75" customHeight="1">
      <c r="A13619" s="7">
        <v>723.0</v>
      </c>
      <c r="B13619" s="9" t="s">
        <v>18483</v>
      </c>
      <c r="C13619" s="9" t="s">
        <v>1048</v>
      </c>
      <c r="D13619" s="9" t="s">
        <v>647</v>
      </c>
      <c r="E13619" s="6" t="s">
        <v>12252</v>
      </c>
      <c r="F13619" s="9" t="s">
        <v>20005</v>
      </c>
    </row>
    <row r="13620" ht="33.75" customHeight="1">
      <c r="A13620" s="7">
        <v>723.0</v>
      </c>
      <c r="B13620" s="9" t="s">
        <v>18483</v>
      </c>
      <c r="C13620" s="9" t="s">
        <v>1048</v>
      </c>
      <c r="D13620" s="9" t="s">
        <v>652</v>
      </c>
      <c r="E13620" s="6" t="s">
        <v>12253</v>
      </c>
      <c r="F13620" s="9" t="s">
        <v>20005</v>
      </c>
    </row>
    <row r="13621" ht="33.75" customHeight="1">
      <c r="A13621" s="7">
        <v>723.0</v>
      </c>
      <c r="B13621" s="9" t="s">
        <v>18483</v>
      </c>
      <c r="C13621" s="9" t="s">
        <v>1048</v>
      </c>
      <c r="D13621" s="9" t="s">
        <v>114</v>
      </c>
      <c r="E13621" s="6" t="s">
        <v>12255</v>
      </c>
      <c r="F13621" s="9" t="s">
        <v>20005</v>
      </c>
    </row>
    <row r="13622" ht="33.75" customHeight="1">
      <c r="A13622" s="7">
        <v>723.0</v>
      </c>
      <c r="B13622" s="9" t="s">
        <v>18483</v>
      </c>
      <c r="C13622" s="9" t="s">
        <v>1048</v>
      </c>
      <c r="D13622" s="9" t="s">
        <v>117</v>
      </c>
      <c r="E13622" s="6" t="s">
        <v>12256</v>
      </c>
      <c r="F13622" s="9" t="s">
        <v>20005</v>
      </c>
    </row>
    <row r="13623" ht="33.75" customHeight="1">
      <c r="A13623" s="7">
        <v>723.0</v>
      </c>
      <c r="B13623" s="9" t="s">
        <v>18483</v>
      </c>
      <c r="C13623" s="9" t="s">
        <v>1048</v>
      </c>
      <c r="D13623" s="9" t="s">
        <v>1577</v>
      </c>
      <c r="E13623" s="6" t="s">
        <v>12257</v>
      </c>
      <c r="F13623" s="9" t="s">
        <v>20005</v>
      </c>
    </row>
    <row r="13624" ht="33.75" customHeight="1">
      <c r="A13624" s="7">
        <v>724.0</v>
      </c>
      <c r="B13624" s="9" t="s">
        <v>18492</v>
      </c>
      <c r="C13624" s="9" t="s">
        <v>1049</v>
      </c>
      <c r="D13624" s="9" t="s">
        <v>637</v>
      </c>
      <c r="E13624" s="6" t="s">
        <v>12258</v>
      </c>
      <c r="F13624" s="9" t="s">
        <v>20006</v>
      </c>
      <c r="G13624" t="inlineStr" s="6">
        <is>
          <t xml:space="preserve">It fires arrow quills from Decidueye's wings with such precision, they can pierce a pebble at distances over a hundred yards. Although basically cool and cautious, when it’s caught by surprise, it’s seized by panic. It nocks its arrow quills and shoots them at opponents. When it simply can’t afford to miss, it tugs the vine on its head to improve its focus. Decidueye can nock and fire an arrow at an enemy in a tenth of a second, so its battles are decided in the blink of an eye. As if wielding a bow, it launches the arrow quills hidden among the feathers of its wings. Decidueye’s shots never miss. In a tenth of a second, it can nock and fire an arrow quill, piercing an opponent’s weak point before they notice what’s happening. The air stored inside the rachises of Decidueye's feathers insulates the Pokémon against Hisui's extreme cold. This is firm proof that evolution can be influenced by environment.</t>
        </is>
      </c>
    </row>
    <row r="13625" ht="33.75" customHeight="1">
      <c r="A13625" s="7">
        <v>724.0</v>
      </c>
      <c r="B13625" s="9" t="s">
        <v>18492</v>
      </c>
      <c r="C13625" s="9" t="s">
        <v>1049</v>
      </c>
      <c r="D13625" s="9" t="s">
        <v>642</v>
      </c>
      <c r="E13625" s="6" t="s">
        <v>12260</v>
      </c>
      <c r="F13625" s="9" t="s">
        <v>20006</v>
      </c>
    </row>
    <row r="13626" ht="33.75" customHeight="1">
      <c r="A13626" s="7">
        <v>724.0</v>
      </c>
      <c r="B13626" s="9" t="s">
        <v>18492</v>
      </c>
      <c r="C13626" s="9" t="s">
        <v>1049</v>
      </c>
      <c r="D13626" s="9" t="s">
        <v>647</v>
      </c>
      <c r="E13626" s="6" t="s">
        <v>12262</v>
      </c>
      <c r="F13626" s="9" t="s">
        <v>20006</v>
      </c>
    </row>
    <row r="13627" ht="33.75" customHeight="1">
      <c r="A13627" s="7">
        <v>724.0</v>
      </c>
      <c r="B13627" s="9" t="s">
        <v>18492</v>
      </c>
      <c r="C13627" s="9" t="s">
        <v>1049</v>
      </c>
      <c r="D13627" s="9" t="s">
        <v>652</v>
      </c>
      <c r="E13627" s="6" t="s">
        <v>12263</v>
      </c>
      <c r="F13627" s="9" t="s">
        <v>20006</v>
      </c>
    </row>
    <row r="13628" ht="33.75" customHeight="1">
      <c r="A13628" s="7">
        <v>724.0</v>
      </c>
      <c r="B13628" s="9" t="s">
        <v>18492</v>
      </c>
      <c r="C13628" s="9" t="s">
        <v>1049</v>
      </c>
      <c r="D13628" s="9" t="s">
        <v>114</v>
      </c>
      <c r="E13628" s="6" t="s">
        <v>12264</v>
      </c>
      <c r="F13628" s="9" t="s">
        <v>20006</v>
      </c>
    </row>
    <row r="13629" ht="33.75" customHeight="1">
      <c r="A13629" s="7">
        <v>724.0</v>
      </c>
      <c r="B13629" s="9" t="s">
        <v>18492</v>
      </c>
      <c r="C13629" s="9" t="s">
        <v>1049</v>
      </c>
      <c r="D13629" s="9" t="s">
        <v>117</v>
      </c>
      <c r="E13629" s="6" t="s">
        <v>12265</v>
      </c>
      <c r="F13629" s="9" t="s">
        <v>20006</v>
      </c>
    </row>
    <row r="13630" ht="33.75" customHeight="1">
      <c r="A13630" s="7">
        <v>724.0</v>
      </c>
      <c r="B13630" s="9" t="s">
        <v>18492</v>
      </c>
      <c r="C13630" s="9" t="s">
        <v>1049</v>
      </c>
      <c r="D13630" s="9" t="s">
        <v>1577</v>
      </c>
      <c r="E13630" s="6" t="s">
        <v>12266</v>
      </c>
      <c r="F13630" s="9" t="s">
        <v>20006</v>
      </c>
    </row>
    <row r="13631" ht="33.75" customHeight="1">
      <c r="A13631" s="7">
        <v>725.0</v>
      </c>
      <c r="B13631" s="9" t="s">
        <v>18502</v>
      </c>
      <c r="C13631" s="9" t="s">
        <v>1051</v>
      </c>
      <c r="D13631" s="9" t="s">
        <v>637</v>
      </c>
      <c r="E13631" s="6" t="s">
        <v>12267</v>
      </c>
      <c r="F13631" s="9" t="s">
        <v>20007</v>
      </c>
      <c r="G13631" t="inlineStr" s="6">
        <is>
          <t xml:space="preserve">While grooming itself, it builds up fur inside Litten's stomach. It sets the fur alight and spews fiery attacks, which change based on how it coughs. It doesn’t allow its emotions to be easily seen. Earning its trust takes time. It prefers solitude. If you try too hard to get close to it, it won’t open up to you. Even if you do grow close, giving it too much affection is still a no-no. Its coat regrows twice a year. When the time comes, Litten sets its own body on fire and burns away the old fur. It spends even the smallest amount of downtime grooming its fur with its tongue. Loose fur gathers in its stomach and serves as fuel for fiery moves. Trying to pet Litten before it trusts you will result in a nasty scratch from its sharp claws. Be careful.</t>
        </is>
      </c>
    </row>
    <row r="13632" ht="33.75" customHeight="1">
      <c r="A13632" s="7">
        <v>725.0</v>
      </c>
      <c r="B13632" s="9" t="s">
        <v>18502</v>
      </c>
      <c r="C13632" s="9" t="s">
        <v>1051</v>
      </c>
      <c r="D13632" s="9" t="s">
        <v>642</v>
      </c>
      <c r="E13632" s="6" t="s">
        <v>12268</v>
      </c>
      <c r="F13632" s="9" t="s">
        <v>20007</v>
      </c>
    </row>
    <row r="13633" ht="33.75" customHeight="1">
      <c r="A13633" s="7">
        <v>725.0</v>
      </c>
      <c r="B13633" s="9" t="s">
        <v>18502</v>
      </c>
      <c r="C13633" s="9" t="s">
        <v>1051</v>
      </c>
      <c r="D13633" s="9" t="s">
        <v>647</v>
      </c>
      <c r="E13633" s="6" t="s">
        <v>12269</v>
      </c>
      <c r="F13633" s="9" t="s">
        <v>20007</v>
      </c>
    </row>
    <row r="13634" ht="33.75" customHeight="1">
      <c r="A13634" s="7">
        <v>725.0</v>
      </c>
      <c r="B13634" s="9" t="s">
        <v>18502</v>
      </c>
      <c r="C13634" s="9" t="s">
        <v>1051</v>
      </c>
      <c r="D13634" s="9" t="s">
        <v>652</v>
      </c>
      <c r="E13634" s="6" t="s">
        <v>12271</v>
      </c>
      <c r="F13634" s="9" t="s">
        <v>20007</v>
      </c>
    </row>
    <row r="13635" ht="33.75" customHeight="1">
      <c r="A13635" s="7">
        <v>725.0</v>
      </c>
      <c r="B13635" s="9" t="s">
        <v>18502</v>
      </c>
      <c r="C13635" s="9" t="s">
        <v>1051</v>
      </c>
      <c r="D13635" s="9" t="s">
        <v>114</v>
      </c>
      <c r="E13635" s="6" t="s">
        <v>12272</v>
      </c>
      <c r="F13635" s="9" t="s">
        <v>20007</v>
      </c>
    </row>
    <row r="13636" ht="33.75" customHeight="1">
      <c r="A13636" s="7">
        <v>725.0</v>
      </c>
      <c r="B13636" s="9" t="s">
        <v>18502</v>
      </c>
      <c r="C13636" s="9" t="s">
        <v>1051</v>
      </c>
      <c r="D13636" s="9" t="s">
        <v>117</v>
      </c>
      <c r="E13636" s="6" t="s">
        <v>12273</v>
      </c>
      <c r="F13636" s="9" t="s">
        <v>20007</v>
      </c>
    </row>
    <row r="13637" ht="33.75" customHeight="1">
      <c r="A13637" s="7">
        <v>726.0</v>
      </c>
      <c r="B13637" s="9" t="s">
        <v>18510</v>
      </c>
      <c r="C13637" s="9" t="s">
        <v>1051</v>
      </c>
      <c r="D13637" s="9" t="s">
        <v>637</v>
      </c>
      <c r="E13637" s="6" t="s">
        <v>12274</v>
      </c>
      <c r="F13637" s="9" t="s">
        <v>20008</v>
      </c>
      <c r="G13637" t="inlineStr" s="6">
        <is>
          <t xml:space="preserve">At Torracat's throat, it bears a bell of fire. The bell rings brightly whenever this Pokémon spits fire. It boasts powerful front legs. With a single punch, it can bend an iron bar right over. It can act spoiled if it grows close to its Trainer. A powerful Pokémon, its sharp claws can leave its Trainer’s whole body covered in scratches. When its mane is standing on end, you can tell it’s feeling good. When it isn’t feeling well, its fur will lie down flat. In the midst of battle, the fire pouch on Torracat’s neck rings like a bell and produces stronger flames than usual. When facing a powerful enemy, Torracat’s fighting spirit gets pumped up, and its fire bell blazes hotter.</t>
        </is>
      </c>
    </row>
    <row r="13638" ht="33.75" customHeight="1">
      <c r="A13638" s="7">
        <v>726.0</v>
      </c>
      <c r="B13638" s="9" t="s">
        <v>18510</v>
      </c>
      <c r="C13638" s="9" t="s">
        <v>1051</v>
      </c>
      <c r="D13638" s="9" t="s">
        <v>642</v>
      </c>
      <c r="E13638" s="6" t="s">
        <v>12275</v>
      </c>
      <c r="F13638" s="9" t="s">
        <v>20008</v>
      </c>
    </row>
    <row r="13639" ht="33.75" customHeight="1">
      <c r="A13639" s="7">
        <v>726.0</v>
      </c>
      <c r="B13639" s="9" t="s">
        <v>18510</v>
      </c>
      <c r="C13639" s="9" t="s">
        <v>1051</v>
      </c>
      <c r="D13639" s="9" t="s">
        <v>647</v>
      </c>
      <c r="E13639" s="6" t="s">
        <v>12276</v>
      </c>
      <c r="F13639" s="9" t="s">
        <v>20008</v>
      </c>
    </row>
    <row r="13640" ht="33.75" customHeight="1">
      <c r="A13640" s="7">
        <v>726.0</v>
      </c>
      <c r="B13640" s="9" t="s">
        <v>18510</v>
      </c>
      <c r="C13640" s="9" t="s">
        <v>1051</v>
      </c>
      <c r="D13640" s="9" t="s">
        <v>652</v>
      </c>
      <c r="E13640" s="6" t="s">
        <v>12277</v>
      </c>
      <c r="F13640" s="9" t="s">
        <v>20008</v>
      </c>
    </row>
    <row r="13641" ht="33.75" customHeight="1">
      <c r="A13641" s="7">
        <v>726.0</v>
      </c>
      <c r="B13641" s="9" t="s">
        <v>18510</v>
      </c>
      <c r="C13641" s="9" t="s">
        <v>1051</v>
      </c>
      <c r="D13641" s="9" t="s">
        <v>114</v>
      </c>
      <c r="E13641" s="6" t="s">
        <v>12278</v>
      </c>
      <c r="F13641" s="9" t="s">
        <v>20008</v>
      </c>
    </row>
    <row r="13642" ht="33.75" customHeight="1">
      <c r="A13642" s="7">
        <v>726.0</v>
      </c>
      <c r="B13642" s="9" t="s">
        <v>18510</v>
      </c>
      <c r="C13642" s="9" t="s">
        <v>1051</v>
      </c>
      <c r="D13642" s="9" t="s">
        <v>117</v>
      </c>
      <c r="E13642" s="6" t="s">
        <v>12279</v>
      </c>
      <c r="F13642" s="9" t="s">
        <v>20008</v>
      </c>
    </row>
    <row r="13643" ht="33.75" customHeight="1">
      <c r="A13643" s="7">
        <v>727.0</v>
      </c>
      <c r="B13643" s="9" t="s">
        <v>18517</v>
      </c>
      <c r="C13643" s="9" t="s">
        <v>1052</v>
      </c>
      <c r="D13643" s="9" t="s">
        <v>637</v>
      </c>
      <c r="E13643" s="6" t="s">
        <v>12280</v>
      </c>
      <c r="F13643" s="9" t="s">
        <v>20009</v>
      </c>
      <c r="G13643" t="inlineStr" s="6">
        <is>
          <t xml:space="preserve">This Pokémon has a violent, selfish disposition. If it’s not in the mood to listen, it will ignore its Trainer’s orders with complete nonchalance. After hurling ferocious punches and flinging furious kicks, it finishes opponents off by spewing fire from around its navel. Although it’s rough mannered and egotistical, it finds beating down unworthy opponents boring. It gets motivated for stronger opponents. When its fighting spirit is set alight, the flames around its waist become especially intense. It excels at violent, no-holds-barred battles. The temperature of the flames that issue from its navel exceeds 3,600 degrees Fahrenheit. Incineroar’s rough and aggressive behavior is its most notable trait, but the way it helps out small Pokémon shows that it has a kind side as well.</t>
        </is>
      </c>
    </row>
    <row r="13644" ht="33.75" customHeight="1">
      <c r="A13644" s="7">
        <v>727.0</v>
      </c>
      <c r="B13644" s="9" t="s">
        <v>18517</v>
      </c>
      <c r="C13644" s="9" t="s">
        <v>1052</v>
      </c>
      <c r="D13644" s="9" t="s">
        <v>642</v>
      </c>
      <c r="E13644" s="6" t="s">
        <v>12282</v>
      </c>
      <c r="F13644" s="9" t="s">
        <v>20009</v>
      </c>
    </row>
    <row r="13645" ht="33.75" customHeight="1">
      <c r="A13645" s="7">
        <v>727.0</v>
      </c>
      <c r="B13645" s="9" t="s">
        <v>18517</v>
      </c>
      <c r="C13645" s="9" t="s">
        <v>1052</v>
      </c>
      <c r="D13645" s="9" t="s">
        <v>647</v>
      </c>
      <c r="E13645" s="6" t="s">
        <v>12284</v>
      </c>
      <c r="F13645" s="9" t="s">
        <v>20009</v>
      </c>
    </row>
    <row r="13646" ht="33.75" customHeight="1">
      <c r="A13646" s="7">
        <v>727.0</v>
      </c>
      <c r="B13646" s="9" t="s">
        <v>18517</v>
      </c>
      <c r="C13646" s="9" t="s">
        <v>1052</v>
      </c>
      <c r="D13646" s="9" t="s">
        <v>652</v>
      </c>
      <c r="E13646" s="6" t="s">
        <v>12285</v>
      </c>
      <c r="F13646" s="9" t="s">
        <v>20009</v>
      </c>
    </row>
    <row r="13647" ht="33.75" customHeight="1">
      <c r="A13647" s="7">
        <v>727.0</v>
      </c>
      <c r="B13647" s="9" t="s">
        <v>18517</v>
      </c>
      <c r="C13647" s="9" t="s">
        <v>1052</v>
      </c>
      <c r="D13647" s="9" t="s">
        <v>114</v>
      </c>
      <c r="E13647" s="6" t="s">
        <v>12287</v>
      </c>
      <c r="F13647" s="9" t="s">
        <v>20009</v>
      </c>
    </row>
    <row r="13648" ht="33.75" customHeight="1">
      <c r="A13648" s="7">
        <v>727.0</v>
      </c>
      <c r="B13648" s="9" t="s">
        <v>18517</v>
      </c>
      <c r="C13648" s="9" t="s">
        <v>1052</v>
      </c>
      <c r="D13648" s="9" t="s">
        <v>117</v>
      </c>
      <c r="E13648" s="6" t="s">
        <v>12289</v>
      </c>
      <c r="F13648" s="9" t="s">
        <v>20009</v>
      </c>
    </row>
    <row r="13649" ht="33.75" customHeight="1">
      <c r="A13649" s="7">
        <v>728.0</v>
      </c>
      <c r="B13649" s="9" t="s">
        <v>18526</v>
      </c>
      <c r="C13649" s="9" t="s">
        <v>158</v>
      </c>
      <c r="D13649" s="9" t="s">
        <v>637</v>
      </c>
      <c r="E13649" s="6" t="s">
        <v>12296</v>
      </c>
      <c r="F13649" s="9" t="s">
        <v>20010</v>
      </c>
      <c r="G13649" t="inlineStr" s="6">
        <is>
          <t xml:space="preserve">This Pokémon snorts body fluids from Popplio's nose, blowing balloons to smash into its foes. It’s famous for being a hard worker. This Pokémon can control water bubbles. It practices diligently so it can learn to make big bubbles. The balloons it inflates with its nose grow larger and larger as it practices day by day. Popplio gets on top of its bouncy water balloons to jump higher. It’s quite the acrobatic fighter! It creates special bouncy balloons to send at its opponents. When the balloons pop, the sheer force of their bursting is what deals damage. If Popplio want to create big, powerful balloons, they must be persistent. It takes daily practice for these Pokémon to develop their skills.</t>
        </is>
      </c>
    </row>
    <row r="13650" ht="33.75" customHeight="1">
      <c r="A13650" s="7">
        <v>728.0</v>
      </c>
      <c r="B13650" s="9" t="s">
        <v>18526</v>
      </c>
      <c r="C13650" s="9" t="s">
        <v>158</v>
      </c>
      <c r="D13650" s="9" t="s">
        <v>642</v>
      </c>
      <c r="E13650" s="6" t="s">
        <v>12298</v>
      </c>
      <c r="F13650" s="9" t="s">
        <v>20010</v>
      </c>
    </row>
    <row r="13651" ht="33.75" customHeight="1">
      <c r="A13651" s="7">
        <v>728.0</v>
      </c>
      <c r="B13651" s="9" t="s">
        <v>18526</v>
      </c>
      <c r="C13651" s="9" t="s">
        <v>158</v>
      </c>
      <c r="D13651" s="9" t="s">
        <v>647</v>
      </c>
      <c r="E13651" s="6" t="s">
        <v>12300</v>
      </c>
      <c r="F13651" s="9" t="s">
        <v>20010</v>
      </c>
    </row>
    <row r="13652" ht="33.75" customHeight="1">
      <c r="A13652" s="7">
        <v>728.0</v>
      </c>
      <c r="B13652" s="9" t="s">
        <v>18526</v>
      </c>
      <c r="C13652" s="9" t="s">
        <v>158</v>
      </c>
      <c r="D13652" s="9" t="s">
        <v>652</v>
      </c>
      <c r="E13652" s="6" t="s">
        <v>12301</v>
      </c>
      <c r="F13652" s="9" t="s">
        <v>20010</v>
      </c>
    </row>
    <row r="13653" ht="33.75" customHeight="1">
      <c r="A13653" s="7">
        <v>728.0</v>
      </c>
      <c r="B13653" s="9" t="s">
        <v>18526</v>
      </c>
      <c r="C13653" s="9" t="s">
        <v>158</v>
      </c>
      <c r="D13653" s="9" t="s">
        <v>114</v>
      </c>
      <c r="E13653" s="6" t="s">
        <v>12302</v>
      </c>
      <c r="F13653" s="9" t="s">
        <v>20010</v>
      </c>
    </row>
    <row r="13654" ht="33.75" customHeight="1">
      <c r="A13654" s="7">
        <v>728.0</v>
      </c>
      <c r="B13654" s="9" t="s">
        <v>18526</v>
      </c>
      <c r="C13654" s="9" t="s">
        <v>158</v>
      </c>
      <c r="D13654" s="9" t="s">
        <v>117</v>
      </c>
      <c r="E13654" s="6" t="s">
        <v>12304</v>
      </c>
      <c r="F13654" s="9" t="s">
        <v>20010</v>
      </c>
    </row>
    <row r="13655" ht="33.75" customHeight="1">
      <c r="A13655" s="7">
        <v>729.0</v>
      </c>
      <c r="B13655" s="9" t="s">
        <v>18533</v>
      </c>
      <c r="C13655" s="9" t="s">
        <v>1053</v>
      </c>
      <c r="D13655" s="9" t="s">
        <v>637</v>
      </c>
      <c r="E13655" s="6" t="s">
        <v>12305</v>
      </c>
      <c r="F13655" s="9" t="s">
        <v>20011</v>
      </c>
      <c r="G13655" t="inlineStr" s="6">
        <is>
          <t xml:space="preserve">A skillful dancer, it creates a sequence of water balloons as it dances, and briskly bombards Brionne's enemies. It cares deeply for its companions. When its Trainer is feeling down, it performs a cheery dance to try and help. It gets excited when it sees a dance it doesn’t know. This hard worker practices diligently until it can learn that dance. It attacks by smacking its enemies with the exploding water balloons that it creates. As if dancing, it artfully dodges the attacks of its enemies. All the while, it’s busy forming a bunch of balloons to overwhelm its foes. On nights when the sea is calm, Brionne dance with one another to the singing of the Primarina that’s leading them.</t>
        </is>
      </c>
    </row>
    <row r="13656" ht="33.75" customHeight="1">
      <c r="A13656" s="7">
        <v>729.0</v>
      </c>
      <c r="B13656" s="9" t="s">
        <v>18533</v>
      </c>
      <c r="C13656" s="9" t="s">
        <v>1053</v>
      </c>
      <c r="D13656" s="9" t="s">
        <v>642</v>
      </c>
      <c r="E13656" s="6" t="s">
        <v>12306</v>
      </c>
      <c r="F13656" s="9" t="s">
        <v>20011</v>
      </c>
    </row>
    <row r="13657" ht="33.75" customHeight="1">
      <c r="A13657" s="7">
        <v>729.0</v>
      </c>
      <c r="B13657" s="9" t="s">
        <v>18533</v>
      </c>
      <c r="C13657" s="9" t="s">
        <v>1053</v>
      </c>
      <c r="D13657" s="9" t="s">
        <v>647</v>
      </c>
      <c r="E13657" s="6" t="s">
        <v>12307</v>
      </c>
      <c r="F13657" s="9" t="s">
        <v>20011</v>
      </c>
    </row>
    <row r="13658" ht="33.75" customHeight="1">
      <c r="A13658" s="7">
        <v>729.0</v>
      </c>
      <c r="B13658" s="9" t="s">
        <v>18533</v>
      </c>
      <c r="C13658" s="9" t="s">
        <v>1053</v>
      </c>
      <c r="D13658" s="9" t="s">
        <v>652</v>
      </c>
      <c r="E13658" s="6" t="s">
        <v>12309</v>
      </c>
      <c r="F13658" s="9" t="s">
        <v>20011</v>
      </c>
    </row>
    <row r="13659" ht="33.75" customHeight="1">
      <c r="A13659" s="7">
        <v>729.0</v>
      </c>
      <c r="B13659" s="9" t="s">
        <v>18533</v>
      </c>
      <c r="C13659" s="9" t="s">
        <v>1053</v>
      </c>
      <c r="D13659" s="9" t="s">
        <v>114</v>
      </c>
      <c r="E13659" s="6" t="s">
        <v>12310</v>
      </c>
      <c r="F13659" s="9" t="s">
        <v>20011</v>
      </c>
    </row>
    <row r="13660" ht="33.75" customHeight="1">
      <c r="A13660" s="7">
        <v>729.0</v>
      </c>
      <c r="B13660" s="9" t="s">
        <v>18533</v>
      </c>
      <c r="C13660" s="9" t="s">
        <v>1053</v>
      </c>
      <c r="D13660" s="9" t="s">
        <v>117</v>
      </c>
      <c r="E13660" s="6" t="s">
        <v>12311</v>
      </c>
      <c r="F13660" s="9" t="s">
        <v>20011</v>
      </c>
    </row>
    <row r="13661" ht="33.75" customHeight="1">
      <c r="A13661" s="7">
        <v>730.0</v>
      </c>
      <c r="B13661" s="9" t="s">
        <v>18541</v>
      </c>
      <c r="C13661" s="9" t="s">
        <v>1055</v>
      </c>
      <c r="D13661" s="9" t="s">
        <v>637</v>
      </c>
      <c r="E13661" s="6" t="s">
        <v>12312</v>
      </c>
      <c r="F13661" s="9" t="s">
        <v>20012</v>
      </c>
      <c r="G13661" t="inlineStr" s="6">
        <is>
          <t xml:space="preserve">It controls Primarina's water balloons with song. The melody is learned from others of its kind and is passed down from one generation to the next. Its singing voice is its chief weapon in battle. This Pokémon’s Trainer must prioritize the daily maintenance of its throat at all costs. To Primarina, every battle is a stage. It takes down its prey with beautiful singing and dancing. Also known as a songstress, it has a fantastical look on moonlit nights when it leads its colony in song. With its mouth, it makes sonic waves that sound like beautiful singing. It uses the sonic waves to control its water balloons. For Primarina, every battle’s a stage. Its singing and the dancing of its balloons will mesmerize the audience.</t>
        </is>
      </c>
    </row>
    <row r="13662" ht="33.75" customHeight="1">
      <c r="A13662" s="7">
        <v>730.0</v>
      </c>
      <c r="B13662" s="9" t="s">
        <v>18541</v>
      </c>
      <c r="C13662" s="9" t="s">
        <v>1055</v>
      </c>
      <c r="D13662" s="9" t="s">
        <v>642</v>
      </c>
      <c r="E13662" s="6" t="s">
        <v>12313</v>
      </c>
      <c r="F13662" s="9" t="s">
        <v>20012</v>
      </c>
    </row>
    <row r="13663" ht="33.75" customHeight="1">
      <c r="A13663" s="7">
        <v>730.0</v>
      </c>
      <c r="B13663" s="9" t="s">
        <v>18541</v>
      </c>
      <c r="C13663" s="9" t="s">
        <v>1055</v>
      </c>
      <c r="D13663" s="9" t="s">
        <v>647</v>
      </c>
      <c r="E13663" s="6" t="s">
        <v>12315</v>
      </c>
      <c r="F13663" s="9" t="s">
        <v>20012</v>
      </c>
    </row>
    <row r="13664" ht="33.75" customHeight="1">
      <c r="A13664" s="7">
        <v>730.0</v>
      </c>
      <c r="B13664" s="9" t="s">
        <v>18541</v>
      </c>
      <c r="C13664" s="9" t="s">
        <v>1055</v>
      </c>
      <c r="D13664" s="9" t="s">
        <v>652</v>
      </c>
      <c r="E13664" s="6" t="s">
        <v>12316</v>
      </c>
      <c r="F13664" s="9" t="s">
        <v>20012</v>
      </c>
    </row>
    <row r="13665" ht="33.75" customHeight="1">
      <c r="A13665" s="7">
        <v>730.0</v>
      </c>
      <c r="B13665" s="9" t="s">
        <v>18541</v>
      </c>
      <c r="C13665" s="9" t="s">
        <v>1055</v>
      </c>
      <c r="D13665" s="9" t="s">
        <v>114</v>
      </c>
      <c r="E13665" s="6" t="s">
        <v>12317</v>
      </c>
      <c r="F13665" s="9" t="s">
        <v>20012</v>
      </c>
    </row>
    <row r="13666" ht="33.75" customHeight="1">
      <c r="A13666" s="7">
        <v>730.0</v>
      </c>
      <c r="B13666" s="9" t="s">
        <v>18541</v>
      </c>
      <c r="C13666" s="9" t="s">
        <v>1055</v>
      </c>
      <c r="D13666" s="9" t="s">
        <v>117</v>
      </c>
      <c r="E13666" s="6" t="s">
        <v>12318</v>
      </c>
      <c r="F13666" s="9" t="s">
        <v>20012</v>
      </c>
    </row>
    <row r="13667" ht="33.75" customHeight="1">
      <c r="A13667" s="7">
        <v>731.0</v>
      </c>
      <c r="B13667" s="9" t="s">
        <v>18549</v>
      </c>
      <c r="C13667" s="9" t="s">
        <v>1057</v>
      </c>
      <c r="D13667" s="9" t="s">
        <v>637</v>
      </c>
      <c r="E13667" s="6" t="s">
        <v>12319</v>
      </c>
      <c r="F13667" s="9" t="s">
        <v>20013</v>
      </c>
      <c r="G13667" t="inlineStr" s="6">
        <is>
          <t xml:space="preserve">Pikipek can peck at a rate of 16 times a second to drill holes in trees. It uses the holes for food storage and for nesting. This Pokémon feeds on berries, whose leftover seeds become the ammunition for the attacks it fires off from its mouth. It pecks at trees with its hard beak. You can get some idea of its mood or condition from the rhythm of its pecking. It may look spindly, but its neck muscles are heavy-duty. It can peck at a tree 16 times per second!</t>
        </is>
      </c>
    </row>
    <row r="13668" ht="33.75" customHeight="1">
      <c r="A13668" s="7">
        <v>731.0</v>
      </c>
      <c r="B13668" s="9" t="s">
        <v>18549</v>
      </c>
      <c r="C13668" s="9" t="s">
        <v>1057</v>
      </c>
      <c r="D13668" s="9" t="s">
        <v>642</v>
      </c>
      <c r="E13668" s="6" t="s">
        <v>12320</v>
      </c>
      <c r="F13668" s="9" t="s">
        <v>20013</v>
      </c>
    </row>
    <row r="13669" ht="33.75" customHeight="1">
      <c r="A13669" s="7">
        <v>731.0</v>
      </c>
      <c r="B13669" s="9" t="s">
        <v>18549</v>
      </c>
      <c r="C13669" s="9" t="s">
        <v>1057</v>
      </c>
      <c r="D13669" s="9" t="s">
        <v>647</v>
      </c>
      <c r="E13669" s="6" t="s">
        <v>12321</v>
      </c>
      <c r="F13669" s="9" t="s">
        <v>20013</v>
      </c>
    </row>
    <row r="13670" ht="33.75" customHeight="1">
      <c r="A13670" s="7">
        <v>731.0</v>
      </c>
      <c r="B13670" s="9" t="s">
        <v>18549</v>
      </c>
      <c r="C13670" s="9" t="s">
        <v>1057</v>
      </c>
      <c r="D13670" s="9" t="s">
        <v>652</v>
      </c>
      <c r="E13670" s="6" t="s">
        <v>12322</v>
      </c>
      <c r="F13670" s="9" t="s">
        <v>20013</v>
      </c>
    </row>
    <row r="13671" ht="33.75" customHeight="1">
      <c r="A13671" s="7">
        <v>732.0</v>
      </c>
      <c r="B13671" s="9" t="s">
        <v>18556</v>
      </c>
      <c r="C13671" s="9" t="s">
        <v>1058</v>
      </c>
      <c r="D13671" s="9" t="s">
        <v>637</v>
      </c>
      <c r="E13671" s="6" t="s">
        <v>12323</v>
      </c>
      <c r="F13671" s="9" t="s">
        <v>20014</v>
      </c>
      <c r="G13671" t="inlineStr" s="6">
        <is>
          <t xml:space="preserve">It eats berries and stores their seeds in Trumbeak's beak. When it encounters enemies or prey, it fires off all the seeds in a burst. By bending its beak, it can produce a variety of calls and brand itself a noisy nuisance for its neighbors. It can bend the tip of its beak to produce over a hundred different cries at will. From its mouth, it fires the seeds of berries it has eaten. The scattered seeds give rise to new plants.</t>
        </is>
      </c>
    </row>
    <row r="13672" ht="33.75" customHeight="1">
      <c r="A13672" s="7">
        <v>732.0</v>
      </c>
      <c r="B13672" s="9" t="s">
        <v>18556</v>
      </c>
      <c r="C13672" s="9" t="s">
        <v>1058</v>
      </c>
      <c r="D13672" s="9" t="s">
        <v>642</v>
      </c>
      <c r="E13672" s="6" t="s">
        <v>12324</v>
      </c>
      <c r="F13672" s="9" t="s">
        <v>20014</v>
      </c>
    </row>
    <row r="13673" ht="33.75" customHeight="1">
      <c r="A13673" s="7">
        <v>732.0</v>
      </c>
      <c r="B13673" s="9" t="s">
        <v>18556</v>
      </c>
      <c r="C13673" s="9" t="s">
        <v>1058</v>
      </c>
      <c r="D13673" s="9" t="s">
        <v>647</v>
      </c>
      <c r="E13673" s="6" t="s">
        <v>12326</v>
      </c>
      <c r="F13673" s="9" t="s">
        <v>20014</v>
      </c>
    </row>
    <row r="13674" ht="33.75" customHeight="1">
      <c r="A13674" s="7">
        <v>732.0</v>
      </c>
      <c r="B13674" s="9" t="s">
        <v>18556</v>
      </c>
      <c r="C13674" s="9" t="s">
        <v>1058</v>
      </c>
      <c r="D13674" s="9" t="s">
        <v>652</v>
      </c>
      <c r="E13674" s="6" t="s">
        <v>12327</v>
      </c>
      <c r="F13674" s="9" t="s">
        <v>20014</v>
      </c>
    </row>
    <row r="13675" ht="33.75" customHeight="1">
      <c r="A13675" s="7">
        <v>733.0</v>
      </c>
      <c r="B13675" s="9" t="s">
        <v>18562</v>
      </c>
      <c r="C13675" s="9" t="s">
        <v>1060</v>
      </c>
      <c r="D13675" s="9" t="s">
        <v>637</v>
      </c>
      <c r="E13675" s="6" t="s">
        <v>12328</v>
      </c>
      <c r="F13675" s="9" t="s">
        <v>20015</v>
      </c>
      <c r="G13675" t="inlineStr" s="6">
        <is>
          <t xml:space="preserve">When it battles, Toucannon's beak heats up. The temperature can easily exceed 212 degrees Fahrenheit, causing severe burns when it hits. Within its beak, its internal gas ignites, explosively launching seeds with enough power to pulverize boulders. They smack beaks with others of their kind to communicate. The strength and number of hits tell each other how they feel. Known for forming harmonious couples, this Pokémon is brought to wedding ceremonies as a good luck charm.</t>
        </is>
      </c>
    </row>
    <row r="13676" ht="33.75" customHeight="1">
      <c r="A13676" s="7">
        <v>733.0</v>
      </c>
      <c r="B13676" s="9" t="s">
        <v>18562</v>
      </c>
      <c r="C13676" s="9" t="s">
        <v>1060</v>
      </c>
      <c r="D13676" s="9" t="s">
        <v>642</v>
      </c>
      <c r="E13676" s="6" t="s">
        <v>12330</v>
      </c>
      <c r="F13676" s="9" t="s">
        <v>20015</v>
      </c>
    </row>
    <row r="13677" ht="33.75" customHeight="1">
      <c r="A13677" s="7">
        <v>733.0</v>
      </c>
      <c r="B13677" s="9" t="s">
        <v>18562</v>
      </c>
      <c r="C13677" s="9" t="s">
        <v>1060</v>
      </c>
      <c r="D13677" s="9" t="s">
        <v>647</v>
      </c>
      <c r="E13677" s="6" t="s">
        <v>12331</v>
      </c>
      <c r="F13677" s="9" t="s">
        <v>20015</v>
      </c>
    </row>
    <row r="13678" ht="33.75" customHeight="1">
      <c r="A13678" s="7">
        <v>733.0</v>
      </c>
      <c r="B13678" s="9" t="s">
        <v>18562</v>
      </c>
      <c r="C13678" s="9" t="s">
        <v>1060</v>
      </c>
      <c r="D13678" s="9" t="s">
        <v>652</v>
      </c>
      <c r="E13678" s="6" t="s">
        <v>12332</v>
      </c>
      <c r="F13678" s="9" t="s">
        <v>20015</v>
      </c>
    </row>
    <row r="13679" ht="33.75" customHeight="1">
      <c r="A13679" s="7">
        <v>734.0</v>
      </c>
      <c r="B13679" s="9" t="s">
        <v>18568</v>
      </c>
      <c r="C13679" s="9" t="s">
        <v>1061</v>
      </c>
      <c r="D13679" s="9" t="s">
        <v>637</v>
      </c>
      <c r="E13679" s="6" t="s">
        <v>12334</v>
      </c>
      <c r="F13679" s="9" t="s">
        <v>20016</v>
      </c>
      <c r="G13679" t="inlineStr" s="6">
        <is>
          <t xml:space="preserve">With Yungoos's sharp fangs, it will bite anything. It did not originally live in Alola but was imported from another region. It wanders around in a never-ending search for food. At dusk, it collapses from exhaustion and falls asleep on the spot. Its stomach takes up most of its long torso. It’s a big eater, so the amount Trainers have to spend on its food is no laughing matter. Although it will eat anything, it prefers fresh living things, so it marches down streets in search of prey.</t>
        </is>
      </c>
    </row>
    <row r="13680" ht="33.75" customHeight="1">
      <c r="A13680" s="7">
        <v>734.0</v>
      </c>
      <c r="B13680" s="9" t="s">
        <v>18568</v>
      </c>
      <c r="C13680" s="9" t="s">
        <v>1061</v>
      </c>
      <c r="D13680" s="9" t="s">
        <v>642</v>
      </c>
      <c r="E13680" s="6" t="s">
        <v>12336</v>
      </c>
      <c r="F13680" s="9" t="s">
        <v>20016</v>
      </c>
    </row>
    <row r="13681" ht="33.75" customHeight="1">
      <c r="A13681" s="7">
        <v>734.0</v>
      </c>
      <c r="B13681" s="9" t="s">
        <v>18568</v>
      </c>
      <c r="C13681" s="9" t="s">
        <v>1061</v>
      </c>
      <c r="D13681" s="9" t="s">
        <v>647</v>
      </c>
      <c r="E13681" s="6" t="s">
        <v>12339</v>
      </c>
      <c r="F13681" s="9" t="s">
        <v>20016</v>
      </c>
    </row>
    <row r="13682" ht="33.75" customHeight="1">
      <c r="A13682" s="7">
        <v>734.0</v>
      </c>
      <c r="B13682" s="9" t="s">
        <v>18568</v>
      </c>
      <c r="C13682" s="9" t="s">
        <v>1061</v>
      </c>
      <c r="D13682" s="9" t="s">
        <v>652</v>
      </c>
      <c r="E13682" s="6" t="s">
        <v>12341</v>
      </c>
      <c r="F13682" s="9" t="s">
        <v>20016</v>
      </c>
    </row>
    <row r="13683" ht="33.75" customHeight="1">
      <c r="A13683" s="7">
        <v>735.0</v>
      </c>
      <c r="B13683" s="9" t="s">
        <v>18574</v>
      </c>
      <c r="C13683" s="9" t="s">
        <v>1063</v>
      </c>
      <c r="D13683" s="9" t="s">
        <v>637</v>
      </c>
      <c r="E13683" s="6" t="s">
        <v>12343</v>
      </c>
      <c r="F13683" s="9" t="s">
        <v>20017</v>
      </c>
      <c r="G13683" t="inlineStr" s="6">
        <is>
          <t xml:space="preserve">When it finds a trace of Gumshoos's prey, it patiently stakes out the location...but it’s always snoozing by nightfall. It adores having Rattata and Raticate for dinner, but as it’s diurnal, it never encounters them. This Pokémon boasts incredible patience. Although it wasn’t originally found in Alola, this Pokémon was brought over a long time ago when there was a huge Rattata outbreak. Patient by nature, this Pokémon loses control of itself and pounces when it spots its favorite meal—Rattata!</t>
        </is>
      </c>
    </row>
    <row r="13684" ht="33.75" customHeight="1">
      <c r="A13684" s="7">
        <v>735.0</v>
      </c>
      <c r="B13684" s="9" t="s">
        <v>18574</v>
      </c>
      <c r="C13684" s="9" t="s">
        <v>1063</v>
      </c>
      <c r="D13684" s="9" t="s">
        <v>642</v>
      </c>
      <c r="E13684" s="6" t="s">
        <v>12345</v>
      </c>
      <c r="F13684" s="9" t="s">
        <v>20017</v>
      </c>
    </row>
    <row r="13685" ht="33.75" customHeight="1">
      <c r="A13685" s="7">
        <v>735.0</v>
      </c>
      <c r="B13685" s="9" t="s">
        <v>18574</v>
      </c>
      <c r="C13685" s="9" t="s">
        <v>1063</v>
      </c>
      <c r="D13685" s="9" t="s">
        <v>647</v>
      </c>
      <c r="E13685" s="6" t="s">
        <v>12347</v>
      </c>
      <c r="F13685" s="9" t="s">
        <v>20017</v>
      </c>
    </row>
    <row r="13686" ht="33.75" customHeight="1">
      <c r="A13686" s="7">
        <v>735.0</v>
      </c>
      <c r="B13686" s="9" t="s">
        <v>18574</v>
      </c>
      <c r="C13686" s="9" t="s">
        <v>1063</v>
      </c>
      <c r="D13686" s="9" t="s">
        <v>652</v>
      </c>
      <c r="E13686" s="6" t="s">
        <v>12348</v>
      </c>
      <c r="F13686" s="9" t="s">
        <v>20017</v>
      </c>
    </row>
    <row r="13687" ht="33.75" customHeight="1">
      <c r="A13687" s="7">
        <v>736.0</v>
      </c>
      <c r="B13687" s="9" t="s">
        <v>18580</v>
      </c>
      <c r="C13687" s="9" t="s">
        <v>1064</v>
      </c>
      <c r="D13687" s="9" t="s">
        <v>637</v>
      </c>
      <c r="E13687" s="6" t="s">
        <v>12349</v>
      </c>
      <c r="F13687" s="9" t="s">
        <v>20018</v>
      </c>
      <c r="G13687" t="inlineStr" s="6">
        <is>
          <t xml:space="preserve">Grubbin's strong jaw enables it to scrape trees and slurp out the sap. It normally lives underground. They often gather near places frequented by electric Pokémon in order to avoid being attacked by bird Pokémon. If you find its nest, you shouldn’t stick your hand inside. You’ll get bitten by an irritated Grubbin. It spits a sticky thread to stop opponents in their tracks, and then it grabs them in its sharp, sturdy mandibles to take them down. Its natural enemies, like Rookidee, may flee rather than risk getting caught in its large mandibles that can snap thick tree branches. It uses its big jaws to dig nests into the forest floor, and it loves to feed on sweet tree sap.</t>
        </is>
      </c>
    </row>
    <row r="13688" ht="33.75" customHeight="1">
      <c r="A13688" s="7">
        <v>736.0</v>
      </c>
      <c r="B13688" s="9" t="s">
        <v>18580</v>
      </c>
      <c r="C13688" s="9" t="s">
        <v>1064</v>
      </c>
      <c r="D13688" s="9" t="s">
        <v>642</v>
      </c>
      <c r="E13688" s="6" t="s">
        <v>12350</v>
      </c>
      <c r="F13688" s="9" t="s">
        <v>20018</v>
      </c>
    </row>
    <row r="13689" ht="33.75" customHeight="1">
      <c r="A13689" s="7">
        <v>736.0</v>
      </c>
      <c r="B13689" s="9" t="s">
        <v>18580</v>
      </c>
      <c r="C13689" s="9" t="s">
        <v>1064</v>
      </c>
      <c r="D13689" s="9" t="s">
        <v>647</v>
      </c>
      <c r="E13689" s="6" t="s">
        <v>12352</v>
      </c>
      <c r="F13689" s="9" t="s">
        <v>20018</v>
      </c>
    </row>
    <row r="13690" ht="33.75" customHeight="1">
      <c r="A13690" s="7">
        <v>736.0</v>
      </c>
      <c r="B13690" s="9" t="s">
        <v>18580</v>
      </c>
      <c r="C13690" s="9" t="s">
        <v>1064</v>
      </c>
      <c r="D13690" s="9" t="s">
        <v>652</v>
      </c>
      <c r="E13690" s="6" t="s">
        <v>12353</v>
      </c>
      <c r="F13690" s="9" t="s">
        <v>20018</v>
      </c>
    </row>
    <row r="13691" ht="33.75" customHeight="1">
      <c r="A13691" s="7">
        <v>736.0</v>
      </c>
      <c r="B13691" s="9" t="s">
        <v>18580</v>
      </c>
      <c r="C13691" s="9" t="s">
        <v>1064</v>
      </c>
      <c r="D13691" s="9" t="s">
        <v>114</v>
      </c>
      <c r="E13691" s="6" t="s">
        <v>12354</v>
      </c>
      <c r="F13691" s="9" t="s">
        <v>20018</v>
      </c>
    </row>
    <row r="13692" ht="33.75" customHeight="1">
      <c r="A13692" s="7">
        <v>736.0</v>
      </c>
      <c r="B13692" s="9" t="s">
        <v>18580</v>
      </c>
      <c r="C13692" s="9" t="s">
        <v>1064</v>
      </c>
      <c r="D13692" s="9" t="s">
        <v>117</v>
      </c>
      <c r="E13692" s="6" t="s">
        <v>12356</v>
      </c>
      <c r="F13692" s="9" t="s">
        <v>20018</v>
      </c>
    </row>
    <row r="13693" ht="33.75" customHeight="1">
      <c r="A13693" s="7">
        <v>737.0</v>
      </c>
      <c r="B13693" s="9" t="s">
        <v>18589</v>
      </c>
      <c r="C13693" s="9" t="s">
        <v>1066</v>
      </c>
      <c r="D13693" s="9" t="s">
        <v>637</v>
      </c>
      <c r="E13693" s="6" t="s">
        <v>12357</v>
      </c>
      <c r="F13693" s="9" t="s">
        <v>20019</v>
      </c>
      <c r="G13693" t="inlineStr" s="6">
        <is>
          <t xml:space="preserve">Charjabug's body is capable of storing electricity. On camping trips, people are grateful to have one around. From the food it digests, it generates electricity, and it stores this energy in its electric sac. It buries itself in fallen leaves and barely moves, munching away on humus. If you accidentally step on one, you’ll get a shock! Its stout shell provides excellent defense from attacks. It uses electricity on persistent opponents. While its durable shell protects it from attacks, Charjabug strikes at enemies with jolts of electricity discharged from the tips of its jaws. Its digestive processes convert the leaves it eats into electricity. An electric sac in its belly stores the electricity for later use.</t>
        </is>
      </c>
    </row>
    <row r="13694" ht="33.75" customHeight="1">
      <c r="A13694" s="7">
        <v>737.0</v>
      </c>
      <c r="B13694" s="9" t="s">
        <v>18589</v>
      </c>
      <c r="C13694" s="9" t="s">
        <v>1066</v>
      </c>
      <c r="D13694" s="9" t="s">
        <v>642</v>
      </c>
      <c r="E13694" s="6" t="s">
        <v>12358</v>
      </c>
      <c r="F13694" s="9" t="s">
        <v>20019</v>
      </c>
    </row>
    <row r="13695" ht="33.75" customHeight="1">
      <c r="A13695" s="7">
        <v>737.0</v>
      </c>
      <c r="B13695" s="9" t="s">
        <v>18589</v>
      </c>
      <c r="C13695" s="9" t="s">
        <v>1066</v>
      </c>
      <c r="D13695" s="9" t="s">
        <v>647</v>
      </c>
      <c r="E13695" s="6" t="s">
        <v>12360</v>
      </c>
      <c r="F13695" s="9" t="s">
        <v>20019</v>
      </c>
    </row>
    <row r="13696" ht="33.75" customHeight="1">
      <c r="A13696" s="7">
        <v>737.0</v>
      </c>
      <c r="B13696" s="9" t="s">
        <v>18589</v>
      </c>
      <c r="C13696" s="9" t="s">
        <v>1066</v>
      </c>
      <c r="D13696" s="9" t="s">
        <v>652</v>
      </c>
      <c r="E13696" s="6" t="s">
        <v>12361</v>
      </c>
      <c r="F13696" s="9" t="s">
        <v>20019</v>
      </c>
    </row>
    <row r="13697" ht="33.75" customHeight="1">
      <c r="A13697" s="7">
        <v>737.0</v>
      </c>
      <c r="B13697" s="9" t="s">
        <v>18589</v>
      </c>
      <c r="C13697" s="9" t="s">
        <v>1066</v>
      </c>
      <c r="D13697" s="9" t="s">
        <v>114</v>
      </c>
      <c r="E13697" s="6" t="s">
        <v>12362</v>
      </c>
      <c r="F13697" s="9" t="s">
        <v>20019</v>
      </c>
    </row>
    <row r="13698" ht="33.75" customHeight="1">
      <c r="A13698" s="7">
        <v>737.0</v>
      </c>
      <c r="B13698" s="9" t="s">
        <v>18589</v>
      </c>
      <c r="C13698" s="9" t="s">
        <v>1066</v>
      </c>
      <c r="D13698" s="9" t="s">
        <v>117</v>
      </c>
      <c r="E13698" s="6" t="s">
        <v>12363</v>
      </c>
      <c r="F13698" s="9" t="s">
        <v>20019</v>
      </c>
    </row>
    <row r="13699" ht="33.75" customHeight="1">
      <c r="A13699" s="7">
        <v>738.0</v>
      </c>
      <c r="B13699" s="9" t="s">
        <v>18597</v>
      </c>
      <c r="C13699" s="9" t="s">
        <v>214</v>
      </c>
      <c r="D13699" s="9" t="s">
        <v>637</v>
      </c>
      <c r="E13699" s="6" t="s">
        <v>12364</v>
      </c>
      <c r="F13699" s="9" t="s">
        <v>20020</v>
      </c>
      <c r="G13699" t="inlineStr" s="6">
        <is>
          <t xml:space="preserve">It zips around, on sharp lookout for an opening. It concentrates electrical energy within its large jaws and uses it to zap its enemies. It produces electricity via an electrical organ in its abdomen. It overwhelms bird Pokémon with shocking beams of electrical energy. It has an organ that generates electricity in its abdomen. It concentrates energy in its strong jaws and fires off powerful jolts of electricity. Vikavolt flusters opponents with acrobatic flying maneuvers. This creates an opening for it to deliver an electric beam attack. It builds up electricity in its abdomen, focuses it through its jaws, and then fires the electricity off in concentrated beams. If it carries a Charjabug to use as a spare battery, a flying Vikavolt can rapidly fire high-powered beams of electricity.</t>
        </is>
      </c>
    </row>
    <row r="13700" ht="33.75" customHeight="1">
      <c r="A13700" s="7">
        <v>738.0</v>
      </c>
      <c r="B13700" s="9" t="s">
        <v>18597</v>
      </c>
      <c r="C13700" s="9" t="s">
        <v>214</v>
      </c>
      <c r="D13700" s="9" t="s">
        <v>642</v>
      </c>
      <c r="E13700" s="6" t="s">
        <v>12365</v>
      </c>
      <c r="F13700" s="9" t="s">
        <v>20020</v>
      </c>
    </row>
    <row r="13701" ht="33.75" customHeight="1">
      <c r="A13701" s="7">
        <v>738.0</v>
      </c>
      <c r="B13701" s="9" t="s">
        <v>18597</v>
      </c>
      <c r="C13701" s="9" t="s">
        <v>214</v>
      </c>
      <c r="D13701" s="9" t="s">
        <v>647</v>
      </c>
      <c r="E13701" s="6" t="s">
        <v>12366</v>
      </c>
      <c r="F13701" s="9" t="s">
        <v>20020</v>
      </c>
    </row>
    <row r="13702" ht="33.75" customHeight="1">
      <c r="A13702" s="7">
        <v>738.0</v>
      </c>
      <c r="B13702" s="9" t="s">
        <v>18597</v>
      </c>
      <c r="C13702" s="9" t="s">
        <v>214</v>
      </c>
      <c r="D13702" s="9" t="s">
        <v>652</v>
      </c>
      <c r="E13702" s="6" t="s">
        <v>12368</v>
      </c>
      <c r="F13702" s="9" t="s">
        <v>20020</v>
      </c>
    </row>
    <row r="13703" ht="33.75" customHeight="1">
      <c r="A13703" s="7">
        <v>738.0</v>
      </c>
      <c r="B13703" s="9" t="s">
        <v>18597</v>
      </c>
      <c r="C13703" s="9" t="s">
        <v>214</v>
      </c>
      <c r="D13703" s="9" t="s">
        <v>114</v>
      </c>
      <c r="E13703" s="6" t="s">
        <v>12369</v>
      </c>
      <c r="F13703" s="9" t="s">
        <v>20020</v>
      </c>
    </row>
    <row r="13704" ht="33.75" customHeight="1">
      <c r="A13704" s="7">
        <v>738.0</v>
      </c>
      <c r="B13704" s="9" t="s">
        <v>18597</v>
      </c>
      <c r="C13704" s="9" t="s">
        <v>214</v>
      </c>
      <c r="D13704" s="9" t="s">
        <v>117</v>
      </c>
      <c r="E13704" s="6" t="s">
        <v>12371</v>
      </c>
      <c r="F13704" s="9" t="s">
        <v>20020</v>
      </c>
    </row>
    <row r="13705" ht="33.75" customHeight="1">
      <c r="A13705" s="7">
        <v>739.0</v>
      </c>
      <c r="B13705" s="9" t="s">
        <v>18604</v>
      </c>
      <c r="C13705" s="9" t="s">
        <v>1067</v>
      </c>
      <c r="D13705" s="9" t="s">
        <v>637</v>
      </c>
      <c r="E13705" s="6" t="s">
        <v>12372</v>
      </c>
      <c r="F13705" s="9" t="s">
        <v>20021</v>
      </c>
      <c r="G13705" t="inlineStr" s="6">
        <is>
          <t xml:space="preserve">While guarding Crabrawler's weak points with its pincers, it looks for an opening and unleashes punches. When it loses, it foams at the mouth and faints. It punches so much, its pincers often come off from overuse, but they grow back quickly. What little meat they contain is rich and delicious. Its hard pincers are well suited to both offense and defense. Fights between two Crabrawler are like boxing matches. Crabrawler has been known to mistake Exeggutor for a coconut tree and climb it. The enraged Exeggutor shakes it off and stomps it.</t>
        </is>
      </c>
    </row>
    <row r="13706" ht="33.75" customHeight="1">
      <c r="A13706" s="7">
        <v>739.0</v>
      </c>
      <c r="B13706" s="9" t="s">
        <v>18604</v>
      </c>
      <c r="C13706" s="9" t="s">
        <v>1067</v>
      </c>
      <c r="D13706" s="9" t="s">
        <v>642</v>
      </c>
      <c r="E13706" s="6" t="s">
        <v>12373</v>
      </c>
      <c r="F13706" s="9" t="s">
        <v>20021</v>
      </c>
    </row>
    <row r="13707" ht="33.75" customHeight="1">
      <c r="A13707" s="7">
        <v>739.0</v>
      </c>
      <c r="B13707" s="9" t="s">
        <v>18604</v>
      </c>
      <c r="C13707" s="9" t="s">
        <v>1067</v>
      </c>
      <c r="D13707" s="9" t="s">
        <v>647</v>
      </c>
      <c r="E13707" s="6" t="s">
        <v>12375</v>
      </c>
      <c r="F13707" s="9" t="s">
        <v>20021</v>
      </c>
    </row>
    <row r="13708" ht="33.75" customHeight="1">
      <c r="A13708" s="7">
        <v>739.0</v>
      </c>
      <c r="B13708" s="9" t="s">
        <v>18604</v>
      </c>
      <c r="C13708" s="9" t="s">
        <v>1067</v>
      </c>
      <c r="D13708" s="9" t="s">
        <v>652</v>
      </c>
      <c r="E13708" s="6" t="s">
        <v>12377</v>
      </c>
      <c r="F13708" s="9" t="s">
        <v>20021</v>
      </c>
    </row>
    <row r="13709" ht="33.75" customHeight="1">
      <c r="A13709" s="7">
        <v>740.0</v>
      </c>
      <c r="B13709" s="9" t="s">
        <v>18611</v>
      </c>
      <c r="C13709" s="9" t="s">
        <v>1068</v>
      </c>
      <c r="D13709" s="9" t="s">
        <v>637</v>
      </c>
      <c r="E13709" s="6" t="s">
        <v>12379</v>
      </c>
      <c r="F13709" s="9" t="s">
        <v>20022</v>
      </c>
      <c r="G13709" t="inlineStr" s="6">
        <is>
          <t xml:space="preserve">It aimed for the top but got lost and ended up on a snowy mountain. Being forced to endure the cold, this Pokémon evolved and grew fur. It just throws punches indiscriminately. In times of desperation, it can lop off its own pincers and fire them like rockets. It stores coldness in its pincers and pummels its foes. It can even smash thick walls of ice to bits! Before it stops to think, it just starts pummeling. There are records of its turning back avalanches with a flurry of punches.</t>
        </is>
      </c>
    </row>
    <row r="13710" ht="33.75" customHeight="1">
      <c r="A13710" s="7">
        <v>740.0</v>
      </c>
      <c r="B13710" s="9" t="s">
        <v>18611</v>
      </c>
      <c r="C13710" s="9" t="s">
        <v>1068</v>
      </c>
      <c r="D13710" s="9" t="s">
        <v>642</v>
      </c>
      <c r="E13710" s="6" t="s">
        <v>12380</v>
      </c>
      <c r="F13710" s="9" t="s">
        <v>20022</v>
      </c>
    </row>
    <row r="13711" ht="33.75" customHeight="1">
      <c r="A13711" s="7">
        <v>740.0</v>
      </c>
      <c r="B13711" s="9" t="s">
        <v>18611</v>
      </c>
      <c r="C13711" s="9" t="s">
        <v>1068</v>
      </c>
      <c r="D13711" s="9" t="s">
        <v>647</v>
      </c>
      <c r="E13711" s="6" t="s">
        <v>12382</v>
      </c>
      <c r="F13711" s="9" t="s">
        <v>20022</v>
      </c>
    </row>
    <row r="13712" ht="33.75" customHeight="1">
      <c r="A13712" s="7">
        <v>740.0</v>
      </c>
      <c r="B13712" s="9" t="s">
        <v>18611</v>
      </c>
      <c r="C13712" s="9" t="s">
        <v>1068</v>
      </c>
      <c r="D13712" s="9" t="s">
        <v>652</v>
      </c>
      <c r="E13712" s="6" t="s">
        <v>12384</v>
      </c>
      <c r="F13712" s="9" t="s">
        <v>20022</v>
      </c>
    </row>
    <row r="13713" ht="33.75" customHeight="1">
      <c r="A13713" s="7">
        <v>741.0</v>
      </c>
      <c r="B13713" s="9" t="s">
        <v>18617</v>
      </c>
      <c r="C13713" s="9" t="s">
        <v>1069</v>
      </c>
      <c r="D13713" s="9" t="s">
        <v>637</v>
      </c>
      <c r="E13713" s="6" t="s">
        <v>12387</v>
      </c>
      <c r="F13713" s="9" t="s">
        <v>20023</v>
      </c>
      <c r="G13713" t="inlineStr" s="6">
        <is>
          <t xml:space="preserve">It beats Oricorio's wings together to create fire. As it moves in the steps of its beautiful dance, it bathes opponents in intense flames. This Oricorio has sipped red nectar. Its passionate dance moves cause its enemies to combust in both body and mind. It wins the hearts of its enemies with its passionate dancing and then uses the opening it creates to burn them up with blazing flames. This Oricorio has drunk red nectar. If its Trainer gives the wrong order, this passionate Pokémon becomes fiercely angry.</t>
        </is>
      </c>
    </row>
    <row r="13714" ht="33.75" customHeight="1">
      <c r="A13714" s="7">
        <v>741.0</v>
      </c>
      <c r="B13714" s="9" t="s">
        <v>18617</v>
      </c>
      <c r="C13714" s="9" t="s">
        <v>1069</v>
      </c>
      <c r="D13714" s="9" t="s">
        <v>642</v>
      </c>
      <c r="E13714" s="6" t="s">
        <v>12391</v>
      </c>
      <c r="F13714" s="9" t="s">
        <v>20023</v>
      </c>
    </row>
    <row r="13715" ht="33.75" customHeight="1">
      <c r="A13715" s="7">
        <v>741.0</v>
      </c>
      <c r="B13715" s="9" t="s">
        <v>18617</v>
      </c>
      <c r="C13715" s="9" t="s">
        <v>1069</v>
      </c>
      <c r="D13715" s="9" t="s">
        <v>647</v>
      </c>
      <c r="E13715" s="6" t="s">
        <v>12393</v>
      </c>
      <c r="F13715" s="9" t="s">
        <v>20023</v>
      </c>
    </row>
    <row r="13716" ht="33.75" customHeight="1">
      <c r="A13716" s="7">
        <v>741.0</v>
      </c>
      <c r="B13716" s="9" t="s">
        <v>18617</v>
      </c>
      <c r="C13716" s="9" t="s">
        <v>1069</v>
      </c>
      <c r="D13716" s="9" t="s">
        <v>652</v>
      </c>
      <c r="E13716" s="6" t="s">
        <v>12395</v>
      </c>
      <c r="F13716" s="9" t="s">
        <v>20023</v>
      </c>
    </row>
    <row r="13717" ht="33.75" customHeight="1">
      <c r="A13717" s="7">
        <v>742.0</v>
      </c>
      <c r="B13717" s="9" t="s">
        <v>18623</v>
      </c>
      <c r="C13717" s="9" t="s">
        <v>1071</v>
      </c>
      <c r="D13717" s="9" t="s">
        <v>637</v>
      </c>
      <c r="E13717" s="6" t="s">
        <v>12397</v>
      </c>
      <c r="F13717" s="9" t="s">
        <v>20024</v>
      </c>
      <c r="G13717" t="inlineStr" s="6">
        <is>
          <t xml:space="preserve">Cutiefly feeds on the nectar and pollen of flowers. Because it’s able to sense auras, it can identify which flowers are about to bloom. Myriads of Cutiefly flutter above the heads of people who have auras resembling those of flowers. Nectar and pollen are its favorite fare. In fields of flowers, it gets into skirmishes with Butterfree over food. Cutiefly can pick up the auras of living things. It skillfully reads those auras to predict its foes’ movements and make fools of them. You can find Cutiefly hovering around Gossifleur, trying to get some of Gossifleur’s pollen. An opponent’s aura can tell Cutiefly what that opponent’s next move will be. Then Cutiefly can glide around the attack and strike back.</t>
        </is>
      </c>
    </row>
    <row r="13718" ht="33.75" customHeight="1">
      <c r="A13718" s="7">
        <v>742.0</v>
      </c>
      <c r="B13718" s="9" t="s">
        <v>18623</v>
      </c>
      <c r="C13718" s="9" t="s">
        <v>1071</v>
      </c>
      <c r="D13718" s="9" t="s">
        <v>642</v>
      </c>
      <c r="E13718" s="6" t="s">
        <v>12398</v>
      </c>
      <c r="F13718" s="9" t="s">
        <v>20024</v>
      </c>
    </row>
    <row r="13719" ht="33.75" customHeight="1">
      <c r="A13719" s="7">
        <v>742.0</v>
      </c>
      <c r="B13719" s="9" t="s">
        <v>18623</v>
      </c>
      <c r="C13719" s="9" t="s">
        <v>1071</v>
      </c>
      <c r="D13719" s="9" t="s">
        <v>647</v>
      </c>
      <c r="E13719" s="6" t="s">
        <v>12400</v>
      </c>
      <c r="F13719" s="9" t="s">
        <v>20024</v>
      </c>
    </row>
    <row r="13720" ht="33.75" customHeight="1">
      <c r="A13720" s="7">
        <v>742.0</v>
      </c>
      <c r="B13720" s="9" t="s">
        <v>18623</v>
      </c>
      <c r="C13720" s="9" t="s">
        <v>1071</v>
      </c>
      <c r="D13720" s="9" t="s">
        <v>652</v>
      </c>
      <c r="E13720" s="6" t="s">
        <v>12402</v>
      </c>
      <c r="F13720" s="9" t="s">
        <v>20024</v>
      </c>
    </row>
    <row r="13721" ht="33.75" customHeight="1">
      <c r="A13721" s="7">
        <v>742.0</v>
      </c>
      <c r="B13721" s="9" t="s">
        <v>18623</v>
      </c>
      <c r="C13721" s="9" t="s">
        <v>1071</v>
      </c>
      <c r="D13721" s="9" t="s">
        <v>114</v>
      </c>
      <c r="E13721" s="6" t="s">
        <v>12405</v>
      </c>
      <c r="F13721" s="9" t="s">
        <v>20024</v>
      </c>
    </row>
    <row r="13722" ht="33.75" customHeight="1">
      <c r="A13722" s="7">
        <v>742.0</v>
      </c>
      <c r="B13722" s="9" t="s">
        <v>18623</v>
      </c>
      <c r="C13722" s="9" t="s">
        <v>1071</v>
      </c>
      <c r="D13722" s="9" t="s">
        <v>117</v>
      </c>
      <c r="E13722" s="6" t="s">
        <v>12406</v>
      </c>
      <c r="F13722" s="9" t="s">
        <v>20024</v>
      </c>
    </row>
    <row r="13723" ht="33.75" customHeight="1">
      <c r="A13723" s="7">
        <v>743.0</v>
      </c>
      <c r="B13723" s="9" t="s">
        <v>18632</v>
      </c>
      <c r="C13723" s="9" t="s">
        <v>1071</v>
      </c>
      <c r="D13723" s="9" t="s">
        <v>637</v>
      </c>
      <c r="E13723" s="6" t="s">
        <v>12408</v>
      </c>
      <c r="F13723" s="9" t="s">
        <v>20025</v>
      </c>
      <c r="G13723" t="inlineStr" s="6">
        <is>
          <t xml:space="preserve">It rolls up pollen into puffs. It makes many different varieties, some used as food and others used in battle. Some of Ribombee’s pollen puffs are highly nutritious. They are sometimes sold as supplements. Rain makes pollen damp, so Ribombee hates rain. When it sees ominous clouds, it finds a hollow in a tree, where it waits stock-still. It can predict the weather from moisture levels and wind direction. Ribombee only reveals itself when there are a few clear days in a row. It makes pollen puffs from pollen and nectar. The puffs’ effects depend on the type of ingredients and how much of each one is used. Ribombee absolutely hate getting wet or rained on. In the cloudy Galar region, they are very seldom seen.</t>
        </is>
      </c>
    </row>
    <row r="13724" ht="33.75" customHeight="1">
      <c r="A13724" s="7">
        <v>743.0</v>
      </c>
      <c r="B13724" s="9" t="s">
        <v>18632</v>
      </c>
      <c r="C13724" s="9" t="s">
        <v>1071</v>
      </c>
      <c r="D13724" s="9" t="s">
        <v>642</v>
      </c>
      <c r="E13724" s="6" t="s">
        <v>12410</v>
      </c>
      <c r="F13724" s="9" t="s">
        <v>20025</v>
      </c>
    </row>
    <row r="13725" ht="33.75" customHeight="1">
      <c r="A13725" s="7">
        <v>743.0</v>
      </c>
      <c r="B13725" s="9" t="s">
        <v>18632</v>
      </c>
      <c r="C13725" s="9" t="s">
        <v>1071</v>
      </c>
      <c r="D13725" s="9" t="s">
        <v>647</v>
      </c>
      <c r="E13725" s="6" t="s">
        <v>12411</v>
      </c>
      <c r="F13725" s="9" t="s">
        <v>20025</v>
      </c>
    </row>
    <row r="13726" ht="33.75" customHeight="1">
      <c r="A13726" s="7">
        <v>743.0</v>
      </c>
      <c r="B13726" s="9" t="s">
        <v>18632</v>
      </c>
      <c r="C13726" s="9" t="s">
        <v>1071</v>
      </c>
      <c r="D13726" s="9" t="s">
        <v>652</v>
      </c>
      <c r="E13726" s="6" t="s">
        <v>12413</v>
      </c>
      <c r="F13726" s="9" t="s">
        <v>20025</v>
      </c>
    </row>
    <row r="13727" ht="33.75" customHeight="1">
      <c r="A13727" s="7">
        <v>743.0</v>
      </c>
      <c r="B13727" s="9" t="s">
        <v>18632</v>
      </c>
      <c r="C13727" s="9" t="s">
        <v>1071</v>
      </c>
      <c r="D13727" s="9" t="s">
        <v>114</v>
      </c>
      <c r="E13727" s="6" t="s">
        <v>12414</v>
      </c>
      <c r="F13727" s="9" t="s">
        <v>20025</v>
      </c>
    </row>
    <row r="13728" ht="33.75" customHeight="1">
      <c r="A13728" s="7">
        <v>743.0</v>
      </c>
      <c r="B13728" s="9" t="s">
        <v>18632</v>
      </c>
      <c r="C13728" s="9" t="s">
        <v>1071</v>
      </c>
      <c r="D13728" s="9" t="s">
        <v>117</v>
      </c>
      <c r="E13728" s="6" t="s">
        <v>12416</v>
      </c>
      <c r="F13728" s="9" t="s">
        <v>20025</v>
      </c>
    </row>
    <row r="13729" ht="33.75" customHeight="1">
      <c r="A13729" s="7">
        <v>744.0</v>
      </c>
      <c r="B13729" s="9" t="s">
        <v>18639</v>
      </c>
      <c r="C13729" s="9" t="s">
        <v>135</v>
      </c>
      <c r="D13729" s="9" t="s">
        <v>637</v>
      </c>
      <c r="E13729" s="6" t="s">
        <v>12417</v>
      </c>
      <c r="F13729" s="9" t="s">
        <v>20026</v>
      </c>
      <c r="G13729" t="inlineStr" s="6">
        <is>
          <t xml:space="preserve">It’s considered to be a good Pokémon for beginners because of Rockruff's friendliness, but its disposition grows rougher as it grows up. This Pokémon has lived with people since times long ago. It can sense when its Trainer is in the dumps and will stick close by its Trainer’s side. As they develop, their disposition grows more violent and aggressive. Many Trainers find them too much to handle and abandon them. When it rubs the rocks on its neck against you, that’s proof of its love for you. However, the rocks are sharp, so the gesture is quite painful! This Pokémon can bond very strongly with its Trainer, but it also has a habit of biting. Raising a Rockruff for a long time can be challenging. This Pokémon intimidates opponents by striking the ground with the rocks on its neck. The moment an opponent flinches, Rockruff attacks.</t>
        </is>
      </c>
    </row>
    <row r="13730" ht="33.75" customHeight="1">
      <c r="A13730" s="7">
        <v>744.0</v>
      </c>
      <c r="B13730" s="9" t="s">
        <v>18639</v>
      </c>
      <c r="C13730" s="9" t="s">
        <v>135</v>
      </c>
      <c r="D13730" s="9" t="s">
        <v>642</v>
      </c>
      <c r="E13730" s="6" t="s">
        <v>12419</v>
      </c>
      <c r="F13730" s="9" t="s">
        <v>20026</v>
      </c>
    </row>
    <row r="13731" ht="33.75" customHeight="1">
      <c r="A13731" s="7">
        <v>744.0</v>
      </c>
      <c r="B13731" s="9" t="s">
        <v>18639</v>
      </c>
      <c r="C13731" s="9" t="s">
        <v>135</v>
      </c>
      <c r="D13731" s="9" t="s">
        <v>647</v>
      </c>
      <c r="E13731" s="6" t="s">
        <v>12420</v>
      </c>
      <c r="F13731" s="9" t="s">
        <v>20026</v>
      </c>
    </row>
    <row r="13732" ht="33.75" customHeight="1">
      <c r="A13732" s="7">
        <v>744.0</v>
      </c>
      <c r="B13732" s="9" t="s">
        <v>18639</v>
      </c>
      <c r="C13732" s="9" t="s">
        <v>135</v>
      </c>
      <c r="D13732" s="9" t="s">
        <v>652</v>
      </c>
      <c r="E13732" s="6" t="s">
        <v>12424</v>
      </c>
      <c r="F13732" s="9" t="s">
        <v>20026</v>
      </c>
    </row>
    <row r="13733" ht="33.75" customHeight="1">
      <c r="A13733" s="7">
        <v>744.0</v>
      </c>
      <c r="B13733" s="9" t="s">
        <v>18639</v>
      </c>
      <c r="C13733" s="9" t="s">
        <v>135</v>
      </c>
      <c r="D13733" s="9" t="s">
        <v>114</v>
      </c>
      <c r="E13733" s="6" t="s">
        <v>12425</v>
      </c>
      <c r="F13733" s="9" t="s">
        <v>20026</v>
      </c>
    </row>
    <row r="13734" ht="33.75" customHeight="1">
      <c r="A13734" s="7">
        <v>744.0</v>
      </c>
      <c r="B13734" s="9" t="s">
        <v>18639</v>
      </c>
      <c r="C13734" s="9" t="s">
        <v>135</v>
      </c>
      <c r="D13734" s="9" t="s">
        <v>117</v>
      </c>
      <c r="E13734" s="6" t="s">
        <v>12427</v>
      </c>
      <c r="F13734" s="9" t="s">
        <v>20026</v>
      </c>
    </row>
    <row r="13735" ht="33.75" customHeight="1">
      <c r="A13735" s="7">
        <v>745.0</v>
      </c>
      <c r="B13735" s="9" t="s">
        <v>18646</v>
      </c>
      <c r="C13735" s="9" t="s">
        <v>1072</v>
      </c>
      <c r="D13735" s="9" t="s">
        <v>637</v>
      </c>
      <c r="E13735" s="6" t="s">
        <v>12429</v>
      </c>
      <c r="F13735" s="9" t="s">
        <v>20027</v>
      </c>
      <c r="G13735" t="inlineStr" s="6">
        <is>
          <t xml:space="preserve">Lycanroc's quick movements confuse its enemies. Well equipped with claws and fangs, it also uses the sharp rocks in its mane as weapons. When properly raised from a young age, it will become a trustworthy partner that will absolutely never betray its Trainer. The sharp rocks in its mane can cut like knives. Lycanroc wears its prey down by degrees before finishing them off. The rocks in its mane are sharper than a knife. Fragments that break off are treasured as good luck charms. This Lycanroc is calm and cautious. The rocks jutting from its mane are razor sharp. With swift movements, this Pokémon gradually backs its prey into a corner. Lycanroc’s fangs are always aimed toward opponents’ weak spots.</t>
        </is>
      </c>
    </row>
    <row r="13736" ht="33.75" customHeight="1">
      <c r="A13736" s="7">
        <v>745.0</v>
      </c>
      <c r="B13736" s="9" t="s">
        <v>18646</v>
      </c>
      <c r="C13736" s="9" t="s">
        <v>1072</v>
      </c>
      <c r="D13736" s="9" t="s">
        <v>642</v>
      </c>
      <c r="E13736" s="6" t="s">
        <v>12431</v>
      </c>
      <c r="F13736" s="9" t="s">
        <v>20027</v>
      </c>
    </row>
    <row r="13737" ht="33.75" customHeight="1">
      <c r="A13737" s="7">
        <v>745.0</v>
      </c>
      <c r="B13737" s="9" t="s">
        <v>18646</v>
      </c>
      <c r="C13737" s="9" t="s">
        <v>1072</v>
      </c>
      <c r="D13737" s="9" t="s">
        <v>647</v>
      </c>
      <c r="E13737" s="6" t="s">
        <v>12433</v>
      </c>
      <c r="F13737" s="9" t="s">
        <v>20027</v>
      </c>
    </row>
    <row r="13738" ht="33.75" customHeight="1">
      <c r="A13738" s="7">
        <v>745.0</v>
      </c>
      <c r="B13738" s="9" t="s">
        <v>18646</v>
      </c>
      <c r="C13738" s="9" t="s">
        <v>1072</v>
      </c>
      <c r="D13738" s="9" t="s">
        <v>652</v>
      </c>
      <c r="E13738" s="6" t="s">
        <v>12435</v>
      </c>
      <c r="F13738" s="9" t="s">
        <v>20027</v>
      </c>
    </row>
    <row r="13739" ht="33.75" customHeight="1">
      <c r="A13739" s="7">
        <v>745.0</v>
      </c>
      <c r="B13739" s="9" t="s">
        <v>18646</v>
      </c>
      <c r="C13739" s="9" t="s">
        <v>1072</v>
      </c>
      <c r="D13739" s="9" t="s">
        <v>114</v>
      </c>
      <c r="E13739" s="6" t="s">
        <v>12436</v>
      </c>
      <c r="F13739" s="9" t="s">
        <v>20027</v>
      </c>
    </row>
    <row r="13740" ht="33.75" customHeight="1">
      <c r="A13740" s="7">
        <v>745.0</v>
      </c>
      <c r="B13740" s="9" t="s">
        <v>18646</v>
      </c>
      <c r="C13740" s="9" t="s">
        <v>1072</v>
      </c>
      <c r="D13740" s="9" t="s">
        <v>117</v>
      </c>
      <c r="E13740" s="6" t="s">
        <v>12440</v>
      </c>
      <c r="F13740" s="9" t="s">
        <v>20027</v>
      </c>
    </row>
    <row r="13741" ht="33.75" customHeight="1">
      <c r="A13741" s="7">
        <v>746.0</v>
      </c>
      <c r="B13741" s="9" t="s">
        <v>18654</v>
      </c>
      <c r="C13741" s="9" t="s">
        <v>1074</v>
      </c>
      <c r="D13741" s="9" t="s">
        <v>637</v>
      </c>
      <c r="E13741" s="6" t="s">
        <v>12442</v>
      </c>
      <c r="F13741" s="9" t="s">
        <v>20028</v>
      </c>
      <c r="G13741" t="inlineStr" s="6">
        <is>
          <t xml:space="preserve">When it’s in trouble, Wishiwashi's eyes moisten and begin to shine. The shining light attracts its comrades, and they stand together against their enemies. It’s awfully weak and notably tasty, so everyone is always out to get it. As it happens, anyone trying to bully it receives a painful lesson. They’re weak, so they move in schools. However, they can also often be seen all alone, having strayed from the school. When it’s in a jam, its shining eyes attract others of its kind. The light from its eyes is visible almost 25 miles away. Individually, they’re incredibly weak. It’s by gathering up into schools that they’re able to confront opponents. When it senses danger, its eyes tear up. The sparkle of its tears signals other Wishiwashi to gather.</t>
        </is>
      </c>
    </row>
    <row r="13742" ht="33.75" customHeight="1">
      <c r="A13742" s="7">
        <v>746.0</v>
      </c>
      <c r="B13742" s="9" t="s">
        <v>18654</v>
      </c>
      <c r="C13742" s="9" t="s">
        <v>1074</v>
      </c>
      <c r="D13742" s="9" t="s">
        <v>642</v>
      </c>
      <c r="E13742" s="6" t="s">
        <v>12444</v>
      </c>
      <c r="F13742" s="9" t="s">
        <v>20028</v>
      </c>
    </row>
    <row r="13743" ht="33.75" customHeight="1">
      <c r="A13743" s="7">
        <v>746.0</v>
      </c>
      <c r="B13743" s="9" t="s">
        <v>18654</v>
      </c>
      <c r="C13743" s="9" t="s">
        <v>1074</v>
      </c>
      <c r="D13743" s="9" t="s">
        <v>647</v>
      </c>
      <c r="E13743" s="6" t="s">
        <v>12446</v>
      </c>
      <c r="F13743" s="9" t="s">
        <v>20028</v>
      </c>
    </row>
    <row r="13744" ht="33.75" customHeight="1">
      <c r="A13744" s="7">
        <v>746.0</v>
      </c>
      <c r="B13744" s="9" t="s">
        <v>18654</v>
      </c>
      <c r="C13744" s="9" t="s">
        <v>1074</v>
      </c>
      <c r="D13744" s="9" t="s">
        <v>652</v>
      </c>
      <c r="E13744" s="6" t="s">
        <v>12447</v>
      </c>
      <c r="F13744" s="9" t="s">
        <v>20028</v>
      </c>
    </row>
    <row r="13745" ht="33.75" customHeight="1">
      <c r="A13745" s="7">
        <v>746.0</v>
      </c>
      <c r="B13745" s="9" t="s">
        <v>18654</v>
      </c>
      <c r="C13745" s="9" t="s">
        <v>1074</v>
      </c>
      <c r="D13745" s="9" t="s">
        <v>114</v>
      </c>
      <c r="E13745" s="6" t="s">
        <v>12448</v>
      </c>
      <c r="F13745" s="9" t="s">
        <v>20028</v>
      </c>
    </row>
    <row r="13746" ht="33.75" customHeight="1">
      <c r="A13746" s="7">
        <v>746.0</v>
      </c>
      <c r="B13746" s="9" t="s">
        <v>18654</v>
      </c>
      <c r="C13746" s="9" t="s">
        <v>1074</v>
      </c>
      <c r="D13746" s="9" t="s">
        <v>117</v>
      </c>
      <c r="E13746" s="6" t="s">
        <v>12449</v>
      </c>
      <c r="F13746" s="9" t="s">
        <v>20028</v>
      </c>
    </row>
    <row r="13747" ht="33.75" customHeight="1">
      <c r="A13747" s="7">
        <v>747.0</v>
      </c>
      <c r="B13747" s="9" t="s">
        <v>18663</v>
      </c>
      <c r="C13747" s="9" t="s">
        <v>1076</v>
      </c>
      <c r="D13747" s="9" t="s">
        <v>637</v>
      </c>
      <c r="E13747" s="6" t="s">
        <v>12450</v>
      </c>
      <c r="F13747" s="9" t="s">
        <v>20029</v>
      </c>
      <c r="G13747" t="inlineStr" s="6">
        <is>
          <t xml:space="preserve">It plunges the poison spike on Mareanie's head into its prey. When the prey has weakened, Mareanie deals the finishing blow with its 10 tentacles. It’s found crawling on beaches and seafloors. The coral that grows on Corsola’s head is as good as a five-star banquet to this Pokémon. They eat Corsola branches, so Mareanie are hated by craftsmen who work with Corsola branches that have naturally fallen off. Aside from its head, its body parts regenerate quickly if they’re cut off. After a good night’s sleep, Mareanie is back to normal. The first symptom of its sting is numbness. The next is an itching sensation so intense that it’s impossible to resist the urge to claw at your skin. Unlike their Alolan counterparts, the Mareanie of the Galar region have not yet figured out that the branches of Corsola are delicious.</t>
        </is>
      </c>
    </row>
    <row r="13748" ht="33.75" customHeight="1">
      <c r="A13748" s="7">
        <v>747.0</v>
      </c>
      <c r="B13748" s="9" t="s">
        <v>18663</v>
      </c>
      <c r="C13748" s="9" t="s">
        <v>1076</v>
      </c>
      <c r="D13748" s="9" t="s">
        <v>642</v>
      </c>
      <c r="E13748" s="6" t="s">
        <v>12452</v>
      </c>
      <c r="F13748" s="9" t="s">
        <v>20029</v>
      </c>
    </row>
    <row r="13749" ht="33.75" customHeight="1">
      <c r="A13749" s="7">
        <v>747.0</v>
      </c>
      <c r="B13749" s="9" t="s">
        <v>18663</v>
      </c>
      <c r="C13749" s="9" t="s">
        <v>1076</v>
      </c>
      <c r="D13749" s="9" t="s">
        <v>647</v>
      </c>
      <c r="E13749" s="6" t="s">
        <v>12453</v>
      </c>
      <c r="F13749" s="9" t="s">
        <v>20029</v>
      </c>
    </row>
    <row r="13750" ht="33.75" customHeight="1">
      <c r="A13750" s="7">
        <v>747.0</v>
      </c>
      <c r="B13750" s="9" t="s">
        <v>18663</v>
      </c>
      <c r="C13750" s="9" t="s">
        <v>1076</v>
      </c>
      <c r="D13750" s="9" t="s">
        <v>652</v>
      </c>
      <c r="E13750" s="6" t="s">
        <v>12455</v>
      </c>
      <c r="F13750" s="9" t="s">
        <v>20029</v>
      </c>
    </row>
    <row r="13751" ht="33.75" customHeight="1">
      <c r="A13751" s="7">
        <v>747.0</v>
      </c>
      <c r="B13751" s="9" t="s">
        <v>18663</v>
      </c>
      <c r="C13751" s="9" t="s">
        <v>1076</v>
      </c>
      <c r="D13751" s="9" t="s">
        <v>114</v>
      </c>
      <c r="E13751" s="6" t="s">
        <v>12456</v>
      </c>
      <c r="F13751" s="9" t="s">
        <v>20029</v>
      </c>
    </row>
    <row r="13752" ht="33.75" customHeight="1">
      <c r="A13752" s="7">
        <v>747.0</v>
      </c>
      <c r="B13752" s="9" t="s">
        <v>18663</v>
      </c>
      <c r="C13752" s="9" t="s">
        <v>1076</v>
      </c>
      <c r="D13752" s="9" t="s">
        <v>117</v>
      </c>
      <c r="E13752" s="6" t="s">
        <v>12457</v>
      </c>
      <c r="F13752" s="9" t="s">
        <v>20029</v>
      </c>
    </row>
    <row r="13753" ht="33.75" customHeight="1">
      <c r="A13753" s="7">
        <v>748.0</v>
      </c>
      <c r="B13753" s="9" t="s">
        <v>18671</v>
      </c>
      <c r="C13753" s="9" t="s">
        <v>1076</v>
      </c>
      <c r="D13753" s="9" t="s">
        <v>637</v>
      </c>
      <c r="E13753" s="6" t="s">
        <v>12458</v>
      </c>
      <c r="F13753" s="9" t="s">
        <v>20030</v>
      </c>
      <c r="G13753" t="inlineStr" s="6">
        <is>
          <t xml:space="preserve">Toxapex crawls along the ocean floor on Toxapex's 12 legs. It leaves a trail of Corsola bits scattered in its wake. Those attacked by Toxapex’s poison will suffer intense pain for three days and three nights. Post-recovery, there will be some aftereffects. To attack, this Pokémon sends toxic spikes flying at its enemies. Ones that come close get mown down by the claws on its feet. With its 12 legs, it creates a dome to shelter within. The flow of the tides doesn’t affect Toxapex in there, so it’s very comfortable. To survive in the cold waters of Galar, this Pokémon forms a dome with its legs, enclosing its body so it can capture its own body heat. Within the poison sac in its body is a poison so toxic that Pokémon as large as Wailord will still be suffering three days after it first takes effect.</t>
        </is>
      </c>
    </row>
    <row r="13754" ht="33.75" customHeight="1">
      <c r="A13754" s="7">
        <v>748.0</v>
      </c>
      <c r="B13754" s="9" t="s">
        <v>18671</v>
      </c>
      <c r="C13754" s="9" t="s">
        <v>1076</v>
      </c>
      <c r="D13754" s="9" t="s">
        <v>642</v>
      </c>
      <c r="E13754" s="6" t="s">
        <v>12460</v>
      </c>
      <c r="F13754" s="9" t="s">
        <v>20030</v>
      </c>
    </row>
    <row r="13755" ht="33.75" customHeight="1">
      <c r="A13755" s="7">
        <v>748.0</v>
      </c>
      <c r="B13755" s="9" t="s">
        <v>18671</v>
      </c>
      <c r="C13755" s="9" t="s">
        <v>1076</v>
      </c>
      <c r="D13755" s="9" t="s">
        <v>647</v>
      </c>
      <c r="E13755" s="6" t="s">
        <v>12462</v>
      </c>
      <c r="F13755" s="9" t="s">
        <v>20030</v>
      </c>
    </row>
    <row r="13756" ht="33.75" customHeight="1">
      <c r="A13756" s="7">
        <v>748.0</v>
      </c>
      <c r="B13756" s="9" t="s">
        <v>18671</v>
      </c>
      <c r="C13756" s="9" t="s">
        <v>1076</v>
      </c>
      <c r="D13756" s="9" t="s">
        <v>652</v>
      </c>
      <c r="E13756" s="6" t="s">
        <v>12465</v>
      </c>
      <c r="F13756" s="9" t="s">
        <v>20030</v>
      </c>
    </row>
    <row r="13757" ht="33.75" customHeight="1">
      <c r="A13757" s="7">
        <v>748.0</v>
      </c>
      <c r="B13757" s="9" t="s">
        <v>18671</v>
      </c>
      <c r="C13757" s="9" t="s">
        <v>1076</v>
      </c>
      <c r="D13757" s="9" t="s">
        <v>114</v>
      </c>
      <c r="E13757" s="6" t="s">
        <v>12467</v>
      </c>
      <c r="F13757" s="9" t="s">
        <v>20030</v>
      </c>
    </row>
    <row r="13758" ht="33.75" customHeight="1">
      <c r="A13758" s="7">
        <v>748.0</v>
      </c>
      <c r="B13758" s="9" t="s">
        <v>18671</v>
      </c>
      <c r="C13758" s="9" t="s">
        <v>1076</v>
      </c>
      <c r="D13758" s="9" t="s">
        <v>117</v>
      </c>
      <c r="E13758" s="6" t="s">
        <v>12469</v>
      </c>
      <c r="F13758" s="9" t="s">
        <v>20030</v>
      </c>
    </row>
    <row r="13759" ht="33.75" customHeight="1">
      <c r="A13759" s="7">
        <v>749.0</v>
      </c>
      <c r="B13759" s="9" t="s">
        <v>18679</v>
      </c>
      <c r="C13759" s="9" t="s">
        <v>1077</v>
      </c>
      <c r="D13759" s="9" t="s">
        <v>637</v>
      </c>
      <c r="E13759" s="6" t="s">
        <v>12473</v>
      </c>
      <c r="F13759" s="9" t="s">
        <v>20031</v>
      </c>
      <c r="G13759" t="inlineStr" s="6">
        <is>
          <t xml:space="preserve">The mud stuck to Mudbray’s hooves enhances Mudbray's grip and its powerful running gait. It has a stubborn, individualistic disposition. Eating dirt, making mud, and playing in the mire all form part of its daily routine. It loves playing in the mud. If it isn’t showered with mud on a daily basis, it gets stressed out and stops listening to its Trainer. Possessing mighty power, Mudbray can be loaded with 50 times its own body weight and will be totally fine. Loads weighing up to 50 times as much as its own body weight pose no issue for this Pokémon. It’s skilled at making use of mud. It eats dirt to create mud and smears this mud all over its feet, giving them the grip needed to walk on rough terrain without slipping.</t>
        </is>
      </c>
    </row>
    <row r="13760" ht="33.75" customHeight="1">
      <c r="A13760" s="7">
        <v>749.0</v>
      </c>
      <c r="B13760" s="9" t="s">
        <v>18679</v>
      </c>
      <c r="C13760" s="9" t="s">
        <v>1077</v>
      </c>
      <c r="D13760" s="9" t="s">
        <v>642</v>
      </c>
      <c r="E13760" s="6" t="s">
        <v>12475</v>
      </c>
      <c r="F13760" s="9" t="s">
        <v>20031</v>
      </c>
    </row>
    <row r="13761" ht="33.75" customHeight="1">
      <c r="A13761" s="7">
        <v>749.0</v>
      </c>
      <c r="B13761" s="9" t="s">
        <v>18679</v>
      </c>
      <c r="C13761" s="9" t="s">
        <v>1077</v>
      </c>
      <c r="D13761" s="9" t="s">
        <v>647</v>
      </c>
      <c r="E13761" s="6" t="s">
        <v>12477</v>
      </c>
      <c r="F13761" s="9" t="s">
        <v>20031</v>
      </c>
    </row>
    <row r="13762" ht="33.75" customHeight="1">
      <c r="A13762" s="7">
        <v>749.0</v>
      </c>
      <c r="B13762" s="9" t="s">
        <v>18679</v>
      </c>
      <c r="C13762" s="9" t="s">
        <v>1077</v>
      </c>
      <c r="D13762" s="9" t="s">
        <v>652</v>
      </c>
      <c r="E13762" s="6" t="s">
        <v>12479</v>
      </c>
      <c r="F13762" s="9" t="s">
        <v>20031</v>
      </c>
    </row>
    <row r="13763" ht="33.75" customHeight="1">
      <c r="A13763" s="7">
        <v>749.0</v>
      </c>
      <c r="B13763" s="9" t="s">
        <v>18679</v>
      </c>
      <c r="C13763" s="9" t="s">
        <v>1077</v>
      </c>
      <c r="D13763" s="9" t="s">
        <v>114</v>
      </c>
      <c r="E13763" s="6" t="s">
        <v>12480</v>
      </c>
      <c r="F13763" s="9" t="s">
        <v>20031</v>
      </c>
    </row>
    <row r="13764" ht="33.75" customHeight="1">
      <c r="A13764" s="7">
        <v>749.0</v>
      </c>
      <c r="B13764" s="9" t="s">
        <v>18679</v>
      </c>
      <c r="C13764" s="9" t="s">
        <v>1077</v>
      </c>
      <c r="D13764" s="9" t="s">
        <v>117</v>
      </c>
      <c r="E13764" s="6" t="s">
        <v>12481</v>
      </c>
      <c r="F13764" s="9" t="s">
        <v>20031</v>
      </c>
    </row>
    <row r="13765" ht="33.75" customHeight="1">
      <c r="A13765" s="7">
        <v>750.0</v>
      </c>
      <c r="B13765" s="9" t="s">
        <v>18687</v>
      </c>
      <c r="C13765" s="9" t="s">
        <v>1080</v>
      </c>
      <c r="D13765" s="9" t="s">
        <v>637</v>
      </c>
      <c r="E13765" s="6" t="s">
        <v>12483</v>
      </c>
      <c r="F13765" s="9" t="s">
        <v>20032</v>
      </c>
      <c r="G13765" t="inlineStr" s="6">
        <is>
          <t xml:space="preserve">It spits a mud that provides resistance to both wind and rain, so the walls of old houses were often coated with it. Its heavy, mud-covered kicks are its best means of attack, and it can reduce large trucks to scrap without breaking a sweat. It remains calm and unmoving no matter the situation. It mixes dirt with the saliva in its mouth to make a special kind of mud. It can trudge mountain roads without rest for three days and three nights, all the while dragging a 10-ton load. Mud that hardens around a Mudsdale’s legs sets harder than stone. It’s so hard that it allows this Pokémon to scrap a truck with a single kick. Mudsdale has so much stamina that it could carry over 10 tons across the Galar region without rest or sleep.</t>
        </is>
      </c>
    </row>
    <row r="13766" ht="33.75" customHeight="1">
      <c r="A13766" s="7">
        <v>750.0</v>
      </c>
      <c r="B13766" s="9" t="s">
        <v>18687</v>
      </c>
      <c r="C13766" s="9" t="s">
        <v>1080</v>
      </c>
      <c r="D13766" s="9" t="s">
        <v>642</v>
      </c>
      <c r="E13766" s="6" t="s">
        <v>12484</v>
      </c>
      <c r="F13766" s="9" t="s">
        <v>20032</v>
      </c>
    </row>
    <row r="13767" ht="33.75" customHeight="1">
      <c r="A13767" s="7">
        <v>750.0</v>
      </c>
      <c r="B13767" s="9" t="s">
        <v>18687</v>
      </c>
      <c r="C13767" s="9" t="s">
        <v>1080</v>
      </c>
      <c r="D13767" s="9" t="s">
        <v>647</v>
      </c>
      <c r="E13767" s="6" t="s">
        <v>12485</v>
      </c>
      <c r="F13767" s="9" t="s">
        <v>20032</v>
      </c>
    </row>
    <row r="13768" ht="33.75" customHeight="1">
      <c r="A13768" s="7">
        <v>750.0</v>
      </c>
      <c r="B13768" s="9" t="s">
        <v>18687</v>
      </c>
      <c r="C13768" s="9" t="s">
        <v>1080</v>
      </c>
      <c r="D13768" s="9" t="s">
        <v>652</v>
      </c>
      <c r="E13768" s="6" t="s">
        <v>12487</v>
      </c>
      <c r="F13768" s="9" t="s">
        <v>20032</v>
      </c>
    </row>
    <row r="13769" ht="33.75" customHeight="1">
      <c r="A13769" s="7">
        <v>750.0</v>
      </c>
      <c r="B13769" s="9" t="s">
        <v>18687</v>
      </c>
      <c r="C13769" s="9" t="s">
        <v>1080</v>
      </c>
      <c r="D13769" s="9" t="s">
        <v>114</v>
      </c>
      <c r="E13769" s="6" t="s">
        <v>12489</v>
      </c>
      <c r="F13769" s="9" t="s">
        <v>20032</v>
      </c>
    </row>
    <row r="13770" ht="33.75" customHeight="1">
      <c r="A13770" s="7">
        <v>750.0</v>
      </c>
      <c r="B13770" s="9" t="s">
        <v>18687</v>
      </c>
      <c r="C13770" s="9" t="s">
        <v>1080</v>
      </c>
      <c r="D13770" s="9" t="s">
        <v>117</v>
      </c>
      <c r="E13770" s="6" t="s">
        <v>12490</v>
      </c>
      <c r="F13770" s="9" t="s">
        <v>20032</v>
      </c>
    </row>
    <row r="13771" ht="33.75" customHeight="1">
      <c r="A13771" s="7">
        <v>751.0</v>
      </c>
      <c r="B13771" s="9" t="s">
        <v>18696</v>
      </c>
      <c r="C13771" s="9" t="s">
        <v>1081</v>
      </c>
      <c r="D13771" s="9" t="s">
        <v>637</v>
      </c>
      <c r="E13771" s="6" t="s">
        <v>12491</v>
      </c>
      <c r="F13771" s="9" t="s">
        <v>20033</v>
      </c>
      <c r="G13771" t="inlineStr" s="6">
        <is>
          <t xml:space="preserve">It crawls onto the land in search of food. Its water bubble allows it to breathe and protects its soft head. When it comes across enemies or potential prey, this Pokémon smashes its water-bubble-covered head into them. When two Dewpider meet, they display their water bubbles to each other. Then the one with the smaller bubble gets out of the other’s way. It can only breathe oxygen that has dissolved in water, so it wears a water bubble on its head when it walks around on land. It forms a water bubble at the rear of its body and then covers its head with it. Meeting another Dewpider means comparing water-bubble sizes. Dewpider normally lives underwater. When it comes onto land in search of food, it takes water with it in the form of a bubble on its head.</t>
        </is>
      </c>
    </row>
    <row r="13772" ht="33.75" customHeight="1">
      <c r="A13772" s="7">
        <v>751.0</v>
      </c>
      <c r="B13772" s="9" t="s">
        <v>18696</v>
      </c>
      <c r="C13772" s="9" t="s">
        <v>1081</v>
      </c>
      <c r="D13772" s="9" t="s">
        <v>642</v>
      </c>
      <c r="E13772" s="6" t="s">
        <v>12493</v>
      </c>
      <c r="F13772" s="9" t="s">
        <v>20033</v>
      </c>
    </row>
    <row r="13773" ht="33.75" customHeight="1">
      <c r="A13773" s="7">
        <v>751.0</v>
      </c>
      <c r="B13773" s="9" t="s">
        <v>18696</v>
      </c>
      <c r="C13773" s="9" t="s">
        <v>1081</v>
      </c>
      <c r="D13773" s="9" t="s">
        <v>647</v>
      </c>
      <c r="E13773" s="6" t="s">
        <v>12494</v>
      </c>
      <c r="F13773" s="9" t="s">
        <v>20033</v>
      </c>
    </row>
    <row r="13774" ht="33.75" customHeight="1">
      <c r="A13774" s="7">
        <v>751.0</v>
      </c>
      <c r="B13774" s="9" t="s">
        <v>18696</v>
      </c>
      <c r="C13774" s="9" t="s">
        <v>1081</v>
      </c>
      <c r="D13774" s="9" t="s">
        <v>652</v>
      </c>
      <c r="E13774" s="6" t="s">
        <v>12496</v>
      </c>
      <c r="F13774" s="9" t="s">
        <v>20033</v>
      </c>
    </row>
    <row r="13775" ht="33.75" customHeight="1">
      <c r="A13775" s="7">
        <v>751.0</v>
      </c>
      <c r="B13775" s="9" t="s">
        <v>18696</v>
      </c>
      <c r="C13775" s="9" t="s">
        <v>1081</v>
      </c>
      <c r="D13775" s="9" t="s">
        <v>114</v>
      </c>
      <c r="E13775" s="6" t="s">
        <v>12498</v>
      </c>
      <c r="F13775" s="9" t="s">
        <v>20033</v>
      </c>
    </row>
    <row r="13776" ht="33.75" customHeight="1">
      <c r="A13776" s="7">
        <v>751.0</v>
      </c>
      <c r="B13776" s="9" t="s">
        <v>18696</v>
      </c>
      <c r="C13776" s="9" t="s">
        <v>1081</v>
      </c>
      <c r="D13776" s="9" t="s">
        <v>117</v>
      </c>
      <c r="E13776" s="6" t="s">
        <v>12499</v>
      </c>
      <c r="F13776" s="9" t="s">
        <v>20033</v>
      </c>
    </row>
    <row r="13777" ht="33.75" customHeight="1">
      <c r="A13777" s="7">
        <v>752.0</v>
      </c>
      <c r="B13777" s="9" t="s">
        <v>18704</v>
      </c>
      <c r="C13777" s="9" t="s">
        <v>1081</v>
      </c>
      <c r="D13777" s="9" t="s">
        <v>637</v>
      </c>
      <c r="E13777" s="6" t="s">
        <v>12500</v>
      </c>
      <c r="F13777" s="9" t="s">
        <v>20034</v>
      </c>
      <c r="G13777" t="inlineStr" s="6">
        <is>
          <t xml:space="preserve">It delivers headbutts with the water bubble on Araquanid's head. Small Pokémon get sucked into the bubble, where they drown. Despite what its appearance suggests, it cares for others. If it finds vulnerable, weak Pokémon, it protectively brings them into its water bubble. It usually passes its time in the water. When its belly is full, it stores its subdued prey in the water bubble on its head. It has a habit of storing things it values in its water bubble. If its Trainer doesn’t watch out, Araquanid will try to put them in its bubble! It launches water bubbles with its legs, drowning prey within the bubbles. This Pokémon can then take its time to savor its meal. It acts as a caretaker for Dewpider, putting them inside its bubble and letting them eat any leftover food.</t>
        </is>
      </c>
    </row>
    <row r="13778" ht="33.75" customHeight="1">
      <c r="A13778" s="7">
        <v>752.0</v>
      </c>
      <c r="B13778" s="9" t="s">
        <v>18704</v>
      </c>
      <c r="C13778" s="9" t="s">
        <v>1081</v>
      </c>
      <c r="D13778" s="9" t="s">
        <v>642</v>
      </c>
      <c r="E13778" s="6" t="s">
        <v>12502</v>
      </c>
      <c r="F13778" s="9" t="s">
        <v>20034</v>
      </c>
    </row>
    <row r="13779" ht="33.75" customHeight="1">
      <c r="A13779" s="7">
        <v>752.0</v>
      </c>
      <c r="B13779" s="9" t="s">
        <v>18704</v>
      </c>
      <c r="C13779" s="9" t="s">
        <v>1081</v>
      </c>
      <c r="D13779" s="9" t="s">
        <v>647</v>
      </c>
      <c r="E13779" s="6" t="s">
        <v>12503</v>
      </c>
      <c r="F13779" s="9" t="s">
        <v>20034</v>
      </c>
    </row>
    <row r="13780" ht="33.75" customHeight="1">
      <c r="A13780" s="7">
        <v>752.0</v>
      </c>
      <c r="B13780" s="9" t="s">
        <v>18704</v>
      </c>
      <c r="C13780" s="9" t="s">
        <v>1081</v>
      </c>
      <c r="D13780" s="9" t="s">
        <v>652</v>
      </c>
      <c r="E13780" s="6" t="s">
        <v>12505</v>
      </c>
      <c r="F13780" s="9" t="s">
        <v>20034</v>
      </c>
    </row>
    <row r="13781" ht="33.75" customHeight="1">
      <c r="A13781" s="7">
        <v>752.0</v>
      </c>
      <c r="B13781" s="9" t="s">
        <v>18704</v>
      </c>
      <c r="C13781" s="9" t="s">
        <v>1081</v>
      </c>
      <c r="D13781" s="9" t="s">
        <v>114</v>
      </c>
      <c r="E13781" s="6" t="s">
        <v>12506</v>
      </c>
      <c r="F13781" s="9" t="s">
        <v>20034</v>
      </c>
    </row>
    <row r="13782" ht="33.75" customHeight="1">
      <c r="A13782" s="7">
        <v>752.0</v>
      </c>
      <c r="B13782" s="9" t="s">
        <v>18704</v>
      </c>
      <c r="C13782" s="9" t="s">
        <v>1081</v>
      </c>
      <c r="D13782" s="9" t="s">
        <v>117</v>
      </c>
      <c r="E13782" s="6" t="s">
        <v>12507</v>
      </c>
      <c r="F13782" s="9" t="s">
        <v>20034</v>
      </c>
    </row>
    <row r="13783" ht="33.75" customHeight="1">
      <c r="A13783" s="7">
        <v>753.0</v>
      </c>
      <c r="B13783" s="9" t="s">
        <v>18711</v>
      </c>
      <c r="C13783" s="9" t="s">
        <v>1082</v>
      </c>
      <c r="D13783" s="9" t="s">
        <v>637</v>
      </c>
      <c r="E13783" s="6" t="s">
        <v>12508</v>
      </c>
      <c r="F13783" s="9" t="s">
        <v>20035</v>
      </c>
      <c r="G13783" t="inlineStr" s="6">
        <is>
          <t xml:space="preserve">During the day, Fomantis sleeps and soaks up light. When night falls, it walks around looking for a safer place to sleep. They give off a sweet and refreshing scent. Cutiefly often gather near the tall grass where Fomantis are hiding. When the sun rises, Fomantis spreads its four leaves and bathes in the sunlight. The tip of its head has a pleasant aroma. It loves the sunshine. When it basks in the sunlight regularly, it grows up with vivid coloration. When bathed in sunlight, this Pokémon emits a pleasantly sweet scent, which causes bug Pokémon to gather around it. During the day, Fomantis basks in sunlight and sleeps peacefully. It wakes and moves around at night.</t>
        </is>
      </c>
    </row>
    <row r="13784" ht="33.75" customHeight="1">
      <c r="A13784" s="7">
        <v>753.0</v>
      </c>
      <c r="B13784" s="9" t="s">
        <v>18711</v>
      </c>
      <c r="C13784" s="9" t="s">
        <v>1082</v>
      </c>
      <c r="D13784" s="9" t="s">
        <v>642</v>
      </c>
      <c r="E13784" s="6" t="s">
        <v>12509</v>
      </c>
      <c r="F13784" s="9" t="s">
        <v>20035</v>
      </c>
    </row>
    <row r="13785" ht="33.75" customHeight="1">
      <c r="A13785" s="7">
        <v>753.0</v>
      </c>
      <c r="B13785" s="9" t="s">
        <v>18711</v>
      </c>
      <c r="C13785" s="9" t="s">
        <v>1082</v>
      </c>
      <c r="D13785" s="9" t="s">
        <v>647</v>
      </c>
      <c r="E13785" s="6" t="s">
        <v>12511</v>
      </c>
      <c r="F13785" s="9" t="s">
        <v>20035</v>
      </c>
    </row>
    <row r="13786" ht="33.75" customHeight="1">
      <c r="A13786" s="7">
        <v>753.0</v>
      </c>
      <c r="B13786" s="9" t="s">
        <v>18711</v>
      </c>
      <c r="C13786" s="9" t="s">
        <v>1082</v>
      </c>
      <c r="D13786" s="9" t="s">
        <v>652</v>
      </c>
      <c r="E13786" s="6" t="s">
        <v>12512</v>
      </c>
      <c r="F13786" s="9" t="s">
        <v>20035</v>
      </c>
    </row>
    <row r="13787" ht="33.75" customHeight="1">
      <c r="A13787" s="7">
        <v>753.0</v>
      </c>
      <c r="B13787" s="9" t="s">
        <v>18711</v>
      </c>
      <c r="C13787" s="9" t="s">
        <v>1082</v>
      </c>
      <c r="D13787" s="9" t="s">
        <v>114</v>
      </c>
      <c r="E13787" s="6" t="s">
        <v>12514</v>
      </c>
      <c r="F13787" s="9" t="s">
        <v>20035</v>
      </c>
    </row>
    <row r="13788" ht="33.75" customHeight="1">
      <c r="A13788" s="7">
        <v>753.0</v>
      </c>
      <c r="B13788" s="9" t="s">
        <v>18711</v>
      </c>
      <c r="C13788" s="9" t="s">
        <v>1082</v>
      </c>
      <c r="D13788" s="9" t="s">
        <v>117</v>
      </c>
      <c r="E13788" s="6" t="s">
        <v>12515</v>
      </c>
      <c r="F13788" s="9" t="s">
        <v>20035</v>
      </c>
    </row>
    <row r="13789" ht="33.75" customHeight="1">
      <c r="A13789" s="7">
        <v>754.0</v>
      </c>
      <c r="B13789" s="9" t="s">
        <v>18720</v>
      </c>
      <c r="C13789" s="9" t="s">
        <v>1083</v>
      </c>
      <c r="D13789" s="9" t="s">
        <v>637</v>
      </c>
      <c r="E13789" s="6" t="s">
        <v>12517</v>
      </c>
      <c r="F13789" s="9" t="s">
        <v>20036</v>
      </c>
      <c r="G13789" t="inlineStr" s="6">
        <is>
          <t xml:space="preserve">It requires a lot of effort to maintain Lurantis’s vivid coloring, but some collectors enjoy this work and treat it as their hobby. It fires beams from its sickle-shaped petals. These beams are powerful enough to cleave through thick metal plates. For self-protection, it pretends to be a bug Pokémon. Both of its arms bear keen-edged petals. As it slashes into its enemies, it looks like it’s dancing. Its elegant appearance has led some to call it the most glamorous Grass Pokémon. This Pokémon resembles a beautiful flower. A properly raised Lurantis will have gorgeous, brilliant colors. The petals on this Pokémon’s arms are thin and super sharp, and they can fire laser beams if Lurantis gathers light first.</t>
        </is>
      </c>
    </row>
    <row r="13790" ht="33.75" customHeight="1">
      <c r="A13790" s="7">
        <v>754.0</v>
      </c>
      <c r="B13790" s="9" t="s">
        <v>18720</v>
      </c>
      <c r="C13790" s="9" t="s">
        <v>1083</v>
      </c>
      <c r="D13790" s="9" t="s">
        <v>642</v>
      </c>
      <c r="E13790" s="6" t="s">
        <v>12519</v>
      </c>
      <c r="F13790" s="9" t="s">
        <v>20036</v>
      </c>
    </row>
    <row r="13791" ht="33.75" customHeight="1">
      <c r="A13791" s="7">
        <v>754.0</v>
      </c>
      <c r="B13791" s="9" t="s">
        <v>18720</v>
      </c>
      <c r="C13791" s="9" t="s">
        <v>1083</v>
      </c>
      <c r="D13791" s="9" t="s">
        <v>647</v>
      </c>
      <c r="E13791" s="6" t="s">
        <v>12520</v>
      </c>
      <c r="F13791" s="9" t="s">
        <v>20036</v>
      </c>
    </row>
    <row r="13792" ht="33.75" customHeight="1">
      <c r="A13792" s="7">
        <v>754.0</v>
      </c>
      <c r="B13792" s="9" t="s">
        <v>18720</v>
      </c>
      <c r="C13792" s="9" t="s">
        <v>1083</v>
      </c>
      <c r="D13792" s="9" t="s">
        <v>652</v>
      </c>
      <c r="E13792" s="6" t="s">
        <v>12522</v>
      </c>
      <c r="F13792" s="9" t="s">
        <v>20036</v>
      </c>
    </row>
    <row r="13793" ht="33.75" customHeight="1">
      <c r="A13793" s="7">
        <v>754.0</v>
      </c>
      <c r="B13793" s="9" t="s">
        <v>18720</v>
      </c>
      <c r="C13793" s="9" t="s">
        <v>1083</v>
      </c>
      <c r="D13793" s="9" t="s">
        <v>114</v>
      </c>
      <c r="E13793" s="6" t="s">
        <v>12523</v>
      </c>
      <c r="F13793" s="9" t="s">
        <v>20036</v>
      </c>
    </row>
    <row r="13794" ht="33.75" customHeight="1">
      <c r="A13794" s="7">
        <v>754.0</v>
      </c>
      <c r="B13794" s="9" t="s">
        <v>18720</v>
      </c>
      <c r="C13794" s="9" t="s">
        <v>1083</v>
      </c>
      <c r="D13794" s="9" t="s">
        <v>117</v>
      </c>
      <c r="E13794" s="6" t="s">
        <v>12524</v>
      </c>
      <c r="F13794" s="9" t="s">
        <v>20036</v>
      </c>
    </row>
    <row r="13795" ht="33.75" customHeight="1">
      <c r="A13795" s="7">
        <v>755.0</v>
      </c>
      <c r="B13795" s="9" t="s">
        <v>18728</v>
      </c>
      <c r="C13795" s="9" t="s">
        <v>1084</v>
      </c>
      <c r="D13795" s="9" t="s">
        <v>637</v>
      </c>
      <c r="E13795" s="6" t="s">
        <v>12525</v>
      </c>
      <c r="F13795" s="9" t="s">
        <v>20037</v>
      </c>
      <c r="G13795" t="inlineStr" s="6">
        <is>
          <t xml:space="preserve">It scatters spores that flicker and glow. Anyone seeing these lights falls into a deep slumber. As it drowses the day away, it nourishes itself by sucking from tree roots. It wakens at the fall of night, wandering off in search of a new tree. It scatters its shining spores around itself. Even though they’re dangerous, nighttime tours of forests where Morelull live are popular. It likes damp dark places. When night falls, the spores filling the caps of its mushrooms glow. Pokémon living in the forest eat the delicious caps on Morelull’s head. The caps regrow overnight. Morelull live in forests that stay dark even during the day. They scatter flickering spores that put enemies to sleep.</t>
        </is>
      </c>
    </row>
    <row r="13796" ht="33.75" customHeight="1">
      <c r="A13796" s="7">
        <v>755.0</v>
      </c>
      <c r="B13796" s="9" t="s">
        <v>18728</v>
      </c>
      <c r="C13796" s="9" t="s">
        <v>1084</v>
      </c>
      <c r="D13796" s="9" t="s">
        <v>642</v>
      </c>
      <c r="E13796" s="6" t="s">
        <v>12528</v>
      </c>
      <c r="F13796" s="9" t="s">
        <v>20037</v>
      </c>
    </row>
    <row r="13797" ht="33.75" customHeight="1">
      <c r="A13797" s="7">
        <v>755.0</v>
      </c>
      <c r="B13797" s="9" t="s">
        <v>18728</v>
      </c>
      <c r="C13797" s="9" t="s">
        <v>1084</v>
      </c>
      <c r="D13797" s="9" t="s">
        <v>647</v>
      </c>
      <c r="E13797" s="6" t="s">
        <v>12531</v>
      </c>
      <c r="F13797" s="9" t="s">
        <v>20037</v>
      </c>
    </row>
    <row r="13798" ht="33.75" customHeight="1">
      <c r="A13798" s="7">
        <v>755.0</v>
      </c>
      <c r="B13798" s="9" t="s">
        <v>18728</v>
      </c>
      <c r="C13798" s="9" t="s">
        <v>1084</v>
      </c>
      <c r="D13798" s="9" t="s">
        <v>652</v>
      </c>
      <c r="E13798" s="6" t="s">
        <v>12534</v>
      </c>
      <c r="F13798" s="9" t="s">
        <v>20037</v>
      </c>
    </row>
    <row r="13799" ht="33.75" customHeight="1">
      <c r="A13799" s="7">
        <v>755.0</v>
      </c>
      <c r="B13799" s="9" t="s">
        <v>18728</v>
      </c>
      <c r="C13799" s="9" t="s">
        <v>1084</v>
      </c>
      <c r="D13799" s="9" t="s">
        <v>114</v>
      </c>
      <c r="E13799" s="6" t="s">
        <v>12536</v>
      </c>
      <c r="F13799" s="9" t="s">
        <v>20037</v>
      </c>
    </row>
    <row r="13800" ht="33.75" customHeight="1">
      <c r="A13800" s="7">
        <v>755.0</v>
      </c>
      <c r="B13800" s="9" t="s">
        <v>18728</v>
      </c>
      <c r="C13800" s="9" t="s">
        <v>1084</v>
      </c>
      <c r="D13800" s="9" t="s">
        <v>117</v>
      </c>
      <c r="E13800" s="6" t="s">
        <v>12538</v>
      </c>
      <c r="F13800" s="9" t="s">
        <v>20037</v>
      </c>
    </row>
    <row r="13801" ht="33.75" customHeight="1">
      <c r="A13801" s="7">
        <v>756.0</v>
      </c>
      <c r="B13801" s="9" t="s">
        <v>18736</v>
      </c>
      <c r="C13801" s="9" t="s">
        <v>1084</v>
      </c>
      <c r="D13801" s="9" t="s">
        <v>637</v>
      </c>
      <c r="E13801" s="6" t="s">
        <v>12539</v>
      </c>
      <c r="F13801" s="9" t="s">
        <v>20038</v>
      </c>
      <c r="G13801" t="inlineStr" s="6">
        <is>
          <t xml:space="preserve">Forests where Shiinotic live are treacherous to enter at night. People confused by its strange lights can never find their way home again. It emits flickering spores that cause drowsiness. When its prey succumb to sleep, this Pokémon feeds on them by sucking in their energy. It puts its prey to sleep and siphons off their vitality through the tip of its arms. If one of its kind is weakened, it helps by sending it vitality. When it starts fighting for territory with Parasect, the entire area gets completely coated in spores! Its flickering spores lure in prey and put them to sleep. Once this Pokémon has its prey snoozing, it drains their vitality with its fingertips. If you see a light deep in a forest at night, don’t go near. Shiinotic will make you fall fast asleep.</t>
        </is>
      </c>
    </row>
    <row r="13802" ht="33.75" customHeight="1">
      <c r="A13802" s="7">
        <v>756.0</v>
      </c>
      <c r="B13802" s="9" t="s">
        <v>18736</v>
      </c>
      <c r="C13802" s="9" t="s">
        <v>1084</v>
      </c>
      <c r="D13802" s="9" t="s">
        <v>642</v>
      </c>
      <c r="E13802" s="6" t="s">
        <v>12541</v>
      </c>
      <c r="F13802" s="9" t="s">
        <v>20038</v>
      </c>
    </row>
    <row r="13803" ht="33.75" customHeight="1">
      <c r="A13803" s="7">
        <v>756.0</v>
      </c>
      <c r="B13803" s="9" t="s">
        <v>18736</v>
      </c>
      <c r="C13803" s="9" t="s">
        <v>1084</v>
      </c>
      <c r="D13803" s="9" t="s">
        <v>647</v>
      </c>
      <c r="E13803" s="6" t="s">
        <v>12542</v>
      </c>
      <c r="F13803" s="9" t="s">
        <v>20038</v>
      </c>
    </row>
    <row r="13804" ht="33.75" customHeight="1">
      <c r="A13804" s="7">
        <v>756.0</v>
      </c>
      <c r="B13804" s="9" t="s">
        <v>18736</v>
      </c>
      <c r="C13804" s="9" t="s">
        <v>1084</v>
      </c>
      <c r="D13804" s="9" t="s">
        <v>652</v>
      </c>
      <c r="E13804" s="6" t="s">
        <v>12544</v>
      </c>
      <c r="F13804" s="9" t="s">
        <v>20038</v>
      </c>
    </row>
    <row r="13805" ht="33.75" customHeight="1">
      <c r="A13805" s="7">
        <v>756.0</v>
      </c>
      <c r="B13805" s="9" t="s">
        <v>18736</v>
      </c>
      <c r="C13805" s="9" t="s">
        <v>1084</v>
      </c>
      <c r="D13805" s="9" t="s">
        <v>114</v>
      </c>
      <c r="E13805" s="6" t="s">
        <v>12545</v>
      </c>
      <c r="F13805" s="9" t="s">
        <v>20038</v>
      </c>
    </row>
    <row r="13806" ht="33.75" customHeight="1">
      <c r="A13806" s="7">
        <v>756.0</v>
      </c>
      <c r="B13806" s="9" t="s">
        <v>18736</v>
      </c>
      <c r="C13806" s="9" t="s">
        <v>1084</v>
      </c>
      <c r="D13806" s="9" t="s">
        <v>117</v>
      </c>
      <c r="E13806" s="6" t="s">
        <v>12546</v>
      </c>
      <c r="F13806" s="9" t="s">
        <v>20038</v>
      </c>
    </row>
    <row r="13807" ht="33.75" customHeight="1">
      <c r="A13807" s="7">
        <v>757.0</v>
      </c>
      <c r="B13807" s="9" t="s">
        <v>18744</v>
      </c>
      <c r="C13807" s="9" t="s">
        <v>1085</v>
      </c>
      <c r="D13807" s="9" t="s">
        <v>637</v>
      </c>
      <c r="E13807" s="6" t="s">
        <v>12548</v>
      </c>
      <c r="F13807" s="9" t="s">
        <v>20039</v>
      </c>
      <c r="G13807" t="inlineStr" s="6">
        <is>
          <t xml:space="preserve">It burns Salandit's bodily fluids to create a poisonous gas. When its enemies become disoriented from inhaling the gas, it attacks them. Volcanoes or dry, craggy places are its home. It emanates a sweet-smelling poisonous gas that attracts bug Pokémon, then attacks them. The males will do whatever the females tell them. They give the females most of their food. Due to malnutrition, the males can’t evolve. It weakens opponents and sends them reeling with its poisonous gas. Salandit doesn’t deal well with Spinda, since it’s always reeling. Its venom sacs produce a fluid that this Pokémon then heats up with the flame in its tail. This process creates Salandit’s poisonous gas. This sneaky Pokémon will slink behind its prey and immobilize it with poisonous gas before the prey even realizes Salandit is there.</t>
        </is>
      </c>
    </row>
    <row r="13808" ht="33.75" customHeight="1">
      <c r="A13808" s="7">
        <v>757.0</v>
      </c>
      <c r="B13808" s="9" t="s">
        <v>18744</v>
      </c>
      <c r="C13808" s="9" t="s">
        <v>1085</v>
      </c>
      <c r="D13808" s="9" t="s">
        <v>642</v>
      </c>
      <c r="E13808" s="6" t="s">
        <v>12549</v>
      </c>
      <c r="F13808" s="9" t="s">
        <v>20039</v>
      </c>
    </row>
    <row r="13809" ht="33.75" customHeight="1">
      <c r="A13809" s="7">
        <v>757.0</v>
      </c>
      <c r="B13809" s="9" t="s">
        <v>18744</v>
      </c>
      <c r="C13809" s="9" t="s">
        <v>1085</v>
      </c>
      <c r="D13809" s="9" t="s">
        <v>647</v>
      </c>
      <c r="E13809" s="6" t="s">
        <v>12550</v>
      </c>
      <c r="F13809" s="9" t="s">
        <v>20039</v>
      </c>
    </row>
    <row r="13810" ht="33.75" customHeight="1">
      <c r="A13810" s="7">
        <v>757.0</v>
      </c>
      <c r="B13810" s="9" t="s">
        <v>18744</v>
      </c>
      <c r="C13810" s="9" t="s">
        <v>1085</v>
      </c>
      <c r="D13810" s="9" t="s">
        <v>652</v>
      </c>
      <c r="E13810" s="6" t="s">
        <v>12551</v>
      </c>
      <c r="F13810" s="9" t="s">
        <v>20039</v>
      </c>
    </row>
    <row r="13811" ht="33.75" customHeight="1">
      <c r="A13811" s="7">
        <v>757.0</v>
      </c>
      <c r="B13811" s="9" t="s">
        <v>18744</v>
      </c>
      <c r="C13811" s="9" t="s">
        <v>1085</v>
      </c>
      <c r="D13811" s="9" t="s">
        <v>114</v>
      </c>
      <c r="E13811" s="6" t="s">
        <v>12552</v>
      </c>
      <c r="F13811" s="9" t="s">
        <v>20039</v>
      </c>
    </row>
    <row r="13812" ht="33.75" customHeight="1">
      <c r="A13812" s="7">
        <v>757.0</v>
      </c>
      <c r="B13812" s="9" t="s">
        <v>18744</v>
      </c>
      <c r="C13812" s="9" t="s">
        <v>1085</v>
      </c>
      <c r="D13812" s="9" t="s">
        <v>117</v>
      </c>
      <c r="E13812" s="6" t="s">
        <v>12553</v>
      </c>
      <c r="F13812" s="9" t="s">
        <v>20039</v>
      </c>
    </row>
    <row r="13813" ht="33.75" customHeight="1">
      <c r="A13813" s="7">
        <v>758.0</v>
      </c>
      <c r="B13813" s="9" t="s">
        <v>18752</v>
      </c>
      <c r="C13813" s="9" t="s">
        <v>1085</v>
      </c>
      <c r="D13813" s="9" t="s">
        <v>637</v>
      </c>
      <c r="E13813" s="6" t="s">
        <v>12554</v>
      </c>
      <c r="F13813" s="9" t="s">
        <v>20040</v>
      </c>
      <c r="G13813" t="inlineStr" s="6">
        <is>
          <t xml:space="preserve">For some reason, only females have been found. It creates a reverse harem of male Salandit that it lives with. Filled with pheromones, its poisonous gas can be diluted to use in the production of luscious perfumes. Salazzle lives deep in caves and forces the Salandit it has attracted with its pheromones to serve it. It punishes Salandit that couldn’t bring it food with a fierce slap of its flame-spewing palm. Only female Salazzle exist. They emit a gas laden with pheromones to captivate male Salandit. The winner of competitions between Salazzle is decided by which one has the most male Salandit with it.</t>
        </is>
      </c>
    </row>
    <row r="13814" ht="33.75" customHeight="1">
      <c r="A13814" s="7">
        <v>758.0</v>
      </c>
      <c r="B13814" s="9" t="s">
        <v>18752</v>
      </c>
      <c r="C13814" s="9" t="s">
        <v>1085</v>
      </c>
      <c r="D13814" s="9" t="s">
        <v>642</v>
      </c>
      <c r="E13814" s="6" t="s">
        <v>12555</v>
      </c>
      <c r="F13814" s="9" t="s">
        <v>20040</v>
      </c>
    </row>
    <row r="13815" ht="33.75" customHeight="1">
      <c r="A13815" s="7">
        <v>758.0</v>
      </c>
      <c r="B13815" s="9" t="s">
        <v>18752</v>
      </c>
      <c r="C13815" s="9" t="s">
        <v>1085</v>
      </c>
      <c r="D13815" s="9" t="s">
        <v>647</v>
      </c>
      <c r="E13815" s="6" t="s">
        <v>12556</v>
      </c>
      <c r="F13815" s="9" t="s">
        <v>20040</v>
      </c>
    </row>
    <row r="13816" ht="33.75" customHeight="1">
      <c r="A13816" s="7">
        <v>758.0</v>
      </c>
      <c r="B13816" s="9" t="s">
        <v>18752</v>
      </c>
      <c r="C13816" s="9" t="s">
        <v>1085</v>
      </c>
      <c r="D13816" s="9" t="s">
        <v>652</v>
      </c>
      <c r="E13816" s="6" t="s">
        <v>12557</v>
      </c>
      <c r="F13816" s="9" t="s">
        <v>20040</v>
      </c>
    </row>
    <row r="13817" ht="33.75" customHeight="1">
      <c r="A13817" s="7">
        <v>758.0</v>
      </c>
      <c r="B13817" s="9" t="s">
        <v>18752</v>
      </c>
      <c r="C13817" s="9" t="s">
        <v>1085</v>
      </c>
      <c r="D13817" s="9" t="s">
        <v>114</v>
      </c>
      <c r="E13817" s="6" t="s">
        <v>12558</v>
      </c>
      <c r="F13817" s="9" t="s">
        <v>20040</v>
      </c>
    </row>
    <row r="13818" ht="33.75" customHeight="1">
      <c r="A13818" s="7">
        <v>758.0</v>
      </c>
      <c r="B13818" s="9" t="s">
        <v>18752</v>
      </c>
      <c r="C13818" s="9" t="s">
        <v>1085</v>
      </c>
      <c r="D13818" s="9" t="s">
        <v>117</v>
      </c>
      <c r="E13818" s="6" t="s">
        <v>12559</v>
      </c>
      <c r="F13818" s="9" t="s">
        <v>20040</v>
      </c>
    </row>
    <row r="13819" ht="33.75" customHeight="1">
      <c r="A13819" s="7">
        <v>759.0</v>
      </c>
      <c r="B13819" s="9" t="s">
        <v>18759</v>
      </c>
      <c r="C13819" s="9" t="s">
        <v>1088</v>
      </c>
      <c r="D13819" s="9" t="s">
        <v>637</v>
      </c>
      <c r="E13819" s="6" t="s">
        <v>12561</v>
      </c>
      <c r="F13819" s="9" t="s">
        <v>20041</v>
      </c>
      <c r="G13819" t="inlineStr" s="6">
        <is>
          <t xml:space="preserve">Despite Stufful's adorable appearance, when it gets angry and flails about, its arms and legs could knock a pro wrestler sprawling. A touch from anyone except a known friend sends it into a surging frenzy. It’s an incredibly dangerous Pokémon. It boasts power enough to split large trees in half. The organ on its rear releases an odor that it uses to communicate with others of its kind. Stufful hates to be hugged or touched in any way. It will squirm, thrash, and resist with amazing power. Its fluffy fur is a delight to pet, but carelessly reaching out to touch this Pokémon could result in painful retaliation. The way it protects itself by flailing its arms may be an adorable sight, but stay well away. This is flailing that can snap thick tree trunks.</t>
        </is>
      </c>
    </row>
    <row r="13820" ht="33.75" customHeight="1">
      <c r="A13820" s="7">
        <v>759.0</v>
      </c>
      <c r="B13820" s="9" t="s">
        <v>18759</v>
      </c>
      <c r="C13820" s="9" t="s">
        <v>1088</v>
      </c>
      <c r="D13820" s="9" t="s">
        <v>642</v>
      </c>
      <c r="E13820" s="6" t="s">
        <v>12562</v>
      </c>
      <c r="F13820" s="9" t="s">
        <v>20041</v>
      </c>
    </row>
    <row r="13821" ht="33.75" customHeight="1">
      <c r="A13821" s="7">
        <v>759.0</v>
      </c>
      <c r="B13821" s="9" t="s">
        <v>18759</v>
      </c>
      <c r="C13821" s="9" t="s">
        <v>1088</v>
      </c>
      <c r="D13821" s="9" t="s">
        <v>647</v>
      </c>
      <c r="E13821" s="6" t="s">
        <v>12566</v>
      </c>
      <c r="F13821" s="9" t="s">
        <v>20041</v>
      </c>
    </row>
    <row r="13822" ht="33.75" customHeight="1">
      <c r="A13822" s="7">
        <v>759.0</v>
      </c>
      <c r="B13822" s="9" t="s">
        <v>18759</v>
      </c>
      <c r="C13822" s="9" t="s">
        <v>1088</v>
      </c>
      <c r="D13822" s="9" t="s">
        <v>652</v>
      </c>
      <c r="E13822" s="6" t="s">
        <v>12569</v>
      </c>
      <c r="F13822" s="9" t="s">
        <v>20041</v>
      </c>
    </row>
    <row r="13823" ht="33.75" customHeight="1">
      <c r="A13823" s="7">
        <v>759.0</v>
      </c>
      <c r="B13823" s="9" t="s">
        <v>18759</v>
      </c>
      <c r="C13823" s="9" t="s">
        <v>1088</v>
      </c>
      <c r="D13823" s="9" t="s">
        <v>114</v>
      </c>
      <c r="E13823" s="6" t="s">
        <v>12571</v>
      </c>
      <c r="F13823" s="9" t="s">
        <v>20041</v>
      </c>
    </row>
    <row r="13824" ht="33.75" customHeight="1">
      <c r="A13824" s="7">
        <v>759.0</v>
      </c>
      <c r="B13824" s="9" t="s">
        <v>18759</v>
      </c>
      <c r="C13824" s="9" t="s">
        <v>1088</v>
      </c>
      <c r="D13824" s="9" t="s">
        <v>117</v>
      </c>
      <c r="E13824" s="6" t="s">
        <v>12573</v>
      </c>
      <c r="F13824" s="9" t="s">
        <v>20041</v>
      </c>
    </row>
    <row r="13825" ht="33.75" customHeight="1">
      <c r="A13825" s="7">
        <v>760.0</v>
      </c>
      <c r="B13825" s="9" t="s">
        <v>18767</v>
      </c>
      <c r="C13825" s="9" t="s">
        <v>1089</v>
      </c>
      <c r="D13825" s="9" t="s">
        <v>637</v>
      </c>
      <c r="E13825" s="6" t="s">
        <v>12574</v>
      </c>
      <c r="F13825" s="9" t="s">
        <v>20042</v>
      </c>
      <c r="G13825" t="inlineStr" s="6">
        <is>
          <t xml:space="preserve">This immensely dangerous Pokémon possesses overwhelming physical strength. Its habitat is generally off-limits. This Pokémon has the habit of hugging its companions. Many Trainers have left this world after their spines were squashed by its hug. It waves its hands wildly in intimidation and warning. Life is over for anyone who doesn’t run away as fast as possible. It boasts tremendous physical strength. Many people call it the most dangerous Pokémon in the Alola region. Once it accepts you as a friend, it tries to show its affection with a hug. Letting it do that is dangerous—it could easily shatter your bones. The moves it uses to take down its prey would make a martial artist jealous. It tucks subdued prey under its arms to carry them to its nest.</t>
        </is>
      </c>
    </row>
    <row r="13826" ht="33.75" customHeight="1">
      <c r="A13826" s="7">
        <v>760.0</v>
      </c>
      <c r="B13826" s="9" t="s">
        <v>18767</v>
      </c>
      <c r="C13826" s="9" t="s">
        <v>1089</v>
      </c>
      <c r="D13826" s="9" t="s">
        <v>642</v>
      </c>
      <c r="E13826" s="6" t="s">
        <v>12575</v>
      </c>
      <c r="F13826" s="9" t="s">
        <v>20042</v>
      </c>
    </row>
    <row r="13827" ht="33.75" customHeight="1">
      <c r="A13827" s="7">
        <v>760.0</v>
      </c>
      <c r="B13827" s="9" t="s">
        <v>18767</v>
      </c>
      <c r="C13827" s="9" t="s">
        <v>1089</v>
      </c>
      <c r="D13827" s="9" t="s">
        <v>647</v>
      </c>
      <c r="E13827" s="6" t="s">
        <v>12577</v>
      </c>
      <c r="F13827" s="9" t="s">
        <v>20042</v>
      </c>
    </row>
    <row r="13828" ht="33.75" customHeight="1">
      <c r="A13828" s="7">
        <v>760.0</v>
      </c>
      <c r="B13828" s="9" t="s">
        <v>18767</v>
      </c>
      <c r="C13828" s="9" t="s">
        <v>1089</v>
      </c>
      <c r="D13828" s="9" t="s">
        <v>652</v>
      </c>
      <c r="E13828" s="6" t="s">
        <v>12579</v>
      </c>
      <c r="F13828" s="9" t="s">
        <v>20042</v>
      </c>
    </row>
    <row r="13829" ht="33.75" customHeight="1">
      <c r="A13829" s="7">
        <v>760.0</v>
      </c>
      <c r="B13829" s="9" t="s">
        <v>18767</v>
      </c>
      <c r="C13829" s="9" t="s">
        <v>1089</v>
      </c>
      <c r="D13829" s="9" t="s">
        <v>114</v>
      </c>
      <c r="E13829" s="6" t="s">
        <v>12581</v>
      </c>
      <c r="F13829" s="9" t="s">
        <v>20042</v>
      </c>
    </row>
    <row r="13830" ht="33.75" customHeight="1">
      <c r="A13830" s="7">
        <v>760.0</v>
      </c>
      <c r="B13830" s="9" t="s">
        <v>18767</v>
      </c>
      <c r="C13830" s="9" t="s">
        <v>1089</v>
      </c>
      <c r="D13830" s="9" t="s">
        <v>117</v>
      </c>
      <c r="E13830" s="6" t="s">
        <v>12583</v>
      </c>
      <c r="F13830" s="9" t="s">
        <v>20042</v>
      </c>
    </row>
    <row r="13831" ht="33.75" customHeight="1">
      <c r="A13831" s="7">
        <v>761.0</v>
      </c>
      <c r="B13831" s="9" t="s">
        <v>18776</v>
      </c>
      <c r="C13831" s="9" t="s">
        <v>547</v>
      </c>
      <c r="D13831" s="9" t="s">
        <v>637</v>
      </c>
      <c r="E13831" s="6" t="s">
        <v>12584</v>
      </c>
      <c r="F13831" s="9" t="s">
        <v>20043</v>
      </c>
      <c r="G13831" t="inlineStr" s="6">
        <is>
          <t xml:space="preserve">A delectable aroma pours from Bounsweet's body. They are often swallowed whole by Toucannon lured by that wafting deliciousness. Although it’s too sugary for human consumption, Bounsweet’s sweat can be watered down into a juice with just the right amount of sweetness. Because of its sweet, delicious aroma, bird Pokémon are always after it, but it’s not intelligent enough to care. It tries to resist being swallowed by a bird Pokémon by spinning the sepals on its head. It’s usually a fruitless attempt. Its body gives off a sweet, fruity scent that is extremely appetizing to bird Pokémon. When under attack, it secretes a sweet and delicious sweat. The scent only calls more enemies to it.</t>
        </is>
      </c>
    </row>
    <row r="13832" ht="33.75" customHeight="1">
      <c r="A13832" s="7">
        <v>761.0</v>
      </c>
      <c r="B13832" s="9" t="s">
        <v>18776</v>
      </c>
      <c r="C13832" s="9" t="s">
        <v>547</v>
      </c>
      <c r="D13832" s="9" t="s">
        <v>642</v>
      </c>
      <c r="E13832" s="6" t="s">
        <v>12585</v>
      </c>
      <c r="F13832" s="9" t="s">
        <v>20043</v>
      </c>
    </row>
    <row r="13833" ht="33.75" customHeight="1">
      <c r="A13833" s="7">
        <v>761.0</v>
      </c>
      <c r="B13833" s="9" t="s">
        <v>18776</v>
      </c>
      <c r="C13833" s="9" t="s">
        <v>547</v>
      </c>
      <c r="D13833" s="9" t="s">
        <v>647</v>
      </c>
      <c r="E13833" s="6" t="s">
        <v>12587</v>
      </c>
      <c r="F13833" s="9" t="s">
        <v>20043</v>
      </c>
    </row>
    <row r="13834" ht="33.75" customHeight="1">
      <c r="A13834" s="7">
        <v>761.0</v>
      </c>
      <c r="B13834" s="9" t="s">
        <v>18776</v>
      </c>
      <c r="C13834" s="9" t="s">
        <v>547</v>
      </c>
      <c r="D13834" s="9" t="s">
        <v>652</v>
      </c>
      <c r="E13834" s="6" t="s">
        <v>12588</v>
      </c>
      <c r="F13834" s="9" t="s">
        <v>20043</v>
      </c>
    </row>
    <row r="13835" ht="33.75" customHeight="1">
      <c r="A13835" s="7">
        <v>761.0</v>
      </c>
      <c r="B13835" s="9" t="s">
        <v>18776</v>
      </c>
      <c r="C13835" s="9" t="s">
        <v>547</v>
      </c>
      <c r="D13835" s="9" t="s">
        <v>114</v>
      </c>
      <c r="E13835" s="6" t="s">
        <v>12589</v>
      </c>
      <c r="F13835" s="9" t="s">
        <v>20043</v>
      </c>
    </row>
    <row r="13836" ht="33.75" customHeight="1">
      <c r="A13836" s="7">
        <v>761.0</v>
      </c>
      <c r="B13836" s="9" t="s">
        <v>18776</v>
      </c>
      <c r="C13836" s="9" t="s">
        <v>547</v>
      </c>
      <c r="D13836" s="9" t="s">
        <v>117</v>
      </c>
      <c r="E13836" s="6" t="s">
        <v>12590</v>
      </c>
      <c r="F13836" s="9" t="s">
        <v>20043</v>
      </c>
    </row>
    <row r="13837" ht="33.75" customHeight="1">
      <c r="A13837" s="7">
        <v>762.0</v>
      </c>
      <c r="B13837" s="9" t="s">
        <v>18783</v>
      </c>
      <c r="C13837" s="9" t="s">
        <v>547</v>
      </c>
      <c r="D13837" s="9" t="s">
        <v>637</v>
      </c>
      <c r="E13837" s="6" t="s">
        <v>12592</v>
      </c>
      <c r="F13837" s="9" t="s">
        <v>20044</v>
      </c>
      <c r="G13837" t="inlineStr" s="6">
        <is>
          <t xml:space="preserve">The sepals on Steenee's head developed to protect its body. These are quite hard, so even if pecked by bird Pokémon, this Pokémon is totally fine. This Pokémon is always bouncing around energetically. Other Pokémon are attracted by its lively appearance and pleasant aroma. It’s protected by its hard sepals, so it plays with bird Pokémon without worry. They peck it relentlessly, but it doesn’t care. It bounces around, swinging the sepals on its head with abandon. They’re quite painful when they smack you! As it twirls like a dancer, a sweet smell spreads out around it. Anyone who inhales the scent will feel a surge of happiness. Any Corvisquire that pecks at this Pokémon will be greeted with a smack from its sepals followed by a sharp kick.</t>
        </is>
      </c>
    </row>
    <row r="13838" ht="33.75" customHeight="1">
      <c r="A13838" s="7">
        <v>762.0</v>
      </c>
      <c r="B13838" s="9" t="s">
        <v>18783</v>
      </c>
      <c r="C13838" s="9" t="s">
        <v>547</v>
      </c>
      <c r="D13838" s="9" t="s">
        <v>642</v>
      </c>
      <c r="E13838" s="6" t="s">
        <v>12593</v>
      </c>
      <c r="F13838" s="9" t="s">
        <v>20044</v>
      </c>
    </row>
    <row r="13839" ht="33.75" customHeight="1">
      <c r="A13839" s="7">
        <v>762.0</v>
      </c>
      <c r="B13839" s="9" t="s">
        <v>18783</v>
      </c>
      <c r="C13839" s="9" t="s">
        <v>547</v>
      </c>
      <c r="D13839" s="9" t="s">
        <v>647</v>
      </c>
      <c r="E13839" s="6" t="s">
        <v>12595</v>
      </c>
      <c r="F13839" s="9" t="s">
        <v>20044</v>
      </c>
    </row>
    <row r="13840" ht="33.75" customHeight="1">
      <c r="A13840" s="7">
        <v>762.0</v>
      </c>
      <c r="B13840" s="9" t="s">
        <v>18783</v>
      </c>
      <c r="C13840" s="9" t="s">
        <v>547</v>
      </c>
      <c r="D13840" s="9" t="s">
        <v>652</v>
      </c>
      <c r="E13840" s="6" t="s">
        <v>12600</v>
      </c>
      <c r="F13840" s="9" t="s">
        <v>20044</v>
      </c>
    </row>
    <row r="13841" ht="33.75" customHeight="1">
      <c r="A13841" s="7">
        <v>762.0</v>
      </c>
      <c r="B13841" s="9" t="s">
        <v>18783</v>
      </c>
      <c r="C13841" s="9" t="s">
        <v>547</v>
      </c>
      <c r="D13841" s="9" t="s">
        <v>114</v>
      </c>
      <c r="E13841" s="6" t="s">
        <v>12602</v>
      </c>
      <c r="F13841" s="9" t="s">
        <v>20044</v>
      </c>
    </row>
    <row r="13842" ht="33.75" customHeight="1">
      <c r="A13842" s="7">
        <v>762.0</v>
      </c>
      <c r="B13842" s="9" t="s">
        <v>18783</v>
      </c>
      <c r="C13842" s="9" t="s">
        <v>547</v>
      </c>
      <c r="D13842" s="9" t="s">
        <v>117</v>
      </c>
      <c r="E13842" s="6" t="s">
        <v>12603</v>
      </c>
      <c r="F13842" s="9" t="s">
        <v>20044</v>
      </c>
    </row>
    <row r="13843" ht="33.75" customHeight="1">
      <c r="A13843" s="7">
        <v>763.0</v>
      </c>
      <c r="B13843" s="9" t="s">
        <v>18790</v>
      </c>
      <c r="C13843" s="9" t="s">
        <v>547</v>
      </c>
      <c r="D13843" s="9" t="s">
        <v>637</v>
      </c>
      <c r="E13843" s="6" t="s">
        <v>12605</v>
      </c>
      <c r="F13843" s="9" t="s">
        <v>20045</v>
      </c>
      <c r="G13843" t="inlineStr" s="6">
        <is>
          <t xml:space="preserve">Tsareena's long, striking legs aren’t just for show but to be used to kick with skill. In victory, it shows off by kicking the defeated, laughing boisterously. A Pokémon known for the beauty of its well-shaped legs, it sometimes appears as a mascot in advertisements for beauty salons. A master of grand and beautiful kicks, it can knock out even kickboxing champions with a single blow. A Pokémon with an aggressive personality and a mastery of kicking, it cackles every time it kicks an opponent. This feared Pokémon has long, slender legs and a cruel heart. It shows no mercy as it stomps on its opponents. A kick from the hardened tips of this Pokémon’s legs leaves a wound in the opponent’s body and soul that will never heal.</t>
        </is>
      </c>
    </row>
    <row r="13844" ht="33.75" customHeight="1">
      <c r="A13844" s="7">
        <v>763.0</v>
      </c>
      <c r="B13844" s="9" t="s">
        <v>18790</v>
      </c>
      <c r="C13844" s="9" t="s">
        <v>547</v>
      </c>
      <c r="D13844" s="9" t="s">
        <v>642</v>
      </c>
      <c r="E13844" s="6" t="s">
        <v>12607</v>
      </c>
      <c r="F13844" s="9" t="s">
        <v>20045</v>
      </c>
    </row>
    <row r="13845" ht="33.75" customHeight="1">
      <c r="A13845" s="7">
        <v>763.0</v>
      </c>
      <c r="B13845" s="9" t="s">
        <v>18790</v>
      </c>
      <c r="C13845" s="9" t="s">
        <v>547</v>
      </c>
      <c r="D13845" s="9" t="s">
        <v>647</v>
      </c>
      <c r="E13845" s="6" t="s">
        <v>12608</v>
      </c>
      <c r="F13845" s="9" t="s">
        <v>20045</v>
      </c>
    </row>
    <row r="13846" ht="33.75" customHeight="1">
      <c r="A13846" s="7">
        <v>763.0</v>
      </c>
      <c r="B13846" s="9" t="s">
        <v>18790</v>
      </c>
      <c r="C13846" s="9" t="s">
        <v>547</v>
      </c>
      <c r="D13846" s="9" t="s">
        <v>652</v>
      </c>
      <c r="E13846" s="6" t="s">
        <v>12610</v>
      </c>
      <c r="F13846" s="9" t="s">
        <v>20045</v>
      </c>
    </row>
    <row r="13847" ht="33.75" customHeight="1">
      <c r="A13847" s="7">
        <v>763.0</v>
      </c>
      <c r="B13847" s="9" t="s">
        <v>18790</v>
      </c>
      <c r="C13847" s="9" t="s">
        <v>547</v>
      </c>
      <c r="D13847" s="9" t="s">
        <v>114</v>
      </c>
      <c r="E13847" s="6" t="s">
        <v>12612</v>
      </c>
      <c r="F13847" s="9" t="s">
        <v>20045</v>
      </c>
    </row>
    <row r="13848" ht="33.75" customHeight="1">
      <c r="A13848" s="7">
        <v>763.0</v>
      </c>
      <c r="B13848" s="9" t="s">
        <v>18790</v>
      </c>
      <c r="C13848" s="9" t="s">
        <v>547</v>
      </c>
      <c r="D13848" s="9" t="s">
        <v>117</v>
      </c>
      <c r="E13848" s="6" t="s">
        <v>12613</v>
      </c>
      <c r="F13848" s="9" t="s">
        <v>20045</v>
      </c>
    </row>
    <row r="13849" ht="33.75" customHeight="1">
      <c r="A13849" s="7">
        <v>764.0</v>
      </c>
      <c r="B13849" s="9" t="s">
        <v>18798</v>
      </c>
      <c r="C13849" s="9" t="s">
        <v>1090</v>
      </c>
      <c r="D13849" s="9" t="s">
        <v>637</v>
      </c>
      <c r="E13849" s="6" t="s">
        <v>12615</v>
      </c>
      <c r="F13849" s="9" t="s">
        <v>20046</v>
      </c>
      <c r="G13849" t="inlineStr" s="6">
        <is>
          <t xml:space="preserve">It attaches flowers to Comfey's highly nutritious vine. This revitalizes the flowers, and they give off an aromatic scent. Baths prepared with the flowers from its vine have a relaxing effect, so this Pokémon is a hit with many people. It stretches sticky vines out from its head and picks flowers to adorn itself with. When it doesn’t have any flowers, it feels uneasy. It picks flowers and sticks them to its body with fluids it produces. The aroma that wafts from its petals has a healing effect. Comfey picks flowers with its vine and decorates itself with them. For some reason, flowers won’t wither once they’re attached to a Comfey. These Pokémon smell very nice. All Comfey wear different flowers, so each of these Pokémon has its own individual scent.</t>
        </is>
      </c>
    </row>
    <row r="13850" ht="33.75" customHeight="1">
      <c r="A13850" s="7">
        <v>764.0</v>
      </c>
      <c r="B13850" s="9" t="s">
        <v>18798</v>
      </c>
      <c r="C13850" s="9" t="s">
        <v>1090</v>
      </c>
      <c r="D13850" s="9" t="s">
        <v>642</v>
      </c>
      <c r="E13850" s="6" t="s">
        <v>12616</v>
      </c>
      <c r="F13850" s="9" t="s">
        <v>20046</v>
      </c>
    </row>
    <row r="13851" ht="33.75" customHeight="1">
      <c r="A13851" s="7">
        <v>764.0</v>
      </c>
      <c r="B13851" s="9" t="s">
        <v>18798</v>
      </c>
      <c r="C13851" s="9" t="s">
        <v>1090</v>
      </c>
      <c r="D13851" s="9" t="s">
        <v>647</v>
      </c>
      <c r="E13851" s="6" t="s">
        <v>12618</v>
      </c>
      <c r="F13851" s="9" t="s">
        <v>20046</v>
      </c>
    </row>
    <row r="13852" ht="33.75" customHeight="1">
      <c r="A13852" s="7">
        <v>764.0</v>
      </c>
      <c r="B13852" s="9" t="s">
        <v>18798</v>
      </c>
      <c r="C13852" s="9" t="s">
        <v>1090</v>
      </c>
      <c r="D13852" s="9" t="s">
        <v>652</v>
      </c>
      <c r="E13852" s="6" t="s">
        <v>12619</v>
      </c>
      <c r="F13852" s="9" t="s">
        <v>20046</v>
      </c>
    </row>
    <row r="13853" ht="33.75" customHeight="1">
      <c r="A13853" s="7">
        <v>764.0</v>
      </c>
      <c r="B13853" s="9" t="s">
        <v>18798</v>
      </c>
      <c r="C13853" s="9" t="s">
        <v>1090</v>
      </c>
      <c r="D13853" s="9" t="s">
        <v>114</v>
      </c>
      <c r="E13853" s="6" t="s">
        <v>12620</v>
      </c>
      <c r="F13853" s="9" t="s">
        <v>20046</v>
      </c>
    </row>
    <row r="13854" ht="33.75" customHeight="1">
      <c r="A13854" s="7">
        <v>764.0</v>
      </c>
      <c r="B13854" s="9" t="s">
        <v>18798</v>
      </c>
      <c r="C13854" s="9" t="s">
        <v>1090</v>
      </c>
      <c r="D13854" s="9" t="s">
        <v>117</v>
      </c>
      <c r="E13854" s="6" t="s">
        <v>12621</v>
      </c>
      <c r="F13854" s="9" t="s">
        <v>20046</v>
      </c>
    </row>
    <row r="13855" ht="33.75" customHeight="1">
      <c r="A13855" s="7">
        <v>765.0</v>
      </c>
      <c r="B13855" s="9" t="s">
        <v>18806</v>
      </c>
      <c r="C13855" s="9" t="s">
        <v>1091</v>
      </c>
      <c r="D13855" s="9" t="s">
        <v>637</v>
      </c>
      <c r="E13855" s="6" t="s">
        <v>12622</v>
      </c>
      <c r="F13855" s="9" t="s">
        <v>20047</v>
      </c>
      <c r="G13855" t="inlineStr" s="6">
        <is>
          <t xml:space="preserve">Known for Oranguru's extreme intelligence, this Pokémon will look down on inexperienced Trainers, so it’s best suited to veteran Trainers. Deep in the jungle, high in the lofty canopy, this Pokémon abides. On rare occasions, it shows up at the beach to match wits with Slowking. It normally spends its time meditating in the treetops. It throws Poké Balls and gives other Pokémon orders as it pleases. Oranguru don’t get along with each other, so they’re always engaging in battles of wits to decide which one is superior. With waves of its fan—made from leaves and its own fur—Oranguru skillfully gives instructions to other Pokémon. It knows the forest inside and out. If it comes across a wounded Pokémon, Oranguru will gather medicinal herbs to treat it.</t>
        </is>
      </c>
    </row>
    <row r="13856" ht="33.75" customHeight="1">
      <c r="A13856" s="7">
        <v>765.0</v>
      </c>
      <c r="B13856" s="9" t="s">
        <v>18806</v>
      </c>
      <c r="C13856" s="9" t="s">
        <v>1091</v>
      </c>
      <c r="D13856" s="9" t="s">
        <v>642</v>
      </c>
      <c r="E13856" s="6" t="s">
        <v>12623</v>
      </c>
      <c r="F13856" s="9" t="s">
        <v>20047</v>
      </c>
    </row>
    <row r="13857" ht="33.75" customHeight="1">
      <c r="A13857" s="7">
        <v>765.0</v>
      </c>
      <c r="B13857" s="9" t="s">
        <v>18806</v>
      </c>
      <c r="C13857" s="9" t="s">
        <v>1091</v>
      </c>
      <c r="D13857" s="9" t="s">
        <v>647</v>
      </c>
      <c r="E13857" s="6" t="s">
        <v>12624</v>
      </c>
      <c r="F13857" s="9" t="s">
        <v>20047</v>
      </c>
    </row>
    <row r="13858" ht="33.75" customHeight="1">
      <c r="A13858" s="7">
        <v>765.0</v>
      </c>
      <c r="B13858" s="9" t="s">
        <v>18806</v>
      </c>
      <c r="C13858" s="9" t="s">
        <v>1091</v>
      </c>
      <c r="D13858" s="9" t="s">
        <v>652</v>
      </c>
      <c r="E13858" s="6" t="s">
        <v>12625</v>
      </c>
      <c r="F13858" s="9" t="s">
        <v>20047</v>
      </c>
    </row>
    <row r="13859" ht="33.75" customHeight="1">
      <c r="A13859" s="7">
        <v>765.0</v>
      </c>
      <c r="B13859" s="9" t="s">
        <v>18806</v>
      </c>
      <c r="C13859" s="9" t="s">
        <v>1091</v>
      </c>
      <c r="D13859" s="9" t="s">
        <v>114</v>
      </c>
      <c r="E13859" s="6" t="s">
        <v>12626</v>
      </c>
      <c r="F13859" s="9" t="s">
        <v>20047</v>
      </c>
    </row>
    <row r="13860" ht="33.75" customHeight="1">
      <c r="A13860" s="7">
        <v>765.0</v>
      </c>
      <c r="B13860" s="9" t="s">
        <v>18806</v>
      </c>
      <c r="C13860" s="9" t="s">
        <v>1091</v>
      </c>
      <c r="D13860" s="9" t="s">
        <v>117</v>
      </c>
      <c r="E13860" s="6" t="s">
        <v>12627</v>
      </c>
      <c r="F13860" s="9" t="s">
        <v>20047</v>
      </c>
    </row>
    <row r="13861" ht="33.75" customHeight="1">
      <c r="A13861" s="7">
        <v>766.0</v>
      </c>
      <c r="B13861" s="9" t="s">
        <v>18814</v>
      </c>
      <c r="C13861" s="9" t="s">
        <v>1093</v>
      </c>
      <c r="D13861" s="9" t="s">
        <v>637</v>
      </c>
      <c r="E13861" s="6" t="s">
        <v>12628</v>
      </c>
      <c r="F13861" s="9" t="s">
        <v>20048</v>
      </c>
      <c r="G13861" t="inlineStr" s="6">
        <is>
          <t xml:space="preserve">They form groups of roughly 20 individuals. Their mutual bond is remarkable—they will never let down a comrade. They battle with hard berries for weapons. Their techniques are passed from the boss to the group, generation upon generation. They use their saliva to stick leaves to their shoulders. You can tell what troop they belong to from the position of the leaves. Berries are its weapons as well as the staple of its diet. The one that can throw a berry the farthest is the boss of the troop. Displaying amazing teamwork, they follow the orders of their boss as they all help out in the search for their favorite berries. Passimian live in groups of about 20, with each member performing an assigned role. Through cooperation, the group survives.</t>
        </is>
      </c>
    </row>
    <row r="13862" ht="33.75" customHeight="1">
      <c r="A13862" s="7">
        <v>766.0</v>
      </c>
      <c r="B13862" s="9" t="s">
        <v>18814</v>
      </c>
      <c r="C13862" s="9" t="s">
        <v>1093</v>
      </c>
      <c r="D13862" s="9" t="s">
        <v>642</v>
      </c>
      <c r="E13862" s="6" t="s">
        <v>12629</v>
      </c>
      <c r="F13862" s="9" t="s">
        <v>20048</v>
      </c>
    </row>
    <row r="13863" ht="33.75" customHeight="1">
      <c r="A13863" s="7">
        <v>766.0</v>
      </c>
      <c r="B13863" s="9" t="s">
        <v>18814</v>
      </c>
      <c r="C13863" s="9" t="s">
        <v>1093</v>
      </c>
      <c r="D13863" s="9" t="s">
        <v>647</v>
      </c>
      <c r="E13863" s="6" t="s">
        <v>12630</v>
      </c>
      <c r="F13863" s="9" t="s">
        <v>20048</v>
      </c>
    </row>
    <row r="13864" ht="33.75" customHeight="1">
      <c r="A13864" s="7">
        <v>766.0</v>
      </c>
      <c r="B13864" s="9" t="s">
        <v>18814</v>
      </c>
      <c r="C13864" s="9" t="s">
        <v>1093</v>
      </c>
      <c r="D13864" s="9" t="s">
        <v>652</v>
      </c>
      <c r="E13864" s="6" t="s">
        <v>12631</v>
      </c>
      <c r="F13864" s="9" t="s">
        <v>20048</v>
      </c>
    </row>
    <row r="13865" ht="33.75" customHeight="1">
      <c r="A13865" s="7">
        <v>766.0</v>
      </c>
      <c r="B13865" s="9" t="s">
        <v>18814</v>
      </c>
      <c r="C13865" s="9" t="s">
        <v>1093</v>
      </c>
      <c r="D13865" s="9" t="s">
        <v>114</v>
      </c>
      <c r="E13865" s="6" t="s">
        <v>12633</v>
      </c>
      <c r="F13865" s="9" t="s">
        <v>20048</v>
      </c>
    </row>
    <row r="13866" ht="33.75" customHeight="1">
      <c r="A13866" s="7">
        <v>766.0</v>
      </c>
      <c r="B13866" s="9" t="s">
        <v>18814</v>
      </c>
      <c r="C13866" s="9" t="s">
        <v>1093</v>
      </c>
      <c r="D13866" s="9" t="s">
        <v>117</v>
      </c>
      <c r="E13866" s="6" t="s">
        <v>12634</v>
      </c>
      <c r="F13866" s="9" t="s">
        <v>20048</v>
      </c>
    </row>
    <row r="13867" ht="33.75" customHeight="1">
      <c r="A13867" s="7">
        <v>767.0</v>
      </c>
      <c r="B13867" s="9" t="s">
        <v>18823</v>
      </c>
      <c r="C13867" s="9" t="s">
        <v>1095</v>
      </c>
      <c r="D13867" s="9" t="s">
        <v>637</v>
      </c>
      <c r="E13867" s="6" t="s">
        <v>12636</v>
      </c>
      <c r="F13867" s="9" t="s">
        <v>20049</v>
      </c>
      <c r="G13867" t="inlineStr" s="6">
        <is>
          <t xml:space="preserve">This Pokémon is a coward. As it desperately dashes off, the flailing of its many legs leaves a sparkling clean path in its wake. Its habitat varies from beaches to seabeds. A natural scavenger, it will gleefully chow down on anything edible, no matter how rotten. It will pick up anything it finds on the ground. Sometimes it finds coins, so Murkrow and Meowth will go after it. An astonishingly cowardly Pokémon, Wimpod will whir its legs at high speeds to run away if anything comes near it. It’s nature’s cleaner—it eats anything and everything, including garbage and rotten things. The ground near its nest is always clean. Wimpod gather in swarms, constantly on the lookout for danger. They scatter the moment they detect an enemy’s presence.</t>
        </is>
      </c>
    </row>
    <row r="13868" ht="33.75" customHeight="1">
      <c r="A13868" s="7">
        <v>767.0</v>
      </c>
      <c r="B13868" s="9" t="s">
        <v>18823</v>
      </c>
      <c r="C13868" s="9" t="s">
        <v>1095</v>
      </c>
      <c r="D13868" s="9" t="s">
        <v>642</v>
      </c>
      <c r="E13868" s="6" t="s">
        <v>12638</v>
      </c>
      <c r="F13868" s="9" t="s">
        <v>20049</v>
      </c>
    </row>
    <row r="13869" ht="33.75" customHeight="1">
      <c r="A13869" s="7">
        <v>767.0</v>
      </c>
      <c r="B13869" s="9" t="s">
        <v>18823</v>
      </c>
      <c r="C13869" s="9" t="s">
        <v>1095</v>
      </c>
      <c r="D13869" s="9" t="s">
        <v>647</v>
      </c>
      <c r="E13869" s="6" t="s">
        <v>12640</v>
      </c>
      <c r="F13869" s="9" t="s">
        <v>20049</v>
      </c>
    </row>
    <row r="13870" ht="33.75" customHeight="1">
      <c r="A13870" s="7">
        <v>767.0</v>
      </c>
      <c r="B13870" s="9" t="s">
        <v>18823</v>
      </c>
      <c r="C13870" s="9" t="s">
        <v>1095</v>
      </c>
      <c r="D13870" s="9" t="s">
        <v>652</v>
      </c>
      <c r="E13870" s="6" t="s">
        <v>12641</v>
      </c>
      <c r="F13870" s="9" t="s">
        <v>20049</v>
      </c>
    </row>
    <row r="13871" ht="33.75" customHeight="1">
      <c r="A13871" s="7">
        <v>767.0</v>
      </c>
      <c r="B13871" s="9" t="s">
        <v>18823</v>
      </c>
      <c r="C13871" s="9" t="s">
        <v>1095</v>
      </c>
      <c r="D13871" s="9" t="s">
        <v>114</v>
      </c>
      <c r="E13871" s="6" t="s">
        <v>12644</v>
      </c>
      <c r="F13871" s="9" t="s">
        <v>20049</v>
      </c>
    </row>
    <row r="13872" ht="33.75" customHeight="1">
      <c r="A13872" s="7">
        <v>767.0</v>
      </c>
      <c r="B13872" s="9" t="s">
        <v>18823</v>
      </c>
      <c r="C13872" s="9" t="s">
        <v>1095</v>
      </c>
      <c r="D13872" s="9" t="s">
        <v>117</v>
      </c>
      <c r="E13872" s="6" t="s">
        <v>12645</v>
      </c>
      <c r="F13872" s="9" t="s">
        <v>20049</v>
      </c>
    </row>
    <row r="13873" ht="33.75" customHeight="1">
      <c r="A13873" s="7">
        <v>768.0</v>
      </c>
      <c r="B13873" s="9" t="s">
        <v>18831</v>
      </c>
      <c r="C13873" s="9" t="s">
        <v>1096</v>
      </c>
      <c r="D13873" s="9" t="s">
        <v>637</v>
      </c>
      <c r="E13873" s="6" t="s">
        <v>12646</v>
      </c>
      <c r="F13873" s="9" t="s">
        <v>20050</v>
      </c>
      <c r="G13873" t="inlineStr" s="6">
        <is>
          <t xml:space="preserve">With a flashing slash of Golisopod's giant sharp claws, it cleaves seawater—or even air—right in two. It battles skillfully with its six arms, but spends most of its time peacefully meditating in caves deep beneath the sea. The shell covering its body is as hard as diamond. This Pokémon will do anything it takes to win. Its claws, which it can extend and retract at will, are its greatest weapons. Golisopod is sometimes accompanied by Wimpod. It will do anything to win, taking advantage of every opening and finishing opponents off with the small claws on its front legs. They live in sunken ships or in holes in the seabed. When Golisopod and Grapploct battle, the loser becomes the winner’s meal.</t>
        </is>
      </c>
    </row>
    <row r="13874" ht="33.75" customHeight="1">
      <c r="A13874" s="7">
        <v>768.0</v>
      </c>
      <c r="B13874" s="9" t="s">
        <v>18831</v>
      </c>
      <c r="C13874" s="9" t="s">
        <v>1096</v>
      </c>
      <c r="D13874" s="9" t="s">
        <v>642</v>
      </c>
      <c r="E13874" s="6" t="s">
        <v>12648</v>
      </c>
      <c r="F13874" s="9" t="s">
        <v>20050</v>
      </c>
    </row>
    <row r="13875" ht="33.75" customHeight="1">
      <c r="A13875" s="7">
        <v>768.0</v>
      </c>
      <c r="B13875" s="9" t="s">
        <v>18831</v>
      </c>
      <c r="C13875" s="9" t="s">
        <v>1096</v>
      </c>
      <c r="D13875" s="9" t="s">
        <v>647</v>
      </c>
      <c r="E13875" s="6" t="s">
        <v>12649</v>
      </c>
      <c r="F13875" s="9" t="s">
        <v>20050</v>
      </c>
    </row>
    <row r="13876" ht="33.75" customHeight="1">
      <c r="A13876" s="7">
        <v>768.0</v>
      </c>
      <c r="B13876" s="9" t="s">
        <v>18831</v>
      </c>
      <c r="C13876" s="9" t="s">
        <v>1096</v>
      </c>
      <c r="D13876" s="9" t="s">
        <v>652</v>
      </c>
      <c r="E13876" s="6" t="s">
        <v>12650</v>
      </c>
      <c r="F13876" s="9" t="s">
        <v>20050</v>
      </c>
    </row>
    <row r="13877" ht="33.75" customHeight="1">
      <c r="A13877" s="7">
        <v>768.0</v>
      </c>
      <c r="B13877" s="9" t="s">
        <v>18831</v>
      </c>
      <c r="C13877" s="9" t="s">
        <v>1096</v>
      </c>
      <c r="D13877" s="9" t="s">
        <v>114</v>
      </c>
      <c r="E13877" s="6" t="s">
        <v>12652</v>
      </c>
      <c r="F13877" s="9" t="s">
        <v>20050</v>
      </c>
    </row>
    <row r="13878" ht="33.75" customHeight="1">
      <c r="A13878" s="7">
        <v>768.0</v>
      </c>
      <c r="B13878" s="9" t="s">
        <v>18831</v>
      </c>
      <c r="C13878" s="9" t="s">
        <v>1096</v>
      </c>
      <c r="D13878" s="9" t="s">
        <v>117</v>
      </c>
      <c r="E13878" s="6" t="s">
        <v>12653</v>
      </c>
      <c r="F13878" s="9" t="s">
        <v>20050</v>
      </c>
    </row>
    <row r="13879" ht="33.75" customHeight="1">
      <c r="A13879" s="7">
        <v>769.0</v>
      </c>
      <c r="B13879" s="9" t="s">
        <v>18839</v>
      </c>
      <c r="C13879" s="9" t="s">
        <v>1098</v>
      </c>
      <c r="D13879" s="9" t="s">
        <v>637</v>
      </c>
      <c r="E13879" s="6" t="s">
        <v>12655</v>
      </c>
      <c r="F13879" s="9" t="s">
        <v>20051</v>
      </c>
      <c r="G13879" t="inlineStr" s="6">
        <is>
          <t xml:space="preserve">Born from a sand mound playfully built by a child, this Pokémon embodies the grudges of the departed. It takes control of anyone who puts a hand in its mouth. And so it adds to the accumulation of its sand-mound body. It likes the shovel on its head, so Sandygast will get serious and fight any children who come to take it back. If you build sand mounds when you’re playing, destroy them before you go home, or they may get possessed and become Sandygast. Grudges of the dead have possessed a mound of sand and become a Pokémon. Sandygast is fond of the shovel on its head. Sandygast mainly inhabits beaches. It takes control of anyone who puts their hand into its mouth, forcing them to make its body bigger.</t>
        </is>
      </c>
    </row>
    <row r="13880" ht="33.75" customHeight="1">
      <c r="A13880" s="7">
        <v>769.0</v>
      </c>
      <c r="B13880" s="9" t="s">
        <v>18839</v>
      </c>
      <c r="C13880" s="9" t="s">
        <v>1098</v>
      </c>
      <c r="D13880" s="9" t="s">
        <v>642</v>
      </c>
      <c r="E13880" s="6" t="s">
        <v>12656</v>
      </c>
      <c r="F13880" s="9" t="s">
        <v>20051</v>
      </c>
    </row>
    <row r="13881" ht="33.75" customHeight="1">
      <c r="A13881" s="7">
        <v>769.0</v>
      </c>
      <c r="B13881" s="9" t="s">
        <v>18839</v>
      </c>
      <c r="C13881" s="9" t="s">
        <v>1098</v>
      </c>
      <c r="D13881" s="9" t="s">
        <v>647</v>
      </c>
      <c r="E13881" s="6" t="s">
        <v>12658</v>
      </c>
      <c r="F13881" s="9" t="s">
        <v>20051</v>
      </c>
    </row>
    <row r="13882" ht="33.75" customHeight="1">
      <c r="A13882" s="7">
        <v>769.0</v>
      </c>
      <c r="B13882" s="9" t="s">
        <v>18839</v>
      </c>
      <c r="C13882" s="9" t="s">
        <v>1098</v>
      </c>
      <c r="D13882" s="9" t="s">
        <v>652</v>
      </c>
      <c r="E13882" s="6" t="s">
        <v>12660</v>
      </c>
      <c r="F13882" s="9" t="s">
        <v>20051</v>
      </c>
    </row>
    <row r="13883" ht="33.75" customHeight="1">
      <c r="A13883" s="7">
        <v>769.0</v>
      </c>
      <c r="B13883" s="9" t="s">
        <v>18839</v>
      </c>
      <c r="C13883" s="9" t="s">
        <v>1098</v>
      </c>
      <c r="D13883" s="9" t="s">
        <v>114</v>
      </c>
      <c r="E13883" s="6" t="s">
        <v>12661</v>
      </c>
      <c r="F13883" s="9" t="s">
        <v>20051</v>
      </c>
    </row>
    <row r="13884" ht="33.75" customHeight="1">
      <c r="A13884" s="7">
        <v>769.0</v>
      </c>
      <c r="B13884" s="9" t="s">
        <v>18839</v>
      </c>
      <c r="C13884" s="9" t="s">
        <v>1098</v>
      </c>
      <c r="D13884" s="9" t="s">
        <v>117</v>
      </c>
      <c r="E13884" s="6" t="s">
        <v>12663</v>
      </c>
      <c r="F13884" s="9" t="s">
        <v>20051</v>
      </c>
    </row>
    <row r="13885" ht="33.75" customHeight="1">
      <c r="A13885" s="7">
        <v>770.0</v>
      </c>
      <c r="B13885" s="9" t="s">
        <v>18848</v>
      </c>
      <c r="C13885" s="9" t="s">
        <v>1099</v>
      </c>
      <c r="D13885" s="9" t="s">
        <v>637</v>
      </c>
      <c r="E13885" s="6" t="s">
        <v>12664</v>
      </c>
      <c r="F13885" s="9" t="s">
        <v>20052</v>
      </c>
      <c r="G13885" t="inlineStr" s="6">
        <is>
          <t xml:space="preserve">Possessed people controlled by this Pokémon transformed Palossand's sand mound into a castle. As it evolved, its power to curse grew ever stronger. Buried beneath the castle are masses of dried-up bones from those whose vitality it has drained. Each of its grains of sand has its own will. Palossand eats small Pokémon and siphons away their vital essence while they’re still alive. Once it has whipped up a sandstorm to halt its opponents in their tracks, this terrifying Pokémon snatches away their vitality. Palossand is known as the Beach Nightmare. It pulls its prey down into the sand by controlling the sand itself, and then it sucks out their souls. This Pokémon lives on beaches, but it hates water. Palossand can’t maintain its castle-like shape if it gets drenched by a heavy rain.</t>
        </is>
      </c>
    </row>
    <row r="13886" ht="33.75" customHeight="1">
      <c r="A13886" s="7">
        <v>770.0</v>
      </c>
      <c r="B13886" s="9" t="s">
        <v>18848</v>
      </c>
      <c r="C13886" s="9" t="s">
        <v>1099</v>
      </c>
      <c r="D13886" s="9" t="s">
        <v>642</v>
      </c>
      <c r="E13886" s="6" t="s">
        <v>12665</v>
      </c>
      <c r="F13886" s="9" t="s">
        <v>20052</v>
      </c>
    </row>
    <row r="13887" ht="33.75" customHeight="1">
      <c r="A13887" s="7">
        <v>770.0</v>
      </c>
      <c r="B13887" s="9" t="s">
        <v>18848</v>
      </c>
      <c r="C13887" s="9" t="s">
        <v>1099</v>
      </c>
      <c r="D13887" s="9" t="s">
        <v>647</v>
      </c>
      <c r="E13887" s="6" t="s">
        <v>12666</v>
      </c>
      <c r="F13887" s="9" t="s">
        <v>20052</v>
      </c>
    </row>
    <row r="13888" ht="33.75" customHeight="1">
      <c r="A13888" s="7">
        <v>770.0</v>
      </c>
      <c r="B13888" s="9" t="s">
        <v>18848</v>
      </c>
      <c r="C13888" s="9" t="s">
        <v>1099</v>
      </c>
      <c r="D13888" s="9" t="s">
        <v>652</v>
      </c>
      <c r="E13888" s="6" t="s">
        <v>12667</v>
      </c>
      <c r="F13888" s="9" t="s">
        <v>20052</v>
      </c>
    </row>
    <row r="13889" ht="33.75" customHeight="1">
      <c r="A13889" s="7">
        <v>770.0</v>
      </c>
      <c r="B13889" s="9" t="s">
        <v>18848</v>
      </c>
      <c r="C13889" s="9" t="s">
        <v>1099</v>
      </c>
      <c r="D13889" s="9" t="s">
        <v>114</v>
      </c>
      <c r="E13889" s="6" t="s">
        <v>12668</v>
      </c>
      <c r="F13889" s="9" t="s">
        <v>20052</v>
      </c>
    </row>
    <row r="13890" ht="33.75" customHeight="1">
      <c r="A13890" s="7">
        <v>770.0</v>
      </c>
      <c r="B13890" s="9" t="s">
        <v>18848</v>
      </c>
      <c r="C13890" s="9" t="s">
        <v>1099</v>
      </c>
      <c r="D13890" s="9" t="s">
        <v>117</v>
      </c>
      <c r="E13890" s="6" t="s">
        <v>12669</v>
      </c>
      <c r="F13890" s="9" t="s">
        <v>20052</v>
      </c>
    </row>
    <row r="13891" ht="33.75" customHeight="1">
      <c r="A13891" s="7">
        <v>771.0</v>
      </c>
      <c r="B13891" s="9" t="s">
        <v>18856</v>
      </c>
      <c r="C13891" s="9" t="s">
        <v>1101</v>
      </c>
      <c r="D13891" s="9" t="s">
        <v>637</v>
      </c>
      <c r="E13891" s="6" t="s">
        <v>12670</v>
      </c>
      <c r="F13891" s="9" t="s">
        <v>20053</v>
      </c>
      <c r="G13891" t="inlineStr" s="6">
        <is>
          <t xml:space="preserve">Pyukumuku lives in shallow seas, such as areas near a beach. It can eject its internal organs, which it uses to engulf its prey or battle enemies. These Pokémon line the beaches. The sticky mucous that covers their bodies can be used to soothe sunburned skin. How convenient! The tradition known as Pyukumuku chucking started from the custom of throwing Pyukumuku back into the sea after they wash onshore. Its entire body is covered in its own slime. If you accidentally step on one, you’ll slip, and it will get mad and smack you! It lives in warm, shallow waters. If it encounters a foe, it will spit out its internal organs as a means to punch them. It’s covered in a slime that keeps its skin moist, allowing it to stay on land for days without drying up.</t>
        </is>
      </c>
    </row>
    <row r="13892" ht="33.75" customHeight="1">
      <c r="A13892" s="7">
        <v>771.0</v>
      </c>
      <c r="B13892" s="9" t="s">
        <v>18856</v>
      </c>
      <c r="C13892" s="9" t="s">
        <v>1101</v>
      </c>
      <c r="D13892" s="9" t="s">
        <v>642</v>
      </c>
      <c r="E13892" s="6" t="s">
        <v>12672</v>
      </c>
      <c r="F13892" s="9" t="s">
        <v>20053</v>
      </c>
    </row>
    <row r="13893" ht="33.75" customHeight="1">
      <c r="A13893" s="7">
        <v>771.0</v>
      </c>
      <c r="B13893" s="9" t="s">
        <v>18856</v>
      </c>
      <c r="C13893" s="9" t="s">
        <v>1101</v>
      </c>
      <c r="D13893" s="9" t="s">
        <v>647</v>
      </c>
      <c r="E13893" s="6" t="s">
        <v>12674</v>
      </c>
      <c r="F13893" s="9" t="s">
        <v>20053</v>
      </c>
    </row>
    <row r="13894" ht="33.75" customHeight="1">
      <c r="A13894" s="7">
        <v>771.0</v>
      </c>
      <c r="B13894" s="9" t="s">
        <v>18856</v>
      </c>
      <c r="C13894" s="9" t="s">
        <v>1101</v>
      </c>
      <c r="D13894" s="9" t="s">
        <v>652</v>
      </c>
      <c r="E13894" s="6" t="s">
        <v>12677</v>
      </c>
      <c r="F13894" s="9" t="s">
        <v>20053</v>
      </c>
    </row>
    <row r="13895" ht="33.75" customHeight="1">
      <c r="A13895" s="7">
        <v>771.0</v>
      </c>
      <c r="B13895" s="9" t="s">
        <v>18856</v>
      </c>
      <c r="C13895" s="9" t="s">
        <v>1101</v>
      </c>
      <c r="D13895" s="9" t="s">
        <v>114</v>
      </c>
      <c r="E13895" s="6" t="s">
        <v>12679</v>
      </c>
      <c r="F13895" s="9" t="s">
        <v>20053</v>
      </c>
    </row>
    <row r="13896" ht="33.75" customHeight="1">
      <c r="A13896" s="7">
        <v>771.0</v>
      </c>
      <c r="B13896" s="9" t="s">
        <v>18856</v>
      </c>
      <c r="C13896" s="9" t="s">
        <v>1101</v>
      </c>
      <c r="D13896" s="9" t="s">
        <v>117</v>
      </c>
      <c r="E13896" s="6" t="s">
        <v>12681</v>
      </c>
      <c r="F13896" s="9" t="s">
        <v>20053</v>
      </c>
    </row>
    <row r="13897" ht="33.75" customHeight="1">
      <c r="A13897" s="7">
        <v>772.0</v>
      </c>
      <c r="B13897" s="9" t="s">
        <v>18864</v>
      </c>
      <c r="C13897" s="9" t="s">
        <v>1102</v>
      </c>
      <c r="D13897" s="9" t="s">
        <v>637</v>
      </c>
      <c r="E13897" s="6" t="s">
        <v>12682</v>
      </c>
      <c r="F13897" s="9" t="s">
        <v>20054</v>
      </c>
      <c r="G13897" t="inlineStr" s="6">
        <is>
          <t xml:space="preserve">The heavy control mask it wears suppresses Type: Null's intrinsic capabilities. This Pokémon has some hidden special power. Due to the danger that this synthetic Pokémon may go on a rampage, it wears a control mask to restrain its power. A Pokémon weapon developed for a specific mission, it went berserk during an experiment, so it was cryogenically frozen. There’s danger of its going on a rampage, so its true power is sealed away beneath its control mask. Rumor has it that the theft of top-secret research notes led to a new instance of this Pokémon being created in the Galar region. It was modeled after a mighty Pokémon of myth. The mask placed upon it limits its power in order to keep it under control.</t>
        </is>
      </c>
    </row>
    <row r="13898" ht="33.75" customHeight="1">
      <c r="A13898" s="7">
        <v>772.0</v>
      </c>
      <c r="B13898" s="9" t="s">
        <v>18864</v>
      </c>
      <c r="C13898" s="9" t="s">
        <v>1102</v>
      </c>
      <c r="D13898" s="9" t="s">
        <v>642</v>
      </c>
      <c r="E13898" s="6" t="s">
        <v>12684</v>
      </c>
      <c r="F13898" s="9" t="s">
        <v>20054</v>
      </c>
    </row>
    <row r="13899" ht="33.75" customHeight="1">
      <c r="A13899" s="7">
        <v>772.0</v>
      </c>
      <c r="B13899" s="9" t="s">
        <v>18864</v>
      </c>
      <c r="C13899" s="9" t="s">
        <v>1102</v>
      </c>
      <c r="D13899" s="9" t="s">
        <v>647</v>
      </c>
      <c r="E13899" s="6" t="s">
        <v>12686</v>
      </c>
      <c r="F13899" s="9" t="s">
        <v>20054</v>
      </c>
    </row>
    <row r="13900" ht="33.75" customHeight="1">
      <c r="A13900" s="7">
        <v>772.0</v>
      </c>
      <c r="B13900" s="9" t="s">
        <v>18864</v>
      </c>
      <c r="C13900" s="9" t="s">
        <v>1102</v>
      </c>
      <c r="D13900" s="9" t="s">
        <v>652</v>
      </c>
      <c r="E13900" s="6" t="s">
        <v>12687</v>
      </c>
      <c r="F13900" s="9" t="s">
        <v>20054</v>
      </c>
    </row>
    <row r="13901" ht="33.75" customHeight="1">
      <c r="A13901" s="7">
        <v>772.0</v>
      </c>
      <c r="B13901" s="9" t="s">
        <v>18864</v>
      </c>
      <c r="C13901" s="9" t="s">
        <v>1102</v>
      </c>
      <c r="D13901" s="9" t="s">
        <v>114</v>
      </c>
      <c r="E13901" s="6" t="s">
        <v>12689</v>
      </c>
      <c r="F13901" s="9" t="s">
        <v>20054</v>
      </c>
    </row>
    <row r="13902" ht="33.75" customHeight="1">
      <c r="A13902" s="7">
        <v>772.0</v>
      </c>
      <c r="B13902" s="9" t="s">
        <v>18864</v>
      </c>
      <c r="C13902" s="9" t="s">
        <v>1102</v>
      </c>
      <c r="D13902" s="9" t="s">
        <v>117</v>
      </c>
      <c r="E13902" s="6" t="s">
        <v>12691</v>
      </c>
      <c r="F13902" s="9" t="s">
        <v>20054</v>
      </c>
    </row>
    <row r="13903" ht="33.75" customHeight="1">
      <c r="A13903" s="7">
        <v>773.0</v>
      </c>
      <c r="B13903" s="9" t="s">
        <v>18873</v>
      </c>
      <c r="C13903" s="9" t="s">
        <v>1102</v>
      </c>
      <c r="D13903" s="9" t="s">
        <v>637</v>
      </c>
      <c r="E13903" s="6" t="s">
        <v>12692</v>
      </c>
      <c r="F13903" s="9" t="s">
        <v>20055</v>
      </c>
      <c r="G13903" t="inlineStr" s="6">
        <is>
          <t xml:space="preserve">Silvally's trust in its partner is what awakens it. This Pokémon is capable of changing its type, a flexibility that is well displayed in battle. Although its name was Type: Null at first, the boy who evolved it into this form gave it the name by which it is now known. This is its form once it has awakened and evolved. Freed from its heavy mask, its speed is greatly increased. Through the bond it formed with its Trainer, its will was strengthened, and it was able to destroy its control mask. A solid bond of trust between this Pokémon and its Trainer awakened the strength hidden within Silvally. It can change its type at will. The final factor needed to release this Pokémon’s true power was a strong bond with a Trainer it trusts.</t>
        </is>
      </c>
    </row>
    <row r="13904" ht="33.75" customHeight="1">
      <c r="A13904" s="7">
        <v>773.0</v>
      </c>
      <c r="B13904" s="9" t="s">
        <v>18873</v>
      </c>
      <c r="C13904" s="9" t="s">
        <v>1102</v>
      </c>
      <c r="D13904" s="9" t="s">
        <v>642</v>
      </c>
      <c r="E13904" s="6" t="s">
        <v>12693</v>
      </c>
      <c r="F13904" s="9" t="s">
        <v>20055</v>
      </c>
    </row>
    <row r="13905" ht="33.75" customHeight="1">
      <c r="A13905" s="7">
        <v>773.0</v>
      </c>
      <c r="B13905" s="9" t="s">
        <v>18873</v>
      </c>
      <c r="C13905" s="9" t="s">
        <v>1102</v>
      </c>
      <c r="D13905" s="9" t="s">
        <v>647</v>
      </c>
      <c r="E13905" s="6" t="s">
        <v>12694</v>
      </c>
      <c r="F13905" s="9" t="s">
        <v>20055</v>
      </c>
    </row>
    <row r="13906" ht="33.75" customHeight="1">
      <c r="A13906" s="7">
        <v>773.0</v>
      </c>
      <c r="B13906" s="9" t="s">
        <v>18873</v>
      </c>
      <c r="C13906" s="9" t="s">
        <v>1102</v>
      </c>
      <c r="D13906" s="9" t="s">
        <v>652</v>
      </c>
      <c r="E13906" s="6" t="s">
        <v>12695</v>
      </c>
      <c r="F13906" s="9" t="s">
        <v>20055</v>
      </c>
    </row>
    <row r="13907" ht="33.75" customHeight="1">
      <c r="A13907" s="7">
        <v>773.0</v>
      </c>
      <c r="B13907" s="9" t="s">
        <v>18873</v>
      </c>
      <c r="C13907" s="9" t="s">
        <v>1102</v>
      </c>
      <c r="D13907" s="9" t="s">
        <v>114</v>
      </c>
      <c r="E13907" s="6" t="s">
        <v>12696</v>
      </c>
      <c r="F13907" s="9" t="s">
        <v>20055</v>
      </c>
    </row>
    <row r="13908" ht="33.75" customHeight="1">
      <c r="A13908" s="7">
        <v>773.0</v>
      </c>
      <c r="B13908" s="9" t="s">
        <v>18873</v>
      </c>
      <c r="C13908" s="9" t="s">
        <v>1102</v>
      </c>
      <c r="D13908" s="9" t="s">
        <v>117</v>
      </c>
      <c r="E13908" s="6" t="s">
        <v>12697</v>
      </c>
      <c r="F13908" s="9" t="s">
        <v>20055</v>
      </c>
    </row>
    <row r="13909" ht="33.75" customHeight="1">
      <c r="A13909" s="7">
        <v>774.0</v>
      </c>
      <c r="B13909" s="9" t="s">
        <v>18880</v>
      </c>
      <c r="C13909" s="9" t="s">
        <v>1104</v>
      </c>
      <c r="D13909" s="9" t="s">
        <v>637</v>
      </c>
      <c r="E13909" s="6" t="s">
        <v>12698</v>
      </c>
      <c r="F13909" s="9" t="s">
        <v>20056</v>
      </c>
      <c r="G13909" t="inlineStr" s="6">
        <is>
          <t xml:space="preserve">Originally making Minior's home in the ozone layer, it hurtles to the ground when the shell enclosing its body grows too heavy. Strong impacts can knock it out of its shell. This Pokémon was born from mutated nanoparticles. It lives in the ozone layer, where it becomes food for stronger Pokémon. When it tries to run away, it falls to the ground. Although its outer shell is uncommonly durable, the shock of falling to the ground smashes the shell to smithereens.</t>
        </is>
      </c>
    </row>
    <row r="13910" ht="33.75" customHeight="1">
      <c r="A13910" s="7">
        <v>774.0</v>
      </c>
      <c r="B13910" s="9" t="s">
        <v>18880</v>
      </c>
      <c r="C13910" s="9" t="s">
        <v>1104</v>
      </c>
      <c r="D13910" s="9" t="s">
        <v>642</v>
      </c>
      <c r="E13910" s="6" t="s">
        <v>12700</v>
      </c>
      <c r="F13910" s="9" t="s">
        <v>20056</v>
      </c>
    </row>
    <row r="13911" ht="33.75" customHeight="1">
      <c r="A13911" s="7">
        <v>774.0</v>
      </c>
      <c r="B13911" s="9" t="s">
        <v>18880</v>
      </c>
      <c r="C13911" s="9" t="s">
        <v>1104</v>
      </c>
      <c r="D13911" s="9" t="s">
        <v>647</v>
      </c>
      <c r="E13911" s="6" t="s">
        <v>12701</v>
      </c>
      <c r="F13911" s="9" t="s">
        <v>20056</v>
      </c>
    </row>
    <row r="13912" ht="33.75" customHeight="1">
      <c r="A13912" s="7">
        <v>774.0</v>
      </c>
      <c r="B13912" s="9" t="s">
        <v>18880</v>
      </c>
      <c r="C13912" s="9" t="s">
        <v>1104</v>
      </c>
      <c r="D13912" s="9" t="s">
        <v>652</v>
      </c>
      <c r="E13912" s="6" t="s">
        <v>12702</v>
      </c>
      <c r="F13912" s="9" t="s">
        <v>20056</v>
      </c>
    </row>
    <row r="13913" ht="33.75" customHeight="1">
      <c r="A13913" s="7">
        <v>775.0</v>
      </c>
      <c r="B13913" s="9" t="s">
        <v>18886</v>
      </c>
      <c r="C13913" s="9" t="s">
        <v>790</v>
      </c>
      <c r="D13913" s="9" t="s">
        <v>637</v>
      </c>
      <c r="E13913" s="6" t="s">
        <v>12703</v>
      </c>
      <c r="F13913" s="9" t="s">
        <v>20057</v>
      </c>
      <c r="G13913" t="inlineStr" s="6">
        <is>
          <t xml:space="preserve">Komala is born asleep, and it dies asleep. All its movements are apparently no more than the results of it tossing and turning in its dreams. The log it holds was given to it by its parents at birth. It has also been known to cling to the arm of a friendly Trainer. It stays asleep from the moment it’s born. When it falls into a deep sleep, it stops moving altogether. It remains asleep from birth to death as a result of the sedative properties of the leaves that form its diet.</t>
        </is>
      </c>
    </row>
    <row r="13914" ht="33.75" customHeight="1">
      <c r="A13914" s="7">
        <v>775.0</v>
      </c>
      <c r="B13914" s="9" t="s">
        <v>18886</v>
      </c>
      <c r="C13914" s="9" t="s">
        <v>790</v>
      </c>
      <c r="D13914" s="9" t="s">
        <v>642</v>
      </c>
      <c r="E13914" s="6" t="s">
        <v>12704</v>
      </c>
      <c r="F13914" s="9" t="s">
        <v>20057</v>
      </c>
    </row>
    <row r="13915" ht="33.75" customHeight="1">
      <c r="A13915" s="7">
        <v>775.0</v>
      </c>
      <c r="B13915" s="9" t="s">
        <v>18886</v>
      </c>
      <c r="C13915" s="9" t="s">
        <v>790</v>
      </c>
      <c r="D13915" s="9" t="s">
        <v>647</v>
      </c>
      <c r="E13915" s="6" t="s">
        <v>12706</v>
      </c>
      <c r="F13915" s="9" t="s">
        <v>20057</v>
      </c>
    </row>
    <row r="13916" ht="33.75" customHeight="1">
      <c r="A13916" s="7">
        <v>775.0</v>
      </c>
      <c r="B13916" s="9" t="s">
        <v>18886</v>
      </c>
      <c r="C13916" s="9" t="s">
        <v>790</v>
      </c>
      <c r="D13916" s="9" t="s">
        <v>652</v>
      </c>
      <c r="E13916" s="6" t="s">
        <v>12707</v>
      </c>
      <c r="F13916" s="9" t="s">
        <v>20057</v>
      </c>
    </row>
    <row r="13917" ht="33.75" customHeight="1">
      <c r="A13917" s="7">
        <v>776.0</v>
      </c>
      <c r="B13917" s="9" t="s">
        <v>18891</v>
      </c>
      <c r="C13917" s="9" t="s">
        <v>1105</v>
      </c>
      <c r="D13917" s="9" t="s">
        <v>637</v>
      </c>
      <c r="E13917" s="6" t="s">
        <v>12708</v>
      </c>
      <c r="F13917" s="9" t="s">
        <v>20058</v>
      </c>
      <c r="G13917" t="inlineStr" s="6">
        <is>
          <t xml:space="preserve">The shell on Turtonator's back is chemically unstable and explodes violently if struck. The hole in its stomach is its weak point. It gushes fire and poisonous gases from its nostrils. Its dung is an explosive substance and can be put to various uses. It lives in volcanoes and eats sulfur and other minerals. Materials from the food it eats form the basis of its explosive shell. Its exploding shell poses a real danger but is sensitive to moisture. On rainy days, Turtonator takes silent refuge in caves. Explosive substances coat the shell on its back. Enemies that dare attack it will be blown away by an immense detonation. Eating sulfur in its volcanic habitat is what causes explosive compounds to develop in its shell. Its droppings are also dangerously explosive.</t>
        </is>
      </c>
    </row>
    <row r="13918" ht="33.75" customHeight="1">
      <c r="A13918" s="7">
        <v>776.0</v>
      </c>
      <c r="B13918" s="9" t="s">
        <v>18891</v>
      </c>
      <c r="C13918" s="9" t="s">
        <v>1105</v>
      </c>
      <c r="D13918" s="9" t="s">
        <v>642</v>
      </c>
      <c r="E13918" s="6" t="s">
        <v>12709</v>
      </c>
      <c r="F13918" s="9" t="s">
        <v>20058</v>
      </c>
    </row>
    <row r="13919" ht="33.75" customHeight="1">
      <c r="A13919" s="7">
        <v>776.0</v>
      </c>
      <c r="B13919" s="9" t="s">
        <v>18891</v>
      </c>
      <c r="C13919" s="9" t="s">
        <v>1105</v>
      </c>
      <c r="D13919" s="9" t="s">
        <v>647</v>
      </c>
      <c r="E13919" s="6" t="s">
        <v>12710</v>
      </c>
      <c r="F13919" s="9" t="s">
        <v>20058</v>
      </c>
    </row>
    <row r="13920" ht="33.75" customHeight="1">
      <c r="A13920" s="7">
        <v>776.0</v>
      </c>
      <c r="B13920" s="9" t="s">
        <v>18891</v>
      </c>
      <c r="C13920" s="9" t="s">
        <v>1105</v>
      </c>
      <c r="D13920" s="9" t="s">
        <v>652</v>
      </c>
      <c r="E13920" s="6" t="s">
        <v>12711</v>
      </c>
      <c r="F13920" s="9" t="s">
        <v>20058</v>
      </c>
    </row>
    <row r="13921" ht="33.75" customHeight="1">
      <c r="A13921" s="7">
        <v>776.0</v>
      </c>
      <c r="B13921" s="9" t="s">
        <v>18891</v>
      </c>
      <c r="C13921" s="9" t="s">
        <v>1105</v>
      </c>
      <c r="D13921" s="9" t="s">
        <v>114</v>
      </c>
      <c r="E13921" s="6" t="s">
        <v>12712</v>
      </c>
      <c r="F13921" s="9" t="s">
        <v>20058</v>
      </c>
    </row>
    <row r="13922" ht="33.75" customHeight="1">
      <c r="A13922" s="7">
        <v>776.0</v>
      </c>
      <c r="B13922" s="9" t="s">
        <v>18891</v>
      </c>
      <c r="C13922" s="9" t="s">
        <v>1105</v>
      </c>
      <c r="D13922" s="9" t="s">
        <v>117</v>
      </c>
      <c r="E13922" s="6" t="s">
        <v>12713</v>
      </c>
      <c r="F13922" s="9" t="s">
        <v>20058</v>
      </c>
    </row>
    <row r="13923" ht="33.75" customHeight="1">
      <c r="A13923" s="7">
        <v>777.0</v>
      </c>
      <c r="B13923" s="9" t="s">
        <v>18900</v>
      </c>
      <c r="C13923" s="9" t="s">
        <v>1106</v>
      </c>
      <c r="D13923" s="9" t="s">
        <v>637</v>
      </c>
      <c r="E13923" s="6" t="s">
        <v>12714</v>
      </c>
      <c r="F13923" s="9" t="s">
        <v>20059</v>
      </c>
      <c r="G13923" t="inlineStr" s="6">
        <is>
          <t xml:space="preserve">The spiny fur on Togedemaru's back is normally at rest. When this Pokémon becomes agitated, its fur stands on end and stabs into its attackers. The long hairs on its back act as lightning rods. The bolts of lightning it attracts are stored as energy in its electric sac. When it’s surprised or agitated, the 14 fur spikes on its back will stand up involuntarily. Its capacity to produce electricity is somewhat limited, so it gets charged up by letting lightning strike it! With the long hairs on its back, this Pokémon takes in electricity from other electric Pokémon. It stores what it absorbs in an electric sac. When it’s in trouble, it curls up into a ball, makes its fur spikes stand on end, and then discharges electricity indiscriminately.</t>
        </is>
      </c>
    </row>
    <row r="13924" ht="33.75" customHeight="1">
      <c r="A13924" s="7">
        <v>777.0</v>
      </c>
      <c r="B13924" s="9" t="s">
        <v>18900</v>
      </c>
      <c r="C13924" s="9" t="s">
        <v>1106</v>
      </c>
      <c r="D13924" s="9" t="s">
        <v>642</v>
      </c>
      <c r="E13924" s="6" t="s">
        <v>12716</v>
      </c>
      <c r="F13924" s="9" t="s">
        <v>20059</v>
      </c>
    </row>
    <row r="13925" ht="33.75" customHeight="1">
      <c r="A13925" s="7">
        <v>777.0</v>
      </c>
      <c r="B13925" s="9" t="s">
        <v>18900</v>
      </c>
      <c r="C13925" s="9" t="s">
        <v>1106</v>
      </c>
      <c r="D13925" s="9" t="s">
        <v>647</v>
      </c>
      <c r="E13925" s="6" t="s">
        <v>12717</v>
      </c>
      <c r="F13925" s="9" t="s">
        <v>20059</v>
      </c>
    </row>
    <row r="13926" ht="33.75" customHeight="1">
      <c r="A13926" s="7">
        <v>777.0</v>
      </c>
      <c r="B13926" s="9" t="s">
        <v>18900</v>
      </c>
      <c r="C13926" s="9" t="s">
        <v>1106</v>
      </c>
      <c r="D13926" s="9" t="s">
        <v>652</v>
      </c>
      <c r="E13926" s="6" t="s">
        <v>12718</v>
      </c>
      <c r="F13926" s="9" t="s">
        <v>20059</v>
      </c>
    </row>
    <row r="13927" ht="33.75" customHeight="1">
      <c r="A13927" s="7">
        <v>777.0</v>
      </c>
      <c r="B13927" s="9" t="s">
        <v>18900</v>
      </c>
      <c r="C13927" s="9" t="s">
        <v>1106</v>
      </c>
      <c r="D13927" s="9" t="s">
        <v>114</v>
      </c>
      <c r="E13927" s="6" t="s">
        <v>12719</v>
      </c>
      <c r="F13927" s="9" t="s">
        <v>20059</v>
      </c>
    </row>
    <row r="13928" ht="33.75" customHeight="1">
      <c r="A13928" s="7">
        <v>777.0</v>
      </c>
      <c r="B13928" s="9" t="s">
        <v>18900</v>
      </c>
      <c r="C13928" s="9" t="s">
        <v>1106</v>
      </c>
      <c r="D13928" s="9" t="s">
        <v>117</v>
      </c>
      <c r="E13928" s="6" t="s">
        <v>12720</v>
      </c>
      <c r="F13928" s="9" t="s">
        <v>20059</v>
      </c>
    </row>
    <row r="13929" ht="33.75" customHeight="1">
      <c r="A13929" s="7">
        <v>778.0</v>
      </c>
      <c r="B13929" s="9" t="s">
        <v>18908</v>
      </c>
      <c r="C13929" s="9" t="s">
        <v>1109</v>
      </c>
      <c r="D13929" s="9" t="s">
        <v>637</v>
      </c>
      <c r="E13929" s="6" t="s">
        <v>12722</v>
      </c>
      <c r="F13929" s="9" t="s">
        <v>20060</v>
      </c>
      <c r="G13929" t="inlineStr" s="6">
        <is>
          <t xml:space="preserve">Mimikyu's actual appearance is unknown. A scholar who saw what was under its rag was overwhelmed by terror and died from the shock. A lonely Pokémon, it conceals its terrifying appearance beneath an old rag so it can get closer to people and other Pokémon. Although it’s a quiet, lonely Pokémon, if you try to look at what’s under its rag, it will become agitated and resist violently. A gust of wind revealed what hides under this Pokémon’s rag to a passing Trainer, who went home and died painfully that very night. It wears a rag fashioned into a Pikachu costume in an effort to look less scary. Unfortunately, the costume only makes it creepier. There was a scientist who peeked under Mimikyu’s old rag in the name of research. The scientist died of a mysterious disease.</t>
        </is>
      </c>
    </row>
    <row r="13930" ht="33.75" customHeight="1">
      <c r="A13930" s="7">
        <v>778.0</v>
      </c>
      <c r="B13930" s="9" t="s">
        <v>18908</v>
      </c>
      <c r="C13930" s="9" t="s">
        <v>1109</v>
      </c>
      <c r="D13930" s="9" t="s">
        <v>642</v>
      </c>
      <c r="E13930" s="6" t="s">
        <v>12723</v>
      </c>
      <c r="F13930" s="9" t="s">
        <v>20060</v>
      </c>
    </row>
    <row r="13931" ht="33.75" customHeight="1">
      <c r="A13931" s="7">
        <v>778.0</v>
      </c>
      <c r="B13931" s="9" t="s">
        <v>18908</v>
      </c>
      <c r="C13931" s="9" t="s">
        <v>1109</v>
      </c>
      <c r="D13931" s="9" t="s">
        <v>647</v>
      </c>
      <c r="E13931" s="6" t="s">
        <v>12724</v>
      </c>
      <c r="F13931" s="9" t="s">
        <v>20060</v>
      </c>
    </row>
    <row r="13932" ht="33.75" customHeight="1">
      <c r="A13932" s="7">
        <v>778.0</v>
      </c>
      <c r="B13932" s="9" t="s">
        <v>18908</v>
      </c>
      <c r="C13932" s="9" t="s">
        <v>1109</v>
      </c>
      <c r="D13932" s="9" t="s">
        <v>652</v>
      </c>
      <c r="E13932" s="6" t="s">
        <v>12726</v>
      </c>
      <c r="F13932" s="9" t="s">
        <v>20060</v>
      </c>
    </row>
    <row r="13933" ht="33.75" customHeight="1">
      <c r="A13933" s="7">
        <v>778.0</v>
      </c>
      <c r="B13933" s="9" t="s">
        <v>18908</v>
      </c>
      <c r="C13933" s="9" t="s">
        <v>1109</v>
      </c>
      <c r="D13933" s="9" t="s">
        <v>114</v>
      </c>
      <c r="E13933" s="6" t="s">
        <v>12727</v>
      </c>
      <c r="F13933" s="9" t="s">
        <v>20060</v>
      </c>
    </row>
    <row r="13934" ht="33.75" customHeight="1">
      <c r="A13934" s="7">
        <v>778.0</v>
      </c>
      <c r="B13934" s="9" t="s">
        <v>18908</v>
      </c>
      <c r="C13934" s="9" t="s">
        <v>1109</v>
      </c>
      <c r="D13934" s="9" t="s">
        <v>117</v>
      </c>
      <c r="E13934" s="6" t="s">
        <v>12729</v>
      </c>
      <c r="F13934" s="9" t="s">
        <v>20060</v>
      </c>
    </row>
    <row r="13935" ht="33.75" customHeight="1">
      <c r="A13935" s="7">
        <v>779.0</v>
      </c>
      <c r="B13935" s="9" t="s">
        <v>18916</v>
      </c>
      <c r="C13935" s="9" t="s">
        <v>1110</v>
      </c>
      <c r="D13935" s="9" t="s">
        <v>637</v>
      </c>
      <c r="E13935" s="6" t="s">
        <v>12733</v>
      </c>
      <c r="F13935" s="9" t="s">
        <v>20061</v>
      </c>
      <c r="G13935" t="inlineStr" s="6">
        <is>
          <t xml:space="preserve">When it unleashes Bruxish's psychic power from the protuberance on its head, the grating sound of grinding teeth echoes through the area. It stuns its prey with psychokinesis and then grinds them to mush with its strong teeth. Even Shellder’s shell is no match for it. It burrows beneath the sand, radiating psychic power from the protuberance on its head. It waits for prey as it surveys the area. Its skin is thick enough to fend off Mareanie’s spikes. With its robust teeth, Bruxish crunches up the spikes and eats them.</t>
        </is>
      </c>
    </row>
    <row r="13936" ht="33.75" customHeight="1">
      <c r="A13936" s="7">
        <v>779.0</v>
      </c>
      <c r="B13936" s="9" t="s">
        <v>18916</v>
      </c>
      <c r="C13936" s="9" t="s">
        <v>1110</v>
      </c>
      <c r="D13936" s="9" t="s">
        <v>642</v>
      </c>
      <c r="E13936" s="6" t="s">
        <v>12734</v>
      </c>
      <c r="F13936" s="9" t="s">
        <v>20061</v>
      </c>
    </row>
    <row r="13937" ht="33.75" customHeight="1">
      <c r="A13937" s="7">
        <v>779.0</v>
      </c>
      <c r="B13937" s="9" t="s">
        <v>18916</v>
      </c>
      <c r="C13937" s="9" t="s">
        <v>1110</v>
      </c>
      <c r="D13937" s="9" t="s">
        <v>647</v>
      </c>
      <c r="E13937" s="6" t="s">
        <v>12736</v>
      </c>
      <c r="F13937" s="9" t="s">
        <v>20061</v>
      </c>
    </row>
    <row r="13938" ht="33.75" customHeight="1">
      <c r="A13938" s="7">
        <v>779.0</v>
      </c>
      <c r="B13938" s="9" t="s">
        <v>18916</v>
      </c>
      <c r="C13938" s="9" t="s">
        <v>1110</v>
      </c>
      <c r="D13938" s="9" t="s">
        <v>652</v>
      </c>
      <c r="E13938" s="6" t="s">
        <v>12737</v>
      </c>
      <c r="F13938" s="9" t="s">
        <v>20061</v>
      </c>
    </row>
    <row r="13939" ht="33.75" customHeight="1">
      <c r="A13939" s="7">
        <v>780.0</v>
      </c>
      <c r="B13939" s="9" t="s">
        <v>18922</v>
      </c>
      <c r="C13939" s="9" t="s">
        <v>1111</v>
      </c>
      <c r="D13939" s="9" t="s">
        <v>637</v>
      </c>
      <c r="E13939" s="6" t="s">
        <v>12738</v>
      </c>
      <c r="F13939" s="9" t="s">
        <v>20062</v>
      </c>
      <c r="G13939" t="inlineStr" s="6">
        <is>
          <t xml:space="preserve">It has a compassionate personality, but if it is angered, it completely destroys Drampa's surroundings with its intense breath. This Pokémon is friendly to people and loves children most of all. It comes from deep in the mountains to play with children it likes in town. If a child it has made friends with is bullied, Drampa will find the bully’s house and burn it to the ground. It appears in towns and plays with the children. Drampa will protect kids when they’re in danger, so their moms don’t have to worry. The mountains it calls home are nearly two miles in height. On rare occasions, it descends to play with the children living in the towns below. Drampa is a kind and friendly Pokémon—up until it’s angered. When that happens, it stirs up a gale and flattens everything around.</t>
        </is>
      </c>
    </row>
    <row r="13940" ht="33.75" customHeight="1">
      <c r="A13940" s="7">
        <v>780.0</v>
      </c>
      <c r="B13940" s="9" t="s">
        <v>18922</v>
      </c>
      <c r="C13940" s="9" t="s">
        <v>1111</v>
      </c>
      <c r="D13940" s="9" t="s">
        <v>642</v>
      </c>
      <c r="E13940" s="6" t="s">
        <v>12740</v>
      </c>
      <c r="F13940" s="9" t="s">
        <v>20062</v>
      </c>
    </row>
    <row r="13941" ht="33.75" customHeight="1">
      <c r="A13941" s="7">
        <v>780.0</v>
      </c>
      <c r="B13941" s="9" t="s">
        <v>18922</v>
      </c>
      <c r="C13941" s="9" t="s">
        <v>1111</v>
      </c>
      <c r="D13941" s="9" t="s">
        <v>647</v>
      </c>
      <c r="E13941" s="6" t="s">
        <v>12741</v>
      </c>
      <c r="F13941" s="9" t="s">
        <v>20062</v>
      </c>
    </row>
    <row r="13942" ht="33.75" customHeight="1">
      <c r="A13942" s="7">
        <v>780.0</v>
      </c>
      <c r="B13942" s="9" t="s">
        <v>18922</v>
      </c>
      <c r="C13942" s="9" t="s">
        <v>1111</v>
      </c>
      <c r="D13942" s="9" t="s">
        <v>652</v>
      </c>
      <c r="E13942" s="6" t="s">
        <v>12743</v>
      </c>
      <c r="F13942" s="9" t="s">
        <v>20062</v>
      </c>
    </row>
    <row r="13943" ht="33.75" customHeight="1">
      <c r="A13943" s="7">
        <v>780.0</v>
      </c>
      <c r="B13943" s="9" t="s">
        <v>18922</v>
      </c>
      <c r="C13943" s="9" t="s">
        <v>1111</v>
      </c>
      <c r="D13943" s="9" t="s">
        <v>114</v>
      </c>
      <c r="E13943" s="6" t="s">
        <v>12744</v>
      </c>
      <c r="F13943" s="9" t="s">
        <v>20062</v>
      </c>
    </row>
    <row r="13944" ht="33.75" customHeight="1">
      <c r="A13944" s="7">
        <v>780.0</v>
      </c>
      <c r="B13944" s="9" t="s">
        <v>18922</v>
      </c>
      <c r="C13944" s="9" t="s">
        <v>1111</v>
      </c>
      <c r="D13944" s="9" t="s">
        <v>117</v>
      </c>
      <c r="E13944" s="6" t="s">
        <v>12745</v>
      </c>
      <c r="F13944" s="9" t="s">
        <v>20062</v>
      </c>
    </row>
    <row r="13945" ht="33.75" customHeight="1">
      <c r="A13945" s="7">
        <v>781.0</v>
      </c>
      <c r="B13945" s="9" t="s">
        <v>18931</v>
      </c>
      <c r="C13945" s="9" t="s">
        <v>1113</v>
      </c>
      <c r="D13945" s="9" t="s">
        <v>637</v>
      </c>
      <c r="E13945" s="6" t="s">
        <v>12746</v>
      </c>
      <c r="F13945" s="9" t="s">
        <v>20063</v>
      </c>
      <c r="G13945" t="inlineStr" s="6">
        <is>
          <t xml:space="preserve">Swinging Dhelmise's massive anchor, it can KO Wailord in a single blow. What appears to be green seaweed is actually its body. The soul of seaweed adrift in the waves became reborn as this Pokémon. It maintains itself with new infusions of seabed detritus and seaweed. It wraps its prey in green seaweed and sucks away their vitality. It only likes to go after big prey like Wailord. Its chain-like green seaweed can stretch outward for hundreds of yards. For some reason, it gets along well with Skrelp. After a piece of seaweed merged with debris from a sunken ship, it was reborn as this ghost Pokémon. After lowering its anchor, it waits for its prey. It catches large Wailord and drains their life-force.</t>
        </is>
      </c>
    </row>
    <row r="13946" ht="33.75" customHeight="1">
      <c r="A13946" s="7">
        <v>781.0</v>
      </c>
      <c r="B13946" s="9" t="s">
        <v>18931</v>
      </c>
      <c r="C13946" s="9" t="s">
        <v>1113</v>
      </c>
      <c r="D13946" s="9" t="s">
        <v>642</v>
      </c>
      <c r="E13946" s="6" t="s">
        <v>12747</v>
      </c>
      <c r="F13946" s="9" t="s">
        <v>20063</v>
      </c>
    </row>
    <row r="13947" ht="33.75" customHeight="1">
      <c r="A13947" s="7">
        <v>781.0</v>
      </c>
      <c r="B13947" s="9" t="s">
        <v>18931</v>
      </c>
      <c r="C13947" s="9" t="s">
        <v>1113</v>
      </c>
      <c r="D13947" s="9" t="s">
        <v>647</v>
      </c>
      <c r="E13947" s="6" t="s">
        <v>12749</v>
      </c>
      <c r="F13947" s="9" t="s">
        <v>20063</v>
      </c>
    </row>
    <row r="13948" ht="33.75" customHeight="1">
      <c r="A13948" s="7">
        <v>781.0</v>
      </c>
      <c r="B13948" s="9" t="s">
        <v>18931</v>
      </c>
      <c r="C13948" s="9" t="s">
        <v>1113</v>
      </c>
      <c r="D13948" s="9" t="s">
        <v>652</v>
      </c>
      <c r="E13948" s="6" t="s">
        <v>12750</v>
      </c>
      <c r="F13948" s="9" t="s">
        <v>20063</v>
      </c>
    </row>
    <row r="13949" ht="33.75" customHeight="1">
      <c r="A13949" s="7">
        <v>781.0</v>
      </c>
      <c r="B13949" s="9" t="s">
        <v>18931</v>
      </c>
      <c r="C13949" s="9" t="s">
        <v>1113</v>
      </c>
      <c r="D13949" s="9" t="s">
        <v>114</v>
      </c>
      <c r="E13949" s="6" t="s">
        <v>12751</v>
      </c>
      <c r="F13949" s="9" t="s">
        <v>20063</v>
      </c>
    </row>
    <row r="13950" ht="33.75" customHeight="1">
      <c r="A13950" s="7">
        <v>781.0</v>
      </c>
      <c r="B13950" s="9" t="s">
        <v>18931</v>
      </c>
      <c r="C13950" s="9" t="s">
        <v>1113</v>
      </c>
      <c r="D13950" s="9" t="s">
        <v>117</v>
      </c>
      <c r="E13950" s="6" t="s">
        <v>12752</v>
      </c>
      <c r="F13950" s="9" t="s">
        <v>20063</v>
      </c>
    </row>
    <row r="13951" ht="33.75" customHeight="1">
      <c r="A13951" s="7">
        <v>782.0</v>
      </c>
      <c r="B13951" s="9" t="s">
        <v>18939</v>
      </c>
      <c r="C13951" s="9" t="s">
        <v>1114</v>
      </c>
      <c r="D13951" s="9" t="s">
        <v>637</v>
      </c>
      <c r="E13951" s="6" t="s">
        <v>12753</v>
      </c>
      <c r="F13951" s="9" t="s">
        <v>20064</v>
      </c>
      <c r="G13951" t="inlineStr" s="6">
        <is>
          <t xml:space="preserve">It expresses Jangmo-o's feelings by smacking its scales. Metallic sounds echo through the tall mountains where Jangmo-o lives. They live in mountains where no trace of humans can be detected. Jangmo-o grow little by little as they battle one another. It smacks the scales on its head against rocks or against the ground to frighten its opponents. It can also contact its friends with these noises. It will never show an enemy its back in battle. Ancient warriors liked Jangmo-o for its valiant disposition and made it one of their own. They learn to fight by smashing their head scales together. The dueling strengthens both their skills and their spirits. Jangmo-o strikes its scales to communicate with others of its kind. Its scales are actually fur that’s become as hard as metal.</t>
        </is>
      </c>
    </row>
    <row r="13952" ht="33.75" customHeight="1">
      <c r="A13952" s="7">
        <v>782.0</v>
      </c>
      <c r="B13952" s="9" t="s">
        <v>18939</v>
      </c>
      <c r="C13952" s="9" t="s">
        <v>1114</v>
      </c>
      <c r="D13952" s="9" t="s">
        <v>642</v>
      </c>
      <c r="E13952" s="6" t="s">
        <v>12754</v>
      </c>
      <c r="F13952" s="9" t="s">
        <v>20064</v>
      </c>
    </row>
    <row r="13953" ht="33.75" customHeight="1">
      <c r="A13953" s="7">
        <v>782.0</v>
      </c>
      <c r="B13953" s="9" t="s">
        <v>18939</v>
      </c>
      <c r="C13953" s="9" t="s">
        <v>1114</v>
      </c>
      <c r="D13953" s="9" t="s">
        <v>647</v>
      </c>
      <c r="E13953" s="6" t="s">
        <v>12755</v>
      </c>
      <c r="F13953" s="9" t="s">
        <v>20064</v>
      </c>
    </row>
    <row r="13954" ht="33.75" customHeight="1">
      <c r="A13954" s="7">
        <v>782.0</v>
      </c>
      <c r="B13954" s="9" t="s">
        <v>18939</v>
      </c>
      <c r="C13954" s="9" t="s">
        <v>1114</v>
      </c>
      <c r="D13954" s="9" t="s">
        <v>652</v>
      </c>
      <c r="E13954" s="6" t="s">
        <v>12756</v>
      </c>
      <c r="F13954" s="9" t="s">
        <v>20064</v>
      </c>
    </row>
    <row r="13955" ht="33.75" customHeight="1">
      <c r="A13955" s="7">
        <v>782.0</v>
      </c>
      <c r="B13955" s="9" t="s">
        <v>18939</v>
      </c>
      <c r="C13955" s="9" t="s">
        <v>1114</v>
      </c>
      <c r="D13955" s="9" t="s">
        <v>114</v>
      </c>
      <c r="E13955" s="6" t="s">
        <v>12758</v>
      </c>
      <c r="F13955" s="9" t="s">
        <v>20064</v>
      </c>
    </row>
    <row r="13956" ht="33.75" customHeight="1">
      <c r="A13956" s="7">
        <v>782.0</v>
      </c>
      <c r="B13956" s="9" t="s">
        <v>18939</v>
      </c>
      <c r="C13956" s="9" t="s">
        <v>1114</v>
      </c>
      <c r="D13956" s="9" t="s">
        <v>117</v>
      </c>
      <c r="E13956" s="6" t="s">
        <v>12759</v>
      </c>
      <c r="F13956" s="9" t="s">
        <v>20064</v>
      </c>
    </row>
    <row r="13957" ht="33.75" customHeight="1">
      <c r="A13957" s="7">
        <v>783.0</v>
      </c>
      <c r="B13957" s="9" t="s">
        <v>18947</v>
      </c>
      <c r="C13957" s="9" t="s">
        <v>1114</v>
      </c>
      <c r="D13957" s="9" t="s">
        <v>637</v>
      </c>
      <c r="E13957" s="6" t="s">
        <v>12760</v>
      </c>
      <c r="F13957" s="9" t="s">
        <v>20065</v>
      </c>
      <c r="G13957" t="inlineStr" s="6">
        <is>
          <t xml:space="preserve">It leaps at Hakamo-o's prey with a courageous shout. Its scaly punches tear its opponents to shreds. It sheds and regrows its scales on a continuous basis. The scales become harder and sharper each time they’re regrown. It makes noise by clanging its scales together. When the rhythm has reached its peak, Hakamo-o attacks. The scales it sheds can be molded and processed to make pots and pans. They conduct heat well, so they’re a popular item. The scaleless, scarred parts of its body are signs of its strength. It shows them off to defeated opponents. Before attacking its enemies, it clashes its scales together and roars. Its sharp claws shred the opposition.</t>
        </is>
      </c>
    </row>
    <row r="13958" ht="33.75" customHeight="1">
      <c r="A13958" s="7">
        <v>783.0</v>
      </c>
      <c r="B13958" s="9" t="s">
        <v>18947</v>
      </c>
      <c r="C13958" s="9" t="s">
        <v>1114</v>
      </c>
      <c r="D13958" s="9" t="s">
        <v>642</v>
      </c>
      <c r="E13958" s="6" t="s">
        <v>12762</v>
      </c>
      <c r="F13958" s="9" t="s">
        <v>20065</v>
      </c>
    </row>
    <row r="13959" ht="33.75" customHeight="1">
      <c r="A13959" s="7">
        <v>783.0</v>
      </c>
      <c r="B13959" s="9" t="s">
        <v>18947</v>
      </c>
      <c r="C13959" s="9" t="s">
        <v>1114</v>
      </c>
      <c r="D13959" s="9" t="s">
        <v>647</v>
      </c>
      <c r="E13959" s="6" t="s">
        <v>12763</v>
      </c>
      <c r="F13959" s="9" t="s">
        <v>20065</v>
      </c>
    </row>
    <row r="13960" ht="33.75" customHeight="1">
      <c r="A13960" s="7">
        <v>783.0</v>
      </c>
      <c r="B13960" s="9" t="s">
        <v>18947</v>
      </c>
      <c r="C13960" s="9" t="s">
        <v>1114</v>
      </c>
      <c r="D13960" s="9" t="s">
        <v>652</v>
      </c>
      <c r="E13960" s="6" t="s">
        <v>12764</v>
      </c>
      <c r="F13960" s="9" t="s">
        <v>20065</v>
      </c>
    </row>
    <row r="13961" ht="33.75" customHeight="1">
      <c r="A13961" s="7">
        <v>783.0</v>
      </c>
      <c r="B13961" s="9" t="s">
        <v>18947</v>
      </c>
      <c r="C13961" s="9" t="s">
        <v>1114</v>
      </c>
      <c r="D13961" s="9" t="s">
        <v>114</v>
      </c>
      <c r="E13961" s="6" t="s">
        <v>12765</v>
      </c>
      <c r="F13961" s="9" t="s">
        <v>20065</v>
      </c>
    </row>
    <row r="13962" ht="33.75" customHeight="1">
      <c r="A13962" s="7">
        <v>783.0</v>
      </c>
      <c r="B13962" s="9" t="s">
        <v>18947</v>
      </c>
      <c r="C13962" s="9" t="s">
        <v>1114</v>
      </c>
      <c r="D13962" s="9" t="s">
        <v>117</v>
      </c>
      <c r="E13962" s="6" t="s">
        <v>12766</v>
      </c>
      <c r="F13962" s="9" t="s">
        <v>20065</v>
      </c>
    </row>
    <row r="13963" ht="33.75" customHeight="1">
      <c r="A13963" s="7">
        <v>784.0</v>
      </c>
      <c r="B13963" s="9" t="s">
        <v>18954</v>
      </c>
      <c r="C13963" s="9" t="s">
        <v>1114</v>
      </c>
      <c r="D13963" s="9" t="s">
        <v>637</v>
      </c>
      <c r="E13963" s="6" t="s">
        <v>12767</v>
      </c>
      <c r="F13963" s="9" t="s">
        <v>20066</v>
      </c>
      <c r="G13963" t="inlineStr" s="6">
        <is>
          <t xml:space="preserve">When it spots enemies, it threatens them by jingling the scales on Kommo-o's tail. Weak opponents will crack and flee in panic. Its rigid scales function as offense and defense. In the past, its scales were processed and used to make weapons and other commodities. When it howls after finishing off its prey, the metallic sounds of its celebrating comrades can be heard from all around. It battles valiantly with its fists, which are armored in steel scales. Kommo-o specializes in uppercuts. It clatters its tail scales to unnerve opponents. This Pokémon will battle only those who stand steadfast in the face of this display. Certain ruins have paintings of ancient warriors wearing armor made of Kommo-o scales.</t>
        </is>
      </c>
    </row>
    <row r="13964" ht="33.75" customHeight="1">
      <c r="A13964" s="7">
        <v>784.0</v>
      </c>
      <c r="B13964" s="9" t="s">
        <v>18954</v>
      </c>
      <c r="C13964" s="9" t="s">
        <v>1114</v>
      </c>
      <c r="D13964" s="9" t="s">
        <v>642</v>
      </c>
      <c r="E13964" s="6" t="s">
        <v>12768</v>
      </c>
      <c r="F13964" s="9" t="s">
        <v>20066</v>
      </c>
    </row>
    <row r="13965" ht="33.75" customHeight="1">
      <c r="A13965" s="7">
        <v>784.0</v>
      </c>
      <c r="B13965" s="9" t="s">
        <v>18954</v>
      </c>
      <c r="C13965" s="9" t="s">
        <v>1114</v>
      </c>
      <c r="D13965" s="9" t="s">
        <v>647</v>
      </c>
      <c r="E13965" s="6" t="s">
        <v>12770</v>
      </c>
      <c r="F13965" s="9" t="s">
        <v>20066</v>
      </c>
    </row>
    <row r="13966" ht="33.75" customHeight="1">
      <c r="A13966" s="7">
        <v>784.0</v>
      </c>
      <c r="B13966" s="9" t="s">
        <v>18954</v>
      </c>
      <c r="C13966" s="9" t="s">
        <v>1114</v>
      </c>
      <c r="D13966" s="9" t="s">
        <v>652</v>
      </c>
      <c r="E13966" s="6" t="s">
        <v>12771</v>
      </c>
      <c r="F13966" s="9" t="s">
        <v>20066</v>
      </c>
    </row>
    <row r="13967" ht="33.75" customHeight="1">
      <c r="A13967" s="7">
        <v>784.0</v>
      </c>
      <c r="B13967" s="9" t="s">
        <v>18954</v>
      </c>
      <c r="C13967" s="9" t="s">
        <v>1114</v>
      </c>
      <c r="D13967" s="9" t="s">
        <v>114</v>
      </c>
      <c r="E13967" s="6" t="s">
        <v>12772</v>
      </c>
      <c r="F13967" s="9" t="s">
        <v>20066</v>
      </c>
    </row>
    <row r="13968" ht="33.75" customHeight="1">
      <c r="A13968" s="7">
        <v>784.0</v>
      </c>
      <c r="B13968" s="9" t="s">
        <v>18954</v>
      </c>
      <c r="C13968" s="9" t="s">
        <v>1114</v>
      </c>
      <c r="D13968" s="9" t="s">
        <v>117</v>
      </c>
      <c r="E13968" s="6" t="s">
        <v>12773</v>
      </c>
      <c r="F13968" s="9" t="s">
        <v>20066</v>
      </c>
    </row>
    <row r="13969" ht="33.75" customHeight="1">
      <c r="A13969" s="7">
        <v>785.0</v>
      </c>
      <c r="B13969" s="9" t="s">
        <v>18962</v>
      </c>
      <c r="C13969" s="9" t="s">
        <v>1116</v>
      </c>
      <c r="D13969" s="9" t="s">
        <v>637</v>
      </c>
      <c r="E13969" s="6" t="s">
        <v>12774</v>
      </c>
      <c r="F13969" s="9" t="s">
        <v>20067</v>
      </c>
      <c r="G13969" t="inlineStr" s="6">
        <is>
          <t xml:space="preserve">This guardian deity of Melemele is brimming with curiosity. It summons thunderclouds and stores their lightning inside its body. It confuses its enemies by flying too quickly for the eye to follow. It has a hair-trigger temper but forgets what made it angry an instant later. Although it’s called a guardian deity, if a person or Pokémon puts it in a bad mood, it will become a malevolent deity and attack. The lightning-wielding guardian deity of Melemele, Tapu Koko is brimming with curiosity and appears before people from time to time.</t>
        </is>
      </c>
    </row>
    <row r="13970" ht="33.75" customHeight="1">
      <c r="A13970" s="7">
        <v>785.0</v>
      </c>
      <c r="B13970" s="9" t="s">
        <v>18962</v>
      </c>
      <c r="C13970" s="9" t="s">
        <v>1116</v>
      </c>
      <c r="D13970" s="9" t="s">
        <v>642</v>
      </c>
      <c r="E13970" s="6" t="s">
        <v>12775</v>
      </c>
      <c r="F13970" s="9" t="s">
        <v>20067</v>
      </c>
    </row>
    <row r="13971" ht="33.75" customHeight="1">
      <c r="A13971" s="7">
        <v>785.0</v>
      </c>
      <c r="B13971" s="9" t="s">
        <v>18962</v>
      </c>
      <c r="C13971" s="9" t="s">
        <v>1116</v>
      </c>
      <c r="D13971" s="9" t="s">
        <v>647</v>
      </c>
      <c r="E13971" s="6" t="s">
        <v>12776</v>
      </c>
      <c r="F13971" s="9" t="s">
        <v>20067</v>
      </c>
    </row>
    <row r="13972" ht="33.75" customHeight="1">
      <c r="A13972" s="7">
        <v>785.0</v>
      </c>
      <c r="B13972" s="9" t="s">
        <v>18962</v>
      </c>
      <c r="C13972" s="9" t="s">
        <v>1116</v>
      </c>
      <c r="D13972" s="9" t="s">
        <v>652</v>
      </c>
      <c r="E13972" s="6" t="s">
        <v>12778</v>
      </c>
      <c r="F13972" s="9" t="s">
        <v>20067</v>
      </c>
    </row>
    <row r="13973" ht="33.75" customHeight="1">
      <c r="A13973" s="7">
        <v>786.0</v>
      </c>
      <c r="B13973" s="9" t="s">
        <v>18968</v>
      </c>
      <c r="C13973" s="9" t="s">
        <v>1116</v>
      </c>
      <c r="D13973" s="9" t="s">
        <v>637</v>
      </c>
      <c r="E13973" s="6" t="s">
        <v>12779</v>
      </c>
      <c r="F13973" s="9" t="s">
        <v>20068</v>
      </c>
      <c r="G13973" t="inlineStr" s="6">
        <is>
          <t xml:space="preserve">This guardian deity of Akala is guilelessly cruel. The fragrant aroma of flowers is the source of its energy. As it flutters about, it scatters its strangely glowing scales. Touching them is said to restore good health on the spot. It heals the wounds of people and Pokémon by sprinkling them with its sparkling scales. This guardian deity is worshiped on Akala. Although called a guardian deity, Tapu Lele is devoid of guilt about its cruel disposition and can be described as nature incarnate.</t>
        </is>
      </c>
    </row>
    <row r="13974" ht="33.75" customHeight="1">
      <c r="A13974" s="7">
        <v>786.0</v>
      </c>
      <c r="B13974" s="9" t="s">
        <v>18968</v>
      </c>
      <c r="C13974" s="9" t="s">
        <v>1116</v>
      </c>
      <c r="D13974" s="9" t="s">
        <v>642</v>
      </c>
      <c r="E13974" s="6" t="s">
        <v>12780</v>
      </c>
      <c r="F13974" s="9" t="s">
        <v>20068</v>
      </c>
    </row>
    <row r="13975" ht="33.75" customHeight="1">
      <c r="A13975" s="7">
        <v>786.0</v>
      </c>
      <c r="B13975" s="9" t="s">
        <v>18968</v>
      </c>
      <c r="C13975" s="9" t="s">
        <v>1116</v>
      </c>
      <c r="D13975" s="9" t="s">
        <v>647</v>
      </c>
      <c r="E13975" s="6" t="s">
        <v>12781</v>
      </c>
      <c r="F13975" s="9" t="s">
        <v>20068</v>
      </c>
    </row>
    <row r="13976" ht="33.75" customHeight="1">
      <c r="A13976" s="7">
        <v>786.0</v>
      </c>
      <c r="B13976" s="9" t="s">
        <v>18968</v>
      </c>
      <c r="C13976" s="9" t="s">
        <v>1116</v>
      </c>
      <c r="D13976" s="9" t="s">
        <v>652</v>
      </c>
      <c r="E13976" s="6" t="s">
        <v>12783</v>
      </c>
      <c r="F13976" s="9" t="s">
        <v>20068</v>
      </c>
    </row>
    <row r="13977" ht="33.75" customHeight="1">
      <c r="A13977" s="7">
        <v>787.0</v>
      </c>
      <c r="B13977" s="9" t="s">
        <v>18973</v>
      </c>
      <c r="C13977" s="9" t="s">
        <v>1116</v>
      </c>
      <c r="D13977" s="9" t="s">
        <v>637</v>
      </c>
      <c r="E13977" s="6" t="s">
        <v>12784</v>
      </c>
      <c r="F13977" s="9" t="s">
        <v>20069</v>
      </c>
      <c r="G13977" t="inlineStr" s="6">
        <is>
          <t xml:space="preserve">It pulls large trees up by the roots and swings them around. It causes vegetation to grow, and then it absorbs energy from the growth. The guardian deity of Ula’ula is a lazy Pokémon. It commands plants to immobilize its foes and then deals them a savage blow with its horns. Although it’s called a guardian deity, it’s violent enough to crush anyone it sees as an enemy. It makes ringing sounds with its tail to let others know where it is, avoiding unneeded conflicts. This guardian deity of Ula’ula controls plants.</t>
        </is>
      </c>
    </row>
    <row r="13978" ht="33.75" customHeight="1">
      <c r="A13978" s="7">
        <v>787.0</v>
      </c>
      <c r="B13978" s="9" t="s">
        <v>18973</v>
      </c>
      <c r="C13978" s="9" t="s">
        <v>1116</v>
      </c>
      <c r="D13978" s="9" t="s">
        <v>642</v>
      </c>
      <c r="E13978" s="6" t="s">
        <v>12786</v>
      </c>
      <c r="F13978" s="9" t="s">
        <v>20069</v>
      </c>
    </row>
    <row r="13979" ht="33.75" customHeight="1">
      <c r="A13979" s="7">
        <v>787.0</v>
      </c>
      <c r="B13979" s="9" t="s">
        <v>18973</v>
      </c>
      <c r="C13979" s="9" t="s">
        <v>1116</v>
      </c>
      <c r="D13979" s="9" t="s">
        <v>647</v>
      </c>
      <c r="E13979" s="6" t="s">
        <v>12790</v>
      </c>
      <c r="F13979" s="9" t="s">
        <v>20069</v>
      </c>
    </row>
    <row r="13980" ht="33.75" customHeight="1">
      <c r="A13980" s="7">
        <v>787.0</v>
      </c>
      <c r="B13980" s="9" t="s">
        <v>18973</v>
      </c>
      <c r="C13980" s="9" t="s">
        <v>1116</v>
      </c>
      <c r="D13980" s="9" t="s">
        <v>652</v>
      </c>
      <c r="E13980" s="6" t="s">
        <v>12791</v>
      </c>
      <c r="F13980" s="9" t="s">
        <v>20069</v>
      </c>
    </row>
    <row r="13981" ht="33.75" customHeight="1">
      <c r="A13981" s="7">
        <v>788.0</v>
      </c>
      <c r="B13981" s="9" t="s">
        <v>18978</v>
      </c>
      <c r="C13981" s="9" t="s">
        <v>1116</v>
      </c>
      <c r="D13981" s="9" t="s">
        <v>637</v>
      </c>
      <c r="E13981" s="6" t="s">
        <v>12793</v>
      </c>
      <c r="F13981" s="9" t="s">
        <v>20070</v>
      </c>
      <c r="G13981" t="inlineStr" s="6">
        <is>
          <t xml:space="preserve">The dense fog it creates brings the downfall and destruction of Tapu Fini's confused enemies. Ocean currents are the source of its energy. The guardian deity of Poni, it can control water. People say it can create pure water that will wash away any uncleanness. This guardian deity of Poni Island manipulates water. Because it lives deep within a thick fog, it came to be both feared and revered. Although it’s called a guardian deity, terrible calamities sometimes befall those who recklessly approach Tapu Fini.</t>
        </is>
      </c>
    </row>
    <row r="13982" ht="33.75" customHeight="1">
      <c r="A13982" s="7">
        <v>788.0</v>
      </c>
      <c r="B13982" s="9" t="s">
        <v>18978</v>
      </c>
      <c r="C13982" s="9" t="s">
        <v>1116</v>
      </c>
      <c r="D13982" s="9" t="s">
        <v>642</v>
      </c>
      <c r="E13982" s="6" t="s">
        <v>12794</v>
      </c>
      <c r="F13982" s="9" t="s">
        <v>20070</v>
      </c>
    </row>
    <row r="13983" ht="33.75" customHeight="1">
      <c r="A13983" s="7">
        <v>788.0</v>
      </c>
      <c r="B13983" s="9" t="s">
        <v>18978</v>
      </c>
      <c r="C13983" s="9" t="s">
        <v>1116</v>
      </c>
      <c r="D13983" s="9" t="s">
        <v>647</v>
      </c>
      <c r="E13983" s="6" t="s">
        <v>12798</v>
      </c>
      <c r="F13983" s="9" t="s">
        <v>20070</v>
      </c>
    </row>
    <row r="13984" ht="33.75" customHeight="1">
      <c r="A13984" s="7">
        <v>788.0</v>
      </c>
      <c r="B13984" s="9" t="s">
        <v>18978</v>
      </c>
      <c r="C13984" s="9" t="s">
        <v>1116</v>
      </c>
      <c r="D13984" s="9" t="s">
        <v>652</v>
      </c>
      <c r="E13984" s="6" t="s">
        <v>12800</v>
      </c>
      <c r="F13984" s="9" t="s">
        <v>20070</v>
      </c>
    </row>
    <row r="13985" ht="33.75" customHeight="1">
      <c r="A13985" s="7">
        <v>789.0</v>
      </c>
      <c r="B13985" s="9" t="s">
        <v>18983</v>
      </c>
      <c r="C13985" s="9" t="s">
        <v>1117</v>
      </c>
      <c r="D13985" s="9" t="s">
        <v>637</v>
      </c>
      <c r="E13985" s="6" t="s">
        <v>12801</v>
      </c>
      <c r="F13985" s="9" t="s">
        <v>20071</v>
      </c>
      <c r="G13985" t="inlineStr" s="6">
        <is>
          <t xml:space="preserve">Cosmog's body is gaseous and frail. It slowly grows as it collects dust from the atmosphere. In ages past, it was called the child of the stars. It’s said to be a Pokémon from another world, but no specific details are known. Even though its helpless, gaseous body can be blown away by the slightest breeze, it doesn’t seem to care. Whether or not it’s a Pokémon from this world is a mystery. When it’s in a jam, it warps away to a safe place to hide. This Pokémon came from another universe. Its gaseous body is so light that even a gentle breeze can blow it away. Cosmog is very curious but not very cautious, often placing itself in danger. If things start to look dicey, it teleports away.</t>
        </is>
      </c>
    </row>
    <row r="13986" ht="33.75" customHeight="1">
      <c r="A13986" s="7">
        <v>789.0</v>
      </c>
      <c r="B13986" s="9" t="s">
        <v>18983</v>
      </c>
      <c r="C13986" s="9" t="s">
        <v>1117</v>
      </c>
      <c r="D13986" s="9" t="s">
        <v>642</v>
      </c>
      <c r="E13986" s="6" t="s">
        <v>12802</v>
      </c>
      <c r="F13986" s="9" t="s">
        <v>20071</v>
      </c>
    </row>
    <row r="13987" ht="33.75" customHeight="1">
      <c r="A13987" s="7">
        <v>789.0</v>
      </c>
      <c r="B13987" s="9" t="s">
        <v>18983</v>
      </c>
      <c r="C13987" s="9" t="s">
        <v>1117</v>
      </c>
      <c r="D13987" s="9" t="s">
        <v>647</v>
      </c>
      <c r="E13987" s="6" t="s">
        <v>12803</v>
      </c>
      <c r="F13987" s="9" t="s">
        <v>20071</v>
      </c>
    </row>
    <row r="13988" ht="33.75" customHeight="1">
      <c r="A13988" s="7">
        <v>789.0</v>
      </c>
      <c r="B13988" s="9" t="s">
        <v>18983</v>
      </c>
      <c r="C13988" s="9" t="s">
        <v>1117</v>
      </c>
      <c r="D13988" s="9" t="s">
        <v>652</v>
      </c>
      <c r="E13988" s="6" t="s">
        <v>12804</v>
      </c>
      <c r="F13988" s="9" t="s">
        <v>20071</v>
      </c>
    </row>
    <row r="13989" ht="33.75" customHeight="1">
      <c r="A13989" s="7">
        <v>789.0</v>
      </c>
      <c r="B13989" s="9" t="s">
        <v>18983</v>
      </c>
      <c r="C13989" s="9" t="s">
        <v>1117</v>
      </c>
      <c r="D13989" s="9" t="s">
        <v>114</v>
      </c>
      <c r="E13989" s="6" t="s">
        <v>12806</v>
      </c>
      <c r="F13989" s="9" t="s">
        <v>20071</v>
      </c>
    </row>
    <row r="13990" ht="33.75" customHeight="1">
      <c r="A13990" s="7">
        <v>789.0</v>
      </c>
      <c r="B13990" s="9" t="s">
        <v>18983</v>
      </c>
      <c r="C13990" s="9" t="s">
        <v>1117</v>
      </c>
      <c r="D13990" s="9" t="s">
        <v>117</v>
      </c>
      <c r="E13990" s="6" t="s">
        <v>12807</v>
      </c>
      <c r="F13990" s="9" t="s">
        <v>20071</v>
      </c>
    </row>
    <row r="13991" ht="33.75" customHeight="1">
      <c r="A13991" s="7">
        <v>790.0</v>
      </c>
      <c r="B13991" s="9" t="s">
        <v>18992</v>
      </c>
      <c r="C13991" s="9" t="s">
        <v>1119</v>
      </c>
      <c r="D13991" s="9" t="s">
        <v>637</v>
      </c>
      <c r="E13991" s="6" t="s">
        <v>12808</v>
      </c>
      <c r="F13991" s="9" t="s">
        <v>20072</v>
      </c>
      <c r="G13991" t="inlineStr" s="6">
        <is>
          <t xml:space="preserve">Motionless as if dead, Cosmoem's body is faintly warm to the touch. In the distant past, it was called the cocoon of the stars. There’s something accumulating around the black core within its hard shell. People think this Pokémon may come from another world. The king who ruled Alola in times of antiquity called it the “cocoon of the stars” and built an altar to worship it. As it absorbs light, Cosmoem continues to grow. Its golden shell is surprisingly solid. The absorption of starlight fuels this Pokémon’s growth. The shell that encases it is harder than any known material. It sucks in dust from the air at an astounding rate, frantically building up energy within its core as preparation for evolution.</t>
        </is>
      </c>
    </row>
    <row r="13992" ht="33.75" customHeight="1">
      <c r="A13992" s="7">
        <v>790.0</v>
      </c>
      <c r="B13992" s="9" t="s">
        <v>18992</v>
      </c>
      <c r="C13992" s="9" t="s">
        <v>1119</v>
      </c>
      <c r="D13992" s="9" t="s">
        <v>642</v>
      </c>
      <c r="E13992" s="6" t="s">
        <v>12809</v>
      </c>
      <c r="F13992" s="9" t="s">
        <v>20072</v>
      </c>
    </row>
    <row r="13993" ht="33.75" customHeight="1">
      <c r="A13993" s="7">
        <v>790.0</v>
      </c>
      <c r="B13993" s="9" t="s">
        <v>18992</v>
      </c>
      <c r="C13993" s="9" t="s">
        <v>1119</v>
      </c>
      <c r="D13993" s="9" t="s">
        <v>647</v>
      </c>
      <c r="E13993" s="6" t="s">
        <v>12810</v>
      </c>
      <c r="F13993" s="9" t="s">
        <v>20072</v>
      </c>
    </row>
    <row r="13994" ht="33.75" customHeight="1">
      <c r="A13994" s="7">
        <v>790.0</v>
      </c>
      <c r="B13994" s="9" t="s">
        <v>18992</v>
      </c>
      <c r="C13994" s="9" t="s">
        <v>1119</v>
      </c>
      <c r="D13994" s="9" t="s">
        <v>652</v>
      </c>
      <c r="E13994" s="6" t="s">
        <v>12812</v>
      </c>
      <c r="F13994" s="9" t="s">
        <v>20072</v>
      </c>
    </row>
    <row r="13995" ht="33.75" customHeight="1">
      <c r="A13995" s="7">
        <v>790.0</v>
      </c>
      <c r="B13995" s="9" t="s">
        <v>18992</v>
      </c>
      <c r="C13995" s="9" t="s">
        <v>1119</v>
      </c>
      <c r="D13995" s="9" t="s">
        <v>114</v>
      </c>
      <c r="E13995" s="6" t="s">
        <v>12814</v>
      </c>
      <c r="F13995" s="9" t="s">
        <v>20072</v>
      </c>
    </row>
    <row r="13996" ht="33.75" customHeight="1">
      <c r="A13996" s="7">
        <v>790.0</v>
      </c>
      <c r="B13996" s="9" t="s">
        <v>18992</v>
      </c>
      <c r="C13996" s="9" t="s">
        <v>1119</v>
      </c>
      <c r="D13996" s="9" t="s">
        <v>117</v>
      </c>
      <c r="E13996" s="6" t="s">
        <v>12815</v>
      </c>
      <c r="F13996" s="9" t="s">
        <v>20072</v>
      </c>
    </row>
    <row r="13997" ht="33.75" customHeight="1">
      <c r="A13997" s="7">
        <v>791.0</v>
      </c>
      <c r="B13997" s="9" t="s">
        <v>19000</v>
      </c>
      <c r="C13997" s="9" t="s">
        <v>1120</v>
      </c>
      <c r="D13997" s="9" t="s">
        <v>637</v>
      </c>
      <c r="E13997" s="6" t="s">
        <v>12816</v>
      </c>
      <c r="F13997" s="9" t="s">
        <v>20073</v>
      </c>
      <c r="G13997" t="inlineStr" s="6">
        <is>
          <t xml:space="preserve">Solgaleo is said to live in another world. The intense light it radiates from the surface of its body can make the darkest of nights light up like midday. This Pokémon is said to be a male evolution of Cosmog. At the activation of its third eye, it departs for another world. Sometimes the result of its opening an Ultra Wormhole is that energy and life-forms from other worlds are called here to this world. In writings from the distant past, it’s called by the name “the beast that devours the sun. When light radiates from its body, this Pokémon could almost appear to be the sun. It will dispel any darkness and light up the world. Solgaleo was once known as the Beast That Devours the Sun. Energy in the form of light radiates boundlessly from it.</t>
        </is>
      </c>
    </row>
    <row r="13998" ht="33.75" customHeight="1">
      <c r="A13998" s="7">
        <v>791.0</v>
      </c>
      <c r="B13998" s="9" t="s">
        <v>19000</v>
      </c>
      <c r="C13998" s="9" t="s">
        <v>1120</v>
      </c>
      <c r="D13998" s="9" t="s">
        <v>642</v>
      </c>
      <c r="E13998" s="6" t="s">
        <v>12817</v>
      </c>
      <c r="F13998" s="9" t="s">
        <v>20073</v>
      </c>
    </row>
    <row r="13999" ht="33.75" customHeight="1">
      <c r="A13999" s="7">
        <v>791.0</v>
      </c>
      <c r="B13999" s="9" t="s">
        <v>19000</v>
      </c>
      <c r="C13999" s="9" t="s">
        <v>1120</v>
      </c>
      <c r="D13999" s="9" t="s">
        <v>647</v>
      </c>
      <c r="E13999" s="6" t="s">
        <v>12818</v>
      </c>
      <c r="F13999" s="9" t="s">
        <v>20073</v>
      </c>
    </row>
    <row r="14000" ht="33.75" customHeight="1">
      <c r="A14000" s="7">
        <v>791.0</v>
      </c>
      <c r="B14000" s="9" t="s">
        <v>19000</v>
      </c>
      <c r="C14000" s="9" t="s">
        <v>1120</v>
      </c>
      <c r="D14000" s="9" t="s">
        <v>652</v>
      </c>
      <c r="E14000" s="6" t="s">
        <v>12820</v>
      </c>
      <c r="F14000" s="9" t="s">
        <v>20073</v>
      </c>
    </row>
    <row r="14001" ht="33.75" customHeight="1">
      <c r="A14001" s="7">
        <v>791.0</v>
      </c>
      <c r="B14001" s="9" t="s">
        <v>19000</v>
      </c>
      <c r="C14001" s="9" t="s">
        <v>1120</v>
      </c>
      <c r="D14001" s="9" t="s">
        <v>114</v>
      </c>
      <c r="E14001" s="6" t="s">
        <v>12821</v>
      </c>
      <c r="F14001" s="9" t="s">
        <v>20073</v>
      </c>
    </row>
    <row r="14002" ht="33.75" customHeight="1">
      <c r="A14002" s="7">
        <v>791.0</v>
      </c>
      <c r="B14002" s="9" t="s">
        <v>19000</v>
      </c>
      <c r="C14002" s="9" t="s">
        <v>1120</v>
      </c>
      <c r="D14002" s="9" t="s">
        <v>117</v>
      </c>
      <c r="E14002" s="6" t="s">
        <v>12822</v>
      </c>
      <c r="F14002" s="9" t="s">
        <v>20073</v>
      </c>
    </row>
    <row r="14003" ht="33.75" customHeight="1">
      <c r="A14003" s="7">
        <v>792.0</v>
      </c>
      <c r="B14003" s="9" t="s">
        <v>19009</v>
      </c>
      <c r="C14003" s="9" t="s">
        <v>1123</v>
      </c>
      <c r="D14003" s="9" t="s">
        <v>637</v>
      </c>
      <c r="E14003" s="6" t="s">
        <v>12824</v>
      </c>
      <c r="F14003" s="9" t="s">
        <v>20074</v>
      </c>
      <c r="G14003" t="inlineStr" s="6">
        <is>
          <t xml:space="preserve">Lunala is said to be a female evolution of Cosmog. When its third eye activates, away it flies to another world. Said to live in another world, this Pokémon devours light, drawing the moonless dark veil of night over the brightness of day. Records of it exist in writings from long, long ago, where it was known by the name “the beast that calls the moon. It sometimes summons unknown powers and life-forms here to this world from holes that lead to other worlds. Known as the Beast That Calls the Moon, this Pokémon lives by taking in any and all light and converting it into its own energy. It steals the light from its surroundings and then becomes the full moon, showering its own light across the night sky.</t>
        </is>
      </c>
    </row>
    <row r="14004" ht="33.75" customHeight="1">
      <c r="A14004" s="7">
        <v>792.0</v>
      </c>
      <c r="B14004" s="9" t="s">
        <v>19009</v>
      </c>
      <c r="C14004" s="9" t="s">
        <v>1123</v>
      </c>
      <c r="D14004" s="9" t="s">
        <v>642</v>
      </c>
      <c r="E14004" s="6" t="s">
        <v>12825</v>
      </c>
      <c r="F14004" s="9" t="s">
        <v>20074</v>
      </c>
    </row>
    <row r="14005" ht="33.75" customHeight="1">
      <c r="A14005" s="7">
        <v>792.0</v>
      </c>
      <c r="B14005" s="9" t="s">
        <v>19009</v>
      </c>
      <c r="C14005" s="9" t="s">
        <v>1123</v>
      </c>
      <c r="D14005" s="9" t="s">
        <v>647</v>
      </c>
      <c r="E14005" s="6" t="s">
        <v>12827</v>
      </c>
      <c r="F14005" s="9" t="s">
        <v>20074</v>
      </c>
    </row>
    <row r="14006" ht="33.75" customHeight="1">
      <c r="A14006" s="7">
        <v>792.0</v>
      </c>
      <c r="B14006" s="9" t="s">
        <v>19009</v>
      </c>
      <c r="C14006" s="9" t="s">
        <v>1123</v>
      </c>
      <c r="D14006" s="9" t="s">
        <v>652</v>
      </c>
      <c r="E14006" s="6" t="s">
        <v>12829</v>
      </c>
      <c r="F14006" s="9" t="s">
        <v>20074</v>
      </c>
    </row>
    <row r="14007" ht="33.75" customHeight="1">
      <c r="A14007" s="7">
        <v>792.0</v>
      </c>
      <c r="B14007" s="9" t="s">
        <v>19009</v>
      </c>
      <c r="C14007" s="9" t="s">
        <v>1123</v>
      </c>
      <c r="D14007" s="9" t="s">
        <v>114</v>
      </c>
      <c r="E14007" s="6" t="s">
        <v>12830</v>
      </c>
      <c r="F14007" s="9" t="s">
        <v>20074</v>
      </c>
    </row>
    <row r="14008" ht="33.75" customHeight="1">
      <c r="A14008" s="7">
        <v>792.0</v>
      </c>
      <c r="B14008" s="9" t="s">
        <v>19009</v>
      </c>
      <c r="C14008" s="9" t="s">
        <v>1123</v>
      </c>
      <c r="D14008" s="9" t="s">
        <v>117</v>
      </c>
      <c r="E14008" s="6" t="s">
        <v>12832</v>
      </c>
      <c r="F14008" s="9" t="s">
        <v>20074</v>
      </c>
    </row>
    <row r="14009" ht="33.75" customHeight="1">
      <c r="A14009" s="7">
        <v>793.0</v>
      </c>
      <c r="B14009" s="9" t="s">
        <v>19017</v>
      </c>
      <c r="C14009" s="9" t="s">
        <v>1125</v>
      </c>
      <c r="D14009" s="9" t="s">
        <v>637</v>
      </c>
      <c r="E14009" s="6" t="s">
        <v>12833</v>
      </c>
      <c r="F14009" s="9" t="s">
        <v>20075</v>
      </c>
      <c r="G14009" t="inlineStr" s="6">
        <is>
          <t xml:space="preserve">One of several mysterious Ultra Beasts. People on the street report observing those infested by it suddenly becoming violent. One of the Ultra Beasts. It’s unclear whether or not this Pokémon is sentient, but sometimes it can be observed behaving like a young girl. A life-form from another world, it was dubbed a UB and is thought to produce a strong neurotoxin. It appeared in this world from an Ultra Wormhole. Nihilego appears to be a parasite that lives by feeding on people and Pokémon.</t>
        </is>
      </c>
    </row>
    <row r="14010" ht="33.75" customHeight="1">
      <c r="A14010" s="7">
        <v>793.0</v>
      </c>
      <c r="B14010" s="9" t="s">
        <v>19017</v>
      </c>
      <c r="C14010" s="9" t="s">
        <v>1125</v>
      </c>
      <c r="D14010" s="9" t="s">
        <v>642</v>
      </c>
      <c r="E14010" s="6" t="s">
        <v>12835</v>
      </c>
      <c r="F14010" s="9" t="s">
        <v>20075</v>
      </c>
    </row>
    <row r="14011" ht="33.75" customHeight="1">
      <c r="A14011" s="7">
        <v>793.0</v>
      </c>
      <c r="B14011" s="9" t="s">
        <v>19017</v>
      </c>
      <c r="C14011" s="9" t="s">
        <v>1125</v>
      </c>
      <c r="D14011" s="9" t="s">
        <v>647</v>
      </c>
      <c r="E14011" s="6" t="s">
        <v>12837</v>
      </c>
      <c r="F14011" s="9" t="s">
        <v>20075</v>
      </c>
    </row>
    <row r="14012" ht="33.75" customHeight="1">
      <c r="A14012" s="7">
        <v>793.0</v>
      </c>
      <c r="B14012" s="9" t="s">
        <v>19017</v>
      </c>
      <c r="C14012" s="9" t="s">
        <v>1125</v>
      </c>
      <c r="D14012" s="9" t="s">
        <v>652</v>
      </c>
      <c r="E14012" s="6" t="s">
        <v>12838</v>
      </c>
      <c r="F14012" s="9" t="s">
        <v>20075</v>
      </c>
    </row>
    <row r="14013" ht="33.75" customHeight="1">
      <c r="A14013" s="7">
        <v>794.0</v>
      </c>
      <c r="B14013" s="9" t="s">
        <v>19024</v>
      </c>
      <c r="C14013" s="9" t="s">
        <v>1126</v>
      </c>
      <c r="D14013" s="9" t="s">
        <v>637</v>
      </c>
      <c r="E14013" s="6" t="s">
        <v>12840</v>
      </c>
      <c r="F14013" s="9" t="s">
        <v>20076</v>
      </c>
      <c r="G14013" t="inlineStr" s="6">
        <is>
          <t xml:space="preserve">This Ultra Beast appeared from another world. It shows off its body, but whether that display is a boast or a threat remains unclear. A mysterious life-form called an Ultra Beast. Witnesses saw it pulverize a dump truck with a single punch. Although it’s alien to this world and a danger here, it’s apparently a common organism in the world where it normally lives. Buzzwole goes around showing off its abnormally swollen muscles. It is one kind of Ultra Beast.</t>
        </is>
      </c>
    </row>
    <row r="14014" ht="33.75" customHeight="1">
      <c r="A14014" s="7">
        <v>794.0</v>
      </c>
      <c r="B14014" s="9" t="s">
        <v>19024</v>
      </c>
      <c r="C14014" s="9" t="s">
        <v>1126</v>
      </c>
      <c r="D14014" s="9" t="s">
        <v>642</v>
      </c>
      <c r="E14014" s="6" t="s">
        <v>12842</v>
      </c>
      <c r="F14014" s="9" t="s">
        <v>20076</v>
      </c>
    </row>
    <row r="14015" ht="33.75" customHeight="1">
      <c r="A14015" s="7">
        <v>794.0</v>
      </c>
      <c r="B14015" s="9" t="s">
        <v>19024</v>
      </c>
      <c r="C14015" s="9" t="s">
        <v>1126</v>
      </c>
      <c r="D14015" s="9" t="s">
        <v>647</v>
      </c>
      <c r="E14015" s="6" t="s">
        <v>12845</v>
      </c>
      <c r="F14015" s="9" t="s">
        <v>20076</v>
      </c>
    </row>
    <row r="14016" ht="33.75" customHeight="1">
      <c r="A14016" s="7">
        <v>794.0</v>
      </c>
      <c r="B14016" s="9" t="s">
        <v>19024</v>
      </c>
      <c r="C14016" s="9" t="s">
        <v>1126</v>
      </c>
      <c r="D14016" s="9" t="s">
        <v>652</v>
      </c>
      <c r="E14016" s="6" t="s">
        <v>12847</v>
      </c>
      <c r="F14016" s="9" t="s">
        <v>20076</v>
      </c>
    </row>
    <row r="14017" ht="33.75" customHeight="1">
      <c r="A14017" s="7">
        <v>795.0</v>
      </c>
      <c r="B14017" s="9" t="s">
        <v>19030</v>
      </c>
      <c r="C14017" s="9" t="s">
        <v>1128</v>
      </c>
      <c r="D14017" s="9" t="s">
        <v>637</v>
      </c>
      <c r="E14017" s="6" t="s">
        <v>12848</v>
      </c>
      <c r="F14017" s="9" t="s">
        <v>20077</v>
      </c>
      <c r="G14017" t="inlineStr" s="6">
        <is>
          <t xml:space="preserve">One of the dangerous Ultra Beasts, Pheromosa has been spotted running across the land at terrific speeds. One of the Ultra Beasts. It refuses to touch anything, perhaps because it senses some uncleanness in this world. A life-form that lives in another world, its body is thin and supple, but it also possesses great power. Although it’s alien to this world and a danger here, it’s apparently a common organism in the world where it normally lives.</t>
        </is>
      </c>
    </row>
    <row r="14018" ht="33.75" customHeight="1">
      <c r="A14018" s="7">
        <v>795.0</v>
      </c>
      <c r="B14018" s="9" t="s">
        <v>19030</v>
      </c>
      <c r="C14018" s="9" t="s">
        <v>1128</v>
      </c>
      <c r="D14018" s="9" t="s">
        <v>642</v>
      </c>
      <c r="E14018" s="6" t="s">
        <v>12851</v>
      </c>
      <c r="F14018" s="9" t="s">
        <v>20077</v>
      </c>
    </row>
    <row r="14019" ht="33.75" customHeight="1">
      <c r="A14019" s="7">
        <v>795.0</v>
      </c>
      <c r="B14019" s="9" t="s">
        <v>19030</v>
      </c>
      <c r="C14019" s="9" t="s">
        <v>1128</v>
      </c>
      <c r="D14019" s="9" t="s">
        <v>647</v>
      </c>
      <c r="E14019" s="6" t="s">
        <v>12853</v>
      </c>
      <c r="F14019" s="9" t="s">
        <v>20077</v>
      </c>
    </row>
    <row r="14020" ht="33.75" customHeight="1">
      <c r="A14020" s="7">
        <v>795.0</v>
      </c>
      <c r="B14020" s="9" t="s">
        <v>19030</v>
      </c>
      <c r="C14020" s="9" t="s">
        <v>1128</v>
      </c>
      <c r="D14020" s="9" t="s">
        <v>652</v>
      </c>
      <c r="E14020" s="6" t="s">
        <v>12845</v>
      </c>
      <c r="F14020" s="9" t="s">
        <v>20077</v>
      </c>
    </row>
    <row r="14021" ht="33.75" customHeight="1">
      <c r="A14021" s="7">
        <v>796.0</v>
      </c>
      <c r="B14021" s="9" t="s">
        <v>19035</v>
      </c>
      <c r="C14021" s="9" t="s">
        <v>1129</v>
      </c>
      <c r="D14021" s="9" t="s">
        <v>637</v>
      </c>
      <c r="E14021" s="6" t="s">
        <v>12855</v>
      </c>
      <c r="F14021" s="9" t="s">
        <v>20078</v>
      </c>
      <c r="G14021" t="inlineStr" s="6">
        <is>
          <t xml:space="preserve">One of the mysterious life-forms known as Ultra Beasts. Astonishing electric shocks emanate from its entire body, according to witnesses. It appeared from the Ultra Wormhole. It raided a power plant, so people think it energizes itself with electricity. Although it’s alien to this world and a danger here, it’s apparently a common organism in the world where it normally lives. They’ve been dubbed Ultra Beasts. Some of them stand unmoving, like trees, with their arms and legs stuck into the ground.</t>
        </is>
      </c>
    </row>
    <row r="14022" ht="33.75" customHeight="1">
      <c r="A14022" s="7">
        <v>796.0</v>
      </c>
      <c r="B14022" s="9" t="s">
        <v>19035</v>
      </c>
      <c r="C14022" s="9" t="s">
        <v>1129</v>
      </c>
      <c r="D14022" s="9" t="s">
        <v>642</v>
      </c>
      <c r="E14022" s="6" t="s">
        <v>12856</v>
      </c>
      <c r="F14022" s="9" t="s">
        <v>20078</v>
      </c>
    </row>
    <row r="14023" ht="33.75" customHeight="1">
      <c r="A14023" s="7">
        <v>796.0</v>
      </c>
      <c r="B14023" s="9" t="s">
        <v>19035</v>
      </c>
      <c r="C14023" s="9" t="s">
        <v>1129</v>
      </c>
      <c r="D14023" s="9" t="s">
        <v>647</v>
      </c>
      <c r="E14023" s="6" t="s">
        <v>12845</v>
      </c>
      <c r="F14023" s="9" t="s">
        <v>20078</v>
      </c>
    </row>
    <row r="14024" ht="33.75" customHeight="1">
      <c r="A14024" s="7">
        <v>796.0</v>
      </c>
      <c r="B14024" s="9" t="s">
        <v>19035</v>
      </c>
      <c r="C14024" s="9" t="s">
        <v>1129</v>
      </c>
      <c r="D14024" s="9" t="s">
        <v>652</v>
      </c>
      <c r="E14024" s="6" t="s">
        <v>12858</v>
      </c>
      <c r="F14024" s="9" t="s">
        <v>20078</v>
      </c>
    </row>
    <row r="14025" ht="33.75" customHeight="1">
      <c r="A14025" s="7">
        <v>797.0</v>
      </c>
      <c r="B14025" s="9" t="s">
        <v>19040</v>
      </c>
      <c r="C14025" s="9" t="s">
        <v>1131</v>
      </c>
      <c r="D14025" s="9" t="s">
        <v>637</v>
      </c>
      <c r="E14025" s="6" t="s">
        <v>12860</v>
      </c>
      <c r="F14025" s="9" t="s">
        <v>20079</v>
      </c>
      <c r="G14025" t="inlineStr" s="6">
        <is>
          <t xml:space="preserve">It appeared from the Ultra Wormhole. Witnesses observed it flying across the sky at high speed. One kind of Ultra Beast. Witnesses have seen it burn down a forest by expelling gas from its two arms. One of the dangerous UBs, high energy readings can be detected coming from both of its huge arms. Although it’s alien to this world and a danger here, it’s apparently a common organism in the world where it normally lives.</t>
        </is>
      </c>
    </row>
    <row r="14026" ht="33.75" customHeight="1">
      <c r="A14026" s="7">
        <v>797.0</v>
      </c>
      <c r="B14026" s="9" t="s">
        <v>19040</v>
      </c>
      <c r="C14026" s="9" t="s">
        <v>1131</v>
      </c>
      <c r="D14026" s="9" t="s">
        <v>642</v>
      </c>
      <c r="E14026" s="6" t="s">
        <v>12862</v>
      </c>
      <c r="F14026" s="9" t="s">
        <v>20079</v>
      </c>
    </row>
    <row r="14027" ht="33.75" customHeight="1">
      <c r="A14027" s="7">
        <v>797.0</v>
      </c>
      <c r="B14027" s="9" t="s">
        <v>19040</v>
      </c>
      <c r="C14027" s="9" t="s">
        <v>1131</v>
      </c>
      <c r="D14027" s="9" t="s">
        <v>647</v>
      </c>
      <c r="E14027" s="6" t="s">
        <v>12864</v>
      </c>
      <c r="F14027" s="9" t="s">
        <v>20079</v>
      </c>
    </row>
    <row r="14028" ht="33.75" customHeight="1">
      <c r="A14028" s="7">
        <v>797.0</v>
      </c>
      <c r="B14028" s="9" t="s">
        <v>19040</v>
      </c>
      <c r="C14028" s="9" t="s">
        <v>1131</v>
      </c>
      <c r="D14028" s="9" t="s">
        <v>652</v>
      </c>
      <c r="E14028" s="6" t="s">
        <v>12845</v>
      </c>
      <c r="F14028" s="9" t="s">
        <v>20079</v>
      </c>
    </row>
    <row r="14029" ht="33.75" customHeight="1">
      <c r="A14029" s="7">
        <v>798.0</v>
      </c>
      <c r="B14029" s="9" t="s">
        <v>19045</v>
      </c>
      <c r="C14029" s="9" t="s">
        <v>1132</v>
      </c>
      <c r="D14029" s="9" t="s">
        <v>637</v>
      </c>
      <c r="E14029" s="6" t="s">
        <v>12866</v>
      </c>
      <c r="F14029" s="9" t="s">
        <v>20080</v>
      </c>
      <c r="G14029" t="inlineStr" s="6">
        <is>
          <t xml:space="preserve">This Ultra Beast came from the Ultra Wormhole. It seems not to attack enemies on its own, but its sharp body is a dangerous weapon in itself. One of the Ultra Beast life-forms, it was observed cutting down a gigantic steel tower with one stroke of its blade. This Ultra Beast’s body, which is as thin as paper, is like a sharpened sword. Although it’s alien to this world and a danger here, it’s apparently a common organism in the world where it normally lives.</t>
        </is>
      </c>
    </row>
    <row r="14030" ht="33.75" customHeight="1">
      <c r="A14030" s="7">
        <v>798.0</v>
      </c>
      <c r="B14030" s="9" t="s">
        <v>19045</v>
      </c>
      <c r="C14030" s="9" t="s">
        <v>1132</v>
      </c>
      <c r="D14030" s="9" t="s">
        <v>642</v>
      </c>
      <c r="E14030" s="6" t="s">
        <v>12868</v>
      </c>
      <c r="F14030" s="9" t="s">
        <v>20080</v>
      </c>
    </row>
    <row r="14031" ht="33.75" customHeight="1">
      <c r="A14031" s="7">
        <v>798.0</v>
      </c>
      <c r="B14031" s="9" t="s">
        <v>19045</v>
      </c>
      <c r="C14031" s="9" t="s">
        <v>1132</v>
      </c>
      <c r="D14031" s="9" t="s">
        <v>647</v>
      </c>
      <c r="E14031" s="6" t="s">
        <v>12870</v>
      </c>
      <c r="F14031" s="9" t="s">
        <v>20080</v>
      </c>
    </row>
    <row r="14032" ht="33.75" customHeight="1">
      <c r="A14032" s="7">
        <v>798.0</v>
      </c>
      <c r="B14032" s="9" t="s">
        <v>19045</v>
      </c>
      <c r="C14032" s="9" t="s">
        <v>1132</v>
      </c>
      <c r="D14032" s="9" t="s">
        <v>652</v>
      </c>
      <c r="E14032" s="6" t="s">
        <v>12845</v>
      </c>
      <c r="F14032" s="9" t="s">
        <v>20080</v>
      </c>
    </row>
    <row r="14033" ht="33.75" customHeight="1">
      <c r="A14033" s="7">
        <v>799.0</v>
      </c>
      <c r="B14033" s="9" t="s">
        <v>19050</v>
      </c>
      <c r="C14033" s="9" t="s">
        <v>1134</v>
      </c>
      <c r="D14033" s="9" t="s">
        <v>637</v>
      </c>
      <c r="E14033" s="6" t="s">
        <v>12871</v>
      </c>
      <c r="F14033" s="9" t="s">
        <v>20081</v>
      </c>
      <c r="G14033" t="inlineStr" s="6">
        <is>
          <t xml:space="preserve">Guzzlord has gobbled mountains and swallowed whole buildings, according to reports. It’s one of the Ultra Beasts. A dangerous Ultra Beast, it appears to be eating constantly, but for some reason its droppings have never been found. Although it’s alien to this world and a danger here, it’s apparently a common organism in the world where it normally lives. An unknown life-form called a UB. It may be constantly hungry—it is certainly always devouring something.</t>
        </is>
      </c>
    </row>
    <row r="14034" ht="33.75" customHeight="1">
      <c r="A14034" s="7">
        <v>799.0</v>
      </c>
      <c r="B14034" s="9" t="s">
        <v>19050</v>
      </c>
      <c r="C14034" s="9" t="s">
        <v>1134</v>
      </c>
      <c r="D14034" s="9" t="s">
        <v>642</v>
      </c>
      <c r="E14034" s="6" t="s">
        <v>12872</v>
      </c>
      <c r="F14034" s="9" t="s">
        <v>20081</v>
      </c>
    </row>
    <row r="14035" ht="33.75" customHeight="1">
      <c r="A14035" s="7">
        <v>799.0</v>
      </c>
      <c r="B14035" s="9" t="s">
        <v>19050</v>
      </c>
      <c r="C14035" s="9" t="s">
        <v>1134</v>
      </c>
      <c r="D14035" s="9" t="s">
        <v>647</v>
      </c>
      <c r="E14035" s="6" t="s">
        <v>12845</v>
      </c>
      <c r="F14035" s="9" t="s">
        <v>20081</v>
      </c>
    </row>
    <row r="14036" ht="33.75" customHeight="1">
      <c r="A14036" s="7">
        <v>799.0</v>
      </c>
      <c r="B14036" s="9" t="s">
        <v>19050</v>
      </c>
      <c r="C14036" s="9" t="s">
        <v>1134</v>
      </c>
      <c r="D14036" s="9" t="s">
        <v>652</v>
      </c>
      <c r="E14036" s="6" t="s">
        <v>12874</v>
      </c>
      <c r="F14036" s="9" t="s">
        <v>20081</v>
      </c>
    </row>
    <row r="14037" ht="33.75" customHeight="1">
      <c r="A14037" s="7">
        <v>800.0</v>
      </c>
      <c r="B14037" s="9" t="s">
        <v>19056</v>
      </c>
      <c r="C14037" s="9" t="s">
        <v>1135</v>
      </c>
      <c r="D14037" s="9" t="s">
        <v>637</v>
      </c>
      <c r="E14037" s="6" t="s">
        <v>12875</v>
      </c>
      <c r="F14037" s="9" t="s">
        <v>20082</v>
      </c>
      <c r="G14037" t="inlineStr" s="6">
        <is>
          <t xml:space="preserve">Reminiscent of the Ultra Beasts, this life-form, apparently asleep underground, is thought to have come from another world in ancient times. Light is apparently the source of its energy. It has an extraordinarily vicious disposition and is constantly firing off laser beams. It looks somehow pained as it rages around in search of light, which serves as its energy. It’s apparently from another world. Light is the source of its energy. If it isn’t devouring light, impurities build up in it and on it, and Necrozma darkens and stops moving. It survives by absorbing light. After a long time spent slumbering underground, impurities accumulated within it, causing its body to darken. It needs light to survive, and it goes on a rampage seeking it out. Its laser beams will cut anything to pieces.</t>
        </is>
      </c>
    </row>
    <row r="14038" ht="33.75" customHeight="1">
      <c r="A14038" s="7">
        <v>800.0</v>
      </c>
      <c r="B14038" s="9" t="s">
        <v>19056</v>
      </c>
      <c r="C14038" s="9" t="s">
        <v>1135</v>
      </c>
      <c r="D14038" s="9" t="s">
        <v>642</v>
      </c>
      <c r="E14038" s="6" t="s">
        <v>12876</v>
      </c>
      <c r="F14038" s="9" t="s">
        <v>20082</v>
      </c>
    </row>
    <row r="14039" ht="33.75" customHeight="1">
      <c r="A14039" s="7">
        <v>800.0</v>
      </c>
      <c r="B14039" s="9" t="s">
        <v>19056</v>
      </c>
      <c r="C14039" s="9" t="s">
        <v>1135</v>
      </c>
      <c r="D14039" s="9" t="s">
        <v>647</v>
      </c>
      <c r="E14039" s="6" t="s">
        <v>12878</v>
      </c>
      <c r="F14039" s="9" t="s">
        <v>20082</v>
      </c>
    </row>
    <row r="14040" ht="33.75" customHeight="1">
      <c r="A14040" s="7">
        <v>800.0</v>
      </c>
      <c r="B14040" s="9" t="s">
        <v>19056</v>
      </c>
      <c r="C14040" s="9" t="s">
        <v>1135</v>
      </c>
      <c r="D14040" s="9" t="s">
        <v>652</v>
      </c>
      <c r="E14040" s="6" t="s">
        <v>12879</v>
      </c>
      <c r="F14040" s="9" t="s">
        <v>20082</v>
      </c>
    </row>
    <row r="14041" ht="33.75" customHeight="1">
      <c r="A14041" s="7">
        <v>800.0</v>
      </c>
      <c r="B14041" s="9" t="s">
        <v>19056</v>
      </c>
      <c r="C14041" s="9" t="s">
        <v>1135</v>
      </c>
      <c r="D14041" s="9" t="s">
        <v>114</v>
      </c>
      <c r="E14041" s="6" t="s">
        <v>12880</v>
      </c>
      <c r="F14041" s="9" t="s">
        <v>20082</v>
      </c>
    </row>
    <row r="14042" ht="33.75" customHeight="1">
      <c r="A14042" s="7">
        <v>800.0</v>
      </c>
      <c r="B14042" s="9" t="s">
        <v>19056</v>
      </c>
      <c r="C14042" s="9" t="s">
        <v>1135</v>
      </c>
      <c r="D14042" s="9" t="s">
        <v>117</v>
      </c>
      <c r="E14042" s="6" t="s">
        <v>12882</v>
      </c>
      <c r="F14042" s="9" t="s">
        <v>20082</v>
      </c>
    </row>
    <row r="14043" ht="33.75" customHeight="1">
      <c r="A14043" s="7">
        <v>801.0</v>
      </c>
      <c r="B14043" s="9" t="s">
        <v>19064</v>
      </c>
      <c r="C14043" s="9" t="s">
        <v>1137</v>
      </c>
      <c r="D14043" s="9" t="s">
        <v>637</v>
      </c>
      <c r="E14043" s="6" t="s">
        <v>12884</v>
      </c>
      <c r="F14043" s="9" t="s">
        <v>20083</v>
      </c>
      <c r="G14043" t="inlineStr" s="6">
        <is>
          <t xml:space="preserve">This artificial Pokémon, constructed more than 500 years ago, can understand human speech but cannot itself speak. Its mechanized body is merely a vessel. Its true self is its Soul-Heart, an artificial soul. It synchronizes its consciousness with others to understand their feelings. This faculty makes it useful for taking care of people. Built roughly 500 years ago by a scientist, the part called the Soul-Heart is the actual life-form.</t>
        </is>
      </c>
    </row>
    <row r="14044" ht="33.75" customHeight="1">
      <c r="A14044" s="7">
        <v>801.0</v>
      </c>
      <c r="B14044" s="9" t="s">
        <v>19064</v>
      </c>
      <c r="C14044" s="9" t="s">
        <v>1137</v>
      </c>
      <c r="D14044" s="9" t="s">
        <v>642</v>
      </c>
      <c r="E14044" s="6" t="s">
        <v>12885</v>
      </c>
      <c r="F14044" s="9" t="s">
        <v>20083</v>
      </c>
    </row>
    <row r="14045" ht="33.75" customHeight="1">
      <c r="A14045" s="7">
        <v>801.0</v>
      </c>
      <c r="B14045" s="9" t="s">
        <v>19064</v>
      </c>
      <c r="C14045" s="9" t="s">
        <v>1137</v>
      </c>
      <c r="D14045" s="9" t="s">
        <v>647</v>
      </c>
      <c r="E14045" s="6" t="s">
        <v>12887</v>
      </c>
      <c r="F14045" s="9" t="s">
        <v>20083</v>
      </c>
    </row>
    <row r="14046" ht="33.75" customHeight="1">
      <c r="A14046" s="7">
        <v>801.0</v>
      </c>
      <c r="B14046" s="9" t="s">
        <v>19064</v>
      </c>
      <c r="C14046" s="9" t="s">
        <v>1137</v>
      </c>
      <c r="D14046" s="9" t="s">
        <v>652</v>
      </c>
      <c r="E14046" s="6" t="s">
        <v>12888</v>
      </c>
      <c r="F14046" s="9" t="s">
        <v>20083</v>
      </c>
    </row>
    <row r="14047" ht="33.75" customHeight="1">
      <c r="A14047" s="7">
        <v>802.0</v>
      </c>
      <c r="B14047" s="9" t="s">
        <v>19070</v>
      </c>
      <c r="C14047" s="9" t="s">
        <v>1138</v>
      </c>
      <c r="D14047" s="9" t="s">
        <v>637</v>
      </c>
      <c r="E14047" s="6" t="s">
        <v>12890</v>
      </c>
      <c r="F14047" s="9" t="s">
        <v>20084</v>
      </c>
      <c r="G14047" t="inlineStr" s="6">
        <is>
          <t xml:space="preserve">Able to conceal itself in shadows, it never appears before humans, so Marshadow's very existence was the stuff of myth. It lurks in the shadows of others, copying their movements and powers. This Pokémon is craven and cowering. It slips into the shadows of others and mimics their powers and movements. As it improves, it becomes stronger than those it’s imitating. It sinks into the shadows of people and Pokémon, where it can understand their feelings and copy their capabilities. By slipping into the shadow of a martial arts master and copying their movements, this Pokémon learned the ultimate techniques. This Pokémon can conceal itself in any shadow, so it went undiscovered for a long time.</t>
        </is>
      </c>
    </row>
    <row r="14048" ht="33.75" customHeight="1">
      <c r="A14048" s="7">
        <v>802.0</v>
      </c>
      <c r="B14048" s="9" t="s">
        <v>19070</v>
      </c>
      <c r="C14048" s="9" t="s">
        <v>1138</v>
      </c>
      <c r="D14048" s="9" t="s">
        <v>642</v>
      </c>
      <c r="E14048" s="6" t="s">
        <v>12891</v>
      </c>
      <c r="F14048" s="9" t="s">
        <v>20084</v>
      </c>
    </row>
    <row r="14049" ht="33.75" customHeight="1">
      <c r="A14049" s="7">
        <v>802.0</v>
      </c>
      <c r="B14049" s="9" t="s">
        <v>19070</v>
      </c>
      <c r="C14049" s="9" t="s">
        <v>1138</v>
      </c>
      <c r="D14049" s="9" t="s">
        <v>647</v>
      </c>
      <c r="E14049" s="6" t="s">
        <v>12893</v>
      </c>
      <c r="F14049" s="9" t="s">
        <v>20084</v>
      </c>
    </row>
    <row r="14050" ht="33.75" customHeight="1">
      <c r="A14050" s="7">
        <v>802.0</v>
      </c>
      <c r="B14050" s="9" t="s">
        <v>19070</v>
      </c>
      <c r="C14050" s="9" t="s">
        <v>1138</v>
      </c>
      <c r="D14050" s="9" t="s">
        <v>652</v>
      </c>
      <c r="E14050" s="6" t="s">
        <v>12895</v>
      </c>
      <c r="F14050" s="9" t="s">
        <v>20084</v>
      </c>
    </row>
    <row r="14051" ht="33.75" customHeight="1">
      <c r="A14051" s="7">
        <v>802.0</v>
      </c>
      <c r="B14051" s="9" t="s">
        <v>19070</v>
      </c>
      <c r="C14051" s="9" t="s">
        <v>1138</v>
      </c>
      <c r="D14051" s="9" t="s">
        <v>114</v>
      </c>
      <c r="E14051" s="6" t="s">
        <v>12897</v>
      </c>
      <c r="F14051" s="9" t="s">
        <v>20084</v>
      </c>
    </row>
    <row r="14052" ht="33.75" customHeight="1">
      <c r="A14052" s="7">
        <v>802.0</v>
      </c>
      <c r="B14052" s="9" t="s">
        <v>19070</v>
      </c>
      <c r="C14052" s="9" t="s">
        <v>1138</v>
      </c>
      <c r="D14052" s="9" t="s">
        <v>117</v>
      </c>
      <c r="E14052" s="6" t="s">
        <v>12899</v>
      </c>
      <c r="F14052" s="9" t="s">
        <v>20084</v>
      </c>
    </row>
    <row r="14053" ht="33.75" customHeight="1">
      <c r="A14053" s="7">
        <v>803.0</v>
      </c>
      <c r="B14053" s="9" t="s">
        <v>19079</v>
      </c>
      <c r="C14053" s="9" t="s">
        <v>97</v>
      </c>
      <c r="D14053" s="9" t="s">
        <v>647</v>
      </c>
      <c r="E14053" s="6" t="s">
        <v>12901</v>
      </c>
      <c r="F14053" s="9" t="s">
        <v>20085</v>
      </c>
      <c r="G14053" t="inlineStr" s="6">
        <is>
          <t xml:space="preserve">This Ultra Beast is well enough liked to be chosen as a first partner in Poipole's own world. An Ultra Beast that lives in a different world, it cackles wildly as it sprays its opponents with poison from the needles on its head.</t>
        </is>
      </c>
    </row>
    <row r="14054" ht="33.75" customHeight="1">
      <c r="A14054" s="7">
        <v>803.0</v>
      </c>
      <c r="B14054" s="9" t="s">
        <v>19079</v>
      </c>
      <c r="C14054" s="9" t="s">
        <v>97</v>
      </c>
      <c r="D14054" s="9" t="s">
        <v>652</v>
      </c>
      <c r="E14054" s="6" t="s">
        <v>12903</v>
      </c>
      <c r="F14054" s="9" t="s">
        <v>20085</v>
      </c>
    </row>
    <row r="14055" ht="33.75" customHeight="1">
      <c r="A14055" s="7">
        <v>804.0</v>
      </c>
      <c r="B14055" s="9" t="s">
        <v>19082</v>
      </c>
      <c r="C14055" s="9" t="s">
        <v>97</v>
      </c>
      <c r="D14055" s="9" t="s">
        <v>647</v>
      </c>
      <c r="E14055" s="6" t="s">
        <v>12905</v>
      </c>
      <c r="F14055" s="9" t="s">
        <v>20086</v>
      </c>
      <c r="G14055" t="inlineStr" s="6">
        <is>
          <t xml:space="preserve">It stores hundreds of liters of poisonous liquid inside Naganadel's body. It is one of the organisms known as UBs. One kind of Ultra Beast, it fires a glowing, venomous liquid from its needles. This liquid is also immensely adhesive.</t>
        </is>
      </c>
    </row>
    <row r="14056" ht="33.75" customHeight="1">
      <c r="A14056" s="7">
        <v>804.0</v>
      </c>
      <c r="B14056" s="9" t="s">
        <v>19082</v>
      </c>
      <c r="C14056" s="9" t="s">
        <v>97</v>
      </c>
      <c r="D14056" s="9" t="s">
        <v>652</v>
      </c>
      <c r="E14056" s="6" t="s">
        <v>12906</v>
      </c>
      <c r="F14056" s="9" t="s">
        <v>20086</v>
      </c>
    </row>
    <row r="14057" ht="33.75" customHeight="1">
      <c r="A14057" s="7">
        <v>805.0</v>
      </c>
      <c r="B14057" s="9" t="s">
        <v>19085</v>
      </c>
      <c r="C14057" s="9" t="s">
        <v>1140</v>
      </c>
      <c r="D14057" s="9" t="s">
        <v>647</v>
      </c>
      <c r="E14057" s="6" t="s">
        <v>12909</v>
      </c>
      <c r="F14057" s="9" t="s">
        <v>20087</v>
      </c>
      <c r="G14057" t="inlineStr" s="6">
        <is>
          <t xml:space="preserve">It appeared from an Ultra Wormhole. Each one appears to be made up of many life-forms stacked one on top of each other. When stone walls started moving and attacking, the brute’s true identity was this mysterious life-form, which brings to mind an Ultra Beast.</t>
        </is>
      </c>
    </row>
    <row r="14058" ht="33.75" customHeight="1">
      <c r="A14058" s="7">
        <v>805.0</v>
      </c>
      <c r="B14058" s="9" t="s">
        <v>19085</v>
      </c>
      <c r="C14058" s="9" t="s">
        <v>1140</v>
      </c>
      <c r="D14058" s="9" t="s">
        <v>652</v>
      </c>
      <c r="E14058" s="6" t="s">
        <v>12911</v>
      </c>
      <c r="F14058" s="9" t="s">
        <v>20087</v>
      </c>
    </row>
    <row r="14059" ht="33.75" customHeight="1">
      <c r="A14059" s="7">
        <v>806.0</v>
      </c>
      <c r="B14059" s="9" t="s">
        <v>19089</v>
      </c>
      <c r="C14059" s="9" t="s">
        <v>1141</v>
      </c>
      <c r="D14059" s="9" t="s">
        <v>647</v>
      </c>
      <c r="E14059" s="6" t="s">
        <v>12913</v>
      </c>
      <c r="F14059" s="9" t="s">
        <v>20088</v>
      </c>
      <c r="G14059" t="inlineStr" s="6">
        <is>
          <t xml:space="preserve">It slithers toward people. Then, without warning, it triggers the explosion of its own head. It’s apparently one kind of Ultra Beast. A UB that appeared from an Ultra Wormhole, it causes explosions, then takes advantage of opponents’ surprise to rob them of their vitality.</t>
        </is>
      </c>
    </row>
    <row r="14060" ht="33.75" customHeight="1">
      <c r="A14060" s="7">
        <v>806.0</v>
      </c>
      <c r="B14060" s="9" t="s">
        <v>19089</v>
      </c>
      <c r="C14060" s="9" t="s">
        <v>1141</v>
      </c>
      <c r="D14060" s="9" t="s">
        <v>652</v>
      </c>
      <c r="E14060" s="6" t="s">
        <v>12916</v>
      </c>
      <c r="F14060" s="9" t="s">
        <v>20088</v>
      </c>
    </row>
    <row r="14061" ht="33.75" customHeight="1">
      <c r="A14061" s="7">
        <v>807.0</v>
      </c>
      <c r="B14061" s="9" t="s">
        <v>19093</v>
      </c>
      <c r="C14061" s="9" t="s">
        <v>1144</v>
      </c>
      <c r="D14061" s="9" t="s">
        <v>647</v>
      </c>
      <c r="E14061" s="6" t="s">
        <v>12918</v>
      </c>
      <c r="F14061" s="9" t="s">
        <v>20089</v>
      </c>
      <c r="G14061" t="inlineStr" s="6">
        <is>
          <t xml:space="preserve">It electrifies Zeraora's claws and tears its opponents apart with them. Even if they dodge its attack, they’ll be electrocuted by the flying sparks. It approaches its enemies at the speed of lightning, then tears them limb from limb with its sharp claws. It runs as fast as lightning strikes, shredding its opponents with its high-voltage claws. Electricity sparks from the pads on its limbs. Wherever Zeraora runs, lightning flashes and thunder echoes.</t>
        </is>
      </c>
    </row>
    <row r="14062" ht="33.75" customHeight="1">
      <c r="A14062" s="7">
        <v>807.0</v>
      </c>
      <c r="B14062" s="9" t="s">
        <v>19093</v>
      </c>
      <c r="C14062" s="9" t="s">
        <v>1144</v>
      </c>
      <c r="D14062" s="9" t="s">
        <v>652</v>
      </c>
      <c r="E14062" s="6" t="s">
        <v>12919</v>
      </c>
      <c r="F14062" s="9" t="s">
        <v>20089</v>
      </c>
    </row>
    <row r="14063" ht="33.75" customHeight="1">
      <c r="A14063" s="7">
        <v>807.0</v>
      </c>
      <c r="B14063" s="9" t="s">
        <v>19093</v>
      </c>
      <c r="C14063" s="9" t="s">
        <v>1144</v>
      </c>
      <c r="D14063" s="9" t="s">
        <v>114</v>
      </c>
      <c r="E14063" s="6" t="s">
        <v>12920</v>
      </c>
      <c r="F14063" s="9" t="s">
        <v>20089</v>
      </c>
    </row>
    <row r="14064" ht="33.75" customHeight="1">
      <c r="A14064" s="7">
        <v>807.0</v>
      </c>
      <c r="B14064" s="9" t="s">
        <v>19093</v>
      </c>
      <c r="C14064" s="9" t="s">
        <v>1144</v>
      </c>
      <c r="D14064" s="9" t="s">
        <v>117</v>
      </c>
      <c r="E14064" s="6" t="s">
        <v>12921</v>
      </c>
      <c r="F14064" s="9" t="s">
        <v>20089</v>
      </c>
    </row>
    <row r="14065" ht="33.75" customHeight="1">
      <c r="A14065" s="7">
        <v>808.0</v>
      </c>
      <c r="B14065" s="9" t="s">
        <v>19100</v>
      </c>
      <c r="C14065" s="9" t="s">
        <v>1145</v>
      </c>
      <c r="D14065" s="9" t="s">
        <v>111</v>
      </c>
      <c r="E14065" s="6" t="s">
        <v>12923</v>
      </c>
      <c r="F14065" s="9" t="s">
        <v>20090</v>
      </c>
      <c r="G14065" t="inlineStr" s="6">
        <is>
          <t xml:space="preserve">It melts particles of iron and other metals found in the subsoil, so it can absorb them into Meltan's body of molten steel. It dissolves and eats metal. Circulating liquid metal within its body is how it generates energy. They live as a group, but when the time comes, one strong Meltan will absorb all the others and evolve.</t>
        </is>
      </c>
    </row>
    <row r="14066" ht="33.75" customHeight="1">
      <c r="A14066" s="7">
        <v>808.0</v>
      </c>
      <c r="B14066" s="9" t="s">
        <v>19100</v>
      </c>
      <c r="C14066" s="9" t="s">
        <v>1145</v>
      </c>
      <c r="D14066" s="9" t="s">
        <v>113</v>
      </c>
      <c r="E14066" s="6" t="s">
        <v>12923</v>
      </c>
      <c r="F14066" s="9" t="s">
        <v>20090</v>
      </c>
    </row>
    <row r="14067" ht="33.75" customHeight="1">
      <c r="A14067" s="7">
        <v>808.0</v>
      </c>
      <c r="B14067" s="9" t="s">
        <v>19100</v>
      </c>
      <c r="C14067" s="9" t="s">
        <v>1145</v>
      </c>
      <c r="D14067" s="9" t="s">
        <v>114</v>
      </c>
      <c r="E14067" s="6" t="s">
        <v>12924</v>
      </c>
      <c r="F14067" s="9" t="s">
        <v>20090</v>
      </c>
    </row>
    <row r="14068" ht="33.75" customHeight="1">
      <c r="A14068" s="7">
        <v>808.0</v>
      </c>
      <c r="B14068" s="9" t="s">
        <v>19100</v>
      </c>
      <c r="C14068" s="9" t="s">
        <v>1145</v>
      </c>
      <c r="D14068" s="9" t="s">
        <v>117</v>
      </c>
      <c r="E14068" s="6" t="s">
        <v>12925</v>
      </c>
      <c r="F14068" s="9" t="s">
        <v>20090</v>
      </c>
    </row>
    <row r="14069" ht="33.75" customHeight="1">
      <c r="A14069" s="7">
        <v>809.0</v>
      </c>
      <c r="B14069" s="9" t="s">
        <v>19105</v>
      </c>
      <c r="C14069" s="9" t="s">
        <v>1145</v>
      </c>
      <c r="D14069" s="9" t="s">
        <v>111</v>
      </c>
      <c r="E14069" s="6" t="s">
        <v>12927</v>
      </c>
      <c r="F14069" s="9" t="s">
        <v>20091</v>
      </c>
      <c r="G14069" t="inlineStr" s="6">
        <is>
          <t xml:space="preserve">Revered long ago for Melmetal's capacity to create iron from nothing, for some reason it has come back to life after 3,000 years. At the end of its life-span, Melmetal will rust and fall apart. The small shards left behind will eventually be reborn as Meltan. Centrifugal force is behind the punches of Melmetal’s heavy hex-nut arms. Melmetal is said to deliver the strongest punches of all Pokémon.</t>
        </is>
      </c>
    </row>
    <row r="14070" ht="33.75" customHeight="1">
      <c r="A14070" s="7">
        <v>809.0</v>
      </c>
      <c r="B14070" s="9" t="s">
        <v>19105</v>
      </c>
      <c r="C14070" s="9" t="s">
        <v>1145</v>
      </c>
      <c r="D14070" s="9" t="s">
        <v>113</v>
      </c>
      <c r="E14070" s="6" t="s">
        <v>12927</v>
      </c>
      <c r="F14070" s="9" t="s">
        <v>20091</v>
      </c>
    </row>
    <row r="14071" ht="33.75" customHeight="1">
      <c r="A14071" s="7">
        <v>809.0</v>
      </c>
      <c r="B14071" s="9" t="s">
        <v>19105</v>
      </c>
      <c r="C14071" s="9" t="s">
        <v>1145</v>
      </c>
      <c r="D14071" s="9" t="s">
        <v>114</v>
      </c>
      <c r="E14071" s="6" t="s">
        <v>12928</v>
      </c>
      <c r="F14071" s="9" t="s">
        <v>20091</v>
      </c>
    </row>
    <row r="14072" ht="33.75" customHeight="1">
      <c r="A14072" s="7">
        <v>809.0</v>
      </c>
      <c r="B14072" s="9" t="s">
        <v>19105</v>
      </c>
      <c r="C14072" s="9" t="s">
        <v>1145</v>
      </c>
      <c r="D14072" s="9" t="s">
        <v>117</v>
      </c>
      <c r="E14072" s="6" t="s">
        <v>12930</v>
      </c>
      <c r="F14072" s="9" t="s">
        <v>20091</v>
      </c>
    </row>
    <row r="14073" ht="33.75" customHeight="1">
      <c r="A14073" s="7">
        <v>810.0</v>
      </c>
      <c r="B14073" s="9" t="s">
        <v>19109</v>
      </c>
      <c r="C14073" s="9" t="s">
        <v>602</v>
      </c>
      <c r="D14073" s="9" t="s">
        <v>114</v>
      </c>
      <c r="E14073" s="6" t="s">
        <v>12932</v>
      </c>
      <c r="F14073" s="9" t="s">
        <v>20092</v>
      </c>
      <c r="G14073" t="inlineStr" s="6">
        <is>
          <t xml:space="preserve">When it uses Grookey's special stick to strike up a beat, the sound waves produced carry revitalizing energy to the plants and flowers in the area. It attacks with rapid beats of its stick. As it strikes with amazing speed, it gets more and more pumped.</t>
        </is>
      </c>
    </row>
    <row r="14074" ht="33.75" customHeight="1">
      <c r="A14074" s="7">
        <v>810.0</v>
      </c>
      <c r="B14074" s="9" t="s">
        <v>19109</v>
      </c>
      <c r="C14074" s="9" t="s">
        <v>602</v>
      </c>
      <c r="D14074" s="9" t="s">
        <v>117</v>
      </c>
      <c r="E14074" s="6" t="s">
        <v>12933</v>
      </c>
      <c r="F14074" s="9" t="s">
        <v>20092</v>
      </c>
    </row>
    <row r="14075" ht="33.75" customHeight="1">
      <c r="A14075" s="7">
        <v>811.0</v>
      </c>
      <c r="B14075" s="9" t="s">
        <v>19112</v>
      </c>
      <c r="C14075" s="9" t="s">
        <v>1146</v>
      </c>
      <c r="D14075" s="9" t="s">
        <v>114</v>
      </c>
      <c r="E14075" s="6" t="s">
        <v>12934</v>
      </c>
      <c r="F14075" s="9" t="s">
        <v>20093</v>
      </c>
      <c r="G14075" t="inlineStr" s="6">
        <is>
          <t xml:space="preserve">The faster a Thwackey can beat out a rhythm with Thwackey's two sticks, the more respect it wins from its peers. When it’s drumming out rapid beats in battle, it gets so caught up in the rhythm that it won’t even notice that it’s already knocked out its opponent.</t>
        </is>
      </c>
    </row>
    <row r="14076" ht="33.75" customHeight="1">
      <c r="A14076" s="7">
        <v>811.0</v>
      </c>
      <c r="B14076" s="9" t="s">
        <v>19112</v>
      </c>
      <c r="C14076" s="9" t="s">
        <v>1146</v>
      </c>
      <c r="D14076" s="9" t="s">
        <v>117</v>
      </c>
      <c r="E14076" s="6" t="s">
        <v>12938</v>
      </c>
      <c r="F14076" s="9" t="s">
        <v>20093</v>
      </c>
    </row>
    <row r="14077" ht="33.75" customHeight="1">
      <c r="A14077" s="7">
        <v>812.0</v>
      </c>
      <c r="B14077" s="9" t="s">
        <v>19116</v>
      </c>
      <c r="C14077" s="9" t="s">
        <v>1147</v>
      </c>
      <c r="D14077" s="9" t="s">
        <v>114</v>
      </c>
      <c r="E14077" s="6" t="s">
        <v>12941</v>
      </c>
      <c r="F14077" s="9" t="s">
        <v>20094</v>
      </c>
      <c r="G14077" t="inlineStr" s="6">
        <is>
          <t xml:space="preserve">By drumming, it taps into the power of Rillaboom's special tree stump. The roots of the stump follow its direction in battle. The one with the best drumming techniques becomes the boss of the troop. It has a gentle disposition and values harmony among its group.</t>
        </is>
      </c>
    </row>
    <row r="14078" ht="33.75" customHeight="1">
      <c r="A14078" s="7">
        <v>812.0</v>
      </c>
      <c r="B14078" s="9" t="s">
        <v>19116</v>
      </c>
      <c r="C14078" s="9" t="s">
        <v>1147</v>
      </c>
      <c r="D14078" s="9" t="s">
        <v>117</v>
      </c>
      <c r="E14078" s="6" t="s">
        <v>12943</v>
      </c>
      <c r="F14078" s="9" t="s">
        <v>20094</v>
      </c>
    </row>
    <row r="14079" ht="33.75" customHeight="1">
      <c r="A14079" s="7">
        <v>813.0</v>
      </c>
      <c r="B14079" s="9" t="s">
        <v>19120</v>
      </c>
      <c r="C14079" s="9" t="s">
        <v>644</v>
      </c>
      <c r="D14079" s="9" t="s">
        <v>114</v>
      </c>
      <c r="E14079" s="6" t="s">
        <v>12945</v>
      </c>
      <c r="F14079" s="9" t="s">
        <v>20095</v>
      </c>
      <c r="G14079" t="inlineStr" s="6">
        <is>
          <t xml:space="preserve">A warm-up of running around gets fire energy coursing through this Pokémon’s body. Once that happens, it’s ready to fight at full power. It has special pads on the backs of its feet, and one on its nose. Once it’s raring to fight, these pads radiate tremendous heat.</t>
        </is>
      </c>
    </row>
    <row r="14080" ht="33.75" customHeight="1">
      <c r="A14080" s="7">
        <v>813.0</v>
      </c>
      <c r="B14080" s="9" t="s">
        <v>19120</v>
      </c>
      <c r="C14080" s="9" t="s">
        <v>644</v>
      </c>
      <c r="D14080" s="9" t="s">
        <v>117</v>
      </c>
      <c r="E14080" s="6" t="s">
        <v>12947</v>
      </c>
      <c r="F14080" s="9" t="s">
        <v>20095</v>
      </c>
    </row>
    <row r="14081" ht="33.75" customHeight="1">
      <c r="A14081" s="7">
        <v>814.0</v>
      </c>
      <c r="B14081" s="9" t="s">
        <v>19124</v>
      </c>
      <c r="C14081" s="9" t="s">
        <v>644</v>
      </c>
      <c r="D14081" s="9" t="s">
        <v>114</v>
      </c>
      <c r="E14081" s="6" t="s">
        <v>12949</v>
      </c>
      <c r="F14081" s="9" t="s">
        <v>20096</v>
      </c>
      <c r="G14081" t="inlineStr" s="6">
        <is>
          <t xml:space="preserve">Raboot's thick and fluffy fur protects it from the cold and enables it to use hotter fire moves. It kicks berries right off the branches of trees and then juggles them with its feet, practicing its footwork.</t>
        </is>
      </c>
    </row>
    <row r="14082" ht="33.75" customHeight="1">
      <c r="A14082" s="7">
        <v>814.0</v>
      </c>
      <c r="B14082" s="9" t="s">
        <v>19124</v>
      </c>
      <c r="C14082" s="9" t="s">
        <v>644</v>
      </c>
      <c r="D14082" s="9" t="s">
        <v>117</v>
      </c>
      <c r="E14082" s="6" t="s">
        <v>12950</v>
      </c>
      <c r="F14082" s="9" t="s">
        <v>20096</v>
      </c>
    </row>
    <row r="14083" ht="33.75" customHeight="1">
      <c r="A14083" s="7">
        <v>815.0</v>
      </c>
      <c r="B14083" s="9" t="s">
        <v>19127</v>
      </c>
      <c r="C14083" s="9" t="s">
        <v>1150</v>
      </c>
      <c r="D14083" s="9" t="s">
        <v>114</v>
      </c>
      <c r="E14083" s="6" t="s">
        <v>12951</v>
      </c>
      <c r="F14083" s="9" t="s">
        <v>20097</v>
      </c>
      <c r="G14083" t="inlineStr" s="6">
        <is>
          <t xml:space="preserve">It juggles a pebble with Cinderace's feet, turning it into a burning soccer ball. Its shots strike opponents hard and leave them scorched. It’s skilled at both offense and defense, and it gets pumped up when cheered on. But if it starts showboating, it could put itself in a tough spot.</t>
        </is>
      </c>
    </row>
    <row r="14084" ht="33.75" customHeight="1">
      <c r="A14084" s="7">
        <v>815.0</v>
      </c>
      <c r="B14084" s="9" t="s">
        <v>19127</v>
      </c>
      <c r="C14084" s="9" t="s">
        <v>1150</v>
      </c>
      <c r="D14084" s="9" t="s">
        <v>117</v>
      </c>
      <c r="E14084" s="6" t="s">
        <v>12952</v>
      </c>
      <c r="F14084" s="9" t="s">
        <v>20097</v>
      </c>
    </row>
    <row r="14085" ht="33.75" customHeight="1">
      <c r="A14085" s="7">
        <v>816.0</v>
      </c>
      <c r="B14085" s="9" t="s">
        <v>19131</v>
      </c>
      <c r="C14085" s="9" t="s">
        <v>1151</v>
      </c>
      <c r="D14085" s="9" t="s">
        <v>114</v>
      </c>
      <c r="E14085" s="6" t="s">
        <v>12954</v>
      </c>
      <c r="F14085" s="9" t="s">
        <v>20098</v>
      </c>
      <c r="G14085" t="inlineStr" s="6">
        <is>
          <t xml:space="preserve">When scared, this Pokémon cries. Its tears pack the chemical punch of 100 onions, and attackers won’t be able to resist weeping. When it gets wet, its skin changes color, and this Pokémon becomes invisible as if it were camouflaged.</t>
        </is>
      </c>
    </row>
    <row r="14086" ht="33.75" customHeight="1">
      <c r="A14086" s="7">
        <v>816.0</v>
      </c>
      <c r="B14086" s="9" t="s">
        <v>19131</v>
      </c>
      <c r="C14086" s="9" t="s">
        <v>1151</v>
      </c>
      <c r="D14086" s="9" t="s">
        <v>117</v>
      </c>
      <c r="E14086" s="6" t="s">
        <v>12955</v>
      </c>
      <c r="F14086" s="9" t="s">
        <v>20098</v>
      </c>
    </row>
    <row r="14087" ht="33.75" customHeight="1">
      <c r="A14087" s="7">
        <v>817.0</v>
      </c>
      <c r="B14087" s="9" t="s">
        <v>19135</v>
      </c>
      <c r="C14087" s="9" t="s">
        <v>1151</v>
      </c>
      <c r="D14087" s="9" t="s">
        <v>114</v>
      </c>
      <c r="E14087" s="6" t="s">
        <v>12957</v>
      </c>
      <c r="F14087" s="9" t="s">
        <v>20099</v>
      </c>
      <c r="G14087" t="inlineStr" s="6">
        <is>
          <t xml:space="preserve">A clever combatant, this Pokémon battles using water balloons created with moisture secreted from Drizzile's palms. Highly intelligent but also very lazy, it keeps enemies out of its territory by laying traps everywhere.</t>
        </is>
      </c>
    </row>
    <row r="14088" ht="33.75" customHeight="1">
      <c r="A14088" s="7">
        <v>817.0</v>
      </c>
      <c r="B14088" s="9" t="s">
        <v>19135</v>
      </c>
      <c r="C14088" s="9" t="s">
        <v>1151</v>
      </c>
      <c r="D14088" s="9" t="s">
        <v>117</v>
      </c>
      <c r="E14088" s="6" t="s">
        <v>12958</v>
      </c>
      <c r="F14088" s="9" t="s">
        <v>20099</v>
      </c>
    </row>
    <row r="14089" ht="33.75" customHeight="1">
      <c r="A14089" s="7">
        <v>818.0</v>
      </c>
      <c r="B14089" s="9" t="s">
        <v>19138</v>
      </c>
      <c r="C14089" s="9" t="s">
        <v>1153</v>
      </c>
      <c r="D14089" s="9" t="s">
        <v>114</v>
      </c>
      <c r="E14089" s="6" t="s">
        <v>12959</v>
      </c>
      <c r="F14089" s="9" t="s">
        <v>20100</v>
      </c>
      <c r="G14089" t="inlineStr" s="6">
        <is>
          <t xml:space="preserve">It has many hidden capabilities, such as fingertips that can shoot water and a membrane on Inteleon's back that it can use to glide through the air. Its nictitating membranes let it pick out foes’ weak points so it can precisely blast them with water that shoots from its fingertips at Mach 3.</t>
        </is>
      </c>
    </row>
    <row r="14090" ht="33.75" customHeight="1">
      <c r="A14090" s="7">
        <v>818.0</v>
      </c>
      <c r="B14090" s="9" t="s">
        <v>19138</v>
      </c>
      <c r="C14090" s="9" t="s">
        <v>1153</v>
      </c>
      <c r="D14090" s="9" t="s">
        <v>117</v>
      </c>
      <c r="E14090" s="6" t="s">
        <v>12960</v>
      </c>
      <c r="F14090" s="9" t="s">
        <v>20100</v>
      </c>
    </row>
    <row r="14091" ht="33.75" customHeight="1">
      <c r="A14091" s="7">
        <v>819.0</v>
      </c>
      <c r="B14091" s="9" t="s">
        <v>19143</v>
      </c>
      <c r="C14091" s="9" t="s">
        <v>1154</v>
      </c>
      <c r="D14091" s="9" t="s">
        <v>114</v>
      </c>
      <c r="E14091" s="6" t="s">
        <v>12961</v>
      </c>
      <c r="F14091" s="9" t="s">
        <v>20101</v>
      </c>
      <c r="G14091" t="inlineStr" s="6">
        <is>
          <t xml:space="preserve">Found throughout the Galar region, this Pokémon becomes uneasy if Skwovet's cheeks are ever completely empty of berries. It eats berries nonstop—a habit that has made it more resilient than it looks. It’ll show up on farms, searching for yet more berries.</t>
        </is>
      </c>
    </row>
    <row r="14092" ht="33.75" customHeight="1">
      <c r="A14092" s="7">
        <v>819.0</v>
      </c>
      <c r="B14092" s="9" t="s">
        <v>19143</v>
      </c>
      <c r="C14092" s="9" t="s">
        <v>1154</v>
      </c>
      <c r="D14092" s="9" t="s">
        <v>117</v>
      </c>
      <c r="E14092" s="6" t="s">
        <v>12963</v>
      </c>
      <c r="F14092" s="9" t="s">
        <v>20101</v>
      </c>
    </row>
    <row r="14093" ht="33.75" customHeight="1">
      <c r="A14093" s="7">
        <v>820.0</v>
      </c>
      <c r="B14093" s="9" t="s">
        <v>19147</v>
      </c>
      <c r="C14093" s="9" t="s">
        <v>1155</v>
      </c>
      <c r="D14093" s="9" t="s">
        <v>114</v>
      </c>
      <c r="E14093" s="6" t="s">
        <v>12964</v>
      </c>
      <c r="F14093" s="9" t="s">
        <v>20102</v>
      </c>
      <c r="G14093" t="inlineStr" s="6">
        <is>
          <t xml:space="preserve">It stashes berries in Greedent's tail—so many berries that they fall out constantly. But this Pokémon is a bit slow-witted, so it doesn’t notice the loss. Common throughout the Galar region, this Pokémon has strong teeth and can chew through the toughest of berry shells.</t>
        </is>
      </c>
    </row>
    <row r="14094" ht="33.75" customHeight="1">
      <c r="A14094" s="7">
        <v>820.0</v>
      </c>
      <c r="B14094" s="9" t="s">
        <v>19147</v>
      </c>
      <c r="C14094" s="9" t="s">
        <v>1155</v>
      </c>
      <c r="D14094" s="9" t="s">
        <v>117</v>
      </c>
      <c r="E14094" s="6" t="s">
        <v>12965</v>
      </c>
      <c r="F14094" s="9" t="s">
        <v>20102</v>
      </c>
    </row>
    <row r="14095" ht="33.75" customHeight="1">
      <c r="A14095" s="7">
        <v>821.0</v>
      </c>
      <c r="B14095" s="9" t="s">
        <v>19151</v>
      </c>
      <c r="C14095" s="9" t="s">
        <v>83</v>
      </c>
      <c r="D14095" s="9" t="s">
        <v>114</v>
      </c>
      <c r="E14095" s="6" t="s">
        <v>12966</v>
      </c>
      <c r="F14095" s="9" t="s">
        <v>20103</v>
      </c>
      <c r="G14095" t="inlineStr" s="6">
        <is>
          <t xml:space="preserve">Rookidee will bravely challenge any opponent, no matter how powerful. This Pokémon benefits from every battle—even a defeat increases its strength a bit. Jumping nimbly about, this small-bodied Pokémon takes advantage of even the slightest opportunity to disorient larger opponents.</t>
        </is>
      </c>
    </row>
    <row r="14096" ht="33.75" customHeight="1">
      <c r="A14096" s="7">
        <v>821.0</v>
      </c>
      <c r="B14096" s="9" t="s">
        <v>19151</v>
      </c>
      <c r="C14096" s="9" t="s">
        <v>83</v>
      </c>
      <c r="D14096" s="9" t="s">
        <v>117</v>
      </c>
      <c r="E14096" s="6" t="s">
        <v>12968</v>
      </c>
      <c r="F14096" s="9" t="s">
        <v>20103</v>
      </c>
    </row>
    <row r="14097" ht="33.75" customHeight="1">
      <c r="A14097" s="7">
        <v>822.0</v>
      </c>
      <c r="B14097" s="9" t="s">
        <v>19154</v>
      </c>
      <c r="C14097" s="9" t="s">
        <v>1156</v>
      </c>
      <c r="D14097" s="9" t="s">
        <v>114</v>
      </c>
      <c r="E14097" s="6" t="s">
        <v>12969</v>
      </c>
      <c r="F14097" s="9" t="s">
        <v>20104</v>
      </c>
      <c r="G14097" t="inlineStr" s="6">
        <is>
          <t xml:space="preserve">Smart enough to use tools in battle, these Pokémon have been seen picking up rocks and flinging them or using ropes to wrap up enemies. The lessons of many harsh battles have taught it how to accurately judge an opponent’s strength.</t>
        </is>
      </c>
    </row>
    <row r="14098" ht="33.75" customHeight="1">
      <c r="A14098" s="7">
        <v>822.0</v>
      </c>
      <c r="B14098" s="9" t="s">
        <v>19154</v>
      </c>
      <c r="C14098" s="9" t="s">
        <v>1156</v>
      </c>
      <c r="D14098" s="9" t="s">
        <v>117</v>
      </c>
      <c r="E14098" s="6" t="s">
        <v>12971</v>
      </c>
      <c r="F14098" s="9" t="s">
        <v>20104</v>
      </c>
    </row>
    <row r="14099" ht="33.75" customHeight="1">
      <c r="A14099" s="7">
        <v>823.0</v>
      </c>
      <c r="B14099" s="9" t="s">
        <v>19158</v>
      </c>
      <c r="C14099" s="9" t="s">
        <v>1156</v>
      </c>
      <c r="D14099" s="9" t="s">
        <v>114</v>
      </c>
      <c r="E14099" s="6" t="s">
        <v>12974</v>
      </c>
      <c r="F14099" s="9" t="s">
        <v>20105</v>
      </c>
      <c r="G14099" t="inlineStr" s="6">
        <is>
          <t xml:space="preserve">This Pokémon reigns supreme in the skies of the Galar region. The black luster of its steel body could drive terror into the heart of any foe. With their great intellect and flying skills, these Pokémon very successfully act as the Galar region’s airborne taxi service.</t>
        </is>
      </c>
    </row>
    <row r="14100" ht="33.75" customHeight="1">
      <c r="A14100" s="7">
        <v>823.0</v>
      </c>
      <c r="B14100" s="9" t="s">
        <v>19158</v>
      </c>
      <c r="C14100" s="9" t="s">
        <v>1156</v>
      </c>
      <c r="D14100" s="9" t="s">
        <v>117</v>
      </c>
      <c r="E14100" s="6" t="s">
        <v>12976</v>
      </c>
      <c r="F14100" s="9" t="s">
        <v>20105</v>
      </c>
    </row>
    <row r="14101" ht="33.75" customHeight="1">
      <c r="A14101" s="7">
        <v>824.0</v>
      </c>
      <c r="B14101" s="9" t="s">
        <v>19161</v>
      </c>
      <c r="C14101" s="9" t="s">
        <v>1064</v>
      </c>
      <c r="D14101" s="9" t="s">
        <v>114</v>
      </c>
      <c r="E14101" s="6" t="s">
        <v>12977</v>
      </c>
      <c r="F14101" s="9" t="s">
        <v>20106</v>
      </c>
      <c r="G14101" t="inlineStr" s="6">
        <is>
          <t xml:space="preserve">A constant collector of information, this Pokémon is very smart. Very strong is what it isn’t. Often found in gardens, this Pokémon has hairs on its body that it uses to assess its surroundings.</t>
        </is>
      </c>
    </row>
    <row r="14102" ht="33.75" customHeight="1">
      <c r="A14102" s="7">
        <v>824.0</v>
      </c>
      <c r="B14102" s="9" t="s">
        <v>19161</v>
      </c>
      <c r="C14102" s="9" t="s">
        <v>1064</v>
      </c>
      <c r="D14102" s="9" t="s">
        <v>117</v>
      </c>
      <c r="E14102" s="6" t="s">
        <v>12979</v>
      </c>
      <c r="F14102" s="9" t="s">
        <v>20106</v>
      </c>
    </row>
    <row r="14103" ht="33.75" customHeight="1">
      <c r="A14103" s="7">
        <v>825.0</v>
      </c>
      <c r="B14103" s="9" t="s">
        <v>19164</v>
      </c>
      <c r="C14103" s="9" t="s">
        <v>1158</v>
      </c>
      <c r="D14103" s="9" t="s">
        <v>114</v>
      </c>
      <c r="E14103" s="6" t="s">
        <v>12982</v>
      </c>
      <c r="F14103" s="9" t="s">
        <v>20107</v>
      </c>
      <c r="G14103" t="inlineStr" s="6">
        <is>
          <t xml:space="preserve">It barely moves, but it’s still alive. Hiding in its shell without food or water seems to have awakened its psychic powers. As it grows inside its shell, it uses its psychic abilities to monitor the outside world and prepare for evolution.</t>
        </is>
      </c>
    </row>
    <row r="14104" ht="33.75" customHeight="1">
      <c r="A14104" s="7">
        <v>825.0</v>
      </c>
      <c r="B14104" s="9" t="s">
        <v>19164</v>
      </c>
      <c r="C14104" s="9" t="s">
        <v>1158</v>
      </c>
      <c r="D14104" s="9" t="s">
        <v>117</v>
      </c>
      <c r="E14104" s="6" t="s">
        <v>12984</v>
      </c>
      <c r="F14104" s="9" t="s">
        <v>20107</v>
      </c>
    </row>
    <row r="14105" ht="33.75" customHeight="1">
      <c r="A14105" s="7">
        <v>826.0</v>
      </c>
      <c r="B14105" s="9" t="s">
        <v>19168</v>
      </c>
      <c r="C14105" s="9" t="s">
        <v>1161</v>
      </c>
      <c r="D14105" s="9" t="s">
        <v>114</v>
      </c>
      <c r="E14105" s="6" t="s">
        <v>12986</v>
      </c>
      <c r="F14105" s="9" t="s">
        <v>20108</v>
      </c>
      <c r="G14105" t="inlineStr" s="6">
        <is>
          <t xml:space="preserve">It’s famous for Orbeetle's high level of intelligence, and the large size of its brain is proof that it also possesses immense psychic power. It emits psychic energy to observe and study what’s around it—and what’s around it can include things over six miles away.</t>
        </is>
      </c>
    </row>
    <row r="14106" ht="33.75" customHeight="1">
      <c r="A14106" s="7">
        <v>826.0</v>
      </c>
      <c r="B14106" s="9" t="s">
        <v>19168</v>
      </c>
      <c r="C14106" s="9" t="s">
        <v>1161</v>
      </c>
      <c r="D14106" s="9" t="s">
        <v>117</v>
      </c>
      <c r="E14106" s="6" t="s">
        <v>12988</v>
      </c>
      <c r="F14106" s="9" t="s">
        <v>20108</v>
      </c>
    </row>
    <row r="14107" ht="33.75" customHeight="1">
      <c r="A14107" s="7">
        <v>827.0</v>
      </c>
      <c r="B14107" s="9" t="s">
        <v>19173</v>
      </c>
      <c r="C14107" s="9" t="s">
        <v>106</v>
      </c>
      <c r="D14107" s="9" t="s">
        <v>114</v>
      </c>
      <c r="E14107" s="6" t="s">
        <v>12989</v>
      </c>
      <c r="F14107" s="9" t="s">
        <v>20109</v>
      </c>
      <c r="G14107" t="inlineStr" s="6">
        <is>
          <t xml:space="preserve">Aided by the soft pads on Nickit's feet, it silently raids the food stores of other Pokémon. It survives off its ill-gotten gains. Cunning and cautious, this Pokémon survives by stealing food from others. It erases its tracks with swipes of its tail as it makes off with its plunder.</t>
        </is>
      </c>
    </row>
    <row r="14108" ht="33.75" customHeight="1">
      <c r="A14108" s="7">
        <v>827.0</v>
      </c>
      <c r="B14108" s="9" t="s">
        <v>19173</v>
      </c>
      <c r="C14108" s="9" t="s">
        <v>106</v>
      </c>
      <c r="D14108" s="9" t="s">
        <v>117</v>
      </c>
      <c r="E14108" s="6" t="s">
        <v>12991</v>
      </c>
      <c r="F14108" s="9" t="s">
        <v>20109</v>
      </c>
    </row>
    <row r="14109" ht="33.75" customHeight="1">
      <c r="A14109" s="7">
        <v>828.0</v>
      </c>
      <c r="B14109" s="9" t="s">
        <v>19176</v>
      </c>
      <c r="C14109" s="9" t="s">
        <v>106</v>
      </c>
      <c r="D14109" s="9" t="s">
        <v>114</v>
      </c>
      <c r="E14109" s="6" t="s">
        <v>12992</v>
      </c>
      <c r="F14109" s="9" t="s">
        <v>20110</v>
      </c>
      <c r="G14109" t="inlineStr" s="6">
        <is>
          <t xml:space="preserve">It secretly marks potential targets with a scent. By following the scent, it stalks its targets and steals from them when they least expect it. With a lithe body and sharp claws, it goes around stealing food and eggs. Boltund is its natural enemy.</t>
        </is>
      </c>
    </row>
    <row r="14110" ht="33.75" customHeight="1">
      <c r="A14110" s="7">
        <v>828.0</v>
      </c>
      <c r="B14110" s="9" t="s">
        <v>19176</v>
      </c>
      <c r="C14110" s="9" t="s">
        <v>106</v>
      </c>
      <c r="D14110" s="9" t="s">
        <v>117</v>
      </c>
      <c r="E14110" s="6" t="s">
        <v>12993</v>
      </c>
      <c r="F14110" s="9" t="s">
        <v>20110</v>
      </c>
    </row>
    <row r="14111" ht="33.75" customHeight="1">
      <c r="A14111" s="7">
        <v>829.0</v>
      </c>
      <c r="B14111" s="9" t="s">
        <v>19179</v>
      </c>
      <c r="C14111" s="9" t="s">
        <v>842</v>
      </c>
      <c r="D14111" s="9" t="s">
        <v>114</v>
      </c>
      <c r="E14111" s="6" t="s">
        <v>12995</v>
      </c>
      <c r="F14111" s="9" t="s">
        <v>20111</v>
      </c>
      <c r="G14111" t="inlineStr" s="6">
        <is>
          <t xml:space="preserve">It anchors itself in the ground with Gossifleur's single leg, then basks in the sun. After absorbing enough sunlight, its petals spread as it blooms brilliantly. It whirls around in the wind while singing a joyous song. This delightful display has charmed many into raising this Pokémon.</t>
        </is>
      </c>
    </row>
    <row r="14112" ht="33.75" customHeight="1">
      <c r="A14112" s="7">
        <v>829.0</v>
      </c>
      <c r="B14112" s="9" t="s">
        <v>19179</v>
      </c>
      <c r="C14112" s="9" t="s">
        <v>842</v>
      </c>
      <c r="D14112" s="9" t="s">
        <v>117</v>
      </c>
      <c r="E14112" s="6" t="s">
        <v>12996</v>
      </c>
      <c r="F14112" s="9" t="s">
        <v>20111</v>
      </c>
    </row>
    <row r="14113" ht="33.75" customHeight="1">
      <c r="A14113" s="7">
        <v>830.0</v>
      </c>
      <c r="B14113" s="9" t="s">
        <v>19182</v>
      </c>
      <c r="C14113" s="9" t="s">
        <v>1162</v>
      </c>
      <c r="D14113" s="9" t="s">
        <v>114</v>
      </c>
      <c r="E14113" s="6" t="s">
        <v>12997</v>
      </c>
      <c r="F14113" s="9" t="s">
        <v>20112</v>
      </c>
      <c r="G14113" t="inlineStr" s="6">
        <is>
          <t xml:space="preserve">The seeds attached to Eldegoss's cotton fluff are full of nutrients. It spreads them on the wind so that plants and other Pokémon can benefit from them. The cotton on the head of this Pokémon can be spun into a glossy, gorgeous yarn—a Galar regional specialty.</t>
        </is>
      </c>
    </row>
    <row r="14114" ht="33.75" customHeight="1">
      <c r="A14114" s="7">
        <v>830.0</v>
      </c>
      <c r="B14114" s="9" t="s">
        <v>19182</v>
      </c>
      <c r="C14114" s="9" t="s">
        <v>1162</v>
      </c>
      <c r="D14114" s="9" t="s">
        <v>117</v>
      </c>
      <c r="E14114" s="6" t="s">
        <v>12999</v>
      </c>
      <c r="F14114" s="9" t="s">
        <v>20112</v>
      </c>
    </row>
    <row r="14115" ht="33.75" customHeight="1">
      <c r="A14115" s="7">
        <v>831.0</v>
      </c>
      <c r="B14115" s="9" t="s">
        <v>19186</v>
      </c>
      <c r="C14115" s="9" t="s">
        <v>1163</v>
      </c>
      <c r="D14115" s="9" t="s">
        <v>114</v>
      </c>
      <c r="E14115" s="6" t="s">
        <v>13000</v>
      </c>
      <c r="F14115" s="9" t="s">
        <v>20113</v>
      </c>
      <c r="G14115" t="inlineStr" s="6">
        <is>
          <t xml:space="preserve">Wooloo's curly fleece is such an effective cushion that this Pokémon could fall off a cliff and stand right back up at the bottom, unharmed. If its fleece grows too long, Wooloo won’t be able to move. Cloth made with the wool of this Pokémon is surprisingly strong.</t>
        </is>
      </c>
    </row>
    <row r="14116" ht="33.75" customHeight="1">
      <c r="A14116" s="7">
        <v>831.0</v>
      </c>
      <c r="B14116" s="9" t="s">
        <v>19186</v>
      </c>
      <c r="C14116" s="9" t="s">
        <v>1163</v>
      </c>
      <c r="D14116" s="9" t="s">
        <v>117</v>
      </c>
      <c r="E14116" s="6" t="s">
        <v>13001</v>
      </c>
      <c r="F14116" s="9" t="s">
        <v>20113</v>
      </c>
    </row>
    <row r="14117" ht="33.75" customHeight="1">
      <c r="A14117" s="7">
        <v>832.0</v>
      </c>
      <c r="B14117" s="9" t="s">
        <v>19190</v>
      </c>
      <c r="C14117" s="9" t="s">
        <v>1163</v>
      </c>
      <c r="D14117" s="9" t="s">
        <v>114</v>
      </c>
      <c r="E14117" s="6" t="s">
        <v>13003</v>
      </c>
      <c r="F14117" s="9" t="s">
        <v>20114</v>
      </c>
      <c r="G14117" t="inlineStr" s="6">
        <is>
          <t xml:space="preserve">Weave a carpet from Dubwool's springy wool, and you end up with something closer to a trampoline. You’ll start to bounce the moment you set foot on it. Its majestic horns are meant only to impress the opposite gender. They never see use in battle.</t>
        </is>
      </c>
    </row>
    <row r="14118" ht="33.75" customHeight="1">
      <c r="A14118" s="7">
        <v>832.0</v>
      </c>
      <c r="B14118" s="9" t="s">
        <v>19190</v>
      </c>
      <c r="C14118" s="9" t="s">
        <v>1163</v>
      </c>
      <c r="D14118" s="9" t="s">
        <v>117</v>
      </c>
      <c r="E14118" s="6" t="s">
        <v>13004</v>
      </c>
      <c r="F14118" s="9" t="s">
        <v>20114</v>
      </c>
    </row>
    <row r="14119" ht="33.75" customHeight="1">
      <c r="A14119" s="7">
        <v>833.0</v>
      </c>
      <c r="B14119" s="9" t="s">
        <v>19193</v>
      </c>
      <c r="C14119" s="9" t="s">
        <v>1165</v>
      </c>
      <c r="D14119" s="9" t="s">
        <v>114</v>
      </c>
      <c r="E14119" s="6" t="s">
        <v>13005</v>
      </c>
      <c r="F14119" s="9" t="s">
        <v>20115</v>
      </c>
      <c r="G14119" t="inlineStr" s="6">
        <is>
          <t xml:space="preserve">Apparently the itch of Chewtle's teething impels it to snap its jaws at anything in front of it. It starts off battles by attacking with its rock-hard horn, but as soon as the opponent flinches, this Pokémon bites down and never lets go.</t>
        </is>
      </c>
    </row>
    <row r="14120" ht="33.75" customHeight="1">
      <c r="A14120" s="7">
        <v>833.0</v>
      </c>
      <c r="B14120" s="9" t="s">
        <v>19193</v>
      </c>
      <c r="C14120" s="9" t="s">
        <v>1165</v>
      </c>
      <c r="D14120" s="9" t="s">
        <v>117</v>
      </c>
      <c r="E14120" s="6" t="s">
        <v>13007</v>
      </c>
      <c r="F14120" s="9" t="s">
        <v>20115</v>
      </c>
    </row>
    <row r="14121" ht="33.75" customHeight="1">
      <c r="A14121" s="7">
        <v>834.0</v>
      </c>
      <c r="B14121" s="9" t="s">
        <v>19198</v>
      </c>
      <c r="C14121" s="9" t="s">
        <v>388</v>
      </c>
      <c r="D14121" s="9" t="s">
        <v>114</v>
      </c>
      <c r="E14121" s="6" t="s">
        <v>13008</v>
      </c>
      <c r="F14121" s="9" t="s">
        <v>20116</v>
      </c>
      <c r="G14121" t="inlineStr" s="6">
        <is>
          <t xml:space="preserve">With jaws that can shear through steel rods, this highly aggressive Pokémon chomps down on Drednaw's unfortunate prey. This Pokémon rapidly extends its retractable neck to sink its sharp fangs into distant enemies and take them down.</t>
        </is>
      </c>
    </row>
    <row r="14122" ht="33.75" customHeight="1">
      <c r="A14122" s="7">
        <v>834.0</v>
      </c>
      <c r="B14122" s="9" t="s">
        <v>19198</v>
      </c>
      <c r="C14122" s="9" t="s">
        <v>388</v>
      </c>
      <c r="D14122" s="9" t="s">
        <v>117</v>
      </c>
      <c r="E14122" s="6" t="s">
        <v>13009</v>
      </c>
      <c r="F14122" s="9" t="s">
        <v>20116</v>
      </c>
    </row>
    <row r="14123" ht="33.75" customHeight="1">
      <c r="A14123" s="7">
        <v>835.0</v>
      </c>
      <c r="B14123" s="9" t="s">
        <v>19201</v>
      </c>
      <c r="C14123" s="9" t="s">
        <v>135</v>
      </c>
      <c r="D14123" s="9" t="s">
        <v>114</v>
      </c>
      <c r="E14123" s="6" t="s">
        <v>13011</v>
      </c>
      <c r="F14123" s="9" t="s">
        <v>20117</v>
      </c>
      <c r="G14123" t="inlineStr" s="6">
        <is>
          <t xml:space="preserve">This Pokémon is very popular as a herding dog in the Galar region. As it runs, it generates electricity from the base of its tail. This gluttonous Pokémon only assists people with their work because it wants treats. As it runs, it crackles with electricity.</t>
        </is>
      </c>
    </row>
    <row r="14124" ht="33.75" customHeight="1">
      <c r="A14124" s="7">
        <v>835.0</v>
      </c>
      <c r="B14124" s="9" t="s">
        <v>19201</v>
      </c>
      <c r="C14124" s="9" t="s">
        <v>135</v>
      </c>
      <c r="D14124" s="9" t="s">
        <v>117</v>
      </c>
      <c r="E14124" s="6" t="s">
        <v>13012</v>
      </c>
      <c r="F14124" s="9" t="s">
        <v>20117</v>
      </c>
    </row>
    <row r="14125" ht="33.75" customHeight="1">
      <c r="A14125" s="7">
        <v>836.0</v>
      </c>
      <c r="B14125" s="9" t="s">
        <v>19204</v>
      </c>
      <c r="C14125" s="9" t="s">
        <v>1167</v>
      </c>
      <c r="D14125" s="9" t="s">
        <v>114</v>
      </c>
      <c r="E14125" s="6" t="s">
        <v>13013</v>
      </c>
      <c r="F14125" s="9" t="s">
        <v>20118</v>
      </c>
      <c r="G14125" t="inlineStr" s="6">
        <is>
          <t xml:space="preserve">This Pokémon generates electricity and channels it into Boltund's legs to keep them going strong. Boltund can run nonstop for three full days. It sends electricity through its legs to boost their strength. Running at top speed, it easily breaks 50 mph.</t>
        </is>
      </c>
    </row>
    <row r="14126" ht="33.75" customHeight="1">
      <c r="A14126" s="7">
        <v>836.0</v>
      </c>
      <c r="B14126" s="9" t="s">
        <v>19204</v>
      </c>
      <c r="C14126" s="9" t="s">
        <v>1167</v>
      </c>
      <c r="D14126" s="9" t="s">
        <v>117</v>
      </c>
      <c r="E14126" s="6" t="s">
        <v>13014</v>
      </c>
      <c r="F14126" s="9" t="s">
        <v>20118</v>
      </c>
    </row>
    <row r="14127" ht="33.75" customHeight="1">
      <c r="A14127" s="7">
        <v>837.0</v>
      </c>
      <c r="B14127" s="9" t="s">
        <v>19208</v>
      </c>
      <c r="C14127" s="9" t="s">
        <v>489</v>
      </c>
      <c r="D14127" s="9" t="s">
        <v>114</v>
      </c>
      <c r="E14127" s="6" t="s">
        <v>13016</v>
      </c>
      <c r="F14127" s="9" t="s">
        <v>20119</v>
      </c>
      <c r="G14127" t="inlineStr" s="6">
        <is>
          <t xml:space="preserve">Most of Rolycoly's body has the same composition as coal. Fittingly, this Pokémon was first discovered in coal mines about 400 years ago. It can race around like a unicycle, even on rough, rocky terrain. Burning coal sustains it.</t>
        </is>
      </c>
    </row>
    <row r="14128" ht="33.75" customHeight="1">
      <c r="A14128" s="7">
        <v>837.0</v>
      </c>
      <c r="B14128" s="9" t="s">
        <v>19208</v>
      </c>
      <c r="C14128" s="9" t="s">
        <v>489</v>
      </c>
      <c r="D14128" s="9" t="s">
        <v>117</v>
      </c>
      <c r="E14128" s="6" t="s">
        <v>13017</v>
      </c>
      <c r="F14128" s="9" t="s">
        <v>20119</v>
      </c>
    </row>
    <row r="14129" ht="33.75" customHeight="1">
      <c r="A14129" s="7">
        <v>838.0</v>
      </c>
      <c r="B14129" s="9" t="s">
        <v>19211</v>
      </c>
      <c r="C14129" s="9" t="s">
        <v>489</v>
      </c>
      <c r="D14129" s="9" t="s">
        <v>114</v>
      </c>
      <c r="E14129" s="6" t="s">
        <v>13018</v>
      </c>
      <c r="F14129" s="9" t="s">
        <v>20120</v>
      </c>
      <c r="G14129" t="inlineStr" s="6">
        <is>
          <t xml:space="preserve">It forms coal inside Carkol's body. Coal dropped by this Pokémon once helped fuel the lives of people in the Galar region. By rapidly rolling its legs, it can travel at over 18 mph. The temperature of the flames it breathes exceeds 1,800 degrees Fahrenheit.</t>
        </is>
      </c>
    </row>
    <row r="14130" ht="33.75" customHeight="1">
      <c r="A14130" s="7">
        <v>838.0</v>
      </c>
      <c r="B14130" s="9" t="s">
        <v>19211</v>
      </c>
      <c r="C14130" s="9" t="s">
        <v>489</v>
      </c>
      <c r="D14130" s="9" t="s">
        <v>117</v>
      </c>
      <c r="E14130" s="6" t="s">
        <v>13021</v>
      </c>
      <c r="F14130" s="9" t="s">
        <v>20120</v>
      </c>
    </row>
    <row r="14131" ht="33.75" customHeight="1">
      <c r="A14131" s="7">
        <v>839.0</v>
      </c>
      <c r="B14131" s="9" t="s">
        <v>19214</v>
      </c>
      <c r="C14131" s="9" t="s">
        <v>489</v>
      </c>
      <c r="D14131" s="9" t="s">
        <v>114</v>
      </c>
      <c r="E14131" s="6" t="s">
        <v>13022</v>
      </c>
      <c r="F14131" s="9" t="s">
        <v>20121</v>
      </c>
      <c r="G14131" t="inlineStr" s="6">
        <is>
          <t xml:space="preserve">It’s usually peaceful, but the vandalism of mines enrages it. Offenders will be incinerated with flames that reach 2,700 degrees Fahrenheit. While it’s engaged in battle, its mountain of coal will burn bright red, sending off sparks that scorch the surrounding area.</t>
        </is>
      </c>
    </row>
    <row r="14132" ht="33.75" customHeight="1">
      <c r="A14132" s="7">
        <v>839.0</v>
      </c>
      <c r="B14132" s="9" t="s">
        <v>19214</v>
      </c>
      <c r="C14132" s="9" t="s">
        <v>489</v>
      </c>
      <c r="D14132" s="9" t="s">
        <v>117</v>
      </c>
      <c r="E14132" s="6" t="s">
        <v>13023</v>
      </c>
      <c r="F14132" s="9" t="s">
        <v>20121</v>
      </c>
    </row>
    <row r="14133" ht="33.75" customHeight="1">
      <c r="A14133" s="7">
        <v>840.0</v>
      </c>
      <c r="B14133" s="9" t="s">
        <v>19217</v>
      </c>
      <c r="C14133" s="9" t="s">
        <v>1169</v>
      </c>
      <c r="D14133" s="9" t="s">
        <v>114</v>
      </c>
      <c r="E14133" s="6" t="s">
        <v>13024</v>
      </c>
      <c r="F14133" s="9" t="s">
        <v>20122</v>
      </c>
      <c r="G14133" t="inlineStr" s="6">
        <is>
          <t xml:space="preserve">It spends Applin's entire life inside an apple. It hides from its natural enemies, bird Pokémon, by pretending it’s just an apple and nothing more. As soon as it’s born, it burrows into an apple. Not only does the apple serve as its food source, but the flavor of the fruit determines its evolution.</t>
        </is>
      </c>
    </row>
    <row r="14134" ht="33.75" customHeight="1">
      <c r="A14134" s="7">
        <v>840.0</v>
      </c>
      <c r="B14134" s="9" t="s">
        <v>19217</v>
      </c>
      <c r="C14134" s="9" t="s">
        <v>1169</v>
      </c>
      <c r="D14134" s="9" t="s">
        <v>117</v>
      </c>
      <c r="E14134" s="6" t="s">
        <v>13025</v>
      </c>
      <c r="F14134" s="9" t="s">
        <v>20122</v>
      </c>
    </row>
    <row r="14135" ht="33.75" customHeight="1">
      <c r="A14135" s="7">
        <v>841.0</v>
      </c>
      <c r="B14135" s="9" t="s">
        <v>19222</v>
      </c>
      <c r="C14135" s="9" t="s">
        <v>1172</v>
      </c>
      <c r="D14135" s="9" t="s">
        <v>114</v>
      </c>
      <c r="E14135" s="6" t="s">
        <v>13027</v>
      </c>
      <c r="F14135" s="9" t="s">
        <v>20123</v>
      </c>
      <c r="G14135" t="inlineStr" s="6">
        <is>
          <t xml:space="preserve">It ate a sour apple, and that induced Flapple's evolution. In its cheeks, it stores an acid capable of causing chemical burns. It flies on wings of apple skin and spits a powerful acid. It can also change its shape into that of an apple.</t>
        </is>
      </c>
    </row>
    <row r="14136" ht="33.75" customHeight="1">
      <c r="A14136" s="7">
        <v>841.0</v>
      </c>
      <c r="B14136" s="9" t="s">
        <v>19222</v>
      </c>
      <c r="C14136" s="9" t="s">
        <v>1172</v>
      </c>
      <c r="D14136" s="9" t="s">
        <v>117</v>
      </c>
      <c r="E14136" s="6" t="s">
        <v>13028</v>
      </c>
      <c r="F14136" s="9" t="s">
        <v>20123</v>
      </c>
    </row>
    <row r="14137" ht="33.75" customHeight="1">
      <c r="A14137" s="7">
        <v>842.0</v>
      </c>
      <c r="B14137" s="9" t="s">
        <v>19226</v>
      </c>
      <c r="C14137" s="9" t="s">
        <v>1173</v>
      </c>
      <c r="D14137" s="9" t="s">
        <v>114</v>
      </c>
      <c r="E14137" s="6" t="s">
        <v>13029</v>
      </c>
      <c r="F14137" s="9" t="s">
        <v>20124</v>
      </c>
      <c r="G14137" t="inlineStr" s="6">
        <is>
          <t xml:space="preserve">Eating a sweet apple caused Appletun's evolution. A nectarous scent wafts from its body, luring in the bug Pokémon it preys on. Its body is covered in sweet nectar, and the skin on its back is especially yummy. Children used to have it as a snack.</t>
        </is>
      </c>
    </row>
    <row r="14138" ht="33.75" customHeight="1">
      <c r="A14138" s="7">
        <v>842.0</v>
      </c>
      <c r="B14138" s="9" t="s">
        <v>19226</v>
      </c>
      <c r="C14138" s="9" t="s">
        <v>1173</v>
      </c>
      <c r="D14138" s="9" t="s">
        <v>117</v>
      </c>
      <c r="E14138" s="6" t="s">
        <v>13031</v>
      </c>
      <c r="F14138" s="9" t="s">
        <v>20124</v>
      </c>
    </row>
    <row r="14139" ht="33.75" customHeight="1">
      <c r="A14139" s="7">
        <v>843.0</v>
      </c>
      <c r="B14139" s="9" t="s">
        <v>19230</v>
      </c>
      <c r="C14139" s="9" t="s">
        <v>1175</v>
      </c>
      <c r="D14139" s="9" t="s">
        <v>114</v>
      </c>
      <c r="E14139" s="6" t="s">
        <v>13033</v>
      </c>
      <c r="F14139" s="9" t="s">
        <v>20125</v>
      </c>
      <c r="G14139" t="inlineStr" s="6">
        <is>
          <t xml:space="preserve">As it digs, it swallows sand and stores it in Silicobra's neck pouch. The pouch can hold more than 17 pounds of sand. It spews sand from its nostrils. While the enemy is blinded, it burrows into the ground to hide.</t>
        </is>
      </c>
    </row>
    <row r="14140" ht="33.75" customHeight="1">
      <c r="A14140" s="7">
        <v>843.0</v>
      </c>
      <c r="B14140" s="9" t="s">
        <v>19230</v>
      </c>
      <c r="C14140" s="9" t="s">
        <v>1175</v>
      </c>
      <c r="D14140" s="9" t="s">
        <v>117</v>
      </c>
      <c r="E14140" s="6" t="s">
        <v>13034</v>
      </c>
      <c r="F14140" s="9" t="s">
        <v>20125</v>
      </c>
    </row>
    <row r="14141" ht="33.75" customHeight="1">
      <c r="A14141" s="7">
        <v>844.0</v>
      </c>
      <c r="B14141" s="9" t="s">
        <v>19234</v>
      </c>
      <c r="C14141" s="9" t="s">
        <v>1175</v>
      </c>
      <c r="D14141" s="9" t="s">
        <v>114</v>
      </c>
      <c r="E14141" s="6" t="s">
        <v>13037</v>
      </c>
      <c r="F14141" s="9" t="s">
        <v>20126</v>
      </c>
      <c r="G14141" t="inlineStr" s="6">
        <is>
          <t xml:space="preserve">When it contracts Sandaconda's body, over 220 pounds of sand sprays from its nose. If it ever runs out of sand, it becomes disheartened. Its unique style of coiling allows it to blast sand out of its sand sac more efficiently.</t>
        </is>
      </c>
    </row>
    <row r="14142" ht="33.75" customHeight="1">
      <c r="A14142" s="7">
        <v>844.0</v>
      </c>
      <c r="B14142" s="9" t="s">
        <v>19234</v>
      </c>
      <c r="C14142" s="9" t="s">
        <v>1175</v>
      </c>
      <c r="D14142" s="9" t="s">
        <v>117</v>
      </c>
      <c r="E14142" s="6" t="s">
        <v>13039</v>
      </c>
      <c r="F14142" s="9" t="s">
        <v>20126</v>
      </c>
    </row>
    <row r="14143" ht="33.75" customHeight="1">
      <c r="A14143" s="7">
        <v>845.0</v>
      </c>
      <c r="B14143" s="9" t="s">
        <v>19237</v>
      </c>
      <c r="C14143" s="9" t="s">
        <v>1176</v>
      </c>
      <c r="D14143" s="9" t="s">
        <v>114</v>
      </c>
      <c r="E14143" s="6" t="s">
        <v>13043</v>
      </c>
      <c r="F14143" s="9" t="s">
        <v>20127</v>
      </c>
      <c r="G14143" t="inlineStr" s="6">
        <is>
          <t xml:space="preserve">Cramorant’s so strong that it can knock out some opponents in a single hit, but it also may forget what it’s battling midfight. This hungry Pokémon swallows Arrokuda whole. Occasionally, it makes a mistake and tries to swallow a Pokémon other than its preferred prey.</t>
        </is>
      </c>
    </row>
    <row r="14144" ht="33.75" customHeight="1">
      <c r="A14144" s="7">
        <v>845.0</v>
      </c>
      <c r="B14144" s="9" t="s">
        <v>19237</v>
      </c>
      <c r="C14144" s="9" t="s">
        <v>1176</v>
      </c>
      <c r="D14144" s="9" t="s">
        <v>117</v>
      </c>
      <c r="E14144" s="6" t="s">
        <v>13045</v>
      </c>
      <c r="F14144" s="9" t="s">
        <v>20127</v>
      </c>
    </row>
    <row r="14145" ht="33.75" customHeight="1">
      <c r="A14145" s="7">
        <v>846.0</v>
      </c>
      <c r="B14145" s="9" t="s">
        <v>19242</v>
      </c>
      <c r="C14145" s="9" t="s">
        <v>1177</v>
      </c>
      <c r="D14145" s="9" t="s">
        <v>114</v>
      </c>
      <c r="E14145" s="6" t="s">
        <v>13047</v>
      </c>
      <c r="F14145" s="9" t="s">
        <v>20128</v>
      </c>
      <c r="G14145" t="inlineStr" s="6">
        <is>
          <t xml:space="preserve">If it sees any movement around it, this Pokémon charges for it straightaway, leading with Arrokuda's sharply pointed jaw. It’s very proud of that jaw. After it’s eaten its fill, its movements become extremely sluggish. That’s when Cramorant swallows it up.</t>
        </is>
      </c>
    </row>
    <row r="14146" ht="33.75" customHeight="1">
      <c r="A14146" s="7">
        <v>846.0</v>
      </c>
      <c r="B14146" s="9" t="s">
        <v>19242</v>
      </c>
      <c r="C14146" s="9" t="s">
        <v>1177</v>
      </c>
      <c r="D14146" s="9" t="s">
        <v>117</v>
      </c>
      <c r="E14146" s="6" t="s">
        <v>13049</v>
      </c>
      <c r="F14146" s="9" t="s">
        <v>20128</v>
      </c>
    </row>
    <row r="14147" ht="33.75" customHeight="1">
      <c r="A14147" s="7">
        <v>847.0</v>
      </c>
      <c r="B14147" s="9" t="s">
        <v>19246</v>
      </c>
      <c r="C14147" s="9" t="s">
        <v>1179</v>
      </c>
      <c r="D14147" s="9" t="s">
        <v>114</v>
      </c>
      <c r="E14147" s="6" t="s">
        <v>13052</v>
      </c>
      <c r="F14147" s="9" t="s">
        <v>20129</v>
      </c>
      <c r="G14147" t="inlineStr" s="6">
        <is>
          <t xml:space="preserve">This Pokémon has a jaw that’s as sharp as a spear and as strong as steel. Apparently Barraskewda’s flesh is surprisingly tasty, too. It spins its tail fins to propel itself, surging forward at speeds of over 100 knots before ramming prey and spearing into them.</t>
        </is>
      </c>
    </row>
    <row r="14148" ht="33.75" customHeight="1">
      <c r="A14148" s="7">
        <v>847.0</v>
      </c>
      <c r="B14148" s="9" t="s">
        <v>19246</v>
      </c>
      <c r="C14148" s="9" t="s">
        <v>1179</v>
      </c>
      <c r="D14148" s="9" t="s">
        <v>117</v>
      </c>
      <c r="E14148" s="6" t="s">
        <v>13053</v>
      </c>
      <c r="F14148" s="9" t="s">
        <v>20129</v>
      </c>
    </row>
    <row r="14149" ht="33.75" customHeight="1">
      <c r="A14149" s="7">
        <v>848.0</v>
      </c>
      <c r="B14149" s="9" t="s">
        <v>19250</v>
      </c>
      <c r="C14149" s="9" t="s">
        <v>1180</v>
      </c>
      <c r="D14149" s="9" t="s">
        <v>114</v>
      </c>
      <c r="E14149" s="6" t="s">
        <v>13055</v>
      </c>
      <c r="F14149" s="9" t="s">
        <v>20130</v>
      </c>
      <c r="G14149" t="inlineStr" s="6">
        <is>
          <t xml:space="preserve">It stores poison in an internal poison sac and secretes that poison through Toxel's skin. If you touch this Pokémon, a tingling sensation follows. It manipulates the chemical makeup of its poison to produce electricity. The voltage is weak, but it can cause a tingling paralysis.</t>
        </is>
      </c>
    </row>
    <row r="14150" ht="33.75" customHeight="1">
      <c r="A14150" s="7">
        <v>848.0</v>
      </c>
      <c r="B14150" s="9" t="s">
        <v>19250</v>
      </c>
      <c r="C14150" s="9" t="s">
        <v>1180</v>
      </c>
      <c r="D14150" s="9" t="s">
        <v>117</v>
      </c>
      <c r="E14150" s="6" t="s">
        <v>13057</v>
      </c>
      <c r="F14150" s="9" t="s">
        <v>20130</v>
      </c>
    </row>
    <row r="14151" ht="33.75" customHeight="1">
      <c r="A14151" s="7">
        <v>849.0</v>
      </c>
      <c r="B14151" s="9" t="s">
        <v>19255</v>
      </c>
      <c r="C14151" s="9" t="s">
        <v>1182</v>
      </c>
      <c r="D14151" s="9" t="s">
        <v>114</v>
      </c>
      <c r="E14151" s="6" t="s">
        <v>13058</v>
      </c>
      <c r="F14151" s="9" t="s">
        <v>20131</v>
      </c>
      <c r="G14151" t="inlineStr" s="6">
        <is>
          <t xml:space="preserve">When this Pokémon sounds as if it’s strumming a guitar, it’s actually clawing at the protrusions on Toxtricity's chest to generate electricity. This short-tempered and aggressive Pokémon chugs stagnant water to absorb any toxins it might contain.</t>
        </is>
      </c>
    </row>
    <row r="14152" ht="33.75" customHeight="1">
      <c r="A14152" s="7">
        <v>849.0</v>
      </c>
      <c r="B14152" s="9" t="s">
        <v>19255</v>
      </c>
      <c r="C14152" s="9" t="s">
        <v>1182</v>
      </c>
      <c r="D14152" s="9" t="s">
        <v>117</v>
      </c>
      <c r="E14152" s="6" t="s">
        <v>13059</v>
      </c>
      <c r="F14152" s="9" t="s">
        <v>20131</v>
      </c>
    </row>
    <row r="14153" ht="33.75" customHeight="1">
      <c r="A14153" s="7">
        <v>850.0</v>
      </c>
      <c r="B14153" s="9" t="s">
        <v>19259</v>
      </c>
      <c r="C14153" s="9" t="s">
        <v>1183</v>
      </c>
      <c r="D14153" s="9" t="s">
        <v>114</v>
      </c>
      <c r="E14153" s="6" t="s">
        <v>13060</v>
      </c>
      <c r="F14153" s="9" t="s">
        <v>20132</v>
      </c>
      <c r="G14153" t="inlineStr" s="6">
        <is>
          <t xml:space="preserve">It stores flammable gas in Sizzlipede's body and uses it to generate heat. The yellow sections on its belly get particularly hot. It wraps prey up with its heated body, cooking them in its coils. Once they’re well-done, it will voraciously nibble them down to the last morsel.</t>
        </is>
      </c>
    </row>
    <row r="14154" ht="33.75" customHeight="1">
      <c r="A14154" s="7">
        <v>850.0</v>
      </c>
      <c r="B14154" s="9" t="s">
        <v>19259</v>
      </c>
      <c r="C14154" s="9" t="s">
        <v>1183</v>
      </c>
      <c r="D14154" s="9" t="s">
        <v>117</v>
      </c>
      <c r="E14154" s="6" t="s">
        <v>13061</v>
      </c>
      <c r="F14154" s="9" t="s">
        <v>20132</v>
      </c>
    </row>
    <row r="14155" ht="33.75" customHeight="1">
      <c r="A14155" s="7">
        <v>851.0</v>
      </c>
      <c r="B14155" s="9" t="s">
        <v>19263</v>
      </c>
      <c r="C14155" s="9" t="s">
        <v>1183</v>
      </c>
      <c r="D14155" s="9" t="s">
        <v>114</v>
      </c>
      <c r="E14155" s="6" t="s">
        <v>13062</v>
      </c>
      <c r="F14155" s="9" t="s">
        <v>20133</v>
      </c>
      <c r="G14155" t="inlineStr" s="6">
        <is>
          <t xml:space="preserve">When it heats up, Centiskorch's body temperature reaches about 1,500 degrees Fahrenheit. It lashes its body like a whip and launches itself at enemies. While its burning body is already dangerous on its own, this excessively hostile Pokémon also has large and very sharp fangs.</t>
        </is>
      </c>
    </row>
    <row r="14156" ht="33.75" customHeight="1">
      <c r="A14156" s="7">
        <v>851.0</v>
      </c>
      <c r="B14156" s="9" t="s">
        <v>19263</v>
      </c>
      <c r="C14156" s="9" t="s">
        <v>1183</v>
      </c>
      <c r="D14156" s="9" t="s">
        <v>117</v>
      </c>
      <c r="E14156" s="6" t="s">
        <v>13064</v>
      </c>
      <c r="F14156" s="9" t="s">
        <v>20133</v>
      </c>
    </row>
    <row r="14157" ht="33.75" customHeight="1">
      <c r="A14157" s="7">
        <v>852.0</v>
      </c>
      <c r="B14157" s="9" t="s">
        <v>19267</v>
      </c>
      <c r="C14157" s="9" t="s">
        <v>1185</v>
      </c>
      <c r="D14157" s="9" t="s">
        <v>114</v>
      </c>
      <c r="E14157" s="6" t="s">
        <v>13065</v>
      </c>
      <c r="F14157" s="9" t="s">
        <v>20134</v>
      </c>
      <c r="G14157" t="inlineStr" s="6">
        <is>
          <t xml:space="preserve">It’s very curious, but Clobbopus's means of investigating things is to try to punch them with its tentacles. The search for food is what brings it onto land. Its tentacles tear off easily, but it isn’t alarmed when that happens—it knows they’ll grow back. It’s about as smart as a three-year-old.</t>
        </is>
      </c>
    </row>
    <row r="14158" ht="33.75" customHeight="1">
      <c r="A14158" s="7">
        <v>852.0</v>
      </c>
      <c r="B14158" s="9" t="s">
        <v>19267</v>
      </c>
      <c r="C14158" s="9" t="s">
        <v>1185</v>
      </c>
      <c r="D14158" s="9" t="s">
        <v>117</v>
      </c>
      <c r="E14158" s="6" t="s">
        <v>13066</v>
      </c>
      <c r="F14158" s="9" t="s">
        <v>20134</v>
      </c>
    </row>
    <row r="14159" ht="33.75" customHeight="1">
      <c r="A14159" s="7">
        <v>853.0</v>
      </c>
      <c r="B14159" s="9" t="s">
        <v>19271</v>
      </c>
      <c r="C14159" s="9" t="s">
        <v>1187</v>
      </c>
      <c r="D14159" s="9" t="s">
        <v>114</v>
      </c>
      <c r="E14159" s="6" t="s">
        <v>13068</v>
      </c>
      <c r="F14159" s="9" t="s">
        <v>20135</v>
      </c>
      <c r="G14159" t="inlineStr" s="6">
        <is>
          <t xml:space="preserve">A body made up of nothing but muscle makes the grappling moves this Pokémon performs with Grapploct's tentacles tremendously powerful. Searching for an opponent to test its skills against, it emerges onto land. Once the battle is over, it returns to the sea.</t>
        </is>
      </c>
    </row>
    <row r="14160" ht="33.75" customHeight="1">
      <c r="A14160" s="7">
        <v>853.0</v>
      </c>
      <c r="B14160" s="9" t="s">
        <v>19271</v>
      </c>
      <c r="C14160" s="9" t="s">
        <v>1187</v>
      </c>
      <c r="D14160" s="9" t="s">
        <v>117</v>
      </c>
      <c r="E14160" s="6" t="s">
        <v>13070</v>
      </c>
      <c r="F14160" s="9" t="s">
        <v>20135</v>
      </c>
    </row>
    <row r="14161" ht="33.75" customHeight="1">
      <c r="A14161" s="7">
        <v>854.0</v>
      </c>
      <c r="B14161" s="9" t="s">
        <v>19276</v>
      </c>
      <c r="C14161" s="9" t="s">
        <v>1188</v>
      </c>
      <c r="D14161" s="9" t="s">
        <v>114</v>
      </c>
      <c r="E14161" s="6" t="s">
        <v>13072</v>
      </c>
      <c r="F14161" s="9" t="s">
        <v>20136</v>
      </c>
      <c r="G14161" t="inlineStr" s="6">
        <is>
          <t xml:space="preserve">This Pokémon is said to have been born when a lonely spirit possessed a cold, leftover cup of tea. The teacup in which this Pokémon makes its home is a famous piece of antique tableware. Many forgeries are in circulation.</t>
        </is>
      </c>
    </row>
    <row r="14162" ht="33.75" customHeight="1">
      <c r="A14162" s="7">
        <v>854.0</v>
      </c>
      <c r="B14162" s="9" t="s">
        <v>19276</v>
      </c>
      <c r="C14162" s="9" t="s">
        <v>1188</v>
      </c>
      <c r="D14162" s="9" t="s">
        <v>117</v>
      </c>
      <c r="E14162" s="6" t="s">
        <v>13075</v>
      </c>
      <c r="F14162" s="9" t="s">
        <v>20136</v>
      </c>
    </row>
    <row r="14163" ht="33.75" customHeight="1">
      <c r="A14163" s="7">
        <v>855.0</v>
      </c>
      <c r="B14163" s="9" t="s">
        <v>19280</v>
      </c>
      <c r="C14163" s="9" t="s">
        <v>1188</v>
      </c>
      <c r="D14163" s="9" t="s">
        <v>114</v>
      </c>
      <c r="E14163" s="6" t="s">
        <v>13077</v>
      </c>
      <c r="F14163" s="9" t="s">
        <v>20137</v>
      </c>
      <c r="G14163" t="inlineStr" s="6">
        <is>
          <t xml:space="preserve">This species lives in antique teapots. Most pots are forgeries, but on rare occasions, an authentic work is found. Leaving leftover black tea unattended is asking for this Pokémon to come along and pour itself into it, turning the tea into a new Polteageist.</t>
        </is>
      </c>
    </row>
    <row r="14164" ht="33.75" customHeight="1">
      <c r="A14164" s="7">
        <v>855.0</v>
      </c>
      <c r="B14164" s="9" t="s">
        <v>19280</v>
      </c>
      <c r="C14164" s="9" t="s">
        <v>1188</v>
      </c>
      <c r="D14164" s="9" t="s">
        <v>117</v>
      </c>
      <c r="E14164" s="6" t="s">
        <v>13079</v>
      </c>
      <c r="F14164" s="9" t="s">
        <v>20137</v>
      </c>
    </row>
    <row r="14165" ht="33.75" customHeight="1">
      <c r="A14165" s="7">
        <v>856.0</v>
      </c>
      <c r="B14165" s="9" t="s">
        <v>19284</v>
      </c>
      <c r="C14165" s="9" t="s">
        <v>1190</v>
      </c>
      <c r="D14165" s="9" t="s">
        <v>114</v>
      </c>
      <c r="E14165" s="6" t="s">
        <v>13081</v>
      </c>
      <c r="F14165" s="9" t="s">
        <v>20138</v>
      </c>
      <c r="G14165" t="inlineStr" s="6">
        <is>
          <t xml:space="preserve">Via the protrusion on Hatenna's head, it senses other creatures’ emotions. If you don’t have a calm disposition, it will never warm up to you. If this Pokémon senses a strong emotion, it will run away as fast as it can. It prefers areas without people.</t>
        </is>
      </c>
    </row>
    <row r="14166" ht="33.75" customHeight="1">
      <c r="A14166" s="7">
        <v>856.0</v>
      </c>
      <c r="B14166" s="9" t="s">
        <v>19284</v>
      </c>
      <c r="C14166" s="9" t="s">
        <v>1190</v>
      </c>
      <c r="D14166" s="9" t="s">
        <v>117</v>
      </c>
      <c r="E14166" s="6" t="s">
        <v>13086</v>
      </c>
      <c r="F14166" s="9" t="s">
        <v>20138</v>
      </c>
    </row>
    <row r="14167" ht="33.75" customHeight="1">
      <c r="A14167" s="7">
        <v>857.0</v>
      </c>
      <c r="B14167" s="9" t="s">
        <v>19287</v>
      </c>
      <c r="C14167" s="9" t="s">
        <v>1191</v>
      </c>
      <c r="D14167" s="9" t="s">
        <v>114</v>
      </c>
      <c r="E14167" s="6" t="s">
        <v>13088</v>
      </c>
      <c r="F14167" s="9" t="s">
        <v>20139</v>
      </c>
      <c r="G14167" t="inlineStr" s="6">
        <is>
          <t xml:space="preserve">No matter who you are, if you bring strong emotions near this Pokémon, Hattrem will silence you violently. Using the braids on its head, it pummels foes to get them to quiet down. One blow from those braids would knock out a professional boxer.</t>
        </is>
      </c>
    </row>
    <row r="14168" ht="33.75" customHeight="1">
      <c r="A14168" s="7">
        <v>857.0</v>
      </c>
      <c r="B14168" s="9" t="s">
        <v>19287</v>
      </c>
      <c r="C14168" s="9" t="s">
        <v>1191</v>
      </c>
      <c r="D14168" s="9" t="s">
        <v>117</v>
      </c>
      <c r="E14168" s="6" t="s">
        <v>13090</v>
      </c>
      <c r="F14168" s="9" t="s">
        <v>20139</v>
      </c>
    </row>
    <row r="14169" ht="33.75" customHeight="1">
      <c r="A14169" s="7">
        <v>858.0</v>
      </c>
      <c r="B14169" s="9" t="s">
        <v>19290</v>
      </c>
      <c r="C14169" s="9" t="s">
        <v>1194</v>
      </c>
      <c r="D14169" s="9" t="s">
        <v>114</v>
      </c>
      <c r="E14169" s="6" t="s">
        <v>13092</v>
      </c>
      <c r="F14169" s="9" t="s">
        <v>20140</v>
      </c>
      <c r="G14169" t="inlineStr" s="6">
        <is>
          <t xml:space="preserve">It emits psychic power strong enough to cause headaches as a deterrent to the approach of others. If you’re too loud around it, you risk being torn apart by the claws on its tentacle. This Pokémon is also known as the Forest Witch.</t>
        </is>
      </c>
    </row>
    <row r="14170" ht="33.75" customHeight="1">
      <c r="A14170" s="7">
        <v>858.0</v>
      </c>
      <c r="B14170" s="9" t="s">
        <v>19290</v>
      </c>
      <c r="C14170" s="9" t="s">
        <v>1194</v>
      </c>
      <c r="D14170" s="9" t="s">
        <v>117</v>
      </c>
      <c r="E14170" s="6" t="s">
        <v>13093</v>
      </c>
      <c r="F14170" s="9" t="s">
        <v>20140</v>
      </c>
    </row>
    <row r="14171" ht="33.75" customHeight="1">
      <c r="A14171" s="7">
        <v>859.0</v>
      </c>
      <c r="B14171" s="9" t="s">
        <v>19294</v>
      </c>
      <c r="C14171" s="9" t="s">
        <v>403</v>
      </c>
      <c r="D14171" s="9" t="s">
        <v>114</v>
      </c>
      <c r="E14171" s="6" t="s">
        <v>13095</v>
      </c>
      <c r="F14171" s="9" t="s">
        <v>20141</v>
      </c>
      <c r="G14171" t="inlineStr" s="6">
        <is>
          <t xml:space="preserve">Through Impidimp's nose, it sucks in the emanations produced by people and Pokémon when they feel annoyed. It thrives off this negative energy. It sneaks into people’s homes, stealing things and feasting on the negative energy of the frustrated occupants.</t>
        </is>
      </c>
    </row>
    <row r="14172" ht="33.75" customHeight="1">
      <c r="A14172" s="7">
        <v>859.0</v>
      </c>
      <c r="B14172" s="9" t="s">
        <v>19294</v>
      </c>
      <c r="C14172" s="9" t="s">
        <v>403</v>
      </c>
      <c r="D14172" s="9" t="s">
        <v>117</v>
      </c>
      <c r="E14172" s="6" t="s">
        <v>13097</v>
      </c>
      <c r="F14172" s="9" t="s">
        <v>20141</v>
      </c>
    </row>
    <row r="14173" ht="33.75" customHeight="1">
      <c r="A14173" s="7">
        <v>860.0</v>
      </c>
      <c r="B14173" s="9" t="s">
        <v>19298</v>
      </c>
      <c r="C14173" s="9" t="s">
        <v>771</v>
      </c>
      <c r="D14173" s="9" t="s">
        <v>114</v>
      </c>
      <c r="E14173" s="6" t="s">
        <v>13099</v>
      </c>
      <c r="F14173" s="9" t="s">
        <v>20142</v>
      </c>
      <c r="G14173" t="inlineStr" s="6">
        <is>
          <t xml:space="preserve">When it gets down on all fours as if to beg for forgiveness, it’s trying to lure opponents in so that it can stab them with Morgrem's spear-like hair. With sly cunning, it tries to lure people into the woods. Some believe it to have the power to make crops grow.</t>
        </is>
      </c>
    </row>
    <row r="14174" ht="33.75" customHeight="1">
      <c r="A14174" s="7">
        <v>860.0</v>
      </c>
      <c r="B14174" s="9" t="s">
        <v>19298</v>
      </c>
      <c r="C14174" s="9" t="s">
        <v>771</v>
      </c>
      <c r="D14174" s="9" t="s">
        <v>117</v>
      </c>
      <c r="E14174" s="6" t="s">
        <v>13101</v>
      </c>
      <c r="F14174" s="9" t="s">
        <v>20142</v>
      </c>
    </row>
    <row r="14175" ht="33.75" customHeight="1">
      <c r="A14175" s="7">
        <v>861.0</v>
      </c>
      <c r="B14175" s="9" t="s">
        <v>19301</v>
      </c>
      <c r="C14175" s="9" t="s">
        <v>1195</v>
      </c>
      <c r="D14175" s="9" t="s">
        <v>114</v>
      </c>
      <c r="E14175" s="6" t="s">
        <v>13102</v>
      </c>
      <c r="F14175" s="9" t="s">
        <v>20143</v>
      </c>
      <c r="G14175" t="inlineStr" s="6">
        <is>
          <t xml:space="preserve">With the hair wrapped around Grimmsnarl's body helping to enhance its muscles, this Pokémon can overwhelm even Machamp. Its hairs work like muscle fibers. When its hairs unfurl, they latch on to opponents, ensnaring them as tentacles would.</t>
        </is>
      </c>
    </row>
    <row r="14176" ht="33.75" customHeight="1">
      <c r="A14176" s="7">
        <v>861.0</v>
      </c>
      <c r="B14176" s="9" t="s">
        <v>19301</v>
      </c>
      <c r="C14176" s="9" t="s">
        <v>1195</v>
      </c>
      <c r="D14176" s="9" t="s">
        <v>117</v>
      </c>
      <c r="E14176" s="6" t="s">
        <v>13103</v>
      </c>
      <c r="F14176" s="9" t="s">
        <v>20143</v>
      </c>
    </row>
    <row r="14177" ht="33.75" customHeight="1">
      <c r="A14177" s="7">
        <v>862.0</v>
      </c>
      <c r="B14177" s="9" t="s">
        <v>19305</v>
      </c>
      <c r="C14177" s="9" t="s">
        <v>1197</v>
      </c>
      <c r="D14177" s="9" t="s">
        <v>114</v>
      </c>
      <c r="E14177" s="6" t="s">
        <v>13104</v>
      </c>
      <c r="F14177" s="9" t="s">
        <v>20144</v>
      </c>
      <c r="G14177" t="inlineStr" s="6">
        <is>
          <t xml:space="preserve">Obstagoon's voice is staggering in volume. Obstagoon has a tendency to take on a threatening posture and shout—this move is known as Obstruct. It evolved after experiencing numerous fights. While crossing its arms, it lets out a shout that would make any opponent flinch.</t>
        </is>
      </c>
    </row>
    <row r="14178" ht="33.75" customHeight="1">
      <c r="A14178" s="7">
        <v>862.0</v>
      </c>
      <c r="B14178" s="9" t="s">
        <v>19305</v>
      </c>
      <c r="C14178" s="9" t="s">
        <v>1197</v>
      </c>
      <c r="D14178" s="9" t="s">
        <v>117</v>
      </c>
      <c r="E14178" s="6" t="s">
        <v>13105</v>
      </c>
      <c r="F14178" s="9" t="s">
        <v>20144</v>
      </c>
    </row>
    <row r="14179" ht="33.75" customHeight="1">
      <c r="A14179" s="7">
        <v>863.0</v>
      </c>
      <c r="B14179" s="9" t="s">
        <v>19309</v>
      </c>
      <c r="C14179" s="9" t="s">
        <v>1199</v>
      </c>
      <c r="D14179" s="9" t="s">
        <v>114</v>
      </c>
      <c r="E14179" s="6" t="s">
        <v>13106</v>
      </c>
      <c r="F14179" s="9" t="s">
        <v>20145</v>
      </c>
      <c r="G14179" t="inlineStr" s="6">
        <is>
          <t xml:space="preserve">What appears to be an iron helmet is actually hardened hair. This Pokémon lives for the thrill of battle. After many battles, it evolved dangerous claws that come together to form daggers when extended.</t>
        </is>
      </c>
    </row>
    <row r="14180" ht="33.75" customHeight="1">
      <c r="A14180" s="7">
        <v>863.0</v>
      </c>
      <c r="B14180" s="9" t="s">
        <v>19309</v>
      </c>
      <c r="C14180" s="9" t="s">
        <v>1199</v>
      </c>
      <c r="D14180" s="9" t="s">
        <v>117</v>
      </c>
      <c r="E14180" s="6" t="s">
        <v>13107</v>
      </c>
      <c r="F14180" s="9" t="s">
        <v>20145</v>
      </c>
    </row>
    <row r="14181" ht="33.75" customHeight="1">
      <c r="A14181" s="7">
        <v>864.0</v>
      </c>
      <c r="B14181" s="9" t="s">
        <v>19313</v>
      </c>
      <c r="C14181" s="9" t="s">
        <v>335</v>
      </c>
      <c r="D14181" s="9" t="s">
        <v>114</v>
      </c>
      <c r="E14181" s="6" t="s">
        <v>13108</v>
      </c>
      <c r="F14181" s="9" t="s">
        <v>20146</v>
      </c>
      <c r="G14181" t="inlineStr" s="6">
        <is>
          <t xml:space="preserve">Cursola's shell is overflowing with its heightened otherworldly energy. The ectoplasm serves as protection for this Pokémon’s core spirit. Be cautious of the ectoplasmic body surrounding its soul. You’ll become stiff as stone if you touch it.</t>
        </is>
      </c>
    </row>
    <row r="14182" ht="33.75" customHeight="1">
      <c r="A14182" s="7">
        <v>864.0</v>
      </c>
      <c r="B14182" s="9" t="s">
        <v>19313</v>
      </c>
      <c r="C14182" s="9" t="s">
        <v>335</v>
      </c>
      <c r="D14182" s="9" t="s">
        <v>117</v>
      </c>
      <c r="E14182" s="6" t="s">
        <v>13109</v>
      </c>
      <c r="F14182" s="9" t="s">
        <v>20146</v>
      </c>
    </row>
    <row r="14183" ht="33.75" customHeight="1">
      <c r="A14183" s="7">
        <v>865.0</v>
      </c>
      <c r="B14183" s="9" t="s">
        <v>19317</v>
      </c>
      <c r="C14183" s="9" t="s">
        <v>154</v>
      </c>
      <c r="D14183" s="9" t="s">
        <v>114</v>
      </c>
      <c r="E14183" s="6" t="s">
        <v>13110</v>
      </c>
      <c r="F14183" s="9" t="s">
        <v>20147</v>
      </c>
      <c r="G14183" t="inlineStr" s="6">
        <is>
          <t xml:space="preserve">Only Farfetch’d that have survived many battles can attain this evolution. When this Pokémon’s leek withers, it will retire from combat. After deflecting attacks with its hard leaf shield, it strikes back with its sharp leek stalk. The leek stalk is both weapon and food.</t>
        </is>
      </c>
    </row>
    <row r="14184" ht="33.75" customHeight="1">
      <c r="A14184" s="7">
        <v>865.0</v>
      </c>
      <c r="B14184" s="9" t="s">
        <v>19317</v>
      </c>
      <c r="C14184" s="9" t="s">
        <v>154</v>
      </c>
      <c r="D14184" s="9" t="s">
        <v>117</v>
      </c>
      <c r="E14184" s="6" t="s">
        <v>13111</v>
      </c>
      <c r="F14184" s="9" t="s">
        <v>20147</v>
      </c>
    </row>
    <row r="14185" ht="33.75" customHeight="1">
      <c r="A14185" s="7">
        <v>866.0</v>
      </c>
      <c r="B14185" s="9" t="s">
        <v>19320</v>
      </c>
      <c r="C14185" s="9" t="s">
        <v>1200</v>
      </c>
      <c r="D14185" s="9" t="s">
        <v>114</v>
      </c>
      <c r="E14185" s="6" t="s">
        <v>13113</v>
      </c>
      <c r="F14185" s="9" t="s">
        <v>20148</v>
      </c>
      <c r="G14185" t="inlineStr" s="6">
        <is>
          <t xml:space="preserve">It’s highly skilled at tap-dancing. It waves its cane of ice in time with its graceful movements. Its amusing movements make it very popular. It releases its psychic power from the pattern on its belly.</t>
        </is>
      </c>
    </row>
    <row r="14186" ht="33.75" customHeight="1">
      <c r="A14186" s="7">
        <v>866.0</v>
      </c>
      <c r="B14186" s="9" t="s">
        <v>19320</v>
      </c>
      <c r="C14186" s="9" t="s">
        <v>1200</v>
      </c>
      <c r="D14186" s="9" t="s">
        <v>117</v>
      </c>
      <c r="E14186" s="6" t="s">
        <v>13115</v>
      </c>
      <c r="F14186" s="9" t="s">
        <v>20148</v>
      </c>
    </row>
    <row r="14187" ht="33.75" customHeight="1">
      <c r="A14187" s="7">
        <v>867.0</v>
      </c>
      <c r="B14187" s="9" t="s">
        <v>19324</v>
      </c>
      <c r="C14187" s="9" t="s">
        <v>1202</v>
      </c>
      <c r="D14187" s="9" t="s">
        <v>114</v>
      </c>
      <c r="E14187" s="6" t="s">
        <v>13117</v>
      </c>
      <c r="F14187" s="9" t="s">
        <v>20149</v>
      </c>
      <c r="G14187" t="inlineStr" s="6">
        <is>
          <t xml:space="preserve">A powerful curse was woven into an ancient painting. After absorbing the spirit of a Yamask, the painting began to move. Never touch its shadowlike body, or you’ll be shown the horrific memories behind the picture carved into it.</t>
        </is>
      </c>
    </row>
    <row r="14188" ht="33.75" customHeight="1">
      <c r="A14188" s="7">
        <v>867.0</v>
      </c>
      <c r="B14188" s="9" t="s">
        <v>19324</v>
      </c>
      <c r="C14188" s="9" t="s">
        <v>1202</v>
      </c>
      <c r="D14188" s="9" t="s">
        <v>117</v>
      </c>
      <c r="E14188" s="6" t="s">
        <v>13120</v>
      </c>
      <c r="F14188" s="9" t="s">
        <v>20149</v>
      </c>
    </row>
    <row r="14189" ht="33.75" customHeight="1">
      <c r="A14189" s="7">
        <v>868.0</v>
      </c>
      <c r="B14189" s="9" t="s">
        <v>19329</v>
      </c>
      <c r="C14189" s="9" t="s">
        <v>1204</v>
      </c>
      <c r="D14189" s="9" t="s">
        <v>114</v>
      </c>
      <c r="E14189" s="6" t="s">
        <v>13122</v>
      </c>
      <c r="F14189" s="9" t="s">
        <v>20150</v>
      </c>
      <c r="G14189" t="inlineStr" s="6">
        <is>
          <t xml:space="preserve">This Pokémon was born from sweet-smelling particles in the air. Its body is made of cream. They say that any patisserie visited by Milcery is guaranteed success and good fortune.</t>
        </is>
      </c>
    </row>
    <row r="14190" ht="33.75" customHeight="1">
      <c r="A14190" s="7">
        <v>868.0</v>
      </c>
      <c r="B14190" s="9" t="s">
        <v>19329</v>
      </c>
      <c r="C14190" s="9" t="s">
        <v>1204</v>
      </c>
      <c r="D14190" s="9" t="s">
        <v>117</v>
      </c>
      <c r="E14190" s="6" t="s">
        <v>13124</v>
      </c>
      <c r="F14190" s="9" t="s">
        <v>20150</v>
      </c>
    </row>
    <row r="14191" ht="33.75" customHeight="1">
      <c r="A14191" s="7">
        <v>869.0</v>
      </c>
      <c r="B14191" s="9" t="s">
        <v>19333</v>
      </c>
      <c r="C14191" s="9" t="s">
        <v>1204</v>
      </c>
      <c r="D14191" s="9" t="s">
        <v>114</v>
      </c>
      <c r="E14191" s="6" t="s">
        <v>13126</v>
      </c>
      <c r="F14191" s="9" t="s">
        <v>20151</v>
      </c>
      <c r="G14191" t="inlineStr" s="6">
        <is>
          <t xml:space="preserve">When Alcremie trusts a Trainer, it will treat them to berries it’s decorated with cream. When Alcremie is content, the cream it secretes from its hands becomes sweeter and richer.</t>
        </is>
      </c>
    </row>
    <row r="14192" ht="33.75" customHeight="1">
      <c r="A14192" s="7">
        <v>869.0</v>
      </c>
      <c r="B14192" s="9" t="s">
        <v>19333</v>
      </c>
      <c r="C14192" s="9" t="s">
        <v>1204</v>
      </c>
      <c r="D14192" s="9" t="s">
        <v>117</v>
      </c>
      <c r="E14192" s="6" t="s">
        <v>13128</v>
      </c>
      <c r="F14192" s="9" t="s">
        <v>20151</v>
      </c>
    </row>
    <row r="14193" ht="33.75" customHeight="1">
      <c r="A14193" s="7">
        <v>870.0</v>
      </c>
      <c r="B14193" s="9" t="s">
        <v>19337</v>
      </c>
      <c r="C14193" s="9" t="s">
        <v>1205</v>
      </c>
      <c r="D14193" s="9" t="s">
        <v>114</v>
      </c>
      <c r="E14193" s="6" t="s">
        <v>13129</v>
      </c>
      <c r="F14193" s="9" t="s">
        <v>20152</v>
      </c>
      <c r="G14193" t="inlineStr" s="6">
        <is>
          <t xml:space="preserve">Five of them are troopers, and one is the brass. The brass’s orders are absolute. The six of them work together as one Pokémon. Teamwork is also their battle strategy, and they constantly change their formation as they fight.</t>
        </is>
      </c>
    </row>
    <row r="14194" ht="33.75" customHeight="1">
      <c r="A14194" s="7">
        <v>870.0</v>
      </c>
      <c r="B14194" s="9" t="s">
        <v>19337</v>
      </c>
      <c r="C14194" s="9" t="s">
        <v>1205</v>
      </c>
      <c r="D14194" s="9" t="s">
        <v>117</v>
      </c>
      <c r="E14194" s="6" t="s">
        <v>13131</v>
      </c>
      <c r="F14194" s="9" t="s">
        <v>20152</v>
      </c>
    </row>
    <row r="14195" ht="33.75" customHeight="1">
      <c r="A14195" s="7">
        <v>871.0</v>
      </c>
      <c r="B14195" s="9" t="s">
        <v>19341</v>
      </c>
      <c r="C14195" s="9" t="s">
        <v>1206</v>
      </c>
      <c r="D14195" s="9" t="s">
        <v>114</v>
      </c>
      <c r="E14195" s="6" t="s">
        <v>13132</v>
      </c>
      <c r="F14195" s="9" t="s">
        <v>20153</v>
      </c>
      <c r="G14195" t="inlineStr" s="6">
        <is>
          <t xml:space="preserve">It feeds on seaweed, using Pincurchin's teeth to scrape it off rocks. Electric current flows from the tips of its spines. It stores electricity in each spine. Even if one gets broken off, it still continues to emit electricity for at least three hours.</t>
        </is>
      </c>
    </row>
    <row r="14196" ht="33.75" customHeight="1">
      <c r="A14196" s="7">
        <v>871.0</v>
      </c>
      <c r="B14196" s="9" t="s">
        <v>19341</v>
      </c>
      <c r="C14196" s="9" t="s">
        <v>1206</v>
      </c>
      <c r="D14196" s="9" t="s">
        <v>117</v>
      </c>
      <c r="E14196" s="6" t="s">
        <v>13134</v>
      </c>
      <c r="F14196" s="9" t="s">
        <v>20153</v>
      </c>
    </row>
    <row r="14197" ht="33.75" customHeight="1">
      <c r="A14197" s="7">
        <v>872.0</v>
      </c>
      <c r="B14197" s="9" t="s">
        <v>19345</v>
      </c>
      <c r="C14197" s="9" t="s">
        <v>68</v>
      </c>
      <c r="D14197" s="9" t="s">
        <v>114</v>
      </c>
      <c r="E14197" s="6" t="s">
        <v>13135</v>
      </c>
      <c r="F14197" s="9" t="s">
        <v>20154</v>
      </c>
      <c r="G14197" t="inlineStr" s="6">
        <is>
          <t xml:space="preserve">It spits out thread imbued with a frigid sort of energy and uses it to tie Snom's body to branches, disguising itself as an icicle while it sleeps. It eats snow that piles up on the ground. The more snow it eats, the bigger and more impressive the spikes on its back grow.</t>
        </is>
      </c>
    </row>
    <row r="14198" ht="33.75" customHeight="1">
      <c r="A14198" s="7">
        <v>872.0</v>
      </c>
      <c r="B14198" s="9" t="s">
        <v>19345</v>
      </c>
      <c r="C14198" s="9" t="s">
        <v>68</v>
      </c>
      <c r="D14198" s="9" t="s">
        <v>117</v>
      </c>
      <c r="E14198" s="6" t="s">
        <v>13136</v>
      </c>
      <c r="F14198" s="9" t="s">
        <v>20154</v>
      </c>
    </row>
    <row r="14199" ht="33.75" customHeight="1">
      <c r="A14199" s="7">
        <v>873.0</v>
      </c>
      <c r="B14199" s="9" t="s">
        <v>19348</v>
      </c>
      <c r="C14199" s="9" t="s">
        <v>1207</v>
      </c>
      <c r="D14199" s="9" t="s">
        <v>114</v>
      </c>
      <c r="E14199" s="6" t="s">
        <v>13138</v>
      </c>
      <c r="F14199" s="9" t="s">
        <v>20155</v>
      </c>
      <c r="G14199" t="inlineStr" s="6">
        <is>
          <t xml:space="preserve">Icy scales fall from Frosmoth's wings like snow as it flies over fields and mountains. The temperature of its wings is less than −290 degrees Fahrenheit. It shows no mercy to any who desecrate fields and mountains. It will fly around on its icy wings, causing a blizzard to chase offenders away.</t>
        </is>
      </c>
    </row>
    <row r="14200" ht="33.75" customHeight="1">
      <c r="A14200" s="7">
        <v>873.0</v>
      </c>
      <c r="B14200" s="9" t="s">
        <v>19348</v>
      </c>
      <c r="C14200" s="9" t="s">
        <v>1207</v>
      </c>
      <c r="D14200" s="9" t="s">
        <v>117</v>
      </c>
      <c r="E14200" s="6" t="s">
        <v>13139</v>
      </c>
      <c r="F14200" s="9" t="s">
        <v>20155</v>
      </c>
    </row>
    <row r="14201" ht="33.75" customHeight="1">
      <c r="A14201" s="7">
        <v>874.0</v>
      </c>
      <c r="B14201" s="9" t="s">
        <v>19353</v>
      </c>
      <c r="C14201" s="9" t="s">
        <v>1208</v>
      </c>
      <c r="D14201" s="9" t="s">
        <v>114</v>
      </c>
      <c r="E14201" s="6" t="s">
        <v>13141</v>
      </c>
      <c r="F14201" s="9" t="s">
        <v>20156</v>
      </c>
      <c r="G14201" t="inlineStr" s="6">
        <is>
          <t xml:space="preserve">Stonjourner stands in grasslands, watching the sun’s descent from zenith to horizon. This Pokémon has a talent for delivering dynamic kicks. Once a year, on a specific date and at a specific time, they gather out of nowhere and form up in a circle.</t>
        </is>
      </c>
    </row>
    <row r="14202" ht="33.75" customHeight="1">
      <c r="A14202" s="7">
        <v>874.0</v>
      </c>
      <c r="B14202" s="9" t="s">
        <v>19353</v>
      </c>
      <c r="C14202" s="9" t="s">
        <v>1208</v>
      </c>
      <c r="D14202" s="9" t="s">
        <v>117</v>
      </c>
      <c r="E14202" s="6" t="s">
        <v>13142</v>
      </c>
      <c r="F14202" s="9" t="s">
        <v>20156</v>
      </c>
    </row>
    <row r="14203" ht="33.75" customHeight="1">
      <c r="A14203" s="7">
        <v>875.0</v>
      </c>
      <c r="B14203" s="9" t="s">
        <v>19357</v>
      </c>
      <c r="C14203" s="9" t="s">
        <v>607</v>
      </c>
      <c r="D14203" s="9" t="s">
        <v>114</v>
      </c>
      <c r="E14203" s="6" t="s">
        <v>13143</v>
      </c>
      <c r="F14203" s="9" t="s">
        <v>20157</v>
      </c>
      <c r="G14203" t="inlineStr" s="6">
        <is>
          <t xml:space="preserve">It drifted in on the flow of ocean waters from a frigid place. It keeps its head iced constantly to make sure it stays nice and cold. This Pokémon keeps its heat-sensitive head cool with ice. It fishes for its food, dangling its single hair into the sea to lure in prey.</t>
        </is>
      </c>
    </row>
    <row r="14204" ht="33.75" customHeight="1">
      <c r="A14204" s="7">
        <v>875.0</v>
      </c>
      <c r="B14204" s="9" t="s">
        <v>19357</v>
      </c>
      <c r="C14204" s="9" t="s">
        <v>607</v>
      </c>
      <c r="D14204" s="9" t="s">
        <v>117</v>
      </c>
      <c r="E14204" s="6" t="s">
        <v>13144</v>
      </c>
      <c r="F14204" s="9" t="s">
        <v>20157</v>
      </c>
    </row>
    <row r="14205" ht="33.75" customHeight="1">
      <c r="A14205" s="7">
        <v>876.0</v>
      </c>
      <c r="B14205" s="9" t="s">
        <v>19360</v>
      </c>
      <c r="C14205" s="9" t="s">
        <v>419</v>
      </c>
      <c r="D14205" s="9" t="s">
        <v>114</v>
      </c>
      <c r="E14205" s="6" t="s">
        <v>13145</v>
      </c>
      <c r="F14205" s="9" t="s">
        <v>20158</v>
      </c>
      <c r="G14205" t="inlineStr" s="6">
        <is>
          <t xml:space="preserve">It uses the horns on Indeedee's head to sense the emotions of others. Males will act as valets for those they serve, looking after their every need. Through its horns, it can pick up on the emotions of creatures around it. Positive emotions are the source of its strength.</t>
        </is>
      </c>
    </row>
    <row r="14206" ht="33.75" customHeight="1">
      <c r="A14206" s="7">
        <v>876.0</v>
      </c>
      <c r="B14206" s="9" t="s">
        <v>19360</v>
      </c>
      <c r="C14206" s="9" t="s">
        <v>419</v>
      </c>
      <c r="D14206" s="9" t="s">
        <v>117</v>
      </c>
      <c r="E14206" s="6" t="s">
        <v>13146</v>
      </c>
      <c r="F14206" s="9" t="s">
        <v>20158</v>
      </c>
    </row>
    <row r="14207" ht="33.75" customHeight="1">
      <c r="A14207" s="7">
        <v>877.0</v>
      </c>
      <c r="B14207" s="9" t="s">
        <v>19363</v>
      </c>
      <c r="C14207" s="9" t="s">
        <v>1210</v>
      </c>
      <c r="D14207" s="9" t="s">
        <v>114</v>
      </c>
      <c r="E14207" s="6" t="s">
        <v>13147</v>
      </c>
      <c r="F14207" s="9" t="s">
        <v>20159</v>
      </c>
      <c r="G14207" t="inlineStr" s="6">
        <is>
          <t xml:space="preserve">As it eats the seeds stored up in Morpeko's pocket-like pouches, this Pokémon is not just satisfying its constant hunger. It’s also generating electricity. It carries electrically roasted seeds with it as if they’re precious treasures. No matter how much it eats, it always gets hungry again in short order.</t>
        </is>
      </c>
    </row>
    <row r="14208" ht="33.75" customHeight="1">
      <c r="A14208" s="7">
        <v>877.0</v>
      </c>
      <c r="B14208" s="9" t="s">
        <v>19363</v>
      </c>
      <c r="C14208" s="9" t="s">
        <v>1210</v>
      </c>
      <c r="D14208" s="9" t="s">
        <v>117</v>
      </c>
      <c r="E14208" s="6" t="s">
        <v>13148</v>
      </c>
      <c r="F14208" s="9" t="s">
        <v>20159</v>
      </c>
    </row>
    <row r="14209" ht="33.75" customHeight="1">
      <c r="A14209" s="7">
        <v>878.0</v>
      </c>
      <c r="B14209" s="9" t="s">
        <v>19367</v>
      </c>
      <c r="C14209" s="9" t="s">
        <v>1211</v>
      </c>
      <c r="D14209" s="9" t="s">
        <v>114</v>
      </c>
      <c r="E14209" s="6" t="s">
        <v>13150</v>
      </c>
      <c r="F14209" s="9" t="s">
        <v>20160</v>
      </c>
      <c r="G14209" t="inlineStr" s="6">
        <is>
          <t xml:space="preserve">It digs up the ground with Cufant's trunk. It’s also very strong, being able to carry loads of over five tons without any problem at all. If a job requires serious strength, this Pokémon will excel at it. Its copper body tarnishes in the rain, turning a vibrant green color.</t>
        </is>
      </c>
    </row>
    <row r="14210" ht="33.75" customHeight="1">
      <c r="A14210" s="7">
        <v>878.0</v>
      </c>
      <c r="B14210" s="9" t="s">
        <v>19367</v>
      </c>
      <c r="C14210" s="9" t="s">
        <v>1211</v>
      </c>
      <c r="D14210" s="9" t="s">
        <v>117</v>
      </c>
      <c r="E14210" s="6" t="s">
        <v>13151</v>
      </c>
      <c r="F14210" s="9" t="s">
        <v>20160</v>
      </c>
    </row>
    <row r="14211" ht="33.75" customHeight="1">
      <c r="A14211" s="7">
        <v>879.0</v>
      </c>
      <c r="B14211" s="9" t="s">
        <v>19372</v>
      </c>
      <c r="C14211" s="9" t="s">
        <v>1211</v>
      </c>
      <c r="D14211" s="9" t="s">
        <v>114</v>
      </c>
      <c r="E14211" s="6" t="s">
        <v>13153</v>
      </c>
      <c r="F14211" s="9" t="s">
        <v>20161</v>
      </c>
      <c r="G14211" t="inlineStr" s="6">
        <is>
          <t xml:space="preserve">They came over from another region long ago and worked together with humans. Their green skin is resistant to water. These Pokémon live in herds. Their trunks have incredible grip strength, strong enough to crush giant rocks into powder.</t>
        </is>
      </c>
    </row>
    <row r="14212" ht="33.75" customHeight="1">
      <c r="A14212" s="7">
        <v>879.0</v>
      </c>
      <c r="B14212" s="9" t="s">
        <v>19372</v>
      </c>
      <c r="C14212" s="9" t="s">
        <v>1211</v>
      </c>
      <c r="D14212" s="9" t="s">
        <v>117</v>
      </c>
      <c r="E14212" s="6" t="s">
        <v>13156</v>
      </c>
      <c r="F14212" s="9" t="s">
        <v>20161</v>
      </c>
    </row>
    <row r="14213" ht="33.75" customHeight="1">
      <c r="A14213" s="7">
        <v>880.0</v>
      </c>
      <c r="B14213" s="9" t="s">
        <v>19375</v>
      </c>
      <c r="C14213" s="9" t="s">
        <v>227</v>
      </c>
      <c r="D14213" s="9" t="s">
        <v>114</v>
      </c>
      <c r="E14213" s="6" t="s">
        <v>13158</v>
      </c>
      <c r="F14213" s="9" t="s">
        <v>20162</v>
      </c>
      <c r="G14213" t="inlineStr" s="6">
        <is>
          <t xml:space="preserve">In ancient times, it was unbeatable thanks to Dracozolt's powerful lower body, but it went extinct anyway after it depleted all its plant-based food sources. The powerful muscles in its tail generate its electricity. Compared to its lower body, its upper half is entirely too small.</t>
        </is>
      </c>
    </row>
    <row r="14214" ht="33.75" customHeight="1">
      <c r="A14214" s="7">
        <v>880.0</v>
      </c>
      <c r="B14214" s="9" t="s">
        <v>19375</v>
      </c>
      <c r="C14214" s="9" t="s">
        <v>227</v>
      </c>
      <c r="D14214" s="9" t="s">
        <v>117</v>
      </c>
      <c r="E14214" s="6" t="s">
        <v>13161</v>
      </c>
      <c r="F14214" s="9" t="s">
        <v>20162</v>
      </c>
    </row>
    <row r="14215" ht="33.75" customHeight="1">
      <c r="A14215" s="7">
        <v>881.0</v>
      </c>
      <c r="B14215" s="9" t="s">
        <v>19378</v>
      </c>
      <c r="C14215" s="9" t="s">
        <v>227</v>
      </c>
      <c r="D14215" s="9" t="s">
        <v>114</v>
      </c>
      <c r="E14215" s="6" t="s">
        <v>13163</v>
      </c>
      <c r="F14215" s="9" t="s">
        <v>20163</v>
      </c>
      <c r="G14215" t="inlineStr" s="6">
        <is>
          <t xml:space="preserve">The shaking of Arctozolt's freezing upper half is what generates its electricity. It has a hard time walking around. This Pokémon lived on prehistoric seashores and was able to preserve food with the ice on its body. It went extinct because it moved so slowly.</t>
        </is>
      </c>
    </row>
    <row r="14216" ht="33.75" customHeight="1">
      <c r="A14216" s="7">
        <v>881.0</v>
      </c>
      <c r="B14216" s="9" t="s">
        <v>19378</v>
      </c>
      <c r="C14216" s="9" t="s">
        <v>227</v>
      </c>
      <c r="D14216" s="9" t="s">
        <v>117</v>
      </c>
      <c r="E14216" s="6" t="s">
        <v>13165</v>
      </c>
      <c r="F14216" s="9" t="s">
        <v>20163</v>
      </c>
    </row>
    <row r="14217" ht="33.75" customHeight="1">
      <c r="A14217" s="7">
        <v>882.0</v>
      </c>
      <c r="B14217" s="9" t="s">
        <v>19382</v>
      </c>
      <c r="C14217" s="9" t="s">
        <v>227</v>
      </c>
      <c r="D14217" s="9" t="s">
        <v>114</v>
      </c>
      <c r="E14217" s="6" t="s">
        <v>13167</v>
      </c>
      <c r="F14217" s="9" t="s">
        <v>20164</v>
      </c>
      <c r="G14217" t="inlineStr" s="6">
        <is>
          <t xml:space="preserve">Powerful legs and jaws made it the apex predator of Dracovish's time. Its own overhunting of its prey was what drove it to extinction. Its mighty legs are capable of running at speeds exceeding 40 mph, but this Pokémon can’t breathe unless it’s underwater.</t>
        </is>
      </c>
    </row>
    <row r="14218" ht="33.75" customHeight="1">
      <c r="A14218" s="7">
        <v>882.0</v>
      </c>
      <c r="B14218" s="9" t="s">
        <v>19382</v>
      </c>
      <c r="C14218" s="9" t="s">
        <v>227</v>
      </c>
      <c r="D14218" s="9" t="s">
        <v>117</v>
      </c>
      <c r="E14218" s="6" t="s">
        <v>13168</v>
      </c>
      <c r="F14218" s="9" t="s">
        <v>20164</v>
      </c>
    </row>
    <row r="14219" ht="33.75" customHeight="1">
      <c r="A14219" s="7">
        <v>883.0</v>
      </c>
      <c r="B14219" s="9" t="s">
        <v>19385</v>
      </c>
      <c r="C14219" s="9" t="s">
        <v>227</v>
      </c>
      <c r="D14219" s="9" t="s">
        <v>114</v>
      </c>
      <c r="E14219" s="6" t="s">
        <v>13170</v>
      </c>
      <c r="F14219" s="9" t="s">
        <v>20165</v>
      </c>
      <c r="G14219" t="inlineStr" s="6">
        <is>
          <t xml:space="preserve">Though it’s able to capture prey by freezing Arctovish's surroundings, it has trouble eating the prey afterward because its mouth is on top of its head. The skin on its face is impervious to attack, but breathing difficulties made this Pokémon go extinct anyway.</t>
        </is>
      </c>
    </row>
    <row r="14220" ht="33.75" customHeight="1">
      <c r="A14220" s="7">
        <v>883.0</v>
      </c>
      <c r="B14220" s="9" t="s">
        <v>19385</v>
      </c>
      <c r="C14220" s="9" t="s">
        <v>227</v>
      </c>
      <c r="D14220" s="9" t="s">
        <v>117</v>
      </c>
      <c r="E14220" s="6" t="s">
        <v>13171</v>
      </c>
      <c r="F14220" s="9" t="s">
        <v>20165</v>
      </c>
    </row>
    <row r="14221" ht="33.75" customHeight="1">
      <c r="A14221" s="7">
        <v>884.0</v>
      </c>
      <c r="B14221" s="9" t="s">
        <v>19388</v>
      </c>
      <c r="C14221" s="9" t="s">
        <v>1212</v>
      </c>
      <c r="D14221" s="9" t="s">
        <v>114</v>
      </c>
      <c r="E14221" s="6" t="s">
        <v>13172</v>
      </c>
      <c r="F14221" s="9" t="s">
        <v>20166</v>
      </c>
      <c r="G14221" t="inlineStr" s="6">
        <is>
          <t xml:space="preserve">Duraludon's body resembles polished metal, and it’s both lightweight and strong. The only drawback is that it rusts easily. The special metal that composes its body is very light, so this Pokémon has considerable agility. It lives in caves because it dislikes the rain.</t>
        </is>
      </c>
    </row>
    <row r="14222" ht="33.75" customHeight="1">
      <c r="A14222" s="7">
        <v>884.0</v>
      </c>
      <c r="B14222" s="9" t="s">
        <v>19388</v>
      </c>
      <c r="C14222" s="9" t="s">
        <v>1212</v>
      </c>
      <c r="D14222" s="9" t="s">
        <v>117</v>
      </c>
      <c r="E14222" s="6" t="s">
        <v>13174</v>
      </c>
      <c r="F14222" s="9" t="s">
        <v>20166</v>
      </c>
    </row>
    <row r="14223" ht="33.75" customHeight="1">
      <c r="A14223" s="7">
        <v>885.0</v>
      </c>
      <c r="B14223" s="9" t="s">
        <v>19393</v>
      </c>
      <c r="C14223" s="9" t="s">
        <v>1214</v>
      </c>
      <c r="D14223" s="9" t="s">
        <v>114</v>
      </c>
      <c r="E14223" s="6" t="s">
        <v>13175</v>
      </c>
      <c r="F14223" s="9" t="s">
        <v>20167</v>
      </c>
      <c r="G14223" t="inlineStr" s="6">
        <is>
          <t xml:space="preserve">After being reborn as a ghost Pokémon, Dreepy wanders the areas Dreepy used to inhabit back when it was alive in prehistoric seas. If this weak Pokémon is by itself, a mere child could defeat it. But if Dreepy has friends to help it train, it can evolve and become much stronger.</t>
        </is>
      </c>
    </row>
    <row r="14224" ht="33.75" customHeight="1">
      <c r="A14224" s="7">
        <v>885.0</v>
      </c>
      <c r="B14224" s="9" t="s">
        <v>19393</v>
      </c>
      <c r="C14224" s="9" t="s">
        <v>1214</v>
      </c>
      <c r="D14224" s="9" t="s">
        <v>117</v>
      </c>
      <c r="E14224" s="6" t="s">
        <v>13176</v>
      </c>
      <c r="F14224" s="9" t="s">
        <v>20167</v>
      </c>
    </row>
    <row r="14225" ht="33.75" customHeight="1">
      <c r="A14225" s="7">
        <v>886.0</v>
      </c>
      <c r="B14225" s="9" t="s">
        <v>19397</v>
      </c>
      <c r="C14225" s="9" t="s">
        <v>1215</v>
      </c>
      <c r="D14225" s="9" t="s">
        <v>114</v>
      </c>
      <c r="E14225" s="6" t="s">
        <v>13177</v>
      </c>
      <c r="F14225" s="9" t="s">
        <v>20168</v>
      </c>
      <c r="G14225" t="inlineStr" s="6">
        <is>
          <t xml:space="preserve">It’s capable of flying faster than 120 mph. It battles alongside Dreepy and dotes on them until they successfully evolve. Without a Dreepy to place on its head and care for, it gets so uneasy it’ll try to substitute any Pokémon it finds for the missing Dreepy.</t>
        </is>
      </c>
    </row>
    <row r="14226" ht="33.75" customHeight="1">
      <c r="A14226" s="7">
        <v>886.0</v>
      </c>
      <c r="B14226" s="9" t="s">
        <v>19397</v>
      </c>
      <c r="C14226" s="9" t="s">
        <v>1215</v>
      </c>
      <c r="D14226" s="9" t="s">
        <v>117</v>
      </c>
      <c r="E14226" s="6" t="s">
        <v>13178</v>
      </c>
      <c r="F14226" s="9" t="s">
        <v>20168</v>
      </c>
    </row>
    <row r="14227" ht="33.75" customHeight="1">
      <c r="A14227" s="7">
        <v>887.0</v>
      </c>
      <c r="B14227" s="9" t="s">
        <v>19402</v>
      </c>
      <c r="C14227" s="9" t="s">
        <v>1217</v>
      </c>
      <c r="D14227" s="9" t="s">
        <v>114</v>
      </c>
      <c r="E14227" s="6" t="s">
        <v>13179</v>
      </c>
      <c r="F14227" s="9" t="s">
        <v>20169</v>
      </c>
      <c r="G14227" t="inlineStr" s="6">
        <is>
          <t xml:space="preserve">When it isn’t battling, it keeps Dreepy in the holes on Dragapult's horns. Once a fight starts, it launches the Dreepy like supersonic missiles. Apparently the Dreepy inside Dragapult’s horns eagerly look forward to being launched out at Mach speeds.</t>
        </is>
      </c>
    </row>
    <row r="14228" ht="33.75" customHeight="1">
      <c r="A14228" s="7">
        <v>887.0</v>
      </c>
      <c r="B14228" s="9" t="s">
        <v>19402</v>
      </c>
      <c r="C14228" s="9" t="s">
        <v>1217</v>
      </c>
      <c r="D14228" s="9" t="s">
        <v>117</v>
      </c>
      <c r="E14228" s="6" t="s">
        <v>13181</v>
      </c>
      <c r="F14228" s="9" t="s">
        <v>20169</v>
      </c>
    </row>
    <row r="14229" ht="33.75" customHeight="1">
      <c r="A14229" s="7">
        <v>888.0</v>
      </c>
      <c r="B14229" s="9" t="s">
        <v>19406</v>
      </c>
      <c r="C14229" s="9" t="s">
        <v>1218</v>
      </c>
      <c r="D14229" s="9" t="s">
        <v>114</v>
      </c>
      <c r="E14229" s="6" t="s">
        <v>13183</v>
      </c>
      <c r="F14229" s="9" t="s">
        <v>20170</v>
      </c>
      <c r="G14229" t="inlineStr" s="6">
        <is>
          <t xml:space="preserve">Known as a legendary hero, this Pokémon absorbs metal particles, transforming them into a weapon Zacian uses to battle. This Pokémon has slumbered for many years. Some say it’s Zamazenta’s elder sister—others say the two Pokémon are rivals.</t>
        </is>
      </c>
    </row>
    <row r="14230" ht="33.75" customHeight="1">
      <c r="A14230" s="7">
        <v>888.0</v>
      </c>
      <c r="B14230" s="9" t="s">
        <v>19406</v>
      </c>
      <c r="C14230" s="9" t="s">
        <v>1218</v>
      </c>
      <c r="D14230" s="9" t="s">
        <v>117</v>
      </c>
      <c r="E14230" s="6" t="s">
        <v>13185</v>
      </c>
      <c r="F14230" s="9" t="s">
        <v>20170</v>
      </c>
    </row>
    <row r="14231" ht="33.75" customHeight="1">
      <c r="A14231" s="7">
        <v>889.0</v>
      </c>
      <c r="B14231" s="9" t="s">
        <v>19410</v>
      </c>
      <c r="C14231" s="9" t="s">
        <v>1218</v>
      </c>
      <c r="D14231" s="9" t="s">
        <v>114</v>
      </c>
      <c r="E14231" s="6" t="s">
        <v>13189</v>
      </c>
      <c r="F14231" s="9" t="s">
        <v>20171</v>
      </c>
      <c r="G14231" t="inlineStr" s="6">
        <is>
          <t xml:space="preserve">In times past, it worked together with a king of the people to save the Galar region. It absorbs metal that it then uses in battle. This Pokémon slept for aeons while in the form of a statue. It was asleep for so long, people forgot that it ever existed.</t>
        </is>
      </c>
    </row>
    <row r="14232" ht="33.75" customHeight="1">
      <c r="A14232" s="7">
        <v>889.0</v>
      </c>
      <c r="B14232" s="9" t="s">
        <v>19410</v>
      </c>
      <c r="C14232" s="9" t="s">
        <v>1218</v>
      </c>
      <c r="D14232" s="9" t="s">
        <v>117</v>
      </c>
      <c r="E14232" s="6" t="s">
        <v>13192</v>
      </c>
      <c r="F14232" s="9" t="s">
        <v>20171</v>
      </c>
    </row>
    <row r="14233" ht="33.75" customHeight="1">
      <c r="A14233" s="7">
        <v>890.0</v>
      </c>
      <c r="B14233" s="9" t="s">
        <v>19414</v>
      </c>
      <c r="C14233" s="9" t="s">
        <v>1220</v>
      </c>
      <c r="D14233" s="9" t="s">
        <v>114</v>
      </c>
      <c r="E14233" s="6" t="s">
        <v>13193</v>
      </c>
      <c r="F14233" s="9" t="s">
        <v>20172</v>
      </c>
      <c r="G14233" t="inlineStr" s="6">
        <is>
          <t xml:space="preserve">The core on Eternatus's chest absorbs energy emanating from the lands of the Galar region. This energy is what allows Eternatus to stay active. It was inside a meteorite that fell 20,000 years ago. There seems to be a connection between this Pokémon and the Dynamax phenomenon.</t>
        </is>
      </c>
    </row>
    <row r="14234" ht="33.75" customHeight="1">
      <c r="A14234" s="7">
        <v>890.0</v>
      </c>
      <c r="B14234" s="9" t="s">
        <v>19414</v>
      </c>
      <c r="C14234" s="9" t="s">
        <v>1220</v>
      </c>
      <c r="D14234" s="9" t="s">
        <v>117</v>
      </c>
      <c r="E14234" s="6" t="s">
        <v>13195</v>
      </c>
      <c r="F14234" s="9" t="s">
        <v>20172</v>
      </c>
    </row>
    <row r="14235" ht="33.75" customHeight="1">
      <c r="A14235" s="7">
        <v>891.0</v>
      </c>
      <c r="B14235" s="9" t="s">
        <v>19418</v>
      </c>
      <c r="C14235" s="9" t="s">
        <v>1223</v>
      </c>
      <c r="D14235" s="9" t="s">
        <v>114</v>
      </c>
      <c r="E14235" s="6" t="s">
        <v>13197</v>
      </c>
      <c r="F14235" s="9" t="s">
        <v>20173</v>
      </c>
      <c r="G14235" t="inlineStr" s="6">
        <is>
          <t xml:space="preserve">Kubfu trains hard to perfect Kubfu's moves. The moves it masters will determine which form it takes when it evolves. If Kubfu pulls the long white hair on its head, its fighting spirit heightens and power wells up from the depths of its belly.</t>
        </is>
      </c>
    </row>
    <row r="14236" ht="33.75" customHeight="1">
      <c r="A14236" s="7">
        <v>891.0</v>
      </c>
      <c r="B14236" s="9" t="s">
        <v>19418</v>
      </c>
      <c r="C14236" s="9" t="s">
        <v>1223</v>
      </c>
      <c r="D14236" s="9" t="s">
        <v>117</v>
      </c>
      <c r="E14236" s="6" t="s">
        <v>13198</v>
      </c>
      <c r="F14236" s="9" t="s">
        <v>20173</v>
      </c>
    </row>
    <row r="14237" ht="33.75" customHeight="1">
      <c r="A14237" s="7">
        <v>892.0</v>
      </c>
      <c r="B14237" s="9" t="s">
        <v>19422</v>
      </c>
      <c r="C14237" s="9" t="s">
        <v>1223</v>
      </c>
      <c r="D14237" s="9" t="s">
        <v>114</v>
      </c>
      <c r="E14237" s="6" t="s">
        <v>13200</v>
      </c>
      <c r="F14237" s="9" t="s">
        <v>20174</v>
      </c>
      <c r="G14237" t="inlineStr" s="6">
        <is>
          <t xml:space="preserve">This form of Urshifu is a strong believer in the one-hit KO. Its strategy is to leap in close to foes and land a devastating blow with a hardened fist. Inhabiting the mountains of a distant region, this Pokémon races across sheer cliffs, training its legs and refining its moves.</t>
        </is>
      </c>
    </row>
    <row r="14238" ht="33.75" customHeight="1">
      <c r="A14238" s="7">
        <v>892.0</v>
      </c>
      <c r="B14238" s="9" t="s">
        <v>19422</v>
      </c>
      <c r="C14238" s="9" t="s">
        <v>1223</v>
      </c>
      <c r="D14238" s="9" t="s">
        <v>117</v>
      </c>
      <c r="E14238" s="6" t="s">
        <v>13202</v>
      </c>
      <c r="F14238" s="9" t="s">
        <v>20174</v>
      </c>
    </row>
    <row r="14239" ht="33.75" customHeight="1">
      <c r="A14239" s="7">
        <v>893.0</v>
      </c>
      <c r="B14239" s="9" t="s">
        <v>19426</v>
      </c>
      <c r="C14239" s="9" t="s">
        <v>1224</v>
      </c>
      <c r="D14239" s="9" t="s">
        <v>114</v>
      </c>
      <c r="E14239" s="6" t="s">
        <v>13203</v>
      </c>
      <c r="F14239" s="9" t="s">
        <v>20175</v>
      </c>
      <c r="G14239" t="inlineStr" s="6">
        <is>
          <t xml:space="preserve">Within dense forests, this Pokémon lives in a pack with others of Zarude's kind. It’s incredibly aggressive, and the other Pokémon of the forest fear it. Once the vines on Zarude’s body tear off, they become nutrients in the soil. This helps the plants of the forest grow.</t>
        </is>
      </c>
    </row>
    <row r="14240" ht="33.75" customHeight="1">
      <c r="A14240" s="7">
        <v>893.0</v>
      </c>
      <c r="B14240" s="9" t="s">
        <v>19426</v>
      </c>
      <c r="C14240" s="9" t="s">
        <v>1224</v>
      </c>
      <c r="D14240" s="9" t="s">
        <v>117</v>
      </c>
      <c r="E14240" s="6" t="s">
        <v>13205</v>
      </c>
      <c r="F14240" s="9" t="s">
        <v>20175</v>
      </c>
    </row>
    <row r="14241" ht="33.75" customHeight="1">
      <c r="A14241" s="7">
        <v>894.0</v>
      </c>
      <c r="B14241" s="9" t="s">
        <v>19430</v>
      </c>
      <c r="C14241" s="9" t="s">
        <v>1225</v>
      </c>
      <c r="D14241" s="9" t="s">
        <v>114</v>
      </c>
      <c r="E14241" s="6" t="s">
        <v>13206</v>
      </c>
      <c r="F14241" s="9" t="s">
        <v>20176</v>
      </c>
      <c r="G14241" t="inlineStr" s="6">
        <is>
          <t xml:space="preserve">This Pokémon is a cluster of electrical energy. It’s said that removing the rings on Regieleki’s body will unleash the Pokémon’s latent power. Its entire body is made up of a single organ that generates electrical energy. Regieleki is capable of creating all Galar’s electricity.</t>
        </is>
      </c>
    </row>
    <row r="14242" ht="33.75" customHeight="1">
      <c r="A14242" s="7">
        <v>894.0</v>
      </c>
      <c r="B14242" s="9" t="s">
        <v>19430</v>
      </c>
      <c r="C14242" s="9" t="s">
        <v>1225</v>
      </c>
      <c r="D14242" s="9" t="s">
        <v>117</v>
      </c>
      <c r="E14242" s="6" t="s">
        <v>13208</v>
      </c>
      <c r="F14242" s="9" t="s">
        <v>20176</v>
      </c>
    </row>
    <row r="14243" ht="33.75" customHeight="1">
      <c r="A14243" s="7">
        <v>895.0</v>
      </c>
      <c r="B14243" s="9" t="s">
        <v>19434</v>
      </c>
      <c r="C14243" s="9" t="s">
        <v>1226</v>
      </c>
      <c r="D14243" s="9" t="s">
        <v>114</v>
      </c>
      <c r="E14243" s="6" t="s">
        <v>13209</v>
      </c>
      <c r="F14243" s="9" t="s">
        <v>20177</v>
      </c>
      <c r="G14243" t="inlineStr" s="6">
        <is>
          <t xml:space="preserve">An academic theory proposes that Regidrago’s arms were once the head of an ancient dragon Pokémon. The theory remains unproven. Its body is composed of crystallized dragon energy. Regidrago is said to have the powers of every dragon Pokémon.</t>
        </is>
      </c>
    </row>
    <row r="14244" ht="33.75" customHeight="1">
      <c r="A14244" s="7">
        <v>895.0</v>
      </c>
      <c r="B14244" s="9" t="s">
        <v>19434</v>
      </c>
      <c r="C14244" s="9" t="s">
        <v>1226</v>
      </c>
      <c r="D14244" s="9" t="s">
        <v>117</v>
      </c>
      <c r="E14244" s="6" t="s">
        <v>13210</v>
      </c>
      <c r="F14244" s="9" t="s">
        <v>20177</v>
      </c>
    </row>
    <row r="14245" ht="33.75" customHeight="1">
      <c r="A14245" s="7">
        <v>896.0</v>
      </c>
      <c r="B14245" s="9" t="s">
        <v>19438</v>
      </c>
      <c r="C14245" s="9" t="s">
        <v>1228</v>
      </c>
      <c r="D14245" s="9" t="s">
        <v>114</v>
      </c>
      <c r="E14245" s="6" t="s">
        <v>13212</v>
      </c>
      <c r="F14245" s="9" t="s">
        <v>20178</v>
      </c>
      <c r="G14245" t="inlineStr" s="6">
        <is>
          <t xml:space="preserve">Glastrier emits intense cold from Glastrier's hooves. It’s also a belligerent Pokémon—anything it wants, it takes by force. Glastrier has tremendous physical strength, and the mask of ice covering its face is 100 times harder than diamond.</t>
        </is>
      </c>
    </row>
    <row r="14246" ht="33.75" customHeight="1">
      <c r="A14246" s="7">
        <v>896.0</v>
      </c>
      <c r="B14246" s="9" t="s">
        <v>19438</v>
      </c>
      <c r="C14246" s="9" t="s">
        <v>1228</v>
      </c>
      <c r="D14246" s="9" t="s">
        <v>117</v>
      </c>
      <c r="E14246" s="6" t="s">
        <v>13213</v>
      </c>
      <c r="F14246" s="9" t="s">
        <v>20178</v>
      </c>
    </row>
    <row r="14247" ht="33.75" customHeight="1">
      <c r="A14247" s="7">
        <v>897.0</v>
      </c>
      <c r="B14247" s="9" t="s">
        <v>19442</v>
      </c>
      <c r="C14247" s="9" t="s">
        <v>1231</v>
      </c>
      <c r="D14247" s="9" t="s">
        <v>114</v>
      </c>
      <c r="E14247" s="6" t="s">
        <v>13215</v>
      </c>
      <c r="F14247" s="9" t="s">
        <v>20179</v>
      </c>
      <c r="G14247" t="inlineStr" s="6">
        <is>
          <t xml:space="preserve">It probes Spectrier's surroundings with all its senses save one—it doesn’t use its sense of sight. Spectrier’s kicks are said to separate soul from body. As it dashes through the night, Spectrier absorbs the life-force of sleeping creatures. It craves silence and solitude.</t>
        </is>
      </c>
    </row>
    <row r="14248" ht="33.75" customHeight="1">
      <c r="A14248" s="7">
        <v>897.0</v>
      </c>
      <c r="B14248" s="9" t="s">
        <v>19442</v>
      </c>
      <c r="C14248" s="9" t="s">
        <v>1231</v>
      </c>
      <c r="D14248" s="9" t="s">
        <v>117</v>
      </c>
      <c r="E14248" s="6" t="s">
        <v>13216</v>
      </c>
      <c r="F14248" s="9" t="s">
        <v>20179</v>
      </c>
    </row>
    <row r="14249" ht="33.75" customHeight="1">
      <c r="A14249" s="7">
        <v>898.0</v>
      </c>
      <c r="B14249" s="9" t="s">
        <v>19446</v>
      </c>
      <c r="C14249" s="9" t="s">
        <v>1233</v>
      </c>
      <c r="D14249" s="9" t="s">
        <v>114</v>
      </c>
      <c r="E14249" s="6" t="s">
        <v>13217</v>
      </c>
      <c r="F14249" s="9" t="s">
        <v>20180</v>
      </c>
      <c r="G14249" t="inlineStr" s="6">
        <is>
          <t xml:space="preserve">Calyrex is a merciful Pokémon, capable of providing healing and blessings. It reigned over the Galar region in times of yore. Calyrex is known in legend as a king that ruled over Galar in ancient times. It has the power to cause hearts to mend and plants to spring forth.</t>
        </is>
      </c>
    </row>
    <row r="14250" ht="33.75" customHeight="1">
      <c r="A14250" s="7">
        <v>898.0</v>
      </c>
      <c r="B14250" s="9" t="s">
        <v>19446</v>
      </c>
      <c r="C14250" s="9" t="s">
        <v>1233</v>
      </c>
      <c r="D14250" s="9" t="s">
        <v>117</v>
      </c>
      <c r="E14250" s="6" t="s">
        <v>13218</v>
      </c>
      <c r="F14250" s="9" t="s">
        <v>20180</v>
      </c>
    </row>
    <row r="14251" ht="33.75" customHeight="1">
      <c r="A14251" s="7">
        <v>899.0</v>
      </c>
      <c r="B14251" s="9" t="s">
        <v>19450</v>
      </c>
      <c r="C14251" s="9" t="s">
        <v>349</v>
      </c>
      <c r="D14251" s="9" t="s">
        <v>1577</v>
      </c>
      <c r="E14251" s="6" t="s">
        <v>13219</v>
      </c>
      <c r="F14251" s="9" t="s">
        <v>20181</v>
      </c>
      <c r="G14251" t="inlineStr" s="6">
        <is>
          <t xml:space="preserve">The black orbs shine with an uncanny light when the Pokémon is erecting invisible barriers. The fur shed from its beard retains heat well and is a highly useful material for winter clothing.</t>
        </is>
      </c>
    </row>
    <row r="14252" ht="33.75" customHeight="1">
      <c r="A14252" s="7">
        <v>900.0</v>
      </c>
      <c r="B14252" s="9" t="s">
        <v>19453</v>
      </c>
      <c r="C14252" s="9" t="s">
        <v>1234</v>
      </c>
      <c r="D14252" s="9" t="s">
        <v>1577</v>
      </c>
      <c r="E14252" s="6" t="s">
        <v>13220</v>
      </c>
      <c r="F14252" s="9" t="s">
        <v>20182</v>
      </c>
      <c r="G14252" t="inlineStr" s="6">
        <is>
          <t xml:space="preserve">A violent creature that fells towering trees with Kleavor's crude axes and shields itself with hard stone. If one should chance upon this Pokémon in the wilds, one's only recourse is to flee.</t>
        </is>
      </c>
    </row>
    <row r="14253" ht="33.75" customHeight="1">
      <c r="A14253" s="7">
        <v>901.0</v>
      </c>
      <c r="B14253" s="9" t="s">
        <v>19456</v>
      </c>
      <c r="C14253" s="9" t="s">
        <v>1235</v>
      </c>
      <c r="D14253" s="9" t="s">
        <v>1577</v>
      </c>
      <c r="E14253" s="6" t="s">
        <v>13221</v>
      </c>
      <c r="F14253" s="9" t="s">
        <v>20183</v>
      </c>
      <c r="G14253" t="inlineStr" s="6">
        <is>
          <t xml:space="preserve">I believe it was Hisui's swampy terrain that gave Ursaluna Ursaluna's burly physique and newfound capacity to manipulate peat at will.</t>
        </is>
      </c>
    </row>
    <row r="14254" ht="33.75" customHeight="1">
      <c r="A14254" s="7">
        <v>902.0</v>
      </c>
      <c r="B14254" s="9" t="s">
        <v>19459</v>
      </c>
      <c r="C14254" s="9" t="s">
        <v>1237</v>
      </c>
      <c r="D14254" s="9" t="s">
        <v>1577</v>
      </c>
      <c r="E14254" s="6" t="s">
        <v>13222</v>
      </c>
      <c r="F14254" s="9" t="s">
        <v>20184</v>
      </c>
      <c r="G14254" t="inlineStr" s="6">
        <is>
          <t xml:space="preserve">Clads itself in the souls of comrades that perished before fulfilling their goals of journeying upstream. No other species throughout all Hisui's rivers is Basculegion's equal.</t>
        </is>
      </c>
    </row>
    <row r="14255" ht="33.75" customHeight="1">
      <c r="A14255" s="7">
        <v>903.0</v>
      </c>
      <c r="B14255" s="9" t="s">
        <v>19462</v>
      </c>
      <c r="C14255" s="9" t="s">
        <v>1239</v>
      </c>
      <c r="D14255" s="9" t="s">
        <v>1577</v>
      </c>
      <c r="E14255" s="6" t="s">
        <v>13223</v>
      </c>
      <c r="F14255" s="9" t="s">
        <v>20185</v>
      </c>
      <c r="G14255" t="inlineStr" s="6">
        <is>
          <t xml:space="preserve">Because of Sneasler's virulent poison and daunting physical prowess, no other species could hope to best it on the frozen highlands. Preferring solitude, this species does not form packs.</t>
        </is>
      </c>
    </row>
    <row r="14256" ht="33.75" customHeight="1">
      <c r="A14256" s="7">
        <v>904.0</v>
      </c>
      <c r="B14256" s="9" t="s">
        <v>19465</v>
      </c>
      <c r="C14256" s="9" t="s">
        <v>1241</v>
      </c>
      <c r="D14256" s="9" t="s">
        <v>1577</v>
      </c>
      <c r="E14256" s="6" t="s">
        <v>13224</v>
      </c>
      <c r="F14256" s="9" t="s">
        <v>20186</v>
      </c>
      <c r="G14256" t="inlineStr" s="6">
        <is>
          <t xml:space="preserve">Overqwil's lancelike spikes and savage temperament have earned it the nickname ”sea fiend. It slurps up poison to nourish itself.</t>
        </is>
      </c>
    </row>
    <row r="14257" ht="33.75" customHeight="1">
      <c r="A14257" s="7">
        <v>905.0</v>
      </c>
      <c r="B14257" s="9" t="s">
        <v>19469</v>
      </c>
      <c r="C14257" s="9" t="s">
        <v>1242</v>
      </c>
      <c r="D14257" s="9" t="s">
        <v>1577</v>
      </c>
      <c r="E14257" s="6" t="s">
        <v>13225</v>
      </c>
      <c r="F14257" s="9" t="s">
        <v>20187</v>
      </c>
      <c r="G14257" t="inlineStr" s="6">
        <is>
          <t xml:space="preserve">When it flies to this land from across the sea, the bitter winter comes to an end. According to legend, this Pokémon's love gives rise to the budding of fresh life across Hisui.</t>
        </is>
      </c>
    </row>
    <row r="14258" ht="33.75" customHeight="1">
      <c r="A14258" s="7">
        <v>906.0</v>
      </c>
      <c r="B14258" s="9" t="s">
        <v>19472</v>
      </c>
      <c r="C14258" s="9" t="s">
        <v>1244</v>
      </c>
      <c r="D14258" s="9" t="s">
        <v>19474</v>
      </c>
      <c r="E14258" s="6" t="s">
        <v>13226</v>
      </c>
      <c r="F14258" s="9" t="s">
        <v>20188</v>
      </c>
      <c r="G14258" t="inlineStr" s="6">
        <is>
          <t xml:space="preserve">Sprigatito's fluffy fur is similar in composition to plants. This Pokémon frequently washes its face to keep it from drying out. The sweet scent its body gives off mesmerizes those around it. The scent grows stronger when this Pokémon is in the sun.</t>
        </is>
      </c>
    </row>
    <row r="14259" ht="33.75" customHeight="1">
      <c r="A14259" s="7">
        <v>906.0</v>
      </c>
      <c r="B14259" s="9" t="s">
        <v>19472</v>
      </c>
      <c r="C14259" s="9" t="s">
        <v>1244</v>
      </c>
      <c r="D14259" s="9" t="s">
        <v>19476</v>
      </c>
      <c r="E14259" s="6" t="s">
        <v>13227</v>
      </c>
      <c r="F14259" s="9" t="s">
        <v>20188</v>
      </c>
    </row>
    <row r="14260" ht="33.75" customHeight="1">
      <c r="A14260" s="7">
        <v>907.0</v>
      </c>
      <c r="B14260" s="9" t="s">
        <v>19478</v>
      </c>
      <c r="C14260" s="9" t="s">
        <v>1244</v>
      </c>
      <c r="D14260" s="9" t="s">
        <v>19474</v>
      </c>
      <c r="E14260" s="6" t="s">
        <v>13228</v>
      </c>
      <c r="F14260" s="9" t="s">
        <v>20189</v>
      </c>
      <c r="G14260" t="inlineStr" s="6">
        <is>
          <t xml:space="preserve">Floragato deftly wields the vine hidden beneath Floragato's long fur, slamming the hard flower bud against its opponents. The hardness of Floragato’s fur depends on the Pokémon’s mood. When Floragato is prepared to battle, its fur becomes pointed and needle sharp.</t>
        </is>
      </c>
    </row>
    <row r="14261" ht="33.75" customHeight="1">
      <c r="A14261" s="7">
        <v>907.0</v>
      </c>
      <c r="B14261" s="9" t="s">
        <v>19478</v>
      </c>
      <c r="C14261" s="9" t="s">
        <v>1244</v>
      </c>
      <c r="D14261" s="9" t="s">
        <v>19476</v>
      </c>
      <c r="E14261" s="6" t="s">
        <v>13229</v>
      </c>
      <c r="F14261" s="9" t="s">
        <v>20189</v>
      </c>
    </row>
    <row r="14262" ht="33.75" customHeight="1">
      <c r="A14262" s="7">
        <v>908.0</v>
      </c>
      <c r="B14262" s="9" t="s">
        <v>19481</v>
      </c>
      <c r="C14262" s="9" t="s">
        <v>1245</v>
      </c>
      <c r="D14262" s="9" t="s">
        <v>19474</v>
      </c>
      <c r="E14262" s="6" t="s">
        <v>13230</v>
      </c>
      <c r="F14262" s="9" t="s">
        <v>20190</v>
      </c>
      <c r="G14262" t="inlineStr" s="6">
        <is>
          <t xml:space="preserve">This Pokémon uses the reflective fur lining Meowscarada's cape to camouflage the stem of its flower, creating the illusion that the flower is floating. With skillful misdirection, it rigs foes with pollen-packed flower bombs. Meowscarada sets off the bombs before its foes realize what’s going on.</t>
        </is>
      </c>
    </row>
    <row r="14263" ht="33.75" customHeight="1">
      <c r="A14263" s="7">
        <v>908.0</v>
      </c>
      <c r="B14263" s="9" t="s">
        <v>19481</v>
      </c>
      <c r="C14263" s="9" t="s">
        <v>1245</v>
      </c>
      <c r="D14263" s="9" t="s">
        <v>19476</v>
      </c>
      <c r="E14263" s="6" t="s">
        <v>13231</v>
      </c>
      <c r="F14263" s="9" t="s">
        <v>20190</v>
      </c>
    </row>
    <row r="14264" ht="33.75" customHeight="1">
      <c r="A14264" s="7">
        <v>909.0</v>
      </c>
      <c r="B14264" s="9" t="s">
        <v>19485</v>
      </c>
      <c r="C14264" s="9" t="s">
        <v>1247</v>
      </c>
      <c r="D14264" s="9" t="s">
        <v>19474</v>
      </c>
      <c r="E14264" s="6" t="s">
        <v>13232</v>
      </c>
      <c r="F14264" s="9" t="s">
        <v>20191</v>
      </c>
      <c r="G14264" t="inlineStr" s="6">
        <is>
          <t xml:space="preserve">It lies on warm rocks and uses the heat absorbed by Fuecoco's square-shaped scales to create fire energy. Its flame sac is small, so energy is always leaking out. This energy is released from the dent atop Fuecoco’s head and flickers to and fro.</t>
        </is>
      </c>
    </row>
    <row r="14265" ht="33.75" customHeight="1">
      <c r="A14265" s="7">
        <v>909.0</v>
      </c>
      <c r="B14265" s="9" t="s">
        <v>19485</v>
      </c>
      <c r="C14265" s="9" t="s">
        <v>1247</v>
      </c>
      <c r="D14265" s="9" t="s">
        <v>19476</v>
      </c>
      <c r="E14265" s="6" t="s">
        <v>13233</v>
      </c>
      <c r="F14265" s="9" t="s">
        <v>20191</v>
      </c>
    </row>
    <row r="14266" ht="33.75" customHeight="1">
      <c r="A14266" s="7">
        <v>910.0</v>
      </c>
      <c r="B14266" s="9" t="s">
        <v>19489</v>
      </c>
      <c r="C14266" s="9" t="s">
        <v>1247</v>
      </c>
      <c r="D14266" s="9" t="s">
        <v>19474</v>
      </c>
      <c r="E14266" s="6" t="s">
        <v>13235</v>
      </c>
      <c r="F14266" s="9" t="s">
        <v>20192</v>
      </c>
      <c r="G14266" t="inlineStr" s="6">
        <is>
          <t xml:space="preserve">The combination of Crocalor’s fire energy and overflowing vitality has caused an egg-shaped fireball to appear on the Pokémon’s head. The valve in Crocalor’s flame sac is closely connected to its vocal cords. This Pokémon utters a guttural cry as it spews flames every which way.</t>
        </is>
      </c>
    </row>
    <row r="14267" ht="33.75" customHeight="1">
      <c r="A14267" s="7">
        <v>910.0</v>
      </c>
      <c r="B14267" s="9" t="s">
        <v>19489</v>
      </c>
      <c r="C14267" s="9" t="s">
        <v>1247</v>
      </c>
      <c r="D14267" s="9" t="s">
        <v>19476</v>
      </c>
      <c r="E14267" s="6" t="s">
        <v>13236</v>
      </c>
      <c r="F14267" s="9" t="s">
        <v>20192</v>
      </c>
    </row>
    <row r="14268" ht="33.75" customHeight="1">
      <c r="A14268" s="7">
        <v>911.0</v>
      </c>
      <c r="B14268" s="9" t="s">
        <v>19492</v>
      </c>
      <c r="C14268" s="9" t="s">
        <v>1249</v>
      </c>
      <c r="D14268" s="9" t="s">
        <v>19474</v>
      </c>
      <c r="E14268" s="6" t="s">
        <v>13238</v>
      </c>
      <c r="F14268" s="9" t="s">
        <v>20193</v>
      </c>
      <c r="G14268" t="inlineStr" s="6">
        <is>
          <t xml:space="preserve">The fiery bird changes shape when Skeledirge sings. Rumor has it that the bird was born when the fireball on Skeledirge’s head gained a soul. Skeledirge’s gentle singing soothes the souls of all that hear it. It burns its enemies to a crisp with flames of over 5,400 degrees Fahrenheit.</t>
        </is>
      </c>
    </row>
    <row r="14269" ht="33.75" customHeight="1">
      <c r="A14269" s="7">
        <v>911.0</v>
      </c>
      <c r="B14269" s="9" t="s">
        <v>19492</v>
      </c>
      <c r="C14269" s="9" t="s">
        <v>1249</v>
      </c>
      <c r="D14269" s="9" t="s">
        <v>19476</v>
      </c>
      <c r="E14269" s="6" t="s">
        <v>13239</v>
      </c>
      <c r="F14269" s="9" t="s">
        <v>20193</v>
      </c>
    </row>
    <row r="14270" ht="33.75" customHeight="1">
      <c r="A14270" s="7">
        <v>912.0</v>
      </c>
      <c r="B14270" s="9" t="s">
        <v>19496</v>
      </c>
      <c r="C14270" s="9" t="s">
        <v>1250</v>
      </c>
      <c r="D14270" s="9" t="s">
        <v>19474</v>
      </c>
      <c r="E14270" s="6" t="s">
        <v>13240</v>
      </c>
      <c r="F14270" s="9" t="s">
        <v>20194</v>
      </c>
      <c r="G14270" t="inlineStr" s="6">
        <is>
          <t xml:space="preserve">This Pokémon migrated to Paldea from distant lands long ago. The gel secreted by its feathers repels water and grime. Its strong legs let it easily swim around in even fast-flowing rivers. It likes to keep things tidy and is prone to overthinking things.</t>
        </is>
      </c>
    </row>
    <row r="14271" ht="33.75" customHeight="1">
      <c r="A14271" s="7">
        <v>912.0</v>
      </c>
      <c r="B14271" s="9" t="s">
        <v>19496</v>
      </c>
      <c r="C14271" s="9" t="s">
        <v>1250</v>
      </c>
      <c r="D14271" s="9" t="s">
        <v>19476</v>
      </c>
      <c r="E14271" s="6" t="s">
        <v>13242</v>
      </c>
      <c r="F14271" s="9" t="s">
        <v>20194</v>
      </c>
    </row>
    <row r="14272" ht="33.75" customHeight="1">
      <c r="A14272" s="7">
        <v>913.0</v>
      </c>
      <c r="B14272" s="9" t="s">
        <v>19500</v>
      </c>
      <c r="C14272" s="9" t="s">
        <v>1251</v>
      </c>
      <c r="D14272" s="9" t="s">
        <v>19474</v>
      </c>
      <c r="E14272" s="6" t="s">
        <v>13244</v>
      </c>
      <c r="F14272" s="9" t="s">
        <v>20195</v>
      </c>
      <c r="G14272" t="inlineStr" s="6">
        <is>
          <t xml:space="preserve">These Pokémon constantly run through shallow waters to train their legs, then compete with each other to see which of them kicks most gracefully. The hardworking Quaxwell observes people and Pokémon from various regions and incorporates their movements into its own dance routines.</t>
        </is>
      </c>
    </row>
    <row r="14273" ht="33.75" customHeight="1">
      <c r="A14273" s="7">
        <v>913.0</v>
      </c>
      <c r="B14273" s="9" t="s">
        <v>19500</v>
      </c>
      <c r="C14273" s="9" t="s">
        <v>1251</v>
      </c>
      <c r="D14273" s="9" t="s">
        <v>19476</v>
      </c>
      <c r="E14273" s="6" t="s">
        <v>13246</v>
      </c>
      <c r="F14273" s="9" t="s">
        <v>20195</v>
      </c>
    </row>
    <row r="14274" ht="33.75" customHeight="1">
      <c r="A14274" s="7">
        <v>914.0</v>
      </c>
      <c r="B14274" s="9" t="s">
        <v>19505</v>
      </c>
      <c r="C14274" s="9" t="s">
        <v>1252</v>
      </c>
      <c r="D14274" s="9" t="s">
        <v>19474</v>
      </c>
      <c r="E14274" s="6" t="s">
        <v>13248</v>
      </c>
      <c r="F14274" s="9" t="s">
        <v>20196</v>
      </c>
      <c r="G14274" t="inlineStr" s="6">
        <is>
          <t xml:space="preserve">A single kick from a Quaquaval can send a truck rolling. This Pokémon uses its powerful legs to perform striking dances from far-off lands. Dancing in ways that evoke far-away places, this Pokémon mesmerizes all that see it. Flourishes of its decorative water feathers slice into its foes.</t>
        </is>
      </c>
    </row>
    <row r="14275" ht="33.75" customHeight="1">
      <c r="A14275" s="7">
        <v>914.0</v>
      </c>
      <c r="B14275" s="9" t="s">
        <v>19505</v>
      </c>
      <c r="C14275" s="9" t="s">
        <v>1252</v>
      </c>
      <c r="D14275" s="9" t="s">
        <v>19476</v>
      </c>
      <c r="E14275" s="6" t="s">
        <v>13249</v>
      </c>
      <c r="F14275" s="9" t="s">
        <v>20196</v>
      </c>
    </row>
    <row r="14276" ht="33.75" customHeight="1">
      <c r="A14276" s="7">
        <v>915.0</v>
      </c>
      <c r="B14276" s="9" t="s">
        <v>19509</v>
      </c>
      <c r="C14276" s="9" t="s">
        <v>1254</v>
      </c>
      <c r="D14276" s="9" t="s">
        <v>19474</v>
      </c>
      <c r="E14276" s="6" t="s">
        <v>13250</v>
      </c>
      <c r="F14276" s="9" t="s">
        <v>20197</v>
      </c>
      <c r="G14276" t="inlineStr" s="6">
        <is>
          <t xml:space="preserve">It searches for food all day. It possesses a keen sense of smell but doesn’t use it for anything other than foraging. This Pokémon spurns all but the finest of foods. Its body gives off an herblike scent that bug Pokémon detest.</t>
        </is>
      </c>
    </row>
    <row r="14277" ht="33.75" customHeight="1">
      <c r="A14277" s="7">
        <v>915.0</v>
      </c>
      <c r="B14277" s="9" t="s">
        <v>19509</v>
      </c>
      <c r="C14277" s="9" t="s">
        <v>1254</v>
      </c>
      <c r="D14277" s="9" t="s">
        <v>19476</v>
      </c>
      <c r="E14277" s="6" t="s">
        <v>13252</v>
      </c>
      <c r="F14277" s="9" t="s">
        <v>20197</v>
      </c>
    </row>
    <row r="14278" ht="33.75" customHeight="1">
      <c r="A14278" s="7">
        <v>916.0</v>
      </c>
      <c r="B14278" s="9" t="s">
        <v>19512</v>
      </c>
      <c r="C14278" s="9" t="s">
        <v>1254</v>
      </c>
      <c r="D14278" s="9" t="s">
        <v>19474</v>
      </c>
      <c r="E14278" s="6" t="s">
        <v>13253</v>
      </c>
      <c r="F14278" s="9" t="s">
        <v>20198</v>
      </c>
      <c r="G14278" t="inlineStr" s="6">
        <is>
          <t xml:space="preserve">Oinkologne is proud of Oinkologne's fine, glossy skin. It emits a concentrated scent from the tip of its tail. It entrances female Pokémon with the sweet, alluring scent that wafts from all over its body.</t>
        </is>
      </c>
    </row>
    <row r="14279" ht="33.75" customHeight="1">
      <c r="A14279" s="7">
        <v>916.0</v>
      </c>
      <c r="B14279" s="9" t="s">
        <v>19512</v>
      </c>
      <c r="C14279" s="9" t="s">
        <v>1254</v>
      </c>
      <c r="D14279" s="9" t="s">
        <v>19476</v>
      </c>
      <c r="E14279" s="6" t="s">
        <v>13254</v>
      </c>
      <c r="F14279" s="9" t="s">
        <v>20198</v>
      </c>
    </row>
    <row r="14280" ht="33.75" customHeight="1">
      <c r="A14280" s="7">
        <v>917.0</v>
      </c>
      <c r="B14280" s="9" t="s">
        <v>19515</v>
      </c>
      <c r="C14280" s="9" t="s">
        <v>1257</v>
      </c>
      <c r="D14280" s="9" t="s">
        <v>19474</v>
      </c>
      <c r="E14280" s="6" t="s">
        <v>13256</v>
      </c>
      <c r="F14280" s="9" t="s">
        <v>20199</v>
      </c>
      <c r="G14280" t="inlineStr" s="6">
        <is>
          <t xml:space="preserve">The ball of threads wrapped around Tarountula's body is elastic enough to deflect the scythes of Scyther, this Pokémon’s natural enemy. The thread it secretes from its rear is as strong as wire. The secret behind the thread’s strength is the topic of ongoing research.</t>
        </is>
      </c>
    </row>
    <row r="14281" ht="33.75" customHeight="1">
      <c r="A14281" s="7">
        <v>917.0</v>
      </c>
      <c r="B14281" s="9" t="s">
        <v>19515</v>
      </c>
      <c r="C14281" s="9" t="s">
        <v>1257</v>
      </c>
      <c r="D14281" s="9" t="s">
        <v>19476</v>
      </c>
      <c r="E14281" s="6" t="s">
        <v>13257</v>
      </c>
      <c r="F14281" s="9" t="s">
        <v>20199</v>
      </c>
    </row>
    <row r="14282" ht="33.75" customHeight="1">
      <c r="A14282" s="7">
        <v>918.0</v>
      </c>
      <c r="B14282" s="9" t="s">
        <v>19520</v>
      </c>
      <c r="C14282" s="9" t="s">
        <v>927</v>
      </c>
      <c r="D14282" s="9" t="s">
        <v>19474</v>
      </c>
      <c r="E14282" s="6" t="s">
        <v>13259</v>
      </c>
      <c r="F14282" s="9" t="s">
        <v>20200</v>
      </c>
      <c r="G14282" t="inlineStr" s="6">
        <is>
          <t xml:space="preserve">It clings to branches and ceilings using Spidops's threads and moves without a sound. It takes out its prey before the prey even notices it. Spidops covers its territory in tough, sticky threads to set up traps for intruders.</t>
        </is>
      </c>
    </row>
    <row r="14283" ht="33.75" customHeight="1">
      <c r="A14283" s="7">
        <v>918.0</v>
      </c>
      <c r="B14283" s="9" t="s">
        <v>19520</v>
      </c>
      <c r="C14283" s="9" t="s">
        <v>927</v>
      </c>
      <c r="D14283" s="9" t="s">
        <v>19476</v>
      </c>
      <c r="E14283" s="6" t="s">
        <v>13260</v>
      </c>
      <c r="F14283" s="9" t="s">
        <v>20200</v>
      </c>
    </row>
    <row r="14284" ht="33.75" customHeight="1">
      <c r="A14284" s="7">
        <v>919.0</v>
      </c>
      <c r="B14284" s="9" t="s">
        <v>19523</v>
      </c>
      <c r="C14284" s="9" t="s">
        <v>1258</v>
      </c>
      <c r="D14284" s="9" t="s">
        <v>19474</v>
      </c>
      <c r="E14284" s="6" t="s">
        <v>13261</v>
      </c>
      <c r="F14284" s="9" t="s">
        <v>20201</v>
      </c>
      <c r="G14284" t="inlineStr" s="6">
        <is>
          <t xml:space="preserve">It has Nymble's third set of legs folded up. When it’s in a tough spot, this Pokémon jumps over 30 feet using the strength of its legs. It’s highly skilled at a fighting style in which it uses its jumping capabilities to dodge incoming attacks while also dealing damage to opponents.</t>
        </is>
      </c>
    </row>
    <row r="14285" ht="33.75" customHeight="1">
      <c r="A14285" s="7">
        <v>919.0</v>
      </c>
      <c r="B14285" s="9" t="s">
        <v>19523</v>
      </c>
      <c r="C14285" s="9" t="s">
        <v>1258</v>
      </c>
      <c r="D14285" s="9" t="s">
        <v>19476</v>
      </c>
      <c r="E14285" s="6" t="s">
        <v>13263</v>
      </c>
      <c r="F14285" s="9" t="s">
        <v>20201</v>
      </c>
    </row>
    <row r="14286" ht="33.75" customHeight="1">
      <c r="A14286" s="7">
        <v>920.0</v>
      </c>
      <c r="B14286" s="9" t="s">
        <v>19527</v>
      </c>
      <c r="C14286" s="9" t="s">
        <v>1258</v>
      </c>
      <c r="D14286" s="9" t="s">
        <v>19474</v>
      </c>
      <c r="E14286" s="6" t="s">
        <v>13264</v>
      </c>
      <c r="F14286" s="9" t="s">
        <v>20202</v>
      </c>
      <c r="G14286" t="inlineStr" s="6">
        <is>
          <t xml:space="preserve">When it decides to fight all out, it stands on Lokix's previously folded legs to enter Showdown Mode. It neutralizes its enemies in short order. It uses its normally folded third set of legs when in Showdown Mode. This places a huge burden on its body, so it can’t stay in this mode for long.</t>
        </is>
      </c>
    </row>
    <row r="14287" ht="33.75" customHeight="1">
      <c r="A14287" s="7">
        <v>920.0</v>
      </c>
      <c r="B14287" s="9" t="s">
        <v>19527</v>
      </c>
      <c r="C14287" s="9" t="s">
        <v>1258</v>
      </c>
      <c r="D14287" s="9" t="s">
        <v>19476</v>
      </c>
      <c r="E14287" s="6" t="s">
        <v>13266</v>
      </c>
      <c r="F14287" s="9" t="s">
        <v>20202</v>
      </c>
    </row>
    <row r="14288" ht="33.75" customHeight="1">
      <c r="A14288" s="7">
        <v>921.0</v>
      </c>
      <c r="B14288" s="9" t="s">
        <v>19531</v>
      </c>
      <c r="C14288" s="9" t="s">
        <v>88</v>
      </c>
      <c r="D14288" s="9" t="s">
        <v>19474</v>
      </c>
      <c r="E14288" s="6" t="s">
        <v>13267</v>
      </c>
      <c r="F14288" s="9" t="s">
        <v>20203</v>
      </c>
      <c r="G14288" t="inlineStr" s="6">
        <is>
          <t xml:space="preserve">It has underdeveloped electric sacs on Pawmi's cheeks. These sacs can produce electricity only if Pawmi rubs them furiously with the pads on its forepaws. The pads of its paws are electricity-discharging organs. Pawmi fires electricity from its forepaws while standing unsteadily on its hind legs.</t>
        </is>
      </c>
    </row>
    <row r="14289" ht="33.75" customHeight="1">
      <c r="A14289" s="7">
        <v>921.0</v>
      </c>
      <c r="B14289" s="9" t="s">
        <v>19531</v>
      </c>
      <c r="C14289" s="9" t="s">
        <v>88</v>
      </c>
      <c r="D14289" s="9" t="s">
        <v>19476</v>
      </c>
      <c r="E14289" s="6" t="s">
        <v>13268</v>
      </c>
      <c r="F14289" s="9" t="s">
        <v>20203</v>
      </c>
    </row>
    <row r="14290" ht="33.75" customHeight="1">
      <c r="A14290" s="7">
        <v>922.0</v>
      </c>
      <c r="B14290" s="9" t="s">
        <v>19534</v>
      </c>
      <c r="C14290" s="9" t="s">
        <v>88</v>
      </c>
      <c r="D14290" s="9" t="s">
        <v>19474</v>
      </c>
      <c r="E14290" s="6" t="s">
        <v>13269</v>
      </c>
      <c r="F14290" s="9" t="s">
        <v>20204</v>
      </c>
      <c r="G14290" t="inlineStr" s="6">
        <is>
          <t xml:space="preserve">When Pawmo's group is attacked, Pawmo is the first to leap into battle, defeating enemies with a fighting technique that utilizes electric shocks. Pawmo uses a unique fighting technique in which it uses its forepaws to strike foes and zap them with electricity from its paw pads simultaneously.</t>
        </is>
      </c>
    </row>
    <row r="14291" ht="33.75" customHeight="1">
      <c r="A14291" s="7">
        <v>922.0</v>
      </c>
      <c r="B14291" s="9" t="s">
        <v>19534</v>
      </c>
      <c r="C14291" s="9" t="s">
        <v>88</v>
      </c>
      <c r="D14291" s="9" t="s">
        <v>19476</v>
      </c>
      <c r="E14291" s="6" t="s">
        <v>13270</v>
      </c>
      <c r="F14291" s="9" t="s">
        <v>20204</v>
      </c>
    </row>
    <row r="14292" ht="33.75" customHeight="1">
      <c r="A14292" s="7">
        <v>923.0</v>
      </c>
      <c r="B14292" s="9" t="s">
        <v>19537</v>
      </c>
      <c r="C14292" s="9" t="s">
        <v>1259</v>
      </c>
      <c r="D14292" s="9" t="s">
        <v>19474</v>
      </c>
      <c r="E14292" s="6" t="s">
        <v>13271</v>
      </c>
      <c r="F14292" s="9" t="s">
        <v>20205</v>
      </c>
      <c r="G14292" t="inlineStr" s="6">
        <is>
          <t xml:space="preserve">This Pokémon normally is slow to react, but once it enters battle, it will strike down Pawmot's enemies with lightning-fast movements. Pawmot’s fluffy fur acts as a battery. It can store the same amount of electricity as an electric car.</t>
        </is>
      </c>
    </row>
    <row r="14293" ht="33.75" customHeight="1">
      <c r="A14293" s="7">
        <v>923.0</v>
      </c>
      <c r="B14293" s="9" t="s">
        <v>19537</v>
      </c>
      <c r="C14293" s="9" t="s">
        <v>1259</v>
      </c>
      <c r="D14293" s="9" t="s">
        <v>19476</v>
      </c>
      <c r="E14293" s="6" t="s">
        <v>13272</v>
      </c>
      <c r="F14293" s="9" t="s">
        <v>20205</v>
      </c>
    </row>
    <row r="14294" ht="33.75" customHeight="1">
      <c r="A14294" s="7">
        <v>924.0</v>
      </c>
      <c r="B14294" s="9" t="s">
        <v>19542</v>
      </c>
      <c r="C14294" s="9" t="s">
        <v>1260</v>
      </c>
      <c r="D14294" s="9" t="s">
        <v>19474</v>
      </c>
      <c r="E14294" s="6" t="s">
        <v>13273</v>
      </c>
      <c r="F14294" s="9" t="s">
        <v>20206</v>
      </c>
      <c r="G14294" t="inlineStr" s="6">
        <is>
          <t xml:space="preserve">Exhibiting great teamwork, they use their incisors to cut pieces out of any material that might be useful for a nest, then make off with them. The pair sticks together no matter what. They split any food they find exactly in half and then eat it together.</t>
        </is>
      </c>
    </row>
    <row r="14295" ht="33.75" customHeight="1">
      <c r="A14295" s="7">
        <v>924.0</v>
      </c>
      <c r="B14295" s="9" t="s">
        <v>19542</v>
      </c>
      <c r="C14295" s="9" t="s">
        <v>1260</v>
      </c>
      <c r="D14295" s="9" t="s">
        <v>19476</v>
      </c>
      <c r="E14295" s="6" t="s">
        <v>13274</v>
      </c>
      <c r="F14295" s="9" t="s">
        <v>20206</v>
      </c>
    </row>
    <row r="14296" ht="33.75" customHeight="1">
      <c r="A14296" s="7">
        <v>925.0</v>
      </c>
      <c r="B14296" s="9" t="s">
        <v>19546</v>
      </c>
      <c r="C14296" s="9" t="s">
        <v>1262</v>
      </c>
      <c r="D14296" s="9" t="s">
        <v>19474</v>
      </c>
      <c r="E14296" s="6" t="s">
        <v>13275</v>
      </c>
      <c r="F14296" s="9" t="s">
        <v>20207</v>
      </c>
      <c r="G14296" t="inlineStr" s="6">
        <is>
          <t xml:space="preserve">The two little ones just appeared one day. The group might be a family of related Pokémon, but nobody knows for sure. The larger pair protects the little ones during battles. When facing strong opponents, the whole group will join the fight.</t>
        </is>
      </c>
    </row>
    <row r="14297" ht="33.75" customHeight="1">
      <c r="A14297" s="7">
        <v>925.0</v>
      </c>
      <c r="B14297" s="9" t="s">
        <v>19546</v>
      </c>
      <c r="C14297" s="9" t="s">
        <v>1262</v>
      </c>
      <c r="D14297" s="9" t="s">
        <v>19476</v>
      </c>
      <c r="E14297" s="6" t="s">
        <v>13277</v>
      </c>
      <c r="F14297" s="9" t="s">
        <v>20207</v>
      </c>
    </row>
    <row r="14298" ht="33.75" customHeight="1">
      <c r="A14298" s="7">
        <v>926.0</v>
      </c>
      <c r="B14298" s="9" t="s">
        <v>19550</v>
      </c>
      <c r="C14298" s="9" t="s">
        <v>135</v>
      </c>
      <c r="D14298" s="9" t="s">
        <v>19474</v>
      </c>
      <c r="E14298" s="6" t="s">
        <v>13278</v>
      </c>
      <c r="F14298" s="9" t="s">
        <v>20208</v>
      </c>
      <c r="G14298" t="inlineStr" s="6">
        <is>
          <t xml:space="preserve">This Pokémon is smooth and moist to the touch. Yeast in Fidough’s breath induces fermentation in the Pokémon’s vicinity. The yeast in Fidough’s breath is useful for cooking, so this Pokémon has been protected by people since long ago.</t>
        </is>
      </c>
    </row>
    <row r="14299" ht="33.75" customHeight="1">
      <c r="A14299" s="7">
        <v>926.0</v>
      </c>
      <c r="B14299" s="9" t="s">
        <v>19550</v>
      </c>
      <c r="C14299" s="9" t="s">
        <v>135</v>
      </c>
      <c r="D14299" s="9" t="s">
        <v>19476</v>
      </c>
      <c r="E14299" s="6" t="s">
        <v>13279</v>
      </c>
      <c r="F14299" s="9" t="s">
        <v>20208</v>
      </c>
    </row>
    <row r="14300" ht="33.75" customHeight="1">
      <c r="A14300" s="7">
        <v>927.0</v>
      </c>
      <c r="B14300" s="9" t="s">
        <v>19554</v>
      </c>
      <c r="C14300" s="9" t="s">
        <v>1167</v>
      </c>
      <c r="D14300" s="9" t="s">
        <v>19474</v>
      </c>
      <c r="E14300" s="6" t="s">
        <v>13280</v>
      </c>
      <c r="F14300" s="9" t="s">
        <v>20209</v>
      </c>
      <c r="G14300" t="inlineStr" s="6">
        <is>
          <t xml:space="preserve">The pleasant aroma that emanates from this Pokémon’s body helps wheat grow, so Dachsbun has been treasured by farming villages. The surface of this Pokémon’s skin hardens when exposed to intense heat, and its body has an appetizing aroma.</t>
        </is>
      </c>
    </row>
    <row r="14301" ht="33.75" customHeight="1">
      <c r="A14301" s="7">
        <v>927.0</v>
      </c>
      <c r="B14301" s="9" t="s">
        <v>19554</v>
      </c>
      <c r="C14301" s="9" t="s">
        <v>1167</v>
      </c>
      <c r="D14301" s="9" t="s">
        <v>19476</v>
      </c>
      <c r="E14301" s="6" t="s">
        <v>13281</v>
      </c>
      <c r="F14301" s="9" t="s">
        <v>20209</v>
      </c>
    </row>
    <row r="14302" ht="33.75" customHeight="1">
      <c r="A14302" s="7">
        <v>928.0</v>
      </c>
      <c r="B14302" s="9" t="s">
        <v>19557</v>
      </c>
      <c r="C14302" s="9" t="s">
        <v>1263</v>
      </c>
      <c r="D14302" s="9" t="s">
        <v>19474</v>
      </c>
      <c r="E14302" s="6" t="s">
        <v>13283</v>
      </c>
      <c r="F14302" s="9" t="s">
        <v>20210</v>
      </c>
      <c r="G14302" t="inlineStr" s="6">
        <is>
          <t xml:space="preserve">It protects itself from enemies by emitting oil from the fruit on Smoliv's head. This oil is bitter and astringent enough to make someone flinch. This Pokémon converts nutrients into oil, which it stores in the fruit on its head. It can easily go a whole week without eating or drinking.</t>
        </is>
      </c>
    </row>
    <row r="14303" ht="33.75" customHeight="1">
      <c r="A14303" s="7">
        <v>928.0</v>
      </c>
      <c r="B14303" s="9" t="s">
        <v>19557</v>
      </c>
      <c r="C14303" s="9" t="s">
        <v>1263</v>
      </c>
      <c r="D14303" s="9" t="s">
        <v>19476</v>
      </c>
      <c r="E14303" s="6" t="s">
        <v>13285</v>
      </c>
      <c r="F14303" s="9" t="s">
        <v>20210</v>
      </c>
    </row>
    <row r="14304" ht="33.75" customHeight="1">
      <c r="A14304" s="7">
        <v>929.0</v>
      </c>
      <c r="B14304" s="9" t="s">
        <v>19561</v>
      </c>
      <c r="C14304" s="9" t="s">
        <v>1263</v>
      </c>
      <c r="D14304" s="9" t="s">
        <v>19474</v>
      </c>
      <c r="E14304" s="6" t="s">
        <v>13286</v>
      </c>
      <c r="F14304" s="9" t="s">
        <v>20211</v>
      </c>
      <c r="G14304" t="inlineStr" s="6">
        <is>
          <t xml:space="preserve">Dolliv shares Dolliv's tasty, fresh-scented oil with others. This species has coexisted with humans since times long gone. It basks in the sun to its heart’s content until the fruits on its head ripen. After that, Dolliv departs from human settlements and goes on a journey.</t>
        </is>
      </c>
    </row>
    <row r="14305" ht="33.75" customHeight="1">
      <c r="A14305" s="7">
        <v>929.0</v>
      </c>
      <c r="B14305" s="9" t="s">
        <v>19561</v>
      </c>
      <c r="C14305" s="9" t="s">
        <v>1263</v>
      </c>
      <c r="D14305" s="9" t="s">
        <v>19476</v>
      </c>
      <c r="E14305" s="6" t="s">
        <v>13287</v>
      </c>
      <c r="F14305" s="9" t="s">
        <v>20211</v>
      </c>
    </row>
    <row r="14306" ht="33.75" customHeight="1">
      <c r="A14306" s="7">
        <v>930.0</v>
      </c>
      <c r="B14306" s="9" t="s">
        <v>19565</v>
      </c>
      <c r="C14306" s="9" t="s">
        <v>1263</v>
      </c>
      <c r="D14306" s="9" t="s">
        <v>19474</v>
      </c>
      <c r="E14306" s="6" t="s">
        <v>13288</v>
      </c>
      <c r="F14306" s="9" t="s">
        <v>20212</v>
      </c>
      <c r="G14306" t="inlineStr" s="6">
        <is>
          <t xml:space="preserve">This calm Pokémon is very compassionate. It will share its delicious, nutrient-rich oil with weakened Pokémon. This Pokémon drives back enemies by launching its rich, aromatic oil at them with enough force to smash a boulder.</t>
        </is>
      </c>
    </row>
    <row r="14307" ht="33.75" customHeight="1">
      <c r="A14307" s="7">
        <v>930.0</v>
      </c>
      <c r="B14307" s="9" t="s">
        <v>19565</v>
      </c>
      <c r="C14307" s="9" t="s">
        <v>1263</v>
      </c>
      <c r="D14307" s="9" t="s">
        <v>19476</v>
      </c>
      <c r="E14307" s="6" t="s">
        <v>13289</v>
      </c>
      <c r="F14307" s="9" t="s">
        <v>20212</v>
      </c>
    </row>
    <row r="14308" ht="33.75" customHeight="1">
      <c r="A14308" s="7">
        <v>931.0</v>
      </c>
      <c r="B14308" s="9" t="s">
        <v>19568</v>
      </c>
      <c r="C14308" s="9" t="s">
        <v>1264</v>
      </c>
      <c r="D14308" s="9" t="s">
        <v>19474</v>
      </c>
      <c r="E14308" s="6" t="s">
        <v>13291</v>
      </c>
      <c r="F14308" s="9" t="s">
        <v>20213</v>
      </c>
      <c r="G14308" t="inlineStr" s="6">
        <is>
          <t xml:space="preserve">These Pokémon prefer to live in cities. They form flocks based on the color of their feathers, and they fight over territory. Green-feathered flocks hold the most sway. When they’re out searching for food in the mornings and evenings, it gets very noisy.</t>
        </is>
      </c>
    </row>
    <row r="14309" ht="33.75" customHeight="1">
      <c r="A14309" s="7">
        <v>931.0</v>
      </c>
      <c r="B14309" s="9" t="s">
        <v>19568</v>
      </c>
      <c r="C14309" s="9" t="s">
        <v>1264</v>
      </c>
      <c r="D14309" s="9" t="s">
        <v>19476</v>
      </c>
      <c r="E14309" s="6" t="s">
        <v>13292</v>
      </c>
      <c r="F14309" s="9" t="s">
        <v>20213</v>
      </c>
    </row>
    <row r="14310" ht="33.75" customHeight="1">
      <c r="A14310" s="7">
        <v>932.0</v>
      </c>
      <c r="B14310" s="9" t="s">
        <v>19572</v>
      </c>
      <c r="C14310" s="9" t="s">
        <v>1265</v>
      </c>
      <c r="D14310" s="9" t="s">
        <v>19474</v>
      </c>
      <c r="E14310" s="6" t="s">
        <v>13294</v>
      </c>
      <c r="F14310" s="9" t="s">
        <v>20214</v>
      </c>
      <c r="G14310" t="inlineStr" s="6">
        <is>
          <t xml:space="preserve">Nacli was born in a layer of rock salt deep under the earth. This species was particularly treasured in the old days, as they would share precious salt. The ground scrapes its body as it travels, causing it to leave salt behind. Salt is constantly being created and replenished inside Nacli’s body.</t>
        </is>
      </c>
    </row>
    <row r="14311" ht="33.75" customHeight="1">
      <c r="A14311" s="7">
        <v>932.0</v>
      </c>
      <c r="B14311" s="9" t="s">
        <v>19572</v>
      </c>
      <c r="C14311" s="9" t="s">
        <v>1265</v>
      </c>
      <c r="D14311" s="9" t="s">
        <v>19476</v>
      </c>
      <c r="E14311" s="6" t="s">
        <v>13297</v>
      </c>
      <c r="F14311" s="9" t="s">
        <v>20214</v>
      </c>
    </row>
    <row r="14312" ht="33.75" customHeight="1">
      <c r="A14312" s="7">
        <v>933.0</v>
      </c>
      <c r="B14312" s="9" t="s">
        <v>19577</v>
      </c>
      <c r="C14312" s="9" t="s">
        <v>1265</v>
      </c>
      <c r="D14312" s="9" t="s">
        <v>19474</v>
      </c>
      <c r="E14312" s="6" t="s">
        <v>13300</v>
      </c>
      <c r="F14312" s="9" t="s">
        <v>20215</v>
      </c>
      <c r="G14312" t="inlineStr" s="6">
        <is>
          <t xml:space="preserve">This Pokémon dry cures Naclstack's prey by spraying salt over them. The curing process steals away the water in the prey’s body. It compresses rock salt inside its body and shoots out hardened salt pellets with enough force to perforate an iron sheet.</t>
        </is>
      </c>
    </row>
    <row r="14313" ht="33.75" customHeight="1">
      <c r="A14313" s="7">
        <v>933.0</v>
      </c>
      <c r="B14313" s="9" t="s">
        <v>19577</v>
      </c>
      <c r="C14313" s="9" t="s">
        <v>1265</v>
      </c>
      <c r="D14313" s="9" t="s">
        <v>19476</v>
      </c>
      <c r="E14313" s="6" t="s">
        <v>13302</v>
      </c>
      <c r="F14313" s="9" t="s">
        <v>20215</v>
      </c>
    </row>
    <row r="14314" ht="33.75" customHeight="1">
      <c r="A14314" s="7">
        <v>934.0</v>
      </c>
      <c r="B14314" s="9" t="s">
        <v>19580</v>
      </c>
      <c r="C14314" s="9" t="s">
        <v>1265</v>
      </c>
      <c r="D14314" s="9" t="s">
        <v>19474</v>
      </c>
      <c r="E14314" s="6" t="s">
        <v>13304</v>
      </c>
      <c r="F14314" s="9" t="s">
        <v>20216</v>
      </c>
      <c r="G14314" t="inlineStr" s="6">
        <is>
          <t xml:space="preserve">Garganacl will rub Garganacl's fingertips together and sprinkle injured Pokémon with salt. Even severe wounds will promptly heal afterward. Many Pokémon gather around Garganacl, hoping to lick at its mineral-rich salt.</t>
        </is>
      </c>
    </row>
    <row r="14315" ht="33.75" customHeight="1">
      <c r="A14315" s="7">
        <v>934.0</v>
      </c>
      <c r="B14315" s="9" t="s">
        <v>19580</v>
      </c>
      <c r="C14315" s="9" t="s">
        <v>1265</v>
      </c>
      <c r="D14315" s="9" t="s">
        <v>19476</v>
      </c>
      <c r="E14315" s="6" t="s">
        <v>13305</v>
      </c>
      <c r="F14315" s="9" t="s">
        <v>20216</v>
      </c>
    </row>
    <row r="14316" ht="33.75" customHeight="1">
      <c r="A14316" s="7">
        <v>935.0</v>
      </c>
      <c r="B14316" s="9" t="s">
        <v>19583</v>
      </c>
      <c r="C14316" s="9" t="s">
        <v>1267</v>
      </c>
      <c r="D14316" s="9" t="s">
        <v>19474</v>
      </c>
      <c r="E14316" s="6" t="s">
        <v>13307</v>
      </c>
      <c r="F14316" s="9" t="s">
        <v>20217</v>
      </c>
      <c r="G14316" t="inlineStr" s="6">
        <is>
          <t xml:space="preserve">Burnt charcoal came to life and became a Pokémon. Possessing a fiery fighting spirit, Charcadet will battle even tough opponents. Its firepower increases when it fights, reaching over 1,800 degrees Fahrenheit. It likes berries that are rich in fat.</t>
        </is>
      </c>
    </row>
    <row r="14317" ht="33.75" customHeight="1">
      <c r="A14317" s="7">
        <v>935.0</v>
      </c>
      <c r="B14317" s="9" t="s">
        <v>19583</v>
      </c>
      <c r="C14317" s="9" t="s">
        <v>1267</v>
      </c>
      <c r="D14317" s="9" t="s">
        <v>19476</v>
      </c>
      <c r="E14317" s="6" t="s">
        <v>13309</v>
      </c>
      <c r="F14317" s="9" t="s">
        <v>20217</v>
      </c>
    </row>
    <row r="14318" ht="33.75" customHeight="1">
      <c r="A14318" s="7">
        <v>936.0</v>
      </c>
      <c r="B14318" s="9" t="s">
        <v>19588</v>
      </c>
      <c r="C14318" s="9" t="s">
        <v>1268</v>
      </c>
      <c r="D14318" s="9" t="s">
        <v>19474</v>
      </c>
      <c r="E14318" s="6" t="s">
        <v>13311</v>
      </c>
      <c r="F14318" s="9" t="s">
        <v>20218</v>
      </c>
      <c r="G14318" t="inlineStr" s="6">
        <is>
          <t xml:space="preserve">Armarouge evolved through the use of a set of armor that belonged to a distinguished warrior. This Pokémon is incredibly loyal. This Pokémon clads itself in armor that has been fortified by psychic and fire energy, and it shoots blazing fireballs.</t>
        </is>
      </c>
    </row>
    <row r="14319" ht="33.75" customHeight="1">
      <c r="A14319" s="7">
        <v>936.0</v>
      </c>
      <c r="B14319" s="9" t="s">
        <v>19588</v>
      </c>
      <c r="C14319" s="9" t="s">
        <v>1268</v>
      </c>
      <c r="D14319" s="9" t="s">
        <v>19476</v>
      </c>
      <c r="E14319" s="6" t="s">
        <v>13313</v>
      </c>
      <c r="F14319" s="9" t="s">
        <v>20218</v>
      </c>
    </row>
    <row r="14320" ht="33.75" customHeight="1">
      <c r="A14320" s="7">
        <v>937.0</v>
      </c>
      <c r="B14320" s="9" t="s">
        <v>19592</v>
      </c>
      <c r="C14320" s="9" t="s">
        <v>1271</v>
      </c>
      <c r="D14320" s="9" t="s">
        <v>19474</v>
      </c>
      <c r="E14320" s="6" t="s">
        <v>13315</v>
      </c>
      <c r="F14320" s="9" t="s">
        <v>20219</v>
      </c>
      <c r="G14320" t="inlineStr" s="6">
        <is>
          <t xml:space="preserve">The fiery blades on Ceruledge's arms burn fiercely with the lingering resentment of a sword wielder who fell before accomplishing their goal. An old set of armor steeped in grudges caused this Pokémon’s evolution. Ceruledge cuts its enemies to pieces without mercy.</t>
        </is>
      </c>
    </row>
    <row r="14321" ht="33.75" customHeight="1">
      <c r="A14321" s="7">
        <v>937.0</v>
      </c>
      <c r="B14321" s="9" t="s">
        <v>19592</v>
      </c>
      <c r="C14321" s="9" t="s">
        <v>1271</v>
      </c>
      <c r="D14321" s="9" t="s">
        <v>19476</v>
      </c>
      <c r="E14321" s="6" t="s">
        <v>13316</v>
      </c>
      <c r="F14321" s="9" t="s">
        <v>20219</v>
      </c>
    </row>
    <row r="14322" ht="33.75" customHeight="1">
      <c r="A14322" s="7">
        <v>938.0</v>
      </c>
      <c r="B14322" s="9" t="s">
        <v>19596</v>
      </c>
      <c r="C14322" s="9" t="s">
        <v>1272</v>
      </c>
      <c r="D14322" s="9" t="s">
        <v>19474</v>
      </c>
      <c r="E14322" s="6" t="s">
        <v>13317</v>
      </c>
      <c r="F14322" s="9" t="s">
        <v>20220</v>
      </c>
      <c r="G14322" t="inlineStr" s="6">
        <is>
          <t xml:space="preserve">Tadbulb shakes Tadbulb's tail to generate electricity. If it senses danger, it will make its head blink on and off to alert its allies. It floats using the electricity stored in its body. When thunderclouds are around, Tadbulb will float higher off the ground.</t>
        </is>
      </c>
    </row>
    <row r="14323" ht="33.75" customHeight="1">
      <c r="A14323" s="7">
        <v>938.0</v>
      </c>
      <c r="B14323" s="9" t="s">
        <v>19596</v>
      </c>
      <c r="C14323" s="9" t="s">
        <v>1272</v>
      </c>
      <c r="D14323" s="9" t="s">
        <v>19476</v>
      </c>
      <c r="E14323" s="6" t="s">
        <v>13318</v>
      </c>
      <c r="F14323" s="9" t="s">
        <v>20220</v>
      </c>
    </row>
    <row r="14324" ht="33.75" customHeight="1">
      <c r="A14324" s="7">
        <v>939.0</v>
      </c>
      <c r="B14324" s="9" t="s">
        <v>19601</v>
      </c>
      <c r="C14324" s="9" t="s">
        <v>1273</v>
      </c>
      <c r="D14324" s="9" t="s">
        <v>19474</v>
      </c>
      <c r="E14324" s="6" t="s">
        <v>13319</v>
      </c>
      <c r="F14324" s="9" t="s">
        <v>20221</v>
      </c>
      <c r="G14324" t="inlineStr" s="6">
        <is>
          <t xml:space="preserve">When this Pokémon expands and contracts Bellibolt's wobbly body, the belly-button dynamo in its stomach produces a huge amount of electricity. What appear to be eyeballs are actually organs for discharging the electricity generated by Bellibolt’s belly-button dynamo.</t>
        </is>
      </c>
    </row>
    <row r="14325" ht="33.75" customHeight="1">
      <c r="A14325" s="7">
        <v>939.0</v>
      </c>
      <c r="B14325" s="9" t="s">
        <v>19601</v>
      </c>
      <c r="C14325" s="9" t="s">
        <v>1273</v>
      </c>
      <c r="D14325" s="9" t="s">
        <v>19476</v>
      </c>
      <c r="E14325" s="6" t="s">
        <v>13320</v>
      </c>
      <c r="F14325" s="9" t="s">
        <v>20221</v>
      </c>
    </row>
    <row r="14326" ht="33.75" customHeight="1">
      <c r="A14326" s="7">
        <v>940.0</v>
      </c>
      <c r="B14326" s="9" t="s">
        <v>19605</v>
      </c>
      <c r="C14326" s="9" t="s">
        <v>1274</v>
      </c>
      <c r="D14326" s="9" t="s">
        <v>19474</v>
      </c>
      <c r="E14326" s="6" t="s">
        <v>13321</v>
      </c>
      <c r="F14326" s="9" t="s">
        <v>20222</v>
      </c>
      <c r="G14326" t="inlineStr" s="6">
        <is>
          <t xml:space="preserve">When Wattrel's wings catch the wind, the bones within produce electricity. This Pokémon dives into the ocean, catching prey by electrocuting them. These Pokémon make their nests on coastal cliffs. The nests have a strange, crackling texture, and they’re a popular delicacy.</t>
        </is>
      </c>
    </row>
    <row r="14327" ht="33.75" customHeight="1">
      <c r="A14327" s="7">
        <v>940.0</v>
      </c>
      <c r="B14327" s="9" t="s">
        <v>19605</v>
      </c>
      <c r="C14327" s="9" t="s">
        <v>1274</v>
      </c>
      <c r="D14327" s="9" t="s">
        <v>19476</v>
      </c>
      <c r="E14327" s="6" t="s">
        <v>13322</v>
      </c>
      <c r="F14327" s="9" t="s">
        <v>20222</v>
      </c>
    </row>
    <row r="14328" ht="33.75" customHeight="1">
      <c r="A14328" s="7">
        <v>941.0</v>
      </c>
      <c r="B14328" s="9" t="s">
        <v>19609</v>
      </c>
      <c r="C14328" s="9" t="s">
        <v>1276</v>
      </c>
      <c r="D14328" s="9" t="s">
        <v>19474</v>
      </c>
      <c r="E14328" s="6" t="s">
        <v>13323</v>
      </c>
      <c r="F14328" s="9" t="s">
        <v>20223</v>
      </c>
      <c r="G14328" t="inlineStr" s="6">
        <is>
          <t xml:space="preserve">Kilowattrel inflates Kilowattrel's throat sac to amplify its electricity. By riding the wind, this Pokémon can fly over 430 miles in a day. It uses its throat sac to store electricity generated by its wings. There’s hardly any oil in its feathers, so it is a poor swimmer.</t>
        </is>
      </c>
    </row>
    <row r="14329" ht="33.75" customHeight="1">
      <c r="A14329" s="7">
        <v>941.0</v>
      </c>
      <c r="B14329" s="9" t="s">
        <v>19609</v>
      </c>
      <c r="C14329" s="9" t="s">
        <v>1276</v>
      </c>
      <c r="D14329" s="9" t="s">
        <v>19476</v>
      </c>
      <c r="E14329" s="6" t="s">
        <v>13324</v>
      </c>
      <c r="F14329" s="9" t="s">
        <v>20223</v>
      </c>
    </row>
    <row r="14330" ht="33.75" customHeight="1">
      <c r="A14330" s="7">
        <v>942.0</v>
      </c>
      <c r="B14330" s="9" t="s">
        <v>19614</v>
      </c>
      <c r="C14330" s="9" t="s">
        <v>1277</v>
      </c>
      <c r="D14330" s="9" t="s">
        <v>19474</v>
      </c>
      <c r="E14330" s="6" t="s">
        <v>13325</v>
      </c>
      <c r="F14330" s="9" t="s">
        <v>20224</v>
      </c>
      <c r="G14330" t="inlineStr" s="6">
        <is>
          <t xml:space="preserve">It always scowls in an attempt to make opponents take it seriously, but even crying children will burst into laughter when they see Maschiff’s face. Its well-developed jaw and fangs are strong enough to crunch through boulders, and its thick fat makes for an excellent defense.</t>
        </is>
      </c>
    </row>
    <row r="14331" ht="33.75" customHeight="1">
      <c r="A14331" s="7">
        <v>942.0</v>
      </c>
      <c r="B14331" s="9" t="s">
        <v>19614</v>
      </c>
      <c r="C14331" s="9" t="s">
        <v>1277</v>
      </c>
      <c r="D14331" s="9" t="s">
        <v>19476</v>
      </c>
      <c r="E14331" s="6" t="s">
        <v>13327</v>
      </c>
      <c r="F14331" s="9" t="s">
        <v>20224</v>
      </c>
    </row>
    <row r="14332" ht="33.75" customHeight="1">
      <c r="A14332" s="7">
        <v>943.0</v>
      </c>
      <c r="B14332" s="9" t="s">
        <v>19618</v>
      </c>
      <c r="C14332" s="9" t="s">
        <v>1278</v>
      </c>
      <c r="D14332" s="9" t="s">
        <v>19474</v>
      </c>
      <c r="E14332" s="6" t="s">
        <v>13328</v>
      </c>
      <c r="F14332" s="9" t="s">
        <v>20225</v>
      </c>
      <c r="G14332" t="inlineStr" s="6">
        <is>
          <t xml:space="preserve">This Pokémon can store energy in Mabosstiff's large dewlap. Mabosstiff unleashes this energy all at once to blow away enemies. Mabosstiff loves playing with children. Though usually gentle, it takes on an intimidating look when protecting its family.</t>
        </is>
      </c>
    </row>
    <row r="14333" ht="33.75" customHeight="1">
      <c r="A14333" s="7">
        <v>943.0</v>
      </c>
      <c r="B14333" s="9" t="s">
        <v>19618</v>
      </c>
      <c r="C14333" s="9" t="s">
        <v>1278</v>
      </c>
      <c r="D14333" s="9" t="s">
        <v>19476</v>
      </c>
      <c r="E14333" s="6" t="s">
        <v>13330</v>
      </c>
      <c r="F14333" s="9" t="s">
        <v>20225</v>
      </c>
    </row>
    <row r="14334" ht="33.75" customHeight="1">
      <c r="A14334" s="7">
        <v>944.0</v>
      </c>
      <c r="B14334" s="9" t="s">
        <v>19622</v>
      </c>
      <c r="C14334" s="9" t="s">
        <v>1279</v>
      </c>
      <c r="D14334" s="9" t="s">
        <v>19474</v>
      </c>
      <c r="E14334" s="6" t="s">
        <v>13331</v>
      </c>
      <c r="F14334" s="9" t="s">
        <v>20226</v>
      </c>
      <c r="G14334" t="inlineStr" s="6">
        <is>
          <t xml:space="preserve">Though usually a mellow Pokémon, it will sink Shroodle's sharp, poison-soaked front teeth into any that anger it, causing paralysis in the object of its ire. To keep enemies away from its territory, it paints markings around its nest using a poisonous liquid that has an acrid odor.</t>
        </is>
      </c>
    </row>
    <row r="14335" ht="33.75" customHeight="1">
      <c r="A14335" s="7">
        <v>944.0</v>
      </c>
      <c r="B14335" s="9" t="s">
        <v>19622</v>
      </c>
      <c r="C14335" s="9" t="s">
        <v>1279</v>
      </c>
      <c r="D14335" s="9" t="s">
        <v>19476</v>
      </c>
      <c r="E14335" s="6" t="s">
        <v>13332</v>
      </c>
      <c r="F14335" s="9" t="s">
        <v>20226</v>
      </c>
    </row>
    <row r="14336" ht="33.75" customHeight="1">
      <c r="A14336" s="7">
        <v>945.0</v>
      </c>
      <c r="B14336" s="9" t="s">
        <v>19627</v>
      </c>
      <c r="C14336" s="9" t="s">
        <v>1280</v>
      </c>
      <c r="D14336" s="9" t="s">
        <v>19474</v>
      </c>
      <c r="E14336" s="6" t="s">
        <v>13333</v>
      </c>
      <c r="F14336" s="9" t="s">
        <v>20227</v>
      </c>
      <c r="G14336" t="inlineStr" s="6">
        <is>
          <t xml:space="preserve">The color of the poisonous saliva depends on what the Pokémon eats. Grafaiai covers its fingers in its saliva and draws patterns on trees in forests. Each Grafaiai paints its own individual pattern, and it will paint that same pattern over and over again throughout its life.</t>
        </is>
      </c>
    </row>
    <row r="14337" ht="33.75" customHeight="1">
      <c r="A14337" s="7">
        <v>945.0</v>
      </c>
      <c r="B14337" s="9" t="s">
        <v>19627</v>
      </c>
      <c r="C14337" s="9" t="s">
        <v>1280</v>
      </c>
      <c r="D14337" s="9" t="s">
        <v>19476</v>
      </c>
      <c r="E14337" s="6" t="s">
        <v>13335</v>
      </c>
      <c r="F14337" s="9" t="s">
        <v>20227</v>
      </c>
    </row>
    <row r="14338" ht="33.75" customHeight="1">
      <c r="A14338" s="7">
        <v>946.0</v>
      </c>
      <c r="B14338" s="9" t="s">
        <v>19631</v>
      </c>
      <c r="C14338" s="9" t="s">
        <v>1281</v>
      </c>
      <c r="D14338" s="9" t="s">
        <v>19474</v>
      </c>
      <c r="E14338" s="6" t="s">
        <v>13337</v>
      </c>
      <c r="F14338" s="9" t="s">
        <v>20228</v>
      </c>
      <c r="G14338" t="inlineStr" s="6">
        <is>
          <t xml:space="preserve">A soul unable to move on to the afterlife was blown around by the wind until it got tangled up with dried grass and became a Pokémon. Not even Bramblin knows where it is headed as it tumbles across the wilderness, blown by the wind. It loathes getting wet.</t>
        </is>
      </c>
    </row>
    <row r="14339" ht="33.75" customHeight="1">
      <c r="A14339" s="7">
        <v>946.0</v>
      </c>
      <c r="B14339" s="9" t="s">
        <v>19631</v>
      </c>
      <c r="C14339" s="9" t="s">
        <v>1281</v>
      </c>
      <c r="D14339" s="9" t="s">
        <v>19476</v>
      </c>
      <c r="E14339" s="6" t="s">
        <v>13338</v>
      </c>
      <c r="F14339" s="9" t="s">
        <v>20228</v>
      </c>
    </row>
    <row r="14340" ht="33.75" customHeight="1">
      <c r="A14340" s="7">
        <v>947.0</v>
      </c>
      <c r="B14340" s="9" t="s">
        <v>19635</v>
      </c>
      <c r="C14340" s="9" t="s">
        <v>1281</v>
      </c>
      <c r="D14340" s="9" t="s">
        <v>19474</v>
      </c>
      <c r="E14340" s="6" t="s">
        <v>13340</v>
      </c>
      <c r="F14340" s="9" t="s">
        <v>20229</v>
      </c>
      <c r="G14340" t="inlineStr" s="6">
        <is>
          <t xml:space="preserve">It will open the branches of Brambleghast's head to envelop its prey. Once it absorbs all the life energy it needs, it expels the prey and discards it. Brambleghast wanders around arid regions. On rare occasions, mass outbreaks of these Pokémon will bury an entire town.</t>
        </is>
      </c>
    </row>
    <row r="14341" ht="33.75" customHeight="1">
      <c r="A14341" s="7">
        <v>947.0</v>
      </c>
      <c r="B14341" s="9" t="s">
        <v>19635</v>
      </c>
      <c r="C14341" s="9" t="s">
        <v>1281</v>
      </c>
      <c r="D14341" s="9" t="s">
        <v>19476</v>
      </c>
      <c r="E14341" s="6" t="s">
        <v>13343</v>
      </c>
      <c r="F14341" s="9" t="s">
        <v>20229</v>
      </c>
    </row>
    <row r="14342" ht="33.75" customHeight="1">
      <c r="A14342" s="7">
        <v>948.0</v>
      </c>
      <c r="B14342" s="9" t="s">
        <v>19638</v>
      </c>
      <c r="C14342" s="9" t="s">
        <v>1284</v>
      </c>
      <c r="D14342" s="9" t="s">
        <v>19474</v>
      </c>
      <c r="E14342" s="6" t="s">
        <v>13344</v>
      </c>
      <c r="F14342" s="9" t="s">
        <v>20230</v>
      </c>
      <c r="G14342" t="inlineStr" s="6">
        <is>
          <t xml:space="preserve">Toedscool lives in muggy forests. The flaps that fall from its body are chewy and very delicious. Though it looks like Tentacool, Toedscool is a completely different species. Its legs may be thin, but it can run at a speed of 30 mph.</t>
        </is>
      </c>
    </row>
    <row r="14343" ht="33.75" customHeight="1">
      <c r="A14343" s="7">
        <v>948.0</v>
      </c>
      <c r="B14343" s="9" t="s">
        <v>19638</v>
      </c>
      <c r="C14343" s="9" t="s">
        <v>1284</v>
      </c>
      <c r="D14343" s="9" t="s">
        <v>19476</v>
      </c>
      <c r="E14343" s="6" t="s">
        <v>13346</v>
      </c>
      <c r="F14343" s="9" t="s">
        <v>20230</v>
      </c>
    </row>
    <row r="14344" ht="33.75" customHeight="1">
      <c r="A14344" s="7">
        <v>949.0</v>
      </c>
      <c r="B14344" s="9" t="s">
        <v>19643</v>
      </c>
      <c r="C14344" s="9" t="s">
        <v>1284</v>
      </c>
      <c r="D14344" s="9" t="s">
        <v>19474</v>
      </c>
      <c r="E14344" s="6" t="s">
        <v>13347</v>
      </c>
      <c r="F14344" s="9" t="s">
        <v>20231</v>
      </c>
      <c r="G14344" t="inlineStr" s="6">
        <is>
          <t xml:space="preserve">These Pokémon gather into groups and form colonies deep within forests. They absolutely hate it when strangers approach. It coils its 10 tentacles around prey and sucks out their nutrients, causing the prey pain. The folds along the rim of its head are a popular delicacy.</t>
        </is>
      </c>
    </row>
    <row r="14345" ht="33.75" customHeight="1">
      <c r="A14345" s="7">
        <v>949.0</v>
      </c>
      <c r="B14345" s="9" t="s">
        <v>19643</v>
      </c>
      <c r="C14345" s="9" t="s">
        <v>1284</v>
      </c>
      <c r="D14345" s="9" t="s">
        <v>19476</v>
      </c>
      <c r="E14345" s="6" t="s">
        <v>13349</v>
      </c>
      <c r="F14345" s="9" t="s">
        <v>20231</v>
      </c>
    </row>
    <row r="14346" ht="33.75" customHeight="1">
      <c r="A14346" s="7">
        <v>950.0</v>
      </c>
      <c r="B14346" s="9" t="s">
        <v>19646</v>
      </c>
      <c r="C14346" s="9" t="s">
        <v>1285</v>
      </c>
      <c r="D14346" s="9" t="s">
        <v>19474</v>
      </c>
      <c r="E14346" s="6" t="s">
        <v>13352</v>
      </c>
      <c r="F14346" s="9" t="s">
        <v>20232</v>
      </c>
      <c r="G14346" t="inlineStr" s="6">
        <is>
          <t xml:space="preserve">Klawf hangs upside-down from cliffs, waiting for prey. But Klawf can’t remain in this position for long because its blood rushes to its head. This Pokémon lives on sheer cliffs. It sidesteps opponents’ attacks, then lunges for their weak spots with its claws.</t>
        </is>
      </c>
    </row>
    <row r="14347" ht="33.75" customHeight="1">
      <c r="A14347" s="7">
        <v>950.0</v>
      </c>
      <c r="B14347" s="9" t="s">
        <v>19646</v>
      </c>
      <c r="C14347" s="9" t="s">
        <v>1285</v>
      </c>
      <c r="D14347" s="9" t="s">
        <v>19476</v>
      </c>
      <c r="E14347" s="6" t="s">
        <v>13354</v>
      </c>
      <c r="F14347" s="9" t="s">
        <v>20232</v>
      </c>
    </row>
    <row r="14348" ht="33.75" customHeight="1">
      <c r="A14348" s="7">
        <v>951.0</v>
      </c>
      <c r="B14348" s="9" t="s">
        <v>19651</v>
      </c>
      <c r="C14348" s="9" t="s">
        <v>1286</v>
      </c>
      <c r="D14348" s="9" t="s">
        <v>19474</v>
      </c>
      <c r="E14348" s="6" t="s">
        <v>13356</v>
      </c>
      <c r="F14348" s="9" t="s">
        <v>20233</v>
      </c>
      <c r="G14348" t="inlineStr" s="6">
        <is>
          <t xml:space="preserve">The more sunlight this Pokémon bathes in, the more spicy chemicals are produced by Capsakid's body, and thus the spicier its moves become. Traditional Paldean dishes can be extremely spicy because they include the shed front teeth of Capsakid among their ingredients.</t>
        </is>
      </c>
    </row>
    <row r="14349" ht="33.75" customHeight="1">
      <c r="A14349" s="7">
        <v>951.0</v>
      </c>
      <c r="B14349" s="9" t="s">
        <v>19651</v>
      </c>
      <c r="C14349" s="9" t="s">
        <v>1286</v>
      </c>
      <c r="D14349" s="9" t="s">
        <v>19476</v>
      </c>
      <c r="E14349" s="6" t="s">
        <v>13357</v>
      </c>
      <c r="F14349" s="9" t="s">
        <v>20233</v>
      </c>
    </row>
    <row r="14350" ht="33.75" customHeight="1">
      <c r="A14350" s="7">
        <v>952.0</v>
      </c>
      <c r="B14350" s="9" t="s">
        <v>19655</v>
      </c>
      <c r="C14350" s="9" t="s">
        <v>1286</v>
      </c>
      <c r="D14350" s="9" t="s">
        <v>19474</v>
      </c>
      <c r="E14350" s="6" t="s">
        <v>13359</v>
      </c>
      <c r="F14350" s="9" t="s">
        <v>20234</v>
      </c>
      <c r="G14350" t="inlineStr" s="6">
        <is>
          <t xml:space="preserve">The red head converts spicy chemicals into fire energy and blasts the surrounding area with a super spicy stream of flame. The green head has turned vicious due to the spicy chemicals stimulating its brain. Once it goes on a rampage, there is no stopping it.</t>
        </is>
      </c>
    </row>
    <row r="14351" ht="33.75" customHeight="1">
      <c r="A14351" s="7">
        <v>952.0</v>
      </c>
      <c r="B14351" s="9" t="s">
        <v>19655</v>
      </c>
      <c r="C14351" s="9" t="s">
        <v>1286</v>
      </c>
      <c r="D14351" s="9" t="s">
        <v>19476</v>
      </c>
      <c r="E14351" s="6" t="s">
        <v>13361</v>
      </c>
      <c r="F14351" s="9" t="s">
        <v>20234</v>
      </c>
    </row>
    <row r="14352" ht="33.75" customHeight="1">
      <c r="A14352" s="7">
        <v>953.0</v>
      </c>
      <c r="B14352" s="9" t="s">
        <v>19658</v>
      </c>
      <c r="C14352" s="9" t="s">
        <v>1288</v>
      </c>
      <c r="D14352" s="9" t="s">
        <v>19474</v>
      </c>
      <c r="E14352" s="6" t="s">
        <v>13362</v>
      </c>
      <c r="F14352" s="9" t="s">
        <v>20235</v>
      </c>
      <c r="G14352" t="inlineStr" s="6">
        <is>
          <t xml:space="preserve">This Pokémon creates a mud ball by mixing sand and dirt with psychic energy. It treasures its mud ball more than its own life. It rolls its mud ball around while the energy it needs for evolution matures. Eventually the time comes for it to evolve.</t>
        </is>
      </c>
    </row>
    <row r="14353" ht="33.75" customHeight="1">
      <c r="A14353" s="7">
        <v>953.0</v>
      </c>
      <c r="B14353" s="9" t="s">
        <v>19658</v>
      </c>
      <c r="C14353" s="9" t="s">
        <v>1288</v>
      </c>
      <c r="D14353" s="9" t="s">
        <v>19476</v>
      </c>
      <c r="E14353" s="6" t="s">
        <v>13363</v>
      </c>
      <c r="F14353" s="9" t="s">
        <v>20235</v>
      </c>
    </row>
    <row r="14354" ht="33.75" customHeight="1">
      <c r="A14354" s="7">
        <v>954.0</v>
      </c>
      <c r="B14354" s="9" t="s">
        <v>19662</v>
      </c>
      <c r="C14354" s="9" t="s">
        <v>1288</v>
      </c>
      <c r="D14354" s="9" t="s">
        <v>19474</v>
      </c>
      <c r="E14354" s="6" t="s">
        <v>13364</v>
      </c>
      <c r="F14354" s="9" t="s">
        <v>20236</v>
      </c>
      <c r="G14354" t="inlineStr" s="6">
        <is>
          <t xml:space="preserve">The body that supports the ball barely moves. Therefore, it is thought that the true body of this Pokémon is actually inside the ball. An infant sleeps inside the ball. Rabsca rolls the ball soothingly with its legs to ensure the infant sleeps comfortably.</t>
        </is>
      </c>
    </row>
    <row r="14355" ht="33.75" customHeight="1">
      <c r="A14355" s="7">
        <v>954.0</v>
      </c>
      <c r="B14355" s="9" t="s">
        <v>19662</v>
      </c>
      <c r="C14355" s="9" t="s">
        <v>1288</v>
      </c>
      <c r="D14355" s="9" t="s">
        <v>19476</v>
      </c>
      <c r="E14355" s="6" t="s">
        <v>13366</v>
      </c>
      <c r="F14355" s="9" t="s">
        <v>20236</v>
      </c>
    </row>
    <row r="14356" ht="33.75" customHeight="1">
      <c r="A14356" s="7">
        <v>955.0</v>
      </c>
      <c r="B14356" s="9" t="s">
        <v>19665</v>
      </c>
      <c r="C14356" s="9" t="s">
        <v>1289</v>
      </c>
      <c r="D14356" s="9" t="s">
        <v>19474</v>
      </c>
      <c r="E14356" s="6" t="s">
        <v>13367</v>
      </c>
      <c r="F14356" s="9" t="s">
        <v>20237</v>
      </c>
      <c r="G14356" t="inlineStr" s="6">
        <is>
          <t xml:space="preserve">Flittle’s toes levitate about half an inch above the ground because of the psychic power emitted from the frills on the Pokémon’s belly. It spends its time running around wastelands. If anyone steals its beloved berries, it will chase them down and exact its revenge.</t>
        </is>
      </c>
    </row>
    <row r="14357" ht="33.75" customHeight="1">
      <c r="A14357" s="7">
        <v>955.0</v>
      </c>
      <c r="B14357" s="9" t="s">
        <v>19665</v>
      </c>
      <c r="C14357" s="9" t="s">
        <v>1289</v>
      </c>
      <c r="D14357" s="9" t="s">
        <v>19476</v>
      </c>
      <c r="E14357" s="6" t="s">
        <v>13368</v>
      </c>
      <c r="F14357" s="9" t="s">
        <v>20237</v>
      </c>
    </row>
    <row r="14358" ht="33.75" customHeight="1">
      <c r="A14358" s="7">
        <v>956.0</v>
      </c>
      <c r="B14358" s="9" t="s">
        <v>19669</v>
      </c>
      <c r="C14358" s="9" t="s">
        <v>1291</v>
      </c>
      <c r="D14358" s="9" t="s">
        <v>19474</v>
      </c>
      <c r="E14358" s="6" t="s">
        <v>13369</v>
      </c>
      <c r="F14358" s="9" t="s">
        <v>20238</v>
      </c>
      <c r="G14358" t="inlineStr" s="6">
        <is>
          <t xml:space="preserve">It immobilizes opponents by bathing them in psychic power from Espathra's large eyes. Despite its appearance, it has a vicious temperament. It emits psychic power from the gaps between its multicolored frills and sprints at speeds greater than 120 mph.</t>
        </is>
      </c>
    </row>
    <row r="14359" ht="33.75" customHeight="1">
      <c r="A14359" s="7">
        <v>956.0</v>
      </c>
      <c r="B14359" s="9" t="s">
        <v>19669</v>
      </c>
      <c r="C14359" s="9" t="s">
        <v>1291</v>
      </c>
      <c r="D14359" s="9" t="s">
        <v>19476</v>
      </c>
      <c r="E14359" s="6" t="s">
        <v>13371</v>
      </c>
      <c r="F14359" s="9" t="s">
        <v>20238</v>
      </c>
    </row>
    <row r="14360" ht="33.75" customHeight="1">
      <c r="A14360" s="7">
        <v>957.0</v>
      </c>
      <c r="B14360" s="9" t="s">
        <v>19674</v>
      </c>
      <c r="C14360" s="9" t="s">
        <v>1295</v>
      </c>
      <c r="D14360" s="9" t="s">
        <v>19474</v>
      </c>
      <c r="E14360" s="6" t="s">
        <v>13373</v>
      </c>
      <c r="F14360" s="9" t="s">
        <v>20239</v>
      </c>
      <c r="G14360" t="inlineStr" s="6">
        <is>
          <t xml:space="preserve">It swings Tinkatink's handmade hammer around to protect itself, but the hammer is often stolen by Pokémon that eat metal. This Pokémon pounds iron scraps together to make a hammer. It will remake the hammer again and again until it’s satisfied with the result.</t>
        </is>
      </c>
    </row>
    <row r="14361" ht="33.75" customHeight="1">
      <c r="A14361" s="7">
        <v>957.0</v>
      </c>
      <c r="B14361" s="9" t="s">
        <v>19674</v>
      </c>
      <c r="C14361" s="9" t="s">
        <v>1295</v>
      </c>
      <c r="D14361" s="9" t="s">
        <v>19476</v>
      </c>
      <c r="E14361" s="6" t="s">
        <v>13374</v>
      </c>
      <c r="F14361" s="9" t="s">
        <v>20239</v>
      </c>
    </row>
    <row r="14362" ht="33.75" customHeight="1">
      <c r="A14362" s="7">
        <v>958.0</v>
      </c>
      <c r="B14362" s="9" t="s">
        <v>19678</v>
      </c>
      <c r="C14362" s="9" t="s">
        <v>1296</v>
      </c>
      <c r="D14362" s="9" t="s">
        <v>19474</v>
      </c>
      <c r="E14362" s="6" t="s">
        <v>13375</v>
      </c>
      <c r="F14362" s="9" t="s">
        <v>20240</v>
      </c>
      <c r="G14362" t="inlineStr" s="6">
        <is>
          <t xml:space="preserve">This Pokémon will attack groups of Pawniard and Bisharp, gathering metal from them in order to create a large and sturdy hammer. These Pokémon make their homes in piles of scrap metal. They test the strength of each other’s hammers by smashing them together.</t>
        </is>
      </c>
    </row>
    <row r="14363" ht="33.75" customHeight="1">
      <c r="A14363" s="7">
        <v>958.0</v>
      </c>
      <c r="B14363" s="9" t="s">
        <v>19678</v>
      </c>
      <c r="C14363" s="9" t="s">
        <v>1296</v>
      </c>
      <c r="D14363" s="9" t="s">
        <v>19476</v>
      </c>
      <c r="E14363" s="6" t="s">
        <v>13376</v>
      </c>
      <c r="F14363" s="9" t="s">
        <v>20240</v>
      </c>
    </row>
    <row r="14364" ht="33.75" customHeight="1">
      <c r="A14364" s="7">
        <v>959.0</v>
      </c>
      <c r="B14364" s="9" t="s">
        <v>19682</v>
      </c>
      <c r="C14364" s="9" t="s">
        <v>1296</v>
      </c>
      <c r="D14364" s="9" t="s">
        <v>19474</v>
      </c>
      <c r="E14364" s="6" t="s">
        <v>13377</v>
      </c>
      <c r="F14364" s="9" t="s">
        <v>20241</v>
      </c>
      <c r="G14364" t="inlineStr" s="6">
        <is>
          <t xml:space="preserve">This intelligent Pokémon has a very daring disposition. It knocks rocks into the sky with its hammer, aiming for flying Corviknight. The hammer tops 220 pounds, yet it gets swung around easily by Tinkaton as it steals whatever it pleases and carries its plunder back home.</t>
        </is>
      </c>
    </row>
    <row r="14365" ht="33.75" customHeight="1">
      <c r="A14365" s="7">
        <v>959.0</v>
      </c>
      <c r="B14365" s="9" t="s">
        <v>19682</v>
      </c>
      <c r="C14365" s="9" t="s">
        <v>1296</v>
      </c>
      <c r="D14365" s="9" t="s">
        <v>19476</v>
      </c>
      <c r="E14365" s="6" t="s">
        <v>13378</v>
      </c>
      <c r="F14365" s="9" t="s">
        <v>20241</v>
      </c>
    </row>
    <row r="14366" ht="33.75" customHeight="1">
      <c r="A14366" s="7">
        <v>960.0</v>
      </c>
      <c r="B14366" s="9" t="s">
        <v>19685</v>
      </c>
      <c r="C14366" s="9" t="s">
        <v>1297</v>
      </c>
      <c r="D14366" s="9" t="s">
        <v>19474</v>
      </c>
      <c r="E14366" s="6" t="s">
        <v>13379</v>
      </c>
      <c r="F14366" s="9" t="s">
        <v>20242</v>
      </c>
      <c r="G14366" t="inlineStr" s="6">
        <is>
          <t xml:space="preserve">This Pokémon can pick up the scent of a Veluza just over 65 feet away and will hide itself in the sand. Though it looks like Diglett, Wiglett is an entirely different species. The resemblance seems to be a coincidental result of environmental adaptation.</t>
        </is>
      </c>
    </row>
    <row r="14367" ht="33.75" customHeight="1">
      <c r="A14367" s="7">
        <v>960.0</v>
      </c>
      <c r="B14367" s="9" t="s">
        <v>19685</v>
      </c>
      <c r="C14367" s="9" t="s">
        <v>1297</v>
      </c>
      <c r="D14367" s="9" t="s">
        <v>19476</v>
      </c>
      <c r="E14367" s="6" t="s">
        <v>13380</v>
      </c>
      <c r="F14367" s="9" t="s">
        <v>20242</v>
      </c>
    </row>
    <row r="14368" ht="33.75" customHeight="1">
      <c r="A14368" s="7">
        <v>961.0</v>
      </c>
      <c r="B14368" s="9" t="s">
        <v>19690</v>
      </c>
      <c r="C14368" s="9" t="s">
        <v>1297</v>
      </c>
      <c r="D14368" s="9" t="s">
        <v>19474</v>
      </c>
      <c r="E14368" s="6" t="s">
        <v>13381</v>
      </c>
      <c r="F14368" s="9" t="s">
        <v>20243</v>
      </c>
      <c r="G14368" t="inlineStr" s="6">
        <is>
          <t xml:space="preserve">It has a vicious temperament, contrary to what Wugtrio's appearance may suggest. It wraps its long bodies around prey, then drags the prey into its den. A variety of fish Pokémon, Wugtrio was once considered to be a regional form of Dugtrio.</t>
        </is>
      </c>
    </row>
    <row r="14369" ht="33.75" customHeight="1">
      <c r="A14369" s="7">
        <v>961.0</v>
      </c>
      <c r="B14369" s="9" t="s">
        <v>19690</v>
      </c>
      <c r="C14369" s="9" t="s">
        <v>1297</v>
      </c>
      <c r="D14369" s="9" t="s">
        <v>19476</v>
      </c>
      <c r="E14369" s="6" t="s">
        <v>13382</v>
      </c>
      <c r="F14369" s="9" t="s">
        <v>20243</v>
      </c>
    </row>
    <row r="14370" ht="33.75" customHeight="1">
      <c r="A14370" s="7">
        <v>962.0</v>
      </c>
      <c r="B14370" s="9" t="s">
        <v>19693</v>
      </c>
      <c r="C14370" s="9" t="s">
        <v>1298</v>
      </c>
      <c r="D14370" s="9" t="s">
        <v>19474</v>
      </c>
      <c r="E14370" s="6" t="s">
        <v>13383</v>
      </c>
      <c r="F14370" s="9" t="s">
        <v>20244</v>
      </c>
      <c r="G14370" t="inlineStr" s="6">
        <is>
          <t xml:space="preserve">It gathers things up in an apron made from shed feathers added to the Pokémon’s chest feathers, then drops those things from high places for fun. Bombirdier uses the apron on its chest to bundle up food, which it carries back to its nest. It enjoys dropping things that make loud noises.</t>
        </is>
      </c>
    </row>
    <row r="14371" ht="33.75" customHeight="1">
      <c r="A14371" s="7">
        <v>962.0</v>
      </c>
      <c r="B14371" s="9" t="s">
        <v>19693</v>
      </c>
      <c r="C14371" s="9" t="s">
        <v>1298</v>
      </c>
      <c r="D14371" s="9" t="s">
        <v>19476</v>
      </c>
      <c r="E14371" s="6" t="s">
        <v>13384</v>
      </c>
      <c r="F14371" s="9" t="s">
        <v>20244</v>
      </c>
    </row>
    <row r="14372" ht="33.75" customHeight="1">
      <c r="A14372" s="7">
        <v>963.0</v>
      </c>
      <c r="B14372" s="9" t="s">
        <v>19697</v>
      </c>
      <c r="C14372" s="9" t="s">
        <v>1299</v>
      </c>
      <c r="D14372" s="9" t="s">
        <v>19474</v>
      </c>
      <c r="E14372" s="6" t="s">
        <v>13385</v>
      </c>
      <c r="F14372" s="9" t="s">
        <v>20245</v>
      </c>
      <c r="G14372" t="inlineStr" s="6">
        <is>
          <t xml:space="preserve">It likes playing with others of Finizen's kind using the water ring on its tail. It uses ultrasonic waves to sense the emotions of other living creatures. Its water ring is made from seawater mixed with a sticky fluid that Finizen secretes from its blowhole.</t>
        </is>
      </c>
    </row>
    <row r="14373" ht="33.75" customHeight="1">
      <c r="A14373" s="7">
        <v>963.0</v>
      </c>
      <c r="B14373" s="9" t="s">
        <v>19697</v>
      </c>
      <c r="C14373" s="9" t="s">
        <v>1299</v>
      </c>
      <c r="D14373" s="9" t="s">
        <v>19476</v>
      </c>
      <c r="E14373" s="6" t="s">
        <v>13386</v>
      </c>
      <c r="F14373" s="9" t="s">
        <v>20245</v>
      </c>
    </row>
    <row r="14374" ht="33.75" customHeight="1">
      <c r="A14374" s="7">
        <v>964.0</v>
      </c>
      <c r="B14374" s="9" t="s">
        <v>19701</v>
      </c>
      <c r="C14374" s="9" t="s">
        <v>1299</v>
      </c>
      <c r="D14374" s="9" t="s">
        <v>19474</v>
      </c>
      <c r="E14374" s="6" t="s">
        <v>13387</v>
      </c>
      <c r="F14374" s="9" t="s">
        <v>20246</v>
      </c>
      <c r="G14374" t="inlineStr" s="6">
        <is>
          <t xml:space="preserve">This Pokémon changes Palafin's appearance if it hears its allies calling for help. Palafin will never show anybody its moment of transformation. Its physical capabilities are no different than a Finizen’s, but when its allies are in danger, it transforms and powers itself up.</t>
        </is>
      </c>
    </row>
    <row r="14375" ht="33.75" customHeight="1">
      <c r="A14375" s="7">
        <v>964.0</v>
      </c>
      <c r="B14375" s="9" t="s">
        <v>19701</v>
      </c>
      <c r="C14375" s="9" t="s">
        <v>1299</v>
      </c>
      <c r="D14375" s="9" t="s">
        <v>19476</v>
      </c>
      <c r="E14375" s="6" t="s">
        <v>13389</v>
      </c>
      <c r="F14375" s="9" t="s">
        <v>20246</v>
      </c>
    </row>
    <row r="14376" ht="33.75" customHeight="1">
      <c r="A14376" s="7">
        <v>965.0</v>
      </c>
      <c r="B14376" s="9" t="s">
        <v>19705</v>
      </c>
      <c r="C14376" s="9" t="s">
        <v>1302</v>
      </c>
      <c r="D14376" s="9" t="s">
        <v>19474</v>
      </c>
      <c r="E14376" s="6" t="s">
        <v>13390</v>
      </c>
      <c r="F14376" s="9" t="s">
        <v>20247</v>
      </c>
      <c r="G14376" t="inlineStr" s="6">
        <is>
          <t xml:space="preserve">Varoom is said that this Pokémon was born when an unknown poison Pokémon entered and inspirited an engine left at a scrap-processing factory. The steel section is Varoom’s actual body. This Pokémon clings to rocks and converts the minerals within into energy to fuel its activities.</t>
        </is>
      </c>
    </row>
    <row r="14377" ht="33.75" customHeight="1">
      <c r="A14377" s="7">
        <v>965.0</v>
      </c>
      <c r="B14377" s="9" t="s">
        <v>19705</v>
      </c>
      <c r="C14377" s="9" t="s">
        <v>1302</v>
      </c>
      <c r="D14377" s="9" t="s">
        <v>19476</v>
      </c>
      <c r="E14377" s="6" t="s">
        <v>13391</v>
      </c>
      <c r="F14377" s="9" t="s">
        <v>20247</v>
      </c>
    </row>
    <row r="14378" ht="33.75" customHeight="1">
      <c r="A14378" s="7">
        <v>966.0</v>
      </c>
      <c r="B14378" s="9" t="s">
        <v>19709</v>
      </c>
      <c r="C14378" s="9" t="s">
        <v>1303</v>
      </c>
      <c r="D14378" s="9" t="s">
        <v>19474</v>
      </c>
      <c r="E14378" s="6" t="s">
        <v>13392</v>
      </c>
      <c r="F14378" s="9" t="s">
        <v>20248</v>
      </c>
      <c r="G14378" t="inlineStr" s="6">
        <is>
          <t xml:space="preserve">Revavroom creates a gas out of poison and minerals from rocks. It then detonates the gas in its cylinders—now numbering eight—to generate energy. Revavroom viciously threatens others with the sound of its exhaust. It sticks its tongue out from its cylindrical mouth and sprays toxic fluids.</t>
        </is>
      </c>
    </row>
    <row r="14379" ht="33.75" customHeight="1">
      <c r="A14379" s="7">
        <v>966.0</v>
      </c>
      <c r="B14379" s="9" t="s">
        <v>19709</v>
      </c>
      <c r="C14379" s="9" t="s">
        <v>1303</v>
      </c>
      <c r="D14379" s="9" t="s">
        <v>19476</v>
      </c>
      <c r="E14379" s="6" t="s">
        <v>13393</v>
      </c>
      <c r="F14379" s="9" t="s">
        <v>20248</v>
      </c>
    </row>
    <row r="14380" ht="33.75" customHeight="1">
      <c r="A14380" s="7">
        <v>967.0</v>
      </c>
      <c r="B14380" s="9" t="s">
        <v>19713</v>
      </c>
      <c r="C14380" s="9" t="s">
        <v>986</v>
      </c>
      <c r="D14380" s="9" t="s">
        <v>19474</v>
      </c>
      <c r="E14380" s="6" t="s">
        <v>13394</v>
      </c>
      <c r="F14380" s="9" t="s">
        <v>20249</v>
      </c>
      <c r="G14380" t="inlineStr" s="6">
        <is>
          <t xml:space="preserve">Apparently Cyclizar has been allowing people to ride on Cyclizar's back since ancient times. Depictions of this have been found in 10,000-year-old murals. It can sprint at over 70 mph while carrying a human. The rider’s body heat warms Cyclizar’s back and lifts the Pokémon’s spirit.</t>
        </is>
      </c>
    </row>
    <row r="14381" ht="33.75" customHeight="1">
      <c r="A14381" s="7">
        <v>967.0</v>
      </c>
      <c r="B14381" s="9" t="s">
        <v>19713</v>
      </c>
      <c r="C14381" s="9" t="s">
        <v>986</v>
      </c>
      <c r="D14381" s="9" t="s">
        <v>19476</v>
      </c>
      <c r="E14381" s="6" t="s">
        <v>13396</v>
      </c>
      <c r="F14381" s="9" t="s">
        <v>20249</v>
      </c>
    </row>
    <row r="14382" ht="33.75" customHeight="1">
      <c r="A14382" s="7">
        <v>968.0</v>
      </c>
      <c r="B14382" s="9" t="s">
        <v>19717</v>
      </c>
      <c r="C14382" s="9" t="s">
        <v>1305</v>
      </c>
      <c r="D14382" s="9" t="s">
        <v>19474</v>
      </c>
      <c r="E14382" s="6" t="s">
        <v>13397</v>
      </c>
      <c r="F14382" s="9" t="s">
        <v>20250</v>
      </c>
      <c r="G14382" t="inlineStr" s="6">
        <is>
          <t xml:space="preserve">When attacked, this Pokémon will wield the tendrils on Orthworm's body like fists and pelt the opponent with a storm of punches. This Pokémon lives in arid deserts. It maintains its metal body by consuming iron from the soil.</t>
        </is>
      </c>
    </row>
    <row r="14383" ht="33.75" customHeight="1">
      <c r="A14383" s="7">
        <v>968.0</v>
      </c>
      <c r="B14383" s="9" t="s">
        <v>19717</v>
      </c>
      <c r="C14383" s="9" t="s">
        <v>1305</v>
      </c>
      <c r="D14383" s="9" t="s">
        <v>19476</v>
      </c>
      <c r="E14383" s="6" t="s">
        <v>13398</v>
      </c>
      <c r="F14383" s="9" t="s">
        <v>20250</v>
      </c>
    </row>
    <row r="14384" ht="33.75" customHeight="1">
      <c r="A14384" s="7">
        <v>969.0</v>
      </c>
      <c r="B14384" s="9" t="s">
        <v>19721</v>
      </c>
      <c r="C14384" s="9" t="s">
        <v>802</v>
      </c>
      <c r="D14384" s="9" t="s">
        <v>19474</v>
      </c>
      <c r="E14384" s="6" t="s">
        <v>13399</v>
      </c>
      <c r="F14384" s="9" t="s">
        <v>20251</v>
      </c>
      <c r="G14384" t="inlineStr" s="6">
        <is>
          <t xml:space="preserve">It absorbs nutrients from cave walls. The petals it wears are made of crystallized poison. Glimmet’s toxic mineral crystals look just like flower petals. This Pokémon scatters poisonous powder like pollen to protect itself.</t>
        </is>
      </c>
    </row>
    <row r="14385" ht="33.75" customHeight="1">
      <c r="A14385" s="7">
        <v>969.0</v>
      </c>
      <c r="B14385" s="9" t="s">
        <v>19721</v>
      </c>
      <c r="C14385" s="9" t="s">
        <v>802</v>
      </c>
      <c r="D14385" s="9" t="s">
        <v>19476</v>
      </c>
      <c r="E14385" s="6" t="s">
        <v>13400</v>
      </c>
      <c r="F14385" s="9" t="s">
        <v>20251</v>
      </c>
    </row>
    <row r="14386" ht="33.75" customHeight="1">
      <c r="A14386" s="7">
        <v>970.0</v>
      </c>
      <c r="B14386" s="9" t="s">
        <v>19724</v>
      </c>
      <c r="C14386" s="9" t="s">
        <v>802</v>
      </c>
      <c r="D14386" s="9" t="s">
        <v>19474</v>
      </c>
      <c r="E14386" s="6" t="s">
        <v>13401</v>
      </c>
      <c r="F14386" s="9" t="s">
        <v>20252</v>
      </c>
      <c r="G14386" t="inlineStr" s="6">
        <is>
          <t xml:space="preserve">When this Pokémon detects danger, it will open up Glimmora's crystalline petals and fire beams from its conical body. Glimmora’s petals are made of crystallized poison energy. It has recently become evident that these petals resemble Tera Jewels.</t>
        </is>
      </c>
    </row>
    <row r="14387" ht="33.75" customHeight="1">
      <c r="A14387" s="7">
        <v>970.0</v>
      </c>
      <c r="B14387" s="9" t="s">
        <v>19724</v>
      </c>
      <c r="C14387" s="9" t="s">
        <v>802</v>
      </c>
      <c r="D14387" s="9" t="s">
        <v>19476</v>
      </c>
      <c r="E14387" s="6" t="s">
        <v>13405</v>
      </c>
      <c r="F14387" s="9" t="s">
        <v>20252</v>
      </c>
    </row>
    <row r="14388" ht="33.75" customHeight="1">
      <c r="A14388" s="7">
        <v>971.0</v>
      </c>
      <c r="B14388" s="9" t="s">
        <v>19727</v>
      </c>
      <c r="C14388" s="9" t="s">
        <v>1307</v>
      </c>
      <c r="D14388" s="9" t="s">
        <v>19474</v>
      </c>
      <c r="E14388" s="6" t="s">
        <v>13407</v>
      </c>
      <c r="F14388" s="9" t="s">
        <v>20253</v>
      </c>
      <c r="G14388" t="inlineStr" s="6">
        <is>
          <t xml:space="preserve">Greavard is said that a dog Pokémon that died in the wild without ever interacting with a human was reborn as this Pokémon. This friendly Pokémon doesn’t like being alone. Pay it even the slightest bit of attention, and it will follow you forever.</t>
        </is>
      </c>
    </row>
    <row r="14389" ht="33.75" customHeight="1">
      <c r="A14389" s="7">
        <v>971.0</v>
      </c>
      <c r="B14389" s="9" t="s">
        <v>19727</v>
      </c>
      <c r="C14389" s="9" t="s">
        <v>1307</v>
      </c>
      <c r="D14389" s="9" t="s">
        <v>19476</v>
      </c>
      <c r="E14389" s="6" t="s">
        <v>13408</v>
      </c>
      <c r="F14389" s="9" t="s">
        <v>20253</v>
      </c>
    </row>
    <row r="14390" ht="33.75" customHeight="1">
      <c r="A14390" s="7">
        <v>972.0</v>
      </c>
      <c r="B14390" s="9" t="s">
        <v>19732</v>
      </c>
      <c r="C14390" s="9" t="s">
        <v>1307</v>
      </c>
      <c r="D14390" s="9" t="s">
        <v>19474</v>
      </c>
      <c r="E14390" s="6" t="s">
        <v>13410</v>
      </c>
      <c r="F14390" s="9" t="s">
        <v>20254</v>
      </c>
      <c r="G14390" t="inlineStr" s="6">
        <is>
          <t xml:space="preserve">Houndstone spends most of Houndstone's time sleeping in graveyards. Among all the dog Pokémon, this one is most loyal to its master. A lovingly mourned Pokémon was reborn as Houndstone. It doesn’t like anyone touching the protuberance atop its head.</t>
        </is>
      </c>
    </row>
    <row r="14391" ht="33.75" customHeight="1">
      <c r="A14391" s="7">
        <v>972.0</v>
      </c>
      <c r="B14391" s="9" t="s">
        <v>19732</v>
      </c>
      <c r="C14391" s="9" t="s">
        <v>1307</v>
      </c>
      <c r="D14391" s="9" t="s">
        <v>19476</v>
      </c>
      <c r="E14391" s="6" t="s">
        <v>13411</v>
      </c>
      <c r="F14391" s="9" t="s">
        <v>20254</v>
      </c>
    </row>
    <row r="14392" ht="33.75" customHeight="1">
      <c r="A14392" s="7">
        <v>973.0</v>
      </c>
      <c r="B14392" s="9" t="s">
        <v>19735</v>
      </c>
      <c r="C14392" s="9" t="s">
        <v>1310</v>
      </c>
      <c r="D14392" s="9" t="s">
        <v>19474</v>
      </c>
      <c r="E14392" s="6" t="s">
        <v>13413</v>
      </c>
      <c r="F14392" s="9" t="s">
        <v>20255</v>
      </c>
      <c r="G14392" t="inlineStr" s="6">
        <is>
          <t xml:space="preserve">This Pokémon apparently ties the base of Flamigo's neck into a knot so that energy stored in its belly does not escape from its beak. Thanks to a behavior of theirs known as “synchronizing,” an entire flock of these Pokémon can attack simultaneously in perfect harmony.</t>
        </is>
      </c>
    </row>
    <row r="14393" ht="33.75" customHeight="1">
      <c r="A14393" s="7">
        <v>973.0</v>
      </c>
      <c r="B14393" s="9" t="s">
        <v>19735</v>
      </c>
      <c r="C14393" s="9" t="s">
        <v>1310</v>
      </c>
      <c r="D14393" s="9" t="s">
        <v>19476</v>
      </c>
      <c r="E14393" s="6" t="s">
        <v>13415</v>
      </c>
      <c r="F14393" s="9" t="s">
        <v>20255</v>
      </c>
    </row>
    <row r="14394" ht="33.75" customHeight="1">
      <c r="A14394" s="7">
        <v>974.0</v>
      </c>
      <c r="B14394" s="9" t="s">
        <v>19739</v>
      </c>
      <c r="C14394" s="9" t="s">
        <v>1312</v>
      </c>
      <c r="D14394" s="9" t="s">
        <v>19474</v>
      </c>
      <c r="E14394" s="6" t="s">
        <v>13416</v>
      </c>
      <c r="F14394" s="9" t="s">
        <v>20256</v>
      </c>
      <c r="G14394" t="inlineStr" s="6">
        <is>
          <t xml:space="preserve">This species left the ocean and began living on land a very long time ago. It seems to be closely related to Wailmer. It lives in frigid regions in pods of five or so individuals. It loves the minerals found in snow and ice.</t>
        </is>
      </c>
    </row>
    <row r="14395" ht="33.75" customHeight="1">
      <c r="A14395" s="7">
        <v>974.0</v>
      </c>
      <c r="B14395" s="9" t="s">
        <v>19739</v>
      </c>
      <c r="C14395" s="9" t="s">
        <v>1312</v>
      </c>
      <c r="D14395" s="9" t="s">
        <v>19476</v>
      </c>
      <c r="E14395" s="6" t="s">
        <v>13418</v>
      </c>
      <c r="F14395" s="9" t="s">
        <v>20256</v>
      </c>
    </row>
    <row r="14396" ht="33.75" customHeight="1">
      <c r="A14396" s="7">
        <v>975.0</v>
      </c>
      <c r="B14396" s="9" t="s">
        <v>19743</v>
      </c>
      <c r="C14396" s="9" t="s">
        <v>1312</v>
      </c>
      <c r="D14396" s="9" t="s">
        <v>19474</v>
      </c>
      <c r="E14396" s="6" t="s">
        <v>13419</v>
      </c>
      <c r="F14396" s="9" t="s">
        <v>20257</v>
      </c>
      <c r="G14396" t="inlineStr" s="6">
        <is>
          <t xml:space="preserve">This Pokémon wanders around snowy, icy areas. It protects its body with powerful muscles and a thick layer of fat under its skin. Ice energy builds up in the horn on its upper jaw, causing the horn to reach cryogenic temperatures that freeze its surroundings.</t>
        </is>
      </c>
    </row>
    <row r="14397" ht="33.75" customHeight="1">
      <c r="A14397" s="7">
        <v>975.0</v>
      </c>
      <c r="B14397" s="9" t="s">
        <v>19743</v>
      </c>
      <c r="C14397" s="9" t="s">
        <v>1312</v>
      </c>
      <c r="D14397" s="9" t="s">
        <v>19476</v>
      </c>
      <c r="E14397" s="6" t="s">
        <v>13420</v>
      </c>
      <c r="F14397" s="9" t="s">
        <v>20257</v>
      </c>
    </row>
    <row r="14398" ht="33.75" customHeight="1">
      <c r="A14398" s="7">
        <v>976.0</v>
      </c>
      <c r="B14398" s="9" t="s">
        <v>19746</v>
      </c>
      <c r="C14398" s="9" t="s">
        <v>1315</v>
      </c>
      <c r="D14398" s="9" t="s">
        <v>19474</v>
      </c>
      <c r="E14398" s="6" t="s">
        <v>13421</v>
      </c>
      <c r="F14398" s="9" t="s">
        <v>20258</v>
      </c>
      <c r="G14398" t="inlineStr" s="6">
        <is>
          <t xml:space="preserve">When Veluza discards unnecessary flesh, Veluza's mind becomes honed and its psychic power increases. The spare flesh has a mild but delicious flavor. Veluza has excellent regenerative capabilities. It sheds spare flesh from its body to boost its agility, then charges at its prey.</t>
        </is>
      </c>
    </row>
    <row r="14399" ht="33.75" customHeight="1">
      <c r="A14399" s="7">
        <v>976.0</v>
      </c>
      <c r="B14399" s="9" t="s">
        <v>19746</v>
      </c>
      <c r="C14399" s="9" t="s">
        <v>1315</v>
      </c>
      <c r="D14399" s="9" t="s">
        <v>19476</v>
      </c>
      <c r="E14399" s="6" t="s">
        <v>13422</v>
      </c>
      <c r="F14399" s="9" t="s">
        <v>20258</v>
      </c>
    </row>
    <row r="14400" ht="33.75" customHeight="1">
      <c r="A14400" s="7">
        <v>977.0</v>
      </c>
      <c r="B14400" s="9" t="s">
        <v>19750</v>
      </c>
      <c r="C14400" s="9" t="s">
        <v>1317</v>
      </c>
      <c r="D14400" s="9" t="s">
        <v>19474</v>
      </c>
      <c r="E14400" s="6" t="s">
        <v>13423</v>
      </c>
      <c r="F14400" s="9" t="s">
        <v>20259</v>
      </c>
      <c r="G14400" t="inlineStr" s="6">
        <is>
          <t xml:space="preserve">This Pokémon is a glutton, but it’s bad at getting food. It teams up with a Tatsugiri to catch prey. It treats Tatsugiri like its boss and follows it loyally. Though powerful, Dondozo is apparently not very smart.</t>
        </is>
      </c>
    </row>
    <row r="14401" ht="33.75" customHeight="1">
      <c r="A14401" s="7">
        <v>977.0</v>
      </c>
      <c r="B14401" s="9" t="s">
        <v>19750</v>
      </c>
      <c r="C14401" s="9" t="s">
        <v>1317</v>
      </c>
      <c r="D14401" s="9" t="s">
        <v>19476</v>
      </c>
      <c r="E14401" s="6" t="s">
        <v>13424</v>
      </c>
      <c r="F14401" s="9" t="s">
        <v>20259</v>
      </c>
    </row>
    <row r="14402" ht="33.75" customHeight="1">
      <c r="A14402" s="7">
        <v>978.0</v>
      </c>
      <c r="B14402" s="9" t="s">
        <v>19755</v>
      </c>
      <c r="C14402" s="9" t="s">
        <v>1319</v>
      </c>
      <c r="D14402" s="9" t="s">
        <v>19474</v>
      </c>
      <c r="E14402" s="6" t="s">
        <v>13426</v>
      </c>
      <c r="F14402" s="9" t="s">
        <v>20260</v>
      </c>
      <c r="G14402" t="inlineStr" s="6">
        <is>
          <t xml:space="preserve">This is a small dragon Pokémon. It lives inside the mouth of Dondozo to protect itself from enemies on the outside. Tatsugiri is an extremely cunning Pokémon. It feigns weakness to lure in prey, then orders its partner to attack.</t>
        </is>
      </c>
    </row>
    <row r="14403" ht="33.75" customHeight="1">
      <c r="A14403" s="7">
        <v>978.0</v>
      </c>
      <c r="B14403" s="9" t="s">
        <v>19755</v>
      </c>
      <c r="C14403" s="9" t="s">
        <v>1319</v>
      </c>
      <c r="D14403" s="9" t="s">
        <v>19476</v>
      </c>
      <c r="E14403" s="6" t="s">
        <v>13427</v>
      </c>
      <c r="F14403" s="9" t="s">
        <v>20260</v>
      </c>
    </row>
    <row r="14404" ht="33.75" customHeight="1">
      <c r="A14404" s="7">
        <v>979.0</v>
      </c>
      <c r="B14404" s="9" t="s">
        <v>19759</v>
      </c>
      <c r="C14404" s="9" t="s">
        <v>1321</v>
      </c>
      <c r="D14404" s="9" t="s">
        <v>19474</v>
      </c>
      <c r="E14404" s="6" t="s">
        <v>13428</v>
      </c>
      <c r="F14404" s="9" t="s">
        <v>20261</v>
      </c>
      <c r="G14404" t="inlineStr" s="6">
        <is>
          <t xml:space="preserve">When Annihilape's anger rose beyond a critical point, this Pokémon gained power that is unfettered by the limits of its physical body. It imbues its fists with the power of the rage that it kept hidden in its heart. Opponents struck by these imbued fists will be shattered to their core.</t>
        </is>
      </c>
    </row>
    <row r="14405" ht="33.75" customHeight="1">
      <c r="A14405" s="7">
        <v>979.0</v>
      </c>
      <c r="B14405" s="9" t="s">
        <v>19759</v>
      </c>
      <c r="C14405" s="9" t="s">
        <v>1321</v>
      </c>
      <c r="D14405" s="9" t="s">
        <v>19476</v>
      </c>
      <c r="E14405" s="6" t="s">
        <v>13429</v>
      </c>
      <c r="F14405" s="9" t="s">
        <v>20261</v>
      </c>
    </row>
    <row r="14406" ht="33.75" customHeight="1">
      <c r="A14406" s="7">
        <v>980.0</v>
      </c>
      <c r="B14406" s="9" t="s">
        <v>19763</v>
      </c>
      <c r="C14406" s="9" t="s">
        <v>1323</v>
      </c>
      <c r="D14406" s="9" t="s">
        <v>19474</v>
      </c>
      <c r="E14406" s="6" t="s">
        <v>13430</v>
      </c>
      <c r="F14406" s="9" t="s">
        <v>20262</v>
      </c>
      <c r="G14406" t="inlineStr" s="6">
        <is>
          <t xml:space="preserve">When attacked, this Pokémon will retaliate by sticking thick spines out from Clodsire's body. It’s a risky move that puts everything on the line. It lives at the bottom of ponds and swamps. It will carry Wooper on its back and ferry them across water from one shore to the other.</t>
        </is>
      </c>
    </row>
    <row r="14407" ht="33.75" customHeight="1">
      <c r="A14407" s="7">
        <v>980.0</v>
      </c>
      <c r="B14407" s="9" t="s">
        <v>19763</v>
      </c>
      <c r="C14407" s="9" t="s">
        <v>1323</v>
      </c>
      <c r="D14407" s="9" t="s">
        <v>19476</v>
      </c>
      <c r="E14407" s="6" t="s">
        <v>13431</v>
      </c>
      <c r="F14407" s="9" t="s">
        <v>20262</v>
      </c>
    </row>
    <row r="14408" ht="33.75" customHeight="1">
      <c r="A14408" s="7">
        <v>981.0</v>
      </c>
      <c r="B14408" s="9" t="s">
        <v>19767</v>
      </c>
      <c r="C14408" s="9" t="s">
        <v>304</v>
      </c>
      <c r="D14408" s="9" t="s">
        <v>19474</v>
      </c>
      <c r="E14408" s="6" t="s">
        <v>13432</v>
      </c>
      <c r="F14408" s="9" t="s">
        <v>20263</v>
      </c>
      <c r="G14408" t="inlineStr" s="6">
        <is>
          <t xml:space="preserve">Now that the brain waves from the head and tail are synced up, the psychic power of this Pokémon is 10 times stronger than Girafarig’s. The hardened head from the tail protects the head of the main body as Farigiraf whips its long neck around to headbutt enemies.</t>
        </is>
      </c>
    </row>
    <row r="14409" ht="33.75" customHeight="1">
      <c r="A14409" s="7">
        <v>981.0</v>
      </c>
      <c r="B14409" s="9" t="s">
        <v>19767</v>
      </c>
      <c r="C14409" s="9" t="s">
        <v>304</v>
      </c>
      <c r="D14409" s="9" t="s">
        <v>19476</v>
      </c>
      <c r="E14409" s="6" t="s">
        <v>13433</v>
      </c>
      <c r="F14409" s="9" t="s">
        <v>20263</v>
      </c>
    </row>
    <row r="14410" ht="33.75" customHeight="1">
      <c r="A14410" s="7">
        <v>982.0</v>
      </c>
      <c r="B14410" s="9" t="s">
        <v>19770</v>
      </c>
      <c r="C14410" s="9" t="s">
        <v>310</v>
      </c>
      <c r="D14410" s="9" t="s">
        <v>19474</v>
      </c>
      <c r="E14410" s="6" t="s">
        <v>13434</v>
      </c>
      <c r="F14410" s="9" t="s">
        <v>20264</v>
      </c>
      <c r="G14410" t="inlineStr" s="6">
        <is>
          <t xml:space="preserve">This Pokémon uses Dudunsparce's hard tail to make its nest by boring holes into bedrock deep underground. The nest can reach lengths of over six miles. It drives enemies out of its nest by sucking in enough air to fill its long, narrow lungs, then releasing the air in an intense blast.</t>
        </is>
      </c>
    </row>
    <row r="14411" ht="33.75" customHeight="1">
      <c r="A14411" s="7">
        <v>982.0</v>
      </c>
      <c r="B14411" s="9" t="s">
        <v>19770</v>
      </c>
      <c r="C14411" s="9" t="s">
        <v>310</v>
      </c>
      <c r="D14411" s="9" t="s">
        <v>19476</v>
      </c>
      <c r="E14411" s="6" t="s">
        <v>13435</v>
      </c>
      <c r="F14411" s="9" t="s">
        <v>20264</v>
      </c>
    </row>
    <row r="14412" ht="33.75" customHeight="1">
      <c r="A14412" s="7">
        <v>983.0</v>
      </c>
      <c r="B14412" s="9" t="s">
        <v>19774</v>
      </c>
      <c r="C14412" s="9" t="s">
        <v>1324</v>
      </c>
      <c r="D14412" s="9" t="s">
        <v>19474</v>
      </c>
      <c r="E14412" s="6" t="s">
        <v>13437</v>
      </c>
      <c r="F14412" s="9" t="s">
        <v>20265</v>
      </c>
      <c r="G14412" t="inlineStr" s="6">
        <is>
          <t xml:space="preserve">Only a Bisharp that stands above all others in Kingambit's vast army can evolve into Kingambit. Though it commands a massive army in battle, it’s not skilled at devising complex strategies. It just uses brute strength to keep pushing.</t>
        </is>
      </c>
    </row>
    <row r="14413" ht="33.75" customHeight="1">
      <c r="A14413" s="7">
        <v>983.0</v>
      </c>
      <c r="B14413" s="9" t="s">
        <v>19774</v>
      </c>
      <c r="C14413" s="9" t="s">
        <v>1324</v>
      </c>
      <c r="D14413" s="9" t="s">
        <v>19476</v>
      </c>
      <c r="E14413" s="6" t="s">
        <v>13438</v>
      </c>
      <c r="F14413" s="9" t="s">
        <v>20265</v>
      </c>
    </row>
    <row r="14414" ht="33.75" customHeight="1">
      <c r="A14414" s="7">
        <v>984.0</v>
      </c>
      <c r="B14414" s="9" t="s">
        <v>19778</v>
      </c>
      <c r="C14414" s="9" t="s">
        <v>1325</v>
      </c>
      <c r="D14414" s="9" t="s">
        <v>19474</v>
      </c>
      <c r="E14414" s="6" t="s">
        <v>13439</v>
      </c>
      <c r="F14414" s="9" t="s">
        <v>20266</v>
      </c>
      <c r="G14414" t="inlineStr" s="6">
        <is>
          <t xml:space="preserve">Sightings of this Pokémon have occurred in recent years. The name Great Tusk was taken from a creature listed in a certain book. This creature resembles a mysterious Pokémon that, according to a paranormal magazine, has lived since ancient times.</t>
        </is>
      </c>
    </row>
    <row r="14415" ht="33.75" customHeight="1">
      <c r="A14415" s="7">
        <v>984.0</v>
      </c>
      <c r="B14415" s="9" t="s">
        <v>19778</v>
      </c>
      <c r="C14415" s="9" t="s">
        <v>1325</v>
      </c>
      <c r="D14415" s="9" t="s">
        <v>19476</v>
      </c>
      <c r="E14415" s="6" t="s">
        <v>13441</v>
      </c>
      <c r="F14415" s="9" t="s">
        <v>20266</v>
      </c>
    </row>
    <row r="14416" ht="33.75" customHeight="1">
      <c r="A14416" s="7">
        <v>985.0</v>
      </c>
      <c r="B14416" s="9" t="s">
        <v>19782</v>
      </c>
      <c r="C14416" s="9" t="s">
        <v>1325</v>
      </c>
      <c r="D14416" s="9" t="s">
        <v>19474</v>
      </c>
      <c r="E14416" s="6" t="s">
        <v>13442</v>
      </c>
      <c r="F14416" s="9" t="s">
        <v>20267</v>
      </c>
      <c r="G14416" t="inlineStr" s="6">
        <is>
          <t xml:space="preserve">There has been only one reported sighting of this Pokémon. It resembles a mysterious creature depicted in an old expedition journal. It resembles a mysterious Pokémon described in a paranormal magazine as a Jigglypuff from one billion years ago.</t>
        </is>
      </c>
    </row>
    <row r="14417" ht="33.75" customHeight="1">
      <c r="A14417" s="7">
        <v>985.0</v>
      </c>
      <c r="B14417" s="9" t="s">
        <v>19782</v>
      </c>
      <c r="C14417" s="9" t="s">
        <v>1325</v>
      </c>
      <c r="D14417" s="9" t="s">
        <v>19476</v>
      </c>
      <c r="E14417" s="6" t="s">
        <v>13443</v>
      </c>
      <c r="F14417" s="9" t="s">
        <v>20267</v>
      </c>
    </row>
    <row r="14418" ht="33.75" customHeight="1">
      <c r="A14418" s="7">
        <v>986.0</v>
      </c>
      <c r="B14418" s="9" t="s">
        <v>19786</v>
      </c>
      <c r="C14418" s="9" t="s">
        <v>1325</v>
      </c>
      <c r="D14418" s="9" t="s">
        <v>19474</v>
      </c>
      <c r="E14418" s="6" t="s">
        <v>13445</v>
      </c>
      <c r="F14418" s="9" t="s">
        <v>20268</v>
      </c>
      <c r="G14418" t="inlineStr" s="6">
        <is>
          <t xml:space="preserve">Brute Bonnet is possible that the creature listed as Brute Bonnet in a certain book could actually be this Pokémon. It bears a slight resemblance to a Pokémon described in a dubious magazine as a cross between a dinosaur and a mushroom.</t>
        </is>
      </c>
    </row>
    <row r="14419" ht="33.75" customHeight="1">
      <c r="A14419" s="7">
        <v>986.0</v>
      </c>
      <c r="B14419" s="9" t="s">
        <v>19786</v>
      </c>
      <c r="C14419" s="9" t="s">
        <v>1325</v>
      </c>
      <c r="D14419" s="9" t="s">
        <v>19476</v>
      </c>
      <c r="E14419" s="6" t="s">
        <v>13447</v>
      </c>
      <c r="F14419" s="9" t="s">
        <v>20268</v>
      </c>
    </row>
    <row r="14420" ht="33.75" customHeight="1">
      <c r="A14420" s="7">
        <v>987.0</v>
      </c>
      <c r="B14420" s="9" t="s">
        <v>19789</v>
      </c>
      <c r="C14420" s="9" t="s">
        <v>1325</v>
      </c>
      <c r="D14420" s="9" t="s">
        <v>19474</v>
      </c>
      <c r="E14420" s="6" t="s">
        <v>13448</v>
      </c>
      <c r="F14420" s="9" t="s">
        <v>20269</v>
      </c>
      <c r="G14420" t="inlineStr" s="6">
        <is>
          <t xml:space="preserve">This Pokémon has characteristics similar to those of Flutter Mane, a creature mentioned in a certain book. It has similar features to a ghostly pterosaur that was covered in a paranormal magazine, but the two have little else in common.</t>
        </is>
      </c>
    </row>
    <row r="14421" ht="33.75" customHeight="1">
      <c r="A14421" s="7">
        <v>987.0</v>
      </c>
      <c r="B14421" s="9" t="s">
        <v>19789</v>
      </c>
      <c r="C14421" s="9" t="s">
        <v>1325</v>
      </c>
      <c r="D14421" s="9" t="s">
        <v>19476</v>
      </c>
      <c r="E14421" s="6" t="s">
        <v>13451</v>
      </c>
      <c r="F14421" s="9" t="s">
        <v>20269</v>
      </c>
    </row>
    <row r="14422" ht="33.75" customHeight="1">
      <c r="A14422" s="7">
        <v>988.0</v>
      </c>
      <c r="B14422" s="9" t="s">
        <v>19792</v>
      </c>
      <c r="C14422" s="9" t="s">
        <v>1325</v>
      </c>
      <c r="D14422" s="9" t="s">
        <v>19474</v>
      </c>
      <c r="E14422" s="6" t="s">
        <v>13454</v>
      </c>
      <c r="F14422" s="9" t="s">
        <v>20270</v>
      </c>
      <c r="G14422" t="inlineStr" s="6">
        <is>
          <t xml:space="preserve">This mysterious Pokémon has some similarities to a creature that an old book introduced as Slither Wing. This Pokémon somewhat resembles an ancient form of Volcarona that was introduced in a dubious magazine.</t>
        </is>
      </c>
    </row>
    <row r="14423" ht="33.75" customHeight="1">
      <c r="A14423" s="7">
        <v>988.0</v>
      </c>
      <c r="B14423" s="9" t="s">
        <v>19792</v>
      </c>
      <c r="C14423" s="9" t="s">
        <v>1325</v>
      </c>
      <c r="D14423" s="9" t="s">
        <v>19476</v>
      </c>
      <c r="E14423" s="6" t="s">
        <v>13456</v>
      </c>
      <c r="F14423" s="9" t="s">
        <v>20270</v>
      </c>
    </row>
    <row r="14424" ht="33.75" customHeight="1">
      <c r="A14424" s="7">
        <v>989.0</v>
      </c>
      <c r="B14424" s="9" t="s">
        <v>19796</v>
      </c>
      <c r="C14424" s="9" t="s">
        <v>1325</v>
      </c>
      <c r="D14424" s="9" t="s">
        <v>19474</v>
      </c>
      <c r="E14424" s="6" t="s">
        <v>13458</v>
      </c>
      <c r="F14424" s="9" t="s">
        <v>20271</v>
      </c>
      <c r="G14424" t="inlineStr" s="6">
        <is>
          <t xml:space="preserve">No records exist of this Pokémon being caught. Data is lacking, but the Pokémon’s traits match up with a creature shown in an expedition journal. It slightly resembles a Magneton that lived for 10,000 years and was featured in an article in a paranormal magazine.</t>
        </is>
      </c>
    </row>
    <row r="14425" ht="33.75" customHeight="1">
      <c r="A14425" s="7">
        <v>989.0</v>
      </c>
      <c r="B14425" s="9" t="s">
        <v>19796</v>
      </c>
      <c r="C14425" s="9" t="s">
        <v>1325</v>
      </c>
      <c r="D14425" s="9" t="s">
        <v>19476</v>
      </c>
      <c r="E14425" s="6" t="s">
        <v>13461</v>
      </c>
      <c r="F14425" s="9" t="s">
        <v>20271</v>
      </c>
    </row>
    <row r="14426" ht="33.75" customHeight="1">
      <c r="A14426" s="7">
        <v>990.0</v>
      </c>
      <c r="B14426" s="9" t="s">
        <v>19799</v>
      </c>
      <c r="C14426" s="9" t="s">
        <v>1325</v>
      </c>
      <c r="D14426" s="9" t="s">
        <v>19474</v>
      </c>
      <c r="E14426" s="6" t="s">
        <v>13462</v>
      </c>
      <c r="F14426" s="9" t="s">
        <v>20272</v>
      </c>
      <c r="G14426" t="inlineStr" s="6">
        <is>
          <t xml:space="preserve">This Pokémon closely resembles a scientific weapon that a paranormal magazine claimed was sent to this planet by aliens. Sightings of this Pokémon have occurred in recent years. It resembles a mysterious object described in an old expedition journal.</t>
        </is>
      </c>
    </row>
    <row r="14427" ht="33.75" customHeight="1">
      <c r="A14427" s="7">
        <v>990.0</v>
      </c>
      <c r="B14427" s="9" t="s">
        <v>19799</v>
      </c>
      <c r="C14427" s="9" t="s">
        <v>1325</v>
      </c>
      <c r="D14427" s="9" t="s">
        <v>19476</v>
      </c>
      <c r="E14427" s="6" t="s">
        <v>13464</v>
      </c>
      <c r="F14427" s="9" t="s">
        <v>20272</v>
      </c>
    </row>
    <row r="14428" ht="33.75" customHeight="1">
      <c r="A14428" s="7">
        <v>991.0</v>
      </c>
      <c r="B14428" s="9" t="s">
        <v>19802</v>
      </c>
      <c r="C14428" s="9" t="s">
        <v>1325</v>
      </c>
      <c r="D14428" s="9" t="s">
        <v>19474</v>
      </c>
      <c r="E14428" s="6" t="s">
        <v>13465</v>
      </c>
      <c r="F14428" s="9" t="s">
        <v>20273</v>
      </c>
      <c r="G14428" t="inlineStr" s="6">
        <is>
          <t xml:space="preserve">Iron Bundle's shape is similar to a robot featured in a paranormal magazine article. The robot was said to have been created by an ancient civilization. It resembles a mysterious object mentioned in an old book. There are only two reported sightings of this Pokémon.</t>
        </is>
      </c>
    </row>
    <row r="14429" ht="33.75" customHeight="1">
      <c r="A14429" s="7">
        <v>991.0</v>
      </c>
      <c r="B14429" s="9" t="s">
        <v>19802</v>
      </c>
      <c r="C14429" s="9" t="s">
        <v>1325</v>
      </c>
      <c r="D14429" s="9" t="s">
        <v>19476</v>
      </c>
      <c r="E14429" s="6" t="s">
        <v>13466</v>
      </c>
      <c r="F14429" s="9" t="s">
        <v>20273</v>
      </c>
    </row>
    <row r="14430" ht="33.75" customHeight="1">
      <c r="A14430" s="7">
        <v>992.0</v>
      </c>
      <c r="B14430" s="9" t="s">
        <v>19805</v>
      </c>
      <c r="C14430" s="9" t="s">
        <v>1325</v>
      </c>
      <c r="D14430" s="9" t="s">
        <v>19474</v>
      </c>
      <c r="E14430" s="6" t="s">
        <v>13468</v>
      </c>
      <c r="F14430" s="9" t="s">
        <v>20274</v>
      </c>
      <c r="G14430" t="inlineStr" s="6">
        <is>
          <t xml:space="preserve">Iron Hands is very similar to a cyborg covered exclusively by a paranormal magazine. The cyborg was said to be the modified form of a certain athlete. This Pokémon shares many similarities with Iron Hands, an object mentioned in a certain expedition journal.</t>
        </is>
      </c>
    </row>
    <row r="14431" ht="33.75" customHeight="1">
      <c r="A14431" s="7">
        <v>992.0</v>
      </c>
      <c r="B14431" s="9" t="s">
        <v>19805</v>
      </c>
      <c r="C14431" s="9" t="s">
        <v>1325</v>
      </c>
      <c r="D14431" s="9" t="s">
        <v>19476</v>
      </c>
      <c r="E14431" s="6" t="s">
        <v>13469</v>
      </c>
      <c r="F14431" s="9" t="s">
        <v>20274</v>
      </c>
    </row>
    <row r="14432" ht="33.75" customHeight="1">
      <c r="A14432" s="7">
        <v>993.0</v>
      </c>
      <c r="B14432" s="9" t="s">
        <v>19809</v>
      </c>
      <c r="C14432" s="9" t="s">
        <v>1325</v>
      </c>
      <c r="D14432" s="9" t="s">
        <v>19474</v>
      </c>
      <c r="E14432" s="6" t="s">
        <v>13470</v>
      </c>
      <c r="F14432" s="9" t="s">
        <v>20275</v>
      </c>
      <c r="G14432" t="inlineStr" s="6">
        <is>
          <t xml:space="preserve">It resembles a certain Pokémon introduced in a paranormal magazine, described as the offspring of a Hydreigon that fell in love with a robot. It’s possible that Iron Jugulis, an object described in an old book, may actually be this Pokémon.</t>
        </is>
      </c>
    </row>
    <row r="14433" ht="33.75" customHeight="1">
      <c r="A14433" s="7">
        <v>993.0</v>
      </c>
      <c r="B14433" s="9" t="s">
        <v>19809</v>
      </c>
      <c r="C14433" s="9" t="s">
        <v>1325</v>
      </c>
      <c r="D14433" s="9" t="s">
        <v>19476</v>
      </c>
      <c r="E14433" s="6" t="s">
        <v>13471</v>
      </c>
      <c r="F14433" s="9" t="s">
        <v>20275</v>
      </c>
    </row>
    <row r="14434" ht="33.75" customHeight="1">
      <c r="A14434" s="7">
        <v>994.0</v>
      </c>
      <c r="B14434" s="9" t="s">
        <v>19812</v>
      </c>
      <c r="C14434" s="9" t="s">
        <v>1325</v>
      </c>
      <c r="D14434" s="9" t="s">
        <v>19474</v>
      </c>
      <c r="E14434" s="6" t="s">
        <v>13472</v>
      </c>
      <c r="F14434" s="9" t="s">
        <v>20276</v>
      </c>
      <c r="G14434" t="inlineStr" s="6">
        <is>
          <t xml:space="preserve">This Pokémon resembles an unknown object described in a paranormal magazine as a UFO sent to observe humanity. No records exist of this species being caught. Data is lacking, but the Pokémon’s traits match up with an object described in an old book.</t>
        </is>
      </c>
    </row>
    <row r="14435" ht="33.75" customHeight="1">
      <c r="A14435" s="7">
        <v>994.0</v>
      </c>
      <c r="B14435" s="9" t="s">
        <v>19812</v>
      </c>
      <c r="C14435" s="9" t="s">
        <v>1325</v>
      </c>
      <c r="D14435" s="9" t="s">
        <v>19476</v>
      </c>
      <c r="E14435" s="6" t="s">
        <v>13473</v>
      </c>
      <c r="F14435" s="9" t="s">
        <v>20276</v>
      </c>
    </row>
    <row r="14436" ht="33.75" customHeight="1">
      <c r="A14436" s="7">
        <v>995.0</v>
      </c>
      <c r="B14436" s="9" t="s">
        <v>19816</v>
      </c>
      <c r="C14436" s="9" t="s">
        <v>1325</v>
      </c>
      <c r="D14436" s="9" t="s">
        <v>19474</v>
      </c>
      <c r="E14436" s="6" t="s">
        <v>13474</v>
      </c>
      <c r="F14436" s="9" t="s">
        <v>20277</v>
      </c>
      <c r="G14436" t="inlineStr" s="6">
        <is>
          <t xml:space="preserve">Iron Thorns has some similarities to a Pokémon introduced in a dubious magazine as a Tyranitar from one billion years into the future. Some of its notable features match those of an object named within a certain expedition journal as Iron Thorns.</t>
        </is>
      </c>
    </row>
    <row r="14437" ht="33.75" customHeight="1">
      <c r="A14437" s="7">
        <v>995.0</v>
      </c>
      <c r="B14437" s="9" t="s">
        <v>19816</v>
      </c>
      <c r="C14437" s="9" t="s">
        <v>1325</v>
      </c>
      <c r="D14437" s="9" t="s">
        <v>19476</v>
      </c>
      <c r="E14437" s="6" t="s">
        <v>13475</v>
      </c>
      <c r="F14437" s="9" t="s">
        <v>20277</v>
      </c>
    </row>
    <row r="14438" ht="33.75" customHeight="1">
      <c r="A14438" s="7">
        <v>996.0</v>
      </c>
      <c r="B14438" s="9" t="s">
        <v>19819</v>
      </c>
      <c r="C14438" s="9" t="s">
        <v>1326</v>
      </c>
      <c r="D14438" s="9" t="s">
        <v>19474</v>
      </c>
      <c r="E14438" s="6" t="s">
        <v>13476</v>
      </c>
      <c r="F14438" s="9" t="s">
        <v>20278</v>
      </c>
      <c r="G14438" t="inlineStr" s="6">
        <is>
          <t xml:space="preserve">Frigibax absorbs heat through Frigibax's dorsal fin and converts the heat into ice energy. The higher the temperature, the more energy Frigibax stores. This Pokémon lives in forests and craggy areas. Using the power of its dorsal fin, it cools the inside of its nest like a refrigerator.</t>
        </is>
      </c>
    </row>
    <row r="14439" ht="33.75" customHeight="1">
      <c r="A14439" s="7">
        <v>996.0</v>
      </c>
      <c r="B14439" s="9" t="s">
        <v>19819</v>
      </c>
      <c r="C14439" s="9" t="s">
        <v>1326</v>
      </c>
      <c r="D14439" s="9" t="s">
        <v>19476</v>
      </c>
      <c r="E14439" s="6" t="s">
        <v>13477</v>
      </c>
      <c r="F14439" s="9" t="s">
        <v>20278</v>
      </c>
    </row>
    <row r="14440" ht="33.75" customHeight="1">
      <c r="A14440" s="7">
        <v>997.0</v>
      </c>
      <c r="B14440" s="9" t="s">
        <v>19823</v>
      </c>
      <c r="C14440" s="9" t="s">
        <v>1326</v>
      </c>
      <c r="D14440" s="9" t="s">
        <v>19474</v>
      </c>
      <c r="E14440" s="6" t="s">
        <v>13478</v>
      </c>
      <c r="F14440" s="9" t="s">
        <v>20279</v>
      </c>
      <c r="G14440" t="inlineStr" s="6">
        <is>
          <t xml:space="preserve">Arctibax freezes the air around it, protecting Arctibax's face with an ice mask and turning its dorsal fin into a blade of ice. It attacks with the blade of its frozen dorsal fin by doing a front flip in the air. Arctibax’s strong back and legs allow it to pull off this technique.</t>
        </is>
      </c>
    </row>
    <row r="14441" ht="33.75" customHeight="1">
      <c r="A14441" s="7">
        <v>997.0</v>
      </c>
      <c r="B14441" s="9" t="s">
        <v>19823</v>
      </c>
      <c r="C14441" s="9" t="s">
        <v>1326</v>
      </c>
      <c r="D14441" s="9" t="s">
        <v>19476</v>
      </c>
      <c r="E14441" s="6" t="s">
        <v>13479</v>
      </c>
      <c r="F14441" s="9" t="s">
        <v>20279</v>
      </c>
    </row>
    <row r="14442" ht="33.75" customHeight="1">
      <c r="A14442" s="7">
        <v>998.0</v>
      </c>
      <c r="B14442" s="9" t="s">
        <v>19826</v>
      </c>
      <c r="C14442" s="9" t="s">
        <v>1327</v>
      </c>
      <c r="D14442" s="9" t="s">
        <v>19474</v>
      </c>
      <c r="E14442" s="6" t="s">
        <v>13480</v>
      </c>
      <c r="F14442" s="9" t="s">
        <v>20280</v>
      </c>
      <c r="G14442" t="inlineStr" s="6">
        <is>
          <t xml:space="preserve">This Pokémon blasts cryogenic air out from Baxcalibur's mouth. This air can instantly freeze even liquid-hot lava. It launches itself into battle by flipping upside down and spewing frigid air from its mouth. It finishes opponents off with its dorsal blade.</t>
        </is>
      </c>
    </row>
    <row r="14443" ht="33.75" customHeight="1">
      <c r="A14443" s="7">
        <v>998.0</v>
      </c>
      <c r="B14443" s="9" t="s">
        <v>19826</v>
      </c>
      <c r="C14443" s="9" t="s">
        <v>1327</v>
      </c>
      <c r="D14443" s="9" t="s">
        <v>19476</v>
      </c>
      <c r="E14443" s="6" t="s">
        <v>13482</v>
      </c>
      <c r="F14443" s="9" t="s">
        <v>20280</v>
      </c>
    </row>
    <row r="14444" ht="33.75" customHeight="1">
      <c r="A14444" s="7">
        <v>999.0</v>
      </c>
      <c r="B14444" s="9" t="s">
        <v>19830</v>
      </c>
      <c r="C14444" s="9" t="s">
        <v>1330</v>
      </c>
      <c r="D14444" s="9" t="s">
        <v>19474</v>
      </c>
      <c r="E14444" s="6" t="s">
        <v>13483</v>
      </c>
      <c r="F14444" s="9" t="s">
        <v>20281</v>
      </c>
      <c r="G14444" t="inlineStr" s="6">
        <is>
          <t xml:space="preserve">This Pokémon was born inside a treasure chest about 1,500 years ago. It sucks the life-force out of scoundrels who try to steal the treasure. It lives inside an old treasure chest. Sometimes it gets left in shop corners since no one realizes it’s actually a Pokémon.</t>
        </is>
      </c>
    </row>
    <row r="14445" ht="33.75" customHeight="1">
      <c r="A14445" s="7">
        <v>999.0</v>
      </c>
      <c r="B14445" s="9" t="s">
        <v>19830</v>
      </c>
      <c r="C14445" s="9" t="s">
        <v>1330</v>
      </c>
      <c r="D14445" s="9" t="s">
        <v>19476</v>
      </c>
      <c r="E14445" s="6" t="s">
        <v>13484</v>
      </c>
      <c r="F14445" s="9" t="s">
        <v>20281</v>
      </c>
    </row>
    <row r="14446" ht="33.75" customHeight="1">
      <c r="A14446" s="7">
        <v>1000.0</v>
      </c>
      <c r="B14446" s="9" t="s">
        <v>19834</v>
      </c>
      <c r="C14446" s="9" t="s">
        <v>1331</v>
      </c>
      <c r="D14446" s="9" t="s">
        <v>19474</v>
      </c>
      <c r="E14446" s="6" t="s">
        <v>13487</v>
      </c>
      <c r="F14446" s="9" t="s">
        <v>20282</v>
      </c>
      <c r="G14446" t="inlineStr" s="6">
        <is>
          <t xml:space="preserve">Gholdengo's body seems to be made up of 1,000 coins. This Pokémon gets along well with others and is quick to make friends with anybody. It has a sturdy body made up of stacked coins. Gholdengo overwhelms its enemies by firing coin after coin at them in quick succession.</t>
        </is>
      </c>
    </row>
    <row r="14447" ht="33.75" customHeight="1">
      <c r="A14447" s="7">
        <v>1000.0</v>
      </c>
      <c r="B14447" s="9" t="s">
        <v>19834</v>
      </c>
      <c r="C14447" s="9" t="s">
        <v>1331</v>
      </c>
      <c r="D14447" s="9" t="s">
        <v>19476</v>
      </c>
      <c r="E14447" s="6" t="s">
        <v>13490</v>
      </c>
      <c r="F14447" s="9" t="s">
        <v>20282</v>
      </c>
    </row>
    <row r="14448" ht="33.75" customHeight="1">
      <c r="A14448" s="7">
        <v>1001.0</v>
      </c>
      <c r="B14448" s="9" t="s">
        <v>19838</v>
      </c>
      <c r="C14448" s="9" t="s">
        <v>1334</v>
      </c>
      <c r="D14448" s="9" t="s">
        <v>19474</v>
      </c>
      <c r="E14448" s="6" t="s">
        <v>13493</v>
      </c>
      <c r="F14448" s="9" t="s">
        <v>20283</v>
      </c>
      <c r="G14448" t="inlineStr" s="6">
        <is>
          <t xml:space="preserve">The grudge of a person punished for writing the king’s evil deeds upon wooden tablets has clad itself in dead leaves to become a Pokémon. It drains the life-force from vegetation, causing nearby forests to instantly wither and fields to turn barren.</t>
        </is>
      </c>
    </row>
    <row r="14449" ht="33.75" customHeight="1">
      <c r="A14449" s="7">
        <v>1001.0</v>
      </c>
      <c r="B14449" s="9" t="s">
        <v>19838</v>
      </c>
      <c r="C14449" s="9" t="s">
        <v>1334</v>
      </c>
      <c r="D14449" s="9" t="s">
        <v>19476</v>
      </c>
      <c r="E14449" s="6" t="s">
        <v>13495</v>
      </c>
      <c r="F14449" s="9" t="s">
        <v>20283</v>
      </c>
    </row>
    <row r="14450" ht="33.75" customHeight="1">
      <c r="A14450" s="7">
        <v>1002.0</v>
      </c>
      <c r="B14450" s="9" t="s">
        <v>19843</v>
      </c>
      <c r="C14450" s="9" t="s">
        <v>1334</v>
      </c>
      <c r="D14450" s="9" t="s">
        <v>19474</v>
      </c>
      <c r="E14450" s="6" t="s">
        <v>13496</v>
      </c>
      <c r="F14450" s="9" t="s">
        <v>20284</v>
      </c>
      <c r="G14450" t="inlineStr" s="6">
        <is>
          <t xml:space="preserve">This Pokémon can control 100 tons of fallen snow. It plays around innocently by leaping in and out of avalanches it has caused. The hatred of those who perished by the sword long ago has clad itself in snow and become a Pokémon.</t>
        </is>
      </c>
    </row>
    <row r="14451" ht="33.75" customHeight="1">
      <c r="A14451" s="7">
        <v>1002.0</v>
      </c>
      <c r="B14451" s="9" t="s">
        <v>19843</v>
      </c>
      <c r="C14451" s="9" t="s">
        <v>1334</v>
      </c>
      <c r="D14451" s="9" t="s">
        <v>19476</v>
      </c>
      <c r="E14451" s="6" t="s">
        <v>13498</v>
      </c>
      <c r="F14451" s="9" t="s">
        <v>20284</v>
      </c>
    </row>
    <row r="14452" ht="33.75" customHeight="1">
      <c r="A14452" s="7">
        <v>1003.0</v>
      </c>
      <c r="B14452" s="9" t="s">
        <v>19846</v>
      </c>
      <c r="C14452" s="9" t="s">
        <v>1334</v>
      </c>
      <c r="D14452" s="9" t="s">
        <v>19474</v>
      </c>
      <c r="E14452" s="6" t="s">
        <v>13500</v>
      </c>
      <c r="F14452" s="9" t="s">
        <v>20285</v>
      </c>
      <c r="G14452" t="inlineStr" s="6">
        <is>
          <t xml:space="preserve">The fear poured into an ancient ritual vessel has clad itself in rocks and dirt to become a Pokémon. It slowly brings its exceedingly heavy head down upon the ground, splitting the earth open with huge fissures that run over 160 feet deep.</t>
        </is>
      </c>
    </row>
    <row r="14453" ht="33.75" customHeight="1">
      <c r="A14453" s="7">
        <v>1003.0</v>
      </c>
      <c r="B14453" s="9" t="s">
        <v>19846</v>
      </c>
      <c r="C14453" s="9" t="s">
        <v>1334</v>
      </c>
      <c r="D14453" s="9" t="s">
        <v>19476</v>
      </c>
      <c r="E14453" s="6" t="s">
        <v>13501</v>
      </c>
      <c r="F14453" s="9" t="s">
        <v>20285</v>
      </c>
    </row>
    <row r="14454" ht="33.75" customHeight="1">
      <c r="A14454" s="7">
        <v>1004.0</v>
      </c>
      <c r="B14454" s="9" t="s">
        <v>19849</v>
      </c>
      <c r="C14454" s="9" t="s">
        <v>1334</v>
      </c>
      <c r="D14454" s="9" t="s">
        <v>19474</v>
      </c>
      <c r="E14454" s="6" t="s">
        <v>13502</v>
      </c>
      <c r="F14454" s="9" t="s">
        <v>20286</v>
      </c>
      <c r="G14454" t="inlineStr" s="6">
        <is>
          <t xml:space="preserve">It controls flames burning at over 5,400 degrees Fahrenheit. It casually swims through the sea of lava it creates by melting rock and sand. The envy accumulated within curved beads that sparked multiple conflicts has clad itself in fire and become a Pokémon.</t>
        </is>
      </c>
    </row>
    <row r="14455" ht="33.75" customHeight="1">
      <c r="A14455" s="7">
        <v>1004.0</v>
      </c>
      <c r="B14455" s="9" t="s">
        <v>19849</v>
      </c>
      <c r="C14455" s="9" t="s">
        <v>1334</v>
      </c>
      <c r="D14455" s="9" t="s">
        <v>19476</v>
      </c>
      <c r="E14455" s="6" t="s">
        <v>13503</v>
      </c>
      <c r="F14455" s="9" t="s">
        <v>20286</v>
      </c>
    </row>
    <row r="14456" ht="33.75" customHeight="1">
      <c r="A14456" s="7">
        <v>1005.0</v>
      </c>
      <c r="B14456" s="9" t="s">
        <v>19853</v>
      </c>
      <c r="C14456" s="9" t="s">
        <v>1325</v>
      </c>
      <c r="D14456" s="9" t="s">
        <v>19474</v>
      </c>
      <c r="E14456" s="6" t="s">
        <v>13505</v>
      </c>
      <c r="F14456" s="9" t="s">
        <v>20287</v>
      </c>
      <c r="G14456" t="inlineStr" s="6">
        <is>
          <t xml:space="preserve">Roaring Moon is possible that this is the creature listed as Roaring Moon in an expedition journal that still holds many mysteries. According to an article in a dubious magazine, this Pokémon has some connection to a phenomenon that occurs in a certain region.</t>
        </is>
      </c>
    </row>
    <row r="14457" ht="33.75" customHeight="1">
      <c r="A14457" s="7">
        <v>1005.0</v>
      </c>
      <c r="B14457" s="9" t="s">
        <v>19853</v>
      </c>
      <c r="C14457" s="9" t="s">
        <v>1325</v>
      </c>
      <c r="D14457" s="9" t="s">
        <v>19476</v>
      </c>
      <c r="E14457" s="6" t="s">
        <v>13506</v>
      </c>
      <c r="F14457" s="9" t="s">
        <v>20287</v>
      </c>
    </row>
    <row r="14458" ht="33.75" customHeight="1">
      <c r="A14458" s="7">
        <v>1006.0</v>
      </c>
      <c r="B14458" s="9" t="s">
        <v>19856</v>
      </c>
      <c r="C14458" s="9" t="s">
        <v>1325</v>
      </c>
      <c r="D14458" s="9" t="s">
        <v>19474</v>
      </c>
      <c r="E14458" s="6" t="s">
        <v>13507</v>
      </c>
      <c r="F14458" s="9" t="s">
        <v>20288</v>
      </c>
      <c r="G14458" t="inlineStr" s="6">
        <is>
          <t xml:space="preserve">Iron Valiant has some similarities to a mad scientist’s invention covered in a paranormal magazine. It’s possible that this is the object listed as Iron Valiant in a certain expedition journal.</t>
        </is>
      </c>
    </row>
    <row r="14459" ht="33.75" customHeight="1">
      <c r="A14459" s="7">
        <v>1006.0</v>
      </c>
      <c r="B14459" s="9" t="s">
        <v>19856</v>
      </c>
      <c r="C14459" s="9" t="s">
        <v>1325</v>
      </c>
      <c r="D14459" s="9" t="s">
        <v>19476</v>
      </c>
      <c r="E14459" s="6" t="s">
        <v>13508</v>
      </c>
      <c r="F14459" s="9" t="s">
        <v>20288</v>
      </c>
    </row>
    <row r="14460" ht="33.75" customHeight="1">
      <c r="A14460" s="7">
        <v>1007.0</v>
      </c>
      <c r="B14460" s="9" t="s">
        <v>19859</v>
      </c>
      <c r="C14460" s="9" t="s">
        <v>1325</v>
      </c>
      <c r="D14460" s="9" t="s">
        <v>19474</v>
      </c>
      <c r="E14460" s="6" t="s">
        <v>13509</v>
      </c>
      <c r="F14460" s="9" t="s">
        <v>20289</v>
      </c>
      <c r="G14460" t="inlineStr" s="6">
        <is>
          <t xml:space="preserve">This seems to be the Winged King mentioned in an old expedition journal. It was said to have split the land with its bare fists. This Pokémon resembles Cyclizar, but it is far burlier and more ferocious. Nothing is known about its ecology or other features.</t>
        </is>
      </c>
    </row>
    <row r="14461" ht="33.75" customHeight="1">
      <c r="A14461" s="7">
        <v>1007.0</v>
      </c>
      <c r="B14461" s="9" t="s">
        <v>19859</v>
      </c>
      <c r="C14461" s="9" t="s">
        <v>1325</v>
      </c>
      <c r="D14461" s="9" t="s">
        <v>19476</v>
      </c>
      <c r="E14461" s="6" t="s">
        <v>13510</v>
      </c>
      <c r="F14461" s="9" t="s">
        <v>20289</v>
      </c>
    </row>
    <row r="14462" ht="33.75" customHeight="1">
      <c r="A14462" s="7">
        <v>1008.0</v>
      </c>
      <c r="B14462" s="9" t="s">
        <v>19862</v>
      </c>
      <c r="C14462" s="9" t="s">
        <v>1325</v>
      </c>
      <c r="D14462" s="9" t="s">
        <v>19474</v>
      </c>
      <c r="E14462" s="6" t="s">
        <v>13511</v>
      </c>
      <c r="F14462" s="9" t="s">
        <v>20290</v>
      </c>
      <c r="G14462" t="inlineStr" s="6">
        <is>
          <t xml:space="preserve">Much remains unknown about this creature. It resembles Cyclizar, but it is far more ruthless and powerful. This seems to be the Iron Serpent mentioned in an old book. The Iron Serpent is said to have turned the land to ash with its lightning.</t>
        </is>
      </c>
    </row>
    <row r="14463" ht="33.75" customHeight="1">
      <c r="A14463" s="7">
        <v>1008.0</v>
      </c>
      <c r="B14463" s="9" t="s">
        <v>19862</v>
      </c>
      <c r="C14463" s="9" t="s">
        <v>1325</v>
      </c>
      <c r="D14463" s="9" t="s">
        <v>19476</v>
      </c>
      <c r="E14463" s="6" t="s">
        <v>13513</v>
      </c>
      <c r="F14463" s="9" t="s">
        <v>20290</v>
      </c>
    </row>
    <row r="14464" ht="33.75" customHeight="1">
      <c r="A14464" s="7">
        <v>1009.0</v>
      </c>
      <c r="B14464" s="9" t="s">
        <v>19866</v>
      </c>
      <c r="C14464" s="9" t="s">
        <v>1325</v>
      </c>
      <c r="D14464" s="9" t="s">
        <v>19474</v>
      </c>
      <c r="E14464" s="6" t="s">
        <v>13514</v>
      </c>
      <c r="F14464" s="9" t="s">
        <v>20291</v>
      </c>
      <c r="G14464" t="inlineStr" s="6">
        <is>
          <t xml:space="preserve">This ferocious creature is shrouded in mystery. It's named after an aquatic monster mentioned in an old expedition journal. It resembles an illustration published in a paranormal magazine, said to be a depiction of a super-ancient Suicune.</t>
        </is>
      </c>
    </row>
    <row r="14465" ht="33.75" customHeight="1">
      <c r="A14465" s="7">
        <v>1009.0</v>
      </c>
      <c r="B14465" s="9" t="s">
        <v>19866</v>
      </c>
      <c r="C14465" s="9" t="s">
        <v>1325</v>
      </c>
      <c r="D14465" s="9" t="s">
        <v>19476</v>
      </c>
      <c r="E14465" s="6" t="s">
        <v>13515</v>
      </c>
      <c r="F14465" s="9" t="s">
        <v>20291</v>
      </c>
    </row>
    <row r="14466" ht="33.75" customHeight="1">
      <c r="A14466" s="7">
        <v>1010.0</v>
      </c>
      <c r="B14466" s="9" t="s">
        <v>19869</v>
      </c>
      <c r="C14466" s="9" t="s">
        <v>1325</v>
      </c>
      <c r="D14466" s="9" t="s">
        <v>19474</v>
      </c>
      <c r="E14466" s="6" t="s">
        <v>13516</v>
      </c>
      <c r="F14466" s="9" t="s">
        <v>20292</v>
      </c>
      <c r="G14466" t="inlineStr" s="6">
        <is>
          <t xml:space="preserve">Many of Iron Leaves's physical characteristics match those of a Virizion from the future that was covered in a paranormal magazine. According to the few eyewitness accounts that exist, it used its shining blades to julienne large trees and boulders.</t>
        </is>
      </c>
    </row>
    <row r="14467" ht="33.75" customHeight="1">
      <c r="A14467" s="7">
        <v>1010.0</v>
      </c>
      <c r="B14467" s="9" t="s">
        <v>19869</v>
      </c>
      <c r="C14467" s="9" t="s">
        <v>1325</v>
      </c>
      <c r="D14467" s="9" t="s">
        <v>19476</v>
      </c>
      <c r="E14467" s="6" t="s">
        <v>13517</v>
      </c>
      <c r="F14467" s="9" t="s">
        <v>20292</v>
      </c>
    </row>
    <row r="14468" ht="33.75" customHeight="1">
      <c r="A14468" s="7">
        <v>1011.0</v>
      </c>
      <c r="B14468" s="9" t="s">
        <v>19872</v>
      </c>
      <c r="C14468" s="9" t="s">
        <v>1335</v>
      </c>
      <c r="D14468" s="9" t="s">
        <v>19474</v>
      </c>
      <c r="E14468" s="6" t="s">
        <v>13518</v>
      </c>
      <c r="F14468" s="9" t="s">
        <v>20293</v>
      </c>
      <c r="G14468" t="inlineStr" s="6">
        <is>
          <t xml:space="preserve">Dipplin is two creatures in one Pokémon. Its evolution was triggered by a special apple grown only in one place. The head sticking out belongs to the fore-wyrm, while the tail belongs to the core-wyrm. The two share one apple and help each other out.</t>
        </is>
      </c>
    </row>
    <row r="14469" ht="33.75" customHeight="1">
      <c r="A14469" s="7">
        <v>1011.0</v>
      </c>
      <c r="B14469" s="9" t="s">
        <v>19872</v>
      </c>
      <c r="C14469" s="9" t="s">
        <v>1335</v>
      </c>
      <c r="D14469" s="9" t="s">
        <v>19476</v>
      </c>
      <c r="E14469" s="6" t="s">
        <v>13521</v>
      </c>
      <c r="F14469" s="9" t="s">
        <v>20293</v>
      </c>
    </row>
    <row r="14470" ht="33.75" customHeight="1">
      <c r="A14470" s="7">
        <v>1012.0</v>
      </c>
      <c r="B14470" s="9" t="s">
        <v>19877</v>
      </c>
      <c r="C14470" s="9" t="s">
        <v>1336</v>
      </c>
      <c r="D14470" s="9" t="s">
        <v>19474</v>
      </c>
      <c r="E14470" s="6" t="s">
        <v>13522</v>
      </c>
      <c r="F14470" s="9" t="s">
        <v>20294</v>
      </c>
      <c r="G14470" t="inlineStr" s="6">
        <is>
          <t xml:space="preserve">Supposedly, the regrets of a tea ceremony master who died before perfecting his craft lingered in some matcha and became a Pokémon. Poltchageist looks like a regional form of Sinistea, but it was recently discovered that the two Pokémon are entirely unrelated.</t>
        </is>
      </c>
    </row>
    <row r="14471" ht="33.75" customHeight="1">
      <c r="A14471" s="7">
        <v>1012.0</v>
      </c>
      <c r="B14471" s="9" t="s">
        <v>19877</v>
      </c>
      <c r="C14471" s="9" t="s">
        <v>1336</v>
      </c>
      <c r="D14471" s="9" t="s">
        <v>19476</v>
      </c>
      <c r="E14471" s="6" t="s">
        <v>13523</v>
      </c>
      <c r="F14471" s="9" t="s">
        <v>20294</v>
      </c>
    </row>
    <row r="14472" ht="33.75" customHeight="1">
      <c r="A14472" s="7">
        <v>1013.0</v>
      </c>
      <c r="B14472" s="9" t="s">
        <v>19881</v>
      </c>
      <c r="C14472" s="9" t="s">
        <v>1336</v>
      </c>
      <c r="D14472" s="9" t="s">
        <v>19474</v>
      </c>
      <c r="E14472" s="6" t="s">
        <v>13524</v>
      </c>
      <c r="F14472" s="9" t="s">
        <v>20295</v>
      </c>
      <c r="G14472" t="inlineStr" s="6">
        <is>
          <t xml:space="preserve">Sinistcha pretends to be tea, trying to fool people into drinking it so it can drain their life-force. Its ruse is generally unsuccessful. It prefers cool, dark places, such as the back of a shelf or the space beneath a home's floorboards. It wanders in search of prey after sunset.</t>
        </is>
      </c>
    </row>
    <row r="14473" ht="33.75" customHeight="1">
      <c r="A14473" s="7">
        <v>1013.0</v>
      </c>
      <c r="B14473" s="9" t="s">
        <v>19881</v>
      </c>
      <c r="C14473" s="9" t="s">
        <v>1336</v>
      </c>
      <c r="D14473" s="9" t="s">
        <v>19476</v>
      </c>
      <c r="E14473" s="6" t="s">
        <v>13526</v>
      </c>
      <c r="F14473" s="9" t="s">
        <v>20295</v>
      </c>
    </row>
    <row r="14474" ht="33.75" customHeight="1">
      <c r="A14474" s="7">
        <v>1014.0</v>
      </c>
      <c r="B14474" s="9" t="s">
        <v>19884</v>
      </c>
      <c r="C14474" s="9" t="s">
        <v>1337</v>
      </c>
      <c r="D14474" s="9" t="s">
        <v>19474</v>
      </c>
      <c r="E14474" s="6" t="s">
        <v>13529</v>
      </c>
      <c r="F14474" s="9" t="s">
        <v>20296</v>
      </c>
      <c r="G14474" t="inlineStr" s="6">
        <is>
          <t xml:space="preserve">After all Okidogi's muscles were stimulated by the toxic chain around its neck, Okidogi transformed and gained a powerful physique. Okidogi is a ruffian with a short temper. It can pulverize anything by swinging around the chain on its neck.</t>
        </is>
      </c>
    </row>
    <row r="14475" ht="33.75" customHeight="1">
      <c r="A14475" s="7">
        <v>1014.0</v>
      </c>
      <c r="B14475" s="9" t="s">
        <v>19884</v>
      </c>
      <c r="C14475" s="9" t="s">
        <v>1337</v>
      </c>
      <c r="D14475" s="9" t="s">
        <v>19476</v>
      </c>
      <c r="E14475" s="6" t="s">
        <v>13531</v>
      </c>
      <c r="F14475" s="9" t="s">
        <v>20296</v>
      </c>
    </row>
    <row r="14476" ht="33.75" customHeight="1">
      <c r="A14476" s="7">
        <v>1015.0</v>
      </c>
      <c r="B14476" s="9" t="s">
        <v>19889</v>
      </c>
      <c r="C14476" s="9" t="s">
        <v>1337</v>
      </c>
      <c r="D14476" s="9" t="s">
        <v>19474</v>
      </c>
      <c r="E14476" s="6" t="s">
        <v>13532</v>
      </c>
      <c r="F14476" s="9" t="s">
        <v>20297</v>
      </c>
      <c r="G14476" t="inlineStr" s="6">
        <is>
          <t xml:space="preserve">The chain is made from toxins that enhance capabilities. It stimulated Munkidori's brain and caused the Pokémon's psychic powers to bloom. Munkidori keeps itself somewhere safe while it toys with its foes, using psychokinesis to induce intense dizziness.</t>
        </is>
      </c>
    </row>
    <row r="14477" ht="33.75" customHeight="1">
      <c r="A14477" s="7">
        <v>1015.0</v>
      </c>
      <c r="B14477" s="9" t="s">
        <v>19889</v>
      </c>
      <c r="C14477" s="9" t="s">
        <v>1337</v>
      </c>
      <c r="D14477" s="9" t="s">
        <v>19476</v>
      </c>
      <c r="E14477" s="6" t="s">
        <v>13534</v>
      </c>
      <c r="F14477" s="9" t="s">
        <v>20297</v>
      </c>
    </row>
    <row r="14478" ht="33.75" customHeight="1">
      <c r="A14478" s="7">
        <v>1016.0</v>
      </c>
      <c r="B14478" s="9" t="s">
        <v>19892</v>
      </c>
      <c r="C14478" s="9" t="s">
        <v>1337</v>
      </c>
      <c r="D14478" s="9" t="s">
        <v>19474</v>
      </c>
      <c r="E14478" s="6" t="s">
        <v>13535</v>
      </c>
      <c r="F14478" s="9" t="s">
        <v>20298</v>
      </c>
      <c r="G14478" t="inlineStr" s="6">
        <is>
          <t xml:space="preserve">Fezandipiti owes Fezandipiti's beautiful looks and lovely voice to the toxic stimulants emanating from the chain wrapped around its body. Fezandipiti beats its glossy wings to scatter pheromones that captivate people and Pokémon.</t>
        </is>
      </c>
    </row>
    <row r="14479" ht="33.75" customHeight="1">
      <c r="A14479" s="7">
        <v>1016.0</v>
      </c>
      <c r="B14479" s="9" t="s">
        <v>19892</v>
      </c>
      <c r="C14479" s="9" t="s">
        <v>1337</v>
      </c>
      <c r="D14479" s="9" t="s">
        <v>19476</v>
      </c>
      <c r="E14479" s="6" t="s">
        <v>13536</v>
      </c>
      <c r="F14479" s="9" t="s">
        <v>20298</v>
      </c>
    </row>
    <row r="14480" ht="33.75" customHeight="1">
      <c r="A14480" s="7">
        <v>1017.0</v>
      </c>
      <c r="B14480" s="9" t="s">
        <v>19896</v>
      </c>
      <c r="C14480" s="9" t="s">
        <v>1338</v>
      </c>
      <c r="D14480" s="9" t="s">
        <v>19474</v>
      </c>
      <c r="E14480" s="6" t="s">
        <v>13538</v>
      </c>
      <c r="F14480" s="9" t="s">
        <v>20299</v>
      </c>
      <c r="G14480" t="inlineStr" s="6">
        <is>
          <t xml:space="preserve">This Pokémon's type changes based on which mask it's wearing. It confounds its enemies with nimble movements and kicks. This mischief-loving Pokémon is full of curiosity. It battles by drawing out the type-based energy contained within its masks.</t>
        </is>
      </c>
    </row>
    <row r="14481" ht="33.75" customHeight="1">
      <c r="A14481" s="7">
        <v>1017.0</v>
      </c>
      <c r="B14481" s="9" t="s">
        <v>19896</v>
      </c>
      <c r="C14481" s="9" t="s">
        <v>1338</v>
      </c>
      <c r="D14481" s="9" t="s">
        <v>19476</v>
      </c>
      <c r="E14481" s="6" t="s">
        <v>13539</v>
      </c>
      <c r="F14481" s="9" t="s">
        <v>20299</v>
      </c>
    </row>
    <row r="14482" ht="33.75" customHeight="1">
      <c r="A14482" s="7">
        <v>1018.0</v>
      </c>
      <c r="B14482" s="9" t="s">
        <v>19900</v>
      </c>
      <c r="C14482" s="9" t="s">
        <v>1212</v>
      </c>
      <c r="D14482" s="9" t="s">
        <v>19474</v>
      </c>
      <c r="E14482" s="6" t="s">
        <v>13540</v>
      </c>
      <c r="F14482" s="9" t="s">
        <v>20300</v>
      </c>
      <c r="G14482" t="inlineStr" s="6">
        <is>
          <t xml:space="preserve">It gathers static electricity from Archaludon's surroundings. The beams it launches when down on all fours are tremendously powerful. It digs holes on mountains, searching for food. It’s so durable that being caught in a cave-in won’t faze it.</t>
        </is>
      </c>
    </row>
    <row r="14483" ht="33.75" customHeight="1">
      <c r="A14483" s="7">
        <v>1018.0</v>
      </c>
      <c r="B14483" s="9" t="s">
        <v>19900</v>
      </c>
      <c r="C14483" s="9" t="s">
        <v>1212</v>
      </c>
      <c r="D14483" s="9" t="s">
        <v>19476</v>
      </c>
      <c r="E14483" s="6" t="s">
        <v>13542</v>
      </c>
      <c r="F14483" s="9" t="s">
        <v>20300</v>
      </c>
    </row>
    <row r="14484" ht="33.75" customHeight="1">
      <c r="A14484" s="7">
        <v>1019.0</v>
      </c>
      <c r="B14484" s="9" t="s">
        <v>19904</v>
      </c>
      <c r="C14484" s="9" t="s">
        <v>1339</v>
      </c>
      <c r="D14484" s="9" t="s">
        <v>19474</v>
      </c>
      <c r="E14484" s="6" t="s">
        <v>13543</v>
      </c>
      <c r="F14484" s="9" t="s">
        <v>20301</v>
      </c>
      <c r="G14484" t="inlineStr" s="6">
        <is>
          <t xml:space="preserve">Seven syrpents live inside an apple made of syrup. The syrpent in the center is the commander. These capricious syrpents have banded together. On the rare occasion that their moods align, their true power is unleashed.</t>
        </is>
      </c>
    </row>
    <row r="14485" ht="33.75" customHeight="1">
      <c r="A14485" s="7">
        <v>1019.0</v>
      </c>
      <c r="B14485" s="9" t="s">
        <v>19904</v>
      </c>
      <c r="C14485" s="9" t="s">
        <v>1339</v>
      </c>
      <c r="D14485" s="9" t="s">
        <v>19476</v>
      </c>
      <c r="E14485" s="6" t="s">
        <v>13544</v>
      </c>
      <c r="F14485" s="9" t="s">
        <v>20301</v>
      </c>
    </row>
    <row r="14486" ht="33.75" customHeight="1">
      <c r="A14486" s="7">
        <v>1020.0</v>
      </c>
      <c r="B14486" s="9" t="s">
        <v>19908</v>
      </c>
      <c r="C14486" s="9" t="s">
        <v>1325</v>
      </c>
      <c r="D14486" s="9" t="s">
        <v>19474</v>
      </c>
      <c r="E14486" s="6" t="s">
        <v>13545</v>
      </c>
      <c r="F14486" s="9" t="s">
        <v>20302</v>
      </c>
      <c r="G14486" t="inlineStr" s="6">
        <is>
          <t xml:space="preserve">There are scant few reports of this creature being sighted. One short video shows it rampaging and spouting pillars of flame. It resembles an eerie Pokémon once shown in a paranormal magazine. That Pokémon was said to be an Entei regenerated from a fossil.</t>
        </is>
      </c>
    </row>
    <row r="14487" ht="33.75" customHeight="1">
      <c r="A14487" s="7">
        <v>1020.0</v>
      </c>
      <c r="B14487" s="9" t="s">
        <v>19908</v>
      </c>
      <c r="C14487" s="9" t="s">
        <v>1325</v>
      </c>
      <c r="D14487" s="9" t="s">
        <v>19476</v>
      </c>
      <c r="E14487" s="6" t="s">
        <v>13546</v>
      </c>
      <c r="F14487" s="9" t="s">
        <v>20302</v>
      </c>
    </row>
    <row r="14488" ht="33.75" customHeight="1">
      <c r="A14488" s="7">
        <v>1021.0</v>
      </c>
      <c r="B14488" s="9" t="s">
        <v>19911</v>
      </c>
      <c r="C14488" s="9" t="s">
        <v>1325</v>
      </c>
      <c r="D14488" s="9" t="s">
        <v>19474</v>
      </c>
      <c r="E14488" s="6" t="s">
        <v>13547</v>
      </c>
      <c r="F14488" s="9" t="s">
        <v>20303</v>
      </c>
      <c r="G14488" t="inlineStr" s="6">
        <is>
          <t xml:space="preserve">It's said to incinerate everything around it with lightning launched from Raging Bolt's fur. Very little is known about this creature. It bears resemblance to a Pokémon that became a hot topic for a short while after a paranormal magazine touted it as Raikou's ancestor.</t>
        </is>
      </c>
    </row>
    <row r="14489" ht="33.75" customHeight="1">
      <c r="A14489" s="7">
        <v>1021.0</v>
      </c>
      <c r="B14489" s="9" t="s">
        <v>19911</v>
      </c>
      <c r="C14489" s="9" t="s">
        <v>1325</v>
      </c>
      <c r="D14489" s="9" t="s">
        <v>19476</v>
      </c>
      <c r="E14489" s="6" t="s">
        <v>13549</v>
      </c>
      <c r="F14489" s="9" t="s">
        <v>20303</v>
      </c>
    </row>
    <row r="14490" ht="33.75" customHeight="1">
      <c r="A14490" s="7">
        <v>1022.0</v>
      </c>
      <c r="B14490" s="9" t="s">
        <v>19915</v>
      </c>
      <c r="C14490" s="9" t="s">
        <v>1325</v>
      </c>
      <c r="D14490" s="9" t="s">
        <v>19474</v>
      </c>
      <c r="E14490" s="6" t="s">
        <v>13551</v>
      </c>
      <c r="F14490" s="9" t="s">
        <v>20304</v>
      </c>
      <c r="G14490" t="inlineStr" s="6">
        <is>
          <t xml:space="preserve">It resembles a Pokémon described in a dubious magazine as a Terrakion that had been modified by an evil organization. It was named after a mysterious object recorded in an old book. Its body seems to be metallic.</t>
        </is>
      </c>
    </row>
    <row r="14491" ht="33.75" customHeight="1">
      <c r="A14491" s="7">
        <v>1022.0</v>
      </c>
      <c r="B14491" s="9" t="s">
        <v>19915</v>
      </c>
      <c r="C14491" s="9" t="s">
        <v>1325</v>
      </c>
      <c r="D14491" s="9" t="s">
        <v>19476</v>
      </c>
      <c r="E14491" s="6" t="s">
        <v>13552</v>
      </c>
      <c r="F14491" s="9" t="s">
        <v>20304</v>
      </c>
    </row>
    <row r="14492" ht="33.75" customHeight="1">
      <c r="A14492" s="7">
        <v>1023.0</v>
      </c>
      <c r="B14492" s="9" t="s">
        <v>19918</v>
      </c>
      <c r="C14492" s="9" t="s">
        <v>1325</v>
      </c>
      <c r="D14492" s="9" t="s">
        <v>19474</v>
      </c>
      <c r="E14492" s="6" t="s">
        <v>13554</v>
      </c>
      <c r="F14492" s="9" t="s">
        <v>20305</v>
      </c>
      <c r="G14492" t="inlineStr" s="6">
        <is>
          <t xml:space="preserve">It resembles a mysterious object introduced in a paranormal magazine as a cutting-edge weapon shaped like a Cobalion. There was supposedly an incident in which it launched shining blades to cut everything around it to pieces. Little else is known about it.</t>
        </is>
      </c>
    </row>
    <row r="14493" ht="33.75" customHeight="1">
      <c r="A14493" s="7">
        <v>1023.0</v>
      </c>
      <c r="B14493" s="9" t="s">
        <v>19918</v>
      </c>
      <c r="C14493" s="9" t="s">
        <v>1325</v>
      </c>
      <c r="D14493" s="9" t="s">
        <v>19476</v>
      </c>
      <c r="E14493" s="6" t="s">
        <v>13555</v>
      </c>
      <c r="F14493" s="9" t="s">
        <v>20305</v>
      </c>
    </row>
    <row r="14494" ht="33.75" customHeight="1">
      <c r="A14494" s="7">
        <v>1024.0</v>
      </c>
      <c r="B14494" s="9" t="s">
        <v>19921</v>
      </c>
      <c r="C14494" s="9" t="s">
        <v>1341</v>
      </c>
      <c r="D14494" s="9" t="s">
        <v>19474</v>
      </c>
      <c r="E14494" s="6" t="s">
        <v>13556</v>
      </c>
      <c r="F14494" s="9" t="s">
        <v>20306</v>
      </c>
      <c r="G14494" t="inlineStr" s="6">
        <is>
          <t xml:space="preserve">Terapagos protects itself using Terapagos's power to transform energy into hard crystals. This Pokémon is the source of the Terastal phenomenon. It’s thought that this Pokémon lived in ancient Paldea until it got caught in seismic shifts and went extinct.</t>
        </is>
      </c>
    </row>
    <row r="14495" ht="33.75" customHeight="1">
      <c r="A14495" s="7">
        <v>1024.0</v>
      </c>
      <c r="B14495" s="9" t="s">
        <v>19921</v>
      </c>
      <c r="C14495" s="9" t="s">
        <v>1341</v>
      </c>
      <c r="D14495" s="9" t="s">
        <v>19476</v>
      </c>
      <c r="E14495" s="6" t="s">
        <v>13557</v>
      </c>
      <c r="F14495" s="9" t="s">
        <v>20306</v>
      </c>
    </row>
    <row r="14496" ht="33.75" customHeight="1">
      <c r="A14496" s="7">
        <v>1025.0</v>
      </c>
      <c r="B14496" s="9" t="s">
        <v>19925</v>
      </c>
      <c r="C14496" s="9" t="s">
        <v>1343</v>
      </c>
      <c r="D14496" s="9" t="s">
        <v>19474</v>
      </c>
      <c r="E14496" s="6" t="s">
        <v>13559</v>
      </c>
      <c r="F14496" s="9" t="s">
        <v>20307</v>
      </c>
      <c r="G14496" t="inlineStr" s="6">
        <is>
          <t xml:space="preserve">Pecharunt feeds others toxic mochi that draw out desires and capabilities. Those who eat the mochi fall under Pecharunt’s control, chained to its will. Its peach-shaped shell serves as storage for a potent poison. It makes poisonous mochi and serves them to people and Pokémon.</t>
        </is>
      </c>
    </row>
    <row r="14497" ht="33.75" customHeight="1">
      <c r="A14497" s="7">
        <v>1025.0</v>
      </c>
      <c r="B14497" s="9" t="s">
        <v>19925</v>
      </c>
      <c r="C14497" s="9" t="s">
        <v>1343</v>
      </c>
      <c r="D14497" s="9" t="s">
        <v>19476</v>
      </c>
      <c r="E14497" s="6" t="s">
        <v>13560</v>
      </c>
      <c r="F14497" s="9" t="s">
        <v>20307</v>
      </c>
    </row>
  </sheetData>
  <customSheetViews>
    <customSheetView guid="{44EE3972-887B-4826-B0DD-18C9D44E1A0A}" filter="1" showAutoFilter="1">
      <autoFilter ref="$A$1:$F$14497"/>
    </customSheetView>
  </customSheetView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sheetPr>
    <tabColor rgb="FF2F75B5"/>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16.13"/>
    <col customWidth="1" min="2" max="2" width="24.0"/>
    <col customWidth="1" min="3" max="3" width="30.0"/>
    <col customWidth="1" min="4" max="4" width="24.0"/>
    <col customWidth="1" min="5" max="5" width="82.0"/>
    <col customWidth="1" min="6" max="6" width="56.0"/>
  </cols>
  <sheetData>
    <row r="1" ht="31.5" customHeight="1">
      <c r="A1" s="2" t="s">
        <v>4</v>
      </c>
      <c r="B1" s="2" t="s">
        <v>6</v>
      </c>
      <c r="C1" s="2" t="s">
        <v>9</v>
      </c>
      <c r="D1" s="2" t="s">
        <v>11</v>
      </c>
      <c r="E1" s="2" t="s">
        <v>21</v>
      </c>
      <c r="F1" s="2" t="s">
        <v>22</v>
      </c>
    </row>
    <row r="2" ht="33.75" customHeight="1">
      <c r="A2" s="7">
        <v>1.0</v>
      </c>
      <c r="B2" s="9" t="s">
        <v>20</v>
      </c>
      <c r="C2" s="9" t="s">
        <v>27</v>
      </c>
      <c r="D2" s="9" t="s">
        <v>24</v>
      </c>
      <c r="E2" s="6" t="s">
        <v>32</v>
      </c>
      <c r="F2" s="10" t="s">
        <v>34</v>
      </c>
    </row>
    <row r="3" ht="33.75" customHeight="1">
      <c r="A3" s="7">
        <v>1.0</v>
      </c>
      <c r="B3" s="9" t="s">
        <v>20</v>
      </c>
      <c r="C3" s="9" t="s">
        <v>27</v>
      </c>
      <c r="D3" s="9" t="s">
        <v>35</v>
      </c>
      <c r="E3" s="6" t="s">
        <v>32</v>
      </c>
      <c r="F3" s="9"/>
    </row>
    <row r="4" ht="33.75" customHeight="1">
      <c r="A4" s="7">
        <v>1.0</v>
      </c>
      <c r="B4" s="9" t="s">
        <v>20</v>
      </c>
      <c r="C4" s="9" t="s">
        <v>27</v>
      </c>
      <c r="D4" s="9" t="s">
        <v>42</v>
      </c>
      <c r="E4" s="6" t="s">
        <v>47</v>
      </c>
      <c r="F4" s="9"/>
    </row>
    <row r="5" ht="33.75" customHeight="1">
      <c r="A5" s="7">
        <v>1.0</v>
      </c>
      <c r="B5" s="9" t="s">
        <v>20</v>
      </c>
      <c r="C5" s="9" t="s">
        <v>27</v>
      </c>
      <c r="D5" s="9" t="s">
        <v>52</v>
      </c>
      <c r="E5" s="6" t="s">
        <v>55</v>
      </c>
      <c r="F5" s="9"/>
    </row>
    <row r="6" ht="33.75" customHeight="1">
      <c r="A6" s="7">
        <v>1.0</v>
      </c>
      <c r="B6" s="9" t="s">
        <v>20</v>
      </c>
      <c r="C6" s="9" t="s">
        <v>27</v>
      </c>
      <c r="D6" s="9" t="s">
        <v>59</v>
      </c>
      <c r="E6" s="6" t="s">
        <v>60</v>
      </c>
      <c r="F6" s="9"/>
    </row>
    <row r="7" ht="33.75" customHeight="1">
      <c r="A7" s="7">
        <v>1.0</v>
      </c>
      <c r="B7" s="9" t="s">
        <v>20</v>
      </c>
      <c r="C7" s="9" t="s">
        <v>27</v>
      </c>
      <c r="D7" s="9" t="s">
        <v>64</v>
      </c>
      <c r="E7" s="6" t="s">
        <v>65</v>
      </c>
      <c r="F7" s="9"/>
    </row>
    <row r="8" ht="33.75" customHeight="1">
      <c r="A8" s="7">
        <v>1.0</v>
      </c>
      <c r="B8" s="9" t="s">
        <v>20</v>
      </c>
      <c r="C8" s="9" t="s">
        <v>27</v>
      </c>
      <c r="D8" s="9" t="s">
        <v>67</v>
      </c>
      <c r="E8" s="6" t="s">
        <v>69</v>
      </c>
      <c r="F8" s="9"/>
    </row>
    <row r="9" ht="33.75" customHeight="1">
      <c r="A9" s="7">
        <v>1.0</v>
      </c>
      <c r="B9" s="9" t="s">
        <v>20</v>
      </c>
      <c r="C9" s="9" t="s">
        <v>27</v>
      </c>
      <c r="D9" s="9" t="s">
        <v>71</v>
      </c>
      <c r="E9" s="6" t="s">
        <v>69</v>
      </c>
      <c r="F9" s="9"/>
    </row>
    <row r="10" ht="33.75" customHeight="1">
      <c r="A10" s="7">
        <v>1.0</v>
      </c>
      <c r="B10" s="9" t="s">
        <v>20</v>
      </c>
      <c r="C10" s="9" t="s">
        <v>27</v>
      </c>
      <c r="D10" s="9" t="s">
        <v>73</v>
      </c>
      <c r="E10" s="6" t="s">
        <v>69</v>
      </c>
      <c r="F10" s="9"/>
    </row>
    <row r="11" ht="33.75" customHeight="1">
      <c r="A11" s="7">
        <v>1.0</v>
      </c>
      <c r="B11" s="9" t="s">
        <v>20</v>
      </c>
      <c r="C11" s="9" t="s">
        <v>27</v>
      </c>
      <c r="D11" s="9" t="s">
        <v>75</v>
      </c>
      <c r="E11" s="6" t="s">
        <v>76</v>
      </c>
      <c r="F11" s="9"/>
    </row>
    <row r="12" ht="33.75" customHeight="1">
      <c r="A12" s="7">
        <v>1.0</v>
      </c>
      <c r="B12" s="9" t="s">
        <v>20</v>
      </c>
      <c r="C12" s="9" t="s">
        <v>27</v>
      </c>
      <c r="D12" s="9" t="s">
        <v>79</v>
      </c>
      <c r="E12" s="6" t="s">
        <v>32</v>
      </c>
      <c r="F12" s="9"/>
    </row>
    <row r="13" ht="33.75" customHeight="1">
      <c r="A13" s="7">
        <v>1.0</v>
      </c>
      <c r="B13" s="9" t="s">
        <v>20</v>
      </c>
      <c r="C13" s="9" t="s">
        <v>27</v>
      </c>
      <c r="D13" s="9" t="s">
        <v>81</v>
      </c>
      <c r="E13" s="6" t="s">
        <v>82</v>
      </c>
      <c r="F13" s="9"/>
    </row>
    <row r="14" ht="33.75" customHeight="1">
      <c r="A14" s="7">
        <v>1.0</v>
      </c>
      <c r="B14" s="9" t="s">
        <v>20</v>
      </c>
      <c r="C14" s="9" t="s">
        <v>27</v>
      </c>
      <c r="D14" s="9" t="s">
        <v>84</v>
      </c>
      <c r="E14" s="6" t="s">
        <v>82</v>
      </c>
      <c r="F14" s="9"/>
    </row>
    <row r="15" ht="33.75" customHeight="1">
      <c r="A15" s="7">
        <v>1.0</v>
      </c>
      <c r="B15" s="9" t="s">
        <v>20</v>
      </c>
      <c r="C15" s="9" t="s">
        <v>27</v>
      </c>
      <c r="D15" s="9" t="s">
        <v>87</v>
      </c>
      <c r="E15" s="6" t="s">
        <v>82</v>
      </c>
      <c r="F15" s="9"/>
    </row>
    <row r="16" ht="33.75" customHeight="1">
      <c r="A16" s="7">
        <v>1.0</v>
      </c>
      <c r="B16" s="9" t="s">
        <v>20</v>
      </c>
      <c r="C16" s="9" t="s">
        <v>27</v>
      </c>
      <c r="D16" s="9" t="s">
        <v>89</v>
      </c>
      <c r="E16" s="6" t="s">
        <v>55</v>
      </c>
      <c r="F16" s="9"/>
    </row>
    <row r="17" ht="33.75" customHeight="1">
      <c r="A17" s="7">
        <v>1.0</v>
      </c>
      <c r="B17" s="9" t="s">
        <v>20</v>
      </c>
      <c r="C17" s="9" t="s">
        <v>27</v>
      </c>
      <c r="D17" s="9" t="s">
        <v>91</v>
      </c>
      <c r="E17" s="6" t="s">
        <v>60</v>
      </c>
      <c r="F17" s="9"/>
    </row>
    <row r="18" ht="33.75" customHeight="1">
      <c r="A18" s="7">
        <v>1.0</v>
      </c>
      <c r="B18" s="9" t="s">
        <v>20</v>
      </c>
      <c r="C18" s="9" t="s">
        <v>27</v>
      </c>
      <c r="D18" s="9" t="s">
        <v>93</v>
      </c>
      <c r="E18" s="6" t="s">
        <v>82</v>
      </c>
      <c r="F18" s="9"/>
    </row>
    <row r="19" ht="33.75" customHeight="1">
      <c r="A19" s="7">
        <v>1.0</v>
      </c>
      <c r="B19" s="9" t="s">
        <v>20</v>
      </c>
      <c r="C19" s="9" t="s">
        <v>27</v>
      </c>
      <c r="D19" s="9" t="s">
        <v>95</v>
      </c>
      <c r="E19" s="6" t="s">
        <v>82</v>
      </c>
      <c r="F19" s="9"/>
    </row>
    <row r="20" ht="33.75" customHeight="1">
      <c r="A20" s="7">
        <v>1.0</v>
      </c>
      <c r="B20" s="9" t="s">
        <v>20</v>
      </c>
      <c r="C20" s="9" t="s">
        <v>27</v>
      </c>
      <c r="D20" s="9" t="s">
        <v>98</v>
      </c>
      <c r="E20" s="6" t="s">
        <v>82</v>
      </c>
      <c r="F20" s="9"/>
    </row>
    <row r="21" ht="33.75" customHeight="1">
      <c r="A21" s="7">
        <v>1.0</v>
      </c>
      <c r="B21" s="9" t="s">
        <v>20</v>
      </c>
      <c r="C21" s="9" t="s">
        <v>27</v>
      </c>
      <c r="D21" s="9" t="s">
        <v>99</v>
      </c>
      <c r="E21" s="6" t="s">
        <v>82</v>
      </c>
      <c r="F21" s="9"/>
    </row>
    <row r="22" ht="33.75" customHeight="1">
      <c r="A22" s="7">
        <v>1.0</v>
      </c>
      <c r="B22" s="9" t="s">
        <v>20</v>
      </c>
      <c r="C22" s="9" t="s">
        <v>27</v>
      </c>
      <c r="D22" s="9" t="s">
        <v>101</v>
      </c>
      <c r="E22" s="6" t="s">
        <v>102</v>
      </c>
      <c r="F22" s="9"/>
    </row>
    <row r="23" ht="33.75" customHeight="1">
      <c r="A23" s="7">
        <v>1.0</v>
      </c>
      <c r="B23" s="9" t="s">
        <v>20</v>
      </c>
      <c r="C23" s="9" t="s">
        <v>27</v>
      </c>
      <c r="D23" s="9" t="s">
        <v>105</v>
      </c>
      <c r="E23" s="6" t="s">
        <v>82</v>
      </c>
      <c r="F23" s="9"/>
    </row>
    <row r="24" ht="33.75" customHeight="1">
      <c r="A24" s="7">
        <v>1.0</v>
      </c>
      <c r="B24" s="9" t="s">
        <v>20</v>
      </c>
      <c r="C24" s="9" t="s">
        <v>27</v>
      </c>
      <c r="D24" s="9" t="s">
        <v>107</v>
      </c>
      <c r="E24" s="6" t="s">
        <v>108</v>
      </c>
      <c r="F24" s="9"/>
    </row>
    <row r="25" ht="33.75" customHeight="1">
      <c r="A25" s="7">
        <v>1.0</v>
      </c>
      <c r="B25" s="9" t="s">
        <v>20</v>
      </c>
      <c r="C25" s="9" t="s">
        <v>27</v>
      </c>
      <c r="D25" s="9" t="s">
        <v>109</v>
      </c>
      <c r="E25" s="6" t="s">
        <v>108</v>
      </c>
      <c r="F25" s="9"/>
    </row>
    <row r="26" ht="33.75" customHeight="1">
      <c r="A26" s="7">
        <v>1.0</v>
      </c>
      <c r="B26" s="9" t="s">
        <v>20</v>
      </c>
      <c r="C26" s="9" t="s">
        <v>27</v>
      </c>
      <c r="D26" s="9" t="s">
        <v>111</v>
      </c>
      <c r="E26" s="6" t="s">
        <v>47</v>
      </c>
      <c r="F26" s="9"/>
    </row>
    <row r="27" ht="33.75" customHeight="1">
      <c r="A27" s="7">
        <v>1.0</v>
      </c>
      <c r="B27" s="9" t="s">
        <v>20</v>
      </c>
      <c r="C27" s="9" t="s">
        <v>27</v>
      </c>
      <c r="D27" s="9" t="s">
        <v>113</v>
      </c>
      <c r="E27" s="6" t="s">
        <v>47</v>
      </c>
      <c r="F27" s="9"/>
    </row>
    <row r="28" ht="33.75" customHeight="1">
      <c r="A28" s="7">
        <v>1.0</v>
      </c>
      <c r="B28" s="9" t="s">
        <v>20</v>
      </c>
      <c r="C28" s="9" t="s">
        <v>27</v>
      </c>
      <c r="D28" s="9" t="s">
        <v>114</v>
      </c>
      <c r="E28" s="6" t="s">
        <v>116</v>
      </c>
      <c r="F28" s="9"/>
    </row>
    <row r="29" ht="33.75" customHeight="1">
      <c r="A29" s="7">
        <v>1.0</v>
      </c>
      <c r="B29" s="9" t="s">
        <v>20</v>
      </c>
      <c r="C29" s="9" t="s">
        <v>27</v>
      </c>
      <c r="D29" s="9" t="s">
        <v>117</v>
      </c>
      <c r="E29" s="6" t="s">
        <v>118</v>
      </c>
      <c r="F29" s="9"/>
    </row>
    <row r="30" ht="33.75" customHeight="1">
      <c r="A30" s="7">
        <v>2.0</v>
      </c>
      <c r="B30" s="9" t="s">
        <v>120</v>
      </c>
      <c r="C30" s="9" t="s">
        <v>27</v>
      </c>
      <c r="D30" s="9" t="s">
        <v>24</v>
      </c>
      <c r="E30" s="11" t="s">
        <v>121</v>
      </c>
      <c r="F30" s="10" t="s">
        <v>123</v>
      </c>
    </row>
    <row r="31" ht="33.75" customHeight="1">
      <c r="A31" s="7">
        <v>2.0</v>
      </c>
      <c r="B31" s="9" t="s">
        <v>120</v>
      </c>
      <c r="C31" s="9" t="s">
        <v>27</v>
      </c>
      <c r="D31" s="9" t="s">
        <v>35</v>
      </c>
      <c r="E31" s="11" t="s">
        <v>121</v>
      </c>
      <c r="F31" s="9"/>
    </row>
    <row r="32" ht="33.75" customHeight="1">
      <c r="A32" s="7">
        <v>2.0</v>
      </c>
      <c r="B32" s="9" t="s">
        <v>120</v>
      </c>
      <c r="C32" s="9" t="s">
        <v>27</v>
      </c>
      <c r="D32" s="9" t="s">
        <v>42</v>
      </c>
      <c r="E32" s="11" t="s">
        <v>126</v>
      </c>
      <c r="F32" s="9"/>
    </row>
    <row r="33" ht="33.75" customHeight="1">
      <c r="A33" s="7">
        <v>2.0</v>
      </c>
      <c r="B33" s="9" t="s">
        <v>120</v>
      </c>
      <c r="C33" s="9" t="s">
        <v>27</v>
      </c>
      <c r="D33" s="9" t="s">
        <v>52</v>
      </c>
      <c r="E33" s="6" t="s">
        <v>129</v>
      </c>
      <c r="F33" s="9"/>
    </row>
    <row r="34" ht="33.75" customHeight="1">
      <c r="A34" s="7">
        <v>2.0</v>
      </c>
      <c r="B34" s="9" t="s">
        <v>120</v>
      </c>
      <c r="C34" s="9" t="s">
        <v>27</v>
      </c>
      <c r="D34" s="9" t="s">
        <v>59</v>
      </c>
      <c r="E34" s="6" t="s">
        <v>131</v>
      </c>
      <c r="F34" s="9"/>
    </row>
    <row r="35" ht="33.75" customHeight="1">
      <c r="A35" s="7">
        <v>2.0</v>
      </c>
      <c r="B35" s="9" t="s">
        <v>120</v>
      </c>
      <c r="C35" s="9" t="s">
        <v>27</v>
      </c>
      <c r="D35" s="9" t="s">
        <v>64</v>
      </c>
      <c r="E35" s="11" t="s">
        <v>133</v>
      </c>
      <c r="F35" s="9"/>
    </row>
    <row r="36" ht="33.75" customHeight="1">
      <c r="A36" s="7">
        <v>2.0</v>
      </c>
      <c r="B36" s="9" t="s">
        <v>120</v>
      </c>
      <c r="C36" s="9" t="s">
        <v>27</v>
      </c>
      <c r="D36" s="9" t="s">
        <v>67</v>
      </c>
      <c r="E36" s="6" t="s">
        <v>136</v>
      </c>
      <c r="F36" s="9"/>
    </row>
    <row r="37" ht="33.75" customHeight="1">
      <c r="A37" s="7">
        <v>2.0</v>
      </c>
      <c r="B37" s="9" t="s">
        <v>120</v>
      </c>
      <c r="C37" s="9" t="s">
        <v>27</v>
      </c>
      <c r="D37" s="9" t="s">
        <v>71</v>
      </c>
      <c r="E37" s="6" t="s">
        <v>136</v>
      </c>
      <c r="F37" s="9"/>
    </row>
    <row r="38" ht="33.75" customHeight="1">
      <c r="A38" s="7">
        <v>2.0</v>
      </c>
      <c r="B38" s="9" t="s">
        <v>120</v>
      </c>
      <c r="C38" s="9" t="s">
        <v>27</v>
      </c>
      <c r="D38" s="9" t="s">
        <v>73</v>
      </c>
      <c r="E38" s="11" t="s">
        <v>140</v>
      </c>
      <c r="F38" s="9"/>
    </row>
    <row r="39" ht="33.75" customHeight="1">
      <c r="A39" s="7">
        <v>2.0</v>
      </c>
      <c r="B39" s="9" t="s">
        <v>120</v>
      </c>
      <c r="C39" s="9" t="s">
        <v>27</v>
      </c>
      <c r="D39" s="9" t="s">
        <v>75</v>
      </c>
      <c r="E39" s="11" t="s">
        <v>144</v>
      </c>
      <c r="F39" s="9"/>
    </row>
    <row r="40" ht="33.75" customHeight="1">
      <c r="A40" s="7">
        <v>2.0</v>
      </c>
      <c r="B40" s="9" t="s">
        <v>120</v>
      </c>
      <c r="C40" s="9" t="s">
        <v>27</v>
      </c>
      <c r="D40" s="9" t="s">
        <v>79</v>
      </c>
      <c r="E40" s="11" t="s">
        <v>121</v>
      </c>
      <c r="F40" s="9"/>
    </row>
    <row r="41" ht="33.75" customHeight="1">
      <c r="A41" s="7">
        <v>2.0</v>
      </c>
      <c r="B41" s="9" t="s">
        <v>120</v>
      </c>
      <c r="C41" s="9" t="s">
        <v>27</v>
      </c>
      <c r="D41" s="9" t="s">
        <v>81</v>
      </c>
      <c r="E41" s="11" t="s">
        <v>148</v>
      </c>
      <c r="F41" s="9"/>
    </row>
    <row r="42" ht="33.75" customHeight="1">
      <c r="A42" s="7">
        <v>2.0</v>
      </c>
      <c r="B42" s="9" t="s">
        <v>120</v>
      </c>
      <c r="C42" s="9" t="s">
        <v>27</v>
      </c>
      <c r="D42" s="9" t="s">
        <v>84</v>
      </c>
      <c r="E42" s="11" t="s">
        <v>148</v>
      </c>
      <c r="F42" s="9"/>
    </row>
    <row r="43" ht="33.75" customHeight="1">
      <c r="A43" s="7">
        <v>2.0</v>
      </c>
      <c r="B43" s="9" t="s">
        <v>120</v>
      </c>
      <c r="C43" s="9" t="s">
        <v>27</v>
      </c>
      <c r="D43" s="9" t="s">
        <v>87</v>
      </c>
      <c r="E43" s="11" t="s">
        <v>148</v>
      </c>
      <c r="F43" s="9"/>
    </row>
    <row r="44" ht="33.75" customHeight="1">
      <c r="A44" s="7">
        <v>2.0</v>
      </c>
      <c r="B44" s="9" t="s">
        <v>120</v>
      </c>
      <c r="C44" s="9" t="s">
        <v>27</v>
      </c>
      <c r="D44" s="9" t="s">
        <v>89</v>
      </c>
      <c r="E44" s="6" t="s">
        <v>129</v>
      </c>
      <c r="F44" s="9"/>
    </row>
    <row r="45" ht="33.75" customHeight="1">
      <c r="A45" s="7">
        <v>2.0</v>
      </c>
      <c r="B45" s="9" t="s">
        <v>120</v>
      </c>
      <c r="C45" s="9" t="s">
        <v>27</v>
      </c>
      <c r="D45" s="9" t="s">
        <v>91</v>
      </c>
      <c r="E45" s="6" t="s">
        <v>131</v>
      </c>
      <c r="F45" s="9"/>
    </row>
    <row r="46" ht="33.75" customHeight="1">
      <c r="A46" s="7">
        <v>2.0</v>
      </c>
      <c r="B46" s="9" t="s">
        <v>120</v>
      </c>
      <c r="C46" s="9" t="s">
        <v>27</v>
      </c>
      <c r="D46" s="9" t="s">
        <v>93</v>
      </c>
      <c r="E46" s="11" t="s">
        <v>148</v>
      </c>
      <c r="F46" s="9"/>
    </row>
    <row r="47" ht="33.75" customHeight="1">
      <c r="A47" s="7">
        <v>2.0</v>
      </c>
      <c r="B47" s="9" t="s">
        <v>120</v>
      </c>
      <c r="C47" s="9" t="s">
        <v>27</v>
      </c>
      <c r="D47" s="9" t="s">
        <v>95</v>
      </c>
      <c r="E47" s="11" t="s">
        <v>148</v>
      </c>
      <c r="F47" s="9"/>
    </row>
    <row r="48" ht="33.75" customHeight="1">
      <c r="A48" s="7">
        <v>2.0</v>
      </c>
      <c r="B48" s="9" t="s">
        <v>120</v>
      </c>
      <c r="C48" s="9" t="s">
        <v>27</v>
      </c>
      <c r="D48" s="9" t="s">
        <v>98</v>
      </c>
      <c r="E48" s="11" t="s">
        <v>148</v>
      </c>
      <c r="F48" s="9"/>
    </row>
    <row r="49" ht="33.75" customHeight="1">
      <c r="A49" s="7">
        <v>2.0</v>
      </c>
      <c r="B49" s="9" t="s">
        <v>120</v>
      </c>
      <c r="C49" s="9" t="s">
        <v>27</v>
      </c>
      <c r="D49" s="9" t="s">
        <v>99</v>
      </c>
      <c r="E49" s="11" t="s">
        <v>148</v>
      </c>
      <c r="F49" s="9"/>
    </row>
    <row r="50" ht="33.75" customHeight="1">
      <c r="A50" s="7">
        <v>2.0</v>
      </c>
      <c r="B50" s="9" t="s">
        <v>120</v>
      </c>
      <c r="C50" s="9" t="s">
        <v>27</v>
      </c>
      <c r="D50" s="9" t="s">
        <v>101</v>
      </c>
      <c r="E50" s="11" t="s">
        <v>144</v>
      </c>
      <c r="F50" s="9"/>
    </row>
    <row r="51" ht="33.75" customHeight="1">
      <c r="A51" s="7">
        <v>2.0</v>
      </c>
      <c r="B51" s="9" t="s">
        <v>120</v>
      </c>
      <c r="C51" s="9" t="s">
        <v>27</v>
      </c>
      <c r="D51" s="9" t="s">
        <v>105</v>
      </c>
      <c r="E51" s="11" t="s">
        <v>148</v>
      </c>
      <c r="F51" s="9"/>
    </row>
    <row r="52" ht="33.75" customHeight="1">
      <c r="A52" s="7">
        <v>2.0</v>
      </c>
      <c r="B52" s="9" t="s">
        <v>120</v>
      </c>
      <c r="C52" s="9" t="s">
        <v>27</v>
      </c>
      <c r="D52" s="9" t="s">
        <v>107</v>
      </c>
      <c r="E52" s="6" t="s">
        <v>167</v>
      </c>
      <c r="F52" s="9"/>
    </row>
    <row r="53" ht="33.75" customHeight="1">
      <c r="A53" s="7">
        <v>2.0</v>
      </c>
      <c r="B53" s="9" t="s">
        <v>120</v>
      </c>
      <c r="C53" s="9" t="s">
        <v>27</v>
      </c>
      <c r="D53" s="9" t="s">
        <v>109</v>
      </c>
      <c r="E53" s="6" t="s">
        <v>167</v>
      </c>
      <c r="F53" s="9"/>
    </row>
    <row r="54" ht="33.75" customHeight="1">
      <c r="A54" s="7">
        <v>2.0</v>
      </c>
      <c r="B54" s="9" t="s">
        <v>120</v>
      </c>
      <c r="C54" s="9" t="s">
        <v>27</v>
      </c>
      <c r="D54" s="9" t="s">
        <v>111</v>
      </c>
      <c r="E54" s="6" t="s">
        <v>172</v>
      </c>
      <c r="F54" s="9"/>
    </row>
    <row r="55" ht="33.75" customHeight="1">
      <c r="A55" s="7">
        <v>2.0</v>
      </c>
      <c r="B55" s="9" t="s">
        <v>120</v>
      </c>
      <c r="C55" s="9" t="s">
        <v>27</v>
      </c>
      <c r="D55" s="9" t="s">
        <v>113</v>
      </c>
      <c r="E55" s="6" t="s">
        <v>172</v>
      </c>
      <c r="F55" s="9"/>
    </row>
    <row r="56" ht="33.75" customHeight="1">
      <c r="A56" s="7">
        <v>2.0</v>
      </c>
      <c r="B56" s="9" t="s">
        <v>120</v>
      </c>
      <c r="C56" s="9" t="s">
        <v>27</v>
      </c>
      <c r="D56" s="9" t="s">
        <v>114</v>
      </c>
      <c r="E56" s="11" t="s">
        <v>121</v>
      </c>
      <c r="F56" s="9"/>
    </row>
    <row r="57" ht="33.75" customHeight="1">
      <c r="A57" s="7">
        <v>2.0</v>
      </c>
      <c r="B57" s="9" t="s">
        <v>120</v>
      </c>
      <c r="C57" s="9" t="s">
        <v>27</v>
      </c>
      <c r="D57" s="9" t="s">
        <v>117</v>
      </c>
      <c r="E57" s="6" t="s">
        <v>129</v>
      </c>
      <c r="F57" s="9"/>
    </row>
    <row r="58" ht="33.75" customHeight="1">
      <c r="A58" s="7">
        <v>3.0</v>
      </c>
      <c r="B58" s="9" t="s">
        <v>182</v>
      </c>
      <c r="C58" s="9" t="s">
        <v>27</v>
      </c>
      <c r="D58" s="9" t="s">
        <v>24</v>
      </c>
      <c r="E58" s="6" t="s">
        <v>183</v>
      </c>
      <c r="F58" s="10" t="s">
        <v>185</v>
      </c>
    </row>
    <row r="59" ht="33.75" customHeight="1">
      <c r="A59" s="7">
        <v>3.0</v>
      </c>
      <c r="B59" s="9" t="s">
        <v>182</v>
      </c>
      <c r="C59" s="9" t="s">
        <v>27</v>
      </c>
      <c r="D59" s="9" t="s">
        <v>35</v>
      </c>
      <c r="E59" s="6" t="s">
        <v>183</v>
      </c>
      <c r="F59" s="9"/>
    </row>
    <row r="60" ht="33.75" customHeight="1">
      <c r="A60" s="7">
        <v>3.0</v>
      </c>
      <c r="B60" s="9" t="s">
        <v>182</v>
      </c>
      <c r="C60" s="9" t="s">
        <v>27</v>
      </c>
      <c r="D60" s="9" t="s">
        <v>42</v>
      </c>
      <c r="E60" s="6" t="s">
        <v>190</v>
      </c>
      <c r="F60" s="9"/>
    </row>
    <row r="61" ht="33.75" customHeight="1">
      <c r="A61" s="7">
        <v>3.0</v>
      </c>
      <c r="B61" s="9" t="s">
        <v>182</v>
      </c>
      <c r="C61" s="9" t="s">
        <v>27</v>
      </c>
      <c r="D61" s="9" t="s">
        <v>52</v>
      </c>
      <c r="E61" s="6" t="s">
        <v>192</v>
      </c>
      <c r="F61" s="9"/>
    </row>
    <row r="62" ht="33.75" customHeight="1">
      <c r="A62" s="7">
        <v>3.0</v>
      </c>
      <c r="B62" s="9" t="s">
        <v>182</v>
      </c>
      <c r="C62" s="9" t="s">
        <v>27</v>
      </c>
      <c r="D62" s="9" t="s">
        <v>59</v>
      </c>
      <c r="E62" s="6" t="s">
        <v>196</v>
      </c>
      <c r="F62" s="9"/>
    </row>
    <row r="63" ht="33.75" customHeight="1">
      <c r="A63" s="7">
        <v>3.0</v>
      </c>
      <c r="B63" s="9" t="s">
        <v>182</v>
      </c>
      <c r="C63" s="9" t="s">
        <v>27</v>
      </c>
      <c r="D63" s="9" t="s">
        <v>64</v>
      </c>
      <c r="E63" s="6" t="s">
        <v>197</v>
      </c>
      <c r="F63" s="9"/>
    </row>
    <row r="64" ht="33.75" customHeight="1">
      <c r="A64" s="7">
        <v>3.0</v>
      </c>
      <c r="B64" s="9" t="s">
        <v>182</v>
      </c>
      <c r="C64" s="9" t="s">
        <v>27</v>
      </c>
      <c r="D64" s="9" t="s">
        <v>67</v>
      </c>
      <c r="E64" s="6" t="s">
        <v>201</v>
      </c>
      <c r="F64" s="9"/>
    </row>
    <row r="65" ht="33.75" customHeight="1">
      <c r="A65" s="7">
        <v>3.0</v>
      </c>
      <c r="B65" s="9" t="s">
        <v>182</v>
      </c>
      <c r="C65" s="9" t="s">
        <v>27</v>
      </c>
      <c r="D65" s="9" t="s">
        <v>71</v>
      </c>
      <c r="E65" s="6" t="s">
        <v>201</v>
      </c>
      <c r="F65" s="9"/>
    </row>
    <row r="66" ht="33.75" customHeight="1">
      <c r="A66" s="7">
        <v>3.0</v>
      </c>
      <c r="B66" s="9" t="s">
        <v>182</v>
      </c>
      <c r="C66" s="9" t="s">
        <v>27</v>
      </c>
      <c r="D66" s="9" t="s">
        <v>73</v>
      </c>
      <c r="E66" s="6" t="s">
        <v>204</v>
      </c>
      <c r="F66" s="9"/>
    </row>
    <row r="67" ht="33.75" customHeight="1">
      <c r="A67" s="7">
        <v>3.0</v>
      </c>
      <c r="B67" s="9" t="s">
        <v>182</v>
      </c>
      <c r="C67" s="9" t="s">
        <v>27</v>
      </c>
      <c r="D67" s="9" t="s">
        <v>75</v>
      </c>
      <c r="E67" s="6" t="s">
        <v>207</v>
      </c>
      <c r="F67" s="9"/>
    </row>
    <row r="68" ht="33.75" customHeight="1">
      <c r="A68" s="7">
        <v>3.0</v>
      </c>
      <c r="B68" s="9" t="s">
        <v>182</v>
      </c>
      <c r="C68" s="9" t="s">
        <v>27</v>
      </c>
      <c r="D68" s="9" t="s">
        <v>79</v>
      </c>
      <c r="E68" s="6" t="s">
        <v>209</v>
      </c>
      <c r="F68" s="9"/>
    </row>
    <row r="69" ht="33.75" customHeight="1">
      <c r="A69" s="7">
        <v>3.0</v>
      </c>
      <c r="B69" s="9" t="s">
        <v>182</v>
      </c>
      <c r="C69" s="9" t="s">
        <v>27</v>
      </c>
      <c r="D69" s="9" t="s">
        <v>81</v>
      </c>
      <c r="E69" s="6" t="s">
        <v>211</v>
      </c>
      <c r="F69" s="9"/>
    </row>
    <row r="70" ht="33.75" customHeight="1">
      <c r="A70" s="7">
        <v>3.0</v>
      </c>
      <c r="B70" s="9" t="s">
        <v>182</v>
      </c>
      <c r="C70" s="9" t="s">
        <v>27</v>
      </c>
      <c r="D70" s="9" t="s">
        <v>84</v>
      </c>
      <c r="E70" s="6" t="s">
        <v>211</v>
      </c>
      <c r="F70" s="9"/>
    </row>
    <row r="71" ht="33.75" customHeight="1">
      <c r="A71" s="7">
        <v>3.0</v>
      </c>
      <c r="B71" s="9" t="s">
        <v>182</v>
      </c>
      <c r="C71" s="9" t="s">
        <v>27</v>
      </c>
      <c r="D71" s="9" t="s">
        <v>87</v>
      </c>
      <c r="E71" s="6" t="s">
        <v>211</v>
      </c>
      <c r="F71" s="9"/>
    </row>
    <row r="72" ht="33.75" customHeight="1">
      <c r="A72" s="7">
        <v>3.0</v>
      </c>
      <c r="B72" s="9" t="s">
        <v>182</v>
      </c>
      <c r="C72" s="9" t="s">
        <v>27</v>
      </c>
      <c r="D72" s="9" t="s">
        <v>89</v>
      </c>
      <c r="E72" s="6" t="s">
        <v>192</v>
      </c>
      <c r="F72" s="9"/>
    </row>
    <row r="73" ht="33.75" customHeight="1">
      <c r="A73" s="7">
        <v>3.0</v>
      </c>
      <c r="B73" s="9" t="s">
        <v>182</v>
      </c>
      <c r="C73" s="9" t="s">
        <v>27</v>
      </c>
      <c r="D73" s="9" t="s">
        <v>91</v>
      </c>
      <c r="E73" s="6" t="s">
        <v>216</v>
      </c>
      <c r="F73" s="9"/>
    </row>
    <row r="74" ht="33.75" customHeight="1">
      <c r="A74" s="7">
        <v>3.0</v>
      </c>
      <c r="B74" s="9" t="s">
        <v>182</v>
      </c>
      <c r="C74" s="9" t="s">
        <v>27</v>
      </c>
      <c r="D74" s="9" t="s">
        <v>93</v>
      </c>
      <c r="E74" s="6" t="s">
        <v>211</v>
      </c>
      <c r="F74" s="9"/>
    </row>
    <row r="75" ht="33.75" customHeight="1">
      <c r="A75" s="7">
        <v>3.0</v>
      </c>
      <c r="B75" s="9" t="s">
        <v>182</v>
      </c>
      <c r="C75" s="9" t="s">
        <v>27</v>
      </c>
      <c r="D75" s="9" t="s">
        <v>95</v>
      </c>
      <c r="E75" s="6" t="s">
        <v>211</v>
      </c>
      <c r="F75" s="9"/>
    </row>
    <row r="76" ht="33.75" customHeight="1">
      <c r="A76" s="7">
        <v>3.0</v>
      </c>
      <c r="B76" s="9" t="s">
        <v>182</v>
      </c>
      <c r="C76" s="9" t="s">
        <v>27</v>
      </c>
      <c r="D76" s="9" t="s">
        <v>98</v>
      </c>
      <c r="E76" s="6" t="s">
        <v>211</v>
      </c>
      <c r="F76" s="9"/>
    </row>
    <row r="77" ht="33.75" customHeight="1">
      <c r="A77" s="7">
        <v>3.0</v>
      </c>
      <c r="B77" s="9" t="s">
        <v>182</v>
      </c>
      <c r="C77" s="9" t="s">
        <v>27</v>
      </c>
      <c r="D77" s="9" t="s">
        <v>99</v>
      </c>
      <c r="E77" s="6" t="s">
        <v>211</v>
      </c>
      <c r="F77" s="9"/>
    </row>
    <row r="78" ht="33.75" customHeight="1">
      <c r="A78" s="7">
        <v>3.0</v>
      </c>
      <c r="B78" s="9" t="s">
        <v>182</v>
      </c>
      <c r="C78" s="9" t="s">
        <v>27</v>
      </c>
      <c r="D78" s="9" t="s">
        <v>101</v>
      </c>
      <c r="E78" s="6" t="s">
        <v>192</v>
      </c>
      <c r="F78" s="9"/>
    </row>
    <row r="79" ht="33.75" customHeight="1">
      <c r="A79" s="7">
        <v>3.0</v>
      </c>
      <c r="B79" s="9" t="s">
        <v>182</v>
      </c>
      <c r="C79" s="9" t="s">
        <v>27</v>
      </c>
      <c r="D79" s="9" t="s">
        <v>105</v>
      </c>
      <c r="E79" s="6" t="s">
        <v>211</v>
      </c>
      <c r="F79" s="9"/>
    </row>
    <row r="80" ht="33.75" customHeight="1">
      <c r="A80" s="7">
        <v>3.0</v>
      </c>
      <c r="B80" s="9" t="s">
        <v>182</v>
      </c>
      <c r="C80" s="9" t="s">
        <v>27</v>
      </c>
      <c r="D80" s="9" t="s">
        <v>107</v>
      </c>
      <c r="E80" s="6" t="s">
        <v>229</v>
      </c>
      <c r="F80" s="9"/>
    </row>
    <row r="81" ht="33.75" customHeight="1">
      <c r="A81" s="7">
        <v>3.0</v>
      </c>
      <c r="B81" s="9" t="s">
        <v>182</v>
      </c>
      <c r="C81" s="9" t="s">
        <v>27</v>
      </c>
      <c r="D81" s="9" t="s">
        <v>109</v>
      </c>
      <c r="E81" s="6" t="s">
        <v>229</v>
      </c>
      <c r="F81" s="9"/>
    </row>
    <row r="82" ht="33.75" customHeight="1">
      <c r="A82" s="7">
        <v>3.0</v>
      </c>
      <c r="B82" s="9" t="s">
        <v>182</v>
      </c>
      <c r="C82" s="9" t="s">
        <v>27</v>
      </c>
      <c r="D82" s="9" t="s">
        <v>111</v>
      </c>
      <c r="E82" s="6" t="s">
        <v>190</v>
      </c>
      <c r="F82" s="9"/>
    </row>
    <row r="83" ht="33.75" customHeight="1">
      <c r="A83" s="7">
        <v>3.0</v>
      </c>
      <c r="B83" s="9" t="s">
        <v>182</v>
      </c>
      <c r="C83" s="9" t="s">
        <v>27</v>
      </c>
      <c r="D83" s="9" t="s">
        <v>113</v>
      </c>
      <c r="E83" s="6" t="s">
        <v>190</v>
      </c>
      <c r="F83" s="9"/>
    </row>
    <row r="84" ht="33.75" customHeight="1">
      <c r="A84" s="7">
        <v>3.0</v>
      </c>
      <c r="B84" s="9" t="s">
        <v>182</v>
      </c>
      <c r="C84" s="9" t="s">
        <v>27</v>
      </c>
      <c r="D84" s="9" t="s">
        <v>114</v>
      </c>
      <c r="E84" s="6" t="s">
        <v>209</v>
      </c>
      <c r="F84" s="9"/>
    </row>
    <row r="85" ht="33.75" customHeight="1">
      <c r="A85" s="7">
        <v>3.0</v>
      </c>
      <c r="B85" s="9" t="s">
        <v>182</v>
      </c>
      <c r="C85" s="9" t="s">
        <v>27</v>
      </c>
      <c r="D85" s="9" t="s">
        <v>117</v>
      </c>
      <c r="E85" s="6" t="s">
        <v>207</v>
      </c>
      <c r="F85" s="9"/>
    </row>
    <row r="86" ht="33.75" customHeight="1">
      <c r="A86" s="7">
        <v>4.0</v>
      </c>
      <c r="B86" s="9" t="s">
        <v>237</v>
      </c>
      <c r="C86" s="9" t="s">
        <v>239</v>
      </c>
      <c r="D86" s="9" t="s">
        <v>24</v>
      </c>
      <c r="E86" s="6" t="s">
        <v>240</v>
      </c>
      <c r="F86" s="12" t="s">
        <v>241</v>
      </c>
    </row>
    <row r="87" ht="33.75" customHeight="1">
      <c r="A87" s="7">
        <v>4.0</v>
      </c>
      <c r="B87" s="9" t="s">
        <v>237</v>
      </c>
      <c r="C87" s="9" t="s">
        <v>239</v>
      </c>
      <c r="D87" s="9" t="s">
        <v>35</v>
      </c>
      <c r="E87" s="6" t="s">
        <v>240</v>
      </c>
      <c r="F87" s="12"/>
    </row>
    <row r="88" ht="33.75" customHeight="1">
      <c r="A88" s="7">
        <v>4.0</v>
      </c>
      <c r="B88" s="9" t="s">
        <v>237</v>
      </c>
      <c r="C88" s="9" t="s">
        <v>239</v>
      </c>
      <c r="D88" s="9" t="s">
        <v>42</v>
      </c>
      <c r="E88" s="6" t="s">
        <v>247</v>
      </c>
      <c r="F88" s="12"/>
    </row>
    <row r="89" ht="33.75" customHeight="1">
      <c r="A89" s="7">
        <v>4.0</v>
      </c>
      <c r="B89" s="9" t="s">
        <v>237</v>
      </c>
      <c r="C89" s="9" t="s">
        <v>239</v>
      </c>
      <c r="D89" s="9" t="s">
        <v>52</v>
      </c>
      <c r="E89" s="6" t="s">
        <v>250</v>
      </c>
      <c r="F89" s="9"/>
    </row>
    <row r="90" ht="33.75" customHeight="1">
      <c r="A90" s="7">
        <v>4.0</v>
      </c>
      <c r="B90" s="9" t="s">
        <v>237</v>
      </c>
      <c r="C90" s="9" t="s">
        <v>239</v>
      </c>
      <c r="D90" s="9" t="s">
        <v>59</v>
      </c>
      <c r="E90" s="6" t="s">
        <v>252</v>
      </c>
      <c r="F90" s="9"/>
    </row>
    <row r="91" ht="33.75" customHeight="1">
      <c r="A91" s="7">
        <v>4.0</v>
      </c>
      <c r="B91" s="9" t="s">
        <v>237</v>
      </c>
      <c r="C91" s="9" t="s">
        <v>239</v>
      </c>
      <c r="D91" s="9" t="s">
        <v>64</v>
      </c>
      <c r="E91" s="6" t="s">
        <v>255</v>
      </c>
      <c r="F91" s="9"/>
    </row>
    <row r="92" ht="33.75" customHeight="1">
      <c r="A92" s="7">
        <v>4.0</v>
      </c>
      <c r="B92" s="9" t="s">
        <v>237</v>
      </c>
      <c r="C92" s="9" t="s">
        <v>239</v>
      </c>
      <c r="D92" s="9" t="s">
        <v>67</v>
      </c>
      <c r="E92" s="6" t="s">
        <v>257</v>
      </c>
      <c r="F92" s="9"/>
    </row>
    <row r="93" ht="33.75" customHeight="1">
      <c r="A93" s="7">
        <v>4.0</v>
      </c>
      <c r="B93" s="9" t="s">
        <v>237</v>
      </c>
      <c r="C93" s="9" t="s">
        <v>239</v>
      </c>
      <c r="D93" s="9" t="s">
        <v>71</v>
      </c>
      <c r="E93" s="6" t="s">
        <v>257</v>
      </c>
      <c r="F93" s="9"/>
    </row>
    <row r="94" ht="33.75" customHeight="1">
      <c r="A94" s="7">
        <v>4.0</v>
      </c>
      <c r="B94" s="9" t="s">
        <v>237</v>
      </c>
      <c r="C94" s="9" t="s">
        <v>239</v>
      </c>
      <c r="D94" s="9" t="s">
        <v>73</v>
      </c>
      <c r="E94" s="6" t="s">
        <v>261</v>
      </c>
      <c r="F94" s="9"/>
    </row>
    <row r="95" ht="33.75" customHeight="1">
      <c r="A95" s="7">
        <v>4.0</v>
      </c>
      <c r="B95" s="9" t="s">
        <v>237</v>
      </c>
      <c r="C95" s="9" t="s">
        <v>239</v>
      </c>
      <c r="D95" s="9" t="s">
        <v>75</v>
      </c>
      <c r="E95" s="6" t="s">
        <v>263</v>
      </c>
      <c r="F95" s="9"/>
    </row>
    <row r="96" ht="33.75" customHeight="1">
      <c r="A96" s="7">
        <v>4.0</v>
      </c>
      <c r="B96" s="9" t="s">
        <v>237</v>
      </c>
      <c r="C96" s="9" t="s">
        <v>239</v>
      </c>
      <c r="D96" s="9" t="s">
        <v>79</v>
      </c>
      <c r="E96" s="6" t="s">
        <v>264</v>
      </c>
      <c r="F96" s="9"/>
    </row>
    <row r="97" ht="33.75" customHeight="1">
      <c r="A97" s="7">
        <v>4.0</v>
      </c>
      <c r="B97" s="9" t="s">
        <v>237</v>
      </c>
      <c r="C97" s="9" t="s">
        <v>239</v>
      </c>
      <c r="D97" s="9" t="s">
        <v>81</v>
      </c>
      <c r="E97" s="6" t="s">
        <v>267</v>
      </c>
      <c r="F97" s="9"/>
    </row>
    <row r="98" ht="33.75" customHeight="1">
      <c r="A98" s="7">
        <v>4.0</v>
      </c>
      <c r="B98" s="9" t="s">
        <v>237</v>
      </c>
      <c r="C98" s="9" t="s">
        <v>239</v>
      </c>
      <c r="D98" s="9" t="s">
        <v>84</v>
      </c>
      <c r="E98" s="6" t="s">
        <v>267</v>
      </c>
      <c r="F98" s="9"/>
    </row>
    <row r="99" ht="33.75" customHeight="1">
      <c r="A99" s="7">
        <v>4.0</v>
      </c>
      <c r="B99" s="9" t="s">
        <v>237</v>
      </c>
      <c r="C99" s="9" t="s">
        <v>239</v>
      </c>
      <c r="D99" s="9" t="s">
        <v>87</v>
      </c>
      <c r="E99" s="6" t="s">
        <v>267</v>
      </c>
      <c r="F99" s="9"/>
    </row>
    <row r="100" ht="33.75" customHeight="1">
      <c r="A100" s="7">
        <v>4.0</v>
      </c>
      <c r="B100" s="9" t="s">
        <v>237</v>
      </c>
      <c r="C100" s="9" t="s">
        <v>239</v>
      </c>
      <c r="D100" s="9" t="s">
        <v>89</v>
      </c>
      <c r="E100" s="6" t="s">
        <v>250</v>
      </c>
      <c r="F100" s="9"/>
    </row>
    <row r="101" ht="33.75" customHeight="1">
      <c r="A101" s="7">
        <v>4.0</v>
      </c>
      <c r="B101" s="9" t="s">
        <v>237</v>
      </c>
      <c r="C101" s="9" t="s">
        <v>239</v>
      </c>
      <c r="D101" s="9" t="s">
        <v>91</v>
      </c>
      <c r="E101" s="6" t="s">
        <v>273</v>
      </c>
      <c r="F101" s="9"/>
    </row>
    <row r="102" ht="33.75" customHeight="1">
      <c r="A102" s="7">
        <v>4.0</v>
      </c>
      <c r="B102" s="9" t="s">
        <v>237</v>
      </c>
      <c r="C102" s="9" t="s">
        <v>239</v>
      </c>
      <c r="D102" s="9" t="s">
        <v>93</v>
      </c>
      <c r="E102" s="6" t="s">
        <v>267</v>
      </c>
      <c r="F102" s="9"/>
    </row>
    <row r="103" ht="33.75" customHeight="1">
      <c r="A103" s="7">
        <v>4.0</v>
      </c>
      <c r="B103" s="9" t="s">
        <v>237</v>
      </c>
      <c r="C103" s="9" t="s">
        <v>239</v>
      </c>
      <c r="D103" s="9" t="s">
        <v>95</v>
      </c>
      <c r="E103" s="6" t="s">
        <v>267</v>
      </c>
      <c r="F103" s="9"/>
    </row>
    <row r="104" ht="33.75" customHeight="1">
      <c r="A104" s="7">
        <v>4.0</v>
      </c>
      <c r="B104" s="9" t="s">
        <v>237</v>
      </c>
      <c r="C104" s="9" t="s">
        <v>239</v>
      </c>
      <c r="D104" s="9" t="s">
        <v>98</v>
      </c>
      <c r="E104" s="6" t="s">
        <v>267</v>
      </c>
      <c r="F104" s="9"/>
    </row>
    <row r="105" ht="33.75" customHeight="1">
      <c r="A105" s="7">
        <v>4.0</v>
      </c>
      <c r="B105" s="9" t="s">
        <v>237</v>
      </c>
      <c r="C105" s="9" t="s">
        <v>239</v>
      </c>
      <c r="D105" s="9" t="s">
        <v>99</v>
      </c>
      <c r="E105" s="6" t="s">
        <v>267</v>
      </c>
      <c r="F105" s="9"/>
    </row>
    <row r="106" ht="33.75" customHeight="1">
      <c r="A106" s="7">
        <v>4.0</v>
      </c>
      <c r="B106" s="9" t="s">
        <v>237</v>
      </c>
      <c r="C106" s="9" t="s">
        <v>239</v>
      </c>
      <c r="D106" s="9" t="s">
        <v>101</v>
      </c>
      <c r="E106" s="6" t="s">
        <v>280</v>
      </c>
      <c r="F106" s="9"/>
    </row>
    <row r="107" ht="33.75" customHeight="1">
      <c r="A107" s="7">
        <v>4.0</v>
      </c>
      <c r="B107" s="9" t="s">
        <v>237</v>
      </c>
      <c r="C107" s="9" t="s">
        <v>239</v>
      </c>
      <c r="D107" s="9" t="s">
        <v>105</v>
      </c>
      <c r="E107" s="6" t="s">
        <v>263</v>
      </c>
      <c r="F107" s="9"/>
    </row>
    <row r="108" ht="33.75" customHeight="1">
      <c r="A108" s="7">
        <v>4.0</v>
      </c>
      <c r="B108" s="9" t="s">
        <v>237</v>
      </c>
      <c r="C108" s="9" t="s">
        <v>239</v>
      </c>
      <c r="D108" s="9" t="s">
        <v>107</v>
      </c>
      <c r="E108" s="6" t="s">
        <v>285</v>
      </c>
      <c r="F108" s="9"/>
    </row>
    <row r="109" ht="33.75" customHeight="1">
      <c r="A109" s="7">
        <v>4.0</v>
      </c>
      <c r="B109" s="9" t="s">
        <v>237</v>
      </c>
      <c r="C109" s="9" t="s">
        <v>239</v>
      </c>
      <c r="D109" s="9" t="s">
        <v>109</v>
      </c>
      <c r="E109" s="6" t="s">
        <v>285</v>
      </c>
      <c r="F109" s="9"/>
    </row>
    <row r="110" ht="33.75" customHeight="1">
      <c r="A110" s="7">
        <v>4.0</v>
      </c>
      <c r="B110" s="9" t="s">
        <v>237</v>
      </c>
      <c r="C110" s="9" t="s">
        <v>239</v>
      </c>
      <c r="D110" s="9" t="s">
        <v>111</v>
      </c>
      <c r="E110" s="6" t="s">
        <v>247</v>
      </c>
      <c r="F110" s="9"/>
    </row>
    <row r="111" ht="33.75" customHeight="1">
      <c r="A111" s="7">
        <v>4.0</v>
      </c>
      <c r="B111" s="9" t="s">
        <v>237</v>
      </c>
      <c r="C111" s="9" t="s">
        <v>239</v>
      </c>
      <c r="D111" s="9" t="s">
        <v>113</v>
      </c>
      <c r="E111" s="6" t="s">
        <v>247</v>
      </c>
      <c r="F111" s="9"/>
    </row>
    <row r="112" ht="33.75" customHeight="1">
      <c r="A112" s="7">
        <v>4.0</v>
      </c>
      <c r="B112" s="9" t="s">
        <v>237</v>
      </c>
      <c r="C112" s="9" t="s">
        <v>239</v>
      </c>
      <c r="D112" s="9" t="s">
        <v>114</v>
      </c>
      <c r="E112" s="6" t="s">
        <v>264</v>
      </c>
      <c r="F112" s="9"/>
    </row>
    <row r="113" ht="33.75" customHeight="1">
      <c r="A113" s="7">
        <v>4.0</v>
      </c>
      <c r="B113" s="9" t="s">
        <v>237</v>
      </c>
      <c r="C113" s="9" t="s">
        <v>239</v>
      </c>
      <c r="D113" s="9" t="s">
        <v>117</v>
      </c>
      <c r="E113" s="6" t="s">
        <v>263</v>
      </c>
      <c r="F113" s="9"/>
    </row>
    <row r="114" ht="33.75" customHeight="1">
      <c r="A114" s="7">
        <v>5.0</v>
      </c>
      <c r="B114" s="9" t="s">
        <v>293</v>
      </c>
      <c r="C114" s="9" t="s">
        <v>294</v>
      </c>
      <c r="D114" s="9" t="s">
        <v>24</v>
      </c>
      <c r="E114" s="6" t="s">
        <v>296</v>
      </c>
      <c r="F114" s="10" t="s">
        <v>298</v>
      </c>
    </row>
    <row r="115" ht="33.75" customHeight="1">
      <c r="A115" s="7">
        <v>5.0</v>
      </c>
      <c r="B115" s="9" t="s">
        <v>293</v>
      </c>
      <c r="C115" s="9" t="s">
        <v>294</v>
      </c>
      <c r="D115" s="9" t="s">
        <v>35</v>
      </c>
      <c r="E115" s="6" t="s">
        <v>296</v>
      </c>
      <c r="F115" s="13"/>
    </row>
    <row r="116" ht="33.75" customHeight="1">
      <c r="A116" s="7">
        <v>5.0</v>
      </c>
      <c r="B116" s="9" t="s">
        <v>293</v>
      </c>
      <c r="C116" s="9" t="s">
        <v>294</v>
      </c>
      <c r="D116" s="9" t="s">
        <v>42</v>
      </c>
      <c r="E116" s="6" t="s">
        <v>301</v>
      </c>
      <c r="F116" s="10"/>
    </row>
    <row r="117" ht="33.75" customHeight="1">
      <c r="A117" s="7">
        <v>5.0</v>
      </c>
      <c r="B117" s="9" t="s">
        <v>293</v>
      </c>
      <c r="C117" s="9" t="s">
        <v>294</v>
      </c>
      <c r="D117" s="9" t="s">
        <v>52</v>
      </c>
      <c r="E117" s="6" t="s">
        <v>303</v>
      </c>
      <c r="F117" s="13"/>
    </row>
    <row r="118" ht="33.75" customHeight="1">
      <c r="A118" s="7">
        <v>5.0</v>
      </c>
      <c r="B118" s="9" t="s">
        <v>293</v>
      </c>
      <c r="C118" s="9" t="s">
        <v>294</v>
      </c>
      <c r="D118" s="9" t="s">
        <v>59</v>
      </c>
      <c r="E118" s="6" t="s">
        <v>307</v>
      </c>
      <c r="F118" s="10"/>
    </row>
    <row r="119" ht="33.75" customHeight="1">
      <c r="A119" s="7">
        <v>5.0</v>
      </c>
      <c r="B119" s="9" t="s">
        <v>293</v>
      </c>
      <c r="C119" s="9" t="s">
        <v>294</v>
      </c>
      <c r="D119" s="9" t="s">
        <v>64</v>
      </c>
      <c r="E119" s="11" t="s">
        <v>309</v>
      </c>
      <c r="F119" s="9"/>
    </row>
    <row r="120" ht="33.75" customHeight="1">
      <c r="A120" s="7">
        <v>5.0</v>
      </c>
      <c r="B120" s="9" t="s">
        <v>293</v>
      </c>
      <c r="C120" s="9" t="s">
        <v>294</v>
      </c>
      <c r="D120" s="9" t="s">
        <v>67</v>
      </c>
      <c r="E120" s="11" t="s">
        <v>312</v>
      </c>
      <c r="F120" s="9"/>
    </row>
    <row r="121" ht="33.75" customHeight="1">
      <c r="A121" s="7">
        <v>5.0</v>
      </c>
      <c r="B121" s="9" t="s">
        <v>293</v>
      </c>
      <c r="C121" s="9" t="s">
        <v>294</v>
      </c>
      <c r="D121" s="9" t="s">
        <v>71</v>
      </c>
      <c r="E121" s="11" t="s">
        <v>312</v>
      </c>
      <c r="F121" s="9"/>
    </row>
    <row r="122" ht="33.75" customHeight="1">
      <c r="A122" s="7">
        <v>5.0</v>
      </c>
      <c r="B122" s="9" t="s">
        <v>293</v>
      </c>
      <c r="C122" s="9" t="s">
        <v>294</v>
      </c>
      <c r="D122" s="9" t="s">
        <v>73</v>
      </c>
      <c r="E122" s="11" t="s">
        <v>317</v>
      </c>
      <c r="F122" s="9"/>
    </row>
    <row r="123" ht="33.75" customHeight="1">
      <c r="A123" s="7">
        <v>5.0</v>
      </c>
      <c r="B123" s="9" t="s">
        <v>293</v>
      </c>
      <c r="C123" s="9" t="s">
        <v>294</v>
      </c>
      <c r="D123" s="9" t="s">
        <v>75</v>
      </c>
      <c r="E123" s="11" t="s">
        <v>320</v>
      </c>
      <c r="F123" s="9"/>
    </row>
    <row r="124" ht="33.75" customHeight="1">
      <c r="A124" s="7">
        <v>5.0</v>
      </c>
      <c r="B124" s="9" t="s">
        <v>293</v>
      </c>
      <c r="C124" s="9" t="s">
        <v>294</v>
      </c>
      <c r="D124" s="9" t="s">
        <v>79</v>
      </c>
      <c r="E124" s="6" t="s">
        <v>323</v>
      </c>
      <c r="F124" s="9"/>
    </row>
    <row r="125" ht="33.75" customHeight="1">
      <c r="A125" s="7">
        <v>5.0</v>
      </c>
      <c r="B125" s="9" t="s">
        <v>293</v>
      </c>
      <c r="C125" s="9" t="s">
        <v>294</v>
      </c>
      <c r="D125" s="9" t="s">
        <v>81</v>
      </c>
      <c r="E125" s="6" t="s">
        <v>325</v>
      </c>
      <c r="F125" s="9"/>
    </row>
    <row r="126" ht="33.75" customHeight="1">
      <c r="A126" s="7">
        <v>5.0</v>
      </c>
      <c r="B126" s="9" t="s">
        <v>293</v>
      </c>
      <c r="C126" s="9" t="s">
        <v>294</v>
      </c>
      <c r="D126" s="9" t="s">
        <v>84</v>
      </c>
      <c r="E126" s="6" t="s">
        <v>325</v>
      </c>
      <c r="F126" s="9"/>
    </row>
    <row r="127" ht="33.75" customHeight="1">
      <c r="A127" s="7">
        <v>5.0</v>
      </c>
      <c r="B127" s="9" t="s">
        <v>293</v>
      </c>
      <c r="C127" s="9" t="s">
        <v>294</v>
      </c>
      <c r="D127" s="9" t="s">
        <v>87</v>
      </c>
      <c r="E127" s="6" t="s">
        <v>325</v>
      </c>
      <c r="F127" s="9"/>
    </row>
    <row r="128" ht="33.75" customHeight="1">
      <c r="A128" s="7">
        <v>5.0</v>
      </c>
      <c r="B128" s="9" t="s">
        <v>293</v>
      </c>
      <c r="C128" s="9" t="s">
        <v>294</v>
      </c>
      <c r="D128" s="9" t="s">
        <v>89</v>
      </c>
      <c r="E128" s="6" t="s">
        <v>303</v>
      </c>
      <c r="F128" s="9"/>
    </row>
    <row r="129" ht="33.75" customHeight="1">
      <c r="A129" s="7">
        <v>5.0</v>
      </c>
      <c r="B129" s="9" t="s">
        <v>293</v>
      </c>
      <c r="C129" s="9" t="s">
        <v>294</v>
      </c>
      <c r="D129" s="9" t="s">
        <v>91</v>
      </c>
      <c r="E129" s="11" t="s">
        <v>330</v>
      </c>
      <c r="F129" s="9"/>
    </row>
    <row r="130" ht="33.75" customHeight="1">
      <c r="A130" s="7">
        <v>5.0</v>
      </c>
      <c r="B130" s="9" t="s">
        <v>293</v>
      </c>
      <c r="C130" s="9" t="s">
        <v>294</v>
      </c>
      <c r="D130" s="9" t="s">
        <v>93</v>
      </c>
      <c r="E130" s="6" t="s">
        <v>333</v>
      </c>
      <c r="F130" s="9"/>
    </row>
    <row r="131" ht="33.75" customHeight="1">
      <c r="A131" s="7">
        <v>5.0</v>
      </c>
      <c r="B131" s="9" t="s">
        <v>293</v>
      </c>
      <c r="C131" s="9" t="s">
        <v>294</v>
      </c>
      <c r="D131" s="9" t="s">
        <v>95</v>
      </c>
      <c r="E131" s="6" t="s">
        <v>333</v>
      </c>
      <c r="F131" s="9"/>
    </row>
    <row r="132" ht="33.75" customHeight="1">
      <c r="A132" s="7">
        <v>5.0</v>
      </c>
      <c r="B132" s="9" t="s">
        <v>293</v>
      </c>
      <c r="C132" s="9" t="s">
        <v>294</v>
      </c>
      <c r="D132" s="9" t="s">
        <v>98</v>
      </c>
      <c r="E132" s="6" t="s">
        <v>333</v>
      </c>
      <c r="F132" s="9"/>
    </row>
    <row r="133" ht="33.75" customHeight="1">
      <c r="A133" s="7">
        <v>5.0</v>
      </c>
      <c r="B133" s="9" t="s">
        <v>293</v>
      </c>
      <c r="C133" s="9" t="s">
        <v>294</v>
      </c>
      <c r="D133" s="9" t="s">
        <v>99</v>
      </c>
      <c r="E133" s="6" t="s">
        <v>333</v>
      </c>
      <c r="F133" s="9"/>
    </row>
    <row r="134" ht="33.75" customHeight="1">
      <c r="A134" s="7">
        <v>5.0</v>
      </c>
      <c r="B134" s="9" t="s">
        <v>293</v>
      </c>
      <c r="C134" s="9" t="s">
        <v>294</v>
      </c>
      <c r="D134" s="9" t="s">
        <v>101</v>
      </c>
      <c r="E134" s="11" t="s">
        <v>320</v>
      </c>
      <c r="F134" s="9"/>
    </row>
    <row r="135" ht="33.75" customHeight="1">
      <c r="A135" s="7">
        <v>5.0</v>
      </c>
      <c r="B135" s="9" t="s">
        <v>293</v>
      </c>
      <c r="C135" s="9" t="s">
        <v>294</v>
      </c>
      <c r="D135" s="9" t="s">
        <v>105</v>
      </c>
      <c r="E135" s="6" t="s">
        <v>323</v>
      </c>
      <c r="F135" s="9"/>
    </row>
    <row r="136" ht="33.75" customHeight="1">
      <c r="A136" s="7">
        <v>5.0</v>
      </c>
      <c r="B136" s="9" t="s">
        <v>293</v>
      </c>
      <c r="C136" s="9" t="s">
        <v>294</v>
      </c>
      <c r="D136" s="9" t="s">
        <v>107</v>
      </c>
      <c r="E136" s="11" t="s">
        <v>341</v>
      </c>
      <c r="F136" s="9"/>
    </row>
    <row r="137" ht="33.75" customHeight="1">
      <c r="A137" s="7">
        <v>5.0</v>
      </c>
      <c r="B137" s="9" t="s">
        <v>293</v>
      </c>
      <c r="C137" s="9" t="s">
        <v>294</v>
      </c>
      <c r="D137" s="9" t="s">
        <v>109</v>
      </c>
      <c r="E137" s="11" t="s">
        <v>341</v>
      </c>
      <c r="F137" s="9"/>
    </row>
    <row r="138" ht="33.75" customHeight="1">
      <c r="A138" s="7">
        <v>5.0</v>
      </c>
      <c r="B138" s="9" t="s">
        <v>293</v>
      </c>
      <c r="C138" s="9" t="s">
        <v>294</v>
      </c>
      <c r="D138" s="9" t="s">
        <v>111</v>
      </c>
      <c r="E138" s="6" t="s">
        <v>344</v>
      </c>
      <c r="F138" s="9"/>
    </row>
    <row r="139" ht="33.75" customHeight="1">
      <c r="A139" s="7">
        <v>5.0</v>
      </c>
      <c r="B139" s="9" t="s">
        <v>293</v>
      </c>
      <c r="C139" s="9" t="s">
        <v>294</v>
      </c>
      <c r="D139" s="9" t="s">
        <v>113</v>
      </c>
      <c r="E139" s="6" t="s">
        <v>344</v>
      </c>
      <c r="F139" s="9"/>
    </row>
    <row r="140" ht="33.75" customHeight="1">
      <c r="A140" s="7">
        <v>5.0</v>
      </c>
      <c r="B140" s="9" t="s">
        <v>293</v>
      </c>
      <c r="C140" s="9" t="s">
        <v>294</v>
      </c>
      <c r="D140" s="9" t="s">
        <v>114</v>
      </c>
      <c r="E140" s="11" t="s">
        <v>330</v>
      </c>
      <c r="F140" s="9"/>
    </row>
    <row r="141" ht="33.75" customHeight="1">
      <c r="A141" s="7">
        <v>5.0</v>
      </c>
      <c r="B141" s="9" t="s">
        <v>293</v>
      </c>
      <c r="C141" s="9" t="s">
        <v>294</v>
      </c>
      <c r="D141" s="9" t="s">
        <v>117</v>
      </c>
      <c r="E141" s="11" t="s">
        <v>309</v>
      </c>
      <c r="F141" s="9"/>
    </row>
    <row r="142" ht="33.75" customHeight="1">
      <c r="A142" s="7">
        <v>6.0</v>
      </c>
      <c r="B142" s="9" t="s">
        <v>348</v>
      </c>
      <c r="C142" s="9" t="s">
        <v>294</v>
      </c>
      <c r="D142" s="9" t="s">
        <v>24</v>
      </c>
      <c r="E142" s="6" t="s">
        <v>350</v>
      </c>
      <c r="F142" s="12" t="s">
        <v>351</v>
      </c>
    </row>
    <row r="143" ht="33.75" customHeight="1">
      <c r="A143" s="7">
        <v>6.0</v>
      </c>
      <c r="B143" s="9" t="s">
        <v>348</v>
      </c>
      <c r="C143" s="9" t="s">
        <v>294</v>
      </c>
      <c r="D143" s="9" t="s">
        <v>35</v>
      </c>
      <c r="E143" s="6" t="s">
        <v>350</v>
      </c>
      <c r="F143" s="9"/>
    </row>
    <row r="144" ht="33.75" customHeight="1">
      <c r="A144" s="7">
        <v>6.0</v>
      </c>
      <c r="B144" s="9" t="s">
        <v>348</v>
      </c>
      <c r="C144" s="9" t="s">
        <v>294</v>
      </c>
      <c r="D144" s="9" t="s">
        <v>42</v>
      </c>
      <c r="E144" s="6" t="s">
        <v>353</v>
      </c>
      <c r="F144" s="9"/>
    </row>
    <row r="145" ht="33.75" customHeight="1">
      <c r="A145" s="7">
        <v>6.0</v>
      </c>
      <c r="B145" s="9" t="s">
        <v>348</v>
      </c>
      <c r="C145" s="9" t="s">
        <v>294</v>
      </c>
      <c r="D145" s="9" t="s">
        <v>52</v>
      </c>
      <c r="E145" s="6" t="s">
        <v>356</v>
      </c>
      <c r="F145" s="9"/>
    </row>
    <row r="146" ht="33.75" customHeight="1">
      <c r="A146" s="7">
        <v>6.0</v>
      </c>
      <c r="B146" s="9" t="s">
        <v>348</v>
      </c>
      <c r="C146" s="9" t="s">
        <v>294</v>
      </c>
      <c r="D146" s="9" t="s">
        <v>59</v>
      </c>
      <c r="E146" s="6" t="s">
        <v>358</v>
      </c>
      <c r="F146" s="9"/>
    </row>
    <row r="147" ht="33.75" customHeight="1">
      <c r="A147" s="7">
        <v>6.0</v>
      </c>
      <c r="B147" s="9" t="s">
        <v>348</v>
      </c>
      <c r="C147" s="9" t="s">
        <v>294</v>
      </c>
      <c r="D147" s="9" t="s">
        <v>64</v>
      </c>
      <c r="E147" s="6" t="s">
        <v>359</v>
      </c>
      <c r="F147" s="9"/>
    </row>
    <row r="148" ht="33.75" customHeight="1">
      <c r="A148" s="7">
        <v>6.0</v>
      </c>
      <c r="B148" s="9" t="s">
        <v>348</v>
      </c>
      <c r="C148" s="9" t="s">
        <v>294</v>
      </c>
      <c r="D148" s="9" t="s">
        <v>67</v>
      </c>
      <c r="E148" s="6" t="s">
        <v>361</v>
      </c>
      <c r="F148" s="9"/>
    </row>
    <row r="149" ht="33.75" customHeight="1">
      <c r="A149" s="7">
        <v>6.0</v>
      </c>
      <c r="B149" s="9" t="s">
        <v>348</v>
      </c>
      <c r="C149" s="9" t="s">
        <v>294</v>
      </c>
      <c r="D149" s="9" t="s">
        <v>71</v>
      </c>
      <c r="E149" s="6" t="s">
        <v>361</v>
      </c>
      <c r="F149" s="9"/>
    </row>
    <row r="150" ht="33.75" customHeight="1">
      <c r="A150" s="7">
        <v>6.0</v>
      </c>
      <c r="B150" s="9" t="s">
        <v>348</v>
      </c>
      <c r="C150" s="9" t="s">
        <v>294</v>
      </c>
      <c r="D150" s="9" t="s">
        <v>73</v>
      </c>
      <c r="E150" s="6" t="s">
        <v>366</v>
      </c>
      <c r="F150" s="9"/>
    </row>
    <row r="151" ht="33.75" customHeight="1">
      <c r="A151" s="7">
        <v>6.0</v>
      </c>
      <c r="B151" s="9" t="s">
        <v>348</v>
      </c>
      <c r="C151" s="9" t="s">
        <v>294</v>
      </c>
      <c r="D151" s="9" t="s">
        <v>75</v>
      </c>
      <c r="E151" s="11" t="s">
        <v>368</v>
      </c>
      <c r="F151" s="9"/>
    </row>
    <row r="152" ht="33.75" customHeight="1">
      <c r="A152" s="7">
        <v>6.0</v>
      </c>
      <c r="B152" s="9" t="s">
        <v>348</v>
      </c>
      <c r="C152" s="9" t="s">
        <v>294</v>
      </c>
      <c r="D152" s="9" t="s">
        <v>79</v>
      </c>
      <c r="E152" s="6" t="s">
        <v>369</v>
      </c>
      <c r="F152" s="9"/>
    </row>
    <row r="153" ht="33.75" customHeight="1">
      <c r="A153" s="7">
        <v>6.0</v>
      </c>
      <c r="B153" s="9" t="s">
        <v>348</v>
      </c>
      <c r="C153" s="9" t="s">
        <v>294</v>
      </c>
      <c r="D153" s="9" t="s">
        <v>81</v>
      </c>
      <c r="E153" s="6" t="s">
        <v>372</v>
      </c>
      <c r="F153" s="9"/>
    </row>
    <row r="154" ht="33.75" customHeight="1">
      <c r="A154" s="7">
        <v>6.0</v>
      </c>
      <c r="B154" s="9" t="s">
        <v>348</v>
      </c>
      <c r="C154" s="9" t="s">
        <v>294</v>
      </c>
      <c r="D154" s="9" t="s">
        <v>84</v>
      </c>
      <c r="E154" s="6" t="s">
        <v>372</v>
      </c>
      <c r="F154" s="9"/>
    </row>
    <row r="155" ht="33.75" customHeight="1">
      <c r="A155" s="7">
        <v>6.0</v>
      </c>
      <c r="B155" s="9" t="s">
        <v>348</v>
      </c>
      <c r="C155" s="9" t="s">
        <v>294</v>
      </c>
      <c r="D155" s="9" t="s">
        <v>87</v>
      </c>
      <c r="E155" s="6" t="s">
        <v>372</v>
      </c>
      <c r="F155" s="9"/>
    </row>
    <row r="156" ht="33.75" customHeight="1">
      <c r="A156" s="7">
        <v>6.0</v>
      </c>
      <c r="B156" s="9" t="s">
        <v>348</v>
      </c>
      <c r="C156" s="9" t="s">
        <v>294</v>
      </c>
      <c r="D156" s="9" t="s">
        <v>89</v>
      </c>
      <c r="E156" s="6" t="s">
        <v>356</v>
      </c>
      <c r="F156" s="9"/>
    </row>
    <row r="157" ht="33.75" customHeight="1">
      <c r="A157" s="7">
        <v>6.0</v>
      </c>
      <c r="B157" s="9" t="s">
        <v>348</v>
      </c>
      <c r="C157" s="9" t="s">
        <v>294</v>
      </c>
      <c r="D157" s="9" t="s">
        <v>91</v>
      </c>
      <c r="E157" s="6" t="s">
        <v>358</v>
      </c>
      <c r="F157" s="9"/>
    </row>
    <row r="158" ht="33.75" customHeight="1">
      <c r="A158" s="7">
        <v>6.0</v>
      </c>
      <c r="B158" s="9" t="s">
        <v>348</v>
      </c>
      <c r="C158" s="9" t="s">
        <v>294</v>
      </c>
      <c r="D158" s="9" t="s">
        <v>93</v>
      </c>
      <c r="E158" s="6" t="s">
        <v>379</v>
      </c>
      <c r="F158" s="9"/>
    </row>
    <row r="159" ht="33.75" customHeight="1">
      <c r="A159" s="7">
        <v>6.0</v>
      </c>
      <c r="B159" s="9" t="s">
        <v>348</v>
      </c>
      <c r="C159" s="9" t="s">
        <v>294</v>
      </c>
      <c r="D159" s="9" t="s">
        <v>95</v>
      </c>
      <c r="E159" s="6" t="s">
        <v>379</v>
      </c>
      <c r="F159" s="9"/>
    </row>
    <row r="160" ht="33.75" customHeight="1">
      <c r="A160" s="7">
        <v>6.0</v>
      </c>
      <c r="B160" s="9" t="s">
        <v>348</v>
      </c>
      <c r="C160" s="9" t="s">
        <v>294</v>
      </c>
      <c r="D160" s="9" t="s">
        <v>98</v>
      </c>
      <c r="E160" s="6" t="s">
        <v>379</v>
      </c>
      <c r="F160" s="9"/>
    </row>
    <row r="161" ht="33.75" customHeight="1">
      <c r="A161" s="7">
        <v>6.0</v>
      </c>
      <c r="B161" s="9" t="s">
        <v>348</v>
      </c>
      <c r="C161" s="9" t="s">
        <v>294</v>
      </c>
      <c r="D161" s="9" t="s">
        <v>99</v>
      </c>
      <c r="E161" s="6" t="s">
        <v>379</v>
      </c>
      <c r="F161" s="9"/>
    </row>
    <row r="162" ht="33.75" customHeight="1">
      <c r="A162" s="7">
        <v>6.0</v>
      </c>
      <c r="B162" s="9" t="s">
        <v>348</v>
      </c>
      <c r="C162" s="9" t="s">
        <v>294</v>
      </c>
      <c r="D162" s="9" t="s">
        <v>101</v>
      </c>
      <c r="E162" s="6" t="s">
        <v>393</v>
      </c>
      <c r="F162" s="9"/>
    </row>
    <row r="163" ht="33.75" customHeight="1">
      <c r="A163" s="7">
        <v>6.0</v>
      </c>
      <c r="B163" s="9" t="s">
        <v>348</v>
      </c>
      <c r="C163" s="9" t="s">
        <v>294</v>
      </c>
      <c r="D163" s="9" t="s">
        <v>105</v>
      </c>
      <c r="E163" s="11" t="s">
        <v>395</v>
      </c>
      <c r="F163" s="9"/>
    </row>
    <row r="164" ht="33.75" customHeight="1">
      <c r="A164" s="7">
        <v>6.0</v>
      </c>
      <c r="B164" s="9" t="s">
        <v>348</v>
      </c>
      <c r="C164" s="9" t="s">
        <v>294</v>
      </c>
      <c r="D164" s="9" t="s">
        <v>107</v>
      </c>
      <c r="E164" s="6" t="s">
        <v>397</v>
      </c>
      <c r="F164" s="9"/>
    </row>
    <row r="165" ht="33.75" customHeight="1">
      <c r="A165" s="7">
        <v>6.0</v>
      </c>
      <c r="B165" s="9" t="s">
        <v>348</v>
      </c>
      <c r="C165" s="9" t="s">
        <v>294</v>
      </c>
      <c r="D165" s="9" t="s">
        <v>109</v>
      </c>
      <c r="E165" s="6" t="s">
        <v>397</v>
      </c>
      <c r="F165" s="9"/>
    </row>
    <row r="166" ht="33.75" customHeight="1">
      <c r="A166" s="7">
        <v>6.0</v>
      </c>
      <c r="B166" s="9" t="s">
        <v>348</v>
      </c>
      <c r="C166" s="9" t="s">
        <v>294</v>
      </c>
      <c r="D166" s="9" t="s">
        <v>111</v>
      </c>
      <c r="E166" s="11" t="s">
        <v>401</v>
      </c>
      <c r="F166" s="9"/>
    </row>
    <row r="167" ht="33.75" customHeight="1">
      <c r="A167" s="7">
        <v>6.0</v>
      </c>
      <c r="B167" s="9" t="s">
        <v>348</v>
      </c>
      <c r="C167" s="9" t="s">
        <v>294</v>
      </c>
      <c r="D167" s="9" t="s">
        <v>113</v>
      </c>
      <c r="E167" s="11" t="s">
        <v>401</v>
      </c>
      <c r="F167" s="9"/>
    </row>
    <row r="168" ht="33.75" customHeight="1">
      <c r="A168" s="7">
        <v>6.0</v>
      </c>
      <c r="B168" s="9" t="s">
        <v>348</v>
      </c>
      <c r="C168" s="9" t="s">
        <v>294</v>
      </c>
      <c r="D168" s="9" t="s">
        <v>114</v>
      </c>
      <c r="E168" s="6" t="s">
        <v>369</v>
      </c>
      <c r="F168" s="9"/>
    </row>
    <row r="169" ht="33.75" customHeight="1">
      <c r="A169" s="7">
        <v>6.0</v>
      </c>
      <c r="B169" s="9" t="s">
        <v>348</v>
      </c>
      <c r="C169" s="9" t="s">
        <v>294</v>
      </c>
      <c r="D169" s="9" t="s">
        <v>117</v>
      </c>
      <c r="E169" s="11" t="s">
        <v>395</v>
      </c>
      <c r="F169" s="9"/>
    </row>
    <row r="170" ht="33.75" customHeight="1">
      <c r="A170" s="7">
        <v>7.0</v>
      </c>
      <c r="B170" s="9" t="s">
        <v>408</v>
      </c>
      <c r="C170" s="9" t="s">
        <v>409</v>
      </c>
      <c r="D170" s="9" t="s">
        <v>24</v>
      </c>
      <c r="E170" s="6" t="s">
        <v>410</v>
      </c>
      <c r="F170" t="inlineStr" s="10">
        <is>
          <t xml:space="preserve">Syntymän jälkeen Squirtlen selkä turpoaa ja kovettuu kuoreksi. Se suihkuttaa voimakkaasti vaahtoa suustaan. Ampuu saalistaan ​​vedellä ollessaan vedessä. Vetäytyy kuoreensa vaaran uhatessa. Kuori on pehmeä syntyessään. Siitä tulee pian niin kimmoisa, että tökkivät sormet pomppivat siitä. Kuori, joka kovettuu pian syntymän jälkeen, on joustava. Jos sitä tökkää, se ponnahtaa takaisin ulos. Tuntiessaan olonsa uhatuksi se vetää jalkansa kuorensa sisään ja suihkuttaa vettä suustaan. SQUIRTLEN kuori ei ole tarkoitettu pelkästään suojaksi. Kuoren pyöreä muoto ja pinnan urat auttavat minimoimaan veden vastusta, minkä ansiosta tämä POKéMON voi uida suurilla nopeuksilla. Sen kuori ei ole tarkoitettu vain suojaamaan. Sen pyöristetty muoto ja pinnan urat minimoivat veden vastuksen, minkä ansiosta SQUIRTLE voi uida suurilla nopeuksilla. Kun se vetää pitkän kaulansa kuoreensa, se ruiskuttaa vettä ulos voimakkaasti. Se suojaa itseään kuoreensa ja iskee sitten takaisin vesipurskeilla joka tilaisuudessa. Tuntiessaan olonsa uhatuksi se vetää raajansa kuorensa sisään ja suihkuttaa vettä suustaan.</t>
        </is>
      </c>
    </row>
    <row r="171" ht="33.75" customHeight="1">
      <c r="A171" s="7">
        <v>7.0</v>
      </c>
      <c r="B171" s="9" t="s">
        <v>408</v>
      </c>
      <c r="C171" s="9" t="s">
        <v>409</v>
      </c>
      <c r="D171" s="9" t="s">
        <v>35</v>
      </c>
      <c r="E171" s="6" t="s">
        <v>410</v>
      </c>
      <c r="F171" s="9"/>
    </row>
    <row r="172" ht="33.75" customHeight="1">
      <c r="A172" s="7">
        <v>7.0</v>
      </c>
      <c r="B172" s="9" t="s">
        <v>408</v>
      </c>
      <c r="C172" s="9" t="s">
        <v>409</v>
      </c>
      <c r="D172" s="9" t="s">
        <v>42</v>
      </c>
      <c r="E172" s="6" t="s">
        <v>413</v>
      </c>
      <c r="F172" s="9"/>
    </row>
    <row r="173" ht="33.75" customHeight="1">
      <c r="A173" s="7">
        <v>7.0</v>
      </c>
      <c r="B173" s="9" t="s">
        <v>408</v>
      </c>
      <c r="C173" s="9" t="s">
        <v>409</v>
      </c>
      <c r="D173" s="9" t="s">
        <v>52</v>
      </c>
      <c r="E173" s="6" t="s">
        <v>415</v>
      </c>
      <c r="F173" s="9"/>
    </row>
    <row r="174" ht="33.75" customHeight="1">
      <c r="A174" s="7">
        <v>7.0</v>
      </c>
      <c r="B174" s="9" t="s">
        <v>408</v>
      </c>
      <c r="C174" s="9" t="s">
        <v>409</v>
      </c>
      <c r="D174" s="9" t="s">
        <v>59</v>
      </c>
      <c r="E174" s="6" t="s">
        <v>418</v>
      </c>
      <c r="F174" s="9"/>
    </row>
    <row r="175" ht="33.75" customHeight="1">
      <c r="A175" s="7">
        <v>7.0</v>
      </c>
      <c r="B175" s="9" t="s">
        <v>408</v>
      </c>
      <c r="C175" s="9" t="s">
        <v>409</v>
      </c>
      <c r="D175" s="9" t="s">
        <v>64</v>
      </c>
      <c r="E175" s="6" t="s">
        <v>420</v>
      </c>
      <c r="F175" s="9"/>
    </row>
    <row r="176" ht="33.75" customHeight="1">
      <c r="A176" s="7">
        <v>7.0</v>
      </c>
      <c r="B176" s="9" t="s">
        <v>408</v>
      </c>
      <c r="C176" s="9" t="s">
        <v>409</v>
      </c>
      <c r="D176" s="9" t="s">
        <v>67</v>
      </c>
      <c r="E176" s="6" t="s">
        <v>422</v>
      </c>
      <c r="F176" s="9"/>
    </row>
    <row r="177" ht="33.75" customHeight="1">
      <c r="A177" s="7">
        <v>7.0</v>
      </c>
      <c r="B177" s="9" t="s">
        <v>408</v>
      </c>
      <c r="C177" s="9" t="s">
        <v>409</v>
      </c>
      <c r="D177" s="9" t="s">
        <v>71</v>
      </c>
      <c r="E177" s="6" t="s">
        <v>422</v>
      </c>
      <c r="F177" s="9"/>
    </row>
    <row r="178" ht="33.75" customHeight="1">
      <c r="A178" s="7">
        <v>7.0</v>
      </c>
      <c r="B178" s="9" t="s">
        <v>408</v>
      </c>
      <c r="C178" s="9" t="s">
        <v>409</v>
      </c>
      <c r="D178" s="9" t="s">
        <v>73</v>
      </c>
      <c r="E178" s="6" t="s">
        <v>427</v>
      </c>
      <c r="F178" s="9"/>
    </row>
    <row r="179" ht="33.75" customHeight="1">
      <c r="A179" s="7">
        <v>7.0</v>
      </c>
      <c r="B179" s="9" t="s">
        <v>408</v>
      </c>
      <c r="C179" s="9" t="s">
        <v>409</v>
      </c>
      <c r="D179" s="9" t="s">
        <v>75</v>
      </c>
      <c r="E179" s="6" t="s">
        <v>429</v>
      </c>
      <c r="F179" s="9"/>
    </row>
    <row r="180" ht="33.75" customHeight="1">
      <c r="A180" s="7">
        <v>7.0</v>
      </c>
      <c r="B180" s="9" t="s">
        <v>408</v>
      </c>
      <c r="C180" s="9" t="s">
        <v>409</v>
      </c>
      <c r="D180" s="9" t="s">
        <v>79</v>
      </c>
      <c r="E180" s="6" t="s">
        <v>410</v>
      </c>
      <c r="F180" s="9"/>
    </row>
    <row r="181" ht="33.75" customHeight="1">
      <c r="A181" s="7">
        <v>7.0</v>
      </c>
      <c r="B181" s="9" t="s">
        <v>408</v>
      </c>
      <c r="C181" s="9" t="s">
        <v>409</v>
      </c>
      <c r="D181" s="9" t="s">
        <v>81</v>
      </c>
      <c r="E181" s="6" t="s">
        <v>432</v>
      </c>
      <c r="F181" s="9"/>
    </row>
    <row r="182" ht="33.75" customHeight="1">
      <c r="A182" s="7">
        <v>7.0</v>
      </c>
      <c r="B182" s="9" t="s">
        <v>408</v>
      </c>
      <c r="C182" s="9" t="s">
        <v>409</v>
      </c>
      <c r="D182" s="9" t="s">
        <v>84</v>
      </c>
      <c r="E182" s="6" t="s">
        <v>432</v>
      </c>
      <c r="F182" s="9"/>
    </row>
    <row r="183" ht="33.75" customHeight="1">
      <c r="A183" s="7">
        <v>7.0</v>
      </c>
      <c r="B183" s="9" t="s">
        <v>408</v>
      </c>
      <c r="C183" s="9" t="s">
        <v>409</v>
      </c>
      <c r="D183" s="9" t="s">
        <v>87</v>
      </c>
      <c r="E183" s="6" t="s">
        <v>432</v>
      </c>
      <c r="F183" s="9"/>
    </row>
    <row r="184" ht="33.75" customHeight="1">
      <c r="A184" s="7">
        <v>7.0</v>
      </c>
      <c r="B184" s="9" t="s">
        <v>408</v>
      </c>
      <c r="C184" s="9" t="s">
        <v>409</v>
      </c>
      <c r="D184" s="9" t="s">
        <v>89</v>
      </c>
      <c r="E184" s="6" t="s">
        <v>415</v>
      </c>
      <c r="F184" s="9"/>
    </row>
    <row r="185" ht="33.75" customHeight="1">
      <c r="A185" s="7">
        <v>7.0</v>
      </c>
      <c r="B185" s="9" t="s">
        <v>408</v>
      </c>
      <c r="C185" s="9" t="s">
        <v>409</v>
      </c>
      <c r="D185" s="9" t="s">
        <v>91</v>
      </c>
      <c r="E185" s="6" t="s">
        <v>418</v>
      </c>
      <c r="F185" s="9"/>
    </row>
    <row r="186" ht="33.75" customHeight="1">
      <c r="A186" s="7">
        <v>7.0</v>
      </c>
      <c r="B186" s="9" t="s">
        <v>408</v>
      </c>
      <c r="C186" s="9" t="s">
        <v>409</v>
      </c>
      <c r="D186" s="9" t="s">
        <v>93</v>
      </c>
      <c r="E186" s="6" t="s">
        <v>432</v>
      </c>
      <c r="F186" s="9"/>
    </row>
    <row r="187" ht="33.75" customHeight="1">
      <c r="A187" s="7">
        <v>7.0</v>
      </c>
      <c r="B187" s="9" t="s">
        <v>408</v>
      </c>
      <c r="C187" s="9" t="s">
        <v>409</v>
      </c>
      <c r="D187" s="9" t="s">
        <v>95</v>
      </c>
      <c r="E187" s="6" t="s">
        <v>432</v>
      </c>
      <c r="F187" s="9"/>
    </row>
    <row r="188" ht="33.75" customHeight="1">
      <c r="A188" s="7">
        <v>7.0</v>
      </c>
      <c r="B188" s="9" t="s">
        <v>408</v>
      </c>
      <c r="C188" s="9" t="s">
        <v>409</v>
      </c>
      <c r="D188" s="9" t="s">
        <v>98</v>
      </c>
      <c r="E188" s="6" t="s">
        <v>432</v>
      </c>
      <c r="F188" s="9"/>
    </row>
    <row r="189" ht="33.75" customHeight="1">
      <c r="A189" s="7">
        <v>7.0</v>
      </c>
      <c r="B189" s="9" t="s">
        <v>408</v>
      </c>
      <c r="C189" s="9" t="s">
        <v>409</v>
      </c>
      <c r="D189" s="9" t="s">
        <v>99</v>
      </c>
      <c r="E189" s="6" t="s">
        <v>432</v>
      </c>
      <c r="F189" s="9"/>
    </row>
    <row r="190" ht="33.75" customHeight="1">
      <c r="A190" s="7">
        <v>7.0</v>
      </c>
      <c r="B190" s="9" t="s">
        <v>408</v>
      </c>
      <c r="C190" s="9" t="s">
        <v>409</v>
      </c>
      <c r="D190" s="9" t="s">
        <v>101</v>
      </c>
      <c r="E190" s="6" t="s">
        <v>432</v>
      </c>
      <c r="F190" s="9"/>
    </row>
    <row r="191" ht="33.75" customHeight="1">
      <c r="A191" s="7">
        <v>7.0</v>
      </c>
      <c r="B191" s="9" t="s">
        <v>408</v>
      </c>
      <c r="C191" s="9" t="s">
        <v>409</v>
      </c>
      <c r="D191" s="9" t="s">
        <v>105</v>
      </c>
      <c r="E191" s="6" t="s">
        <v>413</v>
      </c>
      <c r="F191" s="9"/>
    </row>
    <row r="192" ht="33.75" customHeight="1">
      <c r="A192" s="7">
        <v>7.0</v>
      </c>
      <c r="B192" s="9" t="s">
        <v>408</v>
      </c>
      <c r="C192" s="9" t="s">
        <v>409</v>
      </c>
      <c r="D192" s="9" t="s">
        <v>107</v>
      </c>
      <c r="E192" s="6" t="s">
        <v>449</v>
      </c>
      <c r="F192" s="9"/>
    </row>
    <row r="193" ht="33.75" customHeight="1">
      <c r="A193" s="7">
        <v>7.0</v>
      </c>
      <c r="B193" s="9" t="s">
        <v>408</v>
      </c>
      <c r="C193" s="9" t="s">
        <v>409</v>
      </c>
      <c r="D193" s="9" t="s">
        <v>109</v>
      </c>
      <c r="E193" s="6" t="s">
        <v>449</v>
      </c>
      <c r="F193" s="9"/>
    </row>
    <row r="194" ht="33.75" customHeight="1">
      <c r="A194" s="7">
        <v>7.0</v>
      </c>
      <c r="B194" s="9" t="s">
        <v>408</v>
      </c>
      <c r="C194" s="9" t="s">
        <v>409</v>
      </c>
      <c r="D194" s="9" t="s">
        <v>111</v>
      </c>
      <c r="E194" s="6" t="s">
        <v>413</v>
      </c>
      <c r="F194" s="9"/>
    </row>
    <row r="195" ht="33.75" customHeight="1">
      <c r="A195" s="7">
        <v>7.0</v>
      </c>
      <c r="B195" s="9" t="s">
        <v>408</v>
      </c>
      <c r="C195" s="9" t="s">
        <v>409</v>
      </c>
      <c r="D195" s="9" t="s">
        <v>113</v>
      </c>
      <c r="E195" s="6" t="s">
        <v>413</v>
      </c>
      <c r="F195" s="9"/>
    </row>
    <row r="196" ht="33.75" customHeight="1">
      <c r="A196" s="7">
        <v>7.0</v>
      </c>
      <c r="B196" s="9" t="s">
        <v>408</v>
      </c>
      <c r="C196" s="9" t="s">
        <v>409</v>
      </c>
      <c r="D196" s="9" t="s">
        <v>114</v>
      </c>
      <c r="E196" s="6" t="s">
        <v>429</v>
      </c>
      <c r="F196" s="9"/>
    </row>
    <row r="197" ht="33.75" customHeight="1">
      <c r="A197" s="7">
        <v>7.0</v>
      </c>
      <c r="B197" s="9" t="s">
        <v>408</v>
      </c>
      <c r="C197" s="9" t="s">
        <v>409</v>
      </c>
      <c r="D197" s="9" t="s">
        <v>117</v>
      </c>
      <c r="E197" s="6" t="s">
        <v>460</v>
      </c>
      <c r="F197" s="9"/>
    </row>
    <row r="198" ht="33.75" customHeight="1">
      <c r="A198" s="7">
        <v>8.0</v>
      </c>
      <c r="B198" s="9" t="s">
        <v>462</v>
      </c>
      <c r="C198" s="9" t="s">
        <v>463</v>
      </c>
      <c r="D198" s="9" t="s">
        <v>24</v>
      </c>
      <c r="E198" s="6" t="s">
        <v>465</v>
      </c>
      <c r="F198" t="inlineStr" s="10">
        <is>
          <t xml:space="preserve">Usein piiloutuu veteen väijyäkseen varomatonta saalista. Nopeasti uidessaan se liikuttaa korviaan tasapainon ylläpitämiseksi. Napautettaessa tämä POKéMON vetää päänsä sisään, mutta sen häntä jää silti hieman ulos. Se tunnustetaan pitkäikäisyyden symboliksi. Jos sen kuoressa on levää, kyseinen WARTORTLE on hyvin vanha. Se hallitsee taitavasti karvaisia ​​korviaan ja häntäänsä säilyttääkseen tasapainonsa uinnin aikana. Sen pitkä, karvainen häntä on pitkäikäisyyden symboli, minkä vuoksi se on varsin suosittu vanhempien ihmisten keskuudessa. Sen häntä on suuri ja peitetty rikkaalla, paksulla turkilla. Häntä muuttuu väriltään yhä syvemmäksi WARTORTLEn ikääntyessä. Sen kuoren naarmut ovat todiste tämän POKéMONin sitkeydestä taistelijana. Sen suuri häntä on peittynyt rikkaaseen, paksuun turkkiin, jonka väri syvenee iän myötä. Sen kuoren naarmut ovat todiste tämän POKéMONin sitkeydestä taistelussa. Tämä POKéMON on erittäin suosittu lemmikki. Sen karvapeitteinen häntä symboloi sen pitkäikäisyyttä. Se usein piiloutuu veteen väijyäkseen varomatonta saalista. Nopeaa uintia varten se liikuttaa korviaan tasapainon ylläpitämiseksi. Sen sanotaan elävän 10 000 vuotta. Sen karvainen häntä on suosittu pitkäikäisyyden symboli. Se on vakiintunut pitkäikäisyyden symboli. Naarmut sen kuoressa ovat todiste tämän Pokémonin sitkeydestä taistelijana. Kun sitä napautetaan päähän, tämä Pokémon vetää sen sisäänpäin, mutta sen häntä työntyy silti hieman ulos. Jos sen kuoressa on levää, kyseinen pahkasika on hyvin vanha.</t>
        </is>
      </c>
    </row>
    <row r="199" ht="33.75" customHeight="1">
      <c r="A199" s="7">
        <v>8.0</v>
      </c>
      <c r="B199" s="9" t="s">
        <v>462</v>
      </c>
      <c r="C199" s="9" t="s">
        <v>463</v>
      </c>
      <c r="D199" s="9" t="s">
        <v>35</v>
      </c>
      <c r="E199" s="6" t="s">
        <v>465</v>
      </c>
      <c r="F199" s="9"/>
    </row>
    <row r="200" ht="33.75" customHeight="1">
      <c r="A200" s="7">
        <v>8.0</v>
      </c>
      <c r="B200" s="9" t="s">
        <v>462</v>
      </c>
      <c r="C200" s="9" t="s">
        <v>463</v>
      </c>
      <c r="D200" s="9" t="s">
        <v>42</v>
      </c>
      <c r="E200" s="6" t="s">
        <v>468</v>
      </c>
      <c r="F200" s="9"/>
    </row>
    <row r="201" ht="33.75" customHeight="1">
      <c r="A201" s="7">
        <v>8.0</v>
      </c>
      <c r="B201" s="9" t="s">
        <v>462</v>
      </c>
      <c r="C201" s="9" t="s">
        <v>463</v>
      </c>
      <c r="D201" s="9" t="s">
        <v>52</v>
      </c>
      <c r="E201" s="6" t="s">
        <v>471</v>
      </c>
      <c r="F201" s="9"/>
    </row>
    <row r="202" ht="33.75" customHeight="1">
      <c r="A202" s="7">
        <v>8.0</v>
      </c>
      <c r="B202" s="9" t="s">
        <v>462</v>
      </c>
      <c r="C202" s="9" t="s">
        <v>463</v>
      </c>
      <c r="D202" s="9" t="s">
        <v>59</v>
      </c>
      <c r="E202" s="6" t="s">
        <v>473</v>
      </c>
      <c r="F202" s="9"/>
    </row>
    <row r="203" ht="33.75" customHeight="1">
      <c r="A203" s="7">
        <v>8.0</v>
      </c>
      <c r="B203" s="9" t="s">
        <v>462</v>
      </c>
      <c r="C203" s="9" t="s">
        <v>463</v>
      </c>
      <c r="D203" s="9" t="s">
        <v>64</v>
      </c>
      <c r="E203" s="6" t="s">
        <v>474</v>
      </c>
      <c r="F203" s="9"/>
    </row>
    <row r="204" ht="33.75" customHeight="1">
      <c r="A204" s="7">
        <v>8.0</v>
      </c>
      <c r="B204" s="9" t="s">
        <v>462</v>
      </c>
      <c r="C204" s="9" t="s">
        <v>463</v>
      </c>
      <c r="D204" s="9" t="s">
        <v>67</v>
      </c>
      <c r="E204" s="6" t="s">
        <v>477</v>
      </c>
      <c r="F204" s="9"/>
    </row>
    <row r="205" ht="33.75" customHeight="1">
      <c r="A205" s="7">
        <v>8.0</v>
      </c>
      <c r="B205" s="9" t="s">
        <v>462</v>
      </c>
      <c r="C205" s="9" t="s">
        <v>463</v>
      </c>
      <c r="D205" s="9" t="s">
        <v>71</v>
      </c>
      <c r="E205" s="6" t="s">
        <v>477</v>
      </c>
      <c r="F205" s="9"/>
    </row>
    <row r="206" ht="33.75" customHeight="1">
      <c r="A206" s="7">
        <v>8.0</v>
      </c>
      <c r="B206" s="9" t="s">
        <v>462</v>
      </c>
      <c r="C206" s="9" t="s">
        <v>463</v>
      </c>
      <c r="D206" s="9" t="s">
        <v>73</v>
      </c>
      <c r="E206" s="6" t="s">
        <v>481</v>
      </c>
      <c r="F206" s="9"/>
    </row>
    <row r="207" ht="33.75" customHeight="1">
      <c r="A207" s="7">
        <v>8.0</v>
      </c>
      <c r="B207" s="9" t="s">
        <v>462</v>
      </c>
      <c r="C207" s="9" t="s">
        <v>463</v>
      </c>
      <c r="D207" s="9" t="s">
        <v>75</v>
      </c>
      <c r="E207" s="6" t="s">
        <v>484</v>
      </c>
      <c r="F207" s="9"/>
    </row>
    <row r="208" ht="33.75" customHeight="1">
      <c r="A208" s="7">
        <v>8.0</v>
      </c>
      <c r="B208" s="9" t="s">
        <v>462</v>
      </c>
      <c r="C208" s="9" t="s">
        <v>463</v>
      </c>
      <c r="D208" s="9" t="s">
        <v>79</v>
      </c>
      <c r="E208" s="6" t="s">
        <v>486</v>
      </c>
      <c r="F208" s="9"/>
    </row>
    <row r="209" ht="33.75" customHeight="1">
      <c r="A209" s="7">
        <v>8.0</v>
      </c>
      <c r="B209" s="9" t="s">
        <v>462</v>
      </c>
      <c r="C209" s="9" t="s">
        <v>463</v>
      </c>
      <c r="D209" s="9" t="s">
        <v>81</v>
      </c>
      <c r="E209" s="6" t="s">
        <v>488</v>
      </c>
      <c r="F209" s="9"/>
    </row>
    <row r="210" ht="33.75" customHeight="1">
      <c r="A210" s="7">
        <v>8.0</v>
      </c>
      <c r="B210" s="9" t="s">
        <v>462</v>
      </c>
      <c r="C210" s="9" t="s">
        <v>463</v>
      </c>
      <c r="D210" s="9" t="s">
        <v>84</v>
      </c>
      <c r="E210" s="6" t="s">
        <v>488</v>
      </c>
      <c r="F210" s="9"/>
    </row>
    <row r="211" ht="33.75" customHeight="1">
      <c r="A211" s="7">
        <v>8.0</v>
      </c>
      <c r="B211" s="9" t="s">
        <v>462</v>
      </c>
      <c r="C211" s="9" t="s">
        <v>463</v>
      </c>
      <c r="D211" s="9" t="s">
        <v>87</v>
      </c>
      <c r="E211" s="6" t="s">
        <v>488</v>
      </c>
      <c r="F211" s="9"/>
    </row>
    <row r="212" ht="33.75" customHeight="1">
      <c r="A212" s="7">
        <v>8.0</v>
      </c>
      <c r="B212" s="9" t="s">
        <v>462</v>
      </c>
      <c r="C212" s="9" t="s">
        <v>463</v>
      </c>
      <c r="D212" s="9" t="s">
        <v>89</v>
      </c>
      <c r="E212" s="6" t="s">
        <v>492</v>
      </c>
      <c r="F212" s="9"/>
    </row>
    <row r="213" ht="33.75" customHeight="1">
      <c r="A213" s="7">
        <v>8.0</v>
      </c>
      <c r="B213" s="9" t="s">
        <v>462</v>
      </c>
      <c r="C213" s="9" t="s">
        <v>463</v>
      </c>
      <c r="D213" s="9" t="s">
        <v>91</v>
      </c>
      <c r="E213" s="6" t="s">
        <v>473</v>
      </c>
      <c r="F213" s="9"/>
    </row>
    <row r="214" ht="33.75" customHeight="1">
      <c r="A214" s="7">
        <v>8.0</v>
      </c>
      <c r="B214" s="9" t="s">
        <v>462</v>
      </c>
      <c r="C214" s="9" t="s">
        <v>463</v>
      </c>
      <c r="D214" s="9" t="s">
        <v>93</v>
      </c>
      <c r="E214" s="6" t="s">
        <v>488</v>
      </c>
      <c r="F214" s="9"/>
    </row>
    <row r="215" ht="33.75" customHeight="1">
      <c r="A215" s="7">
        <v>8.0</v>
      </c>
      <c r="B215" s="9" t="s">
        <v>462</v>
      </c>
      <c r="C215" s="9" t="s">
        <v>463</v>
      </c>
      <c r="D215" s="9" t="s">
        <v>95</v>
      </c>
      <c r="E215" s="6" t="s">
        <v>488</v>
      </c>
      <c r="F215" s="9"/>
    </row>
    <row r="216" ht="33.75" customHeight="1">
      <c r="A216" s="7">
        <v>8.0</v>
      </c>
      <c r="B216" s="9" t="s">
        <v>462</v>
      </c>
      <c r="C216" s="9" t="s">
        <v>463</v>
      </c>
      <c r="D216" s="9" t="s">
        <v>98</v>
      </c>
      <c r="E216" s="6" t="s">
        <v>488</v>
      </c>
      <c r="F216" s="9"/>
    </row>
    <row r="217" ht="33.75" customHeight="1">
      <c r="A217" s="7">
        <v>8.0</v>
      </c>
      <c r="B217" s="9" t="s">
        <v>462</v>
      </c>
      <c r="C217" s="9" t="s">
        <v>463</v>
      </c>
      <c r="D217" s="9" t="s">
        <v>99</v>
      </c>
      <c r="E217" s="6" t="s">
        <v>488</v>
      </c>
      <c r="F217" s="9"/>
    </row>
    <row r="218" ht="33.75" customHeight="1">
      <c r="A218" s="7">
        <v>8.0</v>
      </c>
      <c r="B218" s="9" t="s">
        <v>462</v>
      </c>
      <c r="C218" s="9" t="s">
        <v>463</v>
      </c>
      <c r="D218" s="9" t="s">
        <v>101</v>
      </c>
      <c r="E218" s="6" t="s">
        <v>503</v>
      </c>
      <c r="F218" s="9"/>
    </row>
    <row r="219" ht="33.75" customHeight="1">
      <c r="A219" s="7">
        <v>8.0</v>
      </c>
      <c r="B219" s="9" t="s">
        <v>462</v>
      </c>
      <c r="C219" s="9" t="s">
        <v>463</v>
      </c>
      <c r="D219" s="9" t="s">
        <v>105</v>
      </c>
      <c r="E219" s="6" t="s">
        <v>488</v>
      </c>
      <c r="F219" s="9"/>
    </row>
    <row r="220" ht="33.75" customHeight="1">
      <c r="A220" s="7">
        <v>8.0</v>
      </c>
      <c r="B220" s="9" t="s">
        <v>462</v>
      </c>
      <c r="C220" s="9" t="s">
        <v>463</v>
      </c>
      <c r="D220" s="9" t="s">
        <v>107</v>
      </c>
      <c r="E220" s="6" t="s">
        <v>505</v>
      </c>
      <c r="F220" s="9"/>
    </row>
    <row r="221" ht="33.75" customHeight="1">
      <c r="A221" s="7">
        <v>8.0</v>
      </c>
      <c r="B221" s="9" t="s">
        <v>462</v>
      </c>
      <c r="C221" s="9" t="s">
        <v>463</v>
      </c>
      <c r="D221" s="9" t="s">
        <v>109</v>
      </c>
      <c r="E221" s="6" t="s">
        <v>505</v>
      </c>
      <c r="F221" s="9"/>
    </row>
    <row r="222" ht="33.75" customHeight="1">
      <c r="A222" s="7">
        <v>8.0</v>
      </c>
      <c r="B222" s="9" t="s">
        <v>462</v>
      </c>
      <c r="C222" s="9" t="s">
        <v>463</v>
      </c>
      <c r="D222" s="9" t="s">
        <v>111</v>
      </c>
      <c r="E222" s="6" t="s">
        <v>510</v>
      </c>
      <c r="F222" s="9"/>
    </row>
    <row r="223" ht="33.75" customHeight="1">
      <c r="A223" s="7">
        <v>8.0</v>
      </c>
      <c r="B223" s="9" t="s">
        <v>462</v>
      </c>
      <c r="C223" s="9" t="s">
        <v>463</v>
      </c>
      <c r="D223" s="9" t="s">
        <v>113</v>
      </c>
      <c r="E223" s="6" t="s">
        <v>510</v>
      </c>
      <c r="F223" s="9"/>
    </row>
    <row r="224" ht="33.75" customHeight="1">
      <c r="A224" s="7">
        <v>8.0</v>
      </c>
      <c r="B224" s="9" t="s">
        <v>462</v>
      </c>
      <c r="C224" s="9" t="s">
        <v>463</v>
      </c>
      <c r="D224" s="9" t="s">
        <v>114</v>
      </c>
      <c r="E224" s="6" t="s">
        <v>515</v>
      </c>
      <c r="F224" s="9"/>
    </row>
    <row r="225" ht="33.75" customHeight="1">
      <c r="A225" s="7">
        <v>8.0</v>
      </c>
      <c r="B225" s="9" t="s">
        <v>462</v>
      </c>
      <c r="C225" s="9" t="s">
        <v>463</v>
      </c>
      <c r="D225" s="9" t="s">
        <v>117</v>
      </c>
      <c r="E225" s="6" t="s">
        <v>473</v>
      </c>
      <c r="F225" s="9"/>
    </row>
    <row r="226" ht="33.75" customHeight="1">
      <c r="A226" s="7">
        <v>9.0</v>
      </c>
      <c r="B226" s="9" t="s">
        <v>519</v>
      </c>
      <c r="C226" s="9" t="s">
        <v>520</v>
      </c>
      <c r="D226" s="9" t="s">
        <v>24</v>
      </c>
      <c r="E226" s="6" t="s">
        <v>522</v>
      </c>
      <c r="F226" t="inlineStr" s="10">
        <is>
          <t xml:space="preserve">Brutaali POKéMON, jonka kuoressa on paineistetut vesisuihkut. Niitä käytetään nopeisiin taklauksiin. Kun se tähtää vihollistaan, se suihkuttaa vettä ulos vielä voimakkaammin kuin paloletku. Se tekee itsestään tarkoituksella raskaan, jotta se kestää ampumiensa vesisuihkujen rekyylin. Kranaatin päällä olevat raketin tykit ampuvat vesisuihkuja, jotka kykenevät lävistämään reikiä paksuun teräkseen. Se asettaa jalkansa tukevasti maahan ennen kuin ampuu vettä selässään olevista suihkuista. BLASTOISEssa on vesisuuttimet, jotka työntyvät ulos sen kuoresta. Vesisuuttimet ovat erittäin tarkkoja. Ne voivat ampua vesiluoteja riittävällä tarkkuudella osuakseen tyhjiin tölkkeihin yli 50 metrin etäisyydeltä. Sen kuoresta työntyvät vesipatsaat ovat erittäin tarkkoja. Niiden vesikuulat voivat naulata peltipurkkeja tarkasti yli 50 metrin etäisyydeltä. Se murskaa vihollisensa raskaan ruumiinsa alle aiheuttaen pyörtymisen. Hätätilanteessa se vetäytyy kuoreensa. Tämän brutaalin POKéMONin kuoren paineistettuja vesisuihkuja käytetään nopeisiin taklauksiin. Sen kuoren rakettitykeistä suihkuavat vesisuihkut voivat lävistää paksun teräksen. Blastoisella on vesisuuttimet, jotka työntyvät ulos sen kuoresta. Ne voivat ampua vesiluoteja riittävän tarkasti osuakseen tyhjiin tölkkeihin yli 50 metrin etäisyydeltä.</t>
        </is>
      </c>
    </row>
    <row r="227" ht="33.75" customHeight="1">
      <c r="A227" s="7">
        <v>9.0</v>
      </c>
      <c r="B227" s="9" t="s">
        <v>519</v>
      </c>
      <c r="C227" s="9" t="s">
        <v>520</v>
      </c>
      <c r="D227" s="9" t="s">
        <v>35</v>
      </c>
      <c r="E227" s="6" t="s">
        <v>522</v>
      </c>
      <c r="F227" s="9"/>
    </row>
    <row r="228" ht="33.75" customHeight="1">
      <c r="A228" s="7">
        <v>9.0</v>
      </c>
      <c r="B228" s="9" t="s">
        <v>519</v>
      </c>
      <c r="C228" s="9" t="s">
        <v>520</v>
      </c>
      <c r="D228" s="9" t="s">
        <v>42</v>
      </c>
      <c r="E228" s="6" t="s">
        <v>528</v>
      </c>
      <c r="F228" s="9"/>
    </row>
    <row r="229" ht="33.75" customHeight="1">
      <c r="A229" s="7">
        <v>9.0</v>
      </c>
      <c r="B229" s="9" t="s">
        <v>519</v>
      </c>
      <c r="C229" s="9" t="s">
        <v>520</v>
      </c>
      <c r="D229" s="9" t="s">
        <v>52</v>
      </c>
      <c r="E229" s="6" t="s">
        <v>530</v>
      </c>
      <c r="F229" s="9"/>
    </row>
    <row r="230" ht="33.75" customHeight="1">
      <c r="A230" s="7">
        <v>9.0</v>
      </c>
      <c r="B230" s="9" t="s">
        <v>519</v>
      </c>
      <c r="C230" s="9" t="s">
        <v>520</v>
      </c>
      <c r="D230" s="9" t="s">
        <v>59</v>
      </c>
      <c r="E230" s="6" t="s">
        <v>534</v>
      </c>
      <c r="F230" s="9"/>
    </row>
    <row r="231" ht="33.75" customHeight="1">
      <c r="A231" s="7">
        <v>9.0</v>
      </c>
      <c r="B231" s="9" t="s">
        <v>519</v>
      </c>
      <c r="C231" s="9" t="s">
        <v>520</v>
      </c>
      <c r="D231" s="9" t="s">
        <v>64</v>
      </c>
      <c r="E231" s="6" t="s">
        <v>538</v>
      </c>
      <c r="F231" s="9"/>
    </row>
    <row r="232" ht="33.75" customHeight="1">
      <c r="A232" s="7">
        <v>9.0</v>
      </c>
      <c r="B232" s="9" t="s">
        <v>519</v>
      </c>
      <c r="C232" s="9" t="s">
        <v>520</v>
      </c>
      <c r="D232" s="9" t="s">
        <v>67</v>
      </c>
      <c r="E232" s="6" t="s">
        <v>540</v>
      </c>
      <c r="F232" s="9"/>
    </row>
    <row r="233" ht="33.75" customHeight="1">
      <c r="A233" s="7">
        <v>9.0</v>
      </c>
      <c r="B233" s="9" t="s">
        <v>519</v>
      </c>
      <c r="C233" s="9" t="s">
        <v>520</v>
      </c>
      <c r="D233" s="9" t="s">
        <v>71</v>
      </c>
      <c r="E233" s="6" t="s">
        <v>540</v>
      </c>
      <c r="F233" s="9"/>
    </row>
    <row r="234" ht="33.75" customHeight="1">
      <c r="A234" s="7">
        <v>9.0</v>
      </c>
      <c r="B234" s="9" t="s">
        <v>519</v>
      </c>
      <c r="C234" s="9" t="s">
        <v>520</v>
      </c>
      <c r="D234" s="9" t="s">
        <v>73</v>
      </c>
      <c r="E234" s="6" t="s">
        <v>544</v>
      </c>
      <c r="F234" s="9"/>
    </row>
    <row r="235" ht="33.75" customHeight="1">
      <c r="A235" s="7">
        <v>9.0</v>
      </c>
      <c r="B235" s="9" t="s">
        <v>519</v>
      </c>
      <c r="C235" s="9" t="s">
        <v>520</v>
      </c>
      <c r="D235" s="9" t="s">
        <v>75</v>
      </c>
      <c r="E235" s="6" t="s">
        <v>546</v>
      </c>
      <c r="F235" s="9"/>
    </row>
    <row r="236" ht="33.75" customHeight="1">
      <c r="A236" s="7">
        <v>9.0</v>
      </c>
      <c r="B236" s="9" t="s">
        <v>519</v>
      </c>
      <c r="C236" s="9" t="s">
        <v>520</v>
      </c>
      <c r="D236" s="9" t="s">
        <v>79</v>
      </c>
      <c r="E236" s="6" t="s">
        <v>549</v>
      </c>
      <c r="F236" s="9"/>
    </row>
    <row r="237" ht="33.75" customHeight="1">
      <c r="A237" s="7">
        <v>9.0</v>
      </c>
      <c r="B237" s="9" t="s">
        <v>519</v>
      </c>
      <c r="C237" s="9" t="s">
        <v>520</v>
      </c>
      <c r="D237" s="9" t="s">
        <v>81</v>
      </c>
      <c r="E237" s="6" t="s">
        <v>552</v>
      </c>
      <c r="F237" s="9"/>
    </row>
    <row r="238" ht="33.75" customHeight="1">
      <c r="A238" s="7">
        <v>9.0</v>
      </c>
      <c r="B238" s="9" t="s">
        <v>519</v>
      </c>
      <c r="C238" s="9" t="s">
        <v>520</v>
      </c>
      <c r="D238" s="9" t="s">
        <v>84</v>
      </c>
      <c r="E238" s="6" t="s">
        <v>552</v>
      </c>
      <c r="F238" s="9"/>
    </row>
    <row r="239" ht="33.75" customHeight="1">
      <c r="A239" s="7">
        <v>9.0</v>
      </c>
      <c r="B239" s="9" t="s">
        <v>519</v>
      </c>
      <c r="C239" s="9" t="s">
        <v>520</v>
      </c>
      <c r="D239" s="9" t="s">
        <v>87</v>
      </c>
      <c r="E239" s="6" t="s">
        <v>552</v>
      </c>
      <c r="F239" s="9"/>
    </row>
    <row r="240" ht="33.75" customHeight="1">
      <c r="A240" s="7">
        <v>9.0</v>
      </c>
      <c r="B240" s="9" t="s">
        <v>519</v>
      </c>
      <c r="C240" s="9" t="s">
        <v>520</v>
      </c>
      <c r="D240" s="9" t="s">
        <v>89</v>
      </c>
      <c r="E240" s="6" t="s">
        <v>530</v>
      </c>
      <c r="F240" s="9"/>
    </row>
    <row r="241" ht="33.75" customHeight="1">
      <c r="A241" s="7">
        <v>9.0</v>
      </c>
      <c r="B241" s="9" t="s">
        <v>519</v>
      </c>
      <c r="C241" s="9" t="s">
        <v>520</v>
      </c>
      <c r="D241" s="9" t="s">
        <v>91</v>
      </c>
      <c r="E241" s="6" t="s">
        <v>534</v>
      </c>
      <c r="F241" s="9"/>
    </row>
    <row r="242" ht="33.75" customHeight="1">
      <c r="A242" s="7">
        <v>9.0</v>
      </c>
      <c r="B242" s="9" t="s">
        <v>519</v>
      </c>
      <c r="C242" s="9" t="s">
        <v>520</v>
      </c>
      <c r="D242" s="9" t="s">
        <v>93</v>
      </c>
      <c r="E242" s="6" t="s">
        <v>552</v>
      </c>
      <c r="F242" s="9"/>
    </row>
    <row r="243" ht="33.75" customHeight="1">
      <c r="A243" s="7">
        <v>9.0</v>
      </c>
      <c r="B243" s="9" t="s">
        <v>519</v>
      </c>
      <c r="C243" s="9" t="s">
        <v>520</v>
      </c>
      <c r="D243" s="9" t="s">
        <v>95</v>
      </c>
      <c r="E243" s="6" t="s">
        <v>552</v>
      </c>
      <c r="F243" s="9"/>
    </row>
    <row r="244" ht="33.75" customHeight="1">
      <c r="A244" s="7">
        <v>9.0</v>
      </c>
      <c r="B244" s="9" t="s">
        <v>519</v>
      </c>
      <c r="C244" s="9" t="s">
        <v>520</v>
      </c>
      <c r="D244" s="9" t="s">
        <v>98</v>
      </c>
      <c r="E244" s="6" t="s">
        <v>552</v>
      </c>
      <c r="F244" s="9"/>
    </row>
    <row r="245" ht="33.75" customHeight="1">
      <c r="A245" s="7">
        <v>9.0</v>
      </c>
      <c r="B245" s="9" t="s">
        <v>519</v>
      </c>
      <c r="C245" s="9" t="s">
        <v>520</v>
      </c>
      <c r="D245" s="9" t="s">
        <v>99</v>
      </c>
      <c r="E245" s="6" t="s">
        <v>552</v>
      </c>
      <c r="F245" s="9"/>
    </row>
    <row r="246" ht="33.75" customHeight="1">
      <c r="A246" s="7">
        <v>9.0</v>
      </c>
      <c r="B246" s="9" t="s">
        <v>519</v>
      </c>
      <c r="C246" s="9" t="s">
        <v>520</v>
      </c>
      <c r="D246" s="9" t="s">
        <v>101</v>
      </c>
      <c r="E246" s="6" t="s">
        <v>546</v>
      </c>
      <c r="F246" s="9"/>
    </row>
    <row r="247" ht="33.75" customHeight="1">
      <c r="A247" s="7">
        <v>9.0</v>
      </c>
      <c r="B247" s="9" t="s">
        <v>519</v>
      </c>
      <c r="C247" s="9" t="s">
        <v>520</v>
      </c>
      <c r="D247" s="9" t="s">
        <v>105</v>
      </c>
      <c r="E247" s="6" t="s">
        <v>565</v>
      </c>
      <c r="F247" s="9"/>
    </row>
    <row r="248" ht="33.75" customHeight="1">
      <c r="A248" s="7">
        <v>9.0</v>
      </c>
      <c r="B248" s="9" t="s">
        <v>519</v>
      </c>
      <c r="C248" s="9" t="s">
        <v>520</v>
      </c>
      <c r="D248" s="9" t="s">
        <v>107</v>
      </c>
      <c r="E248" s="6" t="s">
        <v>567</v>
      </c>
      <c r="F248" s="9"/>
    </row>
    <row r="249" ht="33.75" customHeight="1">
      <c r="A249" s="7">
        <v>9.0</v>
      </c>
      <c r="B249" s="9" t="s">
        <v>519</v>
      </c>
      <c r="C249" s="9" t="s">
        <v>520</v>
      </c>
      <c r="D249" s="9" t="s">
        <v>109</v>
      </c>
      <c r="E249" s="6" t="s">
        <v>567</v>
      </c>
      <c r="F249" s="9"/>
    </row>
    <row r="250" ht="33.75" customHeight="1">
      <c r="A250" s="7">
        <v>9.0</v>
      </c>
      <c r="B250" s="9" t="s">
        <v>519</v>
      </c>
      <c r="C250" s="9" t="s">
        <v>520</v>
      </c>
      <c r="D250" s="9" t="s">
        <v>111</v>
      </c>
      <c r="E250" s="6" t="s">
        <v>528</v>
      </c>
      <c r="F250" s="9"/>
    </row>
    <row r="251" ht="33.75" customHeight="1">
      <c r="A251" s="7">
        <v>9.0</v>
      </c>
      <c r="B251" s="9" t="s">
        <v>519</v>
      </c>
      <c r="C251" s="9" t="s">
        <v>520</v>
      </c>
      <c r="D251" s="9" t="s">
        <v>113</v>
      </c>
      <c r="E251" s="6" t="s">
        <v>528</v>
      </c>
      <c r="F251" s="9"/>
    </row>
    <row r="252" ht="33.75" customHeight="1">
      <c r="A252" s="7">
        <v>9.0</v>
      </c>
      <c r="B252" s="9" t="s">
        <v>519</v>
      </c>
      <c r="C252" s="9" t="s">
        <v>520</v>
      </c>
      <c r="D252" s="9" t="s">
        <v>114</v>
      </c>
      <c r="E252" s="6" t="s">
        <v>546</v>
      </c>
      <c r="F252" s="9"/>
    </row>
    <row r="253" ht="33.75" customHeight="1">
      <c r="A253" s="7">
        <v>9.0</v>
      </c>
      <c r="B253" s="9" t="s">
        <v>519</v>
      </c>
      <c r="C253" s="9" t="s">
        <v>520</v>
      </c>
      <c r="D253" s="9" t="s">
        <v>117</v>
      </c>
      <c r="E253" s="6" t="s">
        <v>534</v>
      </c>
      <c r="F253" s="9"/>
    </row>
    <row r="254" ht="33.75" customHeight="1">
      <c r="A254" s="7">
        <v>10.0</v>
      </c>
      <c r="B254" s="9" t="s">
        <v>576</v>
      </c>
      <c r="C254" s="9" t="s">
        <v>579</v>
      </c>
      <c r="D254" s="9" t="s">
        <v>24</v>
      </c>
      <c r="E254" s="6" t="s">
        <v>580</v>
      </c>
      <c r="F254" t="inlineStr" s="10">
        <is>
          <t xml:space="preserve">Caterpien lyhyissä jaloissa on imukupit, joiden avulla se voi väsymättä kiivetä rinteitä ja seiniä pitkin. Jos kosket sen pään päällä olevaan tuntosarjaan, se vapauttaa kamalaa hajua suojatakseen itseään. Suojautuakseen se vapauttaa päässään olevasta antennista kamalaa löyhkää ajaakseen viholliset pois. Sen jaloissa on imukupit, jotka on suunniteltu tarttumaan mihin tahansa pintaan. Se kiipeää sinnikkäästi puihin etsimään ruokaa. Se ryömii lehtien sekaan, missä se naamioituu vartalonsa väristen lehtien sekaan. CATERPIELLA on kyltymätön ruokahalu. Se voi ahmia itseään suurempia lehtiä aivan silmiesi edessä. Tuntosarvistaan ​​tämä POKéMON vapauttaa hirvittävän voimakasta hajua. Sen kyltymätön ruokahalu pakottaa sen ahmimaan epäröimättä itseään suurempia lehtiä. Se päästää tuntosarvistaan ​​hirvittävän voimakasta hajua. Se on peittynyt vihreään kuoreen. Kasvaessaan se luopuu kuorestaan, peittyy silkkiin ja muuttuu koteloksi. Se päästää punaisista tuntosarvistaan ​​hajua torjuakseen vihollisia. Se kasvaa luomalla sulkasatoa toistuvasti. Suojautuakseen se päästää päässään olevista tuntosarvista kamalaa löyhkää ajaakseen viholliset pois. Toukalla on kyltymätön ruokahalu. Tuntosarvistaan ​​tämä Pokémon vapauttaa erittäin voimakasta hajua. Lintu-Pokémonien hyökkäyksen aikana se vastustaa vapauttamalla tuntosarvistaan ​​valtavan voimakasta hajua, mutta siitä tulee usein niiden saalis. Se on helppo saada kiinni ja se kasvaa nopeasti, joten se on yksi parhaista suosituksista aloitteleville Pokémon-kouluttajille. Ehkäpä siksi, että se haluaisi kasvaa nopeasti, sillä on kyltymätön ruokahalu, joka syö sata lehteä päivässä. Sen ruumis on pehmeä ja heikko. Luonnossa sen ikuinen kohtalo on, että muut näkevät sen ruokana.</t>
        </is>
      </c>
    </row>
    <row r="255" ht="33.75" customHeight="1">
      <c r="A255" s="7">
        <v>10.0</v>
      </c>
      <c r="B255" s="9" t="s">
        <v>576</v>
      </c>
      <c r="C255" s="9" t="s">
        <v>579</v>
      </c>
      <c r="D255" s="9" t="s">
        <v>35</v>
      </c>
      <c r="E255" s="6" t="s">
        <v>580</v>
      </c>
      <c r="F255" s="9"/>
    </row>
    <row r="256" ht="33.75" customHeight="1">
      <c r="A256" s="7">
        <v>10.0</v>
      </c>
      <c r="B256" s="9" t="s">
        <v>576</v>
      </c>
      <c r="C256" s="9" t="s">
        <v>579</v>
      </c>
      <c r="D256" s="9" t="s">
        <v>42</v>
      </c>
      <c r="E256" s="6" t="s">
        <v>585</v>
      </c>
      <c r="F256" s="9"/>
    </row>
    <row r="257" ht="33.75" customHeight="1">
      <c r="A257" s="7">
        <v>10.0</v>
      </c>
      <c r="B257" s="9" t="s">
        <v>576</v>
      </c>
      <c r="C257" s="9" t="s">
        <v>579</v>
      </c>
      <c r="D257" s="9" t="s">
        <v>52</v>
      </c>
      <c r="E257" s="6" t="s">
        <v>588</v>
      </c>
      <c r="F257" s="9"/>
    </row>
    <row r="258" ht="33.75" customHeight="1">
      <c r="A258" s="7">
        <v>10.0</v>
      </c>
      <c r="B258" s="9" t="s">
        <v>576</v>
      </c>
      <c r="C258" s="9" t="s">
        <v>579</v>
      </c>
      <c r="D258" s="9" t="s">
        <v>59</v>
      </c>
      <c r="E258" s="6" t="s">
        <v>591</v>
      </c>
      <c r="F258" s="9"/>
    </row>
    <row r="259" ht="33.75" customHeight="1">
      <c r="A259" s="7">
        <v>10.0</v>
      </c>
      <c r="B259" s="9" t="s">
        <v>576</v>
      </c>
      <c r="C259" s="9" t="s">
        <v>579</v>
      </c>
      <c r="D259" s="9" t="s">
        <v>64</v>
      </c>
      <c r="E259" s="6" t="s">
        <v>594</v>
      </c>
      <c r="F259" s="9"/>
    </row>
    <row r="260" ht="33.75" customHeight="1">
      <c r="A260" s="7">
        <v>10.0</v>
      </c>
      <c r="B260" s="9" t="s">
        <v>576</v>
      </c>
      <c r="C260" s="9" t="s">
        <v>579</v>
      </c>
      <c r="D260" s="9" t="s">
        <v>67</v>
      </c>
      <c r="E260" s="6" t="s">
        <v>597</v>
      </c>
      <c r="F260" s="9"/>
    </row>
    <row r="261" ht="33.75" customHeight="1">
      <c r="A261" s="7">
        <v>10.0</v>
      </c>
      <c r="B261" s="9" t="s">
        <v>576</v>
      </c>
      <c r="C261" s="9" t="s">
        <v>579</v>
      </c>
      <c r="D261" s="9" t="s">
        <v>71</v>
      </c>
      <c r="E261" s="6" t="s">
        <v>597</v>
      </c>
      <c r="F261" s="9"/>
    </row>
    <row r="262" ht="33.75" customHeight="1">
      <c r="A262" s="7">
        <v>10.0</v>
      </c>
      <c r="B262" s="9" t="s">
        <v>576</v>
      </c>
      <c r="C262" s="9" t="s">
        <v>579</v>
      </c>
      <c r="D262" s="9" t="s">
        <v>73</v>
      </c>
      <c r="E262" s="6" t="s">
        <v>603</v>
      </c>
      <c r="F262" s="9"/>
    </row>
    <row r="263" ht="33.75" customHeight="1">
      <c r="A263" s="7">
        <v>10.0</v>
      </c>
      <c r="B263" s="9" t="s">
        <v>576</v>
      </c>
      <c r="C263" s="9" t="s">
        <v>579</v>
      </c>
      <c r="D263" s="9" t="s">
        <v>75</v>
      </c>
      <c r="E263" s="6" t="s">
        <v>606</v>
      </c>
      <c r="F263" s="9"/>
    </row>
    <row r="264" ht="33.75" customHeight="1">
      <c r="A264" s="7">
        <v>10.0</v>
      </c>
      <c r="B264" s="9" t="s">
        <v>576</v>
      </c>
      <c r="C264" s="9" t="s">
        <v>579</v>
      </c>
      <c r="D264" s="9" t="s">
        <v>79</v>
      </c>
      <c r="E264" s="6" t="s">
        <v>580</v>
      </c>
      <c r="F264" s="9"/>
    </row>
    <row r="265" ht="33.75" customHeight="1">
      <c r="A265" s="7">
        <v>10.0</v>
      </c>
      <c r="B265" s="9" t="s">
        <v>576</v>
      </c>
      <c r="C265" s="9" t="s">
        <v>579</v>
      </c>
      <c r="D265" s="9" t="s">
        <v>81</v>
      </c>
      <c r="E265" s="6" t="s">
        <v>610</v>
      </c>
      <c r="F265" s="9"/>
    </row>
    <row r="266" ht="33.75" customHeight="1">
      <c r="A266" s="7">
        <v>10.0</v>
      </c>
      <c r="B266" s="9" t="s">
        <v>576</v>
      </c>
      <c r="C266" s="9" t="s">
        <v>579</v>
      </c>
      <c r="D266" s="9" t="s">
        <v>84</v>
      </c>
      <c r="E266" s="6" t="s">
        <v>610</v>
      </c>
      <c r="F266" s="9"/>
    </row>
    <row r="267" ht="33.75" customHeight="1">
      <c r="A267" s="7">
        <v>10.0</v>
      </c>
      <c r="B267" s="9" t="s">
        <v>576</v>
      </c>
      <c r="C267" s="9" t="s">
        <v>579</v>
      </c>
      <c r="D267" s="9" t="s">
        <v>87</v>
      </c>
      <c r="E267" s="6" t="s">
        <v>610</v>
      </c>
      <c r="F267" s="9"/>
    </row>
    <row r="268" ht="33.75" customHeight="1">
      <c r="A268" s="7">
        <v>10.0</v>
      </c>
      <c r="B268" s="9" t="s">
        <v>576</v>
      </c>
      <c r="C268" s="9" t="s">
        <v>579</v>
      </c>
      <c r="D268" s="9" t="s">
        <v>89</v>
      </c>
      <c r="E268" s="6" t="s">
        <v>617</v>
      </c>
      <c r="F268" s="9"/>
    </row>
    <row r="269" ht="33.75" customHeight="1">
      <c r="A269" s="7">
        <v>10.0</v>
      </c>
      <c r="B269" s="9" t="s">
        <v>576</v>
      </c>
      <c r="C269" s="9" t="s">
        <v>579</v>
      </c>
      <c r="D269" s="9" t="s">
        <v>91</v>
      </c>
      <c r="E269" s="6" t="s">
        <v>591</v>
      </c>
      <c r="F269" s="9"/>
    </row>
    <row r="270" ht="33.75" customHeight="1">
      <c r="A270" s="7">
        <v>10.0</v>
      </c>
      <c r="B270" s="9" t="s">
        <v>576</v>
      </c>
      <c r="C270" s="9" t="s">
        <v>579</v>
      </c>
      <c r="D270" s="9" t="s">
        <v>93</v>
      </c>
      <c r="E270" s="6" t="s">
        <v>610</v>
      </c>
      <c r="F270" s="9"/>
    </row>
    <row r="271" ht="33.75" customHeight="1">
      <c r="A271" s="7">
        <v>10.0</v>
      </c>
      <c r="B271" s="9" t="s">
        <v>576</v>
      </c>
      <c r="C271" s="9" t="s">
        <v>579</v>
      </c>
      <c r="D271" s="9" t="s">
        <v>95</v>
      </c>
      <c r="E271" s="6" t="s">
        <v>610</v>
      </c>
      <c r="F271" s="9"/>
    </row>
    <row r="272" ht="33.75" customHeight="1">
      <c r="A272" s="7">
        <v>10.0</v>
      </c>
      <c r="B272" s="9" t="s">
        <v>576</v>
      </c>
      <c r="C272" s="9" t="s">
        <v>579</v>
      </c>
      <c r="D272" s="9" t="s">
        <v>98</v>
      </c>
      <c r="E272" s="6" t="s">
        <v>610</v>
      </c>
      <c r="F272" s="9"/>
    </row>
    <row r="273" ht="33.75" customHeight="1">
      <c r="A273" s="7">
        <v>10.0</v>
      </c>
      <c r="B273" s="9" t="s">
        <v>576</v>
      </c>
      <c r="C273" s="9" t="s">
        <v>579</v>
      </c>
      <c r="D273" s="9" t="s">
        <v>99</v>
      </c>
      <c r="E273" s="6" t="s">
        <v>610</v>
      </c>
      <c r="F273" s="9"/>
    </row>
    <row r="274" ht="33.75" customHeight="1">
      <c r="A274" s="7">
        <v>10.0</v>
      </c>
      <c r="B274" s="9" t="s">
        <v>576</v>
      </c>
      <c r="C274" s="9" t="s">
        <v>579</v>
      </c>
      <c r="D274" s="9" t="s">
        <v>101</v>
      </c>
      <c r="E274" s="6" t="s">
        <v>617</v>
      </c>
      <c r="F274" s="9"/>
    </row>
    <row r="275" ht="33.75" customHeight="1">
      <c r="A275" s="7">
        <v>10.0</v>
      </c>
      <c r="B275" s="9" t="s">
        <v>576</v>
      </c>
      <c r="C275" s="9" t="s">
        <v>579</v>
      </c>
      <c r="D275" s="9" t="s">
        <v>105</v>
      </c>
      <c r="E275" s="6" t="s">
        <v>591</v>
      </c>
      <c r="F275" s="9"/>
    </row>
    <row r="276" ht="33.75" customHeight="1">
      <c r="A276" s="7">
        <v>10.0</v>
      </c>
      <c r="B276" s="9" t="s">
        <v>576</v>
      </c>
      <c r="C276" s="9" t="s">
        <v>579</v>
      </c>
      <c r="D276" s="9" t="s">
        <v>107</v>
      </c>
      <c r="E276" s="6" t="s">
        <v>630</v>
      </c>
      <c r="F276" s="9"/>
    </row>
    <row r="277" ht="33.75" customHeight="1">
      <c r="A277" s="7">
        <v>10.0</v>
      </c>
      <c r="B277" s="9" t="s">
        <v>576</v>
      </c>
      <c r="C277" s="9" t="s">
        <v>579</v>
      </c>
      <c r="D277" s="9" t="s">
        <v>109</v>
      </c>
      <c r="E277" s="6" t="s">
        <v>630</v>
      </c>
      <c r="F277" s="9"/>
    </row>
    <row r="278" ht="33.75" customHeight="1">
      <c r="A278" s="7">
        <v>10.0</v>
      </c>
      <c r="B278" s="9" t="s">
        <v>576</v>
      </c>
      <c r="C278" s="9" t="s">
        <v>579</v>
      </c>
      <c r="D278" s="9" t="s">
        <v>637</v>
      </c>
      <c r="E278" s="6" t="s">
        <v>638</v>
      </c>
      <c r="F278" s="9"/>
    </row>
    <row r="279" ht="33.75" customHeight="1">
      <c r="A279" s="7">
        <v>10.0</v>
      </c>
      <c r="B279" s="9" t="s">
        <v>576</v>
      </c>
      <c r="C279" s="9" t="s">
        <v>579</v>
      </c>
      <c r="D279" s="9" t="s">
        <v>642</v>
      </c>
      <c r="E279" s="6" t="s">
        <v>645</v>
      </c>
      <c r="F279" s="9"/>
    </row>
    <row r="280" ht="33.75" customHeight="1">
      <c r="A280" s="7">
        <v>10.0</v>
      </c>
      <c r="B280" s="9" t="s">
        <v>576</v>
      </c>
      <c r="C280" s="9" t="s">
        <v>579</v>
      </c>
      <c r="D280" s="9" t="s">
        <v>647</v>
      </c>
      <c r="E280" s="6" t="s">
        <v>648</v>
      </c>
      <c r="F280" s="9"/>
    </row>
    <row r="281" ht="33.75" customHeight="1">
      <c r="A281" s="7">
        <v>10.0</v>
      </c>
      <c r="B281" s="9" t="s">
        <v>576</v>
      </c>
      <c r="C281" s="9" t="s">
        <v>579</v>
      </c>
      <c r="D281" s="9" t="s">
        <v>652</v>
      </c>
      <c r="E281" s="6" t="s">
        <v>653</v>
      </c>
      <c r="F281" s="9"/>
    </row>
    <row r="282" ht="33.75" customHeight="1">
      <c r="A282" s="7">
        <v>10.0</v>
      </c>
      <c r="B282" s="9" t="s">
        <v>576</v>
      </c>
      <c r="C282" s="9" t="s">
        <v>579</v>
      </c>
      <c r="D282" s="9" t="s">
        <v>111</v>
      </c>
      <c r="E282" s="6" t="s">
        <v>585</v>
      </c>
      <c r="F282" s="9"/>
    </row>
    <row r="283" ht="33.75" customHeight="1">
      <c r="A283" s="7">
        <v>10.0</v>
      </c>
      <c r="B283" s="9" t="s">
        <v>576</v>
      </c>
      <c r="C283" s="9" t="s">
        <v>579</v>
      </c>
      <c r="D283" s="9" t="s">
        <v>113</v>
      </c>
      <c r="E283" s="6" t="s">
        <v>585</v>
      </c>
      <c r="F283" s="9"/>
    </row>
    <row r="284" ht="33.75" customHeight="1">
      <c r="A284" s="7">
        <v>10.0</v>
      </c>
      <c r="B284" s="9" t="s">
        <v>576</v>
      </c>
      <c r="C284" s="9" t="s">
        <v>579</v>
      </c>
      <c r="D284" s="9" t="s">
        <v>114</v>
      </c>
      <c r="E284" s="6" t="s">
        <v>588</v>
      </c>
      <c r="F284" s="9"/>
    </row>
    <row r="285" ht="33.75" customHeight="1">
      <c r="A285" s="7">
        <v>10.0</v>
      </c>
      <c r="B285" s="9" t="s">
        <v>576</v>
      </c>
      <c r="C285" s="9" t="s">
        <v>579</v>
      </c>
      <c r="D285" s="9" t="s">
        <v>117</v>
      </c>
      <c r="E285" s="6" t="s">
        <v>580</v>
      </c>
      <c r="F285" s="9"/>
    </row>
    <row r="286" ht="33.75" customHeight="1">
      <c r="A286" s="7">
        <v>11.0</v>
      </c>
      <c r="B286" s="9" t="s">
        <v>666</v>
      </c>
      <c r="C286" s="9" t="s">
        <v>667</v>
      </c>
      <c r="D286" s="9" t="s">
        <v>24</v>
      </c>
      <c r="E286" s="6" t="s">
        <v>670</v>
      </c>
      <c r="F286" t="inlineStr" s="10">
        <is>
          <t xml:space="preserve">Tämä POKéMON on altis hyökkäyksille, vaikka Metapodin kuori on pehmeä paljastaen sen heikon ja herkän ruumiin. Kovettaa kuorensa suojatakseen itseään. Voimakas isku voi kuitenkin saada sen ponnahtamaan ulos kuorestaan. Kuoren sisällä se on pehmeä ja heikko valmistautuessaan kehittymään. Se pysyy vähemmän liikkeessä kuoren sisällä. Se valmistautuu evoluutioon karkaisemalla kuortaan niin paljon kuin mahdollista suojellakseen pehmeää kehoaan. Tämä on sen esikehittynyt muoto. Tässä vaiheessa se voi vain kovettua, joten se pysyy liikkumattomana välttääkseen hyökkäyksen. Tämän POKéMONin ruumista peittävä kuori on kova kuin rautalaatta. METAPOD ei liiku paljoa. Se pysyy paikallaan, koska se valmistaa pehmeitä sisusosiaan evoluutiota varten kovan kuoren sisällä. Sen kuori on yhtä kova kuin rautalaatta. METAPOD ei liiku kovin paljon, koska se valmistelee pehmeitä sisusosiaan kuoren sisällä tapahtuvaa evoluutiota varten. Vaikka se onkin tukevan kuoren sisällä, sen sisällä oleva ruumis on herkkä. Se ei kestä kovaa hyökkäystä. Teräskova kuori suojelee sen herkkää ruumista. Se kestää hiljaa vastoinkäymisiä odottaessaan evoluutiota. Se pysyy liikkumattomana kuoressa. Se valmistautuu evoluutioon kovettamalla kuortaan mahdollisimman paljon suojatakseen pehmeää kehoaan. Tämän Pokémonin vartaloa peittävä kuori on kova kuin rautalevy. Metapodi ei liiku paljoa. Se pysyy paikallaan, koska se valmistelee pehmeitä sisusosiaan evoluutiota varten kovan kuoren sisällä. Sen kuori on täynnä pehmeitä sisuskaluja. Se ei liiku paljon, koska on olemassa vaara, että se saattaa huolimattomasti vuodattaa sisuskalunsa ulos. Sen kuori on kova, mutta se on silti vain ötökän kuori. Se on tunnetusti taipuvainen rikkoutumaan, joten intensiivisiä taisteluita sen kanssa tulisi välttää. Sen kuori on täynnä paksua nestettä. Kaikki sen kehon solut rakentuvat uudelleen evoluution valmisteluja varten. Sen kova kuori ei halkeile lainkaan, vaikka Pikipek nokkisi sitä, mutta se kaatuu ja sisus valuu ulos. Se odottaa hetkeä kehittyäkseen.</t>
        </is>
      </c>
    </row>
    <row r="287" ht="33.75" customHeight="1">
      <c r="A287" s="7">
        <v>11.0</v>
      </c>
      <c r="B287" s="9" t="s">
        <v>666</v>
      </c>
      <c r="C287" s="9" t="s">
        <v>667</v>
      </c>
      <c r="D287" s="9" t="s">
        <v>35</v>
      </c>
      <c r="E287" s="6" t="s">
        <v>670</v>
      </c>
      <c r="F287" s="9"/>
    </row>
    <row r="288" ht="33.75" customHeight="1">
      <c r="A288" s="7">
        <v>11.0</v>
      </c>
      <c r="B288" s="9" t="s">
        <v>666</v>
      </c>
      <c r="C288" s="9" t="s">
        <v>667</v>
      </c>
      <c r="D288" s="9" t="s">
        <v>42</v>
      </c>
      <c r="E288" s="6" t="s">
        <v>675</v>
      </c>
      <c r="F288" s="9"/>
    </row>
    <row r="289" ht="33.75" customHeight="1">
      <c r="A289" s="7">
        <v>11.0</v>
      </c>
      <c r="B289" s="9" t="s">
        <v>666</v>
      </c>
      <c r="C289" s="9" t="s">
        <v>667</v>
      </c>
      <c r="D289" s="9" t="s">
        <v>52</v>
      </c>
      <c r="E289" s="6" t="s">
        <v>678</v>
      </c>
      <c r="F289" s="9"/>
    </row>
    <row r="290" ht="33.75" customHeight="1">
      <c r="A290" s="7">
        <v>11.0</v>
      </c>
      <c r="B290" s="9" t="s">
        <v>666</v>
      </c>
      <c r="C290" s="9" t="s">
        <v>667</v>
      </c>
      <c r="D290" s="9" t="s">
        <v>59</v>
      </c>
      <c r="E290" s="6" t="s">
        <v>681</v>
      </c>
      <c r="F290" s="9"/>
    </row>
    <row r="291" ht="33.75" customHeight="1">
      <c r="A291" s="7">
        <v>11.0</v>
      </c>
      <c r="B291" s="9" t="s">
        <v>666</v>
      </c>
      <c r="C291" s="9" t="s">
        <v>667</v>
      </c>
      <c r="D291" s="9" t="s">
        <v>64</v>
      </c>
      <c r="E291" s="6" t="s">
        <v>683</v>
      </c>
      <c r="F291" s="9"/>
    </row>
    <row r="292" ht="33.75" customHeight="1">
      <c r="A292" s="7">
        <v>11.0</v>
      </c>
      <c r="B292" s="9" t="s">
        <v>666</v>
      </c>
      <c r="C292" s="9" t="s">
        <v>667</v>
      </c>
      <c r="D292" s="9" t="s">
        <v>67</v>
      </c>
      <c r="E292" s="6" t="s">
        <v>685</v>
      </c>
      <c r="F292" s="9"/>
    </row>
    <row r="293" ht="33.75" customHeight="1">
      <c r="A293" s="7">
        <v>11.0</v>
      </c>
      <c r="B293" s="9" t="s">
        <v>666</v>
      </c>
      <c r="C293" s="9" t="s">
        <v>667</v>
      </c>
      <c r="D293" s="9" t="s">
        <v>71</v>
      </c>
      <c r="E293" s="6" t="s">
        <v>685</v>
      </c>
      <c r="F293" s="9"/>
    </row>
    <row r="294" ht="33.75" customHeight="1">
      <c r="A294" s="7">
        <v>11.0</v>
      </c>
      <c r="B294" s="9" t="s">
        <v>666</v>
      </c>
      <c r="C294" s="9" t="s">
        <v>667</v>
      </c>
      <c r="D294" s="9" t="s">
        <v>73</v>
      </c>
      <c r="E294" s="6" t="s">
        <v>691</v>
      </c>
      <c r="F294" s="9"/>
    </row>
    <row r="295" ht="33.75" customHeight="1">
      <c r="A295" s="7">
        <v>11.0</v>
      </c>
      <c r="B295" s="9" t="s">
        <v>666</v>
      </c>
      <c r="C295" s="9" t="s">
        <v>667</v>
      </c>
      <c r="D295" s="9" t="s">
        <v>75</v>
      </c>
      <c r="E295" s="6" t="s">
        <v>693</v>
      </c>
      <c r="F295" s="9"/>
    </row>
    <row r="296" ht="33.75" customHeight="1">
      <c r="A296" s="7">
        <v>11.0</v>
      </c>
      <c r="B296" s="9" t="s">
        <v>666</v>
      </c>
      <c r="C296" s="9" t="s">
        <v>667</v>
      </c>
      <c r="D296" s="9" t="s">
        <v>79</v>
      </c>
      <c r="E296" s="6" t="s">
        <v>670</v>
      </c>
      <c r="F296" s="9"/>
    </row>
    <row r="297" ht="33.75" customHeight="1">
      <c r="A297" s="7">
        <v>11.0</v>
      </c>
      <c r="B297" s="9" t="s">
        <v>666</v>
      </c>
      <c r="C297" s="9" t="s">
        <v>667</v>
      </c>
      <c r="D297" s="9" t="s">
        <v>81</v>
      </c>
      <c r="E297" s="6" t="s">
        <v>697</v>
      </c>
      <c r="F297" s="9"/>
    </row>
    <row r="298" ht="33.75" customHeight="1">
      <c r="A298" s="7">
        <v>11.0</v>
      </c>
      <c r="B298" s="9" t="s">
        <v>666</v>
      </c>
      <c r="C298" s="9" t="s">
        <v>667</v>
      </c>
      <c r="D298" s="9" t="s">
        <v>84</v>
      </c>
      <c r="E298" s="6" t="s">
        <v>697</v>
      </c>
      <c r="F298" s="9"/>
    </row>
    <row r="299" ht="33.75" customHeight="1">
      <c r="A299" s="7">
        <v>11.0</v>
      </c>
      <c r="B299" s="9" t="s">
        <v>666</v>
      </c>
      <c r="C299" s="9" t="s">
        <v>667</v>
      </c>
      <c r="D299" s="9" t="s">
        <v>87</v>
      </c>
      <c r="E299" s="6" t="s">
        <v>697</v>
      </c>
      <c r="F299" s="9"/>
    </row>
    <row r="300" ht="33.75" customHeight="1">
      <c r="A300" s="7">
        <v>11.0</v>
      </c>
      <c r="B300" s="9" t="s">
        <v>666</v>
      </c>
      <c r="C300" s="9" t="s">
        <v>667</v>
      </c>
      <c r="D300" s="9" t="s">
        <v>89</v>
      </c>
      <c r="E300" s="6" t="s">
        <v>700</v>
      </c>
      <c r="F300" s="9"/>
    </row>
    <row r="301" ht="33.75" customHeight="1">
      <c r="A301" s="7">
        <v>11.0</v>
      </c>
      <c r="B301" s="9" t="s">
        <v>666</v>
      </c>
      <c r="C301" s="9" t="s">
        <v>667</v>
      </c>
      <c r="D301" s="9" t="s">
        <v>91</v>
      </c>
      <c r="E301" s="6" t="s">
        <v>701</v>
      </c>
      <c r="F301" s="9"/>
    </row>
    <row r="302" ht="33.75" customHeight="1">
      <c r="A302" s="7">
        <v>11.0</v>
      </c>
      <c r="B302" s="9" t="s">
        <v>666</v>
      </c>
      <c r="C302" s="9" t="s">
        <v>667</v>
      </c>
      <c r="D302" s="9" t="s">
        <v>93</v>
      </c>
      <c r="E302" s="6" t="s">
        <v>697</v>
      </c>
      <c r="F302" s="9"/>
    </row>
    <row r="303" ht="33.75" customHeight="1">
      <c r="A303" s="7">
        <v>11.0</v>
      </c>
      <c r="B303" s="9" t="s">
        <v>666</v>
      </c>
      <c r="C303" s="9" t="s">
        <v>667</v>
      </c>
      <c r="D303" s="9" t="s">
        <v>95</v>
      </c>
      <c r="E303" s="6" t="s">
        <v>697</v>
      </c>
      <c r="F303" s="9"/>
    </row>
    <row r="304" ht="33.75" customHeight="1">
      <c r="A304" s="7">
        <v>11.0</v>
      </c>
      <c r="B304" s="9" t="s">
        <v>666</v>
      </c>
      <c r="C304" s="9" t="s">
        <v>667</v>
      </c>
      <c r="D304" s="9" t="s">
        <v>98</v>
      </c>
      <c r="E304" s="6" t="s">
        <v>697</v>
      </c>
      <c r="F304" s="9"/>
    </row>
    <row r="305" ht="33.75" customHeight="1">
      <c r="A305" s="7">
        <v>11.0</v>
      </c>
      <c r="B305" s="9" t="s">
        <v>666</v>
      </c>
      <c r="C305" s="9" t="s">
        <v>667</v>
      </c>
      <c r="D305" s="9" t="s">
        <v>99</v>
      </c>
      <c r="E305" s="6" t="s">
        <v>697</v>
      </c>
      <c r="F305" s="9"/>
    </row>
    <row r="306" ht="33.75" customHeight="1">
      <c r="A306" s="7">
        <v>11.0</v>
      </c>
      <c r="B306" s="9" t="s">
        <v>666</v>
      </c>
      <c r="C306" s="9" t="s">
        <v>667</v>
      </c>
      <c r="D306" s="9" t="s">
        <v>101</v>
      </c>
      <c r="E306" s="6" t="s">
        <v>697</v>
      </c>
      <c r="F306" s="9"/>
    </row>
    <row r="307" ht="33.75" customHeight="1">
      <c r="A307" s="7">
        <v>11.0</v>
      </c>
      <c r="B307" s="9" t="s">
        <v>666</v>
      </c>
      <c r="C307" s="9" t="s">
        <v>667</v>
      </c>
      <c r="D307" s="9" t="s">
        <v>105</v>
      </c>
      <c r="E307" s="6" t="s">
        <v>710</v>
      </c>
      <c r="F307" s="9"/>
    </row>
    <row r="308" ht="33.75" customHeight="1">
      <c r="A308" s="7">
        <v>11.0</v>
      </c>
      <c r="B308" s="9" t="s">
        <v>666</v>
      </c>
      <c r="C308" s="9" t="s">
        <v>667</v>
      </c>
      <c r="D308" s="9" t="s">
        <v>107</v>
      </c>
      <c r="E308" s="6" t="s">
        <v>712</v>
      </c>
      <c r="F308" s="9"/>
    </row>
    <row r="309" ht="33.75" customHeight="1">
      <c r="A309" s="7">
        <v>11.0</v>
      </c>
      <c r="B309" s="9" t="s">
        <v>666</v>
      </c>
      <c r="C309" s="9" t="s">
        <v>667</v>
      </c>
      <c r="D309" s="9" t="s">
        <v>109</v>
      </c>
      <c r="E309" s="6" t="s">
        <v>712</v>
      </c>
      <c r="F309" s="9"/>
    </row>
    <row r="310" ht="33.75" customHeight="1">
      <c r="A310" s="7">
        <v>11.0</v>
      </c>
      <c r="B310" s="9" t="s">
        <v>666</v>
      </c>
      <c r="C310" s="9" t="s">
        <v>667</v>
      </c>
      <c r="D310" s="9" t="s">
        <v>637</v>
      </c>
      <c r="E310" s="6" t="s">
        <v>718</v>
      </c>
      <c r="F310" s="9"/>
    </row>
    <row r="311" ht="33.75" customHeight="1">
      <c r="A311" s="7">
        <v>11.0</v>
      </c>
      <c r="B311" s="9" t="s">
        <v>666</v>
      </c>
      <c r="C311" s="9" t="s">
        <v>667</v>
      </c>
      <c r="D311" s="9" t="s">
        <v>642</v>
      </c>
      <c r="E311" s="6" t="s">
        <v>721</v>
      </c>
      <c r="F311" s="9"/>
    </row>
    <row r="312" ht="33.75" customHeight="1">
      <c r="A312" s="7">
        <v>11.0</v>
      </c>
      <c r="B312" s="9" t="s">
        <v>666</v>
      </c>
      <c r="C312" s="9" t="s">
        <v>667</v>
      </c>
      <c r="D312" s="9" t="s">
        <v>647</v>
      </c>
      <c r="E312" s="6" t="s">
        <v>725</v>
      </c>
      <c r="F312" s="9"/>
    </row>
    <row r="313" ht="33.75" customHeight="1">
      <c r="A313" s="7">
        <v>11.0</v>
      </c>
      <c r="B313" s="9" t="s">
        <v>666</v>
      </c>
      <c r="C313" s="9" t="s">
        <v>667</v>
      </c>
      <c r="D313" s="9" t="s">
        <v>652</v>
      </c>
      <c r="E313" s="6" t="s">
        <v>728</v>
      </c>
      <c r="F313" s="9"/>
    </row>
    <row r="314" ht="33.75" customHeight="1">
      <c r="A314" s="7">
        <v>11.0</v>
      </c>
      <c r="B314" s="9" t="s">
        <v>666</v>
      </c>
      <c r="C314" s="9" t="s">
        <v>667</v>
      </c>
      <c r="D314" s="9" t="s">
        <v>111</v>
      </c>
      <c r="E314" s="6" t="s">
        <v>675</v>
      </c>
      <c r="F314" s="9"/>
    </row>
    <row r="315" ht="33.75" customHeight="1">
      <c r="A315" s="7">
        <v>11.0</v>
      </c>
      <c r="B315" s="9" t="s">
        <v>666</v>
      </c>
      <c r="C315" s="9" t="s">
        <v>667</v>
      </c>
      <c r="D315" s="9" t="s">
        <v>113</v>
      </c>
      <c r="E315" s="6" t="s">
        <v>675</v>
      </c>
      <c r="F315" s="9"/>
    </row>
    <row r="316" ht="33.75" customHeight="1">
      <c r="A316" s="7">
        <v>11.0</v>
      </c>
      <c r="B316" s="9" t="s">
        <v>666</v>
      </c>
      <c r="C316" s="9" t="s">
        <v>667</v>
      </c>
      <c r="D316" s="9" t="s">
        <v>114</v>
      </c>
      <c r="E316" s="6" t="s">
        <v>736</v>
      </c>
      <c r="F316" s="9"/>
    </row>
    <row r="317" ht="33.75" customHeight="1">
      <c r="A317" s="7">
        <v>11.0</v>
      </c>
      <c r="B317" s="9" t="s">
        <v>666</v>
      </c>
      <c r="C317" s="9" t="s">
        <v>667</v>
      </c>
      <c r="D317" s="9" t="s">
        <v>117</v>
      </c>
      <c r="E317" s="6" t="s">
        <v>693</v>
      </c>
      <c r="F317" s="9"/>
    </row>
    <row r="318" ht="33.75" customHeight="1">
      <c r="A318" s="7">
        <v>12.0</v>
      </c>
      <c r="B318" s="9" t="s">
        <v>740</v>
      </c>
      <c r="C318" s="9" t="s">
        <v>741</v>
      </c>
      <c r="D318" s="9" t="s">
        <v>24</v>
      </c>
      <c r="E318" s="6" t="s">
        <v>742</v>
      </c>
      <c r="F318" t="inlineStr" s="10">
        <is>
          <t xml:space="preserve">Taistelussa se räpyttelee siipiään suurella nopeudella vapauttaen ilmaan erittäin myrkyllistä pölyä. Sen myrkyllisillä jauheilla peittyneet siivet hylkivät vettä. Tämän ansiosta se voi lentää sateessa. Se kerää hunajaa joka päivä. Se hieroo hunajaa jalkojensa karvoihin kuljettaakseen sen takaisin pesäänsä. Sen siipien vettähylkivä jauhe mahdollistaa hunajan keräämisen jopa rankimmilla sateilla. Se lentää kukasta kukkaan keräämässä hunajaa. Se pystyy jopa tunnistamaan kaukaiset kukat. BUTTERFREEllä on ylivertainen kyky etsiä herkullista hunajaa kukista. Se voi jopa etsiä, eristää ja kuljettaa hunajaa kukista, jotka kukkivat yli kymmenen kilometrin päässä sen pesästä. Sillä on ylivoimainen kyky etsiä herkullista hunajaa kukista. Se voi etsiä, eristää ja kuljettaa hunajaa yli kuuden mailin päässä kukkivista kukista. Siivet on suojattu sateenpitävällä pölyllä. Tämän seurauksena tämä POKéMON voi lentää jopa sateella. Taistelussa se räpyttelee siipiään suurella nopeudella vapauttaen erittäin myrkyllistä pölyä ilmaan. Se rakastaa kukkien hunajaa ja pystyy paikantamaan kukkalaikkuja, joissa on pieniä määriä siitepölyä. Voinhimoisella on ylivertainen kyky etsiä herkullista hunajaa kukista. Se voi jopa etsiä, eristää ja kuljettaa hunajaa kukista, jotka kukkivat yli kuuden mailin päässä sen pesästä. Sen suurten silmien tarkka tarkastelu paljastaa, että jokainen silmä koostuu lukemattomista pienistä silmistä. Muiden Pokémonien hyökkäyksen kohteeksi joutuessaan se puolustautuu levittämällä myrkyllisiä suomujaan ja räpyttelemällä siipiään. Sen siivet ovat myrkyllisten suomujen peitossa. Jos se löytää lintu-Pokémonin, joka on lähdössä Caterpieen perään, Butterfree ripottelee suomujaan niiden päälle ajaakseen ne pois. Kauniiden kukkien mesi on sen lempiruokaa. Kukkapelloilla se käy kiivasta taistelua Cutiefryn kanssa reviiriä. Sen myrkyllisen jauheen peittämät siivet hylkivät vettä.</t>
        </is>
      </c>
    </row>
    <row r="319" ht="33.75" customHeight="1">
      <c r="A319" s="7">
        <v>12.0</v>
      </c>
      <c r="B319" s="9" t="s">
        <v>740</v>
      </c>
      <c r="C319" s="9" t="s">
        <v>741</v>
      </c>
      <c r="D319" s="9" t="s">
        <v>35</v>
      </c>
      <c r="E319" s="6" t="s">
        <v>742</v>
      </c>
      <c r="F319" s="9"/>
    </row>
    <row r="320" ht="33.75" customHeight="1">
      <c r="A320" s="7">
        <v>12.0</v>
      </c>
      <c r="B320" s="9" t="s">
        <v>740</v>
      </c>
      <c r="C320" s="9" t="s">
        <v>741</v>
      </c>
      <c r="D320" s="9" t="s">
        <v>42</v>
      </c>
      <c r="E320" s="6" t="s">
        <v>748</v>
      </c>
      <c r="F320" s="9"/>
    </row>
    <row r="321" ht="33.75" customHeight="1">
      <c r="A321" s="7">
        <v>12.0</v>
      </c>
      <c r="B321" s="9" t="s">
        <v>740</v>
      </c>
      <c r="C321" s="9" t="s">
        <v>741</v>
      </c>
      <c r="D321" s="9" t="s">
        <v>52</v>
      </c>
      <c r="E321" s="6" t="s">
        <v>750</v>
      </c>
      <c r="F321" s="9"/>
    </row>
    <row r="322" ht="33.75" customHeight="1">
      <c r="A322" s="7">
        <v>12.0</v>
      </c>
      <c r="B322" s="9" t="s">
        <v>740</v>
      </c>
      <c r="C322" s="9" t="s">
        <v>741</v>
      </c>
      <c r="D322" s="9" t="s">
        <v>59</v>
      </c>
      <c r="E322" s="6" t="s">
        <v>752</v>
      </c>
      <c r="F322" s="9"/>
    </row>
    <row r="323" ht="33.75" customHeight="1">
      <c r="A323" s="7">
        <v>12.0</v>
      </c>
      <c r="B323" s="9" t="s">
        <v>740</v>
      </c>
      <c r="C323" s="9" t="s">
        <v>741</v>
      </c>
      <c r="D323" s="9" t="s">
        <v>64</v>
      </c>
      <c r="E323" s="6" t="s">
        <v>755</v>
      </c>
      <c r="F323" s="9"/>
    </row>
    <row r="324" ht="33.75" customHeight="1">
      <c r="A324" s="7">
        <v>12.0</v>
      </c>
      <c r="B324" s="9" t="s">
        <v>740</v>
      </c>
      <c r="C324" s="9" t="s">
        <v>741</v>
      </c>
      <c r="D324" s="9" t="s">
        <v>67</v>
      </c>
      <c r="E324" s="6" t="s">
        <v>759</v>
      </c>
      <c r="F324" s="9"/>
    </row>
    <row r="325" ht="33.75" customHeight="1">
      <c r="A325" s="7">
        <v>12.0</v>
      </c>
      <c r="B325" s="9" t="s">
        <v>740</v>
      </c>
      <c r="C325" s="9" t="s">
        <v>741</v>
      </c>
      <c r="D325" s="9" t="s">
        <v>71</v>
      </c>
      <c r="E325" s="6" t="s">
        <v>759</v>
      </c>
      <c r="F325" s="9"/>
    </row>
    <row r="326" ht="33.75" customHeight="1">
      <c r="A326" s="7">
        <v>12.0</v>
      </c>
      <c r="B326" s="9" t="s">
        <v>740</v>
      </c>
      <c r="C326" s="9" t="s">
        <v>741</v>
      </c>
      <c r="D326" s="9" t="s">
        <v>73</v>
      </c>
      <c r="E326" s="6" t="s">
        <v>765</v>
      </c>
      <c r="F326" s="9"/>
    </row>
    <row r="327" ht="33.75" customHeight="1">
      <c r="A327" s="7">
        <v>12.0</v>
      </c>
      <c r="B327" s="9" t="s">
        <v>740</v>
      </c>
      <c r="C327" s="9" t="s">
        <v>741</v>
      </c>
      <c r="D327" s="9" t="s">
        <v>75</v>
      </c>
      <c r="E327" s="6" t="s">
        <v>772</v>
      </c>
      <c r="F327" s="9"/>
    </row>
    <row r="328" ht="33.75" customHeight="1">
      <c r="A328" s="7">
        <v>12.0</v>
      </c>
      <c r="B328" s="9" t="s">
        <v>740</v>
      </c>
      <c r="C328" s="9" t="s">
        <v>741</v>
      </c>
      <c r="D328" s="9" t="s">
        <v>79</v>
      </c>
      <c r="E328" s="6" t="s">
        <v>776</v>
      </c>
      <c r="F328" s="9"/>
    </row>
    <row r="329" ht="33.75" customHeight="1">
      <c r="A329" s="7">
        <v>12.0</v>
      </c>
      <c r="B329" s="9" t="s">
        <v>740</v>
      </c>
      <c r="C329" s="9" t="s">
        <v>741</v>
      </c>
      <c r="D329" s="9" t="s">
        <v>81</v>
      </c>
      <c r="E329" s="6" t="s">
        <v>778</v>
      </c>
      <c r="F329" s="9"/>
    </row>
    <row r="330" ht="33.75" customHeight="1">
      <c r="A330" s="7">
        <v>12.0</v>
      </c>
      <c r="B330" s="9" t="s">
        <v>740</v>
      </c>
      <c r="C330" s="9" t="s">
        <v>741</v>
      </c>
      <c r="D330" s="9" t="s">
        <v>84</v>
      </c>
      <c r="E330" s="6" t="s">
        <v>778</v>
      </c>
      <c r="F330" s="9"/>
    </row>
    <row r="331" ht="33.75" customHeight="1">
      <c r="A331" s="7">
        <v>12.0</v>
      </c>
      <c r="B331" s="9" t="s">
        <v>740</v>
      </c>
      <c r="C331" s="9" t="s">
        <v>741</v>
      </c>
      <c r="D331" s="9" t="s">
        <v>87</v>
      </c>
      <c r="E331" s="6" t="s">
        <v>778</v>
      </c>
      <c r="F331" s="9"/>
    </row>
    <row r="332" ht="33.75" customHeight="1">
      <c r="A332" s="7">
        <v>12.0</v>
      </c>
      <c r="B332" s="9" t="s">
        <v>740</v>
      </c>
      <c r="C332" s="9" t="s">
        <v>741</v>
      </c>
      <c r="D332" s="9" t="s">
        <v>89</v>
      </c>
      <c r="E332" s="6" t="s">
        <v>750</v>
      </c>
      <c r="F332" s="9"/>
    </row>
    <row r="333" ht="33.75" customHeight="1">
      <c r="A333" s="7">
        <v>12.0</v>
      </c>
      <c r="B333" s="9" t="s">
        <v>740</v>
      </c>
      <c r="C333" s="9" t="s">
        <v>741</v>
      </c>
      <c r="D333" s="9" t="s">
        <v>91</v>
      </c>
      <c r="E333" s="6" t="s">
        <v>752</v>
      </c>
      <c r="F333" s="9"/>
    </row>
    <row r="334" ht="33.75" customHeight="1">
      <c r="A334" s="7">
        <v>12.0</v>
      </c>
      <c r="B334" s="9" t="s">
        <v>740</v>
      </c>
      <c r="C334" s="9" t="s">
        <v>741</v>
      </c>
      <c r="D334" s="9" t="s">
        <v>93</v>
      </c>
      <c r="E334" s="6" t="s">
        <v>778</v>
      </c>
      <c r="F334" s="9"/>
    </row>
    <row r="335" ht="33.75" customHeight="1">
      <c r="A335" s="7">
        <v>12.0</v>
      </c>
      <c r="B335" s="9" t="s">
        <v>740</v>
      </c>
      <c r="C335" s="9" t="s">
        <v>741</v>
      </c>
      <c r="D335" s="9" t="s">
        <v>95</v>
      </c>
      <c r="E335" s="6" t="s">
        <v>778</v>
      </c>
      <c r="F335" s="9"/>
    </row>
    <row r="336" ht="33.75" customHeight="1">
      <c r="A336" s="7">
        <v>12.0</v>
      </c>
      <c r="B336" s="9" t="s">
        <v>740</v>
      </c>
      <c r="C336" s="9" t="s">
        <v>741</v>
      </c>
      <c r="D336" s="9" t="s">
        <v>98</v>
      </c>
      <c r="E336" s="6" t="s">
        <v>778</v>
      </c>
      <c r="F336" s="9"/>
    </row>
    <row r="337" ht="33.75" customHeight="1">
      <c r="A337" s="7">
        <v>12.0</v>
      </c>
      <c r="B337" s="9" t="s">
        <v>740</v>
      </c>
      <c r="C337" s="9" t="s">
        <v>741</v>
      </c>
      <c r="D337" s="9" t="s">
        <v>99</v>
      </c>
      <c r="E337" s="6" t="s">
        <v>778</v>
      </c>
      <c r="F337" s="9"/>
    </row>
    <row r="338" ht="33.75" customHeight="1">
      <c r="A338" s="7">
        <v>12.0</v>
      </c>
      <c r="B338" s="9" t="s">
        <v>740</v>
      </c>
      <c r="C338" s="9" t="s">
        <v>741</v>
      </c>
      <c r="D338" s="9" t="s">
        <v>101</v>
      </c>
      <c r="E338" s="6" t="s">
        <v>778</v>
      </c>
      <c r="F338" s="9"/>
    </row>
    <row r="339" ht="33.75" customHeight="1">
      <c r="A339" s="7">
        <v>12.0</v>
      </c>
      <c r="B339" s="9" t="s">
        <v>740</v>
      </c>
      <c r="C339" s="9" t="s">
        <v>741</v>
      </c>
      <c r="D339" s="9" t="s">
        <v>105</v>
      </c>
      <c r="E339" s="6" t="s">
        <v>798</v>
      </c>
      <c r="F339" s="9"/>
    </row>
    <row r="340" ht="33.75" customHeight="1">
      <c r="A340" s="7">
        <v>12.0</v>
      </c>
      <c r="B340" s="9" t="s">
        <v>740</v>
      </c>
      <c r="C340" s="9" t="s">
        <v>741</v>
      </c>
      <c r="D340" s="9" t="s">
        <v>107</v>
      </c>
      <c r="E340" s="6" t="s">
        <v>800</v>
      </c>
      <c r="F340" s="9"/>
    </row>
    <row r="341" ht="33.75" customHeight="1">
      <c r="A341" s="7">
        <v>12.0</v>
      </c>
      <c r="B341" s="9" t="s">
        <v>740</v>
      </c>
      <c r="C341" s="9" t="s">
        <v>741</v>
      </c>
      <c r="D341" s="9" t="s">
        <v>109</v>
      </c>
      <c r="E341" s="6" t="s">
        <v>800</v>
      </c>
      <c r="F341" s="9"/>
    </row>
    <row r="342" ht="33.75" customHeight="1">
      <c r="A342" s="7">
        <v>12.0</v>
      </c>
      <c r="B342" s="9" t="s">
        <v>740</v>
      </c>
      <c r="C342" s="9" t="s">
        <v>741</v>
      </c>
      <c r="D342" s="9" t="s">
        <v>637</v>
      </c>
      <c r="E342" s="6" t="s">
        <v>805</v>
      </c>
      <c r="F342" s="9"/>
    </row>
    <row r="343" ht="33.75" customHeight="1">
      <c r="A343" s="7">
        <v>12.0</v>
      </c>
      <c r="B343" s="9" t="s">
        <v>740</v>
      </c>
      <c r="C343" s="9" t="s">
        <v>741</v>
      </c>
      <c r="D343" s="9" t="s">
        <v>642</v>
      </c>
      <c r="E343" s="6" t="s">
        <v>807</v>
      </c>
      <c r="F343" s="9"/>
    </row>
    <row r="344" ht="33.75" customHeight="1">
      <c r="A344" s="7">
        <v>12.0</v>
      </c>
      <c r="B344" s="9" t="s">
        <v>740</v>
      </c>
      <c r="C344" s="9" t="s">
        <v>741</v>
      </c>
      <c r="D344" s="9" t="s">
        <v>647</v>
      </c>
      <c r="E344" s="6" t="s">
        <v>810</v>
      </c>
      <c r="F344" s="9"/>
    </row>
    <row r="345" ht="33.75" customHeight="1">
      <c r="A345" s="7">
        <v>12.0</v>
      </c>
      <c r="B345" s="9" t="s">
        <v>740</v>
      </c>
      <c r="C345" s="9" t="s">
        <v>741</v>
      </c>
      <c r="D345" s="9" t="s">
        <v>652</v>
      </c>
      <c r="E345" s="6" t="s">
        <v>811</v>
      </c>
      <c r="F345" s="9"/>
    </row>
    <row r="346" ht="33.75" customHeight="1">
      <c r="A346" s="7">
        <v>12.0</v>
      </c>
      <c r="B346" s="9" t="s">
        <v>740</v>
      </c>
      <c r="C346" s="9" t="s">
        <v>741</v>
      </c>
      <c r="D346" s="9" t="s">
        <v>111</v>
      </c>
      <c r="E346" s="6" t="s">
        <v>814</v>
      </c>
      <c r="F346" s="9"/>
    </row>
    <row r="347" ht="33.75" customHeight="1">
      <c r="A347" s="7">
        <v>12.0</v>
      </c>
      <c r="B347" s="9" t="s">
        <v>740</v>
      </c>
      <c r="C347" s="9" t="s">
        <v>741</v>
      </c>
      <c r="D347" s="9" t="s">
        <v>113</v>
      </c>
      <c r="E347" s="6" t="s">
        <v>814</v>
      </c>
      <c r="F347" s="9"/>
    </row>
    <row r="348" ht="33.75" customHeight="1">
      <c r="A348" s="7">
        <v>12.0</v>
      </c>
      <c r="B348" s="9" t="s">
        <v>740</v>
      </c>
      <c r="C348" s="9" t="s">
        <v>741</v>
      </c>
      <c r="D348" s="9" t="s">
        <v>114</v>
      </c>
      <c r="E348" s="6" t="s">
        <v>776</v>
      </c>
      <c r="F348" s="9"/>
    </row>
    <row r="349" ht="33.75" customHeight="1">
      <c r="A349" s="7">
        <v>12.0</v>
      </c>
      <c r="B349" s="9" t="s">
        <v>740</v>
      </c>
      <c r="C349" s="9" t="s">
        <v>741</v>
      </c>
      <c r="D349" s="9" t="s">
        <v>117</v>
      </c>
      <c r="E349" s="6" t="s">
        <v>750</v>
      </c>
      <c r="F349" s="9"/>
    </row>
    <row r="350" ht="33.75" customHeight="1">
      <c r="A350" s="7">
        <v>13.0</v>
      </c>
      <c r="B350" s="9" t="s">
        <v>819</v>
      </c>
      <c r="C350" s="9" t="s">
        <v>820</v>
      </c>
      <c r="D350" s="9" t="s">
        <v>24</v>
      </c>
      <c r="E350" s="6" t="s">
        <v>821</v>
      </c>
      <c r="F350" t="inlineStr" s="10">
        <is>
          <t xml:space="preserve">Usein metsissä lehtiä syömässä. Sillä on päässään terävä, myrkyllinen pistin. Varo sen päässä olevaa terävää pistintä. Se piiloutuu ruohikkoon ja pensaisiin, missä se syö lehtiä. Sen myrkyllinen piikki on erittäin voimakas. Sen kirkkaanvärinen ruumis on tarkoitettu varoittamaan vihollisia. Se hyökkää käyttämällä päässään viiden tuuman mittaista myrkkypiiskaa. Se löytyy yleensä syömiensä lehtien alta. Sen päälaella oleva piikki erittää voimakasta myrkkyä. Se käyttää tätä myrkyllistä piikkiä suojellakseen itseään. WEEDLEllä on erittäin tarkka hajuaisti. Se pystyy erottamaan lempilehdet niistä, joista se ei pidä, pelkästään nuuhkimalla suurella punaisella imukärsällään. RIKKALAISELLA on erittäin tarkka hajuaisti. Se erottaa lempilehdet niistä, joista se ei pidä, nuuhkimalla niitä suurella punaisella imukärsällään. Usein tavataan metsissä ja ruohoalueilla. Sillä on terävä, myrkyllinen, noin viiden senttimetrin pituinen väkänen pään päällä. Sillä on päässään terävä piikki, joka ruiskuttaa myrkkyä. Se syö painonsa verran lehtiä joka päivä. Se torjuu hyökkääjät päässään olevalla neulalla.</t>
        </is>
      </c>
    </row>
    <row r="351" ht="33.75" customHeight="1">
      <c r="A351" s="7">
        <v>13.0</v>
      </c>
      <c r="B351" s="9" t="s">
        <v>819</v>
      </c>
      <c r="C351" s="9" t="s">
        <v>820</v>
      </c>
      <c r="D351" s="9" t="s">
        <v>35</v>
      </c>
      <c r="E351" s="6" t="s">
        <v>821</v>
      </c>
      <c r="F351" s="9"/>
    </row>
    <row r="352" ht="33.75" customHeight="1">
      <c r="A352" s="7">
        <v>13.0</v>
      </c>
      <c r="B352" s="9" t="s">
        <v>819</v>
      </c>
      <c r="C352" s="9" t="s">
        <v>820</v>
      </c>
      <c r="D352" s="9" t="s">
        <v>42</v>
      </c>
      <c r="E352" s="6" t="s">
        <v>825</v>
      </c>
      <c r="F352" s="9"/>
    </row>
    <row r="353" ht="33.75" customHeight="1">
      <c r="A353" s="7">
        <v>13.0</v>
      </c>
      <c r="B353" s="9" t="s">
        <v>819</v>
      </c>
      <c r="C353" s="9" t="s">
        <v>820</v>
      </c>
      <c r="D353" s="9" t="s">
        <v>52</v>
      </c>
      <c r="E353" s="6" t="s">
        <v>829</v>
      </c>
      <c r="F353" s="9"/>
    </row>
    <row r="354" ht="33.75" customHeight="1">
      <c r="A354" s="7">
        <v>13.0</v>
      </c>
      <c r="B354" s="9" t="s">
        <v>819</v>
      </c>
      <c r="C354" s="9" t="s">
        <v>820</v>
      </c>
      <c r="D354" s="9" t="s">
        <v>59</v>
      </c>
      <c r="E354" s="6" t="s">
        <v>831</v>
      </c>
      <c r="F354" s="9"/>
    </row>
    <row r="355" ht="33.75" customHeight="1">
      <c r="A355" s="7">
        <v>13.0</v>
      </c>
      <c r="B355" s="9" t="s">
        <v>819</v>
      </c>
      <c r="C355" s="9" t="s">
        <v>820</v>
      </c>
      <c r="D355" s="9" t="s">
        <v>64</v>
      </c>
      <c r="E355" s="6" t="s">
        <v>834</v>
      </c>
      <c r="F355" s="9"/>
    </row>
    <row r="356" ht="33.75" customHeight="1">
      <c r="A356" s="7">
        <v>13.0</v>
      </c>
      <c r="B356" s="9" t="s">
        <v>819</v>
      </c>
      <c r="C356" s="9" t="s">
        <v>820</v>
      </c>
      <c r="D356" s="9" t="s">
        <v>67</v>
      </c>
      <c r="E356" s="6" t="s">
        <v>837</v>
      </c>
      <c r="F356" s="9"/>
    </row>
    <row r="357" ht="33.75" customHeight="1">
      <c r="A357" s="7">
        <v>13.0</v>
      </c>
      <c r="B357" s="9" t="s">
        <v>819</v>
      </c>
      <c r="C357" s="9" t="s">
        <v>820</v>
      </c>
      <c r="D357" s="9" t="s">
        <v>71</v>
      </c>
      <c r="E357" s="6" t="s">
        <v>837</v>
      </c>
      <c r="F357" s="9"/>
    </row>
    <row r="358" ht="33.75" customHeight="1">
      <c r="A358" s="7">
        <v>13.0</v>
      </c>
      <c r="B358" s="9" t="s">
        <v>819</v>
      </c>
      <c r="C358" s="9" t="s">
        <v>820</v>
      </c>
      <c r="D358" s="9" t="s">
        <v>73</v>
      </c>
      <c r="E358" s="6" t="s">
        <v>845</v>
      </c>
      <c r="F358" s="9"/>
    </row>
    <row r="359" ht="33.75" customHeight="1">
      <c r="A359" s="7">
        <v>13.0</v>
      </c>
      <c r="B359" s="9" t="s">
        <v>819</v>
      </c>
      <c r="C359" s="9" t="s">
        <v>820</v>
      </c>
      <c r="D359" s="9" t="s">
        <v>75</v>
      </c>
      <c r="E359" s="6" t="s">
        <v>849</v>
      </c>
      <c r="F359" s="9"/>
    </row>
    <row r="360" ht="33.75" customHeight="1">
      <c r="A360" s="7">
        <v>13.0</v>
      </c>
      <c r="B360" s="9" t="s">
        <v>819</v>
      </c>
      <c r="C360" s="9" t="s">
        <v>820</v>
      </c>
      <c r="D360" s="9" t="s">
        <v>79</v>
      </c>
      <c r="E360" s="6" t="s">
        <v>852</v>
      </c>
      <c r="F360" s="9"/>
    </row>
    <row r="361" ht="33.75" customHeight="1">
      <c r="A361" s="7">
        <v>13.0</v>
      </c>
      <c r="B361" s="9" t="s">
        <v>819</v>
      </c>
      <c r="C361" s="9" t="s">
        <v>820</v>
      </c>
      <c r="D361" s="9" t="s">
        <v>81</v>
      </c>
      <c r="E361" s="6" t="s">
        <v>856</v>
      </c>
      <c r="F361" s="9"/>
    </row>
    <row r="362" ht="33.75" customHeight="1">
      <c r="A362" s="7">
        <v>13.0</v>
      </c>
      <c r="B362" s="9" t="s">
        <v>819</v>
      </c>
      <c r="C362" s="9" t="s">
        <v>820</v>
      </c>
      <c r="D362" s="9" t="s">
        <v>84</v>
      </c>
      <c r="E362" s="6" t="s">
        <v>856</v>
      </c>
      <c r="F362" s="9"/>
    </row>
    <row r="363" ht="33.75" customHeight="1">
      <c r="A363" s="7">
        <v>13.0</v>
      </c>
      <c r="B363" s="9" t="s">
        <v>819</v>
      </c>
      <c r="C363" s="9" t="s">
        <v>820</v>
      </c>
      <c r="D363" s="9" t="s">
        <v>87</v>
      </c>
      <c r="E363" s="6" t="s">
        <v>856</v>
      </c>
      <c r="F363" s="9"/>
    </row>
    <row r="364" ht="33.75" customHeight="1">
      <c r="A364" s="7">
        <v>13.0</v>
      </c>
      <c r="B364" s="9" t="s">
        <v>819</v>
      </c>
      <c r="C364" s="9" t="s">
        <v>820</v>
      </c>
      <c r="D364" s="9" t="s">
        <v>89</v>
      </c>
      <c r="E364" s="6" t="s">
        <v>829</v>
      </c>
      <c r="F364" s="9"/>
    </row>
    <row r="365" ht="33.75" customHeight="1">
      <c r="A365" s="7">
        <v>13.0</v>
      </c>
      <c r="B365" s="9" t="s">
        <v>819</v>
      </c>
      <c r="C365" s="9" t="s">
        <v>820</v>
      </c>
      <c r="D365" s="9" t="s">
        <v>91</v>
      </c>
      <c r="E365" s="6" t="s">
        <v>831</v>
      </c>
      <c r="F365" s="9"/>
    </row>
    <row r="366" ht="33.75" customHeight="1">
      <c r="A366" s="7">
        <v>13.0</v>
      </c>
      <c r="B366" s="9" t="s">
        <v>819</v>
      </c>
      <c r="C366" s="9" t="s">
        <v>820</v>
      </c>
      <c r="D366" s="9" t="s">
        <v>93</v>
      </c>
      <c r="E366" s="6" t="s">
        <v>856</v>
      </c>
      <c r="F366" s="9"/>
    </row>
    <row r="367" ht="33.75" customHeight="1">
      <c r="A367" s="7">
        <v>13.0</v>
      </c>
      <c r="B367" s="9" t="s">
        <v>819</v>
      </c>
      <c r="C367" s="9" t="s">
        <v>820</v>
      </c>
      <c r="D367" s="9" t="s">
        <v>95</v>
      </c>
      <c r="E367" s="6" t="s">
        <v>856</v>
      </c>
      <c r="F367" s="9"/>
    </row>
    <row r="368" ht="33.75" customHeight="1">
      <c r="A368" s="7">
        <v>13.0</v>
      </c>
      <c r="B368" s="9" t="s">
        <v>819</v>
      </c>
      <c r="C368" s="9" t="s">
        <v>820</v>
      </c>
      <c r="D368" s="9" t="s">
        <v>98</v>
      </c>
      <c r="E368" s="6" t="s">
        <v>856</v>
      </c>
      <c r="F368" s="9"/>
    </row>
    <row r="369" ht="33.75" customHeight="1">
      <c r="A369" s="7">
        <v>13.0</v>
      </c>
      <c r="B369" s="9" t="s">
        <v>819</v>
      </c>
      <c r="C369" s="9" t="s">
        <v>820</v>
      </c>
      <c r="D369" s="9" t="s">
        <v>99</v>
      </c>
      <c r="E369" s="6" t="s">
        <v>856</v>
      </c>
      <c r="F369" s="9"/>
    </row>
    <row r="370" ht="33.75" customHeight="1">
      <c r="A370" s="7">
        <v>13.0</v>
      </c>
      <c r="B370" s="9" t="s">
        <v>819</v>
      </c>
      <c r="C370" s="9" t="s">
        <v>820</v>
      </c>
      <c r="D370" s="9" t="s">
        <v>101</v>
      </c>
      <c r="E370" s="6" t="s">
        <v>849</v>
      </c>
      <c r="F370" s="9"/>
    </row>
    <row r="371" ht="33.75" customHeight="1">
      <c r="A371" s="7">
        <v>13.0</v>
      </c>
      <c r="B371" s="9" t="s">
        <v>819</v>
      </c>
      <c r="C371" s="9" t="s">
        <v>820</v>
      </c>
      <c r="D371" s="9" t="s">
        <v>105</v>
      </c>
      <c r="E371" s="6" t="s">
        <v>829</v>
      </c>
      <c r="F371" s="9"/>
    </row>
    <row r="372" ht="33.75" customHeight="1">
      <c r="A372" s="7">
        <v>13.0</v>
      </c>
      <c r="B372" s="9" t="s">
        <v>819</v>
      </c>
      <c r="C372" s="9" t="s">
        <v>820</v>
      </c>
      <c r="D372" s="9" t="s">
        <v>107</v>
      </c>
      <c r="E372" s="6" t="s">
        <v>885</v>
      </c>
      <c r="F372" s="9"/>
    </row>
    <row r="373" ht="33.75" customHeight="1">
      <c r="A373" s="7">
        <v>13.0</v>
      </c>
      <c r="B373" s="9" t="s">
        <v>819</v>
      </c>
      <c r="C373" s="9" t="s">
        <v>820</v>
      </c>
      <c r="D373" s="9" t="s">
        <v>109</v>
      </c>
      <c r="E373" s="6" t="s">
        <v>885</v>
      </c>
      <c r="F373" s="9"/>
    </row>
    <row r="374" ht="33.75" customHeight="1">
      <c r="A374" s="7">
        <v>13.0</v>
      </c>
      <c r="B374" s="9" t="s">
        <v>819</v>
      </c>
      <c r="C374" s="9" t="s">
        <v>820</v>
      </c>
      <c r="D374" s="9" t="s">
        <v>111</v>
      </c>
      <c r="E374" s="6" t="s">
        <v>825</v>
      </c>
      <c r="F374" s="9"/>
    </row>
    <row r="375" ht="33.75" customHeight="1">
      <c r="A375" s="7">
        <v>13.0</v>
      </c>
      <c r="B375" s="9" t="s">
        <v>819</v>
      </c>
      <c r="C375" s="9" t="s">
        <v>820</v>
      </c>
      <c r="D375" s="9" t="s">
        <v>113</v>
      </c>
      <c r="E375" s="6" t="s">
        <v>825</v>
      </c>
      <c r="F375" s="9"/>
    </row>
    <row r="376" ht="33.75" customHeight="1">
      <c r="A376" s="7">
        <v>14.0</v>
      </c>
      <c r="B376" s="9" t="s">
        <v>892</v>
      </c>
      <c r="C376" s="9" t="s">
        <v>667</v>
      </c>
      <c r="D376" s="9" t="s">
        <v>24</v>
      </c>
      <c r="E376" s="6" t="s">
        <v>894</v>
      </c>
      <c r="F376" t="inlineStr" s="10">
        <is>
          <t xml:space="preserve">Lähes liikkumiskyvytön, tämä POKéMON voi vain kovettaa kuorensa suojautuakseen saalistajilta. Pystyy liikkumaan vain hieman. Uhanalaisena se voi työntää pistimensä esiin ja myrkyttää vihollisensa. Vaikka se on kotelo, se voi liikkua hieman. Se voi ojentaa myrkkypiikänsä, jos sitä vastaan ​​hyökätään. Tästä muodosta se kasvaa aikuiseksi. Kun sen ruumis pehmenee, ulkokuori kovettuu. Lähes liikkumattomana se nojaa vahvoihin puihin odottaessaan evoluutiotaan. KAKUNA pysyy käytännössä liikkumattomana roikkuessaan puussa. Sisällä se on kuitenkin erittäin kiireinen valmistautuessaan tulevaan evoluutioonsa. Tämä käy ilmi siitä, kuinka kuumaksi kuori muuttuu kosketettaessa. Se pysyy käytännössä liikkumattomana roikkuessaan puussa. Sisällä se kuitenkin valmistautuu ahkerasti evoluutioon. Tämä käy ilmi siitä, kuinka kuumaksi sen kuori kuumenee. Tämä POKéMON on väliaikaisessa vaiheessa rakentaessaan vartaloaan. Se on lähes täysin kykenemätön liikkumaan omin voimin. Lähes liikkumaton POKéMON voi vain kovettaa kuorensa suojatakseen itseään vaarassa. Evoluutiota odottaessaan se piiloutuu saalistajilta lehtien alle ja oksien nurkkiin. Lähes liikkumiskyvytön, tämä Pokémon voi vain kovettaa kuorensa suojatakseen itseään vaarassa.</t>
        </is>
      </c>
    </row>
    <row r="377" ht="33.75" customHeight="1">
      <c r="A377" s="7">
        <v>14.0</v>
      </c>
      <c r="B377" s="9" t="s">
        <v>892</v>
      </c>
      <c r="C377" s="9" t="s">
        <v>667</v>
      </c>
      <c r="D377" s="9" t="s">
        <v>35</v>
      </c>
      <c r="E377" s="6" t="s">
        <v>894</v>
      </c>
      <c r="F377" s="9"/>
    </row>
    <row r="378" ht="33.75" customHeight="1">
      <c r="A378" s="7">
        <v>14.0</v>
      </c>
      <c r="B378" s="9" t="s">
        <v>892</v>
      </c>
      <c r="C378" s="9" t="s">
        <v>667</v>
      </c>
      <c r="D378" s="9" t="s">
        <v>42</v>
      </c>
      <c r="E378" s="6" t="s">
        <v>899</v>
      </c>
      <c r="F378" s="9"/>
    </row>
    <row r="379" ht="33.75" customHeight="1">
      <c r="A379" s="7">
        <v>14.0</v>
      </c>
      <c r="B379" s="9" t="s">
        <v>892</v>
      </c>
      <c r="C379" s="9" t="s">
        <v>667</v>
      </c>
      <c r="D379" s="9" t="s">
        <v>52</v>
      </c>
      <c r="E379" s="6" t="s">
        <v>902</v>
      </c>
      <c r="F379" s="9"/>
    </row>
    <row r="380" ht="33.75" customHeight="1">
      <c r="A380" s="7">
        <v>14.0</v>
      </c>
      <c r="B380" s="9" t="s">
        <v>892</v>
      </c>
      <c r="C380" s="9" t="s">
        <v>667</v>
      </c>
      <c r="D380" s="9" t="s">
        <v>59</v>
      </c>
      <c r="E380" s="6" t="s">
        <v>905</v>
      </c>
      <c r="F380" s="9"/>
    </row>
    <row r="381" ht="33.75" customHeight="1">
      <c r="A381" s="7">
        <v>14.0</v>
      </c>
      <c r="B381" s="9" t="s">
        <v>892</v>
      </c>
      <c r="C381" s="9" t="s">
        <v>667</v>
      </c>
      <c r="D381" s="9" t="s">
        <v>64</v>
      </c>
      <c r="E381" s="6" t="s">
        <v>907</v>
      </c>
      <c r="F381" s="9"/>
    </row>
    <row r="382" ht="33.75" customHeight="1">
      <c r="A382" s="7">
        <v>14.0</v>
      </c>
      <c r="B382" s="9" t="s">
        <v>892</v>
      </c>
      <c r="C382" s="9" t="s">
        <v>667</v>
      </c>
      <c r="D382" s="9" t="s">
        <v>67</v>
      </c>
      <c r="E382" s="6" t="s">
        <v>911</v>
      </c>
      <c r="F382" s="9"/>
    </row>
    <row r="383" ht="33.75" customHeight="1">
      <c r="A383" s="7">
        <v>14.0</v>
      </c>
      <c r="B383" s="9" t="s">
        <v>892</v>
      </c>
      <c r="C383" s="9" t="s">
        <v>667</v>
      </c>
      <c r="D383" s="9" t="s">
        <v>71</v>
      </c>
      <c r="E383" s="6" t="s">
        <v>911</v>
      </c>
      <c r="F383" s="9"/>
    </row>
    <row r="384" ht="33.75" customHeight="1">
      <c r="A384" s="7">
        <v>14.0</v>
      </c>
      <c r="B384" s="9" t="s">
        <v>892</v>
      </c>
      <c r="C384" s="9" t="s">
        <v>667</v>
      </c>
      <c r="D384" s="9" t="s">
        <v>73</v>
      </c>
      <c r="E384" s="6" t="s">
        <v>916</v>
      </c>
      <c r="F384" s="9"/>
    </row>
    <row r="385" ht="33.75" customHeight="1">
      <c r="A385" s="7">
        <v>14.0</v>
      </c>
      <c r="B385" s="9" t="s">
        <v>892</v>
      </c>
      <c r="C385" s="9" t="s">
        <v>667</v>
      </c>
      <c r="D385" s="9" t="s">
        <v>75</v>
      </c>
      <c r="E385" s="6" t="s">
        <v>920</v>
      </c>
      <c r="F385" s="9"/>
    </row>
    <row r="386" ht="33.75" customHeight="1">
      <c r="A386" s="7">
        <v>14.0</v>
      </c>
      <c r="B386" s="9" t="s">
        <v>892</v>
      </c>
      <c r="C386" s="9" t="s">
        <v>667</v>
      </c>
      <c r="D386" s="9" t="s">
        <v>79</v>
      </c>
      <c r="E386" s="6" t="s">
        <v>925</v>
      </c>
      <c r="F386" s="9"/>
    </row>
    <row r="387" ht="33.75" customHeight="1">
      <c r="A387" s="7">
        <v>14.0</v>
      </c>
      <c r="B387" s="9" t="s">
        <v>892</v>
      </c>
      <c r="C387" s="9" t="s">
        <v>667</v>
      </c>
      <c r="D387" s="9" t="s">
        <v>81</v>
      </c>
      <c r="E387" s="6" t="s">
        <v>928</v>
      </c>
      <c r="F387" s="9"/>
    </row>
    <row r="388" ht="33.75" customHeight="1">
      <c r="A388" s="7">
        <v>14.0</v>
      </c>
      <c r="B388" s="9" t="s">
        <v>892</v>
      </c>
      <c r="C388" s="9" t="s">
        <v>667</v>
      </c>
      <c r="D388" s="9" t="s">
        <v>84</v>
      </c>
      <c r="E388" s="6" t="s">
        <v>928</v>
      </c>
      <c r="F388" s="9"/>
    </row>
    <row r="389" ht="33.75" customHeight="1">
      <c r="A389" s="7">
        <v>14.0</v>
      </c>
      <c r="B389" s="9" t="s">
        <v>892</v>
      </c>
      <c r="C389" s="9" t="s">
        <v>667</v>
      </c>
      <c r="D389" s="9" t="s">
        <v>87</v>
      </c>
      <c r="E389" s="6" t="s">
        <v>928</v>
      </c>
      <c r="F389" s="9"/>
    </row>
    <row r="390" ht="33.75" customHeight="1">
      <c r="A390" s="7">
        <v>14.0</v>
      </c>
      <c r="B390" s="9" t="s">
        <v>892</v>
      </c>
      <c r="C390" s="9" t="s">
        <v>667</v>
      </c>
      <c r="D390" s="9" t="s">
        <v>89</v>
      </c>
      <c r="E390" s="6" t="s">
        <v>902</v>
      </c>
      <c r="F390" s="9"/>
    </row>
    <row r="391" ht="33.75" customHeight="1">
      <c r="A391" s="7">
        <v>14.0</v>
      </c>
      <c r="B391" s="9" t="s">
        <v>892</v>
      </c>
      <c r="C391" s="9" t="s">
        <v>667</v>
      </c>
      <c r="D391" s="9" t="s">
        <v>91</v>
      </c>
      <c r="E391" s="6" t="s">
        <v>905</v>
      </c>
      <c r="F391" s="9"/>
    </row>
    <row r="392" ht="33.75" customHeight="1">
      <c r="A392" s="7">
        <v>14.0</v>
      </c>
      <c r="B392" s="9" t="s">
        <v>892</v>
      </c>
      <c r="C392" s="9" t="s">
        <v>667</v>
      </c>
      <c r="D392" s="9" t="s">
        <v>93</v>
      </c>
      <c r="E392" s="6" t="s">
        <v>928</v>
      </c>
      <c r="F392" s="9"/>
    </row>
    <row r="393" ht="33.75" customHeight="1">
      <c r="A393" s="7">
        <v>14.0</v>
      </c>
      <c r="B393" s="9" t="s">
        <v>892</v>
      </c>
      <c r="C393" s="9" t="s">
        <v>667</v>
      </c>
      <c r="D393" s="9" t="s">
        <v>95</v>
      </c>
      <c r="E393" s="6" t="s">
        <v>928</v>
      </c>
      <c r="F393" s="9"/>
    </row>
    <row r="394" ht="33.75" customHeight="1">
      <c r="A394" s="7">
        <v>14.0</v>
      </c>
      <c r="B394" s="9" t="s">
        <v>892</v>
      </c>
      <c r="C394" s="9" t="s">
        <v>667</v>
      </c>
      <c r="D394" s="9" t="s">
        <v>98</v>
      </c>
      <c r="E394" s="6" t="s">
        <v>928</v>
      </c>
      <c r="F394" s="9"/>
    </row>
    <row r="395" ht="33.75" customHeight="1">
      <c r="A395" s="7">
        <v>14.0</v>
      </c>
      <c r="B395" s="9" t="s">
        <v>892</v>
      </c>
      <c r="C395" s="9" t="s">
        <v>667</v>
      </c>
      <c r="D395" s="9" t="s">
        <v>99</v>
      </c>
      <c r="E395" s="6" t="s">
        <v>928</v>
      </c>
      <c r="F395" s="9"/>
    </row>
    <row r="396" ht="33.75" customHeight="1">
      <c r="A396" s="7">
        <v>14.0</v>
      </c>
      <c r="B396" s="9" t="s">
        <v>892</v>
      </c>
      <c r="C396" s="9" t="s">
        <v>667</v>
      </c>
      <c r="D396" s="9" t="s">
        <v>101</v>
      </c>
      <c r="E396" s="6" t="s">
        <v>954</v>
      </c>
      <c r="F396" s="9"/>
    </row>
    <row r="397" ht="33.75" customHeight="1">
      <c r="A397" s="7">
        <v>14.0</v>
      </c>
      <c r="B397" s="9" t="s">
        <v>892</v>
      </c>
      <c r="C397" s="9" t="s">
        <v>667</v>
      </c>
      <c r="D397" s="9" t="s">
        <v>105</v>
      </c>
      <c r="E397" s="6" t="s">
        <v>928</v>
      </c>
      <c r="F397" s="9"/>
    </row>
    <row r="398" ht="33.75" customHeight="1">
      <c r="A398" s="7">
        <v>14.0</v>
      </c>
      <c r="B398" s="9" t="s">
        <v>892</v>
      </c>
      <c r="C398" s="9" t="s">
        <v>667</v>
      </c>
      <c r="D398" s="9" t="s">
        <v>107</v>
      </c>
      <c r="E398" s="6" t="s">
        <v>962</v>
      </c>
      <c r="F398" s="9"/>
    </row>
    <row r="399" ht="33.75" customHeight="1">
      <c r="A399" s="7">
        <v>14.0</v>
      </c>
      <c r="B399" s="9" t="s">
        <v>892</v>
      </c>
      <c r="C399" s="9" t="s">
        <v>667</v>
      </c>
      <c r="D399" s="9" t="s">
        <v>109</v>
      </c>
      <c r="E399" s="6" t="s">
        <v>962</v>
      </c>
      <c r="F399" s="9"/>
    </row>
    <row r="400" ht="33.75" customHeight="1">
      <c r="A400" s="7">
        <v>14.0</v>
      </c>
      <c r="B400" s="9" t="s">
        <v>892</v>
      </c>
      <c r="C400" s="9" t="s">
        <v>667</v>
      </c>
      <c r="D400" s="9" t="s">
        <v>111</v>
      </c>
      <c r="E400" s="6" t="s">
        <v>899</v>
      </c>
      <c r="F400" s="9"/>
    </row>
    <row r="401" ht="33.75" customHeight="1">
      <c r="A401" s="7">
        <v>14.0</v>
      </c>
      <c r="B401" s="9" t="s">
        <v>892</v>
      </c>
      <c r="C401" s="9" t="s">
        <v>667</v>
      </c>
      <c r="D401" s="9" t="s">
        <v>113</v>
      </c>
      <c r="E401" s="6" t="s">
        <v>899</v>
      </c>
      <c r="F401" s="9"/>
    </row>
    <row r="402" ht="33.75" customHeight="1">
      <c r="A402" s="7">
        <v>15.0</v>
      </c>
      <c r="B402" s="9" t="s">
        <v>975</v>
      </c>
      <c r="C402" s="9" t="s">
        <v>976</v>
      </c>
      <c r="D402" s="9" t="s">
        <v>24</v>
      </c>
      <c r="E402" s="6" t="s">
        <v>977</v>
      </c>
      <c r="F402" t="inlineStr" s="10">
        <is>
          <t xml:space="preserve">Lentää kovalla nopeudella ja hyökkää käyttämällä etujalkoihinsa ja häntään kiinnittyviä suuria myrkyllisiä pistojaan. Sillä on kolme myrkyllistä pistintä etujaloissaan ja hännässään. Niillä se pistää vihollista toistuvasti. Se voi kaataa minkä tahansa vastustajan voimakkailla myrkkypistimillään. Joskus se hyökkää parvina. Sillä on kolme myrkkypiiskaa. Sen pyrstössä oleva piikki erittää voimakkainta myrkkyä. Se käyttää teräviä, myrkyllisiä pistoja saaliin kukistamiseen ja vie uhrin sitten takaisin pesäänsä ravinnoksi. BEEDRILL on erittäin reviiritietoinen. Kenenkään ei tulisi koskaan lähestyä sen pesää – tämä on heidän oman turvallisuutensa vuoksi. Jos ne suuttuvat, ne hyökkäävät raivoisana parvena. HAUSKAPYLÄ on erittäin reviiritietoinen. Turvallisuussyistä kenenkään ei tulisi koskaan lähestyä sen pesää. Jos se suuttuu, se hyökkää parvella. Saattaa esiintyä parvessa. Lentää rajulla nopeudella ja pistää samalla takaosassaan olevalla myrkyllisellä pistimellä. Se lentää kovaa vauhtia ja hyökkää käyttämällä etujalkojensa ja hännänsä suuria myrkyllisiä pistimiä. Sen paras hyökkäys on lentäminen kovaa vauhtia, iskeminen myrkkyneuloilla ja sitten lentäminen pois. Niillä se pistää vihollistaan ​​toistuvasti.</t>
        </is>
      </c>
    </row>
    <row r="403" ht="33.75" customHeight="1">
      <c r="A403" s="7">
        <v>15.0</v>
      </c>
      <c r="B403" s="9" t="s">
        <v>975</v>
      </c>
      <c r="C403" s="9" t="s">
        <v>976</v>
      </c>
      <c r="D403" s="9" t="s">
        <v>35</v>
      </c>
      <c r="E403" s="6" t="s">
        <v>977</v>
      </c>
      <c r="F403" s="9"/>
    </row>
    <row r="404" ht="33.75" customHeight="1">
      <c r="A404" s="7">
        <v>15.0</v>
      </c>
      <c r="B404" s="9" t="s">
        <v>975</v>
      </c>
      <c r="C404" s="9" t="s">
        <v>976</v>
      </c>
      <c r="D404" s="9" t="s">
        <v>42</v>
      </c>
      <c r="E404" s="6" t="s">
        <v>981</v>
      </c>
      <c r="F404" s="9"/>
    </row>
    <row r="405" ht="33.75" customHeight="1">
      <c r="A405" s="7">
        <v>15.0</v>
      </c>
      <c r="B405" s="9" t="s">
        <v>975</v>
      </c>
      <c r="C405" s="9" t="s">
        <v>976</v>
      </c>
      <c r="D405" s="9" t="s">
        <v>52</v>
      </c>
      <c r="E405" s="6" t="s">
        <v>983</v>
      </c>
      <c r="F405" s="9"/>
    </row>
    <row r="406" ht="33.75" customHeight="1">
      <c r="A406" s="7">
        <v>15.0</v>
      </c>
      <c r="B406" s="9" t="s">
        <v>975</v>
      </c>
      <c r="C406" s="9" t="s">
        <v>976</v>
      </c>
      <c r="D406" s="9" t="s">
        <v>59</v>
      </c>
      <c r="E406" s="6" t="s">
        <v>985</v>
      </c>
      <c r="F406" s="9"/>
    </row>
    <row r="407" ht="33.75" customHeight="1">
      <c r="A407" s="7">
        <v>15.0</v>
      </c>
      <c r="B407" s="9" t="s">
        <v>975</v>
      </c>
      <c r="C407" s="9" t="s">
        <v>976</v>
      </c>
      <c r="D407" s="9" t="s">
        <v>64</v>
      </c>
      <c r="E407" s="6" t="s">
        <v>988</v>
      </c>
      <c r="F407" s="9"/>
    </row>
    <row r="408" ht="33.75" customHeight="1">
      <c r="A408" s="7">
        <v>15.0</v>
      </c>
      <c r="B408" s="9" t="s">
        <v>975</v>
      </c>
      <c r="C408" s="9" t="s">
        <v>976</v>
      </c>
      <c r="D408" s="9" t="s">
        <v>67</v>
      </c>
      <c r="E408" s="6" t="s">
        <v>990</v>
      </c>
      <c r="F408" s="9"/>
    </row>
    <row r="409" ht="33.75" customHeight="1">
      <c r="A409" s="7">
        <v>15.0</v>
      </c>
      <c r="B409" s="9" t="s">
        <v>975</v>
      </c>
      <c r="C409" s="9" t="s">
        <v>976</v>
      </c>
      <c r="D409" s="9" t="s">
        <v>71</v>
      </c>
      <c r="E409" s="6" t="s">
        <v>990</v>
      </c>
      <c r="F409" s="9"/>
    </row>
    <row r="410" ht="33.75" customHeight="1">
      <c r="A410" s="7">
        <v>15.0</v>
      </c>
      <c r="B410" s="9" t="s">
        <v>975</v>
      </c>
      <c r="C410" s="9" t="s">
        <v>976</v>
      </c>
      <c r="D410" s="9" t="s">
        <v>73</v>
      </c>
      <c r="E410" s="6" t="s">
        <v>993</v>
      </c>
      <c r="F410" s="9"/>
    </row>
    <row r="411" ht="33.75" customHeight="1">
      <c r="A411" s="7">
        <v>15.0</v>
      </c>
      <c r="B411" s="9" t="s">
        <v>975</v>
      </c>
      <c r="C411" s="9" t="s">
        <v>976</v>
      </c>
      <c r="D411" s="9" t="s">
        <v>75</v>
      </c>
      <c r="E411" s="6" t="s">
        <v>995</v>
      </c>
      <c r="F411" s="9"/>
    </row>
    <row r="412" ht="33.75" customHeight="1">
      <c r="A412" s="7">
        <v>15.0</v>
      </c>
      <c r="B412" s="9" t="s">
        <v>975</v>
      </c>
      <c r="C412" s="9" t="s">
        <v>976</v>
      </c>
      <c r="D412" s="9" t="s">
        <v>79</v>
      </c>
      <c r="E412" s="6" t="s">
        <v>997</v>
      </c>
      <c r="F412" s="9"/>
    </row>
    <row r="413" ht="33.75" customHeight="1">
      <c r="A413" s="7">
        <v>15.0</v>
      </c>
      <c r="B413" s="9" t="s">
        <v>975</v>
      </c>
      <c r="C413" s="9" t="s">
        <v>976</v>
      </c>
      <c r="D413" s="9" t="s">
        <v>81</v>
      </c>
      <c r="E413" s="6" t="s">
        <v>999</v>
      </c>
      <c r="F413" s="9"/>
    </row>
    <row r="414" ht="33.75" customHeight="1">
      <c r="A414" s="7">
        <v>15.0</v>
      </c>
      <c r="B414" s="9" t="s">
        <v>975</v>
      </c>
      <c r="C414" s="9" t="s">
        <v>976</v>
      </c>
      <c r="D414" s="9" t="s">
        <v>84</v>
      </c>
      <c r="E414" s="6" t="s">
        <v>999</v>
      </c>
      <c r="F414" s="9"/>
    </row>
    <row r="415" ht="33.75" customHeight="1">
      <c r="A415" s="7">
        <v>15.0</v>
      </c>
      <c r="B415" s="9" t="s">
        <v>975</v>
      </c>
      <c r="C415" s="9" t="s">
        <v>976</v>
      </c>
      <c r="D415" s="9" t="s">
        <v>87</v>
      </c>
      <c r="E415" s="6" t="s">
        <v>999</v>
      </c>
      <c r="F415" s="9"/>
    </row>
    <row r="416" ht="33.75" customHeight="1">
      <c r="A416" s="7">
        <v>15.0</v>
      </c>
      <c r="B416" s="9" t="s">
        <v>975</v>
      </c>
      <c r="C416" s="9" t="s">
        <v>976</v>
      </c>
      <c r="D416" s="9" t="s">
        <v>89</v>
      </c>
      <c r="E416" s="6" t="s">
        <v>983</v>
      </c>
      <c r="F416" s="9"/>
    </row>
    <row r="417" ht="33.75" customHeight="1">
      <c r="A417" s="7">
        <v>15.0</v>
      </c>
      <c r="B417" s="9" t="s">
        <v>975</v>
      </c>
      <c r="C417" s="9" t="s">
        <v>976</v>
      </c>
      <c r="D417" s="9" t="s">
        <v>91</v>
      </c>
      <c r="E417" s="6" t="s">
        <v>985</v>
      </c>
      <c r="F417" s="9"/>
    </row>
    <row r="418" ht="33.75" customHeight="1">
      <c r="A418" s="7">
        <v>15.0</v>
      </c>
      <c r="B418" s="9" t="s">
        <v>975</v>
      </c>
      <c r="C418" s="9" t="s">
        <v>976</v>
      </c>
      <c r="D418" s="9" t="s">
        <v>93</v>
      </c>
      <c r="E418" s="6" t="s">
        <v>999</v>
      </c>
      <c r="F418" s="9"/>
    </row>
    <row r="419" ht="33.75" customHeight="1">
      <c r="A419" s="7">
        <v>15.0</v>
      </c>
      <c r="B419" s="9" t="s">
        <v>975</v>
      </c>
      <c r="C419" s="9" t="s">
        <v>976</v>
      </c>
      <c r="D419" s="9" t="s">
        <v>95</v>
      </c>
      <c r="E419" s="6" t="s">
        <v>999</v>
      </c>
      <c r="F419" s="9"/>
    </row>
    <row r="420" ht="33.75" customHeight="1">
      <c r="A420" s="7">
        <v>15.0</v>
      </c>
      <c r="B420" s="9" t="s">
        <v>975</v>
      </c>
      <c r="C420" s="9" t="s">
        <v>976</v>
      </c>
      <c r="D420" s="9" t="s">
        <v>98</v>
      </c>
      <c r="E420" s="6" t="s">
        <v>999</v>
      </c>
      <c r="F420" s="9"/>
    </row>
    <row r="421" ht="33.75" customHeight="1">
      <c r="A421" s="7">
        <v>15.0</v>
      </c>
      <c r="B421" s="9" t="s">
        <v>975</v>
      </c>
      <c r="C421" s="9" t="s">
        <v>976</v>
      </c>
      <c r="D421" s="9" t="s">
        <v>99</v>
      </c>
      <c r="E421" s="6" t="s">
        <v>999</v>
      </c>
      <c r="F421" s="9"/>
    </row>
    <row r="422" ht="33.75" customHeight="1">
      <c r="A422" s="7">
        <v>15.0</v>
      </c>
      <c r="B422" s="9" t="s">
        <v>975</v>
      </c>
      <c r="C422" s="9" t="s">
        <v>976</v>
      </c>
      <c r="D422" s="9" t="s">
        <v>101</v>
      </c>
      <c r="E422" s="6" t="s">
        <v>1022</v>
      </c>
      <c r="F422" s="9"/>
    </row>
    <row r="423" ht="33.75" customHeight="1">
      <c r="A423" s="7">
        <v>15.0</v>
      </c>
      <c r="B423" s="9" t="s">
        <v>975</v>
      </c>
      <c r="C423" s="9" t="s">
        <v>976</v>
      </c>
      <c r="D423" s="9" t="s">
        <v>105</v>
      </c>
      <c r="E423" s="6" t="s">
        <v>995</v>
      </c>
      <c r="F423" s="9"/>
    </row>
    <row r="424" ht="33.75" customHeight="1">
      <c r="A424" s="7">
        <v>15.0</v>
      </c>
      <c r="B424" s="9" t="s">
        <v>975</v>
      </c>
      <c r="C424" s="9" t="s">
        <v>976</v>
      </c>
      <c r="D424" s="9" t="s">
        <v>107</v>
      </c>
      <c r="E424" s="6" t="s">
        <v>1027</v>
      </c>
      <c r="F424" s="9"/>
    </row>
    <row r="425" ht="33.75" customHeight="1">
      <c r="A425" s="7">
        <v>15.0</v>
      </c>
      <c r="B425" s="9" t="s">
        <v>975</v>
      </c>
      <c r="C425" s="9" t="s">
        <v>976</v>
      </c>
      <c r="D425" s="9" t="s">
        <v>109</v>
      </c>
      <c r="E425" s="6" t="s">
        <v>1027</v>
      </c>
      <c r="F425" s="9"/>
    </row>
    <row r="426" ht="33.75" customHeight="1">
      <c r="A426" s="7">
        <v>15.0</v>
      </c>
      <c r="B426" s="9" t="s">
        <v>975</v>
      </c>
      <c r="C426" s="9" t="s">
        <v>976</v>
      </c>
      <c r="D426" s="9" t="s">
        <v>111</v>
      </c>
      <c r="E426" s="6" t="s">
        <v>1022</v>
      </c>
      <c r="F426" s="9"/>
    </row>
    <row r="427" ht="33.75" customHeight="1">
      <c r="A427" s="7">
        <v>15.0</v>
      </c>
      <c r="B427" s="9" t="s">
        <v>975</v>
      </c>
      <c r="C427" s="9" t="s">
        <v>976</v>
      </c>
      <c r="D427" s="9" t="s">
        <v>113</v>
      </c>
      <c r="E427" s="6" t="s">
        <v>1022</v>
      </c>
      <c r="F427" s="9"/>
    </row>
    <row r="428" ht="33.75" customHeight="1">
      <c r="A428" s="7">
        <v>16.0</v>
      </c>
      <c r="B428" s="9" t="s">
        <v>1040</v>
      </c>
      <c r="C428" s="9" t="s">
        <v>1041</v>
      </c>
      <c r="D428" s="9" t="s">
        <v>24</v>
      </c>
      <c r="E428" s="6" t="s">
        <v>1043</v>
      </c>
      <c r="F428" t="inlineStr" s="10">
        <is>
          <t xml:space="preserve">Yleinen näky metsissä ja mökkimaissa. Se räpyttelee siipiään maanpinnan tasolla potkiakseen ilmaan sokaisevaa hiekkaa. Hyvin säyseä. Hyökkäyksen sattuessa se usein potkii hiekkaa ilmaan suojellakseen itseään sen sijaan, että taistelisi vastaan. Se yleensä piiloutuu korkeaan ruohikkoon. Koska se ei pidä taistelusta, se suojelee itseään potkimalla hiekkaa ilmaan. Se on yleinen ruohoalueilla ja metsissä, ja se on hyvin säyseä ja ajaa viholliset pois läpsyttämällä hiekkaa ilmaan. Se räpyttelee siipiään nopeasti ruohikossa ja nostattaa pölypilven, joka ajaa hyönteisten saaliin ulos avoimelle paikalle. PIDGEYllä on erittäin tarkka suuntavaisto. Se pystyy palaamaan erehtymättä kotiin pesälleen, olipa se kuinka kaukana tahansa tutusta ympäristöstään. Sillä on erittäin tarkka suuntavaisto. Se voi erehtymättä palata pesälleen, olipa se kuinka kaukana tahansa tutusta ympäristöstään. Ei pidä tappelusta. Se piiloutuu korkeaan ruohikkoon ja etsii ravintoa, kuten pieniä ötököitä. Se on säyseä ja välttää mieluummin konflikteja. Häiriintyessä se voi kuitenkin iskeä raivokkaasti takaisin.</t>
        </is>
      </c>
    </row>
    <row r="429" ht="33.75" customHeight="1">
      <c r="A429" s="7">
        <v>16.0</v>
      </c>
      <c r="B429" s="9" t="s">
        <v>1040</v>
      </c>
      <c r="C429" s="9" t="s">
        <v>1041</v>
      </c>
      <c r="D429" s="9" t="s">
        <v>35</v>
      </c>
      <c r="E429" s="6" t="s">
        <v>1043</v>
      </c>
      <c r="F429" s="9"/>
    </row>
    <row r="430" ht="33.75" customHeight="1">
      <c r="A430" s="7">
        <v>16.0</v>
      </c>
      <c r="B430" s="9" t="s">
        <v>1040</v>
      </c>
      <c r="C430" s="9" t="s">
        <v>1041</v>
      </c>
      <c r="D430" s="9" t="s">
        <v>42</v>
      </c>
      <c r="E430" s="6" t="s">
        <v>1050</v>
      </c>
      <c r="F430" s="9"/>
    </row>
    <row r="431" ht="33.75" customHeight="1">
      <c r="A431" s="7">
        <v>16.0</v>
      </c>
      <c r="B431" s="9" t="s">
        <v>1040</v>
      </c>
      <c r="C431" s="9" t="s">
        <v>1041</v>
      </c>
      <c r="D431" s="9" t="s">
        <v>52</v>
      </c>
      <c r="E431" s="6" t="s">
        <v>1054</v>
      </c>
      <c r="F431" s="9"/>
    </row>
    <row r="432" ht="33.75" customHeight="1">
      <c r="A432" s="7">
        <v>16.0</v>
      </c>
      <c r="B432" s="9" t="s">
        <v>1040</v>
      </c>
      <c r="C432" s="9" t="s">
        <v>1041</v>
      </c>
      <c r="D432" s="9" t="s">
        <v>59</v>
      </c>
      <c r="E432" s="6" t="s">
        <v>1059</v>
      </c>
      <c r="F432" s="9"/>
    </row>
    <row r="433" ht="33.75" customHeight="1">
      <c r="A433" s="7">
        <v>16.0</v>
      </c>
      <c r="B433" s="9" t="s">
        <v>1040</v>
      </c>
      <c r="C433" s="9" t="s">
        <v>1041</v>
      </c>
      <c r="D433" s="9" t="s">
        <v>64</v>
      </c>
      <c r="E433" s="6" t="s">
        <v>1062</v>
      </c>
      <c r="F433" s="9"/>
    </row>
    <row r="434" ht="33.75" customHeight="1">
      <c r="A434" s="7">
        <v>16.0</v>
      </c>
      <c r="B434" s="9" t="s">
        <v>1040</v>
      </c>
      <c r="C434" s="9" t="s">
        <v>1041</v>
      </c>
      <c r="D434" s="9" t="s">
        <v>67</v>
      </c>
      <c r="E434" s="6" t="s">
        <v>1065</v>
      </c>
      <c r="F434" s="9"/>
    </row>
    <row r="435" ht="33.75" customHeight="1">
      <c r="A435" s="7">
        <v>16.0</v>
      </c>
      <c r="B435" s="9" t="s">
        <v>1040</v>
      </c>
      <c r="C435" s="9" t="s">
        <v>1041</v>
      </c>
      <c r="D435" s="9" t="s">
        <v>71</v>
      </c>
      <c r="E435" s="6" t="s">
        <v>1065</v>
      </c>
      <c r="F435" s="9"/>
    </row>
    <row r="436" ht="33.75" customHeight="1">
      <c r="A436" s="7">
        <v>16.0</v>
      </c>
      <c r="B436" s="9" t="s">
        <v>1040</v>
      </c>
      <c r="C436" s="9" t="s">
        <v>1041</v>
      </c>
      <c r="D436" s="9" t="s">
        <v>73</v>
      </c>
      <c r="E436" s="6" t="s">
        <v>1070</v>
      </c>
      <c r="F436" s="9"/>
    </row>
    <row r="437" ht="33.75" customHeight="1">
      <c r="A437" s="7">
        <v>16.0</v>
      </c>
      <c r="B437" s="9" t="s">
        <v>1040</v>
      </c>
      <c r="C437" s="9" t="s">
        <v>1041</v>
      </c>
      <c r="D437" s="9" t="s">
        <v>75</v>
      </c>
      <c r="E437" s="6" t="s">
        <v>1073</v>
      </c>
      <c r="F437" s="9"/>
    </row>
    <row r="438" ht="33.75" customHeight="1">
      <c r="A438" s="7">
        <v>16.0</v>
      </c>
      <c r="B438" s="9" t="s">
        <v>1040</v>
      </c>
      <c r="C438" s="9" t="s">
        <v>1041</v>
      </c>
      <c r="D438" s="9" t="s">
        <v>79</v>
      </c>
      <c r="E438" s="6" t="s">
        <v>1043</v>
      </c>
      <c r="F438" s="9"/>
    </row>
    <row r="439" ht="33.75" customHeight="1">
      <c r="A439" s="7">
        <v>16.0</v>
      </c>
      <c r="B439" s="9" t="s">
        <v>1040</v>
      </c>
      <c r="C439" s="9" t="s">
        <v>1041</v>
      </c>
      <c r="D439" s="9" t="s">
        <v>81</v>
      </c>
      <c r="E439" s="6" t="s">
        <v>1078</v>
      </c>
      <c r="F439" s="9"/>
    </row>
    <row r="440" ht="33.75" customHeight="1">
      <c r="A440" s="7">
        <v>16.0</v>
      </c>
      <c r="B440" s="9" t="s">
        <v>1040</v>
      </c>
      <c r="C440" s="9" t="s">
        <v>1041</v>
      </c>
      <c r="D440" s="9" t="s">
        <v>84</v>
      </c>
      <c r="E440" s="6" t="s">
        <v>1078</v>
      </c>
      <c r="F440" s="9"/>
    </row>
    <row r="441" ht="33.75" customHeight="1">
      <c r="A441" s="7">
        <v>16.0</v>
      </c>
      <c r="B441" s="9" t="s">
        <v>1040</v>
      </c>
      <c r="C441" s="9" t="s">
        <v>1041</v>
      </c>
      <c r="D441" s="9" t="s">
        <v>87</v>
      </c>
      <c r="E441" s="6" t="s">
        <v>1078</v>
      </c>
      <c r="F441" s="9"/>
    </row>
    <row r="442" ht="33.75" customHeight="1">
      <c r="A442" s="7">
        <v>16.0</v>
      </c>
      <c r="B442" s="9" t="s">
        <v>1040</v>
      </c>
      <c r="C442" s="9" t="s">
        <v>1041</v>
      </c>
      <c r="D442" s="9" t="s">
        <v>89</v>
      </c>
      <c r="E442" s="6" t="s">
        <v>1054</v>
      </c>
      <c r="F442" s="9"/>
    </row>
    <row r="443" ht="33.75" customHeight="1">
      <c r="A443" s="7">
        <v>16.0</v>
      </c>
      <c r="B443" s="9" t="s">
        <v>1040</v>
      </c>
      <c r="C443" s="9" t="s">
        <v>1041</v>
      </c>
      <c r="D443" s="9" t="s">
        <v>91</v>
      </c>
      <c r="E443" s="6" t="s">
        <v>1059</v>
      </c>
      <c r="F443" s="9"/>
    </row>
    <row r="444" ht="33.75" customHeight="1">
      <c r="A444" s="7">
        <v>16.0</v>
      </c>
      <c r="B444" s="9" t="s">
        <v>1040</v>
      </c>
      <c r="C444" s="9" t="s">
        <v>1041</v>
      </c>
      <c r="D444" s="9" t="s">
        <v>93</v>
      </c>
      <c r="E444" s="6" t="s">
        <v>1078</v>
      </c>
      <c r="F444" s="9"/>
    </row>
    <row r="445" ht="33.75" customHeight="1">
      <c r="A445" s="7">
        <v>16.0</v>
      </c>
      <c r="B445" s="9" t="s">
        <v>1040</v>
      </c>
      <c r="C445" s="9" t="s">
        <v>1041</v>
      </c>
      <c r="D445" s="9" t="s">
        <v>95</v>
      </c>
      <c r="E445" s="6" t="s">
        <v>1078</v>
      </c>
      <c r="F445" s="9"/>
    </row>
    <row r="446" ht="33.75" customHeight="1">
      <c r="A446" s="7">
        <v>16.0</v>
      </c>
      <c r="B446" s="9" t="s">
        <v>1040</v>
      </c>
      <c r="C446" s="9" t="s">
        <v>1041</v>
      </c>
      <c r="D446" s="9" t="s">
        <v>98</v>
      </c>
      <c r="E446" s="6" t="s">
        <v>1078</v>
      </c>
      <c r="F446" s="9"/>
    </row>
    <row r="447" ht="33.75" customHeight="1">
      <c r="A447" s="7">
        <v>16.0</v>
      </c>
      <c r="B447" s="9" t="s">
        <v>1040</v>
      </c>
      <c r="C447" s="9" t="s">
        <v>1041</v>
      </c>
      <c r="D447" s="9" t="s">
        <v>99</v>
      </c>
      <c r="E447" s="6" t="s">
        <v>1078</v>
      </c>
      <c r="F447" s="9"/>
    </row>
    <row r="448" ht="33.75" customHeight="1">
      <c r="A448" s="7">
        <v>16.0</v>
      </c>
      <c r="B448" s="9" t="s">
        <v>1040</v>
      </c>
      <c r="C448" s="9" t="s">
        <v>1041</v>
      </c>
      <c r="D448" s="9" t="s">
        <v>101</v>
      </c>
      <c r="E448" s="6" t="s">
        <v>1043</v>
      </c>
      <c r="F448" s="9"/>
    </row>
    <row r="449" ht="33.75" customHeight="1">
      <c r="A449" s="7">
        <v>16.0</v>
      </c>
      <c r="B449" s="9" t="s">
        <v>1040</v>
      </c>
      <c r="C449" s="9" t="s">
        <v>1041</v>
      </c>
      <c r="D449" s="9" t="s">
        <v>105</v>
      </c>
      <c r="E449" s="6" t="s">
        <v>1078</v>
      </c>
      <c r="F449" s="9"/>
    </row>
    <row r="450" ht="33.75" customHeight="1">
      <c r="A450" s="7">
        <v>16.0</v>
      </c>
      <c r="B450" s="9" t="s">
        <v>1040</v>
      </c>
      <c r="C450" s="9" t="s">
        <v>1041</v>
      </c>
      <c r="D450" s="9" t="s">
        <v>107</v>
      </c>
      <c r="E450" s="6" t="s">
        <v>1108</v>
      </c>
      <c r="F450" s="9"/>
    </row>
    <row r="451" ht="33.75" customHeight="1">
      <c r="A451" s="7">
        <v>16.0</v>
      </c>
      <c r="B451" s="9" t="s">
        <v>1040</v>
      </c>
      <c r="C451" s="9" t="s">
        <v>1041</v>
      </c>
      <c r="D451" s="9" t="s">
        <v>109</v>
      </c>
      <c r="E451" s="6" t="s">
        <v>1108</v>
      </c>
      <c r="F451" s="9"/>
    </row>
    <row r="452" ht="33.75" customHeight="1">
      <c r="A452" s="7">
        <v>16.0</v>
      </c>
      <c r="B452" s="9" t="s">
        <v>1040</v>
      </c>
      <c r="C452" s="9" t="s">
        <v>1041</v>
      </c>
      <c r="D452" s="9" t="s">
        <v>111</v>
      </c>
      <c r="E452" s="6" t="s">
        <v>1050</v>
      </c>
      <c r="F452" s="9"/>
    </row>
    <row r="453" ht="33.75" customHeight="1">
      <c r="A453" s="7">
        <v>16.0</v>
      </c>
      <c r="B453" s="9" t="s">
        <v>1040</v>
      </c>
      <c r="C453" s="9" t="s">
        <v>1041</v>
      </c>
      <c r="D453" s="9" t="s">
        <v>113</v>
      </c>
      <c r="E453" s="6" t="s">
        <v>1050</v>
      </c>
      <c r="F453" s="9"/>
    </row>
    <row r="454" ht="33.75" customHeight="1">
      <c r="A454" s="7">
        <v>17.0</v>
      </c>
      <c r="B454" s="9" t="s">
        <v>1121</v>
      </c>
      <c r="C454" s="9" t="s">
        <v>1122</v>
      </c>
      <c r="D454" s="9" t="s">
        <v>24</v>
      </c>
      <c r="E454" s="6" t="s">
        <v>1124</v>
      </c>
      <c r="F454" t="inlineStr" s="10">
        <is>
          <t xml:space="preserve">Tämä POKéMON suojelee erittäin laajaa reviiriään ja nokkii raivokkaasti ketä tahansa tunkeilijaa. Tämä POKéMON on täynnä elinvoimaa. Se lentää jatkuvasti laajalla alueellaan etsimässä saalista. Sillä on erinomainen näkökyky. Olipa se kuinka korkealla tahansa, se pystyy erottamaan saaliinsa liikkeet. Se lamauttaa saaliinsa hyvin kehittyneiden kynsien avulla ja kantaa sen sitten yli 95 kilometrin päähän pesälleen. Se lentää hitaasti ympyrää pitäen koko ajan tarkkaan silmällä saalista. PIDGEOTTO pitää suurta aluetta omana reviirinään. Tämä POKéMON lentää ympäriinsä partioiden sen elintilaa. Jos sen reviiriä loukataan, se ei armahda rankaisemalla vihollista perusteellisesti terävillä kynsillään. Tämä POKéMON lentää ympäriinsä partioiden laajaa aluettaan. Jos sen elintilaa loukataan, se ei armahda rankaisemalla vihollista perusteellisesti terävillä kynsillään. Sen jalkojen kynnet ovat hyvin kehittyneet. Se voi kantaa saalista, kuten EXEGCUTE-munan, pesäänsä yli 95 kilometrin päähän. Se lentää laajan alueensa yli saalista etsien ja kaataa sen pitkälle kehittyneillä kynsillään. Se tekee saaliistaan ​​liikkumattomana hyvin kehittyneiden kynsien avulla ja kantaa sitten saaliinsa yli 95 kilometrin päähän pesälleen. Se voi kantaa saalista, kuten Exeggcuten, pesälleen yli 95 kilometrin päähän.</t>
        </is>
      </c>
    </row>
    <row r="455" ht="33.75" customHeight="1">
      <c r="A455" s="7">
        <v>17.0</v>
      </c>
      <c r="B455" s="9" t="s">
        <v>1121</v>
      </c>
      <c r="C455" s="9" t="s">
        <v>1122</v>
      </c>
      <c r="D455" s="9" t="s">
        <v>35</v>
      </c>
      <c r="E455" s="6" t="s">
        <v>1124</v>
      </c>
      <c r="F455" s="9"/>
    </row>
    <row r="456" ht="33.75" customHeight="1">
      <c r="A456" s="7">
        <v>17.0</v>
      </c>
      <c r="B456" s="9" t="s">
        <v>1121</v>
      </c>
      <c r="C456" s="9" t="s">
        <v>1122</v>
      </c>
      <c r="D456" s="9" t="s">
        <v>42</v>
      </c>
      <c r="E456" s="6" t="s">
        <v>1130</v>
      </c>
      <c r="F456" s="9"/>
    </row>
    <row r="457" ht="33.75" customHeight="1">
      <c r="A457" s="7">
        <v>17.0</v>
      </c>
      <c r="B457" s="9" t="s">
        <v>1121</v>
      </c>
      <c r="C457" s="9" t="s">
        <v>1122</v>
      </c>
      <c r="D457" s="9" t="s">
        <v>52</v>
      </c>
      <c r="E457" s="6" t="s">
        <v>1133</v>
      </c>
      <c r="F457" s="9"/>
    </row>
    <row r="458" ht="33.75" customHeight="1">
      <c r="A458" s="7">
        <v>17.0</v>
      </c>
      <c r="B458" s="9" t="s">
        <v>1121</v>
      </c>
      <c r="C458" s="9" t="s">
        <v>1122</v>
      </c>
      <c r="D458" s="9" t="s">
        <v>59</v>
      </c>
      <c r="E458" s="6" t="s">
        <v>1136</v>
      </c>
      <c r="F458" s="9"/>
    </row>
    <row r="459" ht="33.75" customHeight="1">
      <c r="A459" s="7">
        <v>17.0</v>
      </c>
      <c r="B459" s="9" t="s">
        <v>1121</v>
      </c>
      <c r="C459" s="9" t="s">
        <v>1122</v>
      </c>
      <c r="D459" s="9" t="s">
        <v>64</v>
      </c>
      <c r="E459" s="6" t="s">
        <v>1139</v>
      </c>
      <c r="F459" s="9"/>
    </row>
    <row r="460" ht="33.75" customHeight="1">
      <c r="A460" s="7">
        <v>17.0</v>
      </c>
      <c r="B460" s="9" t="s">
        <v>1121</v>
      </c>
      <c r="C460" s="9" t="s">
        <v>1122</v>
      </c>
      <c r="D460" s="9" t="s">
        <v>67</v>
      </c>
      <c r="E460" s="6" t="s">
        <v>1142</v>
      </c>
      <c r="F460" s="9"/>
    </row>
    <row r="461" ht="33.75" customHeight="1">
      <c r="A461" s="7">
        <v>17.0</v>
      </c>
      <c r="B461" s="9" t="s">
        <v>1121</v>
      </c>
      <c r="C461" s="9" t="s">
        <v>1122</v>
      </c>
      <c r="D461" s="9" t="s">
        <v>71</v>
      </c>
      <c r="E461" s="6" t="s">
        <v>1142</v>
      </c>
      <c r="F461" s="9"/>
    </row>
    <row r="462" ht="33.75" customHeight="1">
      <c r="A462" s="7">
        <v>17.0</v>
      </c>
      <c r="B462" s="9" t="s">
        <v>1121</v>
      </c>
      <c r="C462" s="9" t="s">
        <v>1122</v>
      </c>
      <c r="D462" s="9" t="s">
        <v>73</v>
      </c>
      <c r="E462" s="6" t="s">
        <v>1149</v>
      </c>
      <c r="F462" s="9"/>
    </row>
    <row r="463" ht="33.75" customHeight="1">
      <c r="A463" s="7">
        <v>17.0</v>
      </c>
      <c r="B463" s="9" t="s">
        <v>1121</v>
      </c>
      <c r="C463" s="9" t="s">
        <v>1122</v>
      </c>
      <c r="D463" s="9" t="s">
        <v>75</v>
      </c>
      <c r="E463" s="6" t="s">
        <v>1152</v>
      </c>
      <c r="F463" s="9"/>
    </row>
    <row r="464" ht="33.75" customHeight="1">
      <c r="A464" s="7">
        <v>17.0</v>
      </c>
      <c r="B464" s="9" t="s">
        <v>1121</v>
      </c>
      <c r="C464" s="9" t="s">
        <v>1122</v>
      </c>
      <c r="D464" s="9" t="s">
        <v>79</v>
      </c>
      <c r="E464" s="6" t="s">
        <v>1124</v>
      </c>
      <c r="F464" s="9"/>
    </row>
    <row r="465" ht="33.75" customHeight="1">
      <c r="A465" s="7">
        <v>17.0</v>
      </c>
      <c r="B465" s="9" t="s">
        <v>1121</v>
      </c>
      <c r="C465" s="9" t="s">
        <v>1122</v>
      </c>
      <c r="D465" s="9" t="s">
        <v>81</v>
      </c>
      <c r="E465" s="6" t="s">
        <v>1157</v>
      </c>
      <c r="F465" s="9"/>
    </row>
    <row r="466" ht="33.75" customHeight="1">
      <c r="A466" s="7">
        <v>17.0</v>
      </c>
      <c r="B466" s="9" t="s">
        <v>1121</v>
      </c>
      <c r="C466" s="9" t="s">
        <v>1122</v>
      </c>
      <c r="D466" s="9" t="s">
        <v>84</v>
      </c>
      <c r="E466" s="6" t="s">
        <v>1157</v>
      </c>
      <c r="F466" s="9"/>
    </row>
    <row r="467" ht="33.75" customHeight="1">
      <c r="A467" s="7">
        <v>17.0</v>
      </c>
      <c r="B467" s="9" t="s">
        <v>1121</v>
      </c>
      <c r="C467" s="9" t="s">
        <v>1122</v>
      </c>
      <c r="D467" s="9" t="s">
        <v>87</v>
      </c>
      <c r="E467" s="6" t="s">
        <v>1157</v>
      </c>
      <c r="F467" s="9"/>
    </row>
    <row r="468" ht="33.75" customHeight="1">
      <c r="A468" s="7">
        <v>17.0</v>
      </c>
      <c r="B468" s="9" t="s">
        <v>1121</v>
      </c>
      <c r="C468" s="9" t="s">
        <v>1122</v>
      </c>
      <c r="D468" s="9" t="s">
        <v>89</v>
      </c>
      <c r="E468" s="6" t="s">
        <v>1133</v>
      </c>
      <c r="F468" s="9"/>
    </row>
    <row r="469" ht="33.75" customHeight="1">
      <c r="A469" s="7">
        <v>17.0</v>
      </c>
      <c r="B469" s="9" t="s">
        <v>1121</v>
      </c>
      <c r="C469" s="9" t="s">
        <v>1122</v>
      </c>
      <c r="D469" s="9" t="s">
        <v>91</v>
      </c>
      <c r="E469" s="6" t="s">
        <v>1170</v>
      </c>
      <c r="F469" s="9"/>
    </row>
    <row r="470" ht="33.75" customHeight="1">
      <c r="A470" s="7">
        <v>17.0</v>
      </c>
      <c r="B470" s="9" t="s">
        <v>1121</v>
      </c>
      <c r="C470" s="9" t="s">
        <v>1122</v>
      </c>
      <c r="D470" s="9" t="s">
        <v>93</v>
      </c>
      <c r="E470" s="6" t="s">
        <v>1157</v>
      </c>
      <c r="F470" s="9"/>
    </row>
    <row r="471" ht="33.75" customHeight="1">
      <c r="A471" s="7">
        <v>17.0</v>
      </c>
      <c r="B471" s="9" t="s">
        <v>1121</v>
      </c>
      <c r="C471" s="9" t="s">
        <v>1122</v>
      </c>
      <c r="D471" s="9" t="s">
        <v>95</v>
      </c>
      <c r="E471" s="6" t="s">
        <v>1157</v>
      </c>
      <c r="F471" s="9"/>
    </row>
    <row r="472" ht="33.75" customHeight="1">
      <c r="A472" s="7">
        <v>17.0</v>
      </c>
      <c r="B472" s="9" t="s">
        <v>1121</v>
      </c>
      <c r="C472" s="9" t="s">
        <v>1122</v>
      </c>
      <c r="D472" s="9" t="s">
        <v>98</v>
      </c>
      <c r="E472" s="6" t="s">
        <v>1157</v>
      </c>
      <c r="F472" s="9"/>
    </row>
    <row r="473" ht="33.75" customHeight="1">
      <c r="A473" s="7">
        <v>17.0</v>
      </c>
      <c r="B473" s="9" t="s">
        <v>1121</v>
      </c>
      <c r="C473" s="9" t="s">
        <v>1122</v>
      </c>
      <c r="D473" s="9" t="s">
        <v>99</v>
      </c>
      <c r="E473" s="6" t="s">
        <v>1157</v>
      </c>
      <c r="F473" s="9"/>
    </row>
    <row r="474" ht="33.75" customHeight="1">
      <c r="A474" s="7">
        <v>17.0</v>
      </c>
      <c r="B474" s="9" t="s">
        <v>1121</v>
      </c>
      <c r="C474" s="9" t="s">
        <v>1122</v>
      </c>
      <c r="D474" s="9" t="s">
        <v>101</v>
      </c>
      <c r="E474" s="6" t="s">
        <v>1186</v>
      </c>
      <c r="F474" s="9"/>
    </row>
    <row r="475" ht="33.75" customHeight="1">
      <c r="A475" s="7">
        <v>17.0</v>
      </c>
      <c r="B475" s="9" t="s">
        <v>1121</v>
      </c>
      <c r="C475" s="9" t="s">
        <v>1122</v>
      </c>
      <c r="D475" s="9" t="s">
        <v>105</v>
      </c>
      <c r="E475" s="6" t="s">
        <v>1189</v>
      </c>
      <c r="F475" s="9"/>
    </row>
    <row r="476" ht="33.75" customHeight="1">
      <c r="A476" s="7">
        <v>17.0</v>
      </c>
      <c r="B476" s="9" t="s">
        <v>1121</v>
      </c>
      <c r="C476" s="9" t="s">
        <v>1122</v>
      </c>
      <c r="D476" s="9" t="s">
        <v>107</v>
      </c>
      <c r="E476" s="6" t="s">
        <v>1192</v>
      </c>
      <c r="F476" s="9"/>
    </row>
    <row r="477" ht="33.75" customHeight="1">
      <c r="A477" s="7">
        <v>17.0</v>
      </c>
      <c r="B477" s="9" t="s">
        <v>1121</v>
      </c>
      <c r="C477" s="9" t="s">
        <v>1122</v>
      </c>
      <c r="D477" s="9" t="s">
        <v>109</v>
      </c>
      <c r="E477" s="6" t="s">
        <v>1192</v>
      </c>
      <c r="F477" s="9"/>
    </row>
    <row r="478" ht="33.75" customHeight="1">
      <c r="A478" s="7">
        <v>17.0</v>
      </c>
      <c r="B478" s="9" t="s">
        <v>1121</v>
      </c>
      <c r="C478" s="9" t="s">
        <v>1122</v>
      </c>
      <c r="D478" s="9" t="s">
        <v>111</v>
      </c>
      <c r="E478" s="6" t="s">
        <v>1198</v>
      </c>
      <c r="F478" s="9"/>
    </row>
    <row r="479" ht="33.75" customHeight="1">
      <c r="A479" s="7">
        <v>17.0</v>
      </c>
      <c r="B479" s="9" t="s">
        <v>1121</v>
      </c>
      <c r="C479" s="9" t="s">
        <v>1122</v>
      </c>
      <c r="D479" s="9" t="s">
        <v>113</v>
      </c>
      <c r="E479" s="6" t="s">
        <v>1198</v>
      </c>
      <c r="F479" s="9"/>
    </row>
    <row r="480" ht="33.75" customHeight="1">
      <c r="A480" s="7">
        <v>18.0</v>
      </c>
      <c r="B480" s="9" t="s">
        <v>1201</v>
      </c>
      <c r="C480" s="9" t="s">
        <v>1122</v>
      </c>
      <c r="D480" s="9" t="s">
        <v>24</v>
      </c>
      <c r="E480" s="6" t="s">
        <v>1203</v>
      </c>
      <c r="F480" t="inlineStr" s="10">
        <is>
          <t xml:space="preserve">Metsästäessään se pyyhkäisee veden pintaa suurella nopeudella napatakseen varomattomia saaliita, kuten MAGIKARPin. Tämä POKéMON lentää Mach 2 -nopeudella etsien saalista. Sen suuria kynsiä pelätään ilkeinä aseina. Sen hyvin kehittyneet rintalihakset tekevät siitä tarpeeksi vahvan nostattamaan puuskaisen myrskyn vain muutamalla läpällä. Se levittää kauniit siipensä leveälle pelotellakseen vihollisiaan. Se voi lentää Mach 2 -nopeudella. Sen erinomainen näkökyky mahdollistaa MAGIKARPin roiskeiden havaitsemisen jopa 3300 jalan korkeudessa lennettäessä. Tällä POKéMONilla on häikäisevä, kauniisti kiiltävien höyhenten muodostama höyhenpuvu. Monet VALMENTAJAT ihastuvat sen pään höyhenten silmiinpistävään kauneuteen, mikä saa heidät valitsemaan PIDGEOTIN POKéMONIKSI. Tällä POKéMONilla on upeat, kiiltävät höyhenet. Monet VALMENTAJAT ovat niin lumoutuneita sen pään kauniista höyhenistä, että he valitsevat PIDGEOTIN POKéMONIKSI. Se levittää upeat siipensä laajalle pelotellakseen vihollisia. Se kiitää taivaalla Mach-2 -nopeudella. Läpyttelemällä siipiään kaikin voimin PIDGEOT voi saada aikaan tuulenpuuskan, joka kykenee taivuttamaan korkeita puita. Läpyttämällä siipiään kaikin voimin Pidgeot voi saada aikaan tuulenpuuskan, joka kykenee taivuttamaan korkeita puita. Tällä Pokémonilla on häikäisevä, kauniisti kiiltävien höyhenten muodostama höyhenpuvun väri. Monet kouluttajat ovat lumoutuneita sen pään höyhenten silmiinpistävästä kauneudesta, mikä saa heidät valitsemaan Pidgeotin Pokémonikseen.</t>
        </is>
      </c>
    </row>
    <row r="481" ht="33.75" customHeight="1">
      <c r="A481" s="7">
        <v>18.0</v>
      </c>
      <c r="B481" s="9" t="s">
        <v>1201</v>
      </c>
      <c r="C481" s="9" t="s">
        <v>1122</v>
      </c>
      <c r="D481" s="9" t="s">
        <v>35</v>
      </c>
      <c r="E481" s="6" t="s">
        <v>1203</v>
      </c>
      <c r="F481" s="9"/>
    </row>
    <row r="482" ht="33.75" customHeight="1">
      <c r="A482" s="7">
        <v>18.0</v>
      </c>
      <c r="B482" s="9" t="s">
        <v>1201</v>
      </c>
      <c r="C482" s="9" t="s">
        <v>1122</v>
      </c>
      <c r="D482" s="9" t="s">
        <v>42</v>
      </c>
      <c r="E482" s="6" t="s">
        <v>1209</v>
      </c>
      <c r="F482" s="9"/>
    </row>
    <row r="483" ht="33.75" customHeight="1">
      <c r="A483" s="7">
        <v>18.0</v>
      </c>
      <c r="B483" s="9" t="s">
        <v>1201</v>
      </c>
      <c r="C483" s="9" t="s">
        <v>1122</v>
      </c>
      <c r="D483" s="9" t="s">
        <v>52</v>
      </c>
      <c r="E483" s="6" t="s">
        <v>1213</v>
      </c>
      <c r="F483" s="9"/>
    </row>
    <row r="484" ht="33.75" customHeight="1">
      <c r="A484" s="7">
        <v>18.0</v>
      </c>
      <c r="B484" s="9" t="s">
        <v>1201</v>
      </c>
      <c r="C484" s="9" t="s">
        <v>1122</v>
      </c>
      <c r="D484" s="9" t="s">
        <v>59</v>
      </c>
      <c r="E484" s="6" t="s">
        <v>1216</v>
      </c>
      <c r="F484" s="9"/>
    </row>
    <row r="485" ht="33.75" customHeight="1">
      <c r="A485" s="7">
        <v>18.0</v>
      </c>
      <c r="B485" s="9" t="s">
        <v>1201</v>
      </c>
      <c r="C485" s="9" t="s">
        <v>1122</v>
      </c>
      <c r="D485" s="9" t="s">
        <v>64</v>
      </c>
      <c r="E485" s="6" t="s">
        <v>1219</v>
      </c>
      <c r="F485" s="9"/>
    </row>
    <row r="486" ht="33.75" customHeight="1">
      <c r="A486" s="7">
        <v>18.0</v>
      </c>
      <c r="B486" s="9" t="s">
        <v>1201</v>
      </c>
      <c r="C486" s="9" t="s">
        <v>1122</v>
      </c>
      <c r="D486" s="9" t="s">
        <v>67</v>
      </c>
      <c r="E486" s="6" t="s">
        <v>1222</v>
      </c>
      <c r="F486" s="9"/>
    </row>
    <row r="487" ht="33.75" customHeight="1">
      <c r="A487" s="7">
        <v>18.0</v>
      </c>
      <c r="B487" s="9" t="s">
        <v>1201</v>
      </c>
      <c r="C487" s="9" t="s">
        <v>1122</v>
      </c>
      <c r="D487" s="9" t="s">
        <v>71</v>
      </c>
      <c r="E487" s="6" t="s">
        <v>1222</v>
      </c>
      <c r="F487" s="9"/>
    </row>
    <row r="488" ht="33.75" customHeight="1">
      <c r="A488" s="7">
        <v>18.0</v>
      </c>
      <c r="B488" s="9" t="s">
        <v>1201</v>
      </c>
      <c r="C488" s="9" t="s">
        <v>1122</v>
      </c>
      <c r="D488" s="9" t="s">
        <v>73</v>
      </c>
      <c r="E488" s="6" t="s">
        <v>1227</v>
      </c>
      <c r="F488" s="9"/>
    </row>
    <row r="489" ht="33.75" customHeight="1">
      <c r="A489" s="7">
        <v>18.0</v>
      </c>
      <c r="B489" s="9" t="s">
        <v>1201</v>
      </c>
      <c r="C489" s="9" t="s">
        <v>1122</v>
      </c>
      <c r="D489" s="9" t="s">
        <v>75</v>
      </c>
      <c r="E489" s="6" t="s">
        <v>1232</v>
      </c>
      <c r="F489" s="9"/>
    </row>
    <row r="490" ht="33.75" customHeight="1">
      <c r="A490" s="7">
        <v>18.0</v>
      </c>
      <c r="B490" s="9" t="s">
        <v>1201</v>
      </c>
      <c r="C490" s="9" t="s">
        <v>1122</v>
      </c>
      <c r="D490" s="9" t="s">
        <v>79</v>
      </c>
      <c r="E490" s="6" t="s">
        <v>1203</v>
      </c>
      <c r="F490" s="9"/>
    </row>
    <row r="491" ht="33.75" customHeight="1">
      <c r="A491" s="7">
        <v>18.0</v>
      </c>
      <c r="B491" s="9" t="s">
        <v>1201</v>
      </c>
      <c r="C491" s="9" t="s">
        <v>1122</v>
      </c>
      <c r="D491" s="9" t="s">
        <v>81</v>
      </c>
      <c r="E491" s="6" t="s">
        <v>1238</v>
      </c>
      <c r="F491" s="9"/>
    </row>
    <row r="492" ht="33.75" customHeight="1">
      <c r="A492" s="7">
        <v>18.0</v>
      </c>
      <c r="B492" s="9" t="s">
        <v>1201</v>
      </c>
      <c r="C492" s="9" t="s">
        <v>1122</v>
      </c>
      <c r="D492" s="9" t="s">
        <v>84</v>
      </c>
      <c r="E492" s="6" t="s">
        <v>1238</v>
      </c>
      <c r="F492" s="9"/>
    </row>
    <row r="493" ht="33.75" customHeight="1">
      <c r="A493" s="7">
        <v>18.0</v>
      </c>
      <c r="B493" s="9" t="s">
        <v>1201</v>
      </c>
      <c r="C493" s="9" t="s">
        <v>1122</v>
      </c>
      <c r="D493" s="9" t="s">
        <v>87</v>
      </c>
      <c r="E493" s="6" t="s">
        <v>1238</v>
      </c>
      <c r="F493" s="9"/>
    </row>
    <row r="494" ht="33.75" customHeight="1">
      <c r="A494" s="7">
        <v>18.0</v>
      </c>
      <c r="B494" s="9" t="s">
        <v>1201</v>
      </c>
      <c r="C494" s="9" t="s">
        <v>1122</v>
      </c>
      <c r="D494" s="9" t="s">
        <v>89</v>
      </c>
      <c r="E494" s="6" t="s">
        <v>1213</v>
      </c>
      <c r="F494" s="9"/>
    </row>
    <row r="495" ht="33.75" customHeight="1">
      <c r="A495" s="7">
        <v>18.0</v>
      </c>
      <c r="B495" s="9" t="s">
        <v>1201</v>
      </c>
      <c r="C495" s="9" t="s">
        <v>1122</v>
      </c>
      <c r="D495" s="9" t="s">
        <v>91</v>
      </c>
      <c r="E495" s="6" t="s">
        <v>1216</v>
      </c>
      <c r="F495" s="9"/>
    </row>
    <row r="496" ht="33.75" customHeight="1">
      <c r="A496" s="7">
        <v>18.0</v>
      </c>
      <c r="B496" s="9" t="s">
        <v>1201</v>
      </c>
      <c r="C496" s="9" t="s">
        <v>1122</v>
      </c>
      <c r="D496" s="9" t="s">
        <v>93</v>
      </c>
      <c r="E496" s="6" t="s">
        <v>1255</v>
      </c>
      <c r="F496" s="9"/>
    </row>
    <row r="497" ht="33.75" customHeight="1">
      <c r="A497" s="7">
        <v>18.0</v>
      </c>
      <c r="B497" s="9" t="s">
        <v>1201</v>
      </c>
      <c r="C497" s="9" t="s">
        <v>1122</v>
      </c>
      <c r="D497" s="9" t="s">
        <v>95</v>
      </c>
      <c r="E497" s="6" t="s">
        <v>1255</v>
      </c>
      <c r="F497" s="9"/>
    </row>
    <row r="498" ht="33.75" customHeight="1">
      <c r="A498" s="7">
        <v>18.0</v>
      </c>
      <c r="B498" s="9" t="s">
        <v>1201</v>
      </c>
      <c r="C498" s="9" t="s">
        <v>1122</v>
      </c>
      <c r="D498" s="9" t="s">
        <v>98</v>
      </c>
      <c r="E498" s="6" t="s">
        <v>1255</v>
      </c>
      <c r="F498" s="9"/>
    </row>
    <row r="499" ht="33.75" customHeight="1">
      <c r="A499" s="7">
        <v>18.0</v>
      </c>
      <c r="B499" s="9" t="s">
        <v>1201</v>
      </c>
      <c r="C499" s="9" t="s">
        <v>1122</v>
      </c>
      <c r="D499" s="9" t="s">
        <v>99</v>
      </c>
      <c r="E499" s="6" t="s">
        <v>1255</v>
      </c>
      <c r="F499" s="9"/>
    </row>
    <row r="500" ht="33.75" customHeight="1">
      <c r="A500" s="7">
        <v>18.0</v>
      </c>
      <c r="B500" s="9" t="s">
        <v>1201</v>
      </c>
      <c r="C500" s="9" t="s">
        <v>1122</v>
      </c>
      <c r="D500" s="9" t="s">
        <v>101</v>
      </c>
      <c r="E500" s="6" t="s">
        <v>1270</v>
      </c>
      <c r="F500" s="9"/>
    </row>
    <row r="501" ht="33.75" customHeight="1">
      <c r="A501" s="7">
        <v>18.0</v>
      </c>
      <c r="B501" s="9" t="s">
        <v>1201</v>
      </c>
      <c r="C501" s="9" t="s">
        <v>1122</v>
      </c>
      <c r="D501" s="9" t="s">
        <v>105</v>
      </c>
      <c r="E501" s="6" t="s">
        <v>1232</v>
      </c>
      <c r="F501" s="9"/>
    </row>
    <row r="502" ht="33.75" customHeight="1">
      <c r="A502" s="7">
        <v>18.0</v>
      </c>
      <c r="B502" s="9" t="s">
        <v>1201</v>
      </c>
      <c r="C502" s="9" t="s">
        <v>1122</v>
      </c>
      <c r="D502" s="9" t="s">
        <v>107</v>
      </c>
      <c r="E502" s="6" t="s">
        <v>1275</v>
      </c>
      <c r="F502" s="9"/>
    </row>
    <row r="503" ht="33.75" customHeight="1">
      <c r="A503" s="7">
        <v>18.0</v>
      </c>
      <c r="B503" s="9" t="s">
        <v>1201</v>
      </c>
      <c r="C503" s="9" t="s">
        <v>1122</v>
      </c>
      <c r="D503" s="9" t="s">
        <v>109</v>
      </c>
      <c r="E503" s="6" t="s">
        <v>1275</v>
      </c>
      <c r="F503" s="9"/>
    </row>
    <row r="504" ht="33.75" customHeight="1">
      <c r="A504" s="7">
        <v>18.0</v>
      </c>
      <c r="B504" s="9" t="s">
        <v>1201</v>
      </c>
      <c r="C504" s="9" t="s">
        <v>1122</v>
      </c>
      <c r="D504" s="9" t="s">
        <v>111</v>
      </c>
      <c r="E504" s="6" t="s">
        <v>1282</v>
      </c>
      <c r="F504" s="9"/>
    </row>
    <row r="505" ht="33.75" customHeight="1">
      <c r="A505" s="7">
        <v>18.0</v>
      </c>
      <c r="B505" s="9" t="s">
        <v>1201</v>
      </c>
      <c r="C505" s="9" t="s">
        <v>1122</v>
      </c>
      <c r="D505" s="9" t="s">
        <v>113</v>
      </c>
      <c r="E505" s="6" t="s">
        <v>1282</v>
      </c>
      <c r="F505" s="9"/>
    </row>
    <row r="506" ht="33.75" customHeight="1">
      <c r="A506" s="7">
        <v>19.0</v>
      </c>
      <c r="B506" s="9" t="s">
        <v>1290</v>
      </c>
      <c r="C506" s="9" t="s">
        <v>1292</v>
      </c>
      <c r="D506" s="9" t="s">
        <v>24</v>
      </c>
      <c r="E506" s="6" t="s">
        <v>1294</v>
      </c>
      <c r="F506" t="inlineStr" s="10">
        <is>
          <t xml:space="preserve">Puree mitä tahansa hyökätessään. Pieni ja erittäin nopea, se on yleinen näky monissa paikoissa. Pureskelee mitä tahansa hampaillaan. Jos näet sellaisen, on varmaa, että alueella asuu 40 muuta. Se syö mitä tahansa. Aina kun ruokaa on saatavilla, se asettuu aloilleen ja tuottaa jatkuvasti jälkeläisiä. Se elää kaikkialla, missä on ruokaa saatavilla, ja etsii lakkaamatta syötävää koko päivän. Tämän POKéMONin vaikuttava elinvoimaisuus mahdollistaa sen elämisen missä tahansa. Se myös lisääntyy erittäin nopeasti. RATTATA on äärimmäisen varovainen. Jopa nukkuessaan se kuuntelee jatkuvasti liikuttelemalla korviaan. Se ei ole nirso asuinpaikkansa suhteen – se tekee pesänsä minne tahansa. ROTTA on äärimmäisen varovainen. Jopa nukkuessaan se liikuttaa jatkuvasti korviaan ja kuuntelee vaaraa. Se tekee pesänsä minne tahansa. Sen torahampaat ovat pitkät ja erittäin terävät. Ne kasvavat jatkuvasti, joten se jyrsii kovia esineitä silpoakseen ne. Äärimmäisen varovainen, sen kestävä elinvoima antaa sille mahdollisuuden elää missä tahansa ympäristössä. Se etsii ruokaa koko päivän. Se jyrsii kovia esineitä kuluttaakseen kulmahampaitaan, jotka kasvavat jatkuvasti sen elinaikana. Sen etuhampaat kasvavat kuolemaan asti. Jos kouluttaja ei tarjoa sille viilaa jyrsittäväksi, se jyrsii ovenkarmeja, pöydänjalkoja ja niin edelleen. Vahvan selviytymiskykynsä ansiosta ne voivat elää likaisissa paikoissa huoletta. Jos niitä ei hillitä, niiden määrä lisääntyy nopeasti. Sen etuhampaat kasvavat jatkuvasti koko sen elämän ajan. Jos sen etuhampaat kasvavat liian pitkiksi, tämä Pokémon menettää syömiskykynsä ja kuolee nälkään. Tämä Pokémon on yleinen mutta vaarallinen. Sen terävät etuhampaat voivat helposti leikata kovan puun läpi. Jos näet sellaisen, voit olla varma, että alueella asuu 40 muuta.</t>
        </is>
      </c>
    </row>
    <row r="507" ht="33.75" customHeight="1">
      <c r="A507" s="7">
        <v>19.0</v>
      </c>
      <c r="B507" s="9" t="s">
        <v>1290</v>
      </c>
      <c r="C507" s="9" t="s">
        <v>1292</v>
      </c>
      <c r="D507" s="9" t="s">
        <v>35</v>
      </c>
      <c r="E507" s="6" t="s">
        <v>1294</v>
      </c>
      <c r="F507" s="9"/>
    </row>
    <row r="508" ht="33.75" customHeight="1">
      <c r="A508" s="7">
        <v>19.0</v>
      </c>
      <c r="B508" s="9" t="s">
        <v>1290</v>
      </c>
      <c r="C508" s="9" t="s">
        <v>1292</v>
      </c>
      <c r="D508" s="9" t="s">
        <v>42</v>
      </c>
      <c r="E508" s="6" t="s">
        <v>1301</v>
      </c>
      <c r="F508" s="9"/>
    </row>
    <row r="509" ht="33.75" customHeight="1">
      <c r="A509" s="7">
        <v>19.0</v>
      </c>
      <c r="B509" s="9" t="s">
        <v>1290</v>
      </c>
      <c r="C509" s="9" t="s">
        <v>1292</v>
      </c>
      <c r="D509" s="9" t="s">
        <v>52</v>
      </c>
      <c r="E509" s="6" t="s">
        <v>1304</v>
      </c>
      <c r="F509" s="9"/>
    </row>
    <row r="510" ht="33.75" customHeight="1">
      <c r="A510" s="7">
        <v>19.0</v>
      </c>
      <c r="B510" s="9" t="s">
        <v>1290</v>
      </c>
      <c r="C510" s="9" t="s">
        <v>1292</v>
      </c>
      <c r="D510" s="9" t="s">
        <v>59</v>
      </c>
      <c r="E510" s="6" t="s">
        <v>1309</v>
      </c>
      <c r="F510" s="9"/>
    </row>
    <row r="511" ht="33.75" customHeight="1">
      <c r="A511" s="7">
        <v>19.0</v>
      </c>
      <c r="B511" s="9" t="s">
        <v>1290</v>
      </c>
      <c r="C511" s="9" t="s">
        <v>1292</v>
      </c>
      <c r="D511" s="9" t="s">
        <v>64</v>
      </c>
      <c r="E511" s="6" t="s">
        <v>1314</v>
      </c>
      <c r="F511" s="9"/>
    </row>
    <row r="512" ht="33.75" customHeight="1">
      <c r="A512" s="7">
        <v>19.0</v>
      </c>
      <c r="B512" s="9" t="s">
        <v>1290</v>
      </c>
      <c r="C512" s="9" t="s">
        <v>1292</v>
      </c>
      <c r="D512" s="9" t="s">
        <v>67</v>
      </c>
      <c r="E512" s="6" t="s">
        <v>1320</v>
      </c>
      <c r="F512" s="9"/>
    </row>
    <row r="513" ht="33.75" customHeight="1">
      <c r="A513" s="7">
        <v>19.0</v>
      </c>
      <c r="B513" s="9" t="s">
        <v>1290</v>
      </c>
      <c r="C513" s="9" t="s">
        <v>1292</v>
      </c>
      <c r="D513" s="9" t="s">
        <v>71</v>
      </c>
      <c r="E513" s="6" t="s">
        <v>1320</v>
      </c>
      <c r="F513" s="9"/>
    </row>
    <row r="514" ht="33.75" customHeight="1">
      <c r="A514" s="7">
        <v>19.0</v>
      </c>
      <c r="B514" s="9" t="s">
        <v>1290</v>
      </c>
      <c r="C514" s="9" t="s">
        <v>1292</v>
      </c>
      <c r="D514" s="9" t="s">
        <v>73</v>
      </c>
      <c r="E514" s="6" t="s">
        <v>1329</v>
      </c>
      <c r="F514" s="9"/>
    </row>
    <row r="515" ht="33.75" customHeight="1">
      <c r="A515" s="7">
        <v>19.0</v>
      </c>
      <c r="B515" s="9" t="s">
        <v>1290</v>
      </c>
      <c r="C515" s="9" t="s">
        <v>1292</v>
      </c>
      <c r="D515" s="9" t="s">
        <v>75</v>
      </c>
      <c r="E515" s="6" t="s">
        <v>1333</v>
      </c>
      <c r="F515" s="9"/>
    </row>
    <row r="516" ht="33.75" customHeight="1">
      <c r="A516" s="7">
        <v>19.0</v>
      </c>
      <c r="B516" s="9" t="s">
        <v>1290</v>
      </c>
      <c r="C516" s="9" t="s">
        <v>1292</v>
      </c>
      <c r="D516" s="9" t="s">
        <v>79</v>
      </c>
      <c r="E516" s="6" t="s">
        <v>1294</v>
      </c>
      <c r="F516" s="9"/>
    </row>
    <row r="517" ht="33.75" customHeight="1">
      <c r="A517" s="7">
        <v>19.0</v>
      </c>
      <c r="B517" s="9" t="s">
        <v>1290</v>
      </c>
      <c r="C517" s="9" t="s">
        <v>1292</v>
      </c>
      <c r="D517" s="9" t="s">
        <v>81</v>
      </c>
      <c r="E517" s="6" t="s">
        <v>1342</v>
      </c>
      <c r="F517" s="9"/>
    </row>
    <row r="518" ht="33.75" customHeight="1">
      <c r="A518" s="7">
        <v>19.0</v>
      </c>
      <c r="B518" s="9" t="s">
        <v>1290</v>
      </c>
      <c r="C518" s="9" t="s">
        <v>1292</v>
      </c>
      <c r="D518" s="9" t="s">
        <v>84</v>
      </c>
      <c r="E518" s="6" t="s">
        <v>1342</v>
      </c>
      <c r="F518" s="9"/>
    </row>
    <row r="519" ht="33.75" customHeight="1">
      <c r="A519" s="7">
        <v>19.0</v>
      </c>
      <c r="B519" s="9" t="s">
        <v>1290</v>
      </c>
      <c r="C519" s="9" t="s">
        <v>1292</v>
      </c>
      <c r="D519" s="9" t="s">
        <v>87</v>
      </c>
      <c r="E519" s="6" t="s">
        <v>1342</v>
      </c>
      <c r="F519" s="9"/>
    </row>
    <row r="520" ht="33.75" customHeight="1">
      <c r="A520" s="7">
        <v>19.0</v>
      </c>
      <c r="B520" s="9" t="s">
        <v>1290</v>
      </c>
      <c r="C520" s="9" t="s">
        <v>1292</v>
      </c>
      <c r="D520" s="9" t="s">
        <v>89</v>
      </c>
      <c r="E520" s="6" t="s">
        <v>1304</v>
      </c>
      <c r="F520" s="9"/>
    </row>
    <row r="521" ht="33.75" customHeight="1">
      <c r="A521" s="7">
        <v>19.0</v>
      </c>
      <c r="B521" s="9" t="s">
        <v>1290</v>
      </c>
      <c r="C521" s="9" t="s">
        <v>1292</v>
      </c>
      <c r="D521" s="9" t="s">
        <v>91</v>
      </c>
      <c r="E521" s="6" t="s">
        <v>1309</v>
      </c>
      <c r="F521" s="9"/>
    </row>
    <row r="522" ht="33.75" customHeight="1">
      <c r="A522" s="7">
        <v>19.0</v>
      </c>
      <c r="B522" s="9" t="s">
        <v>1290</v>
      </c>
      <c r="C522" s="9" t="s">
        <v>1292</v>
      </c>
      <c r="D522" s="9" t="s">
        <v>93</v>
      </c>
      <c r="E522" s="6" t="s">
        <v>1342</v>
      </c>
      <c r="F522" s="9"/>
    </row>
    <row r="523" ht="33.75" customHeight="1">
      <c r="A523" s="7">
        <v>19.0</v>
      </c>
      <c r="B523" s="9" t="s">
        <v>1290</v>
      </c>
      <c r="C523" s="9" t="s">
        <v>1292</v>
      </c>
      <c r="D523" s="9" t="s">
        <v>95</v>
      </c>
      <c r="E523" s="6" t="s">
        <v>1342</v>
      </c>
      <c r="F523" s="9"/>
    </row>
    <row r="524" ht="33.75" customHeight="1">
      <c r="A524" s="7">
        <v>19.0</v>
      </c>
      <c r="B524" s="9" t="s">
        <v>1290</v>
      </c>
      <c r="C524" s="9" t="s">
        <v>1292</v>
      </c>
      <c r="D524" s="9" t="s">
        <v>98</v>
      </c>
      <c r="E524" s="6" t="s">
        <v>1346</v>
      </c>
      <c r="F524" s="9"/>
    </row>
    <row r="525" ht="33.75" customHeight="1">
      <c r="A525" s="7">
        <v>19.0</v>
      </c>
      <c r="B525" s="9" t="s">
        <v>1290</v>
      </c>
      <c r="C525" s="9" t="s">
        <v>1292</v>
      </c>
      <c r="D525" s="9" t="s">
        <v>99</v>
      </c>
      <c r="E525" s="6" t="s">
        <v>1346</v>
      </c>
      <c r="F525" s="9"/>
    </row>
    <row r="526" ht="33.75" customHeight="1">
      <c r="A526" s="7">
        <v>19.0</v>
      </c>
      <c r="B526" s="9" t="s">
        <v>1290</v>
      </c>
      <c r="C526" s="9" t="s">
        <v>1292</v>
      </c>
      <c r="D526" s="9" t="s">
        <v>101</v>
      </c>
      <c r="E526" s="6" t="s">
        <v>1309</v>
      </c>
      <c r="F526" s="9"/>
    </row>
    <row r="527" ht="33.75" customHeight="1">
      <c r="A527" s="7">
        <v>19.0</v>
      </c>
      <c r="B527" s="9" t="s">
        <v>1290</v>
      </c>
      <c r="C527" s="9" t="s">
        <v>1292</v>
      </c>
      <c r="D527" s="9" t="s">
        <v>105</v>
      </c>
      <c r="E527" s="6" t="s">
        <v>1333</v>
      </c>
      <c r="F527" s="9"/>
    </row>
    <row r="528" ht="33.75" customHeight="1">
      <c r="A528" s="7">
        <v>19.0</v>
      </c>
      <c r="B528" s="9" t="s">
        <v>1290</v>
      </c>
      <c r="C528" s="9" t="s">
        <v>1292</v>
      </c>
      <c r="D528" s="9" t="s">
        <v>107</v>
      </c>
      <c r="E528" s="6" t="s">
        <v>1349</v>
      </c>
      <c r="F528" s="9"/>
    </row>
    <row r="529" ht="33.75" customHeight="1">
      <c r="A529" s="7">
        <v>19.0</v>
      </c>
      <c r="B529" s="9" t="s">
        <v>1290</v>
      </c>
      <c r="C529" s="9" t="s">
        <v>1292</v>
      </c>
      <c r="D529" s="9" t="s">
        <v>109</v>
      </c>
      <c r="E529" s="6" t="s">
        <v>1349</v>
      </c>
      <c r="F529" s="9"/>
    </row>
    <row r="530" ht="33.75" customHeight="1">
      <c r="A530" s="7">
        <v>19.0</v>
      </c>
      <c r="B530" s="9" t="s">
        <v>1290</v>
      </c>
      <c r="C530" s="9" t="s">
        <v>1292</v>
      </c>
      <c r="D530" s="9" t="s">
        <v>637</v>
      </c>
      <c r="E530" s="6" t="s">
        <v>1351</v>
      </c>
      <c r="F530" s="9"/>
    </row>
    <row r="531" ht="33.75" customHeight="1">
      <c r="A531" s="7">
        <v>19.0</v>
      </c>
      <c r="B531" s="9" t="s">
        <v>1290</v>
      </c>
      <c r="C531" s="9" t="s">
        <v>1292</v>
      </c>
      <c r="D531" s="9" t="s">
        <v>642</v>
      </c>
      <c r="E531" s="6" t="s">
        <v>1354</v>
      </c>
      <c r="F531" s="9"/>
    </row>
    <row r="532" ht="33.75" customHeight="1">
      <c r="A532" s="7">
        <v>19.0</v>
      </c>
      <c r="B532" s="9" t="s">
        <v>1290</v>
      </c>
      <c r="C532" s="9" t="s">
        <v>1292</v>
      </c>
      <c r="D532" s="9" t="s">
        <v>647</v>
      </c>
      <c r="E532" s="6" t="s">
        <v>1355</v>
      </c>
      <c r="F532" s="9"/>
    </row>
    <row r="533" ht="33.75" customHeight="1">
      <c r="A533" s="7">
        <v>19.0</v>
      </c>
      <c r="B533" s="9" t="s">
        <v>1290</v>
      </c>
      <c r="C533" s="9" t="s">
        <v>1292</v>
      </c>
      <c r="D533" s="9" t="s">
        <v>652</v>
      </c>
      <c r="E533" s="6" t="s">
        <v>1357</v>
      </c>
      <c r="F533" s="9"/>
    </row>
    <row r="534" ht="33.75" customHeight="1">
      <c r="A534" s="7">
        <v>19.0</v>
      </c>
      <c r="B534" s="9" t="s">
        <v>1290</v>
      </c>
      <c r="C534" s="9" t="s">
        <v>1292</v>
      </c>
      <c r="D534" s="9" t="s">
        <v>111</v>
      </c>
      <c r="E534" s="6" t="s">
        <v>1360</v>
      </c>
      <c r="F534" s="9"/>
    </row>
    <row r="535" ht="33.75" customHeight="1">
      <c r="A535" s="7">
        <v>19.0</v>
      </c>
      <c r="B535" s="9" t="s">
        <v>1290</v>
      </c>
      <c r="C535" s="9" t="s">
        <v>1292</v>
      </c>
      <c r="D535" s="9" t="s">
        <v>113</v>
      </c>
      <c r="E535" s="6" t="s">
        <v>1360</v>
      </c>
      <c r="F535" s="9"/>
    </row>
    <row r="536" ht="33.75" customHeight="1">
      <c r="A536" s="7">
        <v>20.0</v>
      </c>
      <c r="B536" s="9" t="s">
        <v>1363</v>
      </c>
      <c r="C536" s="9" t="s">
        <v>1292</v>
      </c>
      <c r="D536" s="9" t="s">
        <v>24</v>
      </c>
      <c r="E536" s="6" t="s">
        <v>1364</v>
      </c>
      <c r="F536" t="inlineStr" s="10">
        <is>
          <t xml:space="preserve">Raticate käyttää viiksiään tasapainonsa ylläpitämiseen. Se ilmeisesti hidastuu, jos ne katkaistaan. Sen takajalat ovat räpylämäiset. Ne toimivat räpylöinä, joten se voi uida joissa ja metsästää saalista. Jyrsii mitä tahansa kovilla hampaillaan. Se voi jopa kaataa betonirakennuksia jyrsimällä niitä. Sen viikset auttavat sitä ylläpitämään tasapainoa. Sen kulmahampaat eivät koskaan lakkaa kasvamasta, joten se jyrsii niitä kuoriakseen. Takajalkojensa verkkojen ansiosta se voi ylittää jokia. Se etsii ravintoa laajoilta alueilta. RATICATEn tukevat hampaat kasvavat tasaisesti. Pitääkseen ne maassa se jyrsii kiviä ja tukkeja. Se saattaa jopa pureskella talojen seiniä. SILPPUKALAISEN vankat hampaat kasvavat tasaisesti. Se voi jopa pureskella talojen seiniä. Sen takajaloissa on kolme varvasta. Ne ovat räpylöiden peittämät, minkä ansiosta se voi uida jokien yli. Se käyttää viiksikarvojaan tasapainonsa ylläpitämiseen. Se ilmeisesti hidastaa vauhtiaan, jos ne leikkautuvat eteen. Se veistelee jatkuvasti kasvavia kulmahampaitaan jyrsimällä kovia esineitä. Se voi pureskella rikki tuhkaisia ​​seiniä. Pitkillä kulmahampaillaan tämä yllättävän väkivaltainen Pokémon voi jyrsiä helposti irti jopa paksua betonia. Sen takajalat ovat räpylät peittämät, joten se on vahva uimari. Se voi ylittää jokia ja joskus jopa valtameriä. Sen luonne on paljon väkivaltaisempi kuin ulkonäkö antaisi ymmärtää. Älä anna kätesi tulla liian lähelle sen kasvoja, sillä se voi purra kätesi irti. Ihmiset kertovat, että se pakeni vihollisiaan käyttämällä pieniä, räpylöillä varustettuja takajalkojaan uidakseen saarelta toiselle Alolassa. Sen viikset ovat välttämättömät tasapainon ylläpitämiseksi. Olitpa kuinka ystävällinen tahansa, se suuttuu ja puree sinua, jos kosket sen viiksiin.</t>
        </is>
      </c>
    </row>
    <row r="537" ht="33.75" customHeight="1">
      <c r="A537" s="7">
        <v>20.0</v>
      </c>
      <c r="B537" s="9" t="s">
        <v>1363</v>
      </c>
      <c r="C537" s="9" t="s">
        <v>1292</v>
      </c>
      <c r="D537" s="9" t="s">
        <v>35</v>
      </c>
      <c r="E537" s="6" t="s">
        <v>1364</v>
      </c>
      <c r="F537" s="9"/>
    </row>
    <row r="538" ht="33.75" customHeight="1">
      <c r="A538" s="7">
        <v>20.0</v>
      </c>
      <c r="B538" s="9" t="s">
        <v>1363</v>
      </c>
      <c r="C538" s="9" t="s">
        <v>1292</v>
      </c>
      <c r="D538" s="9" t="s">
        <v>42</v>
      </c>
      <c r="E538" s="6" t="s">
        <v>1366</v>
      </c>
      <c r="F538" s="9"/>
    </row>
    <row r="539" ht="33.75" customHeight="1">
      <c r="A539" s="7">
        <v>20.0</v>
      </c>
      <c r="B539" s="9" t="s">
        <v>1363</v>
      </c>
      <c r="C539" s="9" t="s">
        <v>1292</v>
      </c>
      <c r="D539" s="9" t="s">
        <v>52</v>
      </c>
      <c r="E539" s="6" t="s">
        <v>1368</v>
      </c>
      <c r="F539" s="9"/>
    </row>
    <row r="540" ht="33.75" customHeight="1">
      <c r="A540" s="7">
        <v>20.0</v>
      </c>
      <c r="B540" s="9" t="s">
        <v>1363</v>
      </c>
      <c r="C540" s="9" t="s">
        <v>1292</v>
      </c>
      <c r="D540" s="9" t="s">
        <v>59</v>
      </c>
      <c r="E540" s="6" t="s">
        <v>1369</v>
      </c>
      <c r="F540" s="9"/>
    </row>
    <row r="541" ht="33.75" customHeight="1">
      <c r="A541" s="7">
        <v>20.0</v>
      </c>
      <c r="B541" s="9" t="s">
        <v>1363</v>
      </c>
      <c r="C541" s="9" t="s">
        <v>1292</v>
      </c>
      <c r="D541" s="9" t="s">
        <v>64</v>
      </c>
      <c r="E541" s="6" t="s">
        <v>1370</v>
      </c>
      <c r="F541" s="9"/>
    </row>
    <row r="542" ht="33.75" customHeight="1">
      <c r="A542" s="7">
        <v>20.0</v>
      </c>
      <c r="B542" s="9" t="s">
        <v>1363</v>
      </c>
      <c r="C542" s="9" t="s">
        <v>1292</v>
      </c>
      <c r="D542" s="9" t="s">
        <v>67</v>
      </c>
      <c r="E542" s="6" t="s">
        <v>1371</v>
      </c>
      <c r="F542" s="9"/>
    </row>
    <row r="543" ht="33.75" customHeight="1">
      <c r="A543" s="7">
        <v>20.0</v>
      </c>
      <c r="B543" s="9" t="s">
        <v>1363</v>
      </c>
      <c r="C543" s="9" t="s">
        <v>1292</v>
      </c>
      <c r="D543" s="9" t="s">
        <v>71</v>
      </c>
      <c r="E543" s="6" t="s">
        <v>1371</v>
      </c>
      <c r="F543" s="9"/>
    </row>
    <row r="544" ht="33.75" customHeight="1">
      <c r="A544" s="7">
        <v>20.0</v>
      </c>
      <c r="B544" s="9" t="s">
        <v>1363</v>
      </c>
      <c r="C544" s="9" t="s">
        <v>1292</v>
      </c>
      <c r="D544" s="9" t="s">
        <v>73</v>
      </c>
      <c r="E544" s="6" t="s">
        <v>1373</v>
      </c>
      <c r="F544" s="9"/>
    </row>
    <row r="545" ht="33.75" customHeight="1">
      <c r="A545" s="7">
        <v>20.0</v>
      </c>
      <c r="B545" s="9" t="s">
        <v>1363</v>
      </c>
      <c r="C545" s="9" t="s">
        <v>1292</v>
      </c>
      <c r="D545" s="9" t="s">
        <v>75</v>
      </c>
      <c r="E545" s="6" t="s">
        <v>1374</v>
      </c>
      <c r="F545" s="9"/>
    </row>
    <row r="546" ht="33.75" customHeight="1">
      <c r="A546" s="7">
        <v>20.0</v>
      </c>
      <c r="B546" s="9" t="s">
        <v>1363</v>
      </c>
      <c r="C546" s="9" t="s">
        <v>1292</v>
      </c>
      <c r="D546" s="9" t="s">
        <v>79</v>
      </c>
      <c r="E546" s="6" t="s">
        <v>1375</v>
      </c>
      <c r="F546" s="9"/>
    </row>
    <row r="547" ht="33.75" customHeight="1">
      <c r="A547" s="7">
        <v>20.0</v>
      </c>
      <c r="B547" s="9" t="s">
        <v>1363</v>
      </c>
      <c r="C547" s="9" t="s">
        <v>1292</v>
      </c>
      <c r="D547" s="9" t="s">
        <v>81</v>
      </c>
      <c r="E547" s="6" t="s">
        <v>1376</v>
      </c>
      <c r="F547" s="9"/>
    </row>
    <row r="548" ht="33.75" customHeight="1">
      <c r="A548" s="7">
        <v>20.0</v>
      </c>
      <c r="B548" s="9" t="s">
        <v>1363</v>
      </c>
      <c r="C548" s="9" t="s">
        <v>1292</v>
      </c>
      <c r="D548" s="9" t="s">
        <v>84</v>
      </c>
      <c r="E548" s="6" t="s">
        <v>1376</v>
      </c>
      <c r="F548" s="9"/>
    </row>
    <row r="549" ht="33.75" customHeight="1">
      <c r="A549" s="7">
        <v>20.0</v>
      </c>
      <c r="B549" s="9" t="s">
        <v>1363</v>
      </c>
      <c r="C549" s="9" t="s">
        <v>1292</v>
      </c>
      <c r="D549" s="9" t="s">
        <v>87</v>
      </c>
      <c r="E549" s="6" t="s">
        <v>1376</v>
      </c>
      <c r="F549" s="9"/>
    </row>
    <row r="550" ht="33.75" customHeight="1">
      <c r="A550" s="7">
        <v>20.0</v>
      </c>
      <c r="B550" s="9" t="s">
        <v>1363</v>
      </c>
      <c r="C550" s="9" t="s">
        <v>1292</v>
      </c>
      <c r="D550" s="9" t="s">
        <v>89</v>
      </c>
      <c r="E550" s="6" t="s">
        <v>1368</v>
      </c>
      <c r="F550" s="9"/>
    </row>
    <row r="551" ht="33.75" customHeight="1">
      <c r="A551" s="7">
        <v>20.0</v>
      </c>
      <c r="B551" s="9" t="s">
        <v>1363</v>
      </c>
      <c r="C551" s="9" t="s">
        <v>1292</v>
      </c>
      <c r="D551" s="9" t="s">
        <v>91</v>
      </c>
      <c r="E551" s="6" t="s">
        <v>1369</v>
      </c>
      <c r="F551" s="9"/>
    </row>
    <row r="552" ht="33.75" customHeight="1">
      <c r="A552" s="7">
        <v>20.0</v>
      </c>
      <c r="B552" s="9" t="s">
        <v>1363</v>
      </c>
      <c r="C552" s="9" t="s">
        <v>1292</v>
      </c>
      <c r="D552" s="9" t="s">
        <v>93</v>
      </c>
      <c r="E552" s="6" t="s">
        <v>1376</v>
      </c>
      <c r="F552" s="9"/>
    </row>
    <row r="553" ht="33.75" customHeight="1">
      <c r="A553" s="7">
        <v>20.0</v>
      </c>
      <c r="B553" s="9" t="s">
        <v>1363</v>
      </c>
      <c r="C553" s="9" t="s">
        <v>1292</v>
      </c>
      <c r="D553" s="9" t="s">
        <v>95</v>
      </c>
      <c r="E553" s="6" t="s">
        <v>1376</v>
      </c>
      <c r="F553" s="9"/>
    </row>
    <row r="554" ht="33.75" customHeight="1">
      <c r="A554" s="7">
        <v>20.0</v>
      </c>
      <c r="B554" s="9" t="s">
        <v>1363</v>
      </c>
      <c r="C554" s="9" t="s">
        <v>1292</v>
      </c>
      <c r="D554" s="9" t="s">
        <v>98</v>
      </c>
      <c r="E554" s="6" t="s">
        <v>1380</v>
      </c>
      <c r="F554" s="9"/>
    </row>
    <row r="555" ht="33.75" customHeight="1">
      <c r="A555" s="7">
        <v>20.0</v>
      </c>
      <c r="B555" s="9" t="s">
        <v>1363</v>
      </c>
      <c r="C555" s="9" t="s">
        <v>1292</v>
      </c>
      <c r="D555" s="9" t="s">
        <v>99</v>
      </c>
      <c r="E555" s="6" t="s">
        <v>1380</v>
      </c>
      <c r="F555" s="9"/>
    </row>
    <row r="556" ht="33.75" customHeight="1">
      <c r="A556" s="7">
        <v>20.0</v>
      </c>
      <c r="B556" s="9" t="s">
        <v>1363</v>
      </c>
      <c r="C556" s="9" t="s">
        <v>1292</v>
      </c>
      <c r="D556" s="9" t="s">
        <v>101</v>
      </c>
      <c r="E556" s="6" t="s">
        <v>1376</v>
      </c>
      <c r="F556" s="9"/>
    </row>
    <row r="557" ht="33.75" customHeight="1">
      <c r="A557" s="7">
        <v>20.0</v>
      </c>
      <c r="B557" s="9" t="s">
        <v>1363</v>
      </c>
      <c r="C557" s="9" t="s">
        <v>1292</v>
      </c>
      <c r="D557" s="9" t="s">
        <v>105</v>
      </c>
      <c r="E557" s="6" t="s">
        <v>1370</v>
      </c>
      <c r="F557" s="9"/>
    </row>
    <row r="558" ht="33.75" customHeight="1">
      <c r="A558" s="7">
        <v>20.0</v>
      </c>
      <c r="B558" s="9" t="s">
        <v>1363</v>
      </c>
      <c r="C558" s="9" t="s">
        <v>1292</v>
      </c>
      <c r="D558" s="9" t="s">
        <v>107</v>
      </c>
      <c r="E558" s="6" t="s">
        <v>1386</v>
      </c>
      <c r="F558" s="9"/>
    </row>
    <row r="559" ht="33.75" customHeight="1">
      <c r="A559" s="7">
        <v>20.0</v>
      </c>
      <c r="B559" s="9" t="s">
        <v>1363</v>
      </c>
      <c r="C559" s="9" t="s">
        <v>1292</v>
      </c>
      <c r="D559" s="9" t="s">
        <v>109</v>
      </c>
      <c r="E559" s="6" t="s">
        <v>1386</v>
      </c>
      <c r="F559" s="9"/>
    </row>
    <row r="560" ht="33.75" customHeight="1">
      <c r="A560" s="7">
        <v>20.0</v>
      </c>
      <c r="B560" s="9" t="s">
        <v>1363</v>
      </c>
      <c r="C560" s="9" t="s">
        <v>1292</v>
      </c>
      <c r="D560" s="9" t="s">
        <v>637</v>
      </c>
      <c r="E560" s="6" t="s">
        <v>1390</v>
      </c>
      <c r="F560" s="9"/>
    </row>
    <row r="561" ht="33.75" customHeight="1">
      <c r="A561" s="7">
        <v>20.0</v>
      </c>
      <c r="B561" s="9" t="s">
        <v>1363</v>
      </c>
      <c r="C561" s="9" t="s">
        <v>1292</v>
      </c>
      <c r="D561" s="9" t="s">
        <v>642</v>
      </c>
      <c r="E561" s="6" t="s">
        <v>1392</v>
      </c>
      <c r="F561" s="9"/>
    </row>
    <row r="562" ht="33.75" customHeight="1">
      <c r="A562" s="7">
        <v>20.0</v>
      </c>
      <c r="B562" s="9" t="s">
        <v>1363</v>
      </c>
      <c r="C562" s="9" t="s">
        <v>1292</v>
      </c>
      <c r="D562" s="9" t="s">
        <v>647</v>
      </c>
      <c r="E562" s="6" t="s">
        <v>1394</v>
      </c>
      <c r="F562" s="9"/>
    </row>
    <row r="563" ht="33.75" customHeight="1">
      <c r="A563" s="7">
        <v>20.0</v>
      </c>
      <c r="B563" s="9" t="s">
        <v>1363</v>
      </c>
      <c r="C563" s="9" t="s">
        <v>1292</v>
      </c>
      <c r="D563" s="9" t="s">
        <v>652</v>
      </c>
      <c r="E563" s="6" t="s">
        <v>1396</v>
      </c>
      <c r="F563" s="9"/>
    </row>
    <row r="564" ht="33.75" customHeight="1">
      <c r="A564" s="7">
        <v>20.0</v>
      </c>
      <c r="B564" s="9" t="s">
        <v>1363</v>
      </c>
      <c r="C564" s="9" t="s">
        <v>1292</v>
      </c>
      <c r="D564" s="9" t="s">
        <v>111</v>
      </c>
      <c r="E564" s="6" t="s">
        <v>1366</v>
      </c>
      <c r="F564" s="9"/>
    </row>
    <row r="565" ht="33.75" customHeight="1">
      <c r="A565" s="7">
        <v>20.0</v>
      </c>
      <c r="B565" s="9" t="s">
        <v>1363</v>
      </c>
      <c r="C565" s="9" t="s">
        <v>1292</v>
      </c>
      <c r="D565" s="9" t="s">
        <v>113</v>
      </c>
      <c r="E565" s="6" t="s">
        <v>1366</v>
      </c>
      <c r="F565" s="9"/>
    </row>
    <row r="566" ht="33.75" customHeight="1">
      <c r="A566" s="7">
        <v>21.0</v>
      </c>
      <c r="B566" s="9" t="s">
        <v>1399</v>
      </c>
      <c r="C566" s="9" t="s">
        <v>1041</v>
      </c>
      <c r="D566" s="9" t="s">
        <v>24</v>
      </c>
      <c r="E566" s="6" t="s">
        <v>1400</v>
      </c>
      <c r="F566" t="inlineStr" s="10">
        <is>
          <t xml:space="preserve">Syö hyönteisiä ruohoalueilla. Sen on räpyteltävä lyhyitä siipiään suurella nopeudella pysyäkseen ilmassa. Kyvytön lentämään korkealla. Se voi kuitenkin lentää erittäin nopeasti suojellakseen reviiriään. Se räpyttelee lyhyitä siipiään karkottaakseen hyönteisiä korkeasta ruohosta. Sitten se nyppii ne töpöllä nokallaan. Se on erittäin reviiriään suojeleva ja räpyttelee lyhyitä siipiään ahkerasti syöksyäkseen ympäriinsä kovaa vauhtia. Suojellakseen reviiriään se lentää lakkaamatta ympäriinsä ja päästää korkeita huutoja. KEIHÄKÄS-linnulla on erittäin kova huuto, joka kuuluu yli 800 metrin päähän. Jos sen korkea, viheltävä huuto kaikuu kaikkialla, se on merkki siitä, että ne varoittavat toisiaan vaarasta. Sen kova huuto kuuluu yli 800 metrin päähän. Se leijuu kiireisesti siellä täällä. Vaikka se on hauras, se voi olla kova vihollinen, joka käyttää PEILILIIKKEÄ. Se räpyttelee ahkerasti pieniä siipiään lentääkseen. Nokkaansa käyttäen se etsii saalista ruohikosta. Spearowilla on erittäin kova huuto, joka kuuluu yli 800 metrin päähän. Lyhyiden siipiensä ansiosta se ei osaa lentää. Se liikkuu nopeasti ja nokkii Bug-tyyppisiä Pokémoneja korkeassa ruohikossa. Maanviljelijät, joiden peltoja ötökkä-Pokémonit vaivaavat, arvostavat Spearow'ta sen voimakkaan ruokahalun vuoksi ja pitävät siitä huolta. Sen holtiton luonne saa sen nousemaan vastustamaan muita – jopa suuria Pokémoneja – jos sen on suojeltava reviiriään. Lyhyiden siipiensä vuoksi se ei voi lentää pitkiä matkoja. Se vaeltelee levottomasti ympäriinsä ja nokkii öisiä Pokémoneja. Se voi kuitenkin lentää ympäriinsä erittäin nopeasti suojellakseen reviiriään.</t>
        </is>
      </c>
    </row>
    <row r="567" ht="33.75" customHeight="1">
      <c r="A567" s="7">
        <v>21.0</v>
      </c>
      <c r="B567" s="9" t="s">
        <v>1399</v>
      </c>
      <c r="C567" s="9" t="s">
        <v>1041</v>
      </c>
      <c r="D567" s="9" t="s">
        <v>35</v>
      </c>
      <c r="E567" s="6" t="s">
        <v>1400</v>
      </c>
      <c r="F567" s="9"/>
    </row>
    <row r="568" ht="33.75" customHeight="1">
      <c r="A568" s="7">
        <v>21.0</v>
      </c>
      <c r="B568" s="9" t="s">
        <v>1399</v>
      </c>
      <c r="C568" s="9" t="s">
        <v>1041</v>
      </c>
      <c r="D568" s="9" t="s">
        <v>42</v>
      </c>
      <c r="E568" s="6" t="s">
        <v>1402</v>
      </c>
      <c r="F568" s="9"/>
    </row>
    <row r="569" ht="33.75" customHeight="1">
      <c r="A569" s="7">
        <v>21.0</v>
      </c>
      <c r="B569" s="9" t="s">
        <v>1399</v>
      </c>
      <c r="C569" s="9" t="s">
        <v>1041</v>
      </c>
      <c r="D569" s="9" t="s">
        <v>52</v>
      </c>
      <c r="E569" s="6" t="s">
        <v>1405</v>
      </c>
      <c r="F569" s="9"/>
    </row>
    <row r="570" ht="33.75" customHeight="1">
      <c r="A570" s="7">
        <v>21.0</v>
      </c>
      <c r="B570" s="9" t="s">
        <v>1399</v>
      </c>
      <c r="C570" s="9" t="s">
        <v>1041</v>
      </c>
      <c r="D570" s="9" t="s">
        <v>59</v>
      </c>
      <c r="E570" s="6" t="s">
        <v>1406</v>
      </c>
      <c r="F570" s="9"/>
    </row>
    <row r="571" ht="33.75" customHeight="1">
      <c r="A571" s="7">
        <v>21.0</v>
      </c>
      <c r="B571" s="9" t="s">
        <v>1399</v>
      </c>
      <c r="C571" s="9" t="s">
        <v>1041</v>
      </c>
      <c r="D571" s="9" t="s">
        <v>64</v>
      </c>
      <c r="E571" s="6" t="s">
        <v>1407</v>
      </c>
      <c r="F571" s="9"/>
    </row>
    <row r="572" ht="33.75" customHeight="1">
      <c r="A572" s="7">
        <v>21.0</v>
      </c>
      <c r="B572" s="9" t="s">
        <v>1399</v>
      </c>
      <c r="C572" s="9" t="s">
        <v>1041</v>
      </c>
      <c r="D572" s="9" t="s">
        <v>67</v>
      </c>
      <c r="E572" s="6" t="s">
        <v>1409</v>
      </c>
      <c r="F572" s="9"/>
    </row>
    <row r="573" ht="33.75" customHeight="1">
      <c r="A573" s="7">
        <v>21.0</v>
      </c>
      <c r="B573" s="9" t="s">
        <v>1399</v>
      </c>
      <c r="C573" s="9" t="s">
        <v>1041</v>
      </c>
      <c r="D573" s="9" t="s">
        <v>71</v>
      </c>
      <c r="E573" s="6" t="s">
        <v>1409</v>
      </c>
      <c r="F573" s="9"/>
    </row>
    <row r="574" ht="33.75" customHeight="1">
      <c r="A574" s="7">
        <v>21.0</v>
      </c>
      <c r="B574" s="9" t="s">
        <v>1399</v>
      </c>
      <c r="C574" s="9" t="s">
        <v>1041</v>
      </c>
      <c r="D574" s="9" t="s">
        <v>73</v>
      </c>
      <c r="E574" s="6" t="s">
        <v>1411</v>
      </c>
      <c r="F574" s="9"/>
    </row>
    <row r="575" ht="33.75" customHeight="1">
      <c r="A575" s="7">
        <v>21.0</v>
      </c>
      <c r="B575" s="9" t="s">
        <v>1399</v>
      </c>
      <c r="C575" s="9" t="s">
        <v>1041</v>
      </c>
      <c r="D575" s="9" t="s">
        <v>75</v>
      </c>
      <c r="E575" s="6" t="s">
        <v>1412</v>
      </c>
      <c r="F575" s="9"/>
    </row>
    <row r="576" ht="33.75" customHeight="1">
      <c r="A576" s="7">
        <v>21.0</v>
      </c>
      <c r="B576" s="9" t="s">
        <v>1399</v>
      </c>
      <c r="C576" s="9" t="s">
        <v>1041</v>
      </c>
      <c r="D576" s="9" t="s">
        <v>79</v>
      </c>
      <c r="E576" s="6" t="s">
        <v>1400</v>
      </c>
      <c r="F576" s="9"/>
    </row>
    <row r="577" ht="33.75" customHeight="1">
      <c r="A577" s="7">
        <v>21.0</v>
      </c>
      <c r="B577" s="9" t="s">
        <v>1399</v>
      </c>
      <c r="C577" s="9" t="s">
        <v>1041</v>
      </c>
      <c r="D577" s="9" t="s">
        <v>81</v>
      </c>
      <c r="E577" s="6" t="s">
        <v>1414</v>
      </c>
      <c r="F577" s="9"/>
    </row>
    <row r="578" ht="33.75" customHeight="1">
      <c r="A578" s="7">
        <v>21.0</v>
      </c>
      <c r="B578" s="9" t="s">
        <v>1399</v>
      </c>
      <c r="C578" s="9" t="s">
        <v>1041</v>
      </c>
      <c r="D578" s="9" t="s">
        <v>84</v>
      </c>
      <c r="E578" s="6" t="s">
        <v>1414</v>
      </c>
      <c r="F578" s="9"/>
    </row>
    <row r="579" ht="33.75" customHeight="1">
      <c r="A579" s="7">
        <v>21.0</v>
      </c>
      <c r="B579" s="9" t="s">
        <v>1399</v>
      </c>
      <c r="C579" s="9" t="s">
        <v>1041</v>
      </c>
      <c r="D579" s="9" t="s">
        <v>87</v>
      </c>
      <c r="E579" s="6" t="s">
        <v>1414</v>
      </c>
      <c r="F579" s="9"/>
    </row>
    <row r="580" ht="33.75" customHeight="1">
      <c r="A580" s="7">
        <v>21.0</v>
      </c>
      <c r="B580" s="9" t="s">
        <v>1399</v>
      </c>
      <c r="C580" s="9" t="s">
        <v>1041</v>
      </c>
      <c r="D580" s="9" t="s">
        <v>89</v>
      </c>
      <c r="E580" s="6" t="s">
        <v>1405</v>
      </c>
      <c r="F580" s="9"/>
    </row>
    <row r="581" ht="33.75" customHeight="1">
      <c r="A581" s="7">
        <v>21.0</v>
      </c>
      <c r="B581" s="9" t="s">
        <v>1399</v>
      </c>
      <c r="C581" s="9" t="s">
        <v>1041</v>
      </c>
      <c r="D581" s="9" t="s">
        <v>91</v>
      </c>
      <c r="E581" s="6" t="s">
        <v>1406</v>
      </c>
      <c r="F581" s="9"/>
    </row>
    <row r="582" ht="33.75" customHeight="1">
      <c r="A582" s="7">
        <v>21.0</v>
      </c>
      <c r="B582" s="9" t="s">
        <v>1399</v>
      </c>
      <c r="C582" s="9" t="s">
        <v>1041</v>
      </c>
      <c r="D582" s="9" t="s">
        <v>93</v>
      </c>
      <c r="E582" s="6" t="s">
        <v>1414</v>
      </c>
      <c r="F582" s="9"/>
    </row>
    <row r="583" ht="33.75" customHeight="1">
      <c r="A583" s="7">
        <v>21.0</v>
      </c>
      <c r="B583" s="9" t="s">
        <v>1399</v>
      </c>
      <c r="C583" s="9" t="s">
        <v>1041</v>
      </c>
      <c r="D583" s="9" t="s">
        <v>95</v>
      </c>
      <c r="E583" s="6" t="s">
        <v>1414</v>
      </c>
      <c r="F583" s="9"/>
    </row>
    <row r="584" ht="33.75" customHeight="1">
      <c r="A584" s="7">
        <v>21.0</v>
      </c>
      <c r="B584" s="9" t="s">
        <v>1399</v>
      </c>
      <c r="C584" s="9" t="s">
        <v>1041</v>
      </c>
      <c r="D584" s="9" t="s">
        <v>98</v>
      </c>
      <c r="E584" s="6" t="s">
        <v>1414</v>
      </c>
      <c r="F584" s="9"/>
    </row>
    <row r="585" ht="33.75" customHeight="1">
      <c r="A585" s="7">
        <v>21.0</v>
      </c>
      <c r="B585" s="9" t="s">
        <v>1399</v>
      </c>
      <c r="C585" s="9" t="s">
        <v>1041</v>
      </c>
      <c r="D585" s="9" t="s">
        <v>99</v>
      </c>
      <c r="E585" s="6" t="s">
        <v>1414</v>
      </c>
      <c r="F585" s="9"/>
    </row>
    <row r="586" ht="33.75" customHeight="1">
      <c r="A586" s="7">
        <v>21.0</v>
      </c>
      <c r="B586" s="9" t="s">
        <v>1399</v>
      </c>
      <c r="C586" s="9" t="s">
        <v>1041</v>
      </c>
      <c r="D586" s="9" t="s">
        <v>101</v>
      </c>
      <c r="E586" s="6" t="s">
        <v>1406</v>
      </c>
      <c r="F586" s="9"/>
    </row>
    <row r="587" ht="33.75" customHeight="1">
      <c r="A587" s="7">
        <v>21.0</v>
      </c>
      <c r="B587" s="9" t="s">
        <v>1399</v>
      </c>
      <c r="C587" s="9" t="s">
        <v>1041</v>
      </c>
      <c r="D587" s="9" t="s">
        <v>105</v>
      </c>
      <c r="E587" s="6" t="s">
        <v>1400</v>
      </c>
      <c r="F587" s="9"/>
    </row>
    <row r="588" ht="33.75" customHeight="1">
      <c r="A588" s="7">
        <v>21.0</v>
      </c>
      <c r="B588" s="9" t="s">
        <v>1399</v>
      </c>
      <c r="C588" s="9" t="s">
        <v>1041</v>
      </c>
      <c r="D588" s="9" t="s">
        <v>107</v>
      </c>
      <c r="E588" s="6" t="s">
        <v>1423</v>
      </c>
      <c r="F588" s="9"/>
    </row>
    <row r="589" ht="33.75" customHeight="1">
      <c r="A589" s="7">
        <v>21.0</v>
      </c>
      <c r="B589" s="9" t="s">
        <v>1399</v>
      </c>
      <c r="C589" s="9" t="s">
        <v>1041</v>
      </c>
      <c r="D589" s="9" t="s">
        <v>109</v>
      </c>
      <c r="E589" s="6" t="s">
        <v>1423</v>
      </c>
      <c r="F589" s="9"/>
    </row>
    <row r="590" ht="33.75" customHeight="1">
      <c r="A590" s="7">
        <v>21.0</v>
      </c>
      <c r="B590" s="9" t="s">
        <v>1399</v>
      </c>
      <c r="C590" s="9" t="s">
        <v>1041</v>
      </c>
      <c r="D590" s="9" t="s">
        <v>637</v>
      </c>
      <c r="E590" s="6" t="s">
        <v>1427</v>
      </c>
      <c r="F590" s="9"/>
    </row>
    <row r="591" ht="33.75" customHeight="1">
      <c r="A591" s="7">
        <v>21.0</v>
      </c>
      <c r="B591" s="9" t="s">
        <v>1399</v>
      </c>
      <c r="C591" s="9" t="s">
        <v>1041</v>
      </c>
      <c r="D591" s="9" t="s">
        <v>642</v>
      </c>
      <c r="E591" s="6" t="s">
        <v>1430</v>
      </c>
      <c r="F591" s="9"/>
    </row>
    <row r="592" ht="33.75" customHeight="1">
      <c r="A592" s="7">
        <v>21.0</v>
      </c>
      <c r="B592" s="9" t="s">
        <v>1399</v>
      </c>
      <c r="C592" s="9" t="s">
        <v>1041</v>
      </c>
      <c r="D592" s="9" t="s">
        <v>647</v>
      </c>
      <c r="E592" s="6" t="s">
        <v>1431</v>
      </c>
      <c r="F592" s="9"/>
    </row>
    <row r="593" ht="33.75" customHeight="1">
      <c r="A593" s="7">
        <v>21.0</v>
      </c>
      <c r="B593" s="9" t="s">
        <v>1399</v>
      </c>
      <c r="C593" s="9" t="s">
        <v>1041</v>
      </c>
      <c r="D593" s="9" t="s">
        <v>652</v>
      </c>
      <c r="E593" s="6" t="s">
        <v>1433</v>
      </c>
      <c r="F593" s="9"/>
    </row>
    <row r="594" ht="33.75" customHeight="1">
      <c r="A594" s="7">
        <v>21.0</v>
      </c>
      <c r="B594" s="9" t="s">
        <v>1399</v>
      </c>
      <c r="C594" s="9" t="s">
        <v>1041</v>
      </c>
      <c r="D594" s="9" t="s">
        <v>111</v>
      </c>
      <c r="E594" s="6" t="s">
        <v>1435</v>
      </c>
      <c r="F594" s="9"/>
    </row>
    <row r="595" ht="33.75" customHeight="1">
      <c r="A595" s="7">
        <v>21.0</v>
      </c>
      <c r="B595" s="9" t="s">
        <v>1399</v>
      </c>
      <c r="C595" s="9" t="s">
        <v>1041</v>
      </c>
      <c r="D595" s="9" t="s">
        <v>113</v>
      </c>
      <c r="E595" s="6" t="s">
        <v>1435</v>
      </c>
      <c r="F595" s="9"/>
    </row>
    <row r="596" ht="33.75" customHeight="1">
      <c r="A596" s="7">
        <v>22.0</v>
      </c>
      <c r="B596" s="9" t="s">
        <v>1437</v>
      </c>
      <c r="C596" s="9" t="s">
        <v>1438</v>
      </c>
      <c r="D596" s="9" t="s">
        <v>24</v>
      </c>
      <c r="E596" s="6" t="s">
        <v>1439</v>
      </c>
      <c r="F596" t="inlineStr" s="10">
        <is>
          <t xml:space="preserve">Valtavien ja mahtavien siipiensä ansiosta se pysyy ilmassa laskeutumatta lepäämään. POKéMON, jonka historia ulottuu monien vuosien taakse. Jos se aistii vaaran, se lentää korkealle ja pois, välittömästi. Se ampuu itsensä yhtäkkiä korkealle taivaalle ja syöksyy sitten yhdellä iskulla alas iskeäkseen saaliiseensa. Se käyttää taitavasti ohutta ja pitkää nokkaansa nyppiäkseen ja syödäkseen maan alla piileskeleviä pieniä hyönteisiä. Se käyttää pitkää nokkaansa hyökkäykseen. Sen ulottuvuus on yllättävän pitkä, joten sitä on käsiteltävä varoen. FEAROW tunnistetaan pitkästä kaulastaan ​​ja pitkänomaisesta nokastaan. Ne ovat muodoltaan sopivia saaliin pyydystämiseen maaperästä tai vedestä. Se liikuttaa taitavasti pitkää ja laihaa nokkaansa napatakseen saaliinsa. Sen pitkä kaula ja pitkänokkainen nokka sopivat erinomaisesti saaliin pyydystämiseen maaperästä tai vedestä. Se liikuttaa taitavasti tätä pitkää ja laihaa nokkaa saaliin nappaamiseen. Sen valtavat ja upeat siivet pitävät sen ilmassa. Se voi lentää kokonaisen päivän laskeutumatta. Sillä on kestävyys lentää koko päivän leveillä siivillään. Se taistelee terävän nokkansa avulla. Sillä on kestävyyttä lentää koko päivän leveillä siivillään. Se on kestävä ja sillä on erinomainen kestävyys. Sillä ei ole ongelmia lentää jatkuvasti koko päivän raskasta kuormaa kantaen. Fearowia muistuttavan Pokémonin piirroksia voi nähdä muinaisen historian syvältä peräisin olevissa seinämaalauksissa. Ruoan kantaminen Fearow'n alueen läpi on vaarallista. Se sieppaa ruoan käsistäsi salamannopeasti! Alolassa kala-Pokémonit ovat sen saalista. Sen voi nähdä kiertelevän meren yllä etsimässä ruokaa.</t>
        </is>
      </c>
    </row>
    <row r="597" ht="33.75" customHeight="1">
      <c r="A597" s="7">
        <v>22.0</v>
      </c>
      <c r="B597" s="9" t="s">
        <v>1437</v>
      </c>
      <c r="C597" s="9" t="s">
        <v>1438</v>
      </c>
      <c r="D597" s="9" t="s">
        <v>35</v>
      </c>
      <c r="E597" s="6" t="s">
        <v>1439</v>
      </c>
      <c r="F597" s="9"/>
    </row>
    <row r="598" ht="33.75" customHeight="1">
      <c r="A598" s="7">
        <v>22.0</v>
      </c>
      <c r="B598" s="9" t="s">
        <v>1437</v>
      </c>
      <c r="C598" s="9" t="s">
        <v>1438</v>
      </c>
      <c r="D598" s="9" t="s">
        <v>42</v>
      </c>
      <c r="E598" s="6" t="s">
        <v>1440</v>
      </c>
      <c r="F598" s="9"/>
    </row>
    <row r="599" ht="33.75" customHeight="1">
      <c r="A599" s="7">
        <v>22.0</v>
      </c>
      <c r="B599" s="9" t="s">
        <v>1437</v>
      </c>
      <c r="C599" s="9" t="s">
        <v>1438</v>
      </c>
      <c r="D599" s="9" t="s">
        <v>52</v>
      </c>
      <c r="E599" s="6" t="s">
        <v>1441</v>
      </c>
      <c r="F599" s="9"/>
    </row>
    <row r="600" ht="33.75" customHeight="1">
      <c r="A600" s="7">
        <v>22.0</v>
      </c>
      <c r="B600" s="9" t="s">
        <v>1437</v>
      </c>
      <c r="C600" s="9" t="s">
        <v>1438</v>
      </c>
      <c r="D600" s="9" t="s">
        <v>59</v>
      </c>
      <c r="E600" s="6" t="s">
        <v>1442</v>
      </c>
      <c r="F600" s="9"/>
    </row>
    <row r="601" ht="33.75" customHeight="1">
      <c r="A601" s="7">
        <v>22.0</v>
      </c>
      <c r="B601" s="9" t="s">
        <v>1437</v>
      </c>
      <c r="C601" s="9" t="s">
        <v>1438</v>
      </c>
      <c r="D601" s="9" t="s">
        <v>64</v>
      </c>
      <c r="E601" s="6" t="s">
        <v>1443</v>
      </c>
      <c r="F601" s="9"/>
    </row>
    <row r="602" ht="33.75" customHeight="1">
      <c r="A602" s="7">
        <v>22.0</v>
      </c>
      <c r="B602" s="9" t="s">
        <v>1437</v>
      </c>
      <c r="C602" s="9" t="s">
        <v>1438</v>
      </c>
      <c r="D602" s="9" t="s">
        <v>67</v>
      </c>
      <c r="E602" s="6" t="s">
        <v>1444</v>
      </c>
      <c r="F602" s="9"/>
    </row>
    <row r="603" ht="33.75" customHeight="1">
      <c r="A603" s="7">
        <v>22.0</v>
      </c>
      <c r="B603" s="9" t="s">
        <v>1437</v>
      </c>
      <c r="C603" s="9" t="s">
        <v>1438</v>
      </c>
      <c r="D603" s="9" t="s">
        <v>71</v>
      </c>
      <c r="E603" s="6" t="s">
        <v>1444</v>
      </c>
      <c r="F603" s="9"/>
    </row>
    <row r="604" ht="33.75" customHeight="1">
      <c r="A604" s="7">
        <v>22.0</v>
      </c>
      <c r="B604" s="9" t="s">
        <v>1437</v>
      </c>
      <c r="C604" s="9" t="s">
        <v>1438</v>
      </c>
      <c r="D604" s="9" t="s">
        <v>73</v>
      </c>
      <c r="E604" s="6" t="s">
        <v>1446</v>
      </c>
      <c r="F604" s="9"/>
    </row>
    <row r="605" ht="33.75" customHeight="1">
      <c r="A605" s="7">
        <v>22.0</v>
      </c>
      <c r="B605" s="9" t="s">
        <v>1437</v>
      </c>
      <c r="C605" s="9" t="s">
        <v>1438</v>
      </c>
      <c r="D605" s="9" t="s">
        <v>75</v>
      </c>
      <c r="E605" s="6" t="s">
        <v>1448</v>
      </c>
      <c r="F605" s="9"/>
    </row>
    <row r="606" ht="33.75" customHeight="1">
      <c r="A606" s="7">
        <v>22.0</v>
      </c>
      <c r="B606" s="9" t="s">
        <v>1437</v>
      </c>
      <c r="C606" s="9" t="s">
        <v>1438</v>
      </c>
      <c r="D606" s="9" t="s">
        <v>79</v>
      </c>
      <c r="E606" s="6" t="s">
        <v>1439</v>
      </c>
      <c r="F606" s="9"/>
    </row>
    <row r="607" ht="33.75" customHeight="1">
      <c r="A607" s="7">
        <v>22.0</v>
      </c>
      <c r="B607" s="9" t="s">
        <v>1437</v>
      </c>
      <c r="C607" s="9" t="s">
        <v>1438</v>
      </c>
      <c r="D607" s="9" t="s">
        <v>81</v>
      </c>
      <c r="E607" s="6" t="s">
        <v>1452</v>
      </c>
      <c r="F607" s="9"/>
    </row>
    <row r="608" ht="33.75" customHeight="1">
      <c r="A608" s="7">
        <v>22.0</v>
      </c>
      <c r="B608" s="9" t="s">
        <v>1437</v>
      </c>
      <c r="C608" s="9" t="s">
        <v>1438</v>
      </c>
      <c r="D608" s="9" t="s">
        <v>84</v>
      </c>
      <c r="E608" s="6" t="s">
        <v>1454</v>
      </c>
      <c r="F608" s="9"/>
    </row>
    <row r="609" ht="33.75" customHeight="1">
      <c r="A609" s="7">
        <v>22.0</v>
      </c>
      <c r="B609" s="9" t="s">
        <v>1437</v>
      </c>
      <c r="C609" s="9" t="s">
        <v>1438</v>
      </c>
      <c r="D609" s="9" t="s">
        <v>87</v>
      </c>
      <c r="E609" s="6" t="s">
        <v>1452</v>
      </c>
      <c r="F609" s="9"/>
    </row>
    <row r="610" ht="33.75" customHeight="1">
      <c r="A610" s="7">
        <v>22.0</v>
      </c>
      <c r="B610" s="9" t="s">
        <v>1437</v>
      </c>
      <c r="C610" s="9" t="s">
        <v>1438</v>
      </c>
      <c r="D610" s="9" t="s">
        <v>89</v>
      </c>
      <c r="E610" s="6" t="s">
        <v>1441</v>
      </c>
      <c r="F610" s="9"/>
    </row>
    <row r="611" ht="33.75" customHeight="1">
      <c r="A611" s="7">
        <v>22.0</v>
      </c>
      <c r="B611" s="9" t="s">
        <v>1437</v>
      </c>
      <c r="C611" s="9" t="s">
        <v>1438</v>
      </c>
      <c r="D611" s="9" t="s">
        <v>91</v>
      </c>
      <c r="E611" s="6" t="s">
        <v>1442</v>
      </c>
      <c r="F611" s="9"/>
    </row>
    <row r="612" ht="33.75" customHeight="1">
      <c r="A612" s="7">
        <v>22.0</v>
      </c>
      <c r="B612" s="9" t="s">
        <v>1437</v>
      </c>
      <c r="C612" s="9" t="s">
        <v>1438</v>
      </c>
      <c r="D612" s="9" t="s">
        <v>93</v>
      </c>
      <c r="E612" s="6" t="s">
        <v>1452</v>
      </c>
      <c r="F612" s="9"/>
    </row>
    <row r="613" ht="33.75" customHeight="1">
      <c r="A613" s="7">
        <v>22.0</v>
      </c>
      <c r="B613" s="9" t="s">
        <v>1437</v>
      </c>
      <c r="C613" s="9" t="s">
        <v>1438</v>
      </c>
      <c r="D613" s="9" t="s">
        <v>95</v>
      </c>
      <c r="E613" s="6" t="s">
        <v>1452</v>
      </c>
      <c r="F613" s="9"/>
    </row>
    <row r="614" ht="33.75" customHeight="1">
      <c r="A614" s="7">
        <v>22.0</v>
      </c>
      <c r="B614" s="9" t="s">
        <v>1437</v>
      </c>
      <c r="C614" s="9" t="s">
        <v>1438</v>
      </c>
      <c r="D614" s="9" t="s">
        <v>98</v>
      </c>
      <c r="E614" s="6" t="s">
        <v>1452</v>
      </c>
      <c r="F614" s="9"/>
    </row>
    <row r="615" ht="33.75" customHeight="1">
      <c r="A615" s="7">
        <v>22.0</v>
      </c>
      <c r="B615" s="9" t="s">
        <v>1437</v>
      </c>
      <c r="C615" s="9" t="s">
        <v>1438</v>
      </c>
      <c r="D615" s="9" t="s">
        <v>99</v>
      </c>
      <c r="E615" s="6" t="s">
        <v>1452</v>
      </c>
      <c r="F615" s="9"/>
    </row>
    <row r="616" ht="33.75" customHeight="1">
      <c r="A616" s="7">
        <v>22.0</v>
      </c>
      <c r="B616" s="9" t="s">
        <v>1437</v>
      </c>
      <c r="C616" s="9" t="s">
        <v>1438</v>
      </c>
      <c r="D616" s="9" t="s">
        <v>101</v>
      </c>
      <c r="E616" s="6" t="s">
        <v>1439</v>
      </c>
      <c r="F616" s="9"/>
    </row>
    <row r="617" ht="33.75" customHeight="1">
      <c r="A617" s="7">
        <v>22.0</v>
      </c>
      <c r="B617" s="9" t="s">
        <v>1437</v>
      </c>
      <c r="C617" s="9" t="s">
        <v>1438</v>
      </c>
      <c r="D617" s="9" t="s">
        <v>105</v>
      </c>
      <c r="E617" s="6" t="s">
        <v>1452</v>
      </c>
      <c r="F617" s="9"/>
    </row>
    <row r="618" ht="33.75" customHeight="1">
      <c r="A618" s="7">
        <v>22.0</v>
      </c>
      <c r="B618" s="9" t="s">
        <v>1437</v>
      </c>
      <c r="C618" s="9" t="s">
        <v>1438</v>
      </c>
      <c r="D618" s="9" t="s">
        <v>107</v>
      </c>
      <c r="E618" s="6" t="s">
        <v>1463</v>
      </c>
      <c r="F618" s="9"/>
    </row>
    <row r="619" ht="33.75" customHeight="1">
      <c r="A619" s="7">
        <v>22.0</v>
      </c>
      <c r="B619" s="9" t="s">
        <v>1437</v>
      </c>
      <c r="C619" s="9" t="s">
        <v>1438</v>
      </c>
      <c r="D619" s="9" t="s">
        <v>109</v>
      </c>
      <c r="E619" s="6" t="s">
        <v>1463</v>
      </c>
      <c r="F619" s="9"/>
    </row>
    <row r="620" ht="33.75" customHeight="1">
      <c r="A620" s="7">
        <v>22.0</v>
      </c>
      <c r="B620" s="9" t="s">
        <v>1437</v>
      </c>
      <c r="C620" s="9" t="s">
        <v>1438</v>
      </c>
      <c r="D620" s="9" t="s">
        <v>637</v>
      </c>
      <c r="E620" s="6" t="s">
        <v>1466</v>
      </c>
      <c r="F620" s="9"/>
    </row>
    <row r="621" ht="33.75" customHeight="1">
      <c r="A621" s="7">
        <v>22.0</v>
      </c>
      <c r="B621" s="9" t="s">
        <v>1437</v>
      </c>
      <c r="C621" s="9" t="s">
        <v>1438</v>
      </c>
      <c r="D621" s="9" t="s">
        <v>642</v>
      </c>
      <c r="E621" s="6" t="s">
        <v>1468</v>
      </c>
      <c r="F621" s="9"/>
    </row>
    <row r="622" ht="33.75" customHeight="1">
      <c r="A622" s="7">
        <v>22.0</v>
      </c>
      <c r="B622" s="9" t="s">
        <v>1437</v>
      </c>
      <c r="C622" s="9" t="s">
        <v>1438</v>
      </c>
      <c r="D622" s="9" t="s">
        <v>647</v>
      </c>
      <c r="E622" s="6" t="s">
        <v>1469</v>
      </c>
      <c r="F622" s="9"/>
    </row>
    <row r="623" ht="33.75" customHeight="1">
      <c r="A623" s="7">
        <v>22.0</v>
      </c>
      <c r="B623" s="9" t="s">
        <v>1437</v>
      </c>
      <c r="C623" s="9" t="s">
        <v>1438</v>
      </c>
      <c r="D623" s="9" t="s">
        <v>652</v>
      </c>
      <c r="E623" s="6" t="s">
        <v>1470</v>
      </c>
      <c r="F623" s="9"/>
    </row>
    <row r="624" ht="33.75" customHeight="1">
      <c r="A624" s="7">
        <v>22.0</v>
      </c>
      <c r="B624" s="9" t="s">
        <v>1437</v>
      </c>
      <c r="C624" s="9" t="s">
        <v>1438</v>
      </c>
      <c r="D624" s="9" t="s">
        <v>111</v>
      </c>
      <c r="E624" s="6" t="s">
        <v>1471</v>
      </c>
      <c r="F624" s="9"/>
    </row>
    <row r="625" ht="33.75" customHeight="1">
      <c r="A625" s="7">
        <v>22.0</v>
      </c>
      <c r="B625" s="9" t="s">
        <v>1437</v>
      </c>
      <c r="C625" s="9" t="s">
        <v>1438</v>
      </c>
      <c r="D625" s="9" t="s">
        <v>113</v>
      </c>
      <c r="E625" s="6" t="s">
        <v>1471</v>
      </c>
      <c r="F625" s="9"/>
    </row>
    <row r="626" ht="33.75" customHeight="1">
      <c r="A626" s="7">
        <v>23.0</v>
      </c>
      <c r="B626" s="9" t="s">
        <v>1472</v>
      </c>
      <c r="C626" s="9" t="s">
        <v>1473</v>
      </c>
      <c r="D626" s="9" t="s">
        <v>24</v>
      </c>
      <c r="E626" s="6" t="s">
        <v>1474</v>
      </c>
      <c r="F626" t="inlineStr" s="10">
        <is>
          <t xml:space="preserve">Liikkuu hiljaa ja hiiviskelevästi. Syö lintujen, kuten pikkulintujen ja keihäslintujen, munia kokonaisina. Mitä vanhemmaksi se tulee, sitä pidemmäksi se kasvaa. Yöllä se kietoo pitkän ruumiinsa puunoksien ympärille levätäkseen. Se voi vapaasti irrottaa leukansa nielläkseen suuren saaliin kokonaisena. Siitä voi kuitenkin tulla liian raskas liikkuakseen. Se piiloutuu aina ruohikkoon. Vastasyntyneenä sillä ei ole myrkkyä, joten sen purema on kivulias, mutta vaaraton. Se heiluttelee kielenkärkeään etsiessään saaliinsa hajua ja nielee sen sitten kokonaisena. EKANS käpertyy spiraaliksi levätessään. Tämä asento mahdollistaa sen, että se pystyy nopeasti reagoimaan mistä tahansa suunnasta tulevaan uhkaan vilkaisemalla ylös nostetulla päällään. Tässä asennossa se voi nopeasti vastata viholliseen mistä tahansa suunnasta uhkaamalla sitä nostamalla päänsä. Hyvin yleinen näky nurmikoilla jne. Se heiluttelee kieltään sisään ja ulos aistiakseen ympäristössään olevan vaaran. Se liikkuu hiljaa ja salaa ja syö lintujen, kuten PIDGEYn ja SPEAROWin, munia kokonaisina. Se hiipii ruohon läpi äänettömästi ja iskee tietämättömään saaliiseen takaapäin. Siitä voi kuitenkin tulla liian raskas liikuteltavaksi. Liikkuen hiljaa ja salaa, se syö lintujen, kuten Pidgeyn ja Spearowin, munia kokonaisina. Tämä asento antaa sille mahdollisuuden reagoida nopeasti mistä tahansa suunnasta tulevaan uhkaan vilkaisemalla ylös nostetulla päällään. Sijoittamalla leukansa se voi niellä itseään suuremman saaliin. Aterian jälkeen se käpertyy ja lepää. Lintu-Pokémonin munat ovat sen lempiruokaa. Se nielee munat kokonaisina, joten joskus muna jää jumiin ja Ekans pyörtyy.</t>
        </is>
      </c>
    </row>
    <row r="627" ht="33.75" customHeight="1">
      <c r="A627" s="7">
        <v>23.0</v>
      </c>
      <c r="B627" s="9" t="s">
        <v>1472</v>
      </c>
      <c r="C627" s="9" t="s">
        <v>1473</v>
      </c>
      <c r="D627" s="9" t="s">
        <v>35</v>
      </c>
      <c r="E627" s="6" t="s">
        <v>1474</v>
      </c>
      <c r="F627" s="9"/>
    </row>
    <row r="628" ht="33.75" customHeight="1">
      <c r="A628" s="7">
        <v>23.0</v>
      </c>
      <c r="B628" s="9" t="s">
        <v>1472</v>
      </c>
      <c r="C628" s="9" t="s">
        <v>1473</v>
      </c>
      <c r="D628" s="9" t="s">
        <v>42</v>
      </c>
      <c r="E628" s="6" t="s">
        <v>1475</v>
      </c>
      <c r="F628" s="9"/>
    </row>
    <row r="629" ht="33.75" customHeight="1">
      <c r="A629" s="7">
        <v>23.0</v>
      </c>
      <c r="B629" s="9" t="s">
        <v>1472</v>
      </c>
      <c r="C629" s="9" t="s">
        <v>1473</v>
      </c>
      <c r="D629" s="9" t="s">
        <v>52</v>
      </c>
      <c r="E629" s="6" t="s">
        <v>1477</v>
      </c>
      <c r="F629" s="9"/>
    </row>
    <row r="630" ht="33.75" customHeight="1">
      <c r="A630" s="7">
        <v>23.0</v>
      </c>
      <c r="B630" s="9" t="s">
        <v>1472</v>
      </c>
      <c r="C630" s="9" t="s">
        <v>1473</v>
      </c>
      <c r="D630" s="9" t="s">
        <v>59</v>
      </c>
      <c r="E630" s="6" t="s">
        <v>1478</v>
      </c>
      <c r="F630" s="9"/>
    </row>
    <row r="631" ht="33.75" customHeight="1">
      <c r="A631" s="7">
        <v>23.0</v>
      </c>
      <c r="B631" s="9" t="s">
        <v>1472</v>
      </c>
      <c r="C631" s="9" t="s">
        <v>1473</v>
      </c>
      <c r="D631" s="9" t="s">
        <v>64</v>
      </c>
      <c r="E631" s="6" t="s">
        <v>1480</v>
      </c>
      <c r="F631" s="9"/>
    </row>
    <row r="632" ht="33.75" customHeight="1">
      <c r="A632" s="7">
        <v>23.0</v>
      </c>
      <c r="B632" s="9" t="s">
        <v>1472</v>
      </c>
      <c r="C632" s="9" t="s">
        <v>1473</v>
      </c>
      <c r="D632" s="9" t="s">
        <v>67</v>
      </c>
      <c r="E632" s="6" t="s">
        <v>1482</v>
      </c>
      <c r="F632" s="9"/>
    </row>
    <row r="633" ht="33.75" customHeight="1">
      <c r="A633" s="7">
        <v>23.0</v>
      </c>
      <c r="B633" s="9" t="s">
        <v>1472</v>
      </c>
      <c r="C633" s="9" t="s">
        <v>1473</v>
      </c>
      <c r="D633" s="9" t="s">
        <v>71</v>
      </c>
      <c r="E633" s="6" t="s">
        <v>1482</v>
      </c>
      <c r="F633" s="9"/>
    </row>
    <row r="634" ht="33.75" customHeight="1">
      <c r="A634" s="7">
        <v>23.0</v>
      </c>
      <c r="B634" s="9" t="s">
        <v>1472</v>
      </c>
      <c r="C634" s="9" t="s">
        <v>1473</v>
      </c>
      <c r="D634" s="9" t="s">
        <v>73</v>
      </c>
      <c r="E634" s="6" t="s">
        <v>1486</v>
      </c>
      <c r="F634" s="9"/>
    </row>
    <row r="635" ht="33.75" customHeight="1">
      <c r="A635" s="7">
        <v>23.0</v>
      </c>
      <c r="B635" s="9" t="s">
        <v>1472</v>
      </c>
      <c r="C635" s="9" t="s">
        <v>1473</v>
      </c>
      <c r="D635" s="9" t="s">
        <v>75</v>
      </c>
      <c r="E635" s="6" t="s">
        <v>1487</v>
      </c>
      <c r="F635" s="9"/>
    </row>
    <row r="636" ht="33.75" customHeight="1">
      <c r="A636" s="7">
        <v>23.0</v>
      </c>
      <c r="B636" s="9" t="s">
        <v>1472</v>
      </c>
      <c r="C636" s="9" t="s">
        <v>1473</v>
      </c>
      <c r="D636" s="9" t="s">
        <v>79</v>
      </c>
      <c r="E636" s="6" t="s">
        <v>1490</v>
      </c>
      <c r="F636" s="9"/>
    </row>
    <row r="637" ht="33.75" customHeight="1">
      <c r="A637" s="7">
        <v>23.0</v>
      </c>
      <c r="B637" s="9" t="s">
        <v>1472</v>
      </c>
      <c r="C637" s="9" t="s">
        <v>1473</v>
      </c>
      <c r="D637" s="9" t="s">
        <v>81</v>
      </c>
      <c r="E637" s="6" t="s">
        <v>1492</v>
      </c>
      <c r="F637" s="9"/>
    </row>
    <row r="638" ht="33.75" customHeight="1">
      <c r="A638" s="7">
        <v>23.0</v>
      </c>
      <c r="B638" s="9" t="s">
        <v>1472</v>
      </c>
      <c r="C638" s="9" t="s">
        <v>1473</v>
      </c>
      <c r="D638" s="9" t="s">
        <v>84</v>
      </c>
      <c r="E638" s="6" t="s">
        <v>1492</v>
      </c>
      <c r="F638" s="9"/>
    </row>
    <row r="639" ht="33.75" customHeight="1">
      <c r="A639" s="7">
        <v>23.0</v>
      </c>
      <c r="B639" s="9" t="s">
        <v>1472</v>
      </c>
      <c r="C639" s="9" t="s">
        <v>1473</v>
      </c>
      <c r="D639" s="9" t="s">
        <v>87</v>
      </c>
      <c r="E639" s="6" t="s">
        <v>1492</v>
      </c>
      <c r="F639" s="9"/>
    </row>
    <row r="640" ht="33.75" customHeight="1">
      <c r="A640" s="7">
        <v>23.0</v>
      </c>
      <c r="B640" s="9" t="s">
        <v>1472</v>
      </c>
      <c r="C640" s="9" t="s">
        <v>1473</v>
      </c>
      <c r="D640" s="9" t="s">
        <v>89</v>
      </c>
      <c r="E640" s="6" t="s">
        <v>1496</v>
      </c>
      <c r="F640" s="9"/>
    </row>
    <row r="641" ht="33.75" customHeight="1">
      <c r="A641" s="7">
        <v>23.0</v>
      </c>
      <c r="B641" s="9" t="s">
        <v>1472</v>
      </c>
      <c r="C641" s="9" t="s">
        <v>1473</v>
      </c>
      <c r="D641" s="9" t="s">
        <v>91</v>
      </c>
      <c r="E641" s="6" t="s">
        <v>1478</v>
      </c>
      <c r="F641" s="9"/>
    </row>
    <row r="642" ht="33.75" customHeight="1">
      <c r="A642" s="7">
        <v>23.0</v>
      </c>
      <c r="B642" s="9" t="s">
        <v>1472</v>
      </c>
      <c r="C642" s="9" t="s">
        <v>1473</v>
      </c>
      <c r="D642" s="9" t="s">
        <v>93</v>
      </c>
      <c r="E642" s="6" t="s">
        <v>1492</v>
      </c>
      <c r="F642" s="9"/>
    </row>
    <row r="643" ht="33.75" customHeight="1">
      <c r="A643" s="7">
        <v>23.0</v>
      </c>
      <c r="B643" s="9" t="s">
        <v>1472</v>
      </c>
      <c r="C643" s="9" t="s">
        <v>1473</v>
      </c>
      <c r="D643" s="9" t="s">
        <v>95</v>
      </c>
      <c r="E643" s="6" t="s">
        <v>1492</v>
      </c>
      <c r="F643" s="9"/>
    </row>
    <row r="644" ht="33.75" customHeight="1">
      <c r="A644" s="7">
        <v>23.0</v>
      </c>
      <c r="B644" s="9" t="s">
        <v>1472</v>
      </c>
      <c r="C644" s="9" t="s">
        <v>1473</v>
      </c>
      <c r="D644" s="9" t="s">
        <v>98</v>
      </c>
      <c r="E644" s="6" t="s">
        <v>1492</v>
      </c>
      <c r="F644" s="9"/>
    </row>
    <row r="645" ht="33.75" customHeight="1">
      <c r="A645" s="7">
        <v>23.0</v>
      </c>
      <c r="B645" s="9" t="s">
        <v>1472</v>
      </c>
      <c r="C645" s="9" t="s">
        <v>1473</v>
      </c>
      <c r="D645" s="9" t="s">
        <v>99</v>
      </c>
      <c r="E645" s="6" t="s">
        <v>1492</v>
      </c>
      <c r="F645" s="9"/>
    </row>
    <row r="646" ht="33.75" customHeight="1">
      <c r="A646" s="7">
        <v>23.0</v>
      </c>
      <c r="B646" s="9" t="s">
        <v>1472</v>
      </c>
      <c r="C646" s="9" t="s">
        <v>1473</v>
      </c>
      <c r="D646" s="9" t="s">
        <v>101</v>
      </c>
      <c r="E646" s="6" t="s">
        <v>1475</v>
      </c>
      <c r="F646" s="9"/>
    </row>
    <row r="647" ht="33.75" customHeight="1">
      <c r="A647" s="7">
        <v>23.0</v>
      </c>
      <c r="B647" s="9" t="s">
        <v>1472</v>
      </c>
      <c r="C647" s="9" t="s">
        <v>1473</v>
      </c>
      <c r="D647" s="9" t="s">
        <v>105</v>
      </c>
      <c r="E647" s="6" t="s">
        <v>1503</v>
      </c>
      <c r="F647" s="9"/>
    </row>
    <row r="648" ht="33.75" customHeight="1">
      <c r="A648" s="7">
        <v>23.0</v>
      </c>
      <c r="B648" s="9" t="s">
        <v>1472</v>
      </c>
      <c r="C648" s="9" t="s">
        <v>1473</v>
      </c>
      <c r="D648" s="9" t="s">
        <v>107</v>
      </c>
      <c r="E648" s="6" t="s">
        <v>1504</v>
      </c>
      <c r="F648" s="9"/>
    </row>
    <row r="649" ht="33.75" customHeight="1">
      <c r="A649" s="7">
        <v>23.0</v>
      </c>
      <c r="B649" s="9" t="s">
        <v>1472</v>
      </c>
      <c r="C649" s="9" t="s">
        <v>1473</v>
      </c>
      <c r="D649" s="9" t="s">
        <v>109</v>
      </c>
      <c r="E649" s="6" t="s">
        <v>1504</v>
      </c>
      <c r="F649" s="9"/>
    </row>
    <row r="650" ht="33.75" customHeight="1">
      <c r="A650" s="7">
        <v>23.0</v>
      </c>
      <c r="B650" s="9" t="s">
        <v>1472</v>
      </c>
      <c r="C650" s="9" t="s">
        <v>1473</v>
      </c>
      <c r="D650" s="9" t="s">
        <v>647</v>
      </c>
      <c r="E650" s="6" t="s">
        <v>1505</v>
      </c>
      <c r="F650" s="9"/>
    </row>
    <row r="651" ht="33.75" customHeight="1">
      <c r="A651" s="7">
        <v>23.0</v>
      </c>
      <c r="B651" s="9" t="s">
        <v>1472</v>
      </c>
      <c r="C651" s="9" t="s">
        <v>1473</v>
      </c>
      <c r="D651" s="9" t="s">
        <v>652</v>
      </c>
      <c r="E651" s="6" t="s">
        <v>1506</v>
      </c>
      <c r="F651" s="9"/>
    </row>
    <row r="652" ht="33.75" customHeight="1">
      <c r="A652" s="7">
        <v>23.0</v>
      </c>
      <c r="B652" s="9" t="s">
        <v>1472</v>
      </c>
      <c r="C652" s="9" t="s">
        <v>1473</v>
      </c>
      <c r="D652" s="9" t="s">
        <v>111</v>
      </c>
      <c r="E652" s="6" t="s">
        <v>1475</v>
      </c>
      <c r="F652" s="9"/>
    </row>
    <row r="653" ht="33.75" customHeight="1">
      <c r="A653" s="7">
        <v>23.0</v>
      </c>
      <c r="B653" s="9" t="s">
        <v>1472</v>
      </c>
      <c r="C653" s="9" t="s">
        <v>1473</v>
      </c>
      <c r="D653" s="9" t="s">
        <v>113</v>
      </c>
      <c r="E653" s="6" t="s">
        <v>1475</v>
      </c>
      <c r="F653" s="9"/>
    </row>
    <row r="654" ht="33.75" customHeight="1">
      <c r="A654" s="7">
        <v>24.0</v>
      </c>
      <c r="B654" s="9" t="s">
        <v>1509</v>
      </c>
      <c r="C654" s="9" t="s">
        <v>1510</v>
      </c>
      <c r="D654" s="9" t="s">
        <v>24</v>
      </c>
      <c r="E654" s="6" t="s">
        <v>1511</v>
      </c>
      <c r="F654" t="inlineStr" s="10">
        <is>
          <t xml:space="preserve">Huhutaan, että Arbokin vatsassa olevat raivokkaat varoitusmerkinnät vaihtelevat alueittain. Sen vatsan pelottavia kuvioita on tutkittu. Kuusi variaatiota on vahvistettu. Se tarttuu saaliiseen sen vatsassa olevalla kasvoja muistuttavalla kuviolla, sitoo ja myrkyttää pelästyneen uhrin. Hyvin kostonhaluisen luonteensa ansiosta se ei luovu takaa-ajosta, olipa se kuinka kaukana tahansa, kun se on kohdistanut saaliinsa. Pelotellakseen vihollisia se levittää rintakehänsä leveälle ja päästää aavemaisia ​​ääniä puhaltamalla ilmaa suustaan. Tämä POKéMON on uskomattoman vahva puristaakseen esineitä ruumiillaan. Se voi jopa litistää teräksisiä öljytynnyreitä. Kun ARBOK on kietonut ruumiinsa vihollisensa ympärille, sen murskaavasta syleilystä on mahdotonta paeta. Tällä POKéMONilla on valtava kuristusvoima. Kun se on kerran kietoutunut vihollisensa ympärille, pakeneminen on mahdotonta. Sen vatsassa oleva kuvio näyttää pelottavalta kasvoilta. Heikot viholliset pakenevat jo nähdessään kuvion. Sen vatsan kuvio on tarkoitettu pelotteluun. Se kuristaa vihollisia heidän jähmettyessään pelosta. Tämä Pokémon on uskomattoman vahva puristaakseen asioita ruumiillaan. Kun Arbok kietoo ruumiinsa vihollisensa ympärille, sen murskaavasta syleilystä on mahdotonta paeta. Uusimmat tutkimukset ovat osoittaneet, että sen vatsassa on yli 20 mahdollista kuviojärjestystä. Tainnutettuaan vastustajansa vatsassaan olevalla kuviolla se käärii heidät nopeasti ruumiiseensa ja odottaa, että ne lopettavat liikkumisen.</t>
        </is>
      </c>
    </row>
    <row r="655" ht="33.75" customHeight="1">
      <c r="A655" s="7">
        <v>24.0</v>
      </c>
      <c r="B655" s="9" t="s">
        <v>1509</v>
      </c>
      <c r="C655" s="9" t="s">
        <v>1510</v>
      </c>
      <c r="D655" s="9" t="s">
        <v>35</v>
      </c>
      <c r="E655" s="6" t="s">
        <v>1511</v>
      </c>
      <c r="F655" s="9"/>
    </row>
    <row r="656" ht="33.75" customHeight="1">
      <c r="A656" s="7">
        <v>24.0</v>
      </c>
      <c r="B656" s="9" t="s">
        <v>1509</v>
      </c>
      <c r="C656" s="9" t="s">
        <v>1510</v>
      </c>
      <c r="D656" s="9" t="s">
        <v>42</v>
      </c>
      <c r="E656" s="6" t="s">
        <v>1513</v>
      </c>
      <c r="F656" s="9"/>
    </row>
    <row r="657" ht="33.75" customHeight="1">
      <c r="A657" s="7">
        <v>24.0</v>
      </c>
      <c r="B657" s="9" t="s">
        <v>1509</v>
      </c>
      <c r="C657" s="9" t="s">
        <v>1510</v>
      </c>
      <c r="D657" s="9" t="s">
        <v>52</v>
      </c>
      <c r="E657" s="6" t="s">
        <v>1515</v>
      </c>
      <c r="F657" s="9"/>
    </row>
    <row r="658" ht="33.75" customHeight="1">
      <c r="A658" s="7">
        <v>24.0</v>
      </c>
      <c r="B658" s="9" t="s">
        <v>1509</v>
      </c>
      <c r="C658" s="9" t="s">
        <v>1510</v>
      </c>
      <c r="D658" s="9" t="s">
        <v>59</v>
      </c>
      <c r="E658" s="6" t="s">
        <v>1516</v>
      </c>
      <c r="F658" s="9"/>
    </row>
    <row r="659" ht="33.75" customHeight="1">
      <c r="A659" s="7">
        <v>24.0</v>
      </c>
      <c r="B659" s="9" t="s">
        <v>1509</v>
      </c>
      <c r="C659" s="9" t="s">
        <v>1510</v>
      </c>
      <c r="D659" s="9" t="s">
        <v>64</v>
      </c>
      <c r="E659" s="6" t="s">
        <v>1517</v>
      </c>
      <c r="F659" s="9"/>
    </row>
    <row r="660" ht="33.75" customHeight="1">
      <c r="A660" s="7">
        <v>24.0</v>
      </c>
      <c r="B660" s="9" t="s">
        <v>1509</v>
      </c>
      <c r="C660" s="9" t="s">
        <v>1510</v>
      </c>
      <c r="D660" s="9" t="s">
        <v>67</v>
      </c>
      <c r="E660" s="6" t="s">
        <v>1518</v>
      </c>
      <c r="F660" s="9"/>
    </row>
    <row r="661" ht="33.75" customHeight="1">
      <c r="A661" s="7">
        <v>24.0</v>
      </c>
      <c r="B661" s="9" t="s">
        <v>1509</v>
      </c>
      <c r="C661" s="9" t="s">
        <v>1510</v>
      </c>
      <c r="D661" s="9" t="s">
        <v>71</v>
      </c>
      <c r="E661" s="6" t="s">
        <v>1518</v>
      </c>
      <c r="F661" s="9"/>
    </row>
    <row r="662" ht="33.75" customHeight="1">
      <c r="A662" s="7">
        <v>24.0</v>
      </c>
      <c r="B662" s="9" t="s">
        <v>1509</v>
      </c>
      <c r="C662" s="9" t="s">
        <v>1510</v>
      </c>
      <c r="D662" s="9" t="s">
        <v>73</v>
      </c>
      <c r="E662" s="6" t="s">
        <v>1522</v>
      </c>
      <c r="F662" s="9"/>
    </row>
    <row r="663" ht="33.75" customHeight="1">
      <c r="A663" s="7">
        <v>24.0</v>
      </c>
      <c r="B663" s="9" t="s">
        <v>1509</v>
      </c>
      <c r="C663" s="9" t="s">
        <v>1510</v>
      </c>
      <c r="D663" s="9" t="s">
        <v>75</v>
      </c>
      <c r="E663" s="6" t="s">
        <v>1523</v>
      </c>
      <c r="F663" s="9"/>
    </row>
    <row r="664" ht="33.75" customHeight="1">
      <c r="A664" s="7">
        <v>24.0</v>
      </c>
      <c r="B664" s="9" t="s">
        <v>1509</v>
      </c>
      <c r="C664" s="9" t="s">
        <v>1510</v>
      </c>
      <c r="D664" s="9" t="s">
        <v>79</v>
      </c>
      <c r="E664" s="6" t="s">
        <v>1511</v>
      </c>
      <c r="F664" s="9"/>
    </row>
    <row r="665" ht="33.75" customHeight="1">
      <c r="A665" s="7">
        <v>24.0</v>
      </c>
      <c r="B665" s="9" t="s">
        <v>1509</v>
      </c>
      <c r="C665" s="9" t="s">
        <v>1510</v>
      </c>
      <c r="D665" s="9" t="s">
        <v>81</v>
      </c>
      <c r="E665" s="6" t="s">
        <v>1526</v>
      </c>
      <c r="F665" s="9"/>
    </row>
    <row r="666" ht="33.75" customHeight="1">
      <c r="A666" s="7">
        <v>24.0</v>
      </c>
      <c r="B666" s="9" t="s">
        <v>1509</v>
      </c>
      <c r="C666" s="9" t="s">
        <v>1510</v>
      </c>
      <c r="D666" s="9" t="s">
        <v>84</v>
      </c>
      <c r="E666" s="6" t="s">
        <v>1526</v>
      </c>
      <c r="F666" s="9"/>
    </row>
    <row r="667" ht="33.75" customHeight="1">
      <c r="A667" s="7">
        <v>24.0</v>
      </c>
      <c r="B667" s="9" t="s">
        <v>1509</v>
      </c>
      <c r="C667" s="9" t="s">
        <v>1510</v>
      </c>
      <c r="D667" s="9" t="s">
        <v>87</v>
      </c>
      <c r="E667" s="6" t="s">
        <v>1526</v>
      </c>
      <c r="F667" s="9"/>
    </row>
    <row r="668" ht="33.75" customHeight="1">
      <c r="A668" s="7">
        <v>24.0</v>
      </c>
      <c r="B668" s="9" t="s">
        <v>1509</v>
      </c>
      <c r="C668" s="9" t="s">
        <v>1510</v>
      </c>
      <c r="D668" s="9" t="s">
        <v>89</v>
      </c>
      <c r="E668" s="6" t="s">
        <v>1515</v>
      </c>
      <c r="F668" s="9"/>
    </row>
    <row r="669" ht="33.75" customHeight="1">
      <c r="A669" s="7">
        <v>24.0</v>
      </c>
      <c r="B669" s="9" t="s">
        <v>1509</v>
      </c>
      <c r="C669" s="9" t="s">
        <v>1510</v>
      </c>
      <c r="D669" s="9" t="s">
        <v>91</v>
      </c>
      <c r="E669" s="6" t="s">
        <v>1516</v>
      </c>
      <c r="F669" s="9"/>
    </row>
    <row r="670" ht="33.75" customHeight="1">
      <c r="A670" s="7">
        <v>24.0</v>
      </c>
      <c r="B670" s="9" t="s">
        <v>1509</v>
      </c>
      <c r="C670" s="9" t="s">
        <v>1510</v>
      </c>
      <c r="D670" s="9" t="s">
        <v>93</v>
      </c>
      <c r="E670" s="6" t="s">
        <v>1526</v>
      </c>
      <c r="F670" s="9"/>
    </row>
    <row r="671" ht="33.75" customHeight="1">
      <c r="A671" s="7">
        <v>24.0</v>
      </c>
      <c r="B671" s="9" t="s">
        <v>1509</v>
      </c>
      <c r="C671" s="9" t="s">
        <v>1510</v>
      </c>
      <c r="D671" s="9" t="s">
        <v>95</v>
      </c>
      <c r="E671" s="6" t="s">
        <v>1526</v>
      </c>
      <c r="F671" s="9"/>
    </row>
    <row r="672" ht="33.75" customHeight="1">
      <c r="A672" s="7">
        <v>24.0</v>
      </c>
      <c r="B672" s="9" t="s">
        <v>1509</v>
      </c>
      <c r="C672" s="9" t="s">
        <v>1510</v>
      </c>
      <c r="D672" s="9" t="s">
        <v>98</v>
      </c>
      <c r="E672" s="6" t="s">
        <v>1526</v>
      </c>
      <c r="F672" s="9"/>
    </row>
    <row r="673" ht="33.75" customHeight="1">
      <c r="A673" s="7">
        <v>24.0</v>
      </c>
      <c r="B673" s="9" t="s">
        <v>1509</v>
      </c>
      <c r="C673" s="9" t="s">
        <v>1510</v>
      </c>
      <c r="D673" s="9" t="s">
        <v>99</v>
      </c>
      <c r="E673" s="6" t="s">
        <v>1526</v>
      </c>
      <c r="F673" s="9"/>
    </row>
    <row r="674" ht="33.75" customHeight="1">
      <c r="A674" s="7">
        <v>24.0</v>
      </c>
      <c r="B674" s="9" t="s">
        <v>1509</v>
      </c>
      <c r="C674" s="9" t="s">
        <v>1510</v>
      </c>
      <c r="D674" s="9" t="s">
        <v>101</v>
      </c>
      <c r="E674" s="6" t="s">
        <v>1523</v>
      </c>
      <c r="F674" s="9"/>
    </row>
    <row r="675" ht="33.75" customHeight="1">
      <c r="A675" s="7">
        <v>24.0</v>
      </c>
      <c r="B675" s="9" t="s">
        <v>1509</v>
      </c>
      <c r="C675" s="9" t="s">
        <v>1510</v>
      </c>
      <c r="D675" s="9" t="s">
        <v>105</v>
      </c>
      <c r="E675" s="6" t="s">
        <v>1517</v>
      </c>
      <c r="F675" s="9"/>
    </row>
    <row r="676" ht="33.75" customHeight="1">
      <c r="A676" s="7">
        <v>24.0</v>
      </c>
      <c r="B676" s="9" t="s">
        <v>1509</v>
      </c>
      <c r="C676" s="9" t="s">
        <v>1510</v>
      </c>
      <c r="D676" s="9" t="s">
        <v>107</v>
      </c>
      <c r="E676" s="6" t="s">
        <v>1532</v>
      </c>
      <c r="F676" s="9"/>
    </row>
    <row r="677" ht="33.75" customHeight="1">
      <c r="A677" s="7">
        <v>24.0</v>
      </c>
      <c r="B677" s="9" t="s">
        <v>1509</v>
      </c>
      <c r="C677" s="9" t="s">
        <v>1510</v>
      </c>
      <c r="D677" s="9" t="s">
        <v>109</v>
      </c>
      <c r="E677" s="6" t="s">
        <v>1532</v>
      </c>
      <c r="F677" s="9"/>
    </row>
    <row r="678" ht="33.75" customHeight="1">
      <c r="A678" s="7">
        <v>24.0</v>
      </c>
      <c r="B678" s="9" t="s">
        <v>1509</v>
      </c>
      <c r="C678" s="9" t="s">
        <v>1510</v>
      </c>
      <c r="D678" s="9" t="s">
        <v>647</v>
      </c>
      <c r="E678" s="6" t="s">
        <v>1534</v>
      </c>
      <c r="F678" s="9"/>
    </row>
    <row r="679" ht="33.75" customHeight="1">
      <c r="A679" s="7">
        <v>24.0</v>
      </c>
      <c r="B679" s="9" t="s">
        <v>1509</v>
      </c>
      <c r="C679" s="9" t="s">
        <v>1510</v>
      </c>
      <c r="D679" s="9" t="s">
        <v>652</v>
      </c>
      <c r="E679" s="6" t="s">
        <v>1535</v>
      </c>
      <c r="F679" s="9"/>
    </row>
    <row r="680" ht="33.75" customHeight="1">
      <c r="A680" s="7">
        <v>24.0</v>
      </c>
      <c r="B680" s="9" t="s">
        <v>1509</v>
      </c>
      <c r="C680" s="9" t="s">
        <v>1510</v>
      </c>
      <c r="D680" s="9" t="s">
        <v>111</v>
      </c>
      <c r="E680" s="6" t="s">
        <v>1513</v>
      </c>
      <c r="F680" s="9"/>
    </row>
    <row r="681" ht="33.75" customHeight="1">
      <c r="A681" s="7">
        <v>24.0</v>
      </c>
      <c r="B681" s="9" t="s">
        <v>1509</v>
      </c>
      <c r="C681" s="9" t="s">
        <v>1510</v>
      </c>
      <c r="D681" s="9" t="s">
        <v>113</v>
      </c>
      <c r="E681" s="6" t="s">
        <v>1513</v>
      </c>
      <c r="F681" s="9"/>
    </row>
    <row r="682" ht="33.75" customHeight="1">
      <c r="A682" s="7">
        <v>25.0</v>
      </c>
      <c r="B682" s="9" t="s">
        <v>1536</v>
      </c>
      <c r="C682" s="9" t="s">
        <v>1292</v>
      </c>
      <c r="D682" s="9" t="s">
        <v>24</v>
      </c>
      <c r="E682" s="6" t="s">
        <v>1537</v>
      </c>
      <c r="F682" t="inlineStr" s="10">
        <is>
          <t xml:space="preserve">Kun useita näitä POKéMONEJA kerääntyy, niiden sähköistyminen voi aiheuttaa ukkosmyrskyjä. Se pitää häntäänsä ylhäällä tarkkaillakseen ympäristöään. Jos nykäiset sitä häntää, se yrittää purra sinua. Tämä älykäs POKéMON paahtaa kovia MARJOJA sähköllä, jotta ne ovat tarpeeksi pehmeitä syötäväksi. Se nostaa häntäänsä tarkistaakseen ympäristönsä. Tässä asennossa salama iskee joskus häntäänsä. Vihastuttuaan se purkaa välittömästi poskissaan oleviin pusseihin varastoitunutta energiaa. Aina kun PIKACHU kohtaa jotain uutta, se lähettää siihen sähköiskun. Jos kohtaat mustuneen marjan, se on todiste siitä, että tämä POKéMON on erehtynyt varauksensa voimakkuudesta. Tällä POKéMONilla on sähköä varastoivia pusseja poskissaan. Nämä näyttävät latautuvan sähköisesti yön aikana Pikachun nukkuessa. Se purkaa toisinaan sähköä ollessaan unelias herättyään. Se varastoi sähköä poskillaan oleviin sähköpusseihin. Kun se vapauttaa patoutunutta energiaa purkauksena, sähköenergia vastaa salamaniskua. Sillä on pieniä sähköpusseja molemmilla poskillaan. Uhattuna se vapauttaa sähköä pusseista. Se elää metsissä muiden eläinten kanssa. Se varastoi sähköä poskissaan oleviin pusseihin. Jos se menettää rätinää poskiensa sähköpusseista, se on varovainen. Se käyttää toisinaan sähköiskua ladatakseen heikentyneessä tilassa olevan toisen Pikachun. Tämä älykäs Pokémon paahtaa kovia marjoja sähköllä, jotta ne olisivat tarpeeksi pehmeitä syötäväksi. Tässä asennossa salama iskee joskus pyrstöön. Se käyttää toisinaan sähköiskua ladatakseen heikentyneessä tilassa olevan Pikachun. Jos kohtaat mustuneen marjan, se on todiste siitä, että tämä Pokémon on erehtynyt sen latauksen voimakkuudesta. Äskettäin julkistettiin suunnitelma kerätä paljon Pikachuja ja rakentaa sähkövoimala. Sen luonteeseen kuuluu sähkön varastointi. Se tuntee olonsa stressaantuneeksi silloin tällöin, jos se ei pysty purkamaan sähköä kokonaan. Sen luonne on varastoida sähköä. Metsät, joissa Pikachujen pesiä elää, ovat vaarallisia, koska puut joutuvat usein salaman iskemäksi. Nukkuessaan se tuottaa sähköä poskissaan olevissa pusseissa. Jos se ei nuku tarpeeksi, se pystyy käyttämään vain heikkoa sähköä. Tämä metsässä asuva Pokémon varastoi sähköä poskiinsa, joten tunnet kihelmöivän sähköiskun, jos kosket sitä. Pikachuilla, jotka voivat tuottaa voimakasta sähköä, on erittäin pehmeät ja joustavat poskipussit. Kun Pikachut kohtaavat, ne koskettavat häntäänsä yhteen ja vaihtavat niiden kautta sähköä tervehdyksen muodossa. Sillä on poskipusseja, joihin se varastoi sähköä. Tämä ovela metsän asukas paahtaa sitkeitä marjoja sähköiskulla ennen niiden syömistä.</t>
        </is>
      </c>
    </row>
    <row r="683" ht="33.75" customHeight="1">
      <c r="A683" s="7">
        <v>25.0</v>
      </c>
      <c r="B683" s="9" t="s">
        <v>1536</v>
      </c>
      <c r="C683" s="9" t="s">
        <v>1292</v>
      </c>
      <c r="D683" s="9" t="s">
        <v>35</v>
      </c>
      <c r="E683" s="6" t="s">
        <v>1537</v>
      </c>
      <c r="F683" s="9"/>
    </row>
    <row r="684" ht="33.75" customHeight="1">
      <c r="A684" s="7">
        <v>25.0</v>
      </c>
      <c r="B684" s="9" t="s">
        <v>1536</v>
      </c>
      <c r="C684" s="9" t="s">
        <v>1292</v>
      </c>
      <c r="D684" s="9" t="s">
        <v>42</v>
      </c>
      <c r="E684" s="6" t="s">
        <v>1538</v>
      </c>
      <c r="F684" s="9"/>
    </row>
    <row r="685" ht="33.75" customHeight="1">
      <c r="A685" s="7">
        <v>25.0</v>
      </c>
      <c r="B685" s="9" t="s">
        <v>1536</v>
      </c>
      <c r="C685" s="9" t="s">
        <v>1292</v>
      </c>
      <c r="D685" s="9" t="s">
        <v>52</v>
      </c>
      <c r="E685" s="6" t="s">
        <v>1539</v>
      </c>
      <c r="F685" s="9"/>
    </row>
    <row r="686" ht="33.75" customHeight="1">
      <c r="A686" s="7">
        <v>25.0</v>
      </c>
      <c r="B686" s="9" t="s">
        <v>1536</v>
      </c>
      <c r="C686" s="9" t="s">
        <v>1292</v>
      </c>
      <c r="D686" s="9" t="s">
        <v>59</v>
      </c>
      <c r="E686" s="6" t="s">
        <v>1540</v>
      </c>
      <c r="F686" s="9"/>
    </row>
    <row r="687" ht="33.75" customHeight="1">
      <c r="A687" s="7">
        <v>25.0</v>
      </c>
      <c r="B687" s="9" t="s">
        <v>1536</v>
      </c>
      <c r="C687" s="9" t="s">
        <v>1292</v>
      </c>
      <c r="D687" s="9" t="s">
        <v>64</v>
      </c>
      <c r="E687" s="6" t="s">
        <v>1541</v>
      </c>
      <c r="F687" s="9"/>
    </row>
    <row r="688" ht="33.75" customHeight="1">
      <c r="A688" s="7">
        <v>25.0</v>
      </c>
      <c r="B688" s="9" t="s">
        <v>1536</v>
      </c>
      <c r="C688" s="9" t="s">
        <v>1292</v>
      </c>
      <c r="D688" s="9" t="s">
        <v>67</v>
      </c>
      <c r="E688" s="6" t="s">
        <v>1542</v>
      </c>
      <c r="F688" s="9"/>
    </row>
    <row r="689" ht="33.75" customHeight="1">
      <c r="A689" s="7">
        <v>25.0</v>
      </c>
      <c r="B689" s="9" t="s">
        <v>1536</v>
      </c>
      <c r="C689" s="9" t="s">
        <v>1292</v>
      </c>
      <c r="D689" s="9" t="s">
        <v>71</v>
      </c>
      <c r="E689" s="6" t="s">
        <v>1543</v>
      </c>
      <c r="F689" s="9"/>
    </row>
    <row r="690" ht="33.75" customHeight="1">
      <c r="A690" s="7">
        <v>25.0</v>
      </c>
      <c r="B690" s="9" t="s">
        <v>1536</v>
      </c>
      <c r="C690" s="9" t="s">
        <v>1292</v>
      </c>
      <c r="D690" s="9" t="s">
        <v>73</v>
      </c>
      <c r="E690" s="6" t="s">
        <v>1544</v>
      </c>
      <c r="F690" s="9"/>
    </row>
    <row r="691" ht="33.75" customHeight="1">
      <c r="A691" s="7">
        <v>25.0</v>
      </c>
      <c r="B691" s="9" t="s">
        <v>1536</v>
      </c>
      <c r="C691" s="9" t="s">
        <v>1292</v>
      </c>
      <c r="D691" s="9" t="s">
        <v>75</v>
      </c>
      <c r="E691" s="6" t="s">
        <v>1546</v>
      </c>
      <c r="F691" s="9"/>
    </row>
    <row r="692" ht="33.75" customHeight="1">
      <c r="A692" s="7">
        <v>25.0</v>
      </c>
      <c r="B692" s="9" t="s">
        <v>1536</v>
      </c>
      <c r="C692" s="9" t="s">
        <v>1292</v>
      </c>
      <c r="D692" s="9" t="s">
        <v>79</v>
      </c>
      <c r="E692" s="6" t="s">
        <v>1547</v>
      </c>
      <c r="F692" s="9"/>
    </row>
    <row r="693" ht="33.75" customHeight="1">
      <c r="A693" s="7">
        <v>25.0</v>
      </c>
      <c r="B693" s="9" t="s">
        <v>1536</v>
      </c>
      <c r="C693" s="9" t="s">
        <v>1292</v>
      </c>
      <c r="D693" s="9" t="s">
        <v>81</v>
      </c>
      <c r="E693" s="6" t="s">
        <v>1548</v>
      </c>
      <c r="F693" s="9"/>
    </row>
    <row r="694" ht="33.75" customHeight="1">
      <c r="A694" s="7">
        <v>25.0</v>
      </c>
      <c r="B694" s="9" t="s">
        <v>1536</v>
      </c>
      <c r="C694" s="9" t="s">
        <v>1292</v>
      </c>
      <c r="D694" s="9" t="s">
        <v>84</v>
      </c>
      <c r="E694" s="6" t="s">
        <v>1550</v>
      </c>
      <c r="F694" s="9"/>
    </row>
    <row r="695" ht="33.75" customHeight="1">
      <c r="A695" s="7">
        <v>25.0</v>
      </c>
      <c r="B695" s="9" t="s">
        <v>1536</v>
      </c>
      <c r="C695" s="9" t="s">
        <v>1292</v>
      </c>
      <c r="D695" s="9" t="s">
        <v>87</v>
      </c>
      <c r="E695" s="6" t="s">
        <v>1551</v>
      </c>
      <c r="F695" s="9"/>
    </row>
    <row r="696" ht="33.75" customHeight="1">
      <c r="A696" s="7">
        <v>25.0</v>
      </c>
      <c r="B696" s="9" t="s">
        <v>1536</v>
      </c>
      <c r="C696" s="9" t="s">
        <v>1292</v>
      </c>
      <c r="D696" s="9" t="s">
        <v>89</v>
      </c>
      <c r="E696" s="6" t="s">
        <v>1553</v>
      </c>
      <c r="F696" s="9"/>
    </row>
    <row r="697" ht="33.75" customHeight="1">
      <c r="A697" s="7">
        <v>25.0</v>
      </c>
      <c r="B697" s="9" t="s">
        <v>1536</v>
      </c>
      <c r="C697" s="9" t="s">
        <v>1292</v>
      </c>
      <c r="D697" s="9" t="s">
        <v>91</v>
      </c>
      <c r="E697" s="6" t="s">
        <v>1554</v>
      </c>
      <c r="F697" s="9"/>
    </row>
    <row r="698" ht="33.75" customHeight="1">
      <c r="A698" s="7">
        <v>25.0</v>
      </c>
      <c r="B698" s="9" t="s">
        <v>1536</v>
      </c>
      <c r="C698" s="9" t="s">
        <v>1292</v>
      </c>
      <c r="D698" s="9" t="s">
        <v>93</v>
      </c>
      <c r="E698" s="6" t="s">
        <v>1555</v>
      </c>
      <c r="F698" s="9"/>
    </row>
    <row r="699" ht="33.75" customHeight="1">
      <c r="A699" s="7">
        <v>25.0</v>
      </c>
      <c r="B699" s="9" t="s">
        <v>1536</v>
      </c>
      <c r="C699" s="9" t="s">
        <v>1292</v>
      </c>
      <c r="D699" s="9" t="s">
        <v>95</v>
      </c>
      <c r="E699" s="6" t="s">
        <v>1555</v>
      </c>
      <c r="F699" s="9"/>
    </row>
    <row r="700" ht="33.75" customHeight="1">
      <c r="A700" s="7">
        <v>25.0</v>
      </c>
      <c r="B700" s="9" t="s">
        <v>1536</v>
      </c>
      <c r="C700" s="9" t="s">
        <v>1292</v>
      </c>
      <c r="D700" s="9" t="s">
        <v>98</v>
      </c>
      <c r="E700" s="6" t="s">
        <v>1555</v>
      </c>
      <c r="F700" s="9"/>
    </row>
    <row r="701" ht="33.75" customHeight="1">
      <c r="A701" s="7">
        <v>25.0</v>
      </c>
      <c r="B701" s="9" t="s">
        <v>1536</v>
      </c>
      <c r="C701" s="9" t="s">
        <v>1292</v>
      </c>
      <c r="D701" s="9" t="s">
        <v>99</v>
      </c>
      <c r="E701" s="6" t="s">
        <v>1555</v>
      </c>
      <c r="F701" s="9"/>
    </row>
    <row r="702" ht="33.75" customHeight="1">
      <c r="A702" s="7">
        <v>25.0</v>
      </c>
      <c r="B702" s="9" t="s">
        <v>1536</v>
      </c>
      <c r="C702" s="9" t="s">
        <v>1292</v>
      </c>
      <c r="D702" s="9" t="s">
        <v>101</v>
      </c>
      <c r="E702" s="6" t="s">
        <v>1554</v>
      </c>
      <c r="F702" s="9"/>
    </row>
    <row r="703" ht="33.75" customHeight="1">
      <c r="A703" s="7">
        <v>25.0</v>
      </c>
      <c r="B703" s="9" t="s">
        <v>1536</v>
      </c>
      <c r="C703" s="9" t="s">
        <v>1292</v>
      </c>
      <c r="D703" s="9" t="s">
        <v>105</v>
      </c>
      <c r="E703" s="6" t="s">
        <v>1546</v>
      </c>
      <c r="F703" s="9"/>
    </row>
    <row r="704" ht="33.75" customHeight="1">
      <c r="A704" s="7">
        <v>25.0</v>
      </c>
      <c r="B704" s="9" t="s">
        <v>1536</v>
      </c>
      <c r="C704" s="9" t="s">
        <v>1292</v>
      </c>
      <c r="D704" s="9" t="s">
        <v>107</v>
      </c>
      <c r="E704" s="6" t="s">
        <v>1560</v>
      </c>
      <c r="F704" s="9"/>
    </row>
    <row r="705" ht="33.75" customHeight="1">
      <c r="A705" s="7">
        <v>25.0</v>
      </c>
      <c r="B705" s="9" t="s">
        <v>1536</v>
      </c>
      <c r="C705" s="9" t="s">
        <v>1292</v>
      </c>
      <c r="D705" s="9" t="s">
        <v>109</v>
      </c>
      <c r="E705" s="6" t="s">
        <v>1562</v>
      </c>
      <c r="F705" s="9"/>
    </row>
    <row r="706" ht="33.75" customHeight="1">
      <c r="A706" s="7">
        <v>25.0</v>
      </c>
      <c r="B706" s="9" t="s">
        <v>1536</v>
      </c>
      <c r="C706" s="9" t="s">
        <v>1292</v>
      </c>
      <c r="D706" s="9" t="s">
        <v>637</v>
      </c>
      <c r="E706" s="6" t="s">
        <v>1564</v>
      </c>
      <c r="F706" s="9"/>
    </row>
    <row r="707" ht="33.75" customHeight="1">
      <c r="A707" s="7">
        <v>25.0</v>
      </c>
      <c r="B707" s="9" t="s">
        <v>1536</v>
      </c>
      <c r="C707" s="9" t="s">
        <v>1292</v>
      </c>
      <c r="D707" s="9" t="s">
        <v>642</v>
      </c>
      <c r="E707" s="6" t="s">
        <v>1566</v>
      </c>
      <c r="F707" s="9"/>
    </row>
    <row r="708" ht="33.75" customHeight="1">
      <c r="A708" s="7">
        <v>25.0</v>
      </c>
      <c r="B708" s="9" t="s">
        <v>1536</v>
      </c>
      <c r="C708" s="9" t="s">
        <v>1292</v>
      </c>
      <c r="D708" s="9" t="s">
        <v>647</v>
      </c>
      <c r="E708" s="6" t="s">
        <v>1567</v>
      </c>
      <c r="F708" s="9"/>
    </row>
    <row r="709" ht="33.75" customHeight="1">
      <c r="A709" s="7">
        <v>25.0</v>
      </c>
      <c r="B709" s="9" t="s">
        <v>1536</v>
      </c>
      <c r="C709" s="9" t="s">
        <v>1292</v>
      </c>
      <c r="D709" s="9" t="s">
        <v>652</v>
      </c>
      <c r="E709" s="6" t="s">
        <v>1569</v>
      </c>
      <c r="F709" s="9"/>
    </row>
    <row r="710" ht="33.75" customHeight="1">
      <c r="A710" s="7">
        <v>25.0</v>
      </c>
      <c r="B710" s="9" t="s">
        <v>1536</v>
      </c>
      <c r="C710" s="9" t="s">
        <v>1292</v>
      </c>
      <c r="D710" s="9" t="s">
        <v>111</v>
      </c>
      <c r="E710" s="6" t="s">
        <v>1571</v>
      </c>
      <c r="F710" s="9"/>
    </row>
    <row r="711" ht="33.75" customHeight="1">
      <c r="A711" s="7">
        <v>25.0</v>
      </c>
      <c r="B711" s="9" t="s">
        <v>1536</v>
      </c>
      <c r="C711" s="9" t="s">
        <v>1292</v>
      </c>
      <c r="D711" s="9" t="s">
        <v>113</v>
      </c>
      <c r="E711" s="6" t="s">
        <v>1571</v>
      </c>
      <c r="F711" s="9"/>
    </row>
    <row r="712" ht="33.75" customHeight="1">
      <c r="A712" s="7">
        <v>25.0</v>
      </c>
      <c r="B712" s="9" t="s">
        <v>1536</v>
      </c>
      <c r="C712" s="9" t="s">
        <v>1292</v>
      </c>
      <c r="D712" s="9" t="s">
        <v>114</v>
      </c>
      <c r="E712" s="6" t="s">
        <v>1574</v>
      </c>
      <c r="F712" s="9"/>
    </row>
    <row r="713" ht="33.75" customHeight="1">
      <c r="A713" s="7">
        <v>25.0</v>
      </c>
      <c r="B713" s="9" t="s">
        <v>1536</v>
      </c>
      <c r="C713" s="9" t="s">
        <v>1292</v>
      </c>
      <c r="D713" s="9" t="s">
        <v>117</v>
      </c>
      <c r="E713" s="6" t="s">
        <v>1576</v>
      </c>
      <c r="F713" s="9"/>
    </row>
    <row r="714" ht="33.75" customHeight="1">
      <c r="A714" s="7">
        <v>25.0</v>
      </c>
      <c r="B714" s="9" t="s">
        <v>1536</v>
      </c>
      <c r="C714" s="9" t="s">
        <v>1292</v>
      </c>
      <c r="D714" s="9" t="s">
        <v>1577</v>
      </c>
      <c r="E714" s="6" t="s">
        <v>1578</v>
      </c>
      <c r="F714" s="9"/>
    </row>
    <row r="715" ht="33.75" customHeight="1">
      <c r="A715" s="7">
        <v>26.0</v>
      </c>
      <c r="B715" s="9" t="s">
        <v>1579</v>
      </c>
      <c r="C715" s="9" t="s">
        <v>1292</v>
      </c>
      <c r="D715" s="9" t="s">
        <v>24</v>
      </c>
      <c r="E715" s="6" t="s">
        <v>1581</v>
      </c>
      <c r="F715" t="inlineStr" s="10">
        <is>
          <t xml:space="preserve">Raichun pitkä häntä toimii maadoituksena suojatakseen itseään omalta korkeajännitteeltään. Kun sen kehoon kertyy sähköä, siitä tulee tulikuuma. Se myös hohtaa pimeässä. Kun sen sähköistyminen lisääntyy, sen lihakset stimuloituvat ja siitä tulee tavallista aggressiivisempi. Jos sen poskien sähköpussit latautuvat täyteen, molemmat korvat nousevat suoraan pystyyn. Jos sen sähkövaraajat tyhjenevät, se nostaa pyrstöään kerätäkseen sähköä ilmakehästä. Jos sähköpussit latautuvat liikaa, RAICHU työntää häntänsä maahan ja purkaa varauksensa. Tämän POKéMONin pesän läheltä löytyy palaneita maanpalasia. Tämä POKéMON säteilee heikkoa sähkövarausta koko kehostaan, joka saa sen hohtamaan hieman pimeässä. RAICHU etsii sähköä työntämällä häntäänsä maahan. Jos se varastoi liikaa sähköä, sen käyttäytyminen muuttuu aggressiiviseksi. Tämän välttämiseksi se purkaa ajoittain ylimääräistä energiaa ja rauhoittuu. Sen sähkövaraukset voivat olla jopa 100 000 volttia. Varomaton kosketus voi aiheuttaa jopa intiannorsun pyörtymisen. Sen pitkä häntä toimii maadoituksena suojatakseen itseään omalta korkeajännitteiseltä voimaltaan. Se muuttuu aggressiiviseksi, jos sen kehossa on liikaa sähköä. Se purkaa energiaa pyrstönsä kautta. Se voi vapauttaa 100 000 voltin sähköpurkauksia, jotka tappavat välittömästi useita kertoja sen kokoisia vihollisia. Sen häntä purkaa sähköä maahan, mikä suojaa sitä sähköiskuilta. Jos sähköpussit latautuvat liikaa, Raichu työntää häntäänsä maahan ja purkaa varauksensa. Tämä Pokémon säteilee heikkoa sähkövarausta kaikkialle kehoonsa, mikä saa sen hohtamaan hieman pimeässä. Raichu työntää häntäänsä maahan purkaakseen sähköä. Se antaa sähköiskuja, joiden voimakkuus voi nousta 100 000 volttiin. Ravistettuna se voi tyrmätä jopa intiannorsun. Siitä tulee aggressiivinen, kun sillä on varastoituneena sähköä. Tällaisina aikoina jopa sen kouluttajan on oltava varovainen välttääkseen hyökkäyksen. Kun sähkön kertyminen sen kehoon muuttuu aggressiivisemmaksi. Yhden teorian mukaan sähkön kertyminen itse asiassa aiheuttaa stressiä. Koska niin monet kouluttajat pitävät Pikachun ulkonäöstä, et näe tätä Pokémonia kovin usein. Jos sen sähkötaskut tyhjenevät, se nostaa pyrstöään kerätäkseen sähköä ilmakehästä. Se voi purkaa yli 100 000 voltin sähköpurkauksia – yksi ainoa tuollainen isku lamauttaisi yhden kotimaani kuparipäälliköistä.</t>
        </is>
      </c>
    </row>
    <row r="716" ht="33.75" customHeight="1">
      <c r="A716" s="7">
        <v>26.0</v>
      </c>
      <c r="B716" s="9" t="s">
        <v>1579</v>
      </c>
      <c r="C716" s="9" t="s">
        <v>1292</v>
      </c>
      <c r="D716" s="9" t="s">
        <v>35</v>
      </c>
      <c r="E716" s="6" t="s">
        <v>1581</v>
      </c>
      <c r="F716" s="9"/>
    </row>
    <row r="717" ht="33.75" customHeight="1">
      <c r="A717" s="7">
        <v>26.0</v>
      </c>
      <c r="B717" s="9" t="s">
        <v>1579</v>
      </c>
      <c r="C717" s="9" t="s">
        <v>1292</v>
      </c>
      <c r="D717" s="9" t="s">
        <v>42</v>
      </c>
      <c r="E717" s="6" t="s">
        <v>1583</v>
      </c>
      <c r="F717" s="9"/>
    </row>
    <row r="718" ht="33.75" customHeight="1">
      <c r="A718" s="7">
        <v>26.0</v>
      </c>
      <c r="B718" s="9" t="s">
        <v>1579</v>
      </c>
      <c r="C718" s="9" t="s">
        <v>1292</v>
      </c>
      <c r="D718" s="9" t="s">
        <v>52</v>
      </c>
      <c r="E718" s="6" t="s">
        <v>1585</v>
      </c>
      <c r="F718" s="9"/>
    </row>
    <row r="719" ht="33.75" customHeight="1">
      <c r="A719" s="7">
        <v>26.0</v>
      </c>
      <c r="B719" s="9" t="s">
        <v>1579</v>
      </c>
      <c r="C719" s="9" t="s">
        <v>1292</v>
      </c>
      <c r="D719" s="9" t="s">
        <v>59</v>
      </c>
      <c r="E719" s="6" t="s">
        <v>1587</v>
      </c>
      <c r="F719" s="9"/>
    </row>
    <row r="720" ht="33.75" customHeight="1">
      <c r="A720" s="7">
        <v>26.0</v>
      </c>
      <c r="B720" s="9" t="s">
        <v>1579</v>
      </c>
      <c r="C720" s="9" t="s">
        <v>1292</v>
      </c>
      <c r="D720" s="9" t="s">
        <v>64</v>
      </c>
      <c r="E720" s="6" t="s">
        <v>1589</v>
      </c>
      <c r="F720" s="9"/>
    </row>
    <row r="721" ht="33.75" customHeight="1">
      <c r="A721" s="7">
        <v>26.0</v>
      </c>
      <c r="B721" s="9" t="s">
        <v>1579</v>
      </c>
      <c r="C721" s="9" t="s">
        <v>1292</v>
      </c>
      <c r="D721" s="9" t="s">
        <v>67</v>
      </c>
      <c r="E721" s="6" t="s">
        <v>1590</v>
      </c>
      <c r="F721" s="9"/>
    </row>
    <row r="722" ht="33.75" customHeight="1">
      <c r="A722" s="7">
        <v>26.0</v>
      </c>
      <c r="B722" s="9" t="s">
        <v>1579</v>
      </c>
      <c r="C722" s="9" t="s">
        <v>1292</v>
      </c>
      <c r="D722" s="9" t="s">
        <v>71</v>
      </c>
      <c r="E722" s="6" t="s">
        <v>1591</v>
      </c>
      <c r="F722" s="9"/>
    </row>
    <row r="723" ht="33.75" customHeight="1">
      <c r="A723" s="7">
        <v>26.0</v>
      </c>
      <c r="B723" s="9" t="s">
        <v>1579</v>
      </c>
      <c r="C723" s="9" t="s">
        <v>1292</v>
      </c>
      <c r="D723" s="9" t="s">
        <v>73</v>
      </c>
      <c r="E723" s="6" t="s">
        <v>1592</v>
      </c>
      <c r="F723" s="9"/>
    </row>
    <row r="724" ht="33.75" customHeight="1">
      <c r="A724" s="7">
        <v>26.0</v>
      </c>
      <c r="B724" s="9" t="s">
        <v>1579</v>
      </c>
      <c r="C724" s="9" t="s">
        <v>1292</v>
      </c>
      <c r="D724" s="9" t="s">
        <v>75</v>
      </c>
      <c r="E724" s="6" t="s">
        <v>1593</v>
      </c>
      <c r="F724" s="9"/>
    </row>
    <row r="725" ht="33.75" customHeight="1">
      <c r="A725" s="7">
        <v>26.0</v>
      </c>
      <c r="B725" s="9" t="s">
        <v>1579</v>
      </c>
      <c r="C725" s="9" t="s">
        <v>1292</v>
      </c>
      <c r="D725" s="9" t="s">
        <v>79</v>
      </c>
      <c r="E725" s="6" t="s">
        <v>1594</v>
      </c>
      <c r="F725" s="9"/>
    </row>
    <row r="726" ht="33.75" customHeight="1">
      <c r="A726" s="7">
        <v>26.0</v>
      </c>
      <c r="B726" s="9" t="s">
        <v>1579</v>
      </c>
      <c r="C726" s="9" t="s">
        <v>1292</v>
      </c>
      <c r="D726" s="9" t="s">
        <v>81</v>
      </c>
      <c r="E726" s="6" t="s">
        <v>1595</v>
      </c>
      <c r="F726" s="9"/>
    </row>
    <row r="727" ht="33.75" customHeight="1">
      <c r="A727" s="7">
        <v>26.0</v>
      </c>
      <c r="B727" s="9" t="s">
        <v>1579</v>
      </c>
      <c r="C727" s="9" t="s">
        <v>1292</v>
      </c>
      <c r="D727" s="9" t="s">
        <v>84</v>
      </c>
      <c r="E727" s="6" t="s">
        <v>1596</v>
      </c>
      <c r="F727" s="9"/>
    </row>
    <row r="728" ht="33.75" customHeight="1">
      <c r="A728" s="7">
        <v>26.0</v>
      </c>
      <c r="B728" s="9" t="s">
        <v>1579</v>
      </c>
      <c r="C728" s="9" t="s">
        <v>1292</v>
      </c>
      <c r="D728" s="9" t="s">
        <v>87</v>
      </c>
      <c r="E728" s="6" t="s">
        <v>1597</v>
      </c>
      <c r="F728" s="9"/>
    </row>
    <row r="729" ht="33.75" customHeight="1">
      <c r="A729" s="7">
        <v>26.0</v>
      </c>
      <c r="B729" s="9" t="s">
        <v>1579</v>
      </c>
      <c r="C729" s="9" t="s">
        <v>1292</v>
      </c>
      <c r="D729" s="9" t="s">
        <v>89</v>
      </c>
      <c r="E729" s="6" t="s">
        <v>1585</v>
      </c>
      <c r="F729" s="9"/>
    </row>
    <row r="730" ht="33.75" customHeight="1">
      <c r="A730" s="7">
        <v>26.0</v>
      </c>
      <c r="B730" s="9" t="s">
        <v>1579</v>
      </c>
      <c r="C730" s="9" t="s">
        <v>1292</v>
      </c>
      <c r="D730" s="9" t="s">
        <v>91</v>
      </c>
      <c r="E730" s="6" t="s">
        <v>1587</v>
      </c>
      <c r="F730" s="9"/>
    </row>
    <row r="731" ht="33.75" customHeight="1">
      <c r="A731" s="7">
        <v>26.0</v>
      </c>
      <c r="B731" s="9" t="s">
        <v>1579</v>
      </c>
      <c r="C731" s="9" t="s">
        <v>1292</v>
      </c>
      <c r="D731" s="9" t="s">
        <v>93</v>
      </c>
      <c r="E731" s="6" t="s">
        <v>1597</v>
      </c>
      <c r="F731" s="9"/>
    </row>
    <row r="732" ht="33.75" customHeight="1">
      <c r="A732" s="7">
        <v>26.0</v>
      </c>
      <c r="B732" s="9" t="s">
        <v>1579</v>
      </c>
      <c r="C732" s="9" t="s">
        <v>1292</v>
      </c>
      <c r="D732" s="9" t="s">
        <v>95</v>
      </c>
      <c r="E732" s="6" t="s">
        <v>1597</v>
      </c>
      <c r="F732" s="9"/>
    </row>
    <row r="733" ht="33.75" customHeight="1">
      <c r="A733" s="7">
        <v>26.0</v>
      </c>
      <c r="B733" s="9" t="s">
        <v>1579</v>
      </c>
      <c r="C733" s="9" t="s">
        <v>1292</v>
      </c>
      <c r="D733" s="9" t="s">
        <v>98</v>
      </c>
      <c r="E733" s="6" t="s">
        <v>1597</v>
      </c>
      <c r="F733" s="9"/>
    </row>
    <row r="734" ht="33.75" customHeight="1">
      <c r="A734" s="7">
        <v>26.0</v>
      </c>
      <c r="B734" s="9" t="s">
        <v>1579</v>
      </c>
      <c r="C734" s="9" t="s">
        <v>1292</v>
      </c>
      <c r="D734" s="9" t="s">
        <v>99</v>
      </c>
      <c r="E734" s="6" t="s">
        <v>1597</v>
      </c>
      <c r="F734" s="9"/>
    </row>
    <row r="735" ht="33.75" customHeight="1">
      <c r="A735" s="7">
        <v>26.0</v>
      </c>
      <c r="B735" s="9" t="s">
        <v>1579</v>
      </c>
      <c r="C735" s="9" t="s">
        <v>1292</v>
      </c>
      <c r="D735" s="9" t="s">
        <v>101</v>
      </c>
      <c r="E735" s="6" t="s">
        <v>1585</v>
      </c>
      <c r="F735" s="9"/>
    </row>
    <row r="736" ht="33.75" customHeight="1">
      <c r="A736" s="7">
        <v>26.0</v>
      </c>
      <c r="B736" s="9" t="s">
        <v>1579</v>
      </c>
      <c r="C736" s="9" t="s">
        <v>1292</v>
      </c>
      <c r="D736" s="9" t="s">
        <v>105</v>
      </c>
      <c r="E736" s="6" t="s">
        <v>1596</v>
      </c>
      <c r="F736" s="9"/>
    </row>
    <row r="737" ht="33.75" customHeight="1">
      <c r="A737" s="7">
        <v>26.0</v>
      </c>
      <c r="B737" s="9" t="s">
        <v>1579</v>
      </c>
      <c r="C737" s="9" t="s">
        <v>1292</v>
      </c>
      <c r="D737" s="9" t="s">
        <v>107</v>
      </c>
      <c r="E737" s="6" t="s">
        <v>1603</v>
      </c>
      <c r="F737" s="9"/>
    </row>
    <row r="738" ht="33.75" customHeight="1">
      <c r="A738" s="7">
        <v>26.0</v>
      </c>
      <c r="B738" s="9" t="s">
        <v>1579</v>
      </c>
      <c r="C738" s="9" t="s">
        <v>1292</v>
      </c>
      <c r="D738" s="9" t="s">
        <v>109</v>
      </c>
      <c r="E738" s="6" t="s">
        <v>1605</v>
      </c>
      <c r="F738" s="9"/>
    </row>
    <row r="739" ht="33.75" customHeight="1">
      <c r="A739" s="7">
        <v>26.0</v>
      </c>
      <c r="B739" s="9" t="s">
        <v>1579</v>
      </c>
      <c r="C739" s="9" t="s">
        <v>1292</v>
      </c>
      <c r="D739" s="9" t="s">
        <v>637</v>
      </c>
      <c r="E739" s="6" t="s">
        <v>1607</v>
      </c>
      <c r="F739" s="9"/>
    </row>
    <row r="740" ht="33.75" customHeight="1">
      <c r="A740" s="7">
        <v>26.0</v>
      </c>
      <c r="B740" s="9" t="s">
        <v>1579</v>
      </c>
      <c r="C740" s="9" t="s">
        <v>1292</v>
      </c>
      <c r="D740" s="9" t="s">
        <v>642</v>
      </c>
      <c r="E740" s="6" t="s">
        <v>1608</v>
      </c>
      <c r="F740" s="9"/>
    </row>
    <row r="741" ht="33.75" customHeight="1">
      <c r="A741" s="7">
        <v>26.0</v>
      </c>
      <c r="B741" s="9" t="s">
        <v>1579</v>
      </c>
      <c r="C741" s="9" t="s">
        <v>1292</v>
      </c>
      <c r="D741" s="9" t="s">
        <v>647</v>
      </c>
      <c r="E741" s="6" t="s">
        <v>1610</v>
      </c>
      <c r="F741" s="9"/>
    </row>
    <row r="742" ht="33.75" customHeight="1">
      <c r="A742" s="7">
        <v>26.0</v>
      </c>
      <c r="B742" s="9" t="s">
        <v>1579</v>
      </c>
      <c r="C742" s="9" t="s">
        <v>1292</v>
      </c>
      <c r="D742" s="9" t="s">
        <v>652</v>
      </c>
      <c r="E742" s="6" t="s">
        <v>1613</v>
      </c>
      <c r="F742" s="9"/>
    </row>
    <row r="743" ht="33.75" customHeight="1">
      <c r="A743" s="7">
        <v>26.0</v>
      </c>
      <c r="B743" s="9" t="s">
        <v>1579</v>
      </c>
      <c r="C743" s="9" t="s">
        <v>1292</v>
      </c>
      <c r="D743" s="9" t="s">
        <v>111</v>
      </c>
      <c r="E743" s="6" t="s">
        <v>1583</v>
      </c>
      <c r="F743" s="9"/>
    </row>
    <row r="744" ht="33.75" customHeight="1">
      <c r="A744" s="7">
        <v>26.0</v>
      </c>
      <c r="B744" s="9" t="s">
        <v>1579</v>
      </c>
      <c r="C744" s="9" t="s">
        <v>1292</v>
      </c>
      <c r="D744" s="9" t="s">
        <v>113</v>
      </c>
      <c r="E744" s="6" t="s">
        <v>1583</v>
      </c>
      <c r="F744" s="9"/>
    </row>
    <row r="745" ht="33.75" customHeight="1">
      <c r="A745" s="7">
        <v>26.0</v>
      </c>
      <c r="B745" s="9" t="s">
        <v>1579</v>
      </c>
      <c r="C745" s="9" t="s">
        <v>1292</v>
      </c>
      <c r="D745" s="9" t="s">
        <v>114</v>
      </c>
      <c r="E745" s="6" t="s">
        <v>1594</v>
      </c>
      <c r="F745" s="9"/>
    </row>
    <row r="746" ht="33.75" customHeight="1">
      <c r="A746" s="7">
        <v>26.0</v>
      </c>
      <c r="B746" s="9" t="s">
        <v>1579</v>
      </c>
      <c r="C746" s="9" t="s">
        <v>1292</v>
      </c>
      <c r="D746" s="9" t="s">
        <v>117</v>
      </c>
      <c r="E746" s="6" t="s">
        <v>1623</v>
      </c>
      <c r="F746" s="9"/>
    </row>
    <row r="747" ht="33.75" customHeight="1">
      <c r="A747" s="7">
        <v>26.0</v>
      </c>
      <c r="B747" s="9" t="s">
        <v>1579</v>
      </c>
      <c r="C747" s="9" t="s">
        <v>1292</v>
      </c>
      <c r="D747" s="9" t="s">
        <v>1577</v>
      </c>
      <c r="E747" s="6" t="s">
        <v>1625</v>
      </c>
      <c r="F747" s="9"/>
    </row>
    <row r="748" ht="33.75" customHeight="1">
      <c r="A748" s="7">
        <v>27.0</v>
      </c>
      <c r="B748" s="9" t="s">
        <v>1626</v>
      </c>
      <c r="C748" s="9" t="s">
        <v>1292</v>
      </c>
      <c r="D748" s="9" t="s">
        <v>24</v>
      </c>
      <c r="E748" s="6" t="s">
        <v>1628</v>
      </c>
      <c r="F748" t="inlineStr" s="10">
        <is>
          <t xml:space="preserve">Kaivautuu syvällä maan alla kuivilla paikoilla kaukana vedestä. Se nousee esiin vain metsästämään ruokaa. Sen ruumis on kuiva. Kun yöllä kylmenee, sen nahan sanotaan peittyvän hienoon kastekerrokseen. Jos se putoaisi suurelta korkeudelta, tämä POKéMON voisi pelastaa itsensä pyörimällä palloksi ja pomppimalla. Se ei pidä vedestä, joten se elää syvissä koloissa kuivilla alueilla. Se voi käpertyä hetkessä palloksi. Se suosii kuivia, hiekkaisia ​​paikkoja, koska se käyttää hiekkaa suojana uhatessa. SANDSHREWin keho on suunniteltu imemään vettä ilman jätettä, minkä ansiosta se selviytyy kuivassa aavikolla. Tämä POKéMON käpertyy suojautuakseen vihollisiltaan. SANDSHREW'lla on erittäin kuiva ja äärimmäisen kestävä nahka. POKéMON voi pyöriä palloksi, joka torjuu kaikki hyökkäykset. Yöllä se kaivautuu aavikon hiekkaan nukkumaan. Kun se käpertyy palloksi, se voi kimpoa minkä tahansa hyökkäyksen vaarattomasti. Sen nahka on muuttunut kovaksi ja vankaksi aavikossa elämisen seurauksena. Se kaivautuu ja elää maan alla. Uhattuna se käpertyy suojakseen palloksi. Se nousee esiin vain metsästämään saalista. Suojautuakseen hyökkääjiltä se käpertyy palloksi. Se elää kuivilla alueilla, joilla sataa vähän. Se kaivaa syviä koloja elääkseen. Vaaran iskiessä se käärii ruumiinsa ylös kestääkseen hyökkäyksiä. Sandshrew'n keho on suunniteltu imemään vettä ilman jätettä, minkä ansiosta se selviytyy kuivassa aavikolla. Se voi pyöritellä ruumistaan ​​palloksi. Se liikkuu aavikon halki pyörimällä suurilla nopeuksilla. Se asuu yleensä aavikoilla ja kuivilla alueilla, joilla ei sada. Se kaivaa kuoppia pyydystääkseen Bug-tyyppisiä Pokémoneja. Se elää alueilla, joilla sataa vähän. Vaaran lähestyessä se käpertyy palloksi suojellakseen pehmeää vatsaansa. Kun sen iho rypistyy kosteudesta, se suuntaa kohti tulivuorta. Se makaa tasaisesti paikassa, jossa on paljon geotermistä lämpöä, ja kuivuu itsestään. Se rakastaa kylpeä kuivien, hiekkaisten alueiden hiekassa. Hiekassa kylpemällä Pokémon pääsee eroon kehoonsa tarttuneesta liasta ja kosteudesta. Se kaivautuu maahan pesän tekemiseksi. Jos kovat kivet estävät sen kaivamista, se käyttää teräviä kynsiään niiden murskaamiseen ja jatkaa sitten kaivamista.</t>
        </is>
      </c>
    </row>
    <row r="749" ht="33.75" customHeight="1">
      <c r="A749" s="7">
        <v>27.0</v>
      </c>
      <c r="B749" s="9" t="s">
        <v>1626</v>
      </c>
      <c r="C749" s="9" t="s">
        <v>1292</v>
      </c>
      <c r="D749" s="9" t="s">
        <v>35</v>
      </c>
      <c r="E749" s="6" t="s">
        <v>1628</v>
      </c>
      <c r="F749" s="9"/>
    </row>
    <row r="750" ht="33.75" customHeight="1">
      <c r="A750" s="7">
        <v>27.0</v>
      </c>
      <c r="B750" s="9" t="s">
        <v>1626</v>
      </c>
      <c r="C750" s="9" t="s">
        <v>1292</v>
      </c>
      <c r="D750" s="9" t="s">
        <v>42</v>
      </c>
      <c r="E750" s="6" t="s">
        <v>1632</v>
      </c>
      <c r="F750" s="9"/>
    </row>
    <row r="751" ht="33.75" customHeight="1">
      <c r="A751" s="7">
        <v>27.0</v>
      </c>
      <c r="B751" s="9" t="s">
        <v>1626</v>
      </c>
      <c r="C751" s="9" t="s">
        <v>1292</v>
      </c>
      <c r="D751" s="9" t="s">
        <v>52</v>
      </c>
      <c r="E751" s="6" t="s">
        <v>1634</v>
      </c>
      <c r="F751" s="9"/>
    </row>
    <row r="752" ht="33.75" customHeight="1">
      <c r="A752" s="7">
        <v>27.0</v>
      </c>
      <c r="B752" s="9" t="s">
        <v>1626</v>
      </c>
      <c r="C752" s="9" t="s">
        <v>1292</v>
      </c>
      <c r="D752" s="9" t="s">
        <v>59</v>
      </c>
      <c r="E752" s="6" t="s">
        <v>1635</v>
      </c>
      <c r="F752" s="9"/>
    </row>
    <row r="753" ht="33.75" customHeight="1">
      <c r="A753" s="7">
        <v>27.0</v>
      </c>
      <c r="B753" s="9" t="s">
        <v>1626</v>
      </c>
      <c r="C753" s="9" t="s">
        <v>1292</v>
      </c>
      <c r="D753" s="9" t="s">
        <v>64</v>
      </c>
      <c r="E753" s="6" t="s">
        <v>1636</v>
      </c>
      <c r="F753" s="9"/>
    </row>
    <row r="754" ht="33.75" customHeight="1">
      <c r="A754" s="7">
        <v>27.0</v>
      </c>
      <c r="B754" s="9" t="s">
        <v>1626</v>
      </c>
      <c r="C754" s="9" t="s">
        <v>1292</v>
      </c>
      <c r="D754" s="9" t="s">
        <v>67</v>
      </c>
      <c r="E754" s="6" t="s">
        <v>1637</v>
      </c>
      <c r="F754" s="9"/>
    </row>
    <row r="755" ht="33.75" customHeight="1">
      <c r="A755" s="7">
        <v>27.0</v>
      </c>
      <c r="B755" s="9" t="s">
        <v>1626</v>
      </c>
      <c r="C755" s="9" t="s">
        <v>1292</v>
      </c>
      <c r="D755" s="9" t="s">
        <v>71</v>
      </c>
      <c r="E755" s="6" t="s">
        <v>1638</v>
      </c>
      <c r="F755" s="9"/>
    </row>
    <row r="756" ht="33.75" customHeight="1">
      <c r="A756" s="7">
        <v>27.0</v>
      </c>
      <c r="B756" s="9" t="s">
        <v>1626</v>
      </c>
      <c r="C756" s="9" t="s">
        <v>1292</v>
      </c>
      <c r="D756" s="9" t="s">
        <v>73</v>
      </c>
      <c r="E756" s="6" t="s">
        <v>1641</v>
      </c>
      <c r="F756" s="9"/>
    </row>
    <row r="757" ht="33.75" customHeight="1">
      <c r="A757" s="7">
        <v>27.0</v>
      </c>
      <c r="B757" s="9" t="s">
        <v>1626</v>
      </c>
      <c r="C757" s="9" t="s">
        <v>1292</v>
      </c>
      <c r="D757" s="9" t="s">
        <v>75</v>
      </c>
      <c r="E757" s="6" t="s">
        <v>1645</v>
      </c>
      <c r="F757" s="9"/>
    </row>
    <row r="758" ht="33.75" customHeight="1">
      <c r="A758" s="7">
        <v>27.0</v>
      </c>
      <c r="B758" s="9" t="s">
        <v>1626</v>
      </c>
      <c r="C758" s="9" t="s">
        <v>1292</v>
      </c>
      <c r="D758" s="9" t="s">
        <v>79</v>
      </c>
      <c r="E758" s="6" t="s">
        <v>1647</v>
      </c>
      <c r="F758" s="9"/>
    </row>
    <row r="759" ht="33.75" customHeight="1">
      <c r="A759" s="7">
        <v>27.0</v>
      </c>
      <c r="B759" s="9" t="s">
        <v>1626</v>
      </c>
      <c r="C759" s="9" t="s">
        <v>1292</v>
      </c>
      <c r="D759" s="9" t="s">
        <v>81</v>
      </c>
      <c r="E759" s="6" t="s">
        <v>1648</v>
      </c>
      <c r="F759" s="9"/>
    </row>
    <row r="760" ht="33.75" customHeight="1">
      <c r="A760" s="7">
        <v>27.0</v>
      </c>
      <c r="B760" s="9" t="s">
        <v>1626</v>
      </c>
      <c r="C760" s="9" t="s">
        <v>1292</v>
      </c>
      <c r="D760" s="9" t="s">
        <v>84</v>
      </c>
      <c r="E760" s="6" t="s">
        <v>1648</v>
      </c>
      <c r="F760" s="9"/>
    </row>
    <row r="761" ht="33.75" customHeight="1">
      <c r="A761" s="7">
        <v>27.0</v>
      </c>
      <c r="B761" s="9" t="s">
        <v>1626</v>
      </c>
      <c r="C761" s="9" t="s">
        <v>1292</v>
      </c>
      <c r="D761" s="9" t="s">
        <v>87</v>
      </c>
      <c r="E761" s="6" t="s">
        <v>1648</v>
      </c>
      <c r="F761" s="9"/>
    </row>
    <row r="762" ht="33.75" customHeight="1">
      <c r="A762" s="7">
        <v>27.0</v>
      </c>
      <c r="B762" s="9" t="s">
        <v>1626</v>
      </c>
      <c r="C762" s="9" t="s">
        <v>1292</v>
      </c>
      <c r="D762" s="9" t="s">
        <v>89</v>
      </c>
      <c r="E762" s="6" t="s">
        <v>1650</v>
      </c>
      <c r="F762" s="9"/>
    </row>
    <row r="763" ht="33.75" customHeight="1">
      <c r="A763" s="7">
        <v>27.0</v>
      </c>
      <c r="B763" s="9" t="s">
        <v>1626</v>
      </c>
      <c r="C763" s="9" t="s">
        <v>1292</v>
      </c>
      <c r="D763" s="9" t="s">
        <v>91</v>
      </c>
      <c r="E763" s="6" t="s">
        <v>1635</v>
      </c>
      <c r="F763" s="9"/>
    </row>
    <row r="764" ht="33.75" customHeight="1">
      <c r="A764" s="7">
        <v>27.0</v>
      </c>
      <c r="B764" s="9" t="s">
        <v>1626</v>
      </c>
      <c r="C764" s="9" t="s">
        <v>1292</v>
      </c>
      <c r="D764" s="9" t="s">
        <v>93</v>
      </c>
      <c r="E764" s="6" t="s">
        <v>1648</v>
      </c>
      <c r="F764" s="9"/>
    </row>
    <row r="765" ht="33.75" customHeight="1">
      <c r="A765" s="7">
        <v>27.0</v>
      </c>
      <c r="B765" s="9" t="s">
        <v>1626</v>
      </c>
      <c r="C765" s="9" t="s">
        <v>1292</v>
      </c>
      <c r="D765" s="9" t="s">
        <v>95</v>
      </c>
      <c r="E765" s="6" t="s">
        <v>1648</v>
      </c>
      <c r="F765" s="9"/>
    </row>
    <row r="766" ht="33.75" customHeight="1">
      <c r="A766" s="7">
        <v>27.0</v>
      </c>
      <c r="B766" s="9" t="s">
        <v>1626</v>
      </c>
      <c r="C766" s="9" t="s">
        <v>1292</v>
      </c>
      <c r="D766" s="9" t="s">
        <v>98</v>
      </c>
      <c r="E766" s="6" t="s">
        <v>1656</v>
      </c>
      <c r="F766" s="9"/>
    </row>
    <row r="767" ht="33.75" customHeight="1">
      <c r="A767" s="7">
        <v>27.0</v>
      </c>
      <c r="B767" s="9" t="s">
        <v>1626</v>
      </c>
      <c r="C767" s="9" t="s">
        <v>1292</v>
      </c>
      <c r="D767" s="9" t="s">
        <v>99</v>
      </c>
      <c r="E767" s="6" t="s">
        <v>1656</v>
      </c>
      <c r="F767" s="9"/>
    </row>
    <row r="768" ht="33.75" customHeight="1">
      <c r="A768" s="7">
        <v>27.0</v>
      </c>
      <c r="B768" s="9" t="s">
        <v>1626</v>
      </c>
      <c r="C768" s="9" t="s">
        <v>1292</v>
      </c>
      <c r="D768" s="9" t="s">
        <v>101</v>
      </c>
      <c r="E768" s="6" t="s">
        <v>1645</v>
      </c>
      <c r="F768" s="9"/>
    </row>
    <row r="769" ht="33.75" customHeight="1">
      <c r="A769" s="7">
        <v>27.0</v>
      </c>
      <c r="B769" s="9" t="s">
        <v>1626</v>
      </c>
      <c r="C769" s="9" t="s">
        <v>1292</v>
      </c>
      <c r="D769" s="9" t="s">
        <v>105</v>
      </c>
      <c r="E769" s="6" t="s">
        <v>1635</v>
      </c>
      <c r="F769" s="9"/>
    </row>
    <row r="770" ht="33.75" customHeight="1">
      <c r="A770" s="7">
        <v>27.0</v>
      </c>
      <c r="B770" s="9" t="s">
        <v>1626</v>
      </c>
      <c r="C770" s="9" t="s">
        <v>1292</v>
      </c>
      <c r="D770" s="9" t="s">
        <v>107</v>
      </c>
      <c r="E770" s="6" t="s">
        <v>1667</v>
      </c>
      <c r="F770" s="9"/>
    </row>
    <row r="771" ht="33.75" customHeight="1">
      <c r="A771" s="7">
        <v>27.0</v>
      </c>
      <c r="B771" s="9" t="s">
        <v>1626</v>
      </c>
      <c r="C771" s="9" t="s">
        <v>1292</v>
      </c>
      <c r="D771" s="9" t="s">
        <v>109</v>
      </c>
      <c r="E771" s="6" t="s">
        <v>1670</v>
      </c>
      <c r="F771" s="9"/>
    </row>
    <row r="772" ht="33.75" customHeight="1">
      <c r="A772" s="7">
        <v>27.0</v>
      </c>
      <c r="B772" s="9" t="s">
        <v>1626</v>
      </c>
      <c r="C772" s="9" t="s">
        <v>1292</v>
      </c>
      <c r="D772" s="9" t="s">
        <v>637</v>
      </c>
      <c r="E772" s="6" t="s">
        <v>1673</v>
      </c>
      <c r="F772" s="9"/>
    </row>
    <row r="773" ht="33.75" customHeight="1">
      <c r="A773" s="7">
        <v>27.0</v>
      </c>
      <c r="B773" s="9" t="s">
        <v>1626</v>
      </c>
      <c r="C773" s="9" t="s">
        <v>1292</v>
      </c>
      <c r="D773" s="9" t="s">
        <v>642</v>
      </c>
      <c r="E773" s="6" t="s">
        <v>1677</v>
      </c>
      <c r="F773" s="9"/>
    </row>
    <row r="774" ht="33.75" customHeight="1">
      <c r="A774" s="7">
        <v>27.0</v>
      </c>
      <c r="B774" s="9" t="s">
        <v>1626</v>
      </c>
      <c r="C774" s="9" t="s">
        <v>1292</v>
      </c>
      <c r="D774" s="9" t="s">
        <v>647</v>
      </c>
      <c r="E774" s="6" t="s">
        <v>1680</v>
      </c>
      <c r="F774" s="9"/>
    </row>
    <row r="775" ht="33.75" customHeight="1">
      <c r="A775" s="7">
        <v>27.0</v>
      </c>
      <c r="B775" s="9" t="s">
        <v>1626</v>
      </c>
      <c r="C775" s="9" t="s">
        <v>1292</v>
      </c>
      <c r="D775" s="9" t="s">
        <v>652</v>
      </c>
      <c r="E775" s="6" t="s">
        <v>1684</v>
      </c>
      <c r="F775" s="9"/>
    </row>
    <row r="776" ht="33.75" customHeight="1">
      <c r="A776" s="7">
        <v>27.0</v>
      </c>
      <c r="B776" s="9" t="s">
        <v>1626</v>
      </c>
      <c r="C776" s="9" t="s">
        <v>1292</v>
      </c>
      <c r="D776" s="9" t="s">
        <v>111</v>
      </c>
      <c r="E776" s="6" t="s">
        <v>1632</v>
      </c>
      <c r="F776" s="9"/>
    </row>
    <row r="777" ht="33.75" customHeight="1">
      <c r="A777" s="7">
        <v>27.0</v>
      </c>
      <c r="B777" s="9" t="s">
        <v>1626</v>
      </c>
      <c r="C777" s="9" t="s">
        <v>1292</v>
      </c>
      <c r="D777" s="9" t="s">
        <v>113</v>
      </c>
      <c r="E777" s="6" t="s">
        <v>1632</v>
      </c>
      <c r="F777" s="9"/>
    </row>
    <row r="778" ht="33.75" customHeight="1">
      <c r="A778" s="7">
        <v>27.0</v>
      </c>
      <c r="B778" s="9" t="s">
        <v>1626</v>
      </c>
      <c r="C778" s="9" t="s">
        <v>1292</v>
      </c>
      <c r="D778" s="9" t="s">
        <v>114</v>
      </c>
      <c r="E778" s="6" t="s">
        <v>1691</v>
      </c>
      <c r="F778" s="9"/>
    </row>
    <row r="779" ht="33.75" customHeight="1">
      <c r="A779" s="7">
        <v>27.0</v>
      </c>
      <c r="B779" s="9" t="s">
        <v>1626</v>
      </c>
      <c r="C779" s="9" t="s">
        <v>1292</v>
      </c>
      <c r="D779" s="9" t="s">
        <v>117</v>
      </c>
      <c r="E779" s="6" t="s">
        <v>1695</v>
      </c>
      <c r="F779" s="9"/>
    </row>
    <row r="780" ht="33.75" customHeight="1">
      <c r="A780" s="7">
        <v>28.0</v>
      </c>
      <c r="B780" s="9" t="s">
        <v>1697</v>
      </c>
      <c r="C780" s="9" t="s">
        <v>1292</v>
      </c>
      <c r="D780" s="9" t="s">
        <v>24</v>
      </c>
      <c r="E780" s="6" t="s">
        <v>1699</v>
      </c>
      <c r="F780" t="inlineStr" s="10">
        <is>
          <t xml:space="preserve">Käpertyy piikkiseksi palloksi uhattuna. Se voi pyöriä käpertyneenä hyökätäkseen tai paetakseen. Se on taitava viiltämään vihollisia kynsillään. Jos ne katkeavat, ne alkavat kasvaa takaisin päivässä. Yrittäessään piiloutua se juoksee ympäriinsä huippunopeudella ja nostattaa sokaisevan pölymyrskyn. Jos se kaivaa uskomattoman nopeasti, se saattaa katkaista piikkinsä ja kyntensä. Ne kasvavat takaisin päivässä. Se on taitava puihin kiipeämään, pyörii piikkiseksi palloksi ja hyökkää sitten vihollistensa kimppuun ylhäältä. SANDLASHin ruumista peittävät kovat piikit, jotka ovat kovettuneet osat sen nahasta. Kerran vuodessa vanhat piikit putoavat pois, ja niiden alta kasvaa uusia. SANDLASH voi kääriä ruumiinsa kuin se olisi pallo, joka on täynnä suuria piikkejä. Taistelussa tämä POKéMON yrittää säpsäyttää vihollisen tökkimällä sitä piikillään. Sitten se hyppää tainnutetun vihollisen kimppuun ja repii tätä villisti terävillä kynsillään. Se käpertyy palloksi suojautuakseen vihollisen hyökkäyksiltä. Se käpertyy myös estääkseen lämpöhalvauksen päiväsaikaan, kun lämpötilat nousevat jyrkästi. Se on taitava hyökkäämään selässään olevien piikien ja terävien kynsiensä avulla samalla kun se vipeltää nopeasti ympäriinsä. Se käpertyy ja vierii sitten selällään vihollisten päälle. Sen terävät piikit aiheuttavat vakavaa vahinkoa. Sen ruumiin piikit on tehty sen kovettuneesta nahasta. Se kiertyy ja hyökkää vihollisten kimppuun piikkiensä avulla. Sandslashin ruumista peittävät kovat piikit, jotka ovat kovettuneet osat sen nahasta. Sandslash voi kääriä vartaloaan kuin se olisi pallo, joka on täynnä suuria piikkejä. Taistelussa tämä Pokémon yrittää saada vihollisen säpsähtämään tökkäämällä sitä piikillään. Vaikka ne ovat teräviä, sen kynnet ja piikit katkeavat usein. Ne kasvavat takaisin seuraavana päivänä, joten tilapäinen menetys ei haittaa sitä. Se käyttää kynsiään kiivetäkseen puihin ja käpertää sitten ruumiinsa piikkiseksi palloksi valmiina putoamaan minkä tahansa ilmestyvän saaliin päälle. Sen kynnet ja sarvet katkeavat usein. Katkenneita kynsiä ja sarvia voidaan käyttää aurojen veistämiseen peltojen kyntämiseen. Paksujen kynsiensä ansiosta se on hyvä kiipeilemään puissa. On paljon hiekkakiipeilijöitä, jotka pysähtyvät puihin ja nukahtavat heti. Mitä kuivempi alue Sandslashilla on, sitä kovemmilta ja sileämmiltä Pokémonin piikit tuntuvat kosketettaessa. Se kiipeää puihin tarttumalla niihin terävillä kynsillään. Sandslash jakaa keräämänsä marjat ja pudottaa ne puun alla odottavalle Sandshrew'lle.</t>
        </is>
      </c>
    </row>
    <row r="781" ht="33.75" customHeight="1">
      <c r="A781" s="7">
        <v>28.0</v>
      </c>
      <c r="B781" s="9" t="s">
        <v>1697</v>
      </c>
      <c r="C781" s="9" t="s">
        <v>1292</v>
      </c>
      <c r="D781" s="9" t="s">
        <v>35</v>
      </c>
      <c r="E781" s="6" t="s">
        <v>1699</v>
      </c>
      <c r="F781" s="9"/>
    </row>
    <row r="782" ht="33.75" customHeight="1">
      <c r="A782" s="7">
        <v>28.0</v>
      </c>
      <c r="B782" s="9" t="s">
        <v>1697</v>
      </c>
      <c r="C782" s="9" t="s">
        <v>1292</v>
      </c>
      <c r="D782" s="9" t="s">
        <v>42</v>
      </c>
      <c r="E782" s="6" t="s">
        <v>1702</v>
      </c>
      <c r="F782" s="9"/>
    </row>
    <row r="783" ht="33.75" customHeight="1">
      <c r="A783" s="7">
        <v>28.0</v>
      </c>
      <c r="B783" s="9" t="s">
        <v>1697</v>
      </c>
      <c r="C783" s="9" t="s">
        <v>1292</v>
      </c>
      <c r="D783" s="9" t="s">
        <v>52</v>
      </c>
      <c r="E783" s="6" t="s">
        <v>1704</v>
      </c>
      <c r="F783" s="9"/>
    </row>
    <row r="784" ht="33.75" customHeight="1">
      <c r="A784" s="7">
        <v>28.0</v>
      </c>
      <c r="B784" s="9" t="s">
        <v>1697</v>
      </c>
      <c r="C784" s="9" t="s">
        <v>1292</v>
      </c>
      <c r="D784" s="9" t="s">
        <v>59</v>
      </c>
      <c r="E784" s="6" t="s">
        <v>1707</v>
      </c>
      <c r="F784" s="9"/>
    </row>
    <row r="785" ht="33.75" customHeight="1">
      <c r="A785" s="7">
        <v>28.0</v>
      </c>
      <c r="B785" s="9" t="s">
        <v>1697</v>
      </c>
      <c r="C785" s="9" t="s">
        <v>1292</v>
      </c>
      <c r="D785" s="9" t="s">
        <v>64</v>
      </c>
      <c r="E785" s="6" t="s">
        <v>1709</v>
      </c>
      <c r="F785" s="9"/>
    </row>
    <row r="786" ht="33.75" customHeight="1">
      <c r="A786" s="7">
        <v>28.0</v>
      </c>
      <c r="B786" s="9" t="s">
        <v>1697</v>
      </c>
      <c r="C786" s="9" t="s">
        <v>1292</v>
      </c>
      <c r="D786" s="9" t="s">
        <v>67</v>
      </c>
      <c r="E786" s="6" t="s">
        <v>1712</v>
      </c>
      <c r="F786" s="9"/>
    </row>
    <row r="787" ht="33.75" customHeight="1">
      <c r="A787" s="7">
        <v>28.0</v>
      </c>
      <c r="B787" s="9" t="s">
        <v>1697</v>
      </c>
      <c r="C787" s="9" t="s">
        <v>1292</v>
      </c>
      <c r="D787" s="9" t="s">
        <v>71</v>
      </c>
      <c r="E787" s="6" t="s">
        <v>1715</v>
      </c>
      <c r="F787" s="9"/>
    </row>
    <row r="788" ht="33.75" customHeight="1">
      <c r="A788" s="7">
        <v>28.0</v>
      </c>
      <c r="B788" s="9" t="s">
        <v>1697</v>
      </c>
      <c r="C788" s="9" t="s">
        <v>1292</v>
      </c>
      <c r="D788" s="9" t="s">
        <v>73</v>
      </c>
      <c r="E788" s="6" t="s">
        <v>1718</v>
      </c>
      <c r="F788" s="9"/>
    </row>
    <row r="789" ht="33.75" customHeight="1">
      <c r="A789" s="7">
        <v>28.0</v>
      </c>
      <c r="B789" s="9" t="s">
        <v>1697</v>
      </c>
      <c r="C789" s="9" t="s">
        <v>1292</v>
      </c>
      <c r="D789" s="9" t="s">
        <v>75</v>
      </c>
      <c r="E789" s="6" t="s">
        <v>1723</v>
      </c>
      <c r="F789" s="9"/>
    </row>
    <row r="790" ht="33.75" customHeight="1">
      <c r="A790" s="7">
        <v>28.0</v>
      </c>
      <c r="B790" s="9" t="s">
        <v>1697</v>
      </c>
      <c r="C790" s="9" t="s">
        <v>1292</v>
      </c>
      <c r="D790" s="9" t="s">
        <v>79</v>
      </c>
      <c r="E790" s="6" t="s">
        <v>1699</v>
      </c>
      <c r="F790" s="9"/>
    </row>
    <row r="791" ht="33.75" customHeight="1">
      <c r="A791" s="7">
        <v>28.0</v>
      </c>
      <c r="B791" s="9" t="s">
        <v>1697</v>
      </c>
      <c r="C791" s="9" t="s">
        <v>1292</v>
      </c>
      <c r="D791" s="9" t="s">
        <v>81</v>
      </c>
      <c r="E791" s="6" t="s">
        <v>1728</v>
      </c>
      <c r="F791" s="9"/>
    </row>
    <row r="792" ht="33.75" customHeight="1">
      <c r="A792" s="7">
        <v>28.0</v>
      </c>
      <c r="B792" s="9" t="s">
        <v>1697</v>
      </c>
      <c r="C792" s="9" t="s">
        <v>1292</v>
      </c>
      <c r="D792" s="9" t="s">
        <v>84</v>
      </c>
      <c r="E792" s="6" t="s">
        <v>1728</v>
      </c>
      <c r="F792" s="9"/>
    </row>
    <row r="793" ht="33.75" customHeight="1">
      <c r="A793" s="7">
        <v>28.0</v>
      </c>
      <c r="B793" s="9" t="s">
        <v>1697</v>
      </c>
      <c r="C793" s="9" t="s">
        <v>1292</v>
      </c>
      <c r="D793" s="9" t="s">
        <v>87</v>
      </c>
      <c r="E793" s="6" t="s">
        <v>1728</v>
      </c>
      <c r="F793" s="9"/>
    </row>
    <row r="794" ht="33.75" customHeight="1">
      <c r="A794" s="7">
        <v>28.0</v>
      </c>
      <c r="B794" s="9" t="s">
        <v>1697</v>
      </c>
      <c r="C794" s="9" t="s">
        <v>1292</v>
      </c>
      <c r="D794" s="9" t="s">
        <v>89</v>
      </c>
      <c r="E794" s="6" t="s">
        <v>1704</v>
      </c>
      <c r="F794" s="9"/>
    </row>
    <row r="795" ht="33.75" customHeight="1">
      <c r="A795" s="7">
        <v>28.0</v>
      </c>
      <c r="B795" s="9" t="s">
        <v>1697</v>
      </c>
      <c r="C795" s="9" t="s">
        <v>1292</v>
      </c>
      <c r="D795" s="9" t="s">
        <v>91</v>
      </c>
      <c r="E795" s="6" t="s">
        <v>1707</v>
      </c>
      <c r="F795" s="9"/>
    </row>
    <row r="796" ht="33.75" customHeight="1">
      <c r="A796" s="7">
        <v>28.0</v>
      </c>
      <c r="B796" s="9" t="s">
        <v>1697</v>
      </c>
      <c r="C796" s="9" t="s">
        <v>1292</v>
      </c>
      <c r="D796" s="9" t="s">
        <v>93</v>
      </c>
      <c r="E796" s="6" t="s">
        <v>1728</v>
      </c>
      <c r="F796" s="9"/>
    </row>
    <row r="797" ht="33.75" customHeight="1">
      <c r="A797" s="7">
        <v>28.0</v>
      </c>
      <c r="B797" s="9" t="s">
        <v>1697</v>
      </c>
      <c r="C797" s="9" t="s">
        <v>1292</v>
      </c>
      <c r="D797" s="9" t="s">
        <v>95</v>
      </c>
      <c r="E797" s="6" t="s">
        <v>1728</v>
      </c>
      <c r="F797" s="9"/>
    </row>
    <row r="798" ht="33.75" customHeight="1">
      <c r="A798" s="7">
        <v>28.0</v>
      </c>
      <c r="B798" s="9" t="s">
        <v>1697</v>
      </c>
      <c r="C798" s="9" t="s">
        <v>1292</v>
      </c>
      <c r="D798" s="9" t="s">
        <v>98</v>
      </c>
      <c r="E798" s="6" t="s">
        <v>1743</v>
      </c>
      <c r="F798" s="9"/>
    </row>
    <row r="799" ht="33.75" customHeight="1">
      <c r="A799" s="7">
        <v>28.0</v>
      </c>
      <c r="B799" s="9" t="s">
        <v>1697</v>
      </c>
      <c r="C799" s="9" t="s">
        <v>1292</v>
      </c>
      <c r="D799" s="9" t="s">
        <v>99</v>
      </c>
      <c r="E799" s="6" t="s">
        <v>1743</v>
      </c>
      <c r="F799" s="9"/>
    </row>
    <row r="800" ht="33.75" customHeight="1">
      <c r="A800" s="7">
        <v>28.0</v>
      </c>
      <c r="B800" s="9" t="s">
        <v>1697</v>
      </c>
      <c r="C800" s="9" t="s">
        <v>1292</v>
      </c>
      <c r="D800" s="9" t="s">
        <v>101</v>
      </c>
      <c r="E800" s="6" t="s">
        <v>1707</v>
      </c>
      <c r="F800" s="9"/>
    </row>
    <row r="801" ht="33.75" customHeight="1">
      <c r="A801" s="7">
        <v>28.0</v>
      </c>
      <c r="B801" s="9" t="s">
        <v>1697</v>
      </c>
      <c r="C801" s="9" t="s">
        <v>1292</v>
      </c>
      <c r="D801" s="9" t="s">
        <v>105</v>
      </c>
      <c r="E801" s="6" t="s">
        <v>1699</v>
      </c>
      <c r="F801" s="9"/>
    </row>
    <row r="802" ht="33.75" customHeight="1">
      <c r="A802" s="7">
        <v>28.0</v>
      </c>
      <c r="B802" s="9" t="s">
        <v>1697</v>
      </c>
      <c r="C802" s="9" t="s">
        <v>1292</v>
      </c>
      <c r="D802" s="9" t="s">
        <v>107</v>
      </c>
      <c r="E802" s="6" t="s">
        <v>1752</v>
      </c>
      <c r="F802" s="9"/>
    </row>
    <row r="803" ht="33.75" customHeight="1">
      <c r="A803" s="7">
        <v>28.0</v>
      </c>
      <c r="B803" s="9" t="s">
        <v>1697</v>
      </c>
      <c r="C803" s="9" t="s">
        <v>1292</v>
      </c>
      <c r="D803" s="9" t="s">
        <v>109</v>
      </c>
      <c r="E803" s="6" t="s">
        <v>1754</v>
      </c>
      <c r="F803" s="9"/>
    </row>
    <row r="804" ht="33.75" customHeight="1">
      <c r="A804" s="7">
        <v>28.0</v>
      </c>
      <c r="B804" s="9" t="s">
        <v>1697</v>
      </c>
      <c r="C804" s="9" t="s">
        <v>1292</v>
      </c>
      <c r="D804" s="9" t="s">
        <v>637</v>
      </c>
      <c r="E804" s="6" t="s">
        <v>1757</v>
      </c>
      <c r="F804" s="9"/>
    </row>
    <row r="805" ht="33.75" customHeight="1">
      <c r="A805" s="7">
        <v>28.0</v>
      </c>
      <c r="B805" s="9" t="s">
        <v>1697</v>
      </c>
      <c r="C805" s="9" t="s">
        <v>1292</v>
      </c>
      <c r="D805" s="9" t="s">
        <v>642</v>
      </c>
      <c r="E805" s="6" t="s">
        <v>1760</v>
      </c>
      <c r="F805" s="9"/>
    </row>
    <row r="806" ht="33.75" customHeight="1">
      <c r="A806" s="7">
        <v>28.0</v>
      </c>
      <c r="B806" s="9" t="s">
        <v>1697</v>
      </c>
      <c r="C806" s="9" t="s">
        <v>1292</v>
      </c>
      <c r="D806" s="9" t="s">
        <v>647</v>
      </c>
      <c r="E806" s="6" t="s">
        <v>1763</v>
      </c>
      <c r="F806" s="9"/>
    </row>
    <row r="807" ht="33.75" customHeight="1">
      <c r="A807" s="7">
        <v>28.0</v>
      </c>
      <c r="B807" s="9" t="s">
        <v>1697</v>
      </c>
      <c r="C807" s="9" t="s">
        <v>1292</v>
      </c>
      <c r="D807" s="9" t="s">
        <v>652</v>
      </c>
      <c r="E807" s="6" t="s">
        <v>1764</v>
      </c>
      <c r="F807" s="9"/>
    </row>
    <row r="808" ht="33.75" customHeight="1">
      <c r="A808" s="7">
        <v>28.0</v>
      </c>
      <c r="B808" s="9" t="s">
        <v>1697</v>
      </c>
      <c r="C808" s="9" t="s">
        <v>1292</v>
      </c>
      <c r="D808" s="9" t="s">
        <v>111</v>
      </c>
      <c r="E808" s="6" t="s">
        <v>1702</v>
      </c>
      <c r="F808" s="9"/>
    </row>
    <row r="809" ht="33.75" customHeight="1">
      <c r="A809" s="7">
        <v>28.0</v>
      </c>
      <c r="B809" s="9" t="s">
        <v>1697</v>
      </c>
      <c r="C809" s="9" t="s">
        <v>1292</v>
      </c>
      <c r="D809" s="9" t="s">
        <v>113</v>
      </c>
      <c r="E809" s="6" t="s">
        <v>1702</v>
      </c>
      <c r="F809" s="9"/>
    </row>
    <row r="810" ht="33.75" customHeight="1">
      <c r="A810" s="7">
        <v>28.0</v>
      </c>
      <c r="B810" s="9" t="s">
        <v>1697</v>
      </c>
      <c r="C810" s="9" t="s">
        <v>1292</v>
      </c>
      <c r="D810" s="9" t="s">
        <v>114</v>
      </c>
      <c r="E810" s="6" t="s">
        <v>1772</v>
      </c>
      <c r="F810" s="9"/>
    </row>
    <row r="811" ht="33.75" customHeight="1">
      <c r="A811" s="7">
        <v>28.0</v>
      </c>
      <c r="B811" s="9" t="s">
        <v>1697</v>
      </c>
      <c r="C811" s="9" t="s">
        <v>1292</v>
      </c>
      <c r="D811" s="9" t="s">
        <v>117</v>
      </c>
      <c r="E811" s="6" t="s">
        <v>1776</v>
      </c>
      <c r="F811" s="9"/>
    </row>
    <row r="812" ht="33.75" customHeight="1">
      <c r="A812" s="7">
        <v>29.0</v>
      </c>
      <c r="B812" s="9" t="s">
        <v>1778</v>
      </c>
      <c r="C812" s="9" t="s">
        <v>1779</v>
      </c>
      <c r="D812" s="9" t="s">
        <v>24</v>
      </c>
      <c r="E812" s="6" t="s">
        <v>1781</v>
      </c>
      <c r="F812" t="inlineStr" s="10">
        <is>
          <t xml:space="preserve">Vaikka se on pieni, Nidoran♀in myrkylliset piikit tekevät tästä POKéMONista vaarallisen. Naaraalla on pienemmät sarvet. Lempeäluonteinen POKéMON, joka ei pidä taistelusta. Varo, sen pienet sarvet erittävät myrkkyä. Sen pienessä sarvessa piilevä myrkky on erittäin voimakasta. Jopa pieni naarmu voi aiheuttaa kohtalokkaita seurauksia. Vaikka se ei ole kovin taistelunhaluinen, se piinaa vihollisiaan myrkkypiikeillä, jos se on millään tavalla uhattuna. Pieni ja hyvin säyseä se suojaa itseään hyökkäyksen varalta pienellä, myrkyllisellä sarvellaan. NIDORANilla on piikkejä, jotka erittävät voimakasta myrkkyä. Niiden uskotaan kehittyneen suojaksi tälle pienikokoiselle POKéMONille. Raivostuessaan se vapauttaa sarvestaan ​​kammottavaa myrkkyä. Sen erittäin myrkyllisten piikkien uskotaan kehittyneen suojaksi tälle pienikokoiselle POKéMONille. Vaikka se on pieni, sitä on käsiteltävä varoen sen voimakkaasti myrkyllisten piikkien vuoksi. Vaikka se ei halua taistella, jo yksi pisara sen piikkien erittämää myrkkyä voi olla kohtalokas. Jopa pieni naarmu voi johtaa kohtalokkaisiin seurauksiin. Vaikka se ei ole kovin taistelunhaluinen, se piinaa vihollisiaan myrkkypiikeillä, jos sitä uhkaa jokin asia. Vaikka Pokémon on pieni, sen myrkylliset piikit tekevät siitä vaarallisen. Pieni ja hyvin säyseä, se suojaa itseään pienellä, myrkyllisellä sarvellaan hyökkäyksen kohteeksi joutuessaan. Nidoranilla♀ on piikkejä, jotka erittävät voimakasta myrkkyä. Raivostuessaan se vapauttaa kauheaa myrkkyä sarvestaan. Varo – sen pieni sarvi erittää myrkkyä. Naaraat ovat herkempiä hajuille kuin koiraat. Ruokaa etsiessään ne käyttävät viiksikarvojaan tuulen suunnan tarkistamiseen ja petojen alatuuleen pysymiseen. Se käyttää kovia etuhampaitaan marjojen murskaamiseen ja syömiseen. Naaraan nidoranin sarven kärki on hieman pyöreämpi kuin uroksen sarven kärki.</t>
        </is>
      </c>
    </row>
    <row r="813" ht="33.75" customHeight="1">
      <c r="A813" s="7">
        <v>29.0</v>
      </c>
      <c r="B813" s="9" t="s">
        <v>1778</v>
      </c>
      <c r="C813" s="9" t="s">
        <v>1779</v>
      </c>
      <c r="D813" s="9" t="s">
        <v>35</v>
      </c>
      <c r="E813" s="6" t="s">
        <v>1781</v>
      </c>
      <c r="F813" s="9"/>
    </row>
    <row r="814" ht="33.75" customHeight="1">
      <c r="A814" s="7">
        <v>29.0</v>
      </c>
      <c r="B814" s="9" t="s">
        <v>1778</v>
      </c>
      <c r="C814" s="9" t="s">
        <v>1779</v>
      </c>
      <c r="D814" s="9" t="s">
        <v>42</v>
      </c>
      <c r="E814" s="6" t="s">
        <v>1785</v>
      </c>
      <c r="F814" s="9"/>
    </row>
    <row r="815" ht="33.75" customHeight="1">
      <c r="A815" s="7">
        <v>29.0</v>
      </c>
      <c r="B815" s="9" t="s">
        <v>1778</v>
      </c>
      <c r="C815" s="9" t="s">
        <v>1779</v>
      </c>
      <c r="D815" s="9" t="s">
        <v>52</v>
      </c>
      <c r="E815" s="6" t="s">
        <v>1788</v>
      </c>
      <c r="F815" s="9"/>
    </row>
    <row r="816" ht="33.75" customHeight="1">
      <c r="A816" s="7">
        <v>29.0</v>
      </c>
      <c r="B816" s="9" t="s">
        <v>1778</v>
      </c>
      <c r="C816" s="9" t="s">
        <v>1779</v>
      </c>
      <c r="D816" s="9" t="s">
        <v>59</v>
      </c>
      <c r="E816" s="6" t="s">
        <v>1791</v>
      </c>
      <c r="F816" s="9"/>
    </row>
    <row r="817" ht="33.75" customHeight="1">
      <c r="A817" s="7">
        <v>29.0</v>
      </c>
      <c r="B817" s="9" t="s">
        <v>1778</v>
      </c>
      <c r="C817" s="9" t="s">
        <v>1779</v>
      </c>
      <c r="D817" s="9" t="s">
        <v>64</v>
      </c>
      <c r="E817" s="6" t="s">
        <v>1795</v>
      </c>
      <c r="F817" s="9"/>
    </row>
    <row r="818" ht="33.75" customHeight="1">
      <c r="A818" s="7">
        <v>29.0</v>
      </c>
      <c r="B818" s="9" t="s">
        <v>1778</v>
      </c>
      <c r="C818" s="9" t="s">
        <v>1779</v>
      </c>
      <c r="D818" s="9" t="s">
        <v>67</v>
      </c>
      <c r="E818" s="6" t="s">
        <v>1798</v>
      </c>
      <c r="F818" s="9"/>
    </row>
    <row r="819" ht="33.75" customHeight="1">
      <c r="A819" s="7">
        <v>29.0</v>
      </c>
      <c r="B819" s="9" t="s">
        <v>1778</v>
      </c>
      <c r="C819" s="9" t="s">
        <v>1779</v>
      </c>
      <c r="D819" s="9" t="s">
        <v>71</v>
      </c>
      <c r="E819" s="6" t="s">
        <v>1798</v>
      </c>
      <c r="F819" s="9"/>
    </row>
    <row r="820" ht="33.75" customHeight="1">
      <c r="A820" s="7">
        <v>29.0</v>
      </c>
      <c r="B820" s="9" t="s">
        <v>1778</v>
      </c>
      <c r="C820" s="9" t="s">
        <v>1779</v>
      </c>
      <c r="D820" s="9" t="s">
        <v>73</v>
      </c>
      <c r="E820" s="6" t="s">
        <v>1801</v>
      </c>
      <c r="F820" s="9"/>
    </row>
    <row r="821" ht="33.75" customHeight="1">
      <c r="A821" s="7">
        <v>29.0</v>
      </c>
      <c r="B821" s="9" t="s">
        <v>1778</v>
      </c>
      <c r="C821" s="9" t="s">
        <v>1779</v>
      </c>
      <c r="D821" s="9" t="s">
        <v>75</v>
      </c>
      <c r="E821" s="6" t="s">
        <v>1804</v>
      </c>
      <c r="F821" s="9"/>
    </row>
    <row r="822" ht="33.75" customHeight="1">
      <c r="A822" s="7">
        <v>29.0</v>
      </c>
      <c r="B822" s="9" t="s">
        <v>1778</v>
      </c>
      <c r="C822" s="9" t="s">
        <v>1779</v>
      </c>
      <c r="D822" s="9" t="s">
        <v>79</v>
      </c>
      <c r="E822" s="6" t="s">
        <v>1781</v>
      </c>
      <c r="F822" s="9"/>
    </row>
    <row r="823" ht="33.75" customHeight="1">
      <c r="A823" s="7">
        <v>29.0</v>
      </c>
      <c r="B823" s="9" t="s">
        <v>1778</v>
      </c>
      <c r="C823" s="9" t="s">
        <v>1779</v>
      </c>
      <c r="D823" s="9" t="s">
        <v>81</v>
      </c>
      <c r="E823" s="6" t="s">
        <v>1809</v>
      </c>
      <c r="F823" s="9"/>
    </row>
    <row r="824" ht="33.75" customHeight="1">
      <c r="A824" s="7">
        <v>29.0</v>
      </c>
      <c r="B824" s="9" t="s">
        <v>1778</v>
      </c>
      <c r="C824" s="9" t="s">
        <v>1779</v>
      </c>
      <c r="D824" s="9" t="s">
        <v>84</v>
      </c>
      <c r="E824" s="6" t="s">
        <v>1809</v>
      </c>
      <c r="F824" s="9"/>
    </row>
    <row r="825" ht="33.75" customHeight="1">
      <c r="A825" s="7">
        <v>29.0</v>
      </c>
      <c r="B825" s="9" t="s">
        <v>1778</v>
      </c>
      <c r="C825" s="9" t="s">
        <v>1779</v>
      </c>
      <c r="D825" s="9" t="s">
        <v>87</v>
      </c>
      <c r="E825" s="6" t="s">
        <v>1809</v>
      </c>
      <c r="F825" s="9"/>
    </row>
    <row r="826" ht="33.75" customHeight="1">
      <c r="A826" s="7">
        <v>29.0</v>
      </c>
      <c r="B826" s="9" t="s">
        <v>1778</v>
      </c>
      <c r="C826" s="9" t="s">
        <v>1779</v>
      </c>
      <c r="D826" s="9" t="s">
        <v>89</v>
      </c>
      <c r="E826" s="6" t="s">
        <v>1816</v>
      </c>
      <c r="F826" s="9"/>
    </row>
    <row r="827" ht="33.75" customHeight="1">
      <c r="A827" s="7">
        <v>29.0</v>
      </c>
      <c r="B827" s="9" t="s">
        <v>1778</v>
      </c>
      <c r="C827" s="9" t="s">
        <v>1779</v>
      </c>
      <c r="D827" s="9" t="s">
        <v>91</v>
      </c>
      <c r="E827" s="6" t="s">
        <v>1819</v>
      </c>
      <c r="F827" s="9"/>
    </row>
    <row r="828" ht="33.75" customHeight="1">
      <c r="A828" s="7">
        <v>29.0</v>
      </c>
      <c r="B828" s="9" t="s">
        <v>1778</v>
      </c>
      <c r="C828" s="9" t="s">
        <v>1779</v>
      </c>
      <c r="D828" s="9" t="s">
        <v>93</v>
      </c>
      <c r="E828" s="6" t="s">
        <v>1809</v>
      </c>
      <c r="F828" s="9"/>
    </row>
    <row r="829" ht="33.75" customHeight="1">
      <c r="A829" s="7">
        <v>29.0</v>
      </c>
      <c r="B829" s="9" t="s">
        <v>1778</v>
      </c>
      <c r="C829" s="9" t="s">
        <v>1779</v>
      </c>
      <c r="D829" s="9" t="s">
        <v>95</v>
      </c>
      <c r="E829" s="6" t="s">
        <v>1809</v>
      </c>
      <c r="F829" s="9"/>
    </row>
    <row r="830" ht="33.75" customHeight="1">
      <c r="A830" s="7">
        <v>29.0</v>
      </c>
      <c r="B830" s="9" t="s">
        <v>1778</v>
      </c>
      <c r="C830" s="9" t="s">
        <v>1779</v>
      </c>
      <c r="D830" s="9" t="s">
        <v>98</v>
      </c>
      <c r="E830" s="6" t="s">
        <v>1809</v>
      </c>
      <c r="F830" s="9"/>
    </row>
    <row r="831" ht="33.75" customHeight="1">
      <c r="A831" s="7">
        <v>29.0</v>
      </c>
      <c r="B831" s="9" t="s">
        <v>1778</v>
      </c>
      <c r="C831" s="9" t="s">
        <v>1779</v>
      </c>
      <c r="D831" s="9" t="s">
        <v>99</v>
      </c>
      <c r="E831" s="6" t="s">
        <v>1809</v>
      </c>
      <c r="F831" s="9"/>
    </row>
    <row r="832" ht="33.75" customHeight="1">
      <c r="A832" s="7">
        <v>29.0</v>
      </c>
      <c r="B832" s="9" t="s">
        <v>1778</v>
      </c>
      <c r="C832" s="9" t="s">
        <v>1779</v>
      </c>
      <c r="D832" s="9" t="s">
        <v>101</v>
      </c>
      <c r="E832" s="6" t="s">
        <v>1831</v>
      </c>
      <c r="F832" s="9"/>
    </row>
    <row r="833" ht="33.75" customHeight="1">
      <c r="A833" s="7">
        <v>29.0</v>
      </c>
      <c r="B833" s="9" t="s">
        <v>1778</v>
      </c>
      <c r="C833" s="9" t="s">
        <v>1779</v>
      </c>
      <c r="D833" s="9" t="s">
        <v>105</v>
      </c>
      <c r="E833" s="6" t="s">
        <v>1836</v>
      </c>
      <c r="F833" s="9"/>
    </row>
    <row r="834" ht="33.75" customHeight="1">
      <c r="A834" s="7">
        <v>29.0</v>
      </c>
      <c r="B834" s="9" t="s">
        <v>1778</v>
      </c>
      <c r="C834" s="9" t="s">
        <v>1779</v>
      </c>
      <c r="D834" s="9" t="s">
        <v>107</v>
      </c>
      <c r="E834" s="6" t="s">
        <v>1839</v>
      </c>
      <c r="F834" s="9"/>
    </row>
    <row r="835" ht="33.75" customHeight="1">
      <c r="A835" s="7">
        <v>29.0</v>
      </c>
      <c r="B835" s="9" t="s">
        <v>1778</v>
      </c>
      <c r="C835" s="9" t="s">
        <v>1779</v>
      </c>
      <c r="D835" s="9" t="s">
        <v>109</v>
      </c>
      <c r="E835" s="6" t="s">
        <v>1839</v>
      </c>
      <c r="F835" s="9"/>
    </row>
    <row r="836" ht="33.75" customHeight="1">
      <c r="A836" s="7">
        <v>29.0</v>
      </c>
      <c r="B836" s="9" t="s">
        <v>1778</v>
      </c>
      <c r="C836" s="9" t="s">
        <v>1779</v>
      </c>
      <c r="D836" s="9" t="s">
        <v>111</v>
      </c>
      <c r="E836" s="6" t="s">
        <v>1843</v>
      </c>
      <c r="F836" s="9"/>
    </row>
    <row r="837" ht="33.75" customHeight="1">
      <c r="A837" s="7">
        <v>29.0</v>
      </c>
      <c r="B837" s="9" t="s">
        <v>1778</v>
      </c>
      <c r="C837" s="9" t="s">
        <v>1779</v>
      </c>
      <c r="D837" s="9" t="s">
        <v>113</v>
      </c>
      <c r="E837" s="6" t="s">
        <v>1843</v>
      </c>
      <c r="F837" s="9"/>
    </row>
    <row r="838" ht="33.75" customHeight="1">
      <c r="A838" s="7">
        <v>29.0</v>
      </c>
      <c r="B838" s="9" t="s">
        <v>1778</v>
      </c>
      <c r="C838" s="9" t="s">
        <v>1779</v>
      </c>
      <c r="D838" s="9" t="s">
        <v>114</v>
      </c>
      <c r="E838" s="6" t="s">
        <v>1845</v>
      </c>
      <c r="F838" s="9"/>
    </row>
    <row r="839" ht="33.75" customHeight="1">
      <c r="A839" s="7">
        <v>29.0</v>
      </c>
      <c r="B839" s="9" t="s">
        <v>1778</v>
      </c>
      <c r="C839" s="9" t="s">
        <v>1779</v>
      </c>
      <c r="D839" s="9" t="s">
        <v>117</v>
      </c>
      <c r="E839" s="6" t="s">
        <v>1848</v>
      </c>
      <c r="F839" s="9"/>
    </row>
    <row r="840" ht="33.75" customHeight="1">
      <c r="A840" s="7">
        <v>30.0</v>
      </c>
      <c r="B840" s="9" t="s">
        <v>1849</v>
      </c>
      <c r="C840" s="9" t="s">
        <v>1779</v>
      </c>
      <c r="D840" s="9" t="s">
        <v>24</v>
      </c>
      <c r="E840" s="6" t="s">
        <v>1851</v>
      </c>
      <c r="F840" t="inlineStr" s="10">
        <is>
          <t xml:space="preserve">Naaraan sarvi kehittyy hitaasti. Se suosii fyysisiä hyökkäyksiä, kuten raapimista ja puremista. Syvällä kolossaan levätessään sen piikit vetäytyvät aina sisään. Tämä on todiste siitä, että se on rentoutunut. Poikasiaan ruokkiessaan se ensin pureskelee ja mureuttaa ruoan ja sylkee sen sitten ulos jälkeläisille. Sillä on rauhallinen ja välittävä luonne. Koska sen sarvi kasvaa hitaasti, se ei halua taistella. Sillä on säyseä luonne. Jos sitä uhkaa hyökkäys, se nostaa esiin koko vartaloaan peittävät piikit. Kun NIDORINAt ovat ystäviensä tai perheensä kanssa, he pitävät piikiensä piilossa estääkseen toisiaan satuttamasta. Tämä POKéMON vaikuttaa hermostuvan, jos se erotetaan muista. Kun se on ystäviensä tai perheensä kanssa, sen piikit ovat piilossa loukkaantumisten estämiseksi. Se näyttää hermostuvan, jos se erotetaan muista. Naaraalla on lempeä luonne. Se päästää ultraäänihuutoja, joilla on kyky hämmentää vihollisia. Naaraan sarvet kehittyvät hitaasti. Kun se aistii vaaran, se nostaa kaikki ruumiinsa piikit. Nämä piikit kasvavat hitaammin kuin NIDORINOn piikit. Ruokittaessaan poikasiaan se ensin pureskelee ruoan tahnaksi ja sylkee sen sitten ulos jälkeläisille. Tämä Pokémon vaikuttaa hermostuneelta, jos se erotetaan muista. Sen päässä oleva sarvi on surkastunut. Uskotaan, että näin tehdään, jotta Nidorinan lapsia ei tökittäisi äidin ruokinnan aikana. Jos ryhmää uhataan, nämä Pokémonit yhdistävät voimansa hyökätäkseen vihollisten kimppuun ultraääniaaltojen kuorolla.</t>
        </is>
      </c>
    </row>
    <row r="841" ht="33.75" customHeight="1">
      <c r="A841" s="7">
        <v>30.0</v>
      </c>
      <c r="B841" s="9" t="s">
        <v>1849</v>
      </c>
      <c r="C841" s="9" t="s">
        <v>1779</v>
      </c>
      <c r="D841" s="9" t="s">
        <v>35</v>
      </c>
      <c r="E841" s="6" t="s">
        <v>1851</v>
      </c>
      <c r="F841" s="9"/>
    </row>
    <row r="842" ht="33.75" customHeight="1">
      <c r="A842" s="7">
        <v>30.0</v>
      </c>
      <c r="B842" s="9" t="s">
        <v>1849</v>
      </c>
      <c r="C842" s="9" t="s">
        <v>1779</v>
      </c>
      <c r="D842" s="9" t="s">
        <v>42</v>
      </c>
      <c r="E842" s="6" t="s">
        <v>1856</v>
      </c>
      <c r="F842" s="9"/>
    </row>
    <row r="843" ht="33.75" customHeight="1">
      <c r="A843" s="7">
        <v>30.0</v>
      </c>
      <c r="B843" s="9" t="s">
        <v>1849</v>
      </c>
      <c r="C843" s="9" t="s">
        <v>1779</v>
      </c>
      <c r="D843" s="9" t="s">
        <v>52</v>
      </c>
      <c r="E843" s="6" t="s">
        <v>1859</v>
      </c>
      <c r="F843" s="9"/>
    </row>
    <row r="844" ht="33.75" customHeight="1">
      <c r="A844" s="7">
        <v>30.0</v>
      </c>
      <c r="B844" s="9" t="s">
        <v>1849</v>
      </c>
      <c r="C844" s="9" t="s">
        <v>1779</v>
      </c>
      <c r="D844" s="9" t="s">
        <v>59</v>
      </c>
      <c r="E844" s="6" t="s">
        <v>1863</v>
      </c>
      <c r="F844" s="9"/>
    </row>
    <row r="845" ht="33.75" customHeight="1">
      <c r="A845" s="7">
        <v>30.0</v>
      </c>
      <c r="B845" s="9" t="s">
        <v>1849</v>
      </c>
      <c r="C845" s="9" t="s">
        <v>1779</v>
      </c>
      <c r="D845" s="9" t="s">
        <v>64</v>
      </c>
      <c r="E845" s="6" t="s">
        <v>1866</v>
      </c>
      <c r="F845" s="9"/>
    </row>
    <row r="846" ht="33.75" customHeight="1">
      <c r="A846" s="7">
        <v>30.0</v>
      </c>
      <c r="B846" s="9" t="s">
        <v>1849</v>
      </c>
      <c r="C846" s="9" t="s">
        <v>1779</v>
      </c>
      <c r="D846" s="9" t="s">
        <v>67</v>
      </c>
      <c r="E846" s="6" t="s">
        <v>1868</v>
      </c>
      <c r="F846" s="9"/>
    </row>
    <row r="847" ht="33.75" customHeight="1">
      <c r="A847" s="7">
        <v>30.0</v>
      </c>
      <c r="B847" s="9" t="s">
        <v>1849</v>
      </c>
      <c r="C847" s="9" t="s">
        <v>1779</v>
      </c>
      <c r="D847" s="9" t="s">
        <v>71</v>
      </c>
      <c r="E847" s="6" t="s">
        <v>1868</v>
      </c>
      <c r="F847" s="9"/>
    </row>
    <row r="848" ht="33.75" customHeight="1">
      <c r="A848" s="7">
        <v>30.0</v>
      </c>
      <c r="B848" s="9" t="s">
        <v>1849</v>
      </c>
      <c r="C848" s="9" t="s">
        <v>1779</v>
      </c>
      <c r="D848" s="9" t="s">
        <v>73</v>
      </c>
      <c r="E848" s="6" t="s">
        <v>1872</v>
      </c>
      <c r="F848" s="9"/>
    </row>
    <row r="849" ht="33.75" customHeight="1">
      <c r="A849" s="7">
        <v>30.0</v>
      </c>
      <c r="B849" s="9" t="s">
        <v>1849</v>
      </c>
      <c r="C849" s="9" t="s">
        <v>1779</v>
      </c>
      <c r="D849" s="9" t="s">
        <v>75</v>
      </c>
      <c r="E849" s="6" t="s">
        <v>1875</v>
      </c>
      <c r="F849" s="9"/>
    </row>
    <row r="850" ht="33.75" customHeight="1">
      <c r="A850" s="7">
        <v>30.0</v>
      </c>
      <c r="B850" s="9" t="s">
        <v>1849</v>
      </c>
      <c r="C850" s="9" t="s">
        <v>1779</v>
      </c>
      <c r="D850" s="9" t="s">
        <v>79</v>
      </c>
      <c r="E850" s="6" t="s">
        <v>1877</v>
      </c>
      <c r="F850" s="9"/>
    </row>
    <row r="851" ht="33.75" customHeight="1">
      <c r="A851" s="7">
        <v>30.0</v>
      </c>
      <c r="B851" s="9" t="s">
        <v>1849</v>
      </c>
      <c r="C851" s="9" t="s">
        <v>1779</v>
      </c>
      <c r="D851" s="9" t="s">
        <v>81</v>
      </c>
      <c r="E851" s="6" t="s">
        <v>1880</v>
      </c>
      <c r="F851" s="9"/>
    </row>
    <row r="852" ht="33.75" customHeight="1">
      <c r="A852" s="7">
        <v>30.0</v>
      </c>
      <c r="B852" s="9" t="s">
        <v>1849</v>
      </c>
      <c r="C852" s="9" t="s">
        <v>1779</v>
      </c>
      <c r="D852" s="9" t="s">
        <v>84</v>
      </c>
      <c r="E852" s="6" t="s">
        <v>1880</v>
      </c>
      <c r="F852" s="9"/>
    </row>
    <row r="853" ht="33.75" customHeight="1">
      <c r="A853" s="7">
        <v>30.0</v>
      </c>
      <c r="B853" s="9" t="s">
        <v>1849</v>
      </c>
      <c r="C853" s="9" t="s">
        <v>1779</v>
      </c>
      <c r="D853" s="9" t="s">
        <v>87</v>
      </c>
      <c r="E853" s="6" t="s">
        <v>1880</v>
      </c>
      <c r="F853" s="9"/>
    </row>
    <row r="854" ht="33.75" customHeight="1">
      <c r="A854" s="7">
        <v>30.0</v>
      </c>
      <c r="B854" s="9" t="s">
        <v>1849</v>
      </c>
      <c r="C854" s="9" t="s">
        <v>1779</v>
      </c>
      <c r="D854" s="9" t="s">
        <v>89</v>
      </c>
      <c r="E854" s="6" t="s">
        <v>1885</v>
      </c>
      <c r="F854" s="9"/>
    </row>
    <row r="855" ht="33.75" customHeight="1">
      <c r="A855" s="7">
        <v>30.0</v>
      </c>
      <c r="B855" s="9" t="s">
        <v>1849</v>
      </c>
      <c r="C855" s="9" t="s">
        <v>1779</v>
      </c>
      <c r="D855" s="9" t="s">
        <v>91</v>
      </c>
      <c r="E855" s="6" t="s">
        <v>1863</v>
      </c>
      <c r="F855" s="9"/>
    </row>
    <row r="856" ht="33.75" customHeight="1">
      <c r="A856" s="7">
        <v>30.0</v>
      </c>
      <c r="B856" s="9" t="s">
        <v>1849</v>
      </c>
      <c r="C856" s="9" t="s">
        <v>1779</v>
      </c>
      <c r="D856" s="9" t="s">
        <v>93</v>
      </c>
      <c r="E856" s="6" t="s">
        <v>1890</v>
      </c>
      <c r="F856" s="9"/>
    </row>
    <row r="857" ht="33.75" customHeight="1">
      <c r="A857" s="7">
        <v>30.0</v>
      </c>
      <c r="B857" s="9" t="s">
        <v>1849</v>
      </c>
      <c r="C857" s="9" t="s">
        <v>1779</v>
      </c>
      <c r="D857" s="9" t="s">
        <v>95</v>
      </c>
      <c r="E857" s="6" t="s">
        <v>1890</v>
      </c>
      <c r="F857" s="9"/>
    </row>
    <row r="858" ht="33.75" customHeight="1">
      <c r="A858" s="7">
        <v>30.0</v>
      </c>
      <c r="B858" s="9" t="s">
        <v>1849</v>
      </c>
      <c r="C858" s="9" t="s">
        <v>1779</v>
      </c>
      <c r="D858" s="9" t="s">
        <v>98</v>
      </c>
      <c r="E858" s="6" t="s">
        <v>1890</v>
      </c>
      <c r="F858" s="9"/>
    </row>
    <row r="859" ht="33.75" customHeight="1">
      <c r="A859" s="7">
        <v>30.0</v>
      </c>
      <c r="B859" s="9" t="s">
        <v>1849</v>
      </c>
      <c r="C859" s="9" t="s">
        <v>1779</v>
      </c>
      <c r="D859" s="9" t="s">
        <v>99</v>
      </c>
      <c r="E859" s="6" t="s">
        <v>1890</v>
      </c>
      <c r="F859" s="9"/>
    </row>
    <row r="860" ht="33.75" customHeight="1">
      <c r="A860" s="7">
        <v>30.0</v>
      </c>
      <c r="B860" s="9" t="s">
        <v>1849</v>
      </c>
      <c r="C860" s="9" t="s">
        <v>1779</v>
      </c>
      <c r="D860" s="9" t="s">
        <v>101</v>
      </c>
      <c r="E860" s="6" t="s">
        <v>1875</v>
      </c>
      <c r="F860" s="9"/>
    </row>
    <row r="861" ht="33.75" customHeight="1">
      <c r="A861" s="7">
        <v>30.0</v>
      </c>
      <c r="B861" s="9" t="s">
        <v>1849</v>
      </c>
      <c r="C861" s="9" t="s">
        <v>1779</v>
      </c>
      <c r="D861" s="9" t="s">
        <v>105</v>
      </c>
      <c r="E861" s="6" t="s">
        <v>1885</v>
      </c>
      <c r="F861" s="9"/>
    </row>
    <row r="862" ht="33.75" customHeight="1">
      <c r="A862" s="7">
        <v>30.0</v>
      </c>
      <c r="B862" s="9" t="s">
        <v>1849</v>
      </c>
      <c r="C862" s="9" t="s">
        <v>1779</v>
      </c>
      <c r="D862" s="9" t="s">
        <v>107</v>
      </c>
      <c r="E862" s="6" t="s">
        <v>1903</v>
      </c>
      <c r="F862" s="9"/>
    </row>
    <row r="863" ht="33.75" customHeight="1">
      <c r="A863" s="7">
        <v>30.0</v>
      </c>
      <c r="B863" s="9" t="s">
        <v>1849</v>
      </c>
      <c r="C863" s="9" t="s">
        <v>1779</v>
      </c>
      <c r="D863" s="9" t="s">
        <v>109</v>
      </c>
      <c r="E863" s="6" t="s">
        <v>1903</v>
      </c>
      <c r="F863" s="9"/>
    </row>
    <row r="864" ht="33.75" customHeight="1">
      <c r="A864" s="7">
        <v>30.0</v>
      </c>
      <c r="B864" s="9" t="s">
        <v>1849</v>
      </c>
      <c r="C864" s="9" t="s">
        <v>1779</v>
      </c>
      <c r="D864" s="9" t="s">
        <v>111</v>
      </c>
      <c r="E864" s="6" t="s">
        <v>1856</v>
      </c>
      <c r="F864" s="9"/>
    </row>
    <row r="865" ht="33.75" customHeight="1">
      <c r="A865" s="7">
        <v>30.0</v>
      </c>
      <c r="B865" s="9" t="s">
        <v>1849</v>
      </c>
      <c r="C865" s="9" t="s">
        <v>1779</v>
      </c>
      <c r="D865" s="9" t="s">
        <v>113</v>
      </c>
      <c r="E865" s="6" t="s">
        <v>1856</v>
      </c>
      <c r="F865" s="9"/>
    </row>
    <row r="866" ht="33.75" customHeight="1">
      <c r="A866" s="7">
        <v>30.0</v>
      </c>
      <c r="B866" s="9" t="s">
        <v>1849</v>
      </c>
      <c r="C866" s="9" t="s">
        <v>1779</v>
      </c>
      <c r="D866" s="9" t="s">
        <v>114</v>
      </c>
      <c r="E866" s="6" t="s">
        <v>1913</v>
      </c>
      <c r="F866" s="9"/>
    </row>
    <row r="867" ht="33.75" customHeight="1">
      <c r="A867" s="7">
        <v>30.0</v>
      </c>
      <c r="B867" s="9" t="s">
        <v>1849</v>
      </c>
      <c r="C867" s="9" t="s">
        <v>1779</v>
      </c>
      <c r="D867" s="9" t="s">
        <v>117</v>
      </c>
      <c r="E867" s="6" t="s">
        <v>1916</v>
      </c>
      <c r="F867" s="9"/>
    </row>
    <row r="868" ht="33.75" customHeight="1">
      <c r="A868" s="7">
        <v>31.0</v>
      </c>
      <c r="B868" s="9" t="s">
        <v>1917</v>
      </c>
      <c r="C868" s="9" t="s">
        <v>1919</v>
      </c>
      <c r="D868" s="9" t="s">
        <v>24</v>
      </c>
      <c r="E868" s="6" t="s">
        <v>1920</v>
      </c>
      <c r="F868" t="inlineStr" s="10">
        <is>
          <t xml:space="preserve">Nidoqueenin kovat suomut tarjoavat vahvan suojan. Se käyttää tukevaa kokoaan voimakkaiden liikkeiden suorittamiseen. Tämän POKéMONin tukevaa vartaloa peittävät sitkeät suomut. Näyttää siltä, ​​että suomut kasvavat sykleissä. Sen ruumis on peittynyt neulanmuotoisiin suomuihin. Se ei koskaan osoita merkkejä kavahtamisesta hyökkäyksen edessä. Se käyttää suomuista, karheaa ruumistaan ​​sulkemaan pesänsä suuaukon ja suojelemaan poikasiaan saalistajilta. Sen vahvaa vartaloa peittävät kovat suomut suojaavat erinomaisesti kaikilta hyökkäyksiltä. NIDOQUEENin ruumis on verhoiltu erittäin koviin suomuihin. Se on taitava lähettämään viholliset lentoon kovilla taklauksilla. Tämä POKéMON on vahvimmillaan puolustaessaan poikasiaan. Se on taitava lähettämään vihollisia lentoon kovilla taklauksilla käyttämällä kovaa, suomuista ruumistaan. Ruumis on peittynyt jäykkiin, neulamaisiin suomuihin. Jos se kiihtyy, neulaset pörröttelevät ulospäin. Sen koko ruumis on peitetty kovilla suomuilla. Se suojelee poikasta pesässään elämällään. Tämän Pokémonin vankkaa vartaloa peittävät kovat suomut. Nidoqueen on parempi puolustamaan kuin hyökkäämään. Suomut muistuttavat haarniskaa, joten tämä Pokémon suojaa lapsiaan kaikenlaisilta hyökkäyksiltä. Se rauhoittelee jälkeläisiä asettamalla ne selässään olevien piikkien väliin. Piikit eivät koskaan eritä myrkkyä poikasten läsnäollessa.</t>
        </is>
      </c>
    </row>
    <row r="869" ht="33.75" customHeight="1">
      <c r="A869" s="7">
        <v>31.0</v>
      </c>
      <c r="B869" s="9" t="s">
        <v>1917</v>
      </c>
      <c r="C869" s="9" t="s">
        <v>1919</v>
      </c>
      <c r="D869" s="9" t="s">
        <v>35</v>
      </c>
      <c r="E869" s="6" t="s">
        <v>1920</v>
      </c>
      <c r="F869" s="9"/>
    </row>
    <row r="870" ht="33.75" customHeight="1">
      <c r="A870" s="7">
        <v>31.0</v>
      </c>
      <c r="B870" s="9" t="s">
        <v>1917</v>
      </c>
      <c r="C870" s="9" t="s">
        <v>1919</v>
      </c>
      <c r="D870" s="9" t="s">
        <v>42</v>
      </c>
      <c r="E870" s="6" t="s">
        <v>1924</v>
      </c>
      <c r="F870" s="9"/>
    </row>
    <row r="871" ht="33.75" customHeight="1">
      <c r="A871" s="7">
        <v>31.0</v>
      </c>
      <c r="B871" s="9" t="s">
        <v>1917</v>
      </c>
      <c r="C871" s="9" t="s">
        <v>1919</v>
      </c>
      <c r="D871" s="9" t="s">
        <v>52</v>
      </c>
      <c r="E871" s="6" t="s">
        <v>1927</v>
      </c>
      <c r="F871" s="9"/>
    </row>
    <row r="872" ht="33.75" customHeight="1">
      <c r="A872" s="7">
        <v>31.0</v>
      </c>
      <c r="B872" s="9" t="s">
        <v>1917</v>
      </c>
      <c r="C872" s="9" t="s">
        <v>1919</v>
      </c>
      <c r="D872" s="9" t="s">
        <v>59</v>
      </c>
      <c r="E872" s="6" t="s">
        <v>1930</v>
      </c>
      <c r="F872" s="9"/>
    </row>
    <row r="873" ht="33.75" customHeight="1">
      <c r="A873" s="7">
        <v>31.0</v>
      </c>
      <c r="B873" s="9" t="s">
        <v>1917</v>
      </c>
      <c r="C873" s="9" t="s">
        <v>1919</v>
      </c>
      <c r="D873" s="9" t="s">
        <v>64</v>
      </c>
      <c r="E873" s="6" t="s">
        <v>1932</v>
      </c>
      <c r="F873" s="9"/>
    </row>
    <row r="874" ht="33.75" customHeight="1">
      <c r="A874" s="7">
        <v>31.0</v>
      </c>
      <c r="B874" s="9" t="s">
        <v>1917</v>
      </c>
      <c r="C874" s="9" t="s">
        <v>1919</v>
      </c>
      <c r="D874" s="9" t="s">
        <v>67</v>
      </c>
      <c r="E874" s="6" t="s">
        <v>1935</v>
      </c>
      <c r="F874" s="9"/>
    </row>
    <row r="875" ht="33.75" customHeight="1">
      <c r="A875" s="7">
        <v>31.0</v>
      </c>
      <c r="B875" s="9" t="s">
        <v>1917</v>
      </c>
      <c r="C875" s="9" t="s">
        <v>1919</v>
      </c>
      <c r="D875" s="9" t="s">
        <v>71</v>
      </c>
      <c r="E875" s="6" t="s">
        <v>1935</v>
      </c>
      <c r="F875" s="9"/>
    </row>
    <row r="876" ht="33.75" customHeight="1">
      <c r="A876" s="7">
        <v>31.0</v>
      </c>
      <c r="B876" s="9" t="s">
        <v>1917</v>
      </c>
      <c r="C876" s="9" t="s">
        <v>1919</v>
      </c>
      <c r="D876" s="9" t="s">
        <v>73</v>
      </c>
      <c r="E876" s="6" t="s">
        <v>1939</v>
      </c>
      <c r="F876" s="9"/>
    </row>
    <row r="877" ht="33.75" customHeight="1">
      <c r="A877" s="7">
        <v>31.0</v>
      </c>
      <c r="B877" s="9" t="s">
        <v>1917</v>
      </c>
      <c r="C877" s="9" t="s">
        <v>1919</v>
      </c>
      <c r="D877" s="9" t="s">
        <v>75</v>
      </c>
      <c r="E877" s="6" t="s">
        <v>1942</v>
      </c>
      <c r="F877" s="9"/>
    </row>
    <row r="878" ht="33.75" customHeight="1">
      <c r="A878" s="7">
        <v>31.0</v>
      </c>
      <c r="B878" s="9" t="s">
        <v>1917</v>
      </c>
      <c r="C878" s="9" t="s">
        <v>1919</v>
      </c>
      <c r="D878" s="9" t="s">
        <v>79</v>
      </c>
      <c r="E878" s="6" t="s">
        <v>1920</v>
      </c>
      <c r="F878" s="9"/>
    </row>
    <row r="879" ht="33.75" customHeight="1">
      <c r="A879" s="7">
        <v>31.0</v>
      </c>
      <c r="B879" s="9" t="s">
        <v>1917</v>
      </c>
      <c r="C879" s="9" t="s">
        <v>1919</v>
      </c>
      <c r="D879" s="9" t="s">
        <v>81</v>
      </c>
      <c r="E879" s="6" t="s">
        <v>1949</v>
      </c>
      <c r="F879" s="9"/>
    </row>
    <row r="880" ht="33.75" customHeight="1">
      <c r="A880" s="7">
        <v>31.0</v>
      </c>
      <c r="B880" s="9" t="s">
        <v>1917</v>
      </c>
      <c r="C880" s="9" t="s">
        <v>1919</v>
      </c>
      <c r="D880" s="9" t="s">
        <v>84</v>
      </c>
      <c r="E880" s="6" t="s">
        <v>1949</v>
      </c>
      <c r="F880" s="9"/>
    </row>
    <row r="881" ht="33.75" customHeight="1">
      <c r="A881" s="7">
        <v>31.0</v>
      </c>
      <c r="B881" s="9" t="s">
        <v>1917</v>
      </c>
      <c r="C881" s="9" t="s">
        <v>1919</v>
      </c>
      <c r="D881" s="9" t="s">
        <v>87</v>
      </c>
      <c r="E881" s="6" t="s">
        <v>1949</v>
      </c>
      <c r="F881" s="9"/>
    </row>
    <row r="882" ht="33.75" customHeight="1">
      <c r="A882" s="7">
        <v>31.0</v>
      </c>
      <c r="B882" s="9" t="s">
        <v>1917</v>
      </c>
      <c r="C882" s="9" t="s">
        <v>1919</v>
      </c>
      <c r="D882" s="9" t="s">
        <v>89</v>
      </c>
      <c r="E882" s="6" t="s">
        <v>1927</v>
      </c>
      <c r="F882" s="9"/>
    </row>
    <row r="883" ht="33.75" customHeight="1">
      <c r="A883" s="7">
        <v>31.0</v>
      </c>
      <c r="B883" s="9" t="s">
        <v>1917</v>
      </c>
      <c r="C883" s="9" t="s">
        <v>1919</v>
      </c>
      <c r="D883" s="9" t="s">
        <v>91</v>
      </c>
      <c r="E883" s="6" t="s">
        <v>1930</v>
      </c>
      <c r="F883" s="9"/>
    </row>
    <row r="884" ht="33.75" customHeight="1">
      <c r="A884" s="7">
        <v>31.0</v>
      </c>
      <c r="B884" s="9" t="s">
        <v>1917</v>
      </c>
      <c r="C884" s="9" t="s">
        <v>1919</v>
      </c>
      <c r="D884" s="9" t="s">
        <v>93</v>
      </c>
      <c r="E884" s="6" t="s">
        <v>1949</v>
      </c>
      <c r="F884" s="9"/>
    </row>
    <row r="885" ht="33.75" customHeight="1">
      <c r="A885" s="7">
        <v>31.0</v>
      </c>
      <c r="B885" s="9" t="s">
        <v>1917</v>
      </c>
      <c r="C885" s="9" t="s">
        <v>1919</v>
      </c>
      <c r="D885" s="9" t="s">
        <v>95</v>
      </c>
      <c r="E885" s="6" t="s">
        <v>1949</v>
      </c>
      <c r="F885" s="9"/>
    </row>
    <row r="886" ht="33.75" customHeight="1">
      <c r="A886" s="7">
        <v>31.0</v>
      </c>
      <c r="B886" s="9" t="s">
        <v>1917</v>
      </c>
      <c r="C886" s="9" t="s">
        <v>1919</v>
      </c>
      <c r="D886" s="9" t="s">
        <v>98</v>
      </c>
      <c r="E886" s="6" t="s">
        <v>1949</v>
      </c>
      <c r="F886" s="9"/>
    </row>
    <row r="887" ht="33.75" customHeight="1">
      <c r="A887" s="7">
        <v>31.0</v>
      </c>
      <c r="B887" s="9" t="s">
        <v>1917</v>
      </c>
      <c r="C887" s="9" t="s">
        <v>1919</v>
      </c>
      <c r="D887" s="9" t="s">
        <v>99</v>
      </c>
      <c r="E887" s="6" t="s">
        <v>1949</v>
      </c>
      <c r="F887" s="9"/>
    </row>
    <row r="888" ht="33.75" customHeight="1">
      <c r="A888" s="7">
        <v>31.0</v>
      </c>
      <c r="B888" s="9" t="s">
        <v>1917</v>
      </c>
      <c r="C888" s="9" t="s">
        <v>1919</v>
      </c>
      <c r="D888" s="9" t="s">
        <v>101</v>
      </c>
      <c r="E888" s="6" t="s">
        <v>1930</v>
      </c>
      <c r="F888" s="9"/>
    </row>
    <row r="889" ht="33.75" customHeight="1">
      <c r="A889" s="7">
        <v>31.0</v>
      </c>
      <c r="B889" s="9" t="s">
        <v>1917</v>
      </c>
      <c r="C889" s="9" t="s">
        <v>1919</v>
      </c>
      <c r="D889" s="9" t="s">
        <v>105</v>
      </c>
      <c r="E889" s="6" t="s">
        <v>1942</v>
      </c>
      <c r="F889" s="9"/>
    </row>
    <row r="890" ht="33.75" customHeight="1">
      <c r="A890" s="7">
        <v>31.0</v>
      </c>
      <c r="B890" s="9" t="s">
        <v>1917</v>
      </c>
      <c r="C890" s="9" t="s">
        <v>1919</v>
      </c>
      <c r="D890" s="9" t="s">
        <v>107</v>
      </c>
      <c r="E890" s="6" t="s">
        <v>1971</v>
      </c>
      <c r="F890" s="9"/>
    </row>
    <row r="891" ht="33.75" customHeight="1">
      <c r="A891" s="7">
        <v>31.0</v>
      </c>
      <c r="B891" s="9" t="s">
        <v>1917</v>
      </c>
      <c r="C891" s="9" t="s">
        <v>1919</v>
      </c>
      <c r="D891" s="9" t="s">
        <v>109</v>
      </c>
      <c r="E891" s="6" t="s">
        <v>1971</v>
      </c>
      <c r="F891" s="9"/>
    </row>
    <row r="892" ht="33.75" customHeight="1">
      <c r="A892" s="7">
        <v>31.0</v>
      </c>
      <c r="B892" s="9" t="s">
        <v>1917</v>
      </c>
      <c r="C892" s="9" t="s">
        <v>1919</v>
      </c>
      <c r="D892" s="9" t="s">
        <v>111</v>
      </c>
      <c r="E892" s="6" t="s">
        <v>1975</v>
      </c>
      <c r="F892" s="9"/>
    </row>
    <row r="893" ht="33.75" customHeight="1">
      <c r="A893" s="7">
        <v>31.0</v>
      </c>
      <c r="B893" s="9" t="s">
        <v>1917</v>
      </c>
      <c r="C893" s="9" t="s">
        <v>1919</v>
      </c>
      <c r="D893" s="9" t="s">
        <v>113</v>
      </c>
      <c r="E893" s="6" t="s">
        <v>1975</v>
      </c>
      <c r="F893" s="9"/>
    </row>
    <row r="894" ht="33.75" customHeight="1">
      <c r="A894" s="7">
        <v>31.0</v>
      </c>
      <c r="B894" s="9" t="s">
        <v>1917</v>
      </c>
      <c r="C894" s="9" t="s">
        <v>1919</v>
      </c>
      <c r="D894" s="9" t="s">
        <v>114</v>
      </c>
      <c r="E894" s="6" t="s">
        <v>1980</v>
      </c>
      <c r="F894" s="9"/>
    </row>
    <row r="895" ht="33.75" customHeight="1">
      <c r="A895" s="7">
        <v>31.0</v>
      </c>
      <c r="B895" s="9" t="s">
        <v>1917</v>
      </c>
      <c r="C895" s="9" t="s">
        <v>1919</v>
      </c>
      <c r="D895" s="9" t="s">
        <v>117</v>
      </c>
      <c r="E895" s="6" t="s">
        <v>1983</v>
      </c>
      <c r="F895" s="9"/>
    </row>
    <row r="896" ht="33.75" customHeight="1">
      <c r="A896" s="7">
        <v>32.0</v>
      </c>
      <c r="B896" s="9" t="s">
        <v>1986</v>
      </c>
      <c r="C896" s="9" t="s">
        <v>1779</v>
      </c>
      <c r="D896" s="9" t="s">
        <v>24</v>
      </c>
      <c r="E896" s="6" t="s">
        <v>1987</v>
      </c>
      <c r="F896" t="inlineStr" s="10">
        <is>
          <t xml:space="preserve">Jäykistää korvansa aistiakseen vaaran. Mitä suuremmat sen sarvet, sitä voimakkaampaa sen erittämä myrkky. Sen suuret korvat pysyvät aina pystyssä. Jos se aistii vaaran, se hyökkää myrkyllisellä pistolla. Se on pieni, mutta sen sarvi on täynnä myrkkyä. Se rynnäköi ja pistää sitten sarvella myrkkyä. Se nostaa suuret korvansa tarkistaakseen ympäristönsä. Se iskee ensin, jos se aistii vaaran. Se liikuttaa suuria korviaan jatkuvasti moneen suuntaan havaitakseen vaaran heti. NIDORAN-koiras on kehittänyt lihaksia korviensa liikuttamiseen. Niiden ansiosta korvia voi liikuttaa vapaasti mihin tahansa suuntaan. Pieninkään ääni ei jää tältä POKéMONilta huomaamatta. NIDORAN-koiras on kehittänyt lihaksia, jotka liikuttavat korviaan vapaasti kaikkiin suuntiin. Sen suuret korvat lepattavat kuin siivet, kun se kuuntelee kaukaisia ​​ääniä. Se levittää myrkyllisiä piikkejä suuttuessaan. Se jäykistää korviaan aistiakseen vaaran. Se tarkkailee ympäristöään nostamalla korvansa ruohosta. Sen myrkyllinen sarvi on suojana. Nidoran♂ on kehittänyt lihaksia korviensa liikuttamiseen. Uros-nidoralaisen otsan sarvi sisältää voimakasta myrkkyä. Tämä on hyvin varovainen Pokémon, joka aina jännittää suuria korviaan. Pieni mutta rohkea Pokémon pitää pintansa ja jopa vaarantaa henkensä taistelussa suojellakseen naaraspuolista Pokémonia, jonka kanssa se on ystävällinen.</t>
        </is>
      </c>
    </row>
    <row r="897" ht="33.75" customHeight="1">
      <c r="A897" s="7">
        <v>32.0</v>
      </c>
      <c r="B897" s="9" t="s">
        <v>1986</v>
      </c>
      <c r="C897" s="9" t="s">
        <v>1779</v>
      </c>
      <c r="D897" s="9" t="s">
        <v>35</v>
      </c>
      <c r="E897" s="6" t="s">
        <v>1987</v>
      </c>
      <c r="F897" s="9"/>
    </row>
    <row r="898" ht="33.75" customHeight="1">
      <c r="A898" s="7">
        <v>32.0</v>
      </c>
      <c r="B898" s="9" t="s">
        <v>1986</v>
      </c>
      <c r="C898" s="9" t="s">
        <v>1779</v>
      </c>
      <c r="D898" s="9" t="s">
        <v>42</v>
      </c>
      <c r="E898" s="6" t="s">
        <v>1990</v>
      </c>
      <c r="F898" s="9"/>
    </row>
    <row r="899" ht="33.75" customHeight="1">
      <c r="A899" s="7">
        <v>32.0</v>
      </c>
      <c r="B899" s="9" t="s">
        <v>1986</v>
      </c>
      <c r="C899" s="9" t="s">
        <v>1779</v>
      </c>
      <c r="D899" s="9" t="s">
        <v>52</v>
      </c>
      <c r="E899" s="6" t="s">
        <v>1992</v>
      </c>
      <c r="F899" s="9"/>
    </row>
    <row r="900" ht="33.75" customHeight="1">
      <c r="A900" s="7">
        <v>32.0</v>
      </c>
      <c r="B900" s="9" t="s">
        <v>1986</v>
      </c>
      <c r="C900" s="9" t="s">
        <v>1779</v>
      </c>
      <c r="D900" s="9" t="s">
        <v>59</v>
      </c>
      <c r="E900" s="6" t="s">
        <v>1994</v>
      </c>
      <c r="F900" s="9"/>
    </row>
    <row r="901" ht="33.75" customHeight="1">
      <c r="A901" s="7">
        <v>32.0</v>
      </c>
      <c r="B901" s="9" t="s">
        <v>1986</v>
      </c>
      <c r="C901" s="9" t="s">
        <v>1779</v>
      </c>
      <c r="D901" s="9" t="s">
        <v>64</v>
      </c>
      <c r="E901" s="6" t="s">
        <v>1996</v>
      </c>
      <c r="F901" s="9"/>
    </row>
    <row r="902" ht="33.75" customHeight="1">
      <c r="A902" s="7">
        <v>32.0</v>
      </c>
      <c r="B902" s="9" t="s">
        <v>1986</v>
      </c>
      <c r="C902" s="9" t="s">
        <v>1779</v>
      </c>
      <c r="D902" s="9" t="s">
        <v>67</v>
      </c>
      <c r="E902" s="6" t="s">
        <v>1998</v>
      </c>
      <c r="F902" s="9"/>
    </row>
    <row r="903" ht="33.75" customHeight="1">
      <c r="A903" s="7">
        <v>32.0</v>
      </c>
      <c r="B903" s="9" t="s">
        <v>1986</v>
      </c>
      <c r="C903" s="9" t="s">
        <v>1779</v>
      </c>
      <c r="D903" s="9" t="s">
        <v>71</v>
      </c>
      <c r="E903" s="6" t="s">
        <v>1998</v>
      </c>
      <c r="F903" s="9"/>
    </row>
    <row r="904" ht="33.75" customHeight="1">
      <c r="A904" s="7">
        <v>32.0</v>
      </c>
      <c r="B904" s="9" t="s">
        <v>1986</v>
      </c>
      <c r="C904" s="9" t="s">
        <v>1779</v>
      </c>
      <c r="D904" s="9" t="s">
        <v>73</v>
      </c>
      <c r="E904" s="6" t="s">
        <v>2002</v>
      </c>
      <c r="F904" s="9"/>
    </row>
    <row r="905" ht="33.75" customHeight="1">
      <c r="A905" s="7">
        <v>32.0</v>
      </c>
      <c r="B905" s="9" t="s">
        <v>1986</v>
      </c>
      <c r="C905" s="9" t="s">
        <v>1779</v>
      </c>
      <c r="D905" s="9" t="s">
        <v>75</v>
      </c>
      <c r="E905" s="6" t="s">
        <v>2004</v>
      </c>
      <c r="F905" s="9"/>
    </row>
    <row r="906" ht="33.75" customHeight="1">
      <c r="A906" s="7">
        <v>32.0</v>
      </c>
      <c r="B906" s="9" t="s">
        <v>1986</v>
      </c>
      <c r="C906" s="9" t="s">
        <v>1779</v>
      </c>
      <c r="D906" s="9" t="s">
        <v>79</v>
      </c>
      <c r="E906" s="6" t="s">
        <v>2006</v>
      </c>
      <c r="F906" s="9"/>
    </row>
    <row r="907" ht="33.75" customHeight="1">
      <c r="A907" s="7">
        <v>32.0</v>
      </c>
      <c r="B907" s="9" t="s">
        <v>1986</v>
      </c>
      <c r="C907" s="9" t="s">
        <v>1779</v>
      </c>
      <c r="D907" s="9" t="s">
        <v>81</v>
      </c>
      <c r="E907" s="6" t="s">
        <v>2008</v>
      </c>
      <c r="F907" s="9"/>
    </row>
    <row r="908" ht="33.75" customHeight="1">
      <c r="A908" s="7">
        <v>32.0</v>
      </c>
      <c r="B908" s="9" t="s">
        <v>1986</v>
      </c>
      <c r="C908" s="9" t="s">
        <v>1779</v>
      </c>
      <c r="D908" s="9" t="s">
        <v>84</v>
      </c>
      <c r="E908" s="6" t="s">
        <v>2008</v>
      </c>
      <c r="F908" s="9"/>
    </row>
    <row r="909" ht="33.75" customHeight="1">
      <c r="A909" s="7">
        <v>32.0</v>
      </c>
      <c r="B909" s="9" t="s">
        <v>1986</v>
      </c>
      <c r="C909" s="9" t="s">
        <v>1779</v>
      </c>
      <c r="D909" s="9" t="s">
        <v>87</v>
      </c>
      <c r="E909" s="6" t="s">
        <v>2008</v>
      </c>
      <c r="F909" s="9"/>
    </row>
    <row r="910" ht="33.75" customHeight="1">
      <c r="A910" s="7">
        <v>32.0</v>
      </c>
      <c r="B910" s="9" t="s">
        <v>1986</v>
      </c>
      <c r="C910" s="9" t="s">
        <v>1779</v>
      </c>
      <c r="D910" s="9" t="s">
        <v>89</v>
      </c>
      <c r="E910" s="6" t="s">
        <v>1992</v>
      </c>
      <c r="F910" s="9"/>
    </row>
    <row r="911" ht="33.75" customHeight="1">
      <c r="A911" s="7">
        <v>32.0</v>
      </c>
      <c r="B911" s="9" t="s">
        <v>1986</v>
      </c>
      <c r="C911" s="9" t="s">
        <v>1779</v>
      </c>
      <c r="D911" s="9" t="s">
        <v>91</v>
      </c>
      <c r="E911" s="6" t="s">
        <v>1994</v>
      </c>
      <c r="F911" s="9"/>
    </row>
    <row r="912" ht="33.75" customHeight="1">
      <c r="A912" s="7">
        <v>32.0</v>
      </c>
      <c r="B912" s="9" t="s">
        <v>1986</v>
      </c>
      <c r="C912" s="9" t="s">
        <v>1779</v>
      </c>
      <c r="D912" s="9" t="s">
        <v>93</v>
      </c>
      <c r="E912" s="6" t="s">
        <v>2008</v>
      </c>
      <c r="F912" s="9"/>
    </row>
    <row r="913" ht="33.75" customHeight="1">
      <c r="A913" s="7">
        <v>32.0</v>
      </c>
      <c r="B913" s="9" t="s">
        <v>1986</v>
      </c>
      <c r="C913" s="9" t="s">
        <v>1779</v>
      </c>
      <c r="D913" s="9" t="s">
        <v>95</v>
      </c>
      <c r="E913" s="6" t="s">
        <v>2008</v>
      </c>
      <c r="F913" s="9"/>
    </row>
    <row r="914" ht="33.75" customHeight="1">
      <c r="A914" s="7">
        <v>32.0</v>
      </c>
      <c r="B914" s="9" t="s">
        <v>1986</v>
      </c>
      <c r="C914" s="9" t="s">
        <v>1779</v>
      </c>
      <c r="D914" s="9" t="s">
        <v>98</v>
      </c>
      <c r="E914" s="6" t="s">
        <v>2008</v>
      </c>
      <c r="F914" s="9"/>
    </row>
    <row r="915" ht="33.75" customHeight="1">
      <c r="A915" s="7">
        <v>32.0</v>
      </c>
      <c r="B915" s="9" t="s">
        <v>1986</v>
      </c>
      <c r="C915" s="9" t="s">
        <v>1779</v>
      </c>
      <c r="D915" s="9" t="s">
        <v>99</v>
      </c>
      <c r="E915" s="6" t="s">
        <v>2008</v>
      </c>
      <c r="F915" s="9"/>
    </row>
    <row r="916" ht="33.75" customHeight="1">
      <c r="A916" s="7">
        <v>32.0</v>
      </c>
      <c r="B916" s="9" t="s">
        <v>1986</v>
      </c>
      <c r="C916" s="9" t="s">
        <v>1779</v>
      </c>
      <c r="D916" s="9" t="s">
        <v>101</v>
      </c>
      <c r="E916" s="6" t="s">
        <v>2008</v>
      </c>
      <c r="F916" s="9"/>
    </row>
    <row r="917" ht="33.75" customHeight="1">
      <c r="A917" s="7">
        <v>32.0</v>
      </c>
      <c r="B917" s="9" t="s">
        <v>1986</v>
      </c>
      <c r="C917" s="9" t="s">
        <v>1779</v>
      </c>
      <c r="D917" s="9" t="s">
        <v>105</v>
      </c>
      <c r="E917" s="6" t="s">
        <v>2004</v>
      </c>
      <c r="F917" s="9"/>
    </row>
    <row r="918" ht="33.75" customHeight="1">
      <c r="A918" s="7">
        <v>32.0</v>
      </c>
      <c r="B918" s="9" t="s">
        <v>1986</v>
      </c>
      <c r="C918" s="9" t="s">
        <v>1779</v>
      </c>
      <c r="D918" s="9" t="s">
        <v>107</v>
      </c>
      <c r="E918" s="6" t="s">
        <v>2022</v>
      </c>
      <c r="F918" s="9"/>
    </row>
    <row r="919" ht="33.75" customHeight="1">
      <c r="A919" s="7">
        <v>32.0</v>
      </c>
      <c r="B919" s="9" t="s">
        <v>1986</v>
      </c>
      <c r="C919" s="9" t="s">
        <v>1779</v>
      </c>
      <c r="D919" s="9" t="s">
        <v>109</v>
      </c>
      <c r="E919" s="6" t="s">
        <v>2022</v>
      </c>
      <c r="F919" s="9"/>
    </row>
    <row r="920" ht="33.75" customHeight="1">
      <c r="A920" s="7">
        <v>32.0</v>
      </c>
      <c r="B920" s="9" t="s">
        <v>1986</v>
      </c>
      <c r="C920" s="9" t="s">
        <v>1779</v>
      </c>
      <c r="D920" s="9" t="s">
        <v>111</v>
      </c>
      <c r="E920" s="6" t="s">
        <v>1990</v>
      </c>
      <c r="F920" s="9"/>
    </row>
    <row r="921" ht="33.75" customHeight="1">
      <c r="A921" s="7">
        <v>32.0</v>
      </c>
      <c r="B921" s="9" t="s">
        <v>1986</v>
      </c>
      <c r="C921" s="9" t="s">
        <v>1779</v>
      </c>
      <c r="D921" s="9" t="s">
        <v>113</v>
      </c>
      <c r="E921" s="6" t="s">
        <v>1990</v>
      </c>
      <c r="F921" s="9"/>
    </row>
    <row r="922" ht="33.75" customHeight="1">
      <c r="A922" s="7">
        <v>32.0</v>
      </c>
      <c r="B922" s="9" t="s">
        <v>1986</v>
      </c>
      <c r="C922" s="9" t="s">
        <v>1779</v>
      </c>
      <c r="D922" s="9" t="s">
        <v>114</v>
      </c>
      <c r="E922" s="6" t="s">
        <v>2027</v>
      </c>
      <c r="F922" s="9"/>
    </row>
    <row r="923" ht="33.75" customHeight="1">
      <c r="A923" s="7">
        <v>32.0</v>
      </c>
      <c r="B923" s="9" t="s">
        <v>1986</v>
      </c>
      <c r="C923" s="9" t="s">
        <v>1779</v>
      </c>
      <c r="D923" s="9" t="s">
        <v>117</v>
      </c>
      <c r="E923" s="6" t="s">
        <v>2028</v>
      </c>
      <c r="F923" s="9"/>
    </row>
    <row r="924" ht="33.75" customHeight="1">
      <c r="A924" s="7">
        <v>33.0</v>
      </c>
      <c r="B924" s="9" t="s">
        <v>2030</v>
      </c>
      <c r="C924" s="9" t="s">
        <v>1779</v>
      </c>
      <c r="D924" s="9" t="s">
        <v>24</v>
      </c>
      <c r="E924" s="6" t="s">
        <v>2031</v>
      </c>
      <c r="F924" t="inlineStr" s="10">
        <is>
          <t xml:space="preserve">Aggressiivinen POKéMON, joka hyökkää nopeasti. Sen päässä oleva sarvi erittää voimakasta myrkkyä. Sen sarvet sisältävät myrkkyä. Jos ne isketään viholliseen, isku saa myrkyn vuotamaan ulos. Se nostaa suuret korvansa tarkistaakseen ympäristönsä. Jos se aistii jotain, se hyökkää välittömästi. Se suuttuu nopeasti ja pistää vihollisia sarvellaan ruiskuttaakseen niihin voimakasta myrkkyä kiihtyessään. Se on helposti levoton ja käyttää sarveaan hyökkäykseen heti, kun se huomaa hyökkääjän. NIDORINOlla on sarvi, joka on kovempi kuin timantti. Jos se aistii vihollisen läsnäolon, kaikki sen selän piikit nousevat kerralla pystyyn ja se haastaa vihollisen kaikella voimallaan. Sen sarvi on kovempi kuin timantti. Se suuttuu helposti. Heiluttelemalla villisti hyvin kehittynyttä sarveaan se voi jopa lävistää timantin. Sillä on väkivaltainen luonne ja se puukottaa vihollisia sarvellaan, josta tihkuu myrkkyä osuessaan. Nidorinolla on timanttia kovempi sarvi. Sen sarvi sisältää myrkkyä. Jos se iskee vihollista sarvella, isku saa myrkyn vuotamaan ulos. Timanttia kovemman sarvensa ansiosta tämä Pokémon kulkee ympäriinsä rikkoen lohkareita etsiessään kuukiveä. Se on hermostunut ja nopea toimimaan aggressiivisesti. Sen myrkyn teho kasvaa sen kehossa olevan adrenaliinin määrän kasvaessa.</t>
        </is>
      </c>
    </row>
    <row r="925" ht="33.75" customHeight="1">
      <c r="A925" s="7">
        <v>33.0</v>
      </c>
      <c r="B925" s="9" t="s">
        <v>2030</v>
      </c>
      <c r="C925" s="9" t="s">
        <v>1779</v>
      </c>
      <c r="D925" s="9" t="s">
        <v>35</v>
      </c>
      <c r="E925" s="6" t="s">
        <v>2031</v>
      </c>
      <c r="F925" s="9"/>
    </row>
    <row r="926" ht="33.75" customHeight="1">
      <c r="A926" s="7">
        <v>33.0</v>
      </c>
      <c r="B926" s="9" t="s">
        <v>2030</v>
      </c>
      <c r="C926" s="9" t="s">
        <v>1779</v>
      </c>
      <c r="D926" s="9" t="s">
        <v>42</v>
      </c>
      <c r="E926" s="6" t="s">
        <v>2034</v>
      </c>
      <c r="F926" s="9"/>
    </row>
    <row r="927" ht="33.75" customHeight="1">
      <c r="A927" s="7">
        <v>33.0</v>
      </c>
      <c r="B927" s="9" t="s">
        <v>2030</v>
      </c>
      <c r="C927" s="9" t="s">
        <v>1779</v>
      </c>
      <c r="D927" s="9" t="s">
        <v>52</v>
      </c>
      <c r="E927" s="6" t="s">
        <v>2036</v>
      </c>
      <c r="F927" s="9"/>
    </row>
    <row r="928" ht="33.75" customHeight="1">
      <c r="A928" s="7">
        <v>33.0</v>
      </c>
      <c r="B928" s="9" t="s">
        <v>2030</v>
      </c>
      <c r="C928" s="9" t="s">
        <v>1779</v>
      </c>
      <c r="D928" s="9" t="s">
        <v>59</v>
      </c>
      <c r="E928" s="6" t="s">
        <v>2038</v>
      </c>
      <c r="F928" s="9"/>
    </row>
    <row r="929" ht="33.75" customHeight="1">
      <c r="A929" s="7">
        <v>33.0</v>
      </c>
      <c r="B929" s="9" t="s">
        <v>2030</v>
      </c>
      <c r="C929" s="9" t="s">
        <v>1779</v>
      </c>
      <c r="D929" s="9" t="s">
        <v>64</v>
      </c>
      <c r="E929" s="6" t="s">
        <v>2040</v>
      </c>
      <c r="F929" s="9"/>
    </row>
    <row r="930" ht="33.75" customHeight="1">
      <c r="A930" s="7">
        <v>33.0</v>
      </c>
      <c r="B930" s="9" t="s">
        <v>2030</v>
      </c>
      <c r="C930" s="9" t="s">
        <v>1779</v>
      </c>
      <c r="D930" s="9" t="s">
        <v>67</v>
      </c>
      <c r="E930" s="6" t="s">
        <v>2042</v>
      </c>
      <c r="F930" s="9"/>
    </row>
    <row r="931" ht="33.75" customHeight="1">
      <c r="A931" s="7">
        <v>33.0</v>
      </c>
      <c r="B931" s="9" t="s">
        <v>2030</v>
      </c>
      <c r="C931" s="9" t="s">
        <v>1779</v>
      </c>
      <c r="D931" s="9" t="s">
        <v>71</v>
      </c>
      <c r="E931" s="6" t="s">
        <v>2042</v>
      </c>
      <c r="F931" s="9"/>
    </row>
    <row r="932" ht="33.75" customHeight="1">
      <c r="A932" s="7">
        <v>33.0</v>
      </c>
      <c r="B932" s="9" t="s">
        <v>2030</v>
      </c>
      <c r="C932" s="9" t="s">
        <v>1779</v>
      </c>
      <c r="D932" s="9" t="s">
        <v>73</v>
      </c>
      <c r="E932" s="6" t="s">
        <v>2043</v>
      </c>
      <c r="F932" s="9"/>
    </row>
    <row r="933" ht="33.75" customHeight="1">
      <c r="A933" s="7">
        <v>33.0</v>
      </c>
      <c r="B933" s="9" t="s">
        <v>2030</v>
      </c>
      <c r="C933" s="9" t="s">
        <v>1779</v>
      </c>
      <c r="D933" s="9" t="s">
        <v>75</v>
      </c>
      <c r="E933" s="6" t="s">
        <v>2044</v>
      </c>
      <c r="F933" s="9"/>
    </row>
    <row r="934" ht="33.75" customHeight="1">
      <c r="A934" s="7">
        <v>33.0</v>
      </c>
      <c r="B934" s="9" t="s">
        <v>2030</v>
      </c>
      <c r="C934" s="9" t="s">
        <v>1779</v>
      </c>
      <c r="D934" s="9" t="s">
        <v>79</v>
      </c>
      <c r="E934" s="6" t="s">
        <v>2031</v>
      </c>
      <c r="F934" s="9"/>
    </row>
    <row r="935" ht="33.75" customHeight="1">
      <c r="A935" s="7">
        <v>33.0</v>
      </c>
      <c r="B935" s="9" t="s">
        <v>2030</v>
      </c>
      <c r="C935" s="9" t="s">
        <v>1779</v>
      </c>
      <c r="D935" s="9" t="s">
        <v>81</v>
      </c>
      <c r="E935" s="6" t="s">
        <v>2048</v>
      </c>
      <c r="F935" s="9"/>
    </row>
    <row r="936" ht="33.75" customHeight="1">
      <c r="A936" s="7">
        <v>33.0</v>
      </c>
      <c r="B936" s="9" t="s">
        <v>2030</v>
      </c>
      <c r="C936" s="9" t="s">
        <v>1779</v>
      </c>
      <c r="D936" s="9" t="s">
        <v>84</v>
      </c>
      <c r="E936" s="6" t="s">
        <v>2048</v>
      </c>
      <c r="F936" s="9"/>
    </row>
    <row r="937" ht="33.75" customHeight="1">
      <c r="A937" s="7">
        <v>33.0</v>
      </c>
      <c r="B937" s="9" t="s">
        <v>2030</v>
      </c>
      <c r="C937" s="9" t="s">
        <v>1779</v>
      </c>
      <c r="D937" s="9" t="s">
        <v>87</v>
      </c>
      <c r="E937" s="6" t="s">
        <v>2048</v>
      </c>
      <c r="F937" s="9"/>
    </row>
    <row r="938" ht="33.75" customHeight="1">
      <c r="A938" s="7">
        <v>33.0</v>
      </c>
      <c r="B938" s="9" t="s">
        <v>2030</v>
      </c>
      <c r="C938" s="9" t="s">
        <v>1779</v>
      </c>
      <c r="D938" s="9" t="s">
        <v>89</v>
      </c>
      <c r="E938" s="6" t="s">
        <v>2036</v>
      </c>
      <c r="F938" s="9"/>
    </row>
    <row r="939" ht="33.75" customHeight="1">
      <c r="A939" s="7">
        <v>33.0</v>
      </c>
      <c r="B939" s="9" t="s">
        <v>2030</v>
      </c>
      <c r="C939" s="9" t="s">
        <v>1779</v>
      </c>
      <c r="D939" s="9" t="s">
        <v>91</v>
      </c>
      <c r="E939" s="6" t="s">
        <v>2038</v>
      </c>
      <c r="F939" s="9"/>
    </row>
    <row r="940" ht="33.75" customHeight="1">
      <c r="A940" s="7">
        <v>33.0</v>
      </c>
      <c r="B940" s="9" t="s">
        <v>2030</v>
      </c>
      <c r="C940" s="9" t="s">
        <v>1779</v>
      </c>
      <c r="D940" s="9" t="s">
        <v>93</v>
      </c>
      <c r="E940" s="6" t="s">
        <v>2048</v>
      </c>
      <c r="F940" s="9"/>
    </row>
    <row r="941" ht="33.75" customHeight="1">
      <c r="A941" s="7">
        <v>33.0</v>
      </c>
      <c r="B941" s="9" t="s">
        <v>2030</v>
      </c>
      <c r="C941" s="9" t="s">
        <v>1779</v>
      </c>
      <c r="D941" s="9" t="s">
        <v>95</v>
      </c>
      <c r="E941" s="6" t="s">
        <v>2048</v>
      </c>
      <c r="F941" s="9"/>
    </row>
    <row r="942" ht="33.75" customHeight="1">
      <c r="A942" s="7">
        <v>33.0</v>
      </c>
      <c r="B942" s="9" t="s">
        <v>2030</v>
      </c>
      <c r="C942" s="9" t="s">
        <v>1779</v>
      </c>
      <c r="D942" s="9" t="s">
        <v>98</v>
      </c>
      <c r="E942" s="6" t="s">
        <v>2048</v>
      </c>
      <c r="F942" s="9"/>
    </row>
    <row r="943" ht="33.75" customHeight="1">
      <c r="A943" s="7">
        <v>33.0</v>
      </c>
      <c r="B943" s="9" t="s">
        <v>2030</v>
      </c>
      <c r="C943" s="9" t="s">
        <v>1779</v>
      </c>
      <c r="D943" s="9" t="s">
        <v>99</v>
      </c>
      <c r="E943" s="6" t="s">
        <v>2048</v>
      </c>
      <c r="F943" s="9"/>
    </row>
    <row r="944" ht="33.75" customHeight="1">
      <c r="A944" s="7">
        <v>33.0</v>
      </c>
      <c r="B944" s="9" t="s">
        <v>2030</v>
      </c>
      <c r="C944" s="9" t="s">
        <v>1779</v>
      </c>
      <c r="D944" s="9" t="s">
        <v>101</v>
      </c>
      <c r="E944" s="6" t="s">
        <v>2036</v>
      </c>
      <c r="F944" s="9"/>
    </row>
    <row r="945" ht="33.75" customHeight="1">
      <c r="A945" s="7">
        <v>33.0</v>
      </c>
      <c r="B945" s="9" t="s">
        <v>2030</v>
      </c>
      <c r="C945" s="9" t="s">
        <v>1779</v>
      </c>
      <c r="D945" s="9" t="s">
        <v>105</v>
      </c>
      <c r="E945" s="6" t="s">
        <v>2061</v>
      </c>
      <c r="F945" s="9"/>
    </row>
    <row r="946" ht="33.75" customHeight="1">
      <c r="A946" s="7">
        <v>33.0</v>
      </c>
      <c r="B946" s="9" t="s">
        <v>2030</v>
      </c>
      <c r="C946" s="9" t="s">
        <v>1779</v>
      </c>
      <c r="D946" s="9" t="s">
        <v>107</v>
      </c>
      <c r="E946" s="6" t="s">
        <v>2063</v>
      </c>
      <c r="F946" s="9"/>
    </row>
    <row r="947" ht="33.75" customHeight="1">
      <c r="A947" s="7">
        <v>33.0</v>
      </c>
      <c r="B947" s="9" t="s">
        <v>2030</v>
      </c>
      <c r="C947" s="9" t="s">
        <v>1779</v>
      </c>
      <c r="D947" s="9" t="s">
        <v>109</v>
      </c>
      <c r="E947" s="6" t="s">
        <v>2063</v>
      </c>
      <c r="F947" s="9"/>
    </row>
    <row r="948" ht="33.75" customHeight="1">
      <c r="A948" s="7">
        <v>33.0</v>
      </c>
      <c r="B948" s="9" t="s">
        <v>2030</v>
      </c>
      <c r="C948" s="9" t="s">
        <v>1779</v>
      </c>
      <c r="D948" s="9" t="s">
        <v>111</v>
      </c>
      <c r="E948" s="6" t="s">
        <v>2066</v>
      </c>
      <c r="F948" s="9"/>
    </row>
    <row r="949" ht="33.75" customHeight="1">
      <c r="A949" s="7">
        <v>33.0</v>
      </c>
      <c r="B949" s="9" t="s">
        <v>2030</v>
      </c>
      <c r="C949" s="9" t="s">
        <v>1779</v>
      </c>
      <c r="D949" s="9" t="s">
        <v>113</v>
      </c>
      <c r="E949" s="6" t="s">
        <v>2066</v>
      </c>
      <c r="F949" s="9"/>
    </row>
    <row r="950" ht="33.75" customHeight="1">
      <c r="A950" s="7">
        <v>33.0</v>
      </c>
      <c r="B950" s="9" t="s">
        <v>2030</v>
      </c>
      <c r="C950" s="9" t="s">
        <v>1779</v>
      </c>
      <c r="D950" s="9" t="s">
        <v>114</v>
      </c>
      <c r="E950" s="6" t="s">
        <v>2070</v>
      </c>
      <c r="F950" s="9"/>
    </row>
    <row r="951" ht="33.75" customHeight="1">
      <c r="A951" s="7">
        <v>33.0</v>
      </c>
      <c r="B951" s="9" t="s">
        <v>2030</v>
      </c>
      <c r="C951" s="9" t="s">
        <v>1779</v>
      </c>
      <c r="D951" s="9" t="s">
        <v>117</v>
      </c>
      <c r="E951" s="6" t="s">
        <v>2072</v>
      </c>
      <c r="F951" s="9"/>
    </row>
    <row r="952" ht="33.75" customHeight="1">
      <c r="A952" s="7">
        <v>34.0</v>
      </c>
      <c r="B952" s="9" t="s">
        <v>2074</v>
      </c>
      <c r="C952" s="9" t="s">
        <v>1919</v>
      </c>
      <c r="D952" s="9" t="s">
        <v>24</v>
      </c>
      <c r="E952" s="6" t="s">
        <v>2076</v>
      </c>
      <c r="F952" t="inlineStr" s="10">
        <is>
          <t xml:space="preserve">Nidoking käyttää taistelussa voimakasta häntäänsä murskatakseen, kuristaakseen ja lopulta rikkoakseen saaliinsa luut. Sen teräksen kaltainen nahka lisää sen voimakasta taktiikkaa. Sen sarvet ovat niin kovat, että ne voivat lävistää timantin. Se heiluttelee isoa häntäänsä taistelun aikana. Jos vihollinen säpsähtää, se hyökkää jykevällä ruumiillaan. Sen häntä on paksu ja voimakas. Jos se sitoo vihollisen, se voi helposti napsauttaa uhrin selkärangan poikki. Se käyttää paksuja käsivarsiaan, jalkojaan ja häntäänsä hyökätäkseen voimakkaasti. Lähitaistelu on sen erikoisalaa. NIDOKINGin paksu häntä on valtavan tuhoisa. Yhdellä iskulla se voi kaataa metallisen lähetystornin. Kun tämä POKéMON riehuu, sitä ei voi pysäyttää. NIDOKINGin paksu pyrstö kantaa valtavaa tuhovoimaa, joka kykenee kaatamaan metallisen lähetystornin. Kun se lähtee riehumaan, sitä ei voi pysäyttää. Sen tunnistaa kivikovasta nahastaan ​​ja pitkästä sarvestaan. Ole varovainen sarven kanssa, sillä se sisältää myrkkyä. Se käyttää taistelussa voimakasta häntäänsä murskatakseen, kuristaakseen ja lopulta katkaistakseen saaliinsa luut. Yksi mahtavan pyrstön heilautus voi katkaista puhelinpylvään kuin tulitikun. Jos se sitoo vihollisen, se voi tehdä uhrin helposti avuttomaksi. Kun se riehuu, sitä on mahdotonta hallita. Mutta pitkään yhdessä olleen Nidokeyn läsnäollessa Nidoking rauhoittuu. Nidoking on ylpeä vahvuudestaan. Se on taistelussa voimakas ja eloisa, hyödyntäen paksua häntäänsä ja timantteja murskaavaa sarveaan.</t>
        </is>
      </c>
    </row>
    <row r="953" ht="33.75" customHeight="1">
      <c r="A953" s="7">
        <v>34.0</v>
      </c>
      <c r="B953" s="9" t="s">
        <v>2074</v>
      </c>
      <c r="C953" s="9" t="s">
        <v>1919</v>
      </c>
      <c r="D953" s="9" t="s">
        <v>35</v>
      </c>
      <c r="E953" s="6" t="s">
        <v>2076</v>
      </c>
      <c r="F953" s="9"/>
    </row>
    <row r="954" ht="33.75" customHeight="1">
      <c r="A954" s="7">
        <v>34.0</v>
      </c>
      <c r="B954" s="9" t="s">
        <v>2074</v>
      </c>
      <c r="C954" s="9" t="s">
        <v>1919</v>
      </c>
      <c r="D954" s="9" t="s">
        <v>42</v>
      </c>
      <c r="E954" s="6" t="s">
        <v>2079</v>
      </c>
      <c r="F954" s="9"/>
    </row>
    <row r="955" ht="33.75" customHeight="1">
      <c r="A955" s="7">
        <v>34.0</v>
      </c>
      <c r="B955" s="9" t="s">
        <v>2074</v>
      </c>
      <c r="C955" s="9" t="s">
        <v>1919</v>
      </c>
      <c r="D955" s="9" t="s">
        <v>52</v>
      </c>
      <c r="E955" s="6" t="s">
        <v>2082</v>
      </c>
      <c r="F955" s="9"/>
    </row>
    <row r="956" ht="33.75" customHeight="1">
      <c r="A956" s="7">
        <v>34.0</v>
      </c>
      <c r="B956" s="9" t="s">
        <v>2074</v>
      </c>
      <c r="C956" s="9" t="s">
        <v>1919</v>
      </c>
      <c r="D956" s="9" t="s">
        <v>59</v>
      </c>
      <c r="E956" s="6" t="s">
        <v>2085</v>
      </c>
      <c r="F956" s="9"/>
    </row>
    <row r="957" ht="33.75" customHeight="1">
      <c r="A957" s="7">
        <v>34.0</v>
      </c>
      <c r="B957" s="9" t="s">
        <v>2074</v>
      </c>
      <c r="C957" s="9" t="s">
        <v>1919</v>
      </c>
      <c r="D957" s="9" t="s">
        <v>64</v>
      </c>
      <c r="E957" s="6" t="s">
        <v>2087</v>
      </c>
      <c r="F957" s="9"/>
    </row>
    <row r="958" ht="33.75" customHeight="1">
      <c r="A958" s="7">
        <v>34.0</v>
      </c>
      <c r="B958" s="9" t="s">
        <v>2074</v>
      </c>
      <c r="C958" s="9" t="s">
        <v>1919</v>
      </c>
      <c r="D958" s="9" t="s">
        <v>67</v>
      </c>
      <c r="E958" s="6" t="s">
        <v>2089</v>
      </c>
      <c r="F958" s="9"/>
    </row>
    <row r="959" ht="33.75" customHeight="1">
      <c r="A959" s="7">
        <v>34.0</v>
      </c>
      <c r="B959" s="9" t="s">
        <v>2074</v>
      </c>
      <c r="C959" s="9" t="s">
        <v>1919</v>
      </c>
      <c r="D959" s="9" t="s">
        <v>71</v>
      </c>
      <c r="E959" s="6" t="s">
        <v>2089</v>
      </c>
      <c r="F959" s="9"/>
    </row>
    <row r="960" ht="33.75" customHeight="1">
      <c r="A960" s="7">
        <v>34.0</v>
      </c>
      <c r="B960" s="9" t="s">
        <v>2074</v>
      </c>
      <c r="C960" s="9" t="s">
        <v>1919</v>
      </c>
      <c r="D960" s="9" t="s">
        <v>73</v>
      </c>
      <c r="E960" s="6" t="s">
        <v>2092</v>
      </c>
      <c r="F960" s="9"/>
    </row>
    <row r="961" ht="33.75" customHeight="1">
      <c r="A961" s="7">
        <v>34.0</v>
      </c>
      <c r="B961" s="9" t="s">
        <v>2074</v>
      </c>
      <c r="C961" s="9" t="s">
        <v>1919</v>
      </c>
      <c r="D961" s="9" t="s">
        <v>75</v>
      </c>
      <c r="E961" s="6" t="s">
        <v>2095</v>
      </c>
      <c r="F961" s="9"/>
    </row>
    <row r="962" ht="33.75" customHeight="1">
      <c r="A962" s="7">
        <v>34.0</v>
      </c>
      <c r="B962" s="9" t="s">
        <v>2074</v>
      </c>
      <c r="C962" s="9" t="s">
        <v>1919</v>
      </c>
      <c r="D962" s="9" t="s">
        <v>79</v>
      </c>
      <c r="E962" s="6" t="s">
        <v>2096</v>
      </c>
      <c r="F962" s="9"/>
    </row>
    <row r="963" ht="33.75" customHeight="1">
      <c r="A963" s="7">
        <v>34.0</v>
      </c>
      <c r="B963" s="9" t="s">
        <v>2074</v>
      </c>
      <c r="C963" s="9" t="s">
        <v>1919</v>
      </c>
      <c r="D963" s="9" t="s">
        <v>81</v>
      </c>
      <c r="E963" s="6" t="s">
        <v>2097</v>
      </c>
      <c r="F963" s="9"/>
    </row>
    <row r="964" ht="33.75" customHeight="1">
      <c r="A964" s="7">
        <v>34.0</v>
      </c>
      <c r="B964" s="9" t="s">
        <v>2074</v>
      </c>
      <c r="C964" s="9" t="s">
        <v>1919</v>
      </c>
      <c r="D964" s="9" t="s">
        <v>84</v>
      </c>
      <c r="E964" s="6" t="s">
        <v>2097</v>
      </c>
      <c r="F964" s="9"/>
    </row>
    <row r="965" ht="33.75" customHeight="1">
      <c r="A965" s="7">
        <v>34.0</v>
      </c>
      <c r="B965" s="9" t="s">
        <v>2074</v>
      </c>
      <c r="C965" s="9" t="s">
        <v>1919</v>
      </c>
      <c r="D965" s="9" t="s">
        <v>87</v>
      </c>
      <c r="E965" s="6" t="s">
        <v>2097</v>
      </c>
      <c r="F965" s="9"/>
    </row>
    <row r="966" ht="33.75" customHeight="1">
      <c r="A966" s="7">
        <v>34.0</v>
      </c>
      <c r="B966" s="9" t="s">
        <v>2074</v>
      </c>
      <c r="C966" s="9" t="s">
        <v>1919</v>
      </c>
      <c r="D966" s="9" t="s">
        <v>89</v>
      </c>
      <c r="E966" s="6" t="s">
        <v>2082</v>
      </c>
      <c r="F966" s="9"/>
    </row>
    <row r="967" ht="33.75" customHeight="1">
      <c r="A967" s="7">
        <v>34.0</v>
      </c>
      <c r="B967" s="9" t="s">
        <v>2074</v>
      </c>
      <c r="C967" s="9" t="s">
        <v>1919</v>
      </c>
      <c r="D967" s="9" t="s">
        <v>91</v>
      </c>
      <c r="E967" s="6" t="s">
        <v>2104</v>
      </c>
      <c r="F967" s="9"/>
    </row>
    <row r="968" ht="33.75" customHeight="1">
      <c r="A968" s="7">
        <v>34.0</v>
      </c>
      <c r="B968" s="9" t="s">
        <v>2074</v>
      </c>
      <c r="C968" s="9" t="s">
        <v>1919</v>
      </c>
      <c r="D968" s="9" t="s">
        <v>93</v>
      </c>
      <c r="E968" s="6" t="s">
        <v>2097</v>
      </c>
      <c r="F968" s="9"/>
    </row>
    <row r="969" ht="33.75" customHeight="1">
      <c r="A969" s="7">
        <v>34.0</v>
      </c>
      <c r="B969" s="9" t="s">
        <v>2074</v>
      </c>
      <c r="C969" s="9" t="s">
        <v>1919</v>
      </c>
      <c r="D969" s="9" t="s">
        <v>95</v>
      </c>
      <c r="E969" s="6" t="s">
        <v>2097</v>
      </c>
      <c r="F969" s="9"/>
    </row>
    <row r="970" ht="33.75" customHeight="1">
      <c r="A970" s="7">
        <v>34.0</v>
      </c>
      <c r="B970" s="9" t="s">
        <v>2074</v>
      </c>
      <c r="C970" s="9" t="s">
        <v>1919</v>
      </c>
      <c r="D970" s="9" t="s">
        <v>98</v>
      </c>
      <c r="E970" s="6" t="s">
        <v>2097</v>
      </c>
      <c r="F970" s="9"/>
    </row>
    <row r="971" ht="33.75" customHeight="1">
      <c r="A971" s="7">
        <v>34.0</v>
      </c>
      <c r="B971" s="9" t="s">
        <v>2074</v>
      </c>
      <c r="C971" s="9" t="s">
        <v>1919</v>
      </c>
      <c r="D971" s="9" t="s">
        <v>99</v>
      </c>
      <c r="E971" s="6" t="s">
        <v>2097</v>
      </c>
      <c r="F971" s="9"/>
    </row>
    <row r="972" ht="33.75" customHeight="1">
      <c r="A972" s="7">
        <v>34.0</v>
      </c>
      <c r="B972" s="9" t="s">
        <v>2074</v>
      </c>
      <c r="C972" s="9" t="s">
        <v>1919</v>
      </c>
      <c r="D972" s="9" t="s">
        <v>101</v>
      </c>
      <c r="E972" s="6" t="s">
        <v>2095</v>
      </c>
      <c r="F972" s="9"/>
    </row>
    <row r="973" ht="33.75" customHeight="1">
      <c r="A973" s="7">
        <v>34.0</v>
      </c>
      <c r="B973" s="9" t="s">
        <v>2074</v>
      </c>
      <c r="C973" s="9" t="s">
        <v>1919</v>
      </c>
      <c r="D973" s="9" t="s">
        <v>105</v>
      </c>
      <c r="E973" s="6" t="s">
        <v>2097</v>
      </c>
      <c r="F973" s="9"/>
    </row>
    <row r="974" ht="33.75" customHeight="1">
      <c r="A974" s="7">
        <v>34.0</v>
      </c>
      <c r="B974" s="9" t="s">
        <v>2074</v>
      </c>
      <c r="C974" s="9" t="s">
        <v>1919</v>
      </c>
      <c r="D974" s="9" t="s">
        <v>107</v>
      </c>
      <c r="E974" s="6" t="s">
        <v>2115</v>
      </c>
      <c r="F974" s="9"/>
    </row>
    <row r="975" ht="33.75" customHeight="1">
      <c r="A975" s="7">
        <v>34.0</v>
      </c>
      <c r="B975" s="9" t="s">
        <v>2074</v>
      </c>
      <c r="C975" s="9" t="s">
        <v>1919</v>
      </c>
      <c r="D975" s="9" t="s">
        <v>109</v>
      </c>
      <c r="E975" s="6" t="s">
        <v>2115</v>
      </c>
      <c r="F975" s="9"/>
    </row>
    <row r="976" ht="33.75" customHeight="1">
      <c r="A976" s="7">
        <v>34.0</v>
      </c>
      <c r="B976" s="9" t="s">
        <v>2074</v>
      </c>
      <c r="C976" s="9" t="s">
        <v>1919</v>
      </c>
      <c r="D976" s="9" t="s">
        <v>111</v>
      </c>
      <c r="E976" s="6" t="s">
        <v>2079</v>
      </c>
      <c r="F976" s="9"/>
    </row>
    <row r="977" ht="33.75" customHeight="1">
      <c r="A977" s="7">
        <v>34.0</v>
      </c>
      <c r="B977" s="9" t="s">
        <v>2074</v>
      </c>
      <c r="C977" s="9" t="s">
        <v>1919</v>
      </c>
      <c r="D977" s="9" t="s">
        <v>113</v>
      </c>
      <c r="E977" s="6" t="s">
        <v>2079</v>
      </c>
      <c r="F977" s="9"/>
    </row>
    <row r="978" ht="33.75" customHeight="1">
      <c r="A978" s="7">
        <v>34.0</v>
      </c>
      <c r="B978" s="9" t="s">
        <v>2074</v>
      </c>
      <c r="C978" s="9" t="s">
        <v>1919</v>
      </c>
      <c r="D978" s="9" t="s">
        <v>114</v>
      </c>
      <c r="E978" s="6" t="s">
        <v>2121</v>
      </c>
      <c r="F978" s="9"/>
    </row>
    <row r="979" ht="33.75" customHeight="1">
      <c r="A979" s="7">
        <v>34.0</v>
      </c>
      <c r="B979" s="9" t="s">
        <v>2074</v>
      </c>
      <c r="C979" s="9" t="s">
        <v>1919</v>
      </c>
      <c r="D979" s="9" t="s">
        <v>117</v>
      </c>
      <c r="E979" s="6" t="s">
        <v>2125</v>
      </c>
      <c r="F979" s="9"/>
    </row>
    <row r="980" ht="33.75" customHeight="1">
      <c r="A980" s="7">
        <v>35.0</v>
      </c>
      <c r="B980" s="9" t="s">
        <v>2126</v>
      </c>
      <c r="C980" s="9" t="s">
        <v>2127</v>
      </c>
      <c r="D980" s="9" t="s">
        <v>24</v>
      </c>
      <c r="E980" s="6" t="s">
        <v>2129</v>
      </c>
      <c r="F980" t="inlineStr" s="10">
        <is>
          <t xml:space="preserve">Clefairyn maaginen ja suloinen viehätysvoima on täynnä ihailijoita. Se on harvinainen ja sitä tavataan vain tietyillä alueilla. Ihailtu söpön ulkonäkönsä ja leikkisyytensä vuoksi. Niiden uskotaan olevan harvinaisia, koska ne eivät esiinny usein. Kuunvalo, jonka se varastoi selkänsä siipiin, antaa sille ilmeisesti kyvyn leijua ilmassa. Sen suloinen käytös ja itku tekevät siitä erittäin suositun. Tätä suloista POKéMONia näkee kuitenkin harvoin. Vaikka sitä nähdään harvoin, se on jostain syystä helpompi havaita täysikuun aikaan. Joka täysikuun yönä näiden POKéMONien ryhmät tulevat ulos leikkimään. Aamun sarastaessa väsyneet CLEFAIRYt palaavat hiljaisiin vuoristopaikkoihinsa ja nukahtavat painautuneena toisiaan vasten. Täydenkuun aikaan he tulevat ulos leikkimään. Aamun sarastaessa väsyneet Clefairyt nukahtavat painautuneena toisiaan vasten syvien ja hiljaisten vuorten sekaan. Sen ihastuttava ulkonäkö tekee siitä suositun lemmikkinä. Se on kuitenkin harvinainen ja vaikea löytää. Maagisen ja söpön viehätyksensä ansiosta sillä on paljon ihailijoita. Sen uskotaan elävän muiden kanssa hiljaisilla vuorilla, ja se on suosittu ihastuttavan luontonsa vuoksi. Se lentää käyttäen selkänsä siipiä kuunvalon keräämiseen. Tätä Pokémonia on vaikea löytää. Sanotaan, että onni saavuttaa ne, jotka näkevät CLEFAIRY-väen tanssivan täysikuun aikaan. Sen ihastuttava käytös ja itku tekevät siitä erittäin suositun. Tätä suloista Pokémonia löytyy kuitenkin harvoin. Sanotaan, että onni tulee niille, jotka näkevät Clefairy-joukkojen tanssivan täysikuun aikaan. Täydenkuun öinä clefairy-perhoset kokoontuvat kaikkialta tanssimaan. Kuunvalossa kylpeminen saa ne leijumaan. Täydenkuun aikaan tämän Pokémonin ryhmiä tulee ulos leikkimään. Sen ihastuttava käytös ja ulkonäkö tekevät siitä suositun miesten ja naisten, nuorten ja vanhojen, keskuudessa. Sitä on kuitenkin vähän. Täydenkuun öinä ne kokoontuvat yhteen ja tanssivat. Ympäröivä alue on epänormaalin magneettikentän ympäröimä. Ne ovat suosittuja, mutta harvinaisia. Niitä holtittomasti esittelevät kouluttajat voivat joutua varkaiden kohteeksi. Kuunvalossa kylpevät sen siivet hehkuvat himmeästi. Räpyttelemättäkään Clefairy nousee ilmaan ja tanssii ympäriinsä. Sitä voi tavata hiljaisilla vuoristoalueilla täysikuun yönä. Sen tanssi ja pienet, himmeästi hohtavat siivet antavat sille ihanan keijukaisen luonteen.</t>
        </is>
      </c>
    </row>
    <row r="981" ht="33.75" customHeight="1">
      <c r="A981" s="7">
        <v>35.0</v>
      </c>
      <c r="B981" s="9" t="s">
        <v>2126</v>
      </c>
      <c r="C981" s="9" t="s">
        <v>2127</v>
      </c>
      <c r="D981" s="9" t="s">
        <v>35</v>
      </c>
      <c r="E981" s="6" t="s">
        <v>2129</v>
      </c>
      <c r="F981" s="9"/>
    </row>
    <row r="982" ht="33.75" customHeight="1">
      <c r="A982" s="7">
        <v>35.0</v>
      </c>
      <c r="B982" s="9" t="s">
        <v>2126</v>
      </c>
      <c r="C982" s="9" t="s">
        <v>2127</v>
      </c>
      <c r="D982" s="9" t="s">
        <v>42</v>
      </c>
      <c r="E982" s="6" t="s">
        <v>2132</v>
      </c>
      <c r="F982" s="9"/>
    </row>
    <row r="983" ht="33.75" customHeight="1">
      <c r="A983" s="7">
        <v>35.0</v>
      </c>
      <c r="B983" s="9" t="s">
        <v>2126</v>
      </c>
      <c r="C983" s="9" t="s">
        <v>2127</v>
      </c>
      <c r="D983" s="9" t="s">
        <v>52</v>
      </c>
      <c r="E983" s="6" t="s">
        <v>2135</v>
      </c>
      <c r="F983" s="9"/>
    </row>
    <row r="984" ht="33.75" customHeight="1">
      <c r="A984" s="7">
        <v>35.0</v>
      </c>
      <c r="B984" s="9" t="s">
        <v>2126</v>
      </c>
      <c r="C984" s="9" t="s">
        <v>2127</v>
      </c>
      <c r="D984" s="9" t="s">
        <v>59</v>
      </c>
      <c r="E984" s="6" t="s">
        <v>2137</v>
      </c>
      <c r="F984" s="9"/>
    </row>
    <row r="985" ht="33.75" customHeight="1">
      <c r="A985" s="7">
        <v>35.0</v>
      </c>
      <c r="B985" s="9" t="s">
        <v>2126</v>
      </c>
      <c r="C985" s="9" t="s">
        <v>2127</v>
      </c>
      <c r="D985" s="9" t="s">
        <v>64</v>
      </c>
      <c r="E985" s="6" t="s">
        <v>2139</v>
      </c>
      <c r="F985" s="9"/>
    </row>
    <row r="986" ht="33.75" customHeight="1">
      <c r="A986" s="7">
        <v>35.0</v>
      </c>
      <c r="B986" s="9" t="s">
        <v>2126</v>
      </c>
      <c r="C986" s="9" t="s">
        <v>2127</v>
      </c>
      <c r="D986" s="9" t="s">
        <v>67</v>
      </c>
      <c r="E986" s="6" t="s">
        <v>2141</v>
      </c>
      <c r="F986" s="9"/>
    </row>
    <row r="987" ht="33.75" customHeight="1">
      <c r="A987" s="7">
        <v>35.0</v>
      </c>
      <c r="B987" s="9" t="s">
        <v>2126</v>
      </c>
      <c r="C987" s="9" t="s">
        <v>2127</v>
      </c>
      <c r="D987" s="9" t="s">
        <v>71</v>
      </c>
      <c r="E987" s="6" t="s">
        <v>2141</v>
      </c>
      <c r="F987" s="9"/>
    </row>
    <row r="988" ht="33.75" customHeight="1">
      <c r="A988" s="7">
        <v>35.0</v>
      </c>
      <c r="B988" s="9" t="s">
        <v>2126</v>
      </c>
      <c r="C988" s="9" t="s">
        <v>2127</v>
      </c>
      <c r="D988" s="9" t="s">
        <v>73</v>
      </c>
      <c r="E988" s="6" t="s">
        <v>2144</v>
      </c>
      <c r="F988" s="9"/>
    </row>
    <row r="989" ht="33.75" customHeight="1">
      <c r="A989" s="7">
        <v>35.0</v>
      </c>
      <c r="B989" s="9" t="s">
        <v>2126</v>
      </c>
      <c r="C989" s="9" t="s">
        <v>2127</v>
      </c>
      <c r="D989" s="9" t="s">
        <v>75</v>
      </c>
      <c r="E989" s="6" t="s">
        <v>2146</v>
      </c>
      <c r="F989" s="9"/>
    </row>
    <row r="990" ht="33.75" customHeight="1">
      <c r="A990" s="7">
        <v>35.0</v>
      </c>
      <c r="B990" s="9" t="s">
        <v>2126</v>
      </c>
      <c r="C990" s="9" t="s">
        <v>2127</v>
      </c>
      <c r="D990" s="9" t="s">
        <v>79</v>
      </c>
      <c r="E990" s="6" t="s">
        <v>2148</v>
      </c>
      <c r="F990" s="9"/>
    </row>
    <row r="991" ht="33.75" customHeight="1">
      <c r="A991" s="7">
        <v>35.0</v>
      </c>
      <c r="B991" s="9" t="s">
        <v>2126</v>
      </c>
      <c r="C991" s="9" t="s">
        <v>2127</v>
      </c>
      <c r="D991" s="9" t="s">
        <v>81</v>
      </c>
      <c r="E991" s="6" t="s">
        <v>2150</v>
      </c>
      <c r="F991" s="9"/>
    </row>
    <row r="992" ht="33.75" customHeight="1">
      <c r="A992" s="7">
        <v>35.0</v>
      </c>
      <c r="B992" s="9" t="s">
        <v>2126</v>
      </c>
      <c r="C992" s="9" t="s">
        <v>2127</v>
      </c>
      <c r="D992" s="9" t="s">
        <v>84</v>
      </c>
      <c r="E992" s="6" t="s">
        <v>2152</v>
      </c>
      <c r="F992" s="9"/>
    </row>
    <row r="993" ht="33.75" customHeight="1">
      <c r="A993" s="7">
        <v>35.0</v>
      </c>
      <c r="B993" s="9" t="s">
        <v>2126</v>
      </c>
      <c r="C993" s="9" t="s">
        <v>2127</v>
      </c>
      <c r="D993" s="9" t="s">
        <v>87</v>
      </c>
      <c r="E993" s="6" t="s">
        <v>2154</v>
      </c>
      <c r="F993" s="9"/>
    </row>
    <row r="994" ht="33.75" customHeight="1">
      <c r="A994" s="7">
        <v>35.0</v>
      </c>
      <c r="B994" s="9" t="s">
        <v>2126</v>
      </c>
      <c r="C994" s="9" t="s">
        <v>2127</v>
      </c>
      <c r="D994" s="9" t="s">
        <v>89</v>
      </c>
      <c r="E994" s="6" t="s">
        <v>2135</v>
      </c>
      <c r="F994" s="9"/>
    </row>
    <row r="995" ht="33.75" customHeight="1">
      <c r="A995" s="7">
        <v>35.0</v>
      </c>
      <c r="B995" s="9" t="s">
        <v>2126</v>
      </c>
      <c r="C995" s="9" t="s">
        <v>2127</v>
      </c>
      <c r="D995" s="9" t="s">
        <v>91</v>
      </c>
      <c r="E995" s="6" t="s">
        <v>2157</v>
      </c>
      <c r="F995" s="9"/>
    </row>
    <row r="996" ht="33.75" customHeight="1">
      <c r="A996" s="7">
        <v>35.0</v>
      </c>
      <c r="B996" s="9" t="s">
        <v>2126</v>
      </c>
      <c r="C996" s="9" t="s">
        <v>2127</v>
      </c>
      <c r="D996" s="9" t="s">
        <v>93</v>
      </c>
      <c r="E996" s="6" t="s">
        <v>2159</v>
      </c>
      <c r="F996" s="9"/>
    </row>
    <row r="997" ht="33.75" customHeight="1">
      <c r="A997" s="7">
        <v>35.0</v>
      </c>
      <c r="B997" s="9" t="s">
        <v>2126</v>
      </c>
      <c r="C997" s="9" t="s">
        <v>2127</v>
      </c>
      <c r="D997" s="9" t="s">
        <v>95</v>
      </c>
      <c r="E997" s="6" t="s">
        <v>2159</v>
      </c>
      <c r="F997" s="9"/>
    </row>
    <row r="998" ht="33.75" customHeight="1">
      <c r="A998" s="7">
        <v>35.0</v>
      </c>
      <c r="B998" s="9" t="s">
        <v>2126</v>
      </c>
      <c r="C998" s="9" t="s">
        <v>2127</v>
      </c>
      <c r="D998" s="9" t="s">
        <v>98</v>
      </c>
      <c r="E998" s="6" t="s">
        <v>2163</v>
      </c>
      <c r="F998" s="9"/>
    </row>
    <row r="999" ht="33.75" customHeight="1">
      <c r="A999" s="7">
        <v>35.0</v>
      </c>
      <c r="B999" s="9" t="s">
        <v>2126</v>
      </c>
      <c r="C999" s="9" t="s">
        <v>2127</v>
      </c>
      <c r="D999" s="9" t="s">
        <v>99</v>
      </c>
      <c r="E999" s="6" t="s">
        <v>2163</v>
      </c>
      <c r="F999" s="9"/>
    </row>
    <row r="1000" ht="33.75" customHeight="1">
      <c r="A1000" s="7">
        <v>35.0</v>
      </c>
      <c r="B1000" s="9" t="s">
        <v>2126</v>
      </c>
      <c r="C1000" s="9" t="s">
        <v>2127</v>
      </c>
      <c r="D1000" s="9" t="s">
        <v>101</v>
      </c>
      <c r="E1000" s="6" t="s">
        <v>2159</v>
      </c>
      <c r="F1000" s="9"/>
    </row>
    <row r="1001" ht="33.75" customHeight="1">
      <c r="A1001" s="7">
        <v>35.0</v>
      </c>
      <c r="B1001" s="9" t="s">
        <v>2126</v>
      </c>
      <c r="C1001" s="9" t="s">
        <v>2127</v>
      </c>
      <c r="D1001" s="9" t="s">
        <v>105</v>
      </c>
      <c r="E1001" s="6" t="s">
        <v>2135</v>
      </c>
      <c r="F1001" s="9"/>
    </row>
    <row r="1002" ht="33.75" customHeight="1">
      <c r="A1002" s="7">
        <v>35.0</v>
      </c>
      <c r="B1002" s="9" t="s">
        <v>2126</v>
      </c>
      <c r="C1002" s="9" t="s">
        <v>2127</v>
      </c>
      <c r="D1002" s="9" t="s">
        <v>107</v>
      </c>
      <c r="E1002" s="6" t="s">
        <v>2168</v>
      </c>
      <c r="F1002" s="9"/>
    </row>
    <row r="1003" ht="33.75" customHeight="1">
      <c r="A1003" s="7">
        <v>35.0</v>
      </c>
      <c r="B1003" s="9" t="s">
        <v>2126</v>
      </c>
      <c r="C1003" s="9" t="s">
        <v>2127</v>
      </c>
      <c r="D1003" s="9" t="s">
        <v>109</v>
      </c>
      <c r="E1003" s="6" t="s">
        <v>2168</v>
      </c>
      <c r="F1003" s="9"/>
    </row>
    <row r="1004" ht="33.75" customHeight="1">
      <c r="A1004" s="7">
        <v>35.0</v>
      </c>
      <c r="B1004" s="9" t="s">
        <v>2126</v>
      </c>
      <c r="C1004" s="9" t="s">
        <v>2127</v>
      </c>
      <c r="D1004" s="9" t="s">
        <v>637</v>
      </c>
      <c r="E1004" s="6" t="s">
        <v>2171</v>
      </c>
      <c r="F1004" s="9"/>
    </row>
    <row r="1005" ht="33.75" customHeight="1">
      <c r="A1005" s="7">
        <v>35.0</v>
      </c>
      <c r="B1005" s="9" t="s">
        <v>2126</v>
      </c>
      <c r="C1005" s="9" t="s">
        <v>2127</v>
      </c>
      <c r="D1005" s="9" t="s">
        <v>642</v>
      </c>
      <c r="E1005" s="6" t="s">
        <v>2173</v>
      </c>
      <c r="F1005" s="9"/>
    </row>
    <row r="1006" ht="33.75" customHeight="1">
      <c r="A1006" s="7">
        <v>35.0</v>
      </c>
      <c r="B1006" s="9" t="s">
        <v>2126</v>
      </c>
      <c r="C1006" s="9" t="s">
        <v>2127</v>
      </c>
      <c r="D1006" s="9" t="s">
        <v>647</v>
      </c>
      <c r="E1006" s="6" t="s">
        <v>2176</v>
      </c>
      <c r="F1006" s="9"/>
    </row>
    <row r="1007" ht="33.75" customHeight="1">
      <c r="A1007" s="7">
        <v>35.0</v>
      </c>
      <c r="B1007" s="9" t="s">
        <v>2126</v>
      </c>
      <c r="C1007" s="9" t="s">
        <v>2127</v>
      </c>
      <c r="D1007" s="9" t="s">
        <v>652</v>
      </c>
      <c r="E1007" s="6" t="s">
        <v>2178</v>
      </c>
      <c r="F1007" s="9"/>
    </row>
    <row r="1008" ht="33.75" customHeight="1">
      <c r="A1008" s="7">
        <v>35.0</v>
      </c>
      <c r="B1008" s="9" t="s">
        <v>2126</v>
      </c>
      <c r="C1008" s="9" t="s">
        <v>2127</v>
      </c>
      <c r="D1008" s="9" t="s">
        <v>111</v>
      </c>
      <c r="E1008" s="6" t="s">
        <v>2132</v>
      </c>
      <c r="F1008" s="9"/>
    </row>
    <row r="1009" ht="33.75" customHeight="1">
      <c r="A1009" s="7">
        <v>35.0</v>
      </c>
      <c r="B1009" s="9" t="s">
        <v>2126</v>
      </c>
      <c r="C1009" s="9" t="s">
        <v>2127</v>
      </c>
      <c r="D1009" s="9" t="s">
        <v>113</v>
      </c>
      <c r="E1009" s="6" t="s">
        <v>2132</v>
      </c>
      <c r="F1009" s="9"/>
    </row>
    <row r="1010" ht="33.75" customHeight="1">
      <c r="A1010" s="7">
        <v>35.0</v>
      </c>
      <c r="B1010" s="9" t="s">
        <v>2126</v>
      </c>
      <c r="C1010" s="9" t="s">
        <v>2127</v>
      </c>
      <c r="D1010" s="9" t="s">
        <v>114</v>
      </c>
      <c r="E1010" s="6" t="s">
        <v>2159</v>
      </c>
      <c r="F1010" s="9"/>
    </row>
    <row r="1011" ht="33.75" customHeight="1">
      <c r="A1011" s="7">
        <v>35.0</v>
      </c>
      <c r="B1011" s="9" t="s">
        <v>2126</v>
      </c>
      <c r="C1011" s="9" t="s">
        <v>2127</v>
      </c>
      <c r="D1011" s="9" t="s">
        <v>117</v>
      </c>
      <c r="E1011" s="6" t="s">
        <v>2157</v>
      </c>
      <c r="F1011" s="9"/>
    </row>
    <row r="1012" ht="33.75" customHeight="1">
      <c r="A1012" s="7">
        <v>35.0</v>
      </c>
      <c r="B1012" s="9" t="s">
        <v>2126</v>
      </c>
      <c r="C1012" s="9" t="s">
        <v>2127</v>
      </c>
      <c r="D1012" s="9" t="s">
        <v>1577</v>
      </c>
      <c r="E1012" s="6" t="s">
        <v>2185</v>
      </c>
      <c r="F1012" s="9"/>
    </row>
    <row r="1013" ht="33.75" customHeight="1">
      <c r="A1013" s="7">
        <v>36.0</v>
      </c>
      <c r="B1013" s="9" t="s">
        <v>2186</v>
      </c>
      <c r="C1013" s="9" t="s">
        <v>2127</v>
      </c>
      <c r="D1013" s="9" t="s">
        <v>24</v>
      </c>
      <c r="E1013" s="6" t="s">
        <v>2188</v>
      </c>
      <c r="F1013" t="inlineStr" s="10">
        <is>
          <t xml:space="preserve">Ujo keiju-POKéMON, jota näkee harvoin. Se juoksee piiloon heti, kun se havaitsee ihmisiä. Ne vaikuttavat olevan hyvin suojelevaisia ​​omaa maailmaansa kohtaan. Ne ovat eräänlaisia ​​keijuja, joita ihmiset harvoin näkevät. Terävän kuulonsa ansiosta se pystyy havaitsemaan ääniä kaukaa. Se yleensä piiloutuu hiljaisiin paikkoihin. Sen erittäin herkät korvat auttavat sitä erottamaan kaukaiset äänet. Siksi se viihtyy hiljaisissa paikoissa. Tämän tyyppisen keijun sanotaan asuvan hiljaisilla, syrjäisillä vuorilla, ja hänellä on voimakas vastenmielisyys tulla nähdyksi. CLEFABLE liikkuu hyppimällä kevyesti ikään kuin se lentäisi siipiään käyttäen. Sen pomppivan askeleen ansiosta se voi jopa kävellä veden päällä. Sen tiedetään tekevän kävelyretkiä järvillä hiljaisina, kuutamoisina öinä. PUHDISTETTAVA hyppii kevyesti siipiensä avulla aivan kuin se lentäisi. Hiljaisina, kuutamoisina öinä se vaeltelee järvien pinnalla. Sillä on tarkka kuulo. Se kuulee helposti neulan putoamisen lähes 1 100 metrin päästä. Harvoin nähty ujo keiju-POKéMON juoksee piiloon havaitessaan ihmisiä. Ihmiset näkevät sen harvoin, ja sen sanotaan vetävän täysikuun puoleensa leikkimään autioilla järvillä. Sen kuulo on niin tarkka, että se voi kuulla neulan putoamisen yli 800 metrin päästä. Se elää hiljaisilla vuorilla. Se on hyvin varovainen ja näyttäytyy harvoin ihmisille. Sen korvat kuulevat neulan putoamisen yli 800 metrin päästä. Siksi se suosii hiljaisia ​​paikkoja. Niiden korvat ovat riittävän herkät kuulemaan neulan putoamisen yli mailin päästä, joten ne tavataan yleensä hiljaisissa paikoissa. Harvoin nähty arka keiju-Pokémon juoksee piiloon havaitessaan ihmisiä. Clefable liikkuu hyppimällä kevyesti aivan kuin se lentäisi siipiään käyttäen. Ne eivät halua paljastaa itseään ihmisten edessä. Ne elävät hiljaa laumoissa syvällä vuoristossa. Perimätiedon mukaan ihmiset, jotka näkevät Clefable-parin hyppimässä ohi, voivat odottaa onnellista avioliittoa. Se ei voi olla kuulematta neulan putoavan yli 800 metrin päästä, joten se asuu syvällä vuoristossa, missä ei ole paljon ihmisiä tai Pokémoneja. Jotkut tiedemiehet uskovat, että se tuijottaa täysikuun öinä intensiivisesti taivasta, koska se kaipaa kotia. Legendan mukaan se kuuntelee kirkkaina, hiljaisina öinä sukulaistensa ääniä kuussa. Minäkin ajattelen usein kaukaista kotimaatani.</t>
        </is>
      </c>
    </row>
    <row r="1014" ht="33.75" customHeight="1">
      <c r="A1014" s="7">
        <v>36.0</v>
      </c>
      <c r="B1014" s="9" t="s">
        <v>2186</v>
      </c>
      <c r="C1014" s="9" t="s">
        <v>2127</v>
      </c>
      <c r="D1014" s="9" t="s">
        <v>35</v>
      </c>
      <c r="E1014" s="6" t="s">
        <v>2188</v>
      </c>
      <c r="F1014" s="9"/>
    </row>
    <row r="1015" ht="33.75" customHeight="1">
      <c r="A1015" s="7">
        <v>36.0</v>
      </c>
      <c r="B1015" s="9" t="s">
        <v>2186</v>
      </c>
      <c r="C1015" s="9" t="s">
        <v>2127</v>
      </c>
      <c r="D1015" s="9" t="s">
        <v>42</v>
      </c>
      <c r="E1015" s="6" t="s">
        <v>2191</v>
      </c>
      <c r="F1015" s="9"/>
    </row>
    <row r="1016" ht="33.75" customHeight="1">
      <c r="A1016" s="7">
        <v>36.0</v>
      </c>
      <c r="B1016" s="9" t="s">
        <v>2186</v>
      </c>
      <c r="C1016" s="9" t="s">
        <v>2127</v>
      </c>
      <c r="D1016" s="9" t="s">
        <v>52</v>
      </c>
      <c r="E1016" s="6" t="s">
        <v>2193</v>
      </c>
      <c r="F1016" s="9"/>
    </row>
    <row r="1017" ht="33.75" customHeight="1">
      <c r="A1017" s="7">
        <v>36.0</v>
      </c>
      <c r="B1017" s="9" t="s">
        <v>2186</v>
      </c>
      <c r="C1017" s="9" t="s">
        <v>2127</v>
      </c>
      <c r="D1017" s="9" t="s">
        <v>59</v>
      </c>
      <c r="E1017" s="6" t="s">
        <v>2196</v>
      </c>
      <c r="F1017" s="9"/>
    </row>
    <row r="1018" ht="33.75" customHeight="1">
      <c r="A1018" s="7">
        <v>36.0</v>
      </c>
      <c r="B1018" s="9" t="s">
        <v>2186</v>
      </c>
      <c r="C1018" s="9" t="s">
        <v>2127</v>
      </c>
      <c r="D1018" s="9" t="s">
        <v>64</v>
      </c>
      <c r="E1018" s="6" t="s">
        <v>2198</v>
      </c>
      <c r="F1018" s="9"/>
    </row>
    <row r="1019" ht="33.75" customHeight="1">
      <c r="A1019" s="7">
        <v>36.0</v>
      </c>
      <c r="B1019" s="9" t="s">
        <v>2186</v>
      </c>
      <c r="C1019" s="9" t="s">
        <v>2127</v>
      </c>
      <c r="D1019" s="9" t="s">
        <v>67</v>
      </c>
      <c r="E1019" s="6" t="s">
        <v>2200</v>
      </c>
      <c r="F1019" s="9"/>
    </row>
    <row r="1020" ht="33.75" customHeight="1">
      <c r="A1020" s="7">
        <v>36.0</v>
      </c>
      <c r="B1020" s="9" t="s">
        <v>2186</v>
      </c>
      <c r="C1020" s="9" t="s">
        <v>2127</v>
      </c>
      <c r="D1020" s="9" t="s">
        <v>71</v>
      </c>
      <c r="E1020" s="6" t="s">
        <v>2200</v>
      </c>
      <c r="F1020" s="9"/>
    </row>
    <row r="1021" ht="33.75" customHeight="1">
      <c r="A1021" s="7">
        <v>36.0</v>
      </c>
      <c r="B1021" s="9" t="s">
        <v>2186</v>
      </c>
      <c r="C1021" s="9" t="s">
        <v>2127</v>
      </c>
      <c r="D1021" s="9" t="s">
        <v>73</v>
      </c>
      <c r="E1021" s="6" t="s">
        <v>2203</v>
      </c>
      <c r="F1021" s="9"/>
    </row>
    <row r="1022" ht="33.75" customHeight="1">
      <c r="A1022" s="7">
        <v>36.0</v>
      </c>
      <c r="B1022" s="9" t="s">
        <v>2186</v>
      </c>
      <c r="C1022" s="9" t="s">
        <v>2127</v>
      </c>
      <c r="D1022" s="9" t="s">
        <v>75</v>
      </c>
      <c r="E1022" s="6" t="s">
        <v>2205</v>
      </c>
      <c r="F1022" s="9"/>
    </row>
    <row r="1023" ht="33.75" customHeight="1">
      <c r="A1023" s="7">
        <v>36.0</v>
      </c>
      <c r="B1023" s="9" t="s">
        <v>2186</v>
      </c>
      <c r="C1023" s="9" t="s">
        <v>2127</v>
      </c>
      <c r="D1023" s="9" t="s">
        <v>79</v>
      </c>
      <c r="E1023" s="6" t="s">
        <v>2207</v>
      </c>
      <c r="F1023" s="9"/>
    </row>
    <row r="1024" ht="33.75" customHeight="1">
      <c r="A1024" s="7">
        <v>36.0</v>
      </c>
      <c r="B1024" s="9" t="s">
        <v>2186</v>
      </c>
      <c r="C1024" s="9" t="s">
        <v>2127</v>
      </c>
      <c r="D1024" s="9" t="s">
        <v>81</v>
      </c>
      <c r="E1024" s="6" t="s">
        <v>2209</v>
      </c>
      <c r="F1024" s="9"/>
    </row>
    <row r="1025" ht="33.75" customHeight="1">
      <c r="A1025" s="7">
        <v>36.0</v>
      </c>
      <c r="B1025" s="9" t="s">
        <v>2186</v>
      </c>
      <c r="C1025" s="9" t="s">
        <v>2127</v>
      </c>
      <c r="D1025" s="9" t="s">
        <v>84</v>
      </c>
      <c r="E1025" s="6" t="s">
        <v>2212</v>
      </c>
      <c r="F1025" s="9"/>
    </row>
    <row r="1026" ht="33.75" customHeight="1">
      <c r="A1026" s="7">
        <v>36.0</v>
      </c>
      <c r="B1026" s="9" t="s">
        <v>2186</v>
      </c>
      <c r="C1026" s="9" t="s">
        <v>2127</v>
      </c>
      <c r="D1026" s="9" t="s">
        <v>87</v>
      </c>
      <c r="E1026" s="6" t="s">
        <v>2214</v>
      </c>
      <c r="F1026" s="9"/>
    </row>
    <row r="1027" ht="33.75" customHeight="1">
      <c r="A1027" s="7">
        <v>36.0</v>
      </c>
      <c r="B1027" s="9" t="s">
        <v>2186</v>
      </c>
      <c r="C1027" s="9" t="s">
        <v>2127</v>
      </c>
      <c r="D1027" s="9" t="s">
        <v>89</v>
      </c>
      <c r="E1027" s="6" t="s">
        <v>2193</v>
      </c>
      <c r="F1027" s="9"/>
    </row>
    <row r="1028" ht="33.75" customHeight="1">
      <c r="A1028" s="7">
        <v>36.0</v>
      </c>
      <c r="B1028" s="9" t="s">
        <v>2186</v>
      </c>
      <c r="C1028" s="9" t="s">
        <v>2127</v>
      </c>
      <c r="D1028" s="9" t="s">
        <v>91</v>
      </c>
      <c r="E1028" s="6" t="s">
        <v>2217</v>
      </c>
      <c r="F1028" s="9"/>
    </row>
    <row r="1029" ht="33.75" customHeight="1">
      <c r="A1029" s="7">
        <v>36.0</v>
      </c>
      <c r="B1029" s="9" t="s">
        <v>2186</v>
      </c>
      <c r="C1029" s="9" t="s">
        <v>2127</v>
      </c>
      <c r="D1029" s="9" t="s">
        <v>93</v>
      </c>
      <c r="E1029" s="6" t="s">
        <v>2214</v>
      </c>
      <c r="F1029" s="9"/>
    </row>
    <row r="1030" ht="33.75" customHeight="1">
      <c r="A1030" s="7">
        <v>36.0</v>
      </c>
      <c r="B1030" s="9" t="s">
        <v>2186</v>
      </c>
      <c r="C1030" s="9" t="s">
        <v>2127</v>
      </c>
      <c r="D1030" s="9" t="s">
        <v>95</v>
      </c>
      <c r="E1030" s="6" t="s">
        <v>2214</v>
      </c>
      <c r="F1030" s="9"/>
    </row>
    <row r="1031" ht="33.75" customHeight="1">
      <c r="A1031" s="7">
        <v>36.0</v>
      </c>
      <c r="B1031" s="9" t="s">
        <v>2186</v>
      </c>
      <c r="C1031" s="9" t="s">
        <v>2127</v>
      </c>
      <c r="D1031" s="9" t="s">
        <v>98</v>
      </c>
      <c r="E1031" s="6" t="s">
        <v>2221</v>
      </c>
      <c r="F1031" s="9"/>
    </row>
    <row r="1032" ht="33.75" customHeight="1">
      <c r="A1032" s="7">
        <v>36.0</v>
      </c>
      <c r="B1032" s="9" t="s">
        <v>2186</v>
      </c>
      <c r="C1032" s="9" t="s">
        <v>2127</v>
      </c>
      <c r="D1032" s="9" t="s">
        <v>99</v>
      </c>
      <c r="E1032" s="6" t="s">
        <v>2221</v>
      </c>
      <c r="F1032" s="9"/>
    </row>
    <row r="1033" ht="33.75" customHeight="1">
      <c r="A1033" s="7">
        <v>36.0</v>
      </c>
      <c r="B1033" s="9" t="s">
        <v>2186</v>
      </c>
      <c r="C1033" s="9" t="s">
        <v>2127</v>
      </c>
      <c r="D1033" s="9" t="s">
        <v>101</v>
      </c>
      <c r="E1033" s="6" t="s">
        <v>2212</v>
      </c>
      <c r="F1033" s="9"/>
    </row>
    <row r="1034" ht="33.75" customHeight="1">
      <c r="A1034" s="7">
        <v>36.0</v>
      </c>
      <c r="B1034" s="9" t="s">
        <v>2186</v>
      </c>
      <c r="C1034" s="9" t="s">
        <v>2127</v>
      </c>
      <c r="D1034" s="9" t="s">
        <v>105</v>
      </c>
      <c r="E1034" s="6" t="s">
        <v>2225</v>
      </c>
      <c r="F1034" s="9"/>
    </row>
    <row r="1035" ht="33.75" customHeight="1">
      <c r="A1035" s="7">
        <v>36.0</v>
      </c>
      <c r="B1035" s="9" t="s">
        <v>2186</v>
      </c>
      <c r="C1035" s="9" t="s">
        <v>2127</v>
      </c>
      <c r="D1035" s="9" t="s">
        <v>107</v>
      </c>
      <c r="E1035" s="6" t="s">
        <v>2227</v>
      </c>
      <c r="F1035" s="9"/>
    </row>
    <row r="1036" ht="33.75" customHeight="1">
      <c r="A1036" s="7">
        <v>36.0</v>
      </c>
      <c r="B1036" s="9" t="s">
        <v>2186</v>
      </c>
      <c r="C1036" s="9" t="s">
        <v>2127</v>
      </c>
      <c r="D1036" s="9" t="s">
        <v>109</v>
      </c>
      <c r="E1036" s="6" t="s">
        <v>2227</v>
      </c>
      <c r="F1036" s="9"/>
    </row>
    <row r="1037" ht="33.75" customHeight="1">
      <c r="A1037" s="7">
        <v>36.0</v>
      </c>
      <c r="B1037" s="9" t="s">
        <v>2186</v>
      </c>
      <c r="C1037" s="9" t="s">
        <v>2127</v>
      </c>
      <c r="D1037" s="9" t="s">
        <v>637</v>
      </c>
      <c r="E1037" s="6" t="s">
        <v>2231</v>
      </c>
      <c r="F1037" s="9"/>
    </row>
    <row r="1038" ht="33.75" customHeight="1">
      <c r="A1038" s="7">
        <v>36.0</v>
      </c>
      <c r="B1038" s="9" t="s">
        <v>2186</v>
      </c>
      <c r="C1038" s="9" t="s">
        <v>2127</v>
      </c>
      <c r="D1038" s="9" t="s">
        <v>642</v>
      </c>
      <c r="E1038" s="6" t="s">
        <v>2233</v>
      </c>
      <c r="F1038" s="9"/>
    </row>
    <row r="1039" ht="33.75" customHeight="1">
      <c r="A1039" s="7">
        <v>36.0</v>
      </c>
      <c r="B1039" s="9" t="s">
        <v>2186</v>
      </c>
      <c r="C1039" s="9" t="s">
        <v>2127</v>
      </c>
      <c r="D1039" s="9" t="s">
        <v>647</v>
      </c>
      <c r="E1039" s="6" t="s">
        <v>2235</v>
      </c>
      <c r="F1039" s="9"/>
    </row>
    <row r="1040" ht="33.75" customHeight="1">
      <c r="A1040" s="7">
        <v>36.0</v>
      </c>
      <c r="B1040" s="9" t="s">
        <v>2186</v>
      </c>
      <c r="C1040" s="9" t="s">
        <v>2127</v>
      </c>
      <c r="D1040" s="9" t="s">
        <v>652</v>
      </c>
      <c r="E1040" s="6" t="s">
        <v>2238</v>
      </c>
      <c r="F1040" s="9"/>
    </row>
    <row r="1041" ht="33.75" customHeight="1">
      <c r="A1041" s="7">
        <v>36.0</v>
      </c>
      <c r="B1041" s="9" t="s">
        <v>2186</v>
      </c>
      <c r="C1041" s="9" t="s">
        <v>2127</v>
      </c>
      <c r="D1041" s="9" t="s">
        <v>111</v>
      </c>
      <c r="E1041" s="6" t="s">
        <v>2191</v>
      </c>
      <c r="F1041" s="9"/>
    </row>
    <row r="1042" ht="33.75" customHeight="1">
      <c r="A1042" s="7">
        <v>36.0</v>
      </c>
      <c r="B1042" s="9" t="s">
        <v>2186</v>
      </c>
      <c r="C1042" s="9" t="s">
        <v>2127</v>
      </c>
      <c r="D1042" s="9" t="s">
        <v>113</v>
      </c>
      <c r="E1042" s="6" t="s">
        <v>2191</v>
      </c>
      <c r="F1042" s="9"/>
    </row>
    <row r="1043" ht="33.75" customHeight="1">
      <c r="A1043" s="7">
        <v>36.0</v>
      </c>
      <c r="B1043" s="9" t="s">
        <v>2186</v>
      </c>
      <c r="C1043" s="9" t="s">
        <v>2127</v>
      </c>
      <c r="D1043" s="9" t="s">
        <v>114</v>
      </c>
      <c r="E1043" s="6" t="s">
        <v>2225</v>
      </c>
      <c r="F1043" s="9"/>
    </row>
    <row r="1044" ht="33.75" customHeight="1">
      <c r="A1044" s="7">
        <v>36.0</v>
      </c>
      <c r="B1044" s="9" t="s">
        <v>2186</v>
      </c>
      <c r="C1044" s="9" t="s">
        <v>2127</v>
      </c>
      <c r="D1044" s="9" t="s">
        <v>117</v>
      </c>
      <c r="E1044" s="6" t="s">
        <v>2221</v>
      </c>
      <c r="F1044" s="9"/>
    </row>
    <row r="1045" ht="33.75" customHeight="1">
      <c r="A1045" s="7">
        <v>36.0</v>
      </c>
      <c r="B1045" s="9" t="s">
        <v>2186</v>
      </c>
      <c r="C1045" s="9" t="s">
        <v>2127</v>
      </c>
      <c r="D1045" s="9" t="s">
        <v>1577</v>
      </c>
      <c r="E1045" s="6" t="s">
        <v>2244</v>
      </c>
      <c r="F1045" s="9"/>
    </row>
    <row r="1046" ht="33.75" customHeight="1">
      <c r="A1046" s="7">
        <v>37.0</v>
      </c>
      <c r="B1046" s="9" t="s">
        <v>2245</v>
      </c>
      <c r="C1046" s="9" t="s">
        <v>2247</v>
      </c>
      <c r="D1046" s="9" t="s">
        <v>24</v>
      </c>
      <c r="E1046" s="6" t="s">
        <v>2248</v>
      </c>
      <c r="F1046" t="inlineStr" s="10">
        <is>
          <t xml:space="preserve">Syntyessään sillä on vain yksi häntä. Häntä haarautuu kärjestä sen kasvaessa. Sekä sen turkki että sen häntä ovat kauniita. Kasvaessaan hännät jakautuvat ja muodostavat lisää häntiä. Kehittyessään sen yksi valkoinen häntä saa väriä ja jakautuu kuuteen osaan. Se on melko lämmin ja suloinen. Jos sitä hyökkää itseään vahvempi vihollinen, se teeskentelee loukkaantuneensa huijatakseen vihollista ja pakenee. Ruumiin kasvaessa sen kuusi lämmintä häntää kauniituvat ja niiden turkki muuttuu ylellisemmäksi. Syntyessään VULPIXilla on yksi valkoinen häntä. Häntä jakautuu kuudeksi, jos tämä POKéMON saa paljon rakkautta KOULUTTAJALTAAN. Kuusi häntää kiertyvät upeasti. VULPIXin ruumiin sisällä palaa sammumaton liekki. Päivällä, kun lämpötila nousee, tämä POKéMON päästää liekkejä suustaan ​​estääkseen ruumiinsa kuumenemisen liikaa. Se voi hallita tulta vapaasti, saaden tulisia palloja lentämään kuin virvatulia. Juuri ennen evoluutiota sen kuusi pyrstöä kuumenevat kuin tulessa. Nuorena sillä on kuusi upeaa pyrstöä. Kun se kasvaa, sille kasvaa useita uusia pyrstöjä. Syntyessään sillä on vain yksi lumivalkoinen häntä. Pyrstö haarautuu kärjestä sen kasvaessa. Se hallitsee tulipalloja. Kasvaessaan sen kuusi pyrstöä haarautuvat kärjistään muodostaen lisää pyrstöjä. Kun hännän kasvaa, sen turkki muuttuu kiiltävämmäksi. Kun sitä pitää kädessä, se tuntuu hieman lämpimältä. Häntä jakautuu kuudeksi, jos Pokémon saa paljon rakkautta kouluttajaltaan. Kuusi häntää käpertyvät upeasti. Sen kaunis turkki ja häntä ovat tehneet siitä erittäin suositun. Kasvaessaan sen häntä haarautuu muodostaen lisää häntiä. Sen suusta purkautuu liekkejä, jotka näyttävät muistuttavan kuolleiden henkiä. Jotkut ihmiset virheellisesti luulevat tämän tulen olevan aave. Sen kauniit hännät ovat tehneet siitä erittäin suositun. Jos sitä ei kuitenkaan harjata huolellisesti, se kasvaa nopeasti takkuun. Se manipuloi tulipalloja pyydystääkseen saaliinsa. Jos kasvatat sellaisen nuoresta pitäen, se kasvaa lähelle sinua kuin pentu-Pokémon. Sen vatsassa palaa tuli, jonka Vulpix sylkee ulos tulipallojen muodossa. Nuorena tällä Pokémonilla on vain yksi valkoinen häntä. Pokémonin kypsyessä tämä yksittäinen häntä jakautuu kuuteen osaan.</t>
        </is>
      </c>
    </row>
    <row r="1047" ht="33.75" customHeight="1">
      <c r="A1047" s="7">
        <v>37.0</v>
      </c>
      <c r="B1047" s="9" t="s">
        <v>2245</v>
      </c>
      <c r="C1047" s="9" t="s">
        <v>2247</v>
      </c>
      <c r="D1047" s="9" t="s">
        <v>35</v>
      </c>
      <c r="E1047" s="6" t="s">
        <v>2248</v>
      </c>
      <c r="F1047" s="9"/>
    </row>
    <row r="1048" ht="33.75" customHeight="1">
      <c r="A1048" s="7">
        <v>37.0</v>
      </c>
      <c r="B1048" s="9" t="s">
        <v>2245</v>
      </c>
      <c r="C1048" s="9" t="s">
        <v>2247</v>
      </c>
      <c r="D1048" s="9" t="s">
        <v>42</v>
      </c>
      <c r="E1048" s="6" t="s">
        <v>2252</v>
      </c>
      <c r="F1048" s="9"/>
    </row>
    <row r="1049" ht="33.75" customHeight="1">
      <c r="A1049" s="7">
        <v>37.0</v>
      </c>
      <c r="B1049" s="9" t="s">
        <v>2245</v>
      </c>
      <c r="C1049" s="9" t="s">
        <v>2247</v>
      </c>
      <c r="D1049" s="9" t="s">
        <v>52</v>
      </c>
      <c r="E1049" s="6" t="s">
        <v>2254</v>
      </c>
      <c r="F1049" s="9"/>
    </row>
    <row r="1050" ht="33.75" customHeight="1">
      <c r="A1050" s="7">
        <v>37.0</v>
      </c>
      <c r="B1050" s="9" t="s">
        <v>2245</v>
      </c>
      <c r="C1050" s="9" t="s">
        <v>2247</v>
      </c>
      <c r="D1050" s="9" t="s">
        <v>59</v>
      </c>
      <c r="E1050" s="6" t="s">
        <v>2256</v>
      </c>
      <c r="F1050" s="9"/>
    </row>
    <row r="1051" ht="33.75" customHeight="1">
      <c r="A1051" s="7">
        <v>37.0</v>
      </c>
      <c r="B1051" s="9" t="s">
        <v>2245</v>
      </c>
      <c r="C1051" s="9" t="s">
        <v>2247</v>
      </c>
      <c r="D1051" s="9" t="s">
        <v>64</v>
      </c>
      <c r="E1051" s="6" t="s">
        <v>2258</v>
      </c>
      <c r="F1051" s="9"/>
    </row>
    <row r="1052" ht="33.75" customHeight="1">
      <c r="A1052" s="7">
        <v>37.0</v>
      </c>
      <c r="B1052" s="9" t="s">
        <v>2245</v>
      </c>
      <c r="C1052" s="9" t="s">
        <v>2247</v>
      </c>
      <c r="D1052" s="9" t="s">
        <v>67</v>
      </c>
      <c r="E1052" s="6" t="s">
        <v>2260</v>
      </c>
      <c r="F1052" s="9"/>
    </row>
    <row r="1053" ht="33.75" customHeight="1">
      <c r="A1053" s="7">
        <v>37.0</v>
      </c>
      <c r="B1053" s="9" t="s">
        <v>2245</v>
      </c>
      <c r="C1053" s="9" t="s">
        <v>2247</v>
      </c>
      <c r="D1053" s="9" t="s">
        <v>71</v>
      </c>
      <c r="E1053" s="6" t="s">
        <v>2263</v>
      </c>
      <c r="F1053" s="9"/>
    </row>
    <row r="1054" ht="33.75" customHeight="1">
      <c r="A1054" s="7">
        <v>37.0</v>
      </c>
      <c r="B1054" s="9" t="s">
        <v>2245</v>
      </c>
      <c r="C1054" s="9" t="s">
        <v>2247</v>
      </c>
      <c r="D1054" s="9" t="s">
        <v>73</v>
      </c>
      <c r="E1054" s="6" t="s">
        <v>2265</v>
      </c>
      <c r="F1054" s="9"/>
    </row>
    <row r="1055" ht="33.75" customHeight="1">
      <c r="A1055" s="7">
        <v>37.0</v>
      </c>
      <c r="B1055" s="9" t="s">
        <v>2245</v>
      </c>
      <c r="C1055" s="9" t="s">
        <v>2247</v>
      </c>
      <c r="D1055" s="9" t="s">
        <v>75</v>
      </c>
      <c r="E1055" s="6" t="s">
        <v>2268</v>
      </c>
      <c r="F1055" s="9"/>
    </row>
    <row r="1056" ht="33.75" customHeight="1">
      <c r="A1056" s="7">
        <v>37.0</v>
      </c>
      <c r="B1056" s="9" t="s">
        <v>2245</v>
      </c>
      <c r="C1056" s="9" t="s">
        <v>2247</v>
      </c>
      <c r="D1056" s="9" t="s">
        <v>79</v>
      </c>
      <c r="E1056" s="6" t="s">
        <v>2270</v>
      </c>
      <c r="F1056" s="9"/>
    </row>
    <row r="1057" ht="33.75" customHeight="1">
      <c r="A1057" s="7">
        <v>37.0</v>
      </c>
      <c r="B1057" s="9" t="s">
        <v>2245</v>
      </c>
      <c r="C1057" s="9" t="s">
        <v>2247</v>
      </c>
      <c r="D1057" s="9" t="s">
        <v>81</v>
      </c>
      <c r="E1057" s="6" t="s">
        <v>2272</v>
      </c>
      <c r="F1057" s="9"/>
    </row>
    <row r="1058" ht="33.75" customHeight="1">
      <c r="A1058" s="7">
        <v>37.0</v>
      </c>
      <c r="B1058" s="9" t="s">
        <v>2245</v>
      </c>
      <c r="C1058" s="9" t="s">
        <v>2247</v>
      </c>
      <c r="D1058" s="9" t="s">
        <v>84</v>
      </c>
      <c r="E1058" s="6" t="s">
        <v>2272</v>
      </c>
      <c r="F1058" s="9"/>
    </row>
    <row r="1059" ht="33.75" customHeight="1">
      <c r="A1059" s="7">
        <v>37.0</v>
      </c>
      <c r="B1059" s="9" t="s">
        <v>2245</v>
      </c>
      <c r="C1059" s="9" t="s">
        <v>2247</v>
      </c>
      <c r="D1059" s="9" t="s">
        <v>87</v>
      </c>
      <c r="E1059" s="6" t="s">
        <v>2272</v>
      </c>
      <c r="F1059" s="9"/>
    </row>
    <row r="1060" ht="33.75" customHeight="1">
      <c r="A1060" s="7">
        <v>37.0</v>
      </c>
      <c r="B1060" s="9" t="s">
        <v>2245</v>
      </c>
      <c r="C1060" s="9" t="s">
        <v>2247</v>
      </c>
      <c r="D1060" s="9" t="s">
        <v>89</v>
      </c>
      <c r="E1060" s="6" t="s">
        <v>2254</v>
      </c>
      <c r="F1060" s="9"/>
    </row>
    <row r="1061" ht="33.75" customHeight="1">
      <c r="A1061" s="7">
        <v>37.0</v>
      </c>
      <c r="B1061" s="9" t="s">
        <v>2245</v>
      </c>
      <c r="C1061" s="9" t="s">
        <v>2247</v>
      </c>
      <c r="D1061" s="9" t="s">
        <v>91</v>
      </c>
      <c r="E1061" s="6" t="s">
        <v>2256</v>
      </c>
      <c r="F1061" s="9"/>
    </row>
    <row r="1062" ht="33.75" customHeight="1">
      <c r="A1062" s="7">
        <v>37.0</v>
      </c>
      <c r="B1062" s="9" t="s">
        <v>2245</v>
      </c>
      <c r="C1062" s="9" t="s">
        <v>2247</v>
      </c>
      <c r="D1062" s="9" t="s">
        <v>93</v>
      </c>
      <c r="E1062" s="6" t="s">
        <v>2272</v>
      </c>
      <c r="F1062" s="9"/>
    </row>
    <row r="1063" ht="33.75" customHeight="1">
      <c r="A1063" s="7">
        <v>37.0</v>
      </c>
      <c r="B1063" s="9" t="s">
        <v>2245</v>
      </c>
      <c r="C1063" s="9" t="s">
        <v>2247</v>
      </c>
      <c r="D1063" s="9" t="s">
        <v>95</v>
      </c>
      <c r="E1063" s="6" t="s">
        <v>2272</v>
      </c>
      <c r="F1063" s="9"/>
    </row>
    <row r="1064" ht="33.75" customHeight="1">
      <c r="A1064" s="7">
        <v>37.0</v>
      </c>
      <c r="B1064" s="9" t="s">
        <v>2245</v>
      </c>
      <c r="C1064" s="9" t="s">
        <v>2247</v>
      </c>
      <c r="D1064" s="9" t="s">
        <v>98</v>
      </c>
      <c r="E1064" s="6" t="s">
        <v>2283</v>
      </c>
      <c r="F1064" s="9"/>
    </row>
    <row r="1065" ht="33.75" customHeight="1">
      <c r="A1065" s="7">
        <v>37.0</v>
      </c>
      <c r="B1065" s="9" t="s">
        <v>2245</v>
      </c>
      <c r="C1065" s="9" t="s">
        <v>2247</v>
      </c>
      <c r="D1065" s="9" t="s">
        <v>99</v>
      </c>
      <c r="E1065" s="6" t="s">
        <v>2283</v>
      </c>
      <c r="F1065" s="9"/>
    </row>
    <row r="1066" ht="33.75" customHeight="1">
      <c r="A1066" s="7">
        <v>37.0</v>
      </c>
      <c r="B1066" s="9" t="s">
        <v>2245</v>
      </c>
      <c r="C1066" s="9" t="s">
        <v>2247</v>
      </c>
      <c r="D1066" s="9" t="s">
        <v>101</v>
      </c>
      <c r="E1066" s="6" t="s">
        <v>2270</v>
      </c>
      <c r="F1066" s="9"/>
    </row>
    <row r="1067" ht="33.75" customHeight="1">
      <c r="A1067" s="7">
        <v>37.0</v>
      </c>
      <c r="B1067" s="9" t="s">
        <v>2245</v>
      </c>
      <c r="C1067" s="9" t="s">
        <v>2247</v>
      </c>
      <c r="D1067" s="9" t="s">
        <v>105</v>
      </c>
      <c r="E1067" s="6" t="s">
        <v>2268</v>
      </c>
      <c r="F1067" s="9"/>
    </row>
    <row r="1068" ht="33.75" customHeight="1">
      <c r="A1068" s="7">
        <v>37.0</v>
      </c>
      <c r="B1068" s="9" t="s">
        <v>2245</v>
      </c>
      <c r="C1068" s="9" t="s">
        <v>2247</v>
      </c>
      <c r="D1068" s="9" t="s">
        <v>107</v>
      </c>
      <c r="E1068" s="6" t="s">
        <v>2288</v>
      </c>
      <c r="F1068" s="9"/>
    </row>
    <row r="1069" ht="33.75" customHeight="1">
      <c r="A1069" s="7">
        <v>37.0</v>
      </c>
      <c r="B1069" s="9" t="s">
        <v>2245</v>
      </c>
      <c r="C1069" s="9" t="s">
        <v>2247</v>
      </c>
      <c r="D1069" s="9" t="s">
        <v>109</v>
      </c>
      <c r="E1069" s="6" t="s">
        <v>2290</v>
      </c>
      <c r="F1069" s="9"/>
    </row>
    <row r="1070" ht="33.75" customHeight="1">
      <c r="A1070" s="7">
        <v>37.0</v>
      </c>
      <c r="B1070" s="9" t="s">
        <v>2245</v>
      </c>
      <c r="C1070" s="9" t="s">
        <v>2247</v>
      </c>
      <c r="D1070" s="9" t="s">
        <v>637</v>
      </c>
      <c r="E1070" s="6" t="s">
        <v>2292</v>
      </c>
      <c r="F1070" s="9"/>
    </row>
    <row r="1071" ht="33.75" customHeight="1">
      <c r="A1071" s="7">
        <v>37.0</v>
      </c>
      <c r="B1071" s="9" t="s">
        <v>2245</v>
      </c>
      <c r="C1071" s="9" t="s">
        <v>2247</v>
      </c>
      <c r="D1071" s="9" t="s">
        <v>642</v>
      </c>
      <c r="E1071" s="6" t="s">
        <v>2295</v>
      </c>
      <c r="F1071" s="9"/>
    </row>
    <row r="1072" ht="33.75" customHeight="1">
      <c r="A1072" s="7">
        <v>37.0</v>
      </c>
      <c r="B1072" s="9" t="s">
        <v>2245</v>
      </c>
      <c r="C1072" s="9" t="s">
        <v>2247</v>
      </c>
      <c r="D1072" s="9" t="s">
        <v>647</v>
      </c>
      <c r="E1072" s="6" t="s">
        <v>2297</v>
      </c>
      <c r="F1072" s="9"/>
    </row>
    <row r="1073" ht="33.75" customHeight="1">
      <c r="A1073" s="7">
        <v>37.0</v>
      </c>
      <c r="B1073" s="9" t="s">
        <v>2245</v>
      </c>
      <c r="C1073" s="9" t="s">
        <v>2247</v>
      </c>
      <c r="D1073" s="9" t="s">
        <v>652</v>
      </c>
      <c r="E1073" s="6" t="s">
        <v>2299</v>
      </c>
      <c r="F1073" s="9"/>
    </row>
    <row r="1074" ht="33.75" customHeight="1">
      <c r="A1074" s="7">
        <v>37.0</v>
      </c>
      <c r="B1074" s="9" t="s">
        <v>2245</v>
      </c>
      <c r="C1074" s="9" t="s">
        <v>2247</v>
      </c>
      <c r="D1074" s="9" t="s">
        <v>111</v>
      </c>
      <c r="E1074" s="6" t="s">
        <v>2252</v>
      </c>
      <c r="F1074" s="9"/>
    </row>
    <row r="1075" ht="33.75" customHeight="1">
      <c r="A1075" s="7">
        <v>37.0</v>
      </c>
      <c r="B1075" s="9" t="s">
        <v>2245</v>
      </c>
      <c r="C1075" s="9" t="s">
        <v>2247</v>
      </c>
      <c r="D1075" s="9" t="s">
        <v>113</v>
      </c>
      <c r="E1075" s="6" t="s">
        <v>2252</v>
      </c>
      <c r="F1075" s="9"/>
    </row>
    <row r="1076" ht="33.75" customHeight="1">
      <c r="A1076" s="7">
        <v>37.0</v>
      </c>
      <c r="B1076" s="9" t="s">
        <v>2245</v>
      </c>
      <c r="C1076" s="9" t="s">
        <v>2247</v>
      </c>
      <c r="D1076" s="9" t="s">
        <v>114</v>
      </c>
      <c r="E1076" s="6" t="s">
        <v>2268</v>
      </c>
      <c r="F1076" s="9"/>
    </row>
    <row r="1077" ht="33.75" customHeight="1">
      <c r="A1077" s="7">
        <v>37.0</v>
      </c>
      <c r="B1077" s="9" t="s">
        <v>2245</v>
      </c>
      <c r="C1077" s="9" t="s">
        <v>2247</v>
      </c>
      <c r="D1077" s="9" t="s">
        <v>117</v>
      </c>
      <c r="E1077" s="6" t="s">
        <v>2283</v>
      </c>
      <c r="F1077" s="9"/>
    </row>
    <row r="1078" ht="33.75" customHeight="1">
      <c r="A1078" s="7">
        <v>37.0</v>
      </c>
      <c r="B1078" s="9" t="s">
        <v>2245</v>
      </c>
      <c r="C1078" s="9" t="s">
        <v>2247</v>
      </c>
      <c r="D1078" s="9" t="s">
        <v>1577</v>
      </c>
      <c r="E1078" s="6" t="s">
        <v>2308</v>
      </c>
      <c r="F1078" s="9"/>
    </row>
    <row r="1079" ht="33.75" customHeight="1">
      <c r="A1079" s="7">
        <v>38.0</v>
      </c>
      <c r="B1079" s="9" t="s">
        <v>2309</v>
      </c>
      <c r="C1079" s="9" t="s">
        <v>2247</v>
      </c>
      <c r="D1079" s="9" t="s">
        <v>24</v>
      </c>
      <c r="E1079" s="6" t="s">
        <v>2311</v>
      </c>
      <c r="F1079" t="inlineStr" s="10">
        <is>
          <t xml:space="preserve">Hyvin älykäs ja kostonhimoinen. Yhdenkin sen monista hännistä tarttuminen voi johtaa tuhannen vuoden kiroukseen. Erään legendan mukaan yhdeksän jaloa pyhimystä yhdistyi ja syntyi uudelleen täksi POKéMONiksi. Jotkut legendat väittävät, että jokaisella sen yhdeksästä hännästä on oma ainutlaatuinen erityinen mystinen voimansa. Sen yhdeksän kaunista pyrstöä ovat täynnä ihmeellistä energiaa, joka voisi pitää sen hengissä 1 000 vuotta. Sen sanotaan elävän tuhat vuotta, ja jokainen sen hännistä on täynnä yliluonnollisia voimia. NINETALES heittää pahaenteisen valon kirkkaanpunaisista silmistään saadakseen vihollisensa mielen täysin hallintaansa. Tämän POKéMONin sanotaan elävän tuhat vuotta. Legendan mukaan NINETALES syntyi, kun yhdeksän pyhiä voimia omaavaa velhoa yhdistyi yhdeksi. Tämä POKéMON on erittäin älykäs – se ymmärtää ihmispuhetta. On pitkään sanottu, että jokainen yhdeksästä hännästä ilmentää lumottua voimaa. Pitkäikäisen YHDEKSÄNNÄISEN turkki kiiltää kuin kulta. Sillä on yhdeksän pitkää häntää ja kultaa hohtava turkki. Sen sanotaan elävän 1 000 vuotta. Sen yhdeksän pyrstön sanotaan olevan täynnä mystistä voimaa. Se voi elää tuhat vuotta. Jokainen sen yhdeksästä hännästä on täynnä yliluonnollista voimaa, ja se voi elää tuhat vuotta. Legendan mukaan Ninetales syntyi, kun yhdeksän pyhiä voimia omaavaa velhoa yhdistyi yhdeksi Pokémoniksi. Legendan mukaan tämä mystinen Pokémon muodostui, kun yhdeksän pyhimystä yhdistyi yhdeksi. Tämän Pokémonin sanotaan elävän tuhat vuotta, ja se käyttää yliluonnollisia kykyjään tulen manipulointiin. Se voi polttaa saaliinsa rapeaksi mielensä mukaan. Se on luonteeltaan kostonhimoinen ja armoton. Ne, jotka ylittävät sen kerrankin, ovat kirottuja tuhanneksi vuodeksi, samoin kuin heidän jälkeläisensä. Sen suusta sylkevät liekit hypnotisoivat vastustajat. Sitten tämä äärimmäisen älykäs Pokémon hyökkää. Kestävän legendan mukaan yhdeksän jaloa pyhimystä yhdistyi ja reinkarnoitui täksi Pokémoniksi. Sen sanotaan elävän 1 000 vuotta, ja jokainen sen pyrstö on täynnä yliluonnollisia voimia. Kiiltävän kultaisen turkin kerrotaan olevan varsin upea. Tämän lajin sanotaan tallentavan pyhää voimaa yhdeksään pitkään häntään ja elävän tuhatvuotiseksi.</t>
        </is>
      </c>
    </row>
    <row r="1080" ht="33.75" customHeight="1">
      <c r="A1080" s="7">
        <v>38.0</v>
      </c>
      <c r="B1080" s="9" t="s">
        <v>2309</v>
      </c>
      <c r="C1080" s="9" t="s">
        <v>2247</v>
      </c>
      <c r="D1080" s="9" t="s">
        <v>35</v>
      </c>
      <c r="E1080" s="6" t="s">
        <v>2311</v>
      </c>
      <c r="F1080" s="9"/>
    </row>
    <row r="1081" ht="33.75" customHeight="1">
      <c r="A1081" s="7">
        <v>38.0</v>
      </c>
      <c r="B1081" s="9" t="s">
        <v>2309</v>
      </c>
      <c r="C1081" s="9" t="s">
        <v>2247</v>
      </c>
      <c r="D1081" s="9" t="s">
        <v>42</v>
      </c>
      <c r="E1081" s="6" t="s">
        <v>2313</v>
      </c>
      <c r="F1081" s="9"/>
    </row>
    <row r="1082" ht="33.75" customHeight="1">
      <c r="A1082" s="7">
        <v>38.0</v>
      </c>
      <c r="B1082" s="9" t="s">
        <v>2309</v>
      </c>
      <c r="C1082" s="9" t="s">
        <v>2247</v>
      </c>
      <c r="D1082" s="9" t="s">
        <v>52</v>
      </c>
      <c r="E1082" s="6" t="s">
        <v>2315</v>
      </c>
      <c r="F1082" s="9"/>
    </row>
    <row r="1083" ht="33.75" customHeight="1">
      <c r="A1083" s="7">
        <v>38.0</v>
      </c>
      <c r="B1083" s="9" t="s">
        <v>2309</v>
      </c>
      <c r="C1083" s="9" t="s">
        <v>2247</v>
      </c>
      <c r="D1083" s="9" t="s">
        <v>59</v>
      </c>
      <c r="E1083" s="6" t="s">
        <v>2317</v>
      </c>
      <c r="F1083" s="9"/>
    </row>
    <row r="1084" ht="33.75" customHeight="1">
      <c r="A1084" s="7">
        <v>38.0</v>
      </c>
      <c r="B1084" s="9" t="s">
        <v>2309</v>
      </c>
      <c r="C1084" s="9" t="s">
        <v>2247</v>
      </c>
      <c r="D1084" s="9" t="s">
        <v>64</v>
      </c>
      <c r="E1084" s="6" t="s">
        <v>2320</v>
      </c>
      <c r="F1084" s="9"/>
    </row>
    <row r="1085" ht="33.75" customHeight="1">
      <c r="A1085" s="7">
        <v>38.0</v>
      </c>
      <c r="B1085" s="9" t="s">
        <v>2309</v>
      </c>
      <c r="C1085" s="9" t="s">
        <v>2247</v>
      </c>
      <c r="D1085" s="9" t="s">
        <v>67</v>
      </c>
      <c r="E1085" s="6" t="s">
        <v>2323</v>
      </c>
      <c r="F1085" s="9"/>
    </row>
    <row r="1086" ht="33.75" customHeight="1">
      <c r="A1086" s="7">
        <v>38.0</v>
      </c>
      <c r="B1086" s="9" t="s">
        <v>2309</v>
      </c>
      <c r="C1086" s="9" t="s">
        <v>2247</v>
      </c>
      <c r="D1086" s="9" t="s">
        <v>71</v>
      </c>
      <c r="E1086" s="6" t="s">
        <v>2325</v>
      </c>
      <c r="F1086" s="9"/>
    </row>
    <row r="1087" ht="33.75" customHeight="1">
      <c r="A1087" s="7">
        <v>38.0</v>
      </c>
      <c r="B1087" s="9" t="s">
        <v>2309</v>
      </c>
      <c r="C1087" s="9" t="s">
        <v>2247</v>
      </c>
      <c r="D1087" s="9" t="s">
        <v>73</v>
      </c>
      <c r="E1087" s="6" t="s">
        <v>2327</v>
      </c>
      <c r="F1087" s="9"/>
    </row>
    <row r="1088" ht="33.75" customHeight="1">
      <c r="A1088" s="7">
        <v>38.0</v>
      </c>
      <c r="B1088" s="9" t="s">
        <v>2309</v>
      </c>
      <c r="C1088" s="9" t="s">
        <v>2247</v>
      </c>
      <c r="D1088" s="9" t="s">
        <v>75</v>
      </c>
      <c r="E1088" s="6" t="s">
        <v>2330</v>
      </c>
      <c r="F1088" s="9"/>
    </row>
    <row r="1089" ht="33.75" customHeight="1">
      <c r="A1089" s="7">
        <v>38.0</v>
      </c>
      <c r="B1089" s="9" t="s">
        <v>2309</v>
      </c>
      <c r="C1089" s="9" t="s">
        <v>2247</v>
      </c>
      <c r="D1089" s="9" t="s">
        <v>79</v>
      </c>
      <c r="E1089" s="6" t="s">
        <v>2311</v>
      </c>
      <c r="F1089" s="9"/>
    </row>
    <row r="1090" ht="33.75" customHeight="1">
      <c r="A1090" s="7">
        <v>38.0</v>
      </c>
      <c r="B1090" s="9" t="s">
        <v>2309</v>
      </c>
      <c r="C1090" s="9" t="s">
        <v>2247</v>
      </c>
      <c r="D1090" s="9" t="s">
        <v>81</v>
      </c>
      <c r="E1090" s="6" t="s">
        <v>2333</v>
      </c>
      <c r="F1090" s="9"/>
    </row>
    <row r="1091" ht="33.75" customHeight="1">
      <c r="A1091" s="7">
        <v>38.0</v>
      </c>
      <c r="B1091" s="9" t="s">
        <v>2309</v>
      </c>
      <c r="C1091" s="9" t="s">
        <v>2247</v>
      </c>
      <c r="D1091" s="9" t="s">
        <v>84</v>
      </c>
      <c r="E1091" s="6" t="s">
        <v>2333</v>
      </c>
      <c r="F1091" s="9"/>
    </row>
    <row r="1092" ht="33.75" customHeight="1">
      <c r="A1092" s="7">
        <v>38.0</v>
      </c>
      <c r="B1092" s="9" t="s">
        <v>2309</v>
      </c>
      <c r="C1092" s="9" t="s">
        <v>2247</v>
      </c>
      <c r="D1092" s="9" t="s">
        <v>87</v>
      </c>
      <c r="E1092" s="6" t="s">
        <v>2333</v>
      </c>
      <c r="F1092" s="9"/>
    </row>
    <row r="1093" ht="33.75" customHeight="1">
      <c r="A1093" s="7">
        <v>38.0</v>
      </c>
      <c r="B1093" s="9" t="s">
        <v>2309</v>
      </c>
      <c r="C1093" s="9" t="s">
        <v>2247</v>
      </c>
      <c r="D1093" s="9" t="s">
        <v>89</v>
      </c>
      <c r="E1093" s="6" t="s">
        <v>2315</v>
      </c>
      <c r="F1093" s="9"/>
    </row>
    <row r="1094" ht="33.75" customHeight="1">
      <c r="A1094" s="7">
        <v>38.0</v>
      </c>
      <c r="B1094" s="9" t="s">
        <v>2309</v>
      </c>
      <c r="C1094" s="9" t="s">
        <v>2247</v>
      </c>
      <c r="D1094" s="9" t="s">
        <v>91</v>
      </c>
      <c r="E1094" s="6" t="s">
        <v>2317</v>
      </c>
      <c r="F1094" s="9"/>
    </row>
    <row r="1095" ht="33.75" customHeight="1">
      <c r="A1095" s="7">
        <v>38.0</v>
      </c>
      <c r="B1095" s="9" t="s">
        <v>2309</v>
      </c>
      <c r="C1095" s="9" t="s">
        <v>2247</v>
      </c>
      <c r="D1095" s="9" t="s">
        <v>93</v>
      </c>
      <c r="E1095" s="6" t="s">
        <v>2333</v>
      </c>
      <c r="F1095" s="9"/>
    </row>
    <row r="1096" ht="33.75" customHeight="1">
      <c r="A1096" s="7">
        <v>38.0</v>
      </c>
      <c r="B1096" s="9" t="s">
        <v>2309</v>
      </c>
      <c r="C1096" s="9" t="s">
        <v>2247</v>
      </c>
      <c r="D1096" s="9" t="s">
        <v>95</v>
      </c>
      <c r="E1096" s="6" t="s">
        <v>2333</v>
      </c>
      <c r="F1096" s="9"/>
    </row>
    <row r="1097" ht="33.75" customHeight="1">
      <c r="A1097" s="7">
        <v>38.0</v>
      </c>
      <c r="B1097" s="9" t="s">
        <v>2309</v>
      </c>
      <c r="C1097" s="9" t="s">
        <v>2247</v>
      </c>
      <c r="D1097" s="9" t="s">
        <v>98</v>
      </c>
      <c r="E1097" s="6" t="s">
        <v>2342</v>
      </c>
      <c r="F1097" s="9"/>
    </row>
    <row r="1098" ht="33.75" customHeight="1">
      <c r="A1098" s="7">
        <v>38.0</v>
      </c>
      <c r="B1098" s="9" t="s">
        <v>2309</v>
      </c>
      <c r="C1098" s="9" t="s">
        <v>2247</v>
      </c>
      <c r="D1098" s="9" t="s">
        <v>99</v>
      </c>
      <c r="E1098" s="6" t="s">
        <v>2342</v>
      </c>
      <c r="F1098" s="9"/>
    </row>
    <row r="1099" ht="33.75" customHeight="1">
      <c r="A1099" s="7">
        <v>38.0</v>
      </c>
      <c r="B1099" s="9" t="s">
        <v>2309</v>
      </c>
      <c r="C1099" s="9" t="s">
        <v>2247</v>
      </c>
      <c r="D1099" s="9" t="s">
        <v>101</v>
      </c>
      <c r="E1099" s="6" t="s">
        <v>2330</v>
      </c>
      <c r="F1099" s="9"/>
    </row>
    <row r="1100" ht="33.75" customHeight="1">
      <c r="A1100" s="7">
        <v>38.0</v>
      </c>
      <c r="B1100" s="9" t="s">
        <v>2309</v>
      </c>
      <c r="C1100" s="9" t="s">
        <v>2247</v>
      </c>
      <c r="D1100" s="9" t="s">
        <v>105</v>
      </c>
      <c r="E1100" s="6" t="s">
        <v>2311</v>
      </c>
      <c r="F1100" s="9"/>
    </row>
    <row r="1101" ht="33.75" customHeight="1">
      <c r="A1101" s="7">
        <v>38.0</v>
      </c>
      <c r="B1101" s="9" t="s">
        <v>2309</v>
      </c>
      <c r="C1101" s="9" t="s">
        <v>2247</v>
      </c>
      <c r="D1101" s="9" t="s">
        <v>107</v>
      </c>
      <c r="E1101" s="6" t="s">
        <v>2347</v>
      </c>
      <c r="F1101" s="9"/>
    </row>
    <row r="1102" ht="33.75" customHeight="1">
      <c r="A1102" s="7">
        <v>38.0</v>
      </c>
      <c r="B1102" s="9" t="s">
        <v>2309</v>
      </c>
      <c r="C1102" s="9" t="s">
        <v>2247</v>
      </c>
      <c r="D1102" s="9" t="s">
        <v>109</v>
      </c>
      <c r="E1102" s="6" t="s">
        <v>2349</v>
      </c>
      <c r="F1102" s="9"/>
    </row>
    <row r="1103" ht="33.75" customHeight="1">
      <c r="A1103" s="7">
        <v>38.0</v>
      </c>
      <c r="B1103" s="9" t="s">
        <v>2309</v>
      </c>
      <c r="C1103" s="9" t="s">
        <v>2247</v>
      </c>
      <c r="D1103" s="9" t="s">
        <v>637</v>
      </c>
      <c r="E1103" s="6" t="s">
        <v>2351</v>
      </c>
      <c r="F1103" s="9"/>
    </row>
    <row r="1104" ht="33.75" customHeight="1">
      <c r="A1104" s="7">
        <v>38.0</v>
      </c>
      <c r="B1104" s="9" t="s">
        <v>2309</v>
      </c>
      <c r="C1104" s="9" t="s">
        <v>2247</v>
      </c>
      <c r="D1104" s="9" t="s">
        <v>642</v>
      </c>
      <c r="E1104" s="6" t="s">
        <v>2353</v>
      </c>
      <c r="F1104" s="9"/>
    </row>
    <row r="1105" ht="33.75" customHeight="1">
      <c r="A1105" s="7">
        <v>38.0</v>
      </c>
      <c r="B1105" s="9" t="s">
        <v>2309</v>
      </c>
      <c r="C1105" s="9" t="s">
        <v>2247</v>
      </c>
      <c r="D1105" s="9" t="s">
        <v>647</v>
      </c>
      <c r="E1105" s="6" t="s">
        <v>2355</v>
      </c>
      <c r="F1105" s="9"/>
    </row>
    <row r="1106" ht="33.75" customHeight="1">
      <c r="A1106" s="7">
        <v>38.0</v>
      </c>
      <c r="B1106" s="9" t="s">
        <v>2309</v>
      </c>
      <c r="C1106" s="9" t="s">
        <v>2247</v>
      </c>
      <c r="D1106" s="9" t="s">
        <v>652</v>
      </c>
      <c r="E1106" s="6" t="s">
        <v>2357</v>
      </c>
      <c r="F1106" s="9"/>
    </row>
    <row r="1107" ht="33.75" customHeight="1">
      <c r="A1107" s="7">
        <v>38.0</v>
      </c>
      <c r="B1107" s="9" t="s">
        <v>2309</v>
      </c>
      <c r="C1107" s="9" t="s">
        <v>2247</v>
      </c>
      <c r="D1107" s="9" t="s">
        <v>111</v>
      </c>
      <c r="E1107" s="6" t="s">
        <v>2359</v>
      </c>
      <c r="F1107" s="9"/>
    </row>
    <row r="1108" ht="33.75" customHeight="1">
      <c r="A1108" s="7">
        <v>38.0</v>
      </c>
      <c r="B1108" s="9" t="s">
        <v>2309</v>
      </c>
      <c r="C1108" s="9" t="s">
        <v>2247</v>
      </c>
      <c r="D1108" s="9" t="s">
        <v>113</v>
      </c>
      <c r="E1108" s="6" t="s">
        <v>2359</v>
      </c>
      <c r="F1108" s="9"/>
    </row>
    <row r="1109" ht="33.75" customHeight="1">
      <c r="A1109" s="7">
        <v>38.0</v>
      </c>
      <c r="B1109" s="9" t="s">
        <v>2309</v>
      </c>
      <c r="C1109" s="9" t="s">
        <v>2247</v>
      </c>
      <c r="D1109" s="9" t="s">
        <v>114</v>
      </c>
      <c r="E1109" s="6" t="s">
        <v>2362</v>
      </c>
      <c r="F1109" s="9"/>
    </row>
    <row r="1110" ht="33.75" customHeight="1">
      <c r="A1110" s="7">
        <v>38.0</v>
      </c>
      <c r="B1110" s="9" t="s">
        <v>2309</v>
      </c>
      <c r="C1110" s="9" t="s">
        <v>2247</v>
      </c>
      <c r="D1110" s="9" t="s">
        <v>117</v>
      </c>
      <c r="E1110" s="6" t="s">
        <v>2311</v>
      </c>
      <c r="F1110" s="9"/>
    </row>
    <row r="1111" ht="33.75" customHeight="1">
      <c r="A1111" s="7">
        <v>38.0</v>
      </c>
      <c r="B1111" s="9" t="s">
        <v>2309</v>
      </c>
      <c r="C1111" s="9" t="s">
        <v>2247</v>
      </c>
      <c r="D1111" s="9" t="s">
        <v>1577</v>
      </c>
      <c r="E1111" s="6" t="s">
        <v>2365</v>
      </c>
      <c r="F1111" s="9"/>
    </row>
    <row r="1112" ht="33.75" customHeight="1">
      <c r="A1112" s="7">
        <v>39.0</v>
      </c>
      <c r="B1112" s="9" t="s">
        <v>2367</v>
      </c>
      <c r="C1112" s="9" t="s">
        <v>2368</v>
      </c>
      <c r="D1112" s="9" t="s">
        <v>24</v>
      </c>
      <c r="E1112" s="6" t="s">
        <v>2369</v>
      </c>
      <c r="F1112" t="inlineStr" s="10">
        <is>
          <t xml:space="preserve">Kun Jigglypuffin valtavat silmät syttyvät, se laulaa salaperäisen rauhoittavan melodian, joka tuudittaa sen viholliset uneen. Käyttää vietteleviä silmiään lumotakseen vihollisensa. Sitten se laulaa miellyttävän sävelmän, joka tuudittaa vihollisen uneen. Jos se täyttyy LAULAAKSEEN tuutulaulua, se voi kestää pidempään ja aiheuttaa yleisölle varmasti uneliaisuutta. Sen söpöihin, pyöreisiin silmiin katsominen saa sen laulamaan rentouttavan sävelmän, joka saa sen viholliset nukahtamaan. Se pyörittelee suloisia silmiään laulaessaan rauhoittavaa tuutulaulua. Sen lempeä laulu nukuttaa jokaisen, joka sen kuulee. JIGGLYPUFFin äänihuulet voivat säätää vapaasti sen äänen aallonpituutta. Tämä POKéMON käyttää tätä kykyä laulaakseen juuri oikealla aallonpituudella tehdäkseen vihollisensa mahdollisimman uneliaiksi. Kun tämä POKéMON laulaa, se ei koskaan pysähdy hengittämään. Jos se taistelee vastustajaa vastaan, joka ei nukahda helposti, JIGGLYPUFF ei pysty hengittämään, mikä vaarantaa sen hengen. Mikään ei voi estää nukahtamista kuullessaan JIGGLYPUFFin laulun. Sen lauluäänen ääniaallot vastaavat syvässä unessa olevan ihmisen aivoaaltoja. Se lumoaa viholliset valtavilla, pyöreillä silmillään ja tuudittaa heidät sitten uneen laulamalla rauhoittavaa sävelmää. Kun sen valtavat silmät räpyttelevät, se laulaa salaperäisen rauhoittavan sävelmän, joka tuudittaa sen viholliset uneen. Kun se räpyttelee suuria, pyöreitä silmiään, se alkaa laulaa tuutulaulua, joka tekee kaikki uneliaiksi. Sen söpöihin, pyöreisiin silmiin katsominen saa sen laulamaan laulun, joten miellyttävät kuuntelijat väistämättä nukahtavat. Jigglypuffin äänijänteet voivat säätää vapaasti sen äänen aallonpituutta. Tämä Pokémon käyttää tätä kykyä laulaakseen täsmälleen oikealla aallonpituudella tehdäkseen vihollisensa mahdollisimman uneliaiksi. Se täyttää vatsansa valtavasti ja laulaa salaperäistä sävelmää. Jos kuulet tämän sävelmän, tulet heti uneliaaksi. Jigglypuffin ääniala on yli 12 oktaavia, mutta jokaisen yksilön laulutaito riippuu hänen omasta ponnistelustaan. Jigglypuffin outojen tuutulaulujen äänitteitä voi ostaa tavarataloista. Nämä CD-levyt löytyvät vuodevaatealueen läheltä. Heidän laulamansa laulut ovat täysin erilaisia ​​asuinalueesta riippuen. Jotkut jopa kuulostavat siltä kuin he huutaisivat! Se lumoaa vihollisensa suloisilla pyöreillä silmillään. Jigglypuffilla on huippuluokan keuhkokapasiteetti, jopa verrattuna muihin Pokémoneihin. Se ei lopeta tuutulaulujensa laulamista ennen kuin sen viholliset nukahtavat. Muuttamalla äänensä aallonpituutta vapaasti Jigglypuff laulaa salaperäisen melodian, joka varmasti nukuttaa kenet tahansa kuuntelijan.</t>
        </is>
      </c>
    </row>
    <row r="1113" ht="33.75" customHeight="1">
      <c r="A1113" s="7">
        <v>39.0</v>
      </c>
      <c r="B1113" s="9" t="s">
        <v>2367</v>
      </c>
      <c r="C1113" s="9" t="s">
        <v>2368</v>
      </c>
      <c r="D1113" s="9" t="s">
        <v>35</v>
      </c>
      <c r="E1113" s="6" t="s">
        <v>2369</v>
      </c>
      <c r="F1113" s="9"/>
    </row>
    <row r="1114" ht="33.75" customHeight="1">
      <c r="A1114" s="7">
        <v>39.0</v>
      </c>
      <c r="B1114" s="9" t="s">
        <v>2367</v>
      </c>
      <c r="C1114" s="9" t="s">
        <v>2368</v>
      </c>
      <c r="D1114" s="9" t="s">
        <v>42</v>
      </c>
      <c r="E1114" s="6" t="s">
        <v>2372</v>
      </c>
      <c r="F1114" s="9"/>
    </row>
    <row r="1115" ht="33.75" customHeight="1">
      <c r="A1115" s="7">
        <v>39.0</v>
      </c>
      <c r="B1115" s="9" t="s">
        <v>2367</v>
      </c>
      <c r="C1115" s="9" t="s">
        <v>2368</v>
      </c>
      <c r="D1115" s="9" t="s">
        <v>52</v>
      </c>
      <c r="E1115" s="6" t="s">
        <v>2374</v>
      </c>
      <c r="F1115" s="9"/>
    </row>
    <row r="1116" ht="33.75" customHeight="1">
      <c r="A1116" s="7">
        <v>39.0</v>
      </c>
      <c r="B1116" s="9" t="s">
        <v>2367</v>
      </c>
      <c r="C1116" s="9" t="s">
        <v>2368</v>
      </c>
      <c r="D1116" s="9" t="s">
        <v>59</v>
      </c>
      <c r="E1116" s="6" t="s">
        <v>2376</v>
      </c>
      <c r="F1116" s="9"/>
    </row>
    <row r="1117" ht="33.75" customHeight="1">
      <c r="A1117" s="7">
        <v>39.0</v>
      </c>
      <c r="B1117" s="9" t="s">
        <v>2367</v>
      </c>
      <c r="C1117" s="9" t="s">
        <v>2368</v>
      </c>
      <c r="D1117" s="9" t="s">
        <v>64</v>
      </c>
      <c r="E1117" s="6" t="s">
        <v>2378</v>
      </c>
      <c r="F1117" s="9"/>
    </row>
    <row r="1118" ht="33.75" customHeight="1">
      <c r="A1118" s="7">
        <v>39.0</v>
      </c>
      <c r="B1118" s="9" t="s">
        <v>2367</v>
      </c>
      <c r="C1118" s="9" t="s">
        <v>2368</v>
      </c>
      <c r="D1118" s="9" t="s">
        <v>67</v>
      </c>
      <c r="E1118" s="6" t="s">
        <v>2380</v>
      </c>
      <c r="F1118" s="9"/>
    </row>
    <row r="1119" ht="33.75" customHeight="1">
      <c r="A1119" s="7">
        <v>39.0</v>
      </c>
      <c r="B1119" s="9" t="s">
        <v>2367</v>
      </c>
      <c r="C1119" s="9" t="s">
        <v>2368</v>
      </c>
      <c r="D1119" s="9" t="s">
        <v>71</v>
      </c>
      <c r="E1119" s="6" t="s">
        <v>2382</v>
      </c>
      <c r="F1119" s="9"/>
    </row>
    <row r="1120" ht="33.75" customHeight="1">
      <c r="A1120" s="7">
        <v>39.0</v>
      </c>
      <c r="B1120" s="9" t="s">
        <v>2367</v>
      </c>
      <c r="C1120" s="9" t="s">
        <v>2368</v>
      </c>
      <c r="D1120" s="9" t="s">
        <v>73</v>
      </c>
      <c r="E1120" s="6" t="s">
        <v>2384</v>
      </c>
      <c r="F1120" s="9"/>
    </row>
    <row r="1121" ht="33.75" customHeight="1">
      <c r="A1121" s="7">
        <v>39.0</v>
      </c>
      <c r="B1121" s="9" t="s">
        <v>2367</v>
      </c>
      <c r="C1121" s="9" t="s">
        <v>2368</v>
      </c>
      <c r="D1121" s="9" t="s">
        <v>75</v>
      </c>
      <c r="E1121" s="6" t="s">
        <v>2387</v>
      </c>
      <c r="F1121" s="9"/>
    </row>
    <row r="1122" ht="33.75" customHeight="1">
      <c r="A1122" s="7">
        <v>39.0</v>
      </c>
      <c r="B1122" s="9" t="s">
        <v>2367</v>
      </c>
      <c r="C1122" s="9" t="s">
        <v>2368</v>
      </c>
      <c r="D1122" s="9" t="s">
        <v>79</v>
      </c>
      <c r="E1122" s="6" t="s">
        <v>2389</v>
      </c>
      <c r="F1122" s="9"/>
    </row>
    <row r="1123" ht="33.75" customHeight="1">
      <c r="A1123" s="7">
        <v>39.0</v>
      </c>
      <c r="B1123" s="9" t="s">
        <v>2367</v>
      </c>
      <c r="C1123" s="9" t="s">
        <v>2368</v>
      </c>
      <c r="D1123" s="9" t="s">
        <v>81</v>
      </c>
      <c r="E1123" s="6" t="s">
        <v>2392</v>
      </c>
      <c r="F1123" s="9"/>
    </row>
    <row r="1124" ht="33.75" customHeight="1">
      <c r="A1124" s="7">
        <v>39.0</v>
      </c>
      <c r="B1124" s="9" t="s">
        <v>2367</v>
      </c>
      <c r="C1124" s="9" t="s">
        <v>2368</v>
      </c>
      <c r="D1124" s="9" t="s">
        <v>84</v>
      </c>
      <c r="E1124" s="6" t="s">
        <v>2392</v>
      </c>
      <c r="F1124" s="9"/>
    </row>
    <row r="1125" ht="33.75" customHeight="1">
      <c r="A1125" s="7">
        <v>39.0</v>
      </c>
      <c r="B1125" s="9" t="s">
        <v>2367</v>
      </c>
      <c r="C1125" s="9" t="s">
        <v>2368</v>
      </c>
      <c r="D1125" s="9" t="s">
        <v>87</v>
      </c>
      <c r="E1125" s="6" t="s">
        <v>2392</v>
      </c>
      <c r="F1125" s="9"/>
    </row>
    <row r="1126" ht="33.75" customHeight="1">
      <c r="A1126" s="7">
        <v>39.0</v>
      </c>
      <c r="B1126" s="9" t="s">
        <v>2367</v>
      </c>
      <c r="C1126" s="9" t="s">
        <v>2368</v>
      </c>
      <c r="D1126" s="9" t="s">
        <v>89</v>
      </c>
      <c r="E1126" s="6" t="s">
        <v>2395</v>
      </c>
      <c r="F1126" s="9"/>
    </row>
    <row r="1127" ht="33.75" customHeight="1">
      <c r="A1127" s="7">
        <v>39.0</v>
      </c>
      <c r="B1127" s="9" t="s">
        <v>2367</v>
      </c>
      <c r="C1127" s="9" t="s">
        <v>2368</v>
      </c>
      <c r="D1127" s="9" t="s">
        <v>91</v>
      </c>
      <c r="E1127" s="6" t="s">
        <v>2376</v>
      </c>
      <c r="F1127" s="9"/>
    </row>
    <row r="1128" ht="33.75" customHeight="1">
      <c r="A1128" s="7">
        <v>39.0</v>
      </c>
      <c r="B1128" s="9" t="s">
        <v>2367</v>
      </c>
      <c r="C1128" s="9" t="s">
        <v>2368</v>
      </c>
      <c r="D1128" s="9" t="s">
        <v>93</v>
      </c>
      <c r="E1128" s="6" t="s">
        <v>2392</v>
      </c>
      <c r="F1128" s="9"/>
    </row>
    <row r="1129" ht="33.75" customHeight="1">
      <c r="A1129" s="7">
        <v>39.0</v>
      </c>
      <c r="B1129" s="9" t="s">
        <v>2367</v>
      </c>
      <c r="C1129" s="9" t="s">
        <v>2368</v>
      </c>
      <c r="D1129" s="9" t="s">
        <v>95</v>
      </c>
      <c r="E1129" s="6" t="s">
        <v>2392</v>
      </c>
      <c r="F1129" s="9"/>
    </row>
    <row r="1130" ht="33.75" customHeight="1">
      <c r="A1130" s="7">
        <v>39.0</v>
      </c>
      <c r="B1130" s="9" t="s">
        <v>2367</v>
      </c>
      <c r="C1130" s="9" t="s">
        <v>2368</v>
      </c>
      <c r="D1130" s="9" t="s">
        <v>98</v>
      </c>
      <c r="E1130" s="6" t="s">
        <v>2400</v>
      </c>
      <c r="F1130" s="9"/>
    </row>
    <row r="1131" ht="33.75" customHeight="1">
      <c r="A1131" s="7">
        <v>39.0</v>
      </c>
      <c r="B1131" s="9" t="s">
        <v>2367</v>
      </c>
      <c r="C1131" s="9" t="s">
        <v>2368</v>
      </c>
      <c r="D1131" s="9" t="s">
        <v>99</v>
      </c>
      <c r="E1131" s="6" t="s">
        <v>2400</v>
      </c>
      <c r="F1131" s="9"/>
    </row>
    <row r="1132" ht="33.75" customHeight="1">
      <c r="A1132" s="7">
        <v>39.0</v>
      </c>
      <c r="B1132" s="9" t="s">
        <v>2367</v>
      </c>
      <c r="C1132" s="9" t="s">
        <v>2368</v>
      </c>
      <c r="D1132" s="9" t="s">
        <v>101</v>
      </c>
      <c r="E1132" s="6" t="s">
        <v>2387</v>
      </c>
      <c r="F1132" s="9"/>
    </row>
    <row r="1133" ht="33.75" customHeight="1">
      <c r="A1133" s="7">
        <v>39.0</v>
      </c>
      <c r="B1133" s="9" t="s">
        <v>2367</v>
      </c>
      <c r="C1133" s="9" t="s">
        <v>2368</v>
      </c>
      <c r="D1133" s="9" t="s">
        <v>105</v>
      </c>
      <c r="E1133" s="6" t="s">
        <v>2395</v>
      </c>
      <c r="F1133" s="9"/>
    </row>
    <row r="1134" ht="33.75" customHeight="1">
      <c r="A1134" s="7">
        <v>39.0</v>
      </c>
      <c r="B1134" s="9" t="s">
        <v>2367</v>
      </c>
      <c r="C1134" s="9" t="s">
        <v>2368</v>
      </c>
      <c r="D1134" s="9" t="s">
        <v>107</v>
      </c>
      <c r="E1134" s="6" t="s">
        <v>2403</v>
      </c>
      <c r="F1134" s="9"/>
    </row>
    <row r="1135" ht="33.75" customHeight="1">
      <c r="A1135" s="7">
        <v>39.0</v>
      </c>
      <c r="B1135" s="9" t="s">
        <v>2367</v>
      </c>
      <c r="C1135" s="9" t="s">
        <v>2368</v>
      </c>
      <c r="D1135" s="9" t="s">
        <v>109</v>
      </c>
      <c r="E1135" s="6" t="s">
        <v>2404</v>
      </c>
      <c r="F1135" s="9"/>
    </row>
    <row r="1136" ht="33.75" customHeight="1">
      <c r="A1136" s="7">
        <v>39.0</v>
      </c>
      <c r="B1136" s="9" t="s">
        <v>2367</v>
      </c>
      <c r="C1136" s="9" t="s">
        <v>2368</v>
      </c>
      <c r="D1136" s="9" t="s">
        <v>637</v>
      </c>
      <c r="E1136" s="6" t="s">
        <v>2407</v>
      </c>
      <c r="F1136" s="9"/>
    </row>
    <row r="1137" ht="33.75" customHeight="1">
      <c r="A1137" s="7">
        <v>39.0</v>
      </c>
      <c r="B1137" s="9" t="s">
        <v>2367</v>
      </c>
      <c r="C1137" s="9" t="s">
        <v>2368</v>
      </c>
      <c r="D1137" s="9" t="s">
        <v>642</v>
      </c>
      <c r="E1137" s="6" t="s">
        <v>2409</v>
      </c>
      <c r="F1137" s="9"/>
    </row>
    <row r="1138" ht="33.75" customHeight="1">
      <c r="A1138" s="7">
        <v>39.0</v>
      </c>
      <c r="B1138" s="9" t="s">
        <v>2367</v>
      </c>
      <c r="C1138" s="9" t="s">
        <v>2368</v>
      </c>
      <c r="D1138" s="9" t="s">
        <v>647</v>
      </c>
      <c r="E1138" s="6" t="s">
        <v>2410</v>
      </c>
      <c r="F1138" s="9"/>
    </row>
    <row r="1139" ht="33.75" customHeight="1">
      <c r="A1139" s="7">
        <v>39.0</v>
      </c>
      <c r="B1139" s="9" t="s">
        <v>2367</v>
      </c>
      <c r="C1139" s="9" t="s">
        <v>2368</v>
      </c>
      <c r="D1139" s="9" t="s">
        <v>652</v>
      </c>
      <c r="E1139" s="6" t="s">
        <v>2412</v>
      </c>
      <c r="F1139" s="9"/>
    </row>
    <row r="1140" ht="33.75" customHeight="1">
      <c r="A1140" s="7">
        <v>39.0</v>
      </c>
      <c r="B1140" s="9" t="s">
        <v>2367</v>
      </c>
      <c r="C1140" s="9" t="s">
        <v>2368</v>
      </c>
      <c r="D1140" s="9" t="s">
        <v>111</v>
      </c>
      <c r="E1140" s="6" t="s">
        <v>2414</v>
      </c>
      <c r="F1140" s="9"/>
    </row>
    <row r="1141" ht="33.75" customHeight="1">
      <c r="A1141" s="7">
        <v>39.0</v>
      </c>
      <c r="B1141" s="9" t="s">
        <v>2367</v>
      </c>
      <c r="C1141" s="9" t="s">
        <v>2368</v>
      </c>
      <c r="D1141" s="9" t="s">
        <v>113</v>
      </c>
      <c r="E1141" s="6" t="s">
        <v>2414</v>
      </c>
      <c r="F1141" s="9"/>
    </row>
    <row r="1142" ht="33.75" customHeight="1">
      <c r="A1142" s="7">
        <v>39.0</v>
      </c>
      <c r="B1142" s="9" t="s">
        <v>2367</v>
      </c>
      <c r="C1142" s="9" t="s">
        <v>2368</v>
      </c>
      <c r="D1142" s="9" t="s">
        <v>114</v>
      </c>
      <c r="E1142" s="6" t="s">
        <v>2417</v>
      </c>
      <c r="F1142" s="9"/>
    </row>
    <row r="1143" ht="33.75" customHeight="1">
      <c r="A1143" s="7">
        <v>39.0</v>
      </c>
      <c r="B1143" s="9" t="s">
        <v>2367</v>
      </c>
      <c r="C1143" s="9" t="s">
        <v>2368</v>
      </c>
      <c r="D1143" s="9" t="s">
        <v>117</v>
      </c>
      <c r="E1143" s="6" t="s">
        <v>2419</v>
      </c>
      <c r="F1143" s="9"/>
    </row>
    <row r="1144" ht="33.75" customHeight="1">
      <c r="A1144" s="7">
        <v>40.0</v>
      </c>
      <c r="B1144" s="9" t="s">
        <v>2421</v>
      </c>
      <c r="C1144" s="9" t="s">
        <v>2368</v>
      </c>
      <c r="D1144" s="9" t="s">
        <v>24</v>
      </c>
      <c r="E1144" s="6" t="s">
        <v>2422</v>
      </c>
      <c r="F1144" t="inlineStr" s="10">
        <is>
          <t xml:space="preserve">Runko on pehmeä ja kuminen. Vihastuttuaan se imee ilmaa ja paisuu valtavaksi. Sen runko on täynnä elastisuutta. Syvästi hengittämällä se voi jatkaa itsensä täyttämistä rajattomasti. Niiden turkki tuntuu niin hyvältä, että jos kaksi niistä köllöttelee yhdessä, ne eivät halua erota toisistaan. Sillä on erittäin hieno turkki. Varo ärsyttämästä sitä, sillä se voi paisua tasaisesti ja iskeä VARTALOASI. Sen vartaloa peittävä runsas, pörröinen turkki tuntuu niin hyvältä, että jokainen, joka sitä tuntee, ei voi lakata koskettamasta sitä. WIGGLYTUFFilla on suuret, lautasen kaltaiset silmät. Sen silmien pinnat ovat aina peittyneet ohueen kyynelkerrokseen. Jos pölyä pääsee tämän POKéMONin silmiin, se huuhtoutuu nopeasti pois. WIGGLYTUFFin keho on erittäin joustava. Hengittämällä syvään tämä POKéMON voi täyttyä loputtomasti. Täyttyään WIGGLYTUFF pomppii kevyesti kuin ilmapallo. Sen turkki on ylellisyyden äärimmäinen ominaisuus. WIGGLYTUFFin vieressä nukkuminen on yksinkertaisesti jumalaista. Sen ruumis laajenee näennäisesti loputtomasti, kun se hengittää sisään. Sen turkki on erittäin hienoa, tiheää ja joustavaa. Aivan ihanan miellyttävä turkki välittää ylellisen kuvan. Sen hieno turkki tuntuu ihanalta koskettaa. Se voi laajentaa ruumistaan ​​hengittämällä ilmaa. Varo ärsyttämästä sitä, sillä se voi paisua tasaisesti ja iskeä vartalon läiskähdyksellä. Sen hieno turkki tuntuu niin miellyttävältä, etteivät ne, jotka vahingossa koskevat siihen, voi ottaa käsiään siitä pois. Jos tämän Pokémonin silmiin pääsee pölyä, se huuhtoutuu nopeasti pois. Wigglytuffin vartalo on erittäin joustava. Täyttyessään Wigglytuff pomppii kevyesti kuin ilmapallo. Se luopuu hienosta turkistaan ​​vuodenaikojen vaihtuessa. Turkki kerätään ja kehrätään ylelliseksi langaksi. Sisäänhengittäessään se laajenee... ja laajenee... ja laajenee. Wigglytuff kilpailee siitä, kumpi pystyy täyttämään itsensä eniten. Pomppivan vartalonsa ja hienon turkkinsa ansiosta tämä Pokémon on haluttu. Sen pitäminen sylissä nukkuessa tuntuu mahtavalta. Kun se suuttuu, se hengittää sisään täydellä voimallaan ja sen ruumis paisuu vähitellen. Joskus ne voivat kasvaa 20 kertaa suuremmiksi! Sen runko on erittäin joustava. Mitä enemmän ilmaa se imee sisäänsä, sitä enemmän se täyttyy. Jos vastustajat huomaavat sen olevan huonolla tuulella, se täyttyy valtavan kokoiseksi pelotellakseen heitä. Se on ylpeä hienosta ja herkästä turkistaan. Erityisesti sen otsan kiharat ovat rakenteeltaan aivan ihanat.</t>
        </is>
      </c>
    </row>
    <row r="1145" ht="33.75" customHeight="1">
      <c r="A1145" s="7">
        <v>40.0</v>
      </c>
      <c r="B1145" s="9" t="s">
        <v>2421</v>
      </c>
      <c r="C1145" s="9" t="s">
        <v>2368</v>
      </c>
      <c r="D1145" s="9" t="s">
        <v>35</v>
      </c>
      <c r="E1145" s="6" t="s">
        <v>2422</v>
      </c>
      <c r="F1145" s="9"/>
    </row>
    <row r="1146" ht="33.75" customHeight="1">
      <c r="A1146" s="7">
        <v>40.0</v>
      </c>
      <c r="B1146" s="9" t="s">
        <v>2421</v>
      </c>
      <c r="C1146" s="9" t="s">
        <v>2368</v>
      </c>
      <c r="D1146" s="9" t="s">
        <v>42</v>
      </c>
      <c r="E1146" s="6" t="s">
        <v>2426</v>
      </c>
      <c r="F1146" s="9"/>
    </row>
    <row r="1147" ht="33.75" customHeight="1">
      <c r="A1147" s="7">
        <v>40.0</v>
      </c>
      <c r="B1147" s="9" t="s">
        <v>2421</v>
      </c>
      <c r="C1147" s="9" t="s">
        <v>2368</v>
      </c>
      <c r="D1147" s="9" t="s">
        <v>52</v>
      </c>
      <c r="E1147" s="6" t="s">
        <v>2428</v>
      </c>
      <c r="F1147" s="9"/>
    </row>
    <row r="1148" ht="33.75" customHeight="1">
      <c r="A1148" s="7">
        <v>40.0</v>
      </c>
      <c r="B1148" s="9" t="s">
        <v>2421</v>
      </c>
      <c r="C1148" s="9" t="s">
        <v>2368</v>
      </c>
      <c r="D1148" s="9" t="s">
        <v>59</v>
      </c>
      <c r="E1148" s="6" t="s">
        <v>2430</v>
      </c>
      <c r="F1148" s="9"/>
    </row>
    <row r="1149" ht="33.75" customHeight="1">
      <c r="A1149" s="7">
        <v>40.0</v>
      </c>
      <c r="B1149" s="9" t="s">
        <v>2421</v>
      </c>
      <c r="C1149" s="9" t="s">
        <v>2368</v>
      </c>
      <c r="D1149" s="9" t="s">
        <v>64</v>
      </c>
      <c r="E1149" s="6" t="s">
        <v>2432</v>
      </c>
      <c r="F1149" s="9"/>
    </row>
    <row r="1150" ht="33.75" customHeight="1">
      <c r="A1150" s="7">
        <v>40.0</v>
      </c>
      <c r="B1150" s="9" t="s">
        <v>2421</v>
      </c>
      <c r="C1150" s="9" t="s">
        <v>2368</v>
      </c>
      <c r="D1150" s="9" t="s">
        <v>67</v>
      </c>
      <c r="E1150" s="6" t="s">
        <v>2434</v>
      </c>
      <c r="F1150" s="9"/>
    </row>
    <row r="1151" ht="33.75" customHeight="1">
      <c r="A1151" s="7">
        <v>40.0</v>
      </c>
      <c r="B1151" s="9" t="s">
        <v>2421</v>
      </c>
      <c r="C1151" s="9" t="s">
        <v>2368</v>
      </c>
      <c r="D1151" s="9" t="s">
        <v>71</v>
      </c>
      <c r="E1151" s="6" t="s">
        <v>2436</v>
      </c>
      <c r="F1151" s="9"/>
    </row>
    <row r="1152" ht="33.75" customHeight="1">
      <c r="A1152" s="7">
        <v>40.0</v>
      </c>
      <c r="B1152" s="9" t="s">
        <v>2421</v>
      </c>
      <c r="C1152" s="9" t="s">
        <v>2368</v>
      </c>
      <c r="D1152" s="9" t="s">
        <v>73</v>
      </c>
      <c r="E1152" s="6" t="s">
        <v>2439</v>
      </c>
      <c r="F1152" s="9"/>
    </row>
    <row r="1153" ht="33.75" customHeight="1">
      <c r="A1153" s="7">
        <v>40.0</v>
      </c>
      <c r="B1153" s="9" t="s">
        <v>2421</v>
      </c>
      <c r="C1153" s="9" t="s">
        <v>2368</v>
      </c>
      <c r="D1153" s="9" t="s">
        <v>75</v>
      </c>
      <c r="E1153" s="6" t="s">
        <v>2441</v>
      </c>
      <c r="F1153" s="9"/>
    </row>
    <row r="1154" ht="33.75" customHeight="1">
      <c r="A1154" s="7">
        <v>40.0</v>
      </c>
      <c r="B1154" s="9" t="s">
        <v>2421</v>
      </c>
      <c r="C1154" s="9" t="s">
        <v>2368</v>
      </c>
      <c r="D1154" s="9" t="s">
        <v>79</v>
      </c>
      <c r="E1154" s="6" t="s">
        <v>2422</v>
      </c>
      <c r="F1154" s="9"/>
    </row>
    <row r="1155" ht="33.75" customHeight="1">
      <c r="A1155" s="7">
        <v>40.0</v>
      </c>
      <c r="B1155" s="9" t="s">
        <v>2421</v>
      </c>
      <c r="C1155" s="9" t="s">
        <v>2368</v>
      </c>
      <c r="D1155" s="9" t="s">
        <v>81</v>
      </c>
      <c r="E1155" s="6" t="s">
        <v>2447</v>
      </c>
      <c r="F1155" s="9"/>
    </row>
    <row r="1156" ht="33.75" customHeight="1">
      <c r="A1156" s="7">
        <v>40.0</v>
      </c>
      <c r="B1156" s="9" t="s">
        <v>2421</v>
      </c>
      <c r="C1156" s="9" t="s">
        <v>2368</v>
      </c>
      <c r="D1156" s="9" t="s">
        <v>84</v>
      </c>
      <c r="E1156" s="6" t="s">
        <v>2447</v>
      </c>
      <c r="F1156" s="9"/>
    </row>
    <row r="1157" ht="33.75" customHeight="1">
      <c r="A1157" s="7">
        <v>40.0</v>
      </c>
      <c r="B1157" s="9" t="s">
        <v>2421</v>
      </c>
      <c r="C1157" s="9" t="s">
        <v>2368</v>
      </c>
      <c r="D1157" s="9" t="s">
        <v>87</v>
      </c>
      <c r="E1157" s="6" t="s">
        <v>2447</v>
      </c>
      <c r="F1157" s="9"/>
    </row>
    <row r="1158" ht="33.75" customHeight="1">
      <c r="A1158" s="7">
        <v>40.0</v>
      </c>
      <c r="B1158" s="9" t="s">
        <v>2421</v>
      </c>
      <c r="C1158" s="9" t="s">
        <v>2368</v>
      </c>
      <c r="D1158" s="9" t="s">
        <v>89</v>
      </c>
      <c r="E1158" s="6" t="s">
        <v>2428</v>
      </c>
      <c r="F1158" s="9"/>
    </row>
    <row r="1159" ht="33.75" customHeight="1">
      <c r="A1159" s="7">
        <v>40.0</v>
      </c>
      <c r="B1159" s="9" t="s">
        <v>2421</v>
      </c>
      <c r="C1159" s="9" t="s">
        <v>2368</v>
      </c>
      <c r="D1159" s="9" t="s">
        <v>91</v>
      </c>
      <c r="E1159" s="6" t="s">
        <v>2452</v>
      </c>
      <c r="F1159" s="9"/>
    </row>
    <row r="1160" ht="33.75" customHeight="1">
      <c r="A1160" s="7">
        <v>40.0</v>
      </c>
      <c r="B1160" s="9" t="s">
        <v>2421</v>
      </c>
      <c r="C1160" s="9" t="s">
        <v>2368</v>
      </c>
      <c r="D1160" s="9" t="s">
        <v>93</v>
      </c>
      <c r="E1160" s="6" t="s">
        <v>2447</v>
      </c>
      <c r="F1160" s="9"/>
    </row>
    <row r="1161" ht="33.75" customHeight="1">
      <c r="A1161" s="7">
        <v>40.0</v>
      </c>
      <c r="B1161" s="9" t="s">
        <v>2421</v>
      </c>
      <c r="C1161" s="9" t="s">
        <v>2368</v>
      </c>
      <c r="D1161" s="9" t="s">
        <v>95</v>
      </c>
      <c r="E1161" s="6" t="s">
        <v>2447</v>
      </c>
      <c r="F1161" s="9"/>
    </row>
    <row r="1162" ht="33.75" customHeight="1">
      <c r="A1162" s="7">
        <v>40.0</v>
      </c>
      <c r="B1162" s="9" t="s">
        <v>2421</v>
      </c>
      <c r="C1162" s="9" t="s">
        <v>2368</v>
      </c>
      <c r="D1162" s="9" t="s">
        <v>98</v>
      </c>
      <c r="E1162" s="6" t="s">
        <v>2457</v>
      </c>
      <c r="F1162" s="9"/>
    </row>
    <row r="1163" ht="33.75" customHeight="1">
      <c r="A1163" s="7">
        <v>40.0</v>
      </c>
      <c r="B1163" s="9" t="s">
        <v>2421</v>
      </c>
      <c r="C1163" s="9" t="s">
        <v>2368</v>
      </c>
      <c r="D1163" s="9" t="s">
        <v>99</v>
      </c>
      <c r="E1163" s="6" t="s">
        <v>2457</v>
      </c>
      <c r="F1163" s="9"/>
    </row>
    <row r="1164" ht="33.75" customHeight="1">
      <c r="A1164" s="7">
        <v>40.0</v>
      </c>
      <c r="B1164" s="9" t="s">
        <v>2421</v>
      </c>
      <c r="C1164" s="9" t="s">
        <v>2368</v>
      </c>
      <c r="D1164" s="9" t="s">
        <v>101</v>
      </c>
      <c r="E1164" s="6" t="s">
        <v>2428</v>
      </c>
      <c r="F1164" s="9"/>
    </row>
    <row r="1165" ht="33.75" customHeight="1">
      <c r="A1165" s="7">
        <v>40.0</v>
      </c>
      <c r="B1165" s="9" t="s">
        <v>2421</v>
      </c>
      <c r="C1165" s="9" t="s">
        <v>2368</v>
      </c>
      <c r="D1165" s="9" t="s">
        <v>105</v>
      </c>
      <c r="E1165" s="6" t="s">
        <v>2422</v>
      </c>
      <c r="F1165" s="9"/>
    </row>
    <row r="1166" ht="33.75" customHeight="1">
      <c r="A1166" s="7">
        <v>40.0</v>
      </c>
      <c r="B1166" s="9" t="s">
        <v>2421</v>
      </c>
      <c r="C1166" s="9" t="s">
        <v>2368</v>
      </c>
      <c r="D1166" s="9" t="s">
        <v>107</v>
      </c>
      <c r="E1166" s="6" t="s">
        <v>2461</v>
      </c>
      <c r="F1166" s="9"/>
    </row>
    <row r="1167" ht="33.75" customHeight="1">
      <c r="A1167" s="7">
        <v>40.0</v>
      </c>
      <c r="B1167" s="9" t="s">
        <v>2421</v>
      </c>
      <c r="C1167" s="9" t="s">
        <v>2368</v>
      </c>
      <c r="D1167" s="9" t="s">
        <v>109</v>
      </c>
      <c r="E1167" s="6" t="s">
        <v>2464</v>
      </c>
      <c r="F1167" s="9"/>
    </row>
    <row r="1168" ht="33.75" customHeight="1">
      <c r="A1168" s="7">
        <v>40.0</v>
      </c>
      <c r="B1168" s="9" t="s">
        <v>2421</v>
      </c>
      <c r="C1168" s="9" t="s">
        <v>2368</v>
      </c>
      <c r="D1168" s="9" t="s">
        <v>637</v>
      </c>
      <c r="E1168" s="6" t="s">
        <v>2467</v>
      </c>
      <c r="F1168" s="9"/>
    </row>
    <row r="1169" ht="33.75" customHeight="1">
      <c r="A1169" s="7">
        <v>40.0</v>
      </c>
      <c r="B1169" s="9" t="s">
        <v>2421</v>
      </c>
      <c r="C1169" s="9" t="s">
        <v>2368</v>
      </c>
      <c r="D1169" s="9" t="s">
        <v>642</v>
      </c>
      <c r="E1169" s="6" t="s">
        <v>2469</v>
      </c>
      <c r="F1169" s="9"/>
    </row>
    <row r="1170" ht="33.75" customHeight="1">
      <c r="A1170" s="7">
        <v>40.0</v>
      </c>
      <c r="B1170" s="9" t="s">
        <v>2421</v>
      </c>
      <c r="C1170" s="9" t="s">
        <v>2368</v>
      </c>
      <c r="D1170" s="9" t="s">
        <v>647</v>
      </c>
      <c r="E1170" s="6" t="s">
        <v>2471</v>
      </c>
      <c r="F1170" s="9"/>
    </row>
    <row r="1171" ht="33.75" customHeight="1">
      <c r="A1171" s="7">
        <v>40.0</v>
      </c>
      <c r="B1171" s="9" t="s">
        <v>2421</v>
      </c>
      <c r="C1171" s="9" t="s">
        <v>2368</v>
      </c>
      <c r="D1171" s="9" t="s">
        <v>652</v>
      </c>
      <c r="E1171" s="6" t="s">
        <v>2474</v>
      </c>
      <c r="F1171" s="9"/>
    </row>
    <row r="1172" ht="33.75" customHeight="1">
      <c r="A1172" s="7">
        <v>40.0</v>
      </c>
      <c r="B1172" s="9" t="s">
        <v>2421</v>
      </c>
      <c r="C1172" s="9" t="s">
        <v>2368</v>
      </c>
      <c r="D1172" s="9" t="s">
        <v>111</v>
      </c>
      <c r="E1172" s="6" t="s">
        <v>2478</v>
      </c>
      <c r="F1172" s="9"/>
    </row>
    <row r="1173" ht="33.75" customHeight="1">
      <c r="A1173" s="7">
        <v>40.0</v>
      </c>
      <c r="B1173" s="9" t="s">
        <v>2421</v>
      </c>
      <c r="C1173" s="9" t="s">
        <v>2368</v>
      </c>
      <c r="D1173" s="9" t="s">
        <v>113</v>
      </c>
      <c r="E1173" s="6" t="s">
        <v>2478</v>
      </c>
      <c r="F1173" s="9"/>
    </row>
    <row r="1174" ht="33.75" customHeight="1">
      <c r="A1174" s="7">
        <v>40.0</v>
      </c>
      <c r="B1174" s="9" t="s">
        <v>2421</v>
      </c>
      <c r="C1174" s="9" t="s">
        <v>2368</v>
      </c>
      <c r="D1174" s="9" t="s">
        <v>114</v>
      </c>
      <c r="E1174" s="6" t="s">
        <v>2482</v>
      </c>
      <c r="F1174" s="9"/>
    </row>
    <row r="1175" ht="33.75" customHeight="1">
      <c r="A1175" s="7">
        <v>40.0</v>
      </c>
      <c r="B1175" s="9" t="s">
        <v>2421</v>
      </c>
      <c r="C1175" s="9" t="s">
        <v>2368</v>
      </c>
      <c r="D1175" s="9" t="s">
        <v>117</v>
      </c>
      <c r="E1175" s="6" t="s">
        <v>2485</v>
      </c>
      <c r="F1175" s="9"/>
    </row>
    <row r="1176" ht="33.75" customHeight="1">
      <c r="A1176" s="7">
        <v>41.0</v>
      </c>
      <c r="B1176" s="9" t="s">
        <v>2487</v>
      </c>
      <c r="C1176" s="9" t="s">
        <v>2488</v>
      </c>
      <c r="D1176" s="9" t="s">
        <v>24</v>
      </c>
      <c r="E1176" s="6" t="s">
        <v>2490</v>
      </c>
      <c r="F1176" t="inlineStr" s="10">
        <is>
          <t xml:space="preserve">Muodostaa yhdyskuntia aina pimeissä paikoissa. Käyttää ultraääniaaltoja kohteiden tunnistamiseen ja lähestymiseen. Lähettää ultraäänihuutoja lentäessään. Ne toimivat kaikuluotaimena, jota käytetään tarkistamaan tiellään olevia esineitä. Lentäessään se lähettää jatkuvasti ultraääniaaltoja suustaan ​​tarkistaakseen ympäristönsä. Se pystyy lentämään turvallisesti pimeissä paikoissa ja lähettää ultraäänihuutoja mahdollisten esteiden varalta. Päivän aikana se kerääntyy muiden joukkoon ja roikkuu vanhojen rakennusten ja luolien katoista. ZUBAT pysyy hiljaa liikkumattomana pimeässä paikassa kirkkaina päivänvalossa, koska pitkäaikainen altistuminen auringolle aiheuttaa sen keholle lieviä palovammoja. ZUBAT välttelee auringonvaloa, koska altistuminen tekee siitä epäterveellisen. Päivisin se oleskelee luolissa tai vanhojen talojen räystäiden alla ja nukkuu roikkuen ylösalaisin. Asuessaan pikimustissa luolissa heidän silmänsä vähitellen sulkeutuivat ja veivät heiltä näön. He käyttävät ultraääniaaltoja esteiden havaitsemiseen. Sillä ei ole silmiä. Sen sijaan se luottaa ultraäänihuutoihinsa kaikujen paikantamiseksi leijaillakseen pimeydessä. Se muodostaa pesäkkeitä aina pimeisiin paikkoihin ja käyttää ultraääniaaltoja kohteiden tunnistamiseen ja lähestymiseen. Vaikka sillä ei ole silmiä, se voi aistia esteitä suustaan ​​​​säteilevien ultraääniaaltojen avulla. Koska se ei pidä auringonvalosta, se nukkuu syvällä metsissä ja luolissa auringonlaskuun asti. Se tarkistaa ympäristönsä ja sijaintinsa suustaan ​​​​heijastuvien ultraääniaaltojen avulla. Se ei tarvitse silmiä, koska se lähettää ultraääniaaltoja ympäristönsä tarkkailuun lennon aikana. Sen sijaan se luottaa ultraäänihuutoihinsa kaikujen havaitsemiseksi leijaillakseen pimeydessä. Zubat pysyy hiljaa liikkumatta pimeässä paikassa kirkkaina päivänvalossa, koska pitkäaikainen altistuminen auringolle aiheuttaa sen keholle lieviä palovammoja. Zubat välttää auringonvaloa, koska altistuminen tekee siitä epäterveellisen. Päivisin se oleskelee luolissa tai vanhojen talojen räystäiden alla nukkuen roikkuen ylösalaisin. Se nukkuu luolissa päivisin. Sillä ei ole silmiä, joten ympäristönsä tarkkailuun lennon aikana se lähettää ultraääniaaltoja. Auringonvalolle altistuessaan ne saavat palovammoja. Niiden ultraääniaaltojen taajuus voi vaihdella hieman yhdyskunnasta toiseen. Sillä ei ole silmämunia, joten se ei näe. Se tarkkailee ympäristöään suustaan ​​​​lähettyvien ultraääniaaltojen avulla. Niiden iho on niin ohut, että ne palavat, jos auringonvalo osuu niihin. Kun ulkona kylmenee, ne kerääntyvät yhteen lämmittämään toistensa kehoja. Se lähettää suustaan ​​ultraääniaaltoja ympäristönsä tarkkailuun. Zubat lentää taitavasti jopa ahtaissa luolissa. Zubatit asuvat luolissa, joihin auringonvalo ei ulotu. Aamulla ne kokoontuvat yhteen pitääkseen toisensa lämpiminä nukkuessaan. Se asuu synkissä luolissa. Surkastuneet silmät ovat tehneet tästä Pokémonista sokean, joten se skannaa ympäristöään ääniaaltojen avulla, joita se lähettää suustaan ​​lentäessään.</t>
        </is>
      </c>
    </row>
    <row r="1177" ht="33.75" customHeight="1">
      <c r="A1177" s="7">
        <v>41.0</v>
      </c>
      <c r="B1177" s="9" t="s">
        <v>2487</v>
      </c>
      <c r="C1177" s="9" t="s">
        <v>2488</v>
      </c>
      <c r="D1177" s="9" t="s">
        <v>35</v>
      </c>
      <c r="E1177" s="6" t="s">
        <v>2490</v>
      </c>
      <c r="F1177" s="9"/>
    </row>
    <row r="1178" ht="33.75" customHeight="1">
      <c r="A1178" s="7">
        <v>41.0</v>
      </c>
      <c r="B1178" s="9" t="s">
        <v>2487</v>
      </c>
      <c r="C1178" s="9" t="s">
        <v>2488</v>
      </c>
      <c r="D1178" s="9" t="s">
        <v>42</v>
      </c>
      <c r="E1178" s="6" t="s">
        <v>2492</v>
      </c>
      <c r="F1178" s="9"/>
    </row>
    <row r="1179" ht="33.75" customHeight="1">
      <c r="A1179" s="7">
        <v>41.0</v>
      </c>
      <c r="B1179" s="9" t="s">
        <v>2487</v>
      </c>
      <c r="C1179" s="9" t="s">
        <v>2488</v>
      </c>
      <c r="D1179" s="9" t="s">
        <v>52</v>
      </c>
      <c r="E1179" s="6" t="s">
        <v>2495</v>
      </c>
      <c r="F1179" s="9"/>
    </row>
    <row r="1180" ht="33.75" customHeight="1">
      <c r="A1180" s="7">
        <v>41.0</v>
      </c>
      <c r="B1180" s="9" t="s">
        <v>2487</v>
      </c>
      <c r="C1180" s="9" t="s">
        <v>2488</v>
      </c>
      <c r="D1180" s="9" t="s">
        <v>59</v>
      </c>
      <c r="E1180" s="6" t="s">
        <v>2498</v>
      </c>
      <c r="F1180" s="9"/>
    </row>
    <row r="1181" ht="33.75" customHeight="1">
      <c r="A1181" s="7">
        <v>41.0</v>
      </c>
      <c r="B1181" s="9" t="s">
        <v>2487</v>
      </c>
      <c r="C1181" s="9" t="s">
        <v>2488</v>
      </c>
      <c r="D1181" s="9" t="s">
        <v>64</v>
      </c>
      <c r="E1181" s="6" t="s">
        <v>2499</v>
      </c>
      <c r="F1181" s="9"/>
    </row>
    <row r="1182" ht="33.75" customHeight="1">
      <c r="A1182" s="7">
        <v>41.0</v>
      </c>
      <c r="B1182" s="9" t="s">
        <v>2487</v>
      </c>
      <c r="C1182" s="9" t="s">
        <v>2488</v>
      </c>
      <c r="D1182" s="9" t="s">
        <v>67</v>
      </c>
      <c r="E1182" s="6" t="s">
        <v>2501</v>
      </c>
      <c r="F1182" s="9"/>
    </row>
    <row r="1183" ht="33.75" customHeight="1">
      <c r="A1183" s="7">
        <v>41.0</v>
      </c>
      <c r="B1183" s="9" t="s">
        <v>2487</v>
      </c>
      <c r="C1183" s="9" t="s">
        <v>2488</v>
      </c>
      <c r="D1183" s="9" t="s">
        <v>71</v>
      </c>
      <c r="E1183" s="6" t="s">
        <v>2503</v>
      </c>
      <c r="F1183" s="9"/>
    </row>
    <row r="1184" ht="33.75" customHeight="1">
      <c r="A1184" s="7">
        <v>41.0</v>
      </c>
      <c r="B1184" s="9" t="s">
        <v>2487</v>
      </c>
      <c r="C1184" s="9" t="s">
        <v>2488</v>
      </c>
      <c r="D1184" s="9" t="s">
        <v>73</v>
      </c>
      <c r="E1184" s="6" t="s">
        <v>2505</v>
      </c>
      <c r="F1184" s="9"/>
    </row>
    <row r="1185" ht="33.75" customHeight="1">
      <c r="A1185" s="7">
        <v>41.0</v>
      </c>
      <c r="B1185" s="9" t="s">
        <v>2487</v>
      </c>
      <c r="C1185" s="9" t="s">
        <v>2488</v>
      </c>
      <c r="D1185" s="9" t="s">
        <v>75</v>
      </c>
      <c r="E1185" s="6" t="s">
        <v>2507</v>
      </c>
      <c r="F1185" s="9"/>
    </row>
    <row r="1186" ht="33.75" customHeight="1">
      <c r="A1186" s="7">
        <v>41.0</v>
      </c>
      <c r="B1186" s="9" t="s">
        <v>2487</v>
      </c>
      <c r="C1186" s="9" t="s">
        <v>2488</v>
      </c>
      <c r="D1186" s="9" t="s">
        <v>79</v>
      </c>
      <c r="E1186" s="6" t="s">
        <v>2509</v>
      </c>
      <c r="F1186" s="9"/>
    </row>
    <row r="1187" ht="33.75" customHeight="1">
      <c r="A1187" s="7">
        <v>41.0</v>
      </c>
      <c r="B1187" s="9" t="s">
        <v>2487</v>
      </c>
      <c r="C1187" s="9" t="s">
        <v>2488</v>
      </c>
      <c r="D1187" s="9" t="s">
        <v>81</v>
      </c>
      <c r="E1187" s="6" t="s">
        <v>2511</v>
      </c>
      <c r="F1187" s="9"/>
    </row>
    <row r="1188" ht="33.75" customHeight="1">
      <c r="A1188" s="7">
        <v>41.0</v>
      </c>
      <c r="B1188" s="9" t="s">
        <v>2487</v>
      </c>
      <c r="C1188" s="9" t="s">
        <v>2488</v>
      </c>
      <c r="D1188" s="9" t="s">
        <v>84</v>
      </c>
      <c r="E1188" s="6" t="s">
        <v>2513</v>
      </c>
      <c r="F1188" s="9"/>
    </row>
    <row r="1189" ht="33.75" customHeight="1">
      <c r="A1189" s="7">
        <v>41.0</v>
      </c>
      <c r="B1189" s="9" t="s">
        <v>2487</v>
      </c>
      <c r="C1189" s="9" t="s">
        <v>2488</v>
      </c>
      <c r="D1189" s="9" t="s">
        <v>87</v>
      </c>
      <c r="E1189" s="6" t="s">
        <v>2515</v>
      </c>
      <c r="F1189" s="9"/>
    </row>
    <row r="1190" ht="33.75" customHeight="1">
      <c r="A1190" s="7">
        <v>41.0</v>
      </c>
      <c r="B1190" s="9" t="s">
        <v>2487</v>
      </c>
      <c r="C1190" s="9" t="s">
        <v>2488</v>
      </c>
      <c r="D1190" s="9" t="s">
        <v>89</v>
      </c>
      <c r="E1190" s="6" t="s">
        <v>2495</v>
      </c>
      <c r="F1190" s="9"/>
    </row>
    <row r="1191" ht="33.75" customHeight="1">
      <c r="A1191" s="7">
        <v>41.0</v>
      </c>
      <c r="B1191" s="9" t="s">
        <v>2487</v>
      </c>
      <c r="C1191" s="9" t="s">
        <v>2488</v>
      </c>
      <c r="D1191" s="9" t="s">
        <v>91</v>
      </c>
      <c r="E1191" s="6" t="s">
        <v>2498</v>
      </c>
      <c r="F1191" s="9"/>
    </row>
    <row r="1192" ht="33.75" customHeight="1">
      <c r="A1192" s="7">
        <v>41.0</v>
      </c>
      <c r="B1192" s="9" t="s">
        <v>2487</v>
      </c>
      <c r="C1192" s="9" t="s">
        <v>2488</v>
      </c>
      <c r="D1192" s="9" t="s">
        <v>93</v>
      </c>
      <c r="E1192" s="6" t="s">
        <v>2515</v>
      </c>
      <c r="F1192" s="9"/>
    </row>
    <row r="1193" ht="33.75" customHeight="1">
      <c r="A1193" s="7">
        <v>41.0</v>
      </c>
      <c r="B1193" s="9" t="s">
        <v>2487</v>
      </c>
      <c r="C1193" s="9" t="s">
        <v>2488</v>
      </c>
      <c r="D1193" s="9" t="s">
        <v>95</v>
      </c>
      <c r="E1193" s="6" t="s">
        <v>2515</v>
      </c>
      <c r="F1193" s="9"/>
    </row>
    <row r="1194" ht="33.75" customHeight="1">
      <c r="A1194" s="7">
        <v>41.0</v>
      </c>
      <c r="B1194" s="9" t="s">
        <v>2487</v>
      </c>
      <c r="C1194" s="9" t="s">
        <v>2488</v>
      </c>
      <c r="D1194" s="9" t="s">
        <v>98</v>
      </c>
      <c r="E1194" s="6" t="s">
        <v>2523</v>
      </c>
      <c r="F1194" s="9"/>
    </row>
    <row r="1195" ht="33.75" customHeight="1">
      <c r="A1195" s="7">
        <v>41.0</v>
      </c>
      <c r="B1195" s="9" t="s">
        <v>2487</v>
      </c>
      <c r="C1195" s="9" t="s">
        <v>2488</v>
      </c>
      <c r="D1195" s="9" t="s">
        <v>99</v>
      </c>
      <c r="E1195" s="6" t="s">
        <v>2523</v>
      </c>
      <c r="F1195" s="9"/>
    </row>
    <row r="1196" ht="33.75" customHeight="1">
      <c r="A1196" s="7">
        <v>41.0</v>
      </c>
      <c r="B1196" s="9" t="s">
        <v>2487</v>
      </c>
      <c r="C1196" s="9" t="s">
        <v>2488</v>
      </c>
      <c r="D1196" s="9" t="s">
        <v>101</v>
      </c>
      <c r="E1196" s="6" t="s">
        <v>2511</v>
      </c>
      <c r="F1196" s="9"/>
    </row>
    <row r="1197" ht="33.75" customHeight="1">
      <c r="A1197" s="7">
        <v>41.0</v>
      </c>
      <c r="B1197" s="9" t="s">
        <v>2487</v>
      </c>
      <c r="C1197" s="9" t="s">
        <v>2488</v>
      </c>
      <c r="D1197" s="9" t="s">
        <v>105</v>
      </c>
      <c r="E1197" s="6" t="s">
        <v>2529</v>
      </c>
      <c r="F1197" s="9"/>
    </row>
    <row r="1198" ht="33.75" customHeight="1">
      <c r="A1198" s="7">
        <v>41.0</v>
      </c>
      <c r="B1198" s="9" t="s">
        <v>2487</v>
      </c>
      <c r="C1198" s="9" t="s">
        <v>2488</v>
      </c>
      <c r="D1198" s="9" t="s">
        <v>107</v>
      </c>
      <c r="E1198" s="6" t="s">
        <v>2531</v>
      </c>
      <c r="F1198" s="9"/>
    </row>
    <row r="1199" ht="33.75" customHeight="1">
      <c r="A1199" s="7">
        <v>41.0</v>
      </c>
      <c r="B1199" s="9" t="s">
        <v>2487</v>
      </c>
      <c r="C1199" s="9" t="s">
        <v>2488</v>
      </c>
      <c r="D1199" s="9" t="s">
        <v>109</v>
      </c>
      <c r="E1199" s="6" t="s">
        <v>2533</v>
      </c>
      <c r="F1199" s="9"/>
    </row>
    <row r="1200" ht="33.75" customHeight="1">
      <c r="A1200" s="7">
        <v>41.0</v>
      </c>
      <c r="B1200" s="9" t="s">
        <v>2487</v>
      </c>
      <c r="C1200" s="9" t="s">
        <v>2488</v>
      </c>
      <c r="D1200" s="9" t="s">
        <v>637</v>
      </c>
      <c r="E1200" s="6" t="s">
        <v>2535</v>
      </c>
      <c r="F1200" s="9"/>
    </row>
    <row r="1201" ht="33.75" customHeight="1">
      <c r="A1201" s="7">
        <v>41.0</v>
      </c>
      <c r="B1201" s="9" t="s">
        <v>2487</v>
      </c>
      <c r="C1201" s="9" t="s">
        <v>2488</v>
      </c>
      <c r="D1201" s="9" t="s">
        <v>642</v>
      </c>
      <c r="E1201" s="6" t="s">
        <v>2538</v>
      </c>
      <c r="F1201" s="9"/>
    </row>
    <row r="1202" ht="33.75" customHeight="1">
      <c r="A1202" s="7">
        <v>41.0</v>
      </c>
      <c r="B1202" s="9" t="s">
        <v>2487</v>
      </c>
      <c r="C1202" s="9" t="s">
        <v>2488</v>
      </c>
      <c r="D1202" s="9" t="s">
        <v>647</v>
      </c>
      <c r="E1202" s="6" t="s">
        <v>2540</v>
      </c>
      <c r="F1202" s="9"/>
    </row>
    <row r="1203" ht="33.75" customHeight="1">
      <c r="A1203" s="7">
        <v>41.0</v>
      </c>
      <c r="B1203" s="9" t="s">
        <v>2487</v>
      </c>
      <c r="C1203" s="9" t="s">
        <v>2488</v>
      </c>
      <c r="D1203" s="9" t="s">
        <v>652</v>
      </c>
      <c r="E1203" s="6" t="s">
        <v>2543</v>
      </c>
      <c r="F1203" s="9"/>
    </row>
    <row r="1204" ht="33.75" customHeight="1">
      <c r="A1204" s="7">
        <v>41.0</v>
      </c>
      <c r="B1204" s="9" t="s">
        <v>2487</v>
      </c>
      <c r="C1204" s="9" t="s">
        <v>2488</v>
      </c>
      <c r="D1204" s="9" t="s">
        <v>111</v>
      </c>
      <c r="E1204" s="6" t="s">
        <v>2492</v>
      </c>
      <c r="F1204" s="9"/>
    </row>
    <row r="1205" ht="33.75" customHeight="1">
      <c r="A1205" s="7">
        <v>41.0</v>
      </c>
      <c r="B1205" s="9" t="s">
        <v>2487</v>
      </c>
      <c r="C1205" s="9" t="s">
        <v>2488</v>
      </c>
      <c r="D1205" s="9" t="s">
        <v>113</v>
      </c>
      <c r="E1205" s="6" t="s">
        <v>2492</v>
      </c>
      <c r="F1205" s="9"/>
    </row>
    <row r="1206" ht="33.75" customHeight="1">
      <c r="A1206" s="7">
        <v>41.0</v>
      </c>
      <c r="B1206" s="9" t="s">
        <v>2487</v>
      </c>
      <c r="C1206" s="9" t="s">
        <v>2488</v>
      </c>
      <c r="D1206" s="9" t="s">
        <v>114</v>
      </c>
      <c r="E1206" s="6" t="s">
        <v>2547</v>
      </c>
      <c r="F1206" s="9"/>
    </row>
    <row r="1207" ht="33.75" customHeight="1">
      <c r="A1207" s="7">
        <v>41.0</v>
      </c>
      <c r="B1207" s="9" t="s">
        <v>2487</v>
      </c>
      <c r="C1207" s="9" t="s">
        <v>2488</v>
      </c>
      <c r="D1207" s="9" t="s">
        <v>117</v>
      </c>
      <c r="E1207" s="6" t="s">
        <v>2549</v>
      </c>
      <c r="F1207" s="9"/>
    </row>
    <row r="1208" ht="33.75" customHeight="1">
      <c r="A1208" s="7">
        <v>41.0</v>
      </c>
      <c r="B1208" s="9" t="s">
        <v>2487</v>
      </c>
      <c r="C1208" s="9" t="s">
        <v>2488</v>
      </c>
      <c r="D1208" s="9" t="s">
        <v>1577</v>
      </c>
      <c r="E1208" s="6" t="s">
        <v>2552</v>
      </c>
      <c r="F1208" s="9"/>
    </row>
    <row r="1209" ht="33.75" customHeight="1">
      <c r="A1209" s="7">
        <v>42.0</v>
      </c>
      <c r="B1209" s="9" t="s">
        <v>2553</v>
      </c>
      <c r="C1209" s="9" t="s">
        <v>2488</v>
      </c>
      <c r="D1209" s="9" t="s">
        <v>24</v>
      </c>
      <c r="E1209" s="6" t="s">
        <v>2555</v>
      </c>
      <c r="F1209" t="inlineStr" s="10">
        <is>
          <t xml:space="preserve">Kun se iskee, se ei lakkaa kuluttamasta uhrin energiaa, vaikka siitä tulisi liian raskas lentämään. Se hyökkää salamyhkäisesti, varoittamatta. Sen teräviä kulmahampaita käytetään puremiseen ja veren imemiseen. Olipa uhrinsa nahka kuinka kova tahansa, se puhkaisee terävät kulmahampaat ja mässäilee verellä. Se voi juoda yli 30 grammaa verta kerralla. Jos sillä on liikaa verta, siitä tulee raskas ja se lentää kömpelösti. Kun se iskee saaliiseensa kulmahampaansa, se vetää ja nielee välittömästi yli kymmenen unssia verta. GOLBAT rakastaa juoda elävien olentojen verta. Se on erityisen aktiivinen yön pimeydessä. Tämä POKéMON lentää yötaivaalla etsien tuoretta verta. GOLBAT puree saalista neljällä hampaalla ja juo uhrin veren. Se aktivoituu musteisina, pimeinä, kuuttomina öinä ja lentelee ympäriinsä hyökäten ihmisten ja POKéMONien kimppuun. Sen torahampaat lävistävät helposti jopa paksun eläimen nahan. Se rakastaa herkuttella ihmisten ja POKéMONien verellä. Se lepattaa pimeydessä ja iskee takaapäin. Se puristaa saalistaan ​​neulanterävillä hampailla ja vuodattaa yli 30 grammaa verta yhdellä henkäyksellä. Kun se puree, se ei lakkaa kuluttamasta uhrilta energiaa, vaikka siitä tulisi liian raskas lentämään. Se rakastaa ihmisten ja Pokémonien verta. Se lentää öisin etsien kaulasuonia. Kun se alkaa imeä verta, se ei lopeta ennen kuin se on täynnä. Se lentää yöllä etsimässä saalista. Sen terävät kulmahampaat lävistävät kovimmatkin nahat ja niissä on pieniä reikiä, joista ne imevät ahneesti verta. Se lepattaa ympäriinsä yön keskellä, iskee kulmahampaansa saaliiseensa ja vuodattaa lähes tappavan määrän verta. Se on erityisen aktiivinen yön säkkipimeydessä. Tämä Pokémon leijuu yötaivaalla etsien tuoretta verta. Sen paksut torahampaat ovat onttoja kuin oljenkorret, mikä tekee niistä odottamattoman hauraita. Nämä torahampaat ovat erikoistuneet veren imemiseen. Joskus ne juovat niin paljon verta, etteivät ne pysty enää lentämään. Sitten ne putoavat maahan ja niistä tulee muiden Pokémonien ruokaa. Aina silloin tällöin näet Golbatin, jolta puuttuu kulmahampaita. Näin käy, kun nälkä ajaa sen yrittämään purra terästyyppistä Pokémonia. Ne voivat imeä yli 30 grammaa verta kerralla. Niiden tiedetään juovan niin paljon verta, etteivät ne enää pysty lentämään. Se rakastaa juoda muiden olentojen verta. Sanotaan, että jos se havaitsee lajitovereidensa olevan nälkäisiä, se joskus jakaa keräämäänsä verta. Sen jalat ovat pienet, mutta tämä Pokémon kävelee taitavasti. Se hiipii nukkuvan saaliinsa luo ennen kuin uppoaa hampaisiinsa ja hörppii verta. Se upottaa terävät kulmahampaansa muihin olentoihin ja hörppää niiden verta. Tarkempi tarkastelu paljastaa, että kulmahampaat ovat ontot ja muistuttavat olkia.</t>
        </is>
      </c>
    </row>
    <row r="1210" ht="33.75" customHeight="1">
      <c r="A1210" s="7">
        <v>42.0</v>
      </c>
      <c r="B1210" s="9" t="s">
        <v>2553</v>
      </c>
      <c r="C1210" s="9" t="s">
        <v>2488</v>
      </c>
      <c r="D1210" s="9" t="s">
        <v>35</v>
      </c>
      <c r="E1210" s="6" t="s">
        <v>2555</v>
      </c>
      <c r="F1210" s="9"/>
    </row>
    <row r="1211" ht="33.75" customHeight="1">
      <c r="A1211" s="7">
        <v>42.0</v>
      </c>
      <c r="B1211" s="9" t="s">
        <v>2553</v>
      </c>
      <c r="C1211" s="9" t="s">
        <v>2488</v>
      </c>
      <c r="D1211" s="9" t="s">
        <v>42</v>
      </c>
      <c r="E1211" s="6" t="s">
        <v>2558</v>
      </c>
      <c r="F1211" s="9"/>
    </row>
    <row r="1212" ht="33.75" customHeight="1">
      <c r="A1212" s="7">
        <v>42.0</v>
      </c>
      <c r="B1212" s="9" t="s">
        <v>2553</v>
      </c>
      <c r="C1212" s="9" t="s">
        <v>2488</v>
      </c>
      <c r="D1212" s="9" t="s">
        <v>52</v>
      </c>
      <c r="E1212" s="6" t="s">
        <v>2560</v>
      </c>
      <c r="F1212" s="9"/>
    </row>
    <row r="1213" ht="33.75" customHeight="1">
      <c r="A1213" s="7">
        <v>42.0</v>
      </c>
      <c r="B1213" s="9" t="s">
        <v>2553</v>
      </c>
      <c r="C1213" s="9" t="s">
        <v>2488</v>
      </c>
      <c r="D1213" s="9" t="s">
        <v>59</v>
      </c>
      <c r="E1213" s="6" t="s">
        <v>2562</v>
      </c>
      <c r="F1213" s="9"/>
    </row>
    <row r="1214" ht="33.75" customHeight="1">
      <c r="A1214" s="7">
        <v>42.0</v>
      </c>
      <c r="B1214" s="9" t="s">
        <v>2553</v>
      </c>
      <c r="C1214" s="9" t="s">
        <v>2488</v>
      </c>
      <c r="D1214" s="9" t="s">
        <v>64</v>
      </c>
      <c r="E1214" s="6" t="s">
        <v>2564</v>
      </c>
      <c r="F1214" s="9"/>
    </row>
    <row r="1215" ht="33.75" customHeight="1">
      <c r="A1215" s="7">
        <v>42.0</v>
      </c>
      <c r="B1215" s="9" t="s">
        <v>2553</v>
      </c>
      <c r="C1215" s="9" t="s">
        <v>2488</v>
      </c>
      <c r="D1215" s="9" t="s">
        <v>67</v>
      </c>
      <c r="E1215" s="6" t="s">
        <v>2566</v>
      </c>
      <c r="F1215" s="9"/>
    </row>
    <row r="1216" ht="33.75" customHeight="1">
      <c r="A1216" s="7">
        <v>42.0</v>
      </c>
      <c r="B1216" s="9" t="s">
        <v>2553</v>
      </c>
      <c r="C1216" s="9" t="s">
        <v>2488</v>
      </c>
      <c r="D1216" s="9" t="s">
        <v>71</v>
      </c>
      <c r="E1216" s="6" t="s">
        <v>2569</v>
      </c>
      <c r="F1216" s="9"/>
    </row>
    <row r="1217" ht="33.75" customHeight="1">
      <c r="A1217" s="7">
        <v>42.0</v>
      </c>
      <c r="B1217" s="9" t="s">
        <v>2553</v>
      </c>
      <c r="C1217" s="9" t="s">
        <v>2488</v>
      </c>
      <c r="D1217" s="9" t="s">
        <v>73</v>
      </c>
      <c r="E1217" s="6" t="s">
        <v>2571</v>
      </c>
      <c r="F1217" s="9"/>
    </row>
    <row r="1218" ht="33.75" customHeight="1">
      <c r="A1218" s="7">
        <v>42.0</v>
      </c>
      <c r="B1218" s="9" t="s">
        <v>2553</v>
      </c>
      <c r="C1218" s="9" t="s">
        <v>2488</v>
      </c>
      <c r="D1218" s="9" t="s">
        <v>75</v>
      </c>
      <c r="E1218" s="6" t="s">
        <v>2573</v>
      </c>
      <c r="F1218" s="9"/>
    </row>
    <row r="1219" ht="33.75" customHeight="1">
      <c r="A1219" s="7">
        <v>42.0</v>
      </c>
      <c r="B1219" s="9" t="s">
        <v>2553</v>
      </c>
      <c r="C1219" s="9" t="s">
        <v>2488</v>
      </c>
      <c r="D1219" s="9" t="s">
        <v>79</v>
      </c>
      <c r="E1219" s="6" t="s">
        <v>2574</v>
      </c>
      <c r="F1219" s="9"/>
    </row>
    <row r="1220" ht="33.75" customHeight="1">
      <c r="A1220" s="7">
        <v>42.0</v>
      </c>
      <c r="B1220" s="9" t="s">
        <v>2553</v>
      </c>
      <c r="C1220" s="9" t="s">
        <v>2488</v>
      </c>
      <c r="D1220" s="9" t="s">
        <v>81</v>
      </c>
      <c r="E1220" s="6" t="s">
        <v>2577</v>
      </c>
      <c r="F1220" s="9"/>
    </row>
    <row r="1221" ht="33.75" customHeight="1">
      <c r="A1221" s="7">
        <v>42.0</v>
      </c>
      <c r="B1221" s="9" t="s">
        <v>2553</v>
      </c>
      <c r="C1221" s="9" t="s">
        <v>2488</v>
      </c>
      <c r="D1221" s="9" t="s">
        <v>84</v>
      </c>
      <c r="E1221" s="6" t="s">
        <v>2579</v>
      </c>
      <c r="F1221" s="9"/>
    </row>
    <row r="1222" ht="33.75" customHeight="1">
      <c r="A1222" s="7">
        <v>42.0</v>
      </c>
      <c r="B1222" s="9" t="s">
        <v>2553</v>
      </c>
      <c r="C1222" s="9" t="s">
        <v>2488</v>
      </c>
      <c r="D1222" s="9" t="s">
        <v>87</v>
      </c>
      <c r="E1222" s="6" t="s">
        <v>2581</v>
      </c>
      <c r="F1222" s="9"/>
    </row>
    <row r="1223" ht="33.75" customHeight="1">
      <c r="A1223" s="7">
        <v>42.0</v>
      </c>
      <c r="B1223" s="9" t="s">
        <v>2553</v>
      </c>
      <c r="C1223" s="9" t="s">
        <v>2488</v>
      </c>
      <c r="D1223" s="9" t="s">
        <v>89</v>
      </c>
      <c r="E1223" s="6" t="s">
        <v>2560</v>
      </c>
      <c r="F1223" s="9"/>
    </row>
    <row r="1224" ht="33.75" customHeight="1">
      <c r="A1224" s="7">
        <v>42.0</v>
      </c>
      <c r="B1224" s="9" t="s">
        <v>2553</v>
      </c>
      <c r="C1224" s="9" t="s">
        <v>2488</v>
      </c>
      <c r="D1224" s="9" t="s">
        <v>91</v>
      </c>
      <c r="E1224" s="6" t="s">
        <v>2562</v>
      </c>
      <c r="F1224" s="9"/>
    </row>
    <row r="1225" ht="33.75" customHeight="1">
      <c r="A1225" s="7">
        <v>42.0</v>
      </c>
      <c r="B1225" s="9" t="s">
        <v>2553</v>
      </c>
      <c r="C1225" s="9" t="s">
        <v>2488</v>
      </c>
      <c r="D1225" s="9" t="s">
        <v>93</v>
      </c>
      <c r="E1225" s="6" t="s">
        <v>2581</v>
      </c>
      <c r="F1225" s="9"/>
    </row>
    <row r="1226" ht="33.75" customHeight="1">
      <c r="A1226" s="7">
        <v>42.0</v>
      </c>
      <c r="B1226" s="9" t="s">
        <v>2553</v>
      </c>
      <c r="C1226" s="9" t="s">
        <v>2488</v>
      </c>
      <c r="D1226" s="9" t="s">
        <v>95</v>
      </c>
      <c r="E1226" s="6" t="s">
        <v>2581</v>
      </c>
      <c r="F1226" s="9"/>
    </row>
    <row r="1227" ht="33.75" customHeight="1">
      <c r="A1227" s="7">
        <v>42.0</v>
      </c>
      <c r="B1227" s="9" t="s">
        <v>2553</v>
      </c>
      <c r="C1227" s="9" t="s">
        <v>2488</v>
      </c>
      <c r="D1227" s="9" t="s">
        <v>98</v>
      </c>
      <c r="E1227" s="6" t="s">
        <v>2589</v>
      </c>
      <c r="F1227" s="9"/>
    </row>
    <row r="1228" ht="33.75" customHeight="1">
      <c r="A1228" s="7">
        <v>42.0</v>
      </c>
      <c r="B1228" s="9" t="s">
        <v>2553</v>
      </c>
      <c r="C1228" s="9" t="s">
        <v>2488</v>
      </c>
      <c r="D1228" s="9" t="s">
        <v>99</v>
      </c>
      <c r="E1228" s="6" t="s">
        <v>2589</v>
      </c>
      <c r="F1228" s="9"/>
    </row>
    <row r="1229" ht="33.75" customHeight="1">
      <c r="A1229" s="7">
        <v>42.0</v>
      </c>
      <c r="B1229" s="9" t="s">
        <v>2553</v>
      </c>
      <c r="C1229" s="9" t="s">
        <v>2488</v>
      </c>
      <c r="D1229" s="9" t="s">
        <v>101</v>
      </c>
      <c r="E1229" s="6" t="s">
        <v>2574</v>
      </c>
      <c r="F1229" s="9"/>
    </row>
    <row r="1230" ht="33.75" customHeight="1">
      <c r="A1230" s="7">
        <v>42.0</v>
      </c>
      <c r="B1230" s="9" t="s">
        <v>2553</v>
      </c>
      <c r="C1230" s="9" t="s">
        <v>2488</v>
      </c>
      <c r="D1230" s="9" t="s">
        <v>105</v>
      </c>
      <c r="E1230" s="6" t="s">
        <v>2579</v>
      </c>
      <c r="F1230" s="9"/>
    </row>
    <row r="1231" ht="33.75" customHeight="1">
      <c r="A1231" s="7">
        <v>42.0</v>
      </c>
      <c r="B1231" s="9" t="s">
        <v>2553</v>
      </c>
      <c r="C1231" s="9" t="s">
        <v>2488</v>
      </c>
      <c r="D1231" s="9" t="s">
        <v>107</v>
      </c>
      <c r="E1231" s="6" t="s">
        <v>2595</v>
      </c>
      <c r="F1231" s="9"/>
    </row>
    <row r="1232" ht="33.75" customHeight="1">
      <c r="A1232" s="7">
        <v>42.0</v>
      </c>
      <c r="B1232" s="9" t="s">
        <v>2553</v>
      </c>
      <c r="C1232" s="9" t="s">
        <v>2488</v>
      </c>
      <c r="D1232" s="9" t="s">
        <v>109</v>
      </c>
      <c r="E1232" s="6" t="s">
        <v>2596</v>
      </c>
      <c r="F1232" s="9"/>
    </row>
    <row r="1233" ht="33.75" customHeight="1">
      <c r="A1233" s="7">
        <v>42.0</v>
      </c>
      <c r="B1233" s="9" t="s">
        <v>2553</v>
      </c>
      <c r="C1233" s="9" t="s">
        <v>2488</v>
      </c>
      <c r="D1233" s="9" t="s">
        <v>637</v>
      </c>
      <c r="E1233" s="6" t="s">
        <v>2598</v>
      </c>
      <c r="F1233" s="9"/>
    </row>
    <row r="1234" ht="33.75" customHeight="1">
      <c r="A1234" s="7">
        <v>42.0</v>
      </c>
      <c r="B1234" s="9" t="s">
        <v>2553</v>
      </c>
      <c r="C1234" s="9" t="s">
        <v>2488</v>
      </c>
      <c r="D1234" s="9" t="s">
        <v>642</v>
      </c>
      <c r="E1234" s="6" t="s">
        <v>2601</v>
      </c>
      <c r="F1234" s="9"/>
    </row>
    <row r="1235" ht="33.75" customHeight="1">
      <c r="A1235" s="7">
        <v>42.0</v>
      </c>
      <c r="B1235" s="9" t="s">
        <v>2553</v>
      </c>
      <c r="C1235" s="9" t="s">
        <v>2488</v>
      </c>
      <c r="D1235" s="9" t="s">
        <v>647</v>
      </c>
      <c r="E1235" s="6" t="s">
        <v>2605</v>
      </c>
      <c r="F1235" s="9"/>
    </row>
    <row r="1236" ht="33.75" customHeight="1">
      <c r="A1236" s="7">
        <v>42.0</v>
      </c>
      <c r="B1236" s="9" t="s">
        <v>2553</v>
      </c>
      <c r="C1236" s="9" t="s">
        <v>2488</v>
      </c>
      <c r="D1236" s="9" t="s">
        <v>652</v>
      </c>
      <c r="E1236" s="6" t="s">
        <v>2608</v>
      </c>
      <c r="F1236" s="9"/>
    </row>
    <row r="1237" ht="33.75" customHeight="1">
      <c r="A1237" s="7">
        <v>42.0</v>
      </c>
      <c r="B1237" s="9" t="s">
        <v>2553</v>
      </c>
      <c r="C1237" s="9" t="s">
        <v>2488</v>
      </c>
      <c r="D1237" s="9" t="s">
        <v>111</v>
      </c>
      <c r="E1237" s="6" t="s">
        <v>2558</v>
      </c>
      <c r="F1237" s="9"/>
    </row>
    <row r="1238" ht="33.75" customHeight="1">
      <c r="A1238" s="7">
        <v>42.0</v>
      </c>
      <c r="B1238" s="9" t="s">
        <v>2553</v>
      </c>
      <c r="C1238" s="9" t="s">
        <v>2488</v>
      </c>
      <c r="D1238" s="9" t="s">
        <v>113</v>
      </c>
      <c r="E1238" s="6" t="s">
        <v>2558</v>
      </c>
      <c r="F1238" s="9"/>
    </row>
    <row r="1239" ht="33.75" customHeight="1">
      <c r="A1239" s="7">
        <v>42.0</v>
      </c>
      <c r="B1239" s="9" t="s">
        <v>2553</v>
      </c>
      <c r="C1239" s="9" t="s">
        <v>2488</v>
      </c>
      <c r="D1239" s="9" t="s">
        <v>114</v>
      </c>
      <c r="E1239" s="6" t="s">
        <v>2611</v>
      </c>
      <c r="F1239" s="9"/>
    </row>
    <row r="1240" ht="33.75" customHeight="1">
      <c r="A1240" s="7">
        <v>42.0</v>
      </c>
      <c r="B1240" s="9" t="s">
        <v>2553</v>
      </c>
      <c r="C1240" s="9" t="s">
        <v>2488</v>
      </c>
      <c r="D1240" s="9" t="s">
        <v>117</v>
      </c>
      <c r="E1240" s="6" t="s">
        <v>2614</v>
      </c>
      <c r="F1240" s="9"/>
    </row>
    <row r="1241" ht="33.75" customHeight="1">
      <c r="A1241" s="7">
        <v>42.0</v>
      </c>
      <c r="B1241" s="9" t="s">
        <v>2553</v>
      </c>
      <c r="C1241" s="9" t="s">
        <v>2488</v>
      </c>
      <c r="D1241" s="9" t="s">
        <v>1577</v>
      </c>
      <c r="E1241" s="6" t="s">
        <v>2616</v>
      </c>
      <c r="F1241" s="9"/>
    </row>
    <row r="1242" ht="33.75" customHeight="1">
      <c r="A1242" s="7">
        <v>43.0</v>
      </c>
      <c r="B1242" s="9" t="s">
        <v>2617</v>
      </c>
      <c r="C1242" s="9" t="s">
        <v>2619</v>
      </c>
      <c r="D1242" s="9" t="s">
        <v>24</v>
      </c>
      <c r="E1242" s="6" t="s">
        <v>2620</v>
      </c>
      <c r="F1242" t="inlineStr" s="10">
        <is>
          <t xml:space="preserve">Päivällä se pitää kasvonsa hautautuneena maahan. Yöllä se vaeltelee ympäriinsä kylvämässä siemeniä. Se voidaan luulla rikkaruohokokaksi. Jos yrität nykäistä sen irti maasta, se kirkuu kamalasti. Kuunvalo herättää sen ja se vaeltaa aktiivisesti yöllä. Päivällä se pysyy hiljaa maan alla. Kuunvalossa se alkaa liikkua. Se vaeltaa yöllä laajalle levittääkseen siemeniään. Päivällä se pysyy kylmässä maan alla auringonpaisteen välttämiseksi. Se kasvaa kylpemällä kuunvalossa. Päivällä ODDISH kaivautuu maahan imeäkseen ravinteita koko kehollaan. Mitä hedelmällisempi maaperä, sitä kiiltävämmiksi sen lehdet tulevat. ODDISH etsii hedelmällistä ja ravinnepitoista maaperää ja istuttaa sitten itsensä. Päivän aikana, istutuksen aikana, tämän POKéMONin jalkojen uskotaan muuttavan muotoaan ja tulevan puun juurien kaltaisiksi. Tämä POKéMON kasvaa imemällä itseensä kuunvaloa. Päivällä se hautautuu maahan jättäen näkyviin vain lehtensä, jotta viholliset eivät havaitse sitä. Sen tieteellinen nimi on ”Oddium Wanderus”. Yöllä sen sanotaan kävelevän lähes 300 metriä kahdella juurellaan. Se usein istuttaa juurensa maahan päivällä ja kylvää siemeniä kävellessään yöllä. Kuunvalo herättää sen, ja se vaeltaa aktiivisesti yöllä. Se kasvaa kuunvalossa kylpemällä. Päivällä Oddish kaivautuu maahan imeäkseen ravinteita koko ruumiillaan. Päivällä, istutuksen aikana, tämän Pokémonin jalkojen uskotaan muuttavan muotoaan ja tulevan puun juurien kaltaisiksi.</t>
        </is>
      </c>
    </row>
    <row r="1243" ht="33.75" customHeight="1">
      <c r="A1243" s="7">
        <v>43.0</v>
      </c>
      <c r="B1243" s="9" t="s">
        <v>2617</v>
      </c>
      <c r="C1243" s="9" t="s">
        <v>2619</v>
      </c>
      <c r="D1243" s="9" t="s">
        <v>35</v>
      </c>
      <c r="E1243" s="6" t="s">
        <v>2620</v>
      </c>
      <c r="F1243" s="9"/>
    </row>
    <row r="1244" ht="33.75" customHeight="1">
      <c r="A1244" s="7">
        <v>43.0</v>
      </c>
      <c r="B1244" s="9" t="s">
        <v>2617</v>
      </c>
      <c r="C1244" s="9" t="s">
        <v>2619</v>
      </c>
      <c r="D1244" s="9" t="s">
        <v>42</v>
      </c>
      <c r="E1244" s="6" t="s">
        <v>2624</v>
      </c>
      <c r="F1244" s="9"/>
    </row>
    <row r="1245" ht="33.75" customHeight="1">
      <c r="A1245" s="7">
        <v>43.0</v>
      </c>
      <c r="B1245" s="9" t="s">
        <v>2617</v>
      </c>
      <c r="C1245" s="9" t="s">
        <v>2619</v>
      </c>
      <c r="D1245" s="9" t="s">
        <v>52</v>
      </c>
      <c r="E1245" s="6" t="s">
        <v>2625</v>
      </c>
      <c r="F1245" s="9"/>
    </row>
    <row r="1246" ht="33.75" customHeight="1">
      <c r="A1246" s="7">
        <v>43.0</v>
      </c>
      <c r="B1246" s="9" t="s">
        <v>2617</v>
      </c>
      <c r="C1246" s="9" t="s">
        <v>2619</v>
      </c>
      <c r="D1246" s="9" t="s">
        <v>59</v>
      </c>
      <c r="E1246" s="6" t="s">
        <v>2628</v>
      </c>
      <c r="F1246" s="9"/>
    </row>
    <row r="1247" ht="33.75" customHeight="1">
      <c r="A1247" s="7">
        <v>43.0</v>
      </c>
      <c r="B1247" s="9" t="s">
        <v>2617</v>
      </c>
      <c r="C1247" s="9" t="s">
        <v>2619</v>
      </c>
      <c r="D1247" s="9" t="s">
        <v>64</v>
      </c>
      <c r="E1247" s="6" t="s">
        <v>2631</v>
      </c>
      <c r="F1247" s="9"/>
    </row>
    <row r="1248" ht="33.75" customHeight="1">
      <c r="A1248" s="7">
        <v>43.0</v>
      </c>
      <c r="B1248" s="9" t="s">
        <v>2617</v>
      </c>
      <c r="C1248" s="9" t="s">
        <v>2619</v>
      </c>
      <c r="D1248" s="9" t="s">
        <v>67</v>
      </c>
      <c r="E1248" s="6" t="s">
        <v>2634</v>
      </c>
      <c r="F1248" s="9"/>
    </row>
    <row r="1249" ht="33.75" customHeight="1">
      <c r="A1249" s="7">
        <v>43.0</v>
      </c>
      <c r="B1249" s="9" t="s">
        <v>2617</v>
      </c>
      <c r="C1249" s="9" t="s">
        <v>2619</v>
      </c>
      <c r="D1249" s="9" t="s">
        <v>71</v>
      </c>
      <c r="E1249" s="6" t="s">
        <v>2636</v>
      </c>
      <c r="F1249" s="9"/>
    </row>
    <row r="1250" ht="33.75" customHeight="1">
      <c r="A1250" s="7">
        <v>43.0</v>
      </c>
      <c r="B1250" s="9" t="s">
        <v>2617</v>
      </c>
      <c r="C1250" s="9" t="s">
        <v>2619</v>
      </c>
      <c r="D1250" s="9" t="s">
        <v>73</v>
      </c>
      <c r="E1250" s="6" t="s">
        <v>2638</v>
      </c>
      <c r="F1250" s="9"/>
    </row>
    <row r="1251" ht="33.75" customHeight="1">
      <c r="A1251" s="7">
        <v>43.0</v>
      </c>
      <c r="B1251" s="9" t="s">
        <v>2617</v>
      </c>
      <c r="C1251" s="9" t="s">
        <v>2619</v>
      </c>
      <c r="D1251" s="9" t="s">
        <v>75</v>
      </c>
      <c r="E1251" s="6" t="s">
        <v>2641</v>
      </c>
      <c r="F1251" s="9"/>
    </row>
    <row r="1252" ht="33.75" customHeight="1">
      <c r="A1252" s="7">
        <v>43.0</v>
      </c>
      <c r="B1252" s="9" t="s">
        <v>2617</v>
      </c>
      <c r="C1252" s="9" t="s">
        <v>2619</v>
      </c>
      <c r="D1252" s="9" t="s">
        <v>79</v>
      </c>
      <c r="E1252" s="6" t="s">
        <v>2620</v>
      </c>
      <c r="F1252" s="9"/>
    </row>
    <row r="1253" ht="33.75" customHeight="1">
      <c r="A1253" s="7">
        <v>43.0</v>
      </c>
      <c r="B1253" s="9" t="s">
        <v>2617</v>
      </c>
      <c r="C1253" s="9" t="s">
        <v>2619</v>
      </c>
      <c r="D1253" s="9" t="s">
        <v>81</v>
      </c>
      <c r="E1253" s="6" t="s">
        <v>2644</v>
      </c>
      <c r="F1253" s="9"/>
    </row>
    <row r="1254" ht="33.75" customHeight="1">
      <c r="A1254" s="7">
        <v>43.0</v>
      </c>
      <c r="B1254" s="9" t="s">
        <v>2617</v>
      </c>
      <c r="C1254" s="9" t="s">
        <v>2619</v>
      </c>
      <c r="D1254" s="9" t="s">
        <v>84</v>
      </c>
      <c r="E1254" s="6" t="s">
        <v>2644</v>
      </c>
      <c r="F1254" s="9"/>
    </row>
    <row r="1255" ht="33.75" customHeight="1">
      <c r="A1255" s="7">
        <v>43.0</v>
      </c>
      <c r="B1255" s="9" t="s">
        <v>2617</v>
      </c>
      <c r="C1255" s="9" t="s">
        <v>2619</v>
      </c>
      <c r="D1255" s="9" t="s">
        <v>87</v>
      </c>
      <c r="E1255" s="6" t="s">
        <v>2644</v>
      </c>
      <c r="F1255" s="9"/>
    </row>
    <row r="1256" ht="33.75" customHeight="1">
      <c r="A1256" s="7">
        <v>43.0</v>
      </c>
      <c r="B1256" s="9" t="s">
        <v>2617</v>
      </c>
      <c r="C1256" s="9" t="s">
        <v>2619</v>
      </c>
      <c r="D1256" s="9" t="s">
        <v>89</v>
      </c>
      <c r="E1256" s="6" t="s">
        <v>2649</v>
      </c>
      <c r="F1256" s="9"/>
    </row>
    <row r="1257" ht="33.75" customHeight="1">
      <c r="A1257" s="7">
        <v>43.0</v>
      </c>
      <c r="B1257" s="9" t="s">
        <v>2617</v>
      </c>
      <c r="C1257" s="9" t="s">
        <v>2619</v>
      </c>
      <c r="D1257" s="9" t="s">
        <v>91</v>
      </c>
      <c r="E1257" s="6" t="s">
        <v>2628</v>
      </c>
      <c r="F1257" s="9"/>
    </row>
    <row r="1258" ht="33.75" customHeight="1">
      <c r="A1258" s="7">
        <v>43.0</v>
      </c>
      <c r="B1258" s="9" t="s">
        <v>2617</v>
      </c>
      <c r="C1258" s="9" t="s">
        <v>2619</v>
      </c>
      <c r="D1258" s="9" t="s">
        <v>93</v>
      </c>
      <c r="E1258" s="6" t="s">
        <v>2644</v>
      </c>
      <c r="F1258" s="9"/>
    </row>
    <row r="1259" ht="33.75" customHeight="1">
      <c r="A1259" s="7">
        <v>43.0</v>
      </c>
      <c r="B1259" s="9" t="s">
        <v>2617</v>
      </c>
      <c r="C1259" s="9" t="s">
        <v>2619</v>
      </c>
      <c r="D1259" s="9" t="s">
        <v>95</v>
      </c>
      <c r="E1259" s="6" t="s">
        <v>2644</v>
      </c>
      <c r="F1259" s="9"/>
    </row>
    <row r="1260" ht="33.75" customHeight="1">
      <c r="A1260" s="7">
        <v>43.0</v>
      </c>
      <c r="B1260" s="9" t="s">
        <v>2617</v>
      </c>
      <c r="C1260" s="9" t="s">
        <v>2619</v>
      </c>
      <c r="D1260" s="9" t="s">
        <v>98</v>
      </c>
      <c r="E1260" s="6" t="s">
        <v>2644</v>
      </c>
      <c r="F1260" s="9"/>
    </row>
    <row r="1261" ht="33.75" customHeight="1">
      <c r="A1261" s="7">
        <v>43.0</v>
      </c>
      <c r="B1261" s="9" t="s">
        <v>2617</v>
      </c>
      <c r="C1261" s="9" t="s">
        <v>2619</v>
      </c>
      <c r="D1261" s="9" t="s">
        <v>99</v>
      </c>
      <c r="E1261" s="6" t="s">
        <v>2644</v>
      </c>
      <c r="F1261" s="9"/>
    </row>
    <row r="1262" ht="33.75" customHeight="1">
      <c r="A1262" s="7">
        <v>43.0</v>
      </c>
      <c r="B1262" s="9" t="s">
        <v>2617</v>
      </c>
      <c r="C1262" s="9" t="s">
        <v>2619</v>
      </c>
      <c r="D1262" s="9" t="s">
        <v>101</v>
      </c>
      <c r="E1262" s="6" t="s">
        <v>2658</v>
      </c>
      <c r="F1262" s="9"/>
    </row>
    <row r="1263" ht="33.75" customHeight="1">
      <c r="A1263" s="7">
        <v>43.0</v>
      </c>
      <c r="B1263" s="9" t="s">
        <v>2617</v>
      </c>
      <c r="C1263" s="9" t="s">
        <v>2619</v>
      </c>
      <c r="D1263" s="9" t="s">
        <v>105</v>
      </c>
      <c r="E1263" s="6" t="s">
        <v>2641</v>
      </c>
      <c r="F1263" s="9"/>
    </row>
    <row r="1264" ht="33.75" customHeight="1">
      <c r="A1264" s="7">
        <v>43.0</v>
      </c>
      <c r="B1264" s="9" t="s">
        <v>2617</v>
      </c>
      <c r="C1264" s="9" t="s">
        <v>2619</v>
      </c>
      <c r="D1264" s="9" t="s">
        <v>107</v>
      </c>
      <c r="E1264" s="6" t="s">
        <v>2660</v>
      </c>
      <c r="F1264" s="9"/>
    </row>
    <row r="1265" ht="33.75" customHeight="1">
      <c r="A1265" s="7">
        <v>43.0</v>
      </c>
      <c r="B1265" s="9" t="s">
        <v>2617</v>
      </c>
      <c r="C1265" s="9" t="s">
        <v>2619</v>
      </c>
      <c r="D1265" s="9" t="s">
        <v>109</v>
      </c>
      <c r="E1265" s="6" t="s">
        <v>2662</v>
      </c>
      <c r="F1265" s="9"/>
    </row>
    <row r="1266" ht="33.75" customHeight="1">
      <c r="A1266" s="7">
        <v>43.0</v>
      </c>
      <c r="B1266" s="9" t="s">
        <v>2617</v>
      </c>
      <c r="C1266" s="9" t="s">
        <v>2619</v>
      </c>
      <c r="D1266" s="9" t="s">
        <v>111</v>
      </c>
      <c r="E1266" s="6" t="s">
        <v>2624</v>
      </c>
      <c r="F1266" s="9"/>
    </row>
    <row r="1267" ht="33.75" customHeight="1">
      <c r="A1267" s="7">
        <v>43.0</v>
      </c>
      <c r="B1267" s="9" t="s">
        <v>2617</v>
      </c>
      <c r="C1267" s="9" t="s">
        <v>2619</v>
      </c>
      <c r="D1267" s="9" t="s">
        <v>113</v>
      </c>
      <c r="E1267" s="6" t="s">
        <v>2624</v>
      </c>
      <c r="F1267" s="9"/>
    </row>
    <row r="1268" ht="33.75" customHeight="1">
      <c r="A1268" s="7">
        <v>43.0</v>
      </c>
      <c r="B1268" s="9" t="s">
        <v>2617</v>
      </c>
      <c r="C1268" s="9" t="s">
        <v>2619</v>
      </c>
      <c r="D1268" s="9" t="s">
        <v>114</v>
      </c>
      <c r="E1268" s="6" t="s">
        <v>2628</v>
      </c>
      <c r="F1268" s="9"/>
    </row>
    <row r="1269" ht="33.75" customHeight="1">
      <c r="A1269" s="7">
        <v>43.0</v>
      </c>
      <c r="B1269" s="9" t="s">
        <v>2617</v>
      </c>
      <c r="C1269" s="9" t="s">
        <v>2619</v>
      </c>
      <c r="D1269" s="9" t="s">
        <v>117</v>
      </c>
      <c r="E1269" s="6" t="s">
        <v>2658</v>
      </c>
      <c r="F1269" s="9"/>
    </row>
    <row r="1270" ht="33.75" customHeight="1">
      <c r="A1270" s="7">
        <v>44.0</v>
      </c>
      <c r="B1270" s="9" t="s">
        <v>2667</v>
      </c>
      <c r="C1270" s="9" t="s">
        <v>2619</v>
      </c>
      <c r="D1270" s="9" t="s">
        <v>24</v>
      </c>
      <c r="E1270" s="6" t="s">
        <v>2669</v>
      </c>
      <c r="F1270" t="inlineStr" s="10">
        <is>
          <t xml:space="preserve">Gloomin suusta valuva neste ei ole kuolaa, vaan mettä, jota käytetään saaliin houkuttelemiseen. Haisee uskomattoman pahalle! Kuitenkin noin yksi tuhannesta ihmisestä nauttii sen nenää taivuttavan hajun nuuhkimisesta. Se, mikä näyttää kuolalta, on itse asiassa makeaa hunajaa. Se on erittäin tahmeaa ja tarttuu itsepäisesti, jos sitä kosketetaan. Se erittää tahmeaa, kuolamaista hunajaa. Vaikka se on makeaa, se tuoksuu liian vastenmieliseltä päästäkseen aivan lähelle. Sen kuolamaisen siirapin ja terälehtien siitepölyn haju on niin paha, että se saattaa saada vastustajat pyörtymään. GLOOM vapauttaa kukkansa emiöstä pahanhajuista tuoksua. Vaaran uhatessa löyhkä pahenee. Jos tämä POKéMON tuntee olonsa rauhalliseksi ja turvalliseksi, se ei vapauta tavanomaista pahanhajuista tuoksuaan. Sen suusta GLOOM tippuu hunajaa, joka haisee aivan hirveältä. Ilmeisesti se rakastaa hirvittävää löyhkää. Se haistelee myrkyllisiä höyryjä ja kuolaa sitten vielä lisää hunajaansa. Sen suusta valuu hirvittävän myrkyllistä hunajaa. Yksikin hunajan tuoksu voi johtaa muistinmenetykseen. Joidenkin fanien sanotaan kuitenkin nauttivan tästä valtavasta hajusta. Sen emi-suvut huokuvat uskomattoman pahaa hajua. Kamala löyhkä voi aiheuttaa pyörtymisen 2,9 kilometrin etäisyydellä. Suustaan ​​valuva hunaja haisee niin hirvittävälle, että se voi käpertyä nenänsä yli mailin päähän. Kuitenkin noin yksi tuhannesta ihmisestä nauttii sen nenää taivuttavan löyhkän nuuhkimisesta. Synkkyys vapauttaa kukkansa emiöstä pahanhajuista tuoksua. Gloomin suusta tippuu hunajaa, joka haisee aivan hirveältä.</t>
        </is>
      </c>
    </row>
    <row r="1271" ht="33.75" customHeight="1">
      <c r="A1271" s="7">
        <v>44.0</v>
      </c>
      <c r="B1271" s="9" t="s">
        <v>2667</v>
      </c>
      <c r="C1271" s="9" t="s">
        <v>2619</v>
      </c>
      <c r="D1271" s="9" t="s">
        <v>35</v>
      </c>
      <c r="E1271" s="6" t="s">
        <v>2669</v>
      </c>
      <c r="F1271" s="9"/>
    </row>
    <row r="1272" ht="33.75" customHeight="1">
      <c r="A1272" s="7">
        <v>44.0</v>
      </c>
      <c r="B1272" s="9" t="s">
        <v>2667</v>
      </c>
      <c r="C1272" s="9" t="s">
        <v>2619</v>
      </c>
      <c r="D1272" s="9" t="s">
        <v>42</v>
      </c>
      <c r="E1272" s="6" t="s">
        <v>2671</v>
      </c>
      <c r="F1272" s="9"/>
    </row>
    <row r="1273" ht="33.75" customHeight="1">
      <c r="A1273" s="7">
        <v>44.0</v>
      </c>
      <c r="B1273" s="9" t="s">
        <v>2667</v>
      </c>
      <c r="C1273" s="9" t="s">
        <v>2619</v>
      </c>
      <c r="D1273" s="9" t="s">
        <v>52</v>
      </c>
      <c r="E1273" s="6" t="s">
        <v>2673</v>
      </c>
      <c r="F1273" s="9"/>
    </row>
    <row r="1274" ht="33.75" customHeight="1">
      <c r="A1274" s="7">
        <v>44.0</v>
      </c>
      <c r="B1274" s="9" t="s">
        <v>2667</v>
      </c>
      <c r="C1274" s="9" t="s">
        <v>2619</v>
      </c>
      <c r="D1274" s="9" t="s">
        <v>59</v>
      </c>
      <c r="E1274" s="6" t="s">
        <v>2675</v>
      </c>
      <c r="F1274" s="9"/>
    </row>
    <row r="1275" ht="33.75" customHeight="1">
      <c r="A1275" s="7">
        <v>44.0</v>
      </c>
      <c r="B1275" s="9" t="s">
        <v>2667</v>
      </c>
      <c r="C1275" s="9" t="s">
        <v>2619</v>
      </c>
      <c r="D1275" s="9" t="s">
        <v>64</v>
      </c>
      <c r="E1275" s="6" t="s">
        <v>2676</v>
      </c>
      <c r="F1275" s="9"/>
    </row>
    <row r="1276" ht="33.75" customHeight="1">
      <c r="A1276" s="7">
        <v>44.0</v>
      </c>
      <c r="B1276" s="9" t="s">
        <v>2667</v>
      </c>
      <c r="C1276" s="9" t="s">
        <v>2619</v>
      </c>
      <c r="D1276" s="9" t="s">
        <v>67</v>
      </c>
      <c r="E1276" s="6" t="s">
        <v>2678</v>
      </c>
      <c r="F1276" s="9"/>
    </row>
    <row r="1277" ht="33.75" customHeight="1">
      <c r="A1277" s="7">
        <v>44.0</v>
      </c>
      <c r="B1277" s="9" t="s">
        <v>2667</v>
      </c>
      <c r="C1277" s="9" t="s">
        <v>2619</v>
      </c>
      <c r="D1277" s="9" t="s">
        <v>71</v>
      </c>
      <c r="E1277" s="6" t="s">
        <v>2680</v>
      </c>
      <c r="F1277" s="9"/>
    </row>
    <row r="1278" ht="33.75" customHeight="1">
      <c r="A1278" s="7">
        <v>44.0</v>
      </c>
      <c r="B1278" s="9" t="s">
        <v>2667</v>
      </c>
      <c r="C1278" s="9" t="s">
        <v>2619</v>
      </c>
      <c r="D1278" s="9" t="s">
        <v>73</v>
      </c>
      <c r="E1278" s="6" t="s">
        <v>2682</v>
      </c>
      <c r="F1278" s="9"/>
    </row>
    <row r="1279" ht="33.75" customHeight="1">
      <c r="A1279" s="7">
        <v>44.0</v>
      </c>
      <c r="B1279" s="9" t="s">
        <v>2667</v>
      </c>
      <c r="C1279" s="9" t="s">
        <v>2619</v>
      </c>
      <c r="D1279" s="9" t="s">
        <v>75</v>
      </c>
      <c r="E1279" s="6" t="s">
        <v>2683</v>
      </c>
      <c r="F1279" s="9"/>
    </row>
    <row r="1280" ht="33.75" customHeight="1">
      <c r="A1280" s="7">
        <v>44.0</v>
      </c>
      <c r="B1280" s="9" t="s">
        <v>2667</v>
      </c>
      <c r="C1280" s="9" t="s">
        <v>2619</v>
      </c>
      <c r="D1280" s="9" t="s">
        <v>79</v>
      </c>
      <c r="E1280" s="6" t="s">
        <v>2669</v>
      </c>
      <c r="F1280" s="9"/>
    </row>
    <row r="1281" ht="33.75" customHeight="1">
      <c r="A1281" s="7">
        <v>44.0</v>
      </c>
      <c r="B1281" s="9" t="s">
        <v>2667</v>
      </c>
      <c r="C1281" s="9" t="s">
        <v>2619</v>
      </c>
      <c r="D1281" s="9" t="s">
        <v>81</v>
      </c>
      <c r="E1281" s="6" t="s">
        <v>2686</v>
      </c>
      <c r="F1281" s="9"/>
    </row>
    <row r="1282" ht="33.75" customHeight="1">
      <c r="A1282" s="7">
        <v>44.0</v>
      </c>
      <c r="B1282" s="9" t="s">
        <v>2667</v>
      </c>
      <c r="C1282" s="9" t="s">
        <v>2619</v>
      </c>
      <c r="D1282" s="9" t="s">
        <v>84</v>
      </c>
      <c r="E1282" s="6" t="s">
        <v>2686</v>
      </c>
      <c r="F1282" s="9"/>
    </row>
    <row r="1283" ht="33.75" customHeight="1">
      <c r="A1283" s="7">
        <v>44.0</v>
      </c>
      <c r="B1283" s="9" t="s">
        <v>2667</v>
      </c>
      <c r="C1283" s="9" t="s">
        <v>2619</v>
      </c>
      <c r="D1283" s="9" t="s">
        <v>87</v>
      </c>
      <c r="E1283" s="6" t="s">
        <v>2686</v>
      </c>
      <c r="F1283" s="9"/>
    </row>
    <row r="1284" ht="33.75" customHeight="1">
      <c r="A1284" s="7">
        <v>44.0</v>
      </c>
      <c r="B1284" s="9" t="s">
        <v>2667</v>
      </c>
      <c r="C1284" s="9" t="s">
        <v>2619</v>
      </c>
      <c r="D1284" s="9" t="s">
        <v>89</v>
      </c>
      <c r="E1284" s="6" t="s">
        <v>2673</v>
      </c>
      <c r="F1284" s="9"/>
    </row>
    <row r="1285" ht="33.75" customHeight="1">
      <c r="A1285" s="7">
        <v>44.0</v>
      </c>
      <c r="B1285" s="9" t="s">
        <v>2667</v>
      </c>
      <c r="C1285" s="9" t="s">
        <v>2619</v>
      </c>
      <c r="D1285" s="9" t="s">
        <v>91</v>
      </c>
      <c r="E1285" s="6" t="s">
        <v>2675</v>
      </c>
      <c r="F1285" s="9"/>
    </row>
    <row r="1286" ht="33.75" customHeight="1">
      <c r="A1286" s="7">
        <v>44.0</v>
      </c>
      <c r="B1286" s="9" t="s">
        <v>2667</v>
      </c>
      <c r="C1286" s="9" t="s">
        <v>2619</v>
      </c>
      <c r="D1286" s="9" t="s">
        <v>93</v>
      </c>
      <c r="E1286" s="6" t="s">
        <v>2686</v>
      </c>
      <c r="F1286" s="9"/>
    </row>
    <row r="1287" ht="33.75" customHeight="1">
      <c r="A1287" s="7">
        <v>44.0</v>
      </c>
      <c r="B1287" s="9" t="s">
        <v>2667</v>
      </c>
      <c r="C1287" s="9" t="s">
        <v>2619</v>
      </c>
      <c r="D1287" s="9" t="s">
        <v>95</v>
      </c>
      <c r="E1287" s="6" t="s">
        <v>2686</v>
      </c>
      <c r="F1287" s="9"/>
    </row>
    <row r="1288" ht="33.75" customHeight="1">
      <c r="A1288" s="7">
        <v>44.0</v>
      </c>
      <c r="B1288" s="9" t="s">
        <v>2667</v>
      </c>
      <c r="C1288" s="9" t="s">
        <v>2619</v>
      </c>
      <c r="D1288" s="9" t="s">
        <v>98</v>
      </c>
      <c r="E1288" s="6" t="s">
        <v>2686</v>
      </c>
      <c r="F1288" s="9"/>
    </row>
    <row r="1289" ht="33.75" customHeight="1">
      <c r="A1289" s="7">
        <v>44.0</v>
      </c>
      <c r="B1289" s="9" t="s">
        <v>2667</v>
      </c>
      <c r="C1289" s="9" t="s">
        <v>2619</v>
      </c>
      <c r="D1289" s="9" t="s">
        <v>99</v>
      </c>
      <c r="E1289" s="6" t="s">
        <v>2686</v>
      </c>
      <c r="F1289" s="9"/>
    </row>
    <row r="1290" ht="33.75" customHeight="1">
      <c r="A1290" s="7">
        <v>44.0</v>
      </c>
      <c r="B1290" s="9" t="s">
        <v>2667</v>
      </c>
      <c r="C1290" s="9" t="s">
        <v>2619</v>
      </c>
      <c r="D1290" s="9" t="s">
        <v>101</v>
      </c>
      <c r="E1290" s="6" t="s">
        <v>2696</v>
      </c>
      <c r="F1290" s="9"/>
    </row>
    <row r="1291" ht="33.75" customHeight="1">
      <c r="A1291" s="7">
        <v>44.0</v>
      </c>
      <c r="B1291" s="9" t="s">
        <v>2667</v>
      </c>
      <c r="C1291" s="9" t="s">
        <v>2619</v>
      </c>
      <c r="D1291" s="9" t="s">
        <v>105</v>
      </c>
      <c r="E1291" s="6" t="s">
        <v>2686</v>
      </c>
      <c r="F1291" s="9"/>
    </row>
    <row r="1292" ht="33.75" customHeight="1">
      <c r="A1292" s="7">
        <v>44.0</v>
      </c>
      <c r="B1292" s="9" t="s">
        <v>2667</v>
      </c>
      <c r="C1292" s="9" t="s">
        <v>2619</v>
      </c>
      <c r="D1292" s="9" t="s">
        <v>107</v>
      </c>
      <c r="E1292" s="6" t="s">
        <v>2700</v>
      </c>
      <c r="F1292" s="9"/>
    </row>
    <row r="1293" ht="33.75" customHeight="1">
      <c r="A1293" s="7">
        <v>44.0</v>
      </c>
      <c r="B1293" s="9" t="s">
        <v>2667</v>
      </c>
      <c r="C1293" s="9" t="s">
        <v>2619</v>
      </c>
      <c r="D1293" s="9" t="s">
        <v>109</v>
      </c>
      <c r="E1293" s="6" t="s">
        <v>2702</v>
      </c>
      <c r="F1293" s="9"/>
    </row>
    <row r="1294" ht="33.75" customHeight="1">
      <c r="A1294" s="7">
        <v>44.0</v>
      </c>
      <c r="B1294" s="9" t="s">
        <v>2667</v>
      </c>
      <c r="C1294" s="9" t="s">
        <v>2619</v>
      </c>
      <c r="D1294" s="9" t="s">
        <v>111</v>
      </c>
      <c r="E1294" s="6" t="s">
        <v>2696</v>
      </c>
      <c r="F1294" s="9"/>
    </row>
    <row r="1295" ht="33.75" customHeight="1">
      <c r="A1295" s="7">
        <v>44.0</v>
      </c>
      <c r="B1295" s="9" t="s">
        <v>2667</v>
      </c>
      <c r="C1295" s="9" t="s">
        <v>2619</v>
      </c>
      <c r="D1295" s="9" t="s">
        <v>113</v>
      </c>
      <c r="E1295" s="6" t="s">
        <v>2696</v>
      </c>
      <c r="F1295" s="9"/>
    </row>
    <row r="1296" ht="33.75" customHeight="1">
      <c r="A1296" s="7">
        <v>44.0</v>
      </c>
      <c r="B1296" s="9" t="s">
        <v>2667</v>
      </c>
      <c r="C1296" s="9" t="s">
        <v>2619</v>
      </c>
      <c r="D1296" s="9" t="s">
        <v>114</v>
      </c>
      <c r="E1296" s="6" t="s">
        <v>2683</v>
      </c>
      <c r="F1296" s="9"/>
    </row>
    <row r="1297" ht="33.75" customHeight="1">
      <c r="A1297" s="7">
        <v>44.0</v>
      </c>
      <c r="B1297" s="9" t="s">
        <v>2667</v>
      </c>
      <c r="C1297" s="9" t="s">
        <v>2619</v>
      </c>
      <c r="D1297" s="9" t="s">
        <v>117</v>
      </c>
      <c r="E1297" s="6" t="s">
        <v>2673</v>
      </c>
      <c r="F1297" s="9"/>
    </row>
    <row r="1298" ht="33.75" customHeight="1">
      <c r="A1298" s="7">
        <v>45.0</v>
      </c>
      <c r="B1298" s="9" t="s">
        <v>2709</v>
      </c>
      <c r="C1298" s="9" t="s">
        <v>2711</v>
      </c>
      <c r="D1298" s="9" t="s">
        <v>24</v>
      </c>
      <c r="E1298" s="6" t="s">
        <v>2712</v>
      </c>
      <c r="F1298" t="inlineStr" s="10">
        <is>
          <t xml:space="preserve">Mitä suurempia Vileplumen terälehdet ovat, sitä myrkyllisempää siitepölyä se sisältää. Sen suuri pää on painava ja vaikea pitää pystyssä. Läpyttää leveitä kukkaterälehtiään levittääkseen myrkyllistä siitepölyä. Läpytysääni on erittäin kova. Sillä on maailman suurimmat terälehdet. Joka askeleella terälehdet ravistelevat ulos raskaita myrkyllisen siitepölyn pilviä. Nuppu puhkeaa kukkaan pamahduksella. Sitten se alkaa levittää allergisoivaa, myrkyllistä siitepölyä. Ravistamalla suuria terälehtiään se levittää myrkyllistä siitepölyä ilmaan, mikä muuttaa ilman keltaiseksi. VILEPLUMEN myrkyllinen siitepöly laukaisee hirvittäviä allergiakohtauksia. Siksi on suositeltavaa olla koskaan lähestymättä kauniita kukkia viidakossa, olivatpa ne kuinka kauniita tahansa. VILEPLUMELLA on maailman suurimmat terälehdet. Niitä käytetään saaliin houkuttelemiseen, ja sitten ne kastellaan myrkyllisillä itiöillä. Kun saalis on lamaantunut, tämä POKéMON nappaa ja syö sen. Vuodenaikoina, jolloin se tuottaa enemmän siitepölyä, VILEPLUMEN ympärillä oleva ilma muuttuu keltaiseksi jauheesta sen kävellessä. Siitepöly on erittäin myrkyllistä ja aiheuttaa halvaantumisen. Sen terälehdet ovat maailman suurimmat. Se levittää terälehdistään allergiaa aiheuttavaa siitepölyä pirullisesti. Kävellessään se levittää erittäin allergeenista siitepölyä. Niitä käytetään saaliin houkuttelemiseen, jotka sitten kastellaan myrkyllisillä itiöillä.</t>
        </is>
      </c>
    </row>
    <row r="1299" ht="33.75" customHeight="1">
      <c r="A1299" s="7">
        <v>45.0</v>
      </c>
      <c r="B1299" s="9" t="s">
        <v>2709</v>
      </c>
      <c r="C1299" s="9" t="s">
        <v>2711</v>
      </c>
      <c r="D1299" s="9" t="s">
        <v>35</v>
      </c>
      <c r="E1299" s="6" t="s">
        <v>2712</v>
      </c>
      <c r="F1299" s="9"/>
    </row>
    <row r="1300" ht="33.75" customHeight="1">
      <c r="A1300" s="7">
        <v>45.0</v>
      </c>
      <c r="B1300" s="9" t="s">
        <v>2709</v>
      </c>
      <c r="C1300" s="9" t="s">
        <v>2711</v>
      </c>
      <c r="D1300" s="9" t="s">
        <v>42</v>
      </c>
      <c r="E1300" s="6" t="s">
        <v>2714</v>
      </c>
      <c r="F1300" s="9"/>
    </row>
    <row r="1301" ht="33.75" customHeight="1">
      <c r="A1301" s="7">
        <v>45.0</v>
      </c>
      <c r="B1301" s="9" t="s">
        <v>2709</v>
      </c>
      <c r="C1301" s="9" t="s">
        <v>2711</v>
      </c>
      <c r="D1301" s="9" t="s">
        <v>52</v>
      </c>
      <c r="E1301" s="6" t="s">
        <v>2716</v>
      </c>
      <c r="F1301" s="9"/>
    </row>
    <row r="1302" ht="33.75" customHeight="1">
      <c r="A1302" s="7">
        <v>45.0</v>
      </c>
      <c r="B1302" s="9" t="s">
        <v>2709</v>
      </c>
      <c r="C1302" s="9" t="s">
        <v>2711</v>
      </c>
      <c r="D1302" s="9" t="s">
        <v>59</v>
      </c>
      <c r="E1302" s="6" t="s">
        <v>2718</v>
      </c>
      <c r="F1302" s="9"/>
    </row>
    <row r="1303" ht="33.75" customHeight="1">
      <c r="A1303" s="7">
        <v>45.0</v>
      </c>
      <c r="B1303" s="9" t="s">
        <v>2709</v>
      </c>
      <c r="C1303" s="9" t="s">
        <v>2711</v>
      </c>
      <c r="D1303" s="9" t="s">
        <v>64</v>
      </c>
      <c r="E1303" s="6" t="s">
        <v>2720</v>
      </c>
      <c r="F1303" s="9"/>
    </row>
    <row r="1304" ht="33.75" customHeight="1">
      <c r="A1304" s="7">
        <v>45.0</v>
      </c>
      <c r="B1304" s="9" t="s">
        <v>2709</v>
      </c>
      <c r="C1304" s="9" t="s">
        <v>2711</v>
      </c>
      <c r="D1304" s="9" t="s">
        <v>67</v>
      </c>
      <c r="E1304" s="6" t="s">
        <v>2722</v>
      </c>
      <c r="F1304" s="9"/>
    </row>
    <row r="1305" ht="33.75" customHeight="1">
      <c r="A1305" s="7">
        <v>45.0</v>
      </c>
      <c r="B1305" s="9" t="s">
        <v>2709</v>
      </c>
      <c r="C1305" s="9" t="s">
        <v>2711</v>
      </c>
      <c r="D1305" s="9" t="s">
        <v>71</v>
      </c>
      <c r="E1305" s="6" t="s">
        <v>2724</v>
      </c>
      <c r="F1305" s="9"/>
    </row>
    <row r="1306" ht="33.75" customHeight="1">
      <c r="A1306" s="7">
        <v>45.0</v>
      </c>
      <c r="B1306" s="9" t="s">
        <v>2709</v>
      </c>
      <c r="C1306" s="9" t="s">
        <v>2711</v>
      </c>
      <c r="D1306" s="9" t="s">
        <v>73</v>
      </c>
      <c r="E1306" s="6" t="s">
        <v>2726</v>
      </c>
      <c r="F1306" s="9"/>
    </row>
    <row r="1307" ht="33.75" customHeight="1">
      <c r="A1307" s="7">
        <v>45.0</v>
      </c>
      <c r="B1307" s="9" t="s">
        <v>2709</v>
      </c>
      <c r="C1307" s="9" t="s">
        <v>2711</v>
      </c>
      <c r="D1307" s="9" t="s">
        <v>75</v>
      </c>
      <c r="E1307" s="6" t="s">
        <v>2728</v>
      </c>
      <c r="F1307" s="9"/>
    </row>
    <row r="1308" ht="33.75" customHeight="1">
      <c r="A1308" s="7">
        <v>45.0</v>
      </c>
      <c r="B1308" s="9" t="s">
        <v>2709</v>
      </c>
      <c r="C1308" s="9" t="s">
        <v>2711</v>
      </c>
      <c r="D1308" s="9" t="s">
        <v>79</v>
      </c>
      <c r="E1308" s="6" t="s">
        <v>2712</v>
      </c>
      <c r="F1308" s="9"/>
    </row>
    <row r="1309" ht="33.75" customHeight="1">
      <c r="A1309" s="7">
        <v>45.0</v>
      </c>
      <c r="B1309" s="9" t="s">
        <v>2709</v>
      </c>
      <c r="C1309" s="9" t="s">
        <v>2711</v>
      </c>
      <c r="D1309" s="9" t="s">
        <v>81</v>
      </c>
      <c r="E1309" s="6" t="s">
        <v>2731</v>
      </c>
      <c r="F1309" s="9"/>
    </row>
    <row r="1310" ht="33.75" customHeight="1">
      <c r="A1310" s="7">
        <v>45.0</v>
      </c>
      <c r="B1310" s="9" t="s">
        <v>2709</v>
      </c>
      <c r="C1310" s="9" t="s">
        <v>2711</v>
      </c>
      <c r="D1310" s="9" t="s">
        <v>84</v>
      </c>
      <c r="E1310" s="6" t="s">
        <v>2731</v>
      </c>
      <c r="F1310" s="9"/>
    </row>
    <row r="1311" ht="33.75" customHeight="1">
      <c r="A1311" s="7">
        <v>45.0</v>
      </c>
      <c r="B1311" s="9" t="s">
        <v>2709</v>
      </c>
      <c r="C1311" s="9" t="s">
        <v>2711</v>
      </c>
      <c r="D1311" s="9" t="s">
        <v>87</v>
      </c>
      <c r="E1311" s="6" t="s">
        <v>2731</v>
      </c>
      <c r="F1311" s="9"/>
    </row>
    <row r="1312" ht="33.75" customHeight="1">
      <c r="A1312" s="7">
        <v>45.0</v>
      </c>
      <c r="B1312" s="9" t="s">
        <v>2709</v>
      </c>
      <c r="C1312" s="9" t="s">
        <v>2711</v>
      </c>
      <c r="D1312" s="9" t="s">
        <v>89</v>
      </c>
      <c r="E1312" s="6" t="s">
        <v>2716</v>
      </c>
      <c r="F1312" s="9"/>
    </row>
    <row r="1313" ht="33.75" customHeight="1">
      <c r="A1313" s="7">
        <v>45.0</v>
      </c>
      <c r="B1313" s="9" t="s">
        <v>2709</v>
      </c>
      <c r="C1313" s="9" t="s">
        <v>2711</v>
      </c>
      <c r="D1313" s="9" t="s">
        <v>91</v>
      </c>
      <c r="E1313" s="6" t="s">
        <v>2718</v>
      </c>
      <c r="F1313" s="9"/>
    </row>
    <row r="1314" ht="33.75" customHeight="1">
      <c r="A1314" s="7">
        <v>45.0</v>
      </c>
      <c r="B1314" s="9" t="s">
        <v>2709</v>
      </c>
      <c r="C1314" s="9" t="s">
        <v>2711</v>
      </c>
      <c r="D1314" s="9" t="s">
        <v>93</v>
      </c>
      <c r="E1314" s="6" t="s">
        <v>2731</v>
      </c>
      <c r="F1314" s="9"/>
    </row>
    <row r="1315" ht="33.75" customHeight="1">
      <c r="A1315" s="7">
        <v>45.0</v>
      </c>
      <c r="B1315" s="9" t="s">
        <v>2709</v>
      </c>
      <c r="C1315" s="9" t="s">
        <v>2711</v>
      </c>
      <c r="D1315" s="9" t="s">
        <v>95</v>
      </c>
      <c r="E1315" s="6" t="s">
        <v>2731</v>
      </c>
      <c r="F1315" s="9"/>
    </row>
    <row r="1316" ht="33.75" customHeight="1">
      <c r="A1316" s="7">
        <v>45.0</v>
      </c>
      <c r="B1316" s="9" t="s">
        <v>2709</v>
      </c>
      <c r="C1316" s="9" t="s">
        <v>2711</v>
      </c>
      <c r="D1316" s="9" t="s">
        <v>98</v>
      </c>
      <c r="E1316" s="6" t="s">
        <v>2731</v>
      </c>
      <c r="F1316" s="9"/>
    </row>
    <row r="1317" ht="33.75" customHeight="1">
      <c r="A1317" s="7">
        <v>45.0</v>
      </c>
      <c r="B1317" s="9" t="s">
        <v>2709</v>
      </c>
      <c r="C1317" s="9" t="s">
        <v>2711</v>
      </c>
      <c r="D1317" s="9" t="s">
        <v>99</v>
      </c>
      <c r="E1317" s="6" t="s">
        <v>2731</v>
      </c>
      <c r="F1317" s="9"/>
    </row>
    <row r="1318" ht="33.75" customHeight="1">
      <c r="A1318" s="7">
        <v>45.0</v>
      </c>
      <c r="B1318" s="9" t="s">
        <v>2709</v>
      </c>
      <c r="C1318" s="9" t="s">
        <v>2711</v>
      </c>
      <c r="D1318" s="9" t="s">
        <v>101</v>
      </c>
      <c r="E1318" s="6" t="s">
        <v>2712</v>
      </c>
      <c r="F1318" s="9"/>
    </row>
    <row r="1319" ht="33.75" customHeight="1">
      <c r="A1319" s="7">
        <v>45.0</v>
      </c>
      <c r="B1319" s="9" t="s">
        <v>2709</v>
      </c>
      <c r="C1319" s="9" t="s">
        <v>2711</v>
      </c>
      <c r="D1319" s="9" t="s">
        <v>105</v>
      </c>
      <c r="E1319" s="6" t="s">
        <v>2716</v>
      </c>
      <c r="F1319" s="9"/>
    </row>
    <row r="1320" ht="33.75" customHeight="1">
      <c r="A1320" s="7">
        <v>45.0</v>
      </c>
      <c r="B1320" s="9" t="s">
        <v>2709</v>
      </c>
      <c r="C1320" s="9" t="s">
        <v>2711</v>
      </c>
      <c r="D1320" s="9" t="s">
        <v>107</v>
      </c>
      <c r="E1320" s="6" t="s">
        <v>2741</v>
      </c>
      <c r="F1320" s="9"/>
    </row>
    <row r="1321" ht="33.75" customHeight="1">
      <c r="A1321" s="7">
        <v>45.0</v>
      </c>
      <c r="B1321" s="9" t="s">
        <v>2709</v>
      </c>
      <c r="C1321" s="9" t="s">
        <v>2711</v>
      </c>
      <c r="D1321" s="9" t="s">
        <v>109</v>
      </c>
      <c r="E1321" s="6" t="s">
        <v>2743</v>
      </c>
      <c r="F1321" s="9"/>
    </row>
    <row r="1322" ht="33.75" customHeight="1">
      <c r="A1322" s="7">
        <v>45.0</v>
      </c>
      <c r="B1322" s="9" t="s">
        <v>2709</v>
      </c>
      <c r="C1322" s="9" t="s">
        <v>2711</v>
      </c>
      <c r="D1322" s="9" t="s">
        <v>111</v>
      </c>
      <c r="E1322" s="6" t="s">
        <v>2714</v>
      </c>
      <c r="F1322" s="9"/>
    </row>
    <row r="1323" ht="33.75" customHeight="1">
      <c r="A1323" s="7">
        <v>45.0</v>
      </c>
      <c r="B1323" s="9" t="s">
        <v>2709</v>
      </c>
      <c r="C1323" s="9" t="s">
        <v>2711</v>
      </c>
      <c r="D1323" s="9" t="s">
        <v>113</v>
      </c>
      <c r="E1323" s="6" t="s">
        <v>2714</v>
      </c>
      <c r="F1323" s="9"/>
    </row>
    <row r="1324" ht="33.75" customHeight="1">
      <c r="A1324" s="7">
        <v>45.0</v>
      </c>
      <c r="B1324" s="9" t="s">
        <v>2709</v>
      </c>
      <c r="C1324" s="9" t="s">
        <v>2711</v>
      </c>
      <c r="D1324" s="9" t="s">
        <v>114</v>
      </c>
      <c r="E1324" s="6" t="s">
        <v>2716</v>
      </c>
      <c r="F1324" s="9"/>
    </row>
    <row r="1325" ht="33.75" customHeight="1">
      <c r="A1325" s="7">
        <v>45.0</v>
      </c>
      <c r="B1325" s="9" t="s">
        <v>2709</v>
      </c>
      <c r="C1325" s="9" t="s">
        <v>2711</v>
      </c>
      <c r="D1325" s="9" t="s">
        <v>117</v>
      </c>
      <c r="E1325" s="6" t="s">
        <v>2712</v>
      </c>
      <c r="F1325" s="9"/>
    </row>
    <row r="1326" ht="33.75" customHeight="1">
      <c r="A1326" s="7">
        <v>46.0</v>
      </c>
      <c r="B1326" s="9" t="s">
        <v>2748</v>
      </c>
      <c r="C1326" s="9" t="s">
        <v>2749</v>
      </c>
      <c r="D1326" s="9" t="s">
        <v>24</v>
      </c>
      <c r="E1326" s="6" t="s">
        <v>2751</v>
      </c>
      <c r="F1326" t="inlineStr" s="10">
        <is>
          <t xml:space="preserve">Koloja puiden juurien imemiseen. Sen selässä olevat sienet kasvavat vetämällä ravinteita hyönteisisännältä. Kaivautuu maan alle jyrsiäkseen puiden juuria. Sen selässä olevat sienet imevät suurimman osan ravinteista. Se kastellaan sieni-itiöillä syntymän yhteydessä. Sen ruumiin kasvaessa sienet versovat sen selästä. Kun sen ruumis kasvaa suureksi, sen selästä alkaa kasvaa itämaisia ​​sieniä nimeltä tochukaso. Tämän POKéMONin selässä kasvava tochukaso käskee sitä imemään mehua puunrungoista. PARASilla on selässään kasvavia tochukasoja, joita kutsutaan loissieniksi. Ne kasvavat suuriksi imemällä ravinteita BUG-POKéMON-isännältä. Niitä arvostetaan suuresti lääkkeenä elämän pidentämiseen. PARASilla on selässään kasvavia tochukasoja, jotka ovat loissieniä. Ne kasvavat suuriksi imemällä ravinteita tältä BUG-POKéMON-isännältä. Paras-sienellä kasvaa selässään loismaisia ​​tochukasosieniä. Ne kasvavat ottamalla ravinteita isännästä. Niitä arvostetaan pitkän iän lääkkeenä. Luteen selästä kasvaa tochukaso-nimisiä sieniä. Sienet kasvavat yhdessä luteen isännän kanssa. Imee puun juuria koloissaan. Sen selässä olevat sienet kasvavat imemällä ravinteita hyönteisisännältä. Sen selässä kasvavat tochukaso-nimiset sienet. Ne kasvavat isäntäeläin Parasin rinnalla. Kun sen ruumis kasvaa, sen selästä alkaa kasvaa suuria sieniä nimeltä tochukaso. Ne kasvavat isäntäkasvin, Parasin, rinnalla. Paras-pokémonilla on selässään kasvavia loissieniä, joita kutsutaan tochukasoiksi. Syöpä se kuinka paljon tahansa, sen selässä kasvavat sienet varastavat suurimman osan sen kuluttamista ravinteista. Sen selästä kasvaa tochukaso-nimisiä sieniä. Ne voidaan kuivata ja jauhaa lääkkeeksi, jota käytetään elämän pidentämiseen. Olipa syynä sitten kosteuden tai ravinteiden puute, Alolassa Paras-vuorten sienet eivät kasva aivan oikein. Sienet, jotka tunnetaan nimellä tochukaso, pitävät ötökkää kurissa. Vaikka ötökkä ärsyttäisi sieniä, ne käskevät sitä poistumaan. Joskus sitä nähdään puiden juurella kosteissa metsissä. Sen selässä olevia sieniä – joita kutsutaan tochukasoiksi – ei ole poikasilla, vaan ne ilmestyvät esiin Paras-lajin kypsyessä.</t>
        </is>
      </c>
    </row>
    <row r="1327" ht="33.75" customHeight="1">
      <c r="A1327" s="7">
        <v>46.0</v>
      </c>
      <c r="B1327" s="9" t="s">
        <v>2748</v>
      </c>
      <c r="C1327" s="9" t="s">
        <v>2749</v>
      </c>
      <c r="D1327" s="9" t="s">
        <v>35</v>
      </c>
      <c r="E1327" s="6" t="s">
        <v>2751</v>
      </c>
      <c r="F1327" s="9"/>
    </row>
    <row r="1328" ht="33.75" customHeight="1">
      <c r="A1328" s="7">
        <v>46.0</v>
      </c>
      <c r="B1328" s="9" t="s">
        <v>2748</v>
      </c>
      <c r="C1328" s="9" t="s">
        <v>2749</v>
      </c>
      <c r="D1328" s="9" t="s">
        <v>42</v>
      </c>
      <c r="E1328" s="6" t="s">
        <v>2753</v>
      </c>
      <c r="F1328" s="9"/>
    </row>
    <row r="1329" ht="33.75" customHeight="1">
      <c r="A1329" s="7">
        <v>46.0</v>
      </c>
      <c r="B1329" s="9" t="s">
        <v>2748</v>
      </c>
      <c r="C1329" s="9" t="s">
        <v>2749</v>
      </c>
      <c r="D1329" s="9" t="s">
        <v>52</v>
      </c>
      <c r="E1329" s="6" t="s">
        <v>2755</v>
      </c>
      <c r="F1329" s="9"/>
    </row>
    <row r="1330" ht="33.75" customHeight="1">
      <c r="A1330" s="7">
        <v>46.0</v>
      </c>
      <c r="B1330" s="9" t="s">
        <v>2748</v>
      </c>
      <c r="C1330" s="9" t="s">
        <v>2749</v>
      </c>
      <c r="D1330" s="9" t="s">
        <v>59</v>
      </c>
      <c r="E1330" s="6" t="s">
        <v>2757</v>
      </c>
      <c r="F1330" s="9"/>
    </row>
    <row r="1331" ht="33.75" customHeight="1">
      <c r="A1331" s="7">
        <v>46.0</v>
      </c>
      <c r="B1331" s="9" t="s">
        <v>2748</v>
      </c>
      <c r="C1331" s="9" t="s">
        <v>2749</v>
      </c>
      <c r="D1331" s="9" t="s">
        <v>64</v>
      </c>
      <c r="E1331" s="6" t="s">
        <v>2759</v>
      </c>
      <c r="F1331" s="9"/>
    </row>
    <row r="1332" ht="33.75" customHeight="1">
      <c r="A1332" s="7">
        <v>46.0</v>
      </c>
      <c r="B1332" s="9" t="s">
        <v>2748</v>
      </c>
      <c r="C1332" s="9" t="s">
        <v>2749</v>
      </c>
      <c r="D1332" s="9" t="s">
        <v>67</v>
      </c>
      <c r="E1332" s="6" t="s">
        <v>2761</v>
      </c>
      <c r="F1332" s="9"/>
    </row>
    <row r="1333" ht="33.75" customHeight="1">
      <c r="A1333" s="7">
        <v>46.0</v>
      </c>
      <c r="B1333" s="9" t="s">
        <v>2748</v>
      </c>
      <c r="C1333" s="9" t="s">
        <v>2749</v>
      </c>
      <c r="D1333" s="9" t="s">
        <v>71</v>
      </c>
      <c r="E1333" s="6" t="s">
        <v>2764</v>
      </c>
      <c r="F1333" s="9"/>
    </row>
    <row r="1334" ht="33.75" customHeight="1">
      <c r="A1334" s="7">
        <v>46.0</v>
      </c>
      <c r="B1334" s="9" t="s">
        <v>2748</v>
      </c>
      <c r="C1334" s="9" t="s">
        <v>2749</v>
      </c>
      <c r="D1334" s="9" t="s">
        <v>73</v>
      </c>
      <c r="E1334" s="6" t="s">
        <v>2766</v>
      </c>
      <c r="F1334" s="9"/>
    </row>
    <row r="1335" ht="33.75" customHeight="1">
      <c r="A1335" s="7">
        <v>46.0</v>
      </c>
      <c r="B1335" s="9" t="s">
        <v>2748</v>
      </c>
      <c r="C1335" s="9" t="s">
        <v>2749</v>
      </c>
      <c r="D1335" s="9" t="s">
        <v>75</v>
      </c>
      <c r="E1335" s="6" t="s">
        <v>2769</v>
      </c>
      <c r="F1335" s="9"/>
    </row>
    <row r="1336" ht="33.75" customHeight="1">
      <c r="A1336" s="7">
        <v>46.0</v>
      </c>
      <c r="B1336" s="9" t="s">
        <v>2748</v>
      </c>
      <c r="C1336" s="9" t="s">
        <v>2749</v>
      </c>
      <c r="D1336" s="9" t="s">
        <v>79</v>
      </c>
      <c r="E1336" s="6" t="s">
        <v>2770</v>
      </c>
      <c r="F1336" s="9"/>
    </row>
    <row r="1337" ht="33.75" customHeight="1">
      <c r="A1337" s="7">
        <v>46.0</v>
      </c>
      <c r="B1337" s="9" t="s">
        <v>2748</v>
      </c>
      <c r="C1337" s="9" t="s">
        <v>2749</v>
      </c>
      <c r="D1337" s="9" t="s">
        <v>81</v>
      </c>
      <c r="E1337" s="6" t="s">
        <v>2772</v>
      </c>
      <c r="F1337" s="9"/>
    </row>
    <row r="1338" ht="33.75" customHeight="1">
      <c r="A1338" s="7">
        <v>46.0</v>
      </c>
      <c r="B1338" s="9" t="s">
        <v>2748</v>
      </c>
      <c r="C1338" s="9" t="s">
        <v>2749</v>
      </c>
      <c r="D1338" s="9" t="s">
        <v>84</v>
      </c>
      <c r="E1338" s="6" t="s">
        <v>2772</v>
      </c>
      <c r="F1338" s="9"/>
    </row>
    <row r="1339" ht="33.75" customHeight="1">
      <c r="A1339" s="7">
        <v>46.0</v>
      </c>
      <c r="B1339" s="9" t="s">
        <v>2748</v>
      </c>
      <c r="C1339" s="9" t="s">
        <v>2749</v>
      </c>
      <c r="D1339" s="9" t="s">
        <v>87</v>
      </c>
      <c r="E1339" s="6" t="s">
        <v>2772</v>
      </c>
      <c r="F1339" s="9"/>
    </row>
    <row r="1340" ht="33.75" customHeight="1">
      <c r="A1340" s="7">
        <v>46.0</v>
      </c>
      <c r="B1340" s="9" t="s">
        <v>2748</v>
      </c>
      <c r="C1340" s="9" t="s">
        <v>2749</v>
      </c>
      <c r="D1340" s="9" t="s">
        <v>89</v>
      </c>
      <c r="E1340" s="6" t="s">
        <v>2755</v>
      </c>
      <c r="F1340" s="9"/>
    </row>
    <row r="1341" ht="33.75" customHeight="1">
      <c r="A1341" s="7">
        <v>46.0</v>
      </c>
      <c r="B1341" s="9" t="s">
        <v>2748</v>
      </c>
      <c r="C1341" s="9" t="s">
        <v>2749</v>
      </c>
      <c r="D1341" s="9" t="s">
        <v>91</v>
      </c>
      <c r="E1341" s="6" t="s">
        <v>2777</v>
      </c>
      <c r="F1341" s="9"/>
    </row>
    <row r="1342" ht="33.75" customHeight="1">
      <c r="A1342" s="7">
        <v>46.0</v>
      </c>
      <c r="B1342" s="9" t="s">
        <v>2748</v>
      </c>
      <c r="C1342" s="9" t="s">
        <v>2749</v>
      </c>
      <c r="D1342" s="9" t="s">
        <v>93</v>
      </c>
      <c r="E1342" s="6" t="s">
        <v>2778</v>
      </c>
      <c r="F1342" s="9"/>
    </row>
    <row r="1343" ht="33.75" customHeight="1">
      <c r="A1343" s="7">
        <v>46.0</v>
      </c>
      <c r="B1343" s="9" t="s">
        <v>2748</v>
      </c>
      <c r="C1343" s="9" t="s">
        <v>2749</v>
      </c>
      <c r="D1343" s="9" t="s">
        <v>95</v>
      </c>
      <c r="E1343" s="6" t="s">
        <v>2778</v>
      </c>
      <c r="F1343" s="9"/>
    </row>
    <row r="1344" ht="33.75" customHeight="1">
      <c r="A1344" s="7">
        <v>46.0</v>
      </c>
      <c r="B1344" s="9" t="s">
        <v>2748</v>
      </c>
      <c r="C1344" s="9" t="s">
        <v>2749</v>
      </c>
      <c r="D1344" s="9" t="s">
        <v>98</v>
      </c>
      <c r="E1344" s="6" t="s">
        <v>2778</v>
      </c>
      <c r="F1344" s="9"/>
    </row>
    <row r="1345" ht="33.75" customHeight="1">
      <c r="A1345" s="7">
        <v>46.0</v>
      </c>
      <c r="B1345" s="9" t="s">
        <v>2748</v>
      </c>
      <c r="C1345" s="9" t="s">
        <v>2749</v>
      </c>
      <c r="D1345" s="9" t="s">
        <v>99</v>
      </c>
      <c r="E1345" s="6" t="s">
        <v>2778</v>
      </c>
      <c r="F1345" s="9"/>
    </row>
    <row r="1346" ht="33.75" customHeight="1">
      <c r="A1346" s="7">
        <v>46.0</v>
      </c>
      <c r="B1346" s="9" t="s">
        <v>2748</v>
      </c>
      <c r="C1346" s="9" t="s">
        <v>2749</v>
      </c>
      <c r="D1346" s="9" t="s">
        <v>101</v>
      </c>
      <c r="E1346" s="6" t="s">
        <v>2769</v>
      </c>
      <c r="F1346" s="9"/>
    </row>
    <row r="1347" ht="33.75" customHeight="1">
      <c r="A1347" s="7">
        <v>46.0</v>
      </c>
      <c r="B1347" s="9" t="s">
        <v>2748</v>
      </c>
      <c r="C1347" s="9" t="s">
        <v>2749</v>
      </c>
      <c r="D1347" s="9" t="s">
        <v>105</v>
      </c>
      <c r="E1347" s="6" t="s">
        <v>2753</v>
      </c>
      <c r="F1347" s="9"/>
    </row>
    <row r="1348" ht="33.75" customHeight="1">
      <c r="A1348" s="7">
        <v>46.0</v>
      </c>
      <c r="B1348" s="9" t="s">
        <v>2748</v>
      </c>
      <c r="C1348" s="9" t="s">
        <v>2749</v>
      </c>
      <c r="D1348" s="9" t="s">
        <v>107</v>
      </c>
      <c r="E1348" s="6" t="s">
        <v>2785</v>
      </c>
      <c r="F1348" s="9"/>
    </row>
    <row r="1349" ht="33.75" customHeight="1">
      <c r="A1349" s="7">
        <v>46.0</v>
      </c>
      <c r="B1349" s="9" t="s">
        <v>2748</v>
      </c>
      <c r="C1349" s="9" t="s">
        <v>2749</v>
      </c>
      <c r="D1349" s="9" t="s">
        <v>109</v>
      </c>
      <c r="E1349" s="6" t="s">
        <v>2785</v>
      </c>
      <c r="F1349" s="9"/>
    </row>
    <row r="1350" ht="33.75" customHeight="1">
      <c r="A1350" s="7">
        <v>46.0</v>
      </c>
      <c r="B1350" s="9" t="s">
        <v>2748</v>
      </c>
      <c r="C1350" s="9" t="s">
        <v>2749</v>
      </c>
      <c r="D1350" s="9" t="s">
        <v>637</v>
      </c>
      <c r="E1350" s="6" t="s">
        <v>2787</v>
      </c>
      <c r="F1350" s="9"/>
    </row>
    <row r="1351" ht="33.75" customHeight="1">
      <c r="A1351" s="7">
        <v>46.0</v>
      </c>
      <c r="B1351" s="9" t="s">
        <v>2748</v>
      </c>
      <c r="C1351" s="9" t="s">
        <v>2749</v>
      </c>
      <c r="D1351" s="9" t="s">
        <v>642</v>
      </c>
      <c r="E1351" s="6" t="s">
        <v>2789</v>
      </c>
      <c r="F1351" s="9"/>
    </row>
    <row r="1352" ht="33.75" customHeight="1">
      <c r="A1352" s="7">
        <v>46.0</v>
      </c>
      <c r="B1352" s="9" t="s">
        <v>2748</v>
      </c>
      <c r="C1352" s="9" t="s">
        <v>2749</v>
      </c>
      <c r="D1352" s="9" t="s">
        <v>647</v>
      </c>
      <c r="E1352" s="6" t="s">
        <v>2791</v>
      </c>
      <c r="F1352" s="9"/>
    </row>
    <row r="1353" ht="33.75" customHeight="1">
      <c r="A1353" s="7">
        <v>46.0</v>
      </c>
      <c r="B1353" s="9" t="s">
        <v>2748</v>
      </c>
      <c r="C1353" s="9" t="s">
        <v>2749</v>
      </c>
      <c r="D1353" s="9" t="s">
        <v>652</v>
      </c>
      <c r="E1353" s="6" t="s">
        <v>2793</v>
      </c>
      <c r="F1353" s="9"/>
    </row>
    <row r="1354" ht="33.75" customHeight="1">
      <c r="A1354" s="7">
        <v>46.0</v>
      </c>
      <c r="B1354" s="9" t="s">
        <v>2748</v>
      </c>
      <c r="C1354" s="9" t="s">
        <v>2749</v>
      </c>
      <c r="D1354" s="9" t="s">
        <v>111</v>
      </c>
      <c r="E1354" s="6" t="s">
        <v>2753</v>
      </c>
      <c r="F1354" s="9"/>
    </row>
    <row r="1355" ht="33.75" customHeight="1">
      <c r="A1355" s="7">
        <v>46.0</v>
      </c>
      <c r="B1355" s="9" t="s">
        <v>2748</v>
      </c>
      <c r="C1355" s="9" t="s">
        <v>2749</v>
      </c>
      <c r="D1355" s="9" t="s">
        <v>113</v>
      </c>
      <c r="E1355" s="6" t="s">
        <v>2753</v>
      </c>
      <c r="F1355" s="9"/>
    </row>
    <row r="1356" ht="33.75" customHeight="1">
      <c r="A1356" s="7">
        <v>46.0</v>
      </c>
      <c r="B1356" s="9" t="s">
        <v>2748</v>
      </c>
      <c r="C1356" s="9" t="s">
        <v>2749</v>
      </c>
      <c r="D1356" s="9" t="s">
        <v>1577</v>
      </c>
      <c r="E1356" s="6" t="s">
        <v>2797</v>
      </c>
      <c r="F1356" s="9"/>
    </row>
    <row r="1357" ht="33.75" customHeight="1">
      <c r="A1357" s="7">
        <v>47.0</v>
      </c>
      <c r="B1357" s="9" t="s">
        <v>2799</v>
      </c>
      <c r="C1357" s="9" t="s">
        <v>2749</v>
      </c>
      <c r="D1357" s="9" t="s">
        <v>24</v>
      </c>
      <c r="E1357" s="6" t="s">
        <v>2800</v>
      </c>
      <c r="F1357" t="inlineStr" s="10">
        <is>
          <t xml:space="preserve">Isäntä-loinen-pari, jossa loinen sieni on ottanut isäntähyönteisen haltuunsa. Viihtyy kosteissa paikoissa. Selässään olevat sienet kuluttavat hyönteisen isännän energiaa. Ne näyttävät ajattelevan kaiken. Se viipyy enimmäkseen pimeissä ja kosteissa paikoissa, eikä ötökkä pidä niistä, vaan sen selässä olevista suurista sienistä. Mitä suuremmaksi selällään oleva sieni kasvaa, sitä voimakkaampia sieni-itiöitä se levittää. Kun ötökästä ei ole enää mitään jäljellä uutettavaa, sen selässä olevat sienet jättävät itiöitä ötökän munaan. PARASECT-hyönteisten tiedetään tarttuvan joukoittain suuriin puihin ja imevän ravinteita niiden alarungosta ja juurista. Kun tartunnan saanut puu kuolee, ne siirtyvät kerralla toiseen puuhun. PARASECT-hyönteisten tiedetään tarttuvan joukoittain suurten puiden juuriin ja imevän niistä ravinteita. Kun saastunut puu kuolee, ne siirtyvät kerralla toisen puun päälle. Se levittää myrkyllisiä itiöitä sienen lakista. Kiinassa itiöitä käytetään rohdosvalmisteena. Isännän kehoa suuremmaksi kasvanut sieni kontrolloi PARASECTia. Se levittää myrkyllisiä itiöitä. Sitä torjuu sieni, joka on kasvanut luteen ruumista suuremmaksi. Sen sanotaan viihtyvän kosteissa paikoissa. Se viipyy enimmäkseen pimeissä ja kosteissa paikoissa, eikä se ole ötökän, vaan sen selässä olevan ison sienen suosiossa. Mitä suuremmaksi sieni selällään kasvaa, sitä voimakkaampia sieni-itiöitä se levittää. Isännän kehoa suuremmaksi kasvanut sieni hallitsee Parasectia. Parasektien tiedetään tarttuvan joukoittain suuriin puihin ja imevän ravinteita niiden alarungosta ja juurista. Kun saastunut puu kuolee, ne siirtyvät kaikki kerralla toiseen puuhun. Sen selässä oleva suuri sieni hallitsee sitä. Se taistelee usein reviiriä vastaan ​​shiinotilaisten kanssa. Se levittää myrkyllisiä itiöitä sienen lakistaan. Kerättyinä itiöitä voidaan liottaa ja keittää yrttilääkkeiden valmistamiseksi. Luunainen on enimmäkseen kuollut, ja sen selässä olevasta sienestä on tullut sen pääruumis. Jos sieni irtoaa, luteinen lakkaa liikkumasta. Sen myrkyllisiä itiöitä käytetään myös perinteisessä lääketieteessä. Ilmeisesti Alolassa tuotetut itiöt eivät ole kovin hyvälaatuisia. Selällään oleva sieni kuluttaa hyönteisen isännän energiaa. Sieni näyttää ajattelevan kaiken. Tämän Pokémonin sienittömät yksilöt makaavat liikkumatta metsässä, mikä antaa uskottavuutta hypoteesille, jonka mukaan suuri sieni hallitsee Parasectin toimia.</t>
        </is>
      </c>
    </row>
    <row r="1358" ht="33.75" customHeight="1">
      <c r="A1358" s="7">
        <v>47.0</v>
      </c>
      <c r="B1358" s="9" t="s">
        <v>2799</v>
      </c>
      <c r="C1358" s="9" t="s">
        <v>2749</v>
      </c>
      <c r="D1358" s="9" t="s">
        <v>35</v>
      </c>
      <c r="E1358" s="6" t="s">
        <v>2800</v>
      </c>
      <c r="F1358" s="9"/>
    </row>
    <row r="1359" ht="33.75" customHeight="1">
      <c r="A1359" s="7">
        <v>47.0</v>
      </c>
      <c r="B1359" s="9" t="s">
        <v>2799</v>
      </c>
      <c r="C1359" s="9" t="s">
        <v>2749</v>
      </c>
      <c r="D1359" s="9" t="s">
        <v>42</v>
      </c>
      <c r="E1359" s="6" t="s">
        <v>2803</v>
      </c>
      <c r="F1359" s="9"/>
    </row>
    <row r="1360" ht="33.75" customHeight="1">
      <c r="A1360" s="7">
        <v>47.0</v>
      </c>
      <c r="B1360" s="9" t="s">
        <v>2799</v>
      </c>
      <c r="C1360" s="9" t="s">
        <v>2749</v>
      </c>
      <c r="D1360" s="9" t="s">
        <v>52</v>
      </c>
      <c r="E1360" s="6" t="s">
        <v>2806</v>
      </c>
      <c r="F1360" s="9"/>
    </row>
    <row r="1361" ht="33.75" customHeight="1">
      <c r="A1361" s="7">
        <v>47.0</v>
      </c>
      <c r="B1361" s="9" t="s">
        <v>2799</v>
      </c>
      <c r="C1361" s="9" t="s">
        <v>2749</v>
      </c>
      <c r="D1361" s="9" t="s">
        <v>59</v>
      </c>
      <c r="E1361" s="6" t="s">
        <v>2808</v>
      </c>
      <c r="F1361" s="9"/>
    </row>
    <row r="1362" ht="33.75" customHeight="1">
      <c r="A1362" s="7">
        <v>47.0</v>
      </c>
      <c r="B1362" s="9" t="s">
        <v>2799</v>
      </c>
      <c r="C1362" s="9" t="s">
        <v>2749</v>
      </c>
      <c r="D1362" s="9" t="s">
        <v>64</v>
      </c>
      <c r="E1362" s="6" t="s">
        <v>2810</v>
      </c>
      <c r="F1362" s="9"/>
    </row>
    <row r="1363" ht="33.75" customHeight="1">
      <c r="A1363" s="7">
        <v>47.0</v>
      </c>
      <c r="B1363" s="9" t="s">
        <v>2799</v>
      </c>
      <c r="C1363" s="9" t="s">
        <v>2749</v>
      </c>
      <c r="D1363" s="9" t="s">
        <v>67</v>
      </c>
      <c r="E1363" s="6" t="s">
        <v>2812</v>
      </c>
      <c r="F1363" s="9"/>
    </row>
    <row r="1364" ht="33.75" customHeight="1">
      <c r="A1364" s="7">
        <v>47.0</v>
      </c>
      <c r="B1364" s="9" t="s">
        <v>2799</v>
      </c>
      <c r="C1364" s="9" t="s">
        <v>2749</v>
      </c>
      <c r="D1364" s="9" t="s">
        <v>71</v>
      </c>
      <c r="E1364" s="6" t="s">
        <v>2812</v>
      </c>
      <c r="F1364" s="9"/>
    </row>
    <row r="1365" ht="33.75" customHeight="1">
      <c r="A1365" s="7">
        <v>47.0</v>
      </c>
      <c r="B1365" s="9" t="s">
        <v>2799</v>
      </c>
      <c r="C1365" s="9" t="s">
        <v>2749</v>
      </c>
      <c r="D1365" s="9" t="s">
        <v>73</v>
      </c>
      <c r="E1365" s="6" t="s">
        <v>2815</v>
      </c>
      <c r="F1365" s="9"/>
    </row>
    <row r="1366" ht="33.75" customHeight="1">
      <c r="A1366" s="7">
        <v>47.0</v>
      </c>
      <c r="B1366" s="9" t="s">
        <v>2799</v>
      </c>
      <c r="C1366" s="9" t="s">
        <v>2749</v>
      </c>
      <c r="D1366" s="9" t="s">
        <v>75</v>
      </c>
      <c r="E1366" s="6" t="s">
        <v>2816</v>
      </c>
      <c r="F1366" s="9"/>
    </row>
    <row r="1367" ht="33.75" customHeight="1">
      <c r="A1367" s="7">
        <v>47.0</v>
      </c>
      <c r="B1367" s="9" t="s">
        <v>2799</v>
      </c>
      <c r="C1367" s="9" t="s">
        <v>2749</v>
      </c>
      <c r="D1367" s="9" t="s">
        <v>79</v>
      </c>
      <c r="E1367" s="6" t="s">
        <v>2800</v>
      </c>
      <c r="F1367" s="9"/>
    </row>
    <row r="1368" ht="33.75" customHeight="1">
      <c r="A1368" s="7">
        <v>47.0</v>
      </c>
      <c r="B1368" s="9" t="s">
        <v>2799</v>
      </c>
      <c r="C1368" s="9" t="s">
        <v>2749</v>
      </c>
      <c r="D1368" s="9" t="s">
        <v>81</v>
      </c>
      <c r="E1368" s="6" t="s">
        <v>2819</v>
      </c>
      <c r="F1368" s="9"/>
    </row>
    <row r="1369" ht="33.75" customHeight="1">
      <c r="A1369" s="7">
        <v>47.0</v>
      </c>
      <c r="B1369" s="9" t="s">
        <v>2799</v>
      </c>
      <c r="C1369" s="9" t="s">
        <v>2749</v>
      </c>
      <c r="D1369" s="9" t="s">
        <v>84</v>
      </c>
      <c r="E1369" s="6" t="s">
        <v>2821</v>
      </c>
      <c r="F1369" s="9"/>
    </row>
    <row r="1370" ht="33.75" customHeight="1">
      <c r="A1370" s="7">
        <v>47.0</v>
      </c>
      <c r="B1370" s="9" t="s">
        <v>2799</v>
      </c>
      <c r="C1370" s="9" t="s">
        <v>2749</v>
      </c>
      <c r="D1370" s="9" t="s">
        <v>87</v>
      </c>
      <c r="E1370" s="6" t="s">
        <v>2819</v>
      </c>
      <c r="F1370" s="9"/>
    </row>
    <row r="1371" ht="33.75" customHeight="1">
      <c r="A1371" s="7">
        <v>47.0</v>
      </c>
      <c r="B1371" s="9" t="s">
        <v>2799</v>
      </c>
      <c r="C1371" s="9" t="s">
        <v>2749</v>
      </c>
      <c r="D1371" s="9" t="s">
        <v>89</v>
      </c>
      <c r="E1371" s="6" t="s">
        <v>2822</v>
      </c>
      <c r="F1371" s="9"/>
    </row>
    <row r="1372" ht="33.75" customHeight="1">
      <c r="A1372" s="7">
        <v>47.0</v>
      </c>
      <c r="B1372" s="9" t="s">
        <v>2799</v>
      </c>
      <c r="C1372" s="9" t="s">
        <v>2749</v>
      </c>
      <c r="D1372" s="9" t="s">
        <v>91</v>
      </c>
      <c r="E1372" s="6" t="s">
        <v>2824</v>
      </c>
      <c r="F1372" s="9"/>
    </row>
    <row r="1373" ht="33.75" customHeight="1">
      <c r="A1373" s="7">
        <v>47.0</v>
      </c>
      <c r="B1373" s="9" t="s">
        <v>2799</v>
      </c>
      <c r="C1373" s="9" t="s">
        <v>2749</v>
      </c>
      <c r="D1373" s="9" t="s">
        <v>93</v>
      </c>
      <c r="E1373" s="6" t="s">
        <v>2827</v>
      </c>
      <c r="F1373" s="9"/>
    </row>
    <row r="1374" ht="33.75" customHeight="1">
      <c r="A1374" s="7">
        <v>47.0</v>
      </c>
      <c r="B1374" s="9" t="s">
        <v>2799</v>
      </c>
      <c r="C1374" s="9" t="s">
        <v>2749</v>
      </c>
      <c r="D1374" s="9" t="s">
        <v>95</v>
      </c>
      <c r="E1374" s="6" t="s">
        <v>2827</v>
      </c>
      <c r="F1374" s="9"/>
    </row>
    <row r="1375" ht="33.75" customHeight="1">
      <c r="A1375" s="7">
        <v>47.0</v>
      </c>
      <c r="B1375" s="9" t="s">
        <v>2799</v>
      </c>
      <c r="C1375" s="9" t="s">
        <v>2749</v>
      </c>
      <c r="D1375" s="9" t="s">
        <v>98</v>
      </c>
      <c r="E1375" s="6" t="s">
        <v>2827</v>
      </c>
      <c r="F1375" s="9"/>
    </row>
    <row r="1376" ht="33.75" customHeight="1">
      <c r="A1376" s="7">
        <v>47.0</v>
      </c>
      <c r="B1376" s="9" t="s">
        <v>2799</v>
      </c>
      <c r="C1376" s="9" t="s">
        <v>2749</v>
      </c>
      <c r="D1376" s="9" t="s">
        <v>99</v>
      </c>
      <c r="E1376" s="6" t="s">
        <v>2827</v>
      </c>
      <c r="F1376" s="9"/>
    </row>
    <row r="1377" ht="33.75" customHeight="1">
      <c r="A1377" s="7">
        <v>47.0</v>
      </c>
      <c r="B1377" s="9" t="s">
        <v>2799</v>
      </c>
      <c r="C1377" s="9" t="s">
        <v>2749</v>
      </c>
      <c r="D1377" s="9" t="s">
        <v>101</v>
      </c>
      <c r="E1377" s="6" t="s">
        <v>2827</v>
      </c>
      <c r="F1377" s="9"/>
    </row>
    <row r="1378" ht="33.75" customHeight="1">
      <c r="A1378" s="7">
        <v>47.0</v>
      </c>
      <c r="B1378" s="9" t="s">
        <v>2799</v>
      </c>
      <c r="C1378" s="9" t="s">
        <v>2749</v>
      </c>
      <c r="D1378" s="9" t="s">
        <v>105</v>
      </c>
      <c r="E1378" s="6" t="s">
        <v>2824</v>
      </c>
      <c r="F1378" s="9"/>
    </row>
    <row r="1379" ht="33.75" customHeight="1">
      <c r="A1379" s="7">
        <v>47.0</v>
      </c>
      <c r="B1379" s="9" t="s">
        <v>2799</v>
      </c>
      <c r="C1379" s="9" t="s">
        <v>2749</v>
      </c>
      <c r="D1379" s="9" t="s">
        <v>107</v>
      </c>
      <c r="E1379" s="6" t="s">
        <v>2837</v>
      </c>
      <c r="F1379" s="9"/>
    </row>
    <row r="1380" ht="33.75" customHeight="1">
      <c r="A1380" s="7">
        <v>47.0</v>
      </c>
      <c r="B1380" s="9" t="s">
        <v>2799</v>
      </c>
      <c r="C1380" s="9" t="s">
        <v>2749</v>
      </c>
      <c r="D1380" s="9" t="s">
        <v>109</v>
      </c>
      <c r="E1380" s="6" t="s">
        <v>2837</v>
      </c>
      <c r="F1380" s="9"/>
    </row>
    <row r="1381" ht="33.75" customHeight="1">
      <c r="A1381" s="7">
        <v>47.0</v>
      </c>
      <c r="B1381" s="9" t="s">
        <v>2799</v>
      </c>
      <c r="C1381" s="9" t="s">
        <v>2749</v>
      </c>
      <c r="D1381" s="9" t="s">
        <v>637</v>
      </c>
      <c r="E1381" s="6" t="s">
        <v>2841</v>
      </c>
      <c r="F1381" s="9"/>
    </row>
    <row r="1382" ht="33.75" customHeight="1">
      <c r="A1382" s="7">
        <v>47.0</v>
      </c>
      <c r="B1382" s="9" t="s">
        <v>2799</v>
      </c>
      <c r="C1382" s="9" t="s">
        <v>2749</v>
      </c>
      <c r="D1382" s="9" t="s">
        <v>642</v>
      </c>
      <c r="E1382" s="6" t="s">
        <v>2844</v>
      </c>
      <c r="F1382" s="9"/>
    </row>
    <row r="1383" ht="33.75" customHeight="1">
      <c r="A1383" s="7">
        <v>47.0</v>
      </c>
      <c r="B1383" s="9" t="s">
        <v>2799</v>
      </c>
      <c r="C1383" s="9" t="s">
        <v>2749</v>
      </c>
      <c r="D1383" s="9" t="s">
        <v>647</v>
      </c>
      <c r="E1383" s="6" t="s">
        <v>2847</v>
      </c>
      <c r="F1383" s="9"/>
    </row>
    <row r="1384" ht="33.75" customHeight="1">
      <c r="A1384" s="7">
        <v>47.0</v>
      </c>
      <c r="B1384" s="9" t="s">
        <v>2799</v>
      </c>
      <c r="C1384" s="9" t="s">
        <v>2749</v>
      </c>
      <c r="D1384" s="9" t="s">
        <v>652</v>
      </c>
      <c r="E1384" s="6" t="s">
        <v>2850</v>
      </c>
      <c r="F1384" s="9"/>
    </row>
    <row r="1385" ht="33.75" customHeight="1">
      <c r="A1385" s="7">
        <v>47.0</v>
      </c>
      <c r="B1385" s="9" t="s">
        <v>2799</v>
      </c>
      <c r="C1385" s="9" t="s">
        <v>2749</v>
      </c>
      <c r="D1385" s="9" t="s">
        <v>111</v>
      </c>
      <c r="E1385" s="6" t="s">
        <v>2852</v>
      </c>
      <c r="F1385" s="9"/>
    </row>
    <row r="1386" ht="33.75" customHeight="1">
      <c r="A1386" s="7">
        <v>47.0</v>
      </c>
      <c r="B1386" s="9" t="s">
        <v>2799</v>
      </c>
      <c r="C1386" s="9" t="s">
        <v>2749</v>
      </c>
      <c r="D1386" s="9" t="s">
        <v>113</v>
      </c>
      <c r="E1386" s="6" t="s">
        <v>2852</v>
      </c>
      <c r="F1386" s="9"/>
    </row>
    <row r="1387" ht="33.75" customHeight="1">
      <c r="A1387" s="7">
        <v>47.0</v>
      </c>
      <c r="B1387" s="9" t="s">
        <v>2799</v>
      </c>
      <c r="C1387" s="9" t="s">
        <v>2749</v>
      </c>
      <c r="D1387" s="9" t="s">
        <v>1577</v>
      </c>
      <c r="E1387" s="6" t="s">
        <v>2855</v>
      </c>
      <c r="F1387" s="9"/>
    </row>
    <row r="1388" ht="33.75" customHeight="1">
      <c r="A1388" s="7">
        <v>48.0</v>
      </c>
      <c r="B1388" s="9" t="s">
        <v>2857</v>
      </c>
      <c r="C1388" s="9" t="s">
        <v>2859</v>
      </c>
      <c r="D1388" s="9" t="s">
        <v>24</v>
      </c>
      <c r="E1388" s="6" t="s">
        <v>2860</v>
      </c>
      <c r="F1388" t="inlineStr" s="10">
        <is>
          <t xml:space="preserve">Venonat elää korkeiden puiden varjoissa, missä se syö hyönteisiä. Yöllä valo vetää sitä puoleensa. Sen suuret silmät toimivat tutkina. Kirkkaassa paikassa ne ovat monien pienten silmien ryppäitä. Sen silmät toimivat myös tutkayksiköinä. Se pyydystää ja syö pieniä ötököitä, jotka piileskelevät pimeydessä. Myrkkyä tihkuu kaikkialta sen kehosta. Se pyydystää ja syö yöllä pieniä hyönteisiä, joita valo houkuttelee. Sen syömät pienet ötökät ilmestyvät vain yöllä, joten se nukkuu puunkolossa yön laskeutumiseen asti. VENONATin sanotaan kehittyneen ohuen ja jäykän karvapeitteen kanssa, joka peittää koko sen kehon suojaksi. Sillä on suuret silmät, jotka havaitsevat aina pienimmänkin saaliin. Sen ohuen ja jäykän karvan, joka peittää koko kehon, sanotaan kehittyneen suojaksi. Sen suuret silmät havaitsevat aina pienimmänkin saaliin. Sen silmät toimivat tutkan tavoin, minkä ansiosta se on aktiivinen pimeässä. Silmät voivat myös ampua voimakkaita säteitä. Sen suuret silmät ovat itse asiassa pienten silmien ryppäitä. Yöllä valo vetää puoleensa lajiaan. Sillä on suuret silmät, jotka havaitsevat aina pienenkin saaliin. Sen suuret silmät toimivat tutkana.</t>
        </is>
      </c>
    </row>
    <row r="1389" ht="33.75" customHeight="1">
      <c r="A1389" s="7">
        <v>48.0</v>
      </c>
      <c r="B1389" s="9" t="s">
        <v>2857</v>
      </c>
      <c r="C1389" s="9" t="s">
        <v>2859</v>
      </c>
      <c r="D1389" s="9" t="s">
        <v>35</v>
      </c>
      <c r="E1389" s="6" t="s">
        <v>2860</v>
      </c>
      <c r="F1389" s="9"/>
    </row>
    <row r="1390" ht="33.75" customHeight="1">
      <c r="A1390" s="7">
        <v>48.0</v>
      </c>
      <c r="B1390" s="9" t="s">
        <v>2857</v>
      </c>
      <c r="C1390" s="9" t="s">
        <v>2859</v>
      </c>
      <c r="D1390" s="9" t="s">
        <v>42</v>
      </c>
      <c r="E1390" s="6" t="s">
        <v>2864</v>
      </c>
      <c r="F1390" s="9"/>
    </row>
    <row r="1391" ht="33.75" customHeight="1">
      <c r="A1391" s="7">
        <v>48.0</v>
      </c>
      <c r="B1391" s="9" t="s">
        <v>2857</v>
      </c>
      <c r="C1391" s="9" t="s">
        <v>2859</v>
      </c>
      <c r="D1391" s="9" t="s">
        <v>52</v>
      </c>
      <c r="E1391" s="6" t="s">
        <v>2867</v>
      </c>
      <c r="F1391" s="9"/>
    </row>
    <row r="1392" ht="33.75" customHeight="1">
      <c r="A1392" s="7">
        <v>48.0</v>
      </c>
      <c r="B1392" s="9" t="s">
        <v>2857</v>
      </c>
      <c r="C1392" s="9" t="s">
        <v>2859</v>
      </c>
      <c r="D1392" s="9" t="s">
        <v>59</v>
      </c>
      <c r="E1392" s="6" t="s">
        <v>2869</v>
      </c>
      <c r="F1392" s="9"/>
    </row>
    <row r="1393" ht="33.75" customHeight="1">
      <c r="A1393" s="7">
        <v>48.0</v>
      </c>
      <c r="B1393" s="9" t="s">
        <v>2857</v>
      </c>
      <c r="C1393" s="9" t="s">
        <v>2859</v>
      </c>
      <c r="D1393" s="9" t="s">
        <v>64</v>
      </c>
      <c r="E1393" s="6" t="s">
        <v>2872</v>
      </c>
      <c r="F1393" s="9"/>
    </row>
    <row r="1394" ht="33.75" customHeight="1">
      <c r="A1394" s="7">
        <v>48.0</v>
      </c>
      <c r="B1394" s="9" t="s">
        <v>2857</v>
      </c>
      <c r="C1394" s="9" t="s">
        <v>2859</v>
      </c>
      <c r="D1394" s="9" t="s">
        <v>67</v>
      </c>
      <c r="E1394" s="6" t="s">
        <v>2874</v>
      </c>
      <c r="F1394" s="9"/>
    </row>
    <row r="1395" ht="33.75" customHeight="1">
      <c r="A1395" s="7">
        <v>48.0</v>
      </c>
      <c r="B1395" s="9" t="s">
        <v>2857</v>
      </c>
      <c r="C1395" s="9" t="s">
        <v>2859</v>
      </c>
      <c r="D1395" s="9" t="s">
        <v>71</v>
      </c>
      <c r="E1395" s="6" t="s">
        <v>2874</v>
      </c>
      <c r="F1395" s="9"/>
    </row>
    <row r="1396" ht="33.75" customHeight="1">
      <c r="A1396" s="7">
        <v>48.0</v>
      </c>
      <c r="B1396" s="9" t="s">
        <v>2857</v>
      </c>
      <c r="C1396" s="9" t="s">
        <v>2859</v>
      </c>
      <c r="D1396" s="9" t="s">
        <v>73</v>
      </c>
      <c r="E1396" s="6" t="s">
        <v>2878</v>
      </c>
      <c r="F1396" s="9"/>
    </row>
    <row r="1397" ht="33.75" customHeight="1">
      <c r="A1397" s="7">
        <v>48.0</v>
      </c>
      <c r="B1397" s="9" t="s">
        <v>2857</v>
      </c>
      <c r="C1397" s="9" t="s">
        <v>2859</v>
      </c>
      <c r="D1397" s="9" t="s">
        <v>75</v>
      </c>
      <c r="E1397" s="6" t="s">
        <v>2881</v>
      </c>
      <c r="F1397" s="9"/>
    </row>
    <row r="1398" ht="33.75" customHeight="1">
      <c r="A1398" s="7">
        <v>48.0</v>
      </c>
      <c r="B1398" s="9" t="s">
        <v>2857</v>
      </c>
      <c r="C1398" s="9" t="s">
        <v>2859</v>
      </c>
      <c r="D1398" s="9" t="s">
        <v>79</v>
      </c>
      <c r="E1398" s="6" t="s">
        <v>2860</v>
      </c>
      <c r="F1398" s="9"/>
    </row>
    <row r="1399" ht="33.75" customHeight="1">
      <c r="A1399" s="7">
        <v>48.0</v>
      </c>
      <c r="B1399" s="9" t="s">
        <v>2857</v>
      </c>
      <c r="C1399" s="9" t="s">
        <v>2859</v>
      </c>
      <c r="D1399" s="9" t="s">
        <v>81</v>
      </c>
      <c r="E1399" s="6" t="s">
        <v>2884</v>
      </c>
      <c r="F1399" s="9"/>
    </row>
    <row r="1400" ht="33.75" customHeight="1">
      <c r="A1400" s="7">
        <v>48.0</v>
      </c>
      <c r="B1400" s="9" t="s">
        <v>2857</v>
      </c>
      <c r="C1400" s="9" t="s">
        <v>2859</v>
      </c>
      <c r="D1400" s="9" t="s">
        <v>84</v>
      </c>
      <c r="E1400" s="6" t="s">
        <v>2884</v>
      </c>
      <c r="F1400" s="9"/>
    </row>
    <row r="1401" ht="33.75" customHeight="1">
      <c r="A1401" s="7">
        <v>48.0</v>
      </c>
      <c r="B1401" s="9" t="s">
        <v>2857</v>
      </c>
      <c r="C1401" s="9" t="s">
        <v>2859</v>
      </c>
      <c r="D1401" s="9" t="s">
        <v>87</v>
      </c>
      <c r="E1401" s="6" t="s">
        <v>2884</v>
      </c>
      <c r="F1401" s="9"/>
    </row>
    <row r="1402" ht="33.75" customHeight="1">
      <c r="A1402" s="7">
        <v>48.0</v>
      </c>
      <c r="B1402" s="9" t="s">
        <v>2857</v>
      </c>
      <c r="C1402" s="9" t="s">
        <v>2859</v>
      </c>
      <c r="D1402" s="9" t="s">
        <v>89</v>
      </c>
      <c r="E1402" s="6" t="s">
        <v>2867</v>
      </c>
      <c r="F1402" s="9"/>
    </row>
    <row r="1403" ht="33.75" customHeight="1">
      <c r="A1403" s="7">
        <v>48.0</v>
      </c>
      <c r="B1403" s="9" t="s">
        <v>2857</v>
      </c>
      <c r="C1403" s="9" t="s">
        <v>2859</v>
      </c>
      <c r="D1403" s="9" t="s">
        <v>91</v>
      </c>
      <c r="E1403" s="6" t="s">
        <v>2869</v>
      </c>
      <c r="F1403" s="9"/>
    </row>
    <row r="1404" ht="33.75" customHeight="1">
      <c r="A1404" s="7">
        <v>48.0</v>
      </c>
      <c r="B1404" s="9" t="s">
        <v>2857</v>
      </c>
      <c r="C1404" s="9" t="s">
        <v>2859</v>
      </c>
      <c r="D1404" s="9" t="s">
        <v>93</v>
      </c>
      <c r="E1404" s="6" t="s">
        <v>2884</v>
      </c>
      <c r="F1404" s="9"/>
    </row>
    <row r="1405" ht="33.75" customHeight="1">
      <c r="A1405" s="7">
        <v>48.0</v>
      </c>
      <c r="B1405" s="9" t="s">
        <v>2857</v>
      </c>
      <c r="C1405" s="9" t="s">
        <v>2859</v>
      </c>
      <c r="D1405" s="9" t="s">
        <v>95</v>
      </c>
      <c r="E1405" s="6" t="s">
        <v>2884</v>
      </c>
      <c r="F1405" s="9"/>
    </row>
    <row r="1406" ht="33.75" customHeight="1">
      <c r="A1406" s="7">
        <v>48.0</v>
      </c>
      <c r="B1406" s="9" t="s">
        <v>2857</v>
      </c>
      <c r="C1406" s="9" t="s">
        <v>2859</v>
      </c>
      <c r="D1406" s="9" t="s">
        <v>98</v>
      </c>
      <c r="E1406" s="6" t="s">
        <v>2884</v>
      </c>
      <c r="F1406" s="9"/>
    </row>
    <row r="1407" ht="33.75" customHeight="1">
      <c r="A1407" s="7">
        <v>48.0</v>
      </c>
      <c r="B1407" s="9" t="s">
        <v>2857</v>
      </c>
      <c r="C1407" s="9" t="s">
        <v>2859</v>
      </c>
      <c r="D1407" s="9" t="s">
        <v>99</v>
      </c>
      <c r="E1407" s="6" t="s">
        <v>2884</v>
      </c>
      <c r="F1407" s="9"/>
    </row>
    <row r="1408" ht="33.75" customHeight="1">
      <c r="A1408" s="7">
        <v>48.0</v>
      </c>
      <c r="B1408" s="9" t="s">
        <v>2857</v>
      </c>
      <c r="C1408" s="9" t="s">
        <v>2859</v>
      </c>
      <c r="D1408" s="9" t="s">
        <v>101</v>
      </c>
      <c r="E1408" s="6" t="s">
        <v>2884</v>
      </c>
      <c r="F1408" s="9"/>
    </row>
    <row r="1409" ht="33.75" customHeight="1">
      <c r="A1409" s="7">
        <v>48.0</v>
      </c>
      <c r="B1409" s="9" t="s">
        <v>2857</v>
      </c>
      <c r="C1409" s="9" t="s">
        <v>2859</v>
      </c>
      <c r="D1409" s="9" t="s">
        <v>105</v>
      </c>
      <c r="E1409" s="6" t="s">
        <v>2860</v>
      </c>
      <c r="F1409" s="9"/>
    </row>
    <row r="1410" ht="33.75" customHeight="1">
      <c r="A1410" s="7">
        <v>48.0</v>
      </c>
      <c r="B1410" s="9" t="s">
        <v>2857</v>
      </c>
      <c r="C1410" s="9" t="s">
        <v>2859</v>
      </c>
      <c r="D1410" s="9" t="s">
        <v>107</v>
      </c>
      <c r="E1410" s="6" t="s">
        <v>2904</v>
      </c>
      <c r="F1410" s="9"/>
    </row>
    <row r="1411" ht="33.75" customHeight="1">
      <c r="A1411" s="7">
        <v>48.0</v>
      </c>
      <c r="B1411" s="9" t="s">
        <v>2857</v>
      </c>
      <c r="C1411" s="9" t="s">
        <v>2859</v>
      </c>
      <c r="D1411" s="9" t="s">
        <v>109</v>
      </c>
      <c r="E1411" s="6" t="s">
        <v>2904</v>
      </c>
      <c r="F1411" s="9"/>
    </row>
    <row r="1412" ht="33.75" customHeight="1">
      <c r="A1412" s="7">
        <v>48.0</v>
      </c>
      <c r="B1412" s="9" t="s">
        <v>2857</v>
      </c>
      <c r="C1412" s="9" t="s">
        <v>2859</v>
      </c>
      <c r="D1412" s="9" t="s">
        <v>111</v>
      </c>
      <c r="E1412" s="6" t="s">
        <v>2908</v>
      </c>
      <c r="F1412" s="9"/>
    </row>
    <row r="1413" ht="33.75" customHeight="1">
      <c r="A1413" s="7">
        <v>48.0</v>
      </c>
      <c r="B1413" s="9" t="s">
        <v>2857</v>
      </c>
      <c r="C1413" s="9" t="s">
        <v>2859</v>
      </c>
      <c r="D1413" s="9" t="s">
        <v>113</v>
      </c>
      <c r="E1413" s="6" t="s">
        <v>2908</v>
      </c>
      <c r="F1413" s="9"/>
    </row>
    <row r="1414" ht="33.75" customHeight="1">
      <c r="A1414" s="7">
        <v>49.0</v>
      </c>
      <c r="B1414" s="9" t="s">
        <v>2913</v>
      </c>
      <c r="C1414" s="9" t="s">
        <v>2914</v>
      </c>
      <c r="D1414" s="9" t="s">
        <v>24</v>
      </c>
      <c r="E1414" s="6" t="s">
        <v>2915</v>
      </c>
      <c r="F1414" t="inlineStr" s="10">
        <is>
          <t xml:space="preserve">Venomothin siipiä peittävät pölymäiset suomut on värikoodattu osoittamaan sen sisältämien myrkkyjen tyyppejä. Sen siipien jauhemaiset suomut on vaikea poistaa. Ne sisältävät myös myrkkyä, jota vuotaa kosketuksessa. Hyökätessään se räpyttelee rajusti suuria siipiään ja levittää myrkyllistä jauhettaan kaikkialle. Sen siivissä oleva jauhe on myrkyllistä, jos se on tummaa. Jos se on vaaleaa, se aiheuttaa halvaantumisen. Sen levittämät suomut halvaannuttavat jokaisen, joka niihin koskee, niin että henkilö ei pysty seisomaan. VENOMOTH on yöeläin – se on POKéMON, joka aktivoituu vain yöllä. Sen lempisaalis on pieniä hyönteisiä, jotka kerääntyvät katulamppujen ympärille pimeyden valon houkuttelemina. MYRKKYT ovat yöeläimiä – ne ovat aktiivisia vain yöllä. Niiden lempisaalis on hyönteisiä, jotka kerääntyvät katulamppujen ympärille pimeyden valon houkuttelemina. Siivet ovat pölymäisten suomujen peitossa. Joka kerta siipiään räpytellen se irrottaa erittäin myrkyllistä pölyä. Se räpyttelee siipiään levittääkseen pölymäisiä suomuja. Suomut irrottavat myrkkyjä, jos ne joutuvat kosketuksiin ihon kanssa. Sen siipien jauhe on myrkyllistä, jos se on tummaa. Sen siipien jauhemaisia ​​suomuja on vaikea poistaa iholta. Ne sisältävät myös myrkkyä, jota vuotaa kosketuksessa ihon kanssa.</t>
        </is>
      </c>
    </row>
    <row r="1415" ht="33.75" customHeight="1">
      <c r="A1415" s="7">
        <v>49.0</v>
      </c>
      <c r="B1415" s="9" t="s">
        <v>2913</v>
      </c>
      <c r="C1415" s="9" t="s">
        <v>2914</v>
      </c>
      <c r="D1415" s="9" t="s">
        <v>35</v>
      </c>
      <c r="E1415" s="6" t="s">
        <v>2915</v>
      </c>
      <c r="F1415" s="9"/>
    </row>
    <row r="1416" ht="33.75" customHeight="1">
      <c r="A1416" s="7">
        <v>49.0</v>
      </c>
      <c r="B1416" s="9" t="s">
        <v>2913</v>
      </c>
      <c r="C1416" s="9" t="s">
        <v>2914</v>
      </c>
      <c r="D1416" s="9" t="s">
        <v>42</v>
      </c>
      <c r="E1416" s="6" t="s">
        <v>2918</v>
      </c>
      <c r="F1416" s="9"/>
    </row>
    <row r="1417" ht="33.75" customHeight="1">
      <c r="A1417" s="7">
        <v>49.0</v>
      </c>
      <c r="B1417" s="9" t="s">
        <v>2913</v>
      </c>
      <c r="C1417" s="9" t="s">
        <v>2914</v>
      </c>
      <c r="D1417" s="9" t="s">
        <v>52</v>
      </c>
      <c r="E1417" s="6" t="s">
        <v>2920</v>
      </c>
      <c r="F1417" s="9"/>
    </row>
    <row r="1418" ht="33.75" customHeight="1">
      <c r="A1418" s="7">
        <v>49.0</v>
      </c>
      <c r="B1418" s="9" t="s">
        <v>2913</v>
      </c>
      <c r="C1418" s="9" t="s">
        <v>2914</v>
      </c>
      <c r="D1418" s="9" t="s">
        <v>59</v>
      </c>
      <c r="E1418" s="6" t="s">
        <v>2922</v>
      </c>
      <c r="F1418" s="9"/>
    </row>
    <row r="1419" ht="33.75" customHeight="1">
      <c r="A1419" s="7">
        <v>49.0</v>
      </c>
      <c r="B1419" s="9" t="s">
        <v>2913</v>
      </c>
      <c r="C1419" s="9" t="s">
        <v>2914</v>
      </c>
      <c r="D1419" s="9" t="s">
        <v>64</v>
      </c>
      <c r="E1419" s="6" t="s">
        <v>2924</v>
      </c>
      <c r="F1419" s="9"/>
    </row>
    <row r="1420" ht="33.75" customHeight="1">
      <c r="A1420" s="7">
        <v>49.0</v>
      </c>
      <c r="B1420" s="9" t="s">
        <v>2913</v>
      </c>
      <c r="C1420" s="9" t="s">
        <v>2914</v>
      </c>
      <c r="D1420" s="9" t="s">
        <v>67</v>
      </c>
      <c r="E1420" s="6" t="s">
        <v>2926</v>
      </c>
      <c r="F1420" s="9"/>
    </row>
    <row r="1421" ht="33.75" customHeight="1">
      <c r="A1421" s="7">
        <v>49.0</v>
      </c>
      <c r="B1421" s="9" t="s">
        <v>2913</v>
      </c>
      <c r="C1421" s="9" t="s">
        <v>2914</v>
      </c>
      <c r="D1421" s="9" t="s">
        <v>71</v>
      </c>
      <c r="E1421" s="6" t="s">
        <v>2926</v>
      </c>
      <c r="F1421" s="9"/>
    </row>
    <row r="1422" ht="33.75" customHeight="1">
      <c r="A1422" s="7">
        <v>49.0</v>
      </c>
      <c r="B1422" s="9" t="s">
        <v>2913</v>
      </c>
      <c r="C1422" s="9" t="s">
        <v>2914</v>
      </c>
      <c r="D1422" s="9" t="s">
        <v>73</v>
      </c>
      <c r="E1422" s="6" t="s">
        <v>2929</v>
      </c>
      <c r="F1422" s="9"/>
    </row>
    <row r="1423" ht="33.75" customHeight="1">
      <c r="A1423" s="7">
        <v>49.0</v>
      </c>
      <c r="B1423" s="9" t="s">
        <v>2913</v>
      </c>
      <c r="C1423" s="9" t="s">
        <v>2914</v>
      </c>
      <c r="D1423" s="9" t="s">
        <v>75</v>
      </c>
      <c r="E1423" s="6" t="s">
        <v>2931</v>
      </c>
      <c r="F1423" s="9"/>
    </row>
    <row r="1424" ht="33.75" customHeight="1">
      <c r="A1424" s="7">
        <v>49.0</v>
      </c>
      <c r="B1424" s="9" t="s">
        <v>2913</v>
      </c>
      <c r="C1424" s="9" t="s">
        <v>2914</v>
      </c>
      <c r="D1424" s="9" t="s">
        <v>79</v>
      </c>
      <c r="E1424" s="6" t="s">
        <v>2915</v>
      </c>
      <c r="F1424" s="9"/>
    </row>
    <row r="1425" ht="33.75" customHeight="1">
      <c r="A1425" s="7">
        <v>49.0</v>
      </c>
      <c r="B1425" s="9" t="s">
        <v>2913</v>
      </c>
      <c r="C1425" s="9" t="s">
        <v>2914</v>
      </c>
      <c r="D1425" s="9" t="s">
        <v>81</v>
      </c>
      <c r="E1425" s="6" t="s">
        <v>2933</v>
      </c>
      <c r="F1425" s="9"/>
    </row>
    <row r="1426" ht="33.75" customHeight="1">
      <c r="A1426" s="7">
        <v>49.0</v>
      </c>
      <c r="B1426" s="9" t="s">
        <v>2913</v>
      </c>
      <c r="C1426" s="9" t="s">
        <v>2914</v>
      </c>
      <c r="D1426" s="9" t="s">
        <v>84</v>
      </c>
      <c r="E1426" s="6" t="s">
        <v>2933</v>
      </c>
      <c r="F1426" s="9"/>
    </row>
    <row r="1427" ht="33.75" customHeight="1">
      <c r="A1427" s="7">
        <v>49.0</v>
      </c>
      <c r="B1427" s="9" t="s">
        <v>2913</v>
      </c>
      <c r="C1427" s="9" t="s">
        <v>2914</v>
      </c>
      <c r="D1427" s="9" t="s">
        <v>87</v>
      </c>
      <c r="E1427" s="6" t="s">
        <v>2933</v>
      </c>
      <c r="F1427" s="9"/>
    </row>
    <row r="1428" ht="33.75" customHeight="1">
      <c r="A1428" s="7">
        <v>49.0</v>
      </c>
      <c r="B1428" s="9" t="s">
        <v>2913</v>
      </c>
      <c r="C1428" s="9" t="s">
        <v>2914</v>
      </c>
      <c r="D1428" s="9" t="s">
        <v>89</v>
      </c>
      <c r="E1428" s="6" t="s">
        <v>2920</v>
      </c>
      <c r="F1428" s="9"/>
    </row>
    <row r="1429" ht="33.75" customHeight="1">
      <c r="A1429" s="7">
        <v>49.0</v>
      </c>
      <c r="B1429" s="9" t="s">
        <v>2913</v>
      </c>
      <c r="C1429" s="9" t="s">
        <v>2914</v>
      </c>
      <c r="D1429" s="9" t="s">
        <v>91</v>
      </c>
      <c r="E1429" s="6" t="s">
        <v>2940</v>
      </c>
      <c r="F1429" s="9"/>
    </row>
    <row r="1430" ht="33.75" customHeight="1">
      <c r="A1430" s="7">
        <v>49.0</v>
      </c>
      <c r="B1430" s="9" t="s">
        <v>2913</v>
      </c>
      <c r="C1430" s="9" t="s">
        <v>2914</v>
      </c>
      <c r="D1430" s="9" t="s">
        <v>93</v>
      </c>
      <c r="E1430" s="6" t="s">
        <v>2933</v>
      </c>
      <c r="F1430" s="9"/>
    </row>
    <row r="1431" ht="33.75" customHeight="1">
      <c r="A1431" s="7">
        <v>49.0</v>
      </c>
      <c r="B1431" s="9" t="s">
        <v>2913</v>
      </c>
      <c r="C1431" s="9" t="s">
        <v>2914</v>
      </c>
      <c r="D1431" s="9" t="s">
        <v>95</v>
      </c>
      <c r="E1431" s="6" t="s">
        <v>2933</v>
      </c>
      <c r="F1431" s="9"/>
    </row>
    <row r="1432" ht="33.75" customHeight="1">
      <c r="A1432" s="7">
        <v>49.0</v>
      </c>
      <c r="B1432" s="9" t="s">
        <v>2913</v>
      </c>
      <c r="C1432" s="9" t="s">
        <v>2914</v>
      </c>
      <c r="D1432" s="9" t="s">
        <v>98</v>
      </c>
      <c r="E1432" s="6" t="s">
        <v>2933</v>
      </c>
      <c r="F1432" s="9"/>
    </row>
    <row r="1433" ht="33.75" customHeight="1">
      <c r="A1433" s="7">
        <v>49.0</v>
      </c>
      <c r="B1433" s="9" t="s">
        <v>2913</v>
      </c>
      <c r="C1433" s="9" t="s">
        <v>2914</v>
      </c>
      <c r="D1433" s="9" t="s">
        <v>99</v>
      </c>
      <c r="E1433" s="6" t="s">
        <v>2933</v>
      </c>
      <c r="F1433" s="9"/>
    </row>
    <row r="1434" ht="33.75" customHeight="1">
      <c r="A1434" s="7">
        <v>49.0</v>
      </c>
      <c r="B1434" s="9" t="s">
        <v>2913</v>
      </c>
      <c r="C1434" s="9" t="s">
        <v>2914</v>
      </c>
      <c r="D1434" s="9" t="s">
        <v>101</v>
      </c>
      <c r="E1434" s="6" t="s">
        <v>2924</v>
      </c>
      <c r="F1434" s="9"/>
    </row>
    <row r="1435" ht="33.75" customHeight="1">
      <c r="A1435" s="7">
        <v>49.0</v>
      </c>
      <c r="B1435" s="9" t="s">
        <v>2913</v>
      </c>
      <c r="C1435" s="9" t="s">
        <v>2914</v>
      </c>
      <c r="D1435" s="9" t="s">
        <v>105</v>
      </c>
      <c r="E1435" s="6" t="s">
        <v>2931</v>
      </c>
      <c r="F1435" s="9"/>
    </row>
    <row r="1436" ht="33.75" customHeight="1">
      <c r="A1436" s="7">
        <v>49.0</v>
      </c>
      <c r="B1436" s="9" t="s">
        <v>2913</v>
      </c>
      <c r="C1436" s="9" t="s">
        <v>2914</v>
      </c>
      <c r="D1436" s="9" t="s">
        <v>107</v>
      </c>
      <c r="E1436" s="6" t="s">
        <v>2948</v>
      </c>
      <c r="F1436" s="9"/>
    </row>
    <row r="1437" ht="33.75" customHeight="1">
      <c r="A1437" s="7">
        <v>49.0</v>
      </c>
      <c r="B1437" s="9" t="s">
        <v>2913</v>
      </c>
      <c r="C1437" s="9" t="s">
        <v>2914</v>
      </c>
      <c r="D1437" s="9" t="s">
        <v>109</v>
      </c>
      <c r="E1437" s="6" t="s">
        <v>2948</v>
      </c>
      <c r="F1437" s="9"/>
    </row>
    <row r="1438" ht="33.75" customHeight="1">
      <c r="A1438" s="7">
        <v>49.0</v>
      </c>
      <c r="B1438" s="9" t="s">
        <v>2913</v>
      </c>
      <c r="C1438" s="9" t="s">
        <v>2914</v>
      </c>
      <c r="D1438" s="9" t="s">
        <v>111</v>
      </c>
      <c r="E1438" s="6" t="s">
        <v>2951</v>
      </c>
      <c r="F1438" s="9"/>
    </row>
    <row r="1439" ht="33.75" customHeight="1">
      <c r="A1439" s="7">
        <v>49.0</v>
      </c>
      <c r="B1439" s="9" t="s">
        <v>2913</v>
      </c>
      <c r="C1439" s="9" t="s">
        <v>2914</v>
      </c>
      <c r="D1439" s="9" t="s">
        <v>113</v>
      </c>
      <c r="E1439" s="6" t="s">
        <v>2951</v>
      </c>
      <c r="F1439" s="9"/>
    </row>
    <row r="1440" ht="33.75" customHeight="1">
      <c r="A1440" s="7">
        <v>50.0</v>
      </c>
      <c r="B1440" s="9" t="s">
        <v>2953</v>
      </c>
      <c r="C1440" s="9" t="s">
        <v>2954</v>
      </c>
      <c r="D1440" s="9" t="s">
        <v>24</v>
      </c>
      <c r="E1440" s="6" t="s">
        <v>2955</v>
      </c>
      <c r="F1440" t="inlineStr" s="10">
        <is>
          <t xml:space="preserve">Asuu noin metrin syvyydessä maan alla, missä se syö kasvien juuria. Joskus se esiintyy maanpinnan yläpuolella. Se viihtyy pimeissä paikoissa. Se viettää suurimman osan ajastaan ​​maan alla, vaikka se saattaa ilmestyä luoliin. Sen iho on hyvin ohut. Jos se altistuu valolle, sen veri lämpenee, mikä heikentää sitä. Jos DIGLETT KYLVIÄÄ pellon läpi, se jättää maan täydellisesti muokatuksi ja ihanteelliseksi viljelykasvien istuttamiseen. Se kaivautuu maan alle ja pureskelee puiden juuria, työntäen päänsä ulos vain silloin, kun aurinko ei paista kirkkaasti. DIGLETT-pokemoneja kasvatetaan useimmilla maatiloilla. Syy on yksinkertainen – minne tahansa tämä POKéMON kaivautuukin, maaperä jätetään täydellisesti kynnetyksi kasvien istuttamista varten. Tämä maaperä on ihanteellinen herkullisten vihannesten kasvattamiseen. DIGLETT-kananpoikasia kasvatetaan useimmilla maatiloilla. Syy on yksinkertainen – minne ikinä ne kaivautuvatkin, maaperä jää täydellisesti muokatuksi herkullisten satojen kasvattamista varten. Se kaivautuu maahan matalalla syvyydellä. Se jättää jälkeensä kohoumaa, minkä ansiosta se on helppo havaita. Maan alla elävä Pokémon. Pimeän elinympäristönsä vuoksi kirkas auringonvalo karkottaa sitä. Jos DIGLETT kaivaa pellon läpi, se jättää maaperän täydellisesti muokatuksi ja ihanteelliseksi viljelykasvien istuttamiseen. Diglettejä kasvatetaan useimmilla maatiloilla. Syy on yksinkertainen – minne tahansa tämä Pokémon kaivautuukin, maaperä jätetään täydellisesti kynnetyksi viljelykasvien istuttamista varten. Se pureskelee kasvien juuria maan alla. Viljelijät, joiden vihannekset ovat herkkiä, huomaavat sen olevan melkoinen tuholainen. Monet maanviljelijät vaalivat ja hoivat Diglettiä, koska sen ulosteet rikastuttavat maaperää, jossa se elää. Se kulkee maan alle kaivamiensa tunnelien läpi. Se vihaa auringonvaloa, joten se tulee esiin vasta auringonlaskun jälkeen. Viljelijöiden ympärille istutetaan Diglettin mielellään syömiä puita saadakseen tämän kyntämään pellot heidän puolestaan.</t>
        </is>
      </c>
    </row>
    <row r="1441" ht="33.75" customHeight="1">
      <c r="A1441" s="7">
        <v>50.0</v>
      </c>
      <c r="B1441" s="9" t="s">
        <v>2953</v>
      </c>
      <c r="C1441" s="9" t="s">
        <v>2954</v>
      </c>
      <c r="D1441" s="9" t="s">
        <v>35</v>
      </c>
      <c r="E1441" s="6" t="s">
        <v>2955</v>
      </c>
      <c r="F1441" s="9"/>
    </row>
    <row r="1442" ht="33.75" customHeight="1">
      <c r="A1442" s="7">
        <v>50.0</v>
      </c>
      <c r="B1442" s="9" t="s">
        <v>2953</v>
      </c>
      <c r="C1442" s="9" t="s">
        <v>2954</v>
      </c>
      <c r="D1442" s="9" t="s">
        <v>42</v>
      </c>
      <c r="E1442" s="6" t="s">
        <v>2959</v>
      </c>
      <c r="F1442" s="9"/>
    </row>
    <row r="1443" ht="33.75" customHeight="1">
      <c r="A1443" s="7">
        <v>50.0</v>
      </c>
      <c r="B1443" s="9" t="s">
        <v>2953</v>
      </c>
      <c r="C1443" s="9" t="s">
        <v>2954</v>
      </c>
      <c r="D1443" s="9" t="s">
        <v>52</v>
      </c>
      <c r="E1443" s="6" t="s">
        <v>2962</v>
      </c>
      <c r="F1443" s="9"/>
    </row>
    <row r="1444" ht="33.75" customHeight="1">
      <c r="A1444" s="7">
        <v>50.0</v>
      </c>
      <c r="B1444" s="9" t="s">
        <v>2953</v>
      </c>
      <c r="C1444" s="9" t="s">
        <v>2954</v>
      </c>
      <c r="D1444" s="9" t="s">
        <v>59</v>
      </c>
      <c r="E1444" s="6" t="s">
        <v>2964</v>
      </c>
      <c r="F1444" s="9"/>
    </row>
    <row r="1445" ht="33.75" customHeight="1">
      <c r="A1445" s="7">
        <v>50.0</v>
      </c>
      <c r="B1445" s="9" t="s">
        <v>2953</v>
      </c>
      <c r="C1445" s="9" t="s">
        <v>2954</v>
      </c>
      <c r="D1445" s="9" t="s">
        <v>64</v>
      </c>
      <c r="E1445" s="6" t="s">
        <v>2966</v>
      </c>
      <c r="F1445" s="9"/>
    </row>
    <row r="1446" ht="33.75" customHeight="1">
      <c r="A1446" s="7">
        <v>50.0</v>
      </c>
      <c r="B1446" s="9" t="s">
        <v>2953</v>
      </c>
      <c r="C1446" s="9" t="s">
        <v>2954</v>
      </c>
      <c r="D1446" s="9" t="s">
        <v>67</v>
      </c>
      <c r="E1446" s="6" t="s">
        <v>2968</v>
      </c>
      <c r="F1446" s="9"/>
    </row>
    <row r="1447" ht="33.75" customHeight="1">
      <c r="A1447" s="7">
        <v>50.0</v>
      </c>
      <c r="B1447" s="9" t="s">
        <v>2953</v>
      </c>
      <c r="C1447" s="9" t="s">
        <v>2954</v>
      </c>
      <c r="D1447" s="9" t="s">
        <v>71</v>
      </c>
      <c r="E1447" s="6" t="s">
        <v>2968</v>
      </c>
      <c r="F1447" s="9"/>
    </row>
    <row r="1448" ht="33.75" customHeight="1">
      <c r="A1448" s="7">
        <v>50.0</v>
      </c>
      <c r="B1448" s="9" t="s">
        <v>2953</v>
      </c>
      <c r="C1448" s="9" t="s">
        <v>2954</v>
      </c>
      <c r="D1448" s="9" t="s">
        <v>73</v>
      </c>
      <c r="E1448" s="6" t="s">
        <v>2971</v>
      </c>
      <c r="F1448" s="9"/>
    </row>
    <row r="1449" ht="33.75" customHeight="1">
      <c r="A1449" s="7">
        <v>50.0</v>
      </c>
      <c r="B1449" s="9" t="s">
        <v>2953</v>
      </c>
      <c r="C1449" s="9" t="s">
        <v>2954</v>
      </c>
      <c r="D1449" s="9" t="s">
        <v>75</v>
      </c>
      <c r="E1449" s="6" t="s">
        <v>2973</v>
      </c>
      <c r="F1449" s="9"/>
    </row>
    <row r="1450" ht="33.75" customHeight="1">
      <c r="A1450" s="7">
        <v>50.0</v>
      </c>
      <c r="B1450" s="9" t="s">
        <v>2953</v>
      </c>
      <c r="C1450" s="9" t="s">
        <v>2954</v>
      </c>
      <c r="D1450" s="9" t="s">
        <v>79</v>
      </c>
      <c r="E1450" s="6" t="s">
        <v>2955</v>
      </c>
      <c r="F1450" s="9"/>
    </row>
    <row r="1451" ht="33.75" customHeight="1">
      <c r="A1451" s="7">
        <v>50.0</v>
      </c>
      <c r="B1451" s="9" t="s">
        <v>2953</v>
      </c>
      <c r="C1451" s="9" t="s">
        <v>2954</v>
      </c>
      <c r="D1451" s="9" t="s">
        <v>81</v>
      </c>
      <c r="E1451" s="6" t="s">
        <v>2977</v>
      </c>
      <c r="F1451" s="9"/>
    </row>
    <row r="1452" ht="33.75" customHeight="1">
      <c r="A1452" s="7">
        <v>50.0</v>
      </c>
      <c r="B1452" s="9" t="s">
        <v>2953</v>
      </c>
      <c r="C1452" s="9" t="s">
        <v>2954</v>
      </c>
      <c r="D1452" s="9" t="s">
        <v>84</v>
      </c>
      <c r="E1452" s="6" t="s">
        <v>2977</v>
      </c>
      <c r="F1452" s="9"/>
    </row>
    <row r="1453" ht="33.75" customHeight="1">
      <c r="A1453" s="7">
        <v>50.0</v>
      </c>
      <c r="B1453" s="9" t="s">
        <v>2953</v>
      </c>
      <c r="C1453" s="9" t="s">
        <v>2954</v>
      </c>
      <c r="D1453" s="9" t="s">
        <v>87</v>
      </c>
      <c r="E1453" s="6" t="s">
        <v>2977</v>
      </c>
      <c r="F1453" s="9"/>
    </row>
    <row r="1454" ht="33.75" customHeight="1">
      <c r="A1454" s="7">
        <v>50.0</v>
      </c>
      <c r="B1454" s="9" t="s">
        <v>2953</v>
      </c>
      <c r="C1454" s="9" t="s">
        <v>2954</v>
      </c>
      <c r="D1454" s="9" t="s">
        <v>89</v>
      </c>
      <c r="E1454" s="6" t="s">
        <v>2962</v>
      </c>
      <c r="F1454" s="9"/>
    </row>
    <row r="1455" ht="33.75" customHeight="1">
      <c r="A1455" s="7">
        <v>50.0</v>
      </c>
      <c r="B1455" s="9" t="s">
        <v>2953</v>
      </c>
      <c r="C1455" s="9" t="s">
        <v>2954</v>
      </c>
      <c r="D1455" s="9" t="s">
        <v>91</v>
      </c>
      <c r="E1455" s="6" t="s">
        <v>2982</v>
      </c>
      <c r="F1455" s="9"/>
    </row>
    <row r="1456" ht="33.75" customHeight="1">
      <c r="A1456" s="7">
        <v>50.0</v>
      </c>
      <c r="B1456" s="9" t="s">
        <v>2953</v>
      </c>
      <c r="C1456" s="9" t="s">
        <v>2954</v>
      </c>
      <c r="D1456" s="9" t="s">
        <v>93</v>
      </c>
      <c r="E1456" s="6" t="s">
        <v>2977</v>
      </c>
      <c r="F1456" s="9"/>
    </row>
    <row r="1457" ht="33.75" customHeight="1">
      <c r="A1457" s="7">
        <v>50.0</v>
      </c>
      <c r="B1457" s="9" t="s">
        <v>2953</v>
      </c>
      <c r="C1457" s="9" t="s">
        <v>2954</v>
      </c>
      <c r="D1457" s="9" t="s">
        <v>95</v>
      </c>
      <c r="E1457" s="6" t="s">
        <v>2977</v>
      </c>
      <c r="F1457" s="9"/>
    </row>
    <row r="1458" ht="33.75" customHeight="1">
      <c r="A1458" s="7">
        <v>50.0</v>
      </c>
      <c r="B1458" s="9" t="s">
        <v>2953</v>
      </c>
      <c r="C1458" s="9" t="s">
        <v>2954</v>
      </c>
      <c r="D1458" s="9" t="s">
        <v>98</v>
      </c>
      <c r="E1458" s="6" t="s">
        <v>2977</v>
      </c>
      <c r="F1458" s="9"/>
    </row>
    <row r="1459" ht="33.75" customHeight="1">
      <c r="A1459" s="7">
        <v>50.0</v>
      </c>
      <c r="B1459" s="9" t="s">
        <v>2953</v>
      </c>
      <c r="C1459" s="9" t="s">
        <v>2954</v>
      </c>
      <c r="D1459" s="9" t="s">
        <v>99</v>
      </c>
      <c r="E1459" s="6" t="s">
        <v>2977</v>
      </c>
      <c r="F1459" s="9"/>
    </row>
    <row r="1460" ht="33.75" customHeight="1">
      <c r="A1460" s="7">
        <v>50.0</v>
      </c>
      <c r="B1460" s="9" t="s">
        <v>2953</v>
      </c>
      <c r="C1460" s="9" t="s">
        <v>2954</v>
      </c>
      <c r="D1460" s="9" t="s">
        <v>101</v>
      </c>
      <c r="E1460" s="6" t="s">
        <v>2955</v>
      </c>
      <c r="F1460" s="9"/>
    </row>
    <row r="1461" ht="33.75" customHeight="1">
      <c r="A1461" s="7">
        <v>50.0</v>
      </c>
      <c r="B1461" s="9" t="s">
        <v>2953</v>
      </c>
      <c r="C1461" s="9" t="s">
        <v>2954</v>
      </c>
      <c r="D1461" s="9" t="s">
        <v>105</v>
      </c>
      <c r="E1461" s="6" t="s">
        <v>2962</v>
      </c>
      <c r="F1461" s="9"/>
    </row>
    <row r="1462" ht="33.75" customHeight="1">
      <c r="A1462" s="7">
        <v>50.0</v>
      </c>
      <c r="B1462" s="9" t="s">
        <v>2953</v>
      </c>
      <c r="C1462" s="9" t="s">
        <v>2954</v>
      </c>
      <c r="D1462" s="9" t="s">
        <v>107</v>
      </c>
      <c r="E1462" s="6" t="s">
        <v>2996</v>
      </c>
      <c r="F1462" s="9"/>
    </row>
    <row r="1463" ht="33.75" customHeight="1">
      <c r="A1463" s="7">
        <v>50.0</v>
      </c>
      <c r="B1463" s="9" t="s">
        <v>2953</v>
      </c>
      <c r="C1463" s="9" t="s">
        <v>2954</v>
      </c>
      <c r="D1463" s="9" t="s">
        <v>109</v>
      </c>
      <c r="E1463" s="6" t="s">
        <v>2996</v>
      </c>
      <c r="F1463" s="9"/>
    </row>
    <row r="1464" ht="33.75" customHeight="1">
      <c r="A1464" s="7">
        <v>50.0</v>
      </c>
      <c r="B1464" s="9" t="s">
        <v>2953</v>
      </c>
      <c r="C1464" s="9" t="s">
        <v>2954</v>
      </c>
      <c r="D1464" s="9" t="s">
        <v>637</v>
      </c>
      <c r="E1464" s="6" t="s">
        <v>3001</v>
      </c>
      <c r="F1464" s="9"/>
    </row>
    <row r="1465" ht="33.75" customHeight="1">
      <c r="A1465" s="7">
        <v>50.0</v>
      </c>
      <c r="B1465" s="9" t="s">
        <v>2953</v>
      </c>
      <c r="C1465" s="9" t="s">
        <v>2954</v>
      </c>
      <c r="D1465" s="9" t="s">
        <v>642</v>
      </c>
      <c r="E1465" s="6" t="s">
        <v>3004</v>
      </c>
      <c r="F1465" s="9"/>
    </row>
    <row r="1466" ht="33.75" customHeight="1">
      <c r="A1466" s="7">
        <v>50.0</v>
      </c>
      <c r="B1466" s="9" t="s">
        <v>2953</v>
      </c>
      <c r="C1466" s="9" t="s">
        <v>2954</v>
      </c>
      <c r="D1466" s="9" t="s">
        <v>647</v>
      </c>
      <c r="E1466" s="6" t="s">
        <v>3007</v>
      </c>
      <c r="F1466" s="9"/>
    </row>
    <row r="1467" ht="33.75" customHeight="1">
      <c r="A1467" s="7">
        <v>50.0</v>
      </c>
      <c r="B1467" s="9" t="s">
        <v>2953</v>
      </c>
      <c r="C1467" s="9" t="s">
        <v>2954</v>
      </c>
      <c r="D1467" s="9" t="s">
        <v>652</v>
      </c>
      <c r="E1467" s="6" t="s">
        <v>3010</v>
      </c>
      <c r="F1467" s="9"/>
    </row>
    <row r="1468" ht="33.75" customHeight="1">
      <c r="A1468" s="7">
        <v>50.0</v>
      </c>
      <c r="B1468" s="9" t="s">
        <v>2953</v>
      </c>
      <c r="C1468" s="9" t="s">
        <v>2954</v>
      </c>
      <c r="D1468" s="9" t="s">
        <v>111</v>
      </c>
      <c r="E1468" s="6" t="s">
        <v>2959</v>
      </c>
      <c r="F1468" s="9"/>
    </row>
    <row r="1469" ht="33.75" customHeight="1">
      <c r="A1469" s="7">
        <v>50.0</v>
      </c>
      <c r="B1469" s="9" t="s">
        <v>2953</v>
      </c>
      <c r="C1469" s="9" t="s">
        <v>2954</v>
      </c>
      <c r="D1469" s="9" t="s">
        <v>113</v>
      </c>
      <c r="E1469" s="6" t="s">
        <v>2959</v>
      </c>
      <c r="F1469" s="9"/>
    </row>
    <row r="1470" ht="33.75" customHeight="1">
      <c r="A1470" s="7">
        <v>50.0</v>
      </c>
      <c r="B1470" s="9" t="s">
        <v>2953</v>
      </c>
      <c r="C1470" s="9" t="s">
        <v>2954</v>
      </c>
      <c r="D1470" s="9" t="s">
        <v>114</v>
      </c>
      <c r="E1470" s="6" t="s">
        <v>3015</v>
      </c>
      <c r="F1470" s="9"/>
    </row>
    <row r="1471" ht="33.75" customHeight="1">
      <c r="A1471" s="7">
        <v>50.0</v>
      </c>
      <c r="B1471" s="9" t="s">
        <v>2953</v>
      </c>
      <c r="C1471" s="9" t="s">
        <v>2954</v>
      </c>
      <c r="D1471" s="9" t="s">
        <v>117</v>
      </c>
      <c r="E1471" s="6" t="s">
        <v>2973</v>
      </c>
      <c r="F1471" s="9"/>
    </row>
    <row r="1472" ht="33.75" customHeight="1">
      <c r="A1472" s="7">
        <v>51.0</v>
      </c>
      <c r="B1472" s="9" t="s">
        <v>3018</v>
      </c>
      <c r="C1472" s="9" t="s">
        <v>2954</v>
      </c>
      <c r="D1472" s="9" t="s">
        <v>24</v>
      </c>
      <c r="E1472" s="6" t="s">
        <v>3020</v>
      </c>
      <c r="F1472" t="inlineStr" s="10">
        <is>
          <t xml:space="preserve">DIGLETT-kolmikosten joukkue. Se laukaisee valtavia maanjäristyksiä kaivautumalla 96 kilometrin syvyyteen maan alle. Kolmosten parvi, joka voi kaivautua yli 95 km/h nopeudella. Tästä syystä jotkut ihmiset pitävät sitä maanjäristyksenä. Sen kolme päätä keinuvat erikseen ylös ja alas möyhentääkseen lähellä olevaa maaperää, mikä helpottaa sen kaivamista. Erittäin tehokkaina ne voivat KAIVATA läpi kovimmankin maan yli 95 kilometrin syvyyteen. Nämä DIGLETT-kolmoset kaivautuvat yli 95 kilometriä merenpinnan alapuolelle. Kukaan ei tiedä, millaista maan alla on. DUGTRIO-kolmoset ovat itse asiassa yhdestä ruumiista syntyneitä kolmosia. Tämän seurauksena jokainen kolmoset ajattelevat täsmälleen samalla tavalla kuin kaksi muuta kolmosta. Ne työskentelevät yhteistyössä kaivautuakseen loputtomasti. Koska kolmoset alun perin irtosivat yhdestä ruumiista, ne ajattelevat täsmälleen samalla tavalla. Ne työskentelevät yhteistyössä kaivautuakseen loputtomasti maahan. Taistelussa se kaivautuu maan läpi ja iskee tietämätöntä vihollista odottamattomasta suunnasta. Sen kolme päätä liikkuvat vuorotellen ja ajavat sen kovan maaperän läpi yli 95 kilometrin syvyyteen. Erittäin voimakkaat, ne voivat kaivaa läpi jopa kovimman maan yli 95 kilometrin syvyyteen. Dugtriot ovat itse asiassa kolmosia, jotka ovat syntyneet yhdestä ruumiista. Tämä kolmosten pari liikkuu yhteistyössä. Tiimityön voima antaa tälle Pokémonille mahdollisuuden kaivaa jopa 95 kilometrin syvyyteen. Vaikka tämä Pokémon on niin läheinen maanviljelijöille ja muille ihmisille, kukaan ei ole koskaan nähnyt sen osia piilossa maan alla. Vaikka kolmikko tulee yleensä loistavasti toimeen keskenään, harvoin syntyy kova riita siitä, kumpi pää saa syödä ensin. Dugtrion päät ovat tyylikkäät, sileät ja uskomattoman kovat. Se voi kaivaa läpi minkä tahansa maaperän pääniskuillaan. Kolmosten parvi, joka voi kaivautua 95 kilometrin syvyyteen. Tämän on raportoitu laukaisevan maanjäristyksen. Diglett-kolmosten joukkue. Nämä Diglettin kolmoset kaivautuvat yli 95 kilometriä merenpinnan alapuolelle.</t>
        </is>
      </c>
    </row>
    <row r="1473" ht="33.75" customHeight="1">
      <c r="A1473" s="7">
        <v>51.0</v>
      </c>
      <c r="B1473" s="9" t="s">
        <v>3018</v>
      </c>
      <c r="C1473" s="9" t="s">
        <v>2954</v>
      </c>
      <c r="D1473" s="9" t="s">
        <v>35</v>
      </c>
      <c r="E1473" s="6" t="s">
        <v>3020</v>
      </c>
      <c r="F1473" s="9"/>
    </row>
    <row r="1474" ht="33.75" customHeight="1">
      <c r="A1474" s="7">
        <v>51.0</v>
      </c>
      <c r="B1474" s="9" t="s">
        <v>3018</v>
      </c>
      <c r="C1474" s="9" t="s">
        <v>2954</v>
      </c>
      <c r="D1474" s="9" t="s">
        <v>42</v>
      </c>
      <c r="E1474" s="6" t="s">
        <v>3024</v>
      </c>
      <c r="F1474" s="9"/>
    </row>
    <row r="1475" ht="33.75" customHeight="1">
      <c r="A1475" s="7">
        <v>51.0</v>
      </c>
      <c r="B1475" s="9" t="s">
        <v>3018</v>
      </c>
      <c r="C1475" s="9" t="s">
        <v>2954</v>
      </c>
      <c r="D1475" s="9" t="s">
        <v>52</v>
      </c>
      <c r="E1475" s="6" t="s">
        <v>3026</v>
      </c>
      <c r="F1475" s="9"/>
    </row>
    <row r="1476" ht="33.75" customHeight="1">
      <c r="A1476" s="7">
        <v>51.0</v>
      </c>
      <c r="B1476" s="9" t="s">
        <v>3018</v>
      </c>
      <c r="C1476" s="9" t="s">
        <v>2954</v>
      </c>
      <c r="D1476" s="9" t="s">
        <v>59</v>
      </c>
      <c r="E1476" s="6" t="s">
        <v>3029</v>
      </c>
      <c r="F1476" s="9"/>
    </row>
    <row r="1477" ht="33.75" customHeight="1">
      <c r="A1477" s="7">
        <v>51.0</v>
      </c>
      <c r="B1477" s="9" t="s">
        <v>3018</v>
      </c>
      <c r="C1477" s="9" t="s">
        <v>2954</v>
      </c>
      <c r="D1477" s="9" t="s">
        <v>64</v>
      </c>
      <c r="E1477" s="6" t="s">
        <v>3032</v>
      </c>
      <c r="F1477" s="9"/>
    </row>
    <row r="1478" ht="33.75" customHeight="1">
      <c r="A1478" s="7">
        <v>51.0</v>
      </c>
      <c r="B1478" s="9" t="s">
        <v>3018</v>
      </c>
      <c r="C1478" s="9" t="s">
        <v>2954</v>
      </c>
      <c r="D1478" s="9" t="s">
        <v>67</v>
      </c>
      <c r="E1478" s="6" t="s">
        <v>3035</v>
      </c>
      <c r="F1478" s="9"/>
    </row>
    <row r="1479" ht="33.75" customHeight="1">
      <c r="A1479" s="7">
        <v>51.0</v>
      </c>
      <c r="B1479" s="9" t="s">
        <v>3018</v>
      </c>
      <c r="C1479" s="9" t="s">
        <v>2954</v>
      </c>
      <c r="D1479" s="9" t="s">
        <v>71</v>
      </c>
      <c r="E1479" s="6" t="s">
        <v>3035</v>
      </c>
      <c r="F1479" s="9"/>
    </row>
    <row r="1480" ht="33.75" customHeight="1">
      <c r="A1480" s="7">
        <v>51.0</v>
      </c>
      <c r="B1480" s="9" t="s">
        <v>3018</v>
      </c>
      <c r="C1480" s="9" t="s">
        <v>2954</v>
      </c>
      <c r="D1480" s="9" t="s">
        <v>73</v>
      </c>
      <c r="E1480" s="6" t="s">
        <v>3039</v>
      </c>
      <c r="F1480" s="9"/>
    </row>
    <row r="1481" ht="33.75" customHeight="1">
      <c r="A1481" s="7">
        <v>51.0</v>
      </c>
      <c r="B1481" s="9" t="s">
        <v>3018</v>
      </c>
      <c r="C1481" s="9" t="s">
        <v>2954</v>
      </c>
      <c r="D1481" s="9" t="s">
        <v>75</v>
      </c>
      <c r="E1481" s="6" t="s">
        <v>3041</v>
      </c>
      <c r="F1481" s="9"/>
    </row>
    <row r="1482" ht="33.75" customHeight="1">
      <c r="A1482" s="7">
        <v>51.0</v>
      </c>
      <c r="B1482" s="9" t="s">
        <v>3018</v>
      </c>
      <c r="C1482" s="9" t="s">
        <v>2954</v>
      </c>
      <c r="D1482" s="9" t="s">
        <v>79</v>
      </c>
      <c r="E1482" s="6" t="s">
        <v>3020</v>
      </c>
      <c r="F1482" s="9"/>
    </row>
    <row r="1483" ht="33.75" customHeight="1">
      <c r="A1483" s="7">
        <v>51.0</v>
      </c>
      <c r="B1483" s="9" t="s">
        <v>3018</v>
      </c>
      <c r="C1483" s="9" t="s">
        <v>2954</v>
      </c>
      <c r="D1483" s="9" t="s">
        <v>81</v>
      </c>
      <c r="E1483" s="6" t="s">
        <v>3044</v>
      </c>
      <c r="F1483" s="9"/>
    </row>
    <row r="1484" ht="33.75" customHeight="1">
      <c r="A1484" s="7">
        <v>51.0</v>
      </c>
      <c r="B1484" s="9" t="s">
        <v>3018</v>
      </c>
      <c r="C1484" s="9" t="s">
        <v>2954</v>
      </c>
      <c r="D1484" s="9" t="s">
        <v>84</v>
      </c>
      <c r="E1484" s="6" t="s">
        <v>3044</v>
      </c>
      <c r="F1484" s="9"/>
    </row>
    <row r="1485" ht="33.75" customHeight="1">
      <c r="A1485" s="7">
        <v>51.0</v>
      </c>
      <c r="B1485" s="9" t="s">
        <v>3018</v>
      </c>
      <c r="C1485" s="9" t="s">
        <v>2954</v>
      </c>
      <c r="D1485" s="9" t="s">
        <v>87</v>
      </c>
      <c r="E1485" s="6" t="s">
        <v>3044</v>
      </c>
      <c r="F1485" s="9"/>
    </row>
    <row r="1486" ht="33.75" customHeight="1">
      <c r="A1486" s="7">
        <v>51.0</v>
      </c>
      <c r="B1486" s="9" t="s">
        <v>3018</v>
      </c>
      <c r="C1486" s="9" t="s">
        <v>2954</v>
      </c>
      <c r="D1486" s="9" t="s">
        <v>89</v>
      </c>
      <c r="E1486" s="6" t="s">
        <v>3026</v>
      </c>
      <c r="F1486" s="9"/>
    </row>
    <row r="1487" ht="33.75" customHeight="1">
      <c r="A1487" s="7">
        <v>51.0</v>
      </c>
      <c r="B1487" s="9" t="s">
        <v>3018</v>
      </c>
      <c r="C1487" s="9" t="s">
        <v>2954</v>
      </c>
      <c r="D1487" s="9" t="s">
        <v>91</v>
      </c>
      <c r="E1487" s="6" t="s">
        <v>3049</v>
      </c>
      <c r="F1487" s="9"/>
    </row>
    <row r="1488" ht="33.75" customHeight="1">
      <c r="A1488" s="7">
        <v>51.0</v>
      </c>
      <c r="B1488" s="9" t="s">
        <v>3018</v>
      </c>
      <c r="C1488" s="9" t="s">
        <v>2954</v>
      </c>
      <c r="D1488" s="9" t="s">
        <v>93</v>
      </c>
      <c r="E1488" s="6" t="s">
        <v>3044</v>
      </c>
      <c r="F1488" s="9"/>
    </row>
    <row r="1489" ht="33.75" customHeight="1">
      <c r="A1489" s="7">
        <v>51.0</v>
      </c>
      <c r="B1489" s="9" t="s">
        <v>3018</v>
      </c>
      <c r="C1489" s="9" t="s">
        <v>2954</v>
      </c>
      <c r="D1489" s="9" t="s">
        <v>95</v>
      </c>
      <c r="E1489" s="6" t="s">
        <v>3044</v>
      </c>
      <c r="F1489" s="9"/>
    </row>
    <row r="1490" ht="33.75" customHeight="1">
      <c r="A1490" s="7">
        <v>51.0</v>
      </c>
      <c r="B1490" s="9" t="s">
        <v>3018</v>
      </c>
      <c r="C1490" s="9" t="s">
        <v>2954</v>
      </c>
      <c r="D1490" s="9" t="s">
        <v>98</v>
      </c>
      <c r="E1490" s="6" t="s">
        <v>3044</v>
      </c>
      <c r="F1490" s="9"/>
    </row>
    <row r="1491" ht="33.75" customHeight="1">
      <c r="A1491" s="7">
        <v>51.0</v>
      </c>
      <c r="B1491" s="9" t="s">
        <v>3018</v>
      </c>
      <c r="C1491" s="9" t="s">
        <v>2954</v>
      </c>
      <c r="D1491" s="9" t="s">
        <v>99</v>
      </c>
      <c r="E1491" s="6" t="s">
        <v>3044</v>
      </c>
      <c r="F1491" s="9"/>
    </row>
    <row r="1492" ht="33.75" customHeight="1">
      <c r="A1492" s="7">
        <v>51.0</v>
      </c>
      <c r="B1492" s="9" t="s">
        <v>3018</v>
      </c>
      <c r="C1492" s="9" t="s">
        <v>2954</v>
      </c>
      <c r="D1492" s="9" t="s">
        <v>101</v>
      </c>
      <c r="E1492" s="6" t="s">
        <v>3041</v>
      </c>
      <c r="F1492" s="9"/>
    </row>
    <row r="1493" ht="33.75" customHeight="1">
      <c r="A1493" s="7">
        <v>51.0</v>
      </c>
      <c r="B1493" s="9" t="s">
        <v>3018</v>
      </c>
      <c r="C1493" s="9" t="s">
        <v>2954</v>
      </c>
      <c r="D1493" s="9" t="s">
        <v>105</v>
      </c>
      <c r="E1493" s="6" t="s">
        <v>3049</v>
      </c>
      <c r="F1493" s="9"/>
    </row>
    <row r="1494" ht="33.75" customHeight="1">
      <c r="A1494" s="7">
        <v>51.0</v>
      </c>
      <c r="B1494" s="9" t="s">
        <v>3018</v>
      </c>
      <c r="C1494" s="9" t="s">
        <v>2954</v>
      </c>
      <c r="D1494" s="9" t="s">
        <v>107</v>
      </c>
      <c r="E1494" s="6" t="s">
        <v>3055</v>
      </c>
      <c r="F1494" s="9"/>
    </row>
    <row r="1495" ht="33.75" customHeight="1">
      <c r="A1495" s="7">
        <v>51.0</v>
      </c>
      <c r="B1495" s="9" t="s">
        <v>3018</v>
      </c>
      <c r="C1495" s="9" t="s">
        <v>2954</v>
      </c>
      <c r="D1495" s="9" t="s">
        <v>109</v>
      </c>
      <c r="E1495" s="6" t="s">
        <v>3055</v>
      </c>
      <c r="F1495" s="9"/>
    </row>
    <row r="1496" ht="33.75" customHeight="1">
      <c r="A1496" s="7">
        <v>51.0</v>
      </c>
      <c r="B1496" s="9" t="s">
        <v>3018</v>
      </c>
      <c r="C1496" s="9" t="s">
        <v>2954</v>
      </c>
      <c r="D1496" s="9" t="s">
        <v>637</v>
      </c>
      <c r="E1496" s="6" t="s">
        <v>3058</v>
      </c>
      <c r="F1496" s="9"/>
    </row>
    <row r="1497" ht="33.75" customHeight="1">
      <c r="A1497" s="7">
        <v>51.0</v>
      </c>
      <c r="B1497" s="9" t="s">
        <v>3018</v>
      </c>
      <c r="C1497" s="9" t="s">
        <v>2954</v>
      </c>
      <c r="D1497" s="9" t="s">
        <v>642</v>
      </c>
      <c r="E1497" s="6" t="s">
        <v>3060</v>
      </c>
      <c r="F1497" s="9"/>
    </row>
    <row r="1498" ht="33.75" customHeight="1">
      <c r="A1498" s="7">
        <v>51.0</v>
      </c>
      <c r="B1498" s="9" t="s">
        <v>3018</v>
      </c>
      <c r="C1498" s="9" t="s">
        <v>2954</v>
      </c>
      <c r="D1498" s="9" t="s">
        <v>647</v>
      </c>
      <c r="E1498" s="6" t="s">
        <v>3062</v>
      </c>
      <c r="F1498" s="9"/>
    </row>
    <row r="1499" ht="33.75" customHeight="1">
      <c r="A1499" s="7">
        <v>51.0</v>
      </c>
      <c r="B1499" s="9" t="s">
        <v>3018</v>
      </c>
      <c r="C1499" s="9" t="s">
        <v>2954</v>
      </c>
      <c r="D1499" s="9" t="s">
        <v>652</v>
      </c>
      <c r="E1499" s="6" t="s">
        <v>3064</v>
      </c>
      <c r="F1499" s="9"/>
    </row>
    <row r="1500" ht="33.75" customHeight="1">
      <c r="A1500" s="7">
        <v>51.0</v>
      </c>
      <c r="B1500" s="9" t="s">
        <v>3018</v>
      </c>
      <c r="C1500" s="9" t="s">
        <v>2954</v>
      </c>
      <c r="D1500" s="9" t="s">
        <v>111</v>
      </c>
      <c r="E1500" s="6" t="s">
        <v>3066</v>
      </c>
      <c r="F1500" s="9"/>
    </row>
    <row r="1501" ht="33.75" customHeight="1">
      <c r="A1501" s="7">
        <v>51.0</v>
      </c>
      <c r="B1501" s="9" t="s">
        <v>3018</v>
      </c>
      <c r="C1501" s="9" t="s">
        <v>2954</v>
      </c>
      <c r="D1501" s="9" t="s">
        <v>113</v>
      </c>
      <c r="E1501" s="6" t="s">
        <v>3066</v>
      </c>
      <c r="F1501" s="9"/>
    </row>
    <row r="1502" ht="33.75" customHeight="1">
      <c r="A1502" s="7">
        <v>51.0</v>
      </c>
      <c r="B1502" s="9" t="s">
        <v>3018</v>
      </c>
      <c r="C1502" s="9" t="s">
        <v>2954</v>
      </c>
      <c r="D1502" s="9" t="s">
        <v>114</v>
      </c>
      <c r="E1502" s="6" t="s">
        <v>3070</v>
      </c>
      <c r="F1502" s="9"/>
    </row>
    <row r="1503" ht="33.75" customHeight="1">
      <c r="A1503" s="7">
        <v>51.0</v>
      </c>
      <c r="B1503" s="9" t="s">
        <v>3018</v>
      </c>
      <c r="C1503" s="9" t="s">
        <v>2954</v>
      </c>
      <c r="D1503" s="9" t="s">
        <v>117</v>
      </c>
      <c r="E1503" s="6" t="s">
        <v>3072</v>
      </c>
      <c r="F1503" s="9"/>
    </row>
    <row r="1504" ht="33.75" customHeight="1">
      <c r="A1504" s="7">
        <v>52.0</v>
      </c>
      <c r="B1504" s="9" t="s">
        <v>3073</v>
      </c>
      <c r="C1504" s="9" t="s">
        <v>3074</v>
      </c>
      <c r="D1504" s="9" t="s">
        <v>24</v>
      </c>
      <c r="E1504" s="6" t="s">
        <v>3075</v>
      </c>
      <c r="F1504" t="inlineStr" s="10">
        <is>
          <t xml:space="preserve">Rakastaa pyöreitä esineitä. Vaeltelee kaduilla joka ilta etsimässä pudonneita irtokolleja. Vaikuttaa olevan aktiivisempi yöllä. Se rakastaa pyöreitä ja kiiltäviä asioita. Se ei voi lakata poimimasta niitä. Se on kiehtova pyöreistä esineistä. Se ei voi lopettaa niiden kanssa leikkimistä ennen kuin väsyy ja nukahtaa. Se rakastaa kaikkea kiiltävää. Se jumaloi erityisesti kolikoita, joita se poimii ja salaa hamstraa. Se rakastaa kimallusta. Kun se näkee kiiltävän esineen, sen päässä oleva kultakolikko loistaa myös. MEOWTH vetää terävät kyntensä tassuihinsa hiipiäkseen hitaasti ympäriinsä jättämättä raskauttavia askeleita. Jostain syystä tämä POKéMON rakastaa kiiltäviä, valoa säihkyviä kolikoita. MEOWTH vetää terävät kyntensä tassuihinsa hiipiäkseen hiljaa ympäriinsä. Jostain syystä tämä POKéMON rakastaa kiiltäviä kolikoita, jotka kimaltelevat valossa. Päivisin se vain nukkuu. Yöllä se partioi reviiriään silmät loisteessa. Se vaeltelee kaduilla öisin etsien pudonneita irtokolleja. Se on luonteeltaan yöeläin. Jos se havaitsee jotain kiiltävää, sen silmät loistivat kirkkaasti. Meowth vetää terävät kyntensä tassuihinsa hiipiäkseen hitaasti ympäriinsä tekemättä raskauttavia askeleita. Se makaa liikkeellä koko päivän ja aktivoituu hämärän laskeuduttua. Yöllä se vaeltelee kaupungissa etsien irtonaisia ​​kolikoita. Se rakastaa kiiltäviä asioita. Se usein tappelee Murkrowin kanssa saaliista, jota he molemmat yrittävät saada kiinni. Romuttamolla vieraillessasi saatat nähdä sen taistelevan Murkrow'n kanssa kiiltävistä esineistä. Se rakastaa kolikoita, joten jos annat sille sellaisen, voit ystävystyä Meowthin kanssa helposti. Mutta se on oikukas, joten et voi luottaa ystävyyden kestävän. Se ei voi estää itseään poimimasta niitä. Se rakastaa keräillä kiiltäviä esineitä. Jos se on hyvällä tuulella, se saattaa jopa antaa kouluttajansa vilkaista aarreaittaansa. Se pesee kasvonsa säännöllisesti pitääkseen otsassaan olevan kolikon tahrattomana. Se ei tule toimeen Galarian Meowthin kanssa.</t>
        </is>
      </c>
    </row>
    <row r="1505" ht="33.75" customHeight="1">
      <c r="A1505" s="7">
        <v>52.0</v>
      </c>
      <c r="B1505" s="9" t="s">
        <v>3073</v>
      </c>
      <c r="C1505" s="9" t="s">
        <v>3074</v>
      </c>
      <c r="D1505" s="9" t="s">
        <v>35</v>
      </c>
      <c r="E1505" s="6" t="s">
        <v>3075</v>
      </c>
      <c r="F1505" s="9"/>
    </row>
    <row r="1506" ht="33.75" customHeight="1">
      <c r="A1506" s="7">
        <v>52.0</v>
      </c>
      <c r="B1506" s="9" t="s">
        <v>3073</v>
      </c>
      <c r="C1506" s="9" t="s">
        <v>3074</v>
      </c>
      <c r="D1506" s="9" t="s">
        <v>42</v>
      </c>
      <c r="E1506" s="6" t="s">
        <v>3078</v>
      </c>
      <c r="F1506" s="9"/>
    </row>
    <row r="1507" ht="33.75" customHeight="1">
      <c r="A1507" s="7">
        <v>52.0</v>
      </c>
      <c r="B1507" s="9" t="s">
        <v>3073</v>
      </c>
      <c r="C1507" s="9" t="s">
        <v>3074</v>
      </c>
      <c r="D1507" s="9" t="s">
        <v>52</v>
      </c>
      <c r="E1507" s="6" t="s">
        <v>3080</v>
      </c>
      <c r="F1507" s="9"/>
    </row>
    <row r="1508" ht="33.75" customHeight="1">
      <c r="A1508" s="7">
        <v>52.0</v>
      </c>
      <c r="B1508" s="9" t="s">
        <v>3073</v>
      </c>
      <c r="C1508" s="9" t="s">
        <v>3074</v>
      </c>
      <c r="D1508" s="9" t="s">
        <v>59</v>
      </c>
      <c r="E1508" s="6" t="s">
        <v>3082</v>
      </c>
      <c r="F1508" s="9"/>
    </row>
    <row r="1509" ht="33.75" customHeight="1">
      <c r="A1509" s="7">
        <v>52.0</v>
      </c>
      <c r="B1509" s="9" t="s">
        <v>3073</v>
      </c>
      <c r="C1509" s="9" t="s">
        <v>3074</v>
      </c>
      <c r="D1509" s="9" t="s">
        <v>64</v>
      </c>
      <c r="E1509" s="6" t="s">
        <v>3084</v>
      </c>
      <c r="F1509" s="9"/>
    </row>
    <row r="1510" ht="33.75" customHeight="1">
      <c r="A1510" s="7">
        <v>52.0</v>
      </c>
      <c r="B1510" s="9" t="s">
        <v>3073</v>
      </c>
      <c r="C1510" s="9" t="s">
        <v>3074</v>
      </c>
      <c r="D1510" s="9" t="s">
        <v>67</v>
      </c>
      <c r="E1510" s="6" t="s">
        <v>3086</v>
      </c>
      <c r="F1510" s="9"/>
    </row>
    <row r="1511" ht="33.75" customHeight="1">
      <c r="A1511" s="7">
        <v>52.0</v>
      </c>
      <c r="B1511" s="9" t="s">
        <v>3073</v>
      </c>
      <c r="C1511" s="9" t="s">
        <v>3074</v>
      </c>
      <c r="D1511" s="9" t="s">
        <v>71</v>
      </c>
      <c r="E1511" s="6" t="s">
        <v>3086</v>
      </c>
      <c r="F1511" s="9"/>
    </row>
    <row r="1512" ht="33.75" customHeight="1">
      <c r="A1512" s="7">
        <v>52.0</v>
      </c>
      <c r="B1512" s="9" t="s">
        <v>3073</v>
      </c>
      <c r="C1512" s="9" t="s">
        <v>3074</v>
      </c>
      <c r="D1512" s="9" t="s">
        <v>73</v>
      </c>
      <c r="E1512" s="6" t="s">
        <v>3090</v>
      </c>
      <c r="F1512" s="9"/>
    </row>
    <row r="1513" ht="33.75" customHeight="1">
      <c r="A1513" s="7">
        <v>52.0</v>
      </c>
      <c r="B1513" s="9" t="s">
        <v>3073</v>
      </c>
      <c r="C1513" s="9" t="s">
        <v>3074</v>
      </c>
      <c r="D1513" s="9" t="s">
        <v>75</v>
      </c>
      <c r="E1513" s="6" t="s">
        <v>3092</v>
      </c>
      <c r="F1513" s="9"/>
    </row>
    <row r="1514" ht="33.75" customHeight="1">
      <c r="A1514" s="7">
        <v>52.0</v>
      </c>
      <c r="B1514" s="9" t="s">
        <v>3073</v>
      </c>
      <c r="C1514" s="9" t="s">
        <v>3074</v>
      </c>
      <c r="D1514" s="9" t="s">
        <v>79</v>
      </c>
      <c r="E1514" s="6" t="s">
        <v>3095</v>
      </c>
      <c r="F1514" s="9"/>
    </row>
    <row r="1515" ht="33.75" customHeight="1">
      <c r="A1515" s="7">
        <v>52.0</v>
      </c>
      <c r="B1515" s="9" t="s">
        <v>3073</v>
      </c>
      <c r="C1515" s="9" t="s">
        <v>3074</v>
      </c>
      <c r="D1515" s="9" t="s">
        <v>81</v>
      </c>
      <c r="E1515" s="6" t="s">
        <v>3098</v>
      </c>
      <c r="F1515" s="9"/>
    </row>
    <row r="1516" ht="33.75" customHeight="1">
      <c r="A1516" s="7">
        <v>52.0</v>
      </c>
      <c r="B1516" s="9" t="s">
        <v>3073</v>
      </c>
      <c r="C1516" s="9" t="s">
        <v>3074</v>
      </c>
      <c r="D1516" s="9" t="s">
        <v>84</v>
      </c>
      <c r="E1516" s="6" t="s">
        <v>3098</v>
      </c>
      <c r="F1516" s="9"/>
    </row>
    <row r="1517" ht="33.75" customHeight="1">
      <c r="A1517" s="7">
        <v>52.0</v>
      </c>
      <c r="B1517" s="9" t="s">
        <v>3073</v>
      </c>
      <c r="C1517" s="9" t="s">
        <v>3074</v>
      </c>
      <c r="D1517" s="9" t="s">
        <v>87</v>
      </c>
      <c r="E1517" s="6" t="s">
        <v>3098</v>
      </c>
      <c r="F1517" s="9"/>
    </row>
    <row r="1518" ht="33.75" customHeight="1">
      <c r="A1518" s="7">
        <v>52.0</v>
      </c>
      <c r="B1518" s="9" t="s">
        <v>3073</v>
      </c>
      <c r="C1518" s="9" t="s">
        <v>3074</v>
      </c>
      <c r="D1518" s="9" t="s">
        <v>89</v>
      </c>
      <c r="E1518" s="6" t="s">
        <v>3080</v>
      </c>
      <c r="F1518" s="9"/>
    </row>
    <row r="1519" ht="33.75" customHeight="1">
      <c r="A1519" s="7">
        <v>52.0</v>
      </c>
      <c r="B1519" s="9" t="s">
        <v>3073</v>
      </c>
      <c r="C1519" s="9" t="s">
        <v>3074</v>
      </c>
      <c r="D1519" s="9" t="s">
        <v>91</v>
      </c>
      <c r="E1519" s="6" t="s">
        <v>3082</v>
      </c>
      <c r="F1519" s="9"/>
    </row>
    <row r="1520" ht="33.75" customHeight="1">
      <c r="A1520" s="7">
        <v>52.0</v>
      </c>
      <c r="B1520" s="9" t="s">
        <v>3073</v>
      </c>
      <c r="C1520" s="9" t="s">
        <v>3074</v>
      </c>
      <c r="D1520" s="9" t="s">
        <v>93</v>
      </c>
      <c r="E1520" s="6" t="s">
        <v>3098</v>
      </c>
      <c r="F1520" s="9"/>
    </row>
    <row r="1521" ht="33.75" customHeight="1">
      <c r="A1521" s="7">
        <v>52.0</v>
      </c>
      <c r="B1521" s="9" t="s">
        <v>3073</v>
      </c>
      <c r="C1521" s="9" t="s">
        <v>3074</v>
      </c>
      <c r="D1521" s="9" t="s">
        <v>95</v>
      </c>
      <c r="E1521" s="6" t="s">
        <v>3098</v>
      </c>
      <c r="F1521" s="9"/>
    </row>
    <row r="1522" ht="33.75" customHeight="1">
      <c r="A1522" s="7">
        <v>52.0</v>
      </c>
      <c r="B1522" s="9" t="s">
        <v>3073</v>
      </c>
      <c r="C1522" s="9" t="s">
        <v>3074</v>
      </c>
      <c r="D1522" s="9" t="s">
        <v>98</v>
      </c>
      <c r="E1522" s="6" t="s">
        <v>3098</v>
      </c>
      <c r="F1522" s="9"/>
    </row>
    <row r="1523" ht="33.75" customHeight="1">
      <c r="A1523" s="7">
        <v>52.0</v>
      </c>
      <c r="B1523" s="9" t="s">
        <v>3073</v>
      </c>
      <c r="C1523" s="9" t="s">
        <v>3074</v>
      </c>
      <c r="D1523" s="9" t="s">
        <v>99</v>
      </c>
      <c r="E1523" s="6" t="s">
        <v>3098</v>
      </c>
      <c r="F1523" s="9"/>
    </row>
    <row r="1524" ht="33.75" customHeight="1">
      <c r="A1524" s="7">
        <v>52.0</v>
      </c>
      <c r="B1524" s="9" t="s">
        <v>3073</v>
      </c>
      <c r="C1524" s="9" t="s">
        <v>3074</v>
      </c>
      <c r="D1524" s="9" t="s">
        <v>101</v>
      </c>
      <c r="E1524" s="6" t="s">
        <v>3098</v>
      </c>
      <c r="F1524" s="9"/>
    </row>
    <row r="1525" ht="33.75" customHeight="1">
      <c r="A1525" s="7">
        <v>52.0</v>
      </c>
      <c r="B1525" s="9" t="s">
        <v>3073</v>
      </c>
      <c r="C1525" s="9" t="s">
        <v>3074</v>
      </c>
      <c r="D1525" s="9" t="s">
        <v>105</v>
      </c>
      <c r="E1525" s="6" t="s">
        <v>3095</v>
      </c>
      <c r="F1525" s="9"/>
    </row>
    <row r="1526" ht="33.75" customHeight="1">
      <c r="A1526" s="7">
        <v>52.0</v>
      </c>
      <c r="B1526" s="9" t="s">
        <v>3073</v>
      </c>
      <c r="C1526" s="9" t="s">
        <v>3074</v>
      </c>
      <c r="D1526" s="9" t="s">
        <v>107</v>
      </c>
      <c r="E1526" s="6" t="s">
        <v>3122</v>
      </c>
      <c r="F1526" s="9"/>
    </row>
    <row r="1527" ht="33.75" customHeight="1">
      <c r="A1527" s="7">
        <v>52.0</v>
      </c>
      <c r="B1527" s="9" t="s">
        <v>3073</v>
      </c>
      <c r="C1527" s="9" t="s">
        <v>3074</v>
      </c>
      <c r="D1527" s="9" t="s">
        <v>109</v>
      </c>
      <c r="E1527" s="6" t="s">
        <v>3122</v>
      </c>
      <c r="F1527" s="9"/>
    </row>
    <row r="1528" ht="33.75" customHeight="1">
      <c r="A1528" s="7">
        <v>52.0</v>
      </c>
      <c r="B1528" s="9" t="s">
        <v>3073</v>
      </c>
      <c r="C1528" s="9" t="s">
        <v>3074</v>
      </c>
      <c r="D1528" s="9" t="s">
        <v>637</v>
      </c>
      <c r="E1528" s="6" t="s">
        <v>3127</v>
      </c>
      <c r="F1528" s="9"/>
    </row>
    <row r="1529" ht="33.75" customHeight="1">
      <c r="A1529" s="7">
        <v>52.0</v>
      </c>
      <c r="B1529" s="9" t="s">
        <v>3073</v>
      </c>
      <c r="C1529" s="9" t="s">
        <v>3074</v>
      </c>
      <c r="D1529" s="9" t="s">
        <v>642</v>
      </c>
      <c r="E1529" s="6" t="s">
        <v>3130</v>
      </c>
      <c r="F1529" s="9"/>
    </row>
    <row r="1530" ht="33.75" customHeight="1">
      <c r="A1530" s="7">
        <v>52.0</v>
      </c>
      <c r="B1530" s="9" t="s">
        <v>3073</v>
      </c>
      <c r="C1530" s="9" t="s">
        <v>3074</v>
      </c>
      <c r="D1530" s="9" t="s">
        <v>647</v>
      </c>
      <c r="E1530" s="6" t="s">
        <v>3133</v>
      </c>
      <c r="F1530" s="9"/>
    </row>
    <row r="1531" ht="33.75" customHeight="1">
      <c r="A1531" s="7">
        <v>52.0</v>
      </c>
      <c r="B1531" s="9" t="s">
        <v>3073</v>
      </c>
      <c r="C1531" s="9" t="s">
        <v>3074</v>
      </c>
      <c r="D1531" s="9" t="s">
        <v>652</v>
      </c>
      <c r="E1531" s="6" t="s">
        <v>3136</v>
      </c>
      <c r="F1531" s="9"/>
    </row>
    <row r="1532" ht="33.75" customHeight="1">
      <c r="A1532" s="7">
        <v>52.0</v>
      </c>
      <c r="B1532" s="9" t="s">
        <v>3073</v>
      </c>
      <c r="C1532" s="9" t="s">
        <v>3074</v>
      </c>
      <c r="D1532" s="9" t="s">
        <v>111</v>
      </c>
      <c r="E1532" s="6" t="s">
        <v>3139</v>
      </c>
      <c r="F1532" s="9"/>
    </row>
    <row r="1533" ht="33.75" customHeight="1">
      <c r="A1533" s="7">
        <v>52.0</v>
      </c>
      <c r="B1533" s="9" t="s">
        <v>3073</v>
      </c>
      <c r="C1533" s="9" t="s">
        <v>3074</v>
      </c>
      <c r="D1533" s="9" t="s">
        <v>113</v>
      </c>
      <c r="E1533" s="6" t="s">
        <v>3139</v>
      </c>
      <c r="F1533" s="9"/>
    </row>
    <row r="1534" ht="33.75" customHeight="1">
      <c r="A1534" s="7">
        <v>52.0</v>
      </c>
      <c r="B1534" s="9" t="s">
        <v>3073</v>
      </c>
      <c r="C1534" s="9" t="s">
        <v>3074</v>
      </c>
      <c r="D1534" s="9" t="s">
        <v>114</v>
      </c>
      <c r="E1534" s="6" t="s">
        <v>3144</v>
      </c>
      <c r="F1534" s="9"/>
    </row>
    <row r="1535" ht="33.75" customHeight="1">
      <c r="A1535" s="7">
        <v>52.0</v>
      </c>
      <c r="B1535" s="9" t="s">
        <v>3073</v>
      </c>
      <c r="C1535" s="9" t="s">
        <v>3074</v>
      </c>
      <c r="D1535" s="9" t="s">
        <v>117</v>
      </c>
      <c r="E1535" s="6" t="s">
        <v>3147</v>
      </c>
      <c r="F1535" s="9"/>
    </row>
    <row r="1536" ht="33.75" customHeight="1">
      <c r="A1536" s="7">
        <v>53.0</v>
      </c>
      <c r="B1536" s="9" t="s">
        <v>3149</v>
      </c>
      <c r="C1536" s="9" t="s">
        <v>3150</v>
      </c>
      <c r="D1536" s="9" t="s">
        <v>24</v>
      </c>
      <c r="E1536" s="6" t="s">
        <v>3152</v>
      </c>
      <c r="F1536" t="inlineStr" s="10">
        <is>
          <t xml:space="preserve">Vaikka Persianin turkilla on paljon ihailijoita, sitä on vaikea kasvattaa lemmikkinä sen oikukkaan ilkeyden vuoksi. Sen otsassa oleva jalokivi hehkuu itsestään! Se kävelee ylpeän kuningattaren arvokkuudella ja eleganssilla. Monet ihailevat sitä sen hienostuneen olemuksen vuoksi. Se kuitenkin räksyy ja raapii ihan turhaan. Sen notkeat lihakset mahdollistavat sen kävelemisen äänettömästi. Se hyökkää silmänräpäyksessä. Sen notkean ja elegantin ulkonäön takana piilee barbaarinen puolensa. Se repii saaliinsa kappaleiksi pelkästä oikusta. PERSIANilla on kuusi rohkeaa viikset, jotka antavat sille sitkeän vaikutelman. Viikset aistivat ilman liikkeitä selvittääkseen, mitä POKéMONin lähiympäristössä on. Se säyseytyy, jos viikset tarttuvat siihen. Persialaisen kuusi rohkeaa viikset aistivat ilman liikkeitä määrittääkseen, mitä sen lähellä on. Sillä on ilkeämielinen luonne. Ole varovainen, jos se nostaa häntäänsä suoraan ylös. Se on merkki siitä, että se on hyökkäämässä ja puremassa. Hyvin ylimielinen Pokémon. Fanien keskuudessa sen otsassa olevan jalokiven koko on paljon puhuttavana aiheena. Persianilla on kuusi rohkeaa viiksikarvaa, jotka antavat sille sitkeän ulkonäön. Sillä on väkivaltainen luonne. Se hyökkää kaiken kimppuun, mikä katsoo sitä silmiin. Sen terävät kynnet aiheuttavat syviä haavoja. Sillä on korkea käsitys itsestään, vaikkakaan ei yhtä hyvä kuin Alolan Persianilla. Tämän Pokémonin kanssa on melko vaikea ystävystyä. Vaikka sen otsassa oleva jalokivi näyttää olevan eri värinen kuin Alolan Persianin jalokivi, se on pääosin tehty samasta materiaalista. Tämä Pokémon on suosittu rikkaiden ihmisten keskuudessa. Se on myös metsästäjien kohde, jotka jahtaavat sen otsassa olevaa jalokiveä. Tämän ylpeän Pokémonin saaminen lämpenemään sinua kohtaan vaatii paljon vaivaa, ja se raapii sinua heti, kun se ärsyyntyy. Sen elegantti ja hienostunut käytös on ristiriidassa barbaarisen Perrserkerin kanssa. Heidän välillään vallitsee keskinäinen halveksunta.</t>
        </is>
      </c>
    </row>
    <row r="1537" ht="33.75" customHeight="1">
      <c r="A1537" s="7">
        <v>53.0</v>
      </c>
      <c r="B1537" s="9" t="s">
        <v>3149</v>
      </c>
      <c r="C1537" s="9" t="s">
        <v>3150</v>
      </c>
      <c r="D1537" s="9" t="s">
        <v>35</v>
      </c>
      <c r="E1537" s="6" t="s">
        <v>3152</v>
      </c>
      <c r="F1537" s="9"/>
    </row>
    <row r="1538" ht="33.75" customHeight="1">
      <c r="A1538" s="7">
        <v>53.0</v>
      </c>
      <c r="B1538" s="9" t="s">
        <v>3149</v>
      </c>
      <c r="C1538" s="9" t="s">
        <v>3150</v>
      </c>
      <c r="D1538" s="9" t="s">
        <v>42</v>
      </c>
      <c r="E1538" s="6" t="s">
        <v>3154</v>
      </c>
      <c r="F1538" s="9"/>
    </row>
    <row r="1539" ht="33.75" customHeight="1">
      <c r="A1539" s="7">
        <v>53.0</v>
      </c>
      <c r="B1539" s="9" t="s">
        <v>3149</v>
      </c>
      <c r="C1539" s="9" t="s">
        <v>3150</v>
      </c>
      <c r="D1539" s="9" t="s">
        <v>52</v>
      </c>
      <c r="E1539" s="6" t="s">
        <v>3156</v>
      </c>
      <c r="F1539" s="9"/>
    </row>
    <row r="1540" ht="33.75" customHeight="1">
      <c r="A1540" s="7">
        <v>53.0</v>
      </c>
      <c r="B1540" s="9" t="s">
        <v>3149</v>
      </c>
      <c r="C1540" s="9" t="s">
        <v>3150</v>
      </c>
      <c r="D1540" s="9" t="s">
        <v>59</v>
      </c>
      <c r="E1540" s="6" t="s">
        <v>3159</v>
      </c>
      <c r="F1540" s="9"/>
    </row>
    <row r="1541" ht="33.75" customHeight="1">
      <c r="A1541" s="7">
        <v>53.0</v>
      </c>
      <c r="B1541" s="9" t="s">
        <v>3149</v>
      </c>
      <c r="C1541" s="9" t="s">
        <v>3150</v>
      </c>
      <c r="D1541" s="9" t="s">
        <v>64</v>
      </c>
      <c r="E1541" s="6" t="s">
        <v>3162</v>
      </c>
      <c r="F1541" s="9"/>
    </row>
    <row r="1542" ht="33.75" customHeight="1">
      <c r="A1542" s="7">
        <v>53.0</v>
      </c>
      <c r="B1542" s="9" t="s">
        <v>3149</v>
      </c>
      <c r="C1542" s="9" t="s">
        <v>3150</v>
      </c>
      <c r="D1542" s="9" t="s">
        <v>67</v>
      </c>
      <c r="E1542" s="6" t="s">
        <v>3164</v>
      </c>
      <c r="F1542" s="9"/>
    </row>
    <row r="1543" ht="33.75" customHeight="1">
      <c r="A1543" s="7">
        <v>53.0</v>
      </c>
      <c r="B1543" s="9" t="s">
        <v>3149</v>
      </c>
      <c r="C1543" s="9" t="s">
        <v>3150</v>
      </c>
      <c r="D1543" s="9" t="s">
        <v>71</v>
      </c>
      <c r="E1543" s="6" t="s">
        <v>3164</v>
      </c>
      <c r="F1543" s="9"/>
    </row>
    <row r="1544" ht="33.75" customHeight="1">
      <c r="A1544" s="7">
        <v>53.0</v>
      </c>
      <c r="B1544" s="9" t="s">
        <v>3149</v>
      </c>
      <c r="C1544" s="9" t="s">
        <v>3150</v>
      </c>
      <c r="D1544" s="9" t="s">
        <v>73</v>
      </c>
      <c r="E1544" s="6" t="s">
        <v>3168</v>
      </c>
      <c r="F1544" s="9"/>
    </row>
    <row r="1545" ht="33.75" customHeight="1">
      <c r="A1545" s="7">
        <v>53.0</v>
      </c>
      <c r="B1545" s="9" t="s">
        <v>3149</v>
      </c>
      <c r="C1545" s="9" t="s">
        <v>3150</v>
      </c>
      <c r="D1545" s="9" t="s">
        <v>75</v>
      </c>
      <c r="E1545" s="6" t="s">
        <v>3170</v>
      </c>
      <c r="F1545" s="9"/>
    </row>
    <row r="1546" ht="33.75" customHeight="1">
      <c r="A1546" s="7">
        <v>53.0</v>
      </c>
      <c r="B1546" s="9" t="s">
        <v>3149</v>
      </c>
      <c r="C1546" s="9" t="s">
        <v>3150</v>
      </c>
      <c r="D1546" s="9" t="s">
        <v>79</v>
      </c>
      <c r="E1546" s="6" t="s">
        <v>3152</v>
      </c>
      <c r="F1546" s="9"/>
    </row>
    <row r="1547" ht="33.75" customHeight="1">
      <c r="A1547" s="7">
        <v>53.0</v>
      </c>
      <c r="B1547" s="9" t="s">
        <v>3149</v>
      </c>
      <c r="C1547" s="9" t="s">
        <v>3150</v>
      </c>
      <c r="D1547" s="9" t="s">
        <v>81</v>
      </c>
      <c r="E1547" s="6" t="s">
        <v>3175</v>
      </c>
      <c r="F1547" s="9"/>
    </row>
    <row r="1548" ht="33.75" customHeight="1">
      <c r="A1548" s="7">
        <v>53.0</v>
      </c>
      <c r="B1548" s="9" t="s">
        <v>3149</v>
      </c>
      <c r="C1548" s="9" t="s">
        <v>3150</v>
      </c>
      <c r="D1548" s="9" t="s">
        <v>84</v>
      </c>
      <c r="E1548" s="6" t="s">
        <v>3175</v>
      </c>
      <c r="F1548" s="9"/>
    </row>
    <row r="1549" ht="33.75" customHeight="1">
      <c r="A1549" s="7">
        <v>53.0</v>
      </c>
      <c r="B1549" s="9" t="s">
        <v>3149</v>
      </c>
      <c r="C1549" s="9" t="s">
        <v>3150</v>
      </c>
      <c r="D1549" s="9" t="s">
        <v>87</v>
      </c>
      <c r="E1549" s="6" t="s">
        <v>3175</v>
      </c>
      <c r="F1549" s="9"/>
    </row>
    <row r="1550" ht="33.75" customHeight="1">
      <c r="A1550" s="7">
        <v>53.0</v>
      </c>
      <c r="B1550" s="9" t="s">
        <v>3149</v>
      </c>
      <c r="C1550" s="9" t="s">
        <v>3150</v>
      </c>
      <c r="D1550" s="9" t="s">
        <v>89</v>
      </c>
      <c r="E1550" s="6" t="s">
        <v>3156</v>
      </c>
      <c r="F1550" s="9"/>
    </row>
    <row r="1551" ht="33.75" customHeight="1">
      <c r="A1551" s="7">
        <v>53.0</v>
      </c>
      <c r="B1551" s="9" t="s">
        <v>3149</v>
      </c>
      <c r="C1551" s="9" t="s">
        <v>3150</v>
      </c>
      <c r="D1551" s="9" t="s">
        <v>91</v>
      </c>
      <c r="E1551" s="6" t="s">
        <v>3159</v>
      </c>
      <c r="F1551" s="9"/>
    </row>
    <row r="1552" ht="33.75" customHeight="1">
      <c r="A1552" s="7">
        <v>53.0</v>
      </c>
      <c r="B1552" s="9" t="s">
        <v>3149</v>
      </c>
      <c r="C1552" s="9" t="s">
        <v>3150</v>
      </c>
      <c r="D1552" s="9" t="s">
        <v>93</v>
      </c>
      <c r="E1552" s="6" t="s">
        <v>3175</v>
      </c>
      <c r="F1552" s="9"/>
    </row>
    <row r="1553" ht="33.75" customHeight="1">
      <c r="A1553" s="7">
        <v>53.0</v>
      </c>
      <c r="B1553" s="9" t="s">
        <v>3149</v>
      </c>
      <c r="C1553" s="9" t="s">
        <v>3150</v>
      </c>
      <c r="D1553" s="9" t="s">
        <v>95</v>
      </c>
      <c r="E1553" s="6" t="s">
        <v>3175</v>
      </c>
      <c r="F1553" s="9"/>
    </row>
    <row r="1554" ht="33.75" customHeight="1">
      <c r="A1554" s="7">
        <v>53.0</v>
      </c>
      <c r="B1554" s="9" t="s">
        <v>3149</v>
      </c>
      <c r="C1554" s="9" t="s">
        <v>3150</v>
      </c>
      <c r="D1554" s="9" t="s">
        <v>98</v>
      </c>
      <c r="E1554" s="6" t="s">
        <v>3175</v>
      </c>
      <c r="F1554" s="9"/>
    </row>
    <row r="1555" ht="33.75" customHeight="1">
      <c r="A1555" s="7">
        <v>53.0</v>
      </c>
      <c r="B1555" s="9" t="s">
        <v>3149</v>
      </c>
      <c r="C1555" s="9" t="s">
        <v>3150</v>
      </c>
      <c r="D1555" s="9" t="s">
        <v>99</v>
      </c>
      <c r="E1555" s="6" t="s">
        <v>3175</v>
      </c>
      <c r="F1555" s="9"/>
    </row>
    <row r="1556" ht="33.75" customHeight="1">
      <c r="A1556" s="7">
        <v>53.0</v>
      </c>
      <c r="B1556" s="9" t="s">
        <v>3149</v>
      </c>
      <c r="C1556" s="9" t="s">
        <v>3150</v>
      </c>
      <c r="D1556" s="9" t="s">
        <v>101</v>
      </c>
      <c r="E1556" s="6" t="s">
        <v>3152</v>
      </c>
      <c r="F1556" s="9"/>
    </row>
    <row r="1557" ht="33.75" customHeight="1">
      <c r="A1557" s="7">
        <v>53.0</v>
      </c>
      <c r="B1557" s="9" t="s">
        <v>3149</v>
      </c>
      <c r="C1557" s="9" t="s">
        <v>3150</v>
      </c>
      <c r="D1557" s="9" t="s">
        <v>105</v>
      </c>
      <c r="E1557" s="6" t="s">
        <v>3159</v>
      </c>
      <c r="F1557" s="9"/>
    </row>
    <row r="1558" ht="33.75" customHeight="1">
      <c r="A1558" s="7">
        <v>53.0</v>
      </c>
      <c r="B1558" s="9" t="s">
        <v>3149</v>
      </c>
      <c r="C1558" s="9" t="s">
        <v>3150</v>
      </c>
      <c r="D1558" s="9" t="s">
        <v>107</v>
      </c>
      <c r="E1558" s="6" t="s">
        <v>3195</v>
      </c>
      <c r="F1558" s="9"/>
    </row>
    <row r="1559" ht="33.75" customHeight="1">
      <c r="A1559" s="7">
        <v>53.0</v>
      </c>
      <c r="B1559" s="9" t="s">
        <v>3149</v>
      </c>
      <c r="C1559" s="9" t="s">
        <v>3150</v>
      </c>
      <c r="D1559" s="9" t="s">
        <v>109</v>
      </c>
      <c r="E1559" s="6" t="s">
        <v>3195</v>
      </c>
      <c r="F1559" s="9"/>
    </row>
    <row r="1560" ht="33.75" customHeight="1">
      <c r="A1560" s="7">
        <v>53.0</v>
      </c>
      <c r="B1560" s="9" t="s">
        <v>3149</v>
      </c>
      <c r="C1560" s="9" t="s">
        <v>3150</v>
      </c>
      <c r="D1560" s="9" t="s">
        <v>637</v>
      </c>
      <c r="E1560" s="6" t="s">
        <v>3201</v>
      </c>
      <c r="F1560" s="9"/>
    </row>
    <row r="1561" ht="33.75" customHeight="1">
      <c r="A1561" s="7">
        <v>53.0</v>
      </c>
      <c r="B1561" s="9" t="s">
        <v>3149</v>
      </c>
      <c r="C1561" s="9" t="s">
        <v>3150</v>
      </c>
      <c r="D1561" s="9" t="s">
        <v>642</v>
      </c>
      <c r="E1561" s="6" t="s">
        <v>3205</v>
      </c>
      <c r="F1561" s="9"/>
    </row>
    <row r="1562" ht="33.75" customHeight="1">
      <c r="A1562" s="7">
        <v>53.0</v>
      </c>
      <c r="B1562" s="9" t="s">
        <v>3149</v>
      </c>
      <c r="C1562" s="9" t="s">
        <v>3150</v>
      </c>
      <c r="D1562" s="9" t="s">
        <v>647</v>
      </c>
      <c r="E1562" s="6" t="s">
        <v>3207</v>
      </c>
      <c r="F1562" s="9"/>
    </row>
    <row r="1563" ht="33.75" customHeight="1">
      <c r="A1563" s="7">
        <v>53.0</v>
      </c>
      <c r="B1563" s="9" t="s">
        <v>3149</v>
      </c>
      <c r="C1563" s="9" t="s">
        <v>3150</v>
      </c>
      <c r="D1563" s="9" t="s">
        <v>652</v>
      </c>
      <c r="E1563" s="6" t="s">
        <v>3209</v>
      </c>
      <c r="F1563" s="9"/>
    </row>
    <row r="1564" ht="33.75" customHeight="1">
      <c r="A1564" s="7">
        <v>53.0</v>
      </c>
      <c r="B1564" s="9" t="s">
        <v>3149</v>
      </c>
      <c r="C1564" s="9" t="s">
        <v>3150</v>
      </c>
      <c r="D1564" s="9" t="s">
        <v>111</v>
      </c>
      <c r="E1564" s="6" t="s">
        <v>3154</v>
      </c>
      <c r="F1564" s="9"/>
    </row>
    <row r="1565" ht="33.75" customHeight="1">
      <c r="A1565" s="7">
        <v>53.0</v>
      </c>
      <c r="B1565" s="9" t="s">
        <v>3149</v>
      </c>
      <c r="C1565" s="9" t="s">
        <v>3150</v>
      </c>
      <c r="D1565" s="9" t="s">
        <v>113</v>
      </c>
      <c r="E1565" s="6" t="s">
        <v>3154</v>
      </c>
      <c r="F1565" s="9"/>
    </row>
    <row r="1566" ht="33.75" customHeight="1">
      <c r="A1566" s="7">
        <v>53.0</v>
      </c>
      <c r="B1566" s="9" t="s">
        <v>3149</v>
      </c>
      <c r="C1566" s="9" t="s">
        <v>3150</v>
      </c>
      <c r="D1566" s="9" t="s">
        <v>114</v>
      </c>
      <c r="E1566" s="6" t="s">
        <v>3213</v>
      </c>
      <c r="F1566" s="9"/>
    </row>
    <row r="1567" ht="33.75" customHeight="1">
      <c r="A1567" s="7">
        <v>53.0</v>
      </c>
      <c r="B1567" s="9" t="s">
        <v>3149</v>
      </c>
      <c r="C1567" s="9" t="s">
        <v>3150</v>
      </c>
      <c r="D1567" s="9" t="s">
        <v>117</v>
      </c>
      <c r="E1567" s="6" t="s">
        <v>3215</v>
      </c>
      <c r="F1567" s="9"/>
    </row>
    <row r="1568" ht="33.75" customHeight="1">
      <c r="A1568" s="7">
        <v>54.0</v>
      </c>
      <c r="B1568" s="9" t="s">
        <v>3216</v>
      </c>
      <c r="C1568" s="9" t="s">
        <v>3217</v>
      </c>
      <c r="D1568" s="9" t="s">
        <v>24</v>
      </c>
      <c r="E1568" s="6" t="s">
        <v>3219</v>
      </c>
      <c r="F1568" t="inlineStr" s="10">
        <is>
          <t xml:space="preserve">Tuudittaessaan vihollisiaan tyhjällä katseellaan tämä ovela POKéMON käyttää psykokineettisiä voimia. Aina päänsäryt piinaavat sitä. Se käyttää psyykkisiä voimia, mutta ei tiedetä, aikooko se tehdä niin. Sillä on mystisiä voimia, mutta se ei muista käyttäneensä niitä. Siksi se näyttää aina hämmentyneeltä. Jos sen krooninen päänsärky pahenee, se saattaa osoittaa outoja voimia. Se näyttää kykenemättömältä muistamaan tällaista kohtausta. Se voi käyttää psyykkistä voimaansa vain silloin, kun sen nukkuvat aivosolut sattuvat heräämään. PSYDUCK käyttää salaperäistä voimaa. Niin tehdessään tämä POKéMON tuottaa aivoaaltoja, joita oletetaan nähtävän vain nukkujilla. Tämä löytö herätti kiistoja tutkijoiden keskuudessa. Jos se käyttää mystistä voimaansa, PSYDUCK ei muista tehneensä niin. Se ei ilmeisesti pysty muodostamaan muistikuvaa tällaisesta tapahtumasta, koska se vaipuu muuttuneeseen tilaan, joka muistuttaa syvää unta. Kun sen päänsärky voimistuu, se alkaa käyttää outoja voimia. Se ei kuitenkaan muista voimiaan, joten se näyttää aina hämmentyneeltä ja hämmentyneeltä. Sitä vaivaa jatkuva päänsärky. Kun päänsärky muuttuu voimakkaaksi, se alkaa käyttää salaperäisiä voimia. Jos sen tavanomainen päänsärky pahenee, se alkaa osoittaa outoja voimia. Se ei kuitenkaan muista tehneensä niin. Se ei koskaan muista käyttäneensä outoja voimiaan, joten se kallistaa aina päätään hämmentyneenä. Arvoituksellisten kykyjen valtaamana se kärsii jatkuvasta päänsärystä. Joskus se käyttää salaperäisiä voimia. Kun päänsäryt stimuloivat sen aivosoluja, jotka ovat yleensä passiivisia, se voi käyttää salaperäistä voimaa. Kun se tekee niin, tämä Pokémon tuottaa aivoaaltoja, joita oletetaan nähtävän vain nukkujilla. Jos se käyttää salaperäistä voimaansa, Psyduck ei muista tehneensä niin. Se ei ilmeisesti pysty muodostamaan muistoa tällaisesta tapahtumasta, koska se vaipuu muuttuneeseen tilaan, joka muistuttaa syvää unta. Koska päänsärky on niin voimakasta, että se saa sen itkemään, se käyttää joskus tahattomasti psykokineesiä. Tätä Pokémonia vaivaavat jatkuvat päänsäryt. Mitä enemmän kipua se tuntee, sitä voimakkaammaksi sen psykokineesi muuttuu. Psykokineesin käyttö aiheuttaa sille päänvaivaa, joten se yleensä kuluttaa aikaa harventamalla ja tekemällä mahdollisimman vähän. On havaittu, että sen aivosolut ovat 10 kertaa aktiivisempia, kun Psyduckilla on päänsärky. Psyduckia vaivaa jatkuvasti päänsärky. Jos Pokémon antaa oudon voimansa purkautua, kipu ilmeisesti hellittää joksikin aikaa. Psyduckin stressaantuessa sen päänsärky pahenee asteittain. Se käyttää voimakasta psyykkistä energiaa ylikuormittaakseen ympärillään olevat. Kärsii jatkuvista päänsäryistä. Jos tuska kasvaa liian suureksi, Psyduckin piilevä voima purkautuu, vastoin Psyduckin tarkoitusta. Eli tutkin tapoja lievittää kipua.</t>
        </is>
      </c>
    </row>
    <row r="1569" ht="33.75" customHeight="1">
      <c r="A1569" s="7">
        <v>54.0</v>
      </c>
      <c r="B1569" s="9" t="s">
        <v>3216</v>
      </c>
      <c r="C1569" s="9" t="s">
        <v>3217</v>
      </c>
      <c r="D1569" s="9" t="s">
        <v>35</v>
      </c>
      <c r="E1569" s="6" t="s">
        <v>3219</v>
      </c>
      <c r="F1569" s="9"/>
    </row>
    <row r="1570" ht="33.75" customHeight="1">
      <c r="A1570" s="7">
        <v>54.0</v>
      </c>
      <c r="B1570" s="9" t="s">
        <v>3216</v>
      </c>
      <c r="C1570" s="9" t="s">
        <v>3217</v>
      </c>
      <c r="D1570" s="9" t="s">
        <v>42</v>
      </c>
      <c r="E1570" s="6" t="s">
        <v>3223</v>
      </c>
      <c r="F1570" s="9"/>
    </row>
    <row r="1571" ht="33.75" customHeight="1">
      <c r="A1571" s="7">
        <v>54.0</v>
      </c>
      <c r="B1571" s="9" t="s">
        <v>3216</v>
      </c>
      <c r="C1571" s="9" t="s">
        <v>3217</v>
      </c>
      <c r="D1571" s="9" t="s">
        <v>52</v>
      </c>
      <c r="E1571" s="6" t="s">
        <v>3224</v>
      </c>
      <c r="F1571" s="9"/>
    </row>
    <row r="1572" ht="33.75" customHeight="1">
      <c r="A1572" s="7">
        <v>54.0</v>
      </c>
      <c r="B1572" s="9" t="s">
        <v>3216</v>
      </c>
      <c r="C1572" s="9" t="s">
        <v>3217</v>
      </c>
      <c r="D1572" s="9" t="s">
        <v>59</v>
      </c>
      <c r="E1572" s="6" t="s">
        <v>3226</v>
      </c>
      <c r="F1572" s="9"/>
    </row>
    <row r="1573" ht="33.75" customHeight="1">
      <c r="A1573" s="7">
        <v>54.0</v>
      </c>
      <c r="B1573" s="9" t="s">
        <v>3216</v>
      </c>
      <c r="C1573" s="9" t="s">
        <v>3217</v>
      </c>
      <c r="D1573" s="9" t="s">
        <v>64</v>
      </c>
      <c r="E1573" s="6" t="s">
        <v>3228</v>
      </c>
      <c r="F1573" s="9"/>
    </row>
    <row r="1574" ht="33.75" customHeight="1">
      <c r="A1574" s="7">
        <v>54.0</v>
      </c>
      <c r="B1574" s="9" t="s">
        <v>3216</v>
      </c>
      <c r="C1574" s="9" t="s">
        <v>3217</v>
      </c>
      <c r="D1574" s="9" t="s">
        <v>67</v>
      </c>
      <c r="E1574" s="6" t="s">
        <v>3231</v>
      </c>
      <c r="F1574" s="9"/>
    </row>
    <row r="1575" ht="33.75" customHeight="1">
      <c r="A1575" s="7">
        <v>54.0</v>
      </c>
      <c r="B1575" s="9" t="s">
        <v>3216</v>
      </c>
      <c r="C1575" s="9" t="s">
        <v>3217</v>
      </c>
      <c r="D1575" s="9" t="s">
        <v>71</v>
      </c>
      <c r="E1575" s="6" t="s">
        <v>3233</v>
      </c>
      <c r="F1575" s="9"/>
    </row>
    <row r="1576" ht="33.75" customHeight="1">
      <c r="A1576" s="7">
        <v>54.0</v>
      </c>
      <c r="B1576" s="9" t="s">
        <v>3216</v>
      </c>
      <c r="C1576" s="9" t="s">
        <v>3217</v>
      </c>
      <c r="D1576" s="9" t="s">
        <v>73</v>
      </c>
      <c r="E1576" s="6" t="s">
        <v>3235</v>
      </c>
      <c r="F1576" s="9"/>
    </row>
    <row r="1577" ht="33.75" customHeight="1">
      <c r="A1577" s="7">
        <v>54.0</v>
      </c>
      <c r="B1577" s="9" t="s">
        <v>3216</v>
      </c>
      <c r="C1577" s="9" t="s">
        <v>3217</v>
      </c>
      <c r="D1577" s="9" t="s">
        <v>75</v>
      </c>
      <c r="E1577" s="6" t="s">
        <v>3237</v>
      </c>
      <c r="F1577" s="9"/>
    </row>
    <row r="1578" ht="33.75" customHeight="1">
      <c r="A1578" s="7">
        <v>54.0</v>
      </c>
      <c r="B1578" s="9" t="s">
        <v>3216</v>
      </c>
      <c r="C1578" s="9" t="s">
        <v>3217</v>
      </c>
      <c r="D1578" s="9" t="s">
        <v>79</v>
      </c>
      <c r="E1578" s="6" t="s">
        <v>3219</v>
      </c>
      <c r="F1578" s="9"/>
    </row>
    <row r="1579" ht="33.75" customHeight="1">
      <c r="A1579" s="7">
        <v>54.0</v>
      </c>
      <c r="B1579" s="9" t="s">
        <v>3216</v>
      </c>
      <c r="C1579" s="9" t="s">
        <v>3217</v>
      </c>
      <c r="D1579" s="9" t="s">
        <v>81</v>
      </c>
      <c r="E1579" s="6" t="s">
        <v>3241</v>
      </c>
      <c r="F1579" s="9"/>
    </row>
    <row r="1580" ht="33.75" customHeight="1">
      <c r="A1580" s="7">
        <v>54.0</v>
      </c>
      <c r="B1580" s="9" t="s">
        <v>3216</v>
      </c>
      <c r="C1580" s="9" t="s">
        <v>3217</v>
      </c>
      <c r="D1580" s="9" t="s">
        <v>84</v>
      </c>
      <c r="E1580" s="6" t="s">
        <v>3243</v>
      </c>
      <c r="F1580" s="9"/>
    </row>
    <row r="1581" ht="33.75" customHeight="1">
      <c r="A1581" s="7">
        <v>54.0</v>
      </c>
      <c r="B1581" s="9" t="s">
        <v>3216</v>
      </c>
      <c r="C1581" s="9" t="s">
        <v>3217</v>
      </c>
      <c r="D1581" s="9" t="s">
        <v>87</v>
      </c>
      <c r="E1581" s="6" t="s">
        <v>3246</v>
      </c>
      <c r="F1581" s="9"/>
    </row>
    <row r="1582" ht="33.75" customHeight="1">
      <c r="A1582" s="7">
        <v>54.0</v>
      </c>
      <c r="B1582" s="9" t="s">
        <v>3216</v>
      </c>
      <c r="C1582" s="9" t="s">
        <v>3217</v>
      </c>
      <c r="D1582" s="9" t="s">
        <v>89</v>
      </c>
      <c r="E1582" s="6" t="s">
        <v>3224</v>
      </c>
      <c r="F1582" s="9"/>
    </row>
    <row r="1583" ht="33.75" customHeight="1">
      <c r="A1583" s="7">
        <v>54.0</v>
      </c>
      <c r="B1583" s="9" t="s">
        <v>3216</v>
      </c>
      <c r="C1583" s="9" t="s">
        <v>3217</v>
      </c>
      <c r="D1583" s="9" t="s">
        <v>91</v>
      </c>
      <c r="E1583" s="6" t="s">
        <v>3226</v>
      </c>
      <c r="F1583" s="9"/>
    </row>
    <row r="1584" ht="33.75" customHeight="1">
      <c r="A1584" s="7">
        <v>54.0</v>
      </c>
      <c r="B1584" s="9" t="s">
        <v>3216</v>
      </c>
      <c r="C1584" s="9" t="s">
        <v>3217</v>
      </c>
      <c r="D1584" s="9" t="s">
        <v>93</v>
      </c>
      <c r="E1584" s="6" t="s">
        <v>3246</v>
      </c>
      <c r="F1584" s="9"/>
    </row>
    <row r="1585" ht="33.75" customHeight="1">
      <c r="A1585" s="7">
        <v>54.0</v>
      </c>
      <c r="B1585" s="9" t="s">
        <v>3216</v>
      </c>
      <c r="C1585" s="9" t="s">
        <v>3217</v>
      </c>
      <c r="D1585" s="9" t="s">
        <v>95</v>
      </c>
      <c r="E1585" s="6" t="s">
        <v>3246</v>
      </c>
      <c r="F1585" s="9"/>
    </row>
    <row r="1586" ht="33.75" customHeight="1">
      <c r="A1586" s="7">
        <v>54.0</v>
      </c>
      <c r="B1586" s="9" t="s">
        <v>3216</v>
      </c>
      <c r="C1586" s="9" t="s">
        <v>3217</v>
      </c>
      <c r="D1586" s="9" t="s">
        <v>98</v>
      </c>
      <c r="E1586" s="6" t="s">
        <v>3254</v>
      </c>
      <c r="F1586" s="9"/>
    </row>
    <row r="1587" ht="33.75" customHeight="1">
      <c r="A1587" s="7">
        <v>54.0</v>
      </c>
      <c r="B1587" s="9" t="s">
        <v>3216</v>
      </c>
      <c r="C1587" s="9" t="s">
        <v>3217</v>
      </c>
      <c r="D1587" s="9" t="s">
        <v>99</v>
      </c>
      <c r="E1587" s="6" t="s">
        <v>3254</v>
      </c>
      <c r="F1587" s="9"/>
    </row>
    <row r="1588" ht="33.75" customHeight="1">
      <c r="A1588" s="7">
        <v>54.0</v>
      </c>
      <c r="B1588" s="9" t="s">
        <v>3216</v>
      </c>
      <c r="C1588" s="9" t="s">
        <v>3217</v>
      </c>
      <c r="D1588" s="9" t="s">
        <v>101</v>
      </c>
      <c r="E1588" s="6" t="s">
        <v>3237</v>
      </c>
      <c r="F1588" s="9"/>
    </row>
    <row r="1589" ht="33.75" customHeight="1">
      <c r="A1589" s="7">
        <v>54.0</v>
      </c>
      <c r="B1589" s="9" t="s">
        <v>3216</v>
      </c>
      <c r="C1589" s="9" t="s">
        <v>3217</v>
      </c>
      <c r="D1589" s="9" t="s">
        <v>105</v>
      </c>
      <c r="E1589" s="6" t="s">
        <v>3224</v>
      </c>
      <c r="F1589" s="9"/>
    </row>
    <row r="1590" ht="33.75" customHeight="1">
      <c r="A1590" s="7">
        <v>54.0</v>
      </c>
      <c r="B1590" s="9" t="s">
        <v>3216</v>
      </c>
      <c r="C1590" s="9" t="s">
        <v>3217</v>
      </c>
      <c r="D1590" s="9" t="s">
        <v>107</v>
      </c>
      <c r="E1590" s="6" t="s">
        <v>3258</v>
      </c>
      <c r="F1590" s="9"/>
    </row>
    <row r="1591" ht="33.75" customHeight="1">
      <c r="A1591" s="7">
        <v>54.0</v>
      </c>
      <c r="B1591" s="9" t="s">
        <v>3216</v>
      </c>
      <c r="C1591" s="9" t="s">
        <v>3217</v>
      </c>
      <c r="D1591" s="9" t="s">
        <v>109</v>
      </c>
      <c r="E1591" s="6" t="s">
        <v>3261</v>
      </c>
      <c r="F1591" s="9"/>
    </row>
    <row r="1592" ht="33.75" customHeight="1">
      <c r="A1592" s="7">
        <v>54.0</v>
      </c>
      <c r="B1592" s="9" t="s">
        <v>3216</v>
      </c>
      <c r="C1592" s="9" t="s">
        <v>3217</v>
      </c>
      <c r="D1592" s="9" t="s">
        <v>637</v>
      </c>
      <c r="E1592" s="6" t="s">
        <v>3263</v>
      </c>
      <c r="F1592" s="9"/>
    </row>
    <row r="1593" ht="33.75" customHeight="1">
      <c r="A1593" s="7">
        <v>54.0</v>
      </c>
      <c r="B1593" s="9" t="s">
        <v>3216</v>
      </c>
      <c r="C1593" s="9" t="s">
        <v>3217</v>
      </c>
      <c r="D1593" s="9" t="s">
        <v>642</v>
      </c>
      <c r="E1593" s="6" t="s">
        <v>3267</v>
      </c>
      <c r="F1593" s="9"/>
    </row>
    <row r="1594" ht="33.75" customHeight="1">
      <c r="A1594" s="7">
        <v>54.0</v>
      </c>
      <c r="B1594" s="9" t="s">
        <v>3216</v>
      </c>
      <c r="C1594" s="9" t="s">
        <v>3217</v>
      </c>
      <c r="D1594" s="9" t="s">
        <v>647</v>
      </c>
      <c r="E1594" s="6" t="s">
        <v>3270</v>
      </c>
      <c r="F1594" s="9"/>
    </row>
    <row r="1595" ht="33.75" customHeight="1">
      <c r="A1595" s="7">
        <v>54.0</v>
      </c>
      <c r="B1595" s="9" t="s">
        <v>3216</v>
      </c>
      <c r="C1595" s="9" t="s">
        <v>3217</v>
      </c>
      <c r="D1595" s="9" t="s">
        <v>652</v>
      </c>
      <c r="E1595" s="6" t="s">
        <v>3272</v>
      </c>
      <c r="F1595" s="9"/>
    </row>
    <row r="1596" ht="33.75" customHeight="1">
      <c r="A1596" s="7">
        <v>54.0</v>
      </c>
      <c r="B1596" s="9" t="s">
        <v>3216</v>
      </c>
      <c r="C1596" s="9" t="s">
        <v>3217</v>
      </c>
      <c r="D1596" s="9" t="s">
        <v>111</v>
      </c>
      <c r="E1596" s="6" t="s">
        <v>3223</v>
      </c>
      <c r="F1596" s="9"/>
    </row>
    <row r="1597" ht="33.75" customHeight="1">
      <c r="A1597" s="7">
        <v>54.0</v>
      </c>
      <c r="B1597" s="9" t="s">
        <v>3216</v>
      </c>
      <c r="C1597" s="9" t="s">
        <v>3217</v>
      </c>
      <c r="D1597" s="9" t="s">
        <v>113</v>
      </c>
      <c r="E1597" s="6" t="s">
        <v>3223</v>
      </c>
      <c r="F1597" s="9"/>
    </row>
    <row r="1598" ht="33.75" customHeight="1">
      <c r="A1598" s="7">
        <v>54.0</v>
      </c>
      <c r="B1598" s="9" t="s">
        <v>3216</v>
      </c>
      <c r="C1598" s="9" t="s">
        <v>3217</v>
      </c>
      <c r="D1598" s="9" t="s">
        <v>114</v>
      </c>
      <c r="E1598" s="6" t="s">
        <v>3280</v>
      </c>
      <c r="F1598" s="9"/>
    </row>
    <row r="1599" ht="33.75" customHeight="1">
      <c r="A1599" s="7">
        <v>54.0</v>
      </c>
      <c r="B1599" s="9" t="s">
        <v>3216</v>
      </c>
      <c r="C1599" s="9" t="s">
        <v>3217</v>
      </c>
      <c r="D1599" s="9" t="s">
        <v>117</v>
      </c>
      <c r="E1599" s="6" t="s">
        <v>3283</v>
      </c>
      <c r="F1599" s="9"/>
    </row>
    <row r="1600" ht="33.75" customHeight="1">
      <c r="A1600" s="7">
        <v>54.0</v>
      </c>
      <c r="B1600" s="9" t="s">
        <v>3216</v>
      </c>
      <c r="C1600" s="9" t="s">
        <v>3217</v>
      </c>
      <c r="D1600" s="9" t="s">
        <v>1577</v>
      </c>
      <c r="E1600" s="6" t="s">
        <v>3285</v>
      </c>
      <c r="F1600" s="9"/>
    </row>
    <row r="1601" ht="33.75" customHeight="1">
      <c r="A1601" s="7">
        <v>55.0</v>
      </c>
      <c r="B1601" s="9" t="s">
        <v>3287</v>
      </c>
      <c r="C1601" s="9" t="s">
        <v>3217</v>
      </c>
      <c r="D1601" s="9" t="s">
        <v>24</v>
      </c>
      <c r="E1601" s="6" t="s">
        <v>3289</v>
      </c>
      <c r="F1601" t="inlineStr" s="10">
        <is>
          <t xml:space="preserve">Usein nähdään tyylikkäästi uimassa järvien rannoilla. Se sekoitetaan usein japanilaiseen hirviöön, Kappaan. Sen hoikat ja pitkät raajat päättyvät leveisiin räpylöihin. Niitä käytetään uimiseen sulavasti järvissä. Kun se ui täydellä vauhdilla pitkiä, räpylöillä peitettyjä raajojaan käyttäen, sen otsaosa alkaa jotenkin hehkua. Se ilmestyy vesistöjen varsille hämärän aikaan. Se saattaa käyttää telekineettisiä voimiaan, jos sen otsa hehkuu mystisesti. Se ui tyylikkäästi hiljaisilla, hitaasti virtaavilla joilla ja järvillä, joista se pitää niin paljon. Sen etu- ja takajalkojen räpylät ja GOLDUCKin virtaviivainen vartalo antavat sille pelottavan nopeuden. Tämä POKéMON on ehdottomasti paljon nopeampi kuin edes urheilullisin uimari. GOLDUCK on nopein uimari kaikista POKéMONeista. Se ui vaivattomasti jopa myrskyisässä meressä. Se joskus pelastaa ihmisiä haaksirikkoutuneista laivoista, jotka ajelehtivat avomerellä. KULTASANKA on taitava uimari. Se liittyy joskus kilpauimareiden harjoituksiin. Se käyttää psyykkisiä voimia, kun sen otsa hohtaa valossa. Eturaajoissa on räpylät, mikä tekee siitä taitavan uimarin. Sen voi nähdä uimassa tyylikkäästi esimerkiksi järvissä. Usein nähdään tyylikkäästi uivan järvenrannoilla. Järvissä elävä Pokémon. Se ui nopeammin kuin kukaan ihmisuinnin mestari. Sen hyvin kehittyneiden raajojen räpylät antavat sille hämmästyttävän nopeuden. Se on paras uimari Pokémonien joukossa. Sen nähdään uimassa dynaamisesti ja tyylikkäästi käyttäen hyvin kehittyneitä raajojaan ja räpylöitään. Kun se ui täydellä vauhdilla pitkiä, räpylöillä peitettyjä raajojaan käyttäen, sen otsa alkaa jotenkin hehkua. Se ilmestyy vesistöjen varsille hämärän laskeutuessa. Se saattaa käyttää telekineettisiä voimia, jos sen otsa hehkuu mystisesti. Kun sen otsa loistaa salaperäisesti, Golduck voi käyttää kaikkia voimansa ominaisuuksia. Se ui vaivattomasti jopa myrskyisässä ja aallokossa. Se joskus pelastaa ihmisiä avomerellä rännistyneistä laivoista. Sanotaan, että sen otsan punainen osa antaa yliluonnollisia voimia niille, joilla sellainen on, joten sitä metsästettiin aiemmin liikaa. Se ui järvien rannoilla ja pyydystää kala-Pokémoneja. Se vie ne rannalle ja syö ne hiljaa. Golduck voi lamauttaa jopa nopeasti uivia kala-Pokémoneja. Se pysäyttää ne ja ottaa ne kiinni. Ammattiuimarina se voi jatkaa uintia kaksi päivää putkeen heiluttamalla taitavasti pitkää häntäänsä. Sen pitkät, hoikat raajat päättyvät leveisiin räpylöihin. Tämä Pokémon elää hiljaa virtaavissa joissa. Se meloo vedessä pitkillä raajoillaan ja esittelee sulavia uintitaitojaan. Vanhoissa tarinoissa kerrotaan, kuinka Golduck rankaisi joen saastuttajia. Syylliset raahattiin veteen ja vietiin pois. Sen ruumis on vahva, ja sen käsissä ja jaloissa on verkkoja. Golduck uu helposti kovassa merenkäynnissä ja raapii tiensä korkeiden aaltojen läpi.</t>
        </is>
      </c>
    </row>
    <row r="1602" ht="33.75" customHeight="1">
      <c r="A1602" s="7">
        <v>55.0</v>
      </c>
      <c r="B1602" s="9" t="s">
        <v>3287</v>
      </c>
      <c r="C1602" s="9" t="s">
        <v>3217</v>
      </c>
      <c r="D1602" s="9" t="s">
        <v>35</v>
      </c>
      <c r="E1602" s="6" t="s">
        <v>3289</v>
      </c>
      <c r="F1602" s="9"/>
    </row>
    <row r="1603" ht="33.75" customHeight="1">
      <c r="A1603" s="7">
        <v>55.0</v>
      </c>
      <c r="B1603" s="9" t="s">
        <v>3287</v>
      </c>
      <c r="C1603" s="9" t="s">
        <v>3217</v>
      </c>
      <c r="D1603" s="9" t="s">
        <v>42</v>
      </c>
      <c r="E1603" s="6" t="s">
        <v>3292</v>
      </c>
      <c r="F1603" s="9"/>
    </row>
    <row r="1604" ht="33.75" customHeight="1">
      <c r="A1604" s="7">
        <v>55.0</v>
      </c>
      <c r="B1604" s="9" t="s">
        <v>3287</v>
      </c>
      <c r="C1604" s="9" t="s">
        <v>3217</v>
      </c>
      <c r="D1604" s="9" t="s">
        <v>52</v>
      </c>
      <c r="E1604" s="6" t="s">
        <v>3294</v>
      </c>
      <c r="F1604" s="9"/>
    </row>
    <row r="1605" ht="33.75" customHeight="1">
      <c r="A1605" s="7">
        <v>55.0</v>
      </c>
      <c r="B1605" s="9" t="s">
        <v>3287</v>
      </c>
      <c r="C1605" s="9" t="s">
        <v>3217</v>
      </c>
      <c r="D1605" s="9" t="s">
        <v>59</v>
      </c>
      <c r="E1605" s="6" t="s">
        <v>3296</v>
      </c>
      <c r="F1605" s="9"/>
    </row>
    <row r="1606" ht="33.75" customHeight="1">
      <c r="A1606" s="7">
        <v>55.0</v>
      </c>
      <c r="B1606" s="9" t="s">
        <v>3287</v>
      </c>
      <c r="C1606" s="9" t="s">
        <v>3217</v>
      </c>
      <c r="D1606" s="9" t="s">
        <v>64</v>
      </c>
      <c r="E1606" s="6" t="s">
        <v>3298</v>
      </c>
      <c r="F1606" s="9"/>
    </row>
    <row r="1607" ht="33.75" customHeight="1">
      <c r="A1607" s="7">
        <v>55.0</v>
      </c>
      <c r="B1607" s="9" t="s">
        <v>3287</v>
      </c>
      <c r="C1607" s="9" t="s">
        <v>3217</v>
      </c>
      <c r="D1607" s="9" t="s">
        <v>67</v>
      </c>
      <c r="E1607" s="6" t="s">
        <v>3300</v>
      </c>
      <c r="F1607" s="9"/>
    </row>
    <row r="1608" ht="33.75" customHeight="1">
      <c r="A1608" s="7">
        <v>55.0</v>
      </c>
      <c r="B1608" s="9" t="s">
        <v>3287</v>
      </c>
      <c r="C1608" s="9" t="s">
        <v>3217</v>
      </c>
      <c r="D1608" s="9" t="s">
        <v>71</v>
      </c>
      <c r="E1608" s="6" t="s">
        <v>3302</v>
      </c>
      <c r="F1608" s="9"/>
    </row>
    <row r="1609" ht="33.75" customHeight="1">
      <c r="A1609" s="7">
        <v>55.0</v>
      </c>
      <c r="B1609" s="9" t="s">
        <v>3287</v>
      </c>
      <c r="C1609" s="9" t="s">
        <v>3217</v>
      </c>
      <c r="D1609" s="9" t="s">
        <v>73</v>
      </c>
      <c r="E1609" s="6" t="s">
        <v>3304</v>
      </c>
      <c r="F1609" s="9"/>
    </row>
    <row r="1610" ht="33.75" customHeight="1">
      <c r="A1610" s="7">
        <v>55.0</v>
      </c>
      <c r="B1610" s="9" t="s">
        <v>3287</v>
      </c>
      <c r="C1610" s="9" t="s">
        <v>3217</v>
      </c>
      <c r="D1610" s="9" t="s">
        <v>75</v>
      </c>
      <c r="E1610" s="6" t="s">
        <v>3306</v>
      </c>
      <c r="F1610" s="9"/>
    </row>
    <row r="1611" ht="33.75" customHeight="1">
      <c r="A1611" s="7">
        <v>55.0</v>
      </c>
      <c r="B1611" s="9" t="s">
        <v>3287</v>
      </c>
      <c r="C1611" s="9" t="s">
        <v>3217</v>
      </c>
      <c r="D1611" s="9" t="s">
        <v>79</v>
      </c>
      <c r="E1611" s="6" t="s">
        <v>3308</v>
      </c>
      <c r="F1611" s="9"/>
    </row>
    <row r="1612" ht="33.75" customHeight="1">
      <c r="A1612" s="7">
        <v>55.0</v>
      </c>
      <c r="B1612" s="9" t="s">
        <v>3287</v>
      </c>
      <c r="C1612" s="9" t="s">
        <v>3217</v>
      </c>
      <c r="D1612" s="9" t="s">
        <v>81</v>
      </c>
      <c r="E1612" s="6" t="s">
        <v>3311</v>
      </c>
      <c r="F1612" s="9"/>
    </row>
    <row r="1613" ht="33.75" customHeight="1">
      <c r="A1613" s="7">
        <v>55.0</v>
      </c>
      <c r="B1613" s="9" t="s">
        <v>3287</v>
      </c>
      <c r="C1613" s="9" t="s">
        <v>3217</v>
      </c>
      <c r="D1613" s="9" t="s">
        <v>84</v>
      </c>
      <c r="E1613" s="6" t="s">
        <v>3313</v>
      </c>
      <c r="F1613" s="9"/>
    </row>
    <row r="1614" ht="33.75" customHeight="1">
      <c r="A1614" s="7">
        <v>55.0</v>
      </c>
      <c r="B1614" s="9" t="s">
        <v>3287</v>
      </c>
      <c r="C1614" s="9" t="s">
        <v>3217</v>
      </c>
      <c r="D1614" s="9" t="s">
        <v>87</v>
      </c>
      <c r="E1614" s="6" t="s">
        <v>3315</v>
      </c>
      <c r="F1614" s="9"/>
    </row>
    <row r="1615" ht="33.75" customHeight="1">
      <c r="A1615" s="7">
        <v>55.0</v>
      </c>
      <c r="B1615" s="9" t="s">
        <v>3287</v>
      </c>
      <c r="C1615" s="9" t="s">
        <v>3217</v>
      </c>
      <c r="D1615" s="9" t="s">
        <v>89</v>
      </c>
      <c r="E1615" s="6" t="s">
        <v>3317</v>
      </c>
      <c r="F1615" s="9"/>
    </row>
    <row r="1616" ht="33.75" customHeight="1">
      <c r="A1616" s="7">
        <v>55.0</v>
      </c>
      <c r="B1616" s="9" t="s">
        <v>3287</v>
      </c>
      <c r="C1616" s="9" t="s">
        <v>3217</v>
      </c>
      <c r="D1616" s="9" t="s">
        <v>91</v>
      </c>
      <c r="E1616" s="6" t="s">
        <v>3319</v>
      </c>
      <c r="F1616" s="9"/>
    </row>
    <row r="1617" ht="33.75" customHeight="1">
      <c r="A1617" s="7">
        <v>55.0</v>
      </c>
      <c r="B1617" s="9" t="s">
        <v>3287</v>
      </c>
      <c r="C1617" s="9" t="s">
        <v>3217</v>
      </c>
      <c r="D1617" s="9" t="s">
        <v>93</v>
      </c>
      <c r="E1617" s="6" t="s">
        <v>3315</v>
      </c>
      <c r="F1617" s="9"/>
    </row>
    <row r="1618" ht="33.75" customHeight="1">
      <c r="A1618" s="7">
        <v>55.0</v>
      </c>
      <c r="B1618" s="9" t="s">
        <v>3287</v>
      </c>
      <c r="C1618" s="9" t="s">
        <v>3217</v>
      </c>
      <c r="D1618" s="9" t="s">
        <v>95</v>
      </c>
      <c r="E1618" s="6" t="s">
        <v>3315</v>
      </c>
      <c r="F1618" s="9"/>
    </row>
    <row r="1619" ht="33.75" customHeight="1">
      <c r="A1619" s="7">
        <v>55.0</v>
      </c>
      <c r="B1619" s="9" t="s">
        <v>3287</v>
      </c>
      <c r="C1619" s="9" t="s">
        <v>3217</v>
      </c>
      <c r="D1619" s="9" t="s">
        <v>98</v>
      </c>
      <c r="E1619" s="6" t="s">
        <v>3323</v>
      </c>
      <c r="F1619" s="9"/>
    </row>
    <row r="1620" ht="33.75" customHeight="1">
      <c r="A1620" s="7">
        <v>55.0</v>
      </c>
      <c r="B1620" s="9" t="s">
        <v>3287</v>
      </c>
      <c r="C1620" s="9" t="s">
        <v>3217</v>
      </c>
      <c r="D1620" s="9" t="s">
        <v>99</v>
      </c>
      <c r="E1620" s="6" t="s">
        <v>3323</v>
      </c>
      <c r="F1620" s="9"/>
    </row>
    <row r="1621" ht="33.75" customHeight="1">
      <c r="A1621" s="7">
        <v>55.0</v>
      </c>
      <c r="B1621" s="9" t="s">
        <v>3287</v>
      </c>
      <c r="C1621" s="9" t="s">
        <v>3217</v>
      </c>
      <c r="D1621" s="9" t="s">
        <v>101</v>
      </c>
      <c r="E1621" s="6" t="s">
        <v>3319</v>
      </c>
      <c r="F1621" s="9"/>
    </row>
    <row r="1622" ht="33.75" customHeight="1">
      <c r="A1622" s="7">
        <v>55.0</v>
      </c>
      <c r="B1622" s="9" t="s">
        <v>3287</v>
      </c>
      <c r="C1622" s="9" t="s">
        <v>3217</v>
      </c>
      <c r="D1622" s="9" t="s">
        <v>105</v>
      </c>
      <c r="E1622" s="6" t="s">
        <v>3306</v>
      </c>
      <c r="F1622" s="9"/>
    </row>
    <row r="1623" ht="33.75" customHeight="1">
      <c r="A1623" s="7">
        <v>55.0</v>
      </c>
      <c r="B1623" s="9" t="s">
        <v>3287</v>
      </c>
      <c r="C1623" s="9" t="s">
        <v>3217</v>
      </c>
      <c r="D1623" s="9" t="s">
        <v>107</v>
      </c>
      <c r="E1623" s="6" t="s">
        <v>3329</v>
      </c>
      <c r="F1623" s="9"/>
    </row>
    <row r="1624" ht="33.75" customHeight="1">
      <c r="A1624" s="7">
        <v>55.0</v>
      </c>
      <c r="B1624" s="9" t="s">
        <v>3287</v>
      </c>
      <c r="C1624" s="9" t="s">
        <v>3217</v>
      </c>
      <c r="D1624" s="9" t="s">
        <v>109</v>
      </c>
      <c r="E1624" s="6" t="s">
        <v>3331</v>
      </c>
      <c r="F1624" s="9"/>
    </row>
    <row r="1625" ht="33.75" customHeight="1">
      <c r="A1625" s="7">
        <v>55.0</v>
      </c>
      <c r="B1625" s="9" t="s">
        <v>3287</v>
      </c>
      <c r="C1625" s="9" t="s">
        <v>3217</v>
      </c>
      <c r="D1625" s="9" t="s">
        <v>637</v>
      </c>
      <c r="E1625" s="6" t="s">
        <v>3333</v>
      </c>
      <c r="F1625" s="9"/>
    </row>
    <row r="1626" ht="33.75" customHeight="1">
      <c r="A1626" s="7">
        <v>55.0</v>
      </c>
      <c r="B1626" s="9" t="s">
        <v>3287</v>
      </c>
      <c r="C1626" s="9" t="s">
        <v>3217</v>
      </c>
      <c r="D1626" s="9" t="s">
        <v>642</v>
      </c>
      <c r="E1626" s="6" t="s">
        <v>3335</v>
      </c>
      <c r="F1626" s="9"/>
    </row>
    <row r="1627" ht="33.75" customHeight="1">
      <c r="A1627" s="7">
        <v>55.0</v>
      </c>
      <c r="B1627" s="9" t="s">
        <v>3287</v>
      </c>
      <c r="C1627" s="9" t="s">
        <v>3217</v>
      </c>
      <c r="D1627" s="9" t="s">
        <v>647</v>
      </c>
      <c r="E1627" s="6" t="s">
        <v>3337</v>
      </c>
      <c r="F1627" s="9"/>
    </row>
    <row r="1628" ht="33.75" customHeight="1">
      <c r="A1628" s="7">
        <v>55.0</v>
      </c>
      <c r="B1628" s="9" t="s">
        <v>3287</v>
      </c>
      <c r="C1628" s="9" t="s">
        <v>3217</v>
      </c>
      <c r="D1628" s="9" t="s">
        <v>652</v>
      </c>
      <c r="E1628" s="6" t="s">
        <v>3339</v>
      </c>
      <c r="F1628" s="9"/>
    </row>
    <row r="1629" ht="33.75" customHeight="1">
      <c r="A1629" s="7">
        <v>55.0</v>
      </c>
      <c r="B1629" s="9" t="s">
        <v>3287</v>
      </c>
      <c r="C1629" s="9" t="s">
        <v>3217</v>
      </c>
      <c r="D1629" s="9" t="s">
        <v>111</v>
      </c>
      <c r="E1629" s="6" t="s">
        <v>3341</v>
      </c>
      <c r="F1629" s="9"/>
    </row>
    <row r="1630" ht="33.75" customHeight="1">
      <c r="A1630" s="7">
        <v>55.0</v>
      </c>
      <c r="B1630" s="9" t="s">
        <v>3287</v>
      </c>
      <c r="C1630" s="9" t="s">
        <v>3217</v>
      </c>
      <c r="D1630" s="9" t="s">
        <v>113</v>
      </c>
      <c r="E1630" s="6" t="s">
        <v>3341</v>
      </c>
      <c r="F1630" s="9"/>
    </row>
    <row r="1631" ht="33.75" customHeight="1">
      <c r="A1631" s="7">
        <v>55.0</v>
      </c>
      <c r="B1631" s="9" t="s">
        <v>3287</v>
      </c>
      <c r="C1631" s="9" t="s">
        <v>3217</v>
      </c>
      <c r="D1631" s="9" t="s">
        <v>114</v>
      </c>
      <c r="E1631" s="6" t="s">
        <v>3345</v>
      </c>
      <c r="F1631" s="9"/>
    </row>
    <row r="1632" ht="33.75" customHeight="1">
      <c r="A1632" s="7">
        <v>55.0</v>
      </c>
      <c r="B1632" s="9" t="s">
        <v>3287</v>
      </c>
      <c r="C1632" s="9" t="s">
        <v>3217</v>
      </c>
      <c r="D1632" s="9" t="s">
        <v>117</v>
      </c>
      <c r="E1632" s="6" t="s">
        <v>3346</v>
      </c>
      <c r="F1632" s="9"/>
    </row>
    <row r="1633" ht="33.75" customHeight="1">
      <c r="A1633" s="7">
        <v>55.0</v>
      </c>
      <c r="B1633" s="9" t="s">
        <v>3287</v>
      </c>
      <c r="C1633" s="9" t="s">
        <v>3217</v>
      </c>
      <c r="D1633" s="9" t="s">
        <v>1577</v>
      </c>
      <c r="E1633" s="6" t="s">
        <v>3349</v>
      </c>
      <c r="F1633" s="9"/>
    </row>
    <row r="1634" ht="33.75" customHeight="1">
      <c r="A1634" s="7">
        <v>56.0</v>
      </c>
      <c r="B1634" s="9" t="s">
        <v>3351</v>
      </c>
      <c r="C1634" s="9" t="s">
        <v>3352</v>
      </c>
      <c r="D1634" s="9" t="s">
        <v>24</v>
      </c>
      <c r="E1634" s="6" t="s">
        <v>3353</v>
      </c>
      <c r="F1634" t="inlineStr" s="10">
        <is>
          <t xml:space="preserve">Äärimmäisen nopea suuttumaan. Se voi olla säyseä yhtenä hetkenä ja raivota seuraavana. Ketterä POKéMON, joka asuu puissa. Se suuttuu helposti eikä epäröi hyökätä minkään kimppuun. Se on äärimmäisen ärtyisä. Ryhmät niistä hyökkäävät minkä tahansa kätevän kohteen kimppuun ilman syytä. On vaarallista lähestyä, jos se raivostuu rajusti ilman syytä eikä pysty erottamaan ystäviä vihollisista. Se elää ryhmissä puiden latvoissa. Jos se kadottaa ryhmänsä näkyvistä, se raivostuu yksinäisyydestään. Kun MANKEY alkaa vapista ja sen nenähengitys käy raskaaksi, se on varma merkki siitä, että se on suuttumassa. Koska se kuitenkin raivostuu lähes välittömästi, kukaan ei voi paeta sen vihaa. Kun se alkaa täristä ja sen nenähengitys käy raskaaksi, se on varma merkki vihasta. Koska tämä tapahtuu kuitenkin välittömästi, ei ole aikaa paeta. Kevyt ja ketterä jaloillaan ja luonteeltaan raivoisa. Vihastuttuaan se syöksyy hillittömään raivoon. Se voi olla säyseä yhtenä hetkenä ja raivota jonain päivänä. Se elää puiden latvustoissa. Jos yksi raivostuu, koko yhdyskunta riehuu ilman syytä. Se voi raivostua spontaanisti. Kaikki sen lähellä olevat raahautuvat pois sen raivotessa, ja siitä johtuva yksinäisyys tekee siitä vielä vihaisemman. Sen raivoaminen väsyttää sen ja saa sen nukahtamaan, mutta unissa kaikuva viha saa sen heräämään – mikä raivostuttaa sitä uudelleen. Pienimmätkin asiat voivat saada sen menettämään malttinsa. Koska se ei pidättele stressiään, tämä Pokémon voi elää pitkään. Jos yksi suuttuu, kaikki muutkin ympärillä suuttuvat, joten hiljaisuus on harvinainen vieras Mankey-laumassa.</t>
        </is>
      </c>
    </row>
    <row r="1635" ht="33.75" customHeight="1">
      <c r="A1635" s="7">
        <v>56.0</v>
      </c>
      <c r="B1635" s="9" t="s">
        <v>3351</v>
      </c>
      <c r="C1635" s="9" t="s">
        <v>3352</v>
      </c>
      <c r="D1635" s="9" t="s">
        <v>35</v>
      </c>
      <c r="E1635" s="6" t="s">
        <v>3353</v>
      </c>
      <c r="F1635" s="9"/>
    </row>
    <row r="1636" ht="33.75" customHeight="1">
      <c r="A1636" s="7">
        <v>56.0</v>
      </c>
      <c r="B1636" s="9" t="s">
        <v>3351</v>
      </c>
      <c r="C1636" s="9" t="s">
        <v>3352</v>
      </c>
      <c r="D1636" s="9" t="s">
        <v>42</v>
      </c>
      <c r="E1636" s="6" t="s">
        <v>3357</v>
      </c>
      <c r="F1636" s="9"/>
    </row>
    <row r="1637" ht="33.75" customHeight="1">
      <c r="A1637" s="7">
        <v>56.0</v>
      </c>
      <c r="B1637" s="9" t="s">
        <v>3351</v>
      </c>
      <c r="C1637" s="9" t="s">
        <v>3352</v>
      </c>
      <c r="D1637" s="9" t="s">
        <v>52</v>
      </c>
      <c r="E1637" s="6" t="s">
        <v>3359</v>
      </c>
      <c r="F1637" s="9"/>
    </row>
    <row r="1638" ht="33.75" customHeight="1">
      <c r="A1638" s="7">
        <v>56.0</v>
      </c>
      <c r="B1638" s="9" t="s">
        <v>3351</v>
      </c>
      <c r="C1638" s="9" t="s">
        <v>3352</v>
      </c>
      <c r="D1638" s="9" t="s">
        <v>59</v>
      </c>
      <c r="E1638" s="6" t="s">
        <v>3361</v>
      </c>
      <c r="F1638" s="9"/>
    </row>
    <row r="1639" ht="33.75" customHeight="1">
      <c r="A1639" s="7">
        <v>56.0</v>
      </c>
      <c r="B1639" s="9" t="s">
        <v>3351</v>
      </c>
      <c r="C1639" s="9" t="s">
        <v>3352</v>
      </c>
      <c r="D1639" s="9" t="s">
        <v>64</v>
      </c>
      <c r="E1639" s="6" t="s">
        <v>3363</v>
      </c>
      <c r="F1639" s="9"/>
    </row>
    <row r="1640" ht="33.75" customHeight="1">
      <c r="A1640" s="7">
        <v>56.0</v>
      </c>
      <c r="B1640" s="9" t="s">
        <v>3351</v>
      </c>
      <c r="C1640" s="9" t="s">
        <v>3352</v>
      </c>
      <c r="D1640" s="9" t="s">
        <v>67</v>
      </c>
      <c r="E1640" s="6" t="s">
        <v>3365</v>
      </c>
      <c r="F1640" s="9"/>
    </row>
    <row r="1641" ht="33.75" customHeight="1">
      <c r="A1641" s="7">
        <v>56.0</v>
      </c>
      <c r="B1641" s="9" t="s">
        <v>3351</v>
      </c>
      <c r="C1641" s="9" t="s">
        <v>3352</v>
      </c>
      <c r="D1641" s="9" t="s">
        <v>71</v>
      </c>
      <c r="E1641" s="6" t="s">
        <v>3365</v>
      </c>
      <c r="F1641" s="9"/>
    </row>
    <row r="1642" ht="33.75" customHeight="1">
      <c r="A1642" s="7">
        <v>56.0</v>
      </c>
      <c r="B1642" s="9" t="s">
        <v>3351</v>
      </c>
      <c r="C1642" s="9" t="s">
        <v>3352</v>
      </c>
      <c r="D1642" s="9" t="s">
        <v>73</v>
      </c>
      <c r="E1642" s="6" t="s">
        <v>3371</v>
      </c>
      <c r="F1642" s="9"/>
    </row>
    <row r="1643" ht="33.75" customHeight="1">
      <c r="A1643" s="7">
        <v>56.0</v>
      </c>
      <c r="B1643" s="9" t="s">
        <v>3351</v>
      </c>
      <c r="C1643" s="9" t="s">
        <v>3352</v>
      </c>
      <c r="D1643" s="9" t="s">
        <v>75</v>
      </c>
      <c r="E1643" s="6" t="s">
        <v>3373</v>
      </c>
      <c r="F1643" s="9"/>
    </row>
    <row r="1644" ht="33.75" customHeight="1">
      <c r="A1644" s="7">
        <v>56.0</v>
      </c>
      <c r="B1644" s="9" t="s">
        <v>3351</v>
      </c>
      <c r="C1644" s="9" t="s">
        <v>3352</v>
      </c>
      <c r="D1644" s="9" t="s">
        <v>79</v>
      </c>
      <c r="E1644" s="6" t="s">
        <v>3375</v>
      </c>
      <c r="F1644" s="9"/>
    </row>
    <row r="1645" ht="33.75" customHeight="1">
      <c r="A1645" s="7">
        <v>56.0</v>
      </c>
      <c r="B1645" s="9" t="s">
        <v>3351</v>
      </c>
      <c r="C1645" s="9" t="s">
        <v>3352</v>
      </c>
      <c r="D1645" s="9" t="s">
        <v>81</v>
      </c>
      <c r="E1645" s="6" t="s">
        <v>3377</v>
      </c>
      <c r="F1645" s="9"/>
    </row>
    <row r="1646" ht="33.75" customHeight="1">
      <c r="A1646" s="7">
        <v>56.0</v>
      </c>
      <c r="B1646" s="9" t="s">
        <v>3351</v>
      </c>
      <c r="C1646" s="9" t="s">
        <v>3352</v>
      </c>
      <c r="D1646" s="9" t="s">
        <v>84</v>
      </c>
      <c r="E1646" s="6" t="s">
        <v>3377</v>
      </c>
      <c r="F1646" s="9"/>
    </row>
    <row r="1647" ht="33.75" customHeight="1">
      <c r="A1647" s="7">
        <v>56.0</v>
      </c>
      <c r="B1647" s="9" t="s">
        <v>3351</v>
      </c>
      <c r="C1647" s="9" t="s">
        <v>3352</v>
      </c>
      <c r="D1647" s="9" t="s">
        <v>87</v>
      </c>
      <c r="E1647" s="6" t="s">
        <v>3377</v>
      </c>
      <c r="F1647" s="9"/>
    </row>
    <row r="1648" ht="33.75" customHeight="1">
      <c r="A1648" s="7">
        <v>56.0</v>
      </c>
      <c r="B1648" s="9" t="s">
        <v>3351</v>
      </c>
      <c r="C1648" s="9" t="s">
        <v>3352</v>
      </c>
      <c r="D1648" s="9" t="s">
        <v>89</v>
      </c>
      <c r="E1648" s="6" t="s">
        <v>3359</v>
      </c>
      <c r="F1648" s="9"/>
    </row>
    <row r="1649" ht="33.75" customHeight="1">
      <c r="A1649" s="7">
        <v>56.0</v>
      </c>
      <c r="B1649" s="9" t="s">
        <v>3351</v>
      </c>
      <c r="C1649" s="9" t="s">
        <v>3352</v>
      </c>
      <c r="D1649" s="9" t="s">
        <v>91</v>
      </c>
      <c r="E1649" s="6" t="s">
        <v>3361</v>
      </c>
      <c r="F1649" s="9"/>
    </row>
    <row r="1650" ht="33.75" customHeight="1">
      <c r="A1650" s="7">
        <v>56.0</v>
      </c>
      <c r="B1650" s="9" t="s">
        <v>3351</v>
      </c>
      <c r="C1650" s="9" t="s">
        <v>3352</v>
      </c>
      <c r="D1650" s="9" t="s">
        <v>93</v>
      </c>
      <c r="E1650" s="6" t="s">
        <v>3377</v>
      </c>
      <c r="F1650" s="9"/>
    </row>
    <row r="1651" ht="33.75" customHeight="1">
      <c r="A1651" s="7">
        <v>56.0</v>
      </c>
      <c r="B1651" s="9" t="s">
        <v>3351</v>
      </c>
      <c r="C1651" s="9" t="s">
        <v>3352</v>
      </c>
      <c r="D1651" s="9" t="s">
        <v>95</v>
      </c>
      <c r="E1651" s="6" t="s">
        <v>3377</v>
      </c>
      <c r="F1651" s="9"/>
    </row>
    <row r="1652" ht="33.75" customHeight="1">
      <c r="A1652" s="7">
        <v>56.0</v>
      </c>
      <c r="B1652" s="9" t="s">
        <v>3351</v>
      </c>
      <c r="C1652" s="9" t="s">
        <v>3352</v>
      </c>
      <c r="D1652" s="9" t="s">
        <v>98</v>
      </c>
      <c r="E1652" s="6" t="s">
        <v>3377</v>
      </c>
      <c r="F1652" s="9"/>
    </row>
    <row r="1653" ht="33.75" customHeight="1">
      <c r="A1653" s="7">
        <v>56.0</v>
      </c>
      <c r="B1653" s="9" t="s">
        <v>3351</v>
      </c>
      <c r="C1653" s="9" t="s">
        <v>3352</v>
      </c>
      <c r="D1653" s="9" t="s">
        <v>99</v>
      </c>
      <c r="E1653" s="6" t="s">
        <v>3377</v>
      </c>
      <c r="F1653" s="9"/>
    </row>
    <row r="1654" ht="33.75" customHeight="1">
      <c r="A1654" s="7">
        <v>56.0</v>
      </c>
      <c r="B1654" s="9" t="s">
        <v>3351</v>
      </c>
      <c r="C1654" s="9" t="s">
        <v>3352</v>
      </c>
      <c r="D1654" s="9" t="s">
        <v>101</v>
      </c>
      <c r="E1654" s="6" t="s">
        <v>3361</v>
      </c>
      <c r="F1654" s="9"/>
    </row>
    <row r="1655" ht="33.75" customHeight="1">
      <c r="A1655" s="7">
        <v>56.0</v>
      </c>
      <c r="B1655" s="9" t="s">
        <v>3351</v>
      </c>
      <c r="C1655" s="9" t="s">
        <v>3352</v>
      </c>
      <c r="D1655" s="9" t="s">
        <v>105</v>
      </c>
      <c r="E1655" s="6" t="s">
        <v>3377</v>
      </c>
      <c r="F1655" s="9"/>
    </row>
    <row r="1656" ht="33.75" customHeight="1">
      <c r="A1656" s="7">
        <v>56.0</v>
      </c>
      <c r="B1656" s="9" t="s">
        <v>3351</v>
      </c>
      <c r="C1656" s="9" t="s">
        <v>3352</v>
      </c>
      <c r="D1656" s="9" t="s">
        <v>107</v>
      </c>
      <c r="E1656" s="6" t="s">
        <v>3392</v>
      </c>
      <c r="F1656" s="9"/>
    </row>
    <row r="1657" ht="33.75" customHeight="1">
      <c r="A1657" s="7">
        <v>56.0</v>
      </c>
      <c r="B1657" s="9" t="s">
        <v>3351</v>
      </c>
      <c r="C1657" s="9" t="s">
        <v>3352</v>
      </c>
      <c r="D1657" s="9" t="s">
        <v>109</v>
      </c>
      <c r="E1657" s="6" t="s">
        <v>3392</v>
      </c>
      <c r="F1657" s="9"/>
    </row>
    <row r="1658" ht="33.75" customHeight="1">
      <c r="A1658" s="7">
        <v>56.0</v>
      </c>
      <c r="B1658" s="9" t="s">
        <v>3351</v>
      </c>
      <c r="C1658" s="9" t="s">
        <v>3352</v>
      </c>
      <c r="D1658" s="9" t="s">
        <v>637</v>
      </c>
      <c r="E1658" s="6" t="s">
        <v>3395</v>
      </c>
      <c r="F1658" s="9"/>
    </row>
    <row r="1659" ht="33.75" customHeight="1">
      <c r="A1659" s="7">
        <v>56.0</v>
      </c>
      <c r="B1659" s="9" t="s">
        <v>3351</v>
      </c>
      <c r="C1659" s="9" t="s">
        <v>3352</v>
      </c>
      <c r="D1659" s="9" t="s">
        <v>642</v>
      </c>
      <c r="E1659" s="6" t="s">
        <v>3397</v>
      </c>
      <c r="F1659" s="9"/>
    </row>
    <row r="1660" ht="33.75" customHeight="1">
      <c r="A1660" s="7">
        <v>56.0</v>
      </c>
      <c r="B1660" s="9" t="s">
        <v>3351</v>
      </c>
      <c r="C1660" s="9" t="s">
        <v>3352</v>
      </c>
      <c r="D1660" s="9" t="s">
        <v>647</v>
      </c>
      <c r="E1660" s="6" t="s">
        <v>3399</v>
      </c>
      <c r="F1660" s="9"/>
    </row>
    <row r="1661" ht="33.75" customHeight="1">
      <c r="A1661" s="7">
        <v>56.0</v>
      </c>
      <c r="B1661" s="9" t="s">
        <v>3351</v>
      </c>
      <c r="C1661" s="9" t="s">
        <v>3352</v>
      </c>
      <c r="D1661" s="9" t="s">
        <v>652</v>
      </c>
      <c r="E1661" s="6" t="s">
        <v>3402</v>
      </c>
      <c r="F1661" s="9"/>
    </row>
    <row r="1662" ht="33.75" customHeight="1">
      <c r="A1662" s="7">
        <v>56.0</v>
      </c>
      <c r="B1662" s="9" t="s">
        <v>3351</v>
      </c>
      <c r="C1662" s="9" t="s">
        <v>3352</v>
      </c>
      <c r="D1662" s="9" t="s">
        <v>111</v>
      </c>
      <c r="E1662" s="6" t="s">
        <v>3404</v>
      </c>
      <c r="F1662" s="9"/>
    </row>
    <row r="1663" ht="33.75" customHeight="1">
      <c r="A1663" s="7">
        <v>56.0</v>
      </c>
      <c r="B1663" s="9" t="s">
        <v>3351</v>
      </c>
      <c r="C1663" s="9" t="s">
        <v>3352</v>
      </c>
      <c r="D1663" s="9" t="s">
        <v>113</v>
      </c>
      <c r="E1663" s="6" t="s">
        <v>3404</v>
      </c>
      <c r="F1663" s="9"/>
    </row>
    <row r="1664" ht="33.75" customHeight="1">
      <c r="A1664" s="7">
        <v>57.0</v>
      </c>
      <c r="B1664" s="9" t="s">
        <v>3406</v>
      </c>
      <c r="C1664" s="9" t="s">
        <v>3352</v>
      </c>
      <c r="D1664" s="9" t="s">
        <v>24</v>
      </c>
      <c r="E1664" s="6" t="s">
        <v>3408</v>
      </c>
      <c r="F1664" t="inlineStr" s="10">
        <is>
          <t xml:space="preserve">Aina raivoisa ja sinnikäs kaiken lisäksi. Se ei lopeta saaliinsa jahtaamista ennen kuin se on kiinni. Se lakkaa olemasta vihainen vasta, kun ketään muuta ei ole lähellä. Tämän hetken näkeminen on hyvin vaikeaa. Jos sitä lähestytään nukkuessaan, se voi herätä ja lähteä vihaisesti takaa-ajoon puoliunessa unessa. Se raivostuu suunnattomasti, jos se edes aistii jonkun katsovan sitä. Se jahtaa ketä tahansa, joka kohtaa sen tuijotuksen. Se pieksee jokaisen, joka sen suututtaa, vaikka sen pitäisi jahdata heitä maailman loppuun asti. Kun PRIMEAPE raivostuu, sen verenkierto vilkastuu. Tämän seurauksena sen lihakset vahvistuvat entisestään. Samalla siitä tulee kuitenkin myös paljon vähemmän älykäs. Kun se raivostuu, sen verenkierto vilkastuu ja sen lihakset vahvistuvat. Mutta siitä tulee myös paljon vähemmän älykäs. Se on aina hillittömän raivoissaan. Jos se lähtee takaa-ajoon, se seuraa kohdetta sinnikkäästi, olipa se kuinka kaukana tahansa. Se ei lopeta saaliinsa jahtaamista ennen kuin saa sen kiinni. Se suuttuu, jos näet sen silmät, ja suuttuu vielä enemmän, jos pakenet. Jos voitat sen, se suuttuu vieläkin enemmän. Sen tiedetään suuttuvan niin paljon, että se kuolee sen seurauksena. Sen kasvot näyttävät kuitenkin kuollessa rauhallisilta. Jotkut tutkijat teorioivat, että Primeape pysyy vihaisena jopa Poképallon sisällä. Se ei koskaan anna anteeksi vastustajille, jotka ovat suututtaneet sen. Vaikka se olisi lyönyt heidät niin alas, etteivät he pysty liikkumaan, se ei koskaan anna anteeksi. Sen aivojen verisuonet ovat vahvemmat kuin muilla Pokémoneilla, joten se pysyy terveenä jatkuvasta raivoamisestaan ​​huolimatta.</t>
        </is>
      </c>
    </row>
    <row r="1665" ht="33.75" customHeight="1">
      <c r="A1665" s="7">
        <v>57.0</v>
      </c>
      <c r="B1665" s="9" t="s">
        <v>3406</v>
      </c>
      <c r="C1665" s="9" t="s">
        <v>3352</v>
      </c>
      <c r="D1665" s="9" t="s">
        <v>35</v>
      </c>
      <c r="E1665" s="6" t="s">
        <v>3408</v>
      </c>
      <c r="F1665" s="9"/>
    </row>
    <row r="1666" ht="33.75" customHeight="1">
      <c r="A1666" s="7">
        <v>57.0</v>
      </c>
      <c r="B1666" s="9" t="s">
        <v>3406</v>
      </c>
      <c r="C1666" s="9" t="s">
        <v>3352</v>
      </c>
      <c r="D1666" s="9" t="s">
        <v>42</v>
      </c>
      <c r="E1666" s="6" t="s">
        <v>3411</v>
      </c>
      <c r="F1666" s="9"/>
    </row>
    <row r="1667" ht="33.75" customHeight="1">
      <c r="A1667" s="7">
        <v>57.0</v>
      </c>
      <c r="B1667" s="9" t="s">
        <v>3406</v>
      </c>
      <c r="C1667" s="9" t="s">
        <v>3352</v>
      </c>
      <c r="D1667" s="9" t="s">
        <v>52</v>
      </c>
      <c r="E1667" s="6" t="s">
        <v>3413</v>
      </c>
      <c r="F1667" s="9"/>
    </row>
    <row r="1668" ht="33.75" customHeight="1">
      <c r="A1668" s="7">
        <v>57.0</v>
      </c>
      <c r="B1668" s="9" t="s">
        <v>3406</v>
      </c>
      <c r="C1668" s="9" t="s">
        <v>3352</v>
      </c>
      <c r="D1668" s="9" t="s">
        <v>59</v>
      </c>
      <c r="E1668" s="6" t="s">
        <v>3416</v>
      </c>
      <c r="F1668" s="9"/>
    </row>
    <row r="1669" ht="33.75" customHeight="1">
      <c r="A1669" s="7">
        <v>57.0</v>
      </c>
      <c r="B1669" s="9" t="s">
        <v>3406</v>
      </c>
      <c r="C1669" s="9" t="s">
        <v>3352</v>
      </c>
      <c r="D1669" s="9" t="s">
        <v>64</v>
      </c>
      <c r="E1669" s="6" t="s">
        <v>3418</v>
      </c>
      <c r="F1669" s="9"/>
    </row>
    <row r="1670" ht="33.75" customHeight="1">
      <c r="A1670" s="7">
        <v>57.0</v>
      </c>
      <c r="B1670" s="9" t="s">
        <v>3406</v>
      </c>
      <c r="C1670" s="9" t="s">
        <v>3352</v>
      </c>
      <c r="D1670" s="9" t="s">
        <v>67</v>
      </c>
      <c r="E1670" s="6" t="s">
        <v>3420</v>
      </c>
      <c r="F1670" s="9"/>
    </row>
    <row r="1671" ht="33.75" customHeight="1">
      <c r="A1671" s="7">
        <v>57.0</v>
      </c>
      <c r="B1671" s="9" t="s">
        <v>3406</v>
      </c>
      <c r="C1671" s="9" t="s">
        <v>3352</v>
      </c>
      <c r="D1671" s="9" t="s">
        <v>71</v>
      </c>
      <c r="E1671" s="6" t="s">
        <v>3420</v>
      </c>
      <c r="F1671" s="9"/>
    </row>
    <row r="1672" ht="33.75" customHeight="1">
      <c r="A1672" s="7">
        <v>57.0</v>
      </c>
      <c r="B1672" s="9" t="s">
        <v>3406</v>
      </c>
      <c r="C1672" s="9" t="s">
        <v>3352</v>
      </c>
      <c r="D1672" s="9" t="s">
        <v>73</v>
      </c>
      <c r="E1672" s="6" t="s">
        <v>3424</v>
      </c>
      <c r="F1672" s="9"/>
    </row>
    <row r="1673" ht="33.75" customHeight="1">
      <c r="A1673" s="7">
        <v>57.0</v>
      </c>
      <c r="B1673" s="9" t="s">
        <v>3406</v>
      </c>
      <c r="C1673" s="9" t="s">
        <v>3352</v>
      </c>
      <c r="D1673" s="9" t="s">
        <v>75</v>
      </c>
      <c r="E1673" s="6" t="s">
        <v>3426</v>
      </c>
      <c r="F1673" s="9"/>
    </row>
    <row r="1674" ht="33.75" customHeight="1">
      <c r="A1674" s="7">
        <v>57.0</v>
      </c>
      <c r="B1674" s="9" t="s">
        <v>3406</v>
      </c>
      <c r="C1674" s="9" t="s">
        <v>3352</v>
      </c>
      <c r="D1674" s="9" t="s">
        <v>79</v>
      </c>
      <c r="E1674" s="6" t="s">
        <v>3428</v>
      </c>
      <c r="F1674" s="9"/>
    </row>
    <row r="1675" ht="33.75" customHeight="1">
      <c r="A1675" s="7">
        <v>57.0</v>
      </c>
      <c r="B1675" s="9" t="s">
        <v>3406</v>
      </c>
      <c r="C1675" s="9" t="s">
        <v>3352</v>
      </c>
      <c r="D1675" s="9" t="s">
        <v>81</v>
      </c>
      <c r="E1675" s="6" t="s">
        <v>3431</v>
      </c>
      <c r="F1675" s="9"/>
    </row>
    <row r="1676" ht="33.75" customHeight="1">
      <c r="A1676" s="7">
        <v>57.0</v>
      </c>
      <c r="B1676" s="9" t="s">
        <v>3406</v>
      </c>
      <c r="C1676" s="9" t="s">
        <v>3352</v>
      </c>
      <c r="D1676" s="9" t="s">
        <v>84</v>
      </c>
      <c r="E1676" s="6" t="s">
        <v>3431</v>
      </c>
      <c r="F1676" s="9"/>
    </row>
    <row r="1677" ht="33.75" customHeight="1">
      <c r="A1677" s="7">
        <v>57.0</v>
      </c>
      <c r="B1677" s="9" t="s">
        <v>3406</v>
      </c>
      <c r="C1677" s="9" t="s">
        <v>3352</v>
      </c>
      <c r="D1677" s="9" t="s">
        <v>87</v>
      </c>
      <c r="E1677" s="6" t="s">
        <v>3431</v>
      </c>
      <c r="F1677" s="9"/>
    </row>
    <row r="1678" ht="33.75" customHeight="1">
      <c r="A1678" s="7">
        <v>57.0</v>
      </c>
      <c r="B1678" s="9" t="s">
        <v>3406</v>
      </c>
      <c r="C1678" s="9" t="s">
        <v>3352</v>
      </c>
      <c r="D1678" s="9" t="s">
        <v>89</v>
      </c>
      <c r="E1678" s="6" t="s">
        <v>3413</v>
      </c>
      <c r="F1678" s="9"/>
    </row>
    <row r="1679" ht="33.75" customHeight="1">
      <c r="A1679" s="7">
        <v>57.0</v>
      </c>
      <c r="B1679" s="9" t="s">
        <v>3406</v>
      </c>
      <c r="C1679" s="9" t="s">
        <v>3352</v>
      </c>
      <c r="D1679" s="9" t="s">
        <v>91</v>
      </c>
      <c r="E1679" s="6" t="s">
        <v>3416</v>
      </c>
      <c r="F1679" s="9"/>
    </row>
    <row r="1680" ht="33.75" customHeight="1">
      <c r="A1680" s="7">
        <v>57.0</v>
      </c>
      <c r="B1680" s="9" t="s">
        <v>3406</v>
      </c>
      <c r="C1680" s="9" t="s">
        <v>3352</v>
      </c>
      <c r="D1680" s="9" t="s">
        <v>93</v>
      </c>
      <c r="E1680" s="6" t="s">
        <v>3431</v>
      </c>
      <c r="F1680" s="9"/>
    </row>
    <row r="1681" ht="33.75" customHeight="1">
      <c r="A1681" s="7">
        <v>57.0</v>
      </c>
      <c r="B1681" s="9" t="s">
        <v>3406</v>
      </c>
      <c r="C1681" s="9" t="s">
        <v>3352</v>
      </c>
      <c r="D1681" s="9" t="s">
        <v>95</v>
      </c>
      <c r="E1681" s="6" t="s">
        <v>3431</v>
      </c>
      <c r="F1681" s="9"/>
    </row>
    <row r="1682" ht="33.75" customHeight="1">
      <c r="A1682" s="7">
        <v>57.0</v>
      </c>
      <c r="B1682" s="9" t="s">
        <v>3406</v>
      </c>
      <c r="C1682" s="9" t="s">
        <v>3352</v>
      </c>
      <c r="D1682" s="9" t="s">
        <v>98</v>
      </c>
      <c r="E1682" s="6" t="s">
        <v>3431</v>
      </c>
      <c r="F1682" s="9"/>
    </row>
    <row r="1683" ht="33.75" customHeight="1">
      <c r="A1683" s="7">
        <v>57.0</v>
      </c>
      <c r="B1683" s="9" t="s">
        <v>3406</v>
      </c>
      <c r="C1683" s="9" t="s">
        <v>3352</v>
      </c>
      <c r="D1683" s="9" t="s">
        <v>99</v>
      </c>
      <c r="E1683" s="6" t="s">
        <v>3431</v>
      </c>
      <c r="F1683" s="9"/>
    </row>
    <row r="1684" ht="33.75" customHeight="1">
      <c r="A1684" s="7">
        <v>57.0</v>
      </c>
      <c r="B1684" s="9" t="s">
        <v>3406</v>
      </c>
      <c r="C1684" s="9" t="s">
        <v>3352</v>
      </c>
      <c r="D1684" s="9" t="s">
        <v>101</v>
      </c>
      <c r="E1684" s="6" t="s">
        <v>3411</v>
      </c>
      <c r="F1684" s="9"/>
    </row>
    <row r="1685" ht="33.75" customHeight="1">
      <c r="A1685" s="7">
        <v>57.0</v>
      </c>
      <c r="B1685" s="9" t="s">
        <v>3406</v>
      </c>
      <c r="C1685" s="9" t="s">
        <v>3352</v>
      </c>
      <c r="D1685" s="9" t="s">
        <v>105</v>
      </c>
      <c r="E1685" s="6" t="s">
        <v>3426</v>
      </c>
      <c r="F1685" s="9"/>
    </row>
    <row r="1686" ht="33.75" customHeight="1">
      <c r="A1686" s="7">
        <v>57.0</v>
      </c>
      <c r="B1686" s="9" t="s">
        <v>3406</v>
      </c>
      <c r="C1686" s="9" t="s">
        <v>3352</v>
      </c>
      <c r="D1686" s="9" t="s">
        <v>107</v>
      </c>
      <c r="E1686" s="6" t="s">
        <v>3445</v>
      </c>
      <c r="F1686" s="9"/>
    </row>
    <row r="1687" ht="33.75" customHeight="1">
      <c r="A1687" s="7">
        <v>57.0</v>
      </c>
      <c r="B1687" s="9" t="s">
        <v>3406</v>
      </c>
      <c r="C1687" s="9" t="s">
        <v>3352</v>
      </c>
      <c r="D1687" s="9" t="s">
        <v>109</v>
      </c>
      <c r="E1687" s="6" t="s">
        <v>3445</v>
      </c>
      <c r="F1687" s="9"/>
    </row>
    <row r="1688" ht="33.75" customHeight="1">
      <c r="A1688" s="7">
        <v>57.0</v>
      </c>
      <c r="B1688" s="9" t="s">
        <v>3406</v>
      </c>
      <c r="C1688" s="9" t="s">
        <v>3352</v>
      </c>
      <c r="D1688" s="9" t="s">
        <v>637</v>
      </c>
      <c r="E1688" s="6" t="s">
        <v>3448</v>
      </c>
      <c r="F1688" s="9"/>
    </row>
    <row r="1689" ht="33.75" customHeight="1">
      <c r="A1689" s="7">
        <v>57.0</v>
      </c>
      <c r="B1689" s="9" t="s">
        <v>3406</v>
      </c>
      <c r="C1689" s="9" t="s">
        <v>3352</v>
      </c>
      <c r="D1689" s="9" t="s">
        <v>642</v>
      </c>
      <c r="E1689" s="6" t="s">
        <v>3450</v>
      </c>
      <c r="F1689" s="9"/>
    </row>
    <row r="1690" ht="33.75" customHeight="1">
      <c r="A1690" s="7">
        <v>57.0</v>
      </c>
      <c r="B1690" s="9" t="s">
        <v>3406</v>
      </c>
      <c r="C1690" s="9" t="s">
        <v>3352</v>
      </c>
      <c r="D1690" s="9" t="s">
        <v>647</v>
      </c>
      <c r="E1690" s="6" t="s">
        <v>3452</v>
      </c>
      <c r="F1690" s="9"/>
    </row>
    <row r="1691" ht="33.75" customHeight="1">
      <c r="A1691" s="7">
        <v>57.0</v>
      </c>
      <c r="B1691" s="9" t="s">
        <v>3406</v>
      </c>
      <c r="C1691" s="9" t="s">
        <v>3352</v>
      </c>
      <c r="D1691" s="9" t="s">
        <v>652</v>
      </c>
      <c r="E1691" s="6" t="s">
        <v>3454</v>
      </c>
      <c r="F1691" s="9"/>
    </row>
    <row r="1692" ht="33.75" customHeight="1">
      <c r="A1692" s="7">
        <v>57.0</v>
      </c>
      <c r="B1692" s="9" t="s">
        <v>3406</v>
      </c>
      <c r="C1692" s="9" t="s">
        <v>3352</v>
      </c>
      <c r="D1692" s="9" t="s">
        <v>111</v>
      </c>
      <c r="E1692" s="6" t="s">
        <v>3411</v>
      </c>
      <c r="F1692" s="9"/>
    </row>
    <row r="1693" ht="33.75" customHeight="1">
      <c r="A1693" s="7">
        <v>57.0</v>
      </c>
      <c r="B1693" s="9" t="s">
        <v>3406</v>
      </c>
      <c r="C1693" s="9" t="s">
        <v>3352</v>
      </c>
      <c r="D1693" s="9" t="s">
        <v>113</v>
      </c>
      <c r="E1693" s="6" t="s">
        <v>3411</v>
      </c>
      <c r="F1693" s="9"/>
    </row>
    <row r="1694" ht="33.75" customHeight="1">
      <c r="A1694" s="7">
        <v>58.0</v>
      </c>
      <c r="B1694" s="9" t="s">
        <v>3458</v>
      </c>
      <c r="C1694" s="9" t="s">
        <v>3459</v>
      </c>
      <c r="D1694" s="9" t="s">
        <v>24</v>
      </c>
      <c r="E1694" s="6" t="s">
        <v>3460</v>
      </c>
      <c r="F1694" t="inlineStr" s="10">
        <is>
          <t xml:space="preserve">Growlithe on erittäin suojelevainen reviiriään kohtaan. Se haukkuu ja puree torjuakseen tunkeilijat alueeltaan. Ystävällinen luonteeltaan POKéMON. Se haukkuu kuitenkin raivokkaasti kaikkea, mikä tunkeutuu sen alueelle. Sillä on rohkea ja luotettava luonne. Se vastustaa pelottomasti suurempia ja vahvempia vihollisia. Äärimmäisen uskollinen se haukkuu pelottomasti vastustajilleen suojellakseen omaa kouluttajaansa vaaralta. Se hallitsee laajaa aluetta. Jos se havaitsee tuntemattoman hajun, se karjuu kovaa ajaakseen tunkeilijan ulos. GROWLITHE:lla on erinomainen hajuaisti. Kun se haistaa jotain, tämä POKéMON ei unohda sitä, tapahtui mitä tahansa. Se käyttää kehittynyttä hajuaistiaan muiden elävien olentojen tunteiden havaitsemiseen. Sen erinomainen hajuaisti varmistaa, että tämä POKéMON ei unohda yhtäkään tuoksua, tapahtuipa se mitä tahansa. Se käyttää hajuaistiaan havaitakseen muiden tunteita. Hyvin ystävällinen ja uskollinen ihmisille. Se yrittää torjua viholliset haukkumalla ja puremalla. Uskollinen Pokémon. Se pysyy liikkumattomana, kunnes sen kouluttaja antaa sille käskyn. Äärimmäisen uskollinen, se haukkuu pelottomasti vastustajia suojellakseen omaa kouluttajaansa vahingolta. Se on äärimmäisen uskollinen kouluttajalleen ja haukkuu niitä, jotka lähestyvät kouluttajaa odottamatta, ja ajaa heidät pois kaupungista. Growlithella on erinomainen hajuaisti. Kun se haistaa jotakin, tämä Pokémon ei unohda tuoksua, tapahtuipa mitä tahansa. Se on sekä älykäs että uskollinen, mutta jos vieras yrittää tunkeutua sen alueelle, se haukkuu uhkaavasti. Se näyttää söpöltä, mutta kun lähestyt toisen Trainer’s Growlithea, se haukkuu sinua ja puree. Vaikka se on melko ystävällinen ihmisiä kohtaan totuttuaan niihin, luonnossa sen on oltava melko raivoisa puolustaessaan reviiriään kivikkoruffalta. Se on elänyt ihmisten rinnalla aikoja sitten. Sen luita on löydetty kivikauden rauniokaivauksista. Ystävällinen Pokémon. Ne partioivat reviiriään pareittain. Uskon, että tämän lajin turkin magmakiviainekset ovat seurausta sen elinympäristön vulkaanisesta toiminnasta.</t>
        </is>
      </c>
    </row>
    <row r="1695" ht="33.75" customHeight="1">
      <c r="A1695" s="7">
        <v>58.0</v>
      </c>
      <c r="B1695" s="9" t="s">
        <v>3458</v>
      </c>
      <c r="C1695" s="9" t="s">
        <v>3459</v>
      </c>
      <c r="D1695" s="9" t="s">
        <v>35</v>
      </c>
      <c r="E1695" s="6" t="s">
        <v>3460</v>
      </c>
      <c r="F1695" s="9"/>
    </row>
    <row r="1696" ht="33.75" customHeight="1">
      <c r="A1696" s="7">
        <v>58.0</v>
      </c>
      <c r="B1696" s="9" t="s">
        <v>3458</v>
      </c>
      <c r="C1696" s="9" t="s">
        <v>3459</v>
      </c>
      <c r="D1696" s="9" t="s">
        <v>42</v>
      </c>
      <c r="E1696" s="6" t="s">
        <v>3464</v>
      </c>
      <c r="F1696" s="9"/>
    </row>
    <row r="1697" ht="33.75" customHeight="1">
      <c r="A1697" s="7">
        <v>58.0</v>
      </c>
      <c r="B1697" s="9" t="s">
        <v>3458</v>
      </c>
      <c r="C1697" s="9" t="s">
        <v>3459</v>
      </c>
      <c r="D1697" s="9" t="s">
        <v>52</v>
      </c>
      <c r="E1697" s="6" t="s">
        <v>3466</v>
      </c>
      <c r="F1697" s="9"/>
    </row>
    <row r="1698" ht="33.75" customHeight="1">
      <c r="A1698" s="7">
        <v>58.0</v>
      </c>
      <c r="B1698" s="9" t="s">
        <v>3458</v>
      </c>
      <c r="C1698" s="9" t="s">
        <v>3459</v>
      </c>
      <c r="D1698" s="9" t="s">
        <v>59</v>
      </c>
      <c r="E1698" s="6" t="s">
        <v>3468</v>
      </c>
      <c r="F1698" s="9"/>
    </row>
    <row r="1699" ht="33.75" customHeight="1">
      <c r="A1699" s="7">
        <v>58.0</v>
      </c>
      <c r="B1699" s="9" t="s">
        <v>3458</v>
      </c>
      <c r="C1699" s="9" t="s">
        <v>3459</v>
      </c>
      <c r="D1699" s="9" t="s">
        <v>64</v>
      </c>
      <c r="E1699" s="6" t="s">
        <v>3470</v>
      </c>
      <c r="F1699" s="9"/>
    </row>
    <row r="1700" ht="33.75" customHeight="1">
      <c r="A1700" s="7">
        <v>58.0</v>
      </c>
      <c r="B1700" s="9" t="s">
        <v>3458</v>
      </c>
      <c r="C1700" s="9" t="s">
        <v>3459</v>
      </c>
      <c r="D1700" s="9" t="s">
        <v>67</v>
      </c>
      <c r="E1700" s="6" t="s">
        <v>3473</v>
      </c>
      <c r="F1700" s="9"/>
    </row>
    <row r="1701" ht="33.75" customHeight="1">
      <c r="A1701" s="7">
        <v>58.0</v>
      </c>
      <c r="B1701" s="9" t="s">
        <v>3458</v>
      </c>
      <c r="C1701" s="9" t="s">
        <v>3459</v>
      </c>
      <c r="D1701" s="9" t="s">
        <v>71</v>
      </c>
      <c r="E1701" s="6" t="s">
        <v>3473</v>
      </c>
      <c r="F1701" s="9"/>
    </row>
    <row r="1702" ht="33.75" customHeight="1">
      <c r="A1702" s="7">
        <v>58.0</v>
      </c>
      <c r="B1702" s="9" t="s">
        <v>3458</v>
      </c>
      <c r="C1702" s="9" t="s">
        <v>3459</v>
      </c>
      <c r="D1702" s="9" t="s">
        <v>73</v>
      </c>
      <c r="E1702" s="6" t="s">
        <v>3478</v>
      </c>
      <c r="F1702" s="9"/>
    </row>
    <row r="1703" ht="33.75" customHeight="1">
      <c r="A1703" s="7">
        <v>58.0</v>
      </c>
      <c r="B1703" s="9" t="s">
        <v>3458</v>
      </c>
      <c r="C1703" s="9" t="s">
        <v>3459</v>
      </c>
      <c r="D1703" s="9" t="s">
        <v>75</v>
      </c>
      <c r="E1703" s="6" t="s">
        <v>3480</v>
      </c>
      <c r="F1703" s="9"/>
    </row>
    <row r="1704" ht="33.75" customHeight="1">
      <c r="A1704" s="7">
        <v>58.0</v>
      </c>
      <c r="B1704" s="9" t="s">
        <v>3458</v>
      </c>
      <c r="C1704" s="9" t="s">
        <v>3459</v>
      </c>
      <c r="D1704" s="9" t="s">
        <v>79</v>
      </c>
      <c r="E1704" s="6" t="s">
        <v>3460</v>
      </c>
      <c r="F1704" s="9"/>
    </row>
    <row r="1705" ht="33.75" customHeight="1">
      <c r="A1705" s="7">
        <v>58.0</v>
      </c>
      <c r="B1705" s="9" t="s">
        <v>3458</v>
      </c>
      <c r="C1705" s="9" t="s">
        <v>3459</v>
      </c>
      <c r="D1705" s="9" t="s">
        <v>81</v>
      </c>
      <c r="E1705" s="6" t="s">
        <v>3484</v>
      </c>
      <c r="F1705" s="9"/>
    </row>
    <row r="1706" ht="33.75" customHeight="1">
      <c r="A1706" s="7">
        <v>58.0</v>
      </c>
      <c r="B1706" s="9" t="s">
        <v>3458</v>
      </c>
      <c r="C1706" s="9" t="s">
        <v>3459</v>
      </c>
      <c r="D1706" s="9" t="s">
        <v>84</v>
      </c>
      <c r="E1706" s="6" t="s">
        <v>3484</v>
      </c>
      <c r="F1706" s="9"/>
    </row>
    <row r="1707" ht="33.75" customHeight="1">
      <c r="A1707" s="7">
        <v>58.0</v>
      </c>
      <c r="B1707" s="9" t="s">
        <v>3458</v>
      </c>
      <c r="C1707" s="9" t="s">
        <v>3459</v>
      </c>
      <c r="D1707" s="9" t="s">
        <v>87</v>
      </c>
      <c r="E1707" s="6" t="s">
        <v>3484</v>
      </c>
      <c r="F1707" s="9"/>
    </row>
    <row r="1708" ht="33.75" customHeight="1">
      <c r="A1708" s="7">
        <v>58.0</v>
      </c>
      <c r="B1708" s="9" t="s">
        <v>3458</v>
      </c>
      <c r="C1708" s="9" t="s">
        <v>3459</v>
      </c>
      <c r="D1708" s="9" t="s">
        <v>89</v>
      </c>
      <c r="E1708" s="6" t="s">
        <v>3466</v>
      </c>
      <c r="F1708" s="9"/>
    </row>
    <row r="1709" ht="33.75" customHeight="1">
      <c r="A1709" s="7">
        <v>58.0</v>
      </c>
      <c r="B1709" s="9" t="s">
        <v>3458</v>
      </c>
      <c r="C1709" s="9" t="s">
        <v>3459</v>
      </c>
      <c r="D1709" s="9" t="s">
        <v>91</v>
      </c>
      <c r="E1709" s="6" t="s">
        <v>3490</v>
      </c>
      <c r="F1709" s="9"/>
    </row>
    <row r="1710" ht="33.75" customHeight="1">
      <c r="A1710" s="7">
        <v>58.0</v>
      </c>
      <c r="B1710" s="9" t="s">
        <v>3458</v>
      </c>
      <c r="C1710" s="9" t="s">
        <v>3459</v>
      </c>
      <c r="D1710" s="9" t="s">
        <v>93</v>
      </c>
      <c r="E1710" s="6" t="s">
        <v>3484</v>
      </c>
      <c r="F1710" s="9"/>
    </row>
    <row r="1711" ht="33.75" customHeight="1">
      <c r="A1711" s="7">
        <v>58.0</v>
      </c>
      <c r="B1711" s="9" t="s">
        <v>3458</v>
      </c>
      <c r="C1711" s="9" t="s">
        <v>3459</v>
      </c>
      <c r="D1711" s="9" t="s">
        <v>95</v>
      </c>
      <c r="E1711" s="6" t="s">
        <v>3484</v>
      </c>
      <c r="F1711" s="9"/>
    </row>
    <row r="1712" ht="33.75" customHeight="1">
      <c r="A1712" s="7">
        <v>58.0</v>
      </c>
      <c r="B1712" s="9" t="s">
        <v>3458</v>
      </c>
      <c r="C1712" s="9" t="s">
        <v>3459</v>
      </c>
      <c r="D1712" s="9" t="s">
        <v>98</v>
      </c>
      <c r="E1712" s="6" t="s">
        <v>3494</v>
      </c>
      <c r="F1712" s="9"/>
    </row>
    <row r="1713" ht="33.75" customHeight="1">
      <c r="A1713" s="7">
        <v>58.0</v>
      </c>
      <c r="B1713" s="9" t="s">
        <v>3458</v>
      </c>
      <c r="C1713" s="9" t="s">
        <v>3459</v>
      </c>
      <c r="D1713" s="9" t="s">
        <v>99</v>
      </c>
      <c r="E1713" s="6" t="s">
        <v>3494</v>
      </c>
      <c r="F1713" s="9"/>
    </row>
    <row r="1714" ht="33.75" customHeight="1">
      <c r="A1714" s="7">
        <v>58.0</v>
      </c>
      <c r="B1714" s="9" t="s">
        <v>3458</v>
      </c>
      <c r="C1714" s="9" t="s">
        <v>3459</v>
      </c>
      <c r="D1714" s="9" t="s">
        <v>101</v>
      </c>
      <c r="E1714" s="6" t="s">
        <v>3480</v>
      </c>
      <c r="F1714" s="9"/>
    </row>
    <row r="1715" ht="33.75" customHeight="1">
      <c r="A1715" s="7">
        <v>58.0</v>
      </c>
      <c r="B1715" s="9" t="s">
        <v>3458</v>
      </c>
      <c r="C1715" s="9" t="s">
        <v>3459</v>
      </c>
      <c r="D1715" s="9" t="s">
        <v>105</v>
      </c>
      <c r="E1715" s="6" t="s">
        <v>3466</v>
      </c>
      <c r="F1715" s="9"/>
    </row>
    <row r="1716" ht="33.75" customHeight="1">
      <c r="A1716" s="7">
        <v>58.0</v>
      </c>
      <c r="B1716" s="9" t="s">
        <v>3458</v>
      </c>
      <c r="C1716" s="9" t="s">
        <v>3459</v>
      </c>
      <c r="D1716" s="9" t="s">
        <v>107</v>
      </c>
      <c r="E1716" s="6" t="s">
        <v>3501</v>
      </c>
      <c r="F1716" s="9"/>
    </row>
    <row r="1717" ht="33.75" customHeight="1">
      <c r="A1717" s="7">
        <v>58.0</v>
      </c>
      <c r="B1717" s="9" t="s">
        <v>3458</v>
      </c>
      <c r="C1717" s="9" t="s">
        <v>3459</v>
      </c>
      <c r="D1717" s="9" t="s">
        <v>109</v>
      </c>
      <c r="E1717" s="6" t="s">
        <v>3501</v>
      </c>
      <c r="F1717" s="9"/>
    </row>
    <row r="1718" ht="33.75" customHeight="1">
      <c r="A1718" s="7">
        <v>58.0</v>
      </c>
      <c r="B1718" s="9" t="s">
        <v>3458</v>
      </c>
      <c r="C1718" s="9" t="s">
        <v>3459</v>
      </c>
      <c r="D1718" s="9" t="s">
        <v>637</v>
      </c>
      <c r="E1718" s="6" t="s">
        <v>3505</v>
      </c>
      <c r="F1718" s="9"/>
    </row>
    <row r="1719" ht="33.75" customHeight="1">
      <c r="A1719" s="7">
        <v>58.0</v>
      </c>
      <c r="B1719" s="9" t="s">
        <v>3458</v>
      </c>
      <c r="C1719" s="9" t="s">
        <v>3459</v>
      </c>
      <c r="D1719" s="9" t="s">
        <v>642</v>
      </c>
      <c r="E1719" s="6" t="s">
        <v>3507</v>
      </c>
      <c r="F1719" s="9"/>
    </row>
    <row r="1720" ht="33.75" customHeight="1">
      <c r="A1720" s="7">
        <v>58.0</v>
      </c>
      <c r="B1720" s="9" t="s">
        <v>3458</v>
      </c>
      <c r="C1720" s="9" t="s">
        <v>3459</v>
      </c>
      <c r="D1720" s="9" t="s">
        <v>647</v>
      </c>
      <c r="E1720" s="6" t="s">
        <v>3510</v>
      </c>
      <c r="F1720" s="9"/>
    </row>
    <row r="1721" ht="33.75" customHeight="1">
      <c r="A1721" s="7">
        <v>58.0</v>
      </c>
      <c r="B1721" s="9" t="s">
        <v>3458</v>
      </c>
      <c r="C1721" s="9" t="s">
        <v>3459</v>
      </c>
      <c r="D1721" s="9" t="s">
        <v>652</v>
      </c>
      <c r="E1721" s="6" t="s">
        <v>3512</v>
      </c>
      <c r="F1721" s="9"/>
    </row>
    <row r="1722" ht="33.75" customHeight="1">
      <c r="A1722" s="7">
        <v>58.0</v>
      </c>
      <c r="B1722" s="9" t="s">
        <v>3458</v>
      </c>
      <c r="C1722" s="9" t="s">
        <v>3459</v>
      </c>
      <c r="D1722" s="9" t="s">
        <v>111</v>
      </c>
      <c r="E1722" s="6" t="s">
        <v>3514</v>
      </c>
      <c r="F1722" s="9"/>
    </row>
    <row r="1723" ht="33.75" customHeight="1">
      <c r="A1723" s="7">
        <v>58.0</v>
      </c>
      <c r="B1723" s="9" t="s">
        <v>3458</v>
      </c>
      <c r="C1723" s="9" t="s">
        <v>3459</v>
      </c>
      <c r="D1723" s="9" t="s">
        <v>113</v>
      </c>
      <c r="E1723" s="6" t="s">
        <v>3514</v>
      </c>
      <c r="F1723" s="9"/>
    </row>
    <row r="1724" ht="33.75" customHeight="1">
      <c r="A1724" s="7">
        <v>58.0</v>
      </c>
      <c r="B1724" s="9" t="s">
        <v>3458</v>
      </c>
      <c r="C1724" s="9" t="s">
        <v>3459</v>
      </c>
      <c r="D1724" s="9" t="s">
        <v>114</v>
      </c>
      <c r="E1724" s="6" t="s">
        <v>3466</v>
      </c>
      <c r="F1724" s="9"/>
    </row>
    <row r="1725" ht="33.75" customHeight="1">
      <c r="A1725" s="7">
        <v>58.0</v>
      </c>
      <c r="B1725" s="9" t="s">
        <v>3458</v>
      </c>
      <c r="C1725" s="9" t="s">
        <v>3459</v>
      </c>
      <c r="D1725" s="9" t="s">
        <v>117</v>
      </c>
      <c r="E1725" s="6" t="s">
        <v>3490</v>
      </c>
      <c r="F1725" s="9"/>
    </row>
    <row r="1726" ht="33.75" customHeight="1">
      <c r="A1726" s="7">
        <v>58.0</v>
      </c>
      <c r="B1726" s="9" t="s">
        <v>3458</v>
      </c>
      <c r="C1726" s="9" t="s">
        <v>3459</v>
      </c>
      <c r="D1726" s="9" t="s">
        <v>1577</v>
      </c>
      <c r="E1726" s="6" t="s">
        <v>3519</v>
      </c>
      <c r="F1726" s="9"/>
    </row>
    <row r="1727" ht="33.75" customHeight="1">
      <c r="A1727" s="7">
        <v>59.0</v>
      </c>
      <c r="B1727" s="9" t="s">
        <v>3521</v>
      </c>
      <c r="C1727" s="9" t="s">
        <v>3522</v>
      </c>
      <c r="D1727" s="9" t="s">
        <v>24</v>
      </c>
      <c r="E1727" s="6" t="s">
        <v>3524</v>
      </c>
      <c r="F1727" t="inlineStr" s="10">
        <is>
          <t xml:space="preserve">POKéMON, jota on ihailtu kauneutensa vuoksi menneisyydestä lähtien. Se juoksee ketterästi kuin siivillä. Legendaarinen POKÉMON Kiinassa. Monet ihmiset ihastuvat sen tyylikkyyteen ja kauneuteen juostessaan. Tätä legendaarista kiinalaista POKÉMONIA pidetään upeana. Monet ihmiset ovat lumoutuneita sen suuresta harjasta. Sen upea haukunta välittää majesteettisuuden tunteen. Kuka tahansa sen kuullessaan ei voi olla nöyrtymättä sen edessä. Muinainen kuvakäärö osoittaa, että ihmisiä kiehtoi sen liike sen kulkiessa preerioiden läpi. ARCANINE tunnetaan suuresta nopeudestaan. Sen sanotaan pystyvän juoksemaan yli 6 200 mailia yhdessä päivässä ja yössä. Tämän POKéMONin ruumiissa villisti roihuava tuli on sen voimanlähde. Tämän nopeajalkaisen POKéMONin sanotaan juoksevan yli 6 200 mailia yhdessä päivässä ja yössä. Sen ruumiissa villisti roihuava tuli on sen voimanlähde. Kiinalaisissa legendoissa kuvattu POKéMON. Sen sanotaan kiitävän uskomatonta vauhtia. POKéMON, jota on pitkään ihailtu kauneutensa vuoksi. Sen ylpeä ja majesteettinen ulkonäkö on valloittanut ihmisten sydämet jo kauan sitten. Sen suuri harja lumoaa monia ihmisiä. Sen yli 6 200 mailin juoksu yhdessä päivässä ja yössä on kiehtonut monia ihmisiä. Tämän Pokémonin kehossa villisti roihuava tuli on sen voimanlähde. Kauneutta ja majesteettisuutta pursuava tämä vahva Pokémon esiintyy muinaisessa itämaisessa kansanperinteessä. Sen ruumiissa palava tuli toimii energiana sille pitkien matkojen juostessa. Se esiintyy monissa legendoissa. Legendat kertovat sen taistelevan kenraalin rinnalla ja valloittaneen kokonaisen maan. Niistä on niin paljon vanhoja tarinoita, että niitä kutsutaan legendaarisiksi Pokémoneiksi, mutta niitä on paljon enemmän kuin odottaisi. Legendaarinen Pokémon idässä. Sen juoksun suloisuus ja kauneus viehättävät monia ihmisiä. Iskee vihollisiaan liekehtivien hampaiden peittämänä. Suuresta koostaan ​​huolimatta se taitavasti harhauttaa joka suuntaan johdattaen vastustajat petollisen iloiseen takaa-ajoon tanssiessaan heidän ympärillään.</t>
        </is>
      </c>
    </row>
    <row r="1728" ht="33.75" customHeight="1">
      <c r="A1728" s="7">
        <v>59.0</v>
      </c>
      <c r="B1728" s="9" t="s">
        <v>3521</v>
      </c>
      <c r="C1728" s="9" t="s">
        <v>3522</v>
      </c>
      <c r="D1728" s="9" t="s">
        <v>35</v>
      </c>
      <c r="E1728" s="6" t="s">
        <v>3524</v>
      </c>
      <c r="F1728" s="9"/>
    </row>
    <row r="1729" ht="33.75" customHeight="1">
      <c r="A1729" s="7">
        <v>59.0</v>
      </c>
      <c r="B1729" s="9" t="s">
        <v>3521</v>
      </c>
      <c r="C1729" s="9" t="s">
        <v>3522</v>
      </c>
      <c r="D1729" s="9" t="s">
        <v>42</v>
      </c>
      <c r="E1729" s="6" t="s">
        <v>3527</v>
      </c>
      <c r="F1729" s="9"/>
    </row>
    <row r="1730" ht="33.75" customHeight="1">
      <c r="A1730" s="7">
        <v>59.0</v>
      </c>
      <c r="B1730" s="9" t="s">
        <v>3521</v>
      </c>
      <c r="C1730" s="9" t="s">
        <v>3522</v>
      </c>
      <c r="D1730" s="9" t="s">
        <v>52</v>
      </c>
      <c r="E1730" s="6" t="s">
        <v>3530</v>
      </c>
      <c r="F1730" s="9"/>
    </row>
    <row r="1731" ht="33.75" customHeight="1">
      <c r="A1731" s="7">
        <v>59.0</v>
      </c>
      <c r="B1731" s="9" t="s">
        <v>3521</v>
      </c>
      <c r="C1731" s="9" t="s">
        <v>3522</v>
      </c>
      <c r="D1731" s="9" t="s">
        <v>59</v>
      </c>
      <c r="E1731" s="6" t="s">
        <v>3532</v>
      </c>
      <c r="F1731" s="9"/>
    </row>
    <row r="1732" ht="33.75" customHeight="1">
      <c r="A1732" s="7">
        <v>59.0</v>
      </c>
      <c r="B1732" s="9" t="s">
        <v>3521</v>
      </c>
      <c r="C1732" s="9" t="s">
        <v>3522</v>
      </c>
      <c r="D1732" s="9" t="s">
        <v>64</v>
      </c>
      <c r="E1732" s="6" t="s">
        <v>3534</v>
      </c>
      <c r="F1732" s="9"/>
    </row>
    <row r="1733" ht="33.75" customHeight="1">
      <c r="A1733" s="7">
        <v>59.0</v>
      </c>
      <c r="B1733" s="9" t="s">
        <v>3521</v>
      </c>
      <c r="C1733" s="9" t="s">
        <v>3522</v>
      </c>
      <c r="D1733" s="9" t="s">
        <v>67</v>
      </c>
      <c r="E1733" s="6" t="s">
        <v>3537</v>
      </c>
      <c r="F1733" s="9"/>
    </row>
    <row r="1734" ht="33.75" customHeight="1">
      <c r="A1734" s="7">
        <v>59.0</v>
      </c>
      <c r="B1734" s="9" t="s">
        <v>3521</v>
      </c>
      <c r="C1734" s="9" t="s">
        <v>3522</v>
      </c>
      <c r="D1734" s="9" t="s">
        <v>71</v>
      </c>
      <c r="E1734" s="6" t="s">
        <v>3537</v>
      </c>
      <c r="F1734" s="9"/>
    </row>
    <row r="1735" ht="33.75" customHeight="1">
      <c r="A1735" s="7">
        <v>59.0</v>
      </c>
      <c r="B1735" s="9" t="s">
        <v>3521</v>
      </c>
      <c r="C1735" s="9" t="s">
        <v>3522</v>
      </c>
      <c r="D1735" s="9" t="s">
        <v>73</v>
      </c>
      <c r="E1735" s="6" t="s">
        <v>3541</v>
      </c>
      <c r="F1735" s="9"/>
    </row>
    <row r="1736" ht="33.75" customHeight="1">
      <c r="A1736" s="7">
        <v>59.0</v>
      </c>
      <c r="B1736" s="9" t="s">
        <v>3521</v>
      </c>
      <c r="C1736" s="9" t="s">
        <v>3522</v>
      </c>
      <c r="D1736" s="9" t="s">
        <v>75</v>
      </c>
      <c r="E1736" s="6" t="s">
        <v>3543</v>
      </c>
      <c r="F1736" s="9"/>
    </row>
    <row r="1737" ht="33.75" customHeight="1">
      <c r="A1737" s="7">
        <v>59.0</v>
      </c>
      <c r="B1737" s="9" t="s">
        <v>3521</v>
      </c>
      <c r="C1737" s="9" t="s">
        <v>3522</v>
      </c>
      <c r="D1737" s="9" t="s">
        <v>79</v>
      </c>
      <c r="E1737" s="6" t="s">
        <v>3546</v>
      </c>
      <c r="F1737" s="9"/>
    </row>
    <row r="1738" ht="33.75" customHeight="1">
      <c r="A1738" s="7">
        <v>59.0</v>
      </c>
      <c r="B1738" s="9" t="s">
        <v>3521</v>
      </c>
      <c r="C1738" s="9" t="s">
        <v>3522</v>
      </c>
      <c r="D1738" s="9" t="s">
        <v>81</v>
      </c>
      <c r="E1738" s="6" t="s">
        <v>3548</v>
      </c>
      <c r="F1738" s="9"/>
    </row>
    <row r="1739" ht="33.75" customHeight="1">
      <c r="A1739" s="7">
        <v>59.0</v>
      </c>
      <c r="B1739" s="9" t="s">
        <v>3521</v>
      </c>
      <c r="C1739" s="9" t="s">
        <v>3522</v>
      </c>
      <c r="D1739" s="9" t="s">
        <v>84</v>
      </c>
      <c r="E1739" s="6" t="s">
        <v>3548</v>
      </c>
      <c r="F1739" s="9"/>
    </row>
    <row r="1740" ht="33.75" customHeight="1">
      <c r="A1740" s="7">
        <v>59.0</v>
      </c>
      <c r="B1740" s="9" t="s">
        <v>3521</v>
      </c>
      <c r="C1740" s="9" t="s">
        <v>3522</v>
      </c>
      <c r="D1740" s="9" t="s">
        <v>87</v>
      </c>
      <c r="E1740" s="6" t="s">
        <v>3548</v>
      </c>
      <c r="F1740" s="9"/>
    </row>
    <row r="1741" ht="33.75" customHeight="1">
      <c r="A1741" s="7">
        <v>59.0</v>
      </c>
      <c r="B1741" s="9" t="s">
        <v>3521</v>
      </c>
      <c r="C1741" s="9" t="s">
        <v>3522</v>
      </c>
      <c r="D1741" s="9" t="s">
        <v>89</v>
      </c>
      <c r="E1741" s="6" t="s">
        <v>3553</v>
      </c>
      <c r="F1741" s="9"/>
    </row>
    <row r="1742" ht="33.75" customHeight="1">
      <c r="A1742" s="7">
        <v>59.0</v>
      </c>
      <c r="B1742" s="9" t="s">
        <v>3521</v>
      </c>
      <c r="C1742" s="9" t="s">
        <v>3522</v>
      </c>
      <c r="D1742" s="9" t="s">
        <v>91</v>
      </c>
      <c r="E1742" s="6" t="s">
        <v>3532</v>
      </c>
      <c r="F1742" s="9"/>
    </row>
    <row r="1743" ht="33.75" customHeight="1">
      <c r="A1743" s="7">
        <v>59.0</v>
      </c>
      <c r="B1743" s="9" t="s">
        <v>3521</v>
      </c>
      <c r="C1743" s="9" t="s">
        <v>3522</v>
      </c>
      <c r="D1743" s="9" t="s">
        <v>93</v>
      </c>
      <c r="E1743" s="6" t="s">
        <v>3548</v>
      </c>
      <c r="F1743" s="9"/>
    </row>
    <row r="1744" ht="33.75" customHeight="1">
      <c r="A1744" s="7">
        <v>59.0</v>
      </c>
      <c r="B1744" s="9" t="s">
        <v>3521</v>
      </c>
      <c r="C1744" s="9" t="s">
        <v>3522</v>
      </c>
      <c r="D1744" s="9" t="s">
        <v>95</v>
      </c>
      <c r="E1744" s="6" t="s">
        <v>3548</v>
      </c>
      <c r="F1744" s="9"/>
    </row>
    <row r="1745" ht="33.75" customHeight="1">
      <c r="A1745" s="7">
        <v>59.0</v>
      </c>
      <c r="B1745" s="9" t="s">
        <v>3521</v>
      </c>
      <c r="C1745" s="9" t="s">
        <v>3522</v>
      </c>
      <c r="D1745" s="9" t="s">
        <v>98</v>
      </c>
      <c r="E1745" s="6" t="s">
        <v>3558</v>
      </c>
      <c r="F1745" s="9"/>
    </row>
    <row r="1746" ht="33.75" customHeight="1">
      <c r="A1746" s="7">
        <v>59.0</v>
      </c>
      <c r="B1746" s="9" t="s">
        <v>3521</v>
      </c>
      <c r="C1746" s="9" t="s">
        <v>3522</v>
      </c>
      <c r="D1746" s="9" t="s">
        <v>99</v>
      </c>
      <c r="E1746" s="6" t="s">
        <v>3558</v>
      </c>
      <c r="F1746" s="9"/>
    </row>
    <row r="1747" ht="33.75" customHeight="1">
      <c r="A1747" s="7">
        <v>59.0</v>
      </c>
      <c r="B1747" s="9" t="s">
        <v>3521</v>
      </c>
      <c r="C1747" s="9" t="s">
        <v>3522</v>
      </c>
      <c r="D1747" s="9" t="s">
        <v>101</v>
      </c>
      <c r="E1747" s="6" t="s">
        <v>3562</v>
      </c>
      <c r="F1747" s="9"/>
    </row>
    <row r="1748" ht="33.75" customHeight="1">
      <c r="A1748" s="7">
        <v>59.0</v>
      </c>
      <c r="B1748" s="9" t="s">
        <v>3521</v>
      </c>
      <c r="C1748" s="9" t="s">
        <v>3522</v>
      </c>
      <c r="D1748" s="9" t="s">
        <v>105</v>
      </c>
      <c r="E1748" s="6" t="s">
        <v>3532</v>
      </c>
      <c r="F1748" s="9"/>
    </row>
    <row r="1749" ht="33.75" customHeight="1">
      <c r="A1749" s="7">
        <v>59.0</v>
      </c>
      <c r="B1749" s="9" t="s">
        <v>3521</v>
      </c>
      <c r="C1749" s="9" t="s">
        <v>3522</v>
      </c>
      <c r="D1749" s="9" t="s">
        <v>107</v>
      </c>
      <c r="E1749" s="6" t="s">
        <v>3565</v>
      </c>
      <c r="F1749" s="9"/>
    </row>
    <row r="1750" ht="33.75" customHeight="1">
      <c r="A1750" s="7">
        <v>59.0</v>
      </c>
      <c r="B1750" s="9" t="s">
        <v>3521</v>
      </c>
      <c r="C1750" s="9" t="s">
        <v>3522</v>
      </c>
      <c r="D1750" s="9" t="s">
        <v>109</v>
      </c>
      <c r="E1750" s="6" t="s">
        <v>3565</v>
      </c>
      <c r="F1750" s="9"/>
    </row>
    <row r="1751" ht="33.75" customHeight="1">
      <c r="A1751" s="7">
        <v>59.0</v>
      </c>
      <c r="B1751" s="9" t="s">
        <v>3521</v>
      </c>
      <c r="C1751" s="9" t="s">
        <v>3522</v>
      </c>
      <c r="D1751" s="9" t="s">
        <v>637</v>
      </c>
      <c r="E1751" s="6" t="s">
        <v>3569</v>
      </c>
      <c r="F1751" s="9"/>
    </row>
    <row r="1752" ht="33.75" customHeight="1">
      <c r="A1752" s="7">
        <v>59.0</v>
      </c>
      <c r="B1752" s="9" t="s">
        <v>3521</v>
      </c>
      <c r="C1752" s="9" t="s">
        <v>3522</v>
      </c>
      <c r="D1752" s="9" t="s">
        <v>642</v>
      </c>
      <c r="E1752" s="6" t="s">
        <v>3571</v>
      </c>
      <c r="F1752" s="9"/>
    </row>
    <row r="1753" ht="33.75" customHeight="1">
      <c r="A1753" s="7">
        <v>59.0</v>
      </c>
      <c r="B1753" s="9" t="s">
        <v>3521</v>
      </c>
      <c r="C1753" s="9" t="s">
        <v>3522</v>
      </c>
      <c r="D1753" s="9" t="s">
        <v>647</v>
      </c>
      <c r="E1753" s="6" t="s">
        <v>3573</v>
      </c>
      <c r="F1753" s="9"/>
    </row>
    <row r="1754" ht="33.75" customHeight="1">
      <c r="A1754" s="7">
        <v>59.0</v>
      </c>
      <c r="B1754" s="9" t="s">
        <v>3521</v>
      </c>
      <c r="C1754" s="9" t="s">
        <v>3522</v>
      </c>
      <c r="D1754" s="9" t="s">
        <v>652</v>
      </c>
      <c r="E1754" s="6" t="s">
        <v>3575</v>
      </c>
      <c r="F1754" s="9"/>
    </row>
    <row r="1755" ht="33.75" customHeight="1">
      <c r="A1755" s="7">
        <v>59.0</v>
      </c>
      <c r="B1755" s="9" t="s">
        <v>3521</v>
      </c>
      <c r="C1755" s="9" t="s">
        <v>3522</v>
      </c>
      <c r="D1755" s="9" t="s">
        <v>111</v>
      </c>
      <c r="E1755" s="6" t="s">
        <v>3578</v>
      </c>
      <c r="F1755" s="9"/>
    </row>
    <row r="1756" ht="33.75" customHeight="1">
      <c r="A1756" s="7">
        <v>59.0</v>
      </c>
      <c r="B1756" s="9" t="s">
        <v>3521</v>
      </c>
      <c r="C1756" s="9" t="s">
        <v>3522</v>
      </c>
      <c r="D1756" s="9" t="s">
        <v>113</v>
      </c>
      <c r="E1756" s="6" t="s">
        <v>3578</v>
      </c>
      <c r="F1756" s="9"/>
    </row>
    <row r="1757" ht="33.75" customHeight="1">
      <c r="A1757" s="7">
        <v>59.0</v>
      </c>
      <c r="B1757" s="9" t="s">
        <v>3521</v>
      </c>
      <c r="C1757" s="9" t="s">
        <v>3522</v>
      </c>
      <c r="D1757" s="9" t="s">
        <v>114</v>
      </c>
      <c r="E1757" s="6" t="s">
        <v>3558</v>
      </c>
      <c r="F1757" s="9"/>
    </row>
    <row r="1758" ht="33.75" customHeight="1">
      <c r="A1758" s="7">
        <v>59.0</v>
      </c>
      <c r="B1758" s="9" t="s">
        <v>3521</v>
      </c>
      <c r="C1758" s="9" t="s">
        <v>3522</v>
      </c>
      <c r="D1758" s="9" t="s">
        <v>117</v>
      </c>
      <c r="E1758" s="6" t="s">
        <v>3562</v>
      </c>
      <c r="F1758" s="9"/>
    </row>
    <row r="1759" ht="33.75" customHeight="1">
      <c r="A1759" s="7">
        <v>59.0</v>
      </c>
      <c r="B1759" s="9" t="s">
        <v>3521</v>
      </c>
      <c r="C1759" s="9" t="s">
        <v>3522</v>
      </c>
      <c r="D1759" s="9" t="s">
        <v>1577</v>
      </c>
      <c r="E1759" s="6" t="s">
        <v>3584</v>
      </c>
      <c r="F1759" s="9"/>
    </row>
    <row r="1760" ht="33.75" customHeight="1">
      <c r="A1760" s="7">
        <v>60.0</v>
      </c>
      <c r="B1760" s="9" t="s">
        <v>3586</v>
      </c>
      <c r="C1760" s="9" t="s">
        <v>3587</v>
      </c>
      <c r="D1760" s="9" t="s">
        <v>24</v>
      </c>
      <c r="E1760" s="6" t="s">
        <v>3588</v>
      </c>
      <c r="F1760" t="inlineStr" s="10">
        <is>
          <t xml:space="preserve">Poliwagin vastakasvoiset jalat estävät sitä juoksemasta. Se näyttää mieluummin uivan kuin yrittävän seistä. Vatsan spiraalin suunta vaihtelee alueittain. Se on taitavampi uimassa kuin kävelyssä. Koska se on tottunut kävelemään vastakasvaneilla jaloillaan, se ui aina vedessä. Sen vatsan spiraalin suunta vaihtelee alueittain. Päiväntasaajalla uskotaan olevan vaikutusta tähän. Vatsan pyörre kuvaa sen sisusta, joka näkyy ihon läpi. Se näyttää kirkkaammalta syömisen jälkeen. POLIWAGilla on hyvin ohut iho. POKéMONien spiraalimaiset sisuskalut näkyvät suoraan ihon läpi. Ohuudestaan ​​huolimatta iho on kuitenkin myös erittäin joustava. Jopa terävät torahampaat kimpoavat siitä suoraan. Tämän POKéMONin spiraalimaiset sisuskalut näkyvät suoraan sen ohuen ihon läpi. Iho on kuitenkin myös erittäin joustava. Sen liukas musta iho on ohut ja kostea. Osa sen sisäelimistä näkyy ihon läpi spiraalimaisena kuviona. Sen vastakasvoiset jalat estävät sitä kävelemästä hyvin. Se näyttää pitävän enemmän uimisesta kuin kävelystä. Sen iho on niin ohut, että sen sisäelimet ovat näkyvissä. Sillä on vaikeuksia kävellä vastakasvaneilla jaloillaan. Koska se on taitamaton kävelemään vastakasvaneilla jaloillaan, se ui aina vedessä. Pokémonin spiraalimaiset sisuskalut näkyvät suoraan ihon läpi. Vatsassa oleva pyörre tarkoittaa sen läpi näkyviä sisäelimiä. Jos pyörre on valkoinen, se tarkoittaa, että sillä on jokin sairaus. Se ei vieläkään ole kovin hyvä kävelemään. Sen kouluttajien pitäisi kouluttaa tämä Pokémon kävelemään joka päivä. Vaarasta huolimatta se haluaa päästä maihin. Niinpä se yrittää parhaansa mukaan vaappua eteenpäin, mutta kun vihollinen löytää sen, se ryntää takaisin veteen. Vatsassa olevan pyörteen suunta vaihtelee asuinpaikasta riippuen. Poliwag-harrastajat pystyvät erottamaan ne yhdellä silmäyksellä. Poliwagille uinti on helpompaa kuin kävely. Sen vatsassa oleva pyörrekuvio on itse asiassa osa Pokémonin sisälmyksiä, jotka näkyvät ihon läpi. Nopeasti virtaavissa joissa tämä Pokémon tarttuu kallioon käyttämällä paksuja huuliaan, jotka toimivat imukupin tavoin.</t>
        </is>
      </c>
    </row>
    <row r="1761" ht="33.75" customHeight="1">
      <c r="A1761" s="7">
        <v>60.0</v>
      </c>
      <c r="B1761" s="9" t="s">
        <v>3586</v>
      </c>
      <c r="C1761" s="9" t="s">
        <v>3587</v>
      </c>
      <c r="D1761" s="9" t="s">
        <v>35</v>
      </c>
      <c r="E1761" s="6" t="s">
        <v>3588</v>
      </c>
      <c r="F1761" s="9"/>
    </row>
    <row r="1762" ht="33.75" customHeight="1">
      <c r="A1762" s="7">
        <v>60.0</v>
      </c>
      <c r="B1762" s="9" t="s">
        <v>3586</v>
      </c>
      <c r="C1762" s="9" t="s">
        <v>3587</v>
      </c>
      <c r="D1762" s="9" t="s">
        <v>42</v>
      </c>
      <c r="E1762" s="6" t="s">
        <v>3594</v>
      </c>
      <c r="F1762" s="9"/>
    </row>
    <row r="1763" ht="33.75" customHeight="1">
      <c r="A1763" s="7">
        <v>60.0</v>
      </c>
      <c r="B1763" s="9" t="s">
        <v>3586</v>
      </c>
      <c r="C1763" s="9" t="s">
        <v>3587</v>
      </c>
      <c r="D1763" s="9" t="s">
        <v>52</v>
      </c>
      <c r="E1763" s="6" t="s">
        <v>3596</v>
      </c>
      <c r="F1763" s="9"/>
    </row>
    <row r="1764" ht="33.75" customHeight="1">
      <c r="A1764" s="7">
        <v>60.0</v>
      </c>
      <c r="B1764" s="9" t="s">
        <v>3586</v>
      </c>
      <c r="C1764" s="9" t="s">
        <v>3587</v>
      </c>
      <c r="D1764" s="9" t="s">
        <v>59</v>
      </c>
      <c r="E1764" s="6" t="s">
        <v>3598</v>
      </c>
      <c r="F1764" s="9"/>
    </row>
    <row r="1765" ht="33.75" customHeight="1">
      <c r="A1765" s="7">
        <v>60.0</v>
      </c>
      <c r="B1765" s="9" t="s">
        <v>3586</v>
      </c>
      <c r="C1765" s="9" t="s">
        <v>3587</v>
      </c>
      <c r="D1765" s="9" t="s">
        <v>64</v>
      </c>
      <c r="E1765" s="6" t="s">
        <v>3601</v>
      </c>
      <c r="F1765" s="9"/>
    </row>
    <row r="1766" ht="33.75" customHeight="1">
      <c r="A1766" s="7">
        <v>60.0</v>
      </c>
      <c r="B1766" s="9" t="s">
        <v>3586</v>
      </c>
      <c r="C1766" s="9" t="s">
        <v>3587</v>
      </c>
      <c r="D1766" s="9" t="s">
        <v>67</v>
      </c>
      <c r="E1766" s="6" t="s">
        <v>3604</v>
      </c>
      <c r="F1766" s="9"/>
    </row>
    <row r="1767" ht="33.75" customHeight="1">
      <c r="A1767" s="7">
        <v>60.0</v>
      </c>
      <c r="B1767" s="9" t="s">
        <v>3586</v>
      </c>
      <c r="C1767" s="9" t="s">
        <v>3587</v>
      </c>
      <c r="D1767" s="9" t="s">
        <v>71</v>
      </c>
      <c r="E1767" s="6" t="s">
        <v>3604</v>
      </c>
      <c r="F1767" s="9"/>
    </row>
    <row r="1768" ht="33.75" customHeight="1">
      <c r="A1768" s="7">
        <v>60.0</v>
      </c>
      <c r="B1768" s="9" t="s">
        <v>3586</v>
      </c>
      <c r="C1768" s="9" t="s">
        <v>3587</v>
      </c>
      <c r="D1768" s="9" t="s">
        <v>73</v>
      </c>
      <c r="E1768" s="6" t="s">
        <v>3609</v>
      </c>
      <c r="F1768" s="9"/>
    </row>
    <row r="1769" ht="33.75" customHeight="1">
      <c r="A1769" s="7">
        <v>60.0</v>
      </c>
      <c r="B1769" s="9" t="s">
        <v>3586</v>
      </c>
      <c r="C1769" s="9" t="s">
        <v>3587</v>
      </c>
      <c r="D1769" s="9" t="s">
        <v>75</v>
      </c>
      <c r="E1769" s="6" t="s">
        <v>3612</v>
      </c>
      <c r="F1769" s="9"/>
    </row>
    <row r="1770" ht="33.75" customHeight="1">
      <c r="A1770" s="7">
        <v>60.0</v>
      </c>
      <c r="B1770" s="9" t="s">
        <v>3586</v>
      </c>
      <c r="C1770" s="9" t="s">
        <v>3587</v>
      </c>
      <c r="D1770" s="9" t="s">
        <v>79</v>
      </c>
      <c r="E1770" s="6" t="s">
        <v>3614</v>
      </c>
      <c r="F1770" s="9"/>
    </row>
    <row r="1771" ht="33.75" customHeight="1">
      <c r="A1771" s="7">
        <v>60.0</v>
      </c>
      <c r="B1771" s="9" t="s">
        <v>3586</v>
      </c>
      <c r="C1771" s="9" t="s">
        <v>3587</v>
      </c>
      <c r="D1771" s="9" t="s">
        <v>81</v>
      </c>
      <c r="E1771" s="6" t="s">
        <v>3617</v>
      </c>
      <c r="F1771" s="9"/>
    </row>
    <row r="1772" ht="33.75" customHeight="1">
      <c r="A1772" s="7">
        <v>60.0</v>
      </c>
      <c r="B1772" s="9" t="s">
        <v>3586</v>
      </c>
      <c r="C1772" s="9" t="s">
        <v>3587</v>
      </c>
      <c r="D1772" s="9" t="s">
        <v>84</v>
      </c>
      <c r="E1772" s="6" t="s">
        <v>3617</v>
      </c>
      <c r="F1772" s="9"/>
    </row>
    <row r="1773" ht="33.75" customHeight="1">
      <c r="A1773" s="7">
        <v>60.0</v>
      </c>
      <c r="B1773" s="9" t="s">
        <v>3586</v>
      </c>
      <c r="C1773" s="9" t="s">
        <v>3587</v>
      </c>
      <c r="D1773" s="9" t="s">
        <v>87</v>
      </c>
      <c r="E1773" s="6" t="s">
        <v>3617</v>
      </c>
      <c r="F1773" s="9"/>
    </row>
    <row r="1774" ht="33.75" customHeight="1">
      <c r="A1774" s="7">
        <v>60.0</v>
      </c>
      <c r="B1774" s="9" t="s">
        <v>3586</v>
      </c>
      <c r="C1774" s="9" t="s">
        <v>3587</v>
      </c>
      <c r="D1774" s="9" t="s">
        <v>89</v>
      </c>
      <c r="E1774" s="6" t="s">
        <v>3623</v>
      </c>
      <c r="F1774" s="9"/>
    </row>
    <row r="1775" ht="33.75" customHeight="1">
      <c r="A1775" s="7">
        <v>60.0</v>
      </c>
      <c r="B1775" s="9" t="s">
        <v>3586</v>
      </c>
      <c r="C1775" s="9" t="s">
        <v>3587</v>
      </c>
      <c r="D1775" s="9" t="s">
        <v>91</v>
      </c>
      <c r="E1775" s="6" t="s">
        <v>3598</v>
      </c>
      <c r="F1775" s="9"/>
    </row>
    <row r="1776" ht="33.75" customHeight="1">
      <c r="A1776" s="7">
        <v>60.0</v>
      </c>
      <c r="B1776" s="9" t="s">
        <v>3586</v>
      </c>
      <c r="C1776" s="9" t="s">
        <v>3587</v>
      </c>
      <c r="D1776" s="9" t="s">
        <v>93</v>
      </c>
      <c r="E1776" s="6" t="s">
        <v>3617</v>
      </c>
      <c r="F1776" s="9"/>
    </row>
    <row r="1777" ht="33.75" customHeight="1">
      <c r="A1777" s="7">
        <v>60.0</v>
      </c>
      <c r="B1777" s="9" t="s">
        <v>3586</v>
      </c>
      <c r="C1777" s="9" t="s">
        <v>3587</v>
      </c>
      <c r="D1777" s="9" t="s">
        <v>95</v>
      </c>
      <c r="E1777" s="6" t="s">
        <v>3617</v>
      </c>
      <c r="F1777" s="9"/>
    </row>
    <row r="1778" ht="33.75" customHeight="1">
      <c r="A1778" s="7">
        <v>60.0</v>
      </c>
      <c r="B1778" s="9" t="s">
        <v>3586</v>
      </c>
      <c r="C1778" s="9" t="s">
        <v>3587</v>
      </c>
      <c r="D1778" s="9" t="s">
        <v>98</v>
      </c>
      <c r="E1778" s="6" t="s">
        <v>3617</v>
      </c>
      <c r="F1778" s="9"/>
    </row>
    <row r="1779" ht="33.75" customHeight="1">
      <c r="A1779" s="7">
        <v>60.0</v>
      </c>
      <c r="B1779" s="9" t="s">
        <v>3586</v>
      </c>
      <c r="C1779" s="9" t="s">
        <v>3587</v>
      </c>
      <c r="D1779" s="9" t="s">
        <v>99</v>
      </c>
      <c r="E1779" s="6" t="s">
        <v>3617</v>
      </c>
      <c r="F1779" s="9"/>
    </row>
    <row r="1780" ht="33.75" customHeight="1">
      <c r="A1780" s="7">
        <v>60.0</v>
      </c>
      <c r="B1780" s="9" t="s">
        <v>3586</v>
      </c>
      <c r="C1780" s="9" t="s">
        <v>3587</v>
      </c>
      <c r="D1780" s="9" t="s">
        <v>101</v>
      </c>
      <c r="E1780" s="6" t="s">
        <v>3612</v>
      </c>
      <c r="F1780" s="9"/>
    </row>
    <row r="1781" ht="33.75" customHeight="1">
      <c r="A1781" s="7">
        <v>60.0</v>
      </c>
      <c r="B1781" s="9" t="s">
        <v>3586</v>
      </c>
      <c r="C1781" s="9" t="s">
        <v>3587</v>
      </c>
      <c r="D1781" s="9" t="s">
        <v>105</v>
      </c>
      <c r="E1781" s="6" t="s">
        <v>3594</v>
      </c>
      <c r="F1781" s="9"/>
    </row>
    <row r="1782" ht="33.75" customHeight="1">
      <c r="A1782" s="7">
        <v>60.0</v>
      </c>
      <c r="B1782" s="9" t="s">
        <v>3586</v>
      </c>
      <c r="C1782" s="9" t="s">
        <v>3587</v>
      </c>
      <c r="D1782" s="9" t="s">
        <v>107</v>
      </c>
      <c r="E1782" s="6" t="s">
        <v>3645</v>
      </c>
      <c r="F1782" s="9"/>
    </row>
    <row r="1783" ht="33.75" customHeight="1">
      <c r="A1783" s="7">
        <v>60.0</v>
      </c>
      <c r="B1783" s="9" t="s">
        <v>3586</v>
      </c>
      <c r="C1783" s="9" t="s">
        <v>3587</v>
      </c>
      <c r="D1783" s="9" t="s">
        <v>109</v>
      </c>
      <c r="E1783" s="6" t="s">
        <v>3645</v>
      </c>
      <c r="F1783" s="9"/>
    </row>
    <row r="1784" ht="33.75" customHeight="1">
      <c r="A1784" s="7">
        <v>60.0</v>
      </c>
      <c r="B1784" s="9" t="s">
        <v>3586</v>
      </c>
      <c r="C1784" s="9" t="s">
        <v>3587</v>
      </c>
      <c r="D1784" s="9" t="s">
        <v>637</v>
      </c>
      <c r="E1784" s="6" t="s">
        <v>3649</v>
      </c>
      <c r="F1784" s="9"/>
    </row>
    <row r="1785" ht="33.75" customHeight="1">
      <c r="A1785" s="7">
        <v>60.0</v>
      </c>
      <c r="B1785" s="9" t="s">
        <v>3586</v>
      </c>
      <c r="C1785" s="9" t="s">
        <v>3587</v>
      </c>
      <c r="D1785" s="9" t="s">
        <v>642</v>
      </c>
      <c r="E1785" s="6" t="s">
        <v>3652</v>
      </c>
      <c r="F1785" s="9"/>
    </row>
    <row r="1786" ht="33.75" customHeight="1">
      <c r="A1786" s="7">
        <v>60.0</v>
      </c>
      <c r="B1786" s="9" t="s">
        <v>3586</v>
      </c>
      <c r="C1786" s="9" t="s">
        <v>3587</v>
      </c>
      <c r="D1786" s="9" t="s">
        <v>647</v>
      </c>
      <c r="E1786" s="6" t="s">
        <v>3655</v>
      </c>
      <c r="F1786" s="9"/>
    </row>
    <row r="1787" ht="33.75" customHeight="1">
      <c r="A1787" s="7">
        <v>60.0</v>
      </c>
      <c r="B1787" s="9" t="s">
        <v>3586</v>
      </c>
      <c r="C1787" s="9" t="s">
        <v>3587</v>
      </c>
      <c r="D1787" s="9" t="s">
        <v>652</v>
      </c>
      <c r="E1787" s="6" t="s">
        <v>3657</v>
      </c>
      <c r="F1787" s="9"/>
    </row>
    <row r="1788" ht="33.75" customHeight="1">
      <c r="A1788" s="7">
        <v>60.0</v>
      </c>
      <c r="B1788" s="9" t="s">
        <v>3586</v>
      </c>
      <c r="C1788" s="9" t="s">
        <v>3587</v>
      </c>
      <c r="D1788" s="9" t="s">
        <v>111</v>
      </c>
      <c r="E1788" s="6" t="s">
        <v>3594</v>
      </c>
      <c r="F1788" s="9"/>
    </row>
    <row r="1789" ht="33.75" customHeight="1">
      <c r="A1789" s="7">
        <v>60.0</v>
      </c>
      <c r="B1789" s="9" t="s">
        <v>3586</v>
      </c>
      <c r="C1789" s="9" t="s">
        <v>3587</v>
      </c>
      <c r="D1789" s="9" t="s">
        <v>113</v>
      </c>
      <c r="E1789" s="6" t="s">
        <v>3594</v>
      </c>
      <c r="F1789" s="9"/>
    </row>
    <row r="1790" ht="33.75" customHeight="1">
      <c r="A1790" s="7">
        <v>60.0</v>
      </c>
      <c r="B1790" s="9" t="s">
        <v>3586</v>
      </c>
      <c r="C1790" s="9" t="s">
        <v>3587</v>
      </c>
      <c r="D1790" s="9" t="s">
        <v>114</v>
      </c>
      <c r="E1790" s="6" t="s">
        <v>3664</v>
      </c>
      <c r="F1790" s="9"/>
    </row>
    <row r="1791" ht="33.75" customHeight="1">
      <c r="A1791" s="7">
        <v>60.0</v>
      </c>
      <c r="B1791" s="9" t="s">
        <v>3586</v>
      </c>
      <c r="C1791" s="9" t="s">
        <v>3587</v>
      </c>
      <c r="D1791" s="9" t="s">
        <v>117</v>
      </c>
      <c r="E1791" s="6" t="s">
        <v>3667</v>
      </c>
      <c r="F1791" s="9"/>
    </row>
    <row r="1792" ht="33.75" customHeight="1">
      <c r="A1792" s="7">
        <v>61.0</v>
      </c>
      <c r="B1792" s="9" t="s">
        <v>3668</v>
      </c>
      <c r="C1792" s="9" t="s">
        <v>3587</v>
      </c>
      <c r="D1792" s="9" t="s">
        <v>24</v>
      </c>
      <c r="E1792" s="6" t="s">
        <v>3670</v>
      </c>
      <c r="F1792" t="inlineStr" s="10">
        <is>
          <t xml:space="preserve">Kykenee elämään vedessä tai Poliwhirlin ulkopuolella. Veden ulkopuolella se hikoilee pitääkseen kehonsa limaisena. Hyökkäyksen kohteeksi joutuessaan se käyttää vatsaspiraaliaan nukuttaakseen vihollisen. Sitten se pakenee. Sen vatsassa oleva pyörre aaltoilee hienovaraisesti. Sen tuijottaminen voi vähitellen aiheuttaa uneliaisuutta. Iho on suurimmassa osassa sen kehoa kostea. Vatsaspiraalin iho tuntuu kuitenkin sileältä. Vaikka se on taitava kävelemään, se viihtyy mieluummin veden alla, missä on vähemmän vaaraa. POLIWHIRLin kehon pinta on aina märkä ja liukas, ja sen päällä on öljymäistä nestettä. Tämän rasvaisen kerroksen vuoksi se voi helposti lipsahtaa ja luisua minkä tahansa vihollisen kynsistä taistelussa. Sen ruumiinpinta on aina märkä ja liukas öljymäisestä nesteestä. Tämän rasvaisen peitteen vuoksi se voi helposti lipsahtaa ja luisua minkä tahansa vihollisen kynsistä taistelussa. Sen kaksi jalkaa ovat hyvin kehittyneet. Vaikka se voi elää maassa, se viihtyy parhaiten vedessä. Se voi elää vedessä tai sen ulkopuolella. Veden ulkopuolella se hikoilee jatkuvasti pitääkseen kehonsa limaisena. Sen vatsan spiraalimainen kuvio aaltoilee hienovaraisesti. Sen tuijottaminen aiheuttaa vähitellen uneliaisuutta. Poliwhirlin ruumiin pinta on aina märkä ja liukas, ja sitä peittää limainen neste. Tämän liukkaan kerroksen ansiosta se voi helposti lipsahtaa ja luisua pois vihollisen kynsistä taistelussa. Vaikka se voi elää maalla, se viihtyy vedessä, jossa sillä on vähemmän luonnollisia vihollisia. Se marssii maan halki etsien syötäväksi kelpaavia ötökkä-Pokémoneja. Sitten se vie ne veden alle, jotta se voi syödä niitä turvallisessa paikassa. Vaikka se on kykenevä elämään maalla, se viettää aikansa vedessä, missä sen saalista, kala-Pokémoneja, on runsaasti. Sen terveys kärsii, kun sen iho kuivuu, joten muista kosteuttaa sitä huolellisesti. Vatsassa olevan pyörteen tuijottaminen aiheuttaa uneliaisuutta. Tätä Poliwhirlin ominaisuutta on käytetty tuutulaulujen sijasta lasten nukahtamiseen. Tämän Pokémonin hiki on limaista löysää ainetta. Vangittuna Poliwhirl voi luikerrella vihollistensa otteesta ja paeta.</t>
        </is>
      </c>
    </row>
    <row r="1793" ht="33.75" customHeight="1">
      <c r="A1793" s="7">
        <v>61.0</v>
      </c>
      <c r="B1793" s="9" t="s">
        <v>3668</v>
      </c>
      <c r="C1793" s="9" t="s">
        <v>3587</v>
      </c>
      <c r="D1793" s="9" t="s">
        <v>35</v>
      </c>
      <c r="E1793" s="6" t="s">
        <v>3670</v>
      </c>
      <c r="F1793" s="9"/>
    </row>
    <row r="1794" ht="33.75" customHeight="1">
      <c r="A1794" s="7">
        <v>61.0</v>
      </c>
      <c r="B1794" s="9" t="s">
        <v>3668</v>
      </c>
      <c r="C1794" s="9" t="s">
        <v>3587</v>
      </c>
      <c r="D1794" s="9" t="s">
        <v>42</v>
      </c>
      <c r="E1794" s="6" t="s">
        <v>3673</v>
      </c>
      <c r="F1794" s="9"/>
    </row>
    <row r="1795" ht="33.75" customHeight="1">
      <c r="A1795" s="7">
        <v>61.0</v>
      </c>
      <c r="B1795" s="9" t="s">
        <v>3668</v>
      </c>
      <c r="C1795" s="9" t="s">
        <v>3587</v>
      </c>
      <c r="D1795" s="9" t="s">
        <v>52</v>
      </c>
      <c r="E1795" s="6" t="s">
        <v>3675</v>
      </c>
      <c r="F1795" s="9"/>
    </row>
    <row r="1796" ht="33.75" customHeight="1">
      <c r="A1796" s="7">
        <v>61.0</v>
      </c>
      <c r="B1796" s="9" t="s">
        <v>3668</v>
      </c>
      <c r="C1796" s="9" t="s">
        <v>3587</v>
      </c>
      <c r="D1796" s="9" t="s">
        <v>59</v>
      </c>
      <c r="E1796" s="6" t="s">
        <v>3678</v>
      </c>
      <c r="F1796" s="9"/>
    </row>
    <row r="1797" ht="33.75" customHeight="1">
      <c r="A1797" s="7">
        <v>61.0</v>
      </c>
      <c r="B1797" s="9" t="s">
        <v>3668</v>
      </c>
      <c r="C1797" s="9" t="s">
        <v>3587</v>
      </c>
      <c r="D1797" s="9" t="s">
        <v>64</v>
      </c>
      <c r="E1797" s="6" t="s">
        <v>3681</v>
      </c>
      <c r="F1797" s="9"/>
    </row>
    <row r="1798" ht="33.75" customHeight="1">
      <c r="A1798" s="7">
        <v>61.0</v>
      </c>
      <c r="B1798" s="9" t="s">
        <v>3668</v>
      </c>
      <c r="C1798" s="9" t="s">
        <v>3587</v>
      </c>
      <c r="D1798" s="9" t="s">
        <v>67</v>
      </c>
      <c r="E1798" s="6" t="s">
        <v>3683</v>
      </c>
      <c r="F1798" s="9"/>
    </row>
    <row r="1799" ht="33.75" customHeight="1">
      <c r="A1799" s="7">
        <v>61.0</v>
      </c>
      <c r="B1799" s="9" t="s">
        <v>3668</v>
      </c>
      <c r="C1799" s="9" t="s">
        <v>3587</v>
      </c>
      <c r="D1799" s="9" t="s">
        <v>71</v>
      </c>
      <c r="E1799" s="6" t="s">
        <v>3683</v>
      </c>
      <c r="F1799" s="9"/>
    </row>
    <row r="1800" ht="33.75" customHeight="1">
      <c r="A1800" s="7">
        <v>61.0</v>
      </c>
      <c r="B1800" s="9" t="s">
        <v>3668</v>
      </c>
      <c r="C1800" s="9" t="s">
        <v>3587</v>
      </c>
      <c r="D1800" s="9" t="s">
        <v>73</v>
      </c>
      <c r="E1800" s="6" t="s">
        <v>3688</v>
      </c>
      <c r="F1800" s="9"/>
    </row>
    <row r="1801" ht="33.75" customHeight="1">
      <c r="A1801" s="7">
        <v>61.0</v>
      </c>
      <c r="B1801" s="9" t="s">
        <v>3668</v>
      </c>
      <c r="C1801" s="9" t="s">
        <v>3587</v>
      </c>
      <c r="D1801" s="9" t="s">
        <v>75</v>
      </c>
      <c r="E1801" s="6" t="s">
        <v>3691</v>
      </c>
      <c r="F1801" s="9"/>
    </row>
    <row r="1802" ht="33.75" customHeight="1">
      <c r="A1802" s="7">
        <v>61.0</v>
      </c>
      <c r="B1802" s="9" t="s">
        <v>3668</v>
      </c>
      <c r="C1802" s="9" t="s">
        <v>3587</v>
      </c>
      <c r="D1802" s="9" t="s">
        <v>79</v>
      </c>
      <c r="E1802" s="6" t="s">
        <v>3694</v>
      </c>
      <c r="F1802" s="9"/>
    </row>
    <row r="1803" ht="33.75" customHeight="1">
      <c r="A1803" s="7">
        <v>61.0</v>
      </c>
      <c r="B1803" s="9" t="s">
        <v>3668</v>
      </c>
      <c r="C1803" s="9" t="s">
        <v>3587</v>
      </c>
      <c r="D1803" s="9" t="s">
        <v>81</v>
      </c>
      <c r="E1803" s="6" t="s">
        <v>3697</v>
      </c>
      <c r="F1803" s="9"/>
    </row>
    <row r="1804" ht="33.75" customHeight="1">
      <c r="A1804" s="7">
        <v>61.0</v>
      </c>
      <c r="B1804" s="9" t="s">
        <v>3668</v>
      </c>
      <c r="C1804" s="9" t="s">
        <v>3587</v>
      </c>
      <c r="D1804" s="9" t="s">
        <v>84</v>
      </c>
      <c r="E1804" s="6" t="s">
        <v>3697</v>
      </c>
      <c r="F1804" s="9"/>
    </row>
    <row r="1805" ht="33.75" customHeight="1">
      <c r="A1805" s="7">
        <v>61.0</v>
      </c>
      <c r="B1805" s="9" t="s">
        <v>3668</v>
      </c>
      <c r="C1805" s="9" t="s">
        <v>3587</v>
      </c>
      <c r="D1805" s="9" t="s">
        <v>87</v>
      </c>
      <c r="E1805" s="6" t="s">
        <v>3697</v>
      </c>
      <c r="F1805" s="9"/>
    </row>
    <row r="1806" ht="33.75" customHeight="1">
      <c r="A1806" s="7">
        <v>61.0</v>
      </c>
      <c r="B1806" s="9" t="s">
        <v>3668</v>
      </c>
      <c r="C1806" s="9" t="s">
        <v>3587</v>
      </c>
      <c r="D1806" s="9" t="s">
        <v>89</v>
      </c>
      <c r="E1806" s="6" t="s">
        <v>3675</v>
      </c>
      <c r="F1806" s="9"/>
    </row>
    <row r="1807" ht="33.75" customHeight="1">
      <c r="A1807" s="7">
        <v>61.0</v>
      </c>
      <c r="B1807" s="9" t="s">
        <v>3668</v>
      </c>
      <c r="C1807" s="9" t="s">
        <v>3587</v>
      </c>
      <c r="D1807" s="9" t="s">
        <v>91</v>
      </c>
      <c r="E1807" s="6" t="s">
        <v>3678</v>
      </c>
      <c r="F1807" s="9"/>
    </row>
    <row r="1808" ht="33.75" customHeight="1">
      <c r="A1808" s="7">
        <v>61.0</v>
      </c>
      <c r="B1808" s="9" t="s">
        <v>3668</v>
      </c>
      <c r="C1808" s="9" t="s">
        <v>3587</v>
      </c>
      <c r="D1808" s="9" t="s">
        <v>93</v>
      </c>
      <c r="E1808" s="6" t="s">
        <v>3697</v>
      </c>
      <c r="F1808" s="9"/>
    </row>
    <row r="1809" ht="33.75" customHeight="1">
      <c r="A1809" s="7">
        <v>61.0</v>
      </c>
      <c r="B1809" s="9" t="s">
        <v>3668</v>
      </c>
      <c r="C1809" s="9" t="s">
        <v>3587</v>
      </c>
      <c r="D1809" s="9" t="s">
        <v>95</v>
      </c>
      <c r="E1809" s="6" t="s">
        <v>3697</v>
      </c>
      <c r="F1809" s="9"/>
    </row>
    <row r="1810" ht="33.75" customHeight="1">
      <c r="A1810" s="7">
        <v>61.0</v>
      </c>
      <c r="B1810" s="9" t="s">
        <v>3668</v>
      </c>
      <c r="C1810" s="9" t="s">
        <v>3587</v>
      </c>
      <c r="D1810" s="9" t="s">
        <v>98</v>
      </c>
      <c r="E1810" s="6" t="s">
        <v>3697</v>
      </c>
      <c r="F1810" s="9"/>
    </row>
    <row r="1811" ht="33.75" customHeight="1">
      <c r="A1811" s="7">
        <v>61.0</v>
      </c>
      <c r="B1811" s="9" t="s">
        <v>3668</v>
      </c>
      <c r="C1811" s="9" t="s">
        <v>3587</v>
      </c>
      <c r="D1811" s="9" t="s">
        <v>99</v>
      </c>
      <c r="E1811" s="6" t="s">
        <v>3697</v>
      </c>
      <c r="F1811" s="9"/>
    </row>
    <row r="1812" ht="33.75" customHeight="1">
      <c r="A1812" s="7">
        <v>61.0</v>
      </c>
      <c r="B1812" s="9" t="s">
        <v>3668</v>
      </c>
      <c r="C1812" s="9" t="s">
        <v>3587</v>
      </c>
      <c r="D1812" s="9" t="s">
        <v>101</v>
      </c>
      <c r="E1812" s="6" t="s">
        <v>3694</v>
      </c>
      <c r="F1812" s="9"/>
    </row>
    <row r="1813" ht="33.75" customHeight="1">
      <c r="A1813" s="7">
        <v>61.0</v>
      </c>
      <c r="B1813" s="9" t="s">
        <v>3668</v>
      </c>
      <c r="C1813" s="9" t="s">
        <v>3587</v>
      </c>
      <c r="D1813" s="9" t="s">
        <v>105</v>
      </c>
      <c r="E1813" s="6" t="s">
        <v>3691</v>
      </c>
      <c r="F1813" s="9"/>
    </row>
    <row r="1814" ht="33.75" customHeight="1">
      <c r="A1814" s="7">
        <v>61.0</v>
      </c>
      <c r="B1814" s="9" t="s">
        <v>3668</v>
      </c>
      <c r="C1814" s="9" t="s">
        <v>3587</v>
      </c>
      <c r="D1814" s="9" t="s">
        <v>107</v>
      </c>
      <c r="E1814" s="6" t="s">
        <v>3718</v>
      </c>
      <c r="F1814" s="9"/>
    </row>
    <row r="1815" ht="33.75" customHeight="1">
      <c r="A1815" s="7">
        <v>61.0</v>
      </c>
      <c r="B1815" s="9" t="s">
        <v>3668</v>
      </c>
      <c r="C1815" s="9" t="s">
        <v>3587</v>
      </c>
      <c r="D1815" s="9" t="s">
        <v>109</v>
      </c>
      <c r="E1815" s="6" t="s">
        <v>3718</v>
      </c>
      <c r="F1815" s="9"/>
    </row>
    <row r="1816" ht="33.75" customHeight="1">
      <c r="A1816" s="7">
        <v>61.0</v>
      </c>
      <c r="B1816" s="9" t="s">
        <v>3668</v>
      </c>
      <c r="C1816" s="9" t="s">
        <v>3587</v>
      </c>
      <c r="D1816" s="9" t="s">
        <v>637</v>
      </c>
      <c r="E1816" s="6" t="s">
        <v>3721</v>
      </c>
      <c r="F1816" s="9"/>
    </row>
    <row r="1817" ht="33.75" customHeight="1">
      <c r="A1817" s="7">
        <v>61.0</v>
      </c>
      <c r="B1817" s="9" t="s">
        <v>3668</v>
      </c>
      <c r="C1817" s="9" t="s">
        <v>3587</v>
      </c>
      <c r="D1817" s="9" t="s">
        <v>642</v>
      </c>
      <c r="E1817" s="6" t="s">
        <v>3722</v>
      </c>
      <c r="F1817" s="9"/>
    </row>
    <row r="1818" ht="33.75" customHeight="1">
      <c r="A1818" s="7">
        <v>61.0</v>
      </c>
      <c r="B1818" s="9" t="s">
        <v>3668</v>
      </c>
      <c r="C1818" s="9" t="s">
        <v>3587</v>
      </c>
      <c r="D1818" s="9" t="s">
        <v>647</v>
      </c>
      <c r="E1818" s="6" t="s">
        <v>3724</v>
      </c>
      <c r="F1818" s="9"/>
    </row>
    <row r="1819" ht="33.75" customHeight="1">
      <c r="A1819" s="7">
        <v>61.0</v>
      </c>
      <c r="B1819" s="9" t="s">
        <v>3668</v>
      </c>
      <c r="C1819" s="9" t="s">
        <v>3587</v>
      </c>
      <c r="D1819" s="9" t="s">
        <v>652</v>
      </c>
      <c r="E1819" s="6" t="s">
        <v>3727</v>
      </c>
      <c r="F1819" s="9"/>
    </row>
    <row r="1820" ht="33.75" customHeight="1">
      <c r="A1820" s="7">
        <v>61.0</v>
      </c>
      <c r="B1820" s="9" t="s">
        <v>3668</v>
      </c>
      <c r="C1820" s="9" t="s">
        <v>3587</v>
      </c>
      <c r="D1820" s="9" t="s">
        <v>111</v>
      </c>
      <c r="E1820" s="6" t="s">
        <v>3673</v>
      </c>
      <c r="F1820" s="9"/>
    </row>
    <row r="1821" ht="33.75" customHeight="1">
      <c r="A1821" s="7">
        <v>61.0</v>
      </c>
      <c r="B1821" s="9" t="s">
        <v>3668</v>
      </c>
      <c r="C1821" s="9" t="s">
        <v>3587</v>
      </c>
      <c r="D1821" s="9" t="s">
        <v>113</v>
      </c>
      <c r="E1821" s="6" t="s">
        <v>3673</v>
      </c>
      <c r="F1821" s="9"/>
    </row>
    <row r="1822" ht="33.75" customHeight="1">
      <c r="A1822" s="7">
        <v>61.0</v>
      </c>
      <c r="B1822" s="9" t="s">
        <v>3668</v>
      </c>
      <c r="C1822" s="9" t="s">
        <v>3587</v>
      </c>
      <c r="D1822" s="9" t="s">
        <v>114</v>
      </c>
      <c r="E1822" s="6" t="s">
        <v>3732</v>
      </c>
      <c r="F1822" s="9"/>
    </row>
    <row r="1823" ht="33.75" customHeight="1">
      <c r="A1823" s="7">
        <v>61.0</v>
      </c>
      <c r="B1823" s="9" t="s">
        <v>3668</v>
      </c>
      <c r="C1823" s="9" t="s">
        <v>3587</v>
      </c>
      <c r="D1823" s="9" t="s">
        <v>117</v>
      </c>
      <c r="E1823" s="6" t="s">
        <v>3734</v>
      </c>
      <c r="F1823" s="9"/>
    </row>
    <row r="1824" ht="33.75" customHeight="1">
      <c r="A1824" s="7">
        <v>62.0</v>
      </c>
      <c r="B1824" s="9" t="s">
        <v>3735</v>
      </c>
      <c r="C1824" s="9" t="s">
        <v>3587</v>
      </c>
      <c r="D1824" s="9" t="s">
        <v>24</v>
      </c>
      <c r="E1824" s="6" t="s">
        <v>3737</v>
      </c>
      <c r="F1824" t="inlineStr" s="10">
        <is>
          <t xml:space="preserve">Taitava uimari sekä konttaus- että rintauinnissa. Ohittaa helposti parhaat ihmisuimarit. Ui voimakkaasti käyttäen kaikkia kehonsa lihaksia. Se voi jopa ohittaa mestariuimarit. Tämä vahva ja taitava uimari pystyy jopa ylittämään Tyynenmeren pelkällä potkaisemisella. Vaikka se on energinen ja taitava uimari, joka käyttää kaikkia lihaksiaan, se elää kuivalla maalla. Se voi käyttää hyvin kehittyneitä käsiään ja jalkojaan juosta veden pinnalla sekunnin murto-osan. POLIWRATHin erittäin kehittyneet ja vahvat lihakset eivät koskaan väsy, vaikka se kuinka paljon treenaisi. Se on niin väsymättömän vahva, että tämä POKéMON voi uida edestakaisin Tyynellämerellä vaivattomasti. Sen erittäin kehittyneet lihakset eivät koskaan väsy, vaikka se kuinka paljon treenaisi. Tämä POKéMON voi uida edestakaisin Tyynellämerellä vaivattomasti. Taitavana uimarina se osaa konttauksen, perhosuinnin ja paljon muuta. Se on nopeampi kuin parhaat ihmisuimarit. Uimari, joka on taitava sekä konttauksessa että rintauinnissa. Äärimmäisen vahvojen lihastensa ansiosta se voi jatkaa uintia Tyynessämeressä lepäämättä. Poliwrathin erittäin kehittyneet, lihaksikkaat lihakset eivät koskaan väsy, vaikka se kuinka paljon treenaisi. Se on niin väsymättömän vahva, että tämä Pokémon voi uida edestakaisin valtameren yli vaivattomasti. Alolan alueen poliwrathit ovat vahvoja uimareita, jotka uivat rintauintia käyttäen. Monet lapset oppivat uimaan matkimalla poliwratheja. Sen kehon rasvaprosentti on lähes nolla. Sen ruumis on kokonaan lihasta, mikä tekee siitä painavan ja pakottaa sen uimataidon kehittymään. Se on melko lahjakas uimari, jopa vesityypin Pokémonien joukossa, mutta yleensä se viettää aikansa maalla. Sen uinnin kehittämät lihakset ovat paksut ja voimakkaat. Kun se osuu suorakaiteen muotoiseen lyöntiin, se voi muuttaa valtavia lohkareita tomuksi. Se voi jopa ohittaa maailmanluokan uimarit. Sen ruumis on jämäkkää lihasta. Kylmässä meressä uidessaan Poliwrath käyttää vaikuttavia käsivarsiaan törmätäkseen ajojäähän ja kyntääkseen eteenpäin. Poliwrath on taitava sekä uinnissa että kamppailulajeissa. Se käyttää hyvin koulutettuja käsivarsiaan antaakseen voimakkaita iskuja.</t>
        </is>
      </c>
    </row>
    <row r="1825" ht="33.75" customHeight="1">
      <c r="A1825" s="7">
        <v>62.0</v>
      </c>
      <c r="B1825" s="9" t="s">
        <v>3735</v>
      </c>
      <c r="C1825" s="9" t="s">
        <v>3587</v>
      </c>
      <c r="D1825" s="9" t="s">
        <v>35</v>
      </c>
      <c r="E1825" s="6" t="s">
        <v>3737</v>
      </c>
      <c r="F1825" s="9"/>
    </row>
    <row r="1826" ht="33.75" customHeight="1">
      <c r="A1826" s="7">
        <v>62.0</v>
      </c>
      <c r="B1826" s="9" t="s">
        <v>3735</v>
      </c>
      <c r="C1826" s="9" t="s">
        <v>3587</v>
      </c>
      <c r="D1826" s="9" t="s">
        <v>42</v>
      </c>
      <c r="E1826" s="6" t="s">
        <v>3739</v>
      </c>
      <c r="F1826" s="9"/>
    </row>
    <row r="1827" ht="33.75" customHeight="1">
      <c r="A1827" s="7">
        <v>62.0</v>
      </c>
      <c r="B1827" s="9" t="s">
        <v>3735</v>
      </c>
      <c r="C1827" s="9" t="s">
        <v>3587</v>
      </c>
      <c r="D1827" s="9" t="s">
        <v>52</v>
      </c>
      <c r="E1827" s="6" t="s">
        <v>3741</v>
      </c>
      <c r="F1827" s="9"/>
    </row>
    <row r="1828" ht="33.75" customHeight="1">
      <c r="A1828" s="7">
        <v>62.0</v>
      </c>
      <c r="B1828" s="9" t="s">
        <v>3735</v>
      </c>
      <c r="C1828" s="9" t="s">
        <v>3587</v>
      </c>
      <c r="D1828" s="9" t="s">
        <v>59</v>
      </c>
      <c r="E1828" s="6" t="s">
        <v>3744</v>
      </c>
      <c r="F1828" s="9"/>
    </row>
    <row r="1829" ht="33.75" customHeight="1">
      <c r="A1829" s="7">
        <v>62.0</v>
      </c>
      <c r="B1829" s="9" t="s">
        <v>3735</v>
      </c>
      <c r="C1829" s="9" t="s">
        <v>3587</v>
      </c>
      <c r="D1829" s="9" t="s">
        <v>64</v>
      </c>
      <c r="E1829" s="6" t="s">
        <v>3746</v>
      </c>
      <c r="F1829" s="9"/>
    </row>
    <row r="1830" ht="33.75" customHeight="1">
      <c r="A1830" s="7">
        <v>62.0</v>
      </c>
      <c r="B1830" s="9" t="s">
        <v>3735</v>
      </c>
      <c r="C1830" s="9" t="s">
        <v>3587</v>
      </c>
      <c r="D1830" s="9" t="s">
        <v>67</v>
      </c>
      <c r="E1830" s="6" t="s">
        <v>3748</v>
      </c>
      <c r="F1830" s="9"/>
    </row>
    <row r="1831" ht="33.75" customHeight="1">
      <c r="A1831" s="7">
        <v>62.0</v>
      </c>
      <c r="B1831" s="9" t="s">
        <v>3735</v>
      </c>
      <c r="C1831" s="9" t="s">
        <v>3587</v>
      </c>
      <c r="D1831" s="9" t="s">
        <v>71</v>
      </c>
      <c r="E1831" s="6" t="s">
        <v>3748</v>
      </c>
      <c r="F1831" s="9"/>
    </row>
    <row r="1832" ht="33.75" customHeight="1">
      <c r="A1832" s="7">
        <v>62.0</v>
      </c>
      <c r="B1832" s="9" t="s">
        <v>3735</v>
      </c>
      <c r="C1832" s="9" t="s">
        <v>3587</v>
      </c>
      <c r="D1832" s="9" t="s">
        <v>73</v>
      </c>
      <c r="E1832" s="6" t="s">
        <v>3749</v>
      </c>
      <c r="F1832" s="9"/>
    </row>
    <row r="1833" ht="33.75" customHeight="1">
      <c r="A1833" s="7">
        <v>62.0</v>
      </c>
      <c r="B1833" s="9" t="s">
        <v>3735</v>
      </c>
      <c r="C1833" s="9" t="s">
        <v>3587</v>
      </c>
      <c r="D1833" s="9" t="s">
        <v>75</v>
      </c>
      <c r="E1833" s="6" t="s">
        <v>3752</v>
      </c>
      <c r="F1833" s="9"/>
    </row>
    <row r="1834" ht="33.75" customHeight="1">
      <c r="A1834" s="7">
        <v>62.0</v>
      </c>
      <c r="B1834" s="9" t="s">
        <v>3735</v>
      </c>
      <c r="C1834" s="9" t="s">
        <v>3587</v>
      </c>
      <c r="D1834" s="9" t="s">
        <v>79</v>
      </c>
      <c r="E1834" s="6" t="s">
        <v>3754</v>
      </c>
      <c r="F1834" s="9"/>
    </row>
    <row r="1835" ht="33.75" customHeight="1">
      <c r="A1835" s="7">
        <v>62.0</v>
      </c>
      <c r="B1835" s="9" t="s">
        <v>3735</v>
      </c>
      <c r="C1835" s="9" t="s">
        <v>3587</v>
      </c>
      <c r="D1835" s="9" t="s">
        <v>81</v>
      </c>
      <c r="E1835" s="6" t="s">
        <v>3756</v>
      </c>
      <c r="F1835" s="9"/>
    </row>
    <row r="1836" ht="33.75" customHeight="1">
      <c r="A1836" s="7">
        <v>62.0</v>
      </c>
      <c r="B1836" s="9" t="s">
        <v>3735</v>
      </c>
      <c r="C1836" s="9" t="s">
        <v>3587</v>
      </c>
      <c r="D1836" s="9" t="s">
        <v>84</v>
      </c>
      <c r="E1836" s="6" t="s">
        <v>3756</v>
      </c>
      <c r="F1836" s="9"/>
    </row>
    <row r="1837" ht="33.75" customHeight="1">
      <c r="A1837" s="7">
        <v>62.0</v>
      </c>
      <c r="B1837" s="9" t="s">
        <v>3735</v>
      </c>
      <c r="C1837" s="9" t="s">
        <v>3587</v>
      </c>
      <c r="D1837" s="9" t="s">
        <v>87</v>
      </c>
      <c r="E1837" s="6" t="s">
        <v>3756</v>
      </c>
      <c r="F1837" s="9"/>
    </row>
    <row r="1838" ht="33.75" customHeight="1">
      <c r="A1838" s="7">
        <v>62.0</v>
      </c>
      <c r="B1838" s="9" t="s">
        <v>3735</v>
      </c>
      <c r="C1838" s="9" t="s">
        <v>3587</v>
      </c>
      <c r="D1838" s="9" t="s">
        <v>89</v>
      </c>
      <c r="E1838" s="6" t="s">
        <v>3741</v>
      </c>
      <c r="F1838" s="9"/>
    </row>
    <row r="1839" ht="33.75" customHeight="1">
      <c r="A1839" s="7">
        <v>62.0</v>
      </c>
      <c r="B1839" s="9" t="s">
        <v>3735</v>
      </c>
      <c r="C1839" s="9" t="s">
        <v>3587</v>
      </c>
      <c r="D1839" s="9" t="s">
        <v>91</v>
      </c>
      <c r="E1839" s="6" t="s">
        <v>3744</v>
      </c>
      <c r="F1839" s="9"/>
    </row>
    <row r="1840" ht="33.75" customHeight="1">
      <c r="A1840" s="7">
        <v>62.0</v>
      </c>
      <c r="B1840" s="9" t="s">
        <v>3735</v>
      </c>
      <c r="C1840" s="9" t="s">
        <v>3587</v>
      </c>
      <c r="D1840" s="9" t="s">
        <v>93</v>
      </c>
      <c r="E1840" s="6" t="s">
        <v>3756</v>
      </c>
      <c r="F1840" s="9"/>
    </row>
    <row r="1841" ht="33.75" customHeight="1">
      <c r="A1841" s="7">
        <v>62.0</v>
      </c>
      <c r="B1841" s="9" t="s">
        <v>3735</v>
      </c>
      <c r="C1841" s="9" t="s">
        <v>3587</v>
      </c>
      <c r="D1841" s="9" t="s">
        <v>95</v>
      </c>
      <c r="E1841" s="6" t="s">
        <v>3756</v>
      </c>
      <c r="F1841" s="9"/>
    </row>
    <row r="1842" ht="33.75" customHeight="1">
      <c r="A1842" s="7">
        <v>62.0</v>
      </c>
      <c r="B1842" s="9" t="s">
        <v>3735</v>
      </c>
      <c r="C1842" s="9" t="s">
        <v>3587</v>
      </c>
      <c r="D1842" s="9" t="s">
        <v>98</v>
      </c>
      <c r="E1842" s="6" t="s">
        <v>3756</v>
      </c>
      <c r="F1842" s="9"/>
    </row>
    <row r="1843" ht="33.75" customHeight="1">
      <c r="A1843" s="7">
        <v>62.0</v>
      </c>
      <c r="B1843" s="9" t="s">
        <v>3735</v>
      </c>
      <c r="C1843" s="9" t="s">
        <v>3587</v>
      </c>
      <c r="D1843" s="9" t="s">
        <v>99</v>
      </c>
      <c r="E1843" s="6" t="s">
        <v>3756</v>
      </c>
      <c r="F1843" s="9"/>
    </row>
    <row r="1844" ht="33.75" customHeight="1">
      <c r="A1844" s="7">
        <v>62.0</v>
      </c>
      <c r="B1844" s="9" t="s">
        <v>3735</v>
      </c>
      <c r="C1844" s="9" t="s">
        <v>3587</v>
      </c>
      <c r="D1844" s="9" t="s">
        <v>101</v>
      </c>
      <c r="E1844" s="6" t="s">
        <v>3756</v>
      </c>
      <c r="F1844" s="9"/>
    </row>
    <row r="1845" ht="33.75" customHeight="1">
      <c r="A1845" s="7">
        <v>62.0</v>
      </c>
      <c r="B1845" s="9" t="s">
        <v>3735</v>
      </c>
      <c r="C1845" s="9" t="s">
        <v>3587</v>
      </c>
      <c r="D1845" s="9" t="s">
        <v>105</v>
      </c>
      <c r="E1845" s="6" t="s">
        <v>3754</v>
      </c>
      <c r="F1845" s="9"/>
    </row>
    <row r="1846" ht="33.75" customHeight="1">
      <c r="A1846" s="7">
        <v>62.0</v>
      </c>
      <c r="B1846" s="9" t="s">
        <v>3735</v>
      </c>
      <c r="C1846" s="9" t="s">
        <v>3587</v>
      </c>
      <c r="D1846" s="9" t="s">
        <v>107</v>
      </c>
      <c r="E1846" s="6" t="s">
        <v>3773</v>
      </c>
      <c r="F1846" s="9"/>
    </row>
    <row r="1847" ht="33.75" customHeight="1">
      <c r="A1847" s="7">
        <v>62.0</v>
      </c>
      <c r="B1847" s="9" t="s">
        <v>3735</v>
      </c>
      <c r="C1847" s="9" t="s">
        <v>3587</v>
      </c>
      <c r="D1847" s="9" t="s">
        <v>109</v>
      </c>
      <c r="E1847" s="6" t="s">
        <v>3773</v>
      </c>
      <c r="F1847" s="9"/>
    </row>
    <row r="1848" ht="33.75" customHeight="1">
      <c r="A1848" s="7">
        <v>62.0</v>
      </c>
      <c r="B1848" s="9" t="s">
        <v>3735</v>
      </c>
      <c r="C1848" s="9" t="s">
        <v>3587</v>
      </c>
      <c r="D1848" s="9" t="s">
        <v>637</v>
      </c>
      <c r="E1848" s="6" t="s">
        <v>3777</v>
      </c>
      <c r="F1848" s="9"/>
    </row>
    <row r="1849" ht="33.75" customHeight="1">
      <c r="A1849" s="7">
        <v>62.0</v>
      </c>
      <c r="B1849" s="9" t="s">
        <v>3735</v>
      </c>
      <c r="C1849" s="9" t="s">
        <v>3587</v>
      </c>
      <c r="D1849" s="9" t="s">
        <v>642</v>
      </c>
      <c r="E1849" s="6" t="s">
        <v>3779</v>
      </c>
      <c r="F1849" s="9"/>
    </row>
    <row r="1850" ht="33.75" customHeight="1">
      <c r="A1850" s="7">
        <v>62.0</v>
      </c>
      <c r="B1850" s="9" t="s">
        <v>3735</v>
      </c>
      <c r="C1850" s="9" t="s">
        <v>3587</v>
      </c>
      <c r="D1850" s="9" t="s">
        <v>647</v>
      </c>
      <c r="E1850" s="6" t="s">
        <v>3782</v>
      </c>
      <c r="F1850" s="9"/>
    </row>
    <row r="1851" ht="33.75" customHeight="1">
      <c r="A1851" s="7">
        <v>62.0</v>
      </c>
      <c r="B1851" s="9" t="s">
        <v>3735</v>
      </c>
      <c r="C1851" s="9" t="s">
        <v>3587</v>
      </c>
      <c r="D1851" s="9" t="s">
        <v>652</v>
      </c>
      <c r="E1851" s="6" t="s">
        <v>3784</v>
      </c>
      <c r="F1851" s="9"/>
    </row>
    <row r="1852" ht="33.75" customHeight="1">
      <c r="A1852" s="7">
        <v>62.0</v>
      </c>
      <c r="B1852" s="9" t="s">
        <v>3735</v>
      </c>
      <c r="C1852" s="9" t="s">
        <v>3587</v>
      </c>
      <c r="D1852" s="9" t="s">
        <v>111</v>
      </c>
      <c r="E1852" s="6" t="s">
        <v>3786</v>
      </c>
      <c r="F1852" s="9"/>
    </row>
    <row r="1853" ht="33.75" customHeight="1">
      <c r="A1853" s="7">
        <v>62.0</v>
      </c>
      <c r="B1853" s="9" t="s">
        <v>3735</v>
      </c>
      <c r="C1853" s="9" t="s">
        <v>3587</v>
      </c>
      <c r="D1853" s="9" t="s">
        <v>113</v>
      </c>
      <c r="E1853" s="6" t="s">
        <v>3786</v>
      </c>
      <c r="F1853" s="9"/>
    </row>
    <row r="1854" ht="33.75" customHeight="1">
      <c r="A1854" s="7">
        <v>62.0</v>
      </c>
      <c r="B1854" s="9" t="s">
        <v>3735</v>
      </c>
      <c r="C1854" s="9" t="s">
        <v>3587</v>
      </c>
      <c r="D1854" s="9" t="s">
        <v>114</v>
      </c>
      <c r="E1854" s="6" t="s">
        <v>3790</v>
      </c>
      <c r="F1854" s="9"/>
    </row>
    <row r="1855" ht="33.75" customHeight="1">
      <c r="A1855" s="7">
        <v>62.0</v>
      </c>
      <c r="B1855" s="9" t="s">
        <v>3735</v>
      </c>
      <c r="C1855" s="9" t="s">
        <v>3587</v>
      </c>
      <c r="D1855" s="9" t="s">
        <v>117</v>
      </c>
      <c r="E1855" s="6" t="s">
        <v>3793</v>
      </c>
      <c r="F1855" s="9"/>
    </row>
    <row r="1856" ht="33.75" customHeight="1">
      <c r="A1856" s="7">
        <v>63.0</v>
      </c>
      <c r="B1856" s="9" t="s">
        <v>3795</v>
      </c>
      <c r="C1856" s="9" t="s">
        <v>3796</v>
      </c>
      <c r="D1856" s="9" t="s">
        <v>24</v>
      </c>
      <c r="E1856" s="6" t="s">
        <v>3797</v>
      </c>
      <c r="F1856" t="inlineStr" s="10">
        <is>
          <t xml:space="preserve">Käyttäen kykyään lukea ajatuksia se tunnistaa uhkaavan vaaran ja TELEPORTTAA turvaan. Nukkuu 18 tuntia vuorokaudessa. Jos se aistii vaaran, se teleporttautuu turvaan jopa nukkuessaan. Se aistii lähestyvät hyökkäykset ja TELEPORTTAA turvaan ennen kuin varsinaiset hyökkäykset ehtivät iskeä. Jos se päättää TELEPORTTAA satunnaisesti, se luo illuusion siitä, että se on luonut kopioita itsestään. Se hypnotisoi itsensä, jotta se voi teleporttautua pois aistiessaan vaaran, vaikka se nukkuisikin. ABRA nukkuu kahdeksantoista tuntia päivässä. Se voi kuitenkin aistia vihollisten läsnäolon jopa nukkuessaan. Tällaisessa tilanteessa tämä POKéMON teleporttautuu välittömästi turvaan. ABRAN täytyy nukkua kahdeksantoista tuntia päivässä. Muussa tapauksessa tämä POKéMON menettää kykynsä käyttää telekineettisiä voimiaan. Jos sitä hyökätään, ABRA pakenee käyttämällä TELEPORTTIA vielä nukkuessaan. POKéMON, joka nukkuu 18 tuntia vuorokaudessa. Havainnot paljastivat, että se käyttää TELEPORTTIA vaihtaakseen sijaintiaan kerran tunnissa. Se nukkuu 18 tuntia päivässä. Se käyttää erilaisia ​​yliaistillisia voimia jopa nukkuessaan. Käyttämällä kykyään lukea ajatuksia se aistii uhkaavan vaaran ja TELEPORTTAASI turvaan. Hereillä ollessaankin se teleporttautuu ja pysyy istuma-asennossa. Se ylläpitää telepaattista tutkaa jopa nukkuessaan. Se teleporttautuu, kun sitä uhkaa. Psyykkisten voimiensa käyttäminen on niin raskasta sen aivoille, että sen on nukuttava 18 tuntia päivässä. Se aistii lähestyvät hyökkäykset ja teleporttautuu turvaan ennen kuin varsinaiset hyökkäykset ehtivät iskeä. Jos se päättää teleporttautua sattumanvaraisesti, se luo illuusion siitä, että se on luonut kopioita itsestään. Abra tarvitsee unta kahdeksantoista tuntia päivässä. Jos se ei nuku, tämä Pokémon menettää kykynsä käyttää telekineettisiä voimiaan. Nukkuessaankin se teleporttautuu puiden latvoihin ja poimii ja syö siellä marjoja. Se voi teleportata itsensä turvaan nukkuessaan, mutta herätessään se ei tiedä missä se on, joten se panikoi. Se käyttää erilaisia ​​psyykkisiä voimia jopa nukkuessaan, joten et voi sanoa, onko se hereillä vai ei. Se voi lukea muiden ajatuksia ja teleporttautuu pois vaaran lähestyessä. Sinun on tyhjennettävä mielesi, jos haluat saada sen kiinni. Tämä Pokémon käyttää psyykkisiä voimiaan nukkuessaan. Abran unien sisältö vaikuttaa Pokémonin käyttämiin voimiin. Abra voi teleportata unissaan. Ilmeisesti mitä syvemmin Abra nukkuu, sitä pidemmälle sen teleportaatiot ulottuvat. Viettää 18 tuntia päivästä nukkuen. Jopa nukkuessaan Abra pystyy hallitsemaan psyykkisiä voimiaan – jos vaara lähestyy, Pokémon yksinkertaisesti teleporttautuu pois.</t>
        </is>
      </c>
    </row>
    <row r="1857" ht="33.75" customHeight="1">
      <c r="A1857" s="7">
        <v>63.0</v>
      </c>
      <c r="B1857" s="9" t="s">
        <v>3795</v>
      </c>
      <c r="C1857" s="9" t="s">
        <v>3796</v>
      </c>
      <c r="D1857" s="9" t="s">
        <v>35</v>
      </c>
      <c r="E1857" s="6" t="s">
        <v>3797</v>
      </c>
      <c r="F1857" s="9"/>
    </row>
    <row r="1858" ht="33.75" customHeight="1">
      <c r="A1858" s="7">
        <v>63.0</v>
      </c>
      <c r="B1858" s="9" t="s">
        <v>3795</v>
      </c>
      <c r="C1858" s="9" t="s">
        <v>3796</v>
      </c>
      <c r="D1858" s="9" t="s">
        <v>42</v>
      </c>
      <c r="E1858" s="6" t="s">
        <v>3801</v>
      </c>
      <c r="F1858" s="9"/>
    </row>
    <row r="1859" ht="33.75" customHeight="1">
      <c r="A1859" s="7">
        <v>63.0</v>
      </c>
      <c r="B1859" s="9" t="s">
        <v>3795</v>
      </c>
      <c r="C1859" s="9" t="s">
        <v>3796</v>
      </c>
      <c r="D1859" s="9" t="s">
        <v>52</v>
      </c>
      <c r="E1859" s="6" t="s">
        <v>3803</v>
      </c>
      <c r="F1859" s="9"/>
    </row>
    <row r="1860" ht="33.75" customHeight="1">
      <c r="A1860" s="7">
        <v>63.0</v>
      </c>
      <c r="B1860" s="9" t="s">
        <v>3795</v>
      </c>
      <c r="C1860" s="9" t="s">
        <v>3796</v>
      </c>
      <c r="D1860" s="9" t="s">
        <v>59</v>
      </c>
      <c r="E1860" s="6" t="s">
        <v>3806</v>
      </c>
      <c r="F1860" s="9"/>
    </row>
    <row r="1861" ht="33.75" customHeight="1">
      <c r="A1861" s="7">
        <v>63.0</v>
      </c>
      <c r="B1861" s="9" t="s">
        <v>3795</v>
      </c>
      <c r="C1861" s="9" t="s">
        <v>3796</v>
      </c>
      <c r="D1861" s="9" t="s">
        <v>64</v>
      </c>
      <c r="E1861" s="6" t="s">
        <v>3808</v>
      </c>
      <c r="F1861" s="9"/>
    </row>
    <row r="1862" ht="33.75" customHeight="1">
      <c r="A1862" s="7">
        <v>63.0</v>
      </c>
      <c r="B1862" s="9" t="s">
        <v>3795</v>
      </c>
      <c r="C1862" s="9" t="s">
        <v>3796</v>
      </c>
      <c r="D1862" s="9" t="s">
        <v>67</v>
      </c>
      <c r="E1862" s="6" t="s">
        <v>3810</v>
      </c>
      <c r="F1862" s="9"/>
    </row>
    <row r="1863" ht="33.75" customHeight="1">
      <c r="A1863" s="7">
        <v>63.0</v>
      </c>
      <c r="B1863" s="9" t="s">
        <v>3795</v>
      </c>
      <c r="C1863" s="9" t="s">
        <v>3796</v>
      </c>
      <c r="D1863" s="9" t="s">
        <v>71</v>
      </c>
      <c r="E1863" s="6" t="s">
        <v>3813</v>
      </c>
      <c r="F1863" s="9"/>
    </row>
    <row r="1864" ht="33.75" customHeight="1">
      <c r="A1864" s="7">
        <v>63.0</v>
      </c>
      <c r="B1864" s="9" t="s">
        <v>3795</v>
      </c>
      <c r="C1864" s="9" t="s">
        <v>3796</v>
      </c>
      <c r="D1864" s="9" t="s">
        <v>73</v>
      </c>
      <c r="E1864" s="6" t="s">
        <v>3816</v>
      </c>
      <c r="F1864" s="9"/>
    </row>
    <row r="1865" ht="33.75" customHeight="1">
      <c r="A1865" s="7">
        <v>63.0</v>
      </c>
      <c r="B1865" s="9" t="s">
        <v>3795</v>
      </c>
      <c r="C1865" s="9" t="s">
        <v>3796</v>
      </c>
      <c r="D1865" s="9" t="s">
        <v>75</v>
      </c>
      <c r="E1865" s="6" t="s">
        <v>3818</v>
      </c>
      <c r="F1865" s="9"/>
    </row>
    <row r="1866" ht="33.75" customHeight="1">
      <c r="A1866" s="7">
        <v>63.0</v>
      </c>
      <c r="B1866" s="9" t="s">
        <v>3795</v>
      </c>
      <c r="C1866" s="9" t="s">
        <v>3796</v>
      </c>
      <c r="D1866" s="9" t="s">
        <v>79</v>
      </c>
      <c r="E1866" s="6" t="s">
        <v>3821</v>
      </c>
      <c r="F1866" s="9"/>
    </row>
    <row r="1867" ht="33.75" customHeight="1">
      <c r="A1867" s="7">
        <v>63.0</v>
      </c>
      <c r="B1867" s="9" t="s">
        <v>3795</v>
      </c>
      <c r="C1867" s="9" t="s">
        <v>3796</v>
      </c>
      <c r="D1867" s="9" t="s">
        <v>81</v>
      </c>
      <c r="E1867" s="6" t="s">
        <v>3823</v>
      </c>
      <c r="F1867" s="9"/>
    </row>
    <row r="1868" ht="33.75" customHeight="1">
      <c r="A1868" s="7">
        <v>63.0</v>
      </c>
      <c r="B1868" s="9" t="s">
        <v>3795</v>
      </c>
      <c r="C1868" s="9" t="s">
        <v>3796</v>
      </c>
      <c r="D1868" s="9" t="s">
        <v>84</v>
      </c>
      <c r="E1868" s="6" t="s">
        <v>3825</v>
      </c>
      <c r="F1868" s="9"/>
    </row>
    <row r="1869" ht="33.75" customHeight="1">
      <c r="A1869" s="7">
        <v>63.0</v>
      </c>
      <c r="B1869" s="9" t="s">
        <v>3795</v>
      </c>
      <c r="C1869" s="9" t="s">
        <v>3796</v>
      </c>
      <c r="D1869" s="9" t="s">
        <v>87</v>
      </c>
      <c r="E1869" s="6" t="s">
        <v>3827</v>
      </c>
      <c r="F1869" s="9"/>
    </row>
    <row r="1870" ht="33.75" customHeight="1">
      <c r="A1870" s="7">
        <v>63.0</v>
      </c>
      <c r="B1870" s="9" t="s">
        <v>3795</v>
      </c>
      <c r="C1870" s="9" t="s">
        <v>3796</v>
      </c>
      <c r="D1870" s="9" t="s">
        <v>89</v>
      </c>
      <c r="E1870" s="6" t="s">
        <v>3830</v>
      </c>
      <c r="F1870" s="9"/>
    </row>
    <row r="1871" ht="33.75" customHeight="1">
      <c r="A1871" s="7">
        <v>63.0</v>
      </c>
      <c r="B1871" s="9" t="s">
        <v>3795</v>
      </c>
      <c r="C1871" s="9" t="s">
        <v>3796</v>
      </c>
      <c r="D1871" s="9" t="s">
        <v>91</v>
      </c>
      <c r="E1871" s="6" t="s">
        <v>3832</v>
      </c>
      <c r="F1871" s="9"/>
    </row>
    <row r="1872" ht="33.75" customHeight="1">
      <c r="A1872" s="7">
        <v>63.0</v>
      </c>
      <c r="B1872" s="9" t="s">
        <v>3795</v>
      </c>
      <c r="C1872" s="9" t="s">
        <v>3796</v>
      </c>
      <c r="D1872" s="9" t="s">
        <v>93</v>
      </c>
      <c r="E1872" s="6" t="s">
        <v>3827</v>
      </c>
      <c r="F1872" s="9"/>
    </row>
    <row r="1873" ht="33.75" customHeight="1">
      <c r="A1873" s="7">
        <v>63.0</v>
      </c>
      <c r="B1873" s="9" t="s">
        <v>3795</v>
      </c>
      <c r="C1873" s="9" t="s">
        <v>3796</v>
      </c>
      <c r="D1873" s="9" t="s">
        <v>95</v>
      </c>
      <c r="E1873" s="6" t="s">
        <v>3827</v>
      </c>
      <c r="F1873" s="9"/>
    </row>
    <row r="1874" ht="33.75" customHeight="1">
      <c r="A1874" s="7">
        <v>63.0</v>
      </c>
      <c r="B1874" s="9" t="s">
        <v>3795</v>
      </c>
      <c r="C1874" s="9" t="s">
        <v>3796</v>
      </c>
      <c r="D1874" s="9" t="s">
        <v>98</v>
      </c>
      <c r="E1874" s="6" t="s">
        <v>3827</v>
      </c>
      <c r="F1874" s="9"/>
    </row>
    <row r="1875" ht="33.75" customHeight="1">
      <c r="A1875" s="7">
        <v>63.0</v>
      </c>
      <c r="B1875" s="9" t="s">
        <v>3795</v>
      </c>
      <c r="C1875" s="9" t="s">
        <v>3796</v>
      </c>
      <c r="D1875" s="9" t="s">
        <v>99</v>
      </c>
      <c r="E1875" s="6" t="s">
        <v>3827</v>
      </c>
      <c r="F1875" s="9"/>
    </row>
    <row r="1876" ht="33.75" customHeight="1">
      <c r="A1876" s="7">
        <v>63.0</v>
      </c>
      <c r="B1876" s="9" t="s">
        <v>3795</v>
      </c>
      <c r="C1876" s="9" t="s">
        <v>3796</v>
      </c>
      <c r="D1876" s="9" t="s">
        <v>101</v>
      </c>
      <c r="E1876" s="6" t="s">
        <v>3818</v>
      </c>
      <c r="F1876" s="9"/>
    </row>
    <row r="1877" ht="33.75" customHeight="1">
      <c r="A1877" s="7">
        <v>63.0</v>
      </c>
      <c r="B1877" s="9" t="s">
        <v>3795</v>
      </c>
      <c r="C1877" s="9" t="s">
        <v>3796</v>
      </c>
      <c r="D1877" s="9" t="s">
        <v>105</v>
      </c>
      <c r="E1877" s="6" t="s">
        <v>3830</v>
      </c>
      <c r="F1877" s="9"/>
    </row>
    <row r="1878" ht="33.75" customHeight="1">
      <c r="A1878" s="7">
        <v>63.0</v>
      </c>
      <c r="B1878" s="9" t="s">
        <v>3795</v>
      </c>
      <c r="C1878" s="9" t="s">
        <v>3796</v>
      </c>
      <c r="D1878" s="9" t="s">
        <v>107</v>
      </c>
      <c r="E1878" s="6" t="s">
        <v>3844</v>
      </c>
      <c r="F1878" s="9"/>
    </row>
    <row r="1879" ht="33.75" customHeight="1">
      <c r="A1879" s="7">
        <v>63.0</v>
      </c>
      <c r="B1879" s="9" t="s">
        <v>3795</v>
      </c>
      <c r="C1879" s="9" t="s">
        <v>3796</v>
      </c>
      <c r="D1879" s="9" t="s">
        <v>109</v>
      </c>
      <c r="E1879" s="6" t="s">
        <v>3847</v>
      </c>
      <c r="F1879" s="9"/>
    </row>
    <row r="1880" ht="33.75" customHeight="1">
      <c r="A1880" s="7">
        <v>63.0</v>
      </c>
      <c r="B1880" s="9" t="s">
        <v>3795</v>
      </c>
      <c r="C1880" s="9" t="s">
        <v>3796</v>
      </c>
      <c r="D1880" s="9" t="s">
        <v>637</v>
      </c>
      <c r="E1880" s="6" t="s">
        <v>3849</v>
      </c>
      <c r="F1880" s="9"/>
    </row>
    <row r="1881" ht="33.75" customHeight="1">
      <c r="A1881" s="7">
        <v>63.0</v>
      </c>
      <c r="B1881" s="9" t="s">
        <v>3795</v>
      </c>
      <c r="C1881" s="9" t="s">
        <v>3796</v>
      </c>
      <c r="D1881" s="9" t="s">
        <v>642</v>
      </c>
      <c r="E1881" s="6" t="s">
        <v>3852</v>
      </c>
      <c r="F1881" s="9"/>
    </row>
    <row r="1882" ht="33.75" customHeight="1">
      <c r="A1882" s="7">
        <v>63.0</v>
      </c>
      <c r="B1882" s="9" t="s">
        <v>3795</v>
      </c>
      <c r="C1882" s="9" t="s">
        <v>3796</v>
      </c>
      <c r="D1882" s="9" t="s">
        <v>647</v>
      </c>
      <c r="E1882" s="6" t="s">
        <v>3854</v>
      </c>
      <c r="F1882" s="9"/>
    </row>
    <row r="1883" ht="33.75" customHeight="1">
      <c r="A1883" s="7">
        <v>63.0</v>
      </c>
      <c r="B1883" s="9" t="s">
        <v>3795</v>
      </c>
      <c r="C1883" s="9" t="s">
        <v>3796</v>
      </c>
      <c r="D1883" s="9" t="s">
        <v>652</v>
      </c>
      <c r="E1883" s="6" t="s">
        <v>3856</v>
      </c>
      <c r="F1883" s="9"/>
    </row>
    <row r="1884" ht="33.75" customHeight="1">
      <c r="A1884" s="7">
        <v>63.0</v>
      </c>
      <c r="B1884" s="9" t="s">
        <v>3795</v>
      </c>
      <c r="C1884" s="9" t="s">
        <v>3796</v>
      </c>
      <c r="D1884" s="9" t="s">
        <v>111</v>
      </c>
      <c r="E1884" s="6" t="s">
        <v>3801</v>
      </c>
      <c r="F1884" s="9"/>
    </row>
    <row r="1885" ht="33.75" customHeight="1">
      <c r="A1885" s="7">
        <v>63.0</v>
      </c>
      <c r="B1885" s="9" t="s">
        <v>3795</v>
      </c>
      <c r="C1885" s="9" t="s">
        <v>3796</v>
      </c>
      <c r="D1885" s="9" t="s">
        <v>113</v>
      </c>
      <c r="E1885" s="6" t="s">
        <v>3801</v>
      </c>
      <c r="F1885" s="9"/>
    </row>
    <row r="1886" ht="33.75" customHeight="1">
      <c r="A1886" s="7">
        <v>63.0</v>
      </c>
      <c r="B1886" s="9" t="s">
        <v>3795</v>
      </c>
      <c r="C1886" s="9" t="s">
        <v>3796</v>
      </c>
      <c r="D1886" s="9" t="s">
        <v>114</v>
      </c>
      <c r="E1886" s="6" t="s">
        <v>3861</v>
      </c>
      <c r="F1886" s="9"/>
    </row>
    <row r="1887" ht="33.75" customHeight="1">
      <c r="A1887" s="7">
        <v>63.0</v>
      </c>
      <c r="B1887" s="9" t="s">
        <v>3795</v>
      </c>
      <c r="C1887" s="9" t="s">
        <v>3796</v>
      </c>
      <c r="D1887" s="9" t="s">
        <v>117</v>
      </c>
      <c r="E1887" s="6" t="s">
        <v>3864</v>
      </c>
      <c r="F1887" s="9"/>
    </row>
    <row r="1888" ht="33.75" customHeight="1">
      <c r="A1888" s="7">
        <v>63.0</v>
      </c>
      <c r="B1888" s="9" t="s">
        <v>3795</v>
      </c>
      <c r="C1888" s="9" t="s">
        <v>3796</v>
      </c>
      <c r="D1888" s="9" t="s">
        <v>1577</v>
      </c>
      <c r="E1888" s="6" t="s">
        <v>3866</v>
      </c>
      <c r="F1888" s="9"/>
    </row>
    <row r="1889" ht="33.75" customHeight="1">
      <c r="A1889" s="7">
        <v>64.0</v>
      </c>
      <c r="B1889" s="9" t="s">
        <v>3868</v>
      </c>
      <c r="C1889" s="9" t="s">
        <v>3796</v>
      </c>
      <c r="D1889" s="9" t="s">
        <v>24</v>
      </c>
      <c r="E1889" s="6" t="s">
        <v>3869</v>
      </c>
      <c r="F1889" t="inlineStr" s="10">
        <is>
          <t xml:space="preserve">Kadabra lähettää kehostaan ​​erityisiä alfa-aaltoja, jotka aiheuttavat päänsärkyä jo pelkästään lähellä ollessaan. Jos tämä POKéMON on lähellä, tapahtuu monia outoja asioita. Se esimerkiksi saa kellot käymään taaksepäin. Sillä on vahva henkinen voima. Mitä enemmän vaaraa se kohtaa, sitä vahvempi sen psyykkinen voima. Jos se käyttää kykyjään, se lähettää erityisiä alfa-aaltoja, jotka aiheuttavat koneiden toimintahäiriöitä. Kun se sulkee silmänsä, sen kehon pinnalta tulee ulos kaksi kertaa enemmän alfahiukkasia. KADABRA lähettää erikoisen alfa-aallon, jos sille tulee päänsärky. Vain erityisen vahvan psyyken omaavat ihmiset voivat toivoa pääsevänsä tämän POKéMONIN KOULUTTAJIKSI. KADABRA pitää kädessään hopealusikkaa. Lusikkaa käytetään vahvistamaan aivojen alfa-aaltoja. Ilman lusikkaa POKéMONin telekineettisten voimien sanotaan olevan rajoittuneet puoleen tavanomaisesta. Huhutaan, että psyykkisiä kykyjä omaava poika muuttui yhtäkkiä KADABRAksi auttaessaan ekstrasensoristen voimien tutkimuksessa. Se tapahtui eräänä aamuna - yliluonnollisten voimien omaava poika heräsi sängyssä muuttuneena KADABRAksi. Se lähettää kehostaan ​​erityisiä alfa-aaltoja, jotka aiheuttavat päänsärkyä jo pelkästään lähellä olemisesta. Jos sellainen on lähellä, televisioruutuihin ilmestyy aavemainen varjo. Varjon näkemisen sanotaan tuovan huonoa onnea. Kun se käyttää psyykkistä voimaansa, se lähettää voimakkaita ha-aaltoja, jotka voivat pilata tarkkuuslaitteita. Se tuijottaa hopealusikkaansa keskittyäkseen. Samalla se säteilee enemmän alfa-aaltoja. Kun se käyttää psyykkistä voimaansa, se lähettää voimakkaita alfa-aaltoja, jotka voivat pilata tarkkuuslaitteita. Ilman lusikkaa Pokémonin telekineettisten voimien sanotaan olevan puolet tavallisista. On olemassa teoria, jonka mukaan tämä Pokémon oli nuori poika, joka ei pystynyt hallitsemaan psyykkisiä voimiaan ja päätyi muuttumaan täksi Pokémoniksi. Kadabran läsnäolo saastuttaa televisiot ja näytöt kammottavilla varjoilla, jotka tuovat huonoa onnea. Se tuijottaa hopealusikkaa vahvistaakseen psyykkisiä voimiaan ennen kuin se päästää irti. Kultalusikat eivät ilmeisesti ole hyviä. Sillä on vahvat henkiset kyvyt, mutta sen psyykkiset voimat puolittuvat, kun se ei pidä kädessään hopealusikkaa. Kadabra leijuu nukkuessaan psyykkistä voimaansa käyttäen. Se käyttää joustavaa häntäänsä tyynynä. Tämän Pokémonin telekinesia on valtavan voimakas. Valmistautuakseen evoluutioon Kadabra varastoi psyykkistä energiaa otsassaan olevaan tähteen. Huhujen mukaan mystisiä voimia omaavasta lapsesta tuli Kadabra; tätä ei kuitenkaan ole vahvistettu. Epäilen, että Kadabran pitelemä lusikka vahvistaa sen aivoaaltoja.</t>
        </is>
      </c>
    </row>
    <row r="1890" ht="33.75" customHeight="1">
      <c r="A1890" s="7">
        <v>64.0</v>
      </c>
      <c r="B1890" s="9" t="s">
        <v>3868</v>
      </c>
      <c r="C1890" s="9" t="s">
        <v>3796</v>
      </c>
      <c r="D1890" s="9" t="s">
        <v>35</v>
      </c>
      <c r="E1890" s="6" t="s">
        <v>3869</v>
      </c>
      <c r="F1890" s="9"/>
    </row>
    <row r="1891" ht="33.75" customHeight="1">
      <c r="A1891" s="7">
        <v>64.0</v>
      </c>
      <c r="B1891" s="9" t="s">
        <v>3868</v>
      </c>
      <c r="C1891" s="9" t="s">
        <v>3796</v>
      </c>
      <c r="D1891" s="9" t="s">
        <v>42</v>
      </c>
      <c r="E1891" s="6" t="s">
        <v>3871</v>
      </c>
      <c r="F1891" s="9"/>
    </row>
    <row r="1892" ht="33.75" customHeight="1">
      <c r="A1892" s="7">
        <v>64.0</v>
      </c>
      <c r="B1892" s="9" t="s">
        <v>3868</v>
      </c>
      <c r="C1892" s="9" t="s">
        <v>3796</v>
      </c>
      <c r="D1892" s="9" t="s">
        <v>52</v>
      </c>
      <c r="E1892" s="6" t="s">
        <v>3874</v>
      </c>
      <c r="F1892" s="9"/>
    </row>
    <row r="1893" ht="33.75" customHeight="1">
      <c r="A1893" s="7">
        <v>64.0</v>
      </c>
      <c r="B1893" s="9" t="s">
        <v>3868</v>
      </c>
      <c r="C1893" s="9" t="s">
        <v>3796</v>
      </c>
      <c r="D1893" s="9" t="s">
        <v>59</v>
      </c>
      <c r="E1893" s="6" t="s">
        <v>3876</v>
      </c>
      <c r="F1893" s="9"/>
    </row>
    <row r="1894" ht="33.75" customHeight="1">
      <c r="A1894" s="7">
        <v>64.0</v>
      </c>
      <c r="B1894" s="9" t="s">
        <v>3868</v>
      </c>
      <c r="C1894" s="9" t="s">
        <v>3796</v>
      </c>
      <c r="D1894" s="9" t="s">
        <v>64</v>
      </c>
      <c r="E1894" s="6" t="s">
        <v>3879</v>
      </c>
      <c r="F1894" s="9"/>
    </row>
    <row r="1895" ht="33.75" customHeight="1">
      <c r="A1895" s="7">
        <v>64.0</v>
      </c>
      <c r="B1895" s="9" t="s">
        <v>3868</v>
      </c>
      <c r="C1895" s="9" t="s">
        <v>3796</v>
      </c>
      <c r="D1895" s="9" t="s">
        <v>67</v>
      </c>
      <c r="E1895" s="6" t="s">
        <v>3881</v>
      </c>
      <c r="F1895" s="9"/>
    </row>
    <row r="1896" ht="33.75" customHeight="1">
      <c r="A1896" s="7">
        <v>64.0</v>
      </c>
      <c r="B1896" s="9" t="s">
        <v>3868</v>
      </c>
      <c r="C1896" s="9" t="s">
        <v>3796</v>
      </c>
      <c r="D1896" s="9" t="s">
        <v>71</v>
      </c>
      <c r="E1896" s="6" t="s">
        <v>3883</v>
      </c>
      <c r="F1896" s="9"/>
    </row>
    <row r="1897" ht="33.75" customHeight="1">
      <c r="A1897" s="7">
        <v>64.0</v>
      </c>
      <c r="B1897" s="9" t="s">
        <v>3868</v>
      </c>
      <c r="C1897" s="9" t="s">
        <v>3796</v>
      </c>
      <c r="D1897" s="9" t="s">
        <v>73</v>
      </c>
      <c r="E1897" s="6" t="s">
        <v>3885</v>
      </c>
      <c r="F1897" s="9"/>
    </row>
    <row r="1898" ht="33.75" customHeight="1">
      <c r="A1898" s="7">
        <v>64.0</v>
      </c>
      <c r="B1898" s="9" t="s">
        <v>3868</v>
      </c>
      <c r="C1898" s="9" t="s">
        <v>3796</v>
      </c>
      <c r="D1898" s="9" t="s">
        <v>75</v>
      </c>
      <c r="E1898" s="6" t="s">
        <v>3886</v>
      </c>
      <c r="F1898" s="9"/>
    </row>
    <row r="1899" ht="33.75" customHeight="1">
      <c r="A1899" s="7">
        <v>64.0</v>
      </c>
      <c r="B1899" s="9" t="s">
        <v>3868</v>
      </c>
      <c r="C1899" s="9" t="s">
        <v>3796</v>
      </c>
      <c r="D1899" s="9" t="s">
        <v>79</v>
      </c>
      <c r="E1899" s="6" t="s">
        <v>3889</v>
      </c>
      <c r="F1899" s="9"/>
    </row>
    <row r="1900" ht="33.75" customHeight="1">
      <c r="A1900" s="7">
        <v>64.0</v>
      </c>
      <c r="B1900" s="9" t="s">
        <v>3868</v>
      </c>
      <c r="C1900" s="9" t="s">
        <v>3796</v>
      </c>
      <c r="D1900" s="9" t="s">
        <v>81</v>
      </c>
      <c r="E1900" s="6" t="s">
        <v>3891</v>
      </c>
      <c r="F1900" s="9"/>
    </row>
    <row r="1901" ht="33.75" customHeight="1">
      <c r="A1901" s="7">
        <v>64.0</v>
      </c>
      <c r="B1901" s="9" t="s">
        <v>3868</v>
      </c>
      <c r="C1901" s="9" t="s">
        <v>3796</v>
      </c>
      <c r="D1901" s="9" t="s">
        <v>84</v>
      </c>
      <c r="E1901" s="6" t="s">
        <v>3894</v>
      </c>
      <c r="F1901" s="9"/>
    </row>
    <row r="1902" ht="33.75" customHeight="1">
      <c r="A1902" s="7">
        <v>64.0</v>
      </c>
      <c r="B1902" s="9" t="s">
        <v>3868</v>
      </c>
      <c r="C1902" s="9" t="s">
        <v>3796</v>
      </c>
      <c r="D1902" s="9" t="s">
        <v>87</v>
      </c>
      <c r="E1902" s="6" t="s">
        <v>3896</v>
      </c>
      <c r="F1902" s="9"/>
    </row>
    <row r="1903" ht="33.75" customHeight="1">
      <c r="A1903" s="7">
        <v>64.0</v>
      </c>
      <c r="B1903" s="9" t="s">
        <v>3868</v>
      </c>
      <c r="C1903" s="9" t="s">
        <v>3796</v>
      </c>
      <c r="D1903" s="9" t="s">
        <v>89</v>
      </c>
      <c r="E1903" s="6" t="s">
        <v>3874</v>
      </c>
      <c r="F1903" s="9"/>
    </row>
    <row r="1904" ht="33.75" customHeight="1">
      <c r="A1904" s="7">
        <v>64.0</v>
      </c>
      <c r="B1904" s="9" t="s">
        <v>3868</v>
      </c>
      <c r="C1904" s="9" t="s">
        <v>3796</v>
      </c>
      <c r="D1904" s="9" t="s">
        <v>91</v>
      </c>
      <c r="E1904" s="6" t="s">
        <v>3876</v>
      </c>
      <c r="F1904" s="9"/>
    </row>
    <row r="1905" ht="33.75" customHeight="1">
      <c r="A1905" s="7">
        <v>64.0</v>
      </c>
      <c r="B1905" s="9" t="s">
        <v>3868</v>
      </c>
      <c r="C1905" s="9" t="s">
        <v>3796</v>
      </c>
      <c r="D1905" s="9" t="s">
        <v>93</v>
      </c>
      <c r="E1905" s="6" t="s">
        <v>3896</v>
      </c>
      <c r="F1905" s="9"/>
    </row>
    <row r="1906" ht="33.75" customHeight="1">
      <c r="A1906" s="7">
        <v>64.0</v>
      </c>
      <c r="B1906" s="9" t="s">
        <v>3868</v>
      </c>
      <c r="C1906" s="9" t="s">
        <v>3796</v>
      </c>
      <c r="D1906" s="9" t="s">
        <v>95</v>
      </c>
      <c r="E1906" s="6" t="s">
        <v>3896</v>
      </c>
      <c r="F1906" s="9"/>
    </row>
    <row r="1907" ht="33.75" customHeight="1">
      <c r="A1907" s="7">
        <v>64.0</v>
      </c>
      <c r="B1907" s="9" t="s">
        <v>3868</v>
      </c>
      <c r="C1907" s="9" t="s">
        <v>3796</v>
      </c>
      <c r="D1907" s="9" t="s">
        <v>98</v>
      </c>
      <c r="E1907" s="6" t="s">
        <v>3896</v>
      </c>
      <c r="F1907" s="9"/>
    </row>
    <row r="1908" ht="33.75" customHeight="1">
      <c r="A1908" s="7">
        <v>64.0</v>
      </c>
      <c r="B1908" s="9" t="s">
        <v>3868</v>
      </c>
      <c r="C1908" s="9" t="s">
        <v>3796</v>
      </c>
      <c r="D1908" s="9" t="s">
        <v>99</v>
      </c>
      <c r="E1908" s="6" t="s">
        <v>3896</v>
      </c>
      <c r="F1908" s="9"/>
    </row>
    <row r="1909" ht="33.75" customHeight="1">
      <c r="A1909" s="7">
        <v>64.0</v>
      </c>
      <c r="B1909" s="9" t="s">
        <v>3868</v>
      </c>
      <c r="C1909" s="9" t="s">
        <v>3796</v>
      </c>
      <c r="D1909" s="9" t="s">
        <v>101</v>
      </c>
      <c r="E1909" s="6" t="s">
        <v>3906</v>
      </c>
      <c r="F1909" s="9"/>
    </row>
    <row r="1910" ht="33.75" customHeight="1">
      <c r="A1910" s="7">
        <v>64.0</v>
      </c>
      <c r="B1910" s="9" t="s">
        <v>3868</v>
      </c>
      <c r="C1910" s="9" t="s">
        <v>3796</v>
      </c>
      <c r="D1910" s="9" t="s">
        <v>105</v>
      </c>
      <c r="E1910" s="6" t="s">
        <v>3876</v>
      </c>
      <c r="F1910" s="9"/>
    </row>
    <row r="1911" ht="33.75" customHeight="1">
      <c r="A1911" s="7">
        <v>64.0</v>
      </c>
      <c r="B1911" s="9" t="s">
        <v>3868</v>
      </c>
      <c r="C1911" s="9" t="s">
        <v>3796</v>
      </c>
      <c r="D1911" s="9" t="s">
        <v>107</v>
      </c>
      <c r="E1911" s="6" t="s">
        <v>3910</v>
      </c>
      <c r="F1911" s="9"/>
    </row>
    <row r="1912" ht="33.75" customHeight="1">
      <c r="A1912" s="7">
        <v>64.0</v>
      </c>
      <c r="B1912" s="9" t="s">
        <v>3868</v>
      </c>
      <c r="C1912" s="9" t="s">
        <v>3796</v>
      </c>
      <c r="D1912" s="9" t="s">
        <v>109</v>
      </c>
      <c r="E1912" s="6" t="s">
        <v>3912</v>
      </c>
      <c r="F1912" s="9"/>
    </row>
    <row r="1913" ht="33.75" customHeight="1">
      <c r="A1913" s="7">
        <v>64.0</v>
      </c>
      <c r="B1913" s="9" t="s">
        <v>3868</v>
      </c>
      <c r="C1913" s="9" t="s">
        <v>3796</v>
      </c>
      <c r="D1913" s="9" t="s">
        <v>637</v>
      </c>
      <c r="E1913" s="6" t="s">
        <v>3915</v>
      </c>
      <c r="F1913" s="9"/>
    </row>
    <row r="1914" ht="33.75" customHeight="1">
      <c r="A1914" s="7">
        <v>64.0</v>
      </c>
      <c r="B1914" s="9" t="s">
        <v>3868</v>
      </c>
      <c r="C1914" s="9" t="s">
        <v>3796</v>
      </c>
      <c r="D1914" s="9" t="s">
        <v>642</v>
      </c>
      <c r="E1914" s="6" t="s">
        <v>3918</v>
      </c>
      <c r="F1914" s="9"/>
    </row>
    <row r="1915" ht="33.75" customHeight="1">
      <c r="A1915" s="7">
        <v>64.0</v>
      </c>
      <c r="B1915" s="9" t="s">
        <v>3868</v>
      </c>
      <c r="C1915" s="9" t="s">
        <v>3796</v>
      </c>
      <c r="D1915" s="9" t="s">
        <v>647</v>
      </c>
      <c r="E1915" s="6" t="s">
        <v>3920</v>
      </c>
      <c r="F1915" s="9"/>
    </row>
    <row r="1916" ht="33.75" customHeight="1">
      <c r="A1916" s="7">
        <v>64.0</v>
      </c>
      <c r="B1916" s="9" t="s">
        <v>3868</v>
      </c>
      <c r="C1916" s="9" t="s">
        <v>3796</v>
      </c>
      <c r="D1916" s="9" t="s">
        <v>652</v>
      </c>
      <c r="E1916" s="6" t="s">
        <v>3923</v>
      </c>
      <c r="F1916" s="9"/>
    </row>
    <row r="1917" ht="33.75" customHeight="1">
      <c r="A1917" s="7">
        <v>64.0</v>
      </c>
      <c r="B1917" s="9" t="s">
        <v>3868</v>
      </c>
      <c r="C1917" s="9" t="s">
        <v>3796</v>
      </c>
      <c r="D1917" s="9" t="s">
        <v>111</v>
      </c>
      <c r="E1917" s="6" t="s">
        <v>3925</v>
      </c>
      <c r="F1917" s="9"/>
    </row>
    <row r="1918" ht="33.75" customHeight="1">
      <c r="A1918" s="7">
        <v>64.0</v>
      </c>
      <c r="B1918" s="9" t="s">
        <v>3868</v>
      </c>
      <c r="C1918" s="9" t="s">
        <v>3796</v>
      </c>
      <c r="D1918" s="9" t="s">
        <v>113</v>
      </c>
      <c r="E1918" s="6" t="s">
        <v>3925</v>
      </c>
      <c r="F1918" s="9"/>
    </row>
    <row r="1919" ht="33.75" customHeight="1">
      <c r="A1919" s="7">
        <v>64.0</v>
      </c>
      <c r="B1919" s="9" t="s">
        <v>3868</v>
      </c>
      <c r="C1919" s="9" t="s">
        <v>3796</v>
      </c>
      <c r="D1919" s="9" t="s">
        <v>114</v>
      </c>
      <c r="E1919" s="6" t="s">
        <v>3929</v>
      </c>
      <c r="F1919" s="9"/>
    </row>
    <row r="1920" ht="33.75" customHeight="1">
      <c r="A1920" s="7">
        <v>64.0</v>
      </c>
      <c r="B1920" s="9" t="s">
        <v>3868</v>
      </c>
      <c r="C1920" s="9" t="s">
        <v>3796</v>
      </c>
      <c r="D1920" s="9" t="s">
        <v>117</v>
      </c>
      <c r="E1920" s="6" t="s">
        <v>3931</v>
      </c>
      <c r="F1920" s="9"/>
    </row>
    <row r="1921" ht="33.75" customHeight="1">
      <c r="A1921" s="7">
        <v>64.0</v>
      </c>
      <c r="B1921" s="9" t="s">
        <v>3868</v>
      </c>
      <c r="C1921" s="9" t="s">
        <v>3796</v>
      </c>
      <c r="D1921" s="9" t="s">
        <v>1577</v>
      </c>
      <c r="E1921" s="6" t="s">
        <v>3934</v>
      </c>
      <c r="F1921" s="9"/>
    </row>
    <row r="1922" ht="33.75" customHeight="1">
      <c r="A1922" s="7">
        <v>65.0</v>
      </c>
      <c r="B1922" s="9" t="s">
        <v>3935</v>
      </c>
      <c r="C1922" s="9" t="s">
        <v>3796</v>
      </c>
      <c r="D1922" s="9" t="s">
        <v>24</v>
      </c>
      <c r="E1922" s="6" t="s">
        <v>3937</v>
      </c>
      <c r="F1922" t="inlineStr" s="10">
        <is>
          <t xml:space="preserve">Alakazamin aivot pystyvät suoriutumaan supertietokoneesta paremmin. Sen älykkyysosamäärän sanotaan olevan 5 000. POKéMON, joka pystyy muistamaan mitä tahansa. Se ei koskaan unohda oppimaansa – siksi tämä POKéMON on älykäs. Molempien silmien sulkeminen vahvistaa kaikkia muita aisteja. Tämä antaa sille mahdollisuuden käyttää kykyjään äärimmilleen. Sen aivosolut lisääntyvät jatkuvasti, kunnes se kuolee. Tämän seurauksena se muistaa kaiken. Sen älykkyysosamäärä on 5000. Se laskee monia asioita saadakseen etulyöntiaseman jokaisessa taistelussa. ALAKAZAMin aivot kasvavat jatkuvasti, mikä tekee sen päästä aivan liian raskaan kannateltavaksi kaulalla. Tämä POKéMON pitää päätään ylhäällä käyttämällä sen sijaan psykokineettisiä voimiaan. ALAKAZAMin aivot kasvavat jatkuvasti ja aivosolut lisääntyvät loputtomasti. Tämä hämmästyttävä aivotoiminta antaa tälle POKéMONille hämmästyttävän korkean, 5 000:n älykkyysosamäärän. Se muistaa perusteellisesti kaiken, mitä maailmassa on tapahtunut. Vaikka sillä on vahvat psyykkiset kyvyt ja korkea älykkyys, ALAKAZAMin lihakset ovat hyvin heikot. Se käyttää psyykkistä voimaa kehonsa liikuttamiseen. Se ei pidä fyysisistä hyökkäyksistä kovin paljon. Sen sijaan se käyttää vapaasti ylimääräisiä aistivoimia vihollisten kukistamiseen. Sen aivot pystyvät suoriutumaan paremmin kuin supertietokone. Sen älykkyysosamäärän sanotaan olevan noin 5 000. Sen erinomainen muisti antaa sille mahdollisuuden muistaa kaiken, mitä se on kokenut syntymästä lähtien. Sen älykkyysosamäärä ylittää 5 000. Sen pitkälle kehittynyt aivo on supertietokoneen veroinen. Se pystyy käyttämään kaikenlaisia ​​psyykkisiä kykyjä. Sen käsissä puristettujen lusikoiden sanotaan olevan sen psyykkisten voimien luomia. Tämä Pokémon pitää päätään ylhäällä käyttämällä psykokineettisiä voimiaan. Tämä hämmästyttävä aivojen ansiosta tälle Pokémonille on hämmästyttävän korkea, 5 000:n älykkyysosamäärä. Sillä on perusteellinen muisti kaikesta, mitä maailmassa on tapahtunut. Sen sanotaan omaavan noin 5 000 älykkyysosamäärän. Sen ylitsevuotavat psykokineettiset voimat aiheuttavat päänsärkyä kaikille lähellä oleville. Sen aivosolujen määrä kasvaa jatkuvasti kuolemaan asti. Mitä vanhempi Alakazam on, sitä suurempi sen pää. Alakazam käyttää psyykkisiä voimiaan valmistaakseen kantamansa lusikat. Jokainen lusikka on ainutlaatuinen, jollaisia ​​on vain yksi koko maailmassa. Jos se luottaa johonkuhun syvästi, se antaa hänelle yhden lusikoistaan. Kaikki, mitä syöt sillä lusikalla, on näennäisesti herkullista. Sillä on uskomattoman korkea älykkyys. Jotkut sanovat, että Alakazam muistaa kaiken, mitä sille tapahtuu, syntymästä kuolemaan. Alakazamin sanotaan käyttäneen voimakkaita psyykkisiä voimia luodakseen lusikat, joita se pitää kädessään. Mitä kauemmin Alakazam elää, sitä suuremmaksi ja painavammaksi sen pää muuttuu. Testimme ovat osoittaneet, että sen psyykkisten voimien vahvuus korreloi positiivisesti sen pään painon kanssa.</t>
        </is>
      </c>
    </row>
    <row r="1923" ht="33.75" customHeight="1">
      <c r="A1923" s="7">
        <v>65.0</v>
      </c>
      <c r="B1923" s="9" t="s">
        <v>3935</v>
      </c>
      <c r="C1923" s="9" t="s">
        <v>3796</v>
      </c>
      <c r="D1923" s="9" t="s">
        <v>35</v>
      </c>
      <c r="E1923" s="6" t="s">
        <v>3937</v>
      </c>
      <c r="F1923" s="9"/>
    </row>
    <row r="1924" ht="33.75" customHeight="1">
      <c r="A1924" s="7">
        <v>65.0</v>
      </c>
      <c r="B1924" s="9" t="s">
        <v>3935</v>
      </c>
      <c r="C1924" s="9" t="s">
        <v>3796</v>
      </c>
      <c r="D1924" s="9" t="s">
        <v>42</v>
      </c>
      <c r="E1924" s="6" t="s">
        <v>3941</v>
      </c>
      <c r="F1924" s="9"/>
    </row>
    <row r="1925" ht="33.75" customHeight="1">
      <c r="A1925" s="7">
        <v>65.0</v>
      </c>
      <c r="B1925" s="9" t="s">
        <v>3935</v>
      </c>
      <c r="C1925" s="9" t="s">
        <v>3796</v>
      </c>
      <c r="D1925" s="9" t="s">
        <v>52</v>
      </c>
      <c r="E1925" s="6" t="s">
        <v>3944</v>
      </c>
      <c r="F1925" s="9"/>
    </row>
    <row r="1926" ht="33.75" customHeight="1">
      <c r="A1926" s="7">
        <v>65.0</v>
      </c>
      <c r="B1926" s="9" t="s">
        <v>3935</v>
      </c>
      <c r="C1926" s="9" t="s">
        <v>3796</v>
      </c>
      <c r="D1926" s="9" t="s">
        <v>59</v>
      </c>
      <c r="E1926" s="6" t="s">
        <v>3946</v>
      </c>
      <c r="F1926" s="9"/>
    </row>
    <row r="1927" ht="33.75" customHeight="1">
      <c r="A1927" s="7">
        <v>65.0</v>
      </c>
      <c r="B1927" s="9" t="s">
        <v>3935</v>
      </c>
      <c r="C1927" s="9" t="s">
        <v>3796</v>
      </c>
      <c r="D1927" s="9" t="s">
        <v>64</v>
      </c>
      <c r="E1927" s="6" t="s">
        <v>3948</v>
      </c>
      <c r="F1927" s="9"/>
    </row>
    <row r="1928" ht="33.75" customHeight="1">
      <c r="A1928" s="7">
        <v>65.0</v>
      </c>
      <c r="B1928" s="9" t="s">
        <v>3935</v>
      </c>
      <c r="C1928" s="9" t="s">
        <v>3796</v>
      </c>
      <c r="D1928" s="9" t="s">
        <v>67</v>
      </c>
      <c r="E1928" s="6" t="s">
        <v>3951</v>
      </c>
      <c r="F1928" s="9"/>
    </row>
    <row r="1929" ht="33.75" customHeight="1">
      <c r="A1929" s="7">
        <v>65.0</v>
      </c>
      <c r="B1929" s="9" t="s">
        <v>3935</v>
      </c>
      <c r="C1929" s="9" t="s">
        <v>3796</v>
      </c>
      <c r="D1929" s="9" t="s">
        <v>71</v>
      </c>
      <c r="E1929" s="6" t="s">
        <v>3954</v>
      </c>
      <c r="F1929" s="9"/>
    </row>
    <row r="1930" ht="33.75" customHeight="1">
      <c r="A1930" s="7">
        <v>65.0</v>
      </c>
      <c r="B1930" s="9" t="s">
        <v>3935</v>
      </c>
      <c r="C1930" s="9" t="s">
        <v>3796</v>
      </c>
      <c r="D1930" s="9" t="s">
        <v>73</v>
      </c>
      <c r="E1930" s="6" t="s">
        <v>3956</v>
      </c>
      <c r="F1930" s="9"/>
    </row>
    <row r="1931" ht="33.75" customHeight="1">
      <c r="A1931" s="7">
        <v>65.0</v>
      </c>
      <c r="B1931" s="9" t="s">
        <v>3935</v>
      </c>
      <c r="C1931" s="9" t="s">
        <v>3796</v>
      </c>
      <c r="D1931" s="9" t="s">
        <v>75</v>
      </c>
      <c r="E1931" s="6" t="s">
        <v>3959</v>
      </c>
      <c r="F1931" s="9"/>
    </row>
    <row r="1932" ht="33.75" customHeight="1">
      <c r="A1932" s="7">
        <v>65.0</v>
      </c>
      <c r="B1932" s="9" t="s">
        <v>3935</v>
      </c>
      <c r="C1932" s="9" t="s">
        <v>3796</v>
      </c>
      <c r="D1932" s="9" t="s">
        <v>79</v>
      </c>
      <c r="E1932" s="6" t="s">
        <v>3961</v>
      </c>
      <c r="F1932" s="9"/>
    </row>
    <row r="1933" ht="33.75" customHeight="1">
      <c r="A1933" s="7">
        <v>65.0</v>
      </c>
      <c r="B1933" s="9" t="s">
        <v>3935</v>
      </c>
      <c r="C1933" s="9" t="s">
        <v>3796</v>
      </c>
      <c r="D1933" s="9" t="s">
        <v>81</v>
      </c>
      <c r="E1933" s="6" t="s">
        <v>3963</v>
      </c>
      <c r="F1933" s="9"/>
    </row>
    <row r="1934" ht="33.75" customHeight="1">
      <c r="A1934" s="7">
        <v>65.0</v>
      </c>
      <c r="B1934" s="9" t="s">
        <v>3935</v>
      </c>
      <c r="C1934" s="9" t="s">
        <v>3796</v>
      </c>
      <c r="D1934" s="9" t="s">
        <v>84</v>
      </c>
      <c r="E1934" s="6" t="s">
        <v>3966</v>
      </c>
      <c r="F1934" s="9"/>
    </row>
    <row r="1935" ht="33.75" customHeight="1">
      <c r="A1935" s="7">
        <v>65.0</v>
      </c>
      <c r="B1935" s="9" t="s">
        <v>3935</v>
      </c>
      <c r="C1935" s="9" t="s">
        <v>3796</v>
      </c>
      <c r="D1935" s="9" t="s">
        <v>87</v>
      </c>
      <c r="E1935" s="6" t="s">
        <v>3969</v>
      </c>
      <c r="F1935" s="9"/>
    </row>
    <row r="1936" ht="33.75" customHeight="1">
      <c r="A1936" s="7">
        <v>65.0</v>
      </c>
      <c r="B1936" s="9" t="s">
        <v>3935</v>
      </c>
      <c r="C1936" s="9" t="s">
        <v>3796</v>
      </c>
      <c r="D1936" s="9" t="s">
        <v>89</v>
      </c>
      <c r="E1936" s="6" t="s">
        <v>3944</v>
      </c>
      <c r="F1936" s="9"/>
    </row>
    <row r="1937" ht="33.75" customHeight="1">
      <c r="A1937" s="7">
        <v>65.0</v>
      </c>
      <c r="B1937" s="9" t="s">
        <v>3935</v>
      </c>
      <c r="C1937" s="9" t="s">
        <v>3796</v>
      </c>
      <c r="D1937" s="9" t="s">
        <v>91</v>
      </c>
      <c r="E1937" s="6" t="s">
        <v>3946</v>
      </c>
      <c r="F1937" s="9"/>
    </row>
    <row r="1938" ht="33.75" customHeight="1">
      <c r="A1938" s="7">
        <v>65.0</v>
      </c>
      <c r="B1938" s="9" t="s">
        <v>3935</v>
      </c>
      <c r="C1938" s="9" t="s">
        <v>3796</v>
      </c>
      <c r="D1938" s="9" t="s">
        <v>93</v>
      </c>
      <c r="E1938" s="6" t="s">
        <v>3969</v>
      </c>
      <c r="F1938" s="9"/>
    </row>
    <row r="1939" ht="33.75" customHeight="1">
      <c r="A1939" s="7">
        <v>65.0</v>
      </c>
      <c r="B1939" s="9" t="s">
        <v>3935</v>
      </c>
      <c r="C1939" s="9" t="s">
        <v>3796</v>
      </c>
      <c r="D1939" s="9" t="s">
        <v>95</v>
      </c>
      <c r="E1939" s="6" t="s">
        <v>3969</v>
      </c>
      <c r="F1939" s="9"/>
    </row>
    <row r="1940" ht="33.75" customHeight="1">
      <c r="A1940" s="7">
        <v>65.0</v>
      </c>
      <c r="B1940" s="9" t="s">
        <v>3935</v>
      </c>
      <c r="C1940" s="9" t="s">
        <v>3796</v>
      </c>
      <c r="D1940" s="9" t="s">
        <v>98</v>
      </c>
      <c r="E1940" s="6" t="s">
        <v>3969</v>
      </c>
      <c r="F1940" s="9"/>
    </row>
    <row r="1941" ht="33.75" customHeight="1">
      <c r="A1941" s="7">
        <v>65.0</v>
      </c>
      <c r="B1941" s="9" t="s">
        <v>3935</v>
      </c>
      <c r="C1941" s="9" t="s">
        <v>3796</v>
      </c>
      <c r="D1941" s="9" t="s">
        <v>99</v>
      </c>
      <c r="E1941" s="6" t="s">
        <v>3969</v>
      </c>
      <c r="F1941" s="9"/>
    </row>
    <row r="1942" ht="33.75" customHeight="1">
      <c r="A1942" s="7">
        <v>65.0</v>
      </c>
      <c r="B1942" s="9" t="s">
        <v>3935</v>
      </c>
      <c r="C1942" s="9" t="s">
        <v>3796</v>
      </c>
      <c r="D1942" s="9" t="s">
        <v>101</v>
      </c>
      <c r="E1942" s="6" t="s">
        <v>3946</v>
      </c>
      <c r="F1942" s="9"/>
    </row>
    <row r="1943" ht="33.75" customHeight="1">
      <c r="A1943" s="7">
        <v>65.0</v>
      </c>
      <c r="B1943" s="9" t="s">
        <v>3935</v>
      </c>
      <c r="C1943" s="9" t="s">
        <v>3796</v>
      </c>
      <c r="D1943" s="9" t="s">
        <v>105</v>
      </c>
      <c r="E1943" s="6" t="s">
        <v>3961</v>
      </c>
      <c r="F1943" s="9"/>
    </row>
    <row r="1944" ht="33.75" customHeight="1">
      <c r="A1944" s="7">
        <v>65.0</v>
      </c>
      <c r="B1944" s="9" t="s">
        <v>3935</v>
      </c>
      <c r="C1944" s="9" t="s">
        <v>3796</v>
      </c>
      <c r="D1944" s="9" t="s">
        <v>107</v>
      </c>
      <c r="E1944" s="6" t="s">
        <v>3982</v>
      </c>
      <c r="F1944" s="9"/>
    </row>
    <row r="1945" ht="33.75" customHeight="1">
      <c r="A1945" s="7">
        <v>65.0</v>
      </c>
      <c r="B1945" s="9" t="s">
        <v>3935</v>
      </c>
      <c r="C1945" s="9" t="s">
        <v>3796</v>
      </c>
      <c r="D1945" s="9" t="s">
        <v>109</v>
      </c>
      <c r="E1945" s="6" t="s">
        <v>3985</v>
      </c>
      <c r="F1945" s="9"/>
    </row>
    <row r="1946" ht="33.75" customHeight="1">
      <c r="A1946" s="7">
        <v>65.0</v>
      </c>
      <c r="B1946" s="9" t="s">
        <v>3935</v>
      </c>
      <c r="C1946" s="9" t="s">
        <v>3796</v>
      </c>
      <c r="D1946" s="9" t="s">
        <v>637</v>
      </c>
      <c r="E1946" s="6" t="s">
        <v>3988</v>
      </c>
      <c r="F1946" s="9"/>
    </row>
    <row r="1947" ht="33.75" customHeight="1">
      <c r="A1947" s="7">
        <v>65.0</v>
      </c>
      <c r="B1947" s="9" t="s">
        <v>3935</v>
      </c>
      <c r="C1947" s="9" t="s">
        <v>3796</v>
      </c>
      <c r="D1947" s="9" t="s">
        <v>642</v>
      </c>
      <c r="E1947" s="6" t="s">
        <v>3989</v>
      </c>
      <c r="F1947" s="9"/>
    </row>
    <row r="1948" ht="33.75" customHeight="1">
      <c r="A1948" s="7">
        <v>65.0</v>
      </c>
      <c r="B1948" s="9" t="s">
        <v>3935</v>
      </c>
      <c r="C1948" s="9" t="s">
        <v>3796</v>
      </c>
      <c r="D1948" s="9" t="s">
        <v>647</v>
      </c>
      <c r="E1948" s="6" t="s">
        <v>3991</v>
      </c>
      <c r="F1948" s="9"/>
    </row>
    <row r="1949" ht="33.75" customHeight="1">
      <c r="A1949" s="7">
        <v>65.0</v>
      </c>
      <c r="B1949" s="9" t="s">
        <v>3935</v>
      </c>
      <c r="C1949" s="9" t="s">
        <v>3796</v>
      </c>
      <c r="D1949" s="9" t="s">
        <v>652</v>
      </c>
      <c r="E1949" s="6" t="s">
        <v>3993</v>
      </c>
      <c r="F1949" s="9"/>
    </row>
    <row r="1950" ht="33.75" customHeight="1">
      <c r="A1950" s="7">
        <v>65.0</v>
      </c>
      <c r="B1950" s="9" t="s">
        <v>3935</v>
      </c>
      <c r="C1950" s="9" t="s">
        <v>3796</v>
      </c>
      <c r="D1950" s="9" t="s">
        <v>111</v>
      </c>
      <c r="E1950" s="6" t="s">
        <v>3996</v>
      </c>
      <c r="F1950" s="9"/>
    </row>
    <row r="1951" ht="33.75" customHeight="1">
      <c r="A1951" s="7">
        <v>65.0</v>
      </c>
      <c r="B1951" s="9" t="s">
        <v>3935</v>
      </c>
      <c r="C1951" s="9" t="s">
        <v>3796</v>
      </c>
      <c r="D1951" s="9" t="s">
        <v>113</v>
      </c>
      <c r="E1951" s="6" t="s">
        <v>3996</v>
      </c>
      <c r="F1951" s="9"/>
    </row>
    <row r="1952" ht="33.75" customHeight="1">
      <c r="A1952" s="7">
        <v>65.0</v>
      </c>
      <c r="B1952" s="9" t="s">
        <v>3935</v>
      </c>
      <c r="C1952" s="9" t="s">
        <v>3796</v>
      </c>
      <c r="D1952" s="9" t="s">
        <v>114</v>
      </c>
      <c r="E1952" s="6" t="s">
        <v>3999</v>
      </c>
      <c r="F1952" s="9"/>
    </row>
    <row r="1953" ht="33.75" customHeight="1">
      <c r="A1953" s="7">
        <v>65.0</v>
      </c>
      <c r="B1953" s="9" t="s">
        <v>3935</v>
      </c>
      <c r="C1953" s="9" t="s">
        <v>3796</v>
      </c>
      <c r="D1953" s="9" t="s">
        <v>117</v>
      </c>
      <c r="E1953" s="6" t="s">
        <v>4000</v>
      </c>
      <c r="F1953" s="9"/>
    </row>
    <row r="1954" ht="33.75" customHeight="1">
      <c r="A1954" s="7">
        <v>65.0</v>
      </c>
      <c r="B1954" s="9" t="s">
        <v>3935</v>
      </c>
      <c r="C1954" s="9" t="s">
        <v>3796</v>
      </c>
      <c r="D1954" s="9" t="s">
        <v>1577</v>
      </c>
      <c r="E1954" s="6" t="s">
        <v>4002</v>
      </c>
      <c r="F1954" s="9"/>
    </row>
    <row r="1955" ht="33.75" customHeight="1">
      <c r="A1955" s="7">
        <v>66.0</v>
      </c>
      <c r="B1955" s="9" t="s">
        <v>4003</v>
      </c>
      <c r="C1955" s="9" t="s">
        <v>4005</v>
      </c>
      <c r="D1955" s="9" t="s">
        <v>24</v>
      </c>
      <c r="E1955" s="6" t="s">
        <v>4006</v>
      </c>
      <c r="F1955" t="inlineStr" s="10">
        <is>
          <t xml:space="preserve">Rakastaa lihasten kasvattamista. Se harjoittelee kaikissa kamppailulajityyleissä tullakseen entistä vahvemmaksi. Erittäin voimakas pienestä koostaan ​​huolimatta. Sen monien kamppailulajien hallinta tekee siitä erittäin sitkeän. Aina voimaa pursuava se kuluttaa aikaa nostamalla lohkareita. Näin se vahvistuu entisestään. Se rakastaa treenaamista ja lihasten kasvattamista. Se ei ole koskaan tyytyväinen, vaikka se treenaisi kovaa koko päivän. Se harjoittelee nostamalla kiviä vuorilla. Se voi jopa poimia sora-alustansa helposti. MACHOPin lihakset ovat erityiset – ne eivät koskaan kipeydy, vaikka niitä kuinka paljon liikunnassa käytettäisiin. Tällä POKéMONilla on riittävästi voimaa sinkoamaan sata aikuista ihmistä. MACHOP harjoittelee nostamalla GRAVELER-tankoa kuin se olisi levytanko. Jotkut MACHOPit matkustavat ympäri maailmaa pyrkiessään hallitsemaan kaikenlaisia ​​kamppailulajeja. Se harjoittelee jatkuvasti raskasta työtä hallitakseen kaikki kamppailulajit. Voimansa ansiosta se voi helposti nostaa sumopainijan harteilleen. Sen koko ruumis koostuu lihaksista. Vaikka se on ihmislapsen kokoinen, se voi sinkoutua 100 aikuista. Se nostaa GRAVELER-kivääriä toistuvasti vahvistaakseen koko kehoaan. Se käyttää kaikkia kamppailulajeja. Sen lihakset eivät koskaan kramppaa, vaikka se kuinka paljon harjoittelisi. Se elää vuoristossa erillään ihmisistä. Vaikka se on pienikokoinen, se on tarpeeksi tehokas nostamaan ja heittämään helposti useita GEODUDE-yksiköitä kerralla. Vaikka se on pienikokoinen, se on tarpeeksi tehokas nostamaan ja heittämään helposti useita Geodudeja kerralla. Se nostaa Graveleria toistuvasti vahvistaakseen koko kehoaan. Machop harjoittelee nostamalla Graveleria kuin se olisi levytanko. Jotkut Machop-harrastajat matkustavat ympäri maailmaa pyrkiessään hallitsemaan kaikenlaisia ​​kamppailulajeja. Se rakastaa treenaamista. Katsellessaan lihaksiaan, jotka turpoavat päivä päivältä, se omistautuu yhä enemmän harjoittelulleen. Yli-inhimillisillä voimillaan se pystyy heittämään sata ihmistä samanaikaisesti. Sen voima tulee Gravelerin nostamisesta joka päivä. Kun tämä Pokémon on saanut tarpeeksi itseluottamusta ja lihaksia ystäviensä kanssa harjoitellessaan, se haastaa Makuhitan taisteluun. Se pitää erittäin ravitsevasta ruoasta, koska sen vaistot ajavat sitä rakentamaan lihaksia tehokkaasti. Vaikka se on lapsen kokoinen, sillä on tarpeeksi voimaa heittää helposti vankkarakenteisen aikuisen. Pyrkiessään tulemaan yhä vahvemmaksi, Machop harjoittelee kantamalla Graveleria harteillaan.</t>
        </is>
      </c>
    </row>
    <row r="1956" ht="33.75" customHeight="1">
      <c r="A1956" s="7">
        <v>66.0</v>
      </c>
      <c r="B1956" s="9" t="s">
        <v>4003</v>
      </c>
      <c r="C1956" s="9" t="s">
        <v>4005</v>
      </c>
      <c r="D1956" s="9" t="s">
        <v>35</v>
      </c>
      <c r="E1956" s="6" t="s">
        <v>4006</v>
      </c>
      <c r="F1956" s="9"/>
    </row>
    <row r="1957" ht="33.75" customHeight="1">
      <c r="A1957" s="7">
        <v>66.0</v>
      </c>
      <c r="B1957" s="9" t="s">
        <v>4003</v>
      </c>
      <c r="C1957" s="9" t="s">
        <v>4005</v>
      </c>
      <c r="D1957" s="9" t="s">
        <v>42</v>
      </c>
      <c r="E1957" s="6" t="s">
        <v>4008</v>
      </c>
      <c r="F1957" s="9"/>
    </row>
    <row r="1958" ht="33.75" customHeight="1">
      <c r="A1958" s="7">
        <v>66.0</v>
      </c>
      <c r="B1958" s="9" t="s">
        <v>4003</v>
      </c>
      <c r="C1958" s="9" t="s">
        <v>4005</v>
      </c>
      <c r="D1958" s="9" t="s">
        <v>52</v>
      </c>
      <c r="E1958" s="6" t="s">
        <v>4011</v>
      </c>
      <c r="F1958" s="9"/>
    </row>
    <row r="1959" ht="33.75" customHeight="1">
      <c r="A1959" s="7">
        <v>66.0</v>
      </c>
      <c r="B1959" s="9" t="s">
        <v>4003</v>
      </c>
      <c r="C1959" s="9" t="s">
        <v>4005</v>
      </c>
      <c r="D1959" s="9" t="s">
        <v>59</v>
      </c>
      <c r="E1959" s="6" t="s">
        <v>4013</v>
      </c>
      <c r="F1959" s="9"/>
    </row>
    <row r="1960" ht="33.75" customHeight="1">
      <c r="A1960" s="7">
        <v>66.0</v>
      </c>
      <c r="B1960" s="9" t="s">
        <v>4003</v>
      </c>
      <c r="C1960" s="9" t="s">
        <v>4005</v>
      </c>
      <c r="D1960" s="9" t="s">
        <v>64</v>
      </c>
      <c r="E1960" s="6" t="s">
        <v>4015</v>
      </c>
      <c r="F1960" s="9"/>
    </row>
    <row r="1961" ht="33.75" customHeight="1">
      <c r="A1961" s="7">
        <v>66.0</v>
      </c>
      <c r="B1961" s="9" t="s">
        <v>4003</v>
      </c>
      <c r="C1961" s="9" t="s">
        <v>4005</v>
      </c>
      <c r="D1961" s="9" t="s">
        <v>67</v>
      </c>
      <c r="E1961" s="6" t="s">
        <v>4018</v>
      </c>
      <c r="F1961" s="9"/>
    </row>
    <row r="1962" ht="33.75" customHeight="1">
      <c r="A1962" s="7">
        <v>66.0</v>
      </c>
      <c r="B1962" s="9" t="s">
        <v>4003</v>
      </c>
      <c r="C1962" s="9" t="s">
        <v>4005</v>
      </c>
      <c r="D1962" s="9" t="s">
        <v>71</v>
      </c>
      <c r="E1962" s="6" t="s">
        <v>4020</v>
      </c>
      <c r="F1962" s="9"/>
    </row>
    <row r="1963" ht="33.75" customHeight="1">
      <c r="A1963" s="7">
        <v>66.0</v>
      </c>
      <c r="B1963" s="9" t="s">
        <v>4003</v>
      </c>
      <c r="C1963" s="9" t="s">
        <v>4005</v>
      </c>
      <c r="D1963" s="9" t="s">
        <v>73</v>
      </c>
      <c r="E1963" s="6" t="s">
        <v>4022</v>
      </c>
      <c r="F1963" s="9"/>
    </row>
    <row r="1964" ht="33.75" customHeight="1">
      <c r="A1964" s="7">
        <v>66.0</v>
      </c>
      <c r="B1964" s="9" t="s">
        <v>4003</v>
      </c>
      <c r="C1964" s="9" t="s">
        <v>4005</v>
      </c>
      <c r="D1964" s="9" t="s">
        <v>75</v>
      </c>
      <c r="E1964" s="6" t="s">
        <v>4025</v>
      </c>
      <c r="F1964" s="9"/>
    </row>
    <row r="1965" ht="33.75" customHeight="1">
      <c r="A1965" s="7">
        <v>66.0</v>
      </c>
      <c r="B1965" s="9" t="s">
        <v>4003</v>
      </c>
      <c r="C1965" s="9" t="s">
        <v>4005</v>
      </c>
      <c r="D1965" s="9" t="s">
        <v>79</v>
      </c>
      <c r="E1965" s="6" t="s">
        <v>4006</v>
      </c>
      <c r="F1965" s="9"/>
    </row>
    <row r="1966" ht="33.75" customHeight="1">
      <c r="A1966" s="7">
        <v>66.0</v>
      </c>
      <c r="B1966" s="9" t="s">
        <v>4003</v>
      </c>
      <c r="C1966" s="9" t="s">
        <v>4005</v>
      </c>
      <c r="D1966" s="9" t="s">
        <v>81</v>
      </c>
      <c r="E1966" s="6" t="s">
        <v>4029</v>
      </c>
      <c r="F1966" s="9"/>
    </row>
    <row r="1967" ht="33.75" customHeight="1">
      <c r="A1967" s="7">
        <v>66.0</v>
      </c>
      <c r="B1967" s="9" t="s">
        <v>4003</v>
      </c>
      <c r="C1967" s="9" t="s">
        <v>4005</v>
      </c>
      <c r="D1967" s="9" t="s">
        <v>84</v>
      </c>
      <c r="E1967" s="6" t="s">
        <v>4032</v>
      </c>
      <c r="F1967" s="9"/>
    </row>
    <row r="1968" ht="33.75" customHeight="1">
      <c r="A1968" s="7">
        <v>66.0</v>
      </c>
      <c r="B1968" s="9" t="s">
        <v>4003</v>
      </c>
      <c r="C1968" s="9" t="s">
        <v>4005</v>
      </c>
      <c r="D1968" s="9" t="s">
        <v>87</v>
      </c>
      <c r="E1968" s="6" t="s">
        <v>4034</v>
      </c>
      <c r="F1968" s="9"/>
    </row>
    <row r="1969" ht="33.75" customHeight="1">
      <c r="A1969" s="7">
        <v>66.0</v>
      </c>
      <c r="B1969" s="9" t="s">
        <v>4003</v>
      </c>
      <c r="C1969" s="9" t="s">
        <v>4005</v>
      </c>
      <c r="D1969" s="9" t="s">
        <v>89</v>
      </c>
      <c r="E1969" s="6" t="s">
        <v>4011</v>
      </c>
      <c r="F1969" s="9"/>
    </row>
    <row r="1970" ht="33.75" customHeight="1">
      <c r="A1970" s="7">
        <v>66.0</v>
      </c>
      <c r="B1970" s="9" t="s">
        <v>4003</v>
      </c>
      <c r="C1970" s="9" t="s">
        <v>4005</v>
      </c>
      <c r="D1970" s="9" t="s">
        <v>91</v>
      </c>
      <c r="E1970" s="6" t="s">
        <v>4013</v>
      </c>
      <c r="F1970" s="9"/>
    </row>
    <row r="1971" ht="33.75" customHeight="1">
      <c r="A1971" s="7">
        <v>66.0</v>
      </c>
      <c r="B1971" s="9" t="s">
        <v>4003</v>
      </c>
      <c r="C1971" s="9" t="s">
        <v>4005</v>
      </c>
      <c r="D1971" s="9" t="s">
        <v>93</v>
      </c>
      <c r="E1971" s="6" t="s">
        <v>4039</v>
      </c>
      <c r="F1971" s="9"/>
    </row>
    <row r="1972" ht="33.75" customHeight="1">
      <c r="A1972" s="7">
        <v>66.0</v>
      </c>
      <c r="B1972" s="9" t="s">
        <v>4003</v>
      </c>
      <c r="C1972" s="9" t="s">
        <v>4005</v>
      </c>
      <c r="D1972" s="9" t="s">
        <v>95</v>
      </c>
      <c r="E1972" s="6" t="s">
        <v>4039</v>
      </c>
      <c r="F1972" s="9"/>
    </row>
    <row r="1973" ht="33.75" customHeight="1">
      <c r="A1973" s="7">
        <v>66.0</v>
      </c>
      <c r="B1973" s="9" t="s">
        <v>4003</v>
      </c>
      <c r="C1973" s="9" t="s">
        <v>4005</v>
      </c>
      <c r="D1973" s="9" t="s">
        <v>98</v>
      </c>
      <c r="E1973" s="6" t="s">
        <v>4039</v>
      </c>
      <c r="F1973" s="9"/>
    </row>
    <row r="1974" ht="33.75" customHeight="1">
      <c r="A1974" s="7">
        <v>66.0</v>
      </c>
      <c r="B1974" s="9" t="s">
        <v>4003</v>
      </c>
      <c r="C1974" s="9" t="s">
        <v>4005</v>
      </c>
      <c r="D1974" s="9" t="s">
        <v>99</v>
      </c>
      <c r="E1974" s="6" t="s">
        <v>4039</v>
      </c>
      <c r="F1974" s="9"/>
    </row>
    <row r="1975" ht="33.75" customHeight="1">
      <c r="A1975" s="7">
        <v>66.0</v>
      </c>
      <c r="B1975" s="9" t="s">
        <v>4003</v>
      </c>
      <c r="C1975" s="9" t="s">
        <v>4005</v>
      </c>
      <c r="D1975" s="9" t="s">
        <v>101</v>
      </c>
      <c r="E1975" s="6" t="s">
        <v>4046</v>
      </c>
      <c r="F1975" s="9"/>
    </row>
    <row r="1976" ht="33.75" customHeight="1">
      <c r="A1976" s="7">
        <v>66.0</v>
      </c>
      <c r="B1976" s="9" t="s">
        <v>4003</v>
      </c>
      <c r="C1976" s="9" t="s">
        <v>4005</v>
      </c>
      <c r="D1976" s="9" t="s">
        <v>105</v>
      </c>
      <c r="E1976" s="6" t="s">
        <v>4025</v>
      </c>
      <c r="F1976" s="9"/>
    </row>
    <row r="1977" ht="33.75" customHeight="1">
      <c r="A1977" s="7">
        <v>66.0</v>
      </c>
      <c r="B1977" s="9" t="s">
        <v>4003</v>
      </c>
      <c r="C1977" s="9" t="s">
        <v>4005</v>
      </c>
      <c r="D1977" s="9" t="s">
        <v>107</v>
      </c>
      <c r="E1977" s="6" t="s">
        <v>4051</v>
      </c>
      <c r="F1977" s="9"/>
    </row>
    <row r="1978" ht="33.75" customHeight="1">
      <c r="A1978" s="7">
        <v>66.0</v>
      </c>
      <c r="B1978" s="9" t="s">
        <v>4003</v>
      </c>
      <c r="C1978" s="9" t="s">
        <v>4005</v>
      </c>
      <c r="D1978" s="9" t="s">
        <v>109</v>
      </c>
      <c r="E1978" s="6" t="s">
        <v>4054</v>
      </c>
      <c r="F1978" s="9"/>
    </row>
    <row r="1979" ht="33.75" customHeight="1">
      <c r="A1979" s="7">
        <v>66.0</v>
      </c>
      <c r="B1979" s="9" t="s">
        <v>4003</v>
      </c>
      <c r="C1979" s="9" t="s">
        <v>4005</v>
      </c>
      <c r="D1979" s="9" t="s">
        <v>637</v>
      </c>
      <c r="E1979" s="6" t="s">
        <v>4057</v>
      </c>
      <c r="F1979" s="9"/>
    </row>
    <row r="1980" ht="33.75" customHeight="1">
      <c r="A1980" s="7">
        <v>66.0</v>
      </c>
      <c r="B1980" s="9" t="s">
        <v>4003</v>
      </c>
      <c r="C1980" s="9" t="s">
        <v>4005</v>
      </c>
      <c r="D1980" s="9" t="s">
        <v>642</v>
      </c>
      <c r="E1980" s="6" t="s">
        <v>4059</v>
      </c>
      <c r="F1980" s="9"/>
    </row>
    <row r="1981" ht="33.75" customHeight="1">
      <c r="A1981" s="7">
        <v>66.0</v>
      </c>
      <c r="B1981" s="9" t="s">
        <v>4003</v>
      </c>
      <c r="C1981" s="9" t="s">
        <v>4005</v>
      </c>
      <c r="D1981" s="9" t="s">
        <v>647</v>
      </c>
      <c r="E1981" s="6" t="s">
        <v>4061</v>
      </c>
      <c r="F1981" s="9"/>
    </row>
    <row r="1982" ht="33.75" customHeight="1">
      <c r="A1982" s="7">
        <v>66.0</v>
      </c>
      <c r="B1982" s="9" t="s">
        <v>4003</v>
      </c>
      <c r="C1982" s="9" t="s">
        <v>4005</v>
      </c>
      <c r="D1982" s="9" t="s">
        <v>652</v>
      </c>
      <c r="E1982" s="6" t="s">
        <v>4064</v>
      </c>
      <c r="F1982" s="9"/>
    </row>
    <row r="1983" ht="33.75" customHeight="1">
      <c r="A1983" s="7">
        <v>66.0</v>
      </c>
      <c r="B1983" s="9" t="s">
        <v>4003</v>
      </c>
      <c r="C1983" s="9" t="s">
        <v>4005</v>
      </c>
      <c r="D1983" s="9" t="s">
        <v>111</v>
      </c>
      <c r="E1983" s="6" t="s">
        <v>4008</v>
      </c>
      <c r="F1983" s="9"/>
    </row>
    <row r="1984" ht="33.75" customHeight="1">
      <c r="A1984" s="7">
        <v>66.0</v>
      </c>
      <c r="B1984" s="9" t="s">
        <v>4003</v>
      </c>
      <c r="C1984" s="9" t="s">
        <v>4005</v>
      </c>
      <c r="D1984" s="9" t="s">
        <v>113</v>
      </c>
      <c r="E1984" s="6" t="s">
        <v>4008</v>
      </c>
      <c r="F1984" s="9"/>
    </row>
    <row r="1985" ht="33.75" customHeight="1">
      <c r="A1985" s="7">
        <v>66.0</v>
      </c>
      <c r="B1985" s="9" t="s">
        <v>4003</v>
      </c>
      <c r="C1985" s="9" t="s">
        <v>4005</v>
      </c>
      <c r="D1985" s="9" t="s">
        <v>114</v>
      </c>
      <c r="E1985" s="6" t="s">
        <v>4025</v>
      </c>
      <c r="F1985" s="9"/>
    </row>
    <row r="1986" ht="33.75" customHeight="1">
      <c r="A1986" s="7">
        <v>66.0</v>
      </c>
      <c r="B1986" s="9" t="s">
        <v>4003</v>
      </c>
      <c r="C1986" s="9" t="s">
        <v>4005</v>
      </c>
      <c r="D1986" s="9" t="s">
        <v>117</v>
      </c>
      <c r="E1986" s="6" t="s">
        <v>4011</v>
      </c>
      <c r="F1986" s="9"/>
    </row>
    <row r="1987" ht="33.75" customHeight="1">
      <c r="A1987" s="7">
        <v>66.0</v>
      </c>
      <c r="B1987" s="9" t="s">
        <v>4003</v>
      </c>
      <c r="C1987" s="9" t="s">
        <v>4005</v>
      </c>
      <c r="D1987" s="9" t="s">
        <v>1577</v>
      </c>
      <c r="E1987" s="6" t="s">
        <v>4071</v>
      </c>
      <c r="F1987" s="9"/>
    </row>
    <row r="1988" ht="33.75" customHeight="1">
      <c r="A1988" s="7">
        <v>67.0</v>
      </c>
      <c r="B1988" s="9" t="s">
        <v>4073</v>
      </c>
      <c r="C1988" s="9" t="s">
        <v>4005</v>
      </c>
      <c r="D1988" s="9" t="s">
        <v>24</v>
      </c>
      <c r="E1988" s="6" t="s">
        <v>4074</v>
      </c>
      <c r="F1988" t="inlineStr" s="10">
        <is>
          <t xml:space="preserve">Machoken lihaksikas ruumis on niin voimakas, että sen on käytettävä energiansäästövyötä voidakseen säädellä liikkeitään. Vyötäröllä oleva vyö pidättelee sen energiaa. Ilman sitä tämä POKéMON olisi pysäyttämätön. Se toimii aina täydellä tehollaan, mutta tämä erittäin kestävä ja lujatekoinen POKéMON ei koskaan väsy. Sen vartaloa peittävät lihakset ovat täynnä voimaa. Jopa paikallaan ollessaan se huokuu hämmästyttävää voiman tunnetta. Tämä kova POKéMON pysyy aina taistelukentällä. Sen lihakset paksuuntuvat jokaisen taistelun jälkeen. MACHOKEN läpikotaisin treenatut lihakset ovat teräksen kovia. Tällä POKéMONilla on niin paljon voimaa, että se voi helposti pitää sumopainijan ilmassa yhdellä sormella. MACHOKE tekee kehonrakennustöitä joka päivä, vaikka se auttaakin ihmisiä fyysisesti vaativassa työssä. Vapaapäivinään tämä POKéMON suuntaa pelloille ja vuorille kuntoilemaan ja harjoittelemaan. MACHOKE käyttää vyötä pitääkseen ylivoimaisen voimansa kurissa. Koska se on niin vaarallista, kukaan ei ole koskaan ottanut vyötä pois. Sen mahtava ruumis ei koskaan väsy. Se auttaa ihmisiä esimerkiksi raskaiden tavaroiden siirtämisessä. Sen lihaksikas ruumis on niin voimakas, että sen on käytettävä voimansäästövyötä voidakseen säädellä liikkeitään. MACHOKEN rajaton voima on erittäin vaarallinen, joten se käyttää vyötä, joka tukahduttaa sen energian. Se voi nostaa kippiauton yhdellä kädellä. Tämän voiman avulla se auttaa ihmisiä raskaissa töissä. Se kantaa mielellään raskaita tavaroita karaistuakseen. Se tekee mielellään kovaa työtä ihmisten puolesta. Se toimii aina täydellä tehollaan, mutta tämä erittäin kova ja kestävä Pokémon ei koskaan väsy. Sen vartaloa peittävät lihakset pursuavat voimaa. Machoken läpikotaisin kiinteytetyt lihakset ovat teräksen kovia. Vapaapäivinään tämä Pokémon suuntaa pelloille ja vuorille treenaamaan ja liikkumaan. Jatkuvien harjoittelujensa tuloksena se on kehittänyt valtavan voiman. Se käyttää tätä voimaa auttaakseen ihmisiä heidän työssään. Se auttaa mielellään raskaassa työssä, koska se tietää työnsä olevan hyvää harjoitusta sen lihaksille. Kohdatessaan todella mahtavan vihollisen, tämä Pokémon poistaa voimansäästövyön vyötäröltään ja vapauttaa täyden voimansa. Suosittu veistosaihe, sen uskomattoman hyvin kehittyneet lihakset ovat valloittaneet monien taiteilijoiden mielikuvituksen. Vyötärönsä ympärillä oleva vyö pidättelee sen energiaa. Vankkarakenteinen ja rajattoman kestävä olento. Rakastaa harjoittelua yli kaiken ja avustaa vapaaehtoisesti esimerkiksi rakennustöissä ja maanraivauksessa.</t>
        </is>
      </c>
    </row>
    <row r="1989" ht="33.75" customHeight="1">
      <c r="A1989" s="7">
        <v>67.0</v>
      </c>
      <c r="B1989" s="9" t="s">
        <v>4073</v>
      </c>
      <c r="C1989" s="9" t="s">
        <v>4005</v>
      </c>
      <c r="D1989" s="9" t="s">
        <v>35</v>
      </c>
      <c r="E1989" s="6" t="s">
        <v>4074</v>
      </c>
      <c r="F1989" s="9"/>
    </row>
    <row r="1990" ht="33.75" customHeight="1">
      <c r="A1990" s="7">
        <v>67.0</v>
      </c>
      <c r="B1990" s="9" t="s">
        <v>4073</v>
      </c>
      <c r="C1990" s="9" t="s">
        <v>4005</v>
      </c>
      <c r="D1990" s="9" t="s">
        <v>42</v>
      </c>
      <c r="E1990" s="6" t="s">
        <v>4077</v>
      </c>
      <c r="F1990" s="9"/>
    </row>
    <row r="1991" ht="33.75" customHeight="1">
      <c r="A1991" s="7">
        <v>67.0</v>
      </c>
      <c r="B1991" s="9" t="s">
        <v>4073</v>
      </c>
      <c r="C1991" s="9" t="s">
        <v>4005</v>
      </c>
      <c r="D1991" s="9" t="s">
        <v>52</v>
      </c>
      <c r="E1991" s="6" t="s">
        <v>4080</v>
      </c>
      <c r="F1991" s="9"/>
    </row>
    <row r="1992" ht="33.75" customHeight="1">
      <c r="A1992" s="7">
        <v>67.0</v>
      </c>
      <c r="B1992" s="9" t="s">
        <v>4073</v>
      </c>
      <c r="C1992" s="9" t="s">
        <v>4005</v>
      </c>
      <c r="D1992" s="9" t="s">
        <v>59</v>
      </c>
      <c r="E1992" s="6" t="s">
        <v>4082</v>
      </c>
      <c r="F1992" s="9"/>
    </row>
    <row r="1993" ht="33.75" customHeight="1">
      <c r="A1993" s="7">
        <v>67.0</v>
      </c>
      <c r="B1993" s="9" t="s">
        <v>4073</v>
      </c>
      <c r="C1993" s="9" t="s">
        <v>4005</v>
      </c>
      <c r="D1993" s="9" t="s">
        <v>64</v>
      </c>
      <c r="E1993" s="6" t="s">
        <v>4084</v>
      </c>
      <c r="F1993" s="9"/>
    </row>
    <row r="1994" ht="33.75" customHeight="1">
      <c r="A1994" s="7">
        <v>67.0</v>
      </c>
      <c r="B1994" s="9" t="s">
        <v>4073</v>
      </c>
      <c r="C1994" s="9" t="s">
        <v>4005</v>
      </c>
      <c r="D1994" s="9" t="s">
        <v>67</v>
      </c>
      <c r="E1994" s="6" t="s">
        <v>4087</v>
      </c>
      <c r="F1994" s="9"/>
    </row>
    <row r="1995" ht="33.75" customHeight="1">
      <c r="A1995" s="7">
        <v>67.0</v>
      </c>
      <c r="B1995" s="9" t="s">
        <v>4073</v>
      </c>
      <c r="C1995" s="9" t="s">
        <v>4005</v>
      </c>
      <c r="D1995" s="9" t="s">
        <v>71</v>
      </c>
      <c r="E1995" s="6" t="s">
        <v>4089</v>
      </c>
      <c r="F1995" s="9"/>
    </row>
    <row r="1996" ht="33.75" customHeight="1">
      <c r="A1996" s="7">
        <v>67.0</v>
      </c>
      <c r="B1996" s="9" t="s">
        <v>4073</v>
      </c>
      <c r="C1996" s="9" t="s">
        <v>4005</v>
      </c>
      <c r="D1996" s="9" t="s">
        <v>73</v>
      </c>
      <c r="E1996" s="6" t="s">
        <v>4091</v>
      </c>
      <c r="F1996" s="9"/>
    </row>
    <row r="1997" ht="33.75" customHeight="1">
      <c r="A1997" s="7">
        <v>67.0</v>
      </c>
      <c r="B1997" s="9" t="s">
        <v>4073</v>
      </c>
      <c r="C1997" s="9" t="s">
        <v>4005</v>
      </c>
      <c r="D1997" s="9" t="s">
        <v>75</v>
      </c>
      <c r="E1997" s="6" t="s">
        <v>4094</v>
      </c>
      <c r="F1997" s="9"/>
    </row>
    <row r="1998" ht="33.75" customHeight="1">
      <c r="A1998" s="7">
        <v>67.0</v>
      </c>
      <c r="B1998" s="9" t="s">
        <v>4073</v>
      </c>
      <c r="C1998" s="9" t="s">
        <v>4005</v>
      </c>
      <c r="D1998" s="9" t="s">
        <v>79</v>
      </c>
      <c r="E1998" s="6" t="s">
        <v>4097</v>
      </c>
      <c r="F1998" s="9"/>
    </row>
    <row r="1999" ht="33.75" customHeight="1">
      <c r="A1999" s="7">
        <v>67.0</v>
      </c>
      <c r="B1999" s="9" t="s">
        <v>4073</v>
      </c>
      <c r="C1999" s="9" t="s">
        <v>4005</v>
      </c>
      <c r="D1999" s="9" t="s">
        <v>81</v>
      </c>
      <c r="E1999" s="6" t="s">
        <v>4099</v>
      </c>
      <c r="F1999" s="9"/>
    </row>
    <row r="2000" ht="33.75" customHeight="1">
      <c r="A2000" s="7">
        <v>67.0</v>
      </c>
      <c r="B2000" s="9" t="s">
        <v>4073</v>
      </c>
      <c r="C2000" s="9" t="s">
        <v>4005</v>
      </c>
      <c r="D2000" s="9" t="s">
        <v>84</v>
      </c>
      <c r="E2000" s="6" t="s">
        <v>4102</v>
      </c>
      <c r="F2000" s="9"/>
    </row>
    <row r="2001" ht="33.75" customHeight="1">
      <c r="A2001" s="7">
        <v>67.0</v>
      </c>
      <c r="B2001" s="9" t="s">
        <v>4073</v>
      </c>
      <c r="C2001" s="9" t="s">
        <v>4005</v>
      </c>
      <c r="D2001" s="9" t="s">
        <v>87</v>
      </c>
      <c r="E2001" s="6" t="s">
        <v>4105</v>
      </c>
      <c r="F2001" s="9"/>
    </row>
    <row r="2002" ht="33.75" customHeight="1">
      <c r="A2002" s="7">
        <v>67.0</v>
      </c>
      <c r="B2002" s="9" t="s">
        <v>4073</v>
      </c>
      <c r="C2002" s="9" t="s">
        <v>4005</v>
      </c>
      <c r="D2002" s="9" t="s">
        <v>89</v>
      </c>
      <c r="E2002" s="6" t="s">
        <v>4108</v>
      </c>
      <c r="F2002" s="9"/>
    </row>
    <row r="2003" ht="33.75" customHeight="1">
      <c r="A2003" s="7">
        <v>67.0</v>
      </c>
      <c r="B2003" s="9" t="s">
        <v>4073</v>
      </c>
      <c r="C2003" s="9" t="s">
        <v>4005</v>
      </c>
      <c r="D2003" s="9" t="s">
        <v>91</v>
      </c>
      <c r="E2003" s="6" t="s">
        <v>4111</v>
      </c>
      <c r="F2003" s="9"/>
    </row>
    <row r="2004" ht="33.75" customHeight="1">
      <c r="A2004" s="7">
        <v>67.0</v>
      </c>
      <c r="B2004" s="9" t="s">
        <v>4073</v>
      </c>
      <c r="C2004" s="9" t="s">
        <v>4005</v>
      </c>
      <c r="D2004" s="9" t="s">
        <v>93</v>
      </c>
      <c r="E2004" s="6" t="s">
        <v>4105</v>
      </c>
      <c r="F2004" s="9"/>
    </row>
    <row r="2005" ht="33.75" customHeight="1">
      <c r="A2005" s="7">
        <v>67.0</v>
      </c>
      <c r="B2005" s="9" t="s">
        <v>4073</v>
      </c>
      <c r="C2005" s="9" t="s">
        <v>4005</v>
      </c>
      <c r="D2005" s="9" t="s">
        <v>95</v>
      </c>
      <c r="E2005" s="6" t="s">
        <v>4105</v>
      </c>
      <c r="F2005" s="9"/>
    </row>
    <row r="2006" ht="33.75" customHeight="1">
      <c r="A2006" s="7">
        <v>67.0</v>
      </c>
      <c r="B2006" s="9" t="s">
        <v>4073</v>
      </c>
      <c r="C2006" s="9" t="s">
        <v>4005</v>
      </c>
      <c r="D2006" s="9" t="s">
        <v>98</v>
      </c>
      <c r="E2006" s="6" t="s">
        <v>4105</v>
      </c>
      <c r="F2006" s="9"/>
    </row>
    <row r="2007" ht="33.75" customHeight="1">
      <c r="A2007" s="7">
        <v>67.0</v>
      </c>
      <c r="B2007" s="9" t="s">
        <v>4073</v>
      </c>
      <c r="C2007" s="9" t="s">
        <v>4005</v>
      </c>
      <c r="D2007" s="9" t="s">
        <v>99</v>
      </c>
      <c r="E2007" s="6" t="s">
        <v>4105</v>
      </c>
      <c r="F2007" s="9"/>
    </row>
    <row r="2008" ht="33.75" customHeight="1">
      <c r="A2008" s="7">
        <v>67.0</v>
      </c>
      <c r="B2008" s="9" t="s">
        <v>4073</v>
      </c>
      <c r="C2008" s="9" t="s">
        <v>4005</v>
      </c>
      <c r="D2008" s="9" t="s">
        <v>101</v>
      </c>
      <c r="E2008" s="6" t="s">
        <v>4097</v>
      </c>
      <c r="F2008" s="9"/>
    </row>
    <row r="2009" ht="33.75" customHeight="1">
      <c r="A2009" s="7">
        <v>67.0</v>
      </c>
      <c r="B2009" s="9" t="s">
        <v>4073</v>
      </c>
      <c r="C2009" s="9" t="s">
        <v>4005</v>
      </c>
      <c r="D2009" s="9" t="s">
        <v>105</v>
      </c>
      <c r="E2009" s="6" t="s">
        <v>4102</v>
      </c>
      <c r="F2009" s="9"/>
    </row>
    <row r="2010" ht="33.75" customHeight="1">
      <c r="A2010" s="7">
        <v>67.0</v>
      </c>
      <c r="B2010" s="9" t="s">
        <v>4073</v>
      </c>
      <c r="C2010" s="9" t="s">
        <v>4005</v>
      </c>
      <c r="D2010" s="9" t="s">
        <v>107</v>
      </c>
      <c r="E2010" s="6" t="s">
        <v>4125</v>
      </c>
      <c r="F2010" s="9"/>
    </row>
    <row r="2011" ht="33.75" customHeight="1">
      <c r="A2011" s="7">
        <v>67.0</v>
      </c>
      <c r="B2011" s="9" t="s">
        <v>4073</v>
      </c>
      <c r="C2011" s="9" t="s">
        <v>4005</v>
      </c>
      <c r="D2011" s="9" t="s">
        <v>109</v>
      </c>
      <c r="E2011" s="6" t="s">
        <v>4128</v>
      </c>
      <c r="F2011" s="9"/>
    </row>
    <row r="2012" ht="33.75" customHeight="1">
      <c r="A2012" s="7">
        <v>67.0</v>
      </c>
      <c r="B2012" s="9" t="s">
        <v>4073</v>
      </c>
      <c r="C2012" s="9" t="s">
        <v>4005</v>
      </c>
      <c r="D2012" s="9" t="s">
        <v>637</v>
      </c>
      <c r="E2012" s="6" t="s">
        <v>4131</v>
      </c>
      <c r="F2012" s="9"/>
    </row>
    <row r="2013" ht="33.75" customHeight="1">
      <c r="A2013" s="7">
        <v>67.0</v>
      </c>
      <c r="B2013" s="9" t="s">
        <v>4073</v>
      </c>
      <c r="C2013" s="9" t="s">
        <v>4005</v>
      </c>
      <c r="D2013" s="9" t="s">
        <v>642</v>
      </c>
      <c r="E2013" s="6" t="s">
        <v>4134</v>
      </c>
      <c r="F2013" s="9"/>
    </row>
    <row r="2014" ht="33.75" customHeight="1">
      <c r="A2014" s="7">
        <v>67.0</v>
      </c>
      <c r="B2014" s="9" t="s">
        <v>4073</v>
      </c>
      <c r="C2014" s="9" t="s">
        <v>4005</v>
      </c>
      <c r="D2014" s="9" t="s">
        <v>647</v>
      </c>
      <c r="E2014" s="6" t="s">
        <v>4136</v>
      </c>
      <c r="F2014" s="9"/>
    </row>
    <row r="2015" ht="33.75" customHeight="1">
      <c r="A2015" s="7">
        <v>67.0</v>
      </c>
      <c r="B2015" s="9" t="s">
        <v>4073</v>
      </c>
      <c r="C2015" s="9" t="s">
        <v>4005</v>
      </c>
      <c r="D2015" s="9" t="s">
        <v>652</v>
      </c>
      <c r="E2015" s="6" t="s">
        <v>4137</v>
      </c>
      <c r="F2015" s="9"/>
    </row>
    <row r="2016" ht="33.75" customHeight="1">
      <c r="A2016" s="7">
        <v>67.0</v>
      </c>
      <c r="B2016" s="9" t="s">
        <v>4073</v>
      </c>
      <c r="C2016" s="9" t="s">
        <v>4005</v>
      </c>
      <c r="D2016" s="9" t="s">
        <v>111</v>
      </c>
      <c r="E2016" s="6" t="s">
        <v>4139</v>
      </c>
      <c r="F2016" s="9"/>
    </row>
    <row r="2017" ht="33.75" customHeight="1">
      <c r="A2017" s="7">
        <v>67.0</v>
      </c>
      <c r="B2017" s="9" t="s">
        <v>4073</v>
      </c>
      <c r="C2017" s="9" t="s">
        <v>4005</v>
      </c>
      <c r="D2017" s="9" t="s">
        <v>113</v>
      </c>
      <c r="E2017" s="6" t="s">
        <v>4139</v>
      </c>
      <c r="F2017" s="9"/>
    </row>
    <row r="2018" ht="33.75" customHeight="1">
      <c r="A2018" s="7">
        <v>67.0</v>
      </c>
      <c r="B2018" s="9" t="s">
        <v>4073</v>
      </c>
      <c r="C2018" s="9" t="s">
        <v>4005</v>
      </c>
      <c r="D2018" s="9" t="s">
        <v>114</v>
      </c>
      <c r="E2018" s="6" t="s">
        <v>4097</v>
      </c>
      <c r="F2018" s="9"/>
    </row>
    <row r="2019" ht="33.75" customHeight="1">
      <c r="A2019" s="7">
        <v>67.0</v>
      </c>
      <c r="B2019" s="9" t="s">
        <v>4073</v>
      </c>
      <c r="C2019" s="9" t="s">
        <v>4005</v>
      </c>
      <c r="D2019" s="9" t="s">
        <v>117</v>
      </c>
      <c r="E2019" s="6" t="s">
        <v>4094</v>
      </c>
      <c r="F2019" s="9"/>
    </row>
    <row r="2020" ht="33.75" customHeight="1">
      <c r="A2020" s="7">
        <v>67.0</v>
      </c>
      <c r="B2020" s="9" t="s">
        <v>4073</v>
      </c>
      <c r="C2020" s="9" t="s">
        <v>4005</v>
      </c>
      <c r="D2020" s="9" t="s">
        <v>1577</v>
      </c>
      <c r="E2020" s="6" t="s">
        <v>4147</v>
      </c>
      <c r="F2020" s="9"/>
    </row>
    <row r="2021" ht="33.75" customHeight="1">
      <c r="A2021" s="7">
        <v>68.0</v>
      </c>
      <c r="B2021" s="9" t="s">
        <v>4149</v>
      </c>
      <c r="C2021" s="9" t="s">
        <v>4005</v>
      </c>
      <c r="D2021" s="9" t="s">
        <v>24</v>
      </c>
      <c r="E2021" s="6" t="s">
        <v>4150</v>
      </c>
      <c r="F2021" t="inlineStr" s="10">
        <is>
          <t xml:space="preserve">Machamp käyttää raskaita lihaksiaan ja lyö voimakkaita iskuja, jotka voivat lähettää uhrin horisontin taakse. Yksikin käsi voi siirtää vuoria. Käyttämällä kaikkia neljää kättä tämä POKéMON ampuu mahtavia iskuja. Se heilauttaa nopeasti neljää kättään ja horjuttaa vastustajiaan lakkaamattomilla lyönneillä ja hakkauksilla kaikista kulmista. Se käyttää neljää voimakasta käsivarttaan kiinnittääkseen vihollisensa raajat ja heittää sitten uhrin horisontin taakse. Neljällä käsivarrella, jotka reagoivat nopeammin kuin se pystyy ajattelemaan, se voi suorittaa useita iskuja kerralla. MACHAMPilla on kyky heittää mikä tahansa syrjään. Huolellisuutta ja näppäryyttä vaativa työ kuitenkin sotkee ​​sen kädet. Tämä POKéMON pyrkii toimimaan ennen kuin ehtii ajatellakaan. MACHAMP tunnetaan POKéMONina, joka hallitsee kaikki taistelulajit. Jos se tarttuu viholliseen neljällä kädellään, taistelu on käytännössä ohi. Onneton vihollinen lennähtää kauas horisontin taakse. Sen neljän käden lyöntejä ja iskuja vastaan ​​on mahdotonta puolustautua. Sen taistelutahto leimahtaa, kun se kohtaa kovan vastustajan. Sen neljä kestävästi kehitettyä kättä voivat laukaista 1 000 iskun sarjan vain kahdessa sekunnissa. Sen supervoimien iskujen sanotaan lentävän uhrin horisontin taakse. Se lyö neljällä kädellään häikäisevää vauhtia. Se voi laukaista 1 000 iskua kahdessa sekunnissa. Se voi lyödä junan lentämään iskulla. Se on kuitenkin surkea sormillaan tehtävissä herkissä töissä. Sen neljä lihaksikasta käsivartta iskee vihollisia voimakkailla iskuilla ja silpomisilla sokaisevalla nopeudella. Machampilla on kyky heittää mitä tahansa syrjään. Kuitenkin, jos sen yrittää tehdä huolellisuutta ja näppäryyttä vaativaa työtä, sen kädet sotkeutuvat. Tämä Pokémon pyrkii hyppäämään toimintaan ennen kuin ajatteleekaan. Se laukaisee megatonnin tason lyöntejä, jotka lennättävät vastustajat horisontin taakse. Se pystyy nostamaan raskaita kuormia erittäin helposti. Se voi jopa kantaa dumppereita. Mutta sen kömpelöt sormet estävät sitä tekemästä tarkkaa työtä. Se tarttuu vastustajiinsa neljällä kädellään ja vääntää heidät monimutkaiseen otteeseen. Ihmiset kutsuvat sitä "Machamp-erikoiseksi". Neljän käden ansiosta se voi hyökätä ja puolustaa samanaikaisesti. Sen sanotaan hallitsevan kaikki maailman kamppailulajit. Lähitaistelussa sen neljä kättä antavat sille hyökkäys- ja puolustusylivoiman. Vain silmänräpäyksessä tämä urhea Pokémon voi murskata vihollisensa yli 1 000 nyrkkiiskulla.</t>
        </is>
      </c>
    </row>
    <row r="2022" ht="33.75" customHeight="1">
      <c r="A2022" s="7">
        <v>68.0</v>
      </c>
      <c r="B2022" s="9" t="s">
        <v>4149</v>
      </c>
      <c r="C2022" s="9" t="s">
        <v>4005</v>
      </c>
      <c r="D2022" s="9" t="s">
        <v>35</v>
      </c>
      <c r="E2022" s="6" t="s">
        <v>4150</v>
      </c>
      <c r="F2022" s="9"/>
    </row>
    <row r="2023" ht="33.75" customHeight="1">
      <c r="A2023" s="7">
        <v>68.0</v>
      </c>
      <c r="B2023" s="9" t="s">
        <v>4149</v>
      </c>
      <c r="C2023" s="9" t="s">
        <v>4005</v>
      </c>
      <c r="D2023" s="9" t="s">
        <v>42</v>
      </c>
      <c r="E2023" s="6" t="s">
        <v>4154</v>
      </c>
      <c r="F2023" s="9"/>
    </row>
    <row r="2024" ht="33.75" customHeight="1">
      <c r="A2024" s="7">
        <v>68.0</v>
      </c>
      <c r="B2024" s="9" t="s">
        <v>4149</v>
      </c>
      <c r="C2024" s="9" t="s">
        <v>4005</v>
      </c>
      <c r="D2024" s="9" t="s">
        <v>52</v>
      </c>
      <c r="E2024" s="6" t="s">
        <v>4156</v>
      </c>
      <c r="F2024" s="9"/>
    </row>
    <row r="2025" ht="33.75" customHeight="1">
      <c r="A2025" s="7">
        <v>68.0</v>
      </c>
      <c r="B2025" s="9" t="s">
        <v>4149</v>
      </c>
      <c r="C2025" s="9" t="s">
        <v>4005</v>
      </c>
      <c r="D2025" s="9" t="s">
        <v>59</v>
      </c>
      <c r="E2025" s="6" t="s">
        <v>4158</v>
      </c>
      <c r="F2025" s="9"/>
    </row>
    <row r="2026" ht="33.75" customHeight="1">
      <c r="A2026" s="7">
        <v>68.0</v>
      </c>
      <c r="B2026" s="9" t="s">
        <v>4149</v>
      </c>
      <c r="C2026" s="9" t="s">
        <v>4005</v>
      </c>
      <c r="D2026" s="9" t="s">
        <v>64</v>
      </c>
      <c r="E2026" s="6" t="s">
        <v>4160</v>
      </c>
      <c r="F2026" s="9"/>
    </row>
    <row r="2027" ht="33.75" customHeight="1">
      <c r="A2027" s="7">
        <v>68.0</v>
      </c>
      <c r="B2027" s="9" t="s">
        <v>4149</v>
      </c>
      <c r="C2027" s="9" t="s">
        <v>4005</v>
      </c>
      <c r="D2027" s="9" t="s">
        <v>67</v>
      </c>
      <c r="E2027" s="6" t="s">
        <v>4162</v>
      </c>
      <c r="F2027" s="9"/>
    </row>
    <row r="2028" ht="33.75" customHeight="1">
      <c r="A2028" s="7">
        <v>68.0</v>
      </c>
      <c r="B2028" s="9" t="s">
        <v>4149</v>
      </c>
      <c r="C2028" s="9" t="s">
        <v>4005</v>
      </c>
      <c r="D2028" s="9" t="s">
        <v>71</v>
      </c>
      <c r="E2028" s="6" t="s">
        <v>4165</v>
      </c>
      <c r="F2028" s="9"/>
    </row>
    <row r="2029" ht="33.75" customHeight="1">
      <c r="A2029" s="7">
        <v>68.0</v>
      </c>
      <c r="B2029" s="9" t="s">
        <v>4149</v>
      </c>
      <c r="C2029" s="9" t="s">
        <v>4005</v>
      </c>
      <c r="D2029" s="9" t="s">
        <v>73</v>
      </c>
      <c r="E2029" s="6" t="s">
        <v>4167</v>
      </c>
      <c r="F2029" s="9"/>
    </row>
    <row r="2030" ht="33.75" customHeight="1">
      <c r="A2030" s="7">
        <v>68.0</v>
      </c>
      <c r="B2030" s="9" t="s">
        <v>4149</v>
      </c>
      <c r="C2030" s="9" t="s">
        <v>4005</v>
      </c>
      <c r="D2030" s="9" t="s">
        <v>75</v>
      </c>
      <c r="E2030" s="6" t="s">
        <v>4169</v>
      </c>
      <c r="F2030" s="9"/>
    </row>
    <row r="2031" ht="33.75" customHeight="1">
      <c r="A2031" s="7">
        <v>68.0</v>
      </c>
      <c r="B2031" s="9" t="s">
        <v>4149</v>
      </c>
      <c r="C2031" s="9" t="s">
        <v>4005</v>
      </c>
      <c r="D2031" s="9" t="s">
        <v>79</v>
      </c>
      <c r="E2031" s="6" t="s">
        <v>4171</v>
      </c>
      <c r="F2031" s="9"/>
    </row>
    <row r="2032" ht="33.75" customHeight="1">
      <c r="A2032" s="7">
        <v>68.0</v>
      </c>
      <c r="B2032" s="9" t="s">
        <v>4149</v>
      </c>
      <c r="C2032" s="9" t="s">
        <v>4005</v>
      </c>
      <c r="D2032" s="9" t="s">
        <v>81</v>
      </c>
      <c r="E2032" s="6" t="s">
        <v>4174</v>
      </c>
      <c r="F2032" s="9"/>
    </row>
    <row r="2033" ht="33.75" customHeight="1">
      <c r="A2033" s="7">
        <v>68.0</v>
      </c>
      <c r="B2033" s="9" t="s">
        <v>4149</v>
      </c>
      <c r="C2033" s="9" t="s">
        <v>4005</v>
      </c>
      <c r="D2033" s="9" t="s">
        <v>84</v>
      </c>
      <c r="E2033" s="6" t="s">
        <v>4176</v>
      </c>
      <c r="F2033" s="9"/>
    </row>
    <row r="2034" ht="33.75" customHeight="1">
      <c r="A2034" s="7">
        <v>68.0</v>
      </c>
      <c r="B2034" s="9" t="s">
        <v>4149</v>
      </c>
      <c r="C2034" s="9" t="s">
        <v>4005</v>
      </c>
      <c r="D2034" s="9" t="s">
        <v>87</v>
      </c>
      <c r="E2034" s="6" t="s">
        <v>4179</v>
      </c>
      <c r="F2034" s="9"/>
    </row>
    <row r="2035" ht="33.75" customHeight="1">
      <c r="A2035" s="7">
        <v>68.0</v>
      </c>
      <c r="B2035" s="9" t="s">
        <v>4149</v>
      </c>
      <c r="C2035" s="9" t="s">
        <v>4005</v>
      </c>
      <c r="D2035" s="9" t="s">
        <v>89</v>
      </c>
      <c r="E2035" s="6" t="s">
        <v>4156</v>
      </c>
      <c r="F2035" s="9"/>
    </row>
    <row r="2036" ht="33.75" customHeight="1">
      <c r="A2036" s="7">
        <v>68.0</v>
      </c>
      <c r="B2036" s="9" t="s">
        <v>4149</v>
      </c>
      <c r="C2036" s="9" t="s">
        <v>4005</v>
      </c>
      <c r="D2036" s="9" t="s">
        <v>91</v>
      </c>
      <c r="E2036" s="6" t="s">
        <v>4158</v>
      </c>
      <c r="F2036" s="9"/>
    </row>
    <row r="2037" ht="33.75" customHeight="1">
      <c r="A2037" s="7">
        <v>68.0</v>
      </c>
      <c r="B2037" s="9" t="s">
        <v>4149</v>
      </c>
      <c r="C2037" s="9" t="s">
        <v>4005</v>
      </c>
      <c r="D2037" s="9" t="s">
        <v>93</v>
      </c>
      <c r="E2037" s="6" t="s">
        <v>4179</v>
      </c>
      <c r="F2037" s="9"/>
    </row>
    <row r="2038" ht="33.75" customHeight="1">
      <c r="A2038" s="7">
        <v>68.0</v>
      </c>
      <c r="B2038" s="9" t="s">
        <v>4149</v>
      </c>
      <c r="C2038" s="9" t="s">
        <v>4005</v>
      </c>
      <c r="D2038" s="9" t="s">
        <v>95</v>
      </c>
      <c r="E2038" s="6" t="s">
        <v>4179</v>
      </c>
      <c r="F2038" s="9"/>
    </row>
    <row r="2039" ht="33.75" customHeight="1">
      <c r="A2039" s="7">
        <v>68.0</v>
      </c>
      <c r="B2039" s="9" t="s">
        <v>4149</v>
      </c>
      <c r="C2039" s="9" t="s">
        <v>4005</v>
      </c>
      <c r="D2039" s="9" t="s">
        <v>98</v>
      </c>
      <c r="E2039" s="6" t="s">
        <v>4179</v>
      </c>
      <c r="F2039" s="9"/>
    </row>
    <row r="2040" ht="33.75" customHeight="1">
      <c r="A2040" s="7">
        <v>68.0</v>
      </c>
      <c r="B2040" s="9" t="s">
        <v>4149</v>
      </c>
      <c r="C2040" s="9" t="s">
        <v>4005</v>
      </c>
      <c r="D2040" s="9" t="s">
        <v>99</v>
      </c>
      <c r="E2040" s="6" t="s">
        <v>4179</v>
      </c>
      <c r="F2040" s="9"/>
    </row>
    <row r="2041" ht="33.75" customHeight="1">
      <c r="A2041" s="7">
        <v>68.0</v>
      </c>
      <c r="B2041" s="9" t="s">
        <v>4149</v>
      </c>
      <c r="C2041" s="9" t="s">
        <v>4005</v>
      </c>
      <c r="D2041" s="9" t="s">
        <v>101</v>
      </c>
      <c r="E2041" s="6" t="s">
        <v>4169</v>
      </c>
      <c r="F2041" s="9"/>
    </row>
    <row r="2042" ht="33.75" customHeight="1">
      <c r="A2042" s="7">
        <v>68.0</v>
      </c>
      <c r="B2042" s="9" t="s">
        <v>4149</v>
      </c>
      <c r="C2042" s="9" t="s">
        <v>4005</v>
      </c>
      <c r="D2042" s="9" t="s">
        <v>105</v>
      </c>
      <c r="E2042" s="6" t="s">
        <v>4158</v>
      </c>
      <c r="F2042" s="9"/>
    </row>
    <row r="2043" ht="33.75" customHeight="1">
      <c r="A2043" s="7">
        <v>68.0</v>
      </c>
      <c r="B2043" s="9" t="s">
        <v>4149</v>
      </c>
      <c r="C2043" s="9" t="s">
        <v>4005</v>
      </c>
      <c r="D2043" s="9" t="s">
        <v>107</v>
      </c>
      <c r="E2043" s="6" t="s">
        <v>4194</v>
      </c>
      <c r="F2043" s="9"/>
    </row>
    <row r="2044" ht="33.75" customHeight="1">
      <c r="A2044" s="7">
        <v>68.0</v>
      </c>
      <c r="B2044" s="9" t="s">
        <v>4149</v>
      </c>
      <c r="C2044" s="9" t="s">
        <v>4005</v>
      </c>
      <c r="D2044" s="9" t="s">
        <v>109</v>
      </c>
      <c r="E2044" s="6" t="s">
        <v>4196</v>
      </c>
      <c r="F2044" s="9"/>
    </row>
    <row r="2045" ht="33.75" customHeight="1">
      <c r="A2045" s="7">
        <v>68.0</v>
      </c>
      <c r="B2045" s="9" t="s">
        <v>4149</v>
      </c>
      <c r="C2045" s="9" t="s">
        <v>4005</v>
      </c>
      <c r="D2045" s="9" t="s">
        <v>637</v>
      </c>
      <c r="E2045" s="6" t="s">
        <v>4198</v>
      </c>
      <c r="F2045" s="9"/>
    </row>
    <row r="2046" ht="33.75" customHeight="1">
      <c r="A2046" s="7">
        <v>68.0</v>
      </c>
      <c r="B2046" s="9" t="s">
        <v>4149</v>
      </c>
      <c r="C2046" s="9" t="s">
        <v>4005</v>
      </c>
      <c r="D2046" s="9" t="s">
        <v>642</v>
      </c>
      <c r="E2046" s="6" t="s">
        <v>4200</v>
      </c>
      <c r="F2046" s="9"/>
    </row>
    <row r="2047" ht="33.75" customHeight="1">
      <c r="A2047" s="7">
        <v>68.0</v>
      </c>
      <c r="B2047" s="9" t="s">
        <v>4149</v>
      </c>
      <c r="C2047" s="9" t="s">
        <v>4005</v>
      </c>
      <c r="D2047" s="9" t="s">
        <v>647</v>
      </c>
      <c r="E2047" s="6" t="s">
        <v>4202</v>
      </c>
      <c r="F2047" s="9"/>
    </row>
    <row r="2048" ht="33.75" customHeight="1">
      <c r="A2048" s="7">
        <v>68.0</v>
      </c>
      <c r="B2048" s="9" t="s">
        <v>4149</v>
      </c>
      <c r="C2048" s="9" t="s">
        <v>4005</v>
      </c>
      <c r="D2048" s="9" t="s">
        <v>652</v>
      </c>
      <c r="E2048" s="6" t="s">
        <v>4204</v>
      </c>
      <c r="F2048" s="9"/>
    </row>
    <row r="2049" ht="33.75" customHeight="1">
      <c r="A2049" s="7">
        <v>68.0</v>
      </c>
      <c r="B2049" s="9" t="s">
        <v>4149</v>
      </c>
      <c r="C2049" s="9" t="s">
        <v>4005</v>
      </c>
      <c r="D2049" s="9" t="s">
        <v>111</v>
      </c>
      <c r="E2049" s="6" t="s">
        <v>4206</v>
      </c>
      <c r="F2049" s="9"/>
    </row>
    <row r="2050" ht="33.75" customHeight="1">
      <c r="A2050" s="7">
        <v>68.0</v>
      </c>
      <c r="B2050" s="9" t="s">
        <v>4149</v>
      </c>
      <c r="C2050" s="9" t="s">
        <v>4005</v>
      </c>
      <c r="D2050" s="9" t="s">
        <v>113</v>
      </c>
      <c r="E2050" s="6" t="s">
        <v>4206</v>
      </c>
      <c r="F2050" s="9"/>
    </row>
    <row r="2051" ht="33.75" customHeight="1">
      <c r="A2051" s="7">
        <v>68.0</v>
      </c>
      <c r="B2051" s="9" t="s">
        <v>4149</v>
      </c>
      <c r="C2051" s="9" t="s">
        <v>4005</v>
      </c>
      <c r="D2051" s="9" t="s">
        <v>114</v>
      </c>
      <c r="E2051" s="6" t="s">
        <v>4156</v>
      </c>
      <c r="F2051" s="9"/>
    </row>
    <row r="2052" ht="33.75" customHeight="1">
      <c r="A2052" s="7">
        <v>68.0</v>
      </c>
      <c r="B2052" s="9" t="s">
        <v>4149</v>
      </c>
      <c r="C2052" s="9" t="s">
        <v>4005</v>
      </c>
      <c r="D2052" s="9" t="s">
        <v>117</v>
      </c>
      <c r="E2052" s="6" t="s">
        <v>4160</v>
      </c>
      <c r="F2052" s="9"/>
    </row>
    <row r="2053" ht="33.75" customHeight="1">
      <c r="A2053" s="7">
        <v>68.0</v>
      </c>
      <c r="B2053" s="9" t="s">
        <v>4149</v>
      </c>
      <c r="C2053" s="9" t="s">
        <v>4005</v>
      </c>
      <c r="D2053" s="9" t="s">
        <v>1577</v>
      </c>
      <c r="E2053" s="6" t="s">
        <v>4210</v>
      </c>
      <c r="F2053" s="9"/>
    </row>
    <row r="2054" ht="33.75" customHeight="1">
      <c r="A2054" s="7">
        <v>69.0</v>
      </c>
      <c r="B2054" s="9" t="s">
        <v>4212</v>
      </c>
      <c r="C2054" s="9" t="s">
        <v>2711</v>
      </c>
      <c r="D2054" s="9" t="s">
        <v>24</v>
      </c>
      <c r="E2054" s="6" t="s">
        <v>4213</v>
      </c>
      <c r="F2054" t="inlineStr" s="10">
        <is>
          <t xml:space="preserve">Lihansyöjä-POKéMON, joka pyydystää ja syö hyönteisiä. Se käyttää juurijalkojaan imeäkseen tarvitsemaansa kosteutta. Viihtyy kuumissa ja kosteissa paikoissa. Se houkuttelee pieniä hyönteisiä köynnöksiinsä ja syö ne. Vaikka sen ruumis on äärimmäisen laiha, se on sokean nopea saaliinsa nappaamisessa. Se istuttaa jalkansa syvälle maan alle täydentääkseen vesivarastojaan. Se ei voi paeta vihollistaan ​​niin kauan kuin se on juurtunut. Jos se huomaa jotain liikkuvaa, se heittää heti köynnöksensä sitä kohti. BELLSPROUTin ohut ja joustava vartalo antaa sen taipua ja keinua välttääkseen hyökkäyksen, olipa se kuinka voimakas tahansa. Suustaan ​​tämä POKéMON sylkee syövyttävää nestettä, joka sulattaa jopa raudan. BELLSPROUTin ohut ja joustava ruumis antaa sen taipua ja keinua välttääkseen hyökkäyksen, olipa se kuinka voimakas tahansa. Sen suusta vuotaa nestettä, joka sulattaa jopa raudan. Sen nuppu näyttää ihmiskasvoilta. Nupun vuoksi sen huhutaan olevan eräänlainen legendaarinen mandrakekasvi. Se näyttää käyttävän juurijalkojaan kosteuden täydentämiseen. Se viihtyy kuumissa ja kosteissa ympäristöissä. Se on nopea nappaamaan saaliin köynnöksillään. Se istuttaa jalkansa syvälle maan alle täydentääkseen vettä. Se houkuttelee pieniä ötököitä köynnöksiinsä ja syö ne.</t>
        </is>
      </c>
    </row>
    <row r="2055" ht="33.75" customHeight="1">
      <c r="A2055" s="7">
        <v>69.0</v>
      </c>
      <c r="B2055" s="9" t="s">
        <v>4212</v>
      </c>
      <c r="C2055" s="9" t="s">
        <v>2711</v>
      </c>
      <c r="D2055" s="9" t="s">
        <v>35</v>
      </c>
      <c r="E2055" s="6" t="s">
        <v>4213</v>
      </c>
      <c r="F2055" s="9"/>
    </row>
    <row r="2056" ht="33.75" customHeight="1">
      <c r="A2056" s="7">
        <v>69.0</v>
      </c>
      <c r="B2056" s="9" t="s">
        <v>4212</v>
      </c>
      <c r="C2056" s="9" t="s">
        <v>2711</v>
      </c>
      <c r="D2056" s="9" t="s">
        <v>42</v>
      </c>
      <c r="E2056" s="6" t="s">
        <v>4216</v>
      </c>
      <c r="F2056" s="9"/>
    </row>
    <row r="2057" ht="33.75" customHeight="1">
      <c r="A2057" s="7">
        <v>69.0</v>
      </c>
      <c r="B2057" s="9" t="s">
        <v>4212</v>
      </c>
      <c r="C2057" s="9" t="s">
        <v>2711</v>
      </c>
      <c r="D2057" s="9" t="s">
        <v>52</v>
      </c>
      <c r="E2057" s="6" t="s">
        <v>4218</v>
      </c>
      <c r="F2057" s="9"/>
    </row>
    <row r="2058" ht="33.75" customHeight="1">
      <c r="A2058" s="7">
        <v>69.0</v>
      </c>
      <c r="B2058" s="9" t="s">
        <v>4212</v>
      </c>
      <c r="C2058" s="9" t="s">
        <v>2711</v>
      </c>
      <c r="D2058" s="9" t="s">
        <v>59</v>
      </c>
      <c r="E2058" s="6" t="s">
        <v>4220</v>
      </c>
      <c r="F2058" s="9"/>
    </row>
    <row r="2059" ht="33.75" customHeight="1">
      <c r="A2059" s="7">
        <v>69.0</v>
      </c>
      <c r="B2059" s="9" t="s">
        <v>4212</v>
      </c>
      <c r="C2059" s="9" t="s">
        <v>2711</v>
      </c>
      <c r="D2059" s="9" t="s">
        <v>64</v>
      </c>
      <c r="E2059" s="6" t="s">
        <v>4224</v>
      </c>
      <c r="F2059" s="9"/>
    </row>
    <row r="2060" ht="33.75" customHeight="1">
      <c r="A2060" s="7">
        <v>69.0</v>
      </c>
      <c r="B2060" s="9" t="s">
        <v>4212</v>
      </c>
      <c r="C2060" s="9" t="s">
        <v>2711</v>
      </c>
      <c r="D2060" s="9" t="s">
        <v>67</v>
      </c>
      <c r="E2060" s="6" t="s">
        <v>4227</v>
      </c>
      <c r="F2060" s="9"/>
    </row>
    <row r="2061" ht="33.75" customHeight="1">
      <c r="A2061" s="7">
        <v>69.0</v>
      </c>
      <c r="B2061" s="9" t="s">
        <v>4212</v>
      </c>
      <c r="C2061" s="9" t="s">
        <v>2711</v>
      </c>
      <c r="D2061" s="9" t="s">
        <v>71</v>
      </c>
      <c r="E2061" s="6" t="s">
        <v>4227</v>
      </c>
      <c r="F2061" s="9"/>
    </row>
    <row r="2062" ht="33.75" customHeight="1">
      <c r="A2062" s="7">
        <v>69.0</v>
      </c>
      <c r="B2062" s="9" t="s">
        <v>4212</v>
      </c>
      <c r="C2062" s="9" t="s">
        <v>2711</v>
      </c>
      <c r="D2062" s="9" t="s">
        <v>73</v>
      </c>
      <c r="E2062" s="6" t="s">
        <v>4232</v>
      </c>
      <c r="F2062" s="9"/>
    </row>
    <row r="2063" ht="33.75" customHeight="1">
      <c r="A2063" s="7">
        <v>69.0</v>
      </c>
      <c r="B2063" s="9" t="s">
        <v>4212</v>
      </c>
      <c r="C2063" s="9" t="s">
        <v>2711</v>
      </c>
      <c r="D2063" s="9" t="s">
        <v>75</v>
      </c>
      <c r="E2063" s="6" t="s">
        <v>4234</v>
      </c>
      <c r="F2063" s="9"/>
    </row>
    <row r="2064" ht="33.75" customHeight="1">
      <c r="A2064" s="7">
        <v>69.0</v>
      </c>
      <c r="B2064" s="9" t="s">
        <v>4212</v>
      </c>
      <c r="C2064" s="9" t="s">
        <v>2711</v>
      </c>
      <c r="D2064" s="9" t="s">
        <v>79</v>
      </c>
      <c r="E2064" s="6" t="s">
        <v>4237</v>
      </c>
      <c r="F2064" s="9"/>
    </row>
    <row r="2065" ht="33.75" customHeight="1">
      <c r="A2065" s="7">
        <v>69.0</v>
      </c>
      <c r="B2065" s="9" t="s">
        <v>4212</v>
      </c>
      <c r="C2065" s="9" t="s">
        <v>2711</v>
      </c>
      <c r="D2065" s="9" t="s">
        <v>81</v>
      </c>
      <c r="E2065" s="6" t="s">
        <v>4239</v>
      </c>
      <c r="F2065" s="9"/>
    </row>
    <row r="2066" ht="33.75" customHeight="1">
      <c r="A2066" s="7">
        <v>69.0</v>
      </c>
      <c r="B2066" s="9" t="s">
        <v>4212</v>
      </c>
      <c r="C2066" s="9" t="s">
        <v>2711</v>
      </c>
      <c r="D2066" s="9" t="s">
        <v>84</v>
      </c>
      <c r="E2066" s="6" t="s">
        <v>4239</v>
      </c>
      <c r="F2066" s="9"/>
    </row>
    <row r="2067" ht="33.75" customHeight="1">
      <c r="A2067" s="7">
        <v>69.0</v>
      </c>
      <c r="B2067" s="9" t="s">
        <v>4212</v>
      </c>
      <c r="C2067" s="9" t="s">
        <v>2711</v>
      </c>
      <c r="D2067" s="9" t="s">
        <v>87</v>
      </c>
      <c r="E2067" s="6" t="s">
        <v>4239</v>
      </c>
      <c r="F2067" s="9"/>
    </row>
    <row r="2068" ht="33.75" customHeight="1">
      <c r="A2068" s="7">
        <v>69.0</v>
      </c>
      <c r="B2068" s="9" t="s">
        <v>4212</v>
      </c>
      <c r="C2068" s="9" t="s">
        <v>2711</v>
      </c>
      <c r="D2068" s="9" t="s">
        <v>89</v>
      </c>
      <c r="E2068" s="6" t="s">
        <v>4218</v>
      </c>
      <c r="F2068" s="9"/>
    </row>
    <row r="2069" ht="33.75" customHeight="1">
      <c r="A2069" s="7">
        <v>69.0</v>
      </c>
      <c r="B2069" s="9" t="s">
        <v>4212</v>
      </c>
      <c r="C2069" s="9" t="s">
        <v>2711</v>
      </c>
      <c r="D2069" s="9" t="s">
        <v>91</v>
      </c>
      <c r="E2069" s="6" t="s">
        <v>4244</v>
      </c>
      <c r="F2069" s="9"/>
    </row>
    <row r="2070" ht="33.75" customHeight="1">
      <c r="A2070" s="7">
        <v>69.0</v>
      </c>
      <c r="B2070" s="9" t="s">
        <v>4212</v>
      </c>
      <c r="C2070" s="9" t="s">
        <v>2711</v>
      </c>
      <c r="D2070" s="9" t="s">
        <v>93</v>
      </c>
      <c r="E2070" s="6" t="s">
        <v>4239</v>
      </c>
      <c r="F2070" s="9"/>
    </row>
    <row r="2071" ht="33.75" customHeight="1">
      <c r="A2071" s="7">
        <v>69.0</v>
      </c>
      <c r="B2071" s="9" t="s">
        <v>4212</v>
      </c>
      <c r="C2071" s="9" t="s">
        <v>2711</v>
      </c>
      <c r="D2071" s="9" t="s">
        <v>95</v>
      </c>
      <c r="E2071" s="6" t="s">
        <v>4239</v>
      </c>
      <c r="F2071" s="9"/>
    </row>
    <row r="2072" ht="33.75" customHeight="1">
      <c r="A2072" s="7">
        <v>69.0</v>
      </c>
      <c r="B2072" s="9" t="s">
        <v>4212</v>
      </c>
      <c r="C2072" s="9" t="s">
        <v>2711</v>
      </c>
      <c r="D2072" s="9" t="s">
        <v>98</v>
      </c>
      <c r="E2072" s="6" t="s">
        <v>4239</v>
      </c>
      <c r="F2072" s="9"/>
    </row>
    <row r="2073" ht="33.75" customHeight="1">
      <c r="A2073" s="7">
        <v>69.0</v>
      </c>
      <c r="B2073" s="9" t="s">
        <v>4212</v>
      </c>
      <c r="C2073" s="9" t="s">
        <v>2711</v>
      </c>
      <c r="D2073" s="9" t="s">
        <v>99</v>
      </c>
      <c r="E2073" s="6" t="s">
        <v>4239</v>
      </c>
      <c r="F2073" s="9"/>
    </row>
    <row r="2074" ht="33.75" customHeight="1">
      <c r="A2074" s="7">
        <v>69.0</v>
      </c>
      <c r="B2074" s="9" t="s">
        <v>4212</v>
      </c>
      <c r="C2074" s="9" t="s">
        <v>2711</v>
      </c>
      <c r="D2074" s="9" t="s">
        <v>101</v>
      </c>
      <c r="E2074" s="6" t="s">
        <v>4218</v>
      </c>
      <c r="F2074" s="9"/>
    </row>
    <row r="2075" ht="33.75" customHeight="1">
      <c r="A2075" s="7">
        <v>69.0</v>
      </c>
      <c r="B2075" s="9" t="s">
        <v>4212</v>
      </c>
      <c r="C2075" s="9" t="s">
        <v>2711</v>
      </c>
      <c r="D2075" s="9" t="s">
        <v>105</v>
      </c>
      <c r="E2075" s="6" t="s">
        <v>4234</v>
      </c>
      <c r="F2075" s="9"/>
    </row>
    <row r="2076" ht="33.75" customHeight="1">
      <c r="A2076" s="7">
        <v>69.0</v>
      </c>
      <c r="B2076" s="9" t="s">
        <v>4212</v>
      </c>
      <c r="C2076" s="9" t="s">
        <v>2711</v>
      </c>
      <c r="D2076" s="9" t="s">
        <v>107</v>
      </c>
      <c r="E2076" s="6" t="s">
        <v>4256</v>
      </c>
      <c r="F2076" s="9"/>
    </row>
    <row r="2077" ht="33.75" customHeight="1">
      <c r="A2077" s="7">
        <v>69.0</v>
      </c>
      <c r="B2077" s="9" t="s">
        <v>4212</v>
      </c>
      <c r="C2077" s="9" t="s">
        <v>2711</v>
      </c>
      <c r="D2077" s="9" t="s">
        <v>109</v>
      </c>
      <c r="E2077" s="6" t="s">
        <v>4256</v>
      </c>
      <c r="F2077" s="9"/>
    </row>
    <row r="2078" ht="33.75" customHeight="1">
      <c r="A2078" s="7">
        <v>69.0</v>
      </c>
      <c r="B2078" s="9" t="s">
        <v>4212</v>
      </c>
      <c r="C2078" s="9" t="s">
        <v>2711</v>
      </c>
      <c r="D2078" s="9" t="s">
        <v>111</v>
      </c>
      <c r="E2078" s="6" t="s">
        <v>4260</v>
      </c>
      <c r="F2078" s="9"/>
    </row>
    <row r="2079" ht="33.75" customHeight="1">
      <c r="A2079" s="7">
        <v>69.0</v>
      </c>
      <c r="B2079" s="9" t="s">
        <v>4212</v>
      </c>
      <c r="C2079" s="9" t="s">
        <v>2711</v>
      </c>
      <c r="D2079" s="9" t="s">
        <v>113</v>
      </c>
      <c r="E2079" s="6" t="s">
        <v>4260</v>
      </c>
      <c r="F2079" s="9"/>
    </row>
    <row r="2080" ht="33.75" customHeight="1">
      <c r="A2080" s="7">
        <v>70.0</v>
      </c>
      <c r="B2080" s="9" t="s">
        <v>4263</v>
      </c>
      <c r="C2080" s="9" t="s">
        <v>4264</v>
      </c>
      <c r="D2080" s="9" t="s">
        <v>24</v>
      </c>
      <c r="E2080" s="6" t="s">
        <v>4266</v>
      </c>
      <c r="F2080" t="inlineStr" s="10">
        <is>
          <t xml:space="preserve">Weepinbell sylkee MYRKKYRUUDEtta lamauttaakseen vihollisen ja viimeistelee sen sitten HAPPO-suihkeella. Nälkäisenä se nielee kaiken liikkuvan. Sen onneton saalis sulaa sisältä vahvojen happojen vaikutuksesta. Vaikka se on täynnä HAPOA, se ei sula, koska se tihkuu myös neutraloivaa nestettä. Jos sen saalis on suutaan suurempi, se viipaloi uhrin terävillä lehdillä ja syö sitten jokaisen palan. Kun se on nälkäinen, se heiluttelee teräviä lehtiään ja viipaloi lähellä olevia epäonnisia esineitä ravinnokseen. Itkukellolla on iso koukku takapäässään. Yöllä POKéMON tarttuu puun oksaan ja nukahtaa. Jos se liikkuu unissaan, se saattaa herätä ja huomata olevansa maassa. Yöllä kyykkykello roikkuu koukukuorisella takamuksellaan puun oksassa ja nukkuu. Lehtimäiset osat toimivat viillereinä vihollisten viiltämistä varten. Se sylkee nestettä, joka liuottaa kaiken. Kasvilta näyttävä Pokémon. Se pyydystää varomattomia saaliitaan kastuttamalla ne myrkyllisellä jauheella. Vaikka se on täynnä happoa, se ei sula, koska se tihkuu myös suojaavaa nestettä. Se sylkee ulos myrkkyjauhetta lamauttaakseen vihollisen ja viimeistelee sen sitten happosuihkeella. Weepinbellillä on iso koukku takapäässään. Sen onneton saalis liukenee vahvoihin happoihin.</t>
        </is>
      </c>
    </row>
    <row r="2081" ht="33.75" customHeight="1">
      <c r="A2081" s="7">
        <v>70.0</v>
      </c>
      <c r="B2081" s="9" t="s">
        <v>4263</v>
      </c>
      <c r="C2081" s="9" t="s">
        <v>4264</v>
      </c>
      <c r="D2081" s="9" t="s">
        <v>35</v>
      </c>
      <c r="E2081" s="6" t="s">
        <v>4266</v>
      </c>
      <c r="F2081" s="9"/>
    </row>
    <row r="2082" ht="33.75" customHeight="1">
      <c r="A2082" s="7">
        <v>70.0</v>
      </c>
      <c r="B2082" s="9" t="s">
        <v>4263</v>
      </c>
      <c r="C2082" s="9" t="s">
        <v>4264</v>
      </c>
      <c r="D2082" s="9" t="s">
        <v>42</v>
      </c>
      <c r="E2082" s="6" t="s">
        <v>4269</v>
      </c>
      <c r="F2082" s="9"/>
    </row>
    <row r="2083" ht="33.75" customHeight="1">
      <c r="A2083" s="7">
        <v>70.0</v>
      </c>
      <c r="B2083" s="9" t="s">
        <v>4263</v>
      </c>
      <c r="C2083" s="9" t="s">
        <v>4264</v>
      </c>
      <c r="D2083" s="9" t="s">
        <v>52</v>
      </c>
      <c r="E2083" s="6" t="s">
        <v>4272</v>
      </c>
      <c r="F2083" s="9"/>
    </row>
    <row r="2084" ht="33.75" customHeight="1">
      <c r="A2084" s="7">
        <v>70.0</v>
      </c>
      <c r="B2084" s="9" t="s">
        <v>4263</v>
      </c>
      <c r="C2084" s="9" t="s">
        <v>4264</v>
      </c>
      <c r="D2084" s="9" t="s">
        <v>59</v>
      </c>
      <c r="E2084" s="6" t="s">
        <v>4275</v>
      </c>
      <c r="F2084" s="9"/>
    </row>
    <row r="2085" ht="33.75" customHeight="1">
      <c r="A2085" s="7">
        <v>70.0</v>
      </c>
      <c r="B2085" s="9" t="s">
        <v>4263</v>
      </c>
      <c r="C2085" s="9" t="s">
        <v>4264</v>
      </c>
      <c r="D2085" s="9" t="s">
        <v>64</v>
      </c>
      <c r="E2085" s="6" t="s">
        <v>4277</v>
      </c>
      <c r="F2085" s="9"/>
    </row>
    <row r="2086" ht="33.75" customHeight="1">
      <c r="A2086" s="7">
        <v>70.0</v>
      </c>
      <c r="B2086" s="9" t="s">
        <v>4263</v>
      </c>
      <c r="C2086" s="9" t="s">
        <v>4264</v>
      </c>
      <c r="D2086" s="9" t="s">
        <v>67</v>
      </c>
      <c r="E2086" s="6" t="s">
        <v>4280</v>
      </c>
      <c r="F2086" s="9"/>
    </row>
    <row r="2087" ht="33.75" customHeight="1">
      <c r="A2087" s="7">
        <v>70.0</v>
      </c>
      <c r="B2087" s="9" t="s">
        <v>4263</v>
      </c>
      <c r="C2087" s="9" t="s">
        <v>4264</v>
      </c>
      <c r="D2087" s="9" t="s">
        <v>71</v>
      </c>
      <c r="E2087" s="6" t="s">
        <v>4280</v>
      </c>
      <c r="F2087" s="9"/>
    </row>
    <row r="2088" ht="33.75" customHeight="1">
      <c r="A2088" s="7">
        <v>70.0</v>
      </c>
      <c r="B2088" s="9" t="s">
        <v>4263</v>
      </c>
      <c r="C2088" s="9" t="s">
        <v>4264</v>
      </c>
      <c r="D2088" s="9" t="s">
        <v>73</v>
      </c>
      <c r="E2088" s="6" t="s">
        <v>4283</v>
      </c>
      <c r="F2088" s="9"/>
    </row>
    <row r="2089" ht="33.75" customHeight="1">
      <c r="A2089" s="7">
        <v>70.0</v>
      </c>
      <c r="B2089" s="9" t="s">
        <v>4263</v>
      </c>
      <c r="C2089" s="9" t="s">
        <v>4264</v>
      </c>
      <c r="D2089" s="9" t="s">
        <v>75</v>
      </c>
      <c r="E2089" s="6" t="s">
        <v>4286</v>
      </c>
      <c r="F2089" s="9"/>
    </row>
    <row r="2090" ht="33.75" customHeight="1">
      <c r="A2090" s="7">
        <v>70.0</v>
      </c>
      <c r="B2090" s="9" t="s">
        <v>4263</v>
      </c>
      <c r="C2090" s="9" t="s">
        <v>4264</v>
      </c>
      <c r="D2090" s="9" t="s">
        <v>79</v>
      </c>
      <c r="E2090" s="6" t="s">
        <v>4266</v>
      </c>
      <c r="F2090" s="9"/>
    </row>
    <row r="2091" ht="33.75" customHeight="1">
      <c r="A2091" s="7">
        <v>70.0</v>
      </c>
      <c r="B2091" s="9" t="s">
        <v>4263</v>
      </c>
      <c r="C2091" s="9" t="s">
        <v>4264</v>
      </c>
      <c r="D2091" s="9" t="s">
        <v>81</v>
      </c>
      <c r="E2091" s="6" t="s">
        <v>4290</v>
      </c>
      <c r="F2091" s="9"/>
    </row>
    <row r="2092" ht="33.75" customHeight="1">
      <c r="A2092" s="7">
        <v>70.0</v>
      </c>
      <c r="B2092" s="9" t="s">
        <v>4263</v>
      </c>
      <c r="C2092" s="9" t="s">
        <v>4264</v>
      </c>
      <c r="D2092" s="9" t="s">
        <v>84</v>
      </c>
      <c r="E2092" s="6" t="s">
        <v>4290</v>
      </c>
      <c r="F2092" s="9"/>
    </row>
    <row r="2093" ht="33.75" customHeight="1">
      <c r="A2093" s="7">
        <v>70.0</v>
      </c>
      <c r="B2093" s="9" t="s">
        <v>4263</v>
      </c>
      <c r="C2093" s="9" t="s">
        <v>4264</v>
      </c>
      <c r="D2093" s="9" t="s">
        <v>87</v>
      </c>
      <c r="E2093" s="6" t="s">
        <v>4290</v>
      </c>
      <c r="F2093" s="9"/>
    </row>
    <row r="2094" ht="33.75" customHeight="1">
      <c r="A2094" s="7">
        <v>70.0</v>
      </c>
      <c r="B2094" s="9" t="s">
        <v>4263</v>
      </c>
      <c r="C2094" s="9" t="s">
        <v>4264</v>
      </c>
      <c r="D2094" s="9" t="s">
        <v>89</v>
      </c>
      <c r="E2094" s="6" t="s">
        <v>4296</v>
      </c>
      <c r="F2094" s="9"/>
    </row>
    <row r="2095" ht="33.75" customHeight="1">
      <c r="A2095" s="7">
        <v>70.0</v>
      </c>
      <c r="B2095" s="9" t="s">
        <v>4263</v>
      </c>
      <c r="C2095" s="9" t="s">
        <v>4264</v>
      </c>
      <c r="D2095" s="9" t="s">
        <v>91</v>
      </c>
      <c r="E2095" s="6" t="s">
        <v>4275</v>
      </c>
      <c r="F2095" s="9"/>
    </row>
    <row r="2096" ht="33.75" customHeight="1">
      <c r="A2096" s="7">
        <v>70.0</v>
      </c>
      <c r="B2096" s="9" t="s">
        <v>4263</v>
      </c>
      <c r="C2096" s="9" t="s">
        <v>4264</v>
      </c>
      <c r="D2096" s="9" t="s">
        <v>93</v>
      </c>
      <c r="E2096" s="6" t="s">
        <v>4290</v>
      </c>
      <c r="F2096" s="9"/>
    </row>
    <row r="2097" ht="33.75" customHeight="1">
      <c r="A2097" s="7">
        <v>70.0</v>
      </c>
      <c r="B2097" s="9" t="s">
        <v>4263</v>
      </c>
      <c r="C2097" s="9" t="s">
        <v>4264</v>
      </c>
      <c r="D2097" s="9" t="s">
        <v>95</v>
      </c>
      <c r="E2097" s="6" t="s">
        <v>4290</v>
      </c>
      <c r="F2097" s="9"/>
    </row>
    <row r="2098" ht="33.75" customHeight="1">
      <c r="A2098" s="7">
        <v>70.0</v>
      </c>
      <c r="B2098" s="9" t="s">
        <v>4263</v>
      </c>
      <c r="C2098" s="9" t="s">
        <v>4264</v>
      </c>
      <c r="D2098" s="9" t="s">
        <v>98</v>
      </c>
      <c r="E2098" s="6" t="s">
        <v>4290</v>
      </c>
      <c r="F2098" s="9"/>
    </row>
    <row r="2099" ht="33.75" customHeight="1">
      <c r="A2099" s="7">
        <v>70.0</v>
      </c>
      <c r="B2099" s="9" t="s">
        <v>4263</v>
      </c>
      <c r="C2099" s="9" t="s">
        <v>4264</v>
      </c>
      <c r="D2099" s="9" t="s">
        <v>99</v>
      </c>
      <c r="E2099" s="6" t="s">
        <v>4290</v>
      </c>
      <c r="F2099" s="9"/>
    </row>
    <row r="2100" ht="33.75" customHeight="1">
      <c r="A2100" s="7">
        <v>70.0</v>
      </c>
      <c r="B2100" s="9" t="s">
        <v>4263</v>
      </c>
      <c r="C2100" s="9" t="s">
        <v>4264</v>
      </c>
      <c r="D2100" s="9" t="s">
        <v>101</v>
      </c>
      <c r="E2100" s="6" t="s">
        <v>4286</v>
      </c>
      <c r="F2100" s="9"/>
    </row>
    <row r="2101" ht="33.75" customHeight="1">
      <c r="A2101" s="7">
        <v>70.0</v>
      </c>
      <c r="B2101" s="9" t="s">
        <v>4263</v>
      </c>
      <c r="C2101" s="9" t="s">
        <v>4264</v>
      </c>
      <c r="D2101" s="9" t="s">
        <v>105</v>
      </c>
      <c r="E2101" s="6" t="s">
        <v>4309</v>
      </c>
      <c r="F2101" s="9"/>
    </row>
    <row r="2102" ht="33.75" customHeight="1">
      <c r="A2102" s="7">
        <v>70.0</v>
      </c>
      <c r="B2102" s="9" t="s">
        <v>4263</v>
      </c>
      <c r="C2102" s="9" t="s">
        <v>4264</v>
      </c>
      <c r="D2102" s="9" t="s">
        <v>107</v>
      </c>
      <c r="E2102" s="6" t="s">
        <v>4311</v>
      </c>
      <c r="F2102" s="9"/>
    </row>
    <row r="2103" ht="33.75" customHeight="1">
      <c r="A2103" s="7">
        <v>70.0</v>
      </c>
      <c r="B2103" s="9" t="s">
        <v>4263</v>
      </c>
      <c r="C2103" s="9" t="s">
        <v>4264</v>
      </c>
      <c r="D2103" s="9" t="s">
        <v>109</v>
      </c>
      <c r="E2103" s="6" t="s">
        <v>4311</v>
      </c>
      <c r="F2103" s="9"/>
    </row>
    <row r="2104" ht="33.75" customHeight="1">
      <c r="A2104" s="7">
        <v>70.0</v>
      </c>
      <c r="B2104" s="9" t="s">
        <v>4263</v>
      </c>
      <c r="C2104" s="9" t="s">
        <v>4264</v>
      </c>
      <c r="D2104" s="9" t="s">
        <v>111</v>
      </c>
      <c r="E2104" s="6" t="s">
        <v>4314</v>
      </c>
      <c r="F2104" s="9"/>
    </row>
    <row r="2105" ht="33.75" customHeight="1">
      <c r="A2105" s="7">
        <v>70.0</v>
      </c>
      <c r="B2105" s="9" t="s">
        <v>4263</v>
      </c>
      <c r="C2105" s="9" t="s">
        <v>4264</v>
      </c>
      <c r="D2105" s="9" t="s">
        <v>113</v>
      </c>
      <c r="E2105" s="6" t="s">
        <v>4314</v>
      </c>
      <c r="F2105" s="9"/>
    </row>
    <row r="2106" ht="33.75" customHeight="1">
      <c r="A2106" s="7">
        <v>71.0</v>
      </c>
      <c r="B2106" s="9" t="s">
        <v>4317</v>
      </c>
      <c r="C2106" s="9" t="s">
        <v>4264</v>
      </c>
      <c r="D2106" s="9" t="s">
        <v>24</v>
      </c>
      <c r="E2106" s="6" t="s">
        <v>4318</v>
      </c>
      <c r="F2106" t="inlineStr" s="10">
        <is>
          <t xml:space="preserve">Sanotaan elävän valtavissa yhdyskunnissa syvällä viidakoissa, vaikka kukaan ei ole koskaan palannut sieltä. Houkuttelee saalista makealla hunajan tuoksulla. Kokonaisena nieltynä saalis sulaa päivässä luineen kaikkineen. HAPPO, joka on liuottanut monia saaliita, muuttuu makeammaksi, mikä tekee siitä entistä tehokkaamman saaliin houkuttelemisessa. Tämä kauhistuttava kasvi-POKéMON houkuttelee saalistaan ​​aromaattisella hunajalla ja sulattaa sen sitten suussaan. Kun tämä POKéMON joutuu sen kehoon, jopa kovin esine sulaa tyhjyyteen. VICTREEBELillä on pitkä köynnös, joka työntyy sen päästä. Köynnöstä heilutetaan ja heilutellaan kuin eläintä saaliin houkuttelemiseksi. Kun pahaa-aavistamaton saalis lähestyy, tämä POKéMON nielee sen kokonaisena. Pitkää, päästä lähtevää köynnöstä heilutellaan kuin elävää olentoa saaliin houkuttelemiseksi. Kun pahaa-aavistamaton uhri lähestyy, se niellään kokonaisena. Houkuttelee saalista suuhunsa hunajan kaltaisella tuoksulla. Avuton saalis sulatetaan liukenevalla nesteellä. Se kerää suuhunsa hunajaisen tuoksuista nestettä, joka on itse asiassa happoa, joka liuottaa mitä tahansa. Happo, joka on liuottanut monia saaliseläimiä, muuttuu makeammaksi, mikä tekee siitä entistä tehokkaamman saaliin houkuttelemisessa. Tämä kauhistuttava kasvi-Pokémon houkuttelee saalista aromaattisella hunajallaan ja sulattaa ne sitten suussaan. Kun tämä Pokémon on nielnyt sen kehoonsa, jopa kovin esine sulaa tyhjyyteen. Kokonaisena nieltynä saalis liukenee päivässä luineen kaikkineen.</t>
        </is>
      </c>
    </row>
    <row r="2107" ht="33.75" customHeight="1">
      <c r="A2107" s="7">
        <v>71.0</v>
      </c>
      <c r="B2107" s="9" t="s">
        <v>4317</v>
      </c>
      <c r="C2107" s="9" t="s">
        <v>4264</v>
      </c>
      <c r="D2107" s="9" t="s">
        <v>35</v>
      </c>
      <c r="E2107" s="6" t="s">
        <v>4318</v>
      </c>
      <c r="F2107" s="9"/>
    </row>
    <row r="2108" ht="33.75" customHeight="1">
      <c r="A2108" s="7">
        <v>71.0</v>
      </c>
      <c r="B2108" s="9" t="s">
        <v>4317</v>
      </c>
      <c r="C2108" s="9" t="s">
        <v>4264</v>
      </c>
      <c r="D2108" s="9" t="s">
        <v>42</v>
      </c>
      <c r="E2108" s="6" t="s">
        <v>4319</v>
      </c>
      <c r="F2108" s="9"/>
    </row>
    <row r="2109" ht="33.75" customHeight="1">
      <c r="A2109" s="7">
        <v>71.0</v>
      </c>
      <c r="B2109" s="9" t="s">
        <v>4317</v>
      </c>
      <c r="C2109" s="9" t="s">
        <v>4264</v>
      </c>
      <c r="D2109" s="9" t="s">
        <v>52</v>
      </c>
      <c r="E2109" s="6" t="s">
        <v>4321</v>
      </c>
      <c r="F2109" s="9"/>
    </row>
    <row r="2110" ht="33.75" customHeight="1">
      <c r="A2110" s="7">
        <v>71.0</v>
      </c>
      <c r="B2110" s="9" t="s">
        <v>4317</v>
      </c>
      <c r="C2110" s="9" t="s">
        <v>4264</v>
      </c>
      <c r="D2110" s="9" t="s">
        <v>59</v>
      </c>
      <c r="E2110" s="6" t="s">
        <v>4322</v>
      </c>
      <c r="F2110" s="9"/>
    </row>
    <row r="2111" ht="33.75" customHeight="1">
      <c r="A2111" s="7">
        <v>71.0</v>
      </c>
      <c r="B2111" s="9" t="s">
        <v>4317</v>
      </c>
      <c r="C2111" s="9" t="s">
        <v>4264</v>
      </c>
      <c r="D2111" s="9" t="s">
        <v>64</v>
      </c>
      <c r="E2111" s="6" t="s">
        <v>4323</v>
      </c>
      <c r="F2111" s="9"/>
    </row>
    <row r="2112" ht="33.75" customHeight="1">
      <c r="A2112" s="7">
        <v>71.0</v>
      </c>
      <c r="B2112" s="9" t="s">
        <v>4317</v>
      </c>
      <c r="C2112" s="9" t="s">
        <v>4264</v>
      </c>
      <c r="D2112" s="9" t="s">
        <v>67</v>
      </c>
      <c r="E2112" s="6" t="s">
        <v>4325</v>
      </c>
      <c r="F2112" s="9"/>
    </row>
    <row r="2113" ht="33.75" customHeight="1">
      <c r="A2113" s="7">
        <v>71.0</v>
      </c>
      <c r="B2113" s="9" t="s">
        <v>4317</v>
      </c>
      <c r="C2113" s="9" t="s">
        <v>4264</v>
      </c>
      <c r="D2113" s="9" t="s">
        <v>71</v>
      </c>
      <c r="E2113" s="6" t="s">
        <v>4325</v>
      </c>
      <c r="F2113" s="9"/>
    </row>
    <row r="2114" ht="33.75" customHeight="1">
      <c r="A2114" s="7">
        <v>71.0</v>
      </c>
      <c r="B2114" s="9" t="s">
        <v>4317</v>
      </c>
      <c r="C2114" s="9" t="s">
        <v>4264</v>
      </c>
      <c r="D2114" s="9" t="s">
        <v>73</v>
      </c>
      <c r="E2114" s="6" t="s">
        <v>4328</v>
      </c>
      <c r="F2114" s="9"/>
    </row>
    <row r="2115" ht="33.75" customHeight="1">
      <c r="A2115" s="7">
        <v>71.0</v>
      </c>
      <c r="B2115" s="9" t="s">
        <v>4317</v>
      </c>
      <c r="C2115" s="9" t="s">
        <v>4264</v>
      </c>
      <c r="D2115" s="9" t="s">
        <v>75</v>
      </c>
      <c r="E2115" s="6" t="s">
        <v>4330</v>
      </c>
      <c r="F2115" s="9"/>
    </row>
    <row r="2116" ht="33.75" customHeight="1">
      <c r="A2116" s="7">
        <v>71.0</v>
      </c>
      <c r="B2116" s="9" t="s">
        <v>4317</v>
      </c>
      <c r="C2116" s="9" t="s">
        <v>4264</v>
      </c>
      <c r="D2116" s="9" t="s">
        <v>79</v>
      </c>
      <c r="E2116" s="6" t="s">
        <v>4318</v>
      </c>
      <c r="F2116" s="9"/>
    </row>
    <row r="2117" ht="33.75" customHeight="1">
      <c r="A2117" s="7">
        <v>71.0</v>
      </c>
      <c r="B2117" s="9" t="s">
        <v>4317</v>
      </c>
      <c r="C2117" s="9" t="s">
        <v>4264</v>
      </c>
      <c r="D2117" s="9" t="s">
        <v>81</v>
      </c>
      <c r="E2117" s="6" t="s">
        <v>4334</v>
      </c>
      <c r="F2117" s="9"/>
    </row>
    <row r="2118" ht="33.75" customHeight="1">
      <c r="A2118" s="7">
        <v>71.0</v>
      </c>
      <c r="B2118" s="9" t="s">
        <v>4317</v>
      </c>
      <c r="C2118" s="9" t="s">
        <v>4264</v>
      </c>
      <c r="D2118" s="9" t="s">
        <v>84</v>
      </c>
      <c r="E2118" s="6" t="s">
        <v>4334</v>
      </c>
      <c r="F2118" s="9"/>
    </row>
    <row r="2119" ht="33.75" customHeight="1">
      <c r="A2119" s="7">
        <v>71.0</v>
      </c>
      <c r="B2119" s="9" t="s">
        <v>4317</v>
      </c>
      <c r="C2119" s="9" t="s">
        <v>4264</v>
      </c>
      <c r="D2119" s="9" t="s">
        <v>87</v>
      </c>
      <c r="E2119" s="6" t="s">
        <v>4334</v>
      </c>
      <c r="F2119" s="9"/>
    </row>
    <row r="2120" ht="33.75" customHeight="1">
      <c r="A2120" s="7">
        <v>71.0</v>
      </c>
      <c r="B2120" s="9" t="s">
        <v>4317</v>
      </c>
      <c r="C2120" s="9" t="s">
        <v>4264</v>
      </c>
      <c r="D2120" s="9" t="s">
        <v>89</v>
      </c>
      <c r="E2120" s="6" t="s">
        <v>4339</v>
      </c>
      <c r="F2120" s="9"/>
    </row>
    <row r="2121" ht="33.75" customHeight="1">
      <c r="A2121" s="7">
        <v>71.0</v>
      </c>
      <c r="B2121" s="9" t="s">
        <v>4317</v>
      </c>
      <c r="C2121" s="9" t="s">
        <v>4264</v>
      </c>
      <c r="D2121" s="9" t="s">
        <v>91</v>
      </c>
      <c r="E2121" s="6" t="s">
        <v>4341</v>
      </c>
      <c r="F2121" s="9"/>
    </row>
    <row r="2122" ht="33.75" customHeight="1">
      <c r="A2122" s="7">
        <v>71.0</v>
      </c>
      <c r="B2122" s="9" t="s">
        <v>4317</v>
      </c>
      <c r="C2122" s="9" t="s">
        <v>4264</v>
      </c>
      <c r="D2122" s="9" t="s">
        <v>93</v>
      </c>
      <c r="E2122" s="6" t="s">
        <v>4334</v>
      </c>
      <c r="F2122" s="9"/>
    </row>
    <row r="2123" ht="33.75" customHeight="1">
      <c r="A2123" s="7">
        <v>71.0</v>
      </c>
      <c r="B2123" s="9" t="s">
        <v>4317</v>
      </c>
      <c r="C2123" s="9" t="s">
        <v>4264</v>
      </c>
      <c r="D2123" s="9" t="s">
        <v>95</v>
      </c>
      <c r="E2123" s="6" t="s">
        <v>4334</v>
      </c>
      <c r="F2123" s="9"/>
    </row>
    <row r="2124" ht="33.75" customHeight="1">
      <c r="A2124" s="7">
        <v>71.0</v>
      </c>
      <c r="B2124" s="9" t="s">
        <v>4317</v>
      </c>
      <c r="C2124" s="9" t="s">
        <v>4264</v>
      </c>
      <c r="D2124" s="9" t="s">
        <v>98</v>
      </c>
      <c r="E2124" s="6" t="s">
        <v>4334</v>
      </c>
      <c r="F2124" s="9"/>
    </row>
    <row r="2125" ht="33.75" customHeight="1">
      <c r="A2125" s="7">
        <v>71.0</v>
      </c>
      <c r="B2125" s="9" t="s">
        <v>4317</v>
      </c>
      <c r="C2125" s="9" t="s">
        <v>4264</v>
      </c>
      <c r="D2125" s="9" t="s">
        <v>99</v>
      </c>
      <c r="E2125" s="6" t="s">
        <v>4334</v>
      </c>
      <c r="F2125" s="9"/>
    </row>
    <row r="2126" ht="33.75" customHeight="1">
      <c r="A2126" s="7">
        <v>71.0</v>
      </c>
      <c r="B2126" s="9" t="s">
        <v>4317</v>
      </c>
      <c r="C2126" s="9" t="s">
        <v>4264</v>
      </c>
      <c r="D2126" s="9" t="s">
        <v>101</v>
      </c>
      <c r="E2126" s="6" t="s">
        <v>4318</v>
      </c>
      <c r="F2126" s="9"/>
    </row>
    <row r="2127" ht="33.75" customHeight="1">
      <c r="A2127" s="7">
        <v>71.0</v>
      </c>
      <c r="B2127" s="9" t="s">
        <v>4317</v>
      </c>
      <c r="C2127" s="9" t="s">
        <v>4264</v>
      </c>
      <c r="D2127" s="9" t="s">
        <v>105</v>
      </c>
      <c r="E2127" s="6" t="s">
        <v>4349</v>
      </c>
      <c r="F2127" s="9"/>
    </row>
    <row r="2128" ht="33.75" customHeight="1">
      <c r="A2128" s="7">
        <v>71.0</v>
      </c>
      <c r="B2128" s="9" t="s">
        <v>4317</v>
      </c>
      <c r="C2128" s="9" t="s">
        <v>4264</v>
      </c>
      <c r="D2128" s="9" t="s">
        <v>107</v>
      </c>
      <c r="E2128" s="6" t="s">
        <v>4351</v>
      </c>
      <c r="F2128" s="9"/>
    </row>
    <row r="2129" ht="33.75" customHeight="1">
      <c r="A2129" s="7">
        <v>71.0</v>
      </c>
      <c r="B2129" s="9" t="s">
        <v>4317</v>
      </c>
      <c r="C2129" s="9" t="s">
        <v>4264</v>
      </c>
      <c r="D2129" s="9" t="s">
        <v>109</v>
      </c>
      <c r="E2129" s="6" t="s">
        <v>4351</v>
      </c>
      <c r="F2129" s="9"/>
    </row>
    <row r="2130" ht="33.75" customHeight="1">
      <c r="A2130" s="7">
        <v>71.0</v>
      </c>
      <c r="B2130" s="9" t="s">
        <v>4317</v>
      </c>
      <c r="C2130" s="9" t="s">
        <v>4264</v>
      </c>
      <c r="D2130" s="9" t="s">
        <v>111</v>
      </c>
      <c r="E2130" s="6" t="s">
        <v>4355</v>
      </c>
      <c r="F2130" s="9"/>
    </row>
    <row r="2131" ht="33.75" customHeight="1">
      <c r="A2131" s="7">
        <v>71.0</v>
      </c>
      <c r="B2131" s="9" t="s">
        <v>4317</v>
      </c>
      <c r="C2131" s="9" t="s">
        <v>4264</v>
      </c>
      <c r="D2131" s="9" t="s">
        <v>113</v>
      </c>
      <c r="E2131" s="6" t="s">
        <v>4355</v>
      </c>
      <c r="F2131" s="9"/>
    </row>
    <row r="2132" ht="33.75" customHeight="1">
      <c r="A2132" s="7">
        <v>72.0</v>
      </c>
      <c r="B2132" s="9" t="s">
        <v>4359</v>
      </c>
      <c r="C2132" s="9" t="s">
        <v>4360</v>
      </c>
      <c r="D2132" s="9" t="s">
        <v>24</v>
      </c>
      <c r="E2132" s="6" t="s">
        <v>4361</v>
      </c>
      <c r="F2132" t="inlineStr" s="10">
        <is>
          <t xml:space="preserve">Ajelehtii matalissa merissä. Vahingossa niitä koukkuun tarttuneet kalastajat saavat usein rangaistuksena niiden pistävästä haposta. Sitä voi joskus löytää kokonaan kuivana ja kurttuisena rannalta. Heitä se takaisin mereen elvyttääksesi sitä. Kun vuorovesi laskee, rannalle voi huuhtoutua kuivuneita TENTACOOL-jäämiä. Se ajelehtii päämäärättömästi aalloissa. Vedessä sitä on hyvin vaikea nähdä, eikä sitä ehkä huomaa ennen kuin se pistää. Kun se kelluu aalloilla, se käyttää myrkyllisiä tuntosarviaan pistääkseen kaiken, mihin se koskee. TENTACOOLin ruumis koostuu pääosin vedestä. Jos se nostetaan merestä, se kuivuu kuin pergamentti. Jos tämä POKéMON sattuu kuivumaan, laita se takaisin mereen. TENTACOOL imee auringonvaloa ja taittaa sen kehonsa sisällä olevan veden avulla muuntaakseen sen sädeenergiaksi. Tämä POKéMON ampuu säteitä kristallinkaltaisista silmistään. Sen ruumis koostuu lähes kokonaan vedestä. Se kietoo vihollisensa ansaan kahdella pitkällä lonkerollaan ja sitten iskee myrkkypistimillä niiden kärjissä. Sen silmät ovat läpinäkyvät kuin kristallit. Niistä se ampuu salaperäisiä valonsäteitä. Ajelehtii matalissa vesissä. Vahingossa koukkuun tarttuneet kalastajat saavat usein rangaistuksen piikkiensä kautta. Sen ruumis koostuu käytännössä vedestä. Se ampuu outoja säteitä kristallinkaltaisista silmistään. Se ajelehtii merivirroissa. Lukemattomat kalastajat loukkaantuvat sen myrkyllisistä pistäjistä. Koska sen ruumis koostuu lähes kokonaan vedestä, se kutistuu, jos se ajautuu rannalle. Sitä on hyvin vaikea nähdä vedessä, eikä sitä ehkä huomaa ennen kuin se pistää. Tentacool imee auringonvaloa ja taittaa sen käyttämällä kehonsa sisällä olevaa vettä muuntaakseen sen sädeenergiaksi. Tämä Pokémon ampuu säteitä pienestä pyöreästä elimestä silmiensä yläpuolella. Niitä voi löytää kuihtuneina rannoilta, mutta ne ovat usein vielä elossa. Vedessä liotettuina ne heräävät henkiin. Se ajelehtii matalissa merissä, kuten rantojen lähellä. Jos sen myrkylliset lonkerot purevat tai pistävät sinua, kiirehdi sairaalaan. Se ajelehtii meren halki saalista etsien. Sen myrkylliset lonkerot katkeavat joskus, mutta jonkin ajan kuluttua ne kasvavat takaisin. Sen keho on 99 % vettä. Loput 1 % sisältää elimen, joka tuottaa sen myrkkyä. Tentacool ei ole erityisen hyvä uimari. Se ajelehtii matalien merien pinnalla etsiessään saalista. Tämä Pokémon on tehty pääosin vedestä. Tentacoolin havaitseminen meressä on erittäin vaikeaa, koska sen ruumis sulautuu mereen. Ne lähettävät säteitä lasinhohtoisista, magentanvärisistä palloista, jotka muistuttavat niiden pään päällä olevia silmiä, ja ne ajelehtivat matalissa merissä. Laskuveden aikaan niitä voi joskus löytää kuivuneilta rannoilta.</t>
        </is>
      </c>
    </row>
    <row r="2133" ht="33.75" customHeight="1">
      <c r="A2133" s="7">
        <v>72.0</v>
      </c>
      <c r="B2133" s="9" t="s">
        <v>4359</v>
      </c>
      <c r="C2133" s="9" t="s">
        <v>4360</v>
      </c>
      <c r="D2133" s="9" t="s">
        <v>35</v>
      </c>
      <c r="E2133" s="6" t="s">
        <v>4361</v>
      </c>
      <c r="F2133" s="9"/>
    </row>
    <row r="2134" ht="33.75" customHeight="1">
      <c r="A2134" s="7">
        <v>72.0</v>
      </c>
      <c r="B2134" s="9" t="s">
        <v>4359</v>
      </c>
      <c r="C2134" s="9" t="s">
        <v>4360</v>
      </c>
      <c r="D2134" s="9" t="s">
        <v>42</v>
      </c>
      <c r="E2134" s="6" t="s">
        <v>4365</v>
      </c>
      <c r="F2134" s="9"/>
    </row>
    <row r="2135" ht="33.75" customHeight="1">
      <c r="A2135" s="7">
        <v>72.0</v>
      </c>
      <c r="B2135" s="9" t="s">
        <v>4359</v>
      </c>
      <c r="C2135" s="9" t="s">
        <v>4360</v>
      </c>
      <c r="D2135" s="9" t="s">
        <v>52</v>
      </c>
      <c r="E2135" s="6" t="s">
        <v>4378</v>
      </c>
      <c r="F2135" s="9"/>
    </row>
    <row r="2136" ht="33.75" customHeight="1">
      <c r="A2136" s="7">
        <v>72.0</v>
      </c>
      <c r="B2136" s="9" t="s">
        <v>4359</v>
      </c>
      <c r="C2136" s="9" t="s">
        <v>4360</v>
      </c>
      <c r="D2136" s="9" t="s">
        <v>59</v>
      </c>
      <c r="E2136" s="6" t="s">
        <v>4381</v>
      </c>
      <c r="F2136" s="9"/>
    </row>
    <row r="2137" ht="33.75" customHeight="1">
      <c r="A2137" s="7">
        <v>72.0</v>
      </c>
      <c r="B2137" s="9" t="s">
        <v>4359</v>
      </c>
      <c r="C2137" s="9" t="s">
        <v>4360</v>
      </c>
      <c r="D2137" s="9" t="s">
        <v>64</v>
      </c>
      <c r="E2137" s="6" t="s">
        <v>4384</v>
      </c>
      <c r="F2137" s="9"/>
    </row>
    <row r="2138" ht="33.75" customHeight="1">
      <c r="A2138" s="7">
        <v>72.0</v>
      </c>
      <c r="B2138" s="9" t="s">
        <v>4359</v>
      </c>
      <c r="C2138" s="9" t="s">
        <v>4360</v>
      </c>
      <c r="D2138" s="9" t="s">
        <v>67</v>
      </c>
      <c r="E2138" s="6" t="s">
        <v>4386</v>
      </c>
      <c r="F2138" s="9"/>
    </row>
    <row r="2139" ht="33.75" customHeight="1">
      <c r="A2139" s="7">
        <v>72.0</v>
      </c>
      <c r="B2139" s="9" t="s">
        <v>4359</v>
      </c>
      <c r="C2139" s="9" t="s">
        <v>4360</v>
      </c>
      <c r="D2139" s="9" t="s">
        <v>71</v>
      </c>
      <c r="E2139" s="6" t="s">
        <v>4387</v>
      </c>
      <c r="F2139" s="9"/>
    </row>
    <row r="2140" ht="33.75" customHeight="1">
      <c r="A2140" s="7">
        <v>72.0</v>
      </c>
      <c r="B2140" s="9" t="s">
        <v>4359</v>
      </c>
      <c r="C2140" s="9" t="s">
        <v>4360</v>
      </c>
      <c r="D2140" s="9" t="s">
        <v>73</v>
      </c>
      <c r="E2140" s="6" t="s">
        <v>4389</v>
      </c>
      <c r="F2140" s="9"/>
    </row>
    <row r="2141" ht="33.75" customHeight="1">
      <c r="A2141" s="7">
        <v>72.0</v>
      </c>
      <c r="B2141" s="9" t="s">
        <v>4359</v>
      </c>
      <c r="C2141" s="9" t="s">
        <v>4360</v>
      </c>
      <c r="D2141" s="9" t="s">
        <v>75</v>
      </c>
      <c r="E2141" s="6" t="s">
        <v>4391</v>
      </c>
      <c r="F2141" s="9"/>
    </row>
    <row r="2142" ht="33.75" customHeight="1">
      <c r="A2142" s="7">
        <v>72.0</v>
      </c>
      <c r="B2142" s="9" t="s">
        <v>4359</v>
      </c>
      <c r="C2142" s="9" t="s">
        <v>4360</v>
      </c>
      <c r="D2142" s="9" t="s">
        <v>79</v>
      </c>
      <c r="E2142" s="6" t="s">
        <v>4392</v>
      </c>
      <c r="F2142" s="9"/>
    </row>
    <row r="2143" ht="33.75" customHeight="1">
      <c r="A2143" s="7">
        <v>72.0</v>
      </c>
      <c r="B2143" s="9" t="s">
        <v>4359</v>
      </c>
      <c r="C2143" s="9" t="s">
        <v>4360</v>
      </c>
      <c r="D2143" s="9" t="s">
        <v>81</v>
      </c>
      <c r="E2143" s="6" t="s">
        <v>4394</v>
      </c>
      <c r="F2143" s="9"/>
    </row>
    <row r="2144" ht="33.75" customHeight="1">
      <c r="A2144" s="7">
        <v>72.0</v>
      </c>
      <c r="B2144" s="9" t="s">
        <v>4359</v>
      </c>
      <c r="C2144" s="9" t="s">
        <v>4360</v>
      </c>
      <c r="D2144" s="9" t="s">
        <v>84</v>
      </c>
      <c r="E2144" s="6" t="s">
        <v>4398</v>
      </c>
      <c r="F2144" s="9"/>
    </row>
    <row r="2145" ht="33.75" customHeight="1">
      <c r="A2145" s="7">
        <v>72.0</v>
      </c>
      <c r="B2145" s="9" t="s">
        <v>4359</v>
      </c>
      <c r="C2145" s="9" t="s">
        <v>4360</v>
      </c>
      <c r="D2145" s="9" t="s">
        <v>87</v>
      </c>
      <c r="E2145" s="6" t="s">
        <v>4401</v>
      </c>
      <c r="F2145" s="9"/>
    </row>
    <row r="2146" ht="33.75" customHeight="1">
      <c r="A2146" s="7">
        <v>72.0</v>
      </c>
      <c r="B2146" s="9" t="s">
        <v>4359</v>
      </c>
      <c r="C2146" s="9" t="s">
        <v>4360</v>
      </c>
      <c r="D2146" s="9" t="s">
        <v>89</v>
      </c>
      <c r="E2146" s="6" t="s">
        <v>4378</v>
      </c>
      <c r="F2146" s="9"/>
    </row>
    <row r="2147" ht="33.75" customHeight="1">
      <c r="A2147" s="7">
        <v>72.0</v>
      </c>
      <c r="B2147" s="9" t="s">
        <v>4359</v>
      </c>
      <c r="C2147" s="9" t="s">
        <v>4360</v>
      </c>
      <c r="D2147" s="9" t="s">
        <v>91</v>
      </c>
      <c r="E2147" s="6" t="s">
        <v>4405</v>
      </c>
      <c r="F2147" s="9"/>
    </row>
    <row r="2148" ht="33.75" customHeight="1">
      <c r="A2148" s="7">
        <v>72.0</v>
      </c>
      <c r="B2148" s="9" t="s">
        <v>4359</v>
      </c>
      <c r="C2148" s="9" t="s">
        <v>4360</v>
      </c>
      <c r="D2148" s="9" t="s">
        <v>93</v>
      </c>
      <c r="E2148" s="6" t="s">
        <v>4401</v>
      </c>
      <c r="F2148" s="9"/>
    </row>
    <row r="2149" ht="33.75" customHeight="1">
      <c r="A2149" s="7">
        <v>72.0</v>
      </c>
      <c r="B2149" s="9" t="s">
        <v>4359</v>
      </c>
      <c r="C2149" s="9" t="s">
        <v>4360</v>
      </c>
      <c r="D2149" s="9" t="s">
        <v>95</v>
      </c>
      <c r="E2149" s="6" t="s">
        <v>4401</v>
      </c>
      <c r="F2149" s="9"/>
    </row>
    <row r="2150" ht="33.75" customHeight="1">
      <c r="A2150" s="7">
        <v>72.0</v>
      </c>
      <c r="B2150" s="9" t="s">
        <v>4359</v>
      </c>
      <c r="C2150" s="9" t="s">
        <v>4360</v>
      </c>
      <c r="D2150" s="9" t="s">
        <v>98</v>
      </c>
      <c r="E2150" s="6" t="s">
        <v>4401</v>
      </c>
      <c r="F2150" s="9"/>
    </row>
    <row r="2151" ht="33.75" customHeight="1">
      <c r="A2151" s="7">
        <v>72.0</v>
      </c>
      <c r="B2151" s="9" t="s">
        <v>4359</v>
      </c>
      <c r="C2151" s="9" t="s">
        <v>4360</v>
      </c>
      <c r="D2151" s="9" t="s">
        <v>99</v>
      </c>
      <c r="E2151" s="6" t="s">
        <v>4401</v>
      </c>
      <c r="F2151" s="9"/>
    </row>
    <row r="2152" ht="33.75" customHeight="1">
      <c r="A2152" s="7">
        <v>72.0</v>
      </c>
      <c r="B2152" s="9" t="s">
        <v>4359</v>
      </c>
      <c r="C2152" s="9" t="s">
        <v>4360</v>
      </c>
      <c r="D2152" s="9" t="s">
        <v>101</v>
      </c>
      <c r="E2152" s="6" t="s">
        <v>4394</v>
      </c>
      <c r="F2152" s="9"/>
    </row>
    <row r="2153" ht="33.75" customHeight="1">
      <c r="A2153" s="7">
        <v>72.0</v>
      </c>
      <c r="B2153" s="9" t="s">
        <v>4359</v>
      </c>
      <c r="C2153" s="9" t="s">
        <v>4360</v>
      </c>
      <c r="D2153" s="9" t="s">
        <v>105</v>
      </c>
      <c r="E2153" s="6" t="s">
        <v>4392</v>
      </c>
      <c r="F2153" s="9"/>
    </row>
    <row r="2154" ht="33.75" customHeight="1">
      <c r="A2154" s="7">
        <v>72.0</v>
      </c>
      <c r="B2154" s="9" t="s">
        <v>4359</v>
      </c>
      <c r="C2154" s="9" t="s">
        <v>4360</v>
      </c>
      <c r="D2154" s="9" t="s">
        <v>107</v>
      </c>
      <c r="E2154" s="6" t="s">
        <v>4417</v>
      </c>
      <c r="F2154" s="9"/>
    </row>
    <row r="2155" ht="33.75" customHeight="1">
      <c r="A2155" s="7">
        <v>72.0</v>
      </c>
      <c r="B2155" s="9" t="s">
        <v>4359</v>
      </c>
      <c r="C2155" s="9" t="s">
        <v>4360</v>
      </c>
      <c r="D2155" s="9" t="s">
        <v>109</v>
      </c>
      <c r="E2155" s="6" t="s">
        <v>4420</v>
      </c>
      <c r="F2155" s="9"/>
    </row>
    <row r="2156" ht="33.75" customHeight="1">
      <c r="A2156" s="7">
        <v>72.0</v>
      </c>
      <c r="B2156" s="9" t="s">
        <v>4359</v>
      </c>
      <c r="C2156" s="9" t="s">
        <v>4360</v>
      </c>
      <c r="D2156" s="9" t="s">
        <v>637</v>
      </c>
      <c r="E2156" s="6" t="s">
        <v>4422</v>
      </c>
      <c r="F2156" s="9"/>
    </row>
    <row r="2157" ht="33.75" customHeight="1">
      <c r="A2157" s="7">
        <v>72.0</v>
      </c>
      <c r="B2157" s="9" t="s">
        <v>4359</v>
      </c>
      <c r="C2157" s="9" t="s">
        <v>4360</v>
      </c>
      <c r="D2157" s="9" t="s">
        <v>642</v>
      </c>
      <c r="E2157" s="6" t="s">
        <v>4424</v>
      </c>
      <c r="F2157" s="9"/>
    </row>
    <row r="2158" ht="33.75" customHeight="1">
      <c r="A2158" s="7">
        <v>72.0</v>
      </c>
      <c r="B2158" s="9" t="s">
        <v>4359</v>
      </c>
      <c r="C2158" s="9" t="s">
        <v>4360</v>
      </c>
      <c r="D2158" s="9" t="s">
        <v>647</v>
      </c>
      <c r="E2158" s="6" t="s">
        <v>4428</v>
      </c>
      <c r="F2158" s="9"/>
    </row>
    <row r="2159" ht="33.75" customHeight="1">
      <c r="A2159" s="7">
        <v>72.0</v>
      </c>
      <c r="B2159" s="9" t="s">
        <v>4359</v>
      </c>
      <c r="C2159" s="9" t="s">
        <v>4360</v>
      </c>
      <c r="D2159" s="9" t="s">
        <v>652</v>
      </c>
      <c r="E2159" s="6" t="s">
        <v>4430</v>
      </c>
      <c r="F2159" s="9"/>
    </row>
    <row r="2160" ht="33.75" customHeight="1">
      <c r="A2160" s="7">
        <v>72.0</v>
      </c>
      <c r="B2160" s="9" t="s">
        <v>4359</v>
      </c>
      <c r="C2160" s="9" t="s">
        <v>4360</v>
      </c>
      <c r="D2160" s="9" t="s">
        <v>111</v>
      </c>
      <c r="E2160" s="6" t="s">
        <v>4365</v>
      </c>
      <c r="F2160" s="9"/>
    </row>
    <row r="2161" ht="33.75" customHeight="1">
      <c r="A2161" s="7">
        <v>72.0</v>
      </c>
      <c r="B2161" s="9" t="s">
        <v>4359</v>
      </c>
      <c r="C2161" s="9" t="s">
        <v>4360</v>
      </c>
      <c r="D2161" s="9" t="s">
        <v>113</v>
      </c>
      <c r="E2161" s="6" t="s">
        <v>4365</v>
      </c>
      <c r="F2161" s="9"/>
    </row>
    <row r="2162" ht="33.75" customHeight="1">
      <c r="A2162" s="7">
        <v>72.0</v>
      </c>
      <c r="B2162" s="9" t="s">
        <v>4359</v>
      </c>
      <c r="C2162" s="9" t="s">
        <v>4360</v>
      </c>
      <c r="D2162" s="9" t="s">
        <v>114</v>
      </c>
      <c r="E2162" s="6" t="s">
        <v>4436</v>
      </c>
      <c r="F2162" s="9"/>
    </row>
    <row r="2163" ht="33.75" customHeight="1">
      <c r="A2163" s="7">
        <v>72.0</v>
      </c>
      <c r="B2163" s="9" t="s">
        <v>4359</v>
      </c>
      <c r="C2163" s="9" t="s">
        <v>4360</v>
      </c>
      <c r="D2163" s="9" t="s">
        <v>117</v>
      </c>
      <c r="E2163" s="6" t="s">
        <v>4438</v>
      </c>
      <c r="F2163" s="9"/>
    </row>
    <row r="2164" ht="33.75" customHeight="1">
      <c r="A2164" s="7">
        <v>72.0</v>
      </c>
      <c r="B2164" s="9" t="s">
        <v>4359</v>
      </c>
      <c r="C2164" s="9" t="s">
        <v>4360</v>
      </c>
      <c r="D2164" s="9" t="s">
        <v>1577</v>
      </c>
      <c r="E2164" s="6" t="s">
        <v>4440</v>
      </c>
      <c r="F2164" s="9"/>
    </row>
    <row r="2165" ht="33.75" customHeight="1">
      <c r="A2165" s="7">
        <v>73.0</v>
      </c>
      <c r="B2165" s="9" t="s">
        <v>4441</v>
      </c>
      <c r="C2165" s="9" t="s">
        <v>4360</v>
      </c>
      <c r="D2165" s="9" t="s">
        <v>24</v>
      </c>
      <c r="E2165" s="6" t="s">
        <v>4443</v>
      </c>
      <c r="F2165" t="inlineStr" s="10">
        <is>
          <t xml:space="preserve">Lonkerot pidetään yleensä lyhyinä. Metsästyksessä ne ojennetaan saaliin vangitsemiseksi ja liikkumattomana pitämiseksi. Sen 80 lonkeroa voivat venytellä ja supistua vapaasti. Ne kietoutuvat saaliinsa ympärille ja heikentävät sitä myrkyllä. Sen 80 lonkeroa imevät vettä ja venyvät lähes loputtomasti RAIKOTTAAkseen saalistaan ​​ja vihollisiaan. Taistelussa se ojentaa kaikki 80 lonkeroaan ja vangitsee vastustajansa myrkylliseen verkkoon. Kun sen 80 tuntoelimet imevät vettä, se venyy ja muuttuu verkon kaltaiseksi, johon se voi kietoa saaliinsa. TENTACRUELilla on päässään suuret punaiset pallot. Pallot hehkuvat ennen kuin ne iskevät lähiympäristöön voimakkaalla ultraäänisäteilyllä. Tämän POKéMONin purkaus luo karkeita aaltoja sen ympärille. TENTACRUELilla on lonkeroita, joita voi vapaasti pidentää ja lyhentää mielin määrin. Se kietoo saaliinsa lonkeroillaan ja heikentää sitä annostelemalla siihen ankaraa myrkkyä. Se voi pyydystää jopa 80 saalista samanaikaisesti. Se elää monimutkaisissa kalliomuodostelmissa merenpohjassa ja pyydystää saalista 80 lonkerollaan. Sen punaiset pallot hohtavat, kun se kiihtyy tai levoton. Sillä on 80 lonkeroa, jotka liikkuvat vapaasti. Ne voivat pistää aiheuttaen myrkytyksen ja terävää, viiltävää kipua. 80 lonkerolla uhrien houkuttelemiseksi se estää pakenemisen, kunnes saalis on myrkyn heikentämä. Se varoittaa muita vaarasta väläyttämällä päänsä punaisia ​​palloja räikeästi. Se ojentaa 80 lonkeroaan muodostaen ympäröivän myrkyllisen verkon, josta on vaikea päästä eroon. Sen 80 lonkeroa imevät vettä ja venyvät lähes loputtomasti kuristaakseen saalistaan ​​ja vihollisiaan. Normaalisti sillä on 80 myrkyllistä lonkeroa. Mitä kauemmin se on ollut elossa, sitä vähemmän lonkeroita sillä on. Vaikka nämä Pokémonit ovat harvinaisia, suuren epidemian aikana kaikki kala-Pokémonit katoavat ympäröivästä merestä. Se ampuu punaisista palloistaan ​​ultraääniaaltoja heikentääkseen saalistaan ​​ja sitten käärii ne 80 lonkeroonsa. Se kommunikoi muiden kaltaistensa kanssa valaisemalla päässään olevat punaiset pallot. Kun pallot vilkkuvat, se on varoitusmerkki. Kun Tentacruelin pään punaiset pallot hehkuvat kirkkaasti, ole varovainen. Pokémon on ampumassa ultraääniaaltojen purkauksen. Sen 80 lonkeroa voivat venyä ja kutistua vapaasti. Tentacruel kietoo saaliinsa levittäytyneiden lonkeroiden verkkoon ja antaa saaliilleen myrkyllisiä pistoja. Siinä on 80 lonkeroa, joista jokaisessa on myrkyllinen kärki. Nämä lonkerot ovat myös pidennettävissä, ja ne pitenevät, kun Tentacruel yrittää napata saalista. Ole varovainen.</t>
        </is>
      </c>
    </row>
    <row r="2166" ht="33.75" customHeight="1">
      <c r="A2166" s="7">
        <v>73.0</v>
      </c>
      <c r="B2166" s="9" t="s">
        <v>4441</v>
      </c>
      <c r="C2166" s="9" t="s">
        <v>4360</v>
      </c>
      <c r="D2166" s="9" t="s">
        <v>35</v>
      </c>
      <c r="E2166" s="6" t="s">
        <v>4443</v>
      </c>
      <c r="F2166" s="9"/>
    </row>
    <row r="2167" ht="33.75" customHeight="1">
      <c r="A2167" s="7">
        <v>73.0</v>
      </c>
      <c r="B2167" s="9" t="s">
        <v>4441</v>
      </c>
      <c r="C2167" s="9" t="s">
        <v>4360</v>
      </c>
      <c r="D2167" s="9" t="s">
        <v>42</v>
      </c>
      <c r="E2167" s="6" t="s">
        <v>4447</v>
      </c>
      <c r="F2167" s="9"/>
    </row>
    <row r="2168" ht="33.75" customHeight="1">
      <c r="A2168" s="7">
        <v>73.0</v>
      </c>
      <c r="B2168" s="9" t="s">
        <v>4441</v>
      </c>
      <c r="C2168" s="9" t="s">
        <v>4360</v>
      </c>
      <c r="D2168" s="9" t="s">
        <v>52</v>
      </c>
      <c r="E2168" s="6" t="s">
        <v>4449</v>
      </c>
      <c r="F2168" s="9"/>
    </row>
    <row r="2169" ht="33.75" customHeight="1">
      <c r="A2169" s="7">
        <v>73.0</v>
      </c>
      <c r="B2169" s="9" t="s">
        <v>4441</v>
      </c>
      <c r="C2169" s="9" t="s">
        <v>4360</v>
      </c>
      <c r="D2169" s="9" t="s">
        <v>59</v>
      </c>
      <c r="E2169" s="6" t="s">
        <v>4451</v>
      </c>
      <c r="F2169" s="9"/>
    </row>
    <row r="2170" ht="33.75" customHeight="1">
      <c r="A2170" s="7">
        <v>73.0</v>
      </c>
      <c r="B2170" s="9" t="s">
        <v>4441</v>
      </c>
      <c r="C2170" s="9" t="s">
        <v>4360</v>
      </c>
      <c r="D2170" s="9" t="s">
        <v>64</v>
      </c>
      <c r="E2170" s="6" t="s">
        <v>4453</v>
      </c>
      <c r="F2170" s="9"/>
    </row>
    <row r="2171" ht="33.75" customHeight="1">
      <c r="A2171" s="7">
        <v>73.0</v>
      </c>
      <c r="B2171" s="9" t="s">
        <v>4441</v>
      </c>
      <c r="C2171" s="9" t="s">
        <v>4360</v>
      </c>
      <c r="D2171" s="9" t="s">
        <v>67</v>
      </c>
      <c r="E2171" s="6" t="s">
        <v>4455</v>
      </c>
      <c r="F2171" s="9"/>
    </row>
    <row r="2172" ht="33.75" customHeight="1">
      <c r="A2172" s="7">
        <v>73.0</v>
      </c>
      <c r="B2172" s="9" t="s">
        <v>4441</v>
      </c>
      <c r="C2172" s="9" t="s">
        <v>4360</v>
      </c>
      <c r="D2172" s="9" t="s">
        <v>71</v>
      </c>
      <c r="E2172" s="6" t="s">
        <v>4458</v>
      </c>
      <c r="F2172" s="9"/>
    </row>
    <row r="2173" ht="33.75" customHeight="1">
      <c r="A2173" s="7">
        <v>73.0</v>
      </c>
      <c r="B2173" s="9" t="s">
        <v>4441</v>
      </c>
      <c r="C2173" s="9" t="s">
        <v>4360</v>
      </c>
      <c r="D2173" s="9" t="s">
        <v>73</v>
      </c>
      <c r="E2173" s="6" t="s">
        <v>4460</v>
      </c>
      <c r="F2173" s="9"/>
    </row>
    <row r="2174" ht="33.75" customHeight="1">
      <c r="A2174" s="7">
        <v>73.0</v>
      </c>
      <c r="B2174" s="9" t="s">
        <v>4441</v>
      </c>
      <c r="C2174" s="9" t="s">
        <v>4360</v>
      </c>
      <c r="D2174" s="9" t="s">
        <v>75</v>
      </c>
      <c r="E2174" s="6" t="s">
        <v>4463</v>
      </c>
      <c r="F2174" s="9"/>
    </row>
    <row r="2175" ht="33.75" customHeight="1">
      <c r="A2175" s="7">
        <v>73.0</v>
      </c>
      <c r="B2175" s="9" t="s">
        <v>4441</v>
      </c>
      <c r="C2175" s="9" t="s">
        <v>4360</v>
      </c>
      <c r="D2175" s="9" t="s">
        <v>79</v>
      </c>
      <c r="E2175" s="6" t="s">
        <v>4443</v>
      </c>
      <c r="F2175" s="9"/>
    </row>
    <row r="2176" ht="33.75" customHeight="1">
      <c r="A2176" s="7">
        <v>73.0</v>
      </c>
      <c r="B2176" s="9" t="s">
        <v>4441</v>
      </c>
      <c r="C2176" s="9" t="s">
        <v>4360</v>
      </c>
      <c r="D2176" s="9" t="s">
        <v>81</v>
      </c>
      <c r="E2176" s="6" t="s">
        <v>4466</v>
      </c>
      <c r="F2176" s="9"/>
    </row>
    <row r="2177" ht="33.75" customHeight="1">
      <c r="A2177" s="7">
        <v>73.0</v>
      </c>
      <c r="B2177" s="9" t="s">
        <v>4441</v>
      </c>
      <c r="C2177" s="9" t="s">
        <v>4360</v>
      </c>
      <c r="D2177" s="9" t="s">
        <v>84</v>
      </c>
      <c r="E2177" s="6" t="s">
        <v>4468</v>
      </c>
      <c r="F2177" s="9"/>
    </row>
    <row r="2178" ht="33.75" customHeight="1">
      <c r="A2178" s="7">
        <v>73.0</v>
      </c>
      <c r="B2178" s="9" t="s">
        <v>4441</v>
      </c>
      <c r="C2178" s="9" t="s">
        <v>4360</v>
      </c>
      <c r="D2178" s="9" t="s">
        <v>87</v>
      </c>
      <c r="E2178" s="6" t="s">
        <v>4474</v>
      </c>
      <c r="F2178" s="9"/>
    </row>
    <row r="2179" ht="33.75" customHeight="1">
      <c r="A2179" s="7">
        <v>73.0</v>
      </c>
      <c r="B2179" s="9" t="s">
        <v>4441</v>
      </c>
      <c r="C2179" s="9" t="s">
        <v>4360</v>
      </c>
      <c r="D2179" s="9" t="s">
        <v>89</v>
      </c>
      <c r="E2179" s="6" t="s">
        <v>4478</v>
      </c>
      <c r="F2179" s="9"/>
    </row>
    <row r="2180" ht="33.75" customHeight="1">
      <c r="A2180" s="7">
        <v>73.0</v>
      </c>
      <c r="B2180" s="9" t="s">
        <v>4441</v>
      </c>
      <c r="C2180" s="9" t="s">
        <v>4360</v>
      </c>
      <c r="D2180" s="9" t="s">
        <v>91</v>
      </c>
      <c r="E2180" s="6" t="s">
        <v>4451</v>
      </c>
      <c r="F2180" s="9"/>
    </row>
    <row r="2181" ht="33.75" customHeight="1">
      <c r="A2181" s="7">
        <v>73.0</v>
      </c>
      <c r="B2181" s="9" t="s">
        <v>4441</v>
      </c>
      <c r="C2181" s="9" t="s">
        <v>4360</v>
      </c>
      <c r="D2181" s="9" t="s">
        <v>93</v>
      </c>
      <c r="E2181" s="6" t="s">
        <v>4474</v>
      </c>
      <c r="F2181" s="9"/>
    </row>
    <row r="2182" ht="33.75" customHeight="1">
      <c r="A2182" s="7">
        <v>73.0</v>
      </c>
      <c r="B2182" s="9" t="s">
        <v>4441</v>
      </c>
      <c r="C2182" s="9" t="s">
        <v>4360</v>
      </c>
      <c r="D2182" s="9" t="s">
        <v>95</v>
      </c>
      <c r="E2182" s="6" t="s">
        <v>4474</v>
      </c>
      <c r="F2182" s="9"/>
    </row>
    <row r="2183" ht="33.75" customHeight="1">
      <c r="A2183" s="7">
        <v>73.0</v>
      </c>
      <c r="B2183" s="9" t="s">
        <v>4441</v>
      </c>
      <c r="C2183" s="9" t="s">
        <v>4360</v>
      </c>
      <c r="D2183" s="9" t="s">
        <v>98</v>
      </c>
      <c r="E2183" s="6" t="s">
        <v>4474</v>
      </c>
      <c r="F2183" s="9"/>
    </row>
    <row r="2184" ht="33.75" customHeight="1">
      <c r="A2184" s="7">
        <v>73.0</v>
      </c>
      <c r="B2184" s="9" t="s">
        <v>4441</v>
      </c>
      <c r="C2184" s="9" t="s">
        <v>4360</v>
      </c>
      <c r="D2184" s="9" t="s">
        <v>99</v>
      </c>
      <c r="E2184" s="6" t="s">
        <v>4474</v>
      </c>
      <c r="F2184" s="9"/>
    </row>
    <row r="2185" ht="33.75" customHeight="1">
      <c r="A2185" s="7">
        <v>73.0</v>
      </c>
      <c r="B2185" s="9" t="s">
        <v>4441</v>
      </c>
      <c r="C2185" s="9" t="s">
        <v>4360</v>
      </c>
      <c r="D2185" s="9" t="s">
        <v>101</v>
      </c>
      <c r="E2185" s="6" t="s">
        <v>4443</v>
      </c>
      <c r="F2185" s="9"/>
    </row>
    <row r="2186" ht="33.75" customHeight="1">
      <c r="A2186" s="7">
        <v>73.0</v>
      </c>
      <c r="B2186" s="9" t="s">
        <v>4441</v>
      </c>
      <c r="C2186" s="9" t="s">
        <v>4360</v>
      </c>
      <c r="D2186" s="9" t="s">
        <v>105</v>
      </c>
      <c r="E2186" s="6" t="s">
        <v>4463</v>
      </c>
      <c r="F2186" s="9"/>
    </row>
    <row r="2187" ht="33.75" customHeight="1">
      <c r="A2187" s="7">
        <v>73.0</v>
      </c>
      <c r="B2187" s="9" t="s">
        <v>4441</v>
      </c>
      <c r="C2187" s="9" t="s">
        <v>4360</v>
      </c>
      <c r="D2187" s="9" t="s">
        <v>107</v>
      </c>
      <c r="E2187" s="6" t="s">
        <v>4486</v>
      </c>
      <c r="F2187" s="9"/>
    </row>
    <row r="2188" ht="33.75" customHeight="1">
      <c r="A2188" s="7">
        <v>73.0</v>
      </c>
      <c r="B2188" s="9" t="s">
        <v>4441</v>
      </c>
      <c r="C2188" s="9" t="s">
        <v>4360</v>
      </c>
      <c r="D2188" s="9" t="s">
        <v>109</v>
      </c>
      <c r="E2188" s="6" t="s">
        <v>4489</v>
      </c>
      <c r="F2188" s="9"/>
    </row>
    <row r="2189" ht="33.75" customHeight="1">
      <c r="A2189" s="7">
        <v>73.0</v>
      </c>
      <c r="B2189" s="9" t="s">
        <v>4441</v>
      </c>
      <c r="C2189" s="9" t="s">
        <v>4360</v>
      </c>
      <c r="D2189" s="9" t="s">
        <v>637</v>
      </c>
      <c r="E2189" s="6" t="s">
        <v>4491</v>
      </c>
      <c r="F2189" s="9"/>
    </row>
    <row r="2190" ht="33.75" customHeight="1">
      <c r="A2190" s="7">
        <v>73.0</v>
      </c>
      <c r="B2190" s="9" t="s">
        <v>4441</v>
      </c>
      <c r="C2190" s="9" t="s">
        <v>4360</v>
      </c>
      <c r="D2190" s="9" t="s">
        <v>642</v>
      </c>
      <c r="E2190" s="6" t="s">
        <v>4493</v>
      </c>
      <c r="F2190" s="9"/>
    </row>
    <row r="2191" ht="33.75" customHeight="1">
      <c r="A2191" s="7">
        <v>73.0</v>
      </c>
      <c r="B2191" s="9" t="s">
        <v>4441</v>
      </c>
      <c r="C2191" s="9" t="s">
        <v>4360</v>
      </c>
      <c r="D2191" s="9" t="s">
        <v>647</v>
      </c>
      <c r="E2191" s="6" t="s">
        <v>4496</v>
      </c>
      <c r="F2191" s="9"/>
    </row>
    <row r="2192" ht="33.75" customHeight="1">
      <c r="A2192" s="7">
        <v>73.0</v>
      </c>
      <c r="B2192" s="9" t="s">
        <v>4441</v>
      </c>
      <c r="C2192" s="9" t="s">
        <v>4360</v>
      </c>
      <c r="D2192" s="9" t="s">
        <v>652</v>
      </c>
      <c r="E2192" s="6" t="s">
        <v>4498</v>
      </c>
      <c r="F2192" s="9"/>
    </row>
    <row r="2193" ht="33.75" customHeight="1">
      <c r="A2193" s="7">
        <v>73.0</v>
      </c>
      <c r="B2193" s="9" t="s">
        <v>4441</v>
      </c>
      <c r="C2193" s="9" t="s">
        <v>4360</v>
      </c>
      <c r="D2193" s="9" t="s">
        <v>111</v>
      </c>
      <c r="E2193" s="6" t="s">
        <v>4447</v>
      </c>
      <c r="F2193" s="9"/>
    </row>
    <row r="2194" ht="33.75" customHeight="1">
      <c r="A2194" s="7">
        <v>73.0</v>
      </c>
      <c r="B2194" s="9" t="s">
        <v>4441</v>
      </c>
      <c r="C2194" s="9" t="s">
        <v>4360</v>
      </c>
      <c r="D2194" s="9" t="s">
        <v>113</v>
      </c>
      <c r="E2194" s="6" t="s">
        <v>4447</v>
      </c>
      <c r="F2194" s="9"/>
    </row>
    <row r="2195" ht="33.75" customHeight="1">
      <c r="A2195" s="7">
        <v>73.0</v>
      </c>
      <c r="B2195" s="9" t="s">
        <v>4441</v>
      </c>
      <c r="C2195" s="9" t="s">
        <v>4360</v>
      </c>
      <c r="D2195" s="9" t="s">
        <v>114</v>
      </c>
      <c r="E2195" s="6" t="s">
        <v>4503</v>
      </c>
      <c r="F2195" s="9"/>
    </row>
    <row r="2196" ht="33.75" customHeight="1">
      <c r="A2196" s="7">
        <v>73.0</v>
      </c>
      <c r="B2196" s="9" t="s">
        <v>4441</v>
      </c>
      <c r="C2196" s="9" t="s">
        <v>4360</v>
      </c>
      <c r="D2196" s="9" t="s">
        <v>117</v>
      </c>
      <c r="E2196" s="6" t="s">
        <v>4505</v>
      </c>
      <c r="F2196" s="9"/>
    </row>
    <row r="2197" ht="33.75" customHeight="1">
      <c r="A2197" s="7">
        <v>73.0</v>
      </c>
      <c r="B2197" s="9" t="s">
        <v>4441</v>
      </c>
      <c r="C2197" s="9" t="s">
        <v>4360</v>
      </c>
      <c r="D2197" s="9" t="s">
        <v>1577</v>
      </c>
      <c r="E2197" s="6" t="s">
        <v>4507</v>
      </c>
      <c r="F2197" s="9"/>
    </row>
    <row r="2198" ht="33.75" customHeight="1">
      <c r="A2198" s="7">
        <v>74.0</v>
      </c>
      <c r="B2198" s="9" t="s">
        <v>4509</v>
      </c>
      <c r="C2198" s="9" t="s">
        <v>4510</v>
      </c>
      <c r="D2198" s="9" t="s">
        <v>24</v>
      </c>
      <c r="E2198" s="6" t="s">
        <v>4512</v>
      </c>
      <c r="F2198" t="inlineStr" s="10">
        <is>
          <t xml:space="preserve">Niitä tavataan pelloilla ja vuorilla. Ihmiset usein erehtyvät luulemaan niitä lohkareiksi ja astuvat tai kompastuvat niihin. Yleisesti löytyy vuoristopolkujen läheltä jne. Jos astut sellaisen päälle vahingossa, se suuttuu. Useimmat ihmiset eivät ehkä huomaa, mutta lähempi tarkastelu paljastaa, että GEODUDE-hahmoja on paljon. Se käyttää käsiään kiivetäkseen tasaisesti jyrkkiä vuoristopolkuja. Se heiluttelee nyrkkejään suuttuessaan. Ylpeinä vankoista vartaloistaan ​​he ottavat mittaa toisistaan ​​kilpailussa siitä, kuka on vaikeampi. Mitä pidempään GEODUDE elää, sitä enemmän sen reunat lohkeilevat ja kuluvat pois, mikä tekee siitä pyöreämmän näköisen. Tämän POKéMONin sydän pysyy kuitenkin aina kovana, rosoisena ja rosoisena. Kun GEODUDE nukkuu sikeästi, se hautaa itsensä puoliksi maahan. Se ei herää, vaikka retkeilijät astuisivat sen päälle tietämättään. Aamulla tämä POKéMON vieree alamäkeen etsimään ruokaa. Se kiipeää vuoristopolkuja käyttäen vain käsivarsiensa voimaa. Koska ne näyttävät aivan polkuja reunustavilta lohkareilta, retkeilijät saattavat astua niille huomaamattaan. Pyöreän muotonsa ansiosta se on helppo nostaa. Jotkut ovat käyttäneet niitä lumisotapeliin heitelläkseen toisiaan kohti. Monet elävät vuoristopoluilla ja pysyvät puoliksi hautautuneina pitäen samalla silmällä kiipeilijöitä. Sitä on mahdotonta erottaa kivistä. Se iskee muita kiviä vasten kovuuskilpailuissa. Levossa se näyttää aivan kiveltä. Varomaton sen päälle astuminen saa sen heiluttamaan nyrkkejään vihaisesti. Tämän Pokémonin sydän pysyy kuitenkin aina kovana, rosoisena ja karheana. Kun Geodude nukkuu sikeästi, se hautaa itsensä puoliväliin maahan. Aamulla tämä Pokémon vierii alamäkeen etsien ruokaa. Sen pyöreä runko tekee siitä helpon nostaa, mutta se on kova ja painava. Niillä on vaarallista leikkiä kuin lumipalloilla. Niitä löytyy runsaasti minkä tahansa tien varrelta. Eräs liikaa vapaa-aikaa omaava oppinut laski kerran niitä sata yhden reitin varrella. Pitkään eläneiden geodude-käärmeiden kaikki reunat ovat hioutuneet täysin pyöreiksi. Niillä on myös rauhallinen ja hiljainen luonne. Se käyttää molempia käsiään kiivetäkseen jyrkkiä kallioita. Ihmiset, jotka ovat nähneet sen toiminnassa, ovat alkaneet harrastaa boulderointia. Yleisesti tavattavissa vuoristopolkujen ja vastaavien lähellä. Asuu vuoristoalueilla ja kiipeää käsivarsillaan karuja vuoristoteitä pitkin. Voi olla hankala – huolimaton potku saa sen raivostumaan ja jahtaamaan sinua.</t>
        </is>
      </c>
    </row>
    <row r="2199" ht="33.75" customHeight="1">
      <c r="A2199" s="7">
        <v>74.0</v>
      </c>
      <c r="B2199" s="9" t="s">
        <v>4509</v>
      </c>
      <c r="C2199" s="9" t="s">
        <v>4510</v>
      </c>
      <c r="D2199" s="9" t="s">
        <v>35</v>
      </c>
      <c r="E2199" s="6" t="s">
        <v>4512</v>
      </c>
      <c r="F2199" s="9"/>
    </row>
    <row r="2200" ht="33.75" customHeight="1">
      <c r="A2200" s="7">
        <v>74.0</v>
      </c>
      <c r="B2200" s="9" t="s">
        <v>4509</v>
      </c>
      <c r="C2200" s="9" t="s">
        <v>4510</v>
      </c>
      <c r="D2200" s="9" t="s">
        <v>42</v>
      </c>
      <c r="E2200" s="6" t="s">
        <v>4516</v>
      </c>
      <c r="F2200" s="9"/>
    </row>
    <row r="2201" ht="33.75" customHeight="1">
      <c r="A2201" s="7">
        <v>74.0</v>
      </c>
      <c r="B2201" s="9" t="s">
        <v>4509</v>
      </c>
      <c r="C2201" s="9" t="s">
        <v>4510</v>
      </c>
      <c r="D2201" s="9" t="s">
        <v>52</v>
      </c>
      <c r="E2201" s="6" t="s">
        <v>4518</v>
      </c>
      <c r="F2201" s="9"/>
    </row>
    <row r="2202" ht="33.75" customHeight="1">
      <c r="A2202" s="7">
        <v>74.0</v>
      </c>
      <c r="B2202" s="9" t="s">
        <v>4509</v>
      </c>
      <c r="C2202" s="9" t="s">
        <v>4510</v>
      </c>
      <c r="D2202" s="9" t="s">
        <v>59</v>
      </c>
      <c r="E2202" s="6" t="s">
        <v>4520</v>
      </c>
      <c r="F2202" s="9"/>
    </row>
    <row r="2203" ht="33.75" customHeight="1">
      <c r="A2203" s="7">
        <v>74.0</v>
      </c>
      <c r="B2203" s="9" t="s">
        <v>4509</v>
      </c>
      <c r="C2203" s="9" t="s">
        <v>4510</v>
      </c>
      <c r="D2203" s="9" t="s">
        <v>64</v>
      </c>
      <c r="E2203" s="6" t="s">
        <v>4522</v>
      </c>
      <c r="F2203" s="9"/>
    </row>
    <row r="2204" ht="33.75" customHeight="1">
      <c r="A2204" s="7">
        <v>74.0</v>
      </c>
      <c r="B2204" s="9" t="s">
        <v>4509</v>
      </c>
      <c r="C2204" s="9" t="s">
        <v>4510</v>
      </c>
      <c r="D2204" s="9" t="s">
        <v>67</v>
      </c>
      <c r="E2204" s="6" t="s">
        <v>4523</v>
      </c>
      <c r="F2204" s="9"/>
    </row>
    <row r="2205" ht="33.75" customHeight="1">
      <c r="A2205" s="7">
        <v>74.0</v>
      </c>
      <c r="B2205" s="9" t="s">
        <v>4509</v>
      </c>
      <c r="C2205" s="9" t="s">
        <v>4510</v>
      </c>
      <c r="D2205" s="9" t="s">
        <v>71</v>
      </c>
      <c r="E2205" s="6" t="s">
        <v>4525</v>
      </c>
      <c r="F2205" s="9"/>
    </row>
    <row r="2206" ht="33.75" customHeight="1">
      <c r="A2206" s="7">
        <v>74.0</v>
      </c>
      <c r="B2206" s="9" t="s">
        <v>4509</v>
      </c>
      <c r="C2206" s="9" t="s">
        <v>4510</v>
      </c>
      <c r="D2206" s="9" t="s">
        <v>73</v>
      </c>
      <c r="E2206" s="6" t="s">
        <v>4529</v>
      </c>
      <c r="F2206" s="9"/>
    </row>
    <row r="2207" ht="33.75" customHeight="1">
      <c r="A2207" s="7">
        <v>74.0</v>
      </c>
      <c r="B2207" s="9" t="s">
        <v>4509</v>
      </c>
      <c r="C2207" s="9" t="s">
        <v>4510</v>
      </c>
      <c r="D2207" s="9" t="s">
        <v>75</v>
      </c>
      <c r="E2207" s="6" t="s">
        <v>4532</v>
      </c>
      <c r="F2207" s="9"/>
    </row>
    <row r="2208" ht="33.75" customHeight="1">
      <c r="A2208" s="7">
        <v>74.0</v>
      </c>
      <c r="B2208" s="9" t="s">
        <v>4509</v>
      </c>
      <c r="C2208" s="9" t="s">
        <v>4510</v>
      </c>
      <c r="D2208" s="9" t="s">
        <v>79</v>
      </c>
      <c r="E2208" s="6" t="s">
        <v>4512</v>
      </c>
      <c r="F2208" s="9"/>
    </row>
    <row r="2209" ht="33.75" customHeight="1">
      <c r="A2209" s="7">
        <v>74.0</v>
      </c>
      <c r="B2209" s="9" t="s">
        <v>4509</v>
      </c>
      <c r="C2209" s="9" t="s">
        <v>4510</v>
      </c>
      <c r="D2209" s="9" t="s">
        <v>81</v>
      </c>
      <c r="E2209" s="6" t="s">
        <v>4534</v>
      </c>
      <c r="F2209" s="9"/>
    </row>
    <row r="2210" ht="33.75" customHeight="1">
      <c r="A2210" s="7">
        <v>74.0</v>
      </c>
      <c r="B2210" s="9" t="s">
        <v>4509</v>
      </c>
      <c r="C2210" s="9" t="s">
        <v>4510</v>
      </c>
      <c r="D2210" s="9" t="s">
        <v>84</v>
      </c>
      <c r="E2210" s="6" t="s">
        <v>4537</v>
      </c>
      <c r="F2210" s="9"/>
    </row>
    <row r="2211" ht="33.75" customHeight="1">
      <c r="A2211" s="7">
        <v>74.0</v>
      </c>
      <c r="B2211" s="9" t="s">
        <v>4509</v>
      </c>
      <c r="C2211" s="9" t="s">
        <v>4510</v>
      </c>
      <c r="D2211" s="9" t="s">
        <v>87</v>
      </c>
      <c r="E2211" s="6" t="s">
        <v>4540</v>
      </c>
      <c r="F2211" s="9"/>
    </row>
    <row r="2212" ht="33.75" customHeight="1">
      <c r="A2212" s="7">
        <v>74.0</v>
      </c>
      <c r="B2212" s="9" t="s">
        <v>4509</v>
      </c>
      <c r="C2212" s="9" t="s">
        <v>4510</v>
      </c>
      <c r="D2212" s="9" t="s">
        <v>89</v>
      </c>
      <c r="E2212" s="6" t="s">
        <v>4518</v>
      </c>
      <c r="F2212" s="9"/>
    </row>
    <row r="2213" ht="33.75" customHeight="1">
      <c r="A2213" s="7">
        <v>74.0</v>
      </c>
      <c r="B2213" s="9" t="s">
        <v>4509</v>
      </c>
      <c r="C2213" s="9" t="s">
        <v>4510</v>
      </c>
      <c r="D2213" s="9" t="s">
        <v>91</v>
      </c>
      <c r="E2213" s="6" t="s">
        <v>4520</v>
      </c>
      <c r="F2213" s="9"/>
    </row>
    <row r="2214" ht="33.75" customHeight="1">
      <c r="A2214" s="7">
        <v>74.0</v>
      </c>
      <c r="B2214" s="9" t="s">
        <v>4509</v>
      </c>
      <c r="C2214" s="9" t="s">
        <v>4510</v>
      </c>
      <c r="D2214" s="9" t="s">
        <v>93</v>
      </c>
      <c r="E2214" s="6" t="s">
        <v>4540</v>
      </c>
      <c r="F2214" s="9"/>
    </row>
    <row r="2215" ht="33.75" customHeight="1">
      <c r="A2215" s="7">
        <v>74.0</v>
      </c>
      <c r="B2215" s="9" t="s">
        <v>4509</v>
      </c>
      <c r="C2215" s="9" t="s">
        <v>4510</v>
      </c>
      <c r="D2215" s="9" t="s">
        <v>95</v>
      </c>
      <c r="E2215" s="6" t="s">
        <v>4540</v>
      </c>
      <c r="F2215" s="9"/>
    </row>
    <row r="2216" ht="33.75" customHeight="1">
      <c r="A2216" s="7">
        <v>74.0</v>
      </c>
      <c r="B2216" s="9" t="s">
        <v>4509</v>
      </c>
      <c r="C2216" s="9" t="s">
        <v>4510</v>
      </c>
      <c r="D2216" s="9" t="s">
        <v>98</v>
      </c>
      <c r="E2216" s="6" t="s">
        <v>4540</v>
      </c>
      <c r="F2216" s="9"/>
    </row>
    <row r="2217" ht="33.75" customHeight="1">
      <c r="A2217" s="7">
        <v>74.0</v>
      </c>
      <c r="B2217" s="9" t="s">
        <v>4509</v>
      </c>
      <c r="C2217" s="9" t="s">
        <v>4510</v>
      </c>
      <c r="D2217" s="9" t="s">
        <v>99</v>
      </c>
      <c r="E2217" s="6" t="s">
        <v>4540</v>
      </c>
      <c r="F2217" s="9"/>
    </row>
    <row r="2218" ht="33.75" customHeight="1">
      <c r="A2218" s="7">
        <v>74.0</v>
      </c>
      <c r="B2218" s="9" t="s">
        <v>4509</v>
      </c>
      <c r="C2218" s="9" t="s">
        <v>4510</v>
      </c>
      <c r="D2218" s="9" t="s">
        <v>101</v>
      </c>
      <c r="E2218" s="6" t="s">
        <v>4512</v>
      </c>
      <c r="F2218" s="9"/>
    </row>
    <row r="2219" ht="33.75" customHeight="1">
      <c r="A2219" s="7">
        <v>74.0</v>
      </c>
      <c r="B2219" s="9" t="s">
        <v>4509</v>
      </c>
      <c r="C2219" s="9" t="s">
        <v>4510</v>
      </c>
      <c r="D2219" s="9" t="s">
        <v>105</v>
      </c>
      <c r="E2219" s="6" t="s">
        <v>4537</v>
      </c>
      <c r="F2219" s="9"/>
    </row>
    <row r="2220" ht="33.75" customHeight="1">
      <c r="A2220" s="7">
        <v>74.0</v>
      </c>
      <c r="B2220" s="9" t="s">
        <v>4509</v>
      </c>
      <c r="C2220" s="9" t="s">
        <v>4510</v>
      </c>
      <c r="D2220" s="9" t="s">
        <v>107</v>
      </c>
      <c r="E2220" s="6" t="s">
        <v>4552</v>
      </c>
      <c r="F2220" s="9"/>
    </row>
    <row r="2221" ht="33.75" customHeight="1">
      <c r="A2221" s="7">
        <v>74.0</v>
      </c>
      <c r="B2221" s="9" t="s">
        <v>4509</v>
      </c>
      <c r="C2221" s="9" t="s">
        <v>4510</v>
      </c>
      <c r="D2221" s="9" t="s">
        <v>109</v>
      </c>
      <c r="E2221" s="6" t="s">
        <v>4554</v>
      </c>
      <c r="F2221" s="9"/>
    </row>
    <row r="2222" ht="33.75" customHeight="1">
      <c r="A2222" s="7">
        <v>74.0</v>
      </c>
      <c r="B2222" s="9" t="s">
        <v>4509</v>
      </c>
      <c r="C2222" s="9" t="s">
        <v>4510</v>
      </c>
      <c r="D2222" s="9" t="s">
        <v>637</v>
      </c>
      <c r="E2222" s="6" t="s">
        <v>4556</v>
      </c>
      <c r="F2222" s="9"/>
    </row>
    <row r="2223" ht="33.75" customHeight="1">
      <c r="A2223" s="7">
        <v>74.0</v>
      </c>
      <c r="B2223" s="9" t="s">
        <v>4509</v>
      </c>
      <c r="C2223" s="9" t="s">
        <v>4510</v>
      </c>
      <c r="D2223" s="9" t="s">
        <v>642</v>
      </c>
      <c r="E2223" s="6" t="s">
        <v>4558</v>
      </c>
      <c r="F2223" s="9"/>
    </row>
    <row r="2224" ht="33.75" customHeight="1">
      <c r="A2224" s="7">
        <v>74.0</v>
      </c>
      <c r="B2224" s="9" t="s">
        <v>4509</v>
      </c>
      <c r="C2224" s="9" t="s">
        <v>4510</v>
      </c>
      <c r="D2224" s="9" t="s">
        <v>647</v>
      </c>
      <c r="E2224" s="6" t="s">
        <v>4560</v>
      </c>
      <c r="F2224" s="9"/>
    </row>
    <row r="2225" ht="33.75" customHeight="1">
      <c r="A2225" s="7">
        <v>74.0</v>
      </c>
      <c r="B2225" s="9" t="s">
        <v>4509</v>
      </c>
      <c r="C2225" s="9" t="s">
        <v>4510</v>
      </c>
      <c r="D2225" s="9" t="s">
        <v>652</v>
      </c>
      <c r="E2225" s="6" t="s">
        <v>4562</v>
      </c>
      <c r="F2225" s="9"/>
    </row>
    <row r="2226" ht="33.75" customHeight="1">
      <c r="A2226" s="7">
        <v>74.0</v>
      </c>
      <c r="B2226" s="9" t="s">
        <v>4509</v>
      </c>
      <c r="C2226" s="9" t="s">
        <v>4510</v>
      </c>
      <c r="D2226" s="9" t="s">
        <v>111</v>
      </c>
      <c r="E2226" s="6" t="s">
        <v>4564</v>
      </c>
      <c r="F2226" s="9"/>
    </row>
    <row r="2227" ht="33.75" customHeight="1">
      <c r="A2227" s="7">
        <v>74.0</v>
      </c>
      <c r="B2227" s="9" t="s">
        <v>4509</v>
      </c>
      <c r="C2227" s="9" t="s">
        <v>4510</v>
      </c>
      <c r="D2227" s="9" t="s">
        <v>113</v>
      </c>
      <c r="E2227" s="6" t="s">
        <v>4564</v>
      </c>
      <c r="F2227" s="9"/>
    </row>
    <row r="2228" ht="33.75" customHeight="1">
      <c r="A2228" s="7">
        <v>74.0</v>
      </c>
      <c r="B2228" s="9" t="s">
        <v>4509</v>
      </c>
      <c r="C2228" s="9" t="s">
        <v>4510</v>
      </c>
      <c r="D2228" s="9" t="s">
        <v>1577</v>
      </c>
      <c r="E2228" s="6" t="s">
        <v>4568</v>
      </c>
      <c r="F2228" s="9"/>
    </row>
    <row r="2229" ht="33.75" customHeight="1">
      <c r="A2229" s="7">
        <v>75.0</v>
      </c>
      <c r="B2229" s="9" t="s">
        <v>4569</v>
      </c>
      <c r="C2229" s="9" t="s">
        <v>4510</v>
      </c>
      <c r="D2229" s="9" t="s">
        <v>24</v>
      </c>
      <c r="E2229" s="6" t="s">
        <v>4571</v>
      </c>
      <c r="F2229" t="inlineStr" s="10">
        <is>
          <t xml:space="preserve">Vierii alas rinnettä liikkuakseen. Se vierii minkä tahansa esteen yli hidastamatta tai muuttamatta suuntaansa. Nähdään usein vierimässä alas vuoristopolkuja. Esteet ovat vain asioita, joiden yli vieritään suoraan, ei väistellä. Vapaana ja välinpitämättömänä luonteena se ei välitä, vaikka palasia irtoaisi sen vieriessä alas vuoria. Hitaana kävelijänä se liikkuu pyörien. Se ei kiinnitä huomiota mihinkään esineeseen, joka sattuu olemaan sen tiellä. Se kulkee pyörien vuoristopolkuja pitkin. Jos se kiihtyy liikaa, se pysähtyy törmäämällä valtaviin kiviin. GRAVELER kasvaa syömällä kiviä. Ilmeisesti se syö mieluummin sammaleen peittämiä kiviä. Tämä POKéMON syö tiensä läpi valtavan määrän kiviä päivittäin. Kivet ovat GRAVELERin lempiruokaa. Tämä POKéMON kiipeää vuorta juurelta huipulle ja herkuttelee samalla kivillä. Huipun saavuttua se vierii takaisin alas. Ne laskeutuvat vuorilta syöksymällä alas jyrkkiä rinteitä. Ne ovat niin raakoja, että ne murskaavat tieltään tiehensä estäviä puita ja massiivisia lohkareita jylisevillä taklauksilla. Ole varovainen vaeltaessasi vuoristopoluilla. SORAVELI saattaa vieriä polkua pitkin hidastamatta. SORUALAISET rakentavat kotinsa jyrkille kallioseinämille kaivamalla lukuisia vaakasuoria reikiä. Se syöksyy alas rinteitä välittämättä irtoavista ruumiinosistaan. Se syö päivittäin valtavasti kiviä. Se liikkuu vuoristopolkuja pitkin. Kun se saa vauhtia, mikään Pokémon ei voi pysäyttää sitä vaikeuksitta. Tämä Pokémon kiipeää vuorta juurelta huipulle, herkutellen samalla kivillä. Sammaleiset kivet ovat sen lempiruokaa. Se voi ahmia tonnin päivässä äänekkäästi rouskuen. Tämä hidasjalkainen Pokémon liikkuu käpertymällä ja pyörimällä kävelemisen sijaan. Riittävän vauhdin avulla sen nopeus voi ylittää 96 km/h. Se kiipeää kallioita ylös kohti vuorenhuippua. Heti saavuttuaan huipun se vierii takaisin alas samaa reittiä kuin tuli. Se kulkee vierimällä alas kallioita. Jos se putoaa jokeen, se räjähtää viimeisellä henkäyksellään. Se asuu jyrkkiin kiviseiniin kaiverretuissa koloissa. Se nauttii rinteiden alas vierimisestä kuin lohkare kivivyöryn aikana, joten pidä katsetta ylöspäin vuoristoteillä liikkuessasi.</t>
        </is>
      </c>
    </row>
    <row r="2230" ht="33.75" customHeight="1">
      <c r="A2230" s="7">
        <v>75.0</v>
      </c>
      <c r="B2230" s="9" t="s">
        <v>4569</v>
      </c>
      <c r="C2230" s="9" t="s">
        <v>4510</v>
      </c>
      <c r="D2230" s="9" t="s">
        <v>35</v>
      </c>
      <c r="E2230" s="6" t="s">
        <v>4571</v>
      </c>
      <c r="F2230" s="9"/>
    </row>
    <row r="2231" ht="33.75" customHeight="1">
      <c r="A2231" s="7">
        <v>75.0</v>
      </c>
      <c r="B2231" s="9" t="s">
        <v>4569</v>
      </c>
      <c r="C2231" s="9" t="s">
        <v>4510</v>
      </c>
      <c r="D2231" s="9" t="s">
        <v>42</v>
      </c>
      <c r="E2231" s="6" t="s">
        <v>4575</v>
      </c>
      <c r="F2231" s="9"/>
    </row>
    <row r="2232" ht="33.75" customHeight="1">
      <c r="A2232" s="7">
        <v>75.0</v>
      </c>
      <c r="B2232" s="9" t="s">
        <v>4569</v>
      </c>
      <c r="C2232" s="9" t="s">
        <v>4510</v>
      </c>
      <c r="D2232" s="9" t="s">
        <v>52</v>
      </c>
      <c r="E2232" s="6" t="s">
        <v>4577</v>
      </c>
      <c r="F2232" s="9"/>
    </row>
    <row r="2233" ht="33.75" customHeight="1">
      <c r="A2233" s="7">
        <v>75.0</v>
      </c>
      <c r="B2233" s="9" t="s">
        <v>4569</v>
      </c>
      <c r="C2233" s="9" t="s">
        <v>4510</v>
      </c>
      <c r="D2233" s="9" t="s">
        <v>59</v>
      </c>
      <c r="E2233" s="6" t="s">
        <v>4579</v>
      </c>
      <c r="F2233" s="9"/>
    </row>
    <row r="2234" ht="33.75" customHeight="1">
      <c r="A2234" s="7">
        <v>75.0</v>
      </c>
      <c r="B2234" s="9" t="s">
        <v>4569</v>
      </c>
      <c r="C2234" s="9" t="s">
        <v>4510</v>
      </c>
      <c r="D2234" s="9" t="s">
        <v>64</v>
      </c>
      <c r="E2234" s="6" t="s">
        <v>4582</v>
      </c>
      <c r="F2234" s="9"/>
    </row>
    <row r="2235" ht="33.75" customHeight="1">
      <c r="A2235" s="7">
        <v>75.0</v>
      </c>
      <c r="B2235" s="9" t="s">
        <v>4569</v>
      </c>
      <c r="C2235" s="9" t="s">
        <v>4510</v>
      </c>
      <c r="D2235" s="9" t="s">
        <v>67</v>
      </c>
      <c r="E2235" s="6" t="s">
        <v>4584</v>
      </c>
      <c r="F2235" s="9"/>
    </row>
    <row r="2236" ht="33.75" customHeight="1">
      <c r="A2236" s="7">
        <v>75.0</v>
      </c>
      <c r="B2236" s="9" t="s">
        <v>4569</v>
      </c>
      <c r="C2236" s="9" t="s">
        <v>4510</v>
      </c>
      <c r="D2236" s="9" t="s">
        <v>71</v>
      </c>
      <c r="E2236" s="6" t="s">
        <v>4586</v>
      </c>
      <c r="F2236" s="9"/>
    </row>
    <row r="2237" ht="33.75" customHeight="1">
      <c r="A2237" s="7">
        <v>75.0</v>
      </c>
      <c r="B2237" s="9" t="s">
        <v>4569</v>
      </c>
      <c r="C2237" s="9" t="s">
        <v>4510</v>
      </c>
      <c r="D2237" s="9" t="s">
        <v>73</v>
      </c>
      <c r="E2237" s="6" t="s">
        <v>4588</v>
      </c>
      <c r="F2237" s="9"/>
    </row>
    <row r="2238" ht="33.75" customHeight="1">
      <c r="A2238" s="7">
        <v>75.0</v>
      </c>
      <c r="B2238" s="9" t="s">
        <v>4569</v>
      </c>
      <c r="C2238" s="9" t="s">
        <v>4510</v>
      </c>
      <c r="D2238" s="9" t="s">
        <v>75</v>
      </c>
      <c r="E2238" s="6" t="s">
        <v>4589</v>
      </c>
      <c r="F2238" s="9"/>
    </row>
    <row r="2239" ht="33.75" customHeight="1">
      <c r="A2239" s="7">
        <v>75.0</v>
      </c>
      <c r="B2239" s="9" t="s">
        <v>4569</v>
      </c>
      <c r="C2239" s="9" t="s">
        <v>4510</v>
      </c>
      <c r="D2239" s="9" t="s">
        <v>79</v>
      </c>
      <c r="E2239" s="6" t="s">
        <v>4571</v>
      </c>
      <c r="F2239" s="9"/>
    </row>
    <row r="2240" ht="33.75" customHeight="1">
      <c r="A2240" s="7">
        <v>75.0</v>
      </c>
      <c r="B2240" s="9" t="s">
        <v>4569</v>
      </c>
      <c r="C2240" s="9" t="s">
        <v>4510</v>
      </c>
      <c r="D2240" s="9" t="s">
        <v>81</v>
      </c>
      <c r="E2240" s="6" t="s">
        <v>4592</v>
      </c>
      <c r="F2240" s="9"/>
    </row>
    <row r="2241" ht="33.75" customHeight="1">
      <c r="A2241" s="7">
        <v>75.0</v>
      </c>
      <c r="B2241" s="9" t="s">
        <v>4569</v>
      </c>
      <c r="C2241" s="9" t="s">
        <v>4510</v>
      </c>
      <c r="D2241" s="9" t="s">
        <v>84</v>
      </c>
      <c r="E2241" s="6" t="s">
        <v>4594</v>
      </c>
      <c r="F2241" s="9"/>
    </row>
    <row r="2242" ht="33.75" customHeight="1">
      <c r="A2242" s="7">
        <v>75.0</v>
      </c>
      <c r="B2242" s="9" t="s">
        <v>4569</v>
      </c>
      <c r="C2242" s="9" t="s">
        <v>4510</v>
      </c>
      <c r="D2242" s="9" t="s">
        <v>87</v>
      </c>
      <c r="E2242" s="6" t="s">
        <v>4596</v>
      </c>
      <c r="F2242" s="9"/>
    </row>
    <row r="2243" ht="33.75" customHeight="1">
      <c r="A2243" s="7">
        <v>75.0</v>
      </c>
      <c r="B2243" s="9" t="s">
        <v>4569</v>
      </c>
      <c r="C2243" s="9" t="s">
        <v>4510</v>
      </c>
      <c r="D2243" s="9" t="s">
        <v>89</v>
      </c>
      <c r="E2243" s="6" t="s">
        <v>4577</v>
      </c>
      <c r="F2243" s="9"/>
    </row>
    <row r="2244" ht="33.75" customHeight="1">
      <c r="A2244" s="7">
        <v>75.0</v>
      </c>
      <c r="B2244" s="9" t="s">
        <v>4569</v>
      </c>
      <c r="C2244" s="9" t="s">
        <v>4510</v>
      </c>
      <c r="D2244" s="9" t="s">
        <v>91</v>
      </c>
      <c r="E2244" s="6" t="s">
        <v>4579</v>
      </c>
      <c r="F2244" s="9"/>
    </row>
    <row r="2245" ht="33.75" customHeight="1">
      <c r="A2245" s="7">
        <v>75.0</v>
      </c>
      <c r="B2245" s="9" t="s">
        <v>4569</v>
      </c>
      <c r="C2245" s="9" t="s">
        <v>4510</v>
      </c>
      <c r="D2245" s="9" t="s">
        <v>93</v>
      </c>
      <c r="E2245" s="6" t="s">
        <v>4596</v>
      </c>
      <c r="F2245" s="9"/>
    </row>
    <row r="2246" ht="33.75" customHeight="1">
      <c r="A2246" s="7">
        <v>75.0</v>
      </c>
      <c r="B2246" s="9" t="s">
        <v>4569</v>
      </c>
      <c r="C2246" s="9" t="s">
        <v>4510</v>
      </c>
      <c r="D2246" s="9" t="s">
        <v>95</v>
      </c>
      <c r="E2246" s="6" t="s">
        <v>4596</v>
      </c>
      <c r="F2246" s="9"/>
    </row>
    <row r="2247" ht="33.75" customHeight="1">
      <c r="A2247" s="7">
        <v>75.0</v>
      </c>
      <c r="B2247" s="9" t="s">
        <v>4569</v>
      </c>
      <c r="C2247" s="9" t="s">
        <v>4510</v>
      </c>
      <c r="D2247" s="9" t="s">
        <v>98</v>
      </c>
      <c r="E2247" s="6" t="s">
        <v>4596</v>
      </c>
      <c r="F2247" s="9"/>
    </row>
    <row r="2248" ht="33.75" customHeight="1">
      <c r="A2248" s="7">
        <v>75.0</v>
      </c>
      <c r="B2248" s="9" t="s">
        <v>4569</v>
      </c>
      <c r="C2248" s="9" t="s">
        <v>4510</v>
      </c>
      <c r="D2248" s="9" t="s">
        <v>99</v>
      </c>
      <c r="E2248" s="6" t="s">
        <v>4596</v>
      </c>
      <c r="F2248" s="9"/>
    </row>
    <row r="2249" ht="33.75" customHeight="1">
      <c r="A2249" s="7">
        <v>75.0</v>
      </c>
      <c r="B2249" s="9" t="s">
        <v>4569</v>
      </c>
      <c r="C2249" s="9" t="s">
        <v>4510</v>
      </c>
      <c r="D2249" s="9" t="s">
        <v>101</v>
      </c>
      <c r="E2249" s="6" t="s">
        <v>4577</v>
      </c>
      <c r="F2249" s="9"/>
    </row>
    <row r="2250" ht="33.75" customHeight="1">
      <c r="A2250" s="7">
        <v>75.0</v>
      </c>
      <c r="B2250" s="9" t="s">
        <v>4569</v>
      </c>
      <c r="C2250" s="9" t="s">
        <v>4510</v>
      </c>
      <c r="D2250" s="9" t="s">
        <v>105</v>
      </c>
      <c r="E2250" s="6" t="s">
        <v>4571</v>
      </c>
      <c r="F2250" s="9"/>
    </row>
    <row r="2251" ht="33.75" customHeight="1">
      <c r="A2251" s="7">
        <v>75.0</v>
      </c>
      <c r="B2251" s="9" t="s">
        <v>4569</v>
      </c>
      <c r="C2251" s="9" t="s">
        <v>4510</v>
      </c>
      <c r="D2251" s="9" t="s">
        <v>107</v>
      </c>
      <c r="E2251" s="6" t="s">
        <v>4606</v>
      </c>
      <c r="F2251" s="9"/>
    </row>
    <row r="2252" ht="33.75" customHeight="1">
      <c r="A2252" s="7">
        <v>75.0</v>
      </c>
      <c r="B2252" s="9" t="s">
        <v>4569</v>
      </c>
      <c r="C2252" s="9" t="s">
        <v>4510</v>
      </c>
      <c r="D2252" s="9" t="s">
        <v>109</v>
      </c>
      <c r="E2252" s="6" t="s">
        <v>4608</v>
      </c>
      <c r="F2252" s="9"/>
    </row>
    <row r="2253" ht="33.75" customHeight="1">
      <c r="A2253" s="7">
        <v>75.0</v>
      </c>
      <c r="B2253" s="9" t="s">
        <v>4569</v>
      </c>
      <c r="C2253" s="9" t="s">
        <v>4510</v>
      </c>
      <c r="D2253" s="9" t="s">
        <v>637</v>
      </c>
      <c r="E2253" s="6" t="s">
        <v>4610</v>
      </c>
      <c r="F2253" s="9"/>
    </row>
    <row r="2254" ht="33.75" customHeight="1">
      <c r="A2254" s="7">
        <v>75.0</v>
      </c>
      <c r="B2254" s="9" t="s">
        <v>4569</v>
      </c>
      <c r="C2254" s="9" t="s">
        <v>4510</v>
      </c>
      <c r="D2254" s="9" t="s">
        <v>642</v>
      </c>
      <c r="E2254" s="6" t="s">
        <v>4611</v>
      </c>
      <c r="F2254" s="9"/>
    </row>
    <row r="2255" ht="33.75" customHeight="1">
      <c r="A2255" s="7">
        <v>75.0</v>
      </c>
      <c r="B2255" s="9" t="s">
        <v>4569</v>
      </c>
      <c r="C2255" s="9" t="s">
        <v>4510</v>
      </c>
      <c r="D2255" s="9" t="s">
        <v>647</v>
      </c>
      <c r="E2255" s="6" t="s">
        <v>4613</v>
      </c>
      <c r="F2255" s="9"/>
    </row>
    <row r="2256" ht="33.75" customHeight="1">
      <c r="A2256" s="7">
        <v>75.0</v>
      </c>
      <c r="B2256" s="9" t="s">
        <v>4569</v>
      </c>
      <c r="C2256" s="9" t="s">
        <v>4510</v>
      </c>
      <c r="D2256" s="9" t="s">
        <v>652</v>
      </c>
      <c r="E2256" s="6" t="s">
        <v>4615</v>
      </c>
      <c r="F2256" s="9"/>
    </row>
    <row r="2257" ht="33.75" customHeight="1">
      <c r="A2257" s="7">
        <v>75.0</v>
      </c>
      <c r="B2257" s="9" t="s">
        <v>4569</v>
      </c>
      <c r="C2257" s="9" t="s">
        <v>4510</v>
      </c>
      <c r="D2257" s="9" t="s">
        <v>111</v>
      </c>
      <c r="E2257" s="6" t="s">
        <v>4575</v>
      </c>
      <c r="F2257" s="9"/>
    </row>
    <row r="2258" ht="33.75" customHeight="1">
      <c r="A2258" s="7">
        <v>75.0</v>
      </c>
      <c r="B2258" s="9" t="s">
        <v>4569</v>
      </c>
      <c r="C2258" s="9" t="s">
        <v>4510</v>
      </c>
      <c r="D2258" s="9" t="s">
        <v>113</v>
      </c>
      <c r="E2258" s="6" t="s">
        <v>4575</v>
      </c>
      <c r="F2258" s="9"/>
    </row>
    <row r="2259" ht="33.75" customHeight="1">
      <c r="A2259" s="7">
        <v>75.0</v>
      </c>
      <c r="B2259" s="9" t="s">
        <v>4569</v>
      </c>
      <c r="C2259" s="9" t="s">
        <v>4510</v>
      </c>
      <c r="D2259" s="9" t="s">
        <v>1577</v>
      </c>
      <c r="E2259" s="6" t="s">
        <v>4620</v>
      </c>
      <c r="F2259" s="9"/>
    </row>
    <row r="2260" ht="33.75" customHeight="1">
      <c r="A2260" s="7">
        <v>76.0</v>
      </c>
      <c r="B2260" s="9" t="s">
        <v>4621</v>
      </c>
      <c r="C2260" s="9" t="s">
        <v>4622</v>
      </c>
      <c r="D2260" s="9" t="s">
        <v>24</v>
      </c>
      <c r="E2260" s="6" t="s">
        <v>4624</v>
      </c>
      <c r="F2260" t="inlineStr" s="10">
        <is>
          <t xml:space="preserve">Golemin lohkaremainen ruumis on äärimmäisen kova. Se kestää helposti dynamiittiräjähdyksiä vahingoittumatta. Kun se luopuu nahastaan, sen ruumis muuttuu pehmeäksi ja valkoiseksi. Sen nahka kovettuu, kun se altistuu ilmalle. Se luo nahkansa kerran vuodessa. Hylätty kuori kovettuu välittömästi ja murenee pois. Se pystyy räjäyttämään itsensä. Se käyttää tätä räjähdysvoimaa hypätäkseen vuorelta vuorelle. Sen kivinen ruumis on niin kestävä, että edes tehokkaat dynamiittiräjähdykset eivät naarmuta sen karua nahkaa. Golemit asuvat vuorilla. Jos tapahtuu suuri maanjäristys, nämä Pokémonit vierivät joukoittain vuorilta alas kukkuloille. GOLEMit tunnetaan siitä, että ne vierivät alas vuorilta. Jotta ne eivät vieriisi ihmisten koteihin alamäkeen, vuorten rinteisiin on kaivettu uria, jotka toimivat ohjaimina tämän POKéMONin kurssin muuttamiseksi. Sen sanotaan elävän vuorenhuippujen tulivuorenkraattereissa. Kerran vuodessa se luopuu nahastaan ​​ja kasvaa suuremmaksi. Luopunut nahka murenee ja palaa maaperään. Se on suljettu kovaan kuoreen, joka on yhtä karu kuin kivilaatat. Se luopuu nahastaan ​​kerran vuodessa kasvaakseen suuremmaksi. Se kestää helposti dynamiittiräjähdyksiä vaurioitumatta. Se luo nahansa kerran vuodessa. Sen lohkaremainen ruumis on niin sitkeä, ettei edes dynamiitti voi vahingoittaa sitä. Se syöksyy alas vuoria jättäen uria huipulta juurelle. Pysy kaukana näistä urista. Edes dynamiitti ei voi vahingoittaa sen kovaa, lohkaremaista ruumista. Se luo nahansa vain kerran vuodessa. Hylätty kuori kovettuu ja murenee heti pois. Se luopuu nahastaan ​​vain kerran vuodessa. Jos tapahtuu suuri maanjäristys, nämä Pokémonit vierivät vuorilta joukoittain alas kukkuloille. Golemit tunnetaan vuorilta alas vierimisestä. Sen ruumis selviää dynamiittiräjähdyksistä naarmutta, mutta se vihaa sadetta ja kosteutta. Kerran vuodessa tämä Pokémon luopuu nahastaan, ja sen pudonnut kuori palaa maaperään. Tämä prosessi rikastuttaa maaperää, joten maanviljelijät keräävät kuoret. Kun golemit vanhenevat, ne lopettavat kuorien pudottamisen. Niiden, jotka ovat eläneet pitkään, pitkään, kuoret ovat sammaleenvihreitä. Se räjäyttää oman ruumiinsa. Räjähdyksen voima voi siivittää sen jyrkkiä vuoristopolkuja ylös uskomattomalla nopeudella. Kivimäinen kuori irtoaa joka vuosi. Irronnut kuori murenee sitten ja palautuu multamassaksi, jota voidaan levittää pelloille kasvien kasvun edistämiseksi.</t>
        </is>
      </c>
    </row>
    <row r="2261" ht="33.75" customHeight="1">
      <c r="A2261" s="7">
        <v>76.0</v>
      </c>
      <c r="B2261" s="9" t="s">
        <v>4621</v>
      </c>
      <c r="C2261" s="9" t="s">
        <v>4622</v>
      </c>
      <c r="D2261" s="9" t="s">
        <v>35</v>
      </c>
      <c r="E2261" s="6" t="s">
        <v>4624</v>
      </c>
      <c r="F2261" s="9"/>
    </row>
    <row r="2262" ht="33.75" customHeight="1">
      <c r="A2262" s="7">
        <v>76.0</v>
      </c>
      <c r="B2262" s="9" t="s">
        <v>4621</v>
      </c>
      <c r="C2262" s="9" t="s">
        <v>4622</v>
      </c>
      <c r="D2262" s="9" t="s">
        <v>42</v>
      </c>
      <c r="E2262" s="6" t="s">
        <v>4626</v>
      </c>
      <c r="F2262" s="9"/>
    </row>
    <row r="2263" ht="33.75" customHeight="1">
      <c r="A2263" s="7">
        <v>76.0</v>
      </c>
      <c r="B2263" s="9" t="s">
        <v>4621</v>
      </c>
      <c r="C2263" s="9" t="s">
        <v>4622</v>
      </c>
      <c r="D2263" s="9" t="s">
        <v>52</v>
      </c>
      <c r="E2263" s="6" t="s">
        <v>4628</v>
      </c>
      <c r="F2263" s="9"/>
    </row>
    <row r="2264" ht="33.75" customHeight="1">
      <c r="A2264" s="7">
        <v>76.0</v>
      </c>
      <c r="B2264" s="9" t="s">
        <v>4621</v>
      </c>
      <c r="C2264" s="9" t="s">
        <v>4622</v>
      </c>
      <c r="D2264" s="9" t="s">
        <v>59</v>
      </c>
      <c r="E2264" s="6" t="s">
        <v>4630</v>
      </c>
      <c r="F2264" s="9"/>
    </row>
    <row r="2265" ht="33.75" customHeight="1">
      <c r="A2265" s="7">
        <v>76.0</v>
      </c>
      <c r="B2265" s="9" t="s">
        <v>4621</v>
      </c>
      <c r="C2265" s="9" t="s">
        <v>4622</v>
      </c>
      <c r="D2265" s="9" t="s">
        <v>64</v>
      </c>
      <c r="E2265" s="6" t="s">
        <v>4632</v>
      </c>
      <c r="F2265" s="9"/>
    </row>
    <row r="2266" ht="33.75" customHeight="1">
      <c r="A2266" s="7">
        <v>76.0</v>
      </c>
      <c r="B2266" s="9" t="s">
        <v>4621</v>
      </c>
      <c r="C2266" s="9" t="s">
        <v>4622</v>
      </c>
      <c r="D2266" s="9" t="s">
        <v>67</v>
      </c>
      <c r="E2266" s="6" t="s">
        <v>4634</v>
      </c>
      <c r="F2266" s="9"/>
    </row>
    <row r="2267" ht="33.75" customHeight="1">
      <c r="A2267" s="7">
        <v>76.0</v>
      </c>
      <c r="B2267" s="9" t="s">
        <v>4621</v>
      </c>
      <c r="C2267" s="9" t="s">
        <v>4622</v>
      </c>
      <c r="D2267" s="9" t="s">
        <v>71</v>
      </c>
      <c r="E2267" s="6" t="s">
        <v>4637</v>
      </c>
      <c r="F2267" s="9"/>
    </row>
    <row r="2268" ht="33.75" customHeight="1">
      <c r="A2268" s="7">
        <v>76.0</v>
      </c>
      <c r="B2268" s="9" t="s">
        <v>4621</v>
      </c>
      <c r="C2268" s="9" t="s">
        <v>4622</v>
      </c>
      <c r="D2268" s="9" t="s">
        <v>73</v>
      </c>
      <c r="E2268" s="6" t="s">
        <v>4639</v>
      </c>
      <c r="F2268" s="9"/>
    </row>
    <row r="2269" ht="33.75" customHeight="1">
      <c r="A2269" s="7">
        <v>76.0</v>
      </c>
      <c r="B2269" s="9" t="s">
        <v>4621</v>
      </c>
      <c r="C2269" s="9" t="s">
        <v>4622</v>
      </c>
      <c r="D2269" s="9" t="s">
        <v>75</v>
      </c>
      <c r="E2269" s="6" t="s">
        <v>4641</v>
      </c>
      <c r="F2269" s="9"/>
    </row>
    <row r="2270" ht="33.75" customHeight="1">
      <c r="A2270" s="7">
        <v>76.0</v>
      </c>
      <c r="B2270" s="9" t="s">
        <v>4621</v>
      </c>
      <c r="C2270" s="9" t="s">
        <v>4622</v>
      </c>
      <c r="D2270" s="9" t="s">
        <v>79</v>
      </c>
      <c r="E2270" s="6" t="s">
        <v>4643</v>
      </c>
      <c r="F2270" s="9"/>
    </row>
    <row r="2271" ht="33.75" customHeight="1">
      <c r="A2271" s="7">
        <v>76.0</v>
      </c>
      <c r="B2271" s="9" t="s">
        <v>4621</v>
      </c>
      <c r="C2271" s="9" t="s">
        <v>4622</v>
      </c>
      <c r="D2271" s="9" t="s">
        <v>81</v>
      </c>
      <c r="E2271" s="6" t="s">
        <v>4645</v>
      </c>
      <c r="F2271" s="9"/>
    </row>
    <row r="2272" ht="33.75" customHeight="1">
      <c r="A2272" s="7">
        <v>76.0</v>
      </c>
      <c r="B2272" s="9" t="s">
        <v>4621</v>
      </c>
      <c r="C2272" s="9" t="s">
        <v>4622</v>
      </c>
      <c r="D2272" s="9" t="s">
        <v>84</v>
      </c>
      <c r="E2272" s="6" t="s">
        <v>4647</v>
      </c>
      <c r="F2272" s="9"/>
    </row>
    <row r="2273" ht="33.75" customHeight="1">
      <c r="A2273" s="7">
        <v>76.0</v>
      </c>
      <c r="B2273" s="9" t="s">
        <v>4621</v>
      </c>
      <c r="C2273" s="9" t="s">
        <v>4622</v>
      </c>
      <c r="D2273" s="9" t="s">
        <v>87</v>
      </c>
      <c r="E2273" s="6" t="s">
        <v>4650</v>
      </c>
      <c r="F2273" s="9"/>
    </row>
    <row r="2274" ht="33.75" customHeight="1">
      <c r="A2274" s="7">
        <v>76.0</v>
      </c>
      <c r="B2274" s="9" t="s">
        <v>4621</v>
      </c>
      <c r="C2274" s="9" t="s">
        <v>4622</v>
      </c>
      <c r="D2274" s="9" t="s">
        <v>89</v>
      </c>
      <c r="E2274" s="6" t="s">
        <v>4652</v>
      </c>
      <c r="F2274" s="9"/>
    </row>
    <row r="2275" ht="33.75" customHeight="1">
      <c r="A2275" s="7">
        <v>76.0</v>
      </c>
      <c r="B2275" s="9" t="s">
        <v>4621</v>
      </c>
      <c r="C2275" s="9" t="s">
        <v>4622</v>
      </c>
      <c r="D2275" s="9" t="s">
        <v>91</v>
      </c>
      <c r="E2275" s="6" t="s">
        <v>4630</v>
      </c>
      <c r="F2275" s="9"/>
    </row>
    <row r="2276" ht="33.75" customHeight="1">
      <c r="A2276" s="7">
        <v>76.0</v>
      </c>
      <c r="B2276" s="9" t="s">
        <v>4621</v>
      </c>
      <c r="C2276" s="9" t="s">
        <v>4622</v>
      </c>
      <c r="D2276" s="9" t="s">
        <v>93</v>
      </c>
      <c r="E2276" s="6" t="s">
        <v>4650</v>
      </c>
      <c r="F2276" s="9"/>
    </row>
    <row r="2277" ht="33.75" customHeight="1">
      <c r="A2277" s="7">
        <v>76.0</v>
      </c>
      <c r="B2277" s="9" t="s">
        <v>4621</v>
      </c>
      <c r="C2277" s="9" t="s">
        <v>4622</v>
      </c>
      <c r="D2277" s="9" t="s">
        <v>95</v>
      </c>
      <c r="E2277" s="6" t="s">
        <v>4650</v>
      </c>
      <c r="F2277" s="9"/>
    </row>
    <row r="2278" ht="33.75" customHeight="1">
      <c r="A2278" s="7">
        <v>76.0</v>
      </c>
      <c r="B2278" s="9" t="s">
        <v>4621</v>
      </c>
      <c r="C2278" s="9" t="s">
        <v>4622</v>
      </c>
      <c r="D2278" s="9" t="s">
        <v>98</v>
      </c>
      <c r="E2278" s="6" t="s">
        <v>4658</v>
      </c>
      <c r="F2278" s="9"/>
    </row>
    <row r="2279" ht="33.75" customHeight="1">
      <c r="A2279" s="7">
        <v>76.0</v>
      </c>
      <c r="B2279" s="9" t="s">
        <v>4621</v>
      </c>
      <c r="C2279" s="9" t="s">
        <v>4622</v>
      </c>
      <c r="D2279" s="9" t="s">
        <v>99</v>
      </c>
      <c r="E2279" s="6" t="s">
        <v>4658</v>
      </c>
      <c r="F2279" s="9"/>
    </row>
    <row r="2280" ht="33.75" customHeight="1">
      <c r="A2280" s="7">
        <v>76.0</v>
      </c>
      <c r="B2280" s="9" t="s">
        <v>4621</v>
      </c>
      <c r="C2280" s="9" t="s">
        <v>4622</v>
      </c>
      <c r="D2280" s="9" t="s">
        <v>101</v>
      </c>
      <c r="E2280" s="6" t="s">
        <v>4647</v>
      </c>
      <c r="F2280" s="9"/>
    </row>
    <row r="2281" ht="33.75" customHeight="1">
      <c r="A2281" s="7">
        <v>76.0</v>
      </c>
      <c r="B2281" s="9" t="s">
        <v>4621</v>
      </c>
      <c r="C2281" s="9" t="s">
        <v>4622</v>
      </c>
      <c r="D2281" s="9" t="s">
        <v>105</v>
      </c>
      <c r="E2281" s="6" t="s">
        <v>4658</v>
      </c>
      <c r="F2281" s="9"/>
    </row>
    <row r="2282" ht="33.75" customHeight="1">
      <c r="A2282" s="7">
        <v>76.0</v>
      </c>
      <c r="B2282" s="9" t="s">
        <v>4621</v>
      </c>
      <c r="C2282" s="9" t="s">
        <v>4622</v>
      </c>
      <c r="D2282" s="9" t="s">
        <v>107</v>
      </c>
      <c r="E2282" s="6" t="s">
        <v>4664</v>
      </c>
      <c r="F2282" s="9"/>
    </row>
    <row r="2283" ht="33.75" customHeight="1">
      <c r="A2283" s="7">
        <v>76.0</v>
      </c>
      <c r="B2283" s="9" t="s">
        <v>4621</v>
      </c>
      <c r="C2283" s="9" t="s">
        <v>4622</v>
      </c>
      <c r="D2283" s="9" t="s">
        <v>109</v>
      </c>
      <c r="E2283" s="6" t="s">
        <v>4665</v>
      </c>
      <c r="F2283" s="9"/>
    </row>
    <row r="2284" ht="33.75" customHeight="1">
      <c r="A2284" s="7">
        <v>76.0</v>
      </c>
      <c r="B2284" s="9" t="s">
        <v>4621</v>
      </c>
      <c r="C2284" s="9" t="s">
        <v>4622</v>
      </c>
      <c r="D2284" s="9" t="s">
        <v>637</v>
      </c>
      <c r="E2284" s="6" t="s">
        <v>4667</v>
      </c>
      <c r="F2284" s="9"/>
    </row>
    <row r="2285" ht="33.75" customHeight="1">
      <c r="A2285" s="7">
        <v>76.0</v>
      </c>
      <c r="B2285" s="9" t="s">
        <v>4621</v>
      </c>
      <c r="C2285" s="9" t="s">
        <v>4622</v>
      </c>
      <c r="D2285" s="9" t="s">
        <v>642</v>
      </c>
      <c r="E2285" s="6" t="s">
        <v>4669</v>
      </c>
      <c r="F2285" s="9"/>
    </row>
    <row r="2286" ht="33.75" customHeight="1">
      <c r="A2286" s="7">
        <v>76.0</v>
      </c>
      <c r="B2286" s="9" t="s">
        <v>4621</v>
      </c>
      <c r="C2286" s="9" t="s">
        <v>4622</v>
      </c>
      <c r="D2286" s="9" t="s">
        <v>647</v>
      </c>
      <c r="E2286" s="6" t="s">
        <v>4672</v>
      </c>
      <c r="F2286" s="9"/>
    </row>
    <row r="2287" ht="33.75" customHeight="1">
      <c r="A2287" s="7">
        <v>76.0</v>
      </c>
      <c r="B2287" s="9" t="s">
        <v>4621</v>
      </c>
      <c r="C2287" s="9" t="s">
        <v>4622</v>
      </c>
      <c r="D2287" s="9" t="s">
        <v>652</v>
      </c>
      <c r="E2287" s="6" t="s">
        <v>4673</v>
      </c>
      <c r="F2287" s="9"/>
    </row>
    <row r="2288" ht="33.75" customHeight="1">
      <c r="A2288" s="7">
        <v>76.0</v>
      </c>
      <c r="B2288" s="9" t="s">
        <v>4621</v>
      </c>
      <c r="C2288" s="9" t="s">
        <v>4622</v>
      </c>
      <c r="D2288" s="9" t="s">
        <v>111</v>
      </c>
      <c r="E2288" s="6" t="s">
        <v>4626</v>
      </c>
      <c r="F2288" s="9"/>
    </row>
    <row r="2289" ht="33.75" customHeight="1">
      <c r="A2289" s="7">
        <v>76.0</v>
      </c>
      <c r="B2289" s="9" t="s">
        <v>4621</v>
      </c>
      <c r="C2289" s="9" t="s">
        <v>4622</v>
      </c>
      <c r="D2289" s="9" t="s">
        <v>113</v>
      </c>
      <c r="E2289" s="6" t="s">
        <v>4626</v>
      </c>
      <c r="F2289" s="9"/>
    </row>
    <row r="2290" ht="33.75" customHeight="1">
      <c r="A2290" s="7">
        <v>76.0</v>
      </c>
      <c r="B2290" s="9" t="s">
        <v>4621</v>
      </c>
      <c r="C2290" s="9" t="s">
        <v>4622</v>
      </c>
      <c r="D2290" s="9" t="s">
        <v>1577</v>
      </c>
      <c r="E2290" s="6" t="s">
        <v>4678</v>
      </c>
      <c r="F2290" s="9"/>
    </row>
    <row r="2291" ht="33.75" customHeight="1">
      <c r="A2291" s="7">
        <v>77.0</v>
      </c>
      <c r="B2291" s="9" t="s">
        <v>4679</v>
      </c>
      <c r="C2291" s="9" t="s">
        <v>4681</v>
      </c>
      <c r="D2291" s="9" t="s">
        <v>24</v>
      </c>
      <c r="E2291" s="6" t="s">
        <v>4682</v>
      </c>
      <c r="F2291" t="inlineStr" s="10">
        <is>
          <t xml:space="preserve">Ponytan kaviot ovat 10 kertaa kovemmat kuin timantit. Se voi tallata minkä tahansa täysin tasaiseksi lyhyessä ajassa. Kykenee hyppäämään uskomattoman korkealle. Sen kaviot ja tukevat jalat vaimentavat kovan laskeutumisen iskuja. Se on heikko juoksuherra heti syntymän jälkeen. Se muuttuu vähitellen nopeammaksi jahdaamalla vanhempiaan. Sen takajalat, joissa on timanttiakin kovat kaviot, potkaisevat taaksepäin kaiken, minkä se aistii takanaan. Päivä päivältä pidemmäksi kasvavan ruohon yli hyppiminen on tehnyt siitä maailmanluokan hyppääjän. PONYTA on syntyessään hyvin heikko. Se pystyy tuskin seisomaan. Tämä POKéMON vahvistuu kompuroimalla ja kaatumalla pysyäkseen vanhempansa vauhdissa. Sen jalat vahvistuvat, kun se kompastelee ja kaatuu yrittäessään pysyä vanhempansa vauhdissa. Sen ruumis on kevyt ja jalat uskomattoman voimakkaat. Se voi ylittää Ayers Rockin yhdellä loikalla. Sen kaviot ovat kymmenen kertaa kovemmat kuin timantti. Noin tunnin kuluttua syntymästä sen tulinen harja ja häntä kasvavat ulos, mikä antaa sille vaikuttavan ulkonäön. Sen jalat vahvistuvat sen jahdatessa vanhempaansa. Se juoksee pelloilla ja vuorilla koko päivän. Vastasyntyneenä se pystyy tuskin seisomaan. Laukan myötä sen jalat kuitenkin vahvistuvat ja nopeutuvat. Se on heikko juoksija heti syntymänsä jälkeen. Se nopeutuu vähitellen jahtaamalla vanhempiaan. Sen takajalat, joiden kaviot ovat timanttia kovemmat, potkaisevat taaksepäin kaiken, minkä se aistii takanaan. Se ei pysty juoksemaan kunnolla vastasyntyneenä. Kun se kilpailee muiden lajitovereidensa kanssa, sen jalat vahvistuvat. Jos Ponyta on hyväksynyt sinut, sen palava harja ei ole mystisesti enää kuuma koskettaa. Nämä Pokémonit elävät laumoissa ruohoalueilla. Vastasyntyneiltä varsoilta puuttuu tulisi harja, joka kehittyy noin tunnin kuluttua syntymästä.</t>
        </is>
      </c>
    </row>
    <row r="2292" ht="33.75" customHeight="1">
      <c r="A2292" s="7">
        <v>77.0</v>
      </c>
      <c r="B2292" s="9" t="s">
        <v>4679</v>
      </c>
      <c r="C2292" s="9" t="s">
        <v>4681</v>
      </c>
      <c r="D2292" s="9" t="s">
        <v>35</v>
      </c>
      <c r="E2292" s="6" t="s">
        <v>4682</v>
      </c>
      <c r="F2292" s="9"/>
    </row>
    <row r="2293" ht="33.75" customHeight="1">
      <c r="A2293" s="7">
        <v>77.0</v>
      </c>
      <c r="B2293" s="9" t="s">
        <v>4679</v>
      </c>
      <c r="C2293" s="9" t="s">
        <v>4681</v>
      </c>
      <c r="D2293" s="9" t="s">
        <v>42</v>
      </c>
      <c r="E2293" s="6" t="s">
        <v>4684</v>
      </c>
      <c r="F2293" s="9"/>
    </row>
    <row r="2294" ht="33.75" customHeight="1">
      <c r="A2294" s="7">
        <v>77.0</v>
      </c>
      <c r="B2294" s="9" t="s">
        <v>4679</v>
      </c>
      <c r="C2294" s="9" t="s">
        <v>4681</v>
      </c>
      <c r="D2294" s="9" t="s">
        <v>52</v>
      </c>
      <c r="E2294" s="6" t="s">
        <v>4687</v>
      </c>
      <c r="F2294" s="9"/>
    </row>
    <row r="2295" ht="33.75" customHeight="1">
      <c r="A2295" s="7">
        <v>77.0</v>
      </c>
      <c r="B2295" s="9" t="s">
        <v>4679</v>
      </c>
      <c r="C2295" s="9" t="s">
        <v>4681</v>
      </c>
      <c r="D2295" s="9" t="s">
        <v>59</v>
      </c>
      <c r="E2295" s="6" t="s">
        <v>4689</v>
      </c>
      <c r="F2295" s="9"/>
    </row>
    <row r="2296" ht="33.75" customHeight="1">
      <c r="A2296" s="7">
        <v>77.0</v>
      </c>
      <c r="B2296" s="9" t="s">
        <v>4679</v>
      </c>
      <c r="C2296" s="9" t="s">
        <v>4681</v>
      </c>
      <c r="D2296" s="9" t="s">
        <v>64</v>
      </c>
      <c r="E2296" s="6" t="s">
        <v>4691</v>
      </c>
      <c r="F2296" s="9"/>
    </row>
    <row r="2297" ht="33.75" customHeight="1">
      <c r="A2297" s="7">
        <v>77.0</v>
      </c>
      <c r="B2297" s="9" t="s">
        <v>4679</v>
      </c>
      <c r="C2297" s="9" t="s">
        <v>4681</v>
      </c>
      <c r="D2297" s="9" t="s">
        <v>67</v>
      </c>
      <c r="E2297" s="6" t="s">
        <v>4693</v>
      </c>
      <c r="F2297" s="9"/>
    </row>
    <row r="2298" ht="33.75" customHeight="1">
      <c r="A2298" s="7">
        <v>77.0</v>
      </c>
      <c r="B2298" s="9" t="s">
        <v>4679</v>
      </c>
      <c r="C2298" s="9" t="s">
        <v>4681</v>
      </c>
      <c r="D2298" s="9" t="s">
        <v>71</v>
      </c>
      <c r="E2298" s="6" t="s">
        <v>4693</v>
      </c>
      <c r="F2298" s="9"/>
    </row>
    <row r="2299" ht="33.75" customHeight="1">
      <c r="A2299" s="7">
        <v>77.0</v>
      </c>
      <c r="B2299" s="9" t="s">
        <v>4679</v>
      </c>
      <c r="C2299" s="9" t="s">
        <v>4681</v>
      </c>
      <c r="D2299" s="9" t="s">
        <v>73</v>
      </c>
      <c r="E2299" s="6" t="s">
        <v>4696</v>
      </c>
      <c r="F2299" s="9"/>
    </row>
    <row r="2300" ht="33.75" customHeight="1">
      <c r="A2300" s="7">
        <v>77.0</v>
      </c>
      <c r="B2300" s="9" t="s">
        <v>4679</v>
      </c>
      <c r="C2300" s="9" t="s">
        <v>4681</v>
      </c>
      <c r="D2300" s="9" t="s">
        <v>75</v>
      </c>
      <c r="E2300" s="6" t="s">
        <v>4698</v>
      </c>
      <c r="F2300" s="9"/>
    </row>
    <row r="2301" ht="33.75" customHeight="1">
      <c r="A2301" s="7">
        <v>77.0</v>
      </c>
      <c r="B2301" s="9" t="s">
        <v>4679</v>
      </c>
      <c r="C2301" s="9" t="s">
        <v>4681</v>
      </c>
      <c r="D2301" s="9" t="s">
        <v>79</v>
      </c>
      <c r="E2301" s="6" t="s">
        <v>4700</v>
      </c>
      <c r="F2301" s="9"/>
    </row>
    <row r="2302" ht="33.75" customHeight="1">
      <c r="A2302" s="7">
        <v>77.0</v>
      </c>
      <c r="B2302" s="9" t="s">
        <v>4679</v>
      </c>
      <c r="C2302" s="9" t="s">
        <v>4681</v>
      </c>
      <c r="D2302" s="9" t="s">
        <v>81</v>
      </c>
      <c r="E2302" s="6" t="s">
        <v>4703</v>
      </c>
      <c r="F2302" s="9"/>
    </row>
    <row r="2303" ht="33.75" customHeight="1">
      <c r="A2303" s="7">
        <v>77.0</v>
      </c>
      <c r="B2303" s="9" t="s">
        <v>4679</v>
      </c>
      <c r="C2303" s="9" t="s">
        <v>4681</v>
      </c>
      <c r="D2303" s="9" t="s">
        <v>84</v>
      </c>
      <c r="E2303" s="6" t="s">
        <v>4704</v>
      </c>
      <c r="F2303" s="9"/>
    </row>
    <row r="2304" ht="33.75" customHeight="1">
      <c r="A2304" s="7">
        <v>77.0</v>
      </c>
      <c r="B2304" s="9" t="s">
        <v>4679</v>
      </c>
      <c r="C2304" s="9" t="s">
        <v>4681</v>
      </c>
      <c r="D2304" s="9" t="s">
        <v>87</v>
      </c>
      <c r="E2304" s="6" t="s">
        <v>4706</v>
      </c>
      <c r="F2304" s="9"/>
    </row>
    <row r="2305" ht="33.75" customHeight="1">
      <c r="A2305" s="7">
        <v>77.0</v>
      </c>
      <c r="B2305" s="9" t="s">
        <v>4679</v>
      </c>
      <c r="C2305" s="9" t="s">
        <v>4681</v>
      </c>
      <c r="D2305" s="9" t="s">
        <v>89</v>
      </c>
      <c r="E2305" s="6" t="s">
        <v>4708</v>
      </c>
      <c r="F2305" s="9"/>
    </row>
    <row r="2306" ht="33.75" customHeight="1">
      <c r="A2306" s="7">
        <v>77.0</v>
      </c>
      <c r="B2306" s="9" t="s">
        <v>4679</v>
      </c>
      <c r="C2306" s="9" t="s">
        <v>4681</v>
      </c>
      <c r="D2306" s="9" t="s">
        <v>91</v>
      </c>
      <c r="E2306" s="6" t="s">
        <v>4711</v>
      </c>
      <c r="F2306" s="9"/>
    </row>
    <row r="2307" ht="33.75" customHeight="1">
      <c r="A2307" s="7">
        <v>77.0</v>
      </c>
      <c r="B2307" s="9" t="s">
        <v>4679</v>
      </c>
      <c r="C2307" s="9" t="s">
        <v>4681</v>
      </c>
      <c r="D2307" s="9" t="s">
        <v>93</v>
      </c>
      <c r="E2307" s="6" t="s">
        <v>4706</v>
      </c>
      <c r="F2307" s="9"/>
    </row>
    <row r="2308" ht="33.75" customHeight="1">
      <c r="A2308" s="7">
        <v>77.0</v>
      </c>
      <c r="B2308" s="9" t="s">
        <v>4679</v>
      </c>
      <c r="C2308" s="9" t="s">
        <v>4681</v>
      </c>
      <c r="D2308" s="9" t="s">
        <v>95</v>
      </c>
      <c r="E2308" s="6" t="s">
        <v>4706</v>
      </c>
      <c r="F2308" s="9"/>
    </row>
    <row r="2309" ht="33.75" customHeight="1">
      <c r="A2309" s="7">
        <v>77.0</v>
      </c>
      <c r="B2309" s="9" t="s">
        <v>4679</v>
      </c>
      <c r="C2309" s="9" t="s">
        <v>4681</v>
      </c>
      <c r="D2309" s="9" t="s">
        <v>98</v>
      </c>
      <c r="E2309" s="6" t="s">
        <v>4706</v>
      </c>
      <c r="F2309" s="9"/>
    </row>
    <row r="2310" ht="33.75" customHeight="1">
      <c r="A2310" s="7">
        <v>77.0</v>
      </c>
      <c r="B2310" s="9" t="s">
        <v>4679</v>
      </c>
      <c r="C2310" s="9" t="s">
        <v>4681</v>
      </c>
      <c r="D2310" s="9" t="s">
        <v>99</v>
      </c>
      <c r="E2310" s="6" t="s">
        <v>4706</v>
      </c>
      <c r="F2310" s="9"/>
    </row>
    <row r="2311" ht="33.75" customHeight="1">
      <c r="A2311" s="7">
        <v>77.0</v>
      </c>
      <c r="B2311" s="9" t="s">
        <v>4679</v>
      </c>
      <c r="C2311" s="9" t="s">
        <v>4681</v>
      </c>
      <c r="D2311" s="9" t="s">
        <v>101</v>
      </c>
      <c r="E2311" s="6" t="s">
        <v>4706</v>
      </c>
      <c r="F2311" s="9"/>
    </row>
    <row r="2312" ht="33.75" customHeight="1">
      <c r="A2312" s="7">
        <v>77.0</v>
      </c>
      <c r="B2312" s="9" t="s">
        <v>4679</v>
      </c>
      <c r="C2312" s="9" t="s">
        <v>4681</v>
      </c>
      <c r="D2312" s="9" t="s">
        <v>105</v>
      </c>
      <c r="E2312" s="6" t="s">
        <v>4704</v>
      </c>
      <c r="F2312" s="9"/>
    </row>
    <row r="2313" ht="33.75" customHeight="1">
      <c r="A2313" s="7">
        <v>77.0</v>
      </c>
      <c r="B2313" s="9" t="s">
        <v>4679</v>
      </c>
      <c r="C2313" s="9" t="s">
        <v>4681</v>
      </c>
      <c r="D2313" s="9" t="s">
        <v>107</v>
      </c>
      <c r="E2313" s="6" t="s">
        <v>4717</v>
      </c>
      <c r="F2313" s="9"/>
    </row>
    <row r="2314" ht="33.75" customHeight="1">
      <c r="A2314" s="7">
        <v>77.0</v>
      </c>
      <c r="B2314" s="9" t="s">
        <v>4679</v>
      </c>
      <c r="C2314" s="9" t="s">
        <v>4681</v>
      </c>
      <c r="D2314" s="9" t="s">
        <v>109</v>
      </c>
      <c r="E2314" s="6" t="s">
        <v>4717</v>
      </c>
      <c r="F2314" s="9"/>
    </row>
    <row r="2315" ht="33.75" customHeight="1">
      <c r="A2315" s="7">
        <v>77.0</v>
      </c>
      <c r="B2315" s="9" t="s">
        <v>4679</v>
      </c>
      <c r="C2315" s="9" t="s">
        <v>4681</v>
      </c>
      <c r="D2315" s="9" t="s">
        <v>111</v>
      </c>
      <c r="E2315" s="6" t="s">
        <v>4684</v>
      </c>
      <c r="F2315" s="9"/>
    </row>
    <row r="2316" ht="33.75" customHeight="1">
      <c r="A2316" s="7">
        <v>77.0</v>
      </c>
      <c r="B2316" s="9" t="s">
        <v>4679</v>
      </c>
      <c r="C2316" s="9" t="s">
        <v>4681</v>
      </c>
      <c r="D2316" s="9" t="s">
        <v>113</v>
      </c>
      <c r="E2316" s="6" t="s">
        <v>4684</v>
      </c>
      <c r="F2316" s="9"/>
    </row>
    <row r="2317" ht="33.75" customHeight="1">
      <c r="A2317" s="7">
        <v>77.0</v>
      </c>
      <c r="B2317" s="9" t="s">
        <v>4679</v>
      </c>
      <c r="C2317" s="9" t="s">
        <v>4681</v>
      </c>
      <c r="D2317" s="9" t="s">
        <v>114</v>
      </c>
      <c r="E2317" s="6" t="s">
        <v>4721</v>
      </c>
      <c r="F2317" s="9"/>
    </row>
    <row r="2318" ht="33.75" customHeight="1">
      <c r="A2318" s="7">
        <v>77.0</v>
      </c>
      <c r="B2318" s="9" t="s">
        <v>4679</v>
      </c>
      <c r="C2318" s="9" t="s">
        <v>4681</v>
      </c>
      <c r="D2318" s="9" t="s">
        <v>117</v>
      </c>
      <c r="E2318" s="6" t="s">
        <v>4723</v>
      </c>
      <c r="F2318" s="9"/>
    </row>
    <row r="2319" ht="33.75" customHeight="1">
      <c r="A2319" s="7">
        <v>77.0</v>
      </c>
      <c r="B2319" s="9" t="s">
        <v>4679</v>
      </c>
      <c r="C2319" s="9" t="s">
        <v>4681</v>
      </c>
      <c r="D2319" s="9" t="s">
        <v>1577</v>
      </c>
      <c r="E2319" s="6" t="s">
        <v>4725</v>
      </c>
      <c r="F2319" s="9"/>
    </row>
    <row r="2320" ht="33.75" customHeight="1">
      <c r="A2320" s="7">
        <v>78.0</v>
      </c>
      <c r="B2320" s="9" t="s">
        <v>4726</v>
      </c>
      <c r="C2320" s="9" t="s">
        <v>4681</v>
      </c>
      <c r="D2320" s="9" t="s">
        <v>24</v>
      </c>
      <c r="E2320" s="6" t="s">
        <v>4728</v>
      </c>
      <c r="F2320" t="inlineStr" s="10">
        <is>
          <t xml:space="preserve">Tämä erittäin kilpailuhenkinen POKéMON jahtaa kaikkea nopeasti liikkuvaa toivoen pääsevänsä kilpailemaan Rapidashin kanssa. Rakastaa vain juoksemista. Jos se näkee jotakin itseään nopeampaa, se lähtee takaa täyttä vauhtia. Täydessä laukassa sen neljä kaviota tuskin koskettavat maata, koska se liikkuu niin uskomattoman nopeasti. Uskomattoman kiihtyvyyden ansiosta se saavuttaa huippunopeutensa 240 km/h vain kymmenen askeleen juostuaan. Se rakastaa laukkaa. Mitä nopeammin se juoksee, sitä pidemmiksi sen harjan liehuvat liekit venyvät. RAPIDASHin näkee yleensä laukkaamassa pelloilla ja tasangoilla. Kuitenkin, kun tämä POKéMON vakavastuu, sen tulinen harja leimahtaa ja roihuaa sen laukatessa jopa 240 km/h nopeuteen. Se yleensä laukkaa huolettomasti pelloilla ja tasangoilla. Mutta kun RAPIDASH muuttuu vakavaksi, sen tulinen harja leimahtaa ja roihuaa sen laukatessa jopa 240 km/h nopeuteen. Se voi laukkaa huippunopeudella 240 kilometriä tunnissa. Se voi kiitää yhtä nopeasti kuin luotijuna liekeissä. Se laukkaa lähes 240 km/h nopeudella. Raivokkaasti liekehtivä harja se kiitää kuin nuoli. Sen kiihtyvyys on hämmästyttävä. Se saavuttaa huippunopeuden paikaltaan 10 vaiheessa. Kun se laukkaa täysillä, sen liekehtivä harja kimaltelee ja korostaa sen kaunista ulkonäköä. Uskomattoman kiihtyvyyden ansiosta se saavuttaa huippunopeutensa 240 km/h vain 10 askeleen juostuaan. Tämä kilpailuhenkinen Pokémon jahtaa kaikkea nopeasti liikkuvaa toivoen pääsevänsä kilpailemaan sen kanssa. Jos se näkee jotakin itseään nopeampaa, se lähtee takaa-ajoon täydellä vauhdilla. Tämän Pokémonin voi nähdä laukkaavan peltojen läpi jopa 240 km/h nopeudella, sen tulinen harja lepattellen tuulessa. Nopein juoksija ryhtyy johtajaksi, ja se määrää lauman vauhdin ja suunnan. Tulinen harja hehkuu, Rapidash syöksyy kuin nuoli halki maan. Tämä uskomattoman nopea olento voi kulkea Hisuin laajan alueen puolessatoista päivässä.</t>
        </is>
      </c>
    </row>
    <row r="2321" ht="33.75" customHeight="1">
      <c r="A2321" s="7">
        <v>78.0</v>
      </c>
      <c r="B2321" s="9" t="s">
        <v>4726</v>
      </c>
      <c r="C2321" s="9" t="s">
        <v>4681</v>
      </c>
      <c r="D2321" s="9" t="s">
        <v>35</v>
      </c>
      <c r="E2321" s="6" t="s">
        <v>4728</v>
      </c>
      <c r="F2321" s="9"/>
    </row>
    <row r="2322" ht="33.75" customHeight="1">
      <c r="A2322" s="7">
        <v>78.0</v>
      </c>
      <c r="B2322" s="9" t="s">
        <v>4726</v>
      </c>
      <c r="C2322" s="9" t="s">
        <v>4681</v>
      </c>
      <c r="D2322" s="9" t="s">
        <v>42</v>
      </c>
      <c r="E2322" s="6" t="s">
        <v>4731</v>
      </c>
      <c r="F2322" s="9"/>
    </row>
    <row r="2323" ht="33.75" customHeight="1">
      <c r="A2323" s="7">
        <v>78.0</v>
      </c>
      <c r="B2323" s="9" t="s">
        <v>4726</v>
      </c>
      <c r="C2323" s="9" t="s">
        <v>4681</v>
      </c>
      <c r="D2323" s="9" t="s">
        <v>52</v>
      </c>
      <c r="E2323" s="6" t="s">
        <v>4734</v>
      </c>
      <c r="F2323" s="9"/>
    </row>
    <row r="2324" ht="33.75" customHeight="1">
      <c r="A2324" s="7">
        <v>78.0</v>
      </c>
      <c r="B2324" s="9" t="s">
        <v>4726</v>
      </c>
      <c r="C2324" s="9" t="s">
        <v>4681</v>
      </c>
      <c r="D2324" s="9" t="s">
        <v>59</v>
      </c>
      <c r="E2324" s="6" t="s">
        <v>4735</v>
      </c>
      <c r="F2324" s="9"/>
    </row>
    <row r="2325" ht="33.75" customHeight="1">
      <c r="A2325" s="7">
        <v>78.0</v>
      </c>
      <c r="B2325" s="9" t="s">
        <v>4726</v>
      </c>
      <c r="C2325" s="9" t="s">
        <v>4681</v>
      </c>
      <c r="D2325" s="9" t="s">
        <v>64</v>
      </c>
      <c r="E2325" s="6" t="s">
        <v>4737</v>
      </c>
      <c r="F2325" s="9"/>
    </row>
    <row r="2326" ht="33.75" customHeight="1">
      <c r="A2326" s="7">
        <v>78.0</v>
      </c>
      <c r="B2326" s="9" t="s">
        <v>4726</v>
      </c>
      <c r="C2326" s="9" t="s">
        <v>4681</v>
      </c>
      <c r="D2326" s="9" t="s">
        <v>67</v>
      </c>
      <c r="E2326" s="6" t="s">
        <v>4740</v>
      </c>
      <c r="F2326" s="9"/>
    </row>
    <row r="2327" ht="33.75" customHeight="1">
      <c r="A2327" s="7">
        <v>78.0</v>
      </c>
      <c r="B2327" s="9" t="s">
        <v>4726</v>
      </c>
      <c r="C2327" s="9" t="s">
        <v>4681</v>
      </c>
      <c r="D2327" s="9" t="s">
        <v>71</v>
      </c>
      <c r="E2327" s="6" t="s">
        <v>4740</v>
      </c>
      <c r="F2327" s="9"/>
    </row>
    <row r="2328" ht="33.75" customHeight="1">
      <c r="A2328" s="7">
        <v>78.0</v>
      </c>
      <c r="B2328" s="9" t="s">
        <v>4726</v>
      </c>
      <c r="C2328" s="9" t="s">
        <v>4681</v>
      </c>
      <c r="D2328" s="9" t="s">
        <v>73</v>
      </c>
      <c r="E2328" s="6" t="s">
        <v>4743</v>
      </c>
      <c r="F2328" s="9"/>
    </row>
    <row r="2329" ht="33.75" customHeight="1">
      <c r="A2329" s="7">
        <v>78.0</v>
      </c>
      <c r="B2329" s="9" t="s">
        <v>4726</v>
      </c>
      <c r="C2329" s="9" t="s">
        <v>4681</v>
      </c>
      <c r="D2329" s="9" t="s">
        <v>75</v>
      </c>
      <c r="E2329" s="6" t="s">
        <v>4744</v>
      </c>
      <c r="F2329" s="9"/>
    </row>
    <row r="2330" ht="33.75" customHeight="1">
      <c r="A2330" s="7">
        <v>78.0</v>
      </c>
      <c r="B2330" s="9" t="s">
        <v>4726</v>
      </c>
      <c r="C2330" s="9" t="s">
        <v>4681</v>
      </c>
      <c r="D2330" s="9" t="s">
        <v>79</v>
      </c>
      <c r="E2330" s="6" t="s">
        <v>4728</v>
      </c>
      <c r="F2330" s="9"/>
    </row>
    <row r="2331" ht="33.75" customHeight="1">
      <c r="A2331" s="7">
        <v>78.0</v>
      </c>
      <c r="B2331" s="9" t="s">
        <v>4726</v>
      </c>
      <c r="C2331" s="9" t="s">
        <v>4681</v>
      </c>
      <c r="D2331" s="9" t="s">
        <v>81</v>
      </c>
      <c r="E2331" s="6" t="s">
        <v>4747</v>
      </c>
      <c r="F2331" s="9"/>
    </row>
    <row r="2332" ht="33.75" customHeight="1">
      <c r="A2332" s="7">
        <v>78.0</v>
      </c>
      <c r="B2332" s="9" t="s">
        <v>4726</v>
      </c>
      <c r="C2332" s="9" t="s">
        <v>4681</v>
      </c>
      <c r="D2332" s="9" t="s">
        <v>84</v>
      </c>
      <c r="E2332" s="6" t="s">
        <v>4749</v>
      </c>
      <c r="F2332" s="9"/>
    </row>
    <row r="2333" ht="33.75" customHeight="1">
      <c r="A2333" s="7">
        <v>78.0</v>
      </c>
      <c r="B2333" s="9" t="s">
        <v>4726</v>
      </c>
      <c r="C2333" s="9" t="s">
        <v>4681</v>
      </c>
      <c r="D2333" s="9" t="s">
        <v>87</v>
      </c>
      <c r="E2333" s="6" t="s">
        <v>4751</v>
      </c>
      <c r="F2333" s="9"/>
    </row>
    <row r="2334" ht="33.75" customHeight="1">
      <c r="A2334" s="7">
        <v>78.0</v>
      </c>
      <c r="B2334" s="9" t="s">
        <v>4726</v>
      </c>
      <c r="C2334" s="9" t="s">
        <v>4681</v>
      </c>
      <c r="D2334" s="9" t="s">
        <v>89</v>
      </c>
      <c r="E2334" s="6" t="s">
        <v>4734</v>
      </c>
      <c r="F2334" s="9"/>
    </row>
    <row r="2335" ht="33.75" customHeight="1">
      <c r="A2335" s="7">
        <v>78.0</v>
      </c>
      <c r="B2335" s="9" t="s">
        <v>4726</v>
      </c>
      <c r="C2335" s="9" t="s">
        <v>4681</v>
      </c>
      <c r="D2335" s="9" t="s">
        <v>91</v>
      </c>
      <c r="E2335" s="6" t="s">
        <v>4754</v>
      </c>
      <c r="F2335" s="9"/>
    </row>
    <row r="2336" ht="33.75" customHeight="1">
      <c r="A2336" s="7">
        <v>78.0</v>
      </c>
      <c r="B2336" s="9" t="s">
        <v>4726</v>
      </c>
      <c r="C2336" s="9" t="s">
        <v>4681</v>
      </c>
      <c r="D2336" s="9" t="s">
        <v>93</v>
      </c>
      <c r="E2336" s="6" t="s">
        <v>4751</v>
      </c>
      <c r="F2336" s="9"/>
    </row>
    <row r="2337" ht="33.75" customHeight="1">
      <c r="A2337" s="7">
        <v>78.0</v>
      </c>
      <c r="B2337" s="9" t="s">
        <v>4726</v>
      </c>
      <c r="C2337" s="9" t="s">
        <v>4681</v>
      </c>
      <c r="D2337" s="9" t="s">
        <v>95</v>
      </c>
      <c r="E2337" s="6" t="s">
        <v>4751</v>
      </c>
      <c r="F2337" s="9"/>
    </row>
    <row r="2338" ht="33.75" customHeight="1">
      <c r="A2338" s="7">
        <v>78.0</v>
      </c>
      <c r="B2338" s="9" t="s">
        <v>4726</v>
      </c>
      <c r="C2338" s="9" t="s">
        <v>4681</v>
      </c>
      <c r="D2338" s="9" t="s">
        <v>98</v>
      </c>
      <c r="E2338" s="6" t="s">
        <v>4751</v>
      </c>
      <c r="F2338" s="9"/>
    </row>
    <row r="2339" ht="33.75" customHeight="1">
      <c r="A2339" s="7">
        <v>78.0</v>
      </c>
      <c r="B2339" s="9" t="s">
        <v>4726</v>
      </c>
      <c r="C2339" s="9" t="s">
        <v>4681</v>
      </c>
      <c r="D2339" s="9" t="s">
        <v>99</v>
      </c>
      <c r="E2339" s="6" t="s">
        <v>4751</v>
      </c>
      <c r="F2339" s="9"/>
    </row>
    <row r="2340" ht="33.75" customHeight="1">
      <c r="A2340" s="7">
        <v>78.0</v>
      </c>
      <c r="B2340" s="9" t="s">
        <v>4726</v>
      </c>
      <c r="C2340" s="9" t="s">
        <v>4681</v>
      </c>
      <c r="D2340" s="9" t="s">
        <v>101</v>
      </c>
      <c r="E2340" s="6" t="s">
        <v>4760</v>
      </c>
      <c r="F2340" s="9"/>
    </row>
    <row r="2341" ht="33.75" customHeight="1">
      <c r="A2341" s="7">
        <v>78.0</v>
      </c>
      <c r="B2341" s="9" t="s">
        <v>4726</v>
      </c>
      <c r="C2341" s="9" t="s">
        <v>4681</v>
      </c>
      <c r="D2341" s="9" t="s">
        <v>105</v>
      </c>
      <c r="E2341" s="6" t="s">
        <v>4747</v>
      </c>
      <c r="F2341" s="9"/>
    </row>
    <row r="2342" ht="33.75" customHeight="1">
      <c r="A2342" s="7">
        <v>78.0</v>
      </c>
      <c r="B2342" s="9" t="s">
        <v>4726</v>
      </c>
      <c r="C2342" s="9" t="s">
        <v>4681</v>
      </c>
      <c r="D2342" s="9" t="s">
        <v>107</v>
      </c>
      <c r="E2342" s="6" t="s">
        <v>4763</v>
      </c>
      <c r="F2342" s="9"/>
    </row>
    <row r="2343" ht="33.75" customHeight="1">
      <c r="A2343" s="7">
        <v>78.0</v>
      </c>
      <c r="B2343" s="9" t="s">
        <v>4726</v>
      </c>
      <c r="C2343" s="9" t="s">
        <v>4681</v>
      </c>
      <c r="D2343" s="9" t="s">
        <v>109</v>
      </c>
      <c r="E2343" s="6" t="s">
        <v>4763</v>
      </c>
      <c r="F2343" s="9"/>
    </row>
    <row r="2344" ht="33.75" customHeight="1">
      <c r="A2344" s="7">
        <v>78.0</v>
      </c>
      <c r="B2344" s="9" t="s">
        <v>4726</v>
      </c>
      <c r="C2344" s="9" t="s">
        <v>4681</v>
      </c>
      <c r="D2344" s="9" t="s">
        <v>111</v>
      </c>
      <c r="E2344" s="6" t="s">
        <v>4766</v>
      </c>
      <c r="F2344" s="9"/>
    </row>
    <row r="2345" ht="33.75" customHeight="1">
      <c r="A2345" s="7">
        <v>78.0</v>
      </c>
      <c r="B2345" s="9" t="s">
        <v>4726</v>
      </c>
      <c r="C2345" s="9" t="s">
        <v>4681</v>
      </c>
      <c r="D2345" s="9" t="s">
        <v>113</v>
      </c>
      <c r="E2345" s="6" t="s">
        <v>4766</v>
      </c>
      <c r="F2345" s="9"/>
    </row>
    <row r="2346" ht="33.75" customHeight="1">
      <c r="A2346" s="7">
        <v>78.0</v>
      </c>
      <c r="B2346" s="9" t="s">
        <v>4726</v>
      </c>
      <c r="C2346" s="9" t="s">
        <v>4681</v>
      </c>
      <c r="D2346" s="9" t="s">
        <v>114</v>
      </c>
      <c r="E2346" s="6" t="s">
        <v>4769</v>
      </c>
      <c r="F2346" s="9"/>
    </row>
    <row r="2347" ht="33.75" customHeight="1">
      <c r="A2347" s="7">
        <v>78.0</v>
      </c>
      <c r="B2347" s="9" t="s">
        <v>4726</v>
      </c>
      <c r="C2347" s="9" t="s">
        <v>4681</v>
      </c>
      <c r="D2347" s="9" t="s">
        <v>117</v>
      </c>
      <c r="E2347" s="6" t="s">
        <v>4771</v>
      </c>
      <c r="F2347" s="9"/>
    </row>
    <row r="2348" ht="33.75" customHeight="1">
      <c r="A2348" s="7">
        <v>78.0</v>
      </c>
      <c r="B2348" s="9" t="s">
        <v>4726</v>
      </c>
      <c r="C2348" s="9" t="s">
        <v>4681</v>
      </c>
      <c r="D2348" s="9" t="s">
        <v>1577</v>
      </c>
      <c r="E2348" s="6" t="s">
        <v>4772</v>
      </c>
      <c r="F2348" s="9"/>
    </row>
    <row r="2349" ht="33.75" customHeight="1">
      <c r="A2349" s="7">
        <v>79.0</v>
      </c>
      <c r="B2349" s="9" t="s">
        <v>4774</v>
      </c>
      <c r="C2349" s="9" t="s">
        <v>4775</v>
      </c>
      <c r="D2349" s="9" t="s">
        <v>24</v>
      </c>
      <c r="E2349" s="6" t="s">
        <v>4776</v>
      </c>
      <c r="F2349" t="inlineStr" s="10">
        <is>
          <t xml:space="preserve">Uskomattoman hidas ja höpsö. Kestää viisi sekuntia ennen kuin se tuntee kipua hyökkäyksen aikana. Uskomattoman hidas ja laiska. Se on varsin tyytyväinen loikoillessaan murehtimatta ajasta. Se laiskotelee tyhjänä veden lähellä. Jos jokin puree sen häntään, se ei edes huomaa sitä kokonaiseen päivään. Sen pyrstön kärjestä valuu makeaa mahlaa. Vaikka pyrstö ei olekaan ravitseva, sitä on miellyttävä pureskella. Se on aina niin hajamielinen, ettei se reagoi, vaikka sen maukasta häntää purtaisiin. SLOWPOKE käyttää häntäänsä saaliin pyydystämiseen upottamalla sen veteen joen rannalla. Tämä POKéMON kuitenkin usein unohtaa, mitä se tekee, ja viettää usein kokonaisia ​​päiviä vain loikoillen veden reunalla. Se pyydystää saalistaan ​​upottamalla häntäänsä veteen joen rannalla. Mutta se usein unohtaa, mitä tekee, ja viettää kokonaisia ​​päiviä vain loikoillen veden reunalla. Se on aina tyhjyyden vallassa ajatuksissaan, mutta kukaan ei tiedä, mitä se ajattelee. Se on hyvä kalastamaan pyrstöllään. Vaikka se on hidas, se on taitava kalastamaan pyrstöllään. Se ei tunne kipua, jos sitä purraan. Jos jokin puree sen pyrstöstä, se ei edes huomaa sitä kokonaiseen päivään. Hidas Pokémon käyttää häntäänsä saaliin pyydystämiseen upottamalla sen veteen joen rannalla. Tämä Pokémon kuitenkin usein unohtaa, mitä se tekee, ja viettää kokonaisia ​​päiviä vain loikoillen veden reunalla. Sen pitkä häntä katkeaa usein. Se ei kuitenkaan tunne kipua, ja häntä kasvaa takaisin, joten Hidaslintu ei ole siitä erityisen huolissaan. Alolanin kotiruoanlaittoon kuuluu slowpoke-pyrstön kuivaaminen ja niiden hauduttaminen suolaiseksi muhennokseksi. On joitakin paikkoja, joissa Hidaspiiskaa palvotaan, koska on pitkään uskottu, että aina kun Hidaspiiska haukottelee, sataa. Vaikka niiden luonnostaan ​​irtoavat pyrstöt löytyvät helposti lojumasta, ne ovat arvokas ainesosa ruoanlaitossa. Hidasälyisenä ja tietämättömänä tämä Pokémon ei tunne kipua, jos sen häntä syödään. Se ei myöskään huomaa, milloin sen häntä kasvaa takaisin. Kun tämän Pokémonin häntä kastuu veteen, siitä tihkuu makeutta. Slowpoke käyttää tätä ominaisuutta houkutellakseen ja kalastaakseen muita Pokémoneja.</t>
        </is>
      </c>
    </row>
    <row r="2350" ht="33.75" customHeight="1">
      <c r="A2350" s="7">
        <v>79.0</v>
      </c>
      <c r="B2350" s="9" t="s">
        <v>4774</v>
      </c>
      <c r="C2350" s="9" t="s">
        <v>4775</v>
      </c>
      <c r="D2350" s="9" t="s">
        <v>35</v>
      </c>
      <c r="E2350" s="6" t="s">
        <v>4776</v>
      </c>
      <c r="F2350" s="9"/>
    </row>
    <row r="2351" ht="33.75" customHeight="1">
      <c r="A2351" s="7">
        <v>79.0</v>
      </c>
      <c r="B2351" s="9" t="s">
        <v>4774</v>
      </c>
      <c r="C2351" s="9" t="s">
        <v>4775</v>
      </c>
      <c r="D2351" s="9" t="s">
        <v>42</v>
      </c>
      <c r="E2351" s="6" t="s">
        <v>4778</v>
      </c>
      <c r="F2351" s="9"/>
    </row>
    <row r="2352" ht="33.75" customHeight="1">
      <c r="A2352" s="7">
        <v>79.0</v>
      </c>
      <c r="B2352" s="9" t="s">
        <v>4774</v>
      </c>
      <c r="C2352" s="9" t="s">
        <v>4775</v>
      </c>
      <c r="D2352" s="9" t="s">
        <v>52</v>
      </c>
      <c r="E2352" s="6" t="s">
        <v>4780</v>
      </c>
      <c r="F2352" s="9"/>
    </row>
    <row r="2353" ht="33.75" customHeight="1">
      <c r="A2353" s="7">
        <v>79.0</v>
      </c>
      <c r="B2353" s="9" t="s">
        <v>4774</v>
      </c>
      <c r="C2353" s="9" t="s">
        <v>4775</v>
      </c>
      <c r="D2353" s="9" t="s">
        <v>59</v>
      </c>
      <c r="E2353" s="6" t="s">
        <v>4782</v>
      </c>
      <c r="F2353" s="9"/>
    </row>
    <row r="2354" ht="33.75" customHeight="1">
      <c r="A2354" s="7">
        <v>79.0</v>
      </c>
      <c r="B2354" s="9" t="s">
        <v>4774</v>
      </c>
      <c r="C2354" s="9" t="s">
        <v>4775</v>
      </c>
      <c r="D2354" s="9" t="s">
        <v>64</v>
      </c>
      <c r="E2354" s="6" t="s">
        <v>4784</v>
      </c>
      <c r="F2354" s="9"/>
    </row>
    <row r="2355" ht="33.75" customHeight="1">
      <c r="A2355" s="7">
        <v>79.0</v>
      </c>
      <c r="B2355" s="9" t="s">
        <v>4774</v>
      </c>
      <c r="C2355" s="9" t="s">
        <v>4775</v>
      </c>
      <c r="D2355" s="9" t="s">
        <v>67</v>
      </c>
      <c r="E2355" s="6" t="s">
        <v>4785</v>
      </c>
      <c r="F2355" s="9"/>
    </row>
    <row r="2356" ht="33.75" customHeight="1">
      <c r="A2356" s="7">
        <v>79.0</v>
      </c>
      <c r="B2356" s="9" t="s">
        <v>4774</v>
      </c>
      <c r="C2356" s="9" t="s">
        <v>4775</v>
      </c>
      <c r="D2356" s="9" t="s">
        <v>71</v>
      </c>
      <c r="E2356" s="6" t="s">
        <v>4785</v>
      </c>
      <c r="F2356" s="9"/>
    </row>
    <row r="2357" ht="33.75" customHeight="1">
      <c r="A2357" s="7">
        <v>79.0</v>
      </c>
      <c r="B2357" s="9" t="s">
        <v>4774</v>
      </c>
      <c r="C2357" s="9" t="s">
        <v>4775</v>
      </c>
      <c r="D2357" s="9" t="s">
        <v>73</v>
      </c>
      <c r="E2357" s="6" t="s">
        <v>4788</v>
      </c>
      <c r="F2357" s="9"/>
    </row>
    <row r="2358" ht="33.75" customHeight="1">
      <c r="A2358" s="7">
        <v>79.0</v>
      </c>
      <c r="B2358" s="9" t="s">
        <v>4774</v>
      </c>
      <c r="C2358" s="9" t="s">
        <v>4775</v>
      </c>
      <c r="D2358" s="9" t="s">
        <v>75</v>
      </c>
      <c r="E2358" s="6" t="s">
        <v>4790</v>
      </c>
      <c r="F2358" s="9"/>
    </row>
    <row r="2359" ht="33.75" customHeight="1">
      <c r="A2359" s="7">
        <v>79.0</v>
      </c>
      <c r="B2359" s="9" t="s">
        <v>4774</v>
      </c>
      <c r="C2359" s="9" t="s">
        <v>4775</v>
      </c>
      <c r="D2359" s="9" t="s">
        <v>79</v>
      </c>
      <c r="E2359" s="6" t="s">
        <v>4776</v>
      </c>
      <c r="F2359" s="9"/>
    </row>
    <row r="2360" ht="33.75" customHeight="1">
      <c r="A2360" s="7">
        <v>79.0</v>
      </c>
      <c r="B2360" s="9" t="s">
        <v>4774</v>
      </c>
      <c r="C2360" s="9" t="s">
        <v>4775</v>
      </c>
      <c r="D2360" s="9" t="s">
        <v>81</v>
      </c>
      <c r="E2360" s="6" t="s">
        <v>4792</v>
      </c>
      <c r="F2360" s="9"/>
    </row>
    <row r="2361" ht="33.75" customHeight="1">
      <c r="A2361" s="7">
        <v>79.0</v>
      </c>
      <c r="B2361" s="9" t="s">
        <v>4774</v>
      </c>
      <c r="C2361" s="9" t="s">
        <v>4775</v>
      </c>
      <c r="D2361" s="9" t="s">
        <v>84</v>
      </c>
      <c r="E2361" s="6" t="s">
        <v>4792</v>
      </c>
      <c r="F2361" s="9"/>
    </row>
    <row r="2362" ht="33.75" customHeight="1">
      <c r="A2362" s="7">
        <v>79.0</v>
      </c>
      <c r="B2362" s="9" t="s">
        <v>4774</v>
      </c>
      <c r="C2362" s="9" t="s">
        <v>4775</v>
      </c>
      <c r="D2362" s="9" t="s">
        <v>87</v>
      </c>
      <c r="E2362" s="6" t="s">
        <v>4792</v>
      </c>
      <c r="F2362" s="9"/>
    </row>
    <row r="2363" ht="33.75" customHeight="1">
      <c r="A2363" s="7">
        <v>79.0</v>
      </c>
      <c r="B2363" s="9" t="s">
        <v>4774</v>
      </c>
      <c r="C2363" s="9" t="s">
        <v>4775</v>
      </c>
      <c r="D2363" s="9" t="s">
        <v>89</v>
      </c>
      <c r="E2363" s="6" t="s">
        <v>4795</v>
      </c>
      <c r="F2363" s="9"/>
    </row>
    <row r="2364" ht="33.75" customHeight="1">
      <c r="A2364" s="7">
        <v>79.0</v>
      </c>
      <c r="B2364" s="9" t="s">
        <v>4774</v>
      </c>
      <c r="C2364" s="9" t="s">
        <v>4775</v>
      </c>
      <c r="D2364" s="9" t="s">
        <v>91</v>
      </c>
      <c r="E2364" s="6" t="s">
        <v>4782</v>
      </c>
      <c r="F2364" s="9"/>
    </row>
    <row r="2365" ht="33.75" customHeight="1">
      <c r="A2365" s="7">
        <v>79.0</v>
      </c>
      <c r="B2365" s="9" t="s">
        <v>4774</v>
      </c>
      <c r="C2365" s="9" t="s">
        <v>4775</v>
      </c>
      <c r="D2365" s="9" t="s">
        <v>93</v>
      </c>
      <c r="E2365" s="6" t="s">
        <v>4792</v>
      </c>
      <c r="F2365" s="9"/>
    </row>
    <row r="2366" ht="33.75" customHeight="1">
      <c r="A2366" s="7">
        <v>79.0</v>
      </c>
      <c r="B2366" s="9" t="s">
        <v>4774</v>
      </c>
      <c r="C2366" s="9" t="s">
        <v>4775</v>
      </c>
      <c r="D2366" s="9" t="s">
        <v>95</v>
      </c>
      <c r="E2366" s="6" t="s">
        <v>4792</v>
      </c>
      <c r="F2366" s="9"/>
    </row>
    <row r="2367" ht="33.75" customHeight="1">
      <c r="A2367" s="7">
        <v>79.0</v>
      </c>
      <c r="B2367" s="9" t="s">
        <v>4774</v>
      </c>
      <c r="C2367" s="9" t="s">
        <v>4775</v>
      </c>
      <c r="D2367" s="9" t="s">
        <v>98</v>
      </c>
      <c r="E2367" s="6" t="s">
        <v>4792</v>
      </c>
      <c r="F2367" s="9"/>
    </row>
    <row r="2368" ht="33.75" customHeight="1">
      <c r="A2368" s="7">
        <v>79.0</v>
      </c>
      <c r="B2368" s="9" t="s">
        <v>4774</v>
      </c>
      <c r="C2368" s="9" t="s">
        <v>4775</v>
      </c>
      <c r="D2368" s="9" t="s">
        <v>99</v>
      </c>
      <c r="E2368" s="6" t="s">
        <v>4792</v>
      </c>
      <c r="F2368" s="9"/>
    </row>
    <row r="2369" ht="33.75" customHeight="1">
      <c r="A2369" s="7">
        <v>79.0</v>
      </c>
      <c r="B2369" s="9" t="s">
        <v>4774</v>
      </c>
      <c r="C2369" s="9" t="s">
        <v>4775</v>
      </c>
      <c r="D2369" s="9" t="s">
        <v>101</v>
      </c>
      <c r="E2369" s="6" t="s">
        <v>4790</v>
      </c>
      <c r="F2369" s="9"/>
    </row>
    <row r="2370" ht="33.75" customHeight="1">
      <c r="A2370" s="7">
        <v>79.0</v>
      </c>
      <c r="B2370" s="9" t="s">
        <v>4774</v>
      </c>
      <c r="C2370" s="9" t="s">
        <v>4775</v>
      </c>
      <c r="D2370" s="9" t="s">
        <v>105</v>
      </c>
      <c r="E2370" s="6" t="s">
        <v>4795</v>
      </c>
      <c r="F2370" s="9"/>
    </row>
    <row r="2371" ht="33.75" customHeight="1">
      <c r="A2371" s="7">
        <v>79.0</v>
      </c>
      <c r="B2371" s="9" t="s">
        <v>4774</v>
      </c>
      <c r="C2371" s="9" t="s">
        <v>4775</v>
      </c>
      <c r="D2371" s="9" t="s">
        <v>107</v>
      </c>
      <c r="E2371" s="6" t="s">
        <v>4803</v>
      </c>
      <c r="F2371" s="9"/>
    </row>
    <row r="2372" ht="33.75" customHeight="1">
      <c r="A2372" s="7">
        <v>79.0</v>
      </c>
      <c r="B2372" s="9" t="s">
        <v>4774</v>
      </c>
      <c r="C2372" s="9" t="s">
        <v>4775</v>
      </c>
      <c r="D2372" s="9" t="s">
        <v>109</v>
      </c>
      <c r="E2372" s="6" t="s">
        <v>4803</v>
      </c>
      <c r="F2372" s="9"/>
    </row>
    <row r="2373" ht="33.75" customHeight="1">
      <c r="A2373" s="7">
        <v>79.0</v>
      </c>
      <c r="B2373" s="9" t="s">
        <v>4774</v>
      </c>
      <c r="C2373" s="9" t="s">
        <v>4775</v>
      </c>
      <c r="D2373" s="9" t="s">
        <v>637</v>
      </c>
      <c r="E2373" s="6" t="s">
        <v>4810</v>
      </c>
      <c r="F2373" s="9"/>
    </row>
    <row r="2374" ht="33.75" customHeight="1">
      <c r="A2374" s="7">
        <v>79.0</v>
      </c>
      <c r="B2374" s="9" t="s">
        <v>4774</v>
      </c>
      <c r="C2374" s="9" t="s">
        <v>4775</v>
      </c>
      <c r="D2374" s="9" t="s">
        <v>642</v>
      </c>
      <c r="E2374" s="6" t="s">
        <v>4813</v>
      </c>
      <c r="F2374" s="9"/>
    </row>
    <row r="2375" ht="33.75" customHeight="1">
      <c r="A2375" s="7">
        <v>79.0</v>
      </c>
      <c r="B2375" s="9" t="s">
        <v>4774</v>
      </c>
      <c r="C2375" s="9" t="s">
        <v>4775</v>
      </c>
      <c r="D2375" s="9" t="s">
        <v>647</v>
      </c>
      <c r="E2375" s="6" t="s">
        <v>4815</v>
      </c>
      <c r="F2375" s="9"/>
    </row>
    <row r="2376" ht="33.75" customHeight="1">
      <c r="A2376" s="7">
        <v>79.0</v>
      </c>
      <c r="B2376" s="9" t="s">
        <v>4774</v>
      </c>
      <c r="C2376" s="9" t="s">
        <v>4775</v>
      </c>
      <c r="D2376" s="9" t="s">
        <v>652</v>
      </c>
      <c r="E2376" s="6" t="s">
        <v>4818</v>
      </c>
      <c r="F2376" s="9"/>
    </row>
    <row r="2377" ht="33.75" customHeight="1">
      <c r="A2377" s="7">
        <v>79.0</v>
      </c>
      <c r="B2377" s="9" t="s">
        <v>4774</v>
      </c>
      <c r="C2377" s="9" t="s">
        <v>4775</v>
      </c>
      <c r="D2377" s="9" t="s">
        <v>111</v>
      </c>
      <c r="E2377" s="6" t="s">
        <v>4778</v>
      </c>
      <c r="F2377" s="9"/>
    </row>
    <row r="2378" ht="33.75" customHeight="1">
      <c r="A2378" s="7">
        <v>79.0</v>
      </c>
      <c r="B2378" s="9" t="s">
        <v>4774</v>
      </c>
      <c r="C2378" s="9" t="s">
        <v>4775</v>
      </c>
      <c r="D2378" s="9" t="s">
        <v>113</v>
      </c>
      <c r="E2378" s="6" t="s">
        <v>4778</v>
      </c>
      <c r="F2378" s="9"/>
    </row>
    <row r="2379" ht="33.75" customHeight="1">
      <c r="A2379" s="7">
        <v>79.0</v>
      </c>
      <c r="B2379" s="9" t="s">
        <v>4774</v>
      </c>
      <c r="C2379" s="9" t="s">
        <v>4775</v>
      </c>
      <c r="D2379" s="9" t="s">
        <v>114</v>
      </c>
      <c r="E2379" s="6" t="s">
        <v>4822</v>
      </c>
      <c r="F2379" s="9"/>
    </row>
    <row r="2380" ht="33.75" customHeight="1">
      <c r="A2380" s="7">
        <v>79.0</v>
      </c>
      <c r="B2380" s="9" t="s">
        <v>4774</v>
      </c>
      <c r="C2380" s="9" t="s">
        <v>4775</v>
      </c>
      <c r="D2380" s="9" t="s">
        <v>117</v>
      </c>
      <c r="E2380" s="6" t="s">
        <v>4824</v>
      </c>
      <c r="F2380" s="9"/>
    </row>
    <row r="2381" ht="33.75" customHeight="1">
      <c r="A2381" s="7">
        <v>80.0</v>
      </c>
      <c r="B2381" s="9" t="s">
        <v>4826</v>
      </c>
      <c r="C2381" s="9" t="s">
        <v>4827</v>
      </c>
      <c r="D2381" s="9" t="s">
        <v>24</v>
      </c>
      <c r="E2381" s="6" t="s">
        <v>4828</v>
      </c>
      <c r="F2381" t="inlineStr" s="10">
        <is>
          <t xml:space="preserve">SLOWPOKEn häntään kiinnittyneen SHELLDERin sanotaan syövän isännän tähteitä. Asuu laiskasti meren rannalla. Jos sen pyrstöstä irtoaa kuori, siitä tulee taas HITAA. Jos häntäänsä pureva SHELLDER heitetään pois ankarassa taistelussa, se palaa tavalliseksi SLOWPOKEksi. Se oli alun perin luonnostaan ​​tylsä, mutta menetti kykynsä tuntea kipua SHELLDERin tihkuvan myrkyn vuoksi. Kiinnitetty SHELLDER ei päästä irti sen pyrstöstä pursuavan maukkaan maun vuoksi. SLOWBRON pyrstössä on tiukasti kiinnittynyt kuori, jolla on purenta. Tämän seurauksena pyrstöä ei voida enää käyttää kalastukseen. Tämä saa SLOWBRON vastahakoisesti uimaan ja pyydystämään saalista. Sen pyrstössä on tukevasti kiinnittynyt kuori, jolla on purenta. Tämän seurauksena häntää ei voida enää käyttää kalastukseen. Tämä pakottaa sen vastahakoisesti uimaan ja nappaamaan saalista. Kun SLOWPOKE meni metsästämään mereen, SHELLDER puri sen pyrstöä. Tästä siitä kehittyi SLOWBRO. SLOWPOKEn häntään tarttuvan SHELLDERin sanotaan syövän isännän tähteitä. Vaikka se on yleensä älytön, se näyttää inspiroituvan, jos sen pyrstössä oleva SHELLDER puree sitä. Jos häntäänsä pureva SHELLDER heitetään pois ankarassa taistelussa, se palautuu tavalliseksi SLOWPOKEksi. Kun hidaslintu meni metsästämään mereen, Shellder puri sen häntää. Se teki siitä Hitaanrintaisen. Slowbron hännässä on tukevasti kiinnittynyt Shellder, jolla on purenta. Tämän seurauksena häntää ei voi enää käyttää kalastukseen. Se väistyy katsellessaan merta. Shellderin myrkyn virratessa sen kehon läpi siitä tulee entistäkin väljempi. Aina kun Shellder puree lujaa sen pyrstöön, se antaa Slowbrolle välähdyksen inspiraatiosta... jonka se unohtaa hetkeä myöhemmin. Se vain etääntyy toisistaan. Se muuttuu takaisin Slowpokeksi, jos sen häntä ja Shellder katkeavat. Shellder, ahneudessaan imeä yhä enemmän makeutta Slowbron hännästä, on muuttunut spiraalinmuotoiseksi kuoreksi. Jos sen pyrstössä oleva Shellder irtoaa, siitä tulee taas Hidaslintu. Slowpokesta tuli Slowbro, kun Shellder puri sen pyrstöä. Pyrstöstä tihkuvat makeat maut saavat Shellderin tuntemaan kuin sen elämä olisi unelma. Shellderin purema sai tämän Pokémonin seisomaan kahdella jalalla. Jos Shellder päästää irti, näyttää siltä, ​​että Slowbro muuttuu takaisin Slowpokeksi.</t>
        </is>
      </c>
    </row>
    <row r="2382" ht="33.75" customHeight="1">
      <c r="A2382" s="7">
        <v>80.0</v>
      </c>
      <c r="B2382" s="9" t="s">
        <v>4826</v>
      </c>
      <c r="C2382" s="9" t="s">
        <v>4827</v>
      </c>
      <c r="D2382" s="9" t="s">
        <v>35</v>
      </c>
      <c r="E2382" s="6" t="s">
        <v>4828</v>
      </c>
      <c r="F2382" s="9"/>
    </row>
    <row r="2383" ht="33.75" customHeight="1">
      <c r="A2383" s="7">
        <v>80.0</v>
      </c>
      <c r="B2383" s="9" t="s">
        <v>4826</v>
      </c>
      <c r="C2383" s="9" t="s">
        <v>4827</v>
      </c>
      <c r="D2383" s="9" t="s">
        <v>42</v>
      </c>
      <c r="E2383" s="6" t="s">
        <v>4831</v>
      </c>
      <c r="F2383" s="9"/>
    </row>
    <row r="2384" ht="33.75" customHeight="1">
      <c r="A2384" s="7">
        <v>80.0</v>
      </c>
      <c r="B2384" s="9" t="s">
        <v>4826</v>
      </c>
      <c r="C2384" s="9" t="s">
        <v>4827</v>
      </c>
      <c r="D2384" s="9" t="s">
        <v>52</v>
      </c>
      <c r="E2384" s="6" t="s">
        <v>4833</v>
      </c>
      <c r="F2384" s="9"/>
    </row>
    <row r="2385" ht="33.75" customHeight="1">
      <c r="A2385" s="7">
        <v>80.0</v>
      </c>
      <c r="B2385" s="9" t="s">
        <v>4826</v>
      </c>
      <c r="C2385" s="9" t="s">
        <v>4827</v>
      </c>
      <c r="D2385" s="9" t="s">
        <v>59</v>
      </c>
      <c r="E2385" s="6" t="s">
        <v>4835</v>
      </c>
      <c r="F2385" s="9"/>
    </row>
    <row r="2386" ht="33.75" customHeight="1">
      <c r="A2386" s="7">
        <v>80.0</v>
      </c>
      <c r="B2386" s="9" t="s">
        <v>4826</v>
      </c>
      <c r="C2386" s="9" t="s">
        <v>4827</v>
      </c>
      <c r="D2386" s="9" t="s">
        <v>64</v>
      </c>
      <c r="E2386" s="6" t="s">
        <v>4837</v>
      </c>
      <c r="F2386" s="9"/>
    </row>
    <row r="2387" ht="33.75" customHeight="1">
      <c r="A2387" s="7">
        <v>80.0</v>
      </c>
      <c r="B2387" s="9" t="s">
        <v>4826</v>
      </c>
      <c r="C2387" s="9" t="s">
        <v>4827</v>
      </c>
      <c r="D2387" s="9" t="s">
        <v>67</v>
      </c>
      <c r="E2387" s="6" t="s">
        <v>4838</v>
      </c>
      <c r="F2387" s="9"/>
    </row>
    <row r="2388" ht="33.75" customHeight="1">
      <c r="A2388" s="7">
        <v>80.0</v>
      </c>
      <c r="B2388" s="9" t="s">
        <v>4826</v>
      </c>
      <c r="C2388" s="9" t="s">
        <v>4827</v>
      </c>
      <c r="D2388" s="9" t="s">
        <v>71</v>
      </c>
      <c r="E2388" s="6" t="s">
        <v>4838</v>
      </c>
      <c r="F2388" s="9"/>
    </row>
    <row r="2389" ht="33.75" customHeight="1">
      <c r="A2389" s="7">
        <v>80.0</v>
      </c>
      <c r="B2389" s="9" t="s">
        <v>4826</v>
      </c>
      <c r="C2389" s="9" t="s">
        <v>4827</v>
      </c>
      <c r="D2389" s="9" t="s">
        <v>73</v>
      </c>
      <c r="E2389" s="6" t="s">
        <v>4841</v>
      </c>
      <c r="F2389" s="9"/>
    </row>
    <row r="2390" ht="33.75" customHeight="1">
      <c r="A2390" s="7">
        <v>80.0</v>
      </c>
      <c r="B2390" s="9" t="s">
        <v>4826</v>
      </c>
      <c r="C2390" s="9" t="s">
        <v>4827</v>
      </c>
      <c r="D2390" s="9" t="s">
        <v>75</v>
      </c>
      <c r="E2390" s="6" t="s">
        <v>4843</v>
      </c>
      <c r="F2390" s="9"/>
    </row>
    <row r="2391" ht="33.75" customHeight="1">
      <c r="A2391" s="7">
        <v>80.0</v>
      </c>
      <c r="B2391" s="9" t="s">
        <v>4826</v>
      </c>
      <c r="C2391" s="9" t="s">
        <v>4827</v>
      </c>
      <c r="D2391" s="9" t="s">
        <v>79</v>
      </c>
      <c r="E2391" s="6" t="s">
        <v>4844</v>
      </c>
      <c r="F2391" s="9"/>
    </row>
    <row r="2392" ht="33.75" customHeight="1">
      <c r="A2392" s="7">
        <v>80.0</v>
      </c>
      <c r="B2392" s="9" t="s">
        <v>4826</v>
      </c>
      <c r="C2392" s="9" t="s">
        <v>4827</v>
      </c>
      <c r="D2392" s="9" t="s">
        <v>81</v>
      </c>
      <c r="E2392" s="6" t="s">
        <v>4846</v>
      </c>
      <c r="F2392" s="9"/>
    </row>
    <row r="2393" ht="33.75" customHeight="1">
      <c r="A2393" s="7">
        <v>80.0</v>
      </c>
      <c r="B2393" s="9" t="s">
        <v>4826</v>
      </c>
      <c r="C2393" s="9" t="s">
        <v>4827</v>
      </c>
      <c r="D2393" s="9" t="s">
        <v>84</v>
      </c>
      <c r="E2393" s="6" t="s">
        <v>4846</v>
      </c>
      <c r="F2393" s="9"/>
    </row>
    <row r="2394" ht="33.75" customHeight="1">
      <c r="A2394" s="7">
        <v>80.0</v>
      </c>
      <c r="B2394" s="9" t="s">
        <v>4826</v>
      </c>
      <c r="C2394" s="9" t="s">
        <v>4827</v>
      </c>
      <c r="D2394" s="9" t="s">
        <v>87</v>
      </c>
      <c r="E2394" s="6" t="s">
        <v>4846</v>
      </c>
      <c r="F2394" s="9"/>
    </row>
    <row r="2395" ht="33.75" customHeight="1">
      <c r="A2395" s="7">
        <v>80.0</v>
      </c>
      <c r="B2395" s="9" t="s">
        <v>4826</v>
      </c>
      <c r="C2395" s="9" t="s">
        <v>4827</v>
      </c>
      <c r="D2395" s="9" t="s">
        <v>89</v>
      </c>
      <c r="E2395" s="6" t="s">
        <v>4851</v>
      </c>
      <c r="F2395" s="9"/>
    </row>
    <row r="2396" ht="33.75" customHeight="1">
      <c r="A2396" s="7">
        <v>80.0</v>
      </c>
      <c r="B2396" s="9" t="s">
        <v>4826</v>
      </c>
      <c r="C2396" s="9" t="s">
        <v>4827</v>
      </c>
      <c r="D2396" s="9" t="s">
        <v>91</v>
      </c>
      <c r="E2396" s="6" t="s">
        <v>4835</v>
      </c>
      <c r="F2396" s="9"/>
    </row>
    <row r="2397" ht="33.75" customHeight="1">
      <c r="A2397" s="7">
        <v>80.0</v>
      </c>
      <c r="B2397" s="9" t="s">
        <v>4826</v>
      </c>
      <c r="C2397" s="9" t="s">
        <v>4827</v>
      </c>
      <c r="D2397" s="9" t="s">
        <v>93</v>
      </c>
      <c r="E2397" s="6" t="s">
        <v>4854</v>
      </c>
      <c r="F2397" s="9"/>
    </row>
    <row r="2398" ht="33.75" customHeight="1">
      <c r="A2398" s="7">
        <v>80.0</v>
      </c>
      <c r="B2398" s="9" t="s">
        <v>4826</v>
      </c>
      <c r="C2398" s="9" t="s">
        <v>4827</v>
      </c>
      <c r="D2398" s="9" t="s">
        <v>95</v>
      </c>
      <c r="E2398" s="6" t="s">
        <v>4854</v>
      </c>
      <c r="F2398" s="9"/>
    </row>
    <row r="2399" ht="33.75" customHeight="1">
      <c r="A2399" s="7">
        <v>80.0</v>
      </c>
      <c r="B2399" s="9" t="s">
        <v>4826</v>
      </c>
      <c r="C2399" s="9" t="s">
        <v>4827</v>
      </c>
      <c r="D2399" s="9" t="s">
        <v>98</v>
      </c>
      <c r="E2399" s="6" t="s">
        <v>4854</v>
      </c>
      <c r="F2399" s="9"/>
    </row>
    <row r="2400" ht="33.75" customHeight="1">
      <c r="A2400" s="7">
        <v>80.0</v>
      </c>
      <c r="B2400" s="9" t="s">
        <v>4826</v>
      </c>
      <c r="C2400" s="9" t="s">
        <v>4827</v>
      </c>
      <c r="D2400" s="9" t="s">
        <v>99</v>
      </c>
      <c r="E2400" s="6" t="s">
        <v>4854</v>
      </c>
      <c r="F2400" s="9"/>
    </row>
    <row r="2401" ht="33.75" customHeight="1">
      <c r="A2401" s="7">
        <v>80.0</v>
      </c>
      <c r="B2401" s="9" t="s">
        <v>4826</v>
      </c>
      <c r="C2401" s="9" t="s">
        <v>4827</v>
      </c>
      <c r="D2401" s="9" t="s">
        <v>101</v>
      </c>
      <c r="E2401" s="6" t="s">
        <v>4857</v>
      </c>
      <c r="F2401" s="9"/>
    </row>
    <row r="2402" ht="33.75" customHeight="1">
      <c r="A2402" s="7">
        <v>80.0</v>
      </c>
      <c r="B2402" s="9" t="s">
        <v>4826</v>
      </c>
      <c r="C2402" s="9" t="s">
        <v>4827</v>
      </c>
      <c r="D2402" s="9" t="s">
        <v>105</v>
      </c>
      <c r="E2402" s="6" t="s">
        <v>4860</v>
      </c>
      <c r="F2402" s="9"/>
    </row>
    <row r="2403" ht="33.75" customHeight="1">
      <c r="A2403" s="7">
        <v>80.0</v>
      </c>
      <c r="B2403" s="9" t="s">
        <v>4826</v>
      </c>
      <c r="C2403" s="9" t="s">
        <v>4827</v>
      </c>
      <c r="D2403" s="9" t="s">
        <v>107</v>
      </c>
      <c r="E2403" s="6" t="s">
        <v>4861</v>
      </c>
      <c r="F2403" s="9"/>
    </row>
    <row r="2404" ht="33.75" customHeight="1">
      <c r="A2404" s="7">
        <v>80.0</v>
      </c>
      <c r="B2404" s="9" t="s">
        <v>4826</v>
      </c>
      <c r="C2404" s="9" t="s">
        <v>4827</v>
      </c>
      <c r="D2404" s="9" t="s">
        <v>109</v>
      </c>
      <c r="E2404" s="6" t="s">
        <v>4861</v>
      </c>
      <c r="F2404" s="9"/>
    </row>
    <row r="2405" ht="33.75" customHeight="1">
      <c r="A2405" s="7">
        <v>80.0</v>
      </c>
      <c r="B2405" s="9" t="s">
        <v>4826</v>
      </c>
      <c r="C2405" s="9" t="s">
        <v>4827</v>
      </c>
      <c r="D2405" s="9" t="s">
        <v>637</v>
      </c>
      <c r="E2405" s="6" t="s">
        <v>4864</v>
      </c>
      <c r="F2405" s="9"/>
    </row>
    <row r="2406" ht="33.75" customHeight="1">
      <c r="A2406" s="7">
        <v>80.0</v>
      </c>
      <c r="B2406" s="9" t="s">
        <v>4826</v>
      </c>
      <c r="C2406" s="9" t="s">
        <v>4827</v>
      </c>
      <c r="D2406" s="9" t="s">
        <v>642</v>
      </c>
      <c r="E2406" s="6" t="s">
        <v>4865</v>
      </c>
      <c r="F2406" s="9"/>
    </row>
    <row r="2407" ht="33.75" customHeight="1">
      <c r="A2407" s="7">
        <v>80.0</v>
      </c>
      <c r="B2407" s="9" t="s">
        <v>4826</v>
      </c>
      <c r="C2407" s="9" t="s">
        <v>4827</v>
      </c>
      <c r="D2407" s="9" t="s">
        <v>647</v>
      </c>
      <c r="E2407" s="6" t="s">
        <v>4866</v>
      </c>
      <c r="F2407" s="9"/>
    </row>
    <row r="2408" ht="33.75" customHeight="1">
      <c r="A2408" s="7">
        <v>80.0</v>
      </c>
      <c r="B2408" s="9" t="s">
        <v>4826</v>
      </c>
      <c r="C2408" s="9" t="s">
        <v>4827</v>
      </c>
      <c r="D2408" s="9" t="s">
        <v>652</v>
      </c>
      <c r="E2408" s="6" t="s">
        <v>4869</v>
      </c>
      <c r="F2408" s="9"/>
    </row>
    <row r="2409" ht="33.75" customHeight="1">
      <c r="A2409" s="7">
        <v>80.0</v>
      </c>
      <c r="B2409" s="9" t="s">
        <v>4826</v>
      </c>
      <c r="C2409" s="9" t="s">
        <v>4827</v>
      </c>
      <c r="D2409" s="9" t="s">
        <v>111</v>
      </c>
      <c r="E2409" s="6" t="s">
        <v>4872</v>
      </c>
      <c r="F2409" s="9"/>
    </row>
    <row r="2410" ht="33.75" customHeight="1">
      <c r="A2410" s="7">
        <v>80.0</v>
      </c>
      <c r="B2410" s="9" t="s">
        <v>4826</v>
      </c>
      <c r="C2410" s="9" t="s">
        <v>4827</v>
      </c>
      <c r="D2410" s="9" t="s">
        <v>113</v>
      </c>
      <c r="E2410" s="6" t="s">
        <v>4872</v>
      </c>
      <c r="F2410" s="9"/>
    </row>
    <row r="2411" ht="33.75" customHeight="1">
      <c r="A2411" s="7">
        <v>80.0</v>
      </c>
      <c r="B2411" s="9" t="s">
        <v>4826</v>
      </c>
      <c r="C2411" s="9" t="s">
        <v>4827</v>
      </c>
      <c r="D2411" s="9" t="s">
        <v>114</v>
      </c>
      <c r="E2411" s="6" t="s">
        <v>4877</v>
      </c>
      <c r="F2411" s="9"/>
    </row>
    <row r="2412" ht="33.75" customHeight="1">
      <c r="A2412" s="7">
        <v>80.0</v>
      </c>
      <c r="B2412" s="9" t="s">
        <v>4826</v>
      </c>
      <c r="C2412" s="9" t="s">
        <v>4827</v>
      </c>
      <c r="D2412" s="9" t="s">
        <v>117</v>
      </c>
      <c r="E2412" s="6" t="s">
        <v>4879</v>
      </c>
      <c r="F2412" s="9"/>
    </row>
    <row r="2413" ht="33.75" customHeight="1">
      <c r="A2413" s="7">
        <v>81.0</v>
      </c>
      <c r="B2413" s="9" t="s">
        <v>4881</v>
      </c>
      <c r="C2413" s="9" t="s">
        <v>4882</v>
      </c>
      <c r="D2413" s="9" t="s">
        <v>24</v>
      </c>
      <c r="E2413" s="6" t="s">
        <v>4884</v>
      </c>
      <c r="F2413" t="inlineStr" s="10">
        <is>
          <t xml:space="preserve">Käyttää antigravitaatiota pysyäkseen leijunnassa. Ilmestyy ilman varoitusta ja käyttää UKKOS-AALTOA ja vastaavia liikkeitä. Se syntyy kyvyllä uhmata painovoimaa. Se leijuu ilmassa voimakkaiden sähkömagneettisten aaltojen varassa. Sähkömagneettiset aallot vetävät sitä puoleensa. Se voi lähestyä kouluttajia, jos he käyttävät POKéGEAR-laitteitaan. Sen rungon sivuilla olevat yksiköt tuottavat antigravitaatioenergiaa pitääkseen sen ilmassa. Sen kehon kummallakin puolella olevien yksiköiden lähettämä sähkö saa sen toimimaan voimakkaana magneettina. MAGNEMIITTIA kiinnittyy sähkölinjoihin syöttääkseen sähköä. Jos talossasi on sähkökatkos, tarkista sulakkeet. Saatat löytää suuren määrän tätä POKéMONIA roikkumassa sulaketaulussa. MAGNEMITE leijuu ilmassa lähettämällä sivuillaan olevista yksiköistä sähkömagneettisia aaltoja. Nämä aallot estävät painovoiman. Tämä POKéMON ei pysty lentämään, jos sen sisäinen sähkönsaanti ehtyy. Sen sivuilla olevat yksiköt ovat erittäin voimakkaita magneetteja. Ne tuottavat tarpeeksi magnetismia vetääkseen puoleensa rautaesineitä yli 90 metrin päästä. Se liikkuu leijuen jatkuvasti. Se lähettää UKKOSJÄNKIÄ ja niin edelleen sivuillaan olevista yksiköistä. Sen sivuilla olevat yksiköt tuottavat sähkömagneettisia aaltoja, jotka pitävät sen ilmassa. Se käyttää sähköä. Mitä nopeammin sen sivuilla olevat yksiköt pyörivät, sitä suuremman magneettisen voiman ne tuottavat. Se voi lähestyä kouluttajia, jos he käyttävät Pokégearejaan. Sen pään sivuilla olevien yksiköiden lähettämät sähkömagneettiset aallot karkottavat antigravitaatiota, mikä mahdollistaa sen kellumisen. Se lähettää ukkosaaltoja ja muita vastaavia sivuillaan olevista yksiköistä. Magnemiitti kiinnittyy sähkölinjoihin syöttääkseen sähköä. Magnemiitti leijuu ilmassa lähettämällä sivuillaan olevista yksiköistä sähkömagneettisia aaltoja. Ne kokoontuvat paikkoihin, joissa on sähköä. Niitä voi löytää takertumasta voimalinjojen kannattelemiseen käytettyihin terästorneihin. Se lähettää sähkömagneettisia aaltoja, jotka päästävät sen leijumaan ilmassa. Sen koskettaminen sen syödessä sähköä antaa sinulle koko kehon kattavan sähköiskun. Se on usein sähkökatkosten syy, minkä vuoksi jotkut voimalaitokset lähettävät sähköisiä signaaleja, joita se ei kestä. Ehkäpä siksi, että sähkölinjat usein haudataan nykyään maahan, magnemiittihyökkäysten määrä voimalaitoksiin on lisääntynyt. Se on varustettu kyvyllä uhmata painovoimaa. Se kelluu ja säteilee voimakkaita sähkömagneettisia aaltoja. Magnemitesta loppuu ajoittain sähkö ja se päätyy maahan. Jos annat paristot maadoitettuun Magnemiteen, se alkaa liikkua uudelleen. Se elää sähköllä. Magnemiitti lentää ja lähettää sähkömagneettisia aaltoja kehonsa molemmin puolin olevista yksiköistä. Outo Pokémon, jolla on vain yksi silmä rautapallon sisällä. Epäilen, että tämä olento leijuu käsivarsiensa lähettämän magnetismin vuoksi, jotka muistuttavat hevosenkengän muotoisia magneetteja.</t>
        </is>
      </c>
    </row>
    <row r="2414" ht="33.75" customHeight="1">
      <c r="A2414" s="7">
        <v>81.0</v>
      </c>
      <c r="B2414" s="9" t="s">
        <v>4881</v>
      </c>
      <c r="C2414" s="9" t="s">
        <v>4882</v>
      </c>
      <c r="D2414" s="9" t="s">
        <v>35</v>
      </c>
      <c r="E2414" s="6" t="s">
        <v>4884</v>
      </c>
      <c r="F2414" s="9"/>
    </row>
    <row r="2415" ht="33.75" customHeight="1">
      <c r="A2415" s="7">
        <v>81.0</v>
      </c>
      <c r="B2415" s="9" t="s">
        <v>4881</v>
      </c>
      <c r="C2415" s="9" t="s">
        <v>4882</v>
      </c>
      <c r="D2415" s="9" t="s">
        <v>42</v>
      </c>
      <c r="E2415" s="6" t="s">
        <v>4888</v>
      </c>
      <c r="F2415" s="9"/>
    </row>
    <row r="2416" ht="33.75" customHeight="1">
      <c r="A2416" s="7">
        <v>81.0</v>
      </c>
      <c r="B2416" s="9" t="s">
        <v>4881</v>
      </c>
      <c r="C2416" s="9" t="s">
        <v>4882</v>
      </c>
      <c r="D2416" s="9" t="s">
        <v>52</v>
      </c>
      <c r="E2416" s="6" t="s">
        <v>4891</v>
      </c>
      <c r="F2416" s="9"/>
    </row>
    <row r="2417" ht="33.75" customHeight="1">
      <c r="A2417" s="7">
        <v>81.0</v>
      </c>
      <c r="B2417" s="9" t="s">
        <v>4881</v>
      </c>
      <c r="C2417" s="9" t="s">
        <v>4882</v>
      </c>
      <c r="D2417" s="9" t="s">
        <v>59</v>
      </c>
      <c r="E2417" s="6" t="s">
        <v>4894</v>
      </c>
      <c r="F2417" s="9"/>
    </row>
    <row r="2418" ht="33.75" customHeight="1">
      <c r="A2418" s="7">
        <v>81.0</v>
      </c>
      <c r="B2418" s="9" t="s">
        <v>4881</v>
      </c>
      <c r="C2418" s="9" t="s">
        <v>4882</v>
      </c>
      <c r="D2418" s="9" t="s">
        <v>64</v>
      </c>
      <c r="E2418" s="6" t="s">
        <v>4896</v>
      </c>
      <c r="F2418" s="9"/>
    </row>
    <row r="2419" ht="33.75" customHeight="1">
      <c r="A2419" s="7">
        <v>81.0</v>
      </c>
      <c r="B2419" s="9" t="s">
        <v>4881</v>
      </c>
      <c r="C2419" s="9" t="s">
        <v>4882</v>
      </c>
      <c r="D2419" s="9" t="s">
        <v>67</v>
      </c>
      <c r="E2419" s="6" t="s">
        <v>4899</v>
      </c>
      <c r="F2419" s="9"/>
    </row>
    <row r="2420" ht="33.75" customHeight="1">
      <c r="A2420" s="7">
        <v>81.0</v>
      </c>
      <c r="B2420" s="9" t="s">
        <v>4881</v>
      </c>
      <c r="C2420" s="9" t="s">
        <v>4882</v>
      </c>
      <c r="D2420" s="9" t="s">
        <v>71</v>
      </c>
      <c r="E2420" s="6" t="s">
        <v>4901</v>
      </c>
      <c r="F2420" s="9"/>
    </row>
    <row r="2421" ht="33.75" customHeight="1">
      <c r="A2421" s="7">
        <v>81.0</v>
      </c>
      <c r="B2421" s="9" t="s">
        <v>4881</v>
      </c>
      <c r="C2421" s="9" t="s">
        <v>4882</v>
      </c>
      <c r="D2421" s="9" t="s">
        <v>73</v>
      </c>
      <c r="E2421" s="6" t="s">
        <v>4903</v>
      </c>
      <c r="F2421" s="9"/>
    </row>
    <row r="2422" ht="33.75" customHeight="1">
      <c r="A2422" s="7">
        <v>81.0</v>
      </c>
      <c r="B2422" s="9" t="s">
        <v>4881</v>
      </c>
      <c r="C2422" s="9" t="s">
        <v>4882</v>
      </c>
      <c r="D2422" s="9" t="s">
        <v>75</v>
      </c>
      <c r="E2422" s="6" t="s">
        <v>4905</v>
      </c>
      <c r="F2422" s="9"/>
    </row>
    <row r="2423" ht="33.75" customHeight="1">
      <c r="A2423" s="7">
        <v>81.0</v>
      </c>
      <c r="B2423" s="9" t="s">
        <v>4881</v>
      </c>
      <c r="C2423" s="9" t="s">
        <v>4882</v>
      </c>
      <c r="D2423" s="9" t="s">
        <v>79</v>
      </c>
      <c r="E2423" s="6" t="s">
        <v>4906</v>
      </c>
      <c r="F2423" s="9"/>
    </row>
    <row r="2424" ht="33.75" customHeight="1">
      <c r="A2424" s="7">
        <v>81.0</v>
      </c>
      <c r="B2424" s="9" t="s">
        <v>4881</v>
      </c>
      <c r="C2424" s="9" t="s">
        <v>4882</v>
      </c>
      <c r="D2424" s="9" t="s">
        <v>81</v>
      </c>
      <c r="E2424" s="6" t="s">
        <v>4909</v>
      </c>
      <c r="F2424" s="9"/>
    </row>
    <row r="2425" ht="33.75" customHeight="1">
      <c r="A2425" s="7">
        <v>81.0</v>
      </c>
      <c r="B2425" s="9" t="s">
        <v>4881</v>
      </c>
      <c r="C2425" s="9" t="s">
        <v>4882</v>
      </c>
      <c r="D2425" s="9" t="s">
        <v>84</v>
      </c>
      <c r="E2425" s="6" t="s">
        <v>4909</v>
      </c>
      <c r="F2425" s="9"/>
    </row>
    <row r="2426" ht="33.75" customHeight="1">
      <c r="A2426" s="7">
        <v>81.0</v>
      </c>
      <c r="B2426" s="9" t="s">
        <v>4881</v>
      </c>
      <c r="C2426" s="9" t="s">
        <v>4882</v>
      </c>
      <c r="D2426" s="9" t="s">
        <v>87</v>
      </c>
      <c r="E2426" s="6" t="s">
        <v>4914</v>
      </c>
      <c r="F2426" s="9"/>
    </row>
    <row r="2427" ht="33.75" customHeight="1">
      <c r="A2427" s="7">
        <v>81.0</v>
      </c>
      <c r="B2427" s="9" t="s">
        <v>4881</v>
      </c>
      <c r="C2427" s="9" t="s">
        <v>4882</v>
      </c>
      <c r="D2427" s="9" t="s">
        <v>89</v>
      </c>
      <c r="E2427" s="6" t="s">
        <v>4916</v>
      </c>
      <c r="F2427" s="9"/>
    </row>
    <row r="2428" ht="33.75" customHeight="1">
      <c r="A2428" s="7">
        <v>81.0</v>
      </c>
      <c r="B2428" s="9" t="s">
        <v>4881</v>
      </c>
      <c r="C2428" s="9" t="s">
        <v>4882</v>
      </c>
      <c r="D2428" s="9" t="s">
        <v>91</v>
      </c>
      <c r="E2428" s="6" t="s">
        <v>4894</v>
      </c>
      <c r="F2428" s="9"/>
    </row>
    <row r="2429" ht="33.75" customHeight="1">
      <c r="A2429" s="7">
        <v>81.0</v>
      </c>
      <c r="B2429" s="9" t="s">
        <v>4881</v>
      </c>
      <c r="C2429" s="9" t="s">
        <v>4882</v>
      </c>
      <c r="D2429" s="9" t="s">
        <v>93</v>
      </c>
      <c r="E2429" s="6" t="s">
        <v>4914</v>
      </c>
      <c r="F2429" s="9"/>
    </row>
    <row r="2430" ht="33.75" customHeight="1">
      <c r="A2430" s="7">
        <v>81.0</v>
      </c>
      <c r="B2430" s="9" t="s">
        <v>4881</v>
      </c>
      <c r="C2430" s="9" t="s">
        <v>4882</v>
      </c>
      <c r="D2430" s="9" t="s">
        <v>95</v>
      </c>
      <c r="E2430" s="6" t="s">
        <v>4914</v>
      </c>
      <c r="F2430" s="9"/>
    </row>
    <row r="2431" ht="33.75" customHeight="1">
      <c r="A2431" s="7">
        <v>81.0</v>
      </c>
      <c r="B2431" s="9" t="s">
        <v>4881</v>
      </c>
      <c r="C2431" s="9" t="s">
        <v>4882</v>
      </c>
      <c r="D2431" s="9" t="s">
        <v>98</v>
      </c>
      <c r="E2431" s="6" t="s">
        <v>4923</v>
      </c>
      <c r="F2431" s="9"/>
    </row>
    <row r="2432" ht="33.75" customHeight="1">
      <c r="A2432" s="7">
        <v>81.0</v>
      </c>
      <c r="B2432" s="9" t="s">
        <v>4881</v>
      </c>
      <c r="C2432" s="9" t="s">
        <v>4882</v>
      </c>
      <c r="D2432" s="9" t="s">
        <v>99</v>
      </c>
      <c r="E2432" s="6" t="s">
        <v>4923</v>
      </c>
      <c r="F2432" s="9"/>
    </row>
    <row r="2433" ht="33.75" customHeight="1">
      <c r="A2433" s="7">
        <v>81.0</v>
      </c>
      <c r="B2433" s="9" t="s">
        <v>4881</v>
      </c>
      <c r="C2433" s="9" t="s">
        <v>4882</v>
      </c>
      <c r="D2433" s="9" t="s">
        <v>101</v>
      </c>
      <c r="E2433" s="6" t="s">
        <v>4894</v>
      </c>
      <c r="F2433" s="9"/>
    </row>
    <row r="2434" ht="33.75" customHeight="1">
      <c r="A2434" s="7">
        <v>81.0</v>
      </c>
      <c r="B2434" s="9" t="s">
        <v>4881</v>
      </c>
      <c r="C2434" s="9" t="s">
        <v>4882</v>
      </c>
      <c r="D2434" s="9" t="s">
        <v>105</v>
      </c>
      <c r="E2434" s="6" t="s">
        <v>4926</v>
      </c>
      <c r="F2434" s="9"/>
    </row>
    <row r="2435" ht="33.75" customHeight="1">
      <c r="A2435" s="7">
        <v>81.0</v>
      </c>
      <c r="B2435" s="9" t="s">
        <v>4881</v>
      </c>
      <c r="C2435" s="9" t="s">
        <v>4882</v>
      </c>
      <c r="D2435" s="9" t="s">
        <v>107</v>
      </c>
      <c r="E2435" s="6" t="s">
        <v>4928</v>
      </c>
      <c r="F2435" s="9"/>
    </row>
    <row r="2436" ht="33.75" customHeight="1">
      <c r="A2436" s="7">
        <v>81.0</v>
      </c>
      <c r="B2436" s="9" t="s">
        <v>4881</v>
      </c>
      <c r="C2436" s="9" t="s">
        <v>4882</v>
      </c>
      <c r="D2436" s="9" t="s">
        <v>109</v>
      </c>
      <c r="E2436" s="6" t="s">
        <v>4930</v>
      </c>
      <c r="F2436" s="9"/>
    </row>
    <row r="2437" ht="33.75" customHeight="1">
      <c r="A2437" s="7">
        <v>81.0</v>
      </c>
      <c r="B2437" s="9" t="s">
        <v>4881</v>
      </c>
      <c r="C2437" s="9" t="s">
        <v>4882</v>
      </c>
      <c r="D2437" s="9" t="s">
        <v>637</v>
      </c>
      <c r="E2437" s="6" t="s">
        <v>4932</v>
      </c>
      <c r="F2437" s="9"/>
    </row>
    <row r="2438" ht="33.75" customHeight="1">
      <c r="A2438" s="7">
        <v>81.0</v>
      </c>
      <c r="B2438" s="9" t="s">
        <v>4881</v>
      </c>
      <c r="C2438" s="9" t="s">
        <v>4882</v>
      </c>
      <c r="D2438" s="9" t="s">
        <v>642</v>
      </c>
      <c r="E2438" s="6" t="s">
        <v>4934</v>
      </c>
      <c r="F2438" s="9"/>
    </row>
    <row r="2439" ht="33.75" customHeight="1">
      <c r="A2439" s="7">
        <v>81.0</v>
      </c>
      <c r="B2439" s="9" t="s">
        <v>4881</v>
      </c>
      <c r="C2439" s="9" t="s">
        <v>4882</v>
      </c>
      <c r="D2439" s="9" t="s">
        <v>647</v>
      </c>
      <c r="E2439" s="6" t="s">
        <v>4936</v>
      </c>
      <c r="F2439" s="9"/>
    </row>
    <row r="2440" ht="33.75" customHeight="1">
      <c r="A2440" s="7">
        <v>81.0</v>
      </c>
      <c r="B2440" s="9" t="s">
        <v>4881</v>
      </c>
      <c r="C2440" s="9" t="s">
        <v>4882</v>
      </c>
      <c r="D2440" s="9" t="s">
        <v>652</v>
      </c>
      <c r="E2440" s="6" t="s">
        <v>4938</v>
      </c>
      <c r="F2440" s="9"/>
    </row>
    <row r="2441" ht="33.75" customHeight="1">
      <c r="A2441" s="7">
        <v>81.0</v>
      </c>
      <c r="B2441" s="9" t="s">
        <v>4881</v>
      </c>
      <c r="C2441" s="9" t="s">
        <v>4882</v>
      </c>
      <c r="D2441" s="9" t="s">
        <v>111</v>
      </c>
      <c r="E2441" s="6" t="s">
        <v>4940</v>
      </c>
      <c r="F2441" s="9"/>
    </row>
    <row r="2442" ht="33.75" customHeight="1">
      <c r="A2442" s="7">
        <v>81.0</v>
      </c>
      <c r="B2442" s="9" t="s">
        <v>4881</v>
      </c>
      <c r="C2442" s="9" t="s">
        <v>4882</v>
      </c>
      <c r="D2442" s="9" t="s">
        <v>113</v>
      </c>
      <c r="E2442" s="6" t="s">
        <v>4940</v>
      </c>
      <c r="F2442" s="9"/>
    </row>
    <row r="2443" ht="33.75" customHeight="1">
      <c r="A2443" s="7">
        <v>81.0</v>
      </c>
      <c r="B2443" s="9" t="s">
        <v>4881</v>
      </c>
      <c r="C2443" s="9" t="s">
        <v>4882</v>
      </c>
      <c r="D2443" s="9" t="s">
        <v>114</v>
      </c>
      <c r="E2443" s="6" t="s">
        <v>4942</v>
      </c>
      <c r="F2443" s="9"/>
    </row>
    <row r="2444" ht="33.75" customHeight="1">
      <c r="A2444" s="7">
        <v>81.0</v>
      </c>
      <c r="B2444" s="9" t="s">
        <v>4881</v>
      </c>
      <c r="C2444" s="9" t="s">
        <v>4882</v>
      </c>
      <c r="D2444" s="9" t="s">
        <v>117</v>
      </c>
      <c r="E2444" s="6" t="s">
        <v>4944</v>
      </c>
      <c r="F2444" s="9"/>
    </row>
    <row r="2445" ht="33.75" customHeight="1">
      <c r="A2445" s="7">
        <v>81.0</v>
      </c>
      <c r="B2445" s="9" t="s">
        <v>4881</v>
      </c>
      <c r="C2445" s="9" t="s">
        <v>4882</v>
      </c>
      <c r="D2445" s="9" t="s">
        <v>1577</v>
      </c>
      <c r="E2445" s="6" t="s">
        <v>4946</v>
      </c>
      <c r="F2445" s="9"/>
    </row>
    <row r="2446" ht="33.75" customHeight="1">
      <c r="A2446" s="7">
        <v>82.0</v>
      </c>
      <c r="B2446" s="9" t="s">
        <v>4948</v>
      </c>
      <c r="C2446" s="9" t="s">
        <v>4882</v>
      </c>
      <c r="D2446" s="9" t="s">
        <v>24</v>
      </c>
      <c r="E2446" s="6" t="s">
        <v>4950</v>
      </c>
      <c r="F2446" t="inlineStr" s="10">
        <is>
          <t xml:space="preserve">Muodostuu useista toisiinsa liittyneistä MAGNEMIITEISTA. Ne ilmestyvät usein auringonpilkkujen leimahdusten yhteydessä. Tuottaa outoja radiosignaaleja. Se nostaa lämpötilaa 3,6 Fahrenheit-astetta 3 300 jalan säteellä. Kolme MAGNEMIITTIA on yhdistetty voimakkaalla magneettisella voimalla. Liian lähelle meneminen voi aiheuttaa korvakipua. MAGNEMIITTIA yhdistää niin voimakas magnetismi, että se kuivaa kaiken kosteuden lähiympäristöstään. Kun useita MAGNETONEJA kerääntyy yhteen, syntyvä magneettimyrsky häiritsee radioaaltoja. MAGNETON säteilee voimakasta magneettista voimaa, joka on tappavaa mekaanisille laitteille. Tämän seurauksena suurkaupungit soittavat sireenejä varoittaakseen asukkaita tämän POKéMONin laajamittaisista epidemioista. MAGNETONI säteilee voimakasta magneettista voimaa, joka on tappavaa elektroniikalle ja tarkkuusinstrumenteille. Tästä syystä joidenkin kaupunkien sanotaan varoittavan ihmisiä pitämään tätä POKéMONIA POKé-PALLON sisällä. Se on itse asiassa kolme magneettisesti yhdistettyä MAGNEMIITTIA. Se tuottaa voimakkaita radioaaltoja, jotka nostavat lämpötilaa 1 celsiusasteella 1 000 metrin säteellä. Useista MAGNEMIITEISTA muodostunut toisiinsa kytkeytynyt joukko. Se purkaa voimakkaita magneettisia aaltoja korkealla jännitteellä. Se on itse asiassa kolme MAGNEMIITTIA, jotka ovat yhteydessä toisiinsa magnetismin avulla. Ryhmä voi laukaista magneettimyrskyn. Monet niistä ilmestyvät salaperäisesti, kun aurinkoa täplittää lisää auringonpilkkuja. Ne estävät televisioita näyttämästä kunnolla. MAGNEMIITTIA yhdistää niin voimakas magnetismi, että se kuivaa kaiken kosteuden läheisyydessään. Kolmen toisiinsa kytkeytyneen Magnemiitti-kerroksen voimakkaammat sähkömagneettiset aallot riittävät kuivattamaan ympäröivän kosteuden. Useista magnemiiteista muodostunut toisiinsa yhteydessä oleva klusteri. Se tuottaa outoja radiosignaaleja. Magneton säteilee voimakasta magneettista voimaa, joka on kohtalokasta elektroniikalle ja tarkkuusinstrumenteille. Tästä syystä joidenkin kaupunkien sanotaan varoittavan ihmisiä pitämään tätä Pokémonia Poképallon sisällä. Kun kolme magnemiittia yhdistyy, niiden aivot yhdistyvät. Ne eivät tule kolme kertaa älykkäämmiksi. Sen sähköteho on noin kolme kertaa suurempi kuin Magnemitella. Jostain syystä tämän Pokémonin ilmaantuminen tapahtuu, kun auringonpilkkuja ilmestyy paljon. Herkät laitteet voivat toimia virheellisesti Magnetonin asuttamilla alueilla, jotka lähettävät salaperäisiä sähköisiä signaaleja. Kun sadepilviä muodostuu, monet magnetonit kerääntyvät korkeille paikoille odottamaan salaman iskemistä. Tämä Pokémon koostuu kolmesta toisiinsa yhdistyneestä Magnemite-pokémonista. Magneton lähettää voimakkaita radioaaltoja tutkiakseen ympäristöään. Tämä Pokémon tuottaa jatkuvasti voimakasta magneettista voimaa. Useimmat tietokoneet menevät sekaisin, kun magnetoni lähestyy. Kolme Magnemiittia kokoontui kehittyäkseen täksi Pokémoniksi. Se aiheutti minulle paljon harmia, sillä sen voimakas magnetismi tuhoaa tutkimuslaitteeni.</t>
        </is>
      </c>
    </row>
    <row r="2447" ht="33.75" customHeight="1">
      <c r="A2447" s="7">
        <v>82.0</v>
      </c>
      <c r="B2447" s="9" t="s">
        <v>4948</v>
      </c>
      <c r="C2447" s="9" t="s">
        <v>4882</v>
      </c>
      <c r="D2447" s="9" t="s">
        <v>35</v>
      </c>
      <c r="E2447" s="6" t="s">
        <v>4950</v>
      </c>
      <c r="F2447" s="9"/>
    </row>
    <row r="2448" ht="33.75" customHeight="1">
      <c r="A2448" s="7">
        <v>82.0</v>
      </c>
      <c r="B2448" s="9" t="s">
        <v>4948</v>
      </c>
      <c r="C2448" s="9" t="s">
        <v>4882</v>
      </c>
      <c r="D2448" s="9" t="s">
        <v>42</v>
      </c>
      <c r="E2448" s="6" t="s">
        <v>4955</v>
      </c>
      <c r="F2448" s="9"/>
    </row>
    <row r="2449" ht="33.75" customHeight="1">
      <c r="A2449" s="7">
        <v>82.0</v>
      </c>
      <c r="B2449" s="9" t="s">
        <v>4948</v>
      </c>
      <c r="C2449" s="9" t="s">
        <v>4882</v>
      </c>
      <c r="D2449" s="9" t="s">
        <v>52</v>
      </c>
      <c r="E2449" s="6" t="s">
        <v>4958</v>
      </c>
      <c r="F2449" s="9"/>
    </row>
    <row r="2450" ht="33.75" customHeight="1">
      <c r="A2450" s="7">
        <v>82.0</v>
      </c>
      <c r="B2450" s="9" t="s">
        <v>4948</v>
      </c>
      <c r="C2450" s="9" t="s">
        <v>4882</v>
      </c>
      <c r="D2450" s="9" t="s">
        <v>59</v>
      </c>
      <c r="E2450" s="6" t="s">
        <v>4961</v>
      </c>
      <c r="F2450" s="9"/>
    </row>
    <row r="2451" ht="33.75" customHeight="1">
      <c r="A2451" s="7">
        <v>82.0</v>
      </c>
      <c r="B2451" s="9" t="s">
        <v>4948</v>
      </c>
      <c r="C2451" s="9" t="s">
        <v>4882</v>
      </c>
      <c r="D2451" s="9" t="s">
        <v>64</v>
      </c>
      <c r="E2451" s="6" t="s">
        <v>4964</v>
      </c>
      <c r="F2451" s="9"/>
    </row>
    <row r="2452" ht="33.75" customHeight="1">
      <c r="A2452" s="7">
        <v>82.0</v>
      </c>
      <c r="B2452" s="9" t="s">
        <v>4948</v>
      </c>
      <c r="C2452" s="9" t="s">
        <v>4882</v>
      </c>
      <c r="D2452" s="9" t="s">
        <v>67</v>
      </c>
      <c r="E2452" s="6" t="s">
        <v>4967</v>
      </c>
      <c r="F2452" s="9"/>
    </row>
    <row r="2453" ht="33.75" customHeight="1">
      <c r="A2453" s="7">
        <v>82.0</v>
      </c>
      <c r="B2453" s="9" t="s">
        <v>4948</v>
      </c>
      <c r="C2453" s="9" t="s">
        <v>4882</v>
      </c>
      <c r="D2453" s="9" t="s">
        <v>71</v>
      </c>
      <c r="E2453" s="6" t="s">
        <v>4970</v>
      </c>
      <c r="F2453" s="9"/>
    </row>
    <row r="2454" ht="33.75" customHeight="1">
      <c r="A2454" s="7">
        <v>82.0</v>
      </c>
      <c r="B2454" s="9" t="s">
        <v>4948</v>
      </c>
      <c r="C2454" s="9" t="s">
        <v>4882</v>
      </c>
      <c r="D2454" s="9" t="s">
        <v>73</v>
      </c>
      <c r="E2454" s="6" t="s">
        <v>4974</v>
      </c>
      <c r="F2454" s="9"/>
    </row>
    <row r="2455" ht="33.75" customHeight="1">
      <c r="A2455" s="7">
        <v>82.0</v>
      </c>
      <c r="B2455" s="9" t="s">
        <v>4948</v>
      </c>
      <c r="C2455" s="9" t="s">
        <v>4882</v>
      </c>
      <c r="D2455" s="9" t="s">
        <v>75</v>
      </c>
      <c r="E2455" s="6" t="s">
        <v>4976</v>
      </c>
      <c r="F2455" s="9"/>
    </row>
    <row r="2456" ht="33.75" customHeight="1">
      <c r="A2456" s="7">
        <v>82.0</v>
      </c>
      <c r="B2456" s="9" t="s">
        <v>4948</v>
      </c>
      <c r="C2456" s="9" t="s">
        <v>4882</v>
      </c>
      <c r="D2456" s="9" t="s">
        <v>79</v>
      </c>
      <c r="E2456" s="6" t="s">
        <v>4979</v>
      </c>
      <c r="F2456" s="9"/>
    </row>
    <row r="2457" ht="33.75" customHeight="1">
      <c r="A2457" s="7">
        <v>82.0</v>
      </c>
      <c r="B2457" s="9" t="s">
        <v>4948</v>
      </c>
      <c r="C2457" s="9" t="s">
        <v>4882</v>
      </c>
      <c r="D2457" s="9" t="s">
        <v>81</v>
      </c>
      <c r="E2457" s="6" t="s">
        <v>4983</v>
      </c>
      <c r="F2457" s="9"/>
    </row>
    <row r="2458" ht="33.75" customHeight="1">
      <c r="A2458" s="7">
        <v>82.0</v>
      </c>
      <c r="B2458" s="9" t="s">
        <v>4948</v>
      </c>
      <c r="C2458" s="9" t="s">
        <v>4882</v>
      </c>
      <c r="D2458" s="9" t="s">
        <v>84</v>
      </c>
      <c r="E2458" s="6" t="s">
        <v>4983</v>
      </c>
      <c r="F2458" s="9"/>
    </row>
    <row r="2459" ht="33.75" customHeight="1">
      <c r="A2459" s="7">
        <v>82.0</v>
      </c>
      <c r="B2459" s="9" t="s">
        <v>4948</v>
      </c>
      <c r="C2459" s="9" t="s">
        <v>4882</v>
      </c>
      <c r="D2459" s="9" t="s">
        <v>87</v>
      </c>
      <c r="E2459" s="6" t="s">
        <v>4988</v>
      </c>
      <c r="F2459" s="9"/>
    </row>
    <row r="2460" ht="33.75" customHeight="1">
      <c r="A2460" s="7">
        <v>82.0</v>
      </c>
      <c r="B2460" s="9" t="s">
        <v>4948</v>
      </c>
      <c r="C2460" s="9" t="s">
        <v>4882</v>
      </c>
      <c r="D2460" s="9" t="s">
        <v>89</v>
      </c>
      <c r="E2460" s="6" t="s">
        <v>4958</v>
      </c>
      <c r="F2460" s="9"/>
    </row>
    <row r="2461" ht="33.75" customHeight="1">
      <c r="A2461" s="7">
        <v>82.0</v>
      </c>
      <c r="B2461" s="9" t="s">
        <v>4948</v>
      </c>
      <c r="C2461" s="9" t="s">
        <v>4882</v>
      </c>
      <c r="D2461" s="9" t="s">
        <v>91</v>
      </c>
      <c r="E2461" s="6" t="s">
        <v>4994</v>
      </c>
      <c r="F2461" s="9"/>
    </row>
    <row r="2462" ht="33.75" customHeight="1">
      <c r="A2462" s="7">
        <v>82.0</v>
      </c>
      <c r="B2462" s="9" t="s">
        <v>4948</v>
      </c>
      <c r="C2462" s="9" t="s">
        <v>4882</v>
      </c>
      <c r="D2462" s="9" t="s">
        <v>93</v>
      </c>
      <c r="E2462" s="6" t="s">
        <v>4988</v>
      </c>
      <c r="F2462" s="9"/>
    </row>
    <row r="2463" ht="33.75" customHeight="1">
      <c r="A2463" s="7">
        <v>82.0</v>
      </c>
      <c r="B2463" s="9" t="s">
        <v>4948</v>
      </c>
      <c r="C2463" s="9" t="s">
        <v>4882</v>
      </c>
      <c r="D2463" s="9" t="s">
        <v>95</v>
      </c>
      <c r="E2463" s="6" t="s">
        <v>4988</v>
      </c>
      <c r="F2463" s="9"/>
    </row>
    <row r="2464" ht="33.75" customHeight="1">
      <c r="A2464" s="7">
        <v>82.0</v>
      </c>
      <c r="B2464" s="9" t="s">
        <v>4948</v>
      </c>
      <c r="C2464" s="9" t="s">
        <v>4882</v>
      </c>
      <c r="D2464" s="9" t="s">
        <v>98</v>
      </c>
      <c r="E2464" s="6" t="s">
        <v>5003</v>
      </c>
      <c r="F2464" s="9"/>
    </row>
    <row r="2465" ht="33.75" customHeight="1">
      <c r="A2465" s="7">
        <v>82.0</v>
      </c>
      <c r="B2465" s="9" t="s">
        <v>4948</v>
      </c>
      <c r="C2465" s="9" t="s">
        <v>4882</v>
      </c>
      <c r="D2465" s="9" t="s">
        <v>99</v>
      </c>
      <c r="E2465" s="6" t="s">
        <v>5003</v>
      </c>
      <c r="F2465" s="9"/>
    </row>
    <row r="2466" ht="33.75" customHeight="1">
      <c r="A2466" s="7">
        <v>82.0</v>
      </c>
      <c r="B2466" s="9" t="s">
        <v>4948</v>
      </c>
      <c r="C2466" s="9" t="s">
        <v>4882</v>
      </c>
      <c r="D2466" s="9" t="s">
        <v>101</v>
      </c>
      <c r="E2466" s="6" t="s">
        <v>5008</v>
      </c>
      <c r="F2466" s="9"/>
    </row>
    <row r="2467" ht="33.75" customHeight="1">
      <c r="A2467" s="7">
        <v>82.0</v>
      </c>
      <c r="B2467" s="9" t="s">
        <v>4948</v>
      </c>
      <c r="C2467" s="9" t="s">
        <v>4882</v>
      </c>
      <c r="D2467" s="9" t="s">
        <v>105</v>
      </c>
      <c r="E2467" s="6" t="s">
        <v>5011</v>
      </c>
      <c r="F2467" s="9"/>
    </row>
    <row r="2468" ht="33.75" customHeight="1">
      <c r="A2468" s="7">
        <v>82.0</v>
      </c>
      <c r="B2468" s="9" t="s">
        <v>4948</v>
      </c>
      <c r="C2468" s="9" t="s">
        <v>4882</v>
      </c>
      <c r="D2468" s="9" t="s">
        <v>107</v>
      </c>
      <c r="E2468" s="6" t="s">
        <v>5014</v>
      </c>
      <c r="F2468" s="9"/>
    </row>
    <row r="2469" ht="33.75" customHeight="1">
      <c r="A2469" s="7">
        <v>82.0</v>
      </c>
      <c r="B2469" s="9" t="s">
        <v>4948</v>
      </c>
      <c r="C2469" s="9" t="s">
        <v>4882</v>
      </c>
      <c r="D2469" s="9" t="s">
        <v>109</v>
      </c>
      <c r="E2469" s="6" t="s">
        <v>5019</v>
      </c>
      <c r="F2469" s="9"/>
    </row>
    <row r="2470" ht="33.75" customHeight="1">
      <c r="A2470" s="7">
        <v>82.0</v>
      </c>
      <c r="B2470" s="9" t="s">
        <v>4948</v>
      </c>
      <c r="C2470" s="9" t="s">
        <v>4882</v>
      </c>
      <c r="D2470" s="9" t="s">
        <v>637</v>
      </c>
      <c r="E2470" s="6" t="s">
        <v>5021</v>
      </c>
      <c r="F2470" s="9"/>
    </row>
    <row r="2471" ht="33.75" customHeight="1">
      <c r="A2471" s="7">
        <v>82.0</v>
      </c>
      <c r="B2471" s="9" t="s">
        <v>4948</v>
      </c>
      <c r="C2471" s="9" t="s">
        <v>4882</v>
      </c>
      <c r="D2471" s="9" t="s">
        <v>642</v>
      </c>
      <c r="E2471" s="6" t="s">
        <v>5025</v>
      </c>
      <c r="F2471" s="9"/>
    </row>
    <row r="2472" ht="33.75" customHeight="1">
      <c r="A2472" s="7">
        <v>82.0</v>
      </c>
      <c r="B2472" s="9" t="s">
        <v>4948</v>
      </c>
      <c r="C2472" s="9" t="s">
        <v>4882</v>
      </c>
      <c r="D2472" s="9" t="s">
        <v>647</v>
      </c>
      <c r="E2472" s="6" t="s">
        <v>5030</v>
      </c>
      <c r="F2472" s="9"/>
    </row>
    <row r="2473" ht="33.75" customHeight="1">
      <c r="A2473" s="7">
        <v>82.0</v>
      </c>
      <c r="B2473" s="9" t="s">
        <v>4948</v>
      </c>
      <c r="C2473" s="9" t="s">
        <v>4882</v>
      </c>
      <c r="D2473" s="9" t="s">
        <v>652</v>
      </c>
      <c r="E2473" s="6" t="s">
        <v>5034</v>
      </c>
      <c r="F2473" s="9"/>
    </row>
    <row r="2474" ht="33.75" customHeight="1">
      <c r="A2474" s="7">
        <v>82.0</v>
      </c>
      <c r="B2474" s="9" t="s">
        <v>4948</v>
      </c>
      <c r="C2474" s="9" t="s">
        <v>4882</v>
      </c>
      <c r="D2474" s="9" t="s">
        <v>111</v>
      </c>
      <c r="E2474" s="6" t="s">
        <v>5011</v>
      </c>
      <c r="F2474" s="9"/>
    </row>
    <row r="2475" ht="33.75" customHeight="1">
      <c r="A2475" s="7">
        <v>82.0</v>
      </c>
      <c r="B2475" s="9" t="s">
        <v>4948</v>
      </c>
      <c r="C2475" s="9" t="s">
        <v>4882</v>
      </c>
      <c r="D2475" s="9" t="s">
        <v>113</v>
      </c>
      <c r="E2475" s="6" t="s">
        <v>5011</v>
      </c>
      <c r="F2475" s="9"/>
    </row>
    <row r="2476" ht="33.75" customHeight="1">
      <c r="A2476" s="7">
        <v>82.0</v>
      </c>
      <c r="B2476" s="9" t="s">
        <v>4948</v>
      </c>
      <c r="C2476" s="9" t="s">
        <v>4882</v>
      </c>
      <c r="D2476" s="9" t="s">
        <v>114</v>
      </c>
      <c r="E2476" s="6" t="s">
        <v>5046</v>
      </c>
      <c r="F2476" s="9"/>
    </row>
    <row r="2477" ht="33.75" customHeight="1">
      <c r="A2477" s="7">
        <v>82.0</v>
      </c>
      <c r="B2477" s="9" t="s">
        <v>4948</v>
      </c>
      <c r="C2477" s="9" t="s">
        <v>4882</v>
      </c>
      <c r="D2477" s="9" t="s">
        <v>117</v>
      </c>
      <c r="E2477" s="6" t="s">
        <v>5051</v>
      </c>
      <c r="F2477" s="9"/>
    </row>
    <row r="2478" ht="33.75" customHeight="1">
      <c r="A2478" s="7">
        <v>82.0</v>
      </c>
      <c r="B2478" s="9" t="s">
        <v>4948</v>
      </c>
      <c r="C2478" s="9" t="s">
        <v>4882</v>
      </c>
      <c r="D2478" s="9" t="s">
        <v>1577</v>
      </c>
      <c r="E2478" s="6" t="s">
        <v>5054</v>
      </c>
      <c r="F2478" s="9"/>
    </row>
    <row r="2479" ht="33.75" customHeight="1">
      <c r="A2479" s="7">
        <v>83.0</v>
      </c>
      <c r="B2479" s="9" t="s">
        <v>5057</v>
      </c>
      <c r="C2479" s="9" t="s">
        <v>5058</v>
      </c>
      <c r="D2479" s="9" t="s">
        <v>24</v>
      </c>
      <c r="E2479" s="6" t="s">
        <v>5060</v>
      </c>
      <c r="F2479" t="inlineStr" s="10">
        <is>
          <t xml:space="preserve">Farfetch’din kädessään pitelemä vihreän sipulin oksa on sen ase. Sitä käytetään paljolti kuin metallista miekkaa. Elää siellä, missä ruokokasvit kasvavat. Niitä näkee harvoin, joten niiden määrän uskotaan olevan vähenemässä. Jos joku yrittää häiritä välttämättömien kasvien oksien kasvupaikkoja, se käyttää omaa oksiaan estääkseen heitä. Jos se syö hätämuonana kantamansa kasvitikun, se juoksee etsimään uutta tikkua. Estääkseen niiden sukupuuton yhä useammat ihmiset ovat pyrkineet jalostamaan näitä POKéMONEJA. FARFETCH’D nähdään aina jonkin kasvin kepin kanssa. Ilmeisesti on olemassa hyviä ja huonoja keppejä. Tämä POKéMON on tunnettu siitä, että se tappelee muiden kanssa kepeistä. Se nähdään aina kasvin kepin kanssa. Tämä POKéMON tappelee toisinaan muiden kanssa valituista kepeistä. Se kävelee aina kasvin varsi nokassaan. Vartta se käyttää pesän rakentamiseen. Sen kädessään oleva kasvin varsi on sen ase. Vartta käytetään kuin miekkaa kaikenlaisten asioiden leikkaamiseen. Se ei voi elää ilman vartta, jota se pitää kiinni. Siksi se puolustaa vartta hyökkääjiltä elämällään. Jos joku yrittää häiritä välttämättömien kasvien varsien kasvupaikkoja, se käyttää omaa varttaan estääkseen niitä. Jos se syö hätämuonaa kantamansa kasvin varren, se juoksee etsimään uutta vartta. Farfetch’d nähdään aina jonkin kasvin varren kanssa. Ilmeisesti on olemassa hyviä ja huonoja varsia. Tämä Pokémon tunnetaan siitä, että se taistelee muiden kanssa varsista. Ne elävät siellä missä ruokokasvit kasvavat. Farfetch’dejä näkee harvoin, joten niiden määrän uskotaan olevan vähenemässä. Tämän Pokémonin siivissä oleva varsi toimii miekkana vastustajien kaatamiseen. Vaikeassa tilanteessa varsi voi toimia myös ruokana. Ne käyttävät aseena kasvin vartta, mutta eivät kaikki käytä sitä samalla tavalla. On havaittu useita erilaisia ​​varsitaistelutyylejä.</t>
        </is>
      </c>
    </row>
    <row r="2480" ht="33.75" customHeight="1">
      <c r="A2480" s="7">
        <v>83.0</v>
      </c>
      <c r="B2480" s="9" t="s">
        <v>5057</v>
      </c>
      <c r="C2480" s="9" t="s">
        <v>5058</v>
      </c>
      <c r="D2480" s="9" t="s">
        <v>35</v>
      </c>
      <c r="E2480" s="6" t="s">
        <v>5060</v>
      </c>
      <c r="F2480" s="9"/>
    </row>
    <row r="2481" ht="33.75" customHeight="1">
      <c r="A2481" s="7">
        <v>83.0</v>
      </c>
      <c r="B2481" s="9" t="s">
        <v>5057</v>
      </c>
      <c r="C2481" s="9" t="s">
        <v>5058</v>
      </c>
      <c r="D2481" s="9" t="s">
        <v>42</v>
      </c>
      <c r="E2481" s="6" t="s">
        <v>5065</v>
      </c>
      <c r="F2481" s="9"/>
    </row>
    <row r="2482" ht="33.75" customHeight="1">
      <c r="A2482" s="7">
        <v>83.0</v>
      </c>
      <c r="B2482" s="9" t="s">
        <v>5057</v>
      </c>
      <c r="C2482" s="9" t="s">
        <v>5058</v>
      </c>
      <c r="D2482" s="9" t="s">
        <v>52</v>
      </c>
      <c r="E2482" s="6" t="s">
        <v>5068</v>
      </c>
      <c r="F2482" s="9"/>
    </row>
    <row r="2483" ht="33.75" customHeight="1">
      <c r="A2483" s="7">
        <v>83.0</v>
      </c>
      <c r="B2483" s="9" t="s">
        <v>5057</v>
      </c>
      <c r="C2483" s="9" t="s">
        <v>5058</v>
      </c>
      <c r="D2483" s="9" t="s">
        <v>59</v>
      </c>
      <c r="E2483" s="6" t="s">
        <v>5070</v>
      </c>
      <c r="F2483" s="9"/>
    </row>
    <row r="2484" ht="33.75" customHeight="1">
      <c r="A2484" s="7">
        <v>83.0</v>
      </c>
      <c r="B2484" s="9" t="s">
        <v>5057</v>
      </c>
      <c r="C2484" s="9" t="s">
        <v>5058</v>
      </c>
      <c r="D2484" s="9" t="s">
        <v>64</v>
      </c>
      <c r="E2484" s="6" t="s">
        <v>5072</v>
      </c>
      <c r="F2484" s="9"/>
    </row>
    <row r="2485" ht="33.75" customHeight="1">
      <c r="A2485" s="7">
        <v>83.0</v>
      </c>
      <c r="B2485" s="9" t="s">
        <v>5057</v>
      </c>
      <c r="C2485" s="9" t="s">
        <v>5058</v>
      </c>
      <c r="D2485" s="9" t="s">
        <v>67</v>
      </c>
      <c r="E2485" s="6" t="s">
        <v>5074</v>
      </c>
      <c r="F2485" s="9"/>
    </row>
    <row r="2486" ht="33.75" customHeight="1">
      <c r="A2486" s="7">
        <v>83.0</v>
      </c>
      <c r="B2486" s="9" t="s">
        <v>5057</v>
      </c>
      <c r="C2486" s="9" t="s">
        <v>5058</v>
      </c>
      <c r="D2486" s="9" t="s">
        <v>71</v>
      </c>
      <c r="E2486" s="6" t="s">
        <v>5074</v>
      </c>
      <c r="F2486" s="9"/>
    </row>
    <row r="2487" ht="33.75" customHeight="1">
      <c r="A2487" s="7">
        <v>83.0</v>
      </c>
      <c r="B2487" s="9" t="s">
        <v>5057</v>
      </c>
      <c r="C2487" s="9" t="s">
        <v>5058</v>
      </c>
      <c r="D2487" s="9" t="s">
        <v>73</v>
      </c>
      <c r="E2487" s="6" t="s">
        <v>5079</v>
      </c>
      <c r="F2487" s="9"/>
    </row>
    <row r="2488" ht="33.75" customHeight="1">
      <c r="A2488" s="7">
        <v>83.0</v>
      </c>
      <c r="B2488" s="9" t="s">
        <v>5057</v>
      </c>
      <c r="C2488" s="9" t="s">
        <v>5058</v>
      </c>
      <c r="D2488" s="9" t="s">
        <v>75</v>
      </c>
      <c r="E2488" s="6" t="s">
        <v>5082</v>
      </c>
      <c r="F2488" s="9"/>
    </row>
    <row r="2489" ht="33.75" customHeight="1">
      <c r="A2489" s="7">
        <v>83.0</v>
      </c>
      <c r="B2489" s="9" t="s">
        <v>5057</v>
      </c>
      <c r="C2489" s="9" t="s">
        <v>5058</v>
      </c>
      <c r="D2489" s="9" t="s">
        <v>79</v>
      </c>
      <c r="E2489" s="6" t="s">
        <v>5088</v>
      </c>
      <c r="F2489" s="9"/>
    </row>
    <row r="2490" ht="33.75" customHeight="1">
      <c r="A2490" s="7">
        <v>83.0</v>
      </c>
      <c r="B2490" s="9" t="s">
        <v>5057</v>
      </c>
      <c r="C2490" s="9" t="s">
        <v>5058</v>
      </c>
      <c r="D2490" s="9" t="s">
        <v>81</v>
      </c>
      <c r="E2490" s="6" t="s">
        <v>5091</v>
      </c>
      <c r="F2490" s="9"/>
    </row>
    <row r="2491" ht="33.75" customHeight="1">
      <c r="A2491" s="7">
        <v>83.0</v>
      </c>
      <c r="B2491" s="9" t="s">
        <v>5057</v>
      </c>
      <c r="C2491" s="9" t="s">
        <v>5058</v>
      </c>
      <c r="D2491" s="9" t="s">
        <v>84</v>
      </c>
      <c r="E2491" s="6" t="s">
        <v>5091</v>
      </c>
      <c r="F2491" s="9"/>
    </row>
    <row r="2492" ht="33.75" customHeight="1">
      <c r="A2492" s="7">
        <v>83.0</v>
      </c>
      <c r="B2492" s="9" t="s">
        <v>5057</v>
      </c>
      <c r="C2492" s="9" t="s">
        <v>5058</v>
      </c>
      <c r="D2492" s="9" t="s">
        <v>87</v>
      </c>
      <c r="E2492" s="6" t="s">
        <v>5091</v>
      </c>
      <c r="F2492" s="9"/>
    </row>
    <row r="2493" ht="33.75" customHeight="1">
      <c r="A2493" s="7">
        <v>83.0</v>
      </c>
      <c r="B2493" s="9" t="s">
        <v>5057</v>
      </c>
      <c r="C2493" s="9" t="s">
        <v>5058</v>
      </c>
      <c r="D2493" s="9" t="s">
        <v>89</v>
      </c>
      <c r="E2493" s="6" t="s">
        <v>5096</v>
      </c>
      <c r="F2493" s="9"/>
    </row>
    <row r="2494" ht="33.75" customHeight="1">
      <c r="A2494" s="7">
        <v>83.0</v>
      </c>
      <c r="B2494" s="9" t="s">
        <v>5057</v>
      </c>
      <c r="C2494" s="9" t="s">
        <v>5058</v>
      </c>
      <c r="D2494" s="9" t="s">
        <v>91</v>
      </c>
      <c r="E2494" s="6" t="s">
        <v>5098</v>
      </c>
      <c r="F2494" s="9"/>
    </row>
    <row r="2495" ht="33.75" customHeight="1">
      <c r="A2495" s="7">
        <v>83.0</v>
      </c>
      <c r="B2495" s="9" t="s">
        <v>5057</v>
      </c>
      <c r="C2495" s="9" t="s">
        <v>5058</v>
      </c>
      <c r="D2495" s="9" t="s">
        <v>93</v>
      </c>
      <c r="E2495" s="6" t="s">
        <v>5091</v>
      </c>
      <c r="F2495" s="9"/>
    </row>
    <row r="2496" ht="33.75" customHeight="1">
      <c r="A2496" s="7">
        <v>83.0</v>
      </c>
      <c r="B2496" s="9" t="s">
        <v>5057</v>
      </c>
      <c r="C2496" s="9" t="s">
        <v>5058</v>
      </c>
      <c r="D2496" s="9" t="s">
        <v>95</v>
      </c>
      <c r="E2496" s="6" t="s">
        <v>5091</v>
      </c>
      <c r="F2496" s="9"/>
    </row>
    <row r="2497" ht="33.75" customHeight="1">
      <c r="A2497" s="7">
        <v>83.0</v>
      </c>
      <c r="B2497" s="9" t="s">
        <v>5057</v>
      </c>
      <c r="C2497" s="9" t="s">
        <v>5058</v>
      </c>
      <c r="D2497" s="9" t="s">
        <v>98</v>
      </c>
      <c r="E2497" s="6" t="s">
        <v>5091</v>
      </c>
      <c r="F2497" s="9"/>
    </row>
    <row r="2498" ht="33.75" customHeight="1">
      <c r="A2498" s="7">
        <v>83.0</v>
      </c>
      <c r="B2498" s="9" t="s">
        <v>5057</v>
      </c>
      <c r="C2498" s="9" t="s">
        <v>5058</v>
      </c>
      <c r="D2498" s="9" t="s">
        <v>99</v>
      </c>
      <c r="E2498" s="6" t="s">
        <v>5091</v>
      </c>
      <c r="F2498" s="9"/>
    </row>
    <row r="2499" ht="33.75" customHeight="1">
      <c r="A2499" s="7">
        <v>83.0</v>
      </c>
      <c r="B2499" s="9" t="s">
        <v>5057</v>
      </c>
      <c r="C2499" s="9" t="s">
        <v>5058</v>
      </c>
      <c r="D2499" s="9" t="s">
        <v>101</v>
      </c>
      <c r="E2499" s="6" t="s">
        <v>5088</v>
      </c>
      <c r="F2499" s="9"/>
    </row>
    <row r="2500" ht="33.75" customHeight="1">
      <c r="A2500" s="7">
        <v>83.0</v>
      </c>
      <c r="B2500" s="9" t="s">
        <v>5057</v>
      </c>
      <c r="C2500" s="9" t="s">
        <v>5058</v>
      </c>
      <c r="D2500" s="9" t="s">
        <v>105</v>
      </c>
      <c r="E2500" s="6" t="s">
        <v>5082</v>
      </c>
      <c r="F2500" s="9"/>
    </row>
    <row r="2501" ht="33.75" customHeight="1">
      <c r="A2501" s="7">
        <v>83.0</v>
      </c>
      <c r="B2501" s="9" t="s">
        <v>5057</v>
      </c>
      <c r="C2501" s="9" t="s">
        <v>5058</v>
      </c>
      <c r="D2501" s="9" t="s">
        <v>107</v>
      </c>
      <c r="E2501" s="6" t="s">
        <v>5111</v>
      </c>
      <c r="F2501" s="9"/>
    </row>
    <row r="2502" ht="33.75" customHeight="1">
      <c r="A2502" s="7">
        <v>83.0</v>
      </c>
      <c r="B2502" s="9" t="s">
        <v>5057</v>
      </c>
      <c r="C2502" s="9" t="s">
        <v>5058</v>
      </c>
      <c r="D2502" s="9" t="s">
        <v>109</v>
      </c>
      <c r="E2502" s="6" t="s">
        <v>5111</v>
      </c>
      <c r="F2502" s="9"/>
    </row>
    <row r="2503" ht="33.75" customHeight="1">
      <c r="A2503" s="7">
        <v>83.0</v>
      </c>
      <c r="B2503" s="9" t="s">
        <v>5057</v>
      </c>
      <c r="C2503" s="9" t="s">
        <v>5058</v>
      </c>
      <c r="D2503" s="9" t="s">
        <v>111</v>
      </c>
      <c r="E2503" s="6" t="s">
        <v>5119</v>
      </c>
      <c r="F2503" s="9"/>
    </row>
    <row r="2504" ht="33.75" customHeight="1">
      <c r="A2504" s="7">
        <v>83.0</v>
      </c>
      <c r="B2504" s="9" t="s">
        <v>5057</v>
      </c>
      <c r="C2504" s="9" t="s">
        <v>5058</v>
      </c>
      <c r="D2504" s="9" t="s">
        <v>113</v>
      </c>
      <c r="E2504" s="6" t="s">
        <v>5119</v>
      </c>
      <c r="F2504" s="9"/>
    </row>
    <row r="2505" ht="33.75" customHeight="1">
      <c r="A2505" s="7">
        <v>83.0</v>
      </c>
      <c r="B2505" s="9" t="s">
        <v>5057</v>
      </c>
      <c r="C2505" s="9" t="s">
        <v>5058</v>
      </c>
      <c r="D2505" s="9" t="s">
        <v>114</v>
      </c>
      <c r="E2505" s="6" t="s">
        <v>5125</v>
      </c>
      <c r="F2505" s="9"/>
    </row>
    <row r="2506" ht="33.75" customHeight="1">
      <c r="A2506" s="7">
        <v>83.0</v>
      </c>
      <c r="B2506" s="9" t="s">
        <v>5057</v>
      </c>
      <c r="C2506" s="9" t="s">
        <v>5058</v>
      </c>
      <c r="D2506" s="9" t="s">
        <v>117</v>
      </c>
      <c r="E2506" s="6" t="s">
        <v>5130</v>
      </c>
      <c r="F2506" s="9"/>
    </row>
    <row r="2507" ht="33.75" customHeight="1">
      <c r="A2507" s="7">
        <v>84.0</v>
      </c>
      <c r="B2507" s="9" t="s">
        <v>5132</v>
      </c>
      <c r="C2507" s="9" t="s">
        <v>5134</v>
      </c>
      <c r="D2507" s="9" t="s">
        <v>24</v>
      </c>
      <c r="E2507" s="6" t="s">
        <v>5135</v>
      </c>
      <c r="F2507" t="inlineStr" s="10">
        <is>
          <t xml:space="preserve">Lintu, joka korvaa huonon lentonsa nopealla askelnopeudellaan. Jättää jättimäisiä jalanjälkiä. Sen lyhyet siivet tekevät lentämisestä vaikeaa. Sen sijaan tämä POKéMON juoksee kovaa vauhtia kehittyneillä jaloilla. Nostamalla ja laskemalla vuorotellen kahta päätään se tasapainottaa itseään ja on vakaampi juostessa. Se juoksee ruohoisten tasankojen läpi voimakkain askelin jättäen jälkeensä jopa kymmenen senttimetrin syvyisiä jalanjälkiä. Se elää ruohoisella tasangolla, josta se näkee kauas. Jos se näkee vihollisen, se juoksee karkuun 95 km/h nopeudella. DODUOn kaksi päätä eivät koskaan nuku samaan aikaan. Sen kaksi päätä nukkuvat vuorotellen, joten toinen pää voi aina pitää silmällä vihollisia, kun toinen nukkuu. DODUOn kahdessa päässä on täysin identtiset aivot. Tieteellinen tutkimus raportoi, että harvinaisissa tapauksissa tällä POKéMONilla on erilaiset aivot. Syödessään tai nukkuessaan toinen päistä pysyy aina valppaana vaaran varalta. Uhkaantuessaan se pakenee yli 95 kilometrin tuntinopeudella. Kaksipäinen POKéMON, joka löydettiin äkillisenä mutaationa. Se juoksee yli 95 kilometrin tuntinopeudella. Sen kahden pään aivot näyttävät kommunikoivan tunteita toisilleen telepaattisella voimalla.</t>
        </is>
      </c>
    </row>
    <row r="2508" ht="33.75" customHeight="1">
      <c r="A2508" s="7">
        <v>84.0</v>
      </c>
      <c r="B2508" s="9" t="s">
        <v>5132</v>
      </c>
      <c r="C2508" s="9" t="s">
        <v>5134</v>
      </c>
      <c r="D2508" s="9" t="s">
        <v>35</v>
      </c>
      <c r="E2508" s="6" t="s">
        <v>5135</v>
      </c>
      <c r="F2508" s="9"/>
    </row>
    <row r="2509" ht="33.75" customHeight="1">
      <c r="A2509" s="7">
        <v>84.0</v>
      </c>
      <c r="B2509" s="9" t="s">
        <v>5132</v>
      </c>
      <c r="C2509" s="9" t="s">
        <v>5134</v>
      </c>
      <c r="D2509" s="9" t="s">
        <v>42</v>
      </c>
      <c r="E2509" s="6" t="s">
        <v>5139</v>
      </c>
      <c r="F2509" s="9"/>
    </row>
    <row r="2510" ht="33.75" customHeight="1">
      <c r="A2510" s="7">
        <v>84.0</v>
      </c>
      <c r="B2510" s="9" t="s">
        <v>5132</v>
      </c>
      <c r="C2510" s="9" t="s">
        <v>5134</v>
      </c>
      <c r="D2510" s="9" t="s">
        <v>52</v>
      </c>
      <c r="E2510" s="6" t="s">
        <v>5142</v>
      </c>
      <c r="F2510" s="9"/>
    </row>
    <row r="2511" ht="33.75" customHeight="1">
      <c r="A2511" s="7">
        <v>84.0</v>
      </c>
      <c r="B2511" s="9" t="s">
        <v>5132</v>
      </c>
      <c r="C2511" s="9" t="s">
        <v>5134</v>
      </c>
      <c r="D2511" s="9" t="s">
        <v>59</v>
      </c>
      <c r="E2511" s="6" t="s">
        <v>5145</v>
      </c>
      <c r="F2511" s="9"/>
    </row>
    <row r="2512" ht="33.75" customHeight="1">
      <c r="A2512" s="7">
        <v>84.0</v>
      </c>
      <c r="B2512" s="9" t="s">
        <v>5132</v>
      </c>
      <c r="C2512" s="9" t="s">
        <v>5134</v>
      </c>
      <c r="D2512" s="9" t="s">
        <v>64</v>
      </c>
      <c r="E2512" s="6" t="s">
        <v>5147</v>
      </c>
      <c r="F2512" s="9"/>
    </row>
    <row r="2513" ht="33.75" customHeight="1">
      <c r="A2513" s="7">
        <v>84.0</v>
      </c>
      <c r="B2513" s="9" t="s">
        <v>5132</v>
      </c>
      <c r="C2513" s="9" t="s">
        <v>5134</v>
      </c>
      <c r="D2513" s="9" t="s">
        <v>67</v>
      </c>
      <c r="E2513" s="6" t="s">
        <v>5151</v>
      </c>
      <c r="F2513" s="9"/>
    </row>
    <row r="2514" ht="33.75" customHeight="1">
      <c r="A2514" s="7">
        <v>84.0</v>
      </c>
      <c r="B2514" s="9" t="s">
        <v>5132</v>
      </c>
      <c r="C2514" s="9" t="s">
        <v>5134</v>
      </c>
      <c r="D2514" s="9" t="s">
        <v>71</v>
      </c>
      <c r="E2514" s="6" t="s">
        <v>5155</v>
      </c>
      <c r="F2514" s="9"/>
    </row>
    <row r="2515" ht="33.75" customHeight="1">
      <c r="A2515" s="7">
        <v>84.0</v>
      </c>
      <c r="B2515" s="9" t="s">
        <v>5132</v>
      </c>
      <c r="C2515" s="9" t="s">
        <v>5134</v>
      </c>
      <c r="D2515" s="9" t="s">
        <v>73</v>
      </c>
      <c r="E2515" s="6" t="s">
        <v>5158</v>
      </c>
      <c r="F2515" s="9"/>
    </row>
    <row r="2516" ht="33.75" customHeight="1">
      <c r="A2516" s="7">
        <v>84.0</v>
      </c>
      <c r="B2516" s="9" t="s">
        <v>5132</v>
      </c>
      <c r="C2516" s="9" t="s">
        <v>5134</v>
      </c>
      <c r="D2516" s="9" t="s">
        <v>75</v>
      </c>
      <c r="E2516" s="6" t="s">
        <v>5162</v>
      </c>
      <c r="F2516" s="9"/>
    </row>
    <row r="2517" ht="33.75" customHeight="1">
      <c r="A2517" s="7">
        <v>84.0</v>
      </c>
      <c r="B2517" s="9" t="s">
        <v>5132</v>
      </c>
      <c r="C2517" s="9" t="s">
        <v>5134</v>
      </c>
      <c r="D2517" s="9" t="s">
        <v>79</v>
      </c>
      <c r="E2517" s="6" t="s">
        <v>5135</v>
      </c>
      <c r="F2517" s="9"/>
    </row>
    <row r="2518" ht="33.75" customHeight="1">
      <c r="A2518" s="7">
        <v>84.0</v>
      </c>
      <c r="B2518" s="9" t="s">
        <v>5132</v>
      </c>
      <c r="C2518" s="9" t="s">
        <v>5134</v>
      </c>
      <c r="D2518" s="9" t="s">
        <v>81</v>
      </c>
      <c r="E2518" s="6" t="s">
        <v>5166</v>
      </c>
      <c r="F2518" s="9"/>
    </row>
    <row r="2519" ht="33.75" customHeight="1">
      <c r="A2519" s="7">
        <v>84.0</v>
      </c>
      <c r="B2519" s="9" t="s">
        <v>5132</v>
      </c>
      <c r="C2519" s="9" t="s">
        <v>5134</v>
      </c>
      <c r="D2519" s="9" t="s">
        <v>84</v>
      </c>
      <c r="E2519" s="6" t="s">
        <v>5166</v>
      </c>
      <c r="F2519" s="9"/>
    </row>
    <row r="2520" ht="33.75" customHeight="1">
      <c r="A2520" s="7">
        <v>84.0</v>
      </c>
      <c r="B2520" s="9" t="s">
        <v>5132</v>
      </c>
      <c r="C2520" s="9" t="s">
        <v>5134</v>
      </c>
      <c r="D2520" s="9" t="s">
        <v>87</v>
      </c>
      <c r="E2520" s="6" t="s">
        <v>5166</v>
      </c>
      <c r="F2520" s="9"/>
    </row>
    <row r="2521" ht="33.75" customHeight="1">
      <c r="A2521" s="7">
        <v>84.0</v>
      </c>
      <c r="B2521" s="9" t="s">
        <v>5132</v>
      </c>
      <c r="C2521" s="9" t="s">
        <v>5134</v>
      </c>
      <c r="D2521" s="9" t="s">
        <v>89</v>
      </c>
      <c r="E2521" s="6" t="s">
        <v>5142</v>
      </c>
      <c r="F2521" s="9"/>
    </row>
    <row r="2522" ht="33.75" customHeight="1">
      <c r="A2522" s="7">
        <v>84.0</v>
      </c>
      <c r="B2522" s="9" t="s">
        <v>5132</v>
      </c>
      <c r="C2522" s="9" t="s">
        <v>5134</v>
      </c>
      <c r="D2522" s="9" t="s">
        <v>91</v>
      </c>
      <c r="E2522" s="6" t="s">
        <v>5145</v>
      </c>
      <c r="F2522" s="9"/>
    </row>
    <row r="2523" ht="33.75" customHeight="1">
      <c r="A2523" s="7">
        <v>84.0</v>
      </c>
      <c r="B2523" s="9" t="s">
        <v>5132</v>
      </c>
      <c r="C2523" s="9" t="s">
        <v>5134</v>
      </c>
      <c r="D2523" s="9" t="s">
        <v>93</v>
      </c>
      <c r="E2523" s="6" t="s">
        <v>5166</v>
      </c>
      <c r="F2523" s="9"/>
    </row>
    <row r="2524" ht="33.75" customHeight="1">
      <c r="A2524" s="7">
        <v>84.0</v>
      </c>
      <c r="B2524" s="9" t="s">
        <v>5132</v>
      </c>
      <c r="C2524" s="9" t="s">
        <v>5134</v>
      </c>
      <c r="D2524" s="9" t="s">
        <v>95</v>
      </c>
      <c r="E2524" s="6" t="s">
        <v>5166</v>
      </c>
      <c r="F2524" s="9"/>
    </row>
    <row r="2525" ht="33.75" customHeight="1">
      <c r="A2525" s="7">
        <v>84.0</v>
      </c>
      <c r="B2525" s="9" t="s">
        <v>5132</v>
      </c>
      <c r="C2525" s="9" t="s">
        <v>5134</v>
      </c>
      <c r="D2525" s="9" t="s">
        <v>98</v>
      </c>
      <c r="E2525" s="6" t="s">
        <v>5166</v>
      </c>
      <c r="F2525" s="9"/>
    </row>
    <row r="2526" ht="33.75" customHeight="1">
      <c r="A2526" s="7">
        <v>84.0</v>
      </c>
      <c r="B2526" s="9" t="s">
        <v>5132</v>
      </c>
      <c r="C2526" s="9" t="s">
        <v>5134</v>
      </c>
      <c r="D2526" s="9" t="s">
        <v>99</v>
      </c>
      <c r="E2526" s="6" t="s">
        <v>5166</v>
      </c>
      <c r="F2526" s="9"/>
    </row>
    <row r="2527" ht="33.75" customHeight="1">
      <c r="A2527" s="7">
        <v>84.0</v>
      </c>
      <c r="B2527" s="9" t="s">
        <v>5132</v>
      </c>
      <c r="C2527" s="9" t="s">
        <v>5134</v>
      </c>
      <c r="D2527" s="9" t="s">
        <v>101</v>
      </c>
      <c r="E2527" s="6" t="s">
        <v>5185</v>
      </c>
      <c r="F2527" s="9"/>
    </row>
    <row r="2528" ht="33.75" customHeight="1">
      <c r="A2528" s="7">
        <v>84.0</v>
      </c>
      <c r="B2528" s="9" t="s">
        <v>5132</v>
      </c>
      <c r="C2528" s="9" t="s">
        <v>5134</v>
      </c>
      <c r="D2528" s="9" t="s">
        <v>105</v>
      </c>
      <c r="E2528" s="6" t="s">
        <v>5166</v>
      </c>
      <c r="F2528" s="9"/>
    </row>
    <row r="2529" ht="33.75" customHeight="1">
      <c r="A2529" s="7">
        <v>84.0</v>
      </c>
      <c r="B2529" s="9" t="s">
        <v>5132</v>
      </c>
      <c r="C2529" s="9" t="s">
        <v>5134</v>
      </c>
      <c r="D2529" s="9" t="s">
        <v>107</v>
      </c>
      <c r="E2529" s="6" t="s">
        <v>5193</v>
      </c>
      <c r="F2529" s="9"/>
    </row>
    <row r="2530" ht="33.75" customHeight="1">
      <c r="A2530" s="7">
        <v>84.0</v>
      </c>
      <c r="B2530" s="9" t="s">
        <v>5132</v>
      </c>
      <c r="C2530" s="9" t="s">
        <v>5134</v>
      </c>
      <c r="D2530" s="9" t="s">
        <v>109</v>
      </c>
      <c r="E2530" s="6" t="s">
        <v>5197</v>
      </c>
      <c r="F2530" s="9"/>
    </row>
    <row r="2531" ht="33.75" customHeight="1">
      <c r="A2531" s="7">
        <v>84.0</v>
      </c>
      <c r="B2531" s="9" t="s">
        <v>5132</v>
      </c>
      <c r="C2531" s="9" t="s">
        <v>5134</v>
      </c>
      <c r="D2531" s="9" t="s">
        <v>111</v>
      </c>
      <c r="E2531" s="6" t="s">
        <v>5201</v>
      </c>
      <c r="F2531" s="9"/>
    </row>
    <row r="2532" ht="33.75" customHeight="1">
      <c r="A2532" s="7">
        <v>84.0</v>
      </c>
      <c r="B2532" s="9" t="s">
        <v>5132</v>
      </c>
      <c r="C2532" s="9" t="s">
        <v>5134</v>
      </c>
      <c r="D2532" s="9" t="s">
        <v>113</v>
      </c>
      <c r="E2532" s="6" t="s">
        <v>5201</v>
      </c>
      <c r="F2532" s="9"/>
    </row>
    <row r="2533" ht="33.75" customHeight="1">
      <c r="A2533" s="7">
        <v>85.0</v>
      </c>
      <c r="B2533" s="9" t="s">
        <v>5204</v>
      </c>
      <c r="C2533" s="9" t="s">
        <v>5205</v>
      </c>
      <c r="D2533" s="9" t="s">
        <v>24</v>
      </c>
      <c r="E2533" s="6" t="s">
        <v>5207</v>
      </c>
      <c r="F2533" t="inlineStr" s="10">
        <is>
          <t xml:space="preserve">Käyttää kolmea aivoaan monimutkaisten suunnitelmien toteuttamiseen. Kahden pään nukkuessa yksi pysyy hereillä. Toinen DODUOn kahdesta päästä jakautuu muodostaen ainutlaatuisen lajin. Se liikkuu preerioilla lähes 65 kilometriä tunnissa. Se kerää tietoa ja suunnittelee kolme kertaa viisaammin, mutta se saattaa ajatella liikaa ja lamaantua. Jos yksi päistä saa syödä, muutkin tulevat kylläisiksi eivätkä ne enää riitele. Vihollinen, joka irrottaa katseensa mistä tahansa kolmesta päästä – edes sekunniksi – saa ankaran nokkaiskun. Varo, jos DODRIOn kolme päätä katsovat kolmeen eri suuntaan. Se on varma merkki siitä, että se on varuillaan. Älä mene lähelle tätä POKéMONIA, jos se on varuillaan – se saattaa päättää nokkia sinua. Ilmeisesti päät eivät ole ainoat ruumiinosia, joita DODRIOlla on kolme. Sillä on myös kolme sydäntä ja keuhkoja, joten se pystyy juoksemaan pitkiä matkoja ilman lepoa. Erikoinen kolmipäinen POKéMON-laji. Se kiipeää raivokkaasti ruohoisten tasankojen yli jopa kuivina ja vähäsateisina vuodenaikoina. Harvinainen ja outo laji. Kolme päätä symboloivat iloa, surua ja vihaa. Kahden pään nukkuessa toisen sanotaan pysyvän hereillä. Kun DODUO kehittyy täksi omituiseksi roduksi, toinen sen päistä jakautuu kahtia. Se juoksee lähes 64 km/h nopeudella. Se kerää tietoa ja suunnittelee kolme kertaa viisaammin, mutta se saattaa ajatella liikaa ja vaipua liikkumattomuuden tilaan. Kun doduosta kehittyy tämä omituinen rotu, toinen sen päistä jakautuu kahtia. Ilmeisesti Dodriolla ei ole ainoita ruumiinosia, joita sillä on kolme. Se juoksee preerioilla lähes 64 km/h nopeudella.</t>
        </is>
      </c>
    </row>
    <row r="2534" ht="33.75" customHeight="1">
      <c r="A2534" s="7">
        <v>85.0</v>
      </c>
      <c r="B2534" s="9" t="s">
        <v>5204</v>
      </c>
      <c r="C2534" s="9" t="s">
        <v>5205</v>
      </c>
      <c r="D2534" s="9" t="s">
        <v>35</v>
      </c>
      <c r="E2534" s="6" t="s">
        <v>5207</v>
      </c>
      <c r="F2534" s="9"/>
    </row>
    <row r="2535" ht="33.75" customHeight="1">
      <c r="A2535" s="7">
        <v>85.0</v>
      </c>
      <c r="B2535" s="9" t="s">
        <v>5204</v>
      </c>
      <c r="C2535" s="9" t="s">
        <v>5205</v>
      </c>
      <c r="D2535" s="9" t="s">
        <v>42</v>
      </c>
      <c r="E2535" s="6" t="s">
        <v>5211</v>
      </c>
      <c r="F2535" s="9"/>
    </row>
    <row r="2536" ht="33.75" customHeight="1">
      <c r="A2536" s="7">
        <v>85.0</v>
      </c>
      <c r="B2536" s="9" t="s">
        <v>5204</v>
      </c>
      <c r="C2536" s="9" t="s">
        <v>5205</v>
      </c>
      <c r="D2536" s="9" t="s">
        <v>52</v>
      </c>
      <c r="E2536" s="6" t="s">
        <v>5214</v>
      </c>
      <c r="F2536" s="9"/>
    </row>
    <row r="2537" ht="33.75" customHeight="1">
      <c r="A2537" s="7">
        <v>85.0</v>
      </c>
      <c r="B2537" s="9" t="s">
        <v>5204</v>
      </c>
      <c r="C2537" s="9" t="s">
        <v>5205</v>
      </c>
      <c r="D2537" s="9" t="s">
        <v>59</v>
      </c>
      <c r="E2537" s="6" t="s">
        <v>5216</v>
      </c>
      <c r="F2537" s="9"/>
    </row>
    <row r="2538" ht="33.75" customHeight="1">
      <c r="A2538" s="7">
        <v>85.0</v>
      </c>
      <c r="B2538" s="9" t="s">
        <v>5204</v>
      </c>
      <c r="C2538" s="9" t="s">
        <v>5205</v>
      </c>
      <c r="D2538" s="9" t="s">
        <v>64</v>
      </c>
      <c r="E2538" s="6" t="s">
        <v>5218</v>
      </c>
      <c r="F2538" s="9"/>
    </row>
    <row r="2539" ht="33.75" customHeight="1">
      <c r="A2539" s="7">
        <v>85.0</v>
      </c>
      <c r="B2539" s="9" t="s">
        <v>5204</v>
      </c>
      <c r="C2539" s="9" t="s">
        <v>5205</v>
      </c>
      <c r="D2539" s="9" t="s">
        <v>67</v>
      </c>
      <c r="E2539" s="6" t="s">
        <v>5222</v>
      </c>
      <c r="F2539" s="9"/>
    </row>
    <row r="2540" ht="33.75" customHeight="1">
      <c r="A2540" s="7">
        <v>85.0</v>
      </c>
      <c r="B2540" s="9" t="s">
        <v>5204</v>
      </c>
      <c r="C2540" s="9" t="s">
        <v>5205</v>
      </c>
      <c r="D2540" s="9" t="s">
        <v>71</v>
      </c>
      <c r="E2540" s="6" t="s">
        <v>5224</v>
      </c>
      <c r="F2540" s="9"/>
    </row>
    <row r="2541" ht="33.75" customHeight="1">
      <c r="A2541" s="7">
        <v>85.0</v>
      </c>
      <c r="B2541" s="9" t="s">
        <v>5204</v>
      </c>
      <c r="C2541" s="9" t="s">
        <v>5205</v>
      </c>
      <c r="D2541" s="9" t="s">
        <v>73</v>
      </c>
      <c r="E2541" s="6" t="s">
        <v>5227</v>
      </c>
      <c r="F2541" s="9"/>
    </row>
    <row r="2542" ht="33.75" customHeight="1">
      <c r="A2542" s="7">
        <v>85.0</v>
      </c>
      <c r="B2542" s="9" t="s">
        <v>5204</v>
      </c>
      <c r="C2542" s="9" t="s">
        <v>5205</v>
      </c>
      <c r="D2542" s="9" t="s">
        <v>75</v>
      </c>
      <c r="E2542" s="6" t="s">
        <v>5229</v>
      </c>
      <c r="F2542" s="9"/>
    </row>
    <row r="2543" ht="33.75" customHeight="1">
      <c r="A2543" s="7">
        <v>85.0</v>
      </c>
      <c r="B2543" s="9" t="s">
        <v>5204</v>
      </c>
      <c r="C2543" s="9" t="s">
        <v>5205</v>
      </c>
      <c r="D2543" s="9" t="s">
        <v>79</v>
      </c>
      <c r="E2543" s="6" t="s">
        <v>5232</v>
      </c>
      <c r="F2543" s="9"/>
    </row>
    <row r="2544" ht="33.75" customHeight="1">
      <c r="A2544" s="7">
        <v>85.0</v>
      </c>
      <c r="B2544" s="9" t="s">
        <v>5204</v>
      </c>
      <c r="C2544" s="9" t="s">
        <v>5205</v>
      </c>
      <c r="D2544" s="9" t="s">
        <v>81</v>
      </c>
      <c r="E2544" s="6" t="s">
        <v>5235</v>
      </c>
      <c r="F2544" s="9"/>
    </row>
    <row r="2545" ht="33.75" customHeight="1">
      <c r="A2545" s="7">
        <v>85.0</v>
      </c>
      <c r="B2545" s="9" t="s">
        <v>5204</v>
      </c>
      <c r="C2545" s="9" t="s">
        <v>5205</v>
      </c>
      <c r="D2545" s="9" t="s">
        <v>84</v>
      </c>
      <c r="E2545" s="6" t="s">
        <v>5235</v>
      </c>
      <c r="F2545" s="9"/>
    </row>
    <row r="2546" ht="33.75" customHeight="1">
      <c r="A2546" s="7">
        <v>85.0</v>
      </c>
      <c r="B2546" s="9" t="s">
        <v>5204</v>
      </c>
      <c r="C2546" s="9" t="s">
        <v>5205</v>
      </c>
      <c r="D2546" s="9" t="s">
        <v>87</v>
      </c>
      <c r="E2546" s="6" t="s">
        <v>5235</v>
      </c>
      <c r="F2546" s="9"/>
    </row>
    <row r="2547" ht="33.75" customHeight="1">
      <c r="A2547" s="7">
        <v>85.0</v>
      </c>
      <c r="B2547" s="9" t="s">
        <v>5204</v>
      </c>
      <c r="C2547" s="9" t="s">
        <v>5205</v>
      </c>
      <c r="D2547" s="9" t="s">
        <v>89</v>
      </c>
      <c r="E2547" s="6" t="s">
        <v>5244</v>
      </c>
      <c r="F2547" s="9"/>
    </row>
    <row r="2548" ht="33.75" customHeight="1">
      <c r="A2548" s="7">
        <v>85.0</v>
      </c>
      <c r="B2548" s="9" t="s">
        <v>5204</v>
      </c>
      <c r="C2548" s="9" t="s">
        <v>5205</v>
      </c>
      <c r="D2548" s="9" t="s">
        <v>91</v>
      </c>
      <c r="E2548" s="6" t="s">
        <v>5216</v>
      </c>
      <c r="F2548" s="9"/>
    </row>
    <row r="2549" ht="33.75" customHeight="1">
      <c r="A2549" s="7">
        <v>85.0</v>
      </c>
      <c r="B2549" s="9" t="s">
        <v>5204</v>
      </c>
      <c r="C2549" s="9" t="s">
        <v>5205</v>
      </c>
      <c r="D2549" s="9" t="s">
        <v>93</v>
      </c>
      <c r="E2549" s="6" t="s">
        <v>5250</v>
      </c>
      <c r="F2549" s="9"/>
    </row>
    <row r="2550" ht="33.75" customHeight="1">
      <c r="A2550" s="7">
        <v>85.0</v>
      </c>
      <c r="B2550" s="9" t="s">
        <v>5204</v>
      </c>
      <c r="C2550" s="9" t="s">
        <v>5205</v>
      </c>
      <c r="D2550" s="9" t="s">
        <v>95</v>
      </c>
      <c r="E2550" s="6" t="s">
        <v>5250</v>
      </c>
      <c r="F2550" s="9"/>
    </row>
    <row r="2551" ht="33.75" customHeight="1">
      <c r="A2551" s="7">
        <v>85.0</v>
      </c>
      <c r="B2551" s="9" t="s">
        <v>5204</v>
      </c>
      <c r="C2551" s="9" t="s">
        <v>5205</v>
      </c>
      <c r="D2551" s="9" t="s">
        <v>98</v>
      </c>
      <c r="E2551" s="6" t="s">
        <v>5250</v>
      </c>
      <c r="F2551" s="9"/>
    </row>
    <row r="2552" ht="33.75" customHeight="1">
      <c r="A2552" s="7">
        <v>85.0</v>
      </c>
      <c r="B2552" s="9" t="s">
        <v>5204</v>
      </c>
      <c r="C2552" s="9" t="s">
        <v>5205</v>
      </c>
      <c r="D2552" s="9" t="s">
        <v>99</v>
      </c>
      <c r="E2552" s="6" t="s">
        <v>5250</v>
      </c>
      <c r="F2552" s="9"/>
    </row>
    <row r="2553" ht="33.75" customHeight="1">
      <c r="A2553" s="7">
        <v>85.0</v>
      </c>
      <c r="B2553" s="9" t="s">
        <v>5204</v>
      </c>
      <c r="C2553" s="9" t="s">
        <v>5205</v>
      </c>
      <c r="D2553" s="9" t="s">
        <v>101</v>
      </c>
      <c r="E2553" s="6" t="s">
        <v>5218</v>
      </c>
      <c r="F2553" s="9"/>
    </row>
    <row r="2554" ht="33.75" customHeight="1">
      <c r="A2554" s="7">
        <v>85.0</v>
      </c>
      <c r="B2554" s="9" t="s">
        <v>5204</v>
      </c>
      <c r="C2554" s="9" t="s">
        <v>5205</v>
      </c>
      <c r="D2554" s="9" t="s">
        <v>105</v>
      </c>
      <c r="E2554" s="6" t="s">
        <v>5229</v>
      </c>
      <c r="F2554" s="9"/>
    </row>
    <row r="2555" ht="33.75" customHeight="1">
      <c r="A2555" s="7">
        <v>85.0</v>
      </c>
      <c r="B2555" s="9" t="s">
        <v>5204</v>
      </c>
      <c r="C2555" s="9" t="s">
        <v>5205</v>
      </c>
      <c r="D2555" s="9" t="s">
        <v>107</v>
      </c>
      <c r="E2555" s="6" t="s">
        <v>5262</v>
      </c>
      <c r="F2555" s="9"/>
    </row>
    <row r="2556" ht="33.75" customHeight="1">
      <c r="A2556" s="7">
        <v>85.0</v>
      </c>
      <c r="B2556" s="9" t="s">
        <v>5204</v>
      </c>
      <c r="C2556" s="9" t="s">
        <v>5205</v>
      </c>
      <c r="D2556" s="9" t="s">
        <v>109</v>
      </c>
      <c r="E2556" s="6" t="s">
        <v>5264</v>
      </c>
      <c r="F2556" s="9"/>
    </row>
    <row r="2557" ht="33.75" customHeight="1">
      <c r="A2557" s="7">
        <v>85.0</v>
      </c>
      <c r="B2557" s="9" t="s">
        <v>5204</v>
      </c>
      <c r="C2557" s="9" t="s">
        <v>5205</v>
      </c>
      <c r="D2557" s="9" t="s">
        <v>111</v>
      </c>
      <c r="E2557" s="6" t="s">
        <v>5267</v>
      </c>
      <c r="F2557" s="9"/>
    </row>
    <row r="2558" ht="33.75" customHeight="1">
      <c r="A2558" s="7">
        <v>85.0</v>
      </c>
      <c r="B2558" s="9" t="s">
        <v>5204</v>
      </c>
      <c r="C2558" s="9" t="s">
        <v>5205</v>
      </c>
      <c r="D2558" s="9" t="s">
        <v>113</v>
      </c>
      <c r="E2558" s="6" t="s">
        <v>5267</v>
      </c>
      <c r="F2558" s="9"/>
    </row>
    <row r="2559" ht="33.75" customHeight="1">
      <c r="A2559" s="7">
        <v>86.0</v>
      </c>
      <c r="B2559" s="9" t="s">
        <v>5272</v>
      </c>
      <c r="C2559" s="9" t="s">
        <v>5273</v>
      </c>
      <c r="D2559" s="9" t="s">
        <v>24</v>
      </c>
      <c r="E2559" s="6" t="s">
        <v>5275</v>
      </c>
      <c r="F2559" t="inlineStr" s="10">
        <is>
          <t xml:space="preserve">Seelin päässä oleva ulkoneva sarvi on erittäin kova. Sitä käytetään paksun jään läpi murskaamiseen. Rakastaa jäätävän kylmyyttä. Nauttii uimisesta noin -14 asteen kylmässä ilmastossa. Vaikka se ei osaa kävellä hyvin maalla, se on sulava uimari. Se rakastaa erityisesti kylmiä meriä. Päivällä se usein nukkuu merenpohjassa matalassa vedessä. Sen sieraimet sulkeutuvat uinnin aikana. Vaaleansininen turkki, joka sitä peittää, suojaa sitä kylmältä. Se rakastaa jäävuorien täyttämiä valtameriä. SEEL metsästää saalista hyisessä meressä jääpeitteiden alla. Kun sen täytyy hengittää, se tekee reiän jäähän terävästi ulkonevalla päänsä osalla. SEEL metsästää saalista kylmissä, jään peittämissä merissä. Vaaleansinisen turkin peittämä, sen nahka on paksu ja kestävä. Se on aktiivinen jopa -4 celsiusasteen purevassa kylmyydessä. Sitä käytetään paksujen jäävuorten läpi murskaamiseen. Jäävuorilla elävä Pokémon. Se ui meressä käyttäen päänsä kärkeä jään rikkomiseen. Mitä kylmemmäksi tulee, sitä paremmalta se tuntuu. Se ui iloisesti valtamerissä, jotka ovat niin kylmiä, että ne ovat täynnä kelluvaa jäätä. Vaaleansinisen turkin peittämä, sen nahka on paksu ja kova. Se on aktiivinen purevassa -40 celsiusasteen pakkassa. Seelien on aina oletettu elävän vain kylmissä merissä. Niiden ilmestyminen Alolaan on mysteeri. Paksun rasvansa ansiosta kylmät meret eivät vaivaa sitä lainkaan, mutta lämpimissä vesissä se väsyy melko helposti. Nauttii uimisesta noin -5 celsiusasteen kylmässä ilmastossa.</t>
        </is>
      </c>
    </row>
    <row r="2560" ht="33.75" customHeight="1">
      <c r="A2560" s="7">
        <v>86.0</v>
      </c>
      <c r="B2560" s="9" t="s">
        <v>5272</v>
      </c>
      <c r="C2560" s="9" t="s">
        <v>5273</v>
      </c>
      <c r="D2560" s="9" t="s">
        <v>35</v>
      </c>
      <c r="E2560" s="6" t="s">
        <v>5275</v>
      </c>
      <c r="F2560" s="9"/>
    </row>
    <row r="2561" ht="33.75" customHeight="1">
      <c r="A2561" s="7">
        <v>86.0</v>
      </c>
      <c r="B2561" s="9" t="s">
        <v>5272</v>
      </c>
      <c r="C2561" s="9" t="s">
        <v>5273</v>
      </c>
      <c r="D2561" s="9" t="s">
        <v>42</v>
      </c>
      <c r="E2561" s="6" t="s">
        <v>5282</v>
      </c>
      <c r="F2561" s="9"/>
    </row>
    <row r="2562" ht="33.75" customHeight="1">
      <c r="A2562" s="7">
        <v>86.0</v>
      </c>
      <c r="B2562" s="9" t="s">
        <v>5272</v>
      </c>
      <c r="C2562" s="9" t="s">
        <v>5273</v>
      </c>
      <c r="D2562" s="9" t="s">
        <v>52</v>
      </c>
      <c r="E2562" s="6" t="s">
        <v>5287</v>
      </c>
      <c r="F2562" s="9"/>
    </row>
    <row r="2563" ht="33.75" customHeight="1">
      <c r="A2563" s="7">
        <v>86.0</v>
      </c>
      <c r="B2563" s="9" t="s">
        <v>5272</v>
      </c>
      <c r="C2563" s="9" t="s">
        <v>5273</v>
      </c>
      <c r="D2563" s="9" t="s">
        <v>59</v>
      </c>
      <c r="E2563" s="6" t="s">
        <v>5290</v>
      </c>
      <c r="F2563" s="9"/>
    </row>
    <row r="2564" ht="33.75" customHeight="1">
      <c r="A2564" s="7">
        <v>86.0</v>
      </c>
      <c r="B2564" s="9" t="s">
        <v>5272</v>
      </c>
      <c r="C2564" s="9" t="s">
        <v>5273</v>
      </c>
      <c r="D2564" s="9" t="s">
        <v>64</v>
      </c>
      <c r="E2564" s="6" t="s">
        <v>5292</v>
      </c>
      <c r="F2564" s="9"/>
    </row>
    <row r="2565" ht="33.75" customHeight="1">
      <c r="A2565" s="7">
        <v>86.0</v>
      </c>
      <c r="B2565" s="9" t="s">
        <v>5272</v>
      </c>
      <c r="C2565" s="9" t="s">
        <v>5273</v>
      </c>
      <c r="D2565" s="9" t="s">
        <v>67</v>
      </c>
      <c r="E2565" s="6" t="s">
        <v>5295</v>
      </c>
      <c r="F2565" s="9"/>
    </row>
    <row r="2566" ht="33.75" customHeight="1">
      <c r="A2566" s="7">
        <v>86.0</v>
      </c>
      <c r="B2566" s="9" t="s">
        <v>5272</v>
      </c>
      <c r="C2566" s="9" t="s">
        <v>5273</v>
      </c>
      <c r="D2566" s="9" t="s">
        <v>71</v>
      </c>
      <c r="E2566" s="6" t="s">
        <v>5295</v>
      </c>
      <c r="F2566" s="9"/>
    </row>
    <row r="2567" ht="33.75" customHeight="1">
      <c r="A2567" s="7">
        <v>86.0</v>
      </c>
      <c r="B2567" s="9" t="s">
        <v>5272</v>
      </c>
      <c r="C2567" s="9" t="s">
        <v>5273</v>
      </c>
      <c r="D2567" s="9" t="s">
        <v>73</v>
      </c>
      <c r="E2567" s="6" t="s">
        <v>5301</v>
      </c>
      <c r="F2567" s="9"/>
    </row>
    <row r="2568" ht="33.75" customHeight="1">
      <c r="A2568" s="7">
        <v>86.0</v>
      </c>
      <c r="B2568" s="9" t="s">
        <v>5272</v>
      </c>
      <c r="C2568" s="9" t="s">
        <v>5273</v>
      </c>
      <c r="D2568" s="9" t="s">
        <v>75</v>
      </c>
      <c r="E2568" s="6" t="s">
        <v>5303</v>
      </c>
      <c r="F2568" s="9"/>
    </row>
    <row r="2569" ht="33.75" customHeight="1">
      <c r="A2569" s="7">
        <v>86.0</v>
      </c>
      <c r="B2569" s="9" t="s">
        <v>5272</v>
      </c>
      <c r="C2569" s="9" t="s">
        <v>5273</v>
      </c>
      <c r="D2569" s="9" t="s">
        <v>79</v>
      </c>
      <c r="E2569" s="6" t="s">
        <v>5306</v>
      </c>
      <c r="F2569" s="9"/>
    </row>
    <row r="2570" ht="33.75" customHeight="1">
      <c r="A2570" s="7">
        <v>86.0</v>
      </c>
      <c r="B2570" s="9" t="s">
        <v>5272</v>
      </c>
      <c r="C2570" s="9" t="s">
        <v>5273</v>
      </c>
      <c r="D2570" s="9" t="s">
        <v>81</v>
      </c>
      <c r="E2570" s="6" t="s">
        <v>5308</v>
      </c>
      <c r="F2570" s="9"/>
    </row>
    <row r="2571" ht="33.75" customHeight="1">
      <c r="A2571" s="7">
        <v>86.0</v>
      </c>
      <c r="B2571" s="9" t="s">
        <v>5272</v>
      </c>
      <c r="C2571" s="9" t="s">
        <v>5273</v>
      </c>
      <c r="D2571" s="9" t="s">
        <v>84</v>
      </c>
      <c r="E2571" s="6" t="s">
        <v>5308</v>
      </c>
      <c r="F2571" s="9"/>
    </row>
    <row r="2572" ht="33.75" customHeight="1">
      <c r="A2572" s="7">
        <v>86.0</v>
      </c>
      <c r="B2572" s="9" t="s">
        <v>5272</v>
      </c>
      <c r="C2572" s="9" t="s">
        <v>5273</v>
      </c>
      <c r="D2572" s="9" t="s">
        <v>87</v>
      </c>
      <c r="E2572" s="6" t="s">
        <v>5308</v>
      </c>
      <c r="F2572" s="9"/>
    </row>
    <row r="2573" ht="33.75" customHeight="1">
      <c r="A2573" s="7">
        <v>86.0</v>
      </c>
      <c r="B2573" s="9" t="s">
        <v>5272</v>
      </c>
      <c r="C2573" s="9" t="s">
        <v>5273</v>
      </c>
      <c r="D2573" s="9" t="s">
        <v>89</v>
      </c>
      <c r="E2573" s="6" t="s">
        <v>5287</v>
      </c>
      <c r="F2573" s="9"/>
    </row>
    <row r="2574" ht="33.75" customHeight="1">
      <c r="A2574" s="7">
        <v>86.0</v>
      </c>
      <c r="B2574" s="9" t="s">
        <v>5272</v>
      </c>
      <c r="C2574" s="9" t="s">
        <v>5273</v>
      </c>
      <c r="D2574" s="9" t="s">
        <v>91</v>
      </c>
      <c r="E2574" s="6" t="s">
        <v>5290</v>
      </c>
      <c r="F2574" s="9"/>
    </row>
    <row r="2575" ht="33.75" customHeight="1">
      <c r="A2575" s="7">
        <v>86.0</v>
      </c>
      <c r="B2575" s="9" t="s">
        <v>5272</v>
      </c>
      <c r="C2575" s="9" t="s">
        <v>5273</v>
      </c>
      <c r="D2575" s="9" t="s">
        <v>93</v>
      </c>
      <c r="E2575" s="6" t="s">
        <v>5308</v>
      </c>
      <c r="F2575" s="9"/>
    </row>
    <row r="2576" ht="33.75" customHeight="1">
      <c r="A2576" s="7">
        <v>86.0</v>
      </c>
      <c r="B2576" s="9" t="s">
        <v>5272</v>
      </c>
      <c r="C2576" s="9" t="s">
        <v>5273</v>
      </c>
      <c r="D2576" s="9" t="s">
        <v>95</v>
      </c>
      <c r="E2576" s="6" t="s">
        <v>5308</v>
      </c>
      <c r="F2576" s="9"/>
    </row>
    <row r="2577" ht="33.75" customHeight="1">
      <c r="A2577" s="7">
        <v>86.0</v>
      </c>
      <c r="B2577" s="9" t="s">
        <v>5272</v>
      </c>
      <c r="C2577" s="9" t="s">
        <v>5273</v>
      </c>
      <c r="D2577" s="9" t="s">
        <v>98</v>
      </c>
      <c r="E2577" s="6" t="s">
        <v>5323</v>
      </c>
      <c r="F2577" s="9"/>
    </row>
    <row r="2578" ht="33.75" customHeight="1">
      <c r="A2578" s="7">
        <v>86.0</v>
      </c>
      <c r="B2578" s="9" t="s">
        <v>5272</v>
      </c>
      <c r="C2578" s="9" t="s">
        <v>5273</v>
      </c>
      <c r="D2578" s="9" t="s">
        <v>99</v>
      </c>
      <c r="E2578" s="6" t="s">
        <v>5323</v>
      </c>
      <c r="F2578" s="9"/>
    </row>
    <row r="2579" ht="33.75" customHeight="1">
      <c r="A2579" s="7">
        <v>86.0</v>
      </c>
      <c r="B2579" s="9" t="s">
        <v>5272</v>
      </c>
      <c r="C2579" s="9" t="s">
        <v>5273</v>
      </c>
      <c r="D2579" s="9" t="s">
        <v>101</v>
      </c>
      <c r="E2579" s="6" t="s">
        <v>5308</v>
      </c>
      <c r="F2579" s="9"/>
    </row>
    <row r="2580" ht="33.75" customHeight="1">
      <c r="A2580" s="7">
        <v>86.0</v>
      </c>
      <c r="B2580" s="9" t="s">
        <v>5272</v>
      </c>
      <c r="C2580" s="9" t="s">
        <v>5273</v>
      </c>
      <c r="D2580" s="9" t="s">
        <v>105</v>
      </c>
      <c r="E2580" s="6" t="s">
        <v>5332</v>
      </c>
      <c r="F2580" s="9"/>
    </row>
    <row r="2581" ht="33.75" customHeight="1">
      <c r="A2581" s="7">
        <v>86.0</v>
      </c>
      <c r="B2581" s="9" t="s">
        <v>5272</v>
      </c>
      <c r="C2581" s="9" t="s">
        <v>5273</v>
      </c>
      <c r="D2581" s="9" t="s">
        <v>107</v>
      </c>
      <c r="E2581" s="6" t="s">
        <v>5337</v>
      </c>
      <c r="F2581" s="9"/>
    </row>
    <row r="2582" ht="33.75" customHeight="1">
      <c r="A2582" s="7">
        <v>86.0</v>
      </c>
      <c r="B2582" s="9" t="s">
        <v>5272</v>
      </c>
      <c r="C2582" s="9" t="s">
        <v>5273</v>
      </c>
      <c r="D2582" s="9" t="s">
        <v>109</v>
      </c>
      <c r="E2582" s="6" t="s">
        <v>5337</v>
      </c>
      <c r="F2582" s="9"/>
    </row>
    <row r="2583" ht="33.75" customHeight="1">
      <c r="A2583" s="7">
        <v>86.0</v>
      </c>
      <c r="B2583" s="9" t="s">
        <v>5272</v>
      </c>
      <c r="C2583" s="9" t="s">
        <v>5273</v>
      </c>
      <c r="D2583" s="9" t="s">
        <v>647</v>
      </c>
      <c r="E2583" s="6" t="s">
        <v>5344</v>
      </c>
      <c r="F2583" s="9"/>
    </row>
    <row r="2584" ht="33.75" customHeight="1">
      <c r="A2584" s="7">
        <v>86.0</v>
      </c>
      <c r="B2584" s="9" t="s">
        <v>5272</v>
      </c>
      <c r="C2584" s="9" t="s">
        <v>5273</v>
      </c>
      <c r="D2584" s="9" t="s">
        <v>652</v>
      </c>
      <c r="E2584" s="6" t="s">
        <v>5348</v>
      </c>
      <c r="F2584" s="9"/>
    </row>
    <row r="2585" ht="33.75" customHeight="1">
      <c r="A2585" s="7">
        <v>86.0</v>
      </c>
      <c r="B2585" s="9" t="s">
        <v>5272</v>
      </c>
      <c r="C2585" s="9" t="s">
        <v>5273</v>
      </c>
      <c r="D2585" s="9" t="s">
        <v>111</v>
      </c>
      <c r="E2585" s="6" t="s">
        <v>5350</v>
      </c>
      <c r="F2585" s="9"/>
    </row>
    <row r="2586" ht="33.75" customHeight="1">
      <c r="A2586" s="7">
        <v>86.0</v>
      </c>
      <c r="B2586" s="9" t="s">
        <v>5272</v>
      </c>
      <c r="C2586" s="9" t="s">
        <v>5273</v>
      </c>
      <c r="D2586" s="9" t="s">
        <v>113</v>
      </c>
      <c r="E2586" s="6" t="s">
        <v>5350</v>
      </c>
      <c r="F2586" s="9"/>
    </row>
    <row r="2587" ht="33.75" customHeight="1">
      <c r="A2587" s="7">
        <v>87.0</v>
      </c>
      <c r="B2587" s="9" t="s">
        <v>5354</v>
      </c>
      <c r="C2587" s="9" t="s">
        <v>5273</v>
      </c>
      <c r="D2587" s="9" t="s">
        <v>24</v>
      </c>
      <c r="E2587" s="6" t="s">
        <v>5356</v>
      </c>
      <c r="F2587" t="inlineStr" s="10">
        <is>
          <t xml:space="preserve">Varastoi lämpöenergiaa kehoonsa. Ui tasaisesti 8 solmun nopeudella jopa erittäin kylmissä vesissä. Sen koko ruumis on lumivalkoinen. Se ei vahingoita itseään edes kovasta kylmyydestä ja ui voimakkaasti jäisissä vesissä. Sen virtaviivainen vartalo vastustaa vähän vedessä. Mitä kylmempi lämpötila, sitä reippaammaksi se muuttuu. Se rakastaa kylmiä meriä, joissa on jäälauttoja. Se käyttää pitkää häntäänsä uintisuunnan nopeaan vaihtamiseen. Se nukkuu päivisin matalassa meren vedessä ja etsii sitten ruokaa yöllä, kun on kylmä. DEWGONG rakastaa torkkua purevan kylmällä jäällä. Eräs merenkulkija luuli kauan sitten virheellisesti tämän jäätiköllä nukkuvan POKéMONin olevan merenneito. Se rakastaa torkkua purevan kylmällä jäällä. Sen ruumis on peitetty puhtaanvalkoisella turkilla. Mitä kylmempi sää, sitä aktiivisemmaksi se muuttuu. Se varastoi lämpöenergiaa kehoonsa. Se ui tasaisesti kahdeksan solmun nopeudella jopa erittäin kylmissä vesissä. Lumessa sen vartaloa peittävä puhtaanvalkoinen turkki suojaa sitä saalistajilta. Sen virtaviivaisella rungolla on alhainen vastus, ja se ui kylmissä valtamerissä kahdeksan solmun nopeudella. Se ui valtameren halki kahdeksan solmun nopeudella etsien Pokémoneja, joista tulisi sen saalis. Se on erityisen ihastunut Wishiwashiin. Se ottaa aurinkoa rannalla aterioiden jälkeen. Sen ruumiinlämmön nousu auttaa sen ruoansulatusta.</t>
        </is>
      </c>
    </row>
    <row r="2588" ht="33.75" customHeight="1">
      <c r="A2588" s="7">
        <v>87.0</v>
      </c>
      <c r="B2588" s="9" t="s">
        <v>5354</v>
      </c>
      <c r="C2588" s="9" t="s">
        <v>5273</v>
      </c>
      <c r="D2588" s="9" t="s">
        <v>35</v>
      </c>
      <c r="E2588" s="6" t="s">
        <v>5356</v>
      </c>
      <c r="F2588" s="9"/>
    </row>
    <row r="2589" ht="33.75" customHeight="1">
      <c r="A2589" s="7">
        <v>87.0</v>
      </c>
      <c r="B2589" s="9" t="s">
        <v>5354</v>
      </c>
      <c r="C2589" s="9" t="s">
        <v>5273</v>
      </c>
      <c r="D2589" s="9" t="s">
        <v>42</v>
      </c>
      <c r="E2589" s="6" t="s">
        <v>5360</v>
      </c>
      <c r="F2589" s="9"/>
    </row>
    <row r="2590" ht="33.75" customHeight="1">
      <c r="A2590" s="7">
        <v>87.0</v>
      </c>
      <c r="B2590" s="9" t="s">
        <v>5354</v>
      </c>
      <c r="C2590" s="9" t="s">
        <v>5273</v>
      </c>
      <c r="D2590" s="9" t="s">
        <v>52</v>
      </c>
      <c r="E2590" s="6" t="s">
        <v>5363</v>
      </c>
      <c r="F2590" s="9"/>
    </row>
    <row r="2591" ht="33.75" customHeight="1">
      <c r="A2591" s="7">
        <v>87.0</v>
      </c>
      <c r="B2591" s="9" t="s">
        <v>5354</v>
      </c>
      <c r="C2591" s="9" t="s">
        <v>5273</v>
      </c>
      <c r="D2591" s="9" t="s">
        <v>59</v>
      </c>
      <c r="E2591" s="6" t="s">
        <v>5366</v>
      </c>
      <c r="F2591" s="9"/>
    </row>
    <row r="2592" ht="33.75" customHeight="1">
      <c r="A2592" s="7">
        <v>87.0</v>
      </c>
      <c r="B2592" s="9" t="s">
        <v>5354</v>
      </c>
      <c r="C2592" s="9" t="s">
        <v>5273</v>
      </c>
      <c r="D2592" s="9" t="s">
        <v>64</v>
      </c>
      <c r="E2592" s="6" t="s">
        <v>5370</v>
      </c>
      <c r="F2592" s="9"/>
    </row>
    <row r="2593" ht="33.75" customHeight="1">
      <c r="A2593" s="7">
        <v>87.0</v>
      </c>
      <c r="B2593" s="9" t="s">
        <v>5354</v>
      </c>
      <c r="C2593" s="9" t="s">
        <v>5273</v>
      </c>
      <c r="D2593" s="9" t="s">
        <v>67</v>
      </c>
      <c r="E2593" s="6" t="s">
        <v>5375</v>
      </c>
      <c r="F2593" s="9"/>
    </row>
    <row r="2594" ht="33.75" customHeight="1">
      <c r="A2594" s="7">
        <v>87.0</v>
      </c>
      <c r="B2594" s="9" t="s">
        <v>5354</v>
      </c>
      <c r="C2594" s="9" t="s">
        <v>5273</v>
      </c>
      <c r="D2594" s="9" t="s">
        <v>71</v>
      </c>
      <c r="E2594" s="6" t="s">
        <v>5375</v>
      </c>
      <c r="F2594" s="9"/>
    </row>
    <row r="2595" ht="33.75" customHeight="1">
      <c r="A2595" s="7">
        <v>87.0</v>
      </c>
      <c r="B2595" s="9" t="s">
        <v>5354</v>
      </c>
      <c r="C2595" s="9" t="s">
        <v>5273</v>
      </c>
      <c r="D2595" s="9" t="s">
        <v>73</v>
      </c>
      <c r="E2595" s="6" t="s">
        <v>5386</v>
      </c>
      <c r="F2595" s="9"/>
    </row>
    <row r="2596" ht="33.75" customHeight="1">
      <c r="A2596" s="7">
        <v>87.0</v>
      </c>
      <c r="B2596" s="9" t="s">
        <v>5354</v>
      </c>
      <c r="C2596" s="9" t="s">
        <v>5273</v>
      </c>
      <c r="D2596" s="9" t="s">
        <v>75</v>
      </c>
      <c r="E2596" s="6" t="s">
        <v>5388</v>
      </c>
      <c r="F2596" s="9"/>
    </row>
    <row r="2597" ht="33.75" customHeight="1">
      <c r="A2597" s="7">
        <v>87.0</v>
      </c>
      <c r="B2597" s="9" t="s">
        <v>5354</v>
      </c>
      <c r="C2597" s="9" t="s">
        <v>5273</v>
      </c>
      <c r="D2597" s="9" t="s">
        <v>79</v>
      </c>
      <c r="E2597" s="6" t="s">
        <v>5390</v>
      </c>
      <c r="F2597" s="9"/>
    </row>
    <row r="2598" ht="33.75" customHeight="1">
      <c r="A2598" s="7">
        <v>87.0</v>
      </c>
      <c r="B2598" s="9" t="s">
        <v>5354</v>
      </c>
      <c r="C2598" s="9" t="s">
        <v>5273</v>
      </c>
      <c r="D2598" s="9" t="s">
        <v>81</v>
      </c>
      <c r="E2598" s="6" t="s">
        <v>5392</v>
      </c>
      <c r="F2598" s="9"/>
    </row>
    <row r="2599" ht="33.75" customHeight="1">
      <c r="A2599" s="7">
        <v>87.0</v>
      </c>
      <c r="B2599" s="9" t="s">
        <v>5354</v>
      </c>
      <c r="C2599" s="9" t="s">
        <v>5273</v>
      </c>
      <c r="D2599" s="9" t="s">
        <v>84</v>
      </c>
      <c r="E2599" s="6" t="s">
        <v>5392</v>
      </c>
      <c r="F2599" s="9"/>
    </row>
    <row r="2600" ht="33.75" customHeight="1">
      <c r="A2600" s="7">
        <v>87.0</v>
      </c>
      <c r="B2600" s="9" t="s">
        <v>5354</v>
      </c>
      <c r="C2600" s="9" t="s">
        <v>5273</v>
      </c>
      <c r="D2600" s="9" t="s">
        <v>87</v>
      </c>
      <c r="E2600" s="6" t="s">
        <v>5392</v>
      </c>
      <c r="F2600" s="9"/>
    </row>
    <row r="2601" ht="33.75" customHeight="1">
      <c r="A2601" s="7">
        <v>87.0</v>
      </c>
      <c r="B2601" s="9" t="s">
        <v>5354</v>
      </c>
      <c r="C2601" s="9" t="s">
        <v>5273</v>
      </c>
      <c r="D2601" s="9" t="s">
        <v>89</v>
      </c>
      <c r="E2601" s="6" t="s">
        <v>5363</v>
      </c>
      <c r="F2601" s="9"/>
    </row>
    <row r="2602" ht="33.75" customHeight="1">
      <c r="A2602" s="7">
        <v>87.0</v>
      </c>
      <c r="B2602" s="9" t="s">
        <v>5354</v>
      </c>
      <c r="C2602" s="9" t="s">
        <v>5273</v>
      </c>
      <c r="D2602" s="9" t="s">
        <v>91</v>
      </c>
      <c r="E2602" s="6" t="s">
        <v>5366</v>
      </c>
      <c r="F2602" s="9"/>
    </row>
    <row r="2603" ht="33.75" customHeight="1">
      <c r="A2603" s="7">
        <v>87.0</v>
      </c>
      <c r="B2603" s="9" t="s">
        <v>5354</v>
      </c>
      <c r="C2603" s="9" t="s">
        <v>5273</v>
      </c>
      <c r="D2603" s="9" t="s">
        <v>93</v>
      </c>
      <c r="E2603" s="6" t="s">
        <v>5392</v>
      </c>
      <c r="F2603" s="9"/>
    </row>
    <row r="2604" ht="33.75" customHeight="1">
      <c r="A2604" s="7">
        <v>87.0</v>
      </c>
      <c r="B2604" s="9" t="s">
        <v>5354</v>
      </c>
      <c r="C2604" s="9" t="s">
        <v>5273</v>
      </c>
      <c r="D2604" s="9" t="s">
        <v>95</v>
      </c>
      <c r="E2604" s="6" t="s">
        <v>5392</v>
      </c>
      <c r="F2604" s="9"/>
    </row>
    <row r="2605" ht="33.75" customHeight="1">
      <c r="A2605" s="7">
        <v>87.0</v>
      </c>
      <c r="B2605" s="9" t="s">
        <v>5354</v>
      </c>
      <c r="C2605" s="9" t="s">
        <v>5273</v>
      </c>
      <c r="D2605" s="9" t="s">
        <v>98</v>
      </c>
      <c r="E2605" s="6" t="s">
        <v>5403</v>
      </c>
      <c r="F2605" s="9"/>
    </row>
    <row r="2606" ht="33.75" customHeight="1">
      <c r="A2606" s="7">
        <v>87.0</v>
      </c>
      <c r="B2606" s="9" t="s">
        <v>5354</v>
      </c>
      <c r="C2606" s="9" t="s">
        <v>5273</v>
      </c>
      <c r="D2606" s="9" t="s">
        <v>99</v>
      </c>
      <c r="E2606" s="6" t="s">
        <v>5403</v>
      </c>
      <c r="F2606" s="9"/>
    </row>
    <row r="2607" ht="33.75" customHeight="1">
      <c r="A2607" s="7">
        <v>87.0</v>
      </c>
      <c r="B2607" s="9" t="s">
        <v>5354</v>
      </c>
      <c r="C2607" s="9" t="s">
        <v>5273</v>
      </c>
      <c r="D2607" s="9" t="s">
        <v>101</v>
      </c>
      <c r="E2607" s="6" t="s">
        <v>5388</v>
      </c>
      <c r="F2607" s="9"/>
    </row>
    <row r="2608" ht="33.75" customHeight="1">
      <c r="A2608" s="7">
        <v>87.0</v>
      </c>
      <c r="B2608" s="9" t="s">
        <v>5354</v>
      </c>
      <c r="C2608" s="9" t="s">
        <v>5273</v>
      </c>
      <c r="D2608" s="9" t="s">
        <v>105</v>
      </c>
      <c r="E2608" s="6" t="s">
        <v>5363</v>
      </c>
      <c r="F2608" s="9"/>
    </row>
    <row r="2609" ht="33.75" customHeight="1">
      <c r="A2609" s="7">
        <v>87.0</v>
      </c>
      <c r="B2609" s="9" t="s">
        <v>5354</v>
      </c>
      <c r="C2609" s="9" t="s">
        <v>5273</v>
      </c>
      <c r="D2609" s="9" t="s">
        <v>107</v>
      </c>
      <c r="E2609" s="6" t="s">
        <v>5414</v>
      </c>
      <c r="F2609" s="9"/>
    </row>
    <row r="2610" ht="33.75" customHeight="1">
      <c r="A2610" s="7">
        <v>87.0</v>
      </c>
      <c r="B2610" s="9" t="s">
        <v>5354</v>
      </c>
      <c r="C2610" s="9" t="s">
        <v>5273</v>
      </c>
      <c r="D2610" s="9" t="s">
        <v>109</v>
      </c>
      <c r="E2610" s="6" t="s">
        <v>5414</v>
      </c>
      <c r="F2610" s="9"/>
    </row>
    <row r="2611" ht="33.75" customHeight="1">
      <c r="A2611" s="7">
        <v>87.0</v>
      </c>
      <c r="B2611" s="9" t="s">
        <v>5354</v>
      </c>
      <c r="C2611" s="9" t="s">
        <v>5273</v>
      </c>
      <c r="D2611" s="9" t="s">
        <v>647</v>
      </c>
      <c r="E2611" s="6" t="s">
        <v>5425</v>
      </c>
      <c r="F2611" s="9"/>
    </row>
    <row r="2612" ht="33.75" customHeight="1">
      <c r="A2612" s="7">
        <v>87.0</v>
      </c>
      <c r="B2612" s="9" t="s">
        <v>5354</v>
      </c>
      <c r="C2612" s="9" t="s">
        <v>5273</v>
      </c>
      <c r="D2612" s="9" t="s">
        <v>652</v>
      </c>
      <c r="E2612" s="6" t="s">
        <v>5429</v>
      </c>
      <c r="F2612" s="9"/>
    </row>
    <row r="2613" ht="33.75" customHeight="1">
      <c r="A2613" s="7">
        <v>87.0</v>
      </c>
      <c r="B2613" s="9" t="s">
        <v>5354</v>
      </c>
      <c r="C2613" s="9" t="s">
        <v>5273</v>
      </c>
      <c r="D2613" s="9" t="s">
        <v>111</v>
      </c>
      <c r="E2613" s="6" t="s">
        <v>5360</v>
      </c>
      <c r="F2613" s="9"/>
    </row>
    <row r="2614" ht="33.75" customHeight="1">
      <c r="A2614" s="7">
        <v>87.0</v>
      </c>
      <c r="B2614" s="9" t="s">
        <v>5354</v>
      </c>
      <c r="C2614" s="9" t="s">
        <v>5273</v>
      </c>
      <c r="D2614" s="9" t="s">
        <v>113</v>
      </c>
      <c r="E2614" s="6" t="s">
        <v>5360</v>
      </c>
      <c r="F2614" s="9"/>
    </row>
    <row r="2615" ht="33.75" customHeight="1">
      <c r="A2615" s="7">
        <v>88.0</v>
      </c>
      <c r="B2615" s="9" t="s">
        <v>5436</v>
      </c>
      <c r="C2615" s="9" t="s">
        <v>5438</v>
      </c>
      <c r="D2615" s="9" t="s">
        <v>24</v>
      </c>
      <c r="E2615" s="6" t="s">
        <v>5440</v>
      </c>
      <c r="F2615" t="inlineStr" s="10">
        <is>
          <t xml:space="preserve">Esiintyy likaisilla alueilla. Viihtyy imemällä tehtaista pumpattua saastunutta lietettä. Tehty kovettuneesta lietteestä. Se haisee liian mädäntyneelle koskettavaksi. Edes rikkaruohot eivät kasva sen tielle. Liikkuessaan se menettää ruumiinsa osia, joista muodostuu uutta GRIMERiä. Tämä pahentaa sitä ympäröivää hajua. Minne tahansa GRIMER on kulkenut, jäljelle on jäänyt niin paljon bakteereja, ettei mikään kasvi enää koskaan kasva. Kun kahden tällaisen POKéMONin ruumiit yhdistyvät, syntyy uusia myrkkyjä. GRIMERin liejuinen ja kumimainen ruumis voidaan työntää mistä tahansa aukosta, olipa se kuinka pieni tahansa. Tämä POKéMON menee viemäriputkiin juodakseen likaista jätevettä. GRIMER nousi saastuneelle merenpohjalle laskeutuneesta lieteestä. Tämä POKéMON rakastaa kaikkea saastaista. Se vuotaa jatkuvasti kammottavan bakteeripitoista nestettä kaikkialta kehostaan. Meren saastuneesta lietteestä syntyneiden GRIMERien lempiruoka on kaikki likainen. Ne syövät tehtaiden pumppaamasta jätevedestä. Kuun röntgensäteille altistunut liete muuttui GRIMERiksi. Se rakastaa likaisten asioiden syömistä. Se viihtyy imemällä tehtaista pumpattua saastunutta lietettä. Se syntyi, kun likaisen puron liete altistettiin kuun röntgensäteille. Se näkyy saastan joukossa. Liikkuessaan se menettää osia ruumiistaan, joista muodostuu uutta GRIMERiä. Lietteestä syntyneet Pokémonit kerääntyvät nyt saastuneisiin paikkoihin ja lisäävät bakteerien määrää kehossaan. Grimerin mudun ja kumin kaltainen ruumis voidaan työntää mistä tahansa aukosta, olipa se kuinka pieni tahansa. Sen tärkein ravinnonlähde on tehtaiden limaiset teollisuusjätteet. Tämän Pokémonin määrä on vähentynyt viime vuosina. Se syntyi lietteestä, joka muuttui altistuttuaan kuun röntgensäteille. Kun sen sisäinen bakteerikuorma vähenee, se kuolee. Se syntyi merenpohjan lieteestä. Steriilissä ympäristössä sen kehon bakteerit eivät voi lisääntyä, ja se kuolee. Tehtaiden jätevedet ovat nykyään puhtaita, joten grimereillä ei ole mitään syötävää. Niiden sanotaan olevan sukupuuton partaalla. Tehty jähmettyneestä lietteestä.</t>
        </is>
      </c>
    </row>
    <row r="2616" ht="33.75" customHeight="1">
      <c r="A2616" s="7">
        <v>88.0</v>
      </c>
      <c r="B2616" s="9" t="s">
        <v>5436</v>
      </c>
      <c r="C2616" s="9" t="s">
        <v>5438</v>
      </c>
      <c r="D2616" s="9" t="s">
        <v>35</v>
      </c>
      <c r="E2616" s="6" t="s">
        <v>5440</v>
      </c>
      <c r="F2616" s="9"/>
    </row>
    <row r="2617" ht="33.75" customHeight="1">
      <c r="A2617" s="7">
        <v>88.0</v>
      </c>
      <c r="B2617" s="9" t="s">
        <v>5436</v>
      </c>
      <c r="C2617" s="9" t="s">
        <v>5438</v>
      </c>
      <c r="D2617" s="9" t="s">
        <v>42</v>
      </c>
      <c r="E2617" s="6" t="s">
        <v>5448</v>
      </c>
      <c r="F2617" s="9"/>
    </row>
    <row r="2618" ht="33.75" customHeight="1">
      <c r="A2618" s="7">
        <v>88.0</v>
      </c>
      <c r="B2618" s="9" t="s">
        <v>5436</v>
      </c>
      <c r="C2618" s="9" t="s">
        <v>5438</v>
      </c>
      <c r="D2618" s="9" t="s">
        <v>52</v>
      </c>
      <c r="E2618" s="6" t="s">
        <v>5452</v>
      </c>
      <c r="F2618" s="9"/>
    </row>
    <row r="2619" ht="33.75" customHeight="1">
      <c r="A2619" s="7">
        <v>88.0</v>
      </c>
      <c r="B2619" s="9" t="s">
        <v>5436</v>
      </c>
      <c r="C2619" s="9" t="s">
        <v>5438</v>
      </c>
      <c r="D2619" s="9" t="s">
        <v>59</v>
      </c>
      <c r="E2619" s="6" t="s">
        <v>5455</v>
      </c>
      <c r="F2619" s="9"/>
    </row>
    <row r="2620" ht="33.75" customHeight="1">
      <c r="A2620" s="7">
        <v>88.0</v>
      </c>
      <c r="B2620" s="9" t="s">
        <v>5436</v>
      </c>
      <c r="C2620" s="9" t="s">
        <v>5438</v>
      </c>
      <c r="D2620" s="9" t="s">
        <v>64</v>
      </c>
      <c r="E2620" s="6" t="s">
        <v>5457</v>
      </c>
      <c r="F2620" s="9"/>
    </row>
    <row r="2621" ht="33.75" customHeight="1">
      <c r="A2621" s="7">
        <v>88.0</v>
      </c>
      <c r="B2621" s="9" t="s">
        <v>5436</v>
      </c>
      <c r="C2621" s="9" t="s">
        <v>5438</v>
      </c>
      <c r="D2621" s="9" t="s">
        <v>67</v>
      </c>
      <c r="E2621" s="6" t="s">
        <v>5459</v>
      </c>
      <c r="F2621" s="9"/>
    </row>
    <row r="2622" ht="33.75" customHeight="1">
      <c r="A2622" s="7">
        <v>88.0</v>
      </c>
      <c r="B2622" s="9" t="s">
        <v>5436</v>
      </c>
      <c r="C2622" s="9" t="s">
        <v>5438</v>
      </c>
      <c r="D2622" s="9" t="s">
        <v>71</v>
      </c>
      <c r="E2622" s="6" t="s">
        <v>5462</v>
      </c>
      <c r="F2622" s="9"/>
    </row>
    <row r="2623" ht="33.75" customHeight="1">
      <c r="A2623" s="7">
        <v>88.0</v>
      </c>
      <c r="B2623" s="9" t="s">
        <v>5436</v>
      </c>
      <c r="C2623" s="9" t="s">
        <v>5438</v>
      </c>
      <c r="D2623" s="9" t="s">
        <v>73</v>
      </c>
      <c r="E2623" s="6" t="s">
        <v>5467</v>
      </c>
      <c r="F2623" s="9"/>
    </row>
    <row r="2624" ht="33.75" customHeight="1">
      <c r="A2624" s="7">
        <v>88.0</v>
      </c>
      <c r="B2624" s="9" t="s">
        <v>5436</v>
      </c>
      <c r="C2624" s="9" t="s">
        <v>5438</v>
      </c>
      <c r="D2624" s="9" t="s">
        <v>75</v>
      </c>
      <c r="E2624" s="6" t="s">
        <v>5469</v>
      </c>
      <c r="F2624" s="9"/>
    </row>
    <row r="2625" ht="33.75" customHeight="1">
      <c r="A2625" s="7">
        <v>88.0</v>
      </c>
      <c r="B2625" s="9" t="s">
        <v>5436</v>
      </c>
      <c r="C2625" s="9" t="s">
        <v>5438</v>
      </c>
      <c r="D2625" s="9" t="s">
        <v>79</v>
      </c>
      <c r="E2625" s="6" t="s">
        <v>5472</v>
      </c>
      <c r="F2625" s="9"/>
    </row>
    <row r="2626" ht="33.75" customHeight="1">
      <c r="A2626" s="7">
        <v>88.0</v>
      </c>
      <c r="B2626" s="9" t="s">
        <v>5436</v>
      </c>
      <c r="C2626" s="9" t="s">
        <v>5438</v>
      </c>
      <c r="D2626" s="9" t="s">
        <v>81</v>
      </c>
      <c r="E2626" s="6" t="s">
        <v>5478</v>
      </c>
      <c r="F2626" s="9"/>
    </row>
    <row r="2627" ht="33.75" customHeight="1">
      <c r="A2627" s="7">
        <v>88.0</v>
      </c>
      <c r="B2627" s="9" t="s">
        <v>5436</v>
      </c>
      <c r="C2627" s="9" t="s">
        <v>5438</v>
      </c>
      <c r="D2627" s="9" t="s">
        <v>84</v>
      </c>
      <c r="E2627" s="6" t="s">
        <v>5478</v>
      </c>
      <c r="F2627" s="9"/>
    </row>
    <row r="2628" ht="33.75" customHeight="1">
      <c r="A2628" s="7">
        <v>88.0</v>
      </c>
      <c r="B2628" s="9" t="s">
        <v>5436</v>
      </c>
      <c r="C2628" s="9" t="s">
        <v>5438</v>
      </c>
      <c r="D2628" s="9" t="s">
        <v>87</v>
      </c>
      <c r="E2628" s="6" t="s">
        <v>5478</v>
      </c>
      <c r="F2628" s="9"/>
    </row>
    <row r="2629" ht="33.75" customHeight="1">
      <c r="A2629" s="7">
        <v>88.0</v>
      </c>
      <c r="B2629" s="9" t="s">
        <v>5436</v>
      </c>
      <c r="C2629" s="9" t="s">
        <v>5438</v>
      </c>
      <c r="D2629" s="9" t="s">
        <v>89</v>
      </c>
      <c r="E2629" s="6" t="s">
        <v>5485</v>
      </c>
      <c r="F2629" s="9"/>
    </row>
    <row r="2630" ht="33.75" customHeight="1">
      <c r="A2630" s="7">
        <v>88.0</v>
      </c>
      <c r="B2630" s="9" t="s">
        <v>5436</v>
      </c>
      <c r="C2630" s="9" t="s">
        <v>5438</v>
      </c>
      <c r="D2630" s="9" t="s">
        <v>91</v>
      </c>
      <c r="E2630" s="6" t="s">
        <v>5455</v>
      </c>
      <c r="F2630" s="9"/>
    </row>
    <row r="2631" ht="33.75" customHeight="1">
      <c r="A2631" s="7">
        <v>88.0</v>
      </c>
      <c r="B2631" s="9" t="s">
        <v>5436</v>
      </c>
      <c r="C2631" s="9" t="s">
        <v>5438</v>
      </c>
      <c r="D2631" s="9" t="s">
        <v>93</v>
      </c>
      <c r="E2631" s="6" t="s">
        <v>5478</v>
      </c>
      <c r="F2631" s="9"/>
    </row>
    <row r="2632" ht="33.75" customHeight="1">
      <c r="A2632" s="7">
        <v>88.0</v>
      </c>
      <c r="B2632" s="9" t="s">
        <v>5436</v>
      </c>
      <c r="C2632" s="9" t="s">
        <v>5438</v>
      </c>
      <c r="D2632" s="9" t="s">
        <v>95</v>
      </c>
      <c r="E2632" s="6" t="s">
        <v>5478</v>
      </c>
      <c r="F2632" s="9"/>
    </row>
    <row r="2633" ht="33.75" customHeight="1">
      <c r="A2633" s="7">
        <v>88.0</v>
      </c>
      <c r="B2633" s="9" t="s">
        <v>5436</v>
      </c>
      <c r="C2633" s="9" t="s">
        <v>5438</v>
      </c>
      <c r="D2633" s="9" t="s">
        <v>98</v>
      </c>
      <c r="E2633" s="6" t="s">
        <v>5493</v>
      </c>
      <c r="F2633" s="9"/>
    </row>
    <row r="2634" ht="33.75" customHeight="1">
      <c r="A2634" s="7">
        <v>88.0</v>
      </c>
      <c r="B2634" s="9" t="s">
        <v>5436</v>
      </c>
      <c r="C2634" s="9" t="s">
        <v>5438</v>
      </c>
      <c r="D2634" s="9" t="s">
        <v>99</v>
      </c>
      <c r="E2634" s="6" t="s">
        <v>5493</v>
      </c>
      <c r="F2634" s="9"/>
    </row>
    <row r="2635" ht="33.75" customHeight="1">
      <c r="A2635" s="7">
        <v>88.0</v>
      </c>
      <c r="B2635" s="9" t="s">
        <v>5436</v>
      </c>
      <c r="C2635" s="9" t="s">
        <v>5438</v>
      </c>
      <c r="D2635" s="9" t="s">
        <v>101</v>
      </c>
      <c r="E2635" s="6" t="s">
        <v>5497</v>
      </c>
      <c r="F2635" s="9"/>
    </row>
    <row r="2636" ht="33.75" customHeight="1">
      <c r="A2636" s="7">
        <v>88.0</v>
      </c>
      <c r="B2636" s="9" t="s">
        <v>5436</v>
      </c>
      <c r="C2636" s="9" t="s">
        <v>5438</v>
      </c>
      <c r="D2636" s="9" t="s">
        <v>105</v>
      </c>
      <c r="E2636" s="6" t="s">
        <v>5472</v>
      </c>
      <c r="F2636" s="9"/>
    </row>
    <row r="2637" ht="33.75" customHeight="1">
      <c r="A2637" s="7">
        <v>88.0</v>
      </c>
      <c r="B2637" s="9" t="s">
        <v>5436</v>
      </c>
      <c r="C2637" s="9" t="s">
        <v>5438</v>
      </c>
      <c r="D2637" s="9" t="s">
        <v>107</v>
      </c>
      <c r="E2637" s="6" t="s">
        <v>5501</v>
      </c>
      <c r="F2637" s="9"/>
    </row>
    <row r="2638" ht="33.75" customHeight="1">
      <c r="A2638" s="7">
        <v>88.0</v>
      </c>
      <c r="B2638" s="9" t="s">
        <v>5436</v>
      </c>
      <c r="C2638" s="9" t="s">
        <v>5438</v>
      </c>
      <c r="D2638" s="9" t="s">
        <v>109</v>
      </c>
      <c r="E2638" s="6" t="s">
        <v>5503</v>
      </c>
      <c r="F2638" s="9"/>
    </row>
    <row r="2639" ht="33.75" customHeight="1">
      <c r="A2639" s="7">
        <v>88.0</v>
      </c>
      <c r="B2639" s="9" t="s">
        <v>5436</v>
      </c>
      <c r="C2639" s="9" t="s">
        <v>5438</v>
      </c>
      <c r="D2639" s="9" t="s">
        <v>637</v>
      </c>
      <c r="E2639" s="6" t="s">
        <v>5505</v>
      </c>
      <c r="F2639" s="9"/>
    </row>
    <row r="2640" ht="33.75" customHeight="1">
      <c r="A2640" s="7">
        <v>88.0</v>
      </c>
      <c r="B2640" s="9" t="s">
        <v>5436</v>
      </c>
      <c r="C2640" s="9" t="s">
        <v>5438</v>
      </c>
      <c r="D2640" s="9" t="s">
        <v>642</v>
      </c>
      <c r="E2640" s="6" t="s">
        <v>5508</v>
      </c>
      <c r="F2640" s="9"/>
    </row>
    <row r="2641" ht="33.75" customHeight="1">
      <c r="A2641" s="7">
        <v>88.0</v>
      </c>
      <c r="B2641" s="9" t="s">
        <v>5436</v>
      </c>
      <c r="C2641" s="9" t="s">
        <v>5438</v>
      </c>
      <c r="D2641" s="9" t="s">
        <v>647</v>
      </c>
      <c r="E2641" s="6" t="s">
        <v>5510</v>
      </c>
      <c r="F2641" s="9"/>
    </row>
    <row r="2642" ht="33.75" customHeight="1">
      <c r="A2642" s="7">
        <v>88.0</v>
      </c>
      <c r="B2642" s="9" t="s">
        <v>5436</v>
      </c>
      <c r="C2642" s="9" t="s">
        <v>5438</v>
      </c>
      <c r="D2642" s="9" t="s">
        <v>652</v>
      </c>
      <c r="E2642" s="6" t="s">
        <v>5512</v>
      </c>
      <c r="F2642" s="9"/>
    </row>
    <row r="2643" ht="33.75" customHeight="1">
      <c r="A2643" s="7">
        <v>88.0</v>
      </c>
      <c r="B2643" s="9" t="s">
        <v>5436</v>
      </c>
      <c r="C2643" s="9" t="s">
        <v>5438</v>
      </c>
      <c r="D2643" s="9" t="s">
        <v>111</v>
      </c>
      <c r="E2643" s="6" t="s">
        <v>5514</v>
      </c>
      <c r="F2643" s="9"/>
    </row>
    <row r="2644" ht="33.75" customHeight="1">
      <c r="A2644" s="7">
        <v>88.0</v>
      </c>
      <c r="B2644" s="9" t="s">
        <v>5436</v>
      </c>
      <c r="C2644" s="9" t="s">
        <v>5438</v>
      </c>
      <c r="D2644" s="9" t="s">
        <v>113</v>
      </c>
      <c r="E2644" s="6" t="s">
        <v>5514</v>
      </c>
      <c r="F2644" s="9"/>
    </row>
    <row r="2645" ht="33.75" customHeight="1">
      <c r="A2645" s="7">
        <v>89.0</v>
      </c>
      <c r="B2645" s="9" t="s">
        <v>5518</v>
      </c>
      <c r="C2645" s="9" t="s">
        <v>5438</v>
      </c>
      <c r="D2645" s="9" t="s">
        <v>24</v>
      </c>
      <c r="E2645" s="6" t="s">
        <v>5520</v>
      </c>
      <c r="F2645" t="inlineStr" s="10">
        <is>
          <t xml:space="preserve">Paksusti likaisen, iljettävän lietteen peitossa. Se on niin myrkyllistä, että jopa sen jalanjäljet ​​sisältävät myrkkyä. Se haisee niin kamalalta, että se voi aiheuttaa pyörtymisen. Se menetti rappeutumisen vuoksi hajuaistinsa. Ne rakastavat kokoontua haiseville alueille, joissa lietettä kertyy ja pahentaa ympärillä olevaa hajua. Sen ruumis on tehty voimakkaasta myrkystä. Sen vahingossa koskettaminen aiheuttaa kuumetta, joka vaatii vuodelepoa. Sen liikkuessa siitä vuotaa erittäin voimakasta myrkkyä, joka tekee maan karuksi kolmeksi vuodeksi. MUKin ruumiista tihkuu iljettävää nestettä, joka löyhkää nenää koukistavasti. Jopa yksi pisara tämän POKéMONin ruumiinnestettä voi muuttaa altaan seisovaksi ja härskiintyneeksi. Tämän POKéMONin lempiruoka on kaikki vastenmielisen likainen. Likaisissa kaupungeissa, joissa ihmiset eivät välitä heittää roskia kaduille, MUKit kokoontuvat varmasti. Se viihtyy lämpimissä ja kosteissa elinympäristöissä. Kesällä sen elimistössä olevat myrkylliset aineet voimistuvat, minkä seurauksena MUK haisee mädäntyneeltä keittiöjätteeltä. Se on yleensä huomaamaton, koska se sulautuu maahan. Sen koskettaminen voi aiheuttaa vakavan myrkytyksen. Sen kehosta vuotaa myrkyllistä nestettä. Neste tappaa kasvit ja puut välittömästi joutuessaan kosketuksiin sen kanssa. Ne rakastavat kokoontua haiseville alueille, joille kertyy lietettä, mikä pahentaa niiden ympärillä olevaa hajua. Sen vahingossa tapahtuva koskettaminen aiheuttaa kuumetta, joka vaatii vuodelepoon ryhtymistä. Se on niin pahalle haisevaa! Mukin keho sisältää myrkyllisiä alkuaineita, ja mikä tahansa kasvi kuihtuu sen ohi kulkiessa. Jopa yksi pisara tämän Pokémonin ruumiinnestettä voi muuttaa lammen seisovaksi ja härskiintyneeksi. Sen levittämä haju saa nenän rypistymään. Silti on Muk-faneja, jotka ajattelevat, että se on hyvä asia. Viimeaikaisten ympäristöparannusten jälkeen tätä Pokémonia ei juurikaan nähdä. Ihmiset arvelevat, että se saattaa kuolla sukupuuttoon jossain vaiheessa. Niiden ravinnonlähteet ovat vähentyneet ja niiden määrä on vähentynyt jyrkästi. Lietealtaita rakennetaan niiden sukupuuton estämiseksi. Koska ne levittävät bakteereja kaikkialle, ne ovat pitkään olleet tuhoamisen kohteena, mikä on johtanut niiden populaation jyrkkään vähenemiseen. Nenänsä rappeutumisen vuoksi se menetti hajuaistinsa.</t>
        </is>
      </c>
    </row>
    <row r="2646" ht="33.75" customHeight="1">
      <c r="A2646" s="7">
        <v>89.0</v>
      </c>
      <c r="B2646" s="9" t="s">
        <v>5518</v>
      </c>
      <c r="C2646" s="9" t="s">
        <v>5438</v>
      </c>
      <c r="D2646" s="9" t="s">
        <v>35</v>
      </c>
      <c r="E2646" s="6" t="s">
        <v>5520</v>
      </c>
      <c r="F2646" s="9"/>
    </row>
    <row r="2647" ht="33.75" customHeight="1">
      <c r="A2647" s="7">
        <v>89.0</v>
      </c>
      <c r="B2647" s="9" t="s">
        <v>5518</v>
      </c>
      <c r="C2647" s="9" t="s">
        <v>5438</v>
      </c>
      <c r="D2647" s="9" t="s">
        <v>42</v>
      </c>
      <c r="E2647" s="6" t="s">
        <v>5525</v>
      </c>
      <c r="F2647" s="9"/>
    </row>
    <row r="2648" ht="33.75" customHeight="1">
      <c r="A2648" s="7">
        <v>89.0</v>
      </c>
      <c r="B2648" s="9" t="s">
        <v>5518</v>
      </c>
      <c r="C2648" s="9" t="s">
        <v>5438</v>
      </c>
      <c r="D2648" s="9" t="s">
        <v>52</v>
      </c>
      <c r="E2648" s="6" t="s">
        <v>5528</v>
      </c>
      <c r="F2648" s="9"/>
    </row>
    <row r="2649" ht="33.75" customHeight="1">
      <c r="A2649" s="7">
        <v>89.0</v>
      </c>
      <c r="B2649" s="9" t="s">
        <v>5518</v>
      </c>
      <c r="C2649" s="9" t="s">
        <v>5438</v>
      </c>
      <c r="D2649" s="9" t="s">
        <v>59</v>
      </c>
      <c r="E2649" s="6" t="s">
        <v>5532</v>
      </c>
      <c r="F2649" s="9"/>
    </row>
    <row r="2650" ht="33.75" customHeight="1">
      <c r="A2650" s="7">
        <v>89.0</v>
      </c>
      <c r="B2650" s="9" t="s">
        <v>5518</v>
      </c>
      <c r="C2650" s="9" t="s">
        <v>5438</v>
      </c>
      <c r="D2650" s="9" t="s">
        <v>64</v>
      </c>
      <c r="E2650" s="6" t="s">
        <v>5536</v>
      </c>
      <c r="F2650" s="9"/>
    </row>
    <row r="2651" ht="33.75" customHeight="1">
      <c r="A2651" s="7">
        <v>89.0</v>
      </c>
      <c r="B2651" s="9" t="s">
        <v>5518</v>
      </c>
      <c r="C2651" s="9" t="s">
        <v>5438</v>
      </c>
      <c r="D2651" s="9" t="s">
        <v>67</v>
      </c>
      <c r="E2651" s="6" t="s">
        <v>5540</v>
      </c>
      <c r="F2651" s="9"/>
    </row>
    <row r="2652" ht="33.75" customHeight="1">
      <c r="A2652" s="7">
        <v>89.0</v>
      </c>
      <c r="B2652" s="9" t="s">
        <v>5518</v>
      </c>
      <c r="C2652" s="9" t="s">
        <v>5438</v>
      </c>
      <c r="D2652" s="9" t="s">
        <v>71</v>
      </c>
      <c r="E2652" s="6" t="s">
        <v>5543</v>
      </c>
      <c r="F2652" s="9"/>
    </row>
    <row r="2653" ht="33.75" customHeight="1">
      <c r="A2653" s="7">
        <v>89.0</v>
      </c>
      <c r="B2653" s="9" t="s">
        <v>5518</v>
      </c>
      <c r="C2653" s="9" t="s">
        <v>5438</v>
      </c>
      <c r="D2653" s="9" t="s">
        <v>73</v>
      </c>
      <c r="E2653" s="6" t="s">
        <v>5546</v>
      </c>
      <c r="F2653" s="9"/>
    </row>
    <row r="2654" ht="33.75" customHeight="1">
      <c r="A2654" s="7">
        <v>89.0</v>
      </c>
      <c r="B2654" s="9" t="s">
        <v>5518</v>
      </c>
      <c r="C2654" s="9" t="s">
        <v>5438</v>
      </c>
      <c r="D2654" s="9" t="s">
        <v>75</v>
      </c>
      <c r="E2654" s="6" t="s">
        <v>5549</v>
      </c>
      <c r="F2654" s="9"/>
    </row>
    <row r="2655" ht="33.75" customHeight="1">
      <c r="A2655" s="7">
        <v>89.0</v>
      </c>
      <c r="B2655" s="9" t="s">
        <v>5518</v>
      </c>
      <c r="C2655" s="9" t="s">
        <v>5438</v>
      </c>
      <c r="D2655" s="9" t="s">
        <v>79</v>
      </c>
      <c r="E2655" s="6" t="s">
        <v>5520</v>
      </c>
      <c r="F2655" s="9"/>
    </row>
    <row r="2656" ht="33.75" customHeight="1">
      <c r="A2656" s="7">
        <v>89.0</v>
      </c>
      <c r="B2656" s="9" t="s">
        <v>5518</v>
      </c>
      <c r="C2656" s="9" t="s">
        <v>5438</v>
      </c>
      <c r="D2656" s="9" t="s">
        <v>81</v>
      </c>
      <c r="E2656" s="6" t="s">
        <v>5552</v>
      </c>
      <c r="F2656" s="9"/>
    </row>
    <row r="2657" ht="33.75" customHeight="1">
      <c r="A2657" s="7">
        <v>89.0</v>
      </c>
      <c r="B2657" s="9" t="s">
        <v>5518</v>
      </c>
      <c r="C2657" s="9" t="s">
        <v>5438</v>
      </c>
      <c r="D2657" s="9" t="s">
        <v>84</v>
      </c>
      <c r="E2657" s="6" t="s">
        <v>5552</v>
      </c>
      <c r="F2657" s="9"/>
    </row>
    <row r="2658" ht="33.75" customHeight="1">
      <c r="A2658" s="7">
        <v>89.0</v>
      </c>
      <c r="B2658" s="9" t="s">
        <v>5518</v>
      </c>
      <c r="C2658" s="9" t="s">
        <v>5438</v>
      </c>
      <c r="D2658" s="9" t="s">
        <v>87</v>
      </c>
      <c r="E2658" s="6" t="s">
        <v>5552</v>
      </c>
      <c r="F2658" s="9"/>
    </row>
    <row r="2659" ht="33.75" customHeight="1">
      <c r="A2659" s="7">
        <v>89.0</v>
      </c>
      <c r="B2659" s="9" t="s">
        <v>5518</v>
      </c>
      <c r="C2659" s="9" t="s">
        <v>5438</v>
      </c>
      <c r="D2659" s="9" t="s">
        <v>89</v>
      </c>
      <c r="E2659" s="6" t="s">
        <v>5556</v>
      </c>
      <c r="F2659" s="9"/>
    </row>
    <row r="2660" ht="33.75" customHeight="1">
      <c r="A2660" s="7">
        <v>89.0</v>
      </c>
      <c r="B2660" s="9" t="s">
        <v>5518</v>
      </c>
      <c r="C2660" s="9" t="s">
        <v>5438</v>
      </c>
      <c r="D2660" s="9" t="s">
        <v>91</v>
      </c>
      <c r="E2660" s="6" t="s">
        <v>5558</v>
      </c>
      <c r="F2660" s="9"/>
    </row>
    <row r="2661" ht="33.75" customHeight="1">
      <c r="A2661" s="7">
        <v>89.0</v>
      </c>
      <c r="B2661" s="9" t="s">
        <v>5518</v>
      </c>
      <c r="C2661" s="9" t="s">
        <v>5438</v>
      </c>
      <c r="D2661" s="9" t="s">
        <v>93</v>
      </c>
      <c r="E2661" s="6" t="s">
        <v>5552</v>
      </c>
      <c r="F2661" s="9"/>
    </row>
    <row r="2662" ht="33.75" customHeight="1">
      <c r="A2662" s="7">
        <v>89.0</v>
      </c>
      <c r="B2662" s="9" t="s">
        <v>5518</v>
      </c>
      <c r="C2662" s="9" t="s">
        <v>5438</v>
      </c>
      <c r="D2662" s="9" t="s">
        <v>95</v>
      </c>
      <c r="E2662" s="6" t="s">
        <v>5552</v>
      </c>
      <c r="F2662" s="9"/>
    </row>
    <row r="2663" ht="33.75" customHeight="1">
      <c r="A2663" s="7">
        <v>89.0</v>
      </c>
      <c r="B2663" s="9" t="s">
        <v>5518</v>
      </c>
      <c r="C2663" s="9" t="s">
        <v>5438</v>
      </c>
      <c r="D2663" s="9" t="s">
        <v>98</v>
      </c>
      <c r="E2663" s="6" t="s">
        <v>5564</v>
      </c>
      <c r="F2663" s="9"/>
    </row>
    <row r="2664" ht="33.75" customHeight="1">
      <c r="A2664" s="7">
        <v>89.0</v>
      </c>
      <c r="B2664" s="9" t="s">
        <v>5518</v>
      </c>
      <c r="C2664" s="9" t="s">
        <v>5438</v>
      </c>
      <c r="D2664" s="9" t="s">
        <v>99</v>
      </c>
      <c r="E2664" s="6" t="s">
        <v>5564</v>
      </c>
      <c r="F2664" s="9"/>
    </row>
    <row r="2665" ht="33.75" customHeight="1">
      <c r="A2665" s="7">
        <v>89.0</v>
      </c>
      <c r="B2665" s="9" t="s">
        <v>5518</v>
      </c>
      <c r="C2665" s="9" t="s">
        <v>5438</v>
      </c>
      <c r="D2665" s="9" t="s">
        <v>101</v>
      </c>
      <c r="E2665" s="6" t="s">
        <v>5556</v>
      </c>
      <c r="F2665" s="9"/>
    </row>
    <row r="2666" ht="33.75" customHeight="1">
      <c r="A2666" s="7">
        <v>89.0</v>
      </c>
      <c r="B2666" s="9" t="s">
        <v>5518</v>
      </c>
      <c r="C2666" s="9" t="s">
        <v>5438</v>
      </c>
      <c r="D2666" s="9" t="s">
        <v>105</v>
      </c>
      <c r="E2666" s="6" t="s">
        <v>5552</v>
      </c>
      <c r="F2666" s="9"/>
    </row>
    <row r="2667" ht="33.75" customHeight="1">
      <c r="A2667" s="7">
        <v>89.0</v>
      </c>
      <c r="B2667" s="9" t="s">
        <v>5518</v>
      </c>
      <c r="C2667" s="9" t="s">
        <v>5438</v>
      </c>
      <c r="D2667" s="9" t="s">
        <v>107</v>
      </c>
      <c r="E2667" s="6" t="s">
        <v>5572</v>
      </c>
      <c r="F2667" s="9"/>
    </row>
    <row r="2668" ht="33.75" customHeight="1">
      <c r="A2668" s="7">
        <v>89.0</v>
      </c>
      <c r="B2668" s="9" t="s">
        <v>5518</v>
      </c>
      <c r="C2668" s="9" t="s">
        <v>5438</v>
      </c>
      <c r="D2668" s="9" t="s">
        <v>109</v>
      </c>
      <c r="E2668" s="6" t="s">
        <v>5574</v>
      </c>
      <c r="F2668" s="9"/>
    </row>
    <row r="2669" ht="33.75" customHeight="1">
      <c r="A2669" s="7">
        <v>89.0</v>
      </c>
      <c r="B2669" s="9" t="s">
        <v>5518</v>
      </c>
      <c r="C2669" s="9" t="s">
        <v>5438</v>
      </c>
      <c r="D2669" s="9" t="s">
        <v>637</v>
      </c>
      <c r="E2669" s="6" t="s">
        <v>5577</v>
      </c>
      <c r="F2669" s="9"/>
    </row>
    <row r="2670" ht="33.75" customHeight="1">
      <c r="A2670" s="7">
        <v>89.0</v>
      </c>
      <c r="B2670" s="9" t="s">
        <v>5518</v>
      </c>
      <c r="C2670" s="9" t="s">
        <v>5438</v>
      </c>
      <c r="D2670" s="9" t="s">
        <v>642</v>
      </c>
      <c r="E2670" s="6" t="s">
        <v>5579</v>
      </c>
      <c r="F2670" s="9"/>
    </row>
    <row r="2671" ht="33.75" customHeight="1">
      <c r="A2671" s="7">
        <v>89.0</v>
      </c>
      <c r="B2671" s="9" t="s">
        <v>5518</v>
      </c>
      <c r="C2671" s="9" t="s">
        <v>5438</v>
      </c>
      <c r="D2671" s="9" t="s">
        <v>647</v>
      </c>
      <c r="E2671" s="6" t="s">
        <v>5581</v>
      </c>
      <c r="F2671" s="9"/>
    </row>
    <row r="2672" ht="33.75" customHeight="1">
      <c r="A2672" s="7">
        <v>89.0</v>
      </c>
      <c r="B2672" s="9" t="s">
        <v>5518</v>
      </c>
      <c r="C2672" s="9" t="s">
        <v>5438</v>
      </c>
      <c r="D2672" s="9" t="s">
        <v>652</v>
      </c>
      <c r="E2672" s="6" t="s">
        <v>5582</v>
      </c>
      <c r="F2672" s="9"/>
    </row>
    <row r="2673" ht="33.75" customHeight="1">
      <c r="A2673" s="7">
        <v>89.0</v>
      </c>
      <c r="B2673" s="9" t="s">
        <v>5518</v>
      </c>
      <c r="C2673" s="9" t="s">
        <v>5438</v>
      </c>
      <c r="D2673" s="9" t="s">
        <v>111</v>
      </c>
      <c r="E2673" s="6" t="s">
        <v>5584</v>
      </c>
      <c r="F2673" s="9"/>
    </row>
    <row r="2674" ht="33.75" customHeight="1">
      <c r="A2674" s="7">
        <v>89.0</v>
      </c>
      <c r="B2674" s="9" t="s">
        <v>5518</v>
      </c>
      <c r="C2674" s="9" t="s">
        <v>5438</v>
      </c>
      <c r="D2674" s="9" t="s">
        <v>113</v>
      </c>
      <c r="E2674" s="6" t="s">
        <v>5584</v>
      </c>
      <c r="F2674" s="9"/>
    </row>
    <row r="2675" ht="33.75" customHeight="1">
      <c r="A2675" s="7">
        <v>90.0</v>
      </c>
      <c r="B2675" s="9" t="s">
        <v>5587</v>
      </c>
      <c r="C2675" s="9" t="s">
        <v>5589</v>
      </c>
      <c r="D2675" s="9" t="s">
        <v>24</v>
      </c>
      <c r="E2675" s="6" t="s">
        <v>5590</v>
      </c>
      <c r="F2675" t="inlineStr" s="10">
        <is>
          <t xml:space="preserve">Shellderin kova kuori torjuu kaikenlaiset hyökkäykset. Se on haavoittuvainen vain kuoren ollessa auki. Kuori kestää minkä tahansa hyökkäyksen. Kuitenkin, kun se on auki, herkkä ruumis paljastuu. Se ui selkä taaksepäin avaamalla ja sulkemalla kaksiosaista kuortaan. Se on yllättävän nopea. Sen kuoriin jääneet hiekanjyvät sekoittuvat sen ruumiinnesteisiin muodostaen kauniita helmiä. Vastustajaan tarrautuminen paljastaa sen haavoittuvaiset osat, joten se käyttää tätä liikettä vain viimeisenä keinona. Yöllä tämä POKéMON kaivaa leveällä kielellään reiän merenpohjan hiekkaan ja nukkuu siinä. Nukkuessaan SHELLDER sulkee kuorensa, mutta jättää kielen roikkumaan ulkona. Yöllä se kaivaa leveällä kielellään reiän merenpohjaan nukkumapaikkaa varten. Nukkuessaan se sulkee kuorensa, mutta jättää kielen roikkumaan ulos. Se on suljettu kuoreen, joka on timanttiakin kovempi. Sisältä se on kuitenkin yllättävän herkkä. Se ui takaperin avaamalla ja sulkemalla kahta kuortaan. Sen suuri kieli roikkuu aina ulkona. Se ui selkä taaksepäin avaamalla ja sulkemalla kaksiosaisen kuorensa. Sen kuoren kovuus ylittää timantin kovuuden. Menneinä aikoina ihmiset käyttivät kuoria kilpien valmistukseen. Tämän Pokémonin kieli roikkuu aina ulkona. Se käyttää kieltään erittäin taitavasti kaivaakseen hiekkaa merenpohjasta etsiessään ruokaa. Kuoren sisään kertyvä hiekka muuttuu lopulta helmeksi. Mutta helmi tulee tielle, joten se sylkee sen ulos ja heittää pois. Vaikka sen kuori on kiinni, sen kieli roikkuu edelleen ulkona. Jos nykäiset sitä kunnolla, Shellder avaa kuorensa iskusta.</t>
        </is>
      </c>
    </row>
    <row r="2676" ht="33.75" customHeight="1">
      <c r="A2676" s="7">
        <v>90.0</v>
      </c>
      <c r="B2676" s="9" t="s">
        <v>5587</v>
      </c>
      <c r="C2676" s="9" t="s">
        <v>5589</v>
      </c>
      <c r="D2676" s="9" t="s">
        <v>35</v>
      </c>
      <c r="E2676" s="6" t="s">
        <v>5590</v>
      </c>
      <c r="F2676" s="9"/>
    </row>
    <row r="2677" ht="33.75" customHeight="1">
      <c r="A2677" s="7">
        <v>90.0</v>
      </c>
      <c r="B2677" s="9" t="s">
        <v>5587</v>
      </c>
      <c r="C2677" s="9" t="s">
        <v>5589</v>
      </c>
      <c r="D2677" s="9" t="s">
        <v>42</v>
      </c>
      <c r="E2677" s="6" t="s">
        <v>5593</v>
      </c>
      <c r="F2677" s="9"/>
    </row>
    <row r="2678" ht="33.75" customHeight="1">
      <c r="A2678" s="7">
        <v>90.0</v>
      </c>
      <c r="B2678" s="9" t="s">
        <v>5587</v>
      </c>
      <c r="C2678" s="9" t="s">
        <v>5589</v>
      </c>
      <c r="D2678" s="9" t="s">
        <v>52</v>
      </c>
      <c r="E2678" s="6" t="s">
        <v>5595</v>
      </c>
      <c r="F2678" s="9"/>
    </row>
    <row r="2679" ht="33.75" customHeight="1">
      <c r="A2679" s="7">
        <v>90.0</v>
      </c>
      <c r="B2679" s="9" t="s">
        <v>5587</v>
      </c>
      <c r="C2679" s="9" t="s">
        <v>5589</v>
      </c>
      <c r="D2679" s="9" t="s">
        <v>59</v>
      </c>
      <c r="E2679" s="6" t="s">
        <v>5598</v>
      </c>
      <c r="F2679" s="9"/>
    </row>
    <row r="2680" ht="33.75" customHeight="1">
      <c r="A2680" s="7">
        <v>90.0</v>
      </c>
      <c r="B2680" s="9" t="s">
        <v>5587</v>
      </c>
      <c r="C2680" s="9" t="s">
        <v>5589</v>
      </c>
      <c r="D2680" s="9" t="s">
        <v>64</v>
      </c>
      <c r="E2680" s="6" t="s">
        <v>5601</v>
      </c>
      <c r="F2680" s="9"/>
    </row>
    <row r="2681" ht="33.75" customHeight="1">
      <c r="A2681" s="7">
        <v>90.0</v>
      </c>
      <c r="B2681" s="9" t="s">
        <v>5587</v>
      </c>
      <c r="C2681" s="9" t="s">
        <v>5589</v>
      </c>
      <c r="D2681" s="9" t="s">
        <v>67</v>
      </c>
      <c r="E2681" s="6" t="s">
        <v>5604</v>
      </c>
      <c r="F2681" s="9"/>
    </row>
    <row r="2682" ht="33.75" customHeight="1">
      <c r="A2682" s="7">
        <v>90.0</v>
      </c>
      <c r="B2682" s="9" t="s">
        <v>5587</v>
      </c>
      <c r="C2682" s="9" t="s">
        <v>5589</v>
      </c>
      <c r="D2682" s="9" t="s">
        <v>71</v>
      </c>
      <c r="E2682" s="6" t="s">
        <v>5604</v>
      </c>
      <c r="F2682" s="9"/>
    </row>
    <row r="2683" ht="33.75" customHeight="1">
      <c r="A2683" s="7">
        <v>90.0</v>
      </c>
      <c r="B2683" s="9" t="s">
        <v>5587</v>
      </c>
      <c r="C2683" s="9" t="s">
        <v>5589</v>
      </c>
      <c r="D2683" s="9" t="s">
        <v>73</v>
      </c>
      <c r="E2683" s="6" t="s">
        <v>5607</v>
      </c>
      <c r="F2683" s="9"/>
    </row>
    <row r="2684" ht="33.75" customHeight="1">
      <c r="A2684" s="7">
        <v>90.0</v>
      </c>
      <c r="B2684" s="9" t="s">
        <v>5587</v>
      </c>
      <c r="C2684" s="9" t="s">
        <v>5589</v>
      </c>
      <c r="D2684" s="9" t="s">
        <v>75</v>
      </c>
      <c r="E2684" s="6" t="s">
        <v>5608</v>
      </c>
      <c r="F2684" s="9"/>
    </row>
    <row r="2685" ht="33.75" customHeight="1">
      <c r="A2685" s="7">
        <v>90.0</v>
      </c>
      <c r="B2685" s="9" t="s">
        <v>5587</v>
      </c>
      <c r="C2685" s="9" t="s">
        <v>5589</v>
      </c>
      <c r="D2685" s="9" t="s">
        <v>79</v>
      </c>
      <c r="E2685" s="6" t="s">
        <v>5590</v>
      </c>
      <c r="F2685" s="9"/>
    </row>
    <row r="2686" ht="33.75" customHeight="1">
      <c r="A2686" s="7">
        <v>90.0</v>
      </c>
      <c r="B2686" s="9" t="s">
        <v>5587</v>
      </c>
      <c r="C2686" s="9" t="s">
        <v>5589</v>
      </c>
      <c r="D2686" s="9" t="s">
        <v>81</v>
      </c>
      <c r="E2686" s="6" t="s">
        <v>5613</v>
      </c>
      <c r="F2686" s="9"/>
    </row>
    <row r="2687" ht="33.75" customHeight="1">
      <c r="A2687" s="7">
        <v>90.0</v>
      </c>
      <c r="B2687" s="9" t="s">
        <v>5587</v>
      </c>
      <c r="C2687" s="9" t="s">
        <v>5589</v>
      </c>
      <c r="D2687" s="9" t="s">
        <v>84</v>
      </c>
      <c r="E2687" s="6" t="s">
        <v>5613</v>
      </c>
      <c r="F2687" s="9"/>
    </row>
    <row r="2688" ht="33.75" customHeight="1">
      <c r="A2688" s="7">
        <v>90.0</v>
      </c>
      <c r="B2688" s="9" t="s">
        <v>5587</v>
      </c>
      <c r="C2688" s="9" t="s">
        <v>5589</v>
      </c>
      <c r="D2688" s="9" t="s">
        <v>87</v>
      </c>
      <c r="E2688" s="6" t="s">
        <v>5613</v>
      </c>
      <c r="F2688" s="9"/>
    </row>
    <row r="2689" ht="33.75" customHeight="1">
      <c r="A2689" s="7">
        <v>90.0</v>
      </c>
      <c r="B2689" s="9" t="s">
        <v>5587</v>
      </c>
      <c r="C2689" s="9" t="s">
        <v>5589</v>
      </c>
      <c r="D2689" s="9" t="s">
        <v>89</v>
      </c>
      <c r="E2689" s="6" t="s">
        <v>5622</v>
      </c>
      <c r="F2689" s="9"/>
    </row>
    <row r="2690" ht="33.75" customHeight="1">
      <c r="A2690" s="7">
        <v>90.0</v>
      </c>
      <c r="B2690" s="9" t="s">
        <v>5587</v>
      </c>
      <c r="C2690" s="9" t="s">
        <v>5589</v>
      </c>
      <c r="D2690" s="9" t="s">
        <v>91</v>
      </c>
      <c r="E2690" s="6" t="s">
        <v>5598</v>
      </c>
      <c r="F2690" s="9"/>
    </row>
    <row r="2691" ht="33.75" customHeight="1">
      <c r="A2691" s="7">
        <v>90.0</v>
      </c>
      <c r="B2691" s="9" t="s">
        <v>5587</v>
      </c>
      <c r="C2691" s="9" t="s">
        <v>5589</v>
      </c>
      <c r="D2691" s="9" t="s">
        <v>93</v>
      </c>
      <c r="E2691" s="6" t="s">
        <v>5613</v>
      </c>
      <c r="F2691" s="9"/>
    </row>
    <row r="2692" ht="33.75" customHeight="1">
      <c r="A2692" s="7">
        <v>90.0</v>
      </c>
      <c r="B2692" s="9" t="s">
        <v>5587</v>
      </c>
      <c r="C2692" s="9" t="s">
        <v>5589</v>
      </c>
      <c r="D2692" s="9" t="s">
        <v>95</v>
      </c>
      <c r="E2692" s="6" t="s">
        <v>5613</v>
      </c>
      <c r="F2692" s="9"/>
    </row>
    <row r="2693" ht="33.75" customHeight="1">
      <c r="A2693" s="7">
        <v>90.0</v>
      </c>
      <c r="B2693" s="9" t="s">
        <v>5587</v>
      </c>
      <c r="C2693" s="9" t="s">
        <v>5589</v>
      </c>
      <c r="D2693" s="9" t="s">
        <v>98</v>
      </c>
      <c r="E2693" s="6" t="s">
        <v>5613</v>
      </c>
      <c r="F2693" s="9"/>
    </row>
    <row r="2694" ht="33.75" customHeight="1">
      <c r="A2694" s="7">
        <v>90.0</v>
      </c>
      <c r="B2694" s="9" t="s">
        <v>5587</v>
      </c>
      <c r="C2694" s="9" t="s">
        <v>5589</v>
      </c>
      <c r="D2694" s="9" t="s">
        <v>99</v>
      </c>
      <c r="E2694" s="6" t="s">
        <v>5613</v>
      </c>
      <c r="F2694" s="9"/>
    </row>
    <row r="2695" ht="33.75" customHeight="1">
      <c r="A2695" s="7">
        <v>90.0</v>
      </c>
      <c r="B2695" s="9" t="s">
        <v>5587</v>
      </c>
      <c r="C2695" s="9" t="s">
        <v>5589</v>
      </c>
      <c r="D2695" s="9" t="s">
        <v>101</v>
      </c>
      <c r="E2695" s="6" t="s">
        <v>5590</v>
      </c>
      <c r="F2695" s="9"/>
    </row>
    <row r="2696" ht="33.75" customHeight="1">
      <c r="A2696" s="7">
        <v>90.0</v>
      </c>
      <c r="B2696" s="9" t="s">
        <v>5587</v>
      </c>
      <c r="C2696" s="9" t="s">
        <v>5589</v>
      </c>
      <c r="D2696" s="9" t="s">
        <v>105</v>
      </c>
      <c r="E2696" s="6" t="s">
        <v>5601</v>
      </c>
      <c r="F2696" s="9"/>
    </row>
    <row r="2697" ht="33.75" customHeight="1">
      <c r="A2697" s="7">
        <v>90.0</v>
      </c>
      <c r="B2697" s="9" t="s">
        <v>5587</v>
      </c>
      <c r="C2697" s="9" t="s">
        <v>5589</v>
      </c>
      <c r="D2697" s="9" t="s">
        <v>107</v>
      </c>
      <c r="E2697" s="6" t="s">
        <v>5635</v>
      </c>
      <c r="F2697" s="9"/>
    </row>
    <row r="2698" ht="33.75" customHeight="1">
      <c r="A2698" s="7">
        <v>90.0</v>
      </c>
      <c r="B2698" s="9" t="s">
        <v>5587</v>
      </c>
      <c r="C2698" s="9" t="s">
        <v>5589</v>
      </c>
      <c r="D2698" s="9" t="s">
        <v>109</v>
      </c>
      <c r="E2698" s="6" t="s">
        <v>5635</v>
      </c>
      <c r="F2698" s="9"/>
    </row>
    <row r="2699" ht="33.75" customHeight="1">
      <c r="A2699" s="7">
        <v>90.0</v>
      </c>
      <c r="B2699" s="9" t="s">
        <v>5587</v>
      </c>
      <c r="C2699" s="9" t="s">
        <v>5589</v>
      </c>
      <c r="D2699" s="9" t="s">
        <v>637</v>
      </c>
      <c r="E2699" s="6" t="s">
        <v>5639</v>
      </c>
      <c r="F2699" s="9"/>
    </row>
    <row r="2700" ht="33.75" customHeight="1">
      <c r="A2700" s="7">
        <v>90.0</v>
      </c>
      <c r="B2700" s="9" t="s">
        <v>5587</v>
      </c>
      <c r="C2700" s="9" t="s">
        <v>5589</v>
      </c>
      <c r="D2700" s="9" t="s">
        <v>642</v>
      </c>
      <c r="E2700" s="6" t="s">
        <v>5642</v>
      </c>
      <c r="F2700" s="9"/>
    </row>
    <row r="2701" ht="33.75" customHeight="1">
      <c r="A2701" s="7">
        <v>90.0</v>
      </c>
      <c r="B2701" s="9" t="s">
        <v>5587</v>
      </c>
      <c r="C2701" s="9" t="s">
        <v>5589</v>
      </c>
      <c r="D2701" s="9" t="s">
        <v>647</v>
      </c>
      <c r="E2701" s="6" t="s">
        <v>5644</v>
      </c>
      <c r="F2701" s="9"/>
    </row>
    <row r="2702" ht="33.75" customHeight="1">
      <c r="A2702" s="7">
        <v>90.0</v>
      </c>
      <c r="B2702" s="9" t="s">
        <v>5587</v>
      </c>
      <c r="C2702" s="9" t="s">
        <v>5589</v>
      </c>
      <c r="D2702" s="9" t="s">
        <v>652</v>
      </c>
      <c r="E2702" s="6" t="s">
        <v>5646</v>
      </c>
      <c r="F2702" s="9"/>
    </row>
    <row r="2703" ht="33.75" customHeight="1">
      <c r="A2703" s="7">
        <v>90.0</v>
      </c>
      <c r="B2703" s="9" t="s">
        <v>5587</v>
      </c>
      <c r="C2703" s="9" t="s">
        <v>5589</v>
      </c>
      <c r="D2703" s="9" t="s">
        <v>111</v>
      </c>
      <c r="E2703" s="6" t="s">
        <v>5593</v>
      </c>
      <c r="F2703" s="9"/>
    </row>
    <row r="2704" ht="33.75" customHeight="1">
      <c r="A2704" s="7">
        <v>90.0</v>
      </c>
      <c r="B2704" s="9" t="s">
        <v>5587</v>
      </c>
      <c r="C2704" s="9" t="s">
        <v>5589</v>
      </c>
      <c r="D2704" s="9" t="s">
        <v>113</v>
      </c>
      <c r="E2704" s="6" t="s">
        <v>5593</v>
      </c>
      <c r="F2704" s="9"/>
    </row>
    <row r="2705" ht="33.75" customHeight="1">
      <c r="A2705" s="7">
        <v>90.0</v>
      </c>
      <c r="B2705" s="9" t="s">
        <v>5587</v>
      </c>
      <c r="C2705" s="9" t="s">
        <v>5589</v>
      </c>
      <c r="D2705" s="9" t="s">
        <v>114</v>
      </c>
      <c r="E2705" s="6" t="s">
        <v>5622</v>
      </c>
      <c r="F2705" s="9"/>
    </row>
    <row r="2706" ht="33.75" customHeight="1">
      <c r="A2706" s="7">
        <v>90.0</v>
      </c>
      <c r="B2706" s="9" t="s">
        <v>5587</v>
      </c>
      <c r="C2706" s="9" t="s">
        <v>5589</v>
      </c>
      <c r="D2706" s="9" t="s">
        <v>117</v>
      </c>
      <c r="E2706" s="6" t="s">
        <v>5590</v>
      </c>
      <c r="F2706" s="9"/>
    </row>
    <row r="2707" ht="33.75" customHeight="1">
      <c r="A2707" s="7">
        <v>91.0</v>
      </c>
      <c r="B2707" s="9" t="s">
        <v>5656</v>
      </c>
      <c r="C2707" s="9" t="s">
        <v>5589</v>
      </c>
      <c r="D2707" s="9" t="s">
        <v>24</v>
      </c>
      <c r="E2707" s="6" t="s">
        <v>5658</v>
      </c>
      <c r="F2707" t="inlineStr" s="10">
        <is>
          <t xml:space="preserve">Hyökkäyksen sattuessa se ampuu sarvensa nopeina sarjoina. Sen sisuskaluja ei ole koskaan nähty. Suojautuakseen se käyttää timanttia kovempaa kuortaan. Se myös ampuu piikkejä kuoresta. Kun se paiskaa kuorensa kiinni, sitä on mahdotonta avata, edes ylivoimaisten tai vahvojen. Ankan vuorovesivirtojen merissä elävät kloysterit kasvattavat kuoriinsa suuria, teräviä piikkejä. Edes ohjus ei voi rikkoa piikkejä, joilla se iskee vastustajiaan. Ne ovat jopa kovempia kuin sen ammus. CLOYSTER pystyy uimaan meressä. Se tekee sen nielemällä vettä ja suihkuttamalla sitä sitten taaksepäin. Tämä POKéMON ampuu piikkejä kuorestaan ​​käyttämällä samaa järjestelmää. Se ui meressä nielemällä vettä ja suihkuttamalla sitä sitten takaosaa kohti. CLOYSTER ampuu piikkejä kuorestaan ​​samalla järjestelmällä. Sen kuori on äärimmäisen kova. Sitä ei voida rikkoa edes pommilla. Kuori avautuu vain hyökkäyksen aikana. Se taistelee pitämällä kuorensa tiukasti kiinni suojakseen ja ampumalla piikkejä vihollisten torjumiseksi. Kun se paiskaa kuorensa kiinni, sitä on mahdotonta avata, edes ylivoimaisten. Ankarissa vuorovesivirroissa elävillä ahvenioilla kasvaa kuoriinsa suuria, teräviä piikkejä. Sen kovaa kuorta ei voida rikkoa – ei edes pommilla. Kuoren sisältö on tuntematon. Muinaisten metsästysheimojen hautojen kaivauksissa on löydetty monia keihäitä, joiden kärjessä on piikkejä, jotka olivat pudonneet tämän Pokémonin kuoresta. Jos Cloysterin erittäin kovan kuoren alueet vaurioituvat, ne turpoavat ja kasvavat vähitellen suuriksi teräviksi piikeiksi. Hidaskalan pyrstöt ovat sen lempiruokaa. Sen tiedetään jopa aika ajoin nousevan maihin etsimään hidaskalaa. Suojautumiseen se käyttää timanttiakin kovempaa kuortaan.</t>
        </is>
      </c>
    </row>
    <row r="2708" ht="33.75" customHeight="1">
      <c r="A2708" s="7">
        <v>91.0</v>
      </c>
      <c r="B2708" s="9" t="s">
        <v>5656</v>
      </c>
      <c r="C2708" s="9" t="s">
        <v>5589</v>
      </c>
      <c r="D2708" s="9" t="s">
        <v>35</v>
      </c>
      <c r="E2708" s="6" t="s">
        <v>5658</v>
      </c>
      <c r="F2708" s="9"/>
    </row>
    <row r="2709" ht="33.75" customHeight="1">
      <c r="A2709" s="7">
        <v>91.0</v>
      </c>
      <c r="B2709" s="9" t="s">
        <v>5656</v>
      </c>
      <c r="C2709" s="9" t="s">
        <v>5589</v>
      </c>
      <c r="D2709" s="9" t="s">
        <v>42</v>
      </c>
      <c r="E2709" s="6" t="s">
        <v>5663</v>
      </c>
      <c r="F2709" s="9"/>
    </row>
    <row r="2710" ht="33.75" customHeight="1">
      <c r="A2710" s="7">
        <v>91.0</v>
      </c>
      <c r="B2710" s="9" t="s">
        <v>5656</v>
      </c>
      <c r="C2710" s="9" t="s">
        <v>5589</v>
      </c>
      <c r="D2710" s="9" t="s">
        <v>52</v>
      </c>
      <c r="E2710" s="6" t="s">
        <v>5666</v>
      </c>
      <c r="F2710" s="9"/>
    </row>
    <row r="2711" ht="33.75" customHeight="1">
      <c r="A2711" s="7">
        <v>91.0</v>
      </c>
      <c r="B2711" s="9" t="s">
        <v>5656</v>
      </c>
      <c r="C2711" s="9" t="s">
        <v>5589</v>
      </c>
      <c r="D2711" s="9" t="s">
        <v>59</v>
      </c>
      <c r="E2711" s="6" t="s">
        <v>5668</v>
      </c>
      <c r="F2711" s="9"/>
    </row>
    <row r="2712" ht="33.75" customHeight="1">
      <c r="A2712" s="7">
        <v>91.0</v>
      </c>
      <c r="B2712" s="9" t="s">
        <v>5656</v>
      </c>
      <c r="C2712" s="9" t="s">
        <v>5589</v>
      </c>
      <c r="D2712" s="9" t="s">
        <v>64</v>
      </c>
      <c r="E2712" s="6" t="s">
        <v>5671</v>
      </c>
      <c r="F2712" s="9"/>
    </row>
    <row r="2713" ht="33.75" customHeight="1">
      <c r="A2713" s="7">
        <v>91.0</v>
      </c>
      <c r="B2713" s="9" t="s">
        <v>5656</v>
      </c>
      <c r="C2713" s="9" t="s">
        <v>5589</v>
      </c>
      <c r="D2713" s="9" t="s">
        <v>67</v>
      </c>
      <c r="E2713" s="6" t="s">
        <v>5674</v>
      </c>
      <c r="F2713" s="9"/>
    </row>
    <row r="2714" ht="33.75" customHeight="1">
      <c r="A2714" s="7">
        <v>91.0</v>
      </c>
      <c r="B2714" s="9" t="s">
        <v>5656</v>
      </c>
      <c r="C2714" s="9" t="s">
        <v>5589</v>
      </c>
      <c r="D2714" s="9" t="s">
        <v>71</v>
      </c>
      <c r="E2714" s="6" t="s">
        <v>5674</v>
      </c>
      <c r="F2714" s="9"/>
    </row>
    <row r="2715" ht="33.75" customHeight="1">
      <c r="A2715" s="7">
        <v>91.0</v>
      </c>
      <c r="B2715" s="9" t="s">
        <v>5656</v>
      </c>
      <c r="C2715" s="9" t="s">
        <v>5589</v>
      </c>
      <c r="D2715" s="9" t="s">
        <v>73</v>
      </c>
      <c r="E2715" s="6" t="s">
        <v>5680</v>
      </c>
      <c r="F2715" s="9"/>
    </row>
    <row r="2716" ht="33.75" customHeight="1">
      <c r="A2716" s="7">
        <v>91.0</v>
      </c>
      <c r="B2716" s="9" t="s">
        <v>5656</v>
      </c>
      <c r="C2716" s="9" t="s">
        <v>5589</v>
      </c>
      <c r="D2716" s="9" t="s">
        <v>75</v>
      </c>
      <c r="E2716" s="6" t="s">
        <v>5682</v>
      </c>
      <c r="F2716" s="9"/>
    </row>
    <row r="2717" ht="33.75" customHeight="1">
      <c r="A2717" s="7">
        <v>91.0</v>
      </c>
      <c r="B2717" s="9" t="s">
        <v>5656</v>
      </c>
      <c r="C2717" s="9" t="s">
        <v>5589</v>
      </c>
      <c r="D2717" s="9" t="s">
        <v>79</v>
      </c>
      <c r="E2717" s="6" t="s">
        <v>5658</v>
      </c>
      <c r="F2717" s="9"/>
    </row>
    <row r="2718" ht="33.75" customHeight="1">
      <c r="A2718" s="7">
        <v>91.0</v>
      </c>
      <c r="B2718" s="9" t="s">
        <v>5656</v>
      </c>
      <c r="C2718" s="9" t="s">
        <v>5589</v>
      </c>
      <c r="D2718" s="9" t="s">
        <v>81</v>
      </c>
      <c r="E2718" s="6" t="s">
        <v>5687</v>
      </c>
      <c r="F2718" s="9"/>
    </row>
    <row r="2719" ht="33.75" customHeight="1">
      <c r="A2719" s="7">
        <v>91.0</v>
      </c>
      <c r="B2719" s="9" t="s">
        <v>5656</v>
      </c>
      <c r="C2719" s="9" t="s">
        <v>5589</v>
      </c>
      <c r="D2719" s="9" t="s">
        <v>84</v>
      </c>
      <c r="E2719" s="6" t="s">
        <v>5687</v>
      </c>
      <c r="F2719" s="9"/>
    </row>
    <row r="2720" ht="33.75" customHeight="1">
      <c r="A2720" s="7">
        <v>91.0</v>
      </c>
      <c r="B2720" s="9" t="s">
        <v>5656</v>
      </c>
      <c r="C2720" s="9" t="s">
        <v>5589</v>
      </c>
      <c r="D2720" s="9" t="s">
        <v>87</v>
      </c>
      <c r="E2720" s="6" t="s">
        <v>5687</v>
      </c>
      <c r="F2720" s="9"/>
    </row>
    <row r="2721" ht="33.75" customHeight="1">
      <c r="A2721" s="7">
        <v>91.0</v>
      </c>
      <c r="B2721" s="9" t="s">
        <v>5656</v>
      </c>
      <c r="C2721" s="9" t="s">
        <v>5589</v>
      </c>
      <c r="D2721" s="9" t="s">
        <v>89</v>
      </c>
      <c r="E2721" s="6" t="s">
        <v>5694</v>
      </c>
      <c r="F2721" s="9"/>
    </row>
    <row r="2722" ht="33.75" customHeight="1">
      <c r="A2722" s="7">
        <v>91.0</v>
      </c>
      <c r="B2722" s="9" t="s">
        <v>5656</v>
      </c>
      <c r="C2722" s="9" t="s">
        <v>5589</v>
      </c>
      <c r="D2722" s="9" t="s">
        <v>91</v>
      </c>
      <c r="E2722" s="6" t="s">
        <v>5668</v>
      </c>
      <c r="F2722" s="9"/>
    </row>
    <row r="2723" ht="33.75" customHeight="1">
      <c r="A2723" s="7">
        <v>91.0</v>
      </c>
      <c r="B2723" s="9" t="s">
        <v>5656</v>
      </c>
      <c r="C2723" s="9" t="s">
        <v>5589</v>
      </c>
      <c r="D2723" s="9" t="s">
        <v>93</v>
      </c>
      <c r="E2723" s="6" t="s">
        <v>5687</v>
      </c>
      <c r="F2723" s="9"/>
    </row>
    <row r="2724" ht="33.75" customHeight="1">
      <c r="A2724" s="7">
        <v>91.0</v>
      </c>
      <c r="B2724" s="9" t="s">
        <v>5656</v>
      </c>
      <c r="C2724" s="9" t="s">
        <v>5589</v>
      </c>
      <c r="D2724" s="9" t="s">
        <v>95</v>
      </c>
      <c r="E2724" s="6" t="s">
        <v>5687</v>
      </c>
      <c r="F2724" s="9"/>
    </row>
    <row r="2725" ht="33.75" customHeight="1">
      <c r="A2725" s="7">
        <v>91.0</v>
      </c>
      <c r="B2725" s="9" t="s">
        <v>5656</v>
      </c>
      <c r="C2725" s="9" t="s">
        <v>5589</v>
      </c>
      <c r="D2725" s="9" t="s">
        <v>98</v>
      </c>
      <c r="E2725" s="6" t="s">
        <v>5687</v>
      </c>
      <c r="F2725" s="9"/>
    </row>
    <row r="2726" ht="33.75" customHeight="1">
      <c r="A2726" s="7">
        <v>91.0</v>
      </c>
      <c r="B2726" s="9" t="s">
        <v>5656</v>
      </c>
      <c r="C2726" s="9" t="s">
        <v>5589</v>
      </c>
      <c r="D2726" s="9" t="s">
        <v>99</v>
      </c>
      <c r="E2726" s="6" t="s">
        <v>5687</v>
      </c>
      <c r="F2726" s="9"/>
    </row>
    <row r="2727" ht="33.75" customHeight="1">
      <c r="A2727" s="7">
        <v>91.0</v>
      </c>
      <c r="B2727" s="9" t="s">
        <v>5656</v>
      </c>
      <c r="C2727" s="9" t="s">
        <v>5589</v>
      </c>
      <c r="D2727" s="9" t="s">
        <v>101</v>
      </c>
      <c r="E2727" s="6" t="s">
        <v>5704</v>
      </c>
      <c r="F2727" s="9"/>
    </row>
    <row r="2728" ht="33.75" customHeight="1">
      <c r="A2728" s="7">
        <v>91.0</v>
      </c>
      <c r="B2728" s="9" t="s">
        <v>5656</v>
      </c>
      <c r="C2728" s="9" t="s">
        <v>5589</v>
      </c>
      <c r="D2728" s="9" t="s">
        <v>105</v>
      </c>
      <c r="E2728" s="6" t="s">
        <v>5682</v>
      </c>
      <c r="F2728" s="9"/>
    </row>
    <row r="2729" ht="33.75" customHeight="1">
      <c r="A2729" s="7">
        <v>91.0</v>
      </c>
      <c r="B2729" s="9" t="s">
        <v>5656</v>
      </c>
      <c r="C2729" s="9" t="s">
        <v>5589</v>
      </c>
      <c r="D2729" s="9" t="s">
        <v>107</v>
      </c>
      <c r="E2729" s="6" t="s">
        <v>5707</v>
      </c>
      <c r="F2729" s="9"/>
    </row>
    <row r="2730" ht="33.75" customHeight="1">
      <c r="A2730" s="7">
        <v>91.0</v>
      </c>
      <c r="B2730" s="9" t="s">
        <v>5656</v>
      </c>
      <c r="C2730" s="9" t="s">
        <v>5589</v>
      </c>
      <c r="D2730" s="9" t="s">
        <v>109</v>
      </c>
      <c r="E2730" s="6" t="s">
        <v>5707</v>
      </c>
      <c r="F2730" s="9"/>
    </row>
    <row r="2731" ht="33.75" customHeight="1">
      <c r="A2731" s="7">
        <v>91.0</v>
      </c>
      <c r="B2731" s="9" t="s">
        <v>5656</v>
      </c>
      <c r="C2731" s="9" t="s">
        <v>5589</v>
      </c>
      <c r="D2731" s="9" t="s">
        <v>637</v>
      </c>
      <c r="E2731" s="6" t="s">
        <v>5712</v>
      </c>
      <c r="F2731" s="9"/>
    </row>
    <row r="2732" ht="33.75" customHeight="1">
      <c r="A2732" s="7">
        <v>91.0</v>
      </c>
      <c r="B2732" s="9" t="s">
        <v>5656</v>
      </c>
      <c r="C2732" s="9" t="s">
        <v>5589</v>
      </c>
      <c r="D2732" s="9" t="s">
        <v>642</v>
      </c>
      <c r="E2732" s="6" t="s">
        <v>5715</v>
      </c>
      <c r="F2732" s="9"/>
    </row>
    <row r="2733" ht="33.75" customHeight="1">
      <c r="A2733" s="7">
        <v>91.0</v>
      </c>
      <c r="B2733" s="9" t="s">
        <v>5656</v>
      </c>
      <c r="C2733" s="9" t="s">
        <v>5589</v>
      </c>
      <c r="D2733" s="9" t="s">
        <v>647</v>
      </c>
      <c r="E2733" s="6" t="s">
        <v>5717</v>
      </c>
      <c r="F2733" s="9"/>
    </row>
    <row r="2734" ht="33.75" customHeight="1">
      <c r="A2734" s="7">
        <v>91.0</v>
      </c>
      <c r="B2734" s="9" t="s">
        <v>5656</v>
      </c>
      <c r="C2734" s="9" t="s">
        <v>5589</v>
      </c>
      <c r="D2734" s="9" t="s">
        <v>652</v>
      </c>
      <c r="E2734" s="6" t="s">
        <v>5719</v>
      </c>
      <c r="F2734" s="9"/>
    </row>
    <row r="2735" ht="33.75" customHeight="1">
      <c r="A2735" s="7">
        <v>91.0</v>
      </c>
      <c r="B2735" s="9" t="s">
        <v>5656</v>
      </c>
      <c r="C2735" s="9" t="s">
        <v>5589</v>
      </c>
      <c r="D2735" s="9" t="s">
        <v>111</v>
      </c>
      <c r="E2735" s="6" t="s">
        <v>5722</v>
      </c>
      <c r="F2735" s="9"/>
    </row>
    <row r="2736" ht="33.75" customHeight="1">
      <c r="A2736" s="7">
        <v>91.0</v>
      </c>
      <c r="B2736" s="9" t="s">
        <v>5656</v>
      </c>
      <c r="C2736" s="9" t="s">
        <v>5589</v>
      </c>
      <c r="D2736" s="9" t="s">
        <v>113</v>
      </c>
      <c r="E2736" s="6" t="s">
        <v>5722</v>
      </c>
      <c r="F2736" s="9"/>
    </row>
    <row r="2737" ht="33.75" customHeight="1">
      <c r="A2737" s="7">
        <v>91.0</v>
      </c>
      <c r="B2737" s="9" t="s">
        <v>5656</v>
      </c>
      <c r="C2737" s="9" t="s">
        <v>5589</v>
      </c>
      <c r="D2737" s="9" t="s">
        <v>114</v>
      </c>
      <c r="E2737" s="6" t="s">
        <v>5682</v>
      </c>
      <c r="F2737" s="9"/>
    </row>
    <row r="2738" ht="33.75" customHeight="1">
      <c r="A2738" s="7">
        <v>91.0</v>
      </c>
      <c r="B2738" s="9" t="s">
        <v>5656</v>
      </c>
      <c r="C2738" s="9" t="s">
        <v>5589</v>
      </c>
      <c r="D2738" s="9" t="s">
        <v>117</v>
      </c>
      <c r="E2738" s="6" t="s">
        <v>5694</v>
      </c>
      <c r="F2738" s="9"/>
    </row>
    <row r="2739" ht="33.75" customHeight="1">
      <c r="A2739" s="7">
        <v>92.0</v>
      </c>
      <c r="B2739" s="9" t="s">
        <v>5727</v>
      </c>
      <c r="C2739" s="9" t="s">
        <v>5728</v>
      </c>
      <c r="D2739" s="9" t="s">
        <v>24</v>
      </c>
      <c r="E2739" s="6" t="s">
        <v>5730</v>
      </c>
      <c r="F2739" t="inlineStr" s="10">
        <is>
          <t xml:space="preserve">Lähes näkymätön, tämä kaasumainen POKéMON peittää kohteen ja nukuttaa Gastlyn huomaamatta. Sanotaan esiintyvän ränsistyneissä, hylätyissä rakennuksissa. Sillä ei ole todellista muotoa, koska se näyttää olevan tehty kaasusta. Kaasumaisen ruumiinsa ansiosta se voi hiipiä minne tahansa. Tuuli voi kuitenkin kuljettaa sen pois. Sen ohut runko on tehty kaasusta. Se voi kietoa sisäänsä minkä tahansa kokoisen vihollisen ja aiheuttaa tukehtumisen. Se kietoo vastustajansa kaasumaiseen ruumiiseensa ja heikentää saalistaan ​​hitaasti myrkyttämällä sitä ihon läpi. GASTLY koostuu pääosin kaasumaisesta aineesta. Voimakkaan tuulen iskiessä kaasumainen kappale kutistuu nopeasti. Tämän POKéMONin ryhmät rykeltyvät talojen räystäiden alle paetakseen tuulen tukaloa. Voimakkaassa tuulessa GASTLY-kalan kaasumainen ruumis hupenee nopeasti. Ne kerääntyvät talojen räystäiden alle paetakseen tuulen tukalaa iskua. Olento, joka esiintyy ohuena kaasuna. Se voi kaataa intialaisen norsun kietomalla saaliinsa sisäänsä kahdessa sekunnissa. Tämän Pokémonin ruumis koostuu 95-prosenttisesti kaasuista, joita voimakkaat tuulenpuuskat kuljettavat pois. Myrkyllisistä kaasuista syntynyt Pokémon. Se kukistaa jopa suurimmat viholliset kietomalla ne kaasuun. Kaasuista syntynyt, kuka tahansa pyörtyisi, jos sen myrkkyä sisältävä kaasumainen ruumis nielaisisi hänet. Sen ruumis on tehty kaasusta. Vaikka siinä ei ole ainetta, se voi kietoa itseensä minkä tahansa kokoisen vihollisen ja tukehduttaa sen. Voimakkaassa tuulessa kaasumainen aine hupenee nopeasti. Tämän Pokémonin ryhmät kerääntyvät talojen räystäiden alle paetakseen tuulen tukalaa iskua. Jos hylätyssä rakennuksessa nähdään välkkyvän outo valo, Gastly väijyy siellä. Vaikka Gastly on tuskin näkyvissä, lähellä leijuu hento makea tuoksu. Sanotaan, että hautausmaalta nouseva kaasu oli vainajien vääryyksien riivaamaa ja siitä tuli Pokémon. Myrkyllinen kaasu muodostaa 95 % sen kehosta. Sanotaan, että loput 5 % koostuu kaasuun kuolleiden sieluista. Kaasumaista ja täysin käsin kosketeltavaa. Myös erittäin vaarallista – osan sen myrkyllisen ruumiin hengittäminen aiheuttaa välittömän pyörtymisen.</t>
        </is>
      </c>
    </row>
    <row r="2740" ht="33.75" customHeight="1">
      <c r="A2740" s="7">
        <v>92.0</v>
      </c>
      <c r="B2740" s="9" t="s">
        <v>5727</v>
      </c>
      <c r="C2740" s="9" t="s">
        <v>5728</v>
      </c>
      <c r="D2740" s="9" t="s">
        <v>35</v>
      </c>
      <c r="E2740" s="6" t="s">
        <v>5730</v>
      </c>
      <c r="F2740" s="9"/>
    </row>
    <row r="2741" ht="33.75" customHeight="1">
      <c r="A2741" s="7">
        <v>92.0</v>
      </c>
      <c r="B2741" s="9" t="s">
        <v>5727</v>
      </c>
      <c r="C2741" s="9" t="s">
        <v>5728</v>
      </c>
      <c r="D2741" s="9" t="s">
        <v>42</v>
      </c>
      <c r="E2741" s="6" t="s">
        <v>5733</v>
      </c>
      <c r="F2741" s="9"/>
    </row>
    <row r="2742" ht="33.75" customHeight="1">
      <c r="A2742" s="7">
        <v>92.0</v>
      </c>
      <c r="B2742" s="9" t="s">
        <v>5727</v>
      </c>
      <c r="C2742" s="9" t="s">
        <v>5728</v>
      </c>
      <c r="D2742" s="9" t="s">
        <v>52</v>
      </c>
      <c r="E2742" s="6" t="s">
        <v>5736</v>
      </c>
      <c r="F2742" s="9"/>
    </row>
    <row r="2743" ht="33.75" customHeight="1">
      <c r="A2743" s="7">
        <v>92.0</v>
      </c>
      <c r="B2743" s="9" t="s">
        <v>5727</v>
      </c>
      <c r="C2743" s="9" t="s">
        <v>5728</v>
      </c>
      <c r="D2743" s="9" t="s">
        <v>59</v>
      </c>
      <c r="E2743" s="6" t="s">
        <v>5738</v>
      </c>
      <c r="F2743" s="9"/>
    </row>
    <row r="2744" ht="33.75" customHeight="1">
      <c r="A2744" s="7">
        <v>92.0</v>
      </c>
      <c r="B2744" s="9" t="s">
        <v>5727</v>
      </c>
      <c r="C2744" s="9" t="s">
        <v>5728</v>
      </c>
      <c r="D2744" s="9" t="s">
        <v>64</v>
      </c>
      <c r="E2744" s="6" t="s">
        <v>5741</v>
      </c>
      <c r="F2744" s="9"/>
    </row>
    <row r="2745" ht="33.75" customHeight="1">
      <c r="A2745" s="7">
        <v>92.0</v>
      </c>
      <c r="B2745" s="9" t="s">
        <v>5727</v>
      </c>
      <c r="C2745" s="9" t="s">
        <v>5728</v>
      </c>
      <c r="D2745" s="9" t="s">
        <v>67</v>
      </c>
      <c r="E2745" s="6" t="s">
        <v>5743</v>
      </c>
      <c r="F2745" s="9"/>
    </row>
    <row r="2746" ht="33.75" customHeight="1">
      <c r="A2746" s="7">
        <v>92.0</v>
      </c>
      <c r="B2746" s="9" t="s">
        <v>5727</v>
      </c>
      <c r="C2746" s="9" t="s">
        <v>5728</v>
      </c>
      <c r="D2746" s="9" t="s">
        <v>71</v>
      </c>
      <c r="E2746" s="6" t="s">
        <v>5743</v>
      </c>
      <c r="F2746" s="9"/>
    </row>
    <row r="2747" ht="33.75" customHeight="1">
      <c r="A2747" s="7">
        <v>92.0</v>
      </c>
      <c r="B2747" s="9" t="s">
        <v>5727</v>
      </c>
      <c r="C2747" s="9" t="s">
        <v>5728</v>
      </c>
      <c r="D2747" s="9" t="s">
        <v>73</v>
      </c>
      <c r="E2747" s="6" t="s">
        <v>5747</v>
      </c>
      <c r="F2747" s="9"/>
    </row>
    <row r="2748" ht="33.75" customHeight="1">
      <c r="A2748" s="7">
        <v>92.0</v>
      </c>
      <c r="B2748" s="9" t="s">
        <v>5727</v>
      </c>
      <c r="C2748" s="9" t="s">
        <v>5728</v>
      </c>
      <c r="D2748" s="9" t="s">
        <v>75</v>
      </c>
      <c r="E2748" s="6" t="s">
        <v>5749</v>
      </c>
      <c r="F2748" s="9"/>
    </row>
    <row r="2749" ht="33.75" customHeight="1">
      <c r="A2749" s="7">
        <v>92.0</v>
      </c>
      <c r="B2749" s="9" t="s">
        <v>5727</v>
      </c>
      <c r="C2749" s="9" t="s">
        <v>5728</v>
      </c>
      <c r="D2749" s="9" t="s">
        <v>79</v>
      </c>
      <c r="E2749" s="6" t="s">
        <v>5730</v>
      </c>
      <c r="F2749" s="9"/>
    </row>
    <row r="2750" ht="33.75" customHeight="1">
      <c r="A2750" s="7">
        <v>92.0</v>
      </c>
      <c r="B2750" s="9" t="s">
        <v>5727</v>
      </c>
      <c r="C2750" s="9" t="s">
        <v>5728</v>
      </c>
      <c r="D2750" s="9" t="s">
        <v>81</v>
      </c>
      <c r="E2750" s="6" t="s">
        <v>5753</v>
      </c>
      <c r="F2750" s="9"/>
    </row>
    <row r="2751" ht="33.75" customHeight="1">
      <c r="A2751" s="7">
        <v>92.0</v>
      </c>
      <c r="B2751" s="9" t="s">
        <v>5727</v>
      </c>
      <c r="C2751" s="9" t="s">
        <v>5728</v>
      </c>
      <c r="D2751" s="9" t="s">
        <v>84</v>
      </c>
      <c r="E2751" s="6" t="s">
        <v>5755</v>
      </c>
      <c r="F2751" s="9"/>
    </row>
    <row r="2752" ht="33.75" customHeight="1">
      <c r="A2752" s="7">
        <v>92.0</v>
      </c>
      <c r="B2752" s="9" t="s">
        <v>5727</v>
      </c>
      <c r="C2752" s="9" t="s">
        <v>5728</v>
      </c>
      <c r="D2752" s="9" t="s">
        <v>87</v>
      </c>
      <c r="E2752" s="6" t="s">
        <v>5758</v>
      </c>
      <c r="F2752" s="9"/>
    </row>
    <row r="2753" ht="33.75" customHeight="1">
      <c r="A2753" s="7">
        <v>92.0</v>
      </c>
      <c r="B2753" s="9" t="s">
        <v>5727</v>
      </c>
      <c r="C2753" s="9" t="s">
        <v>5728</v>
      </c>
      <c r="D2753" s="9" t="s">
        <v>89</v>
      </c>
      <c r="E2753" s="6" t="s">
        <v>5736</v>
      </c>
      <c r="F2753" s="9"/>
    </row>
    <row r="2754" ht="33.75" customHeight="1">
      <c r="A2754" s="7">
        <v>92.0</v>
      </c>
      <c r="B2754" s="9" t="s">
        <v>5727</v>
      </c>
      <c r="C2754" s="9" t="s">
        <v>5728</v>
      </c>
      <c r="D2754" s="9" t="s">
        <v>91</v>
      </c>
      <c r="E2754" s="6" t="s">
        <v>5763</v>
      </c>
      <c r="F2754" s="9"/>
    </row>
    <row r="2755" ht="33.75" customHeight="1">
      <c r="A2755" s="7">
        <v>92.0</v>
      </c>
      <c r="B2755" s="9" t="s">
        <v>5727</v>
      </c>
      <c r="C2755" s="9" t="s">
        <v>5728</v>
      </c>
      <c r="D2755" s="9" t="s">
        <v>93</v>
      </c>
      <c r="E2755" s="6" t="s">
        <v>5758</v>
      </c>
      <c r="F2755" s="9"/>
    </row>
    <row r="2756" ht="33.75" customHeight="1">
      <c r="A2756" s="7">
        <v>92.0</v>
      </c>
      <c r="B2756" s="9" t="s">
        <v>5727</v>
      </c>
      <c r="C2756" s="9" t="s">
        <v>5728</v>
      </c>
      <c r="D2756" s="9" t="s">
        <v>95</v>
      </c>
      <c r="E2756" s="6" t="s">
        <v>5758</v>
      </c>
      <c r="F2756" s="9"/>
    </row>
    <row r="2757" ht="33.75" customHeight="1">
      <c r="A2757" s="7">
        <v>92.0</v>
      </c>
      <c r="B2757" s="9" t="s">
        <v>5727</v>
      </c>
      <c r="C2757" s="9" t="s">
        <v>5728</v>
      </c>
      <c r="D2757" s="9" t="s">
        <v>98</v>
      </c>
      <c r="E2757" s="6" t="s">
        <v>5758</v>
      </c>
      <c r="F2757" s="9"/>
    </row>
    <row r="2758" ht="33.75" customHeight="1">
      <c r="A2758" s="7">
        <v>92.0</v>
      </c>
      <c r="B2758" s="9" t="s">
        <v>5727</v>
      </c>
      <c r="C2758" s="9" t="s">
        <v>5728</v>
      </c>
      <c r="D2758" s="9" t="s">
        <v>99</v>
      </c>
      <c r="E2758" s="6" t="s">
        <v>5758</v>
      </c>
      <c r="F2758" s="9"/>
    </row>
    <row r="2759" ht="33.75" customHeight="1">
      <c r="A2759" s="7">
        <v>92.0</v>
      </c>
      <c r="B2759" s="9" t="s">
        <v>5727</v>
      </c>
      <c r="C2759" s="9" t="s">
        <v>5728</v>
      </c>
      <c r="D2759" s="9" t="s">
        <v>101</v>
      </c>
      <c r="E2759" s="6" t="s">
        <v>5763</v>
      </c>
      <c r="F2759" s="9"/>
    </row>
    <row r="2760" ht="33.75" customHeight="1">
      <c r="A2760" s="7">
        <v>92.0</v>
      </c>
      <c r="B2760" s="9" t="s">
        <v>5727</v>
      </c>
      <c r="C2760" s="9" t="s">
        <v>5728</v>
      </c>
      <c r="D2760" s="9" t="s">
        <v>105</v>
      </c>
      <c r="E2760" s="6" t="s">
        <v>5758</v>
      </c>
      <c r="F2760" s="9"/>
    </row>
    <row r="2761" ht="33.75" customHeight="1">
      <c r="A2761" s="7">
        <v>92.0</v>
      </c>
      <c r="B2761" s="9" t="s">
        <v>5727</v>
      </c>
      <c r="C2761" s="9" t="s">
        <v>5728</v>
      </c>
      <c r="D2761" s="9" t="s">
        <v>107</v>
      </c>
      <c r="E2761" s="6" t="s">
        <v>5780</v>
      </c>
      <c r="F2761" s="9"/>
    </row>
    <row r="2762" ht="33.75" customHeight="1">
      <c r="A2762" s="7">
        <v>92.0</v>
      </c>
      <c r="B2762" s="9" t="s">
        <v>5727</v>
      </c>
      <c r="C2762" s="9" t="s">
        <v>5728</v>
      </c>
      <c r="D2762" s="9" t="s">
        <v>109</v>
      </c>
      <c r="E2762" s="6" t="s">
        <v>5780</v>
      </c>
      <c r="F2762" s="9"/>
    </row>
    <row r="2763" ht="33.75" customHeight="1">
      <c r="A2763" s="7">
        <v>92.0</v>
      </c>
      <c r="B2763" s="9" t="s">
        <v>5727</v>
      </c>
      <c r="C2763" s="9" t="s">
        <v>5728</v>
      </c>
      <c r="D2763" s="9" t="s">
        <v>637</v>
      </c>
      <c r="E2763" s="6" t="s">
        <v>5784</v>
      </c>
      <c r="F2763" s="9"/>
    </row>
    <row r="2764" ht="33.75" customHeight="1">
      <c r="A2764" s="7">
        <v>92.0</v>
      </c>
      <c r="B2764" s="9" t="s">
        <v>5727</v>
      </c>
      <c r="C2764" s="9" t="s">
        <v>5728</v>
      </c>
      <c r="D2764" s="9" t="s">
        <v>642</v>
      </c>
      <c r="E2764" s="6" t="s">
        <v>5786</v>
      </c>
      <c r="F2764" s="9"/>
    </row>
    <row r="2765" ht="33.75" customHeight="1">
      <c r="A2765" s="7">
        <v>92.0</v>
      </c>
      <c r="B2765" s="9" t="s">
        <v>5727</v>
      </c>
      <c r="C2765" s="9" t="s">
        <v>5728</v>
      </c>
      <c r="D2765" s="9" t="s">
        <v>647</v>
      </c>
      <c r="E2765" s="6" t="s">
        <v>5788</v>
      </c>
      <c r="F2765" s="9"/>
    </row>
    <row r="2766" ht="33.75" customHeight="1">
      <c r="A2766" s="7">
        <v>92.0</v>
      </c>
      <c r="B2766" s="9" t="s">
        <v>5727</v>
      </c>
      <c r="C2766" s="9" t="s">
        <v>5728</v>
      </c>
      <c r="D2766" s="9" t="s">
        <v>652</v>
      </c>
      <c r="E2766" s="6" t="s">
        <v>5790</v>
      </c>
      <c r="F2766" s="9"/>
    </row>
    <row r="2767" ht="33.75" customHeight="1">
      <c r="A2767" s="7">
        <v>92.0</v>
      </c>
      <c r="B2767" s="9" t="s">
        <v>5727</v>
      </c>
      <c r="C2767" s="9" t="s">
        <v>5728</v>
      </c>
      <c r="D2767" s="9" t="s">
        <v>111</v>
      </c>
      <c r="E2767" s="6" t="s">
        <v>5733</v>
      </c>
      <c r="F2767" s="9"/>
    </row>
    <row r="2768" ht="33.75" customHeight="1">
      <c r="A2768" s="7">
        <v>92.0</v>
      </c>
      <c r="B2768" s="9" t="s">
        <v>5727</v>
      </c>
      <c r="C2768" s="9" t="s">
        <v>5728</v>
      </c>
      <c r="D2768" s="9" t="s">
        <v>113</v>
      </c>
      <c r="E2768" s="6" t="s">
        <v>5733</v>
      </c>
      <c r="F2768" s="9"/>
    </row>
    <row r="2769" ht="33.75" customHeight="1">
      <c r="A2769" s="7">
        <v>92.0</v>
      </c>
      <c r="B2769" s="9" t="s">
        <v>5727</v>
      </c>
      <c r="C2769" s="9" t="s">
        <v>5728</v>
      </c>
      <c r="D2769" s="9" t="s">
        <v>114</v>
      </c>
      <c r="E2769" s="6" t="s">
        <v>5758</v>
      </c>
      <c r="F2769" s="9"/>
    </row>
    <row r="2770" ht="33.75" customHeight="1">
      <c r="A2770" s="7">
        <v>92.0</v>
      </c>
      <c r="B2770" s="9" t="s">
        <v>5727</v>
      </c>
      <c r="C2770" s="9" t="s">
        <v>5728</v>
      </c>
      <c r="D2770" s="9" t="s">
        <v>117</v>
      </c>
      <c r="E2770" s="6" t="s">
        <v>5736</v>
      </c>
      <c r="F2770" s="9"/>
    </row>
    <row r="2771" ht="33.75" customHeight="1">
      <c r="A2771" s="7">
        <v>92.0</v>
      </c>
      <c r="B2771" s="9" t="s">
        <v>5727</v>
      </c>
      <c r="C2771" s="9" t="s">
        <v>5728</v>
      </c>
      <c r="D2771" s="9" t="s">
        <v>1577</v>
      </c>
      <c r="E2771" s="6" t="s">
        <v>5798</v>
      </c>
      <c r="F2771" s="9"/>
    </row>
    <row r="2772" ht="33.75" customHeight="1">
      <c r="A2772" s="7">
        <v>93.0</v>
      </c>
      <c r="B2772" s="9" t="s">
        <v>5800</v>
      </c>
      <c r="C2772" s="9" t="s">
        <v>5728</v>
      </c>
      <c r="D2772" s="9" t="s">
        <v>24</v>
      </c>
      <c r="E2772" s="6" t="s">
        <v>5801</v>
      </c>
      <c r="F2772" t="inlineStr" s="10">
        <is>
          <t xml:space="preserve">Koska se pystyy livahtamaan lohkoseinien läpi, Haunterin sanotaan olevan toisesta ulottuvuudesta. Nuolemalla se nielee uhrin hengen. Se aiheuttaa vapinaa, joka ei lopu ennen uhrin kuolemaa. Täydellisen pimeyden keskellä, missä mikään ei näy, VAIMORI vaanii hiljaa seuraavaa uhriaan. Sen kieli on tehty kaasusta. Jos uhria nuolee, se alkaa täristä jatkuvasti, kunnes kuolema lopulta tulee. Se piileskelee pimeässä ja suunnittelee seuraavan lähellä vaeltelevan elävän olennon hengen ottamista. HAUNTER on vaarallinen POKéMON. Jos sellainen houkuttelee sinua pimeydessä kelluessasi, et saa koskaan lähestyä sitä. Tämä POKéMON yrittää nuolla sinua kielellään ja varastaa henkesi. Jos pimeydessä leijuva KUMMITUSOHJAAJA houkuttelee sinua luokseen, älä lähesty sitä. Jos sinusta tuntuu, että sinua tarkkaillaan pimeässä, kun ketään ei ole lähellä, HAUNTER on siellä. Se voi livahtaa minkä tahansa esteen läpi. Se lymyilee seinien sisäpuolella pitääkseen vihollisiaan silmällä. Se nuolee kaasumaisella kielellään varastaakseen uhrin elinvoiman. Se väijyy pimeydessä saalista etsien. Se tykkää väijyä pimeässä ja taputtaa olkapäitä kaasumaisella kädellä. Sen kosketus aiheuttaa loputonta vapinaa. Jos uhri nuolee sitä, se alkaa täristä jatkuvasti, kunnes kuolema lopulta tulee. Se iskee ihmisiin täydellisestä pimeydestä. Sen kylmän kielen nuolemat heikkenevät päivä päivältä, kunnes kuolevat. Se pelkää valoa ja nauttii pimeydestä. Se saattaa olla sukupuuton partaalla kaupungeissa, jotka pysyvät kirkkaasti valaistuina yöllä. Kuuttomina öinä Haunter etsii jotakuta kirottavaksi, joten on parasta olla lähtemättä ulos kävelemään. On vaarallista mennä ulos yksin öisin, kun on surullinen. Kummitus saa sinut kiinni, etkä pääse takaisin kotiin. Tämä pelottava, pahansuopa henki voi liitää seinien läpi ja ilmestyä minne haluaa. Huhujen mukaan kummitusten nuoleman uhrit kuihtuvat kuoliaaksi päivä päivältä.</t>
        </is>
      </c>
    </row>
    <row r="2773" ht="33.75" customHeight="1">
      <c r="A2773" s="7">
        <v>93.0</v>
      </c>
      <c r="B2773" s="9" t="s">
        <v>5800</v>
      </c>
      <c r="C2773" s="9" t="s">
        <v>5728</v>
      </c>
      <c r="D2773" s="9" t="s">
        <v>35</v>
      </c>
      <c r="E2773" s="6" t="s">
        <v>5801</v>
      </c>
      <c r="F2773" s="9"/>
    </row>
    <row r="2774" ht="33.75" customHeight="1">
      <c r="A2774" s="7">
        <v>93.0</v>
      </c>
      <c r="B2774" s="9" t="s">
        <v>5800</v>
      </c>
      <c r="C2774" s="9" t="s">
        <v>5728</v>
      </c>
      <c r="D2774" s="9" t="s">
        <v>42</v>
      </c>
      <c r="E2774" s="6" t="s">
        <v>5805</v>
      </c>
      <c r="F2774" s="9"/>
    </row>
    <row r="2775" ht="33.75" customHeight="1">
      <c r="A2775" s="7">
        <v>93.0</v>
      </c>
      <c r="B2775" s="9" t="s">
        <v>5800</v>
      </c>
      <c r="C2775" s="9" t="s">
        <v>5728</v>
      </c>
      <c r="D2775" s="9" t="s">
        <v>52</v>
      </c>
      <c r="E2775" s="6" t="s">
        <v>5807</v>
      </c>
      <c r="F2775" s="9"/>
    </row>
    <row r="2776" ht="33.75" customHeight="1">
      <c r="A2776" s="7">
        <v>93.0</v>
      </c>
      <c r="B2776" s="9" t="s">
        <v>5800</v>
      </c>
      <c r="C2776" s="9" t="s">
        <v>5728</v>
      </c>
      <c r="D2776" s="9" t="s">
        <v>59</v>
      </c>
      <c r="E2776" s="6" t="s">
        <v>5811</v>
      </c>
      <c r="F2776" s="9"/>
    </row>
    <row r="2777" ht="33.75" customHeight="1">
      <c r="A2777" s="7">
        <v>93.0</v>
      </c>
      <c r="B2777" s="9" t="s">
        <v>5800</v>
      </c>
      <c r="C2777" s="9" t="s">
        <v>5728</v>
      </c>
      <c r="D2777" s="9" t="s">
        <v>64</v>
      </c>
      <c r="E2777" s="6" t="s">
        <v>5813</v>
      </c>
      <c r="F2777" s="9"/>
    </row>
    <row r="2778" ht="33.75" customHeight="1">
      <c r="A2778" s="7">
        <v>93.0</v>
      </c>
      <c r="B2778" s="9" t="s">
        <v>5800</v>
      </c>
      <c r="C2778" s="9" t="s">
        <v>5728</v>
      </c>
      <c r="D2778" s="9" t="s">
        <v>67</v>
      </c>
      <c r="E2778" s="6" t="s">
        <v>5816</v>
      </c>
      <c r="F2778" s="9"/>
    </row>
    <row r="2779" ht="33.75" customHeight="1">
      <c r="A2779" s="7">
        <v>93.0</v>
      </c>
      <c r="B2779" s="9" t="s">
        <v>5800</v>
      </c>
      <c r="C2779" s="9" t="s">
        <v>5728</v>
      </c>
      <c r="D2779" s="9" t="s">
        <v>71</v>
      </c>
      <c r="E2779" s="6" t="s">
        <v>5816</v>
      </c>
      <c r="F2779" s="9"/>
    </row>
    <row r="2780" ht="33.75" customHeight="1">
      <c r="A2780" s="7">
        <v>93.0</v>
      </c>
      <c r="B2780" s="9" t="s">
        <v>5800</v>
      </c>
      <c r="C2780" s="9" t="s">
        <v>5728</v>
      </c>
      <c r="D2780" s="9" t="s">
        <v>73</v>
      </c>
      <c r="E2780" s="6" t="s">
        <v>5823</v>
      </c>
      <c r="F2780" s="9"/>
    </row>
    <row r="2781" ht="33.75" customHeight="1">
      <c r="A2781" s="7">
        <v>93.0</v>
      </c>
      <c r="B2781" s="9" t="s">
        <v>5800</v>
      </c>
      <c r="C2781" s="9" t="s">
        <v>5728</v>
      </c>
      <c r="D2781" s="9" t="s">
        <v>75</v>
      </c>
      <c r="E2781" s="6" t="s">
        <v>5825</v>
      </c>
      <c r="F2781" s="9"/>
    </row>
    <row r="2782" ht="33.75" customHeight="1">
      <c r="A2782" s="7">
        <v>93.0</v>
      </c>
      <c r="B2782" s="9" t="s">
        <v>5800</v>
      </c>
      <c r="C2782" s="9" t="s">
        <v>5728</v>
      </c>
      <c r="D2782" s="9" t="s">
        <v>79</v>
      </c>
      <c r="E2782" s="6" t="s">
        <v>5801</v>
      </c>
      <c r="F2782" s="9"/>
    </row>
    <row r="2783" ht="33.75" customHeight="1">
      <c r="A2783" s="7">
        <v>93.0</v>
      </c>
      <c r="B2783" s="9" t="s">
        <v>5800</v>
      </c>
      <c r="C2783" s="9" t="s">
        <v>5728</v>
      </c>
      <c r="D2783" s="9" t="s">
        <v>81</v>
      </c>
      <c r="E2783" s="6" t="s">
        <v>5829</v>
      </c>
      <c r="F2783" s="9"/>
    </row>
    <row r="2784" ht="33.75" customHeight="1">
      <c r="A2784" s="7">
        <v>93.0</v>
      </c>
      <c r="B2784" s="9" t="s">
        <v>5800</v>
      </c>
      <c r="C2784" s="9" t="s">
        <v>5728</v>
      </c>
      <c r="D2784" s="9" t="s">
        <v>84</v>
      </c>
      <c r="E2784" s="6" t="s">
        <v>5831</v>
      </c>
      <c r="F2784" s="9"/>
    </row>
    <row r="2785" ht="33.75" customHeight="1">
      <c r="A2785" s="7">
        <v>93.0</v>
      </c>
      <c r="B2785" s="9" t="s">
        <v>5800</v>
      </c>
      <c r="C2785" s="9" t="s">
        <v>5728</v>
      </c>
      <c r="D2785" s="9" t="s">
        <v>87</v>
      </c>
      <c r="E2785" s="6" t="s">
        <v>5833</v>
      </c>
      <c r="F2785" s="9"/>
    </row>
    <row r="2786" ht="33.75" customHeight="1">
      <c r="A2786" s="7">
        <v>93.0</v>
      </c>
      <c r="B2786" s="9" t="s">
        <v>5800</v>
      </c>
      <c r="C2786" s="9" t="s">
        <v>5728</v>
      </c>
      <c r="D2786" s="9" t="s">
        <v>89</v>
      </c>
      <c r="E2786" s="6" t="s">
        <v>5807</v>
      </c>
      <c r="F2786" s="9"/>
    </row>
    <row r="2787" ht="33.75" customHeight="1">
      <c r="A2787" s="7">
        <v>93.0</v>
      </c>
      <c r="B2787" s="9" t="s">
        <v>5800</v>
      </c>
      <c r="C2787" s="9" t="s">
        <v>5728</v>
      </c>
      <c r="D2787" s="9" t="s">
        <v>91</v>
      </c>
      <c r="E2787" s="6" t="s">
        <v>5837</v>
      </c>
      <c r="F2787" s="9"/>
    </row>
    <row r="2788" ht="33.75" customHeight="1">
      <c r="A2788" s="7">
        <v>93.0</v>
      </c>
      <c r="B2788" s="9" t="s">
        <v>5800</v>
      </c>
      <c r="C2788" s="9" t="s">
        <v>5728</v>
      </c>
      <c r="D2788" s="9" t="s">
        <v>93</v>
      </c>
      <c r="E2788" s="6" t="s">
        <v>5833</v>
      </c>
      <c r="F2788" s="9"/>
    </row>
    <row r="2789" ht="33.75" customHeight="1">
      <c r="A2789" s="7">
        <v>93.0</v>
      </c>
      <c r="B2789" s="9" t="s">
        <v>5800</v>
      </c>
      <c r="C2789" s="9" t="s">
        <v>5728</v>
      </c>
      <c r="D2789" s="9" t="s">
        <v>95</v>
      </c>
      <c r="E2789" s="6" t="s">
        <v>5833</v>
      </c>
      <c r="F2789" s="9"/>
    </row>
    <row r="2790" ht="33.75" customHeight="1">
      <c r="A2790" s="7">
        <v>93.0</v>
      </c>
      <c r="B2790" s="9" t="s">
        <v>5800</v>
      </c>
      <c r="C2790" s="9" t="s">
        <v>5728</v>
      </c>
      <c r="D2790" s="9" t="s">
        <v>98</v>
      </c>
      <c r="E2790" s="6" t="s">
        <v>5833</v>
      </c>
      <c r="F2790" s="9"/>
    </row>
    <row r="2791" ht="33.75" customHeight="1">
      <c r="A2791" s="7">
        <v>93.0</v>
      </c>
      <c r="B2791" s="9" t="s">
        <v>5800</v>
      </c>
      <c r="C2791" s="9" t="s">
        <v>5728</v>
      </c>
      <c r="D2791" s="9" t="s">
        <v>99</v>
      </c>
      <c r="E2791" s="6" t="s">
        <v>5833</v>
      </c>
      <c r="F2791" s="9"/>
    </row>
    <row r="2792" ht="33.75" customHeight="1">
      <c r="A2792" s="7">
        <v>93.0</v>
      </c>
      <c r="B2792" s="9" t="s">
        <v>5800</v>
      </c>
      <c r="C2792" s="9" t="s">
        <v>5728</v>
      </c>
      <c r="D2792" s="9" t="s">
        <v>101</v>
      </c>
      <c r="E2792" s="6" t="s">
        <v>5851</v>
      </c>
      <c r="F2792" s="9"/>
    </row>
    <row r="2793" ht="33.75" customHeight="1">
      <c r="A2793" s="7">
        <v>93.0</v>
      </c>
      <c r="B2793" s="9" t="s">
        <v>5800</v>
      </c>
      <c r="C2793" s="9" t="s">
        <v>5728</v>
      </c>
      <c r="D2793" s="9" t="s">
        <v>105</v>
      </c>
      <c r="E2793" s="6" t="s">
        <v>5831</v>
      </c>
      <c r="F2793" s="9"/>
    </row>
    <row r="2794" ht="33.75" customHeight="1">
      <c r="A2794" s="7">
        <v>93.0</v>
      </c>
      <c r="B2794" s="9" t="s">
        <v>5800</v>
      </c>
      <c r="C2794" s="9" t="s">
        <v>5728</v>
      </c>
      <c r="D2794" s="9" t="s">
        <v>107</v>
      </c>
      <c r="E2794" s="6" t="s">
        <v>5858</v>
      </c>
      <c r="F2794" s="9"/>
    </row>
    <row r="2795" ht="33.75" customHeight="1">
      <c r="A2795" s="7">
        <v>93.0</v>
      </c>
      <c r="B2795" s="9" t="s">
        <v>5800</v>
      </c>
      <c r="C2795" s="9" t="s">
        <v>5728</v>
      </c>
      <c r="D2795" s="9" t="s">
        <v>109</v>
      </c>
      <c r="E2795" s="6" t="s">
        <v>5858</v>
      </c>
      <c r="F2795" s="9"/>
    </row>
    <row r="2796" ht="33.75" customHeight="1">
      <c r="A2796" s="7">
        <v>93.0</v>
      </c>
      <c r="B2796" s="9" t="s">
        <v>5800</v>
      </c>
      <c r="C2796" s="9" t="s">
        <v>5728</v>
      </c>
      <c r="D2796" s="9" t="s">
        <v>637</v>
      </c>
      <c r="E2796" s="6" t="s">
        <v>5862</v>
      </c>
      <c r="F2796" s="9"/>
    </row>
    <row r="2797" ht="33.75" customHeight="1">
      <c r="A2797" s="7">
        <v>93.0</v>
      </c>
      <c r="B2797" s="9" t="s">
        <v>5800</v>
      </c>
      <c r="C2797" s="9" t="s">
        <v>5728</v>
      </c>
      <c r="D2797" s="9" t="s">
        <v>642</v>
      </c>
      <c r="E2797" s="6" t="s">
        <v>5865</v>
      </c>
      <c r="F2797" s="9"/>
    </row>
    <row r="2798" ht="33.75" customHeight="1">
      <c r="A2798" s="7">
        <v>93.0</v>
      </c>
      <c r="B2798" s="9" t="s">
        <v>5800</v>
      </c>
      <c r="C2798" s="9" t="s">
        <v>5728</v>
      </c>
      <c r="D2798" s="9" t="s">
        <v>647</v>
      </c>
      <c r="E2798" s="6" t="s">
        <v>5868</v>
      </c>
      <c r="F2798" s="9"/>
    </row>
    <row r="2799" ht="33.75" customHeight="1">
      <c r="A2799" s="7">
        <v>93.0</v>
      </c>
      <c r="B2799" s="9" t="s">
        <v>5800</v>
      </c>
      <c r="C2799" s="9" t="s">
        <v>5728</v>
      </c>
      <c r="D2799" s="9" t="s">
        <v>652</v>
      </c>
      <c r="E2799" s="6" t="s">
        <v>5870</v>
      </c>
      <c r="F2799" s="9"/>
    </row>
    <row r="2800" ht="33.75" customHeight="1">
      <c r="A2800" s="7">
        <v>93.0</v>
      </c>
      <c r="B2800" s="9" t="s">
        <v>5800</v>
      </c>
      <c r="C2800" s="9" t="s">
        <v>5728</v>
      </c>
      <c r="D2800" s="9" t="s">
        <v>111</v>
      </c>
      <c r="E2800" s="6" t="s">
        <v>5805</v>
      </c>
      <c r="F2800" s="9"/>
    </row>
    <row r="2801" ht="33.75" customHeight="1">
      <c r="A2801" s="7">
        <v>93.0</v>
      </c>
      <c r="B2801" s="9" t="s">
        <v>5800</v>
      </c>
      <c r="C2801" s="9" t="s">
        <v>5728</v>
      </c>
      <c r="D2801" s="9" t="s">
        <v>113</v>
      </c>
      <c r="E2801" s="6" t="s">
        <v>5805</v>
      </c>
      <c r="F2801" s="9"/>
    </row>
    <row r="2802" ht="33.75" customHeight="1">
      <c r="A2802" s="7">
        <v>93.0</v>
      </c>
      <c r="B2802" s="9" t="s">
        <v>5800</v>
      </c>
      <c r="C2802" s="9" t="s">
        <v>5728</v>
      </c>
      <c r="D2802" s="9" t="s">
        <v>114</v>
      </c>
      <c r="E2802" s="6" t="s">
        <v>5837</v>
      </c>
      <c r="F2802" s="9"/>
    </row>
    <row r="2803" ht="33.75" customHeight="1">
      <c r="A2803" s="7">
        <v>93.0</v>
      </c>
      <c r="B2803" s="9" t="s">
        <v>5800</v>
      </c>
      <c r="C2803" s="9" t="s">
        <v>5728</v>
      </c>
      <c r="D2803" s="9" t="s">
        <v>117</v>
      </c>
      <c r="E2803" s="6" t="s">
        <v>5851</v>
      </c>
      <c r="F2803" s="9"/>
    </row>
    <row r="2804" ht="33.75" customHeight="1">
      <c r="A2804" s="7">
        <v>93.0</v>
      </c>
      <c r="B2804" s="9" t="s">
        <v>5800</v>
      </c>
      <c r="C2804" s="9" t="s">
        <v>5728</v>
      </c>
      <c r="D2804" s="9" t="s">
        <v>1577</v>
      </c>
      <c r="E2804" s="6" t="s">
        <v>5876</v>
      </c>
      <c r="F2804" s="9"/>
    </row>
    <row r="2805" ht="33.75" customHeight="1">
      <c r="A2805" s="7">
        <v>94.0</v>
      </c>
      <c r="B2805" s="9" t="s">
        <v>5878</v>
      </c>
      <c r="C2805" s="9" t="s">
        <v>5879</v>
      </c>
      <c r="D2805" s="9" t="s">
        <v>24</v>
      </c>
      <c r="E2805" s="6" t="s">
        <v>5880</v>
      </c>
      <c r="F2805" t="inlineStr" s="10">
        <is>
          <t xml:space="preserve">Täydenkuun aikaan tämä POKéMON matkii ihmisten varjoja ja nauraa heidän pelolleen. Jos tunnet äkillisen vilunväristyksen, lähellä on GENGAR. Se saattaa yrittää langettaa sinulle kirouksen. Se varastaa lämpöä ympäristöstään. Jos tunnet äkillisen kylmyyden, on varmaa, että GENGAR on ilmestynyt. Varastaakseen kohteensa hengen se livahtaa saaliinsa varjoon ja odottaa hiljaa tilaisuutta. Piiloutuessaan ihmisten varjoihin yöllä se imee heidän lämpöään. Sen aiheuttama kylmyys saa uhrit vapisemaan. Joskus pimeänä yönä katuvalon heittämä varjo yllättää sinut yhtäkkiä ja yllättäen. Se on itse asiassa GENGAR, joka juoksee ohitsesi ja teeskentelee olevansa varjosi. Syvällä yöllä katuvalon heittämä varjo saattaa yhtäkkiä yllättää sinut. Sen sanotaan nousevan pimeydestä ja varastavan vuorille eksyneiden ihmisten hengen. Täydenkuun yönä, jos varjot liikkuvat omin avuin ja nauravat, sen täytyy olla GENGARin tekosia. Se piileskelee varjoissa. Sanotaan, että jos GENGAR piileskelee, se viilentää aluetta lähes 10 celsiusastetta. Huoneiden varjoisissa nurkissa lymyillen se odottaa tilaisuuksia varastaa saaliinsa elinvoiman. Pimeydessä leijuva irvistys kuuluu GENGARille, joka nauttii kirousten langettamisesta ihmisille. Se piiloutuu varjoihin. Se piiloutuu ihmisten varjoihin yöllä ja imee itseensä heidän lämpönsä. Joskus pimeänä yönä katuvalon heittämä varjo yllättää sinut yllättäen. Jos tunnet äkillisen kylmyyden hyökkäävän sinua kohti, se on merkki lähestyvästä Gengarista. Siltä ei pääse pakoon. Anna periksi. Se ilmeisesti toivoo matkakumppania. Koska se oli itsekin kerran ihminen, se yrittää luoda sellaisen ottamalla muiden ihmisten hengen. Voit kuulla tarinoita ympäri maailmaa siitä, kuinka Gengar vierailee tuhmien lasten luona. Edes kotisi ei ole turvallinen. Gengar lymyilee löytämissään pimeissä huoneen nurkissa ja odottaa tilaisuuttaan napata saaliinsa. Riivaa potentiaalisten uhrien varjot ja yrittää varastaa uhrien hengen. Jos varjosi alkaa nauraa, sinun on otettava nopeasti suojaloitsu!</t>
        </is>
      </c>
    </row>
    <row r="2806" ht="33.75" customHeight="1">
      <c r="A2806" s="7">
        <v>94.0</v>
      </c>
      <c r="B2806" s="9" t="s">
        <v>5878</v>
      </c>
      <c r="C2806" s="9" t="s">
        <v>5879</v>
      </c>
      <c r="D2806" s="9" t="s">
        <v>35</v>
      </c>
      <c r="E2806" s="6" t="s">
        <v>5880</v>
      </c>
      <c r="F2806" s="9"/>
    </row>
    <row r="2807" ht="33.75" customHeight="1">
      <c r="A2807" s="7">
        <v>94.0</v>
      </c>
      <c r="B2807" s="9" t="s">
        <v>5878</v>
      </c>
      <c r="C2807" s="9" t="s">
        <v>5879</v>
      </c>
      <c r="D2807" s="9" t="s">
        <v>42</v>
      </c>
      <c r="E2807" s="6" t="s">
        <v>5883</v>
      </c>
      <c r="F2807" s="9"/>
    </row>
    <row r="2808" ht="33.75" customHeight="1">
      <c r="A2808" s="7">
        <v>94.0</v>
      </c>
      <c r="B2808" s="9" t="s">
        <v>5878</v>
      </c>
      <c r="C2808" s="9" t="s">
        <v>5879</v>
      </c>
      <c r="D2808" s="9" t="s">
        <v>52</v>
      </c>
      <c r="E2808" s="6" t="s">
        <v>5885</v>
      </c>
      <c r="F2808" s="9"/>
    </row>
    <row r="2809" ht="33.75" customHeight="1">
      <c r="A2809" s="7">
        <v>94.0</v>
      </c>
      <c r="B2809" s="9" t="s">
        <v>5878</v>
      </c>
      <c r="C2809" s="9" t="s">
        <v>5879</v>
      </c>
      <c r="D2809" s="9" t="s">
        <v>59</v>
      </c>
      <c r="E2809" s="6" t="s">
        <v>5887</v>
      </c>
      <c r="F2809" s="9"/>
    </row>
    <row r="2810" ht="33.75" customHeight="1">
      <c r="A2810" s="7">
        <v>94.0</v>
      </c>
      <c r="B2810" s="9" t="s">
        <v>5878</v>
      </c>
      <c r="C2810" s="9" t="s">
        <v>5879</v>
      </c>
      <c r="D2810" s="9" t="s">
        <v>64</v>
      </c>
      <c r="E2810" s="6" t="s">
        <v>5894</v>
      </c>
      <c r="F2810" s="9"/>
    </row>
    <row r="2811" ht="33.75" customHeight="1">
      <c r="A2811" s="7">
        <v>94.0</v>
      </c>
      <c r="B2811" s="9" t="s">
        <v>5878</v>
      </c>
      <c r="C2811" s="9" t="s">
        <v>5879</v>
      </c>
      <c r="D2811" s="9" t="s">
        <v>67</v>
      </c>
      <c r="E2811" s="6" t="s">
        <v>5897</v>
      </c>
      <c r="F2811" s="9"/>
    </row>
    <row r="2812" ht="33.75" customHeight="1">
      <c r="A2812" s="7">
        <v>94.0</v>
      </c>
      <c r="B2812" s="9" t="s">
        <v>5878</v>
      </c>
      <c r="C2812" s="9" t="s">
        <v>5879</v>
      </c>
      <c r="D2812" s="9" t="s">
        <v>71</v>
      </c>
      <c r="E2812" s="6" t="s">
        <v>5897</v>
      </c>
      <c r="F2812" s="9"/>
    </row>
    <row r="2813" ht="33.75" customHeight="1">
      <c r="A2813" s="7">
        <v>94.0</v>
      </c>
      <c r="B2813" s="9" t="s">
        <v>5878</v>
      </c>
      <c r="C2813" s="9" t="s">
        <v>5879</v>
      </c>
      <c r="D2813" s="9" t="s">
        <v>73</v>
      </c>
      <c r="E2813" s="6" t="s">
        <v>5900</v>
      </c>
      <c r="F2813" s="9"/>
    </row>
    <row r="2814" ht="33.75" customHeight="1">
      <c r="A2814" s="7">
        <v>94.0</v>
      </c>
      <c r="B2814" s="9" t="s">
        <v>5878</v>
      </c>
      <c r="C2814" s="9" t="s">
        <v>5879</v>
      </c>
      <c r="D2814" s="9" t="s">
        <v>75</v>
      </c>
      <c r="E2814" s="6" t="s">
        <v>5903</v>
      </c>
      <c r="F2814" s="9"/>
    </row>
    <row r="2815" ht="33.75" customHeight="1">
      <c r="A2815" s="7">
        <v>94.0</v>
      </c>
      <c r="B2815" s="9" t="s">
        <v>5878</v>
      </c>
      <c r="C2815" s="9" t="s">
        <v>5879</v>
      </c>
      <c r="D2815" s="9" t="s">
        <v>79</v>
      </c>
      <c r="E2815" s="6" t="s">
        <v>5906</v>
      </c>
      <c r="F2815" s="9"/>
    </row>
    <row r="2816" ht="33.75" customHeight="1">
      <c r="A2816" s="7">
        <v>94.0</v>
      </c>
      <c r="B2816" s="9" t="s">
        <v>5878</v>
      </c>
      <c r="C2816" s="9" t="s">
        <v>5879</v>
      </c>
      <c r="D2816" s="9" t="s">
        <v>81</v>
      </c>
      <c r="E2816" s="6" t="s">
        <v>5908</v>
      </c>
      <c r="F2816" s="9"/>
    </row>
    <row r="2817" ht="33.75" customHeight="1">
      <c r="A2817" s="7">
        <v>94.0</v>
      </c>
      <c r="B2817" s="9" t="s">
        <v>5878</v>
      </c>
      <c r="C2817" s="9" t="s">
        <v>5879</v>
      </c>
      <c r="D2817" s="9" t="s">
        <v>84</v>
      </c>
      <c r="E2817" s="6" t="s">
        <v>5912</v>
      </c>
      <c r="F2817" s="9"/>
    </row>
    <row r="2818" ht="33.75" customHeight="1">
      <c r="A2818" s="7">
        <v>94.0</v>
      </c>
      <c r="B2818" s="9" t="s">
        <v>5878</v>
      </c>
      <c r="C2818" s="9" t="s">
        <v>5879</v>
      </c>
      <c r="D2818" s="9" t="s">
        <v>87</v>
      </c>
      <c r="E2818" s="6" t="s">
        <v>5914</v>
      </c>
      <c r="F2818" s="9"/>
    </row>
    <row r="2819" ht="33.75" customHeight="1">
      <c r="A2819" s="7">
        <v>94.0</v>
      </c>
      <c r="B2819" s="9" t="s">
        <v>5878</v>
      </c>
      <c r="C2819" s="9" t="s">
        <v>5879</v>
      </c>
      <c r="D2819" s="9" t="s">
        <v>89</v>
      </c>
      <c r="E2819" s="6" t="s">
        <v>5885</v>
      </c>
      <c r="F2819" s="9"/>
    </row>
    <row r="2820" ht="33.75" customHeight="1">
      <c r="A2820" s="7">
        <v>94.0</v>
      </c>
      <c r="B2820" s="9" t="s">
        <v>5878</v>
      </c>
      <c r="C2820" s="9" t="s">
        <v>5879</v>
      </c>
      <c r="D2820" s="9" t="s">
        <v>91</v>
      </c>
      <c r="E2820" s="6" t="s">
        <v>5887</v>
      </c>
      <c r="F2820" s="9"/>
    </row>
    <row r="2821" ht="33.75" customHeight="1">
      <c r="A2821" s="7">
        <v>94.0</v>
      </c>
      <c r="B2821" s="9" t="s">
        <v>5878</v>
      </c>
      <c r="C2821" s="9" t="s">
        <v>5879</v>
      </c>
      <c r="D2821" s="9" t="s">
        <v>93</v>
      </c>
      <c r="E2821" s="6" t="s">
        <v>5919</v>
      </c>
      <c r="F2821" s="9"/>
    </row>
    <row r="2822" ht="33.75" customHeight="1">
      <c r="A2822" s="7">
        <v>94.0</v>
      </c>
      <c r="B2822" s="9" t="s">
        <v>5878</v>
      </c>
      <c r="C2822" s="9" t="s">
        <v>5879</v>
      </c>
      <c r="D2822" s="9" t="s">
        <v>95</v>
      </c>
      <c r="E2822" s="6" t="s">
        <v>5919</v>
      </c>
      <c r="F2822" s="9"/>
    </row>
    <row r="2823" ht="33.75" customHeight="1">
      <c r="A2823" s="7">
        <v>94.0</v>
      </c>
      <c r="B2823" s="9" t="s">
        <v>5878</v>
      </c>
      <c r="C2823" s="9" t="s">
        <v>5879</v>
      </c>
      <c r="D2823" s="9" t="s">
        <v>98</v>
      </c>
      <c r="E2823" s="6" t="s">
        <v>5919</v>
      </c>
      <c r="F2823" s="9"/>
    </row>
    <row r="2824" ht="33.75" customHeight="1">
      <c r="A2824" s="7">
        <v>94.0</v>
      </c>
      <c r="B2824" s="9" t="s">
        <v>5878</v>
      </c>
      <c r="C2824" s="9" t="s">
        <v>5879</v>
      </c>
      <c r="D2824" s="9" t="s">
        <v>99</v>
      </c>
      <c r="E2824" s="6" t="s">
        <v>5919</v>
      </c>
      <c r="F2824" s="9"/>
    </row>
    <row r="2825" ht="33.75" customHeight="1">
      <c r="A2825" s="7">
        <v>94.0</v>
      </c>
      <c r="B2825" s="9" t="s">
        <v>5878</v>
      </c>
      <c r="C2825" s="9" t="s">
        <v>5879</v>
      </c>
      <c r="D2825" s="9" t="s">
        <v>101</v>
      </c>
      <c r="E2825" s="6" t="s">
        <v>5926</v>
      </c>
      <c r="F2825" s="9"/>
    </row>
    <row r="2826" ht="33.75" customHeight="1">
      <c r="A2826" s="7">
        <v>94.0</v>
      </c>
      <c r="B2826" s="9" t="s">
        <v>5878</v>
      </c>
      <c r="C2826" s="9" t="s">
        <v>5879</v>
      </c>
      <c r="D2826" s="9" t="s">
        <v>105</v>
      </c>
      <c r="E2826" s="6" t="s">
        <v>5929</v>
      </c>
      <c r="F2826" s="9"/>
    </row>
    <row r="2827" ht="33.75" customHeight="1">
      <c r="A2827" s="7">
        <v>94.0</v>
      </c>
      <c r="B2827" s="9" t="s">
        <v>5878</v>
      </c>
      <c r="C2827" s="9" t="s">
        <v>5879</v>
      </c>
      <c r="D2827" s="9" t="s">
        <v>107</v>
      </c>
      <c r="E2827" s="6" t="s">
        <v>5933</v>
      </c>
      <c r="F2827" s="9"/>
    </row>
    <row r="2828" ht="33.75" customHeight="1">
      <c r="A2828" s="7">
        <v>94.0</v>
      </c>
      <c r="B2828" s="9" t="s">
        <v>5878</v>
      </c>
      <c r="C2828" s="9" t="s">
        <v>5879</v>
      </c>
      <c r="D2828" s="9" t="s">
        <v>109</v>
      </c>
      <c r="E2828" s="6" t="s">
        <v>5933</v>
      </c>
      <c r="F2828" s="9"/>
    </row>
    <row r="2829" ht="33.75" customHeight="1">
      <c r="A2829" s="7">
        <v>94.0</v>
      </c>
      <c r="B2829" s="9" t="s">
        <v>5878</v>
      </c>
      <c r="C2829" s="9" t="s">
        <v>5879</v>
      </c>
      <c r="D2829" s="9" t="s">
        <v>637</v>
      </c>
      <c r="E2829" s="6" t="s">
        <v>5939</v>
      </c>
      <c r="F2829" s="9"/>
    </row>
    <row r="2830" ht="33.75" customHeight="1">
      <c r="A2830" s="7">
        <v>94.0</v>
      </c>
      <c r="B2830" s="9" t="s">
        <v>5878</v>
      </c>
      <c r="C2830" s="9" t="s">
        <v>5879</v>
      </c>
      <c r="D2830" s="9" t="s">
        <v>642</v>
      </c>
      <c r="E2830" s="6" t="s">
        <v>5941</v>
      </c>
      <c r="F2830" s="9"/>
    </row>
    <row r="2831" ht="33.75" customHeight="1">
      <c r="A2831" s="7">
        <v>94.0</v>
      </c>
      <c r="B2831" s="9" t="s">
        <v>5878</v>
      </c>
      <c r="C2831" s="9" t="s">
        <v>5879</v>
      </c>
      <c r="D2831" s="9" t="s">
        <v>647</v>
      </c>
      <c r="E2831" s="6" t="s">
        <v>5944</v>
      </c>
      <c r="F2831" s="9"/>
    </row>
    <row r="2832" ht="33.75" customHeight="1">
      <c r="A2832" s="7">
        <v>94.0</v>
      </c>
      <c r="B2832" s="9" t="s">
        <v>5878</v>
      </c>
      <c r="C2832" s="9" t="s">
        <v>5879</v>
      </c>
      <c r="D2832" s="9" t="s">
        <v>652</v>
      </c>
      <c r="E2832" s="6" t="s">
        <v>5946</v>
      </c>
      <c r="F2832" s="9"/>
    </row>
    <row r="2833" ht="33.75" customHeight="1">
      <c r="A2833" s="7">
        <v>94.0</v>
      </c>
      <c r="B2833" s="9" t="s">
        <v>5878</v>
      </c>
      <c r="C2833" s="9" t="s">
        <v>5879</v>
      </c>
      <c r="D2833" s="9" t="s">
        <v>111</v>
      </c>
      <c r="E2833" s="6" t="s">
        <v>5950</v>
      </c>
      <c r="F2833" s="9"/>
    </row>
    <row r="2834" ht="33.75" customHeight="1">
      <c r="A2834" s="7">
        <v>94.0</v>
      </c>
      <c r="B2834" s="9" t="s">
        <v>5878</v>
      </c>
      <c r="C2834" s="9" t="s">
        <v>5879</v>
      </c>
      <c r="D2834" s="9" t="s">
        <v>113</v>
      </c>
      <c r="E2834" s="6" t="s">
        <v>5950</v>
      </c>
      <c r="F2834" s="9"/>
    </row>
    <row r="2835" ht="33.75" customHeight="1">
      <c r="A2835" s="7">
        <v>94.0</v>
      </c>
      <c r="B2835" s="9" t="s">
        <v>5878</v>
      </c>
      <c r="C2835" s="9" t="s">
        <v>5879</v>
      </c>
      <c r="D2835" s="9" t="s">
        <v>114</v>
      </c>
      <c r="E2835" s="6" t="s">
        <v>5957</v>
      </c>
      <c r="F2835" s="9"/>
    </row>
    <row r="2836" ht="33.75" customHeight="1">
      <c r="A2836" s="7">
        <v>94.0</v>
      </c>
      <c r="B2836" s="9" t="s">
        <v>5878</v>
      </c>
      <c r="C2836" s="9" t="s">
        <v>5879</v>
      </c>
      <c r="D2836" s="9" t="s">
        <v>117</v>
      </c>
      <c r="E2836" s="6" t="s">
        <v>5903</v>
      </c>
      <c r="F2836" s="9"/>
    </row>
    <row r="2837" ht="33.75" customHeight="1">
      <c r="A2837" s="7">
        <v>94.0</v>
      </c>
      <c r="B2837" s="9" t="s">
        <v>5878</v>
      </c>
      <c r="C2837" s="9" t="s">
        <v>5879</v>
      </c>
      <c r="D2837" s="9" t="s">
        <v>1577</v>
      </c>
      <c r="E2837" s="6" t="s">
        <v>5961</v>
      </c>
      <c r="F2837" s="9"/>
    </row>
    <row r="2838" ht="33.75" customHeight="1">
      <c r="A2838" s="7">
        <v>95.0</v>
      </c>
      <c r="B2838" s="9" t="s">
        <v>5964</v>
      </c>
      <c r="C2838" s="9" t="s">
        <v>5966</v>
      </c>
      <c r="D2838" s="9" t="s">
        <v>24</v>
      </c>
      <c r="E2838" s="6" t="s">
        <v>5968</v>
      </c>
      <c r="F2838" t="inlineStr" s="10">
        <is>
          <t xml:space="preserve">Kasvaessaan Onixin kehon kiviset osat kovettuvat ja muuttuvat timantin kaltaisiksi, mutta mustiksi. Kaivaa koloissaan kovaa vauhtia etsien ruokaa. Sen jättämiä tunneleita DIGLETTit käyttävät kotinaan. Se kiemurtelee ja kiemurtelee maassa. Sen tunnelin jylinän jylinä kaikuu kauas. Se porautuu nopeasti maan läpi 80 km/h nopeudella kiemurtelemalla ja vääntäytymällä massiivista, karua ruumistaan. Kaivaessaan maata se imee itseensä monia kovia esineitä. Tämä tekee sen ruumiista niin vankan. ONIXilla on magneetti aivoissaan. Se toimii kompassina, jotta tämä POKéMON ei menetä suuntaa tunneleita kaivaessaan. Vanhetessaan sen kehosta tulee yhä pyöreämpi ja sileämpi. Sen aivoissa on magneetti, joka estää ONIXia menettämästä suuntaa tunnelointia tehdessään. Vanhetessaan sen kehosta tulee tasaisesti pyöreämpi ja sileämpi. Se elää yleensä maan alla. Se etsii ruokaa poratessaan tiensä maan läpi 80 kilometriä tunnissa. Kasvaessaan sen kehon kiviset osat kovettuvat ja muuttuvat mustien timanttien kaltaisiksi. Kun se kulkee maan alla, se aiheuttaa jyrinää ja vapinaa. Se voi liikkua 80 km/h nopeudella. Se kiemurtelee maassa pitkän ja karhean ruumiinsa avulla. Se syö aina kaivaessaan maahan. Se kaivautuu maahan 80 km/h nopeudella syöden suuria lohkareita. Avattuaan suuren suunsa se nielee valtavia määriä maata ja luo pitkiä tunneleita. Etsii kourissaan ruokaa nopeasti. Diglett käyttää sen jättämiä tunneleita kotina. Tämä valtavien kivien ketju muistuttaa jättiläismäistä käärmettä. Maapallon pinta järistyy sen kaivautuessa syvälle maan alle ja syödessä matkallaan lohkareita.</t>
        </is>
      </c>
    </row>
    <row r="2839" ht="33.75" customHeight="1">
      <c r="A2839" s="7">
        <v>95.0</v>
      </c>
      <c r="B2839" s="9" t="s">
        <v>5964</v>
      </c>
      <c r="C2839" s="9" t="s">
        <v>5966</v>
      </c>
      <c r="D2839" s="9" t="s">
        <v>35</v>
      </c>
      <c r="E2839" s="6" t="s">
        <v>5968</v>
      </c>
      <c r="F2839" s="9"/>
    </row>
    <row r="2840" ht="33.75" customHeight="1">
      <c r="A2840" s="7">
        <v>95.0</v>
      </c>
      <c r="B2840" s="9" t="s">
        <v>5964</v>
      </c>
      <c r="C2840" s="9" t="s">
        <v>5966</v>
      </c>
      <c r="D2840" s="9" t="s">
        <v>42</v>
      </c>
      <c r="E2840" s="6" t="s">
        <v>5973</v>
      </c>
      <c r="F2840" s="9"/>
    </row>
    <row r="2841" ht="33.75" customHeight="1">
      <c r="A2841" s="7">
        <v>95.0</v>
      </c>
      <c r="B2841" s="9" t="s">
        <v>5964</v>
      </c>
      <c r="C2841" s="9" t="s">
        <v>5966</v>
      </c>
      <c r="D2841" s="9" t="s">
        <v>52</v>
      </c>
      <c r="E2841" s="6" t="s">
        <v>5976</v>
      </c>
      <c r="F2841" s="9"/>
    </row>
    <row r="2842" ht="33.75" customHeight="1">
      <c r="A2842" s="7">
        <v>95.0</v>
      </c>
      <c r="B2842" s="9" t="s">
        <v>5964</v>
      </c>
      <c r="C2842" s="9" t="s">
        <v>5966</v>
      </c>
      <c r="D2842" s="9" t="s">
        <v>59</v>
      </c>
      <c r="E2842" s="6" t="s">
        <v>5979</v>
      </c>
      <c r="F2842" s="9"/>
    </row>
    <row r="2843" ht="33.75" customHeight="1">
      <c r="A2843" s="7">
        <v>95.0</v>
      </c>
      <c r="B2843" s="9" t="s">
        <v>5964</v>
      </c>
      <c r="C2843" s="9" t="s">
        <v>5966</v>
      </c>
      <c r="D2843" s="9" t="s">
        <v>64</v>
      </c>
      <c r="E2843" s="6" t="s">
        <v>5982</v>
      </c>
      <c r="F2843" s="9"/>
    </row>
    <row r="2844" ht="33.75" customHeight="1">
      <c r="A2844" s="7">
        <v>95.0</v>
      </c>
      <c r="B2844" s="9" t="s">
        <v>5964</v>
      </c>
      <c r="C2844" s="9" t="s">
        <v>5966</v>
      </c>
      <c r="D2844" s="9" t="s">
        <v>67</v>
      </c>
      <c r="E2844" s="6" t="s">
        <v>5985</v>
      </c>
      <c r="F2844" s="9"/>
    </row>
    <row r="2845" ht="33.75" customHeight="1">
      <c r="A2845" s="7">
        <v>95.0</v>
      </c>
      <c r="B2845" s="9" t="s">
        <v>5964</v>
      </c>
      <c r="C2845" s="9" t="s">
        <v>5966</v>
      </c>
      <c r="D2845" s="9" t="s">
        <v>71</v>
      </c>
      <c r="E2845" s="6" t="s">
        <v>5985</v>
      </c>
      <c r="F2845" s="9"/>
    </row>
    <row r="2846" ht="33.75" customHeight="1">
      <c r="A2846" s="7">
        <v>95.0</v>
      </c>
      <c r="B2846" s="9" t="s">
        <v>5964</v>
      </c>
      <c r="C2846" s="9" t="s">
        <v>5966</v>
      </c>
      <c r="D2846" s="9" t="s">
        <v>73</v>
      </c>
      <c r="E2846" s="6" t="s">
        <v>5990</v>
      </c>
      <c r="F2846" s="9"/>
    </row>
    <row r="2847" ht="33.75" customHeight="1">
      <c r="A2847" s="7">
        <v>95.0</v>
      </c>
      <c r="B2847" s="9" t="s">
        <v>5964</v>
      </c>
      <c r="C2847" s="9" t="s">
        <v>5966</v>
      </c>
      <c r="D2847" s="9" t="s">
        <v>75</v>
      </c>
      <c r="E2847" s="6" t="s">
        <v>5993</v>
      </c>
      <c r="F2847" s="9"/>
    </row>
    <row r="2848" ht="33.75" customHeight="1">
      <c r="A2848" s="7">
        <v>95.0</v>
      </c>
      <c r="B2848" s="9" t="s">
        <v>5964</v>
      </c>
      <c r="C2848" s="9" t="s">
        <v>5966</v>
      </c>
      <c r="D2848" s="9" t="s">
        <v>79</v>
      </c>
      <c r="E2848" s="6" t="s">
        <v>5995</v>
      </c>
      <c r="F2848" s="9"/>
    </row>
    <row r="2849" ht="33.75" customHeight="1">
      <c r="A2849" s="7">
        <v>95.0</v>
      </c>
      <c r="B2849" s="9" t="s">
        <v>5964</v>
      </c>
      <c r="C2849" s="9" t="s">
        <v>5966</v>
      </c>
      <c r="D2849" s="9" t="s">
        <v>81</v>
      </c>
      <c r="E2849" s="6" t="s">
        <v>5997</v>
      </c>
      <c r="F2849" s="9"/>
    </row>
    <row r="2850" ht="33.75" customHeight="1">
      <c r="A2850" s="7">
        <v>95.0</v>
      </c>
      <c r="B2850" s="9" t="s">
        <v>5964</v>
      </c>
      <c r="C2850" s="9" t="s">
        <v>5966</v>
      </c>
      <c r="D2850" s="9" t="s">
        <v>84</v>
      </c>
      <c r="E2850" s="6" t="s">
        <v>5999</v>
      </c>
      <c r="F2850" s="9"/>
    </row>
    <row r="2851" ht="33.75" customHeight="1">
      <c r="A2851" s="7">
        <v>95.0</v>
      </c>
      <c r="B2851" s="9" t="s">
        <v>5964</v>
      </c>
      <c r="C2851" s="9" t="s">
        <v>5966</v>
      </c>
      <c r="D2851" s="9" t="s">
        <v>87</v>
      </c>
      <c r="E2851" s="6" t="s">
        <v>6002</v>
      </c>
      <c r="F2851" s="9"/>
    </row>
    <row r="2852" ht="33.75" customHeight="1">
      <c r="A2852" s="7">
        <v>95.0</v>
      </c>
      <c r="B2852" s="9" t="s">
        <v>5964</v>
      </c>
      <c r="C2852" s="9" t="s">
        <v>5966</v>
      </c>
      <c r="D2852" s="9" t="s">
        <v>89</v>
      </c>
      <c r="E2852" s="6" t="s">
        <v>5976</v>
      </c>
      <c r="F2852" s="9"/>
    </row>
    <row r="2853" ht="33.75" customHeight="1">
      <c r="A2853" s="7">
        <v>95.0</v>
      </c>
      <c r="B2853" s="9" t="s">
        <v>5964</v>
      </c>
      <c r="C2853" s="9" t="s">
        <v>5966</v>
      </c>
      <c r="D2853" s="9" t="s">
        <v>91</v>
      </c>
      <c r="E2853" s="6" t="s">
        <v>5979</v>
      </c>
      <c r="F2853" s="9"/>
    </row>
    <row r="2854" ht="33.75" customHeight="1">
      <c r="A2854" s="7">
        <v>95.0</v>
      </c>
      <c r="B2854" s="9" t="s">
        <v>5964</v>
      </c>
      <c r="C2854" s="9" t="s">
        <v>5966</v>
      </c>
      <c r="D2854" s="9" t="s">
        <v>93</v>
      </c>
      <c r="E2854" s="6" t="s">
        <v>6002</v>
      </c>
      <c r="F2854" s="9"/>
    </row>
    <row r="2855" ht="33.75" customHeight="1">
      <c r="A2855" s="7">
        <v>95.0</v>
      </c>
      <c r="B2855" s="9" t="s">
        <v>5964</v>
      </c>
      <c r="C2855" s="9" t="s">
        <v>5966</v>
      </c>
      <c r="D2855" s="9" t="s">
        <v>95</v>
      </c>
      <c r="E2855" s="6" t="s">
        <v>6002</v>
      </c>
      <c r="F2855" s="9"/>
    </row>
    <row r="2856" ht="33.75" customHeight="1">
      <c r="A2856" s="7">
        <v>95.0</v>
      </c>
      <c r="B2856" s="9" t="s">
        <v>5964</v>
      </c>
      <c r="C2856" s="9" t="s">
        <v>5966</v>
      </c>
      <c r="D2856" s="9" t="s">
        <v>98</v>
      </c>
      <c r="E2856" s="6" t="s">
        <v>6009</v>
      </c>
      <c r="F2856" s="9"/>
    </row>
    <row r="2857" ht="33.75" customHeight="1">
      <c r="A2857" s="7">
        <v>95.0</v>
      </c>
      <c r="B2857" s="9" t="s">
        <v>5964</v>
      </c>
      <c r="C2857" s="9" t="s">
        <v>5966</v>
      </c>
      <c r="D2857" s="9" t="s">
        <v>99</v>
      </c>
      <c r="E2857" s="6" t="s">
        <v>6009</v>
      </c>
      <c r="F2857" s="9"/>
    </row>
    <row r="2858" ht="33.75" customHeight="1">
      <c r="A2858" s="7">
        <v>95.0</v>
      </c>
      <c r="B2858" s="9" t="s">
        <v>5964</v>
      </c>
      <c r="C2858" s="9" t="s">
        <v>5966</v>
      </c>
      <c r="D2858" s="9" t="s">
        <v>101</v>
      </c>
      <c r="E2858" s="6" t="s">
        <v>6013</v>
      </c>
      <c r="F2858" s="9"/>
    </row>
    <row r="2859" ht="33.75" customHeight="1">
      <c r="A2859" s="7">
        <v>95.0</v>
      </c>
      <c r="B2859" s="9" t="s">
        <v>5964</v>
      </c>
      <c r="C2859" s="9" t="s">
        <v>5966</v>
      </c>
      <c r="D2859" s="9" t="s">
        <v>105</v>
      </c>
      <c r="E2859" s="6" t="s">
        <v>5993</v>
      </c>
      <c r="F2859" s="9"/>
    </row>
    <row r="2860" ht="33.75" customHeight="1">
      <c r="A2860" s="7">
        <v>95.0</v>
      </c>
      <c r="B2860" s="9" t="s">
        <v>5964</v>
      </c>
      <c r="C2860" s="9" t="s">
        <v>5966</v>
      </c>
      <c r="D2860" s="9" t="s">
        <v>107</v>
      </c>
      <c r="E2860" s="6" t="s">
        <v>6017</v>
      </c>
      <c r="F2860" s="9"/>
    </row>
    <row r="2861" ht="33.75" customHeight="1">
      <c r="A2861" s="7">
        <v>95.0</v>
      </c>
      <c r="B2861" s="9" t="s">
        <v>5964</v>
      </c>
      <c r="C2861" s="9" t="s">
        <v>5966</v>
      </c>
      <c r="D2861" s="9" t="s">
        <v>109</v>
      </c>
      <c r="E2861" s="6" t="s">
        <v>6017</v>
      </c>
      <c r="F2861" s="9"/>
    </row>
    <row r="2862" ht="33.75" customHeight="1">
      <c r="A2862" s="7">
        <v>95.0</v>
      </c>
      <c r="B2862" s="9" t="s">
        <v>5964</v>
      </c>
      <c r="C2862" s="9" t="s">
        <v>5966</v>
      </c>
      <c r="D2862" s="9" t="s">
        <v>111</v>
      </c>
      <c r="E2862" s="6" t="s">
        <v>6013</v>
      </c>
      <c r="F2862" s="9"/>
    </row>
    <row r="2863" ht="33.75" customHeight="1">
      <c r="A2863" s="7">
        <v>95.0</v>
      </c>
      <c r="B2863" s="9" t="s">
        <v>5964</v>
      </c>
      <c r="C2863" s="9" t="s">
        <v>5966</v>
      </c>
      <c r="D2863" s="9" t="s">
        <v>113</v>
      </c>
      <c r="E2863" s="6" t="s">
        <v>6013</v>
      </c>
      <c r="F2863" s="9"/>
    </row>
    <row r="2864" ht="33.75" customHeight="1">
      <c r="A2864" s="7">
        <v>95.0</v>
      </c>
      <c r="B2864" s="9" t="s">
        <v>5964</v>
      </c>
      <c r="C2864" s="9" t="s">
        <v>5966</v>
      </c>
      <c r="D2864" s="9" t="s">
        <v>114</v>
      </c>
      <c r="E2864" s="6" t="s">
        <v>5982</v>
      </c>
      <c r="F2864" s="9"/>
    </row>
    <row r="2865" ht="33.75" customHeight="1">
      <c r="A2865" s="7">
        <v>95.0</v>
      </c>
      <c r="B2865" s="9" t="s">
        <v>5964</v>
      </c>
      <c r="C2865" s="9" t="s">
        <v>5966</v>
      </c>
      <c r="D2865" s="9" t="s">
        <v>117</v>
      </c>
      <c r="E2865" s="6" t="s">
        <v>5979</v>
      </c>
      <c r="F2865" s="9"/>
    </row>
    <row r="2866" ht="33.75" customHeight="1">
      <c r="A2866" s="7">
        <v>95.0</v>
      </c>
      <c r="B2866" s="9" t="s">
        <v>5964</v>
      </c>
      <c r="C2866" s="9" t="s">
        <v>5966</v>
      </c>
      <c r="D2866" s="9" t="s">
        <v>1577</v>
      </c>
      <c r="E2866" s="6" t="s">
        <v>6025</v>
      </c>
      <c r="F2866" s="9"/>
    </row>
    <row r="2867" ht="33.75" customHeight="1">
      <c r="A2867" s="7">
        <v>96.0</v>
      </c>
      <c r="B2867" s="9" t="s">
        <v>6026</v>
      </c>
      <c r="C2867" s="9" t="s">
        <v>6028</v>
      </c>
      <c r="D2867" s="9" t="s">
        <v>24</v>
      </c>
      <c r="E2867" s="6" t="s">
        <v>6029</v>
      </c>
      <c r="F2867" t="inlineStr" s="10">
        <is>
          <t xml:space="preserve">Nukuttaa viholliset ja syö sitten heidän unensa. Sattuu silloin tällöin sairastumaan syötyään pahoja unia. Jos nukut sen vieressä koko ajan, se näyttää sinulle joskus unia, joissa se on syönyt aiemmin. Jos luulet nähneesi hyvän unen, mutta et muista sitä, DROWZEE on luultavasti syönyt sen. Se muistaa jokaisen syömänsä unen. Se syö harvoin aikuisten unia, koska lasten unet ovat paljon maukkaampia. Kun se nykii kuonoaan, se voi kertoa, missä joku nukkuu ja mistä hän unelmoi. Jos nenäsi kutisee nukkuessasi, se on varma merkki siitä, että jokin näistä POKéMONeista seisoo tyynysi yläpuolella ja yrittää syödä untasi sieraimiesi kautta. Jos nenäsi kutisee nukkuessasi, se on varma merkki siitä, että DROWZEE seisoo tyynysi yläpuolella ja yrittää syödä untasi sieraimiesi kautta. Legendaarisen baku-eläimen jälkeläinen, jonka sanotaan syövän unia. Se on taitava hypnotisoinnissa. Sairastuu toisinaan syötyään vain pahoja unia. Se pystyy haistelemaan isolla nenällään, mitä ihmiset näkevät unissa. Se rakastaa hauskoja unia. Jos nenäsi kutisee nukkuessasi, se on varma merkki siitä, että yksi näistä Pokémoneista seisoo tyynysi yläpuolella ja yrittää syödä untasi sierainten kautta. Tämä Pokémon ravitsee itseään syömällä unia, ja sen uskotaan jakavan yhteisen esi-isän Munnan ja Musharnan kanssa. Se pitää todella hauskoja unia maukkaina. Kun se ystävystyy ihmisten kanssa, se saattaa näyttää heille herkullisimpia unia, joita se on koskaan syönyt. Sen voi havaita virkistysalueiden lähellä, aikomuksenaan syödä siellä sinä päivänä viihtyneiden lasten miellyttäviä unia. Se nukuttaa saaliinsa ja syö niiden unet. Pahat unet tuntuvat maistuvan kitkeriltä, ​​joten Drowzee ei erityisemmin pidä niiden syömisestä.</t>
        </is>
      </c>
    </row>
    <row r="2868" ht="33.75" customHeight="1">
      <c r="A2868" s="7">
        <v>96.0</v>
      </c>
      <c r="B2868" s="9" t="s">
        <v>6026</v>
      </c>
      <c r="C2868" s="9" t="s">
        <v>6028</v>
      </c>
      <c r="D2868" s="9" t="s">
        <v>35</v>
      </c>
      <c r="E2868" s="6" t="s">
        <v>6029</v>
      </c>
      <c r="F2868" s="9"/>
    </row>
    <row r="2869" ht="33.75" customHeight="1">
      <c r="A2869" s="7">
        <v>96.0</v>
      </c>
      <c r="B2869" s="9" t="s">
        <v>6026</v>
      </c>
      <c r="C2869" s="9" t="s">
        <v>6028</v>
      </c>
      <c r="D2869" s="9" t="s">
        <v>42</v>
      </c>
      <c r="E2869" s="6" t="s">
        <v>6032</v>
      </c>
      <c r="F2869" s="9"/>
    </row>
    <row r="2870" ht="33.75" customHeight="1">
      <c r="A2870" s="7">
        <v>96.0</v>
      </c>
      <c r="B2870" s="9" t="s">
        <v>6026</v>
      </c>
      <c r="C2870" s="9" t="s">
        <v>6028</v>
      </c>
      <c r="D2870" s="9" t="s">
        <v>52</v>
      </c>
      <c r="E2870" s="6" t="s">
        <v>6034</v>
      </c>
      <c r="F2870" s="9"/>
    </row>
    <row r="2871" ht="33.75" customHeight="1">
      <c r="A2871" s="7">
        <v>96.0</v>
      </c>
      <c r="B2871" s="9" t="s">
        <v>6026</v>
      </c>
      <c r="C2871" s="9" t="s">
        <v>6028</v>
      </c>
      <c r="D2871" s="9" t="s">
        <v>59</v>
      </c>
      <c r="E2871" s="6" t="s">
        <v>6037</v>
      </c>
      <c r="F2871" s="9"/>
    </row>
    <row r="2872" ht="33.75" customHeight="1">
      <c r="A2872" s="7">
        <v>96.0</v>
      </c>
      <c r="B2872" s="9" t="s">
        <v>6026</v>
      </c>
      <c r="C2872" s="9" t="s">
        <v>6028</v>
      </c>
      <c r="D2872" s="9" t="s">
        <v>64</v>
      </c>
      <c r="E2872" s="6" t="s">
        <v>6039</v>
      </c>
      <c r="F2872" s="9"/>
    </row>
    <row r="2873" ht="33.75" customHeight="1">
      <c r="A2873" s="7">
        <v>96.0</v>
      </c>
      <c r="B2873" s="9" t="s">
        <v>6026</v>
      </c>
      <c r="C2873" s="9" t="s">
        <v>6028</v>
      </c>
      <c r="D2873" s="9" t="s">
        <v>67</v>
      </c>
      <c r="E2873" s="6" t="s">
        <v>6042</v>
      </c>
      <c r="F2873" s="9"/>
    </row>
    <row r="2874" ht="33.75" customHeight="1">
      <c r="A2874" s="7">
        <v>96.0</v>
      </c>
      <c r="B2874" s="9" t="s">
        <v>6026</v>
      </c>
      <c r="C2874" s="9" t="s">
        <v>6028</v>
      </c>
      <c r="D2874" s="9" t="s">
        <v>71</v>
      </c>
      <c r="E2874" s="6" t="s">
        <v>6042</v>
      </c>
      <c r="F2874" s="9"/>
    </row>
    <row r="2875" ht="33.75" customHeight="1">
      <c r="A2875" s="7">
        <v>96.0</v>
      </c>
      <c r="B2875" s="9" t="s">
        <v>6026</v>
      </c>
      <c r="C2875" s="9" t="s">
        <v>6028</v>
      </c>
      <c r="D2875" s="9" t="s">
        <v>73</v>
      </c>
      <c r="E2875" s="6" t="s">
        <v>6046</v>
      </c>
      <c r="F2875" s="9"/>
    </row>
    <row r="2876" ht="33.75" customHeight="1">
      <c r="A2876" s="7">
        <v>96.0</v>
      </c>
      <c r="B2876" s="9" t="s">
        <v>6026</v>
      </c>
      <c r="C2876" s="9" t="s">
        <v>6028</v>
      </c>
      <c r="D2876" s="9" t="s">
        <v>75</v>
      </c>
      <c r="E2876" s="6" t="s">
        <v>6050</v>
      </c>
      <c r="F2876" s="9"/>
    </row>
    <row r="2877" ht="33.75" customHeight="1">
      <c r="A2877" s="7">
        <v>96.0</v>
      </c>
      <c r="B2877" s="9" t="s">
        <v>6026</v>
      </c>
      <c r="C2877" s="9" t="s">
        <v>6028</v>
      </c>
      <c r="D2877" s="9" t="s">
        <v>79</v>
      </c>
      <c r="E2877" s="6" t="s">
        <v>6053</v>
      </c>
      <c r="F2877" s="9"/>
    </row>
    <row r="2878" ht="33.75" customHeight="1">
      <c r="A2878" s="7">
        <v>96.0</v>
      </c>
      <c r="B2878" s="9" t="s">
        <v>6026</v>
      </c>
      <c r="C2878" s="9" t="s">
        <v>6028</v>
      </c>
      <c r="D2878" s="9" t="s">
        <v>81</v>
      </c>
      <c r="E2878" s="6" t="s">
        <v>6055</v>
      </c>
      <c r="F2878" s="9"/>
    </row>
    <row r="2879" ht="33.75" customHeight="1">
      <c r="A2879" s="7">
        <v>96.0</v>
      </c>
      <c r="B2879" s="9" t="s">
        <v>6026</v>
      </c>
      <c r="C2879" s="9" t="s">
        <v>6028</v>
      </c>
      <c r="D2879" s="9" t="s">
        <v>84</v>
      </c>
      <c r="E2879" s="6" t="s">
        <v>6055</v>
      </c>
      <c r="F2879" s="9"/>
    </row>
    <row r="2880" ht="33.75" customHeight="1">
      <c r="A2880" s="7">
        <v>96.0</v>
      </c>
      <c r="B2880" s="9" t="s">
        <v>6026</v>
      </c>
      <c r="C2880" s="9" t="s">
        <v>6028</v>
      </c>
      <c r="D2880" s="9" t="s">
        <v>87</v>
      </c>
      <c r="E2880" s="6" t="s">
        <v>6055</v>
      </c>
      <c r="F2880" s="9"/>
    </row>
    <row r="2881" ht="33.75" customHeight="1">
      <c r="A2881" s="7">
        <v>96.0</v>
      </c>
      <c r="B2881" s="9" t="s">
        <v>6026</v>
      </c>
      <c r="C2881" s="9" t="s">
        <v>6028</v>
      </c>
      <c r="D2881" s="9" t="s">
        <v>89</v>
      </c>
      <c r="E2881" s="6" t="s">
        <v>6034</v>
      </c>
      <c r="F2881" s="9"/>
    </row>
    <row r="2882" ht="33.75" customHeight="1">
      <c r="A2882" s="7">
        <v>96.0</v>
      </c>
      <c r="B2882" s="9" t="s">
        <v>6026</v>
      </c>
      <c r="C2882" s="9" t="s">
        <v>6028</v>
      </c>
      <c r="D2882" s="9" t="s">
        <v>91</v>
      </c>
      <c r="E2882" s="6" t="s">
        <v>6037</v>
      </c>
      <c r="F2882" s="9"/>
    </row>
    <row r="2883" ht="33.75" customHeight="1">
      <c r="A2883" s="7">
        <v>96.0</v>
      </c>
      <c r="B2883" s="9" t="s">
        <v>6026</v>
      </c>
      <c r="C2883" s="9" t="s">
        <v>6028</v>
      </c>
      <c r="D2883" s="9" t="s">
        <v>93</v>
      </c>
      <c r="E2883" s="6" t="s">
        <v>6055</v>
      </c>
      <c r="F2883" s="9"/>
    </row>
    <row r="2884" ht="33.75" customHeight="1">
      <c r="A2884" s="7">
        <v>96.0</v>
      </c>
      <c r="B2884" s="9" t="s">
        <v>6026</v>
      </c>
      <c r="C2884" s="9" t="s">
        <v>6028</v>
      </c>
      <c r="D2884" s="9" t="s">
        <v>95</v>
      </c>
      <c r="E2884" s="6" t="s">
        <v>6055</v>
      </c>
      <c r="F2884" s="9"/>
    </row>
    <row r="2885" ht="33.75" customHeight="1">
      <c r="A2885" s="7">
        <v>96.0</v>
      </c>
      <c r="B2885" s="9" t="s">
        <v>6026</v>
      </c>
      <c r="C2885" s="9" t="s">
        <v>6028</v>
      </c>
      <c r="D2885" s="9" t="s">
        <v>98</v>
      </c>
      <c r="E2885" s="6" t="s">
        <v>6055</v>
      </c>
      <c r="F2885" s="9"/>
    </row>
    <row r="2886" ht="33.75" customHeight="1">
      <c r="A2886" s="7">
        <v>96.0</v>
      </c>
      <c r="B2886" s="9" t="s">
        <v>6026</v>
      </c>
      <c r="C2886" s="9" t="s">
        <v>6028</v>
      </c>
      <c r="D2886" s="9" t="s">
        <v>99</v>
      </c>
      <c r="E2886" s="6" t="s">
        <v>6055</v>
      </c>
      <c r="F2886" s="9"/>
    </row>
    <row r="2887" ht="33.75" customHeight="1">
      <c r="A2887" s="7">
        <v>96.0</v>
      </c>
      <c r="B2887" s="9" t="s">
        <v>6026</v>
      </c>
      <c r="C2887" s="9" t="s">
        <v>6028</v>
      </c>
      <c r="D2887" s="9" t="s">
        <v>101</v>
      </c>
      <c r="E2887" s="6" t="s">
        <v>6053</v>
      </c>
      <c r="F2887" s="9"/>
    </row>
    <row r="2888" ht="33.75" customHeight="1">
      <c r="A2888" s="7">
        <v>96.0</v>
      </c>
      <c r="B2888" s="9" t="s">
        <v>6026</v>
      </c>
      <c r="C2888" s="9" t="s">
        <v>6028</v>
      </c>
      <c r="D2888" s="9" t="s">
        <v>105</v>
      </c>
      <c r="E2888" s="6" t="s">
        <v>6073</v>
      </c>
      <c r="F2888" s="9"/>
    </row>
    <row r="2889" ht="33.75" customHeight="1">
      <c r="A2889" s="7">
        <v>96.0</v>
      </c>
      <c r="B2889" s="9" t="s">
        <v>6026</v>
      </c>
      <c r="C2889" s="9" t="s">
        <v>6028</v>
      </c>
      <c r="D2889" s="9" t="s">
        <v>107</v>
      </c>
      <c r="E2889" s="6" t="s">
        <v>6077</v>
      </c>
      <c r="F2889" s="9"/>
    </row>
    <row r="2890" ht="33.75" customHeight="1">
      <c r="A2890" s="7">
        <v>96.0</v>
      </c>
      <c r="B2890" s="9" t="s">
        <v>6026</v>
      </c>
      <c r="C2890" s="9" t="s">
        <v>6028</v>
      </c>
      <c r="D2890" s="9" t="s">
        <v>109</v>
      </c>
      <c r="E2890" s="6" t="s">
        <v>6077</v>
      </c>
      <c r="F2890" s="9"/>
    </row>
    <row r="2891" ht="33.75" customHeight="1">
      <c r="A2891" s="7">
        <v>96.0</v>
      </c>
      <c r="B2891" s="9" t="s">
        <v>6026</v>
      </c>
      <c r="C2891" s="9" t="s">
        <v>6028</v>
      </c>
      <c r="D2891" s="9" t="s">
        <v>637</v>
      </c>
      <c r="E2891" s="6" t="s">
        <v>6081</v>
      </c>
      <c r="F2891" s="9"/>
    </row>
    <row r="2892" ht="33.75" customHeight="1">
      <c r="A2892" s="7">
        <v>96.0</v>
      </c>
      <c r="B2892" s="9" t="s">
        <v>6026</v>
      </c>
      <c r="C2892" s="9" t="s">
        <v>6028</v>
      </c>
      <c r="D2892" s="9" t="s">
        <v>642</v>
      </c>
      <c r="E2892" s="6" t="s">
        <v>6085</v>
      </c>
      <c r="F2892" s="9"/>
    </row>
    <row r="2893" ht="33.75" customHeight="1">
      <c r="A2893" s="7">
        <v>96.0</v>
      </c>
      <c r="B2893" s="9" t="s">
        <v>6026</v>
      </c>
      <c r="C2893" s="9" t="s">
        <v>6028</v>
      </c>
      <c r="D2893" s="9" t="s">
        <v>647</v>
      </c>
      <c r="E2893" s="6" t="s">
        <v>6088</v>
      </c>
      <c r="F2893" s="9"/>
    </row>
    <row r="2894" ht="33.75" customHeight="1">
      <c r="A2894" s="7">
        <v>96.0</v>
      </c>
      <c r="B2894" s="9" t="s">
        <v>6026</v>
      </c>
      <c r="C2894" s="9" t="s">
        <v>6028</v>
      </c>
      <c r="D2894" s="9" t="s">
        <v>652</v>
      </c>
      <c r="E2894" s="6" t="s">
        <v>6092</v>
      </c>
      <c r="F2894" s="9"/>
    </row>
    <row r="2895" ht="33.75" customHeight="1">
      <c r="A2895" s="7">
        <v>96.0</v>
      </c>
      <c r="B2895" s="9" t="s">
        <v>6026</v>
      </c>
      <c r="C2895" s="9" t="s">
        <v>6028</v>
      </c>
      <c r="D2895" s="9" t="s">
        <v>111</v>
      </c>
      <c r="E2895" s="6" t="s">
        <v>6032</v>
      </c>
      <c r="F2895" s="9"/>
    </row>
    <row r="2896" ht="33.75" customHeight="1">
      <c r="A2896" s="7">
        <v>96.0</v>
      </c>
      <c r="B2896" s="9" t="s">
        <v>6026</v>
      </c>
      <c r="C2896" s="9" t="s">
        <v>6028</v>
      </c>
      <c r="D2896" s="9" t="s">
        <v>113</v>
      </c>
      <c r="E2896" s="6" t="s">
        <v>6032</v>
      </c>
      <c r="F2896" s="9"/>
    </row>
    <row r="2897" ht="33.75" customHeight="1">
      <c r="A2897" s="7">
        <v>97.0</v>
      </c>
      <c r="B2897" s="9" t="s">
        <v>6099</v>
      </c>
      <c r="C2897" s="9" t="s">
        <v>6028</v>
      </c>
      <c r="D2897" s="9" t="s">
        <v>24</v>
      </c>
      <c r="E2897" s="6" t="s">
        <v>6102</v>
      </c>
      <c r="F2897" t="inlineStr" s="10">
        <is>
          <t xml:space="preserve">Kun se kohtaa vihollisen silmät, se käyttää yhdistelmää PSI-liikkeitä, kuten HYPNOOSI ja SEKAUTUS. Vältä katsekontaktia, jos kohtaat sellaisen. Se yrittää nukuttaa sinut heilurin avulla. Kun se on hyvin nälkäinen, se nukuttaa kohtaamansa ihmiset ja sitten se herkuttelee heidän unillaan. Kun heiluria pidetään aina kädessä ja se keinuu tasaisesti, se aiheuttaa uneliaisuutta lähellä oleville. Mitä kauemmin se heiluttaa heiluriaan, sitä kauemmin sen hypnoosivaikutukset kestävät. HYPNO pitelee heiluria kädessään. Heilurin kaarimainen liike ja kimallus tuudittavat vihollisen syvään hypnoositilaan. Samaan aikaan kun tämä POKéMON etsii saalista, se hioo heiluria. Heilurin kaarimainen liike ja kimallus HYPNON kädessä tuudittavat vihollisen syvään hypnoosiin. Saalistaan ​​etsiessään se kiillottaa heiluria. Se kantaa mukanaan heilurin kaltaista laitetta. Kerran tapahtui tapaus, jossa se vei pois hypnotisoimansa lapsen. Heiluriliikkeen näkeminen voi saada unen kolmessa sekunnissa, jopa juuri heränneelle. Kun heiluria pidetään aina kädessä ja se heiluu tasaisesti, se aiheuttaa uneliaisuutta kaikille lähellä oleville. Saalistaan ​​etsiessään tämä Pokémon hioo heiluria. Vaikka se on erittäin vaarallinen Pokémon, ihmiset, jotka tarvitsevat hyvää ja sikeää unta, kutsuvat sitä pelastajakseen. Se nukuttaa jokaisen vastaantulijan ja maistaa heidän uniaan. Se vie mennessään jokaisen, joka näkee hyvän unen. Alolassa Hypnon pääkohde on Komala. Se vahingoittaa ihmisiä harvoin. On olemassa joitakin hypnolaitteita, jotka auttavat lääkäreitä potilaiden kanssa, jotka eivät voi nukkua öisin sairaaloissa.</t>
        </is>
      </c>
    </row>
    <row r="2898" ht="33.75" customHeight="1">
      <c r="A2898" s="7">
        <v>97.0</v>
      </c>
      <c r="B2898" s="9" t="s">
        <v>6099</v>
      </c>
      <c r="C2898" s="9" t="s">
        <v>6028</v>
      </c>
      <c r="D2898" s="9" t="s">
        <v>35</v>
      </c>
      <c r="E2898" s="6" t="s">
        <v>6102</v>
      </c>
      <c r="F2898" s="9"/>
    </row>
    <row r="2899" ht="33.75" customHeight="1">
      <c r="A2899" s="7">
        <v>97.0</v>
      </c>
      <c r="B2899" s="9" t="s">
        <v>6099</v>
      </c>
      <c r="C2899" s="9" t="s">
        <v>6028</v>
      </c>
      <c r="D2899" s="9" t="s">
        <v>42</v>
      </c>
      <c r="E2899" s="6" t="s">
        <v>6110</v>
      </c>
      <c r="F2899" s="9"/>
    </row>
    <row r="2900" ht="33.75" customHeight="1">
      <c r="A2900" s="7">
        <v>97.0</v>
      </c>
      <c r="B2900" s="9" t="s">
        <v>6099</v>
      </c>
      <c r="C2900" s="9" t="s">
        <v>6028</v>
      </c>
      <c r="D2900" s="9" t="s">
        <v>52</v>
      </c>
      <c r="E2900" s="6" t="s">
        <v>6113</v>
      </c>
      <c r="F2900" s="9"/>
    </row>
    <row r="2901" ht="33.75" customHeight="1">
      <c r="A2901" s="7">
        <v>97.0</v>
      </c>
      <c r="B2901" s="9" t="s">
        <v>6099</v>
      </c>
      <c r="C2901" s="9" t="s">
        <v>6028</v>
      </c>
      <c r="D2901" s="9" t="s">
        <v>59</v>
      </c>
      <c r="E2901" s="6" t="s">
        <v>6115</v>
      </c>
      <c r="F2901" s="9"/>
    </row>
    <row r="2902" ht="33.75" customHeight="1">
      <c r="A2902" s="7">
        <v>97.0</v>
      </c>
      <c r="B2902" s="9" t="s">
        <v>6099</v>
      </c>
      <c r="C2902" s="9" t="s">
        <v>6028</v>
      </c>
      <c r="D2902" s="9" t="s">
        <v>64</v>
      </c>
      <c r="E2902" s="6" t="s">
        <v>6117</v>
      </c>
      <c r="F2902" s="9"/>
    </row>
    <row r="2903" ht="33.75" customHeight="1">
      <c r="A2903" s="7">
        <v>97.0</v>
      </c>
      <c r="B2903" s="9" t="s">
        <v>6099</v>
      </c>
      <c r="C2903" s="9" t="s">
        <v>6028</v>
      </c>
      <c r="D2903" s="9" t="s">
        <v>67</v>
      </c>
      <c r="E2903" s="6" t="s">
        <v>6120</v>
      </c>
      <c r="F2903" s="9"/>
    </row>
    <row r="2904" ht="33.75" customHeight="1">
      <c r="A2904" s="7">
        <v>97.0</v>
      </c>
      <c r="B2904" s="9" t="s">
        <v>6099</v>
      </c>
      <c r="C2904" s="9" t="s">
        <v>6028</v>
      </c>
      <c r="D2904" s="9" t="s">
        <v>71</v>
      </c>
      <c r="E2904" s="6" t="s">
        <v>6120</v>
      </c>
      <c r="F2904" s="9"/>
    </row>
    <row r="2905" ht="33.75" customHeight="1">
      <c r="A2905" s="7">
        <v>97.0</v>
      </c>
      <c r="B2905" s="9" t="s">
        <v>6099</v>
      </c>
      <c r="C2905" s="9" t="s">
        <v>6028</v>
      </c>
      <c r="D2905" s="9" t="s">
        <v>73</v>
      </c>
      <c r="E2905" s="6" t="s">
        <v>6126</v>
      </c>
      <c r="F2905" s="9"/>
    </row>
    <row r="2906" ht="33.75" customHeight="1">
      <c r="A2906" s="7">
        <v>97.0</v>
      </c>
      <c r="B2906" s="9" t="s">
        <v>6099</v>
      </c>
      <c r="C2906" s="9" t="s">
        <v>6028</v>
      </c>
      <c r="D2906" s="9" t="s">
        <v>75</v>
      </c>
      <c r="E2906" s="6" t="s">
        <v>6128</v>
      </c>
      <c r="F2906" s="9"/>
    </row>
    <row r="2907" ht="33.75" customHeight="1">
      <c r="A2907" s="7">
        <v>97.0</v>
      </c>
      <c r="B2907" s="9" t="s">
        <v>6099</v>
      </c>
      <c r="C2907" s="9" t="s">
        <v>6028</v>
      </c>
      <c r="D2907" s="9" t="s">
        <v>79</v>
      </c>
      <c r="E2907" s="6" t="s">
        <v>6102</v>
      </c>
      <c r="F2907" s="9"/>
    </row>
    <row r="2908" ht="33.75" customHeight="1">
      <c r="A2908" s="7">
        <v>97.0</v>
      </c>
      <c r="B2908" s="9" t="s">
        <v>6099</v>
      </c>
      <c r="C2908" s="9" t="s">
        <v>6028</v>
      </c>
      <c r="D2908" s="9" t="s">
        <v>81</v>
      </c>
      <c r="E2908" s="6" t="s">
        <v>6132</v>
      </c>
      <c r="F2908" s="9"/>
    </row>
    <row r="2909" ht="33.75" customHeight="1">
      <c r="A2909" s="7">
        <v>97.0</v>
      </c>
      <c r="B2909" s="9" t="s">
        <v>6099</v>
      </c>
      <c r="C2909" s="9" t="s">
        <v>6028</v>
      </c>
      <c r="D2909" s="9" t="s">
        <v>84</v>
      </c>
      <c r="E2909" s="6" t="s">
        <v>6132</v>
      </c>
      <c r="F2909" s="9"/>
    </row>
    <row r="2910" ht="33.75" customHeight="1">
      <c r="A2910" s="7">
        <v>97.0</v>
      </c>
      <c r="B2910" s="9" t="s">
        <v>6099</v>
      </c>
      <c r="C2910" s="9" t="s">
        <v>6028</v>
      </c>
      <c r="D2910" s="9" t="s">
        <v>87</v>
      </c>
      <c r="E2910" s="6" t="s">
        <v>6132</v>
      </c>
      <c r="F2910" s="9"/>
    </row>
    <row r="2911" ht="33.75" customHeight="1">
      <c r="A2911" s="7">
        <v>97.0</v>
      </c>
      <c r="B2911" s="9" t="s">
        <v>6099</v>
      </c>
      <c r="C2911" s="9" t="s">
        <v>6028</v>
      </c>
      <c r="D2911" s="9" t="s">
        <v>89</v>
      </c>
      <c r="E2911" s="6" t="s">
        <v>6113</v>
      </c>
      <c r="F2911" s="9"/>
    </row>
    <row r="2912" ht="33.75" customHeight="1">
      <c r="A2912" s="7">
        <v>97.0</v>
      </c>
      <c r="B2912" s="9" t="s">
        <v>6099</v>
      </c>
      <c r="C2912" s="9" t="s">
        <v>6028</v>
      </c>
      <c r="D2912" s="9" t="s">
        <v>91</v>
      </c>
      <c r="E2912" s="6" t="s">
        <v>6136</v>
      </c>
      <c r="F2912" s="9"/>
    </row>
    <row r="2913" ht="33.75" customHeight="1">
      <c r="A2913" s="7">
        <v>97.0</v>
      </c>
      <c r="B2913" s="9" t="s">
        <v>6099</v>
      </c>
      <c r="C2913" s="9" t="s">
        <v>6028</v>
      </c>
      <c r="D2913" s="9" t="s">
        <v>93</v>
      </c>
      <c r="E2913" s="6" t="s">
        <v>6132</v>
      </c>
      <c r="F2913" s="9"/>
    </row>
    <row r="2914" ht="33.75" customHeight="1">
      <c r="A2914" s="7">
        <v>97.0</v>
      </c>
      <c r="B2914" s="9" t="s">
        <v>6099</v>
      </c>
      <c r="C2914" s="9" t="s">
        <v>6028</v>
      </c>
      <c r="D2914" s="9" t="s">
        <v>95</v>
      </c>
      <c r="E2914" s="6" t="s">
        <v>6132</v>
      </c>
      <c r="F2914" s="9"/>
    </row>
    <row r="2915" ht="33.75" customHeight="1">
      <c r="A2915" s="7">
        <v>97.0</v>
      </c>
      <c r="B2915" s="9" t="s">
        <v>6099</v>
      </c>
      <c r="C2915" s="9" t="s">
        <v>6028</v>
      </c>
      <c r="D2915" s="9" t="s">
        <v>98</v>
      </c>
      <c r="E2915" s="6" t="s">
        <v>6132</v>
      </c>
      <c r="F2915" s="9"/>
    </row>
    <row r="2916" ht="33.75" customHeight="1">
      <c r="A2916" s="7">
        <v>97.0</v>
      </c>
      <c r="B2916" s="9" t="s">
        <v>6099</v>
      </c>
      <c r="C2916" s="9" t="s">
        <v>6028</v>
      </c>
      <c r="D2916" s="9" t="s">
        <v>99</v>
      </c>
      <c r="E2916" s="6" t="s">
        <v>6132</v>
      </c>
      <c r="F2916" s="9"/>
    </row>
    <row r="2917" ht="33.75" customHeight="1">
      <c r="A2917" s="7">
        <v>97.0</v>
      </c>
      <c r="B2917" s="9" t="s">
        <v>6099</v>
      </c>
      <c r="C2917" s="9" t="s">
        <v>6028</v>
      </c>
      <c r="D2917" s="9" t="s">
        <v>101</v>
      </c>
      <c r="E2917" s="6" t="s">
        <v>6128</v>
      </c>
      <c r="F2917" s="9"/>
    </row>
    <row r="2918" ht="33.75" customHeight="1">
      <c r="A2918" s="7">
        <v>97.0</v>
      </c>
      <c r="B2918" s="9" t="s">
        <v>6099</v>
      </c>
      <c r="C2918" s="9" t="s">
        <v>6028</v>
      </c>
      <c r="D2918" s="9" t="s">
        <v>105</v>
      </c>
      <c r="E2918" s="6" t="s">
        <v>6132</v>
      </c>
      <c r="F2918" s="9"/>
    </row>
    <row r="2919" ht="33.75" customHeight="1">
      <c r="A2919" s="7">
        <v>97.0</v>
      </c>
      <c r="B2919" s="9" t="s">
        <v>6099</v>
      </c>
      <c r="C2919" s="9" t="s">
        <v>6028</v>
      </c>
      <c r="D2919" s="9" t="s">
        <v>107</v>
      </c>
      <c r="E2919" s="6" t="s">
        <v>6148</v>
      </c>
      <c r="F2919" s="9"/>
    </row>
    <row r="2920" ht="33.75" customHeight="1">
      <c r="A2920" s="7">
        <v>97.0</v>
      </c>
      <c r="B2920" s="9" t="s">
        <v>6099</v>
      </c>
      <c r="C2920" s="9" t="s">
        <v>6028</v>
      </c>
      <c r="D2920" s="9" t="s">
        <v>109</v>
      </c>
      <c r="E2920" s="6" t="s">
        <v>6148</v>
      </c>
      <c r="F2920" s="9"/>
    </row>
    <row r="2921" ht="33.75" customHeight="1">
      <c r="A2921" s="7">
        <v>97.0</v>
      </c>
      <c r="B2921" s="9" t="s">
        <v>6099</v>
      </c>
      <c r="C2921" s="9" t="s">
        <v>6028</v>
      </c>
      <c r="D2921" s="9" t="s">
        <v>637</v>
      </c>
      <c r="E2921" s="6" t="s">
        <v>6152</v>
      </c>
      <c r="F2921" s="9"/>
    </row>
    <row r="2922" ht="33.75" customHeight="1">
      <c r="A2922" s="7">
        <v>97.0</v>
      </c>
      <c r="B2922" s="9" t="s">
        <v>6099</v>
      </c>
      <c r="C2922" s="9" t="s">
        <v>6028</v>
      </c>
      <c r="D2922" s="9" t="s">
        <v>642</v>
      </c>
      <c r="E2922" s="6" t="s">
        <v>6155</v>
      </c>
      <c r="F2922" s="9"/>
    </row>
    <row r="2923" ht="33.75" customHeight="1">
      <c r="A2923" s="7">
        <v>97.0</v>
      </c>
      <c r="B2923" s="9" t="s">
        <v>6099</v>
      </c>
      <c r="C2923" s="9" t="s">
        <v>6028</v>
      </c>
      <c r="D2923" s="9" t="s">
        <v>647</v>
      </c>
      <c r="E2923" s="6" t="s">
        <v>6157</v>
      </c>
      <c r="F2923" s="9"/>
    </row>
    <row r="2924" ht="33.75" customHeight="1">
      <c r="A2924" s="7">
        <v>97.0</v>
      </c>
      <c r="B2924" s="9" t="s">
        <v>6099</v>
      </c>
      <c r="C2924" s="9" t="s">
        <v>6028</v>
      </c>
      <c r="D2924" s="9" t="s">
        <v>652</v>
      </c>
      <c r="E2924" s="6" t="s">
        <v>6160</v>
      </c>
      <c r="F2924" s="9"/>
    </row>
    <row r="2925" ht="33.75" customHeight="1">
      <c r="A2925" s="7">
        <v>97.0</v>
      </c>
      <c r="B2925" s="9" t="s">
        <v>6099</v>
      </c>
      <c r="C2925" s="9" t="s">
        <v>6028</v>
      </c>
      <c r="D2925" s="9" t="s">
        <v>111</v>
      </c>
      <c r="E2925" s="6" t="s">
        <v>6110</v>
      </c>
      <c r="F2925" s="9"/>
    </row>
    <row r="2926" ht="33.75" customHeight="1">
      <c r="A2926" s="7">
        <v>97.0</v>
      </c>
      <c r="B2926" s="9" t="s">
        <v>6099</v>
      </c>
      <c r="C2926" s="9" t="s">
        <v>6028</v>
      </c>
      <c r="D2926" s="9" t="s">
        <v>113</v>
      </c>
      <c r="E2926" s="6" t="s">
        <v>6110</v>
      </c>
      <c r="F2926" s="9"/>
    </row>
    <row r="2927" ht="33.75" customHeight="1">
      <c r="A2927" s="7">
        <v>98.0</v>
      </c>
      <c r="B2927" s="9" t="s">
        <v>6168</v>
      </c>
      <c r="C2927" s="9" t="s">
        <v>6169</v>
      </c>
      <c r="D2927" s="9" t="s">
        <v>24</v>
      </c>
      <c r="E2927" s="6" t="s">
        <v>6171</v>
      </c>
      <c r="F2927" t="inlineStr" s="10">
        <is>
          <t xml:space="preserve">Krabbyn pihdit eivät ole vain tehokkaita aseita, vaan niitä käytetään tasapainon ylläpitämiseen sivuttain kävellessä. Sen pihdit ovat loistavia aseita. Ne joskus katkeavat taistelun aikana, mutta kasvavat nopeasti takaisin. Jos se aistii lähestyvän vaaran, se peittää itsensä suustaan ​​tulevilla kuplilla näyttääkseen suuremmalta. Pihdit katkeavat helposti. Jos se irtoaa, se ei jostain syystä pysty kävelemään sivuttain. Jos se ei löydä ruokaa, se imee ravinteita nielemällä suullisen hiekkaa. RAPUT elävät rannoilla, kaivautuneina hiekkaan kaivettuihin koloihin. Hiekkarannoilla, joissa on vähän ruokaa, näitä POKéMONEJA voi nähdä riitelemässä keskenään reviirinsä puolesta. RAPUT elävät rannoille kaivetuissa koloissa. Hiekkarannoilla, joissa on vähän ruokaa, ne voivat kiistelemään reviirinsä puolesta. Sitä voi löytää meren läheltä. Suuret pihdit kasvavat takaisin, jos ne revitään irti kuopistaan. Se elää hiekkarannoille kaivetuissa koloissa. Sen pihdit kasvavat täysin takaisin, jos ne katkeavat taistelussa. Jos se irtoaa pihdeistä, se ei jostain syystä pysty kävelemään sivuttain. Krabbyt elävät rannoilla, kaivautuneina hiekkaan kaivettuihin koloihin. Hiekkarannoilla, joilla on vähän ruokaa, näitä Pokémoneja voi nähdä riitelemässä keskenään reviirinsä puolesta.</t>
        </is>
      </c>
    </row>
    <row r="2928" ht="33.75" customHeight="1">
      <c r="A2928" s="7">
        <v>98.0</v>
      </c>
      <c r="B2928" s="9" t="s">
        <v>6168</v>
      </c>
      <c r="C2928" s="9" t="s">
        <v>6169</v>
      </c>
      <c r="D2928" s="9" t="s">
        <v>35</v>
      </c>
      <c r="E2928" s="6" t="s">
        <v>6171</v>
      </c>
      <c r="F2928" s="9"/>
    </row>
    <row r="2929" ht="33.75" customHeight="1">
      <c r="A2929" s="7">
        <v>98.0</v>
      </c>
      <c r="B2929" s="9" t="s">
        <v>6168</v>
      </c>
      <c r="C2929" s="9" t="s">
        <v>6169</v>
      </c>
      <c r="D2929" s="9" t="s">
        <v>42</v>
      </c>
      <c r="E2929" s="6" t="s">
        <v>6177</v>
      </c>
      <c r="F2929" s="9"/>
    </row>
    <row r="2930" ht="33.75" customHeight="1">
      <c r="A2930" s="7">
        <v>98.0</v>
      </c>
      <c r="B2930" s="9" t="s">
        <v>6168</v>
      </c>
      <c r="C2930" s="9" t="s">
        <v>6169</v>
      </c>
      <c r="D2930" s="9" t="s">
        <v>52</v>
      </c>
      <c r="E2930" s="6" t="s">
        <v>6181</v>
      </c>
      <c r="F2930" s="9"/>
    </row>
    <row r="2931" ht="33.75" customHeight="1">
      <c r="A2931" s="7">
        <v>98.0</v>
      </c>
      <c r="B2931" s="9" t="s">
        <v>6168</v>
      </c>
      <c r="C2931" s="9" t="s">
        <v>6169</v>
      </c>
      <c r="D2931" s="9" t="s">
        <v>59</v>
      </c>
      <c r="E2931" s="6" t="s">
        <v>6187</v>
      </c>
      <c r="F2931" s="9"/>
    </row>
    <row r="2932" ht="33.75" customHeight="1">
      <c r="A2932" s="7">
        <v>98.0</v>
      </c>
      <c r="B2932" s="9" t="s">
        <v>6168</v>
      </c>
      <c r="C2932" s="9" t="s">
        <v>6169</v>
      </c>
      <c r="D2932" s="9" t="s">
        <v>64</v>
      </c>
      <c r="E2932" s="6" t="s">
        <v>6190</v>
      </c>
      <c r="F2932" s="9"/>
    </row>
    <row r="2933" ht="33.75" customHeight="1">
      <c r="A2933" s="7">
        <v>98.0</v>
      </c>
      <c r="B2933" s="9" t="s">
        <v>6168</v>
      </c>
      <c r="C2933" s="9" t="s">
        <v>6169</v>
      </c>
      <c r="D2933" s="9" t="s">
        <v>67</v>
      </c>
      <c r="E2933" s="6" t="s">
        <v>6192</v>
      </c>
      <c r="F2933" s="9"/>
    </row>
    <row r="2934" ht="33.75" customHeight="1">
      <c r="A2934" s="7">
        <v>98.0</v>
      </c>
      <c r="B2934" s="9" t="s">
        <v>6168</v>
      </c>
      <c r="C2934" s="9" t="s">
        <v>6169</v>
      </c>
      <c r="D2934" s="9" t="s">
        <v>71</v>
      </c>
      <c r="E2934" s="6" t="s">
        <v>6192</v>
      </c>
      <c r="F2934" s="9"/>
    </row>
    <row r="2935" ht="33.75" customHeight="1">
      <c r="A2935" s="7">
        <v>98.0</v>
      </c>
      <c r="B2935" s="9" t="s">
        <v>6168</v>
      </c>
      <c r="C2935" s="9" t="s">
        <v>6169</v>
      </c>
      <c r="D2935" s="9" t="s">
        <v>73</v>
      </c>
      <c r="E2935" s="6" t="s">
        <v>6196</v>
      </c>
      <c r="F2935" s="9"/>
    </row>
    <row r="2936" ht="33.75" customHeight="1">
      <c r="A2936" s="7">
        <v>98.0</v>
      </c>
      <c r="B2936" s="9" t="s">
        <v>6168</v>
      </c>
      <c r="C2936" s="9" t="s">
        <v>6169</v>
      </c>
      <c r="D2936" s="9" t="s">
        <v>75</v>
      </c>
      <c r="E2936" s="6" t="s">
        <v>6198</v>
      </c>
      <c r="F2936" s="9"/>
    </row>
    <row r="2937" ht="33.75" customHeight="1">
      <c r="A2937" s="7">
        <v>98.0</v>
      </c>
      <c r="B2937" s="9" t="s">
        <v>6168</v>
      </c>
      <c r="C2937" s="9" t="s">
        <v>6169</v>
      </c>
      <c r="D2937" s="9" t="s">
        <v>79</v>
      </c>
      <c r="E2937" s="6" t="s">
        <v>6171</v>
      </c>
      <c r="F2937" s="9"/>
    </row>
    <row r="2938" ht="33.75" customHeight="1">
      <c r="A2938" s="7">
        <v>98.0</v>
      </c>
      <c r="B2938" s="9" t="s">
        <v>6168</v>
      </c>
      <c r="C2938" s="9" t="s">
        <v>6169</v>
      </c>
      <c r="D2938" s="9" t="s">
        <v>81</v>
      </c>
      <c r="E2938" s="6" t="s">
        <v>6202</v>
      </c>
      <c r="F2938" s="9"/>
    </row>
    <row r="2939" ht="33.75" customHeight="1">
      <c r="A2939" s="7">
        <v>98.0</v>
      </c>
      <c r="B2939" s="9" t="s">
        <v>6168</v>
      </c>
      <c r="C2939" s="9" t="s">
        <v>6169</v>
      </c>
      <c r="D2939" s="9" t="s">
        <v>84</v>
      </c>
      <c r="E2939" s="6" t="s">
        <v>6202</v>
      </c>
      <c r="F2939" s="9"/>
    </row>
    <row r="2940" ht="33.75" customHeight="1">
      <c r="A2940" s="7">
        <v>98.0</v>
      </c>
      <c r="B2940" s="9" t="s">
        <v>6168</v>
      </c>
      <c r="C2940" s="9" t="s">
        <v>6169</v>
      </c>
      <c r="D2940" s="9" t="s">
        <v>87</v>
      </c>
      <c r="E2940" s="6" t="s">
        <v>6202</v>
      </c>
      <c r="F2940" s="9"/>
    </row>
    <row r="2941" ht="33.75" customHeight="1">
      <c r="A2941" s="7">
        <v>98.0</v>
      </c>
      <c r="B2941" s="9" t="s">
        <v>6168</v>
      </c>
      <c r="C2941" s="9" t="s">
        <v>6169</v>
      </c>
      <c r="D2941" s="9" t="s">
        <v>89</v>
      </c>
      <c r="E2941" s="6" t="s">
        <v>6181</v>
      </c>
      <c r="F2941" s="9"/>
    </row>
    <row r="2942" ht="33.75" customHeight="1">
      <c r="A2942" s="7">
        <v>98.0</v>
      </c>
      <c r="B2942" s="9" t="s">
        <v>6168</v>
      </c>
      <c r="C2942" s="9" t="s">
        <v>6169</v>
      </c>
      <c r="D2942" s="9" t="s">
        <v>91</v>
      </c>
      <c r="E2942" s="6" t="s">
        <v>6208</v>
      </c>
      <c r="F2942" s="9"/>
    </row>
    <row r="2943" ht="33.75" customHeight="1">
      <c r="A2943" s="7">
        <v>98.0</v>
      </c>
      <c r="B2943" s="9" t="s">
        <v>6168</v>
      </c>
      <c r="C2943" s="9" t="s">
        <v>6169</v>
      </c>
      <c r="D2943" s="9" t="s">
        <v>93</v>
      </c>
      <c r="E2943" s="6" t="s">
        <v>6202</v>
      </c>
      <c r="F2943" s="9"/>
    </row>
    <row r="2944" ht="33.75" customHeight="1">
      <c r="A2944" s="7">
        <v>98.0</v>
      </c>
      <c r="B2944" s="9" t="s">
        <v>6168</v>
      </c>
      <c r="C2944" s="9" t="s">
        <v>6169</v>
      </c>
      <c r="D2944" s="9" t="s">
        <v>95</v>
      </c>
      <c r="E2944" s="6" t="s">
        <v>6202</v>
      </c>
      <c r="F2944" s="9"/>
    </row>
    <row r="2945" ht="33.75" customHeight="1">
      <c r="A2945" s="7">
        <v>98.0</v>
      </c>
      <c r="B2945" s="9" t="s">
        <v>6168</v>
      </c>
      <c r="C2945" s="9" t="s">
        <v>6169</v>
      </c>
      <c r="D2945" s="9" t="s">
        <v>98</v>
      </c>
      <c r="E2945" s="6" t="s">
        <v>6202</v>
      </c>
      <c r="F2945" s="9"/>
    </row>
    <row r="2946" ht="33.75" customHeight="1">
      <c r="A2946" s="7">
        <v>98.0</v>
      </c>
      <c r="B2946" s="9" t="s">
        <v>6168</v>
      </c>
      <c r="C2946" s="9" t="s">
        <v>6169</v>
      </c>
      <c r="D2946" s="9" t="s">
        <v>99</v>
      </c>
      <c r="E2946" s="6" t="s">
        <v>6202</v>
      </c>
      <c r="F2946" s="9"/>
    </row>
    <row r="2947" ht="33.75" customHeight="1">
      <c r="A2947" s="7">
        <v>98.0</v>
      </c>
      <c r="B2947" s="9" t="s">
        <v>6168</v>
      </c>
      <c r="C2947" s="9" t="s">
        <v>6169</v>
      </c>
      <c r="D2947" s="9" t="s">
        <v>101</v>
      </c>
      <c r="E2947" s="6" t="s">
        <v>6181</v>
      </c>
      <c r="F2947" s="9"/>
    </row>
    <row r="2948" ht="33.75" customHeight="1">
      <c r="A2948" s="7">
        <v>98.0</v>
      </c>
      <c r="B2948" s="9" t="s">
        <v>6168</v>
      </c>
      <c r="C2948" s="9" t="s">
        <v>6169</v>
      </c>
      <c r="D2948" s="9" t="s">
        <v>105</v>
      </c>
      <c r="E2948" s="6" t="s">
        <v>6198</v>
      </c>
      <c r="F2948" s="9"/>
    </row>
    <row r="2949" ht="33.75" customHeight="1">
      <c r="A2949" s="7">
        <v>98.0</v>
      </c>
      <c r="B2949" s="9" t="s">
        <v>6168</v>
      </c>
      <c r="C2949" s="9" t="s">
        <v>6169</v>
      </c>
      <c r="D2949" s="9" t="s">
        <v>107</v>
      </c>
      <c r="E2949" s="6" t="s">
        <v>6223</v>
      </c>
      <c r="F2949" s="9"/>
    </row>
    <row r="2950" ht="33.75" customHeight="1">
      <c r="A2950" s="7">
        <v>98.0</v>
      </c>
      <c r="B2950" s="9" t="s">
        <v>6168</v>
      </c>
      <c r="C2950" s="9" t="s">
        <v>6169</v>
      </c>
      <c r="D2950" s="9" t="s">
        <v>109</v>
      </c>
      <c r="E2950" s="6" t="s">
        <v>6223</v>
      </c>
      <c r="F2950" s="9"/>
    </row>
    <row r="2951" ht="33.75" customHeight="1">
      <c r="A2951" s="7">
        <v>98.0</v>
      </c>
      <c r="B2951" s="9" t="s">
        <v>6168</v>
      </c>
      <c r="C2951" s="9" t="s">
        <v>6169</v>
      </c>
      <c r="D2951" s="9" t="s">
        <v>111</v>
      </c>
      <c r="E2951" s="6" t="s">
        <v>6177</v>
      </c>
      <c r="F2951" s="9"/>
    </row>
    <row r="2952" ht="33.75" customHeight="1">
      <c r="A2952" s="7">
        <v>98.0</v>
      </c>
      <c r="B2952" s="9" t="s">
        <v>6168</v>
      </c>
      <c r="C2952" s="9" t="s">
        <v>6169</v>
      </c>
      <c r="D2952" s="9" t="s">
        <v>113</v>
      </c>
      <c r="E2952" s="6" t="s">
        <v>6177</v>
      </c>
      <c r="F2952" s="9"/>
    </row>
    <row r="2953" ht="33.75" customHeight="1">
      <c r="A2953" s="7">
        <v>98.0</v>
      </c>
      <c r="B2953" s="9" t="s">
        <v>6168</v>
      </c>
      <c r="C2953" s="9" t="s">
        <v>6169</v>
      </c>
      <c r="D2953" s="9" t="s">
        <v>114</v>
      </c>
      <c r="E2953" s="6" t="s">
        <v>6198</v>
      </c>
      <c r="F2953" s="9"/>
    </row>
    <row r="2954" ht="33.75" customHeight="1">
      <c r="A2954" s="7">
        <v>98.0</v>
      </c>
      <c r="B2954" s="9" t="s">
        <v>6168</v>
      </c>
      <c r="C2954" s="9" t="s">
        <v>6169</v>
      </c>
      <c r="D2954" s="9" t="s">
        <v>117</v>
      </c>
      <c r="E2954" s="6" t="s">
        <v>6181</v>
      </c>
      <c r="F2954" s="9"/>
    </row>
    <row r="2955" ht="33.75" customHeight="1">
      <c r="A2955" s="7">
        <v>99.0</v>
      </c>
      <c r="B2955" s="9" t="s">
        <v>6233</v>
      </c>
      <c r="C2955" s="9" t="s">
        <v>6234</v>
      </c>
      <c r="D2955" s="9" t="s">
        <v>24</v>
      </c>
      <c r="E2955" s="6" t="s">
        <v>6236</v>
      </c>
      <c r="F2955" t="inlineStr" s="10">
        <is>
          <t xml:space="preserve">Suuressa pihdeissä on 10 000 hevosvoiman murskausteho. Sen valtava koko tekee siitä kuitenkin kömpelön käyttää. Yksi kynsi kasvoi valtavasti ja kovaksi kuin teräs. Sen voima on 10 000 hv. Se on kuitenkin liian painava. Se tuskin pystyy nostamaan massiivista, ylikasvanutta pihtiään. Pihdin koko tekee oikean tähtäyksen vaikeaksi. Sen pihdit kasvavat omituisen suuriksi. Jos se nostaa pihdit liian nopeasti, se menettää tasapainonsa ja horjuu. Sen ylisuuri kynsi on erittäin voimakas, mutta taistelun ulkopuolella kynsi on vain tiellä. KINGLERillä on valtava, ylisuuri kynsi. Se heiluttaa tätä valtavaa kynttä ilmassa kommunikoidakseen muiden kanssa. Koska kynsi on niin painava, POKéMON väsyy kuitenkin nopeasti. Se heiluttaa valtavaa, ylisuuria kynsiään ilmassa kommunikoidakseen muiden kanssa. Mutta koska kynsi on niin painava, tämä POKéMON väsyy nopeasti. Sen suuressa ja kovassa pihdeissä on 10 000 hevosvoimaa. Koska se on niin suuri, sitä on kuitenkin hankala liikuttaa. Suuressa pihdeissä on 10 000 hevosvoiman murskausvoima. Suuremmassa pihtikiväärissä on 10 000 hevosvoimaa. Se on kuitenkin niin painava, että sitä on vaikea tähtätä. Sen suuret ja kovat pihdit ovat 10 000 hevosvoiman tehoisia. Kokonsa ansiosta niitä on kuitenkin hankala liikuttaa. Koska kynsi on kuitenkin niin painava, Pokémon väsyy nopeasti. Yksi kynsi kasvoi valtavasti ja on teräskova. Siinä on 10 000 hevosvoimaa.</t>
        </is>
      </c>
    </row>
    <row r="2956" ht="33.75" customHeight="1">
      <c r="A2956" s="7">
        <v>99.0</v>
      </c>
      <c r="B2956" s="9" t="s">
        <v>6233</v>
      </c>
      <c r="C2956" s="9" t="s">
        <v>6234</v>
      </c>
      <c r="D2956" s="9" t="s">
        <v>35</v>
      </c>
      <c r="E2956" s="6" t="s">
        <v>6236</v>
      </c>
      <c r="F2956" s="9"/>
    </row>
    <row r="2957" ht="33.75" customHeight="1">
      <c r="A2957" s="7">
        <v>99.0</v>
      </c>
      <c r="B2957" s="9" t="s">
        <v>6233</v>
      </c>
      <c r="C2957" s="9" t="s">
        <v>6234</v>
      </c>
      <c r="D2957" s="9" t="s">
        <v>42</v>
      </c>
      <c r="E2957" s="6" t="s">
        <v>6241</v>
      </c>
      <c r="F2957" s="9"/>
    </row>
    <row r="2958" ht="33.75" customHeight="1">
      <c r="A2958" s="7">
        <v>99.0</v>
      </c>
      <c r="B2958" s="9" t="s">
        <v>6233</v>
      </c>
      <c r="C2958" s="9" t="s">
        <v>6234</v>
      </c>
      <c r="D2958" s="9" t="s">
        <v>52</v>
      </c>
      <c r="E2958" s="6" t="s">
        <v>6243</v>
      </c>
      <c r="F2958" s="9"/>
    </row>
    <row r="2959" ht="33.75" customHeight="1">
      <c r="A2959" s="7">
        <v>99.0</v>
      </c>
      <c r="B2959" s="9" t="s">
        <v>6233</v>
      </c>
      <c r="C2959" s="9" t="s">
        <v>6234</v>
      </c>
      <c r="D2959" s="9" t="s">
        <v>59</v>
      </c>
      <c r="E2959" s="6" t="s">
        <v>6246</v>
      </c>
      <c r="F2959" s="9"/>
    </row>
    <row r="2960" ht="33.75" customHeight="1">
      <c r="A2960" s="7">
        <v>99.0</v>
      </c>
      <c r="B2960" s="9" t="s">
        <v>6233</v>
      </c>
      <c r="C2960" s="9" t="s">
        <v>6234</v>
      </c>
      <c r="D2960" s="9" t="s">
        <v>64</v>
      </c>
      <c r="E2960" s="6" t="s">
        <v>6248</v>
      </c>
      <c r="F2960" s="9"/>
    </row>
    <row r="2961" ht="33.75" customHeight="1">
      <c r="A2961" s="7">
        <v>99.0</v>
      </c>
      <c r="B2961" s="9" t="s">
        <v>6233</v>
      </c>
      <c r="C2961" s="9" t="s">
        <v>6234</v>
      </c>
      <c r="D2961" s="9" t="s">
        <v>67</v>
      </c>
      <c r="E2961" s="6" t="s">
        <v>6251</v>
      </c>
      <c r="F2961" s="9"/>
    </row>
    <row r="2962" ht="33.75" customHeight="1">
      <c r="A2962" s="7">
        <v>99.0</v>
      </c>
      <c r="B2962" s="9" t="s">
        <v>6233</v>
      </c>
      <c r="C2962" s="9" t="s">
        <v>6234</v>
      </c>
      <c r="D2962" s="9" t="s">
        <v>71</v>
      </c>
      <c r="E2962" s="6" t="s">
        <v>6251</v>
      </c>
      <c r="F2962" s="9"/>
    </row>
    <row r="2963" ht="33.75" customHeight="1">
      <c r="A2963" s="7">
        <v>99.0</v>
      </c>
      <c r="B2963" s="9" t="s">
        <v>6233</v>
      </c>
      <c r="C2963" s="9" t="s">
        <v>6234</v>
      </c>
      <c r="D2963" s="9" t="s">
        <v>73</v>
      </c>
      <c r="E2963" s="6" t="s">
        <v>6257</v>
      </c>
      <c r="F2963" s="9"/>
    </row>
    <row r="2964" ht="33.75" customHeight="1">
      <c r="A2964" s="7">
        <v>99.0</v>
      </c>
      <c r="B2964" s="9" t="s">
        <v>6233</v>
      </c>
      <c r="C2964" s="9" t="s">
        <v>6234</v>
      </c>
      <c r="D2964" s="9" t="s">
        <v>75</v>
      </c>
      <c r="E2964" s="6" t="s">
        <v>6260</v>
      </c>
      <c r="F2964" s="9"/>
    </row>
    <row r="2965" ht="33.75" customHeight="1">
      <c r="A2965" s="7">
        <v>99.0</v>
      </c>
      <c r="B2965" s="9" t="s">
        <v>6233</v>
      </c>
      <c r="C2965" s="9" t="s">
        <v>6234</v>
      </c>
      <c r="D2965" s="9" t="s">
        <v>79</v>
      </c>
      <c r="E2965" s="6" t="s">
        <v>6262</v>
      </c>
      <c r="F2965" s="9"/>
    </row>
    <row r="2966" ht="33.75" customHeight="1">
      <c r="A2966" s="7">
        <v>99.0</v>
      </c>
      <c r="B2966" s="9" t="s">
        <v>6233</v>
      </c>
      <c r="C2966" s="9" t="s">
        <v>6234</v>
      </c>
      <c r="D2966" s="9" t="s">
        <v>81</v>
      </c>
      <c r="E2966" s="6" t="s">
        <v>6265</v>
      </c>
      <c r="F2966" s="9"/>
    </row>
    <row r="2967" ht="33.75" customHeight="1">
      <c r="A2967" s="7">
        <v>99.0</v>
      </c>
      <c r="B2967" s="9" t="s">
        <v>6233</v>
      </c>
      <c r="C2967" s="9" t="s">
        <v>6234</v>
      </c>
      <c r="D2967" s="9" t="s">
        <v>84</v>
      </c>
      <c r="E2967" s="6" t="s">
        <v>6265</v>
      </c>
      <c r="F2967" s="9"/>
    </row>
    <row r="2968" ht="33.75" customHeight="1">
      <c r="A2968" s="7">
        <v>99.0</v>
      </c>
      <c r="B2968" s="9" t="s">
        <v>6233</v>
      </c>
      <c r="C2968" s="9" t="s">
        <v>6234</v>
      </c>
      <c r="D2968" s="9" t="s">
        <v>87</v>
      </c>
      <c r="E2968" s="6" t="s">
        <v>6265</v>
      </c>
      <c r="F2968" s="9"/>
    </row>
    <row r="2969" ht="33.75" customHeight="1">
      <c r="A2969" s="7">
        <v>99.0</v>
      </c>
      <c r="B2969" s="9" t="s">
        <v>6233</v>
      </c>
      <c r="C2969" s="9" t="s">
        <v>6234</v>
      </c>
      <c r="D2969" s="9" t="s">
        <v>89</v>
      </c>
      <c r="E2969" s="6" t="s">
        <v>6243</v>
      </c>
      <c r="F2969" s="9"/>
    </row>
    <row r="2970" ht="33.75" customHeight="1">
      <c r="A2970" s="7">
        <v>99.0</v>
      </c>
      <c r="B2970" s="9" t="s">
        <v>6233</v>
      </c>
      <c r="C2970" s="9" t="s">
        <v>6234</v>
      </c>
      <c r="D2970" s="9" t="s">
        <v>91</v>
      </c>
      <c r="E2970" s="6" t="s">
        <v>6246</v>
      </c>
      <c r="F2970" s="9"/>
    </row>
    <row r="2971" ht="33.75" customHeight="1">
      <c r="A2971" s="7">
        <v>99.0</v>
      </c>
      <c r="B2971" s="9" t="s">
        <v>6233</v>
      </c>
      <c r="C2971" s="9" t="s">
        <v>6234</v>
      </c>
      <c r="D2971" s="9" t="s">
        <v>93</v>
      </c>
      <c r="E2971" s="6" t="s">
        <v>6265</v>
      </c>
      <c r="F2971" s="9"/>
    </row>
    <row r="2972" ht="33.75" customHeight="1">
      <c r="A2972" s="7">
        <v>99.0</v>
      </c>
      <c r="B2972" s="9" t="s">
        <v>6233</v>
      </c>
      <c r="C2972" s="9" t="s">
        <v>6234</v>
      </c>
      <c r="D2972" s="9" t="s">
        <v>95</v>
      </c>
      <c r="E2972" s="6" t="s">
        <v>6265</v>
      </c>
      <c r="F2972" s="9"/>
    </row>
    <row r="2973" ht="33.75" customHeight="1">
      <c r="A2973" s="7">
        <v>99.0</v>
      </c>
      <c r="B2973" s="9" t="s">
        <v>6233</v>
      </c>
      <c r="C2973" s="9" t="s">
        <v>6234</v>
      </c>
      <c r="D2973" s="9" t="s">
        <v>98</v>
      </c>
      <c r="E2973" s="6" t="s">
        <v>6265</v>
      </c>
      <c r="F2973" s="9"/>
    </row>
    <row r="2974" ht="33.75" customHeight="1">
      <c r="A2974" s="7">
        <v>99.0</v>
      </c>
      <c r="B2974" s="9" t="s">
        <v>6233</v>
      </c>
      <c r="C2974" s="9" t="s">
        <v>6234</v>
      </c>
      <c r="D2974" s="9" t="s">
        <v>99</v>
      </c>
      <c r="E2974" s="6" t="s">
        <v>6265</v>
      </c>
      <c r="F2974" s="9"/>
    </row>
    <row r="2975" ht="33.75" customHeight="1">
      <c r="A2975" s="7">
        <v>99.0</v>
      </c>
      <c r="B2975" s="9" t="s">
        <v>6233</v>
      </c>
      <c r="C2975" s="9" t="s">
        <v>6234</v>
      </c>
      <c r="D2975" s="9" t="s">
        <v>101</v>
      </c>
      <c r="E2975" s="6" t="s">
        <v>6278</v>
      </c>
      <c r="F2975" s="9"/>
    </row>
    <row r="2976" ht="33.75" customHeight="1">
      <c r="A2976" s="7">
        <v>99.0</v>
      </c>
      <c r="B2976" s="9" t="s">
        <v>6233</v>
      </c>
      <c r="C2976" s="9" t="s">
        <v>6234</v>
      </c>
      <c r="D2976" s="9" t="s">
        <v>105</v>
      </c>
      <c r="E2976" s="6" t="s">
        <v>6246</v>
      </c>
      <c r="F2976" s="9"/>
    </row>
    <row r="2977" ht="33.75" customHeight="1">
      <c r="A2977" s="7">
        <v>99.0</v>
      </c>
      <c r="B2977" s="9" t="s">
        <v>6233</v>
      </c>
      <c r="C2977" s="9" t="s">
        <v>6234</v>
      </c>
      <c r="D2977" s="9" t="s">
        <v>107</v>
      </c>
      <c r="E2977" s="6" t="s">
        <v>6282</v>
      </c>
      <c r="F2977" s="9"/>
    </row>
    <row r="2978" ht="33.75" customHeight="1">
      <c r="A2978" s="7">
        <v>99.0</v>
      </c>
      <c r="B2978" s="9" t="s">
        <v>6233</v>
      </c>
      <c r="C2978" s="9" t="s">
        <v>6234</v>
      </c>
      <c r="D2978" s="9" t="s">
        <v>109</v>
      </c>
      <c r="E2978" s="6" t="s">
        <v>6282</v>
      </c>
      <c r="F2978" s="9"/>
    </row>
    <row r="2979" ht="33.75" customHeight="1">
      <c r="A2979" s="7">
        <v>99.0</v>
      </c>
      <c r="B2979" s="9" t="s">
        <v>6233</v>
      </c>
      <c r="C2979" s="9" t="s">
        <v>6234</v>
      </c>
      <c r="D2979" s="9" t="s">
        <v>111</v>
      </c>
      <c r="E2979" s="6" t="s">
        <v>6289</v>
      </c>
      <c r="F2979" s="9"/>
    </row>
    <row r="2980" ht="33.75" customHeight="1">
      <c r="A2980" s="7">
        <v>99.0</v>
      </c>
      <c r="B2980" s="9" t="s">
        <v>6233</v>
      </c>
      <c r="C2980" s="9" t="s">
        <v>6234</v>
      </c>
      <c r="D2980" s="9" t="s">
        <v>113</v>
      </c>
      <c r="E2980" s="6" t="s">
        <v>6289</v>
      </c>
      <c r="F2980" s="9"/>
    </row>
    <row r="2981" ht="33.75" customHeight="1">
      <c r="A2981" s="7">
        <v>99.0</v>
      </c>
      <c r="B2981" s="9" t="s">
        <v>6233</v>
      </c>
      <c r="C2981" s="9" t="s">
        <v>6234</v>
      </c>
      <c r="D2981" s="9" t="s">
        <v>114</v>
      </c>
      <c r="E2981" s="6" t="s">
        <v>6278</v>
      </c>
      <c r="F2981" s="9"/>
    </row>
    <row r="2982" ht="33.75" customHeight="1">
      <c r="A2982" s="7">
        <v>99.0</v>
      </c>
      <c r="B2982" s="9" t="s">
        <v>6233</v>
      </c>
      <c r="C2982" s="9" t="s">
        <v>6234</v>
      </c>
      <c r="D2982" s="9" t="s">
        <v>117</v>
      </c>
      <c r="E2982" s="6" t="s">
        <v>6248</v>
      </c>
      <c r="F2982" s="9"/>
    </row>
    <row r="2983" ht="33.75" customHeight="1">
      <c r="A2983" s="7">
        <v>100.0</v>
      </c>
      <c r="B2983" s="9" t="s">
        <v>6296</v>
      </c>
      <c r="C2983" s="9" t="s">
        <v>6297</v>
      </c>
      <c r="D2983" s="9" t="s">
        <v>24</v>
      </c>
      <c r="E2983" s="6" t="s">
        <v>6298</v>
      </c>
      <c r="F2983" t="inlineStr" s="10">
        <is>
          <t xml:space="preserve">Yleensä voimalaitoksissa. Ne sekoitetaan helposti POKÉ-PALLOIHIN, ja ne ovat tehneet sähköiskun monille ihmisille. Sen sanotaan naamioituvan POKÉ-PALLOKSI. Se tuhoutuu itse hyvin pienellä ärsykkeellä. Se liikkuu vierimällä. Jos maa on epätasainen, äkillinen tärinä töyssyyn osumisesta voi saada sen räjähtämään. Se löydettiin, kun POKÉ-pallot esiteltiin. Sanotaan, että niiden välillä on jonkinlainen yhteys. Tämän POKéMONin tutkimuksen aikana havaittiin, että sen osia ei löydy luonnosta. VOLTORB havaittiin ensimmäisen kerran POKé-PALLOJA valmistavassa yrityksessä. Yhteys havainnon ja sen välillä, että tämä POKéMON näyttää hyvin samankaltaiselta kuin POKé-PALLO, on edelleen mysteeri. VOLTORB on äärimmäisen herkkä – se räjähtää pienimmästäkin iskusta. Huhutaan, että se luotiin, kun POKé-PALLO altistettiin voimakkaalle energiapulssille. Se muistuttaa omituisesti ja selittämättömästi POKÉ-PALLOA. Koska se räjähtää pienimmästäkin tärinästä, jopa kokeneet VALMENTAJAT suhtautuvat siihen varoen. Elämänmuoto, jonka henkilöllisyys on tuntematon. Sen sanotaan KIRKAAVAN tai äkillisesti ITSETUHOUTUVAN. Helposti POKÉ-PALLOKSI luultavaksi luultu, se on tehnyt vaikutuksen moniin ihmisiin. Se näyttää aivan Poképallolta. Se on vaarallinen, koska se voi saada sähköiskun tai räjähtää kosketuksesta. Se löydettiin, kun Poképallot esiteltiin. Helposti Poképalloksi luultava, se on tehnyt monille ihmisille sähköiskun. Voltorb nähtiin ensimmäisen kerran Poképalloja valmistavassa yrityksessä. Yhteys havainnon ja Pokémonin ulkonäön ja Poképallon välisen suhteen on edelleen mysteeri. Huhutaan, että se luotiin, kun Poképallo altistettiin voimakkaalle energiapulssille. Sen sanotaan naamioituvan Poképalloksi. Se tuhoutuu itsestään hyvin pienellä ärsykkeellä. Arvoituksellinen Pokémon, joka sattuu muistuttamaan Poképalloa. Innostuessaan se purkaa vatsaansa varastoiman sähkövirran ja päästää sitten äänekkään, riehakkaan naurun.</t>
        </is>
      </c>
    </row>
    <row r="2984" ht="33.75" customHeight="1">
      <c r="A2984" s="7">
        <v>100.0</v>
      </c>
      <c r="B2984" s="9" t="s">
        <v>6296</v>
      </c>
      <c r="C2984" s="9" t="s">
        <v>6297</v>
      </c>
      <c r="D2984" s="9" t="s">
        <v>35</v>
      </c>
      <c r="E2984" s="6" t="s">
        <v>6298</v>
      </c>
      <c r="F2984" s="9"/>
    </row>
    <row r="2985" ht="33.75" customHeight="1">
      <c r="A2985" s="7">
        <v>100.0</v>
      </c>
      <c r="B2985" s="9" t="s">
        <v>6296</v>
      </c>
      <c r="C2985" s="9" t="s">
        <v>6297</v>
      </c>
      <c r="D2985" s="9" t="s">
        <v>42</v>
      </c>
      <c r="E2985" s="6" t="s">
        <v>6301</v>
      </c>
      <c r="F2985" s="9"/>
    </row>
    <row r="2986" ht="33.75" customHeight="1">
      <c r="A2986" s="7">
        <v>100.0</v>
      </c>
      <c r="B2986" s="9" t="s">
        <v>6296</v>
      </c>
      <c r="C2986" s="9" t="s">
        <v>6297</v>
      </c>
      <c r="D2986" s="9" t="s">
        <v>52</v>
      </c>
      <c r="E2986" s="6" t="s">
        <v>6303</v>
      </c>
      <c r="F2986" s="9"/>
    </row>
    <row r="2987" ht="33.75" customHeight="1">
      <c r="A2987" s="7">
        <v>100.0</v>
      </c>
      <c r="B2987" s="9" t="s">
        <v>6296</v>
      </c>
      <c r="C2987" s="9" t="s">
        <v>6297</v>
      </c>
      <c r="D2987" s="9" t="s">
        <v>59</v>
      </c>
      <c r="E2987" s="6" t="s">
        <v>6305</v>
      </c>
      <c r="F2987" s="9"/>
    </row>
    <row r="2988" ht="33.75" customHeight="1">
      <c r="A2988" s="7">
        <v>100.0</v>
      </c>
      <c r="B2988" s="9" t="s">
        <v>6296</v>
      </c>
      <c r="C2988" s="9" t="s">
        <v>6297</v>
      </c>
      <c r="D2988" s="9" t="s">
        <v>64</v>
      </c>
      <c r="E2988" s="6" t="s">
        <v>6307</v>
      </c>
      <c r="F2988" s="9"/>
    </row>
    <row r="2989" ht="33.75" customHeight="1">
      <c r="A2989" s="7">
        <v>100.0</v>
      </c>
      <c r="B2989" s="9" t="s">
        <v>6296</v>
      </c>
      <c r="C2989" s="9" t="s">
        <v>6297</v>
      </c>
      <c r="D2989" s="9" t="s">
        <v>67</v>
      </c>
      <c r="E2989" s="6" t="s">
        <v>6309</v>
      </c>
      <c r="F2989" s="9"/>
    </row>
    <row r="2990" ht="33.75" customHeight="1">
      <c r="A2990" s="7">
        <v>100.0</v>
      </c>
      <c r="B2990" s="9" t="s">
        <v>6296</v>
      </c>
      <c r="C2990" s="9" t="s">
        <v>6297</v>
      </c>
      <c r="D2990" s="9" t="s">
        <v>71</v>
      </c>
      <c r="E2990" s="6" t="s">
        <v>6311</v>
      </c>
      <c r="F2990" s="9"/>
    </row>
    <row r="2991" ht="33.75" customHeight="1">
      <c r="A2991" s="7">
        <v>100.0</v>
      </c>
      <c r="B2991" s="9" t="s">
        <v>6296</v>
      </c>
      <c r="C2991" s="9" t="s">
        <v>6297</v>
      </c>
      <c r="D2991" s="9" t="s">
        <v>73</v>
      </c>
      <c r="E2991" s="6" t="s">
        <v>6313</v>
      </c>
      <c r="F2991" s="9"/>
    </row>
    <row r="2992" ht="33.75" customHeight="1">
      <c r="A2992" s="7">
        <v>100.0</v>
      </c>
      <c r="B2992" s="9" t="s">
        <v>6296</v>
      </c>
      <c r="C2992" s="9" t="s">
        <v>6297</v>
      </c>
      <c r="D2992" s="9" t="s">
        <v>75</v>
      </c>
      <c r="E2992" s="6" t="s">
        <v>6315</v>
      </c>
      <c r="F2992" s="9"/>
    </row>
    <row r="2993" ht="33.75" customHeight="1">
      <c r="A2993" s="7">
        <v>100.0</v>
      </c>
      <c r="B2993" s="9" t="s">
        <v>6296</v>
      </c>
      <c r="C2993" s="9" t="s">
        <v>6297</v>
      </c>
      <c r="D2993" s="9" t="s">
        <v>79</v>
      </c>
      <c r="E2993" s="6" t="s">
        <v>6318</v>
      </c>
      <c r="F2993" s="9"/>
    </row>
    <row r="2994" ht="33.75" customHeight="1">
      <c r="A2994" s="7">
        <v>100.0</v>
      </c>
      <c r="B2994" s="9" t="s">
        <v>6296</v>
      </c>
      <c r="C2994" s="9" t="s">
        <v>6297</v>
      </c>
      <c r="D2994" s="9" t="s">
        <v>81</v>
      </c>
      <c r="E2994" s="6" t="s">
        <v>6320</v>
      </c>
      <c r="F2994" s="9"/>
    </row>
    <row r="2995" ht="33.75" customHeight="1">
      <c r="A2995" s="7">
        <v>100.0</v>
      </c>
      <c r="B2995" s="9" t="s">
        <v>6296</v>
      </c>
      <c r="C2995" s="9" t="s">
        <v>6297</v>
      </c>
      <c r="D2995" s="9" t="s">
        <v>84</v>
      </c>
      <c r="E2995" s="6" t="s">
        <v>6320</v>
      </c>
      <c r="F2995" s="9"/>
    </row>
    <row r="2996" ht="33.75" customHeight="1">
      <c r="A2996" s="7">
        <v>100.0</v>
      </c>
      <c r="B2996" s="9" t="s">
        <v>6296</v>
      </c>
      <c r="C2996" s="9" t="s">
        <v>6297</v>
      </c>
      <c r="D2996" s="9" t="s">
        <v>87</v>
      </c>
      <c r="E2996" s="6" t="s">
        <v>6320</v>
      </c>
      <c r="F2996" s="9"/>
    </row>
    <row r="2997" ht="33.75" customHeight="1">
      <c r="A2997" s="7">
        <v>100.0</v>
      </c>
      <c r="B2997" s="9" t="s">
        <v>6296</v>
      </c>
      <c r="C2997" s="9" t="s">
        <v>6297</v>
      </c>
      <c r="D2997" s="9" t="s">
        <v>89</v>
      </c>
      <c r="E2997" s="6" t="s">
        <v>6303</v>
      </c>
      <c r="F2997" s="9"/>
    </row>
    <row r="2998" ht="33.75" customHeight="1">
      <c r="A2998" s="7">
        <v>100.0</v>
      </c>
      <c r="B2998" s="9" t="s">
        <v>6296</v>
      </c>
      <c r="C2998" s="9" t="s">
        <v>6297</v>
      </c>
      <c r="D2998" s="9" t="s">
        <v>91</v>
      </c>
      <c r="E2998" s="6" t="s">
        <v>6328</v>
      </c>
      <c r="F2998" s="9"/>
    </row>
    <row r="2999" ht="33.75" customHeight="1">
      <c r="A2999" s="7">
        <v>100.0</v>
      </c>
      <c r="B2999" s="9" t="s">
        <v>6296</v>
      </c>
      <c r="C2999" s="9" t="s">
        <v>6297</v>
      </c>
      <c r="D2999" s="9" t="s">
        <v>93</v>
      </c>
      <c r="E2999" s="6" t="s">
        <v>6320</v>
      </c>
      <c r="F2999" s="9"/>
    </row>
    <row r="3000" ht="33.75" customHeight="1">
      <c r="A3000" s="7">
        <v>100.0</v>
      </c>
      <c r="B3000" s="9" t="s">
        <v>6296</v>
      </c>
      <c r="C3000" s="9" t="s">
        <v>6297</v>
      </c>
      <c r="D3000" s="9" t="s">
        <v>95</v>
      </c>
      <c r="E3000" s="6" t="s">
        <v>6320</v>
      </c>
      <c r="F3000" s="9"/>
    </row>
    <row r="3001" ht="33.75" customHeight="1">
      <c r="A3001" s="7">
        <v>100.0</v>
      </c>
      <c r="B3001" s="9" t="s">
        <v>6296</v>
      </c>
      <c r="C3001" s="9" t="s">
        <v>6297</v>
      </c>
      <c r="D3001" s="9" t="s">
        <v>98</v>
      </c>
      <c r="E3001" s="6" t="s">
        <v>6320</v>
      </c>
      <c r="F3001" s="9"/>
    </row>
    <row r="3002" ht="33.75" customHeight="1">
      <c r="A3002" s="7">
        <v>100.0</v>
      </c>
      <c r="B3002" s="9" t="s">
        <v>6296</v>
      </c>
      <c r="C3002" s="9" t="s">
        <v>6297</v>
      </c>
      <c r="D3002" s="9" t="s">
        <v>99</v>
      </c>
      <c r="E3002" s="6" t="s">
        <v>6320</v>
      </c>
      <c r="F3002" s="9"/>
    </row>
    <row r="3003" ht="33.75" customHeight="1">
      <c r="A3003" s="7">
        <v>100.0</v>
      </c>
      <c r="B3003" s="9" t="s">
        <v>6296</v>
      </c>
      <c r="C3003" s="9" t="s">
        <v>6297</v>
      </c>
      <c r="D3003" s="9" t="s">
        <v>101</v>
      </c>
      <c r="E3003" s="6" t="s">
        <v>6328</v>
      </c>
      <c r="F3003" s="9"/>
    </row>
    <row r="3004" ht="33.75" customHeight="1">
      <c r="A3004" s="7">
        <v>100.0</v>
      </c>
      <c r="B3004" s="9" t="s">
        <v>6296</v>
      </c>
      <c r="C3004" s="9" t="s">
        <v>6297</v>
      </c>
      <c r="D3004" s="9" t="s">
        <v>105</v>
      </c>
      <c r="E3004" s="6" t="s">
        <v>6343</v>
      </c>
      <c r="F3004" s="9"/>
    </row>
    <row r="3005" ht="33.75" customHeight="1">
      <c r="A3005" s="7">
        <v>100.0</v>
      </c>
      <c r="B3005" s="9" t="s">
        <v>6296</v>
      </c>
      <c r="C3005" s="9" t="s">
        <v>6297</v>
      </c>
      <c r="D3005" s="9" t="s">
        <v>107</v>
      </c>
      <c r="E3005" s="6" t="s">
        <v>6347</v>
      </c>
      <c r="F3005" s="9"/>
    </row>
    <row r="3006" ht="33.75" customHeight="1">
      <c r="A3006" s="7">
        <v>100.0</v>
      </c>
      <c r="B3006" s="9" t="s">
        <v>6296</v>
      </c>
      <c r="C3006" s="9" t="s">
        <v>6297</v>
      </c>
      <c r="D3006" s="9" t="s">
        <v>109</v>
      </c>
      <c r="E3006" s="6" t="s">
        <v>6350</v>
      </c>
      <c r="F3006" s="9"/>
    </row>
    <row r="3007" ht="33.75" customHeight="1">
      <c r="A3007" s="7">
        <v>100.0</v>
      </c>
      <c r="B3007" s="9" t="s">
        <v>6296</v>
      </c>
      <c r="C3007" s="9" t="s">
        <v>6297</v>
      </c>
      <c r="D3007" s="9" t="s">
        <v>111</v>
      </c>
      <c r="E3007" s="6" t="s">
        <v>6353</v>
      </c>
      <c r="F3007" s="9"/>
    </row>
    <row r="3008" ht="33.75" customHeight="1">
      <c r="A3008" s="7">
        <v>100.0</v>
      </c>
      <c r="B3008" s="9" t="s">
        <v>6296</v>
      </c>
      <c r="C3008" s="9" t="s">
        <v>6297</v>
      </c>
      <c r="D3008" s="9" t="s">
        <v>113</v>
      </c>
      <c r="E3008" s="6" t="s">
        <v>6353</v>
      </c>
      <c r="F3008" s="9"/>
    </row>
    <row r="3009" ht="33.75" customHeight="1">
      <c r="A3009" s="7">
        <v>100.0</v>
      </c>
      <c r="B3009" s="9" t="s">
        <v>6296</v>
      </c>
      <c r="C3009" s="9" t="s">
        <v>6297</v>
      </c>
      <c r="D3009" s="9" t="s">
        <v>1577</v>
      </c>
      <c r="E3009" s="6" t="s">
        <v>6359</v>
      </c>
      <c r="F3009" s="9"/>
    </row>
    <row r="3010" ht="33.75" customHeight="1">
      <c r="A3010" s="7">
        <v>101.0</v>
      </c>
      <c r="B3010" s="9" t="s">
        <v>6361</v>
      </c>
      <c r="C3010" s="9" t="s">
        <v>6297</v>
      </c>
      <c r="D3010" s="9" t="s">
        <v>24</v>
      </c>
      <c r="E3010" s="6" t="s">
        <v>6363</v>
      </c>
      <c r="F3010" t="inlineStr" s="10">
        <is>
          <t xml:space="preserve">Electrode varastoi sähköenergiaa erittäin korkean paineen alaisena. Se räjähtää usein lähes ilman provokaatiota. Varastoi sähköenergiaa kehoonsa. Pieninkin isku voi laukaista valtavan räjähdyksen. Se on vaarallinen. Jos siinä on liikaa sähköä eikä sillä ole mitään tekemistä, se huvittaa itseään räjähtämällä. Se varastoi valtavan määrän sähköenergiaa kehoonsa. Jopa pieni isku saa sen räjähtämään. Mitä enemmän energiaa se latautuu, sitä nopeammin se toimii. Mutta tämä myös lisää sen räjähdysherkkyyttä. ELEKTRODI kuluttaa ilmakehässä olevaa sähköä. Päivinä, jolloin salama iskee, voit nähdä tämän POKéMONin räjähtävän joka puolelle syötyään liikaa sähköä. Yksi ELECTRODEn ominaisuuksista on sen vetovoima sähköön. Se on ongelmallinen POKéMON, joka kerääntyy enimmäkseen sähkölaitoksille syömään juuri tuotettua sähköä. Niitä esiintyy sankoin joukoin sähkövoimaloissa. Koska ne käyttävät sähköä, ne aiheuttavat massiivisia ja kaoottisia sähkökatkoksia lähikaupungeissa. Se räjähtää pienimmistäkin ärsykkeistä. Sitä pelätään, ja sille annetaan lempinimi "Pommipallo". Sen tiedetään ajelehtivan tuulen mukana, jos se on paisunut niin paljon, että se on täynnä varastoitunutta sähköä. Se varastoi kehoonsa valtavan määrän sähköenergiaa. Elektrodi syö sähköä ilmakehässä. Päivinä, jolloin salama iskee, voit nähdä tämän Pokémonin räjähtävän joka paikkaan syötyään liikaa sähköä. Sen kehon pinnalla oleva kudos on koostumukseltaan yllättävän samanlaista kuin aprikoosilla. Ärtyneenä tämä Pokémon päästää 20 salamaniskun verran sähkövirtaa.</t>
        </is>
      </c>
    </row>
    <row r="3011" ht="33.75" customHeight="1">
      <c r="A3011" s="7">
        <v>101.0</v>
      </c>
      <c r="B3011" s="9" t="s">
        <v>6361</v>
      </c>
      <c r="C3011" s="9" t="s">
        <v>6297</v>
      </c>
      <c r="D3011" s="9" t="s">
        <v>35</v>
      </c>
      <c r="E3011" s="6" t="s">
        <v>6363</v>
      </c>
      <c r="F3011" s="9"/>
    </row>
    <row r="3012" ht="33.75" customHeight="1">
      <c r="A3012" s="7">
        <v>101.0</v>
      </c>
      <c r="B3012" s="9" t="s">
        <v>6361</v>
      </c>
      <c r="C3012" s="9" t="s">
        <v>6297</v>
      </c>
      <c r="D3012" s="9" t="s">
        <v>42</v>
      </c>
      <c r="E3012" s="6" t="s">
        <v>6367</v>
      </c>
      <c r="F3012" s="9"/>
    </row>
    <row r="3013" ht="33.75" customHeight="1">
      <c r="A3013" s="7">
        <v>101.0</v>
      </c>
      <c r="B3013" s="9" t="s">
        <v>6361</v>
      </c>
      <c r="C3013" s="9" t="s">
        <v>6297</v>
      </c>
      <c r="D3013" s="9" t="s">
        <v>52</v>
      </c>
      <c r="E3013" s="6" t="s">
        <v>6369</v>
      </c>
      <c r="F3013" s="9"/>
    </row>
    <row r="3014" ht="33.75" customHeight="1">
      <c r="A3014" s="7">
        <v>101.0</v>
      </c>
      <c r="B3014" s="9" t="s">
        <v>6361</v>
      </c>
      <c r="C3014" s="9" t="s">
        <v>6297</v>
      </c>
      <c r="D3014" s="9" t="s">
        <v>59</v>
      </c>
      <c r="E3014" s="6" t="s">
        <v>6371</v>
      </c>
      <c r="F3014" s="9"/>
    </row>
    <row r="3015" ht="33.75" customHeight="1">
      <c r="A3015" s="7">
        <v>101.0</v>
      </c>
      <c r="B3015" s="9" t="s">
        <v>6361</v>
      </c>
      <c r="C3015" s="9" t="s">
        <v>6297</v>
      </c>
      <c r="D3015" s="9" t="s">
        <v>64</v>
      </c>
      <c r="E3015" s="6" t="s">
        <v>6374</v>
      </c>
      <c r="F3015" s="9"/>
    </row>
    <row r="3016" ht="33.75" customHeight="1">
      <c r="A3016" s="7">
        <v>101.0</v>
      </c>
      <c r="B3016" s="9" t="s">
        <v>6361</v>
      </c>
      <c r="C3016" s="9" t="s">
        <v>6297</v>
      </c>
      <c r="D3016" s="9" t="s">
        <v>67</v>
      </c>
      <c r="E3016" s="6" t="s">
        <v>6376</v>
      </c>
      <c r="F3016" s="9"/>
    </row>
    <row r="3017" ht="33.75" customHeight="1">
      <c r="A3017" s="7">
        <v>101.0</v>
      </c>
      <c r="B3017" s="9" t="s">
        <v>6361</v>
      </c>
      <c r="C3017" s="9" t="s">
        <v>6297</v>
      </c>
      <c r="D3017" s="9" t="s">
        <v>71</v>
      </c>
      <c r="E3017" s="6" t="s">
        <v>6378</v>
      </c>
      <c r="F3017" s="9"/>
    </row>
    <row r="3018" ht="33.75" customHeight="1">
      <c r="A3018" s="7">
        <v>101.0</v>
      </c>
      <c r="B3018" s="9" t="s">
        <v>6361</v>
      </c>
      <c r="C3018" s="9" t="s">
        <v>6297</v>
      </c>
      <c r="D3018" s="9" t="s">
        <v>73</v>
      </c>
      <c r="E3018" s="6" t="s">
        <v>6381</v>
      </c>
      <c r="F3018" s="9"/>
    </row>
    <row r="3019" ht="33.75" customHeight="1">
      <c r="A3019" s="7">
        <v>101.0</v>
      </c>
      <c r="B3019" s="9" t="s">
        <v>6361</v>
      </c>
      <c r="C3019" s="9" t="s">
        <v>6297</v>
      </c>
      <c r="D3019" s="9" t="s">
        <v>75</v>
      </c>
      <c r="E3019" s="6" t="s">
        <v>6383</v>
      </c>
      <c r="F3019" s="9"/>
    </row>
    <row r="3020" ht="33.75" customHeight="1">
      <c r="A3020" s="7">
        <v>101.0</v>
      </c>
      <c r="B3020" s="9" t="s">
        <v>6361</v>
      </c>
      <c r="C3020" s="9" t="s">
        <v>6297</v>
      </c>
      <c r="D3020" s="9" t="s">
        <v>79</v>
      </c>
      <c r="E3020" s="6" t="s">
        <v>6363</v>
      </c>
      <c r="F3020" s="9"/>
    </row>
    <row r="3021" ht="33.75" customHeight="1">
      <c r="A3021" s="7">
        <v>101.0</v>
      </c>
      <c r="B3021" s="9" t="s">
        <v>6361</v>
      </c>
      <c r="C3021" s="9" t="s">
        <v>6297</v>
      </c>
      <c r="D3021" s="9" t="s">
        <v>81</v>
      </c>
      <c r="E3021" s="6" t="s">
        <v>6386</v>
      </c>
      <c r="F3021" s="9"/>
    </row>
    <row r="3022" ht="33.75" customHeight="1">
      <c r="A3022" s="7">
        <v>101.0</v>
      </c>
      <c r="B3022" s="9" t="s">
        <v>6361</v>
      </c>
      <c r="C3022" s="9" t="s">
        <v>6297</v>
      </c>
      <c r="D3022" s="9" t="s">
        <v>84</v>
      </c>
      <c r="E3022" s="6" t="s">
        <v>6386</v>
      </c>
      <c r="F3022" s="9"/>
    </row>
    <row r="3023" ht="33.75" customHeight="1">
      <c r="A3023" s="7">
        <v>101.0</v>
      </c>
      <c r="B3023" s="9" t="s">
        <v>6361</v>
      </c>
      <c r="C3023" s="9" t="s">
        <v>6297</v>
      </c>
      <c r="D3023" s="9" t="s">
        <v>87</v>
      </c>
      <c r="E3023" s="6" t="s">
        <v>6386</v>
      </c>
      <c r="F3023" s="9"/>
    </row>
    <row r="3024" ht="33.75" customHeight="1">
      <c r="A3024" s="7">
        <v>101.0</v>
      </c>
      <c r="B3024" s="9" t="s">
        <v>6361</v>
      </c>
      <c r="C3024" s="9" t="s">
        <v>6297</v>
      </c>
      <c r="D3024" s="9" t="s">
        <v>89</v>
      </c>
      <c r="E3024" s="6" t="s">
        <v>6369</v>
      </c>
      <c r="F3024" s="9"/>
    </row>
    <row r="3025" ht="33.75" customHeight="1">
      <c r="A3025" s="7">
        <v>101.0</v>
      </c>
      <c r="B3025" s="9" t="s">
        <v>6361</v>
      </c>
      <c r="C3025" s="9" t="s">
        <v>6297</v>
      </c>
      <c r="D3025" s="9" t="s">
        <v>91</v>
      </c>
      <c r="E3025" s="6" t="s">
        <v>6390</v>
      </c>
      <c r="F3025" s="9"/>
    </row>
    <row r="3026" ht="33.75" customHeight="1">
      <c r="A3026" s="7">
        <v>101.0</v>
      </c>
      <c r="B3026" s="9" t="s">
        <v>6361</v>
      </c>
      <c r="C3026" s="9" t="s">
        <v>6297</v>
      </c>
      <c r="D3026" s="9" t="s">
        <v>93</v>
      </c>
      <c r="E3026" s="6" t="s">
        <v>6386</v>
      </c>
      <c r="F3026" s="9"/>
    </row>
    <row r="3027" ht="33.75" customHeight="1">
      <c r="A3027" s="7">
        <v>101.0</v>
      </c>
      <c r="B3027" s="9" t="s">
        <v>6361</v>
      </c>
      <c r="C3027" s="9" t="s">
        <v>6297</v>
      </c>
      <c r="D3027" s="9" t="s">
        <v>95</v>
      </c>
      <c r="E3027" s="6" t="s">
        <v>6386</v>
      </c>
      <c r="F3027" s="9"/>
    </row>
    <row r="3028" ht="33.75" customHeight="1">
      <c r="A3028" s="7">
        <v>101.0</v>
      </c>
      <c r="B3028" s="9" t="s">
        <v>6361</v>
      </c>
      <c r="C3028" s="9" t="s">
        <v>6297</v>
      </c>
      <c r="D3028" s="9" t="s">
        <v>98</v>
      </c>
      <c r="E3028" s="6" t="s">
        <v>6386</v>
      </c>
      <c r="F3028" s="9"/>
    </row>
    <row r="3029" ht="33.75" customHeight="1">
      <c r="A3029" s="7">
        <v>101.0</v>
      </c>
      <c r="B3029" s="9" t="s">
        <v>6361</v>
      </c>
      <c r="C3029" s="9" t="s">
        <v>6297</v>
      </c>
      <c r="D3029" s="9" t="s">
        <v>99</v>
      </c>
      <c r="E3029" s="6" t="s">
        <v>6386</v>
      </c>
      <c r="F3029" s="9"/>
    </row>
    <row r="3030" ht="33.75" customHeight="1">
      <c r="A3030" s="7">
        <v>101.0</v>
      </c>
      <c r="B3030" s="9" t="s">
        <v>6361</v>
      </c>
      <c r="C3030" s="9" t="s">
        <v>6297</v>
      </c>
      <c r="D3030" s="9" t="s">
        <v>101</v>
      </c>
      <c r="E3030" s="6" t="s">
        <v>6383</v>
      </c>
      <c r="F3030" s="9"/>
    </row>
    <row r="3031" ht="33.75" customHeight="1">
      <c r="A3031" s="7">
        <v>101.0</v>
      </c>
      <c r="B3031" s="9" t="s">
        <v>6361</v>
      </c>
      <c r="C3031" s="9" t="s">
        <v>6297</v>
      </c>
      <c r="D3031" s="9" t="s">
        <v>105</v>
      </c>
      <c r="E3031" s="6" t="s">
        <v>6390</v>
      </c>
      <c r="F3031" s="9"/>
    </row>
    <row r="3032" ht="33.75" customHeight="1">
      <c r="A3032" s="7">
        <v>101.0</v>
      </c>
      <c r="B3032" s="9" t="s">
        <v>6361</v>
      </c>
      <c r="C3032" s="9" t="s">
        <v>6297</v>
      </c>
      <c r="D3032" s="9" t="s">
        <v>107</v>
      </c>
      <c r="E3032" s="6" t="s">
        <v>6402</v>
      </c>
      <c r="F3032" s="9"/>
    </row>
    <row r="3033" ht="33.75" customHeight="1">
      <c r="A3033" s="7">
        <v>101.0</v>
      </c>
      <c r="B3033" s="9" t="s">
        <v>6361</v>
      </c>
      <c r="C3033" s="9" t="s">
        <v>6297</v>
      </c>
      <c r="D3033" s="9" t="s">
        <v>109</v>
      </c>
      <c r="E3033" s="6" t="s">
        <v>6404</v>
      </c>
      <c r="F3033" s="9"/>
    </row>
    <row r="3034" ht="33.75" customHeight="1">
      <c r="A3034" s="7">
        <v>101.0</v>
      </c>
      <c r="B3034" s="9" t="s">
        <v>6361</v>
      </c>
      <c r="C3034" s="9" t="s">
        <v>6297</v>
      </c>
      <c r="D3034" s="9" t="s">
        <v>111</v>
      </c>
      <c r="E3034" s="6" t="s">
        <v>6367</v>
      </c>
      <c r="F3034" s="9"/>
    </row>
    <row r="3035" ht="33.75" customHeight="1">
      <c r="A3035" s="7">
        <v>101.0</v>
      </c>
      <c r="B3035" s="9" t="s">
        <v>6361</v>
      </c>
      <c r="C3035" s="9" t="s">
        <v>6297</v>
      </c>
      <c r="D3035" s="9" t="s">
        <v>113</v>
      </c>
      <c r="E3035" s="6" t="s">
        <v>6367</v>
      </c>
      <c r="F3035" s="9"/>
    </row>
    <row r="3036" ht="33.75" customHeight="1">
      <c r="A3036" s="7">
        <v>101.0</v>
      </c>
      <c r="B3036" s="9" t="s">
        <v>6361</v>
      </c>
      <c r="C3036" s="9" t="s">
        <v>6297</v>
      </c>
      <c r="D3036" s="9" t="s">
        <v>1577</v>
      </c>
      <c r="E3036" s="6" t="s">
        <v>6412</v>
      </c>
      <c r="F3036" s="9"/>
    </row>
    <row r="3037" ht="33.75" customHeight="1">
      <c r="A3037" s="7">
        <v>102.0</v>
      </c>
      <c r="B3037" s="9" t="s">
        <v>6414</v>
      </c>
      <c r="C3037" s="9" t="s">
        <v>6416</v>
      </c>
      <c r="D3037" s="9" t="s">
        <v>24</v>
      </c>
      <c r="E3037" s="6" t="s">
        <v>6418</v>
      </c>
      <c r="F3037" t="inlineStr" s="10">
        <is>
          <t xml:space="preserve">Usein luullaan muniksi. Häiriintyessään ne kerääntyvät nopeasti ja hyökkäävät parvina. Päät vetävät toisiaan puoleensa ja pyörivät ympäri. Tasapainon ylläpitämiseksi tarvitaan kuusi päätä. Kuori on erittäin kestävä. Vaikka se halkeaisi, se selviää ilman sisällön läikkymistä. Käyttäen vain telepatiaa, jota he voivat vastaanottaa, ne muodostavat aina kuuden EXEGGCUTE-hahmon klusterin. Jos yksikin erottuu ryhmästä, kuuden välinen energiaside saa heidät välittömästi liittymään takaisin. Tämä POKéMON koostuu kuudesta munasta, jotka muodostavat tiiviisti yhteen kietoutuneen ryppään. Kuusi munaa vetävät toisiaan puoleensa ja pyörivät ympäriinsä. Kun muniin ilmestyy yhä enemmän halkeamia, EXEGGCUTE on lähellä evoluutiota. Se koostuu kuudesta toisistaan ​​huolehtivasta munasta. Munat vetävät toisiaan puoleensa ja pyörivät ympäriinsä. Kun halkeamia alkaa ilmestyä yhä enemmän, se on lähellä evoluutiota. Vaikka se näyttää jonkinlaisilta munilta, sen havaittiin olevan elämänmuoto, joka muistuttaa enemmän kasvien siemeniä. Se sekoitetaan usein muniin. Häirittyinä ne kerääntyvät nopeasti ja hyökkäävät parvina. Sen kuusi munaa keskustelevat telepatian avulla. Ne voivat nopeasti kokoontua yhteen, jos ne erkanevat toisistaan. Niiden kuoret ovat erittäin kestäviä. Vaikka ne halkeaisivat, ne selviävät hengissä läikyttämättä sisältöään. Käyttäen vain itse käyttämäänsä telepatiaa, he muodostavat aina kuuden EXEGGCUTE-hahmon klusterin. Sen kuusi munaa käyttävät telepatiaa kommunikoidakseen keskenään. Sen uskotaan kantavan kasvien ja muiden lajien geenejä. Kuusi niistä muodostaa yhdessä täysimittaisen Pokémonin. Crabrawler usein metsästää sitä, mutta se ajaa sen pois psykokineesin avulla. Kuusi niistä muodostaa yhden Pokémonin. Jos yksi kuudesta katoaa, seuraavana aamuna niitä on jälleen kuusi. Vaikka ne ovat saman kokoisia kuin muut Exeggcute-hahmot, Alolassa valmistetut ovat melko painavia. Niiden kuoret on pakattu täyteen. Jotta se pysyisi tasapainossa, päitä täytyy olla kuusi. Vaikka se saattaa näyttää vain joukolta munia, se on oikea Pokémon. Exeggcute kommunikoi ilmeisesti muiden kaltaistensa kanssa telepaattisesti. Nämä Pokémonit hermostuvat, jos he eivät ole kuuden hengen ryhmässä. Heti kun yksikin ryhmän jäsen katoaa, Exeggcutesta tulee pelkurimainen.</t>
        </is>
      </c>
    </row>
    <row r="3038" ht="33.75" customHeight="1">
      <c r="A3038" s="7">
        <v>102.0</v>
      </c>
      <c r="B3038" s="9" t="s">
        <v>6414</v>
      </c>
      <c r="C3038" s="9" t="s">
        <v>6416</v>
      </c>
      <c r="D3038" s="9" t="s">
        <v>35</v>
      </c>
      <c r="E3038" s="6" t="s">
        <v>6418</v>
      </c>
      <c r="F3038" s="9"/>
    </row>
    <row r="3039" ht="33.75" customHeight="1">
      <c r="A3039" s="7">
        <v>102.0</v>
      </c>
      <c r="B3039" s="9" t="s">
        <v>6414</v>
      </c>
      <c r="C3039" s="9" t="s">
        <v>6416</v>
      </c>
      <c r="D3039" s="9" t="s">
        <v>42</v>
      </c>
      <c r="E3039" s="6" t="s">
        <v>6423</v>
      </c>
      <c r="F3039" s="9"/>
    </row>
    <row r="3040" ht="33.75" customHeight="1">
      <c r="A3040" s="7">
        <v>102.0</v>
      </c>
      <c r="B3040" s="9" t="s">
        <v>6414</v>
      </c>
      <c r="C3040" s="9" t="s">
        <v>6416</v>
      </c>
      <c r="D3040" s="9" t="s">
        <v>52</v>
      </c>
      <c r="E3040" s="6" t="s">
        <v>6425</v>
      </c>
      <c r="F3040" s="9"/>
    </row>
    <row r="3041" ht="33.75" customHeight="1">
      <c r="A3041" s="7">
        <v>102.0</v>
      </c>
      <c r="B3041" s="9" t="s">
        <v>6414</v>
      </c>
      <c r="C3041" s="9" t="s">
        <v>6416</v>
      </c>
      <c r="D3041" s="9" t="s">
        <v>59</v>
      </c>
      <c r="E3041" s="6" t="s">
        <v>6428</v>
      </c>
      <c r="F3041" s="9"/>
    </row>
    <row r="3042" ht="33.75" customHeight="1">
      <c r="A3042" s="7">
        <v>102.0</v>
      </c>
      <c r="B3042" s="9" t="s">
        <v>6414</v>
      </c>
      <c r="C3042" s="9" t="s">
        <v>6416</v>
      </c>
      <c r="D3042" s="9" t="s">
        <v>64</v>
      </c>
      <c r="E3042" s="6" t="s">
        <v>6432</v>
      </c>
      <c r="F3042" s="9"/>
    </row>
    <row r="3043" ht="33.75" customHeight="1">
      <c r="A3043" s="7">
        <v>102.0</v>
      </c>
      <c r="B3043" s="9" t="s">
        <v>6414</v>
      </c>
      <c r="C3043" s="9" t="s">
        <v>6416</v>
      </c>
      <c r="D3043" s="9" t="s">
        <v>67</v>
      </c>
      <c r="E3043" s="6" t="s">
        <v>6437</v>
      </c>
      <c r="F3043" s="9"/>
    </row>
    <row r="3044" ht="33.75" customHeight="1">
      <c r="A3044" s="7">
        <v>102.0</v>
      </c>
      <c r="B3044" s="9" t="s">
        <v>6414</v>
      </c>
      <c r="C3044" s="9" t="s">
        <v>6416</v>
      </c>
      <c r="D3044" s="9" t="s">
        <v>71</v>
      </c>
      <c r="E3044" s="6" t="s">
        <v>6437</v>
      </c>
      <c r="F3044" s="9"/>
    </row>
    <row r="3045" ht="33.75" customHeight="1">
      <c r="A3045" s="7">
        <v>102.0</v>
      </c>
      <c r="B3045" s="9" t="s">
        <v>6414</v>
      </c>
      <c r="C3045" s="9" t="s">
        <v>6416</v>
      </c>
      <c r="D3045" s="9" t="s">
        <v>73</v>
      </c>
      <c r="E3045" s="6" t="s">
        <v>6441</v>
      </c>
      <c r="F3045" s="9"/>
    </row>
    <row r="3046" ht="33.75" customHeight="1">
      <c r="A3046" s="7">
        <v>102.0</v>
      </c>
      <c r="B3046" s="9" t="s">
        <v>6414</v>
      </c>
      <c r="C3046" s="9" t="s">
        <v>6416</v>
      </c>
      <c r="D3046" s="9" t="s">
        <v>75</v>
      </c>
      <c r="E3046" s="6" t="s">
        <v>6443</v>
      </c>
      <c r="F3046" s="9"/>
    </row>
    <row r="3047" ht="33.75" customHeight="1">
      <c r="A3047" s="7">
        <v>102.0</v>
      </c>
      <c r="B3047" s="9" t="s">
        <v>6414</v>
      </c>
      <c r="C3047" s="9" t="s">
        <v>6416</v>
      </c>
      <c r="D3047" s="9" t="s">
        <v>79</v>
      </c>
      <c r="E3047" s="6" t="s">
        <v>6446</v>
      </c>
      <c r="F3047" s="9"/>
    </row>
    <row r="3048" ht="33.75" customHeight="1">
      <c r="A3048" s="7">
        <v>102.0</v>
      </c>
      <c r="B3048" s="9" t="s">
        <v>6414</v>
      </c>
      <c r="C3048" s="9" t="s">
        <v>6416</v>
      </c>
      <c r="D3048" s="9" t="s">
        <v>81</v>
      </c>
      <c r="E3048" s="6" t="s">
        <v>6448</v>
      </c>
      <c r="F3048" s="9"/>
    </row>
    <row r="3049" ht="33.75" customHeight="1">
      <c r="A3049" s="7">
        <v>102.0</v>
      </c>
      <c r="B3049" s="9" t="s">
        <v>6414</v>
      </c>
      <c r="C3049" s="9" t="s">
        <v>6416</v>
      </c>
      <c r="D3049" s="9" t="s">
        <v>84</v>
      </c>
      <c r="E3049" s="6" t="s">
        <v>6448</v>
      </c>
      <c r="F3049" s="9"/>
    </row>
    <row r="3050" ht="33.75" customHeight="1">
      <c r="A3050" s="7">
        <v>102.0</v>
      </c>
      <c r="B3050" s="9" t="s">
        <v>6414</v>
      </c>
      <c r="C3050" s="9" t="s">
        <v>6416</v>
      </c>
      <c r="D3050" s="9" t="s">
        <v>87</v>
      </c>
      <c r="E3050" s="6" t="s">
        <v>6448</v>
      </c>
      <c r="F3050" s="9"/>
    </row>
    <row r="3051" ht="33.75" customHeight="1">
      <c r="A3051" s="7">
        <v>102.0</v>
      </c>
      <c r="B3051" s="9" t="s">
        <v>6414</v>
      </c>
      <c r="C3051" s="9" t="s">
        <v>6416</v>
      </c>
      <c r="D3051" s="9" t="s">
        <v>89</v>
      </c>
      <c r="E3051" s="6" t="s">
        <v>6454</v>
      </c>
      <c r="F3051" s="9"/>
    </row>
    <row r="3052" ht="33.75" customHeight="1">
      <c r="A3052" s="7">
        <v>102.0</v>
      </c>
      <c r="B3052" s="9" t="s">
        <v>6414</v>
      </c>
      <c r="C3052" s="9" t="s">
        <v>6416</v>
      </c>
      <c r="D3052" s="9" t="s">
        <v>91</v>
      </c>
      <c r="E3052" s="6" t="s">
        <v>6457</v>
      </c>
      <c r="F3052" s="9"/>
    </row>
    <row r="3053" ht="33.75" customHeight="1">
      <c r="A3053" s="7">
        <v>102.0</v>
      </c>
      <c r="B3053" s="9" t="s">
        <v>6414</v>
      </c>
      <c r="C3053" s="9" t="s">
        <v>6416</v>
      </c>
      <c r="D3053" s="9" t="s">
        <v>93</v>
      </c>
      <c r="E3053" s="6" t="s">
        <v>6448</v>
      </c>
      <c r="F3053" s="9"/>
    </row>
    <row r="3054" ht="33.75" customHeight="1">
      <c r="A3054" s="7">
        <v>102.0</v>
      </c>
      <c r="B3054" s="9" t="s">
        <v>6414</v>
      </c>
      <c r="C3054" s="9" t="s">
        <v>6416</v>
      </c>
      <c r="D3054" s="9" t="s">
        <v>95</v>
      </c>
      <c r="E3054" s="6" t="s">
        <v>6448</v>
      </c>
      <c r="F3054" s="9"/>
    </row>
    <row r="3055" ht="33.75" customHeight="1">
      <c r="A3055" s="7">
        <v>102.0</v>
      </c>
      <c r="B3055" s="9" t="s">
        <v>6414</v>
      </c>
      <c r="C3055" s="9" t="s">
        <v>6416</v>
      </c>
      <c r="D3055" s="9" t="s">
        <v>98</v>
      </c>
      <c r="E3055" s="6" t="s">
        <v>6448</v>
      </c>
      <c r="F3055" s="9"/>
    </row>
    <row r="3056" ht="33.75" customHeight="1">
      <c r="A3056" s="7">
        <v>102.0</v>
      </c>
      <c r="B3056" s="9" t="s">
        <v>6414</v>
      </c>
      <c r="C3056" s="9" t="s">
        <v>6416</v>
      </c>
      <c r="D3056" s="9" t="s">
        <v>99</v>
      </c>
      <c r="E3056" s="6" t="s">
        <v>6448</v>
      </c>
      <c r="F3056" s="9"/>
    </row>
    <row r="3057" ht="33.75" customHeight="1">
      <c r="A3057" s="7">
        <v>102.0</v>
      </c>
      <c r="B3057" s="9" t="s">
        <v>6414</v>
      </c>
      <c r="C3057" s="9" t="s">
        <v>6416</v>
      </c>
      <c r="D3057" s="9" t="s">
        <v>101</v>
      </c>
      <c r="E3057" s="6" t="s">
        <v>6448</v>
      </c>
      <c r="F3057" s="9"/>
    </row>
    <row r="3058" ht="33.75" customHeight="1">
      <c r="A3058" s="7">
        <v>102.0</v>
      </c>
      <c r="B3058" s="9" t="s">
        <v>6414</v>
      </c>
      <c r="C3058" s="9" t="s">
        <v>6416</v>
      </c>
      <c r="D3058" s="9" t="s">
        <v>105</v>
      </c>
      <c r="E3058" s="6" t="s">
        <v>6443</v>
      </c>
      <c r="F3058" s="9"/>
    </row>
    <row r="3059" ht="33.75" customHeight="1">
      <c r="A3059" s="7">
        <v>102.0</v>
      </c>
      <c r="B3059" s="9" t="s">
        <v>6414</v>
      </c>
      <c r="C3059" s="9" t="s">
        <v>6416</v>
      </c>
      <c r="D3059" s="9" t="s">
        <v>107</v>
      </c>
      <c r="E3059" s="6" t="s">
        <v>6471</v>
      </c>
      <c r="F3059" s="9"/>
    </row>
    <row r="3060" ht="33.75" customHeight="1">
      <c r="A3060" s="7">
        <v>102.0</v>
      </c>
      <c r="B3060" s="9" t="s">
        <v>6414</v>
      </c>
      <c r="C3060" s="9" t="s">
        <v>6416</v>
      </c>
      <c r="D3060" s="9" t="s">
        <v>109</v>
      </c>
      <c r="E3060" s="6" t="s">
        <v>6471</v>
      </c>
      <c r="F3060" s="9"/>
    </row>
    <row r="3061" ht="33.75" customHeight="1">
      <c r="A3061" s="7">
        <v>102.0</v>
      </c>
      <c r="B3061" s="9" t="s">
        <v>6414</v>
      </c>
      <c r="C3061" s="9" t="s">
        <v>6416</v>
      </c>
      <c r="D3061" s="9" t="s">
        <v>637</v>
      </c>
      <c r="E3061" s="6" t="s">
        <v>6477</v>
      </c>
      <c r="F3061" s="9"/>
    </row>
    <row r="3062" ht="33.75" customHeight="1">
      <c r="A3062" s="7">
        <v>102.0</v>
      </c>
      <c r="B3062" s="9" t="s">
        <v>6414</v>
      </c>
      <c r="C3062" s="9" t="s">
        <v>6416</v>
      </c>
      <c r="D3062" s="9" t="s">
        <v>642</v>
      </c>
      <c r="E3062" s="6" t="s">
        <v>6479</v>
      </c>
      <c r="F3062" s="9"/>
    </row>
    <row r="3063" ht="33.75" customHeight="1">
      <c r="A3063" s="7">
        <v>102.0</v>
      </c>
      <c r="B3063" s="9" t="s">
        <v>6414</v>
      </c>
      <c r="C3063" s="9" t="s">
        <v>6416</v>
      </c>
      <c r="D3063" s="9" t="s">
        <v>647</v>
      </c>
      <c r="E3063" s="6" t="s">
        <v>6481</v>
      </c>
      <c r="F3063" s="9"/>
    </row>
    <row r="3064" ht="33.75" customHeight="1">
      <c r="A3064" s="7">
        <v>102.0</v>
      </c>
      <c r="B3064" s="9" t="s">
        <v>6414</v>
      </c>
      <c r="C3064" s="9" t="s">
        <v>6416</v>
      </c>
      <c r="D3064" s="9" t="s">
        <v>652</v>
      </c>
      <c r="E3064" s="6" t="s">
        <v>6483</v>
      </c>
      <c r="F3064" s="9"/>
    </row>
    <row r="3065" ht="33.75" customHeight="1">
      <c r="A3065" s="7">
        <v>102.0</v>
      </c>
      <c r="B3065" s="9" t="s">
        <v>6414</v>
      </c>
      <c r="C3065" s="9" t="s">
        <v>6416</v>
      </c>
      <c r="D3065" s="9" t="s">
        <v>111</v>
      </c>
      <c r="E3065" s="6" t="s">
        <v>6485</v>
      </c>
      <c r="F3065" s="9"/>
    </row>
    <row r="3066" ht="33.75" customHeight="1">
      <c r="A3066" s="7">
        <v>102.0</v>
      </c>
      <c r="B3066" s="9" t="s">
        <v>6414</v>
      </c>
      <c r="C3066" s="9" t="s">
        <v>6416</v>
      </c>
      <c r="D3066" s="9" t="s">
        <v>113</v>
      </c>
      <c r="E3066" s="6" t="s">
        <v>6485</v>
      </c>
      <c r="F3066" s="9"/>
    </row>
    <row r="3067" ht="33.75" customHeight="1">
      <c r="A3067" s="7">
        <v>102.0</v>
      </c>
      <c r="B3067" s="9" t="s">
        <v>6414</v>
      </c>
      <c r="C3067" s="9" t="s">
        <v>6416</v>
      </c>
      <c r="D3067" s="9" t="s">
        <v>114</v>
      </c>
      <c r="E3067" s="6" t="s">
        <v>6489</v>
      </c>
      <c r="F3067" s="9"/>
    </row>
    <row r="3068" ht="33.75" customHeight="1">
      <c r="A3068" s="7">
        <v>102.0</v>
      </c>
      <c r="B3068" s="9" t="s">
        <v>6414</v>
      </c>
      <c r="C3068" s="9" t="s">
        <v>6416</v>
      </c>
      <c r="D3068" s="9" t="s">
        <v>117</v>
      </c>
      <c r="E3068" s="6" t="s">
        <v>6491</v>
      </c>
      <c r="F3068" s="9"/>
    </row>
    <row r="3069" ht="33.75" customHeight="1">
      <c r="A3069" s="7">
        <v>103.0</v>
      </c>
      <c r="B3069" s="9" t="s">
        <v>6493</v>
      </c>
      <c r="C3069" s="9" t="s">
        <v>667</v>
      </c>
      <c r="D3069" s="9" t="s">
        <v>24</v>
      </c>
      <c r="E3069" s="6" t="s">
        <v>6494</v>
      </c>
      <c r="F3069" t="inlineStr" s="10">
        <is>
          <t xml:space="preserve">Legendan mukaan harvinaisissa tapauksissa yksi Exeggutorin päistä putoaa irti ja jatkaa matkaansa TOSISUNTOMUNANA. Sen huuto on hyvin äänekästä. Tämä johtuu siitä, että jokainen kolmesta päästä ajattelee mitä haluaa. Sen kolme päätä ajattelevat itsenäisesti. Ne ovat kuitenkin ystävällisiä eivätkä koskaan näytä riitelevän. Jos pää putoaa irti, se lähettää telepaattisen kutsun etsien muita muodostaakseen EXEGGCUTE-ryppää. Hyvässä ympäristössä eläminen saa sen kasvattamaan paljon päitä. Pää, joka putoaa pois, muuttuu TODELLISEKSI MUNAKSI. EXEGGUTOR on alun perin peräisin tropiikista. Sen päät kasvavat tasaisesti suuremmiksi altistuessaan voimakkaalle auringonvalolle. Sanotaan, että kun päät putoavat irti, ne ryhmittyvät muodostaen EXEGGCUTE-lajin. Alun perin tropiikilta kotoisin olevien EXEGGUTOR-palojen päät kasvavat suuremmiksi altistuessaan voimakkaalle auringonvalolle. Sanotaan, että kun päät putoavat, ne ryhmittyvät muodostaen EXEGGCUTE-palojen. Sitä kutsutaan ”Käveleväksi trooppiseksi sademetsäksi”. Jokaisella pähkinällä on omat kasvot ja tahtonsa. Sanotaan, että harvinaisissa tapauksissa yksi sen päistä putoaa irti ja jatkaa matkaansa TOSISEGGCUTE-hahmossa. Sitä kutsutaan ”Käveleväksi viidakoksi”. Jos pää kasvaa liian suureksi, se putoaa ja siitä tulee TOSISUMUNA. Sitä kutsutaan nimellä ”Kävelevä viidakko”. Jos pää kasvaa liian suureksi, se putoaa ja siitä tulee Exeggcute. Exeggutor on alun perin kotoisin tropiikista. Jokaisella sen päällä on oma tahtonsa. Ne käyttävät telepatiaa keskustellakseen suunnitelmistaan ​​ennen yhteisen päätöksen tekemistä. Kun aika koittaa, yksi sen kolmesta päästä putoaa pois. Pian pudonneesta päästä kasvaa Exeggcute. Se kohtaa vihollisensa psyykkisillä voimilla. Jokainen sen kolmesta päästä ampuu psykokineettistä energiaa, kolminkertaistaen sen voiman. Jokaisella sen kolmella päällä on omat ajatuksensa. Kun ne haluavat mennä eri suuntiin, Exeggutor ei pysty liikkumaan. Jokainen Exeggutorin kolmesta päästä ajattelee eri ajatuksia. Kolmikko ei näytä olevan kovin kiinnostunut toisistaan. Yhdessä Exeggutorin kolme päätä voivat lähettää voimakasta psyykkistä energiaa. Pilvinen päivä tekee tästä Pokémonista hitaan.</t>
        </is>
      </c>
    </row>
    <row r="3070" ht="33.75" customHeight="1">
      <c r="A3070" s="7">
        <v>103.0</v>
      </c>
      <c r="B3070" s="9" t="s">
        <v>6493</v>
      </c>
      <c r="C3070" s="9" t="s">
        <v>667</v>
      </c>
      <c r="D3070" s="9" t="s">
        <v>35</v>
      </c>
      <c r="E3070" s="6" t="s">
        <v>6494</v>
      </c>
      <c r="F3070" s="9"/>
    </row>
    <row r="3071" ht="33.75" customHeight="1">
      <c r="A3071" s="7">
        <v>103.0</v>
      </c>
      <c r="B3071" s="9" t="s">
        <v>6493</v>
      </c>
      <c r="C3071" s="9" t="s">
        <v>667</v>
      </c>
      <c r="D3071" s="9" t="s">
        <v>42</v>
      </c>
      <c r="E3071" s="6" t="s">
        <v>6498</v>
      </c>
      <c r="F3071" s="9"/>
    </row>
    <row r="3072" ht="33.75" customHeight="1">
      <c r="A3072" s="7">
        <v>103.0</v>
      </c>
      <c r="B3072" s="9" t="s">
        <v>6493</v>
      </c>
      <c r="C3072" s="9" t="s">
        <v>667</v>
      </c>
      <c r="D3072" s="9" t="s">
        <v>52</v>
      </c>
      <c r="E3072" s="6" t="s">
        <v>6501</v>
      </c>
      <c r="F3072" s="9"/>
    </row>
    <row r="3073" ht="33.75" customHeight="1">
      <c r="A3073" s="7">
        <v>103.0</v>
      </c>
      <c r="B3073" s="9" t="s">
        <v>6493</v>
      </c>
      <c r="C3073" s="9" t="s">
        <v>667</v>
      </c>
      <c r="D3073" s="9" t="s">
        <v>59</v>
      </c>
      <c r="E3073" s="6" t="s">
        <v>6503</v>
      </c>
      <c r="F3073" s="9"/>
    </row>
    <row r="3074" ht="33.75" customHeight="1">
      <c r="A3074" s="7">
        <v>103.0</v>
      </c>
      <c r="B3074" s="9" t="s">
        <v>6493</v>
      </c>
      <c r="C3074" s="9" t="s">
        <v>667</v>
      </c>
      <c r="D3074" s="9" t="s">
        <v>64</v>
      </c>
      <c r="E3074" s="6" t="s">
        <v>6505</v>
      </c>
      <c r="F3074" s="9"/>
    </row>
    <row r="3075" ht="33.75" customHeight="1">
      <c r="A3075" s="7">
        <v>103.0</v>
      </c>
      <c r="B3075" s="9" t="s">
        <v>6493</v>
      </c>
      <c r="C3075" s="9" t="s">
        <v>667</v>
      </c>
      <c r="D3075" s="9" t="s">
        <v>67</v>
      </c>
      <c r="E3075" s="6" t="s">
        <v>6508</v>
      </c>
      <c r="F3075" s="9"/>
    </row>
    <row r="3076" ht="33.75" customHeight="1">
      <c r="A3076" s="7">
        <v>103.0</v>
      </c>
      <c r="B3076" s="9" t="s">
        <v>6493</v>
      </c>
      <c r="C3076" s="9" t="s">
        <v>667</v>
      </c>
      <c r="D3076" s="9" t="s">
        <v>71</v>
      </c>
      <c r="E3076" s="6" t="s">
        <v>6508</v>
      </c>
      <c r="F3076" s="9"/>
    </row>
    <row r="3077" ht="33.75" customHeight="1">
      <c r="A3077" s="7">
        <v>103.0</v>
      </c>
      <c r="B3077" s="9" t="s">
        <v>6493</v>
      </c>
      <c r="C3077" s="9" t="s">
        <v>667</v>
      </c>
      <c r="D3077" s="9" t="s">
        <v>73</v>
      </c>
      <c r="E3077" s="6" t="s">
        <v>6514</v>
      </c>
      <c r="F3077" s="9"/>
    </row>
    <row r="3078" ht="33.75" customHeight="1">
      <c r="A3078" s="7">
        <v>103.0</v>
      </c>
      <c r="B3078" s="9" t="s">
        <v>6493</v>
      </c>
      <c r="C3078" s="9" t="s">
        <v>667</v>
      </c>
      <c r="D3078" s="9" t="s">
        <v>75</v>
      </c>
      <c r="E3078" s="6" t="s">
        <v>6518</v>
      </c>
      <c r="F3078" s="9"/>
    </row>
    <row r="3079" ht="33.75" customHeight="1">
      <c r="A3079" s="7">
        <v>103.0</v>
      </c>
      <c r="B3079" s="9" t="s">
        <v>6493</v>
      </c>
      <c r="C3079" s="9" t="s">
        <v>667</v>
      </c>
      <c r="D3079" s="9" t="s">
        <v>79</v>
      </c>
      <c r="E3079" s="6" t="s">
        <v>6521</v>
      </c>
      <c r="F3079" s="9"/>
    </row>
    <row r="3080" ht="33.75" customHeight="1">
      <c r="A3080" s="7">
        <v>103.0</v>
      </c>
      <c r="B3080" s="9" t="s">
        <v>6493</v>
      </c>
      <c r="C3080" s="9" t="s">
        <v>667</v>
      </c>
      <c r="D3080" s="9" t="s">
        <v>81</v>
      </c>
      <c r="E3080" s="6" t="s">
        <v>6525</v>
      </c>
      <c r="F3080" s="9"/>
    </row>
    <row r="3081" ht="33.75" customHeight="1">
      <c r="A3081" s="7">
        <v>103.0</v>
      </c>
      <c r="B3081" s="9" t="s">
        <v>6493</v>
      </c>
      <c r="C3081" s="9" t="s">
        <v>667</v>
      </c>
      <c r="D3081" s="9" t="s">
        <v>84</v>
      </c>
      <c r="E3081" s="6" t="s">
        <v>6525</v>
      </c>
      <c r="F3081" s="9"/>
    </row>
    <row r="3082" ht="33.75" customHeight="1">
      <c r="A3082" s="7">
        <v>103.0</v>
      </c>
      <c r="B3082" s="9" t="s">
        <v>6493</v>
      </c>
      <c r="C3082" s="9" t="s">
        <v>667</v>
      </c>
      <c r="D3082" s="9" t="s">
        <v>87</v>
      </c>
      <c r="E3082" s="6" t="s">
        <v>6525</v>
      </c>
      <c r="F3082" s="9"/>
    </row>
    <row r="3083" ht="33.75" customHeight="1">
      <c r="A3083" s="7">
        <v>103.0</v>
      </c>
      <c r="B3083" s="9" t="s">
        <v>6493</v>
      </c>
      <c r="C3083" s="9" t="s">
        <v>667</v>
      </c>
      <c r="D3083" s="9" t="s">
        <v>89</v>
      </c>
      <c r="E3083" s="6" t="s">
        <v>6501</v>
      </c>
      <c r="F3083" s="9"/>
    </row>
    <row r="3084" ht="33.75" customHeight="1">
      <c r="A3084" s="7">
        <v>103.0</v>
      </c>
      <c r="B3084" s="9" t="s">
        <v>6493</v>
      </c>
      <c r="C3084" s="9" t="s">
        <v>667</v>
      </c>
      <c r="D3084" s="9" t="s">
        <v>91</v>
      </c>
      <c r="E3084" s="6" t="s">
        <v>6503</v>
      </c>
      <c r="F3084" s="9"/>
    </row>
    <row r="3085" ht="33.75" customHeight="1">
      <c r="A3085" s="7">
        <v>103.0</v>
      </c>
      <c r="B3085" s="9" t="s">
        <v>6493</v>
      </c>
      <c r="C3085" s="9" t="s">
        <v>667</v>
      </c>
      <c r="D3085" s="9" t="s">
        <v>93</v>
      </c>
      <c r="E3085" s="6" t="s">
        <v>6536</v>
      </c>
      <c r="F3085" s="9"/>
    </row>
    <row r="3086" ht="33.75" customHeight="1">
      <c r="A3086" s="7">
        <v>103.0</v>
      </c>
      <c r="B3086" s="9" t="s">
        <v>6493</v>
      </c>
      <c r="C3086" s="9" t="s">
        <v>667</v>
      </c>
      <c r="D3086" s="9" t="s">
        <v>95</v>
      </c>
      <c r="E3086" s="6" t="s">
        <v>6536</v>
      </c>
      <c r="F3086" s="9"/>
    </row>
    <row r="3087" ht="33.75" customHeight="1">
      <c r="A3087" s="7">
        <v>103.0</v>
      </c>
      <c r="B3087" s="9" t="s">
        <v>6493</v>
      </c>
      <c r="C3087" s="9" t="s">
        <v>667</v>
      </c>
      <c r="D3087" s="9" t="s">
        <v>98</v>
      </c>
      <c r="E3087" s="6" t="s">
        <v>6536</v>
      </c>
      <c r="F3087" s="9"/>
    </row>
    <row r="3088" ht="33.75" customHeight="1">
      <c r="A3088" s="7">
        <v>103.0</v>
      </c>
      <c r="B3088" s="9" t="s">
        <v>6493</v>
      </c>
      <c r="C3088" s="9" t="s">
        <v>667</v>
      </c>
      <c r="D3088" s="9" t="s">
        <v>99</v>
      </c>
      <c r="E3088" s="6" t="s">
        <v>6536</v>
      </c>
      <c r="F3088" s="9"/>
    </row>
    <row r="3089" ht="33.75" customHeight="1">
      <c r="A3089" s="7">
        <v>103.0</v>
      </c>
      <c r="B3089" s="9" t="s">
        <v>6493</v>
      </c>
      <c r="C3089" s="9" t="s">
        <v>667</v>
      </c>
      <c r="D3089" s="9" t="s">
        <v>101</v>
      </c>
      <c r="E3089" s="6" t="s">
        <v>6501</v>
      </c>
      <c r="F3089" s="9"/>
    </row>
    <row r="3090" ht="33.75" customHeight="1">
      <c r="A3090" s="7">
        <v>103.0</v>
      </c>
      <c r="B3090" s="9" t="s">
        <v>6493</v>
      </c>
      <c r="C3090" s="9" t="s">
        <v>667</v>
      </c>
      <c r="D3090" s="9" t="s">
        <v>105</v>
      </c>
      <c r="E3090" s="6" t="s">
        <v>6536</v>
      </c>
      <c r="F3090" s="9"/>
    </row>
    <row r="3091" ht="33.75" customHeight="1">
      <c r="A3091" s="7">
        <v>103.0</v>
      </c>
      <c r="B3091" s="9" t="s">
        <v>6493</v>
      </c>
      <c r="C3091" s="9" t="s">
        <v>667</v>
      </c>
      <c r="D3091" s="9" t="s">
        <v>107</v>
      </c>
      <c r="E3091" s="6" t="s">
        <v>6554</v>
      </c>
      <c r="F3091" s="9"/>
    </row>
    <row r="3092" ht="33.75" customHeight="1">
      <c r="A3092" s="7">
        <v>103.0</v>
      </c>
      <c r="B3092" s="9" t="s">
        <v>6493</v>
      </c>
      <c r="C3092" s="9" t="s">
        <v>667</v>
      </c>
      <c r="D3092" s="9" t="s">
        <v>109</v>
      </c>
      <c r="E3092" s="6" t="s">
        <v>6554</v>
      </c>
      <c r="F3092" s="9"/>
    </row>
    <row r="3093" ht="33.75" customHeight="1">
      <c r="A3093" s="7">
        <v>103.0</v>
      </c>
      <c r="B3093" s="9" t="s">
        <v>6493</v>
      </c>
      <c r="C3093" s="9" t="s">
        <v>667</v>
      </c>
      <c r="D3093" s="9" t="s">
        <v>637</v>
      </c>
      <c r="E3093" s="6" t="s">
        <v>6560</v>
      </c>
      <c r="F3093" s="9"/>
    </row>
    <row r="3094" ht="33.75" customHeight="1">
      <c r="A3094" s="7">
        <v>103.0</v>
      </c>
      <c r="B3094" s="9" t="s">
        <v>6493</v>
      </c>
      <c r="C3094" s="9" t="s">
        <v>667</v>
      </c>
      <c r="D3094" s="9" t="s">
        <v>642</v>
      </c>
      <c r="E3094" s="6" t="s">
        <v>6563</v>
      </c>
      <c r="F3094" s="9"/>
    </row>
    <row r="3095" ht="33.75" customHeight="1">
      <c r="A3095" s="7">
        <v>103.0</v>
      </c>
      <c r="B3095" s="9" t="s">
        <v>6493</v>
      </c>
      <c r="C3095" s="9" t="s">
        <v>667</v>
      </c>
      <c r="D3095" s="9" t="s">
        <v>647</v>
      </c>
      <c r="E3095" s="6" t="s">
        <v>6567</v>
      </c>
      <c r="F3095" s="9"/>
    </row>
    <row r="3096" ht="33.75" customHeight="1">
      <c r="A3096" s="7">
        <v>103.0</v>
      </c>
      <c r="B3096" s="9" t="s">
        <v>6493</v>
      </c>
      <c r="C3096" s="9" t="s">
        <v>667</v>
      </c>
      <c r="D3096" s="9" t="s">
        <v>652</v>
      </c>
      <c r="E3096" s="6" t="s">
        <v>6570</v>
      </c>
      <c r="F3096" s="9"/>
    </row>
    <row r="3097" ht="33.75" customHeight="1">
      <c r="A3097" s="7">
        <v>103.0</v>
      </c>
      <c r="B3097" s="9" t="s">
        <v>6493</v>
      </c>
      <c r="C3097" s="9" t="s">
        <v>667</v>
      </c>
      <c r="D3097" s="9" t="s">
        <v>111</v>
      </c>
      <c r="E3097" s="6" t="s">
        <v>6498</v>
      </c>
      <c r="F3097" s="9"/>
    </row>
    <row r="3098" ht="33.75" customHeight="1">
      <c r="A3098" s="7">
        <v>103.0</v>
      </c>
      <c r="B3098" s="9" t="s">
        <v>6493</v>
      </c>
      <c r="C3098" s="9" t="s">
        <v>667</v>
      </c>
      <c r="D3098" s="9" t="s">
        <v>113</v>
      </c>
      <c r="E3098" s="6" t="s">
        <v>6498</v>
      </c>
      <c r="F3098" s="9"/>
    </row>
    <row r="3099" ht="33.75" customHeight="1">
      <c r="A3099" s="7">
        <v>103.0</v>
      </c>
      <c r="B3099" s="9" t="s">
        <v>6493</v>
      </c>
      <c r="C3099" s="9" t="s">
        <v>667</v>
      </c>
      <c r="D3099" s="9" t="s">
        <v>114</v>
      </c>
      <c r="E3099" s="6" t="s">
        <v>6579</v>
      </c>
      <c r="F3099" s="9"/>
    </row>
    <row r="3100" ht="33.75" customHeight="1">
      <c r="A3100" s="7">
        <v>103.0</v>
      </c>
      <c r="B3100" s="9" t="s">
        <v>6493</v>
      </c>
      <c r="C3100" s="9" t="s">
        <v>667</v>
      </c>
      <c r="D3100" s="9" t="s">
        <v>117</v>
      </c>
      <c r="E3100" s="6" t="s">
        <v>6581</v>
      </c>
      <c r="F3100" s="9"/>
    </row>
    <row r="3101" ht="33.75" customHeight="1">
      <c r="A3101" s="7">
        <v>104.0</v>
      </c>
      <c r="B3101" s="9" t="s">
        <v>6583</v>
      </c>
      <c r="C3101" s="9" t="s">
        <v>6585</v>
      </c>
      <c r="D3101" s="9" t="s">
        <v>24</v>
      </c>
      <c r="E3101" s="6" t="s">
        <v>6586</v>
      </c>
      <c r="F3101" t="inlineStr" s="10">
        <is>
          <t xml:space="preserve">Koska se ei koskaan poista kallokypäräänsä, kukaan ei ole koskaan nähnyt tämän POKéMONin todellista kasvoa. Kantaa kuolleen äitinsä kalloa. Sen huudot kaikuvat kallon sisällä ja tulevat ulos surullisena melodiana. Jos se on surullinen tai yksinäinen, sen kantama kallo vapisee ja päästää yksinkertaisen ja murheellisen äänen. Se kantaa aina kuolleen äitinsä kalloa, joten kenelläkään ei ole aavistustakaan, miltä sen piilossa oleva naama näyttää. Se menetti emonsa syntymänsä jälkeen. Se kantaa emonsa kalloa paljastamatta koskaan todellista kasvojaan. CUBONE kaipaa äitiä, jota se ei koskaan enää näe. Nähdessään äitinsä kuvan täysikuun aikaan se itkee. POKéMONin kallossa olevat tahrat ovat syntyneet sen vuodattamista kyynelistä. Se kaipaa äitiä, jota se ei enää koskaan näe. Tahrat sen pääkallossa ovat peräisin sen kyynelistä. Se kantaa kuolleen äitinsä kalloa päässään. Kun se tulee yksinäiseksi, sen sanotaan itkevän äänekkäästi. Kun se ajattelee kuollutta äitiään, se itkee. Sen itku saa sen kantaman kallon helisemään ontoksi. Jos se on surullinen tai yksinäinen, sen kantama kallo tärisee ja päästää valittavan ja murheellisen äänen. Cubone kaipaa äitiä, jota se ei enää koskaan näe. Kun se ajattelee kuollutta äitiään, se itkee äänekkäästi. Mandibuzzit, jotka kuulevat sen itkun, hyökkäävät sen kimppuun ilmasta. Päässään oleva kallo on sen kuolleen äitin ​​kallo. Joidenkin mukaan se kehittyy, kun se käsittelee äitinsä kuoleman aiheuttamaa tuskaa. Yöllä se itkee äänekkäästi kuollutta emoaan, mutta nuo huudot houkuttelevat vain sen luonnollisen vihollisen – Mandibuzzin. Se kantaa emonsa kalloa päässään, joten kukaan ei tiedä, miltä sen paljas naama näyttää. On kuitenkin selvää, että se itkee aina. Kun sen poismenneen äidin muisto tuo sen kyyneliin, sen huuto kaikuu surullisesti pääkallossa, jota se pitää päässään. Tämä Pokémon kantaa kuolleen äitinsä kalloa. Joskus Cubonen unet saavat sen itkemään, mutta jokainen Cubonen vuodattama kyynel vahvistaa sitä.</t>
        </is>
      </c>
    </row>
    <row r="3102" ht="33.75" customHeight="1">
      <c r="A3102" s="7">
        <v>104.0</v>
      </c>
      <c r="B3102" s="9" t="s">
        <v>6583</v>
      </c>
      <c r="C3102" s="9" t="s">
        <v>6585</v>
      </c>
      <c r="D3102" s="9" t="s">
        <v>35</v>
      </c>
      <c r="E3102" s="6" t="s">
        <v>6586</v>
      </c>
      <c r="F3102" s="9"/>
    </row>
    <row r="3103" ht="33.75" customHeight="1">
      <c r="A3103" s="7">
        <v>104.0</v>
      </c>
      <c r="B3103" s="9" t="s">
        <v>6583</v>
      </c>
      <c r="C3103" s="9" t="s">
        <v>6585</v>
      </c>
      <c r="D3103" s="9" t="s">
        <v>42</v>
      </c>
      <c r="E3103" s="6" t="s">
        <v>6589</v>
      </c>
      <c r="F3103" s="9"/>
    </row>
    <row r="3104" ht="33.75" customHeight="1">
      <c r="A3104" s="7">
        <v>104.0</v>
      </c>
      <c r="B3104" s="9" t="s">
        <v>6583</v>
      </c>
      <c r="C3104" s="9" t="s">
        <v>6585</v>
      </c>
      <c r="D3104" s="9" t="s">
        <v>52</v>
      </c>
      <c r="E3104" s="6" t="s">
        <v>6594</v>
      </c>
      <c r="F3104" s="9"/>
    </row>
    <row r="3105" ht="33.75" customHeight="1">
      <c r="A3105" s="7">
        <v>104.0</v>
      </c>
      <c r="B3105" s="9" t="s">
        <v>6583</v>
      </c>
      <c r="C3105" s="9" t="s">
        <v>6585</v>
      </c>
      <c r="D3105" s="9" t="s">
        <v>59</v>
      </c>
      <c r="E3105" s="6" t="s">
        <v>6598</v>
      </c>
      <c r="F3105" s="9"/>
    </row>
    <row r="3106" ht="33.75" customHeight="1">
      <c r="A3106" s="7">
        <v>104.0</v>
      </c>
      <c r="B3106" s="9" t="s">
        <v>6583</v>
      </c>
      <c r="C3106" s="9" t="s">
        <v>6585</v>
      </c>
      <c r="D3106" s="9" t="s">
        <v>64</v>
      </c>
      <c r="E3106" s="6" t="s">
        <v>6602</v>
      </c>
      <c r="F3106" s="9"/>
    </row>
    <row r="3107" ht="33.75" customHeight="1">
      <c r="A3107" s="7">
        <v>104.0</v>
      </c>
      <c r="B3107" s="9" t="s">
        <v>6583</v>
      </c>
      <c r="C3107" s="9" t="s">
        <v>6585</v>
      </c>
      <c r="D3107" s="9" t="s">
        <v>67</v>
      </c>
      <c r="E3107" s="6" t="s">
        <v>6606</v>
      </c>
      <c r="F3107" s="9"/>
    </row>
    <row r="3108" ht="33.75" customHeight="1">
      <c r="A3108" s="7">
        <v>104.0</v>
      </c>
      <c r="B3108" s="9" t="s">
        <v>6583</v>
      </c>
      <c r="C3108" s="9" t="s">
        <v>6585</v>
      </c>
      <c r="D3108" s="9" t="s">
        <v>71</v>
      </c>
      <c r="E3108" s="6" t="s">
        <v>6606</v>
      </c>
      <c r="F3108" s="9"/>
    </row>
    <row r="3109" ht="33.75" customHeight="1">
      <c r="A3109" s="7">
        <v>104.0</v>
      </c>
      <c r="B3109" s="9" t="s">
        <v>6583</v>
      </c>
      <c r="C3109" s="9" t="s">
        <v>6585</v>
      </c>
      <c r="D3109" s="9" t="s">
        <v>73</v>
      </c>
      <c r="E3109" s="6" t="s">
        <v>6611</v>
      </c>
      <c r="F3109" s="9"/>
    </row>
    <row r="3110" ht="33.75" customHeight="1">
      <c r="A3110" s="7">
        <v>104.0</v>
      </c>
      <c r="B3110" s="9" t="s">
        <v>6583</v>
      </c>
      <c r="C3110" s="9" t="s">
        <v>6585</v>
      </c>
      <c r="D3110" s="9" t="s">
        <v>75</v>
      </c>
      <c r="E3110" s="6" t="s">
        <v>6615</v>
      </c>
      <c r="F3110" s="9"/>
    </row>
    <row r="3111" ht="33.75" customHeight="1">
      <c r="A3111" s="7">
        <v>104.0</v>
      </c>
      <c r="B3111" s="9" t="s">
        <v>6583</v>
      </c>
      <c r="C3111" s="9" t="s">
        <v>6585</v>
      </c>
      <c r="D3111" s="9" t="s">
        <v>79</v>
      </c>
      <c r="E3111" s="6" t="s">
        <v>6586</v>
      </c>
      <c r="F3111" s="9"/>
    </row>
    <row r="3112" ht="33.75" customHeight="1">
      <c r="A3112" s="7">
        <v>104.0</v>
      </c>
      <c r="B3112" s="9" t="s">
        <v>6583</v>
      </c>
      <c r="C3112" s="9" t="s">
        <v>6585</v>
      </c>
      <c r="D3112" s="9" t="s">
        <v>81</v>
      </c>
      <c r="E3112" s="6" t="s">
        <v>6621</v>
      </c>
      <c r="F3112" s="9"/>
    </row>
    <row r="3113" ht="33.75" customHeight="1">
      <c r="A3113" s="7">
        <v>104.0</v>
      </c>
      <c r="B3113" s="9" t="s">
        <v>6583</v>
      </c>
      <c r="C3113" s="9" t="s">
        <v>6585</v>
      </c>
      <c r="D3113" s="9" t="s">
        <v>84</v>
      </c>
      <c r="E3113" s="6" t="s">
        <v>6621</v>
      </c>
      <c r="F3113" s="9"/>
    </row>
    <row r="3114" ht="33.75" customHeight="1">
      <c r="A3114" s="7">
        <v>104.0</v>
      </c>
      <c r="B3114" s="9" t="s">
        <v>6583</v>
      </c>
      <c r="C3114" s="9" t="s">
        <v>6585</v>
      </c>
      <c r="D3114" s="9" t="s">
        <v>87</v>
      </c>
      <c r="E3114" s="6" t="s">
        <v>6621</v>
      </c>
      <c r="F3114" s="9"/>
    </row>
    <row r="3115" ht="33.75" customHeight="1">
      <c r="A3115" s="7">
        <v>104.0</v>
      </c>
      <c r="B3115" s="9" t="s">
        <v>6583</v>
      </c>
      <c r="C3115" s="9" t="s">
        <v>6585</v>
      </c>
      <c r="D3115" s="9" t="s">
        <v>89</v>
      </c>
      <c r="E3115" s="6" t="s">
        <v>6629</v>
      </c>
      <c r="F3115" s="9"/>
    </row>
    <row r="3116" ht="33.75" customHeight="1">
      <c r="A3116" s="7">
        <v>104.0</v>
      </c>
      <c r="B3116" s="9" t="s">
        <v>6583</v>
      </c>
      <c r="C3116" s="9" t="s">
        <v>6585</v>
      </c>
      <c r="D3116" s="9" t="s">
        <v>91</v>
      </c>
      <c r="E3116" s="6" t="s">
        <v>6598</v>
      </c>
      <c r="F3116" s="9"/>
    </row>
    <row r="3117" ht="33.75" customHeight="1">
      <c r="A3117" s="7">
        <v>104.0</v>
      </c>
      <c r="B3117" s="9" t="s">
        <v>6583</v>
      </c>
      <c r="C3117" s="9" t="s">
        <v>6585</v>
      </c>
      <c r="D3117" s="9" t="s">
        <v>93</v>
      </c>
      <c r="E3117" s="6" t="s">
        <v>6621</v>
      </c>
      <c r="F3117" s="9"/>
    </row>
    <row r="3118" ht="33.75" customHeight="1">
      <c r="A3118" s="7">
        <v>104.0</v>
      </c>
      <c r="B3118" s="9" t="s">
        <v>6583</v>
      </c>
      <c r="C3118" s="9" t="s">
        <v>6585</v>
      </c>
      <c r="D3118" s="9" t="s">
        <v>95</v>
      </c>
      <c r="E3118" s="6" t="s">
        <v>6621</v>
      </c>
      <c r="F3118" s="9"/>
    </row>
    <row r="3119" ht="33.75" customHeight="1">
      <c r="A3119" s="7">
        <v>104.0</v>
      </c>
      <c r="B3119" s="9" t="s">
        <v>6583</v>
      </c>
      <c r="C3119" s="9" t="s">
        <v>6585</v>
      </c>
      <c r="D3119" s="9" t="s">
        <v>98</v>
      </c>
      <c r="E3119" s="6" t="s">
        <v>6621</v>
      </c>
      <c r="F3119" s="9"/>
    </row>
    <row r="3120" ht="33.75" customHeight="1">
      <c r="A3120" s="7">
        <v>104.0</v>
      </c>
      <c r="B3120" s="9" t="s">
        <v>6583</v>
      </c>
      <c r="C3120" s="9" t="s">
        <v>6585</v>
      </c>
      <c r="D3120" s="9" t="s">
        <v>99</v>
      </c>
      <c r="E3120" s="6" t="s">
        <v>6621</v>
      </c>
      <c r="F3120" s="9"/>
    </row>
    <row r="3121" ht="33.75" customHeight="1">
      <c r="A3121" s="7">
        <v>104.0</v>
      </c>
      <c r="B3121" s="9" t="s">
        <v>6583</v>
      </c>
      <c r="C3121" s="9" t="s">
        <v>6585</v>
      </c>
      <c r="D3121" s="9" t="s">
        <v>101</v>
      </c>
      <c r="E3121" s="6" t="s">
        <v>6615</v>
      </c>
      <c r="F3121" s="9"/>
    </row>
    <row r="3122" ht="33.75" customHeight="1">
      <c r="A3122" s="7">
        <v>104.0</v>
      </c>
      <c r="B3122" s="9" t="s">
        <v>6583</v>
      </c>
      <c r="C3122" s="9" t="s">
        <v>6585</v>
      </c>
      <c r="D3122" s="9" t="s">
        <v>105</v>
      </c>
      <c r="E3122" s="6" t="s">
        <v>6598</v>
      </c>
      <c r="F3122" s="9"/>
    </row>
    <row r="3123" ht="33.75" customHeight="1">
      <c r="A3123" s="7">
        <v>104.0</v>
      </c>
      <c r="B3123" s="9" t="s">
        <v>6583</v>
      </c>
      <c r="C3123" s="9" t="s">
        <v>6585</v>
      </c>
      <c r="D3123" s="9" t="s">
        <v>107</v>
      </c>
      <c r="E3123" s="6" t="s">
        <v>6641</v>
      </c>
      <c r="F3123" s="9"/>
    </row>
    <row r="3124" ht="33.75" customHeight="1">
      <c r="A3124" s="7">
        <v>104.0</v>
      </c>
      <c r="B3124" s="9" t="s">
        <v>6583</v>
      </c>
      <c r="C3124" s="9" t="s">
        <v>6585</v>
      </c>
      <c r="D3124" s="9" t="s">
        <v>109</v>
      </c>
      <c r="E3124" s="6" t="s">
        <v>6641</v>
      </c>
      <c r="F3124" s="9"/>
    </row>
    <row r="3125" ht="33.75" customHeight="1">
      <c r="A3125" s="7">
        <v>104.0</v>
      </c>
      <c r="B3125" s="9" t="s">
        <v>6583</v>
      </c>
      <c r="C3125" s="9" t="s">
        <v>6585</v>
      </c>
      <c r="D3125" s="9" t="s">
        <v>637</v>
      </c>
      <c r="E3125" s="6" t="s">
        <v>6645</v>
      </c>
      <c r="F3125" s="9"/>
    </row>
    <row r="3126" ht="33.75" customHeight="1">
      <c r="A3126" s="7">
        <v>104.0</v>
      </c>
      <c r="B3126" s="9" t="s">
        <v>6583</v>
      </c>
      <c r="C3126" s="9" t="s">
        <v>6585</v>
      </c>
      <c r="D3126" s="9" t="s">
        <v>642</v>
      </c>
      <c r="E3126" s="6" t="s">
        <v>6647</v>
      </c>
      <c r="F3126" s="9"/>
    </row>
    <row r="3127" ht="33.75" customHeight="1">
      <c r="A3127" s="7">
        <v>104.0</v>
      </c>
      <c r="B3127" s="9" t="s">
        <v>6583</v>
      </c>
      <c r="C3127" s="9" t="s">
        <v>6585</v>
      </c>
      <c r="D3127" s="9" t="s">
        <v>647</v>
      </c>
      <c r="E3127" s="6" t="s">
        <v>6649</v>
      </c>
      <c r="F3127" s="9"/>
    </row>
    <row r="3128" ht="33.75" customHeight="1">
      <c r="A3128" s="7">
        <v>104.0</v>
      </c>
      <c r="B3128" s="9" t="s">
        <v>6583</v>
      </c>
      <c r="C3128" s="9" t="s">
        <v>6585</v>
      </c>
      <c r="D3128" s="9" t="s">
        <v>652</v>
      </c>
      <c r="E3128" s="6" t="s">
        <v>6652</v>
      </c>
      <c r="F3128" s="9"/>
    </row>
    <row r="3129" ht="33.75" customHeight="1">
      <c r="A3129" s="7">
        <v>104.0</v>
      </c>
      <c r="B3129" s="9" t="s">
        <v>6583</v>
      </c>
      <c r="C3129" s="9" t="s">
        <v>6585</v>
      </c>
      <c r="D3129" s="9" t="s">
        <v>111</v>
      </c>
      <c r="E3129" s="6" t="s">
        <v>6589</v>
      </c>
      <c r="F3129" s="9"/>
    </row>
    <row r="3130" ht="33.75" customHeight="1">
      <c r="A3130" s="7">
        <v>104.0</v>
      </c>
      <c r="B3130" s="9" t="s">
        <v>6583</v>
      </c>
      <c r="C3130" s="9" t="s">
        <v>6585</v>
      </c>
      <c r="D3130" s="9" t="s">
        <v>113</v>
      </c>
      <c r="E3130" s="6" t="s">
        <v>6589</v>
      </c>
      <c r="F3130" s="9"/>
    </row>
    <row r="3131" ht="33.75" customHeight="1">
      <c r="A3131" s="7">
        <v>104.0</v>
      </c>
      <c r="B3131" s="9" t="s">
        <v>6583</v>
      </c>
      <c r="C3131" s="9" t="s">
        <v>6585</v>
      </c>
      <c r="D3131" s="9" t="s">
        <v>114</v>
      </c>
      <c r="E3131" s="6" t="s">
        <v>6657</v>
      </c>
      <c r="F3131" s="9"/>
    </row>
    <row r="3132" ht="33.75" customHeight="1">
      <c r="A3132" s="7">
        <v>104.0</v>
      </c>
      <c r="B3132" s="9" t="s">
        <v>6583</v>
      </c>
      <c r="C3132" s="9" t="s">
        <v>6585</v>
      </c>
      <c r="D3132" s="9" t="s">
        <v>117</v>
      </c>
      <c r="E3132" s="6" t="s">
        <v>6659</v>
      </c>
      <c r="F3132" s="9"/>
    </row>
    <row r="3133" ht="33.75" customHeight="1">
      <c r="A3133" s="7">
        <v>105.0</v>
      </c>
      <c r="B3133" s="9" t="s">
        <v>6661</v>
      </c>
      <c r="C3133" s="9" t="s">
        <v>6663</v>
      </c>
      <c r="D3133" s="9" t="s">
        <v>24</v>
      </c>
      <c r="E3133" s="6" t="s">
        <v>6665</v>
      </c>
      <c r="F3133" t="inlineStr" s="10">
        <is>
          <t xml:space="preserve">Marowakin tärkein ase on luu, jota se pitää sisällään. Se heittää luun taitavasti kuin bumerangin tyrmättyihin kohteisiin. Pieni ja heikko POKéMON on taitava luupamppunsa kanssa. Se on aikojen saatossa muuttunut entistä ilkeämmäksi. Sen on nähty hakkaavan lohkareita kantamallaan luulla voidakseen lähettää viestejä muille. Se kerää luita tuntemattomasta paikasta. Huhujen mukaan jossain päin maailmaa on olemassa MAROWAK-hautausmaa. Jossain päin maailmaa on hautausmaa vain MAROWAKILLE. Se saa luunsa noista haudoista. MAROWAK on CUBONEn kehittynyt muoto, joka on voittanut surunsa äitinsä menetyksestä ja kasvanut kovaksi. Tämän POKéMONin karaistunut ja kovettunut mieli ei murru helposti. MAROWAK on CUBONEn kehittynyt muoto, joka on kasvanut kovaksi voitettuaan äitinsä menettämisen surun. Sen karaistunut ja kovettunut mieli ei murru helposti. Se on pieni ja alun perin hyvin heikko. Sen luonne muuttui raivokkaaksi, kun se alkoi käyttää luita. Syntymästään lähtien tämä villi Pokémon pitää jatkuvasti luita hallussaan. Se on taitava käyttämään niitä aseina. Jotkut kuiskaavat, että jossain päin maailmaa on olemassa MAROWAK-hautausmaa. Alun perin se oli heikko ja arka. Evoluution jälkeen sen luonteesta tulee väkivaltainen, ja se alkaa käyttää luita aseina. Tämä Pokémon janoaa kostoa luonnolliselle viholliselleen, Mandibuzzille. Se heittelee luita kuin bumerangeja yrittäessään kaataa sen. Se heittelee luita Mandibuzzia kohti kaataakseen sen. Marowakin uskotaan yrittävän kostaa vanhempansa puolesta. Ne jyskyttävät luitaan rytmisesti kommunikoidakseen keskenään. On lähes 50 erilaista rytmistä kuviota. Pieni ja heikko Pokémon on taitava luunuijansa kanssa. Se on muuttunut aikojen saatossa entistä ilkeämmäksi. Tämä Pokémon voitti surunsa ja kehitti itselleen vankan uuden ruumiin. Marowak kohtaa vastustajansa rohkeasti käyttäen luuta aseena. Kun tämä Pokémon kehittyi, sen emokallon kallo yhdistyi siihen. Myös Marowakin temperamentti muuttui samaan aikaan ilkeäksi.</t>
        </is>
      </c>
    </row>
    <row r="3134" ht="33.75" customHeight="1">
      <c r="A3134" s="7">
        <v>105.0</v>
      </c>
      <c r="B3134" s="9" t="s">
        <v>6661</v>
      </c>
      <c r="C3134" s="9" t="s">
        <v>6663</v>
      </c>
      <c r="D3134" s="9" t="s">
        <v>35</v>
      </c>
      <c r="E3134" s="6" t="s">
        <v>6665</v>
      </c>
      <c r="F3134" s="9"/>
    </row>
    <row r="3135" ht="33.75" customHeight="1">
      <c r="A3135" s="7">
        <v>105.0</v>
      </c>
      <c r="B3135" s="9" t="s">
        <v>6661</v>
      </c>
      <c r="C3135" s="9" t="s">
        <v>6663</v>
      </c>
      <c r="D3135" s="9" t="s">
        <v>42</v>
      </c>
      <c r="E3135" s="6" t="s">
        <v>6671</v>
      </c>
      <c r="F3135" s="9"/>
    </row>
    <row r="3136" ht="33.75" customHeight="1">
      <c r="A3136" s="7">
        <v>105.0</v>
      </c>
      <c r="B3136" s="9" t="s">
        <v>6661</v>
      </c>
      <c r="C3136" s="9" t="s">
        <v>6663</v>
      </c>
      <c r="D3136" s="9" t="s">
        <v>52</v>
      </c>
      <c r="E3136" s="6" t="s">
        <v>6673</v>
      </c>
      <c r="F3136" s="9"/>
    </row>
    <row r="3137" ht="33.75" customHeight="1">
      <c r="A3137" s="7">
        <v>105.0</v>
      </c>
      <c r="B3137" s="9" t="s">
        <v>6661</v>
      </c>
      <c r="C3137" s="9" t="s">
        <v>6663</v>
      </c>
      <c r="D3137" s="9" t="s">
        <v>59</v>
      </c>
      <c r="E3137" s="6" t="s">
        <v>6676</v>
      </c>
      <c r="F3137" s="9"/>
    </row>
    <row r="3138" ht="33.75" customHeight="1">
      <c r="A3138" s="7">
        <v>105.0</v>
      </c>
      <c r="B3138" s="9" t="s">
        <v>6661</v>
      </c>
      <c r="C3138" s="9" t="s">
        <v>6663</v>
      </c>
      <c r="D3138" s="9" t="s">
        <v>64</v>
      </c>
      <c r="E3138" s="6" t="s">
        <v>6678</v>
      </c>
      <c r="F3138" s="9"/>
    </row>
    <row r="3139" ht="33.75" customHeight="1">
      <c r="A3139" s="7">
        <v>105.0</v>
      </c>
      <c r="B3139" s="9" t="s">
        <v>6661</v>
      </c>
      <c r="C3139" s="9" t="s">
        <v>6663</v>
      </c>
      <c r="D3139" s="9" t="s">
        <v>67</v>
      </c>
      <c r="E3139" s="6" t="s">
        <v>6681</v>
      </c>
      <c r="F3139" s="9"/>
    </row>
    <row r="3140" ht="33.75" customHeight="1">
      <c r="A3140" s="7">
        <v>105.0</v>
      </c>
      <c r="B3140" s="9" t="s">
        <v>6661</v>
      </c>
      <c r="C3140" s="9" t="s">
        <v>6663</v>
      </c>
      <c r="D3140" s="9" t="s">
        <v>71</v>
      </c>
      <c r="E3140" s="6" t="s">
        <v>6681</v>
      </c>
      <c r="F3140" s="9"/>
    </row>
    <row r="3141" ht="33.75" customHeight="1">
      <c r="A3141" s="7">
        <v>105.0</v>
      </c>
      <c r="B3141" s="9" t="s">
        <v>6661</v>
      </c>
      <c r="C3141" s="9" t="s">
        <v>6663</v>
      </c>
      <c r="D3141" s="9" t="s">
        <v>73</v>
      </c>
      <c r="E3141" s="6" t="s">
        <v>6686</v>
      </c>
      <c r="F3141" s="9"/>
    </row>
    <row r="3142" ht="33.75" customHeight="1">
      <c r="A3142" s="7">
        <v>105.0</v>
      </c>
      <c r="B3142" s="9" t="s">
        <v>6661</v>
      </c>
      <c r="C3142" s="9" t="s">
        <v>6663</v>
      </c>
      <c r="D3142" s="9" t="s">
        <v>75</v>
      </c>
      <c r="E3142" s="6" t="s">
        <v>6688</v>
      </c>
      <c r="F3142" s="9"/>
    </row>
    <row r="3143" ht="33.75" customHeight="1">
      <c r="A3143" s="7">
        <v>105.0</v>
      </c>
      <c r="B3143" s="9" t="s">
        <v>6661</v>
      </c>
      <c r="C3143" s="9" t="s">
        <v>6663</v>
      </c>
      <c r="D3143" s="9" t="s">
        <v>79</v>
      </c>
      <c r="E3143" s="6" t="s">
        <v>6665</v>
      </c>
      <c r="F3143" s="9"/>
    </row>
    <row r="3144" ht="33.75" customHeight="1">
      <c r="A3144" s="7">
        <v>105.0</v>
      </c>
      <c r="B3144" s="9" t="s">
        <v>6661</v>
      </c>
      <c r="C3144" s="9" t="s">
        <v>6663</v>
      </c>
      <c r="D3144" s="9" t="s">
        <v>81</v>
      </c>
      <c r="E3144" s="6" t="s">
        <v>6692</v>
      </c>
      <c r="F3144" s="9"/>
    </row>
    <row r="3145" ht="33.75" customHeight="1">
      <c r="A3145" s="7">
        <v>105.0</v>
      </c>
      <c r="B3145" s="9" t="s">
        <v>6661</v>
      </c>
      <c r="C3145" s="9" t="s">
        <v>6663</v>
      </c>
      <c r="D3145" s="9" t="s">
        <v>84</v>
      </c>
      <c r="E3145" s="6" t="s">
        <v>6692</v>
      </c>
      <c r="F3145" s="9"/>
    </row>
    <row r="3146" ht="33.75" customHeight="1">
      <c r="A3146" s="7">
        <v>105.0</v>
      </c>
      <c r="B3146" s="9" t="s">
        <v>6661</v>
      </c>
      <c r="C3146" s="9" t="s">
        <v>6663</v>
      </c>
      <c r="D3146" s="9" t="s">
        <v>87</v>
      </c>
      <c r="E3146" s="6" t="s">
        <v>6692</v>
      </c>
      <c r="F3146" s="9"/>
    </row>
    <row r="3147" ht="33.75" customHeight="1">
      <c r="A3147" s="7">
        <v>105.0</v>
      </c>
      <c r="B3147" s="9" t="s">
        <v>6661</v>
      </c>
      <c r="C3147" s="9" t="s">
        <v>6663</v>
      </c>
      <c r="D3147" s="9" t="s">
        <v>89</v>
      </c>
      <c r="E3147" s="6" t="s">
        <v>6673</v>
      </c>
      <c r="F3147" s="9"/>
    </row>
    <row r="3148" ht="33.75" customHeight="1">
      <c r="A3148" s="7">
        <v>105.0</v>
      </c>
      <c r="B3148" s="9" t="s">
        <v>6661</v>
      </c>
      <c r="C3148" s="9" t="s">
        <v>6663</v>
      </c>
      <c r="D3148" s="9" t="s">
        <v>91</v>
      </c>
      <c r="E3148" s="6" t="s">
        <v>6699</v>
      </c>
      <c r="F3148" s="9"/>
    </row>
    <row r="3149" ht="33.75" customHeight="1">
      <c r="A3149" s="7">
        <v>105.0</v>
      </c>
      <c r="B3149" s="9" t="s">
        <v>6661</v>
      </c>
      <c r="C3149" s="9" t="s">
        <v>6663</v>
      </c>
      <c r="D3149" s="9" t="s">
        <v>93</v>
      </c>
      <c r="E3149" s="6" t="s">
        <v>6692</v>
      </c>
      <c r="F3149" s="9"/>
    </row>
    <row r="3150" ht="33.75" customHeight="1">
      <c r="A3150" s="7">
        <v>105.0</v>
      </c>
      <c r="B3150" s="9" t="s">
        <v>6661</v>
      </c>
      <c r="C3150" s="9" t="s">
        <v>6663</v>
      </c>
      <c r="D3150" s="9" t="s">
        <v>95</v>
      </c>
      <c r="E3150" s="6" t="s">
        <v>6692</v>
      </c>
      <c r="F3150" s="9"/>
    </row>
    <row r="3151" ht="33.75" customHeight="1">
      <c r="A3151" s="7">
        <v>105.0</v>
      </c>
      <c r="B3151" s="9" t="s">
        <v>6661</v>
      </c>
      <c r="C3151" s="9" t="s">
        <v>6663</v>
      </c>
      <c r="D3151" s="9" t="s">
        <v>98</v>
      </c>
      <c r="E3151" s="6" t="s">
        <v>6692</v>
      </c>
      <c r="F3151" s="9"/>
    </row>
    <row r="3152" ht="33.75" customHeight="1">
      <c r="A3152" s="7">
        <v>105.0</v>
      </c>
      <c r="B3152" s="9" t="s">
        <v>6661</v>
      </c>
      <c r="C3152" s="9" t="s">
        <v>6663</v>
      </c>
      <c r="D3152" s="9" t="s">
        <v>99</v>
      </c>
      <c r="E3152" s="6" t="s">
        <v>6692</v>
      </c>
      <c r="F3152" s="9"/>
    </row>
    <row r="3153" ht="33.75" customHeight="1">
      <c r="A3153" s="7">
        <v>105.0</v>
      </c>
      <c r="B3153" s="9" t="s">
        <v>6661</v>
      </c>
      <c r="C3153" s="9" t="s">
        <v>6663</v>
      </c>
      <c r="D3153" s="9" t="s">
        <v>101</v>
      </c>
      <c r="E3153" s="6" t="s">
        <v>6688</v>
      </c>
      <c r="F3153" s="9"/>
    </row>
    <row r="3154" ht="33.75" customHeight="1">
      <c r="A3154" s="7">
        <v>105.0</v>
      </c>
      <c r="B3154" s="9" t="s">
        <v>6661</v>
      </c>
      <c r="C3154" s="9" t="s">
        <v>6663</v>
      </c>
      <c r="D3154" s="9" t="s">
        <v>105</v>
      </c>
      <c r="E3154" s="6" t="s">
        <v>6665</v>
      </c>
      <c r="F3154" s="9"/>
    </row>
    <row r="3155" ht="33.75" customHeight="1">
      <c r="A3155" s="7">
        <v>105.0</v>
      </c>
      <c r="B3155" s="9" t="s">
        <v>6661</v>
      </c>
      <c r="C3155" s="9" t="s">
        <v>6663</v>
      </c>
      <c r="D3155" s="9" t="s">
        <v>107</v>
      </c>
      <c r="E3155" s="6" t="s">
        <v>6709</v>
      </c>
      <c r="F3155" s="9"/>
    </row>
    <row r="3156" ht="33.75" customHeight="1">
      <c r="A3156" s="7">
        <v>105.0</v>
      </c>
      <c r="B3156" s="9" t="s">
        <v>6661</v>
      </c>
      <c r="C3156" s="9" t="s">
        <v>6663</v>
      </c>
      <c r="D3156" s="9" t="s">
        <v>109</v>
      </c>
      <c r="E3156" s="6" t="s">
        <v>6709</v>
      </c>
      <c r="F3156" s="9"/>
    </row>
    <row r="3157" ht="33.75" customHeight="1">
      <c r="A3157" s="7">
        <v>105.0</v>
      </c>
      <c r="B3157" s="9" t="s">
        <v>6661</v>
      </c>
      <c r="C3157" s="9" t="s">
        <v>6663</v>
      </c>
      <c r="D3157" s="9" t="s">
        <v>637</v>
      </c>
      <c r="E3157" s="6" t="s">
        <v>6713</v>
      </c>
      <c r="F3157" s="9"/>
    </row>
    <row r="3158" ht="33.75" customHeight="1">
      <c r="A3158" s="7">
        <v>105.0</v>
      </c>
      <c r="B3158" s="9" t="s">
        <v>6661</v>
      </c>
      <c r="C3158" s="9" t="s">
        <v>6663</v>
      </c>
      <c r="D3158" s="9" t="s">
        <v>642</v>
      </c>
      <c r="E3158" s="6" t="s">
        <v>6715</v>
      </c>
      <c r="F3158" s="9"/>
    </row>
    <row r="3159" ht="33.75" customHeight="1">
      <c r="A3159" s="7">
        <v>105.0</v>
      </c>
      <c r="B3159" s="9" t="s">
        <v>6661</v>
      </c>
      <c r="C3159" s="9" t="s">
        <v>6663</v>
      </c>
      <c r="D3159" s="9" t="s">
        <v>647</v>
      </c>
      <c r="E3159" s="6" t="s">
        <v>6718</v>
      </c>
      <c r="F3159" s="9"/>
    </row>
    <row r="3160" ht="33.75" customHeight="1">
      <c r="A3160" s="7">
        <v>105.0</v>
      </c>
      <c r="B3160" s="9" t="s">
        <v>6661</v>
      </c>
      <c r="C3160" s="9" t="s">
        <v>6663</v>
      </c>
      <c r="D3160" s="9" t="s">
        <v>652</v>
      </c>
      <c r="E3160" s="6" t="s">
        <v>6720</v>
      </c>
      <c r="F3160" s="9"/>
    </row>
    <row r="3161" ht="33.75" customHeight="1">
      <c r="A3161" s="7">
        <v>105.0</v>
      </c>
      <c r="B3161" s="9" t="s">
        <v>6661</v>
      </c>
      <c r="C3161" s="9" t="s">
        <v>6663</v>
      </c>
      <c r="D3161" s="9" t="s">
        <v>111</v>
      </c>
      <c r="E3161" s="6" t="s">
        <v>6722</v>
      </c>
      <c r="F3161" s="9"/>
    </row>
    <row r="3162" ht="33.75" customHeight="1">
      <c r="A3162" s="7">
        <v>105.0</v>
      </c>
      <c r="B3162" s="9" t="s">
        <v>6661</v>
      </c>
      <c r="C3162" s="9" t="s">
        <v>6663</v>
      </c>
      <c r="D3162" s="9" t="s">
        <v>113</v>
      </c>
      <c r="E3162" s="6" t="s">
        <v>6722</v>
      </c>
      <c r="F3162" s="9"/>
    </row>
    <row r="3163" ht="33.75" customHeight="1">
      <c r="A3163" s="7">
        <v>105.0</v>
      </c>
      <c r="B3163" s="9" t="s">
        <v>6661</v>
      </c>
      <c r="C3163" s="9" t="s">
        <v>6663</v>
      </c>
      <c r="D3163" s="9" t="s">
        <v>114</v>
      </c>
      <c r="E3163" s="6" t="s">
        <v>6727</v>
      </c>
      <c r="F3163" s="9"/>
    </row>
    <row r="3164" ht="33.75" customHeight="1">
      <c r="A3164" s="7">
        <v>105.0</v>
      </c>
      <c r="B3164" s="9" t="s">
        <v>6661</v>
      </c>
      <c r="C3164" s="9" t="s">
        <v>6663</v>
      </c>
      <c r="D3164" s="9" t="s">
        <v>117</v>
      </c>
      <c r="E3164" s="6" t="s">
        <v>6729</v>
      </c>
      <c r="F3164" s="9"/>
    </row>
    <row r="3165" ht="33.75" customHeight="1">
      <c r="A3165" s="7">
        <v>106.0</v>
      </c>
      <c r="B3165" s="9" t="s">
        <v>6731</v>
      </c>
      <c r="C3165" s="9" t="s">
        <v>6732</v>
      </c>
      <c r="D3165" s="9" t="s">
        <v>24</v>
      </c>
      <c r="E3165" s="6" t="s">
        <v>6734</v>
      </c>
      <c r="F3165" t="inlineStr" s="10">
        <is>
          <t xml:space="preserve">Kiireessä Hitmonleen jalat pitenevät asteittain. Se juoksee sujuvasti erittäin pitkillä, loikkivilla askeleilla. Potkiessaan sen jalkapohja kovaksi muuttuu osumassa kuin timantti ja tuhoaa vihollisensa. Tällä upealla POKéMONilla on mahtava tasapainotaju. Se voi potkaista peräkkäin mistä tahansa asennosta. Jos se alkaa potkia toistuvasti, molemmat jalat ojentuvat vielä pidemmälle iskeäkseen pakenevaa vihollista. Sitä kutsutaan myös potkumestariksi. Se käyttää joustavia jalkojaan kaikkien tunnettujen potkujen suorittamiseen. HITMONLEE:n jalat supistuvat ja venyvät vapaasti. Näillä jousimaisilla jaloilla se syöksyy vihollisten päälle tuhoisilla potkuilla. Taistelun jälkeen se hieroo jalkojaan ja rentouttaa lihaksiaan voittaakseen väsymyksen. Sen jalat venyttelevät ja supistuvat vapaasti. Näitä jousimaisia ​​raajoja käyttäen se syöksyy vihollisten päälle tuhoisilla potkuilla. Taistelun jälkeen se hieroo väsyneitä jalkojaan. Jalat supistuvat ja venyvät vapaasti. Venyvien jalkojen ansiosta se voi osua kaukaiseen viholliseen nousevalla potkulla. Sen jalat voivat venyä kaksinkertaisiksi. Ensikertalaiset viholliset säikähtävät sen ulottuvuuden vuoksi. Tällä upealla Pokémonilla on mahtava tasapainoaisti. Jos se alkaa potkia toistuvasti, molemmat jalat ojentuvat vielä pidemmäksi iskeäkseen pakenevaa vihollista. Hitmonleen jalat supistuvat ja venyvät vapaasti. Potkiessaan sen jalkapohja kovaksi muuttuu osuessaan timantin lailla ja tuhoaa vihollisensa.</t>
        </is>
      </c>
    </row>
    <row r="3166" ht="33.75" customHeight="1">
      <c r="A3166" s="7">
        <v>106.0</v>
      </c>
      <c r="B3166" s="9" t="s">
        <v>6731</v>
      </c>
      <c r="C3166" s="9" t="s">
        <v>6732</v>
      </c>
      <c r="D3166" s="9" t="s">
        <v>35</v>
      </c>
      <c r="E3166" s="6" t="s">
        <v>6734</v>
      </c>
      <c r="F3166" s="9"/>
    </row>
    <row r="3167" ht="33.75" customHeight="1">
      <c r="A3167" s="7">
        <v>106.0</v>
      </c>
      <c r="B3167" s="9" t="s">
        <v>6731</v>
      </c>
      <c r="C3167" s="9" t="s">
        <v>6732</v>
      </c>
      <c r="D3167" s="9" t="s">
        <v>42</v>
      </c>
      <c r="E3167" s="6" t="s">
        <v>6737</v>
      </c>
      <c r="F3167" s="9"/>
    </row>
    <row r="3168" ht="33.75" customHeight="1">
      <c r="A3168" s="7">
        <v>106.0</v>
      </c>
      <c r="B3168" s="9" t="s">
        <v>6731</v>
      </c>
      <c r="C3168" s="9" t="s">
        <v>6732</v>
      </c>
      <c r="D3168" s="9" t="s">
        <v>52</v>
      </c>
      <c r="E3168" s="6" t="s">
        <v>6739</v>
      </c>
      <c r="F3168" s="9"/>
    </row>
    <row r="3169" ht="33.75" customHeight="1">
      <c r="A3169" s="7">
        <v>106.0</v>
      </c>
      <c r="B3169" s="9" t="s">
        <v>6731</v>
      </c>
      <c r="C3169" s="9" t="s">
        <v>6732</v>
      </c>
      <c r="D3169" s="9" t="s">
        <v>59</v>
      </c>
      <c r="E3169" s="6" t="s">
        <v>6742</v>
      </c>
      <c r="F3169" s="9"/>
    </row>
    <row r="3170" ht="33.75" customHeight="1">
      <c r="A3170" s="7">
        <v>106.0</v>
      </c>
      <c r="B3170" s="9" t="s">
        <v>6731</v>
      </c>
      <c r="C3170" s="9" t="s">
        <v>6732</v>
      </c>
      <c r="D3170" s="9" t="s">
        <v>64</v>
      </c>
      <c r="E3170" s="6" t="s">
        <v>6743</v>
      </c>
      <c r="F3170" s="9"/>
    </row>
    <row r="3171" ht="33.75" customHeight="1">
      <c r="A3171" s="7">
        <v>106.0</v>
      </c>
      <c r="B3171" s="9" t="s">
        <v>6731</v>
      </c>
      <c r="C3171" s="9" t="s">
        <v>6732</v>
      </c>
      <c r="D3171" s="9" t="s">
        <v>67</v>
      </c>
      <c r="E3171" s="6" t="s">
        <v>6746</v>
      </c>
      <c r="F3171" s="9"/>
    </row>
    <row r="3172" ht="33.75" customHeight="1">
      <c r="A3172" s="7">
        <v>106.0</v>
      </c>
      <c r="B3172" s="9" t="s">
        <v>6731</v>
      </c>
      <c r="C3172" s="9" t="s">
        <v>6732</v>
      </c>
      <c r="D3172" s="9" t="s">
        <v>71</v>
      </c>
      <c r="E3172" s="6" t="s">
        <v>6746</v>
      </c>
      <c r="F3172" s="9"/>
    </row>
    <row r="3173" ht="33.75" customHeight="1">
      <c r="A3173" s="7">
        <v>106.0</v>
      </c>
      <c r="B3173" s="9" t="s">
        <v>6731</v>
      </c>
      <c r="C3173" s="9" t="s">
        <v>6732</v>
      </c>
      <c r="D3173" s="9" t="s">
        <v>73</v>
      </c>
      <c r="E3173" s="6" t="s">
        <v>6749</v>
      </c>
      <c r="F3173" s="9"/>
    </row>
    <row r="3174" ht="33.75" customHeight="1">
      <c r="A3174" s="7">
        <v>106.0</v>
      </c>
      <c r="B3174" s="9" t="s">
        <v>6731</v>
      </c>
      <c r="C3174" s="9" t="s">
        <v>6732</v>
      </c>
      <c r="D3174" s="9" t="s">
        <v>75</v>
      </c>
      <c r="E3174" s="6" t="s">
        <v>6751</v>
      </c>
      <c r="F3174" s="9"/>
    </row>
    <row r="3175" ht="33.75" customHeight="1">
      <c r="A3175" s="7">
        <v>106.0</v>
      </c>
      <c r="B3175" s="9" t="s">
        <v>6731</v>
      </c>
      <c r="C3175" s="9" t="s">
        <v>6732</v>
      </c>
      <c r="D3175" s="9" t="s">
        <v>79</v>
      </c>
      <c r="E3175" s="6" t="s">
        <v>6734</v>
      </c>
      <c r="F3175" s="9"/>
    </row>
    <row r="3176" ht="33.75" customHeight="1">
      <c r="A3176" s="7">
        <v>106.0</v>
      </c>
      <c r="B3176" s="9" t="s">
        <v>6731</v>
      </c>
      <c r="C3176" s="9" t="s">
        <v>6732</v>
      </c>
      <c r="D3176" s="9" t="s">
        <v>81</v>
      </c>
      <c r="E3176" s="6" t="s">
        <v>6754</v>
      </c>
      <c r="F3176" s="9"/>
    </row>
    <row r="3177" ht="33.75" customHeight="1">
      <c r="A3177" s="7">
        <v>106.0</v>
      </c>
      <c r="B3177" s="9" t="s">
        <v>6731</v>
      </c>
      <c r="C3177" s="9" t="s">
        <v>6732</v>
      </c>
      <c r="D3177" s="9" t="s">
        <v>84</v>
      </c>
      <c r="E3177" s="6" t="s">
        <v>6754</v>
      </c>
      <c r="F3177" s="9"/>
    </row>
    <row r="3178" ht="33.75" customHeight="1">
      <c r="A3178" s="7">
        <v>106.0</v>
      </c>
      <c r="B3178" s="9" t="s">
        <v>6731</v>
      </c>
      <c r="C3178" s="9" t="s">
        <v>6732</v>
      </c>
      <c r="D3178" s="9" t="s">
        <v>87</v>
      </c>
      <c r="E3178" s="6" t="s">
        <v>6754</v>
      </c>
      <c r="F3178" s="9"/>
    </row>
    <row r="3179" ht="33.75" customHeight="1">
      <c r="A3179" s="7">
        <v>106.0</v>
      </c>
      <c r="B3179" s="9" t="s">
        <v>6731</v>
      </c>
      <c r="C3179" s="9" t="s">
        <v>6732</v>
      </c>
      <c r="D3179" s="9" t="s">
        <v>89</v>
      </c>
      <c r="E3179" s="6" t="s">
        <v>6757</v>
      </c>
      <c r="F3179" s="9"/>
    </row>
    <row r="3180" ht="33.75" customHeight="1">
      <c r="A3180" s="7">
        <v>106.0</v>
      </c>
      <c r="B3180" s="9" t="s">
        <v>6731</v>
      </c>
      <c r="C3180" s="9" t="s">
        <v>6732</v>
      </c>
      <c r="D3180" s="9" t="s">
        <v>91</v>
      </c>
      <c r="E3180" s="6" t="s">
        <v>6758</v>
      </c>
      <c r="F3180" s="9"/>
    </row>
    <row r="3181" ht="33.75" customHeight="1">
      <c r="A3181" s="7">
        <v>106.0</v>
      </c>
      <c r="B3181" s="9" t="s">
        <v>6731</v>
      </c>
      <c r="C3181" s="9" t="s">
        <v>6732</v>
      </c>
      <c r="D3181" s="9" t="s">
        <v>93</v>
      </c>
      <c r="E3181" s="6" t="s">
        <v>6754</v>
      </c>
      <c r="F3181" s="9"/>
    </row>
    <row r="3182" ht="33.75" customHeight="1">
      <c r="A3182" s="7">
        <v>106.0</v>
      </c>
      <c r="B3182" s="9" t="s">
        <v>6731</v>
      </c>
      <c r="C3182" s="9" t="s">
        <v>6732</v>
      </c>
      <c r="D3182" s="9" t="s">
        <v>95</v>
      </c>
      <c r="E3182" s="6" t="s">
        <v>6754</v>
      </c>
      <c r="F3182" s="9"/>
    </row>
    <row r="3183" ht="33.75" customHeight="1">
      <c r="A3183" s="7">
        <v>106.0</v>
      </c>
      <c r="B3183" s="9" t="s">
        <v>6731</v>
      </c>
      <c r="C3183" s="9" t="s">
        <v>6732</v>
      </c>
      <c r="D3183" s="9" t="s">
        <v>98</v>
      </c>
      <c r="E3183" s="6" t="s">
        <v>6754</v>
      </c>
      <c r="F3183" s="9"/>
    </row>
    <row r="3184" ht="33.75" customHeight="1">
      <c r="A3184" s="7">
        <v>106.0</v>
      </c>
      <c r="B3184" s="9" t="s">
        <v>6731</v>
      </c>
      <c r="C3184" s="9" t="s">
        <v>6732</v>
      </c>
      <c r="D3184" s="9" t="s">
        <v>99</v>
      </c>
      <c r="E3184" s="6" t="s">
        <v>6754</v>
      </c>
      <c r="F3184" s="9"/>
    </row>
    <row r="3185" ht="33.75" customHeight="1">
      <c r="A3185" s="7">
        <v>106.0</v>
      </c>
      <c r="B3185" s="9" t="s">
        <v>6731</v>
      </c>
      <c r="C3185" s="9" t="s">
        <v>6732</v>
      </c>
      <c r="D3185" s="9" t="s">
        <v>101</v>
      </c>
      <c r="E3185" s="6" t="s">
        <v>6751</v>
      </c>
      <c r="F3185" s="9"/>
    </row>
    <row r="3186" ht="33.75" customHeight="1">
      <c r="A3186" s="7">
        <v>106.0</v>
      </c>
      <c r="B3186" s="9" t="s">
        <v>6731</v>
      </c>
      <c r="C3186" s="9" t="s">
        <v>6732</v>
      </c>
      <c r="D3186" s="9" t="s">
        <v>105</v>
      </c>
      <c r="E3186" s="6" t="s">
        <v>6758</v>
      </c>
      <c r="F3186" s="9"/>
    </row>
    <row r="3187" ht="33.75" customHeight="1">
      <c r="A3187" s="7">
        <v>106.0</v>
      </c>
      <c r="B3187" s="9" t="s">
        <v>6731</v>
      </c>
      <c r="C3187" s="9" t="s">
        <v>6732</v>
      </c>
      <c r="D3187" s="9" t="s">
        <v>107</v>
      </c>
      <c r="E3187" s="6" t="s">
        <v>6766</v>
      </c>
      <c r="F3187" s="9"/>
    </row>
    <row r="3188" ht="33.75" customHeight="1">
      <c r="A3188" s="7">
        <v>106.0</v>
      </c>
      <c r="B3188" s="9" t="s">
        <v>6731</v>
      </c>
      <c r="C3188" s="9" t="s">
        <v>6732</v>
      </c>
      <c r="D3188" s="9" t="s">
        <v>109</v>
      </c>
      <c r="E3188" s="6" t="s">
        <v>6766</v>
      </c>
      <c r="F3188" s="9"/>
    </row>
    <row r="3189" ht="33.75" customHeight="1">
      <c r="A3189" s="7">
        <v>106.0</v>
      </c>
      <c r="B3189" s="9" t="s">
        <v>6731</v>
      </c>
      <c r="C3189" s="9" t="s">
        <v>6732</v>
      </c>
      <c r="D3189" s="9" t="s">
        <v>111</v>
      </c>
      <c r="E3189" s="6" t="s">
        <v>6768</v>
      </c>
      <c r="F3189" s="9"/>
    </row>
    <row r="3190" ht="33.75" customHeight="1">
      <c r="A3190" s="7">
        <v>106.0</v>
      </c>
      <c r="B3190" s="9" t="s">
        <v>6731</v>
      </c>
      <c r="C3190" s="9" t="s">
        <v>6732</v>
      </c>
      <c r="D3190" s="9" t="s">
        <v>113</v>
      </c>
      <c r="E3190" s="6" t="s">
        <v>6768</v>
      </c>
      <c r="F3190" s="9"/>
    </row>
    <row r="3191" ht="33.75" customHeight="1">
      <c r="A3191" s="7">
        <v>106.0</v>
      </c>
      <c r="B3191" s="9" t="s">
        <v>6731</v>
      </c>
      <c r="C3191" s="9" t="s">
        <v>6732</v>
      </c>
      <c r="D3191" s="9" t="s">
        <v>114</v>
      </c>
      <c r="E3191" s="6" t="s">
        <v>6757</v>
      </c>
      <c r="F3191" s="9"/>
    </row>
    <row r="3192" ht="33.75" customHeight="1">
      <c r="A3192" s="7">
        <v>106.0</v>
      </c>
      <c r="B3192" s="9" t="s">
        <v>6731</v>
      </c>
      <c r="C3192" s="9" t="s">
        <v>6732</v>
      </c>
      <c r="D3192" s="9" t="s">
        <v>117</v>
      </c>
      <c r="E3192" s="6" t="s">
        <v>6751</v>
      </c>
      <c r="F3192" s="9"/>
    </row>
    <row r="3193" ht="33.75" customHeight="1">
      <c r="A3193" s="7">
        <v>107.0</v>
      </c>
      <c r="B3193" s="9" t="s">
        <v>6773</v>
      </c>
      <c r="C3193" s="9" t="s">
        <v>6774</v>
      </c>
      <c r="D3193" s="9" t="s">
        <v>24</v>
      </c>
      <c r="E3193" s="6" t="s">
        <v>6776</v>
      </c>
      <c r="F3193" t="inlineStr" s="10">
        <is>
          <t xml:space="preserve">Vaikka se ei näennäisesti tee mitään, se ampuu lyöntejä salamannopeina volleyina, joita on mahdotonta nähdä. Lävistää korkkiruuvin tavoin. Se voi lävistää betoniseinän samalla tavalla kuin pora. Sen iskut viiltävät ilmaa. Se näyttää kuitenkin tarvitsevan lyhyen tauon kolmen minuutin taistelun jälkeen. Ne sinkoutuvat niin suurella nopeudella, että pienikin naarmu voi aiheuttaa palovamman. Lisätäkseen kaikkien lyöntiliikkeidensä voimaa se pyörittää käsiään juuri ennen osumaa. HITMONCHANin sanotaan omaavan nyrkkeilijän hengen, joka on työskennellyt kohti maailmanmestaruutta. Tällä POKéMONilla on lannistumaton henki, eikä hän koskaan anna periksi vastoinkäymisissä. HITMONCHANin sanotaan omaavan nyrkkeilijän hengen, joka tähtäsi maailmanmestaruuteen. Lannistumaton henki tarkoittaa, ettei se koskaan anna periksi. Ammattilaisnyrkkeilijän henki on valaissut tämän POKéMONin. Se heittää lyöntejä, jotka ovat nopeampia kuin luotijuna. Sen heittämät käsivarsia vääntävät iskut murskaavat jopa betonin. Se lepää kolmen minuutin taistelun jälkeen. Ammattilaisnyrkkeilijän henki on vallannut tämän Pokémonin. Se lyö luotijunaa nopeammin. Tällä Pokémonilla on lannistumaton henki, eikä se koskaan anna periksi vastoinkäymisten edessä. Se voi lävistää betoniseinän kuin pora.</t>
        </is>
      </c>
    </row>
    <row r="3194" ht="33.75" customHeight="1">
      <c r="A3194" s="7">
        <v>107.0</v>
      </c>
      <c r="B3194" s="9" t="s">
        <v>6773</v>
      </c>
      <c r="C3194" s="9" t="s">
        <v>6774</v>
      </c>
      <c r="D3194" s="9" t="s">
        <v>35</v>
      </c>
      <c r="E3194" s="6" t="s">
        <v>6776</v>
      </c>
      <c r="F3194" s="9"/>
    </row>
    <row r="3195" ht="33.75" customHeight="1">
      <c r="A3195" s="7">
        <v>107.0</v>
      </c>
      <c r="B3195" s="9" t="s">
        <v>6773</v>
      </c>
      <c r="C3195" s="9" t="s">
        <v>6774</v>
      </c>
      <c r="D3195" s="9" t="s">
        <v>42</v>
      </c>
      <c r="E3195" s="6" t="s">
        <v>6781</v>
      </c>
      <c r="F3195" s="9"/>
    </row>
    <row r="3196" ht="33.75" customHeight="1">
      <c r="A3196" s="7">
        <v>107.0</v>
      </c>
      <c r="B3196" s="9" t="s">
        <v>6773</v>
      </c>
      <c r="C3196" s="9" t="s">
        <v>6774</v>
      </c>
      <c r="D3196" s="9" t="s">
        <v>52</v>
      </c>
      <c r="E3196" s="6" t="s">
        <v>6783</v>
      </c>
      <c r="F3196" s="9"/>
    </row>
    <row r="3197" ht="33.75" customHeight="1">
      <c r="A3197" s="7">
        <v>107.0</v>
      </c>
      <c r="B3197" s="9" t="s">
        <v>6773</v>
      </c>
      <c r="C3197" s="9" t="s">
        <v>6774</v>
      </c>
      <c r="D3197" s="9" t="s">
        <v>59</v>
      </c>
      <c r="E3197" s="6" t="s">
        <v>6785</v>
      </c>
      <c r="F3197" s="9"/>
    </row>
    <row r="3198" ht="33.75" customHeight="1">
      <c r="A3198" s="7">
        <v>107.0</v>
      </c>
      <c r="B3198" s="9" t="s">
        <v>6773</v>
      </c>
      <c r="C3198" s="9" t="s">
        <v>6774</v>
      </c>
      <c r="D3198" s="9" t="s">
        <v>64</v>
      </c>
      <c r="E3198" s="6" t="s">
        <v>6786</v>
      </c>
      <c r="F3198" s="9"/>
    </row>
    <row r="3199" ht="33.75" customHeight="1">
      <c r="A3199" s="7">
        <v>107.0</v>
      </c>
      <c r="B3199" s="9" t="s">
        <v>6773</v>
      </c>
      <c r="C3199" s="9" t="s">
        <v>6774</v>
      </c>
      <c r="D3199" s="9" t="s">
        <v>67</v>
      </c>
      <c r="E3199" s="6" t="s">
        <v>6789</v>
      </c>
      <c r="F3199" s="9"/>
    </row>
    <row r="3200" ht="33.75" customHeight="1">
      <c r="A3200" s="7">
        <v>107.0</v>
      </c>
      <c r="B3200" s="9" t="s">
        <v>6773</v>
      </c>
      <c r="C3200" s="9" t="s">
        <v>6774</v>
      </c>
      <c r="D3200" s="9" t="s">
        <v>71</v>
      </c>
      <c r="E3200" s="6" t="s">
        <v>6789</v>
      </c>
      <c r="F3200" s="9"/>
    </row>
    <row r="3201" ht="33.75" customHeight="1">
      <c r="A3201" s="7">
        <v>107.0</v>
      </c>
      <c r="B3201" s="9" t="s">
        <v>6773</v>
      </c>
      <c r="C3201" s="9" t="s">
        <v>6774</v>
      </c>
      <c r="D3201" s="9" t="s">
        <v>73</v>
      </c>
      <c r="E3201" s="6" t="s">
        <v>6792</v>
      </c>
      <c r="F3201" s="9"/>
    </row>
    <row r="3202" ht="33.75" customHeight="1">
      <c r="A3202" s="7">
        <v>107.0</v>
      </c>
      <c r="B3202" s="9" t="s">
        <v>6773</v>
      </c>
      <c r="C3202" s="9" t="s">
        <v>6774</v>
      </c>
      <c r="D3202" s="9" t="s">
        <v>75</v>
      </c>
      <c r="E3202" s="6" t="s">
        <v>6795</v>
      </c>
      <c r="F3202" s="9"/>
    </row>
    <row r="3203" ht="33.75" customHeight="1">
      <c r="A3203" s="7">
        <v>107.0</v>
      </c>
      <c r="B3203" s="9" t="s">
        <v>6773</v>
      </c>
      <c r="C3203" s="9" t="s">
        <v>6774</v>
      </c>
      <c r="D3203" s="9" t="s">
        <v>79</v>
      </c>
      <c r="E3203" s="6" t="s">
        <v>6776</v>
      </c>
      <c r="F3203" s="9"/>
    </row>
    <row r="3204" ht="33.75" customHeight="1">
      <c r="A3204" s="7">
        <v>107.0</v>
      </c>
      <c r="B3204" s="9" t="s">
        <v>6773</v>
      </c>
      <c r="C3204" s="9" t="s">
        <v>6774</v>
      </c>
      <c r="D3204" s="9" t="s">
        <v>81</v>
      </c>
      <c r="E3204" s="6" t="s">
        <v>6800</v>
      </c>
      <c r="F3204" s="9"/>
    </row>
    <row r="3205" ht="33.75" customHeight="1">
      <c r="A3205" s="7">
        <v>107.0</v>
      </c>
      <c r="B3205" s="9" t="s">
        <v>6773</v>
      </c>
      <c r="C3205" s="9" t="s">
        <v>6774</v>
      </c>
      <c r="D3205" s="9" t="s">
        <v>84</v>
      </c>
      <c r="E3205" s="6" t="s">
        <v>6800</v>
      </c>
      <c r="F3205" s="9"/>
    </row>
    <row r="3206" ht="33.75" customHeight="1">
      <c r="A3206" s="7">
        <v>107.0</v>
      </c>
      <c r="B3206" s="9" t="s">
        <v>6773</v>
      </c>
      <c r="C3206" s="9" t="s">
        <v>6774</v>
      </c>
      <c r="D3206" s="9" t="s">
        <v>87</v>
      </c>
      <c r="E3206" s="6" t="s">
        <v>6800</v>
      </c>
      <c r="F3206" s="9"/>
    </row>
    <row r="3207" ht="33.75" customHeight="1">
      <c r="A3207" s="7">
        <v>107.0</v>
      </c>
      <c r="B3207" s="9" t="s">
        <v>6773</v>
      </c>
      <c r="C3207" s="9" t="s">
        <v>6774</v>
      </c>
      <c r="D3207" s="9" t="s">
        <v>89</v>
      </c>
      <c r="E3207" s="6" t="s">
        <v>6783</v>
      </c>
      <c r="F3207" s="9"/>
    </row>
    <row r="3208" ht="33.75" customHeight="1">
      <c r="A3208" s="7">
        <v>107.0</v>
      </c>
      <c r="B3208" s="9" t="s">
        <v>6773</v>
      </c>
      <c r="C3208" s="9" t="s">
        <v>6774</v>
      </c>
      <c r="D3208" s="9" t="s">
        <v>91</v>
      </c>
      <c r="E3208" s="6" t="s">
        <v>6785</v>
      </c>
      <c r="F3208" s="9"/>
    </row>
    <row r="3209" ht="33.75" customHeight="1">
      <c r="A3209" s="7">
        <v>107.0</v>
      </c>
      <c r="B3209" s="9" t="s">
        <v>6773</v>
      </c>
      <c r="C3209" s="9" t="s">
        <v>6774</v>
      </c>
      <c r="D3209" s="9" t="s">
        <v>93</v>
      </c>
      <c r="E3209" s="6" t="s">
        <v>6800</v>
      </c>
      <c r="F3209" s="9"/>
    </row>
    <row r="3210" ht="33.75" customHeight="1">
      <c r="A3210" s="7">
        <v>107.0</v>
      </c>
      <c r="B3210" s="9" t="s">
        <v>6773</v>
      </c>
      <c r="C3210" s="9" t="s">
        <v>6774</v>
      </c>
      <c r="D3210" s="9" t="s">
        <v>95</v>
      </c>
      <c r="E3210" s="6" t="s">
        <v>6800</v>
      </c>
      <c r="F3210" s="9"/>
    </row>
    <row r="3211" ht="33.75" customHeight="1">
      <c r="A3211" s="7">
        <v>107.0</v>
      </c>
      <c r="B3211" s="9" t="s">
        <v>6773</v>
      </c>
      <c r="C3211" s="9" t="s">
        <v>6774</v>
      </c>
      <c r="D3211" s="9" t="s">
        <v>98</v>
      </c>
      <c r="E3211" s="6" t="s">
        <v>6800</v>
      </c>
      <c r="F3211" s="9"/>
    </row>
    <row r="3212" ht="33.75" customHeight="1">
      <c r="A3212" s="7">
        <v>107.0</v>
      </c>
      <c r="B3212" s="9" t="s">
        <v>6773</v>
      </c>
      <c r="C3212" s="9" t="s">
        <v>6774</v>
      </c>
      <c r="D3212" s="9" t="s">
        <v>99</v>
      </c>
      <c r="E3212" s="6" t="s">
        <v>6800</v>
      </c>
      <c r="F3212" s="9"/>
    </row>
    <row r="3213" ht="33.75" customHeight="1">
      <c r="A3213" s="7">
        <v>107.0</v>
      </c>
      <c r="B3213" s="9" t="s">
        <v>6773</v>
      </c>
      <c r="C3213" s="9" t="s">
        <v>6774</v>
      </c>
      <c r="D3213" s="9" t="s">
        <v>101</v>
      </c>
      <c r="E3213" s="6" t="s">
        <v>6800</v>
      </c>
      <c r="F3213" s="9"/>
    </row>
    <row r="3214" ht="33.75" customHeight="1">
      <c r="A3214" s="7">
        <v>107.0</v>
      </c>
      <c r="B3214" s="9" t="s">
        <v>6773</v>
      </c>
      <c r="C3214" s="9" t="s">
        <v>6774</v>
      </c>
      <c r="D3214" s="9" t="s">
        <v>105</v>
      </c>
      <c r="E3214" s="6" t="s">
        <v>6814</v>
      </c>
      <c r="F3214" s="9"/>
    </row>
    <row r="3215" ht="33.75" customHeight="1">
      <c r="A3215" s="7">
        <v>107.0</v>
      </c>
      <c r="B3215" s="9" t="s">
        <v>6773</v>
      </c>
      <c r="C3215" s="9" t="s">
        <v>6774</v>
      </c>
      <c r="D3215" s="9" t="s">
        <v>107</v>
      </c>
      <c r="E3215" s="6" t="s">
        <v>6817</v>
      </c>
      <c r="F3215" s="9"/>
    </row>
    <row r="3216" ht="33.75" customHeight="1">
      <c r="A3216" s="7">
        <v>107.0</v>
      </c>
      <c r="B3216" s="9" t="s">
        <v>6773</v>
      </c>
      <c r="C3216" s="9" t="s">
        <v>6774</v>
      </c>
      <c r="D3216" s="9" t="s">
        <v>109</v>
      </c>
      <c r="E3216" s="6" t="s">
        <v>6817</v>
      </c>
      <c r="F3216" s="9"/>
    </row>
    <row r="3217" ht="33.75" customHeight="1">
      <c r="A3217" s="7">
        <v>107.0</v>
      </c>
      <c r="B3217" s="9" t="s">
        <v>6773</v>
      </c>
      <c r="C3217" s="9" t="s">
        <v>6774</v>
      </c>
      <c r="D3217" s="9" t="s">
        <v>111</v>
      </c>
      <c r="E3217" s="6" t="s">
        <v>6821</v>
      </c>
      <c r="F3217" s="9"/>
    </row>
    <row r="3218" ht="33.75" customHeight="1">
      <c r="A3218" s="7">
        <v>107.0</v>
      </c>
      <c r="B3218" s="9" t="s">
        <v>6773</v>
      </c>
      <c r="C3218" s="9" t="s">
        <v>6774</v>
      </c>
      <c r="D3218" s="9" t="s">
        <v>113</v>
      </c>
      <c r="E3218" s="6" t="s">
        <v>6821</v>
      </c>
      <c r="F3218" s="9"/>
    </row>
    <row r="3219" ht="33.75" customHeight="1">
      <c r="A3219" s="7">
        <v>107.0</v>
      </c>
      <c r="B3219" s="9" t="s">
        <v>6773</v>
      </c>
      <c r="C3219" s="9" t="s">
        <v>6774</v>
      </c>
      <c r="D3219" s="9" t="s">
        <v>114</v>
      </c>
      <c r="E3219" s="6" t="s">
        <v>6785</v>
      </c>
      <c r="F3219" s="9"/>
    </row>
    <row r="3220" ht="33.75" customHeight="1">
      <c r="A3220" s="7">
        <v>107.0</v>
      </c>
      <c r="B3220" s="9" t="s">
        <v>6773</v>
      </c>
      <c r="C3220" s="9" t="s">
        <v>6774</v>
      </c>
      <c r="D3220" s="9" t="s">
        <v>117</v>
      </c>
      <c r="E3220" s="6" t="s">
        <v>6783</v>
      </c>
      <c r="F3220" s="9"/>
    </row>
    <row r="3221" ht="33.75" customHeight="1">
      <c r="A3221" s="7">
        <v>108.0</v>
      </c>
      <c r="B3221" s="9" t="s">
        <v>6826</v>
      </c>
      <c r="C3221" s="9" t="s">
        <v>6827</v>
      </c>
      <c r="D3221" s="9" t="s">
        <v>24</v>
      </c>
      <c r="E3221" s="6" t="s">
        <v>6828</v>
      </c>
      <c r="F3221" t="inlineStr" s="10">
        <is>
          <t xml:space="preserve">Lickitungin kieli ojenee kuin kameleontin. Se jättää kihelmöivän tunteen nuollessaan vihollisia. Sen kieli on lähes 2,1 metriä pitkä ja liikkuu vapaammin kuin sen etujalat. Sen nuoleminen voi aiheuttaa halvaantumisen. Sen kielellä on hyvin kehittyneet hermot, jotka ulottuvat aivan kärkeen asti, joten sitä voidaan manipuloida taitavasti. Sen pitkä, tahmealla syljellä peittynyt kieli tarttuu mihin tahansa, joten se on erittäin hyödyllinen. Sen kieli on yli 190 cm pitkä. Se nuolee tätä pitkää kieltään puhtaaksi ruumiistaan. Aina kun LICKITUNG kohtaa jotain uutta, se nuolee sitä poikkeuksetta. Se tekee niin, koska se muistaa asioita rakenteen ja maun perusteella. Se on hieman epäluotettava happamista asioista. Aina kun se näkee jotain outoa, se nuolee esinettä, koska se muistaa asioita rakenteen ja maun perusteella. Happamat asiat pelottavat sitä jonkin verran. Sen kieli on kaksi kertaa vartalon pituinen. Sitä voidaan liikuttaa kuin käsivartta ruoan nappaamiseen ja hyökkäämiseen. Käsien sijaan se käyttää kieltään, joka on kaksi kertaa sen pituinen. Sen tahmea sylki tarttuu mihin tahansa. Kun se ojentaa yli kahden metrin pituisen kielensä, sen häntä värisee. On mahdollista, että ne ovat yhteydessä toisiinsa. Sen pitkä, tahmealla syljellä peittynyt kieli tarttuu kaikkeen, joten se on erittäin hyödyllinen. Pitkän, syljen peittämän kielen nuoleminen aiheuttaa kihelmöivän tunteen. Kielen ojentaminen vetää häntäänsä taaksepäin. Se nuolee kaikkea ympärillään. Jos et puhdista kohtaa, josta se on nuollut sinua, saat ihottumaa! Se nuolee lian puhtaaksi kielellään. Kaikki mitä se nuolee, haisee aina jälkeenpäin, joten onko se todella puhdasta...kyseenalaista. Sen kieli on lähes kaksi metriä pitkä ja liikkuu vapaammin kuin sen etujalat. Jos tämän Pokémonin tahmeaa sylkeä joutuu päällesi etkä puhdista sitä pois, se aiheuttaa voimakasta kutinaa. Kutina ei myöskään katoa. Ötökkä-Pokémonit ovat Lickitungin tärkein ravinnonlähde. Tämä Pokémon lamauttaa saaliinsa pitkällä kielellään nuolemalla ja nielee sen sitten kokonaisena. Käyttää pitkää kieltään taitavasti kuin se olisi käsivarsi. Pokémonin sitkeä sylki, kun se on kerätty ja keitetty, tuottaa vahvan ja erittäin hyödyllisen liiman.</t>
        </is>
      </c>
    </row>
    <row r="3222" ht="33.75" customHeight="1">
      <c r="A3222" s="7">
        <v>108.0</v>
      </c>
      <c r="B3222" s="9" t="s">
        <v>6826</v>
      </c>
      <c r="C3222" s="9" t="s">
        <v>6827</v>
      </c>
      <c r="D3222" s="9" t="s">
        <v>35</v>
      </c>
      <c r="E3222" s="6" t="s">
        <v>6828</v>
      </c>
      <c r="F3222" s="9"/>
    </row>
    <row r="3223" ht="33.75" customHeight="1">
      <c r="A3223" s="7">
        <v>108.0</v>
      </c>
      <c r="B3223" s="9" t="s">
        <v>6826</v>
      </c>
      <c r="C3223" s="9" t="s">
        <v>6827</v>
      </c>
      <c r="D3223" s="9" t="s">
        <v>42</v>
      </c>
      <c r="E3223" s="6" t="s">
        <v>6833</v>
      </c>
      <c r="F3223" s="9"/>
    </row>
    <row r="3224" ht="33.75" customHeight="1">
      <c r="A3224" s="7">
        <v>108.0</v>
      </c>
      <c r="B3224" s="9" t="s">
        <v>6826</v>
      </c>
      <c r="C3224" s="9" t="s">
        <v>6827</v>
      </c>
      <c r="D3224" s="9" t="s">
        <v>52</v>
      </c>
      <c r="E3224" s="6" t="s">
        <v>6837</v>
      </c>
      <c r="F3224" s="9"/>
    </row>
    <row r="3225" ht="33.75" customHeight="1">
      <c r="A3225" s="7">
        <v>108.0</v>
      </c>
      <c r="B3225" s="9" t="s">
        <v>6826</v>
      </c>
      <c r="C3225" s="9" t="s">
        <v>6827</v>
      </c>
      <c r="D3225" s="9" t="s">
        <v>59</v>
      </c>
      <c r="E3225" s="6" t="s">
        <v>6839</v>
      </c>
      <c r="F3225" s="9"/>
    </row>
    <row r="3226" ht="33.75" customHeight="1">
      <c r="A3226" s="7">
        <v>108.0</v>
      </c>
      <c r="B3226" s="9" t="s">
        <v>6826</v>
      </c>
      <c r="C3226" s="9" t="s">
        <v>6827</v>
      </c>
      <c r="D3226" s="9" t="s">
        <v>64</v>
      </c>
      <c r="E3226" s="6" t="s">
        <v>6840</v>
      </c>
      <c r="F3226" s="9"/>
    </row>
    <row r="3227" ht="33.75" customHeight="1">
      <c r="A3227" s="7">
        <v>108.0</v>
      </c>
      <c r="B3227" s="9" t="s">
        <v>6826</v>
      </c>
      <c r="C3227" s="9" t="s">
        <v>6827</v>
      </c>
      <c r="D3227" s="9" t="s">
        <v>67</v>
      </c>
      <c r="E3227" s="6" t="s">
        <v>6843</v>
      </c>
      <c r="F3227" s="9"/>
    </row>
    <row r="3228" ht="33.75" customHeight="1">
      <c r="A3228" s="7">
        <v>108.0</v>
      </c>
      <c r="B3228" s="9" t="s">
        <v>6826</v>
      </c>
      <c r="C3228" s="9" t="s">
        <v>6827</v>
      </c>
      <c r="D3228" s="9" t="s">
        <v>71</v>
      </c>
      <c r="E3228" s="6" t="s">
        <v>6843</v>
      </c>
      <c r="F3228" s="9"/>
    </row>
    <row r="3229" ht="33.75" customHeight="1">
      <c r="A3229" s="7">
        <v>108.0</v>
      </c>
      <c r="B3229" s="9" t="s">
        <v>6826</v>
      </c>
      <c r="C3229" s="9" t="s">
        <v>6827</v>
      </c>
      <c r="D3229" s="9" t="s">
        <v>73</v>
      </c>
      <c r="E3229" s="6" t="s">
        <v>6851</v>
      </c>
      <c r="F3229" s="9"/>
    </row>
    <row r="3230" ht="33.75" customHeight="1">
      <c r="A3230" s="7">
        <v>108.0</v>
      </c>
      <c r="B3230" s="9" t="s">
        <v>6826</v>
      </c>
      <c r="C3230" s="9" t="s">
        <v>6827</v>
      </c>
      <c r="D3230" s="9" t="s">
        <v>75</v>
      </c>
      <c r="E3230" s="6" t="s">
        <v>6854</v>
      </c>
      <c r="F3230" s="9"/>
    </row>
    <row r="3231" ht="33.75" customHeight="1">
      <c r="A3231" s="7">
        <v>108.0</v>
      </c>
      <c r="B3231" s="9" t="s">
        <v>6826</v>
      </c>
      <c r="C3231" s="9" t="s">
        <v>6827</v>
      </c>
      <c r="D3231" s="9" t="s">
        <v>79</v>
      </c>
      <c r="E3231" s="6" t="s">
        <v>6828</v>
      </c>
      <c r="F3231" s="9"/>
    </row>
    <row r="3232" ht="33.75" customHeight="1">
      <c r="A3232" s="7">
        <v>108.0</v>
      </c>
      <c r="B3232" s="9" t="s">
        <v>6826</v>
      </c>
      <c r="C3232" s="9" t="s">
        <v>6827</v>
      </c>
      <c r="D3232" s="9" t="s">
        <v>81</v>
      </c>
      <c r="E3232" s="6" t="s">
        <v>6857</v>
      </c>
      <c r="F3232" s="9"/>
    </row>
    <row r="3233" ht="33.75" customHeight="1">
      <c r="A3233" s="7">
        <v>108.0</v>
      </c>
      <c r="B3233" s="9" t="s">
        <v>6826</v>
      </c>
      <c r="C3233" s="9" t="s">
        <v>6827</v>
      </c>
      <c r="D3233" s="9" t="s">
        <v>84</v>
      </c>
      <c r="E3233" s="6" t="s">
        <v>6857</v>
      </c>
      <c r="F3233" s="9"/>
    </row>
    <row r="3234" ht="33.75" customHeight="1">
      <c r="A3234" s="7">
        <v>108.0</v>
      </c>
      <c r="B3234" s="9" t="s">
        <v>6826</v>
      </c>
      <c r="C3234" s="9" t="s">
        <v>6827</v>
      </c>
      <c r="D3234" s="9" t="s">
        <v>87</v>
      </c>
      <c r="E3234" s="6" t="s">
        <v>6862</v>
      </c>
      <c r="F3234" s="9"/>
    </row>
    <row r="3235" ht="33.75" customHeight="1">
      <c r="A3235" s="7">
        <v>108.0</v>
      </c>
      <c r="B3235" s="9" t="s">
        <v>6826</v>
      </c>
      <c r="C3235" s="9" t="s">
        <v>6827</v>
      </c>
      <c r="D3235" s="9" t="s">
        <v>89</v>
      </c>
      <c r="E3235" s="6" t="s">
        <v>6837</v>
      </c>
      <c r="F3235" s="9"/>
    </row>
    <row r="3236" ht="33.75" customHeight="1">
      <c r="A3236" s="7">
        <v>108.0</v>
      </c>
      <c r="B3236" s="9" t="s">
        <v>6826</v>
      </c>
      <c r="C3236" s="9" t="s">
        <v>6827</v>
      </c>
      <c r="D3236" s="9" t="s">
        <v>91</v>
      </c>
      <c r="E3236" s="6" t="s">
        <v>6867</v>
      </c>
      <c r="F3236" s="9"/>
    </row>
    <row r="3237" ht="33.75" customHeight="1">
      <c r="A3237" s="7">
        <v>108.0</v>
      </c>
      <c r="B3237" s="9" t="s">
        <v>6826</v>
      </c>
      <c r="C3237" s="9" t="s">
        <v>6827</v>
      </c>
      <c r="D3237" s="9" t="s">
        <v>93</v>
      </c>
      <c r="E3237" s="6" t="s">
        <v>6862</v>
      </c>
      <c r="F3237" s="9"/>
    </row>
    <row r="3238" ht="33.75" customHeight="1">
      <c r="A3238" s="7">
        <v>108.0</v>
      </c>
      <c r="B3238" s="9" t="s">
        <v>6826</v>
      </c>
      <c r="C3238" s="9" t="s">
        <v>6827</v>
      </c>
      <c r="D3238" s="9" t="s">
        <v>95</v>
      </c>
      <c r="E3238" s="6" t="s">
        <v>6862</v>
      </c>
      <c r="F3238" s="9"/>
    </row>
    <row r="3239" ht="33.75" customHeight="1">
      <c r="A3239" s="7">
        <v>108.0</v>
      </c>
      <c r="B3239" s="9" t="s">
        <v>6826</v>
      </c>
      <c r="C3239" s="9" t="s">
        <v>6827</v>
      </c>
      <c r="D3239" s="9" t="s">
        <v>98</v>
      </c>
      <c r="E3239" s="6" t="s">
        <v>6872</v>
      </c>
      <c r="F3239" s="9"/>
    </row>
    <row r="3240" ht="33.75" customHeight="1">
      <c r="A3240" s="7">
        <v>108.0</v>
      </c>
      <c r="B3240" s="9" t="s">
        <v>6826</v>
      </c>
      <c r="C3240" s="9" t="s">
        <v>6827</v>
      </c>
      <c r="D3240" s="9" t="s">
        <v>99</v>
      </c>
      <c r="E3240" s="6" t="s">
        <v>6872</v>
      </c>
      <c r="F3240" s="9"/>
    </row>
    <row r="3241" ht="33.75" customHeight="1">
      <c r="A3241" s="7">
        <v>108.0</v>
      </c>
      <c r="B3241" s="9" t="s">
        <v>6826</v>
      </c>
      <c r="C3241" s="9" t="s">
        <v>6827</v>
      </c>
      <c r="D3241" s="9" t="s">
        <v>101</v>
      </c>
      <c r="E3241" s="6" t="s">
        <v>6867</v>
      </c>
      <c r="F3241" s="9"/>
    </row>
    <row r="3242" ht="33.75" customHeight="1">
      <c r="A3242" s="7">
        <v>108.0</v>
      </c>
      <c r="B3242" s="9" t="s">
        <v>6826</v>
      </c>
      <c r="C3242" s="9" t="s">
        <v>6827</v>
      </c>
      <c r="D3242" s="9" t="s">
        <v>105</v>
      </c>
      <c r="E3242" s="6" t="s">
        <v>6854</v>
      </c>
      <c r="F3242" s="9"/>
    </row>
    <row r="3243" ht="33.75" customHeight="1">
      <c r="A3243" s="7">
        <v>108.0</v>
      </c>
      <c r="B3243" s="9" t="s">
        <v>6826</v>
      </c>
      <c r="C3243" s="9" t="s">
        <v>6827</v>
      </c>
      <c r="D3243" s="9" t="s">
        <v>107</v>
      </c>
      <c r="E3243" s="6" t="s">
        <v>6881</v>
      </c>
      <c r="F3243" s="9"/>
    </row>
    <row r="3244" ht="33.75" customHeight="1">
      <c r="A3244" s="7">
        <v>108.0</v>
      </c>
      <c r="B3244" s="9" t="s">
        <v>6826</v>
      </c>
      <c r="C3244" s="9" t="s">
        <v>6827</v>
      </c>
      <c r="D3244" s="9" t="s">
        <v>109</v>
      </c>
      <c r="E3244" s="6" t="s">
        <v>6881</v>
      </c>
      <c r="F3244" s="9"/>
    </row>
    <row r="3245" ht="33.75" customHeight="1">
      <c r="A3245" s="7">
        <v>108.0</v>
      </c>
      <c r="B3245" s="9" t="s">
        <v>6826</v>
      </c>
      <c r="C3245" s="9" t="s">
        <v>6827</v>
      </c>
      <c r="D3245" s="9" t="s">
        <v>647</v>
      </c>
      <c r="E3245" s="6" t="s">
        <v>6884</v>
      </c>
      <c r="F3245" s="9"/>
    </row>
    <row r="3246" ht="33.75" customHeight="1">
      <c r="A3246" s="7">
        <v>108.0</v>
      </c>
      <c r="B3246" s="9" t="s">
        <v>6826</v>
      </c>
      <c r="C3246" s="9" t="s">
        <v>6827</v>
      </c>
      <c r="D3246" s="9" t="s">
        <v>652</v>
      </c>
      <c r="E3246" s="6" t="s">
        <v>6888</v>
      </c>
      <c r="F3246" s="9"/>
    </row>
    <row r="3247" ht="33.75" customHeight="1">
      <c r="A3247" s="7">
        <v>108.0</v>
      </c>
      <c r="B3247" s="9" t="s">
        <v>6826</v>
      </c>
      <c r="C3247" s="9" t="s">
        <v>6827</v>
      </c>
      <c r="D3247" s="9" t="s">
        <v>111</v>
      </c>
      <c r="E3247" s="6" t="s">
        <v>6891</v>
      </c>
      <c r="F3247" s="9"/>
    </row>
    <row r="3248" ht="33.75" customHeight="1">
      <c r="A3248" s="7">
        <v>108.0</v>
      </c>
      <c r="B3248" s="9" t="s">
        <v>6826</v>
      </c>
      <c r="C3248" s="9" t="s">
        <v>6827</v>
      </c>
      <c r="D3248" s="9" t="s">
        <v>113</v>
      </c>
      <c r="E3248" s="6" t="s">
        <v>6891</v>
      </c>
      <c r="F3248" s="9"/>
    </row>
    <row r="3249" ht="33.75" customHeight="1">
      <c r="A3249" s="7">
        <v>108.0</v>
      </c>
      <c r="B3249" s="9" t="s">
        <v>6826</v>
      </c>
      <c r="C3249" s="9" t="s">
        <v>6827</v>
      </c>
      <c r="D3249" s="9" t="s">
        <v>114</v>
      </c>
      <c r="E3249" s="6" t="s">
        <v>6894</v>
      </c>
      <c r="F3249" s="9"/>
    </row>
    <row r="3250" ht="33.75" customHeight="1">
      <c r="A3250" s="7">
        <v>108.0</v>
      </c>
      <c r="B3250" s="9" t="s">
        <v>6826</v>
      </c>
      <c r="C3250" s="9" t="s">
        <v>6827</v>
      </c>
      <c r="D3250" s="9" t="s">
        <v>117</v>
      </c>
      <c r="E3250" s="6" t="s">
        <v>6897</v>
      </c>
      <c r="F3250" s="9"/>
    </row>
    <row r="3251" ht="33.75" customHeight="1">
      <c r="A3251" s="7">
        <v>108.0</v>
      </c>
      <c r="B3251" s="9" t="s">
        <v>6826</v>
      </c>
      <c r="C3251" s="9" t="s">
        <v>6827</v>
      </c>
      <c r="D3251" s="9" t="s">
        <v>1577</v>
      </c>
      <c r="E3251" s="6" t="s">
        <v>6899</v>
      </c>
      <c r="F3251" s="9"/>
    </row>
    <row r="3252" ht="33.75" customHeight="1">
      <c r="A3252" s="7">
        <v>109.0</v>
      </c>
      <c r="B3252" s="9" t="s">
        <v>6900</v>
      </c>
      <c r="C3252" s="9" t="s">
        <v>6902</v>
      </c>
      <c r="D3252" s="9" t="s">
        <v>24</v>
      </c>
      <c r="E3252" s="6" t="s">
        <v>6903</v>
      </c>
      <c r="F3252" t="inlineStr" s="10">
        <is>
          <t xml:space="preserve">Koska se varastoi kehossaan useita erilaisia ​​myrkyllisiä kaasuja, se on altis räjähtämään varoittamatta. Kuumissa paikoissa sen sisäiset kaasut voivat laajentua ja räjähtää ilman varoitusta. Ole erittäin varovainen! Sen ohut, kalvomainen ruumis on täynnä kaasuja, jotka aiheuttavat jatkuvaa nuhaa, yskää ja kyynelehtiviä silmiä. Sen sisältämät myrkylliset kaasut ovat hieman ilmaa kevyempiä, minkä vuoksi se pysyy hieman ilmassa. Jos sitä pääsee tarpeeksi lähelle, kun siitä tulee myrkyllistä kaasua, sen sisällä pyörteilevän kaasun voi nähdä. Jos KOFFING kiihtyy, se lisää sisäisten kaasujensa myrkyllisyyttä ja suihkuttaa niitä ulos kaikkialle kehoonsa. Tämä POKéMON voi myös täyttää pyöreän ruumiinsa liikaa ja sitten räjähtää. KOFFING ilmentää myrkyllisiä aineita. Se sekoittaa myrkkyjä raa'an jätteen kanssa laukaisten kemiallisen reaktion, joka johtaa erittäin voimakkaaseen myrkkykaasuun. Mitä korkeampi lämpötila, sitä enemmän kaasua tämä POKéMON valmistaa. Lähelle pääseminen antaa sinulle mahdollisuuden tarkkailla KOFFINGin ohuen kalvon läpi sisällä pyöriviä myrkyllisiä kaasuja. Se räjähtää pienimmästäkin ärsykkeestä. Sen ohut, ilmapallomainen ruumis on täynnä hirvittävän myrkyllisiä kaasuja. Se haisee pahalle ollessaan lähellä. Sen kehossa olevat ilmaa kevyemmät kaasut pitävät sen ilmassa. Kaasut eivät ainoastaan ​​haise, vaan ne ovat myös räjähdysherkkiä. Sen sisältämät myrkylliset kaasut ovat hieman ilmaa kevyempiä, minkä vuoksi se leijuu lievästi ilmassa. Myrkyllistä kaasua pidätetään sen ohuen, ilmapallomaisen rungon sisällä, joten se voi aiheuttaa massiivisia räjähdyksiä. Tämä Pokémon voi myös ylipaisuttaa pyöreää ruumistaan ​​ja sitten räjähtää. Sen ruumis on täynnä myrkyllistä kaasua. Se kelluu kaatopaikoille etsien raa'an, mätänevän jätteen höyryjä. Se rakastaa saastunutta ilmaa. Jotkut väittävät, että koffingeja oli ennen Galarin alueella runsaammin kuin nyt.</t>
        </is>
      </c>
    </row>
    <row r="3253" ht="33.75" customHeight="1">
      <c r="A3253" s="7">
        <v>109.0</v>
      </c>
      <c r="B3253" s="9" t="s">
        <v>6900</v>
      </c>
      <c r="C3253" s="9" t="s">
        <v>6902</v>
      </c>
      <c r="D3253" s="9" t="s">
        <v>35</v>
      </c>
      <c r="E3253" s="6" t="s">
        <v>6903</v>
      </c>
      <c r="F3253" s="9"/>
    </row>
    <row r="3254" ht="33.75" customHeight="1">
      <c r="A3254" s="7">
        <v>109.0</v>
      </c>
      <c r="B3254" s="9" t="s">
        <v>6900</v>
      </c>
      <c r="C3254" s="9" t="s">
        <v>6902</v>
      </c>
      <c r="D3254" s="9" t="s">
        <v>42</v>
      </c>
      <c r="E3254" s="6" t="s">
        <v>6909</v>
      </c>
      <c r="F3254" s="9"/>
    </row>
    <row r="3255" ht="33.75" customHeight="1">
      <c r="A3255" s="7">
        <v>109.0</v>
      </c>
      <c r="B3255" s="9" t="s">
        <v>6900</v>
      </c>
      <c r="C3255" s="9" t="s">
        <v>6902</v>
      </c>
      <c r="D3255" s="9" t="s">
        <v>52</v>
      </c>
      <c r="E3255" s="6" t="s">
        <v>6912</v>
      </c>
      <c r="F3255" s="9"/>
    </row>
    <row r="3256" ht="33.75" customHeight="1">
      <c r="A3256" s="7">
        <v>109.0</v>
      </c>
      <c r="B3256" s="9" t="s">
        <v>6900</v>
      </c>
      <c r="C3256" s="9" t="s">
        <v>6902</v>
      </c>
      <c r="D3256" s="9" t="s">
        <v>59</v>
      </c>
      <c r="E3256" s="6" t="s">
        <v>6916</v>
      </c>
      <c r="F3256" s="9"/>
    </row>
    <row r="3257" ht="33.75" customHeight="1">
      <c r="A3257" s="7">
        <v>109.0</v>
      </c>
      <c r="B3257" s="9" t="s">
        <v>6900</v>
      </c>
      <c r="C3257" s="9" t="s">
        <v>6902</v>
      </c>
      <c r="D3257" s="9" t="s">
        <v>64</v>
      </c>
      <c r="E3257" s="6" t="s">
        <v>6918</v>
      </c>
      <c r="F3257" s="9"/>
    </row>
    <row r="3258" ht="33.75" customHeight="1">
      <c r="A3258" s="7">
        <v>109.0</v>
      </c>
      <c r="B3258" s="9" t="s">
        <v>6900</v>
      </c>
      <c r="C3258" s="9" t="s">
        <v>6902</v>
      </c>
      <c r="D3258" s="9" t="s">
        <v>67</v>
      </c>
      <c r="E3258" s="6" t="s">
        <v>6921</v>
      </c>
      <c r="F3258" s="9"/>
    </row>
    <row r="3259" ht="33.75" customHeight="1">
      <c r="A3259" s="7">
        <v>109.0</v>
      </c>
      <c r="B3259" s="9" t="s">
        <v>6900</v>
      </c>
      <c r="C3259" s="9" t="s">
        <v>6902</v>
      </c>
      <c r="D3259" s="9" t="s">
        <v>71</v>
      </c>
      <c r="E3259" s="6" t="s">
        <v>6923</v>
      </c>
      <c r="F3259" s="9"/>
    </row>
    <row r="3260" ht="33.75" customHeight="1">
      <c r="A3260" s="7">
        <v>109.0</v>
      </c>
      <c r="B3260" s="9" t="s">
        <v>6900</v>
      </c>
      <c r="C3260" s="9" t="s">
        <v>6902</v>
      </c>
      <c r="D3260" s="9" t="s">
        <v>73</v>
      </c>
      <c r="E3260" s="6" t="s">
        <v>6925</v>
      </c>
      <c r="F3260" s="9"/>
    </row>
    <row r="3261" ht="33.75" customHeight="1">
      <c r="A3261" s="7">
        <v>109.0</v>
      </c>
      <c r="B3261" s="9" t="s">
        <v>6900</v>
      </c>
      <c r="C3261" s="9" t="s">
        <v>6902</v>
      </c>
      <c r="D3261" s="9" t="s">
        <v>75</v>
      </c>
      <c r="E3261" s="6" t="s">
        <v>6928</v>
      </c>
      <c r="F3261" s="9"/>
    </row>
    <row r="3262" ht="33.75" customHeight="1">
      <c r="A3262" s="7">
        <v>109.0</v>
      </c>
      <c r="B3262" s="9" t="s">
        <v>6900</v>
      </c>
      <c r="C3262" s="9" t="s">
        <v>6902</v>
      </c>
      <c r="D3262" s="9" t="s">
        <v>79</v>
      </c>
      <c r="E3262" s="6" t="s">
        <v>6903</v>
      </c>
      <c r="F3262" s="9"/>
    </row>
    <row r="3263" ht="33.75" customHeight="1">
      <c r="A3263" s="7">
        <v>109.0</v>
      </c>
      <c r="B3263" s="9" t="s">
        <v>6900</v>
      </c>
      <c r="C3263" s="9" t="s">
        <v>6902</v>
      </c>
      <c r="D3263" s="9" t="s">
        <v>81</v>
      </c>
      <c r="E3263" s="6" t="s">
        <v>6934</v>
      </c>
      <c r="F3263" s="9"/>
    </row>
    <row r="3264" ht="33.75" customHeight="1">
      <c r="A3264" s="7">
        <v>109.0</v>
      </c>
      <c r="B3264" s="9" t="s">
        <v>6900</v>
      </c>
      <c r="C3264" s="9" t="s">
        <v>6902</v>
      </c>
      <c r="D3264" s="9" t="s">
        <v>84</v>
      </c>
      <c r="E3264" s="6" t="s">
        <v>6934</v>
      </c>
      <c r="F3264" s="9"/>
    </row>
    <row r="3265" ht="33.75" customHeight="1">
      <c r="A3265" s="7">
        <v>109.0</v>
      </c>
      <c r="B3265" s="9" t="s">
        <v>6900</v>
      </c>
      <c r="C3265" s="9" t="s">
        <v>6902</v>
      </c>
      <c r="D3265" s="9" t="s">
        <v>87</v>
      </c>
      <c r="E3265" s="6" t="s">
        <v>6934</v>
      </c>
      <c r="F3265" s="9"/>
    </row>
    <row r="3266" ht="33.75" customHeight="1">
      <c r="A3266" s="7">
        <v>109.0</v>
      </c>
      <c r="B3266" s="9" t="s">
        <v>6900</v>
      </c>
      <c r="C3266" s="9" t="s">
        <v>6902</v>
      </c>
      <c r="D3266" s="9" t="s">
        <v>89</v>
      </c>
      <c r="E3266" s="6" t="s">
        <v>6912</v>
      </c>
      <c r="F3266" s="9"/>
    </row>
    <row r="3267" ht="33.75" customHeight="1">
      <c r="A3267" s="7">
        <v>109.0</v>
      </c>
      <c r="B3267" s="9" t="s">
        <v>6900</v>
      </c>
      <c r="C3267" s="9" t="s">
        <v>6902</v>
      </c>
      <c r="D3267" s="9" t="s">
        <v>91</v>
      </c>
      <c r="E3267" s="6" t="s">
        <v>6947</v>
      </c>
      <c r="F3267" s="9"/>
    </row>
    <row r="3268" ht="33.75" customHeight="1">
      <c r="A3268" s="7">
        <v>109.0</v>
      </c>
      <c r="B3268" s="9" t="s">
        <v>6900</v>
      </c>
      <c r="C3268" s="9" t="s">
        <v>6902</v>
      </c>
      <c r="D3268" s="9" t="s">
        <v>93</v>
      </c>
      <c r="E3268" s="6" t="s">
        <v>6934</v>
      </c>
      <c r="F3268" s="9"/>
    </row>
    <row r="3269" ht="33.75" customHeight="1">
      <c r="A3269" s="7">
        <v>109.0</v>
      </c>
      <c r="B3269" s="9" t="s">
        <v>6900</v>
      </c>
      <c r="C3269" s="9" t="s">
        <v>6902</v>
      </c>
      <c r="D3269" s="9" t="s">
        <v>95</v>
      </c>
      <c r="E3269" s="6" t="s">
        <v>6934</v>
      </c>
      <c r="F3269" s="9"/>
    </row>
    <row r="3270" ht="33.75" customHeight="1">
      <c r="A3270" s="7">
        <v>109.0</v>
      </c>
      <c r="B3270" s="9" t="s">
        <v>6900</v>
      </c>
      <c r="C3270" s="9" t="s">
        <v>6902</v>
      </c>
      <c r="D3270" s="9" t="s">
        <v>98</v>
      </c>
      <c r="E3270" s="6" t="s">
        <v>6955</v>
      </c>
      <c r="F3270" s="9"/>
    </row>
    <row r="3271" ht="33.75" customHeight="1">
      <c r="A3271" s="7">
        <v>109.0</v>
      </c>
      <c r="B3271" s="9" t="s">
        <v>6900</v>
      </c>
      <c r="C3271" s="9" t="s">
        <v>6902</v>
      </c>
      <c r="D3271" s="9" t="s">
        <v>99</v>
      </c>
      <c r="E3271" s="6" t="s">
        <v>6955</v>
      </c>
      <c r="F3271" s="9"/>
    </row>
    <row r="3272" ht="33.75" customHeight="1">
      <c r="A3272" s="7">
        <v>109.0</v>
      </c>
      <c r="B3272" s="9" t="s">
        <v>6900</v>
      </c>
      <c r="C3272" s="9" t="s">
        <v>6902</v>
      </c>
      <c r="D3272" s="9" t="s">
        <v>101</v>
      </c>
      <c r="E3272" s="6" t="s">
        <v>6928</v>
      </c>
      <c r="F3272" s="9"/>
    </row>
    <row r="3273" ht="33.75" customHeight="1">
      <c r="A3273" s="7">
        <v>109.0</v>
      </c>
      <c r="B3273" s="9" t="s">
        <v>6900</v>
      </c>
      <c r="C3273" s="9" t="s">
        <v>6902</v>
      </c>
      <c r="D3273" s="9" t="s">
        <v>105</v>
      </c>
      <c r="E3273" s="6" t="s">
        <v>6934</v>
      </c>
      <c r="F3273" s="9"/>
    </row>
    <row r="3274" ht="33.75" customHeight="1">
      <c r="A3274" s="7">
        <v>109.0</v>
      </c>
      <c r="B3274" s="9" t="s">
        <v>6900</v>
      </c>
      <c r="C3274" s="9" t="s">
        <v>6902</v>
      </c>
      <c r="D3274" s="9" t="s">
        <v>107</v>
      </c>
      <c r="E3274" s="6" t="s">
        <v>6964</v>
      </c>
      <c r="F3274" s="9"/>
    </row>
    <row r="3275" ht="33.75" customHeight="1">
      <c r="A3275" s="7">
        <v>109.0</v>
      </c>
      <c r="B3275" s="9" t="s">
        <v>6900</v>
      </c>
      <c r="C3275" s="9" t="s">
        <v>6902</v>
      </c>
      <c r="D3275" s="9" t="s">
        <v>109</v>
      </c>
      <c r="E3275" s="6" t="s">
        <v>6967</v>
      </c>
      <c r="F3275" s="9"/>
    </row>
    <row r="3276" ht="33.75" customHeight="1">
      <c r="A3276" s="7">
        <v>109.0</v>
      </c>
      <c r="B3276" s="9" t="s">
        <v>6900</v>
      </c>
      <c r="C3276" s="9" t="s">
        <v>6902</v>
      </c>
      <c r="D3276" s="9" t="s">
        <v>111</v>
      </c>
      <c r="E3276" s="6" t="s">
        <v>6909</v>
      </c>
      <c r="F3276" s="9"/>
    </row>
    <row r="3277" ht="33.75" customHeight="1">
      <c r="A3277" s="7">
        <v>109.0</v>
      </c>
      <c r="B3277" s="9" t="s">
        <v>6900</v>
      </c>
      <c r="C3277" s="9" t="s">
        <v>6902</v>
      </c>
      <c r="D3277" s="9" t="s">
        <v>113</v>
      </c>
      <c r="E3277" s="6" t="s">
        <v>6909</v>
      </c>
      <c r="F3277" s="9"/>
    </row>
    <row r="3278" ht="33.75" customHeight="1">
      <c r="A3278" s="7">
        <v>109.0</v>
      </c>
      <c r="B3278" s="9" t="s">
        <v>6900</v>
      </c>
      <c r="C3278" s="9" t="s">
        <v>6902</v>
      </c>
      <c r="D3278" s="9" t="s">
        <v>114</v>
      </c>
      <c r="E3278" s="6" t="s">
        <v>6973</v>
      </c>
      <c r="F3278" s="9"/>
    </row>
    <row r="3279" ht="33.75" customHeight="1">
      <c r="A3279" s="7">
        <v>109.0</v>
      </c>
      <c r="B3279" s="9" t="s">
        <v>6900</v>
      </c>
      <c r="C3279" s="9" t="s">
        <v>6902</v>
      </c>
      <c r="D3279" s="9" t="s">
        <v>117</v>
      </c>
      <c r="E3279" s="6" t="s">
        <v>6976</v>
      </c>
      <c r="F3279" s="9"/>
    </row>
    <row r="3280" ht="33.75" customHeight="1">
      <c r="A3280" s="7">
        <v>110.0</v>
      </c>
      <c r="B3280" s="9" t="s">
        <v>6978</v>
      </c>
      <c r="C3280" s="9" t="s">
        <v>6902</v>
      </c>
      <c r="D3280" s="9" t="s">
        <v>24</v>
      </c>
      <c r="E3280" s="6" t="s">
        <v>6981</v>
      </c>
      <c r="F3280" t="inlineStr" s="10">
        <is>
          <t xml:space="preserve">Kun kahdenlaisia ​​myrkyllisiä kaasuja kohtaavat, kaksi KOFFINGIA voi sulautua yhteen VISUMISEKSI vuosien kuluessa. Se elää ja kasvaa imemällä itseensä pölyä, bakteereja ja myrkyllisiä kaasuja, joita on myrkyllisessä jätteessä ja roskissa. Jos toinen KOFFING-kaksosista täyttyy, toinen tyhjenee. Se sekoittaa jatkuvasti myrkyllisiä kaasujaan. Huippuluokan hajuvesi valmistetaan sen sisäisistä myrkyllisistä kaasuista laimentamalla ne korkeimpaan mahdolliseen pitoisuuteen. Kun se hengittää sisään myrkyllisiä kaasuja roskista, sen ruumis laajenee ja sen sisäosat haisevat paljon pahemmalta. WEEZING rakastaa mädäntyneen keittiöjätteen kaasuja. Tämä POKéMON löytää likaisen ja hoitamattoman talon ja tekee siitä kotinsa. Yöllä, kun talossa olevat ihmiset nukkuvat, se penkoo roskia. WEEZING vuorotellen kutistaa ja paisuttaa kaksoisruumiitaan sekoittaen niiden sisällä myrkyllisiä kaasuja. Mitä enemmän kaasuja sekoitetaan, sitä voimakkaammiksi myrkyt tulevat. POKéMONista tulee myös mädäntyneempi. Laimentamalla sen myrkyllisiä kaasuja erityisellä menetelmällä voidaan erottaa korkeimman luokan hajuvesi. VISUILLE roskista purkautuvat kaasut ovat lopullinen juhla. Hyvin harvoin äkillinen mutaatio voi johtaa kahden pienen KOFFING-kaksosen yhdistymiseen WEEZING-muodostelmana. Kun kahdenlaisia ​​myrkyllisiä kaasuja kohtaavat, kaksi KOFFINGIA voi sulautua VISUMISEKSI vuosien kuluessa. Se kasvaa syömällä roskista vapautuvia kaasuja. Vaikka se on hyvin harvinaista, siitä on löydetty kolmosia. Roskien myrkyllisten höyryjen hengittäminen ja niiden sekoittaminen kehoonsa saa sen levittämään vielä pahempaa hajua. Jos toinen kaksoiskoffingeista täyttyy, toinen tyhjenee. Hyvin harvoin äkillinen mutaatio voi johtaa kahden pienen Koffing-kaksosen yhdistymiseen Weezingiksi. Yöllä, kun talon asukkaat nukkuvat, se penkoo roskia. Pissaaminen vuorotellen kutistaa ja paisuttaa kaksoisruumiitaan sekoittaen sisällään myrkyllisiä kaasuja. Mitä enemmän kaasuja sekoittuu, sitä voimakkaammiksi myrkyt tulevat. Tämä Pokémon elää ja kasvaa imemällä itseensä roskissa olevaa myrkyllistä kaasua, pölyä ja bakteereja. Se sekoittaa kaasuja kahden ruumiinsa välillä. Kerrotaan, että näitä Pokémoneja nähtiin aikoinaan kaikkialla Galarin alueella. Se ei pysty imemään ilmaa aivan yhtä hyvin kuin galarialainen Weezing, mutta sen tuottamat toksiinit ovat voimakkaampia kuin vastineensa.</t>
        </is>
      </c>
    </row>
    <row r="3281" ht="33.75" customHeight="1">
      <c r="A3281" s="7">
        <v>110.0</v>
      </c>
      <c r="B3281" s="9" t="s">
        <v>6978</v>
      </c>
      <c r="C3281" s="9" t="s">
        <v>6902</v>
      </c>
      <c r="D3281" s="9" t="s">
        <v>35</v>
      </c>
      <c r="E3281" s="6" t="s">
        <v>6981</v>
      </c>
      <c r="F3281" s="9"/>
    </row>
    <row r="3282" ht="33.75" customHeight="1">
      <c r="A3282" s="7">
        <v>110.0</v>
      </c>
      <c r="B3282" s="9" t="s">
        <v>6978</v>
      </c>
      <c r="C3282" s="9" t="s">
        <v>6902</v>
      </c>
      <c r="D3282" s="9" t="s">
        <v>42</v>
      </c>
      <c r="E3282" s="6" t="s">
        <v>6985</v>
      </c>
      <c r="F3282" s="9"/>
    </row>
    <row r="3283" ht="33.75" customHeight="1">
      <c r="A3283" s="7">
        <v>110.0</v>
      </c>
      <c r="B3283" s="9" t="s">
        <v>6978</v>
      </c>
      <c r="C3283" s="9" t="s">
        <v>6902</v>
      </c>
      <c r="D3283" s="9" t="s">
        <v>52</v>
      </c>
      <c r="E3283" s="6" t="s">
        <v>6987</v>
      </c>
      <c r="F3283" s="9"/>
    </row>
    <row r="3284" ht="33.75" customHeight="1">
      <c r="A3284" s="7">
        <v>110.0</v>
      </c>
      <c r="B3284" s="9" t="s">
        <v>6978</v>
      </c>
      <c r="C3284" s="9" t="s">
        <v>6902</v>
      </c>
      <c r="D3284" s="9" t="s">
        <v>59</v>
      </c>
      <c r="E3284" s="6" t="s">
        <v>6990</v>
      </c>
      <c r="F3284" s="9"/>
    </row>
    <row r="3285" ht="33.75" customHeight="1">
      <c r="A3285" s="7">
        <v>110.0</v>
      </c>
      <c r="B3285" s="9" t="s">
        <v>6978</v>
      </c>
      <c r="C3285" s="9" t="s">
        <v>6902</v>
      </c>
      <c r="D3285" s="9" t="s">
        <v>64</v>
      </c>
      <c r="E3285" s="6" t="s">
        <v>6993</v>
      </c>
      <c r="F3285" s="9"/>
    </row>
    <row r="3286" ht="33.75" customHeight="1">
      <c r="A3286" s="7">
        <v>110.0</v>
      </c>
      <c r="B3286" s="9" t="s">
        <v>6978</v>
      </c>
      <c r="C3286" s="9" t="s">
        <v>6902</v>
      </c>
      <c r="D3286" s="9" t="s">
        <v>67</v>
      </c>
      <c r="E3286" s="6" t="s">
        <v>6996</v>
      </c>
      <c r="F3286" s="9"/>
    </row>
    <row r="3287" ht="33.75" customHeight="1">
      <c r="A3287" s="7">
        <v>110.0</v>
      </c>
      <c r="B3287" s="9" t="s">
        <v>6978</v>
      </c>
      <c r="C3287" s="9" t="s">
        <v>6902</v>
      </c>
      <c r="D3287" s="9" t="s">
        <v>71</v>
      </c>
      <c r="E3287" s="6" t="s">
        <v>6998</v>
      </c>
      <c r="F3287" s="9"/>
    </row>
    <row r="3288" ht="33.75" customHeight="1">
      <c r="A3288" s="7">
        <v>110.0</v>
      </c>
      <c r="B3288" s="9" t="s">
        <v>6978</v>
      </c>
      <c r="C3288" s="9" t="s">
        <v>6902</v>
      </c>
      <c r="D3288" s="9" t="s">
        <v>73</v>
      </c>
      <c r="E3288" s="6" t="s">
        <v>7001</v>
      </c>
      <c r="F3288" s="9"/>
    </row>
    <row r="3289" ht="33.75" customHeight="1">
      <c r="A3289" s="7">
        <v>110.0</v>
      </c>
      <c r="B3289" s="9" t="s">
        <v>6978</v>
      </c>
      <c r="C3289" s="9" t="s">
        <v>6902</v>
      </c>
      <c r="D3289" s="9" t="s">
        <v>75</v>
      </c>
      <c r="E3289" s="6" t="s">
        <v>7004</v>
      </c>
      <c r="F3289" s="9"/>
    </row>
    <row r="3290" ht="33.75" customHeight="1">
      <c r="A3290" s="7">
        <v>110.0</v>
      </c>
      <c r="B3290" s="9" t="s">
        <v>6978</v>
      </c>
      <c r="C3290" s="9" t="s">
        <v>6902</v>
      </c>
      <c r="D3290" s="9" t="s">
        <v>79</v>
      </c>
      <c r="E3290" s="6" t="s">
        <v>7007</v>
      </c>
      <c r="F3290" s="9"/>
    </row>
    <row r="3291" ht="33.75" customHeight="1">
      <c r="A3291" s="7">
        <v>110.0</v>
      </c>
      <c r="B3291" s="9" t="s">
        <v>6978</v>
      </c>
      <c r="C3291" s="9" t="s">
        <v>6902</v>
      </c>
      <c r="D3291" s="9" t="s">
        <v>81</v>
      </c>
      <c r="E3291" s="6" t="s">
        <v>7010</v>
      </c>
      <c r="F3291" s="9"/>
    </row>
    <row r="3292" ht="33.75" customHeight="1">
      <c r="A3292" s="7">
        <v>110.0</v>
      </c>
      <c r="B3292" s="9" t="s">
        <v>6978</v>
      </c>
      <c r="C3292" s="9" t="s">
        <v>6902</v>
      </c>
      <c r="D3292" s="9" t="s">
        <v>84</v>
      </c>
      <c r="E3292" s="6" t="s">
        <v>7010</v>
      </c>
      <c r="F3292" s="9"/>
    </row>
    <row r="3293" ht="33.75" customHeight="1">
      <c r="A3293" s="7">
        <v>110.0</v>
      </c>
      <c r="B3293" s="9" t="s">
        <v>6978</v>
      </c>
      <c r="C3293" s="9" t="s">
        <v>6902</v>
      </c>
      <c r="D3293" s="9" t="s">
        <v>87</v>
      </c>
      <c r="E3293" s="6" t="s">
        <v>7010</v>
      </c>
      <c r="F3293" s="9"/>
    </row>
    <row r="3294" ht="33.75" customHeight="1">
      <c r="A3294" s="7">
        <v>110.0</v>
      </c>
      <c r="B3294" s="9" t="s">
        <v>6978</v>
      </c>
      <c r="C3294" s="9" t="s">
        <v>6902</v>
      </c>
      <c r="D3294" s="9" t="s">
        <v>89</v>
      </c>
      <c r="E3294" s="6" t="s">
        <v>6987</v>
      </c>
      <c r="F3294" s="9"/>
    </row>
    <row r="3295" ht="33.75" customHeight="1">
      <c r="A3295" s="7">
        <v>110.0</v>
      </c>
      <c r="B3295" s="9" t="s">
        <v>6978</v>
      </c>
      <c r="C3295" s="9" t="s">
        <v>6902</v>
      </c>
      <c r="D3295" s="9" t="s">
        <v>91</v>
      </c>
      <c r="E3295" s="6" t="s">
        <v>6990</v>
      </c>
      <c r="F3295" s="9"/>
    </row>
    <row r="3296" ht="33.75" customHeight="1">
      <c r="A3296" s="7">
        <v>110.0</v>
      </c>
      <c r="B3296" s="9" t="s">
        <v>6978</v>
      </c>
      <c r="C3296" s="9" t="s">
        <v>6902</v>
      </c>
      <c r="D3296" s="9" t="s">
        <v>93</v>
      </c>
      <c r="E3296" s="6" t="s">
        <v>7010</v>
      </c>
      <c r="F3296" s="9"/>
    </row>
    <row r="3297" ht="33.75" customHeight="1">
      <c r="A3297" s="7">
        <v>110.0</v>
      </c>
      <c r="B3297" s="9" t="s">
        <v>6978</v>
      </c>
      <c r="C3297" s="9" t="s">
        <v>6902</v>
      </c>
      <c r="D3297" s="9" t="s">
        <v>95</v>
      </c>
      <c r="E3297" s="6" t="s">
        <v>7010</v>
      </c>
      <c r="F3297" s="9"/>
    </row>
    <row r="3298" ht="33.75" customHeight="1">
      <c r="A3298" s="7">
        <v>110.0</v>
      </c>
      <c r="B3298" s="9" t="s">
        <v>6978</v>
      </c>
      <c r="C3298" s="9" t="s">
        <v>6902</v>
      </c>
      <c r="D3298" s="9" t="s">
        <v>98</v>
      </c>
      <c r="E3298" s="6" t="s">
        <v>7026</v>
      </c>
      <c r="F3298" s="9"/>
    </row>
    <row r="3299" ht="33.75" customHeight="1">
      <c r="A3299" s="7">
        <v>110.0</v>
      </c>
      <c r="B3299" s="9" t="s">
        <v>6978</v>
      </c>
      <c r="C3299" s="9" t="s">
        <v>6902</v>
      </c>
      <c r="D3299" s="9" t="s">
        <v>99</v>
      </c>
      <c r="E3299" s="6" t="s">
        <v>7026</v>
      </c>
      <c r="F3299" s="9"/>
    </row>
    <row r="3300" ht="33.75" customHeight="1">
      <c r="A3300" s="7">
        <v>110.0</v>
      </c>
      <c r="B3300" s="9" t="s">
        <v>6978</v>
      </c>
      <c r="C3300" s="9" t="s">
        <v>6902</v>
      </c>
      <c r="D3300" s="9" t="s">
        <v>101</v>
      </c>
      <c r="E3300" s="6" t="s">
        <v>7030</v>
      </c>
      <c r="F3300" s="9"/>
    </row>
    <row r="3301" ht="33.75" customHeight="1">
      <c r="A3301" s="7">
        <v>110.0</v>
      </c>
      <c r="B3301" s="9" t="s">
        <v>6978</v>
      </c>
      <c r="C3301" s="9" t="s">
        <v>6902</v>
      </c>
      <c r="D3301" s="9" t="s">
        <v>105</v>
      </c>
      <c r="E3301" s="6" t="s">
        <v>7032</v>
      </c>
      <c r="F3301" s="9"/>
    </row>
    <row r="3302" ht="33.75" customHeight="1">
      <c r="A3302" s="7">
        <v>110.0</v>
      </c>
      <c r="B3302" s="9" t="s">
        <v>6978</v>
      </c>
      <c r="C3302" s="9" t="s">
        <v>6902</v>
      </c>
      <c r="D3302" s="9" t="s">
        <v>107</v>
      </c>
      <c r="E3302" s="6" t="s">
        <v>7034</v>
      </c>
      <c r="F3302" s="9"/>
    </row>
    <row r="3303" ht="33.75" customHeight="1">
      <c r="A3303" s="7">
        <v>110.0</v>
      </c>
      <c r="B3303" s="9" t="s">
        <v>6978</v>
      </c>
      <c r="C3303" s="9" t="s">
        <v>6902</v>
      </c>
      <c r="D3303" s="9" t="s">
        <v>109</v>
      </c>
      <c r="E3303" s="6" t="s">
        <v>7036</v>
      </c>
      <c r="F3303" s="9"/>
    </row>
    <row r="3304" ht="33.75" customHeight="1">
      <c r="A3304" s="7">
        <v>110.0</v>
      </c>
      <c r="B3304" s="9" t="s">
        <v>6978</v>
      </c>
      <c r="C3304" s="9" t="s">
        <v>6902</v>
      </c>
      <c r="D3304" s="9" t="s">
        <v>111</v>
      </c>
      <c r="E3304" s="6" t="s">
        <v>7039</v>
      </c>
      <c r="F3304" s="9"/>
    </row>
    <row r="3305" ht="33.75" customHeight="1">
      <c r="A3305" s="7">
        <v>110.0</v>
      </c>
      <c r="B3305" s="9" t="s">
        <v>6978</v>
      </c>
      <c r="C3305" s="9" t="s">
        <v>6902</v>
      </c>
      <c r="D3305" s="9" t="s">
        <v>113</v>
      </c>
      <c r="E3305" s="6" t="s">
        <v>7039</v>
      </c>
      <c r="F3305" s="9"/>
    </row>
    <row r="3306" ht="33.75" customHeight="1">
      <c r="A3306" s="7">
        <v>110.0</v>
      </c>
      <c r="B3306" s="9" t="s">
        <v>6978</v>
      </c>
      <c r="C3306" s="9" t="s">
        <v>6902</v>
      </c>
      <c r="D3306" s="9" t="s">
        <v>114</v>
      </c>
      <c r="E3306" s="6" t="s">
        <v>7042</v>
      </c>
      <c r="F3306" s="9"/>
    </row>
    <row r="3307" ht="33.75" customHeight="1">
      <c r="A3307" s="7">
        <v>110.0</v>
      </c>
      <c r="B3307" s="9" t="s">
        <v>6978</v>
      </c>
      <c r="C3307" s="9" t="s">
        <v>6902</v>
      </c>
      <c r="D3307" s="9" t="s">
        <v>117</v>
      </c>
      <c r="E3307" s="6" t="s">
        <v>7044</v>
      </c>
      <c r="F3307" s="9"/>
    </row>
    <row r="3308" ht="33.75" customHeight="1">
      <c r="A3308" s="7">
        <v>111.0</v>
      </c>
      <c r="B3308" s="9" t="s">
        <v>7046</v>
      </c>
      <c r="C3308" s="9" t="s">
        <v>7047</v>
      </c>
      <c r="D3308" s="9" t="s">
        <v>24</v>
      </c>
      <c r="E3308" s="6" t="s">
        <v>7049</v>
      </c>
      <c r="F3308" t="inlineStr" s="10">
        <is>
          <t xml:space="preserve">Rhyhornin massiiviset luut ovat tuhat kertaa kovempia kuin ihmisen luut. Se voi helposti lennättää perävaunun ilmaan. Yhden radan ajattelutapaa noudattava POKéMON. Latauksen jälkeen se ei pysähdy ennen kuin nukahtaa. Se on kömpelö neljän lyhyen jalkansa vuoksi. Se voi rynnätä ja juosta vain yhteen suuntaan. Se ei välitä, jos sen tiellä on jotain. Se vain rynnäköi ja tuhoaa kaikki esteet. Se muistaa vain yhden asian kerrallaan. Kun se alkaa kiirehtiä, se unohtaa miksi se aloitti. RHYHORN juoksee suoraa linjaa ja murskaa kaiken tielleen tulevan. Se ei välitä, vaikka se törmäisi päätä myöten teräslohkareeseen. Tämä POKéMON saattaa kuitenkin tuntea törmäyksestä jonkin verran kipua seuraavana päivänä. RHYHORNin aivot ovat hyvin pienet. Ne ovat niin tiheät, että juostessaan se unohtaa, miksi se alun perin lähti juoksemaan. Se ilmeisesti muistaa joskus, jos se tuhoaa jonkin. Kun se kerran lähtee juoksemaan, se ei pysähdy. Sen pienet aivot tekevät siitä niin tyhmän, ettei se muista, miksi se alun perin lähti juoksemaan. Vahva, mutta ei liian kirkas, tämä POKéMON voi rikkoa jopa pilvenpiirtäjän latautuvilla VÄLINEillään. Sen massiiviset luut ovat 1000 kertaa kovempia kuin ihmisluut. Sen TALJA voi lennättää puoliperävaunun ilmaan. Sen ruumis on verhottu paksuun nahkaan, ja se kaataa rakennuksia. Valitettavasti se ei ole fiksu. Sen voimakkaat taklaukset voivat tuhota mitä tahansa. Se on kuitenkin liian hidasälyinen auttamaan ihmisiä työskentelyssä. Se ei välitä, jos sen tiellä on mitään. Vahva, mutta ei liian kirkas, tämä Pokémon voi rikkoa jopa pilvenpiirtäjän rynnäkköväkeillään. Pokémon, jolla on yhden radan ajattelutapa. Kun se latautuu, se ei lopeta juoksemista ennen kuin nukahtaa. Vahva, mutta ei liian kirkas, tämä Pokémon voi rikkoa jopa pilvenpiirtäjän rynnäkkövälineillään. Naurettavan vahva – kun se törmää vuoreen, vuori hajoaa. Mutta sen lyhyet jalat kamppailevat käännöksien kanssa, eikä se pysty pysähtymään, ellei se törmää johonkin.</t>
        </is>
      </c>
    </row>
    <row r="3309" ht="33.75" customHeight="1">
      <c r="A3309" s="7">
        <v>111.0</v>
      </c>
      <c r="B3309" s="9" t="s">
        <v>7046</v>
      </c>
      <c r="C3309" s="9" t="s">
        <v>7047</v>
      </c>
      <c r="D3309" s="9" t="s">
        <v>35</v>
      </c>
      <c r="E3309" s="6" t="s">
        <v>7049</v>
      </c>
      <c r="F3309" s="9"/>
    </row>
    <row r="3310" ht="33.75" customHeight="1">
      <c r="A3310" s="7">
        <v>111.0</v>
      </c>
      <c r="B3310" s="9" t="s">
        <v>7046</v>
      </c>
      <c r="C3310" s="9" t="s">
        <v>7047</v>
      </c>
      <c r="D3310" s="9" t="s">
        <v>42</v>
      </c>
      <c r="E3310" s="6" t="s">
        <v>7052</v>
      </c>
      <c r="F3310" s="9"/>
    </row>
    <row r="3311" ht="33.75" customHeight="1">
      <c r="A3311" s="7">
        <v>111.0</v>
      </c>
      <c r="B3311" s="9" t="s">
        <v>7046</v>
      </c>
      <c r="C3311" s="9" t="s">
        <v>7047</v>
      </c>
      <c r="D3311" s="9" t="s">
        <v>52</v>
      </c>
      <c r="E3311" s="6" t="s">
        <v>7055</v>
      </c>
      <c r="F3311" s="9"/>
    </row>
    <row r="3312" ht="33.75" customHeight="1">
      <c r="A3312" s="7">
        <v>111.0</v>
      </c>
      <c r="B3312" s="9" t="s">
        <v>7046</v>
      </c>
      <c r="C3312" s="9" t="s">
        <v>7047</v>
      </c>
      <c r="D3312" s="9" t="s">
        <v>59</v>
      </c>
      <c r="E3312" s="6" t="s">
        <v>7059</v>
      </c>
      <c r="F3312" s="9"/>
    </row>
    <row r="3313" ht="33.75" customHeight="1">
      <c r="A3313" s="7">
        <v>111.0</v>
      </c>
      <c r="B3313" s="9" t="s">
        <v>7046</v>
      </c>
      <c r="C3313" s="9" t="s">
        <v>7047</v>
      </c>
      <c r="D3313" s="9" t="s">
        <v>64</v>
      </c>
      <c r="E3313" s="6" t="s">
        <v>7062</v>
      </c>
      <c r="F3313" s="9"/>
    </row>
    <row r="3314" ht="33.75" customHeight="1">
      <c r="A3314" s="7">
        <v>111.0</v>
      </c>
      <c r="B3314" s="9" t="s">
        <v>7046</v>
      </c>
      <c r="C3314" s="9" t="s">
        <v>7047</v>
      </c>
      <c r="D3314" s="9" t="s">
        <v>67</v>
      </c>
      <c r="E3314" s="6" t="s">
        <v>7065</v>
      </c>
      <c r="F3314" s="9"/>
    </row>
    <row r="3315" ht="33.75" customHeight="1">
      <c r="A3315" s="7">
        <v>111.0</v>
      </c>
      <c r="B3315" s="9" t="s">
        <v>7046</v>
      </c>
      <c r="C3315" s="9" t="s">
        <v>7047</v>
      </c>
      <c r="D3315" s="9" t="s">
        <v>71</v>
      </c>
      <c r="E3315" s="6" t="s">
        <v>7067</v>
      </c>
      <c r="F3315" s="9"/>
    </row>
    <row r="3316" ht="33.75" customHeight="1">
      <c r="A3316" s="7">
        <v>111.0</v>
      </c>
      <c r="B3316" s="9" t="s">
        <v>7046</v>
      </c>
      <c r="C3316" s="9" t="s">
        <v>7047</v>
      </c>
      <c r="D3316" s="9" t="s">
        <v>73</v>
      </c>
      <c r="E3316" s="6" t="s">
        <v>7071</v>
      </c>
      <c r="F3316" s="9"/>
    </row>
    <row r="3317" ht="33.75" customHeight="1">
      <c r="A3317" s="7">
        <v>111.0</v>
      </c>
      <c r="B3317" s="9" t="s">
        <v>7046</v>
      </c>
      <c r="C3317" s="9" t="s">
        <v>7047</v>
      </c>
      <c r="D3317" s="9" t="s">
        <v>75</v>
      </c>
      <c r="E3317" s="6" t="s">
        <v>7074</v>
      </c>
      <c r="F3317" s="9"/>
    </row>
    <row r="3318" ht="33.75" customHeight="1">
      <c r="A3318" s="7">
        <v>111.0</v>
      </c>
      <c r="B3318" s="9" t="s">
        <v>7046</v>
      </c>
      <c r="C3318" s="9" t="s">
        <v>7047</v>
      </c>
      <c r="D3318" s="9" t="s">
        <v>79</v>
      </c>
      <c r="E3318" s="6" t="s">
        <v>7076</v>
      </c>
      <c r="F3318" s="9"/>
    </row>
    <row r="3319" ht="33.75" customHeight="1">
      <c r="A3319" s="7">
        <v>111.0</v>
      </c>
      <c r="B3319" s="9" t="s">
        <v>7046</v>
      </c>
      <c r="C3319" s="9" t="s">
        <v>7047</v>
      </c>
      <c r="D3319" s="9" t="s">
        <v>81</v>
      </c>
      <c r="E3319" s="6" t="s">
        <v>7077</v>
      </c>
      <c r="F3319" s="9"/>
    </row>
    <row r="3320" ht="33.75" customHeight="1">
      <c r="A3320" s="7">
        <v>111.0</v>
      </c>
      <c r="B3320" s="9" t="s">
        <v>7046</v>
      </c>
      <c r="C3320" s="9" t="s">
        <v>7047</v>
      </c>
      <c r="D3320" s="9" t="s">
        <v>84</v>
      </c>
      <c r="E3320" s="6" t="s">
        <v>7077</v>
      </c>
      <c r="F3320" s="9"/>
    </row>
    <row r="3321" ht="33.75" customHeight="1">
      <c r="A3321" s="7">
        <v>111.0</v>
      </c>
      <c r="B3321" s="9" t="s">
        <v>7046</v>
      </c>
      <c r="C3321" s="9" t="s">
        <v>7047</v>
      </c>
      <c r="D3321" s="9" t="s">
        <v>87</v>
      </c>
      <c r="E3321" s="6" t="s">
        <v>7081</v>
      </c>
      <c r="F3321" s="9"/>
    </row>
    <row r="3322" ht="33.75" customHeight="1">
      <c r="A3322" s="7">
        <v>111.0</v>
      </c>
      <c r="B3322" s="9" t="s">
        <v>7046</v>
      </c>
      <c r="C3322" s="9" t="s">
        <v>7047</v>
      </c>
      <c r="D3322" s="9" t="s">
        <v>89</v>
      </c>
      <c r="E3322" s="6" t="s">
        <v>7055</v>
      </c>
      <c r="F3322" s="9"/>
    </row>
    <row r="3323" ht="33.75" customHeight="1">
      <c r="A3323" s="7">
        <v>111.0</v>
      </c>
      <c r="B3323" s="9" t="s">
        <v>7046</v>
      </c>
      <c r="C3323" s="9" t="s">
        <v>7047</v>
      </c>
      <c r="D3323" s="9" t="s">
        <v>91</v>
      </c>
      <c r="E3323" s="6" t="s">
        <v>7085</v>
      </c>
      <c r="F3323" s="9"/>
    </row>
    <row r="3324" ht="33.75" customHeight="1">
      <c r="A3324" s="7">
        <v>111.0</v>
      </c>
      <c r="B3324" s="9" t="s">
        <v>7046</v>
      </c>
      <c r="C3324" s="9" t="s">
        <v>7047</v>
      </c>
      <c r="D3324" s="9" t="s">
        <v>93</v>
      </c>
      <c r="E3324" s="6" t="s">
        <v>7081</v>
      </c>
      <c r="F3324" s="9"/>
    </row>
    <row r="3325" ht="33.75" customHeight="1">
      <c r="A3325" s="7">
        <v>111.0</v>
      </c>
      <c r="B3325" s="9" t="s">
        <v>7046</v>
      </c>
      <c r="C3325" s="9" t="s">
        <v>7047</v>
      </c>
      <c r="D3325" s="9" t="s">
        <v>95</v>
      </c>
      <c r="E3325" s="6" t="s">
        <v>7081</v>
      </c>
      <c r="F3325" s="9"/>
    </row>
    <row r="3326" ht="33.75" customHeight="1">
      <c r="A3326" s="7">
        <v>111.0</v>
      </c>
      <c r="B3326" s="9" t="s">
        <v>7046</v>
      </c>
      <c r="C3326" s="9" t="s">
        <v>7047</v>
      </c>
      <c r="D3326" s="9" t="s">
        <v>98</v>
      </c>
      <c r="E3326" s="6" t="s">
        <v>7081</v>
      </c>
      <c r="F3326" s="9"/>
    </row>
    <row r="3327" ht="33.75" customHeight="1">
      <c r="A3327" s="7">
        <v>111.0</v>
      </c>
      <c r="B3327" s="9" t="s">
        <v>7046</v>
      </c>
      <c r="C3327" s="9" t="s">
        <v>7047</v>
      </c>
      <c r="D3327" s="9" t="s">
        <v>99</v>
      </c>
      <c r="E3327" s="6" t="s">
        <v>7081</v>
      </c>
      <c r="F3327" s="9"/>
    </row>
    <row r="3328" ht="33.75" customHeight="1">
      <c r="A3328" s="7">
        <v>111.0</v>
      </c>
      <c r="B3328" s="9" t="s">
        <v>7046</v>
      </c>
      <c r="C3328" s="9" t="s">
        <v>7047</v>
      </c>
      <c r="D3328" s="9" t="s">
        <v>101</v>
      </c>
      <c r="E3328" s="6" t="s">
        <v>7094</v>
      </c>
      <c r="F3328" s="9"/>
    </row>
    <row r="3329" ht="33.75" customHeight="1">
      <c r="A3329" s="7">
        <v>111.0</v>
      </c>
      <c r="B3329" s="9" t="s">
        <v>7046</v>
      </c>
      <c r="C3329" s="9" t="s">
        <v>7047</v>
      </c>
      <c r="D3329" s="9" t="s">
        <v>105</v>
      </c>
      <c r="E3329" s="6" t="s">
        <v>7055</v>
      </c>
      <c r="F3329" s="9"/>
    </row>
    <row r="3330" ht="33.75" customHeight="1">
      <c r="A3330" s="7">
        <v>111.0</v>
      </c>
      <c r="B3330" s="9" t="s">
        <v>7046</v>
      </c>
      <c r="C3330" s="9" t="s">
        <v>7047</v>
      </c>
      <c r="D3330" s="9" t="s">
        <v>107</v>
      </c>
      <c r="E3330" s="6" t="s">
        <v>7097</v>
      </c>
      <c r="F3330" s="9"/>
    </row>
    <row r="3331" ht="33.75" customHeight="1">
      <c r="A3331" s="7">
        <v>111.0</v>
      </c>
      <c r="B3331" s="9" t="s">
        <v>7046</v>
      </c>
      <c r="C3331" s="9" t="s">
        <v>7047</v>
      </c>
      <c r="D3331" s="9" t="s">
        <v>109</v>
      </c>
      <c r="E3331" s="6" t="s">
        <v>7100</v>
      </c>
      <c r="F3331" s="9"/>
    </row>
    <row r="3332" ht="33.75" customHeight="1">
      <c r="A3332" s="7">
        <v>111.0</v>
      </c>
      <c r="B3332" s="9" t="s">
        <v>7046</v>
      </c>
      <c r="C3332" s="9" t="s">
        <v>7047</v>
      </c>
      <c r="D3332" s="9" t="s">
        <v>111</v>
      </c>
      <c r="E3332" s="6" t="s">
        <v>7102</v>
      </c>
      <c r="F3332" s="9"/>
    </row>
    <row r="3333" ht="33.75" customHeight="1">
      <c r="A3333" s="7">
        <v>111.0</v>
      </c>
      <c r="B3333" s="9" t="s">
        <v>7046</v>
      </c>
      <c r="C3333" s="9" t="s">
        <v>7047</v>
      </c>
      <c r="D3333" s="9" t="s">
        <v>113</v>
      </c>
      <c r="E3333" s="6" t="s">
        <v>7102</v>
      </c>
      <c r="F3333" s="9"/>
    </row>
    <row r="3334" ht="33.75" customHeight="1">
      <c r="A3334" s="7">
        <v>111.0</v>
      </c>
      <c r="B3334" s="9" t="s">
        <v>7046</v>
      </c>
      <c r="C3334" s="9" t="s">
        <v>7047</v>
      </c>
      <c r="D3334" s="9" t="s">
        <v>114</v>
      </c>
      <c r="E3334" s="6" t="s">
        <v>7106</v>
      </c>
      <c r="F3334" s="9"/>
    </row>
    <row r="3335" ht="33.75" customHeight="1">
      <c r="A3335" s="7">
        <v>111.0</v>
      </c>
      <c r="B3335" s="9" t="s">
        <v>7046</v>
      </c>
      <c r="C3335" s="9" t="s">
        <v>7047</v>
      </c>
      <c r="D3335" s="9" t="s">
        <v>117</v>
      </c>
      <c r="E3335" s="6" t="s">
        <v>7062</v>
      </c>
      <c r="F3335" s="9"/>
    </row>
    <row r="3336" ht="33.75" customHeight="1">
      <c r="A3336" s="7">
        <v>111.0</v>
      </c>
      <c r="B3336" s="9" t="s">
        <v>7046</v>
      </c>
      <c r="C3336" s="9" t="s">
        <v>7047</v>
      </c>
      <c r="D3336" s="9" t="s">
        <v>1577</v>
      </c>
      <c r="E3336" s="6" t="s">
        <v>7110</v>
      </c>
      <c r="F3336" s="9"/>
    </row>
    <row r="3337" ht="33.75" customHeight="1">
      <c r="A3337" s="7">
        <v>112.0</v>
      </c>
      <c r="B3337" s="9" t="s">
        <v>7113</v>
      </c>
      <c r="C3337" s="9" t="s">
        <v>1919</v>
      </c>
      <c r="D3337" s="9" t="s">
        <v>24</v>
      </c>
      <c r="E3337" s="6" t="s">
        <v>7114</v>
      </c>
      <c r="F3337" t="inlineStr" s="10">
        <is>
          <t xml:space="preserve">Panssarin kaltaisen nahan suojaamana se pystyy elämään 3 600 asteen sulassa laavassa. Kävelee takajaloillaan. Osoittaa älykkyyden merkkejä. Sen panssarin kaltainen nahka hylkii jopa sulaa laavaa. Sen karu nahka suojaa sitä jopa laavan kuumuudelta. Nahka tekee siitä kuitenkin myös tunnottoman. Sen aivot kehittyivät, kun se alkoi kävellä takajaloilla. Sen paksu nahka suojaa sitä jopa magmassa. Pyörittämällä kevyesti poramaista sarveaan se voi helposti rikkoa jopa raakatimantin. RHYDONIN sarvi voi murskata jopa hiomattomat timantit. Yksi pyrstön isku voi kaataa rakennuksen. Tämän POKéMONin nahka on äärimmäisen kestävä. Edes suorat tykin osumat eivät jätä naarmua. RHYDONilla on torvi, joka toimii porana. Sitä käytetään kivien ja lohkareiden tuhoamiseen. Tämä POKéMON törmää toisinaan magmapuroihin, mutta panssarin kaltainen nahka estää sitä tuntemasta kuumuutta. Sen porakoneen tavoin pyörivä sarvi tuhoaa korkeita rakennuksia yhdellä iskulla. Se seisoo takajaloillaan, ja sen aivot ovat hyvin kehittyneet. Se alkaa kävellä takajaloillaan evoluution jälkeen. Se voi lävistää reikiä lohkareiden läpi sarvellaan. Panssarin kaltaisen nahan suojaamana se pystyy elämään 3 600 Fahrenheit-asteen sulassa laavassa. Sen aivot kehittyivät sen jälkeen, kun se nousi takajaloilleen. Sen poran sarvi poraa tunneleita kiinteän kallion läpi. Takajaloilleen seisominen vapautti sen etujalat ja teki siitä älykkäämmän. Se on kuitenkin hyvin hajamielinen. Yksi pyyhkäisyn isku voi kaataa rakennuksen. Rhydonilla on sarvi, joka toimii porana. Sen aivot kehittyivät, kun se alkoi kävellä takajaloillaan. Pyörittää nopeasti sarveaan porautuakseen kallioperän läpi. Se kekselee vulkaanisilla alueilla, suojattuna laavan kuumuudelta kovan, panssarin kaltaisen nahkansa ansiosta.</t>
        </is>
      </c>
    </row>
    <row r="3338" ht="33.75" customHeight="1">
      <c r="A3338" s="7">
        <v>112.0</v>
      </c>
      <c r="B3338" s="9" t="s">
        <v>7113</v>
      </c>
      <c r="C3338" s="9" t="s">
        <v>1919</v>
      </c>
      <c r="D3338" s="9" t="s">
        <v>35</v>
      </c>
      <c r="E3338" s="6" t="s">
        <v>7114</v>
      </c>
      <c r="F3338" s="9"/>
    </row>
    <row r="3339" ht="33.75" customHeight="1">
      <c r="A3339" s="7">
        <v>112.0</v>
      </c>
      <c r="B3339" s="9" t="s">
        <v>7113</v>
      </c>
      <c r="C3339" s="9" t="s">
        <v>1919</v>
      </c>
      <c r="D3339" s="9" t="s">
        <v>42</v>
      </c>
      <c r="E3339" s="6" t="s">
        <v>7118</v>
      </c>
      <c r="F3339" s="9"/>
    </row>
    <row r="3340" ht="33.75" customHeight="1">
      <c r="A3340" s="7">
        <v>112.0</v>
      </c>
      <c r="B3340" s="9" t="s">
        <v>7113</v>
      </c>
      <c r="C3340" s="9" t="s">
        <v>1919</v>
      </c>
      <c r="D3340" s="9" t="s">
        <v>52</v>
      </c>
      <c r="E3340" s="6" t="s">
        <v>7121</v>
      </c>
      <c r="F3340" s="9"/>
    </row>
    <row r="3341" ht="33.75" customHeight="1">
      <c r="A3341" s="7">
        <v>112.0</v>
      </c>
      <c r="B3341" s="9" t="s">
        <v>7113</v>
      </c>
      <c r="C3341" s="9" t="s">
        <v>1919</v>
      </c>
      <c r="D3341" s="9" t="s">
        <v>59</v>
      </c>
      <c r="E3341" s="6" t="s">
        <v>7125</v>
      </c>
      <c r="F3341" s="9"/>
    </row>
    <row r="3342" ht="33.75" customHeight="1">
      <c r="A3342" s="7">
        <v>112.0</v>
      </c>
      <c r="B3342" s="9" t="s">
        <v>7113</v>
      </c>
      <c r="C3342" s="9" t="s">
        <v>1919</v>
      </c>
      <c r="D3342" s="9" t="s">
        <v>64</v>
      </c>
      <c r="E3342" s="6" t="s">
        <v>7128</v>
      </c>
      <c r="F3342" s="9"/>
    </row>
    <row r="3343" ht="33.75" customHeight="1">
      <c r="A3343" s="7">
        <v>112.0</v>
      </c>
      <c r="B3343" s="9" t="s">
        <v>7113</v>
      </c>
      <c r="C3343" s="9" t="s">
        <v>1919</v>
      </c>
      <c r="D3343" s="9" t="s">
        <v>67</v>
      </c>
      <c r="E3343" s="6" t="s">
        <v>7132</v>
      </c>
      <c r="F3343" s="9"/>
    </row>
    <row r="3344" ht="33.75" customHeight="1">
      <c r="A3344" s="7">
        <v>112.0</v>
      </c>
      <c r="B3344" s="9" t="s">
        <v>7113</v>
      </c>
      <c r="C3344" s="9" t="s">
        <v>1919</v>
      </c>
      <c r="D3344" s="9" t="s">
        <v>71</v>
      </c>
      <c r="E3344" s="6" t="s">
        <v>7134</v>
      </c>
      <c r="F3344" s="9"/>
    </row>
    <row r="3345" ht="33.75" customHeight="1">
      <c r="A3345" s="7">
        <v>112.0</v>
      </c>
      <c r="B3345" s="9" t="s">
        <v>7113</v>
      </c>
      <c r="C3345" s="9" t="s">
        <v>1919</v>
      </c>
      <c r="D3345" s="9" t="s">
        <v>73</v>
      </c>
      <c r="E3345" s="6" t="s">
        <v>7138</v>
      </c>
      <c r="F3345" s="9"/>
    </row>
    <row r="3346" ht="33.75" customHeight="1">
      <c r="A3346" s="7">
        <v>112.0</v>
      </c>
      <c r="B3346" s="9" t="s">
        <v>7113</v>
      </c>
      <c r="C3346" s="9" t="s">
        <v>1919</v>
      </c>
      <c r="D3346" s="9" t="s">
        <v>75</v>
      </c>
      <c r="E3346" s="6" t="s">
        <v>7142</v>
      </c>
      <c r="F3346" s="9"/>
    </row>
    <row r="3347" ht="33.75" customHeight="1">
      <c r="A3347" s="7">
        <v>112.0</v>
      </c>
      <c r="B3347" s="9" t="s">
        <v>7113</v>
      </c>
      <c r="C3347" s="9" t="s">
        <v>1919</v>
      </c>
      <c r="D3347" s="9" t="s">
        <v>79</v>
      </c>
      <c r="E3347" s="6" t="s">
        <v>7146</v>
      </c>
      <c r="F3347" s="9"/>
    </row>
    <row r="3348" ht="33.75" customHeight="1">
      <c r="A3348" s="7">
        <v>112.0</v>
      </c>
      <c r="B3348" s="9" t="s">
        <v>7113</v>
      </c>
      <c r="C3348" s="9" t="s">
        <v>1919</v>
      </c>
      <c r="D3348" s="9" t="s">
        <v>81</v>
      </c>
      <c r="E3348" s="6" t="s">
        <v>7149</v>
      </c>
      <c r="F3348" s="9"/>
    </row>
    <row r="3349" ht="33.75" customHeight="1">
      <c r="A3349" s="7">
        <v>112.0</v>
      </c>
      <c r="B3349" s="9" t="s">
        <v>7113</v>
      </c>
      <c r="C3349" s="9" t="s">
        <v>1919</v>
      </c>
      <c r="D3349" s="9" t="s">
        <v>84</v>
      </c>
      <c r="E3349" s="6" t="s">
        <v>7149</v>
      </c>
      <c r="F3349" s="9"/>
    </row>
    <row r="3350" ht="33.75" customHeight="1">
      <c r="A3350" s="7">
        <v>112.0</v>
      </c>
      <c r="B3350" s="9" t="s">
        <v>7113</v>
      </c>
      <c r="C3350" s="9" t="s">
        <v>1919</v>
      </c>
      <c r="D3350" s="9" t="s">
        <v>87</v>
      </c>
      <c r="E3350" s="6" t="s">
        <v>7154</v>
      </c>
      <c r="F3350" s="9"/>
    </row>
    <row r="3351" ht="33.75" customHeight="1">
      <c r="A3351" s="7">
        <v>112.0</v>
      </c>
      <c r="B3351" s="9" t="s">
        <v>7113</v>
      </c>
      <c r="C3351" s="9" t="s">
        <v>1919</v>
      </c>
      <c r="D3351" s="9" t="s">
        <v>89</v>
      </c>
      <c r="E3351" s="6" t="s">
        <v>7121</v>
      </c>
      <c r="F3351" s="9"/>
    </row>
    <row r="3352" ht="33.75" customHeight="1">
      <c r="A3352" s="7">
        <v>112.0</v>
      </c>
      <c r="B3352" s="9" t="s">
        <v>7113</v>
      </c>
      <c r="C3352" s="9" t="s">
        <v>1919</v>
      </c>
      <c r="D3352" s="9" t="s">
        <v>91</v>
      </c>
      <c r="E3352" s="6" t="s">
        <v>7125</v>
      </c>
      <c r="F3352" s="9"/>
    </row>
    <row r="3353" ht="33.75" customHeight="1">
      <c r="A3353" s="7">
        <v>112.0</v>
      </c>
      <c r="B3353" s="9" t="s">
        <v>7113</v>
      </c>
      <c r="C3353" s="9" t="s">
        <v>1919</v>
      </c>
      <c r="D3353" s="9" t="s">
        <v>93</v>
      </c>
      <c r="E3353" s="6" t="s">
        <v>7154</v>
      </c>
      <c r="F3353" s="9"/>
    </row>
    <row r="3354" ht="33.75" customHeight="1">
      <c r="A3354" s="7">
        <v>112.0</v>
      </c>
      <c r="B3354" s="9" t="s">
        <v>7113</v>
      </c>
      <c r="C3354" s="9" t="s">
        <v>1919</v>
      </c>
      <c r="D3354" s="9" t="s">
        <v>95</v>
      </c>
      <c r="E3354" s="6" t="s">
        <v>7154</v>
      </c>
      <c r="F3354" s="9"/>
    </row>
    <row r="3355" ht="33.75" customHeight="1">
      <c r="A3355" s="7">
        <v>112.0</v>
      </c>
      <c r="B3355" s="9" t="s">
        <v>7113</v>
      </c>
      <c r="C3355" s="9" t="s">
        <v>1919</v>
      </c>
      <c r="D3355" s="9" t="s">
        <v>98</v>
      </c>
      <c r="E3355" s="6" t="s">
        <v>7154</v>
      </c>
      <c r="F3355" s="9"/>
    </row>
    <row r="3356" ht="33.75" customHeight="1">
      <c r="A3356" s="7">
        <v>112.0</v>
      </c>
      <c r="B3356" s="9" t="s">
        <v>7113</v>
      </c>
      <c r="C3356" s="9" t="s">
        <v>1919</v>
      </c>
      <c r="D3356" s="9" t="s">
        <v>99</v>
      </c>
      <c r="E3356" s="6" t="s">
        <v>7154</v>
      </c>
      <c r="F3356" s="9"/>
    </row>
    <row r="3357" ht="33.75" customHeight="1">
      <c r="A3357" s="7">
        <v>112.0</v>
      </c>
      <c r="B3357" s="9" t="s">
        <v>7113</v>
      </c>
      <c r="C3357" s="9" t="s">
        <v>1919</v>
      </c>
      <c r="D3357" s="9" t="s">
        <v>101</v>
      </c>
      <c r="E3357" s="6" t="s">
        <v>7146</v>
      </c>
      <c r="F3357" s="9"/>
    </row>
    <row r="3358" ht="33.75" customHeight="1">
      <c r="A3358" s="7">
        <v>112.0</v>
      </c>
      <c r="B3358" s="9" t="s">
        <v>7113</v>
      </c>
      <c r="C3358" s="9" t="s">
        <v>1919</v>
      </c>
      <c r="D3358" s="9" t="s">
        <v>105</v>
      </c>
      <c r="E3358" s="6" t="s">
        <v>7142</v>
      </c>
      <c r="F3358" s="9"/>
    </row>
    <row r="3359" ht="33.75" customHeight="1">
      <c r="A3359" s="7">
        <v>112.0</v>
      </c>
      <c r="B3359" s="9" t="s">
        <v>7113</v>
      </c>
      <c r="C3359" s="9" t="s">
        <v>1919</v>
      </c>
      <c r="D3359" s="9" t="s">
        <v>107</v>
      </c>
      <c r="E3359" s="6" t="s">
        <v>7163</v>
      </c>
      <c r="F3359" s="9"/>
    </row>
    <row r="3360" ht="33.75" customHeight="1">
      <c r="A3360" s="7">
        <v>112.0</v>
      </c>
      <c r="B3360" s="9" t="s">
        <v>7113</v>
      </c>
      <c r="C3360" s="9" t="s">
        <v>1919</v>
      </c>
      <c r="D3360" s="9" t="s">
        <v>109</v>
      </c>
      <c r="E3360" s="6" t="s">
        <v>7165</v>
      </c>
      <c r="F3360" s="9"/>
    </row>
    <row r="3361" ht="33.75" customHeight="1">
      <c r="A3361" s="7">
        <v>112.0</v>
      </c>
      <c r="B3361" s="9" t="s">
        <v>7113</v>
      </c>
      <c r="C3361" s="9" t="s">
        <v>1919</v>
      </c>
      <c r="D3361" s="9" t="s">
        <v>111</v>
      </c>
      <c r="E3361" s="6" t="s">
        <v>7167</v>
      </c>
      <c r="F3361" s="9"/>
    </row>
    <row r="3362" ht="33.75" customHeight="1">
      <c r="A3362" s="7">
        <v>112.0</v>
      </c>
      <c r="B3362" s="9" t="s">
        <v>7113</v>
      </c>
      <c r="C3362" s="9" t="s">
        <v>1919</v>
      </c>
      <c r="D3362" s="9" t="s">
        <v>113</v>
      </c>
      <c r="E3362" s="6" t="s">
        <v>7167</v>
      </c>
      <c r="F3362" s="9"/>
    </row>
    <row r="3363" ht="33.75" customHeight="1">
      <c r="A3363" s="7">
        <v>112.0</v>
      </c>
      <c r="B3363" s="9" t="s">
        <v>7113</v>
      </c>
      <c r="C3363" s="9" t="s">
        <v>1919</v>
      </c>
      <c r="D3363" s="9" t="s">
        <v>114</v>
      </c>
      <c r="E3363" s="6" t="s">
        <v>7142</v>
      </c>
      <c r="F3363" s="9"/>
    </row>
    <row r="3364" ht="33.75" customHeight="1">
      <c r="A3364" s="7">
        <v>112.0</v>
      </c>
      <c r="B3364" s="9" t="s">
        <v>7113</v>
      </c>
      <c r="C3364" s="9" t="s">
        <v>1919</v>
      </c>
      <c r="D3364" s="9" t="s">
        <v>117</v>
      </c>
      <c r="E3364" s="6" t="s">
        <v>7146</v>
      </c>
      <c r="F3364" s="9"/>
    </row>
    <row r="3365" ht="33.75" customHeight="1">
      <c r="A3365" s="7">
        <v>112.0</v>
      </c>
      <c r="B3365" s="9" t="s">
        <v>7113</v>
      </c>
      <c r="C3365" s="9" t="s">
        <v>1919</v>
      </c>
      <c r="D3365" s="9" t="s">
        <v>1577</v>
      </c>
      <c r="E3365" s="6" t="s">
        <v>7171</v>
      </c>
      <c r="F3365" s="9"/>
    </row>
    <row r="3366" ht="33.75" customHeight="1">
      <c r="A3366" s="7">
        <v>113.0</v>
      </c>
      <c r="B3366" s="9" t="s">
        <v>7172</v>
      </c>
      <c r="C3366" s="9" t="s">
        <v>6416</v>
      </c>
      <c r="D3366" s="9" t="s">
        <v>24</v>
      </c>
      <c r="E3366" s="6" t="s">
        <v>7173</v>
      </c>
      <c r="F3366" t="inlineStr" s="10">
        <is>
          <t xml:space="preserve">Harvinainen ja vaikeasti tavoitettava POKéMON, jonka sanotaan tuovan onnea niille, jotka onnistuvat saamaan Chanseyn. Lempeä ja hyväsydäminen POKéMON, joka jakaa ravitsevia muniaan, jos se näkee loukkaantuneen POKéMONin. Se kävelee varovasti estääkseen munansa rikkoutumisen. Se on kuitenkin erittäin nopea karkaamaan. Harvalukuisena ja vaikeasti pyydystettävänä sen sanotaan tuovan onnellisuutta kouluttajalle, joka sen pyydystää. Ihmiset yrittävät pyydystää sitä sen erittäin ravitsevien munien vuoksi, mutta sitä löytyy harvoin. CHANSEY munii päivittäin ravitsemuksellisesti erinomaisia ​​munia. Munat ovat niin herkullisia, että jopa ruokahalunsa menettäneet ihmiset ahmivat ne helposti ja innokkaasti. CHANSEY munii ravitsemuksellisesti erinomaisia ​​munia joka päivä. Munat ovat niin herkullisia, että jopa ruokahalunsa menettäneet ihmiset ahmivat niitä innokkaasti. Se munii useita munia päivässä. Munat ovat ilmeisen ravinteikasta ja erittäin herkullista. Harvinainen ja vaikeasti tavoitettava POKéMON, jonka sanotaan tuovan onnea niille, jotka onnistuvat nappaamaan sellaisen. Sen sanotaan tuovan onnellisuutta. Myötätuntoisena se jakaa munansa loukkaantuneiden ihmisten kanssa. Se munii useita munia päivässä eikä jaa niitä niiden kanssa, joilla on pahuus sydämessään. Ystävällinen Pokémon, joka munii erittäin ravitsevia munia ja jakaa niitä loukkaantuneiden Pokémonien tai ihmisten kanssa. Koska sitä on vähän ja se on vaikea pyydystää, sen sanotaan tuovan onnea kouluttajalle, joka sen pyydystää. Chansey munii ravitsemuksellisesti erinomaisia ​​munia päivittäin. Chanseyn munimat munat ovat ravinteikasta ja monien Pokémonien suosikkiruokaa. Nämä Pokémonit eivät ole ainoastaan ​​nopeita juoksijoita, vaan niitä on myös vähän, joten jokaisen, joka löytää sellaisen, täytyy olla todella onnekas. Näyttää siltä, ​​että muiden Pokémonien yritykset ottaa siltä herkullinen ja ravitseva muna saivat Chanseyn pakenemaan nopeammin. Koska ihmiset ovat aiemmin kalastaneet liikaa niiden vatsassa olevia munia, Chanseyn populaatio on edelleen hyvin pieni. Chanseyn kananmuna ei ole ainoastaan ​​herkullinen, vaan myös täynnä ravintoaineita. Sitä käytetään korkealaatuisena ruoanlaiton ainesosana. Tämä laji oli aikoinaan hyvin hidas. Suojellakseen muniaan muilta olennoilta nämä Pokémonit oppivat pakenemaan nopeasti. Tämä puhdassydäminen Pokémon jakaa munansa haavoittuneiden kanssa.</t>
        </is>
      </c>
    </row>
    <row r="3367" ht="33.75" customHeight="1">
      <c r="A3367" s="7">
        <v>113.0</v>
      </c>
      <c r="B3367" s="9" t="s">
        <v>7172</v>
      </c>
      <c r="C3367" s="9" t="s">
        <v>6416</v>
      </c>
      <c r="D3367" s="9" t="s">
        <v>35</v>
      </c>
      <c r="E3367" s="6" t="s">
        <v>7173</v>
      </c>
      <c r="F3367" s="9"/>
    </row>
    <row r="3368" ht="33.75" customHeight="1">
      <c r="A3368" s="7">
        <v>113.0</v>
      </c>
      <c r="B3368" s="9" t="s">
        <v>7172</v>
      </c>
      <c r="C3368" s="9" t="s">
        <v>6416</v>
      </c>
      <c r="D3368" s="9" t="s">
        <v>42</v>
      </c>
      <c r="E3368" s="6" t="s">
        <v>7175</v>
      </c>
      <c r="F3368" s="9"/>
    </row>
    <row r="3369" ht="33.75" customHeight="1">
      <c r="A3369" s="7">
        <v>113.0</v>
      </c>
      <c r="B3369" s="9" t="s">
        <v>7172</v>
      </c>
      <c r="C3369" s="9" t="s">
        <v>6416</v>
      </c>
      <c r="D3369" s="9" t="s">
        <v>52</v>
      </c>
      <c r="E3369" s="6" t="s">
        <v>7178</v>
      </c>
      <c r="F3369" s="9"/>
    </row>
    <row r="3370" ht="33.75" customHeight="1">
      <c r="A3370" s="7">
        <v>113.0</v>
      </c>
      <c r="B3370" s="9" t="s">
        <v>7172</v>
      </c>
      <c r="C3370" s="9" t="s">
        <v>6416</v>
      </c>
      <c r="D3370" s="9" t="s">
        <v>59</v>
      </c>
      <c r="E3370" s="6" t="s">
        <v>7180</v>
      </c>
      <c r="F3370" s="9"/>
    </row>
    <row r="3371" ht="33.75" customHeight="1">
      <c r="A3371" s="7">
        <v>113.0</v>
      </c>
      <c r="B3371" s="9" t="s">
        <v>7172</v>
      </c>
      <c r="C3371" s="9" t="s">
        <v>6416</v>
      </c>
      <c r="D3371" s="9" t="s">
        <v>64</v>
      </c>
      <c r="E3371" s="6" t="s">
        <v>7182</v>
      </c>
      <c r="F3371" s="9"/>
    </row>
    <row r="3372" ht="33.75" customHeight="1">
      <c r="A3372" s="7">
        <v>113.0</v>
      </c>
      <c r="B3372" s="9" t="s">
        <v>7172</v>
      </c>
      <c r="C3372" s="9" t="s">
        <v>6416</v>
      </c>
      <c r="D3372" s="9" t="s">
        <v>67</v>
      </c>
      <c r="E3372" s="6" t="s">
        <v>7184</v>
      </c>
      <c r="F3372" s="9"/>
    </row>
    <row r="3373" ht="33.75" customHeight="1">
      <c r="A3373" s="7">
        <v>113.0</v>
      </c>
      <c r="B3373" s="9" t="s">
        <v>7172</v>
      </c>
      <c r="C3373" s="9" t="s">
        <v>6416</v>
      </c>
      <c r="D3373" s="9" t="s">
        <v>71</v>
      </c>
      <c r="E3373" s="6" t="s">
        <v>7184</v>
      </c>
      <c r="F3373" s="9"/>
    </row>
    <row r="3374" ht="33.75" customHeight="1">
      <c r="A3374" s="7">
        <v>113.0</v>
      </c>
      <c r="B3374" s="9" t="s">
        <v>7172</v>
      </c>
      <c r="C3374" s="9" t="s">
        <v>6416</v>
      </c>
      <c r="D3374" s="9" t="s">
        <v>73</v>
      </c>
      <c r="E3374" s="6" t="s">
        <v>7188</v>
      </c>
      <c r="F3374" s="9"/>
    </row>
    <row r="3375" ht="33.75" customHeight="1">
      <c r="A3375" s="7">
        <v>113.0</v>
      </c>
      <c r="B3375" s="9" t="s">
        <v>7172</v>
      </c>
      <c r="C3375" s="9" t="s">
        <v>6416</v>
      </c>
      <c r="D3375" s="9" t="s">
        <v>75</v>
      </c>
      <c r="E3375" s="6" t="s">
        <v>7191</v>
      </c>
      <c r="F3375" s="9"/>
    </row>
    <row r="3376" ht="33.75" customHeight="1">
      <c r="A3376" s="7">
        <v>113.0</v>
      </c>
      <c r="B3376" s="9" t="s">
        <v>7172</v>
      </c>
      <c r="C3376" s="9" t="s">
        <v>6416</v>
      </c>
      <c r="D3376" s="9" t="s">
        <v>79</v>
      </c>
      <c r="E3376" s="6" t="s">
        <v>7197</v>
      </c>
      <c r="F3376" s="9"/>
    </row>
    <row r="3377" ht="33.75" customHeight="1">
      <c r="A3377" s="7">
        <v>113.0</v>
      </c>
      <c r="B3377" s="9" t="s">
        <v>7172</v>
      </c>
      <c r="C3377" s="9" t="s">
        <v>6416</v>
      </c>
      <c r="D3377" s="9" t="s">
        <v>81</v>
      </c>
      <c r="E3377" s="6" t="s">
        <v>7199</v>
      </c>
      <c r="F3377" s="9"/>
    </row>
    <row r="3378" ht="33.75" customHeight="1">
      <c r="A3378" s="7">
        <v>113.0</v>
      </c>
      <c r="B3378" s="9" t="s">
        <v>7172</v>
      </c>
      <c r="C3378" s="9" t="s">
        <v>6416</v>
      </c>
      <c r="D3378" s="9" t="s">
        <v>84</v>
      </c>
      <c r="E3378" s="6" t="s">
        <v>7202</v>
      </c>
      <c r="F3378" s="9"/>
    </row>
    <row r="3379" ht="33.75" customHeight="1">
      <c r="A3379" s="7">
        <v>113.0</v>
      </c>
      <c r="B3379" s="9" t="s">
        <v>7172</v>
      </c>
      <c r="C3379" s="9" t="s">
        <v>6416</v>
      </c>
      <c r="D3379" s="9" t="s">
        <v>87</v>
      </c>
      <c r="E3379" s="6" t="s">
        <v>7204</v>
      </c>
      <c r="F3379" s="9"/>
    </row>
    <row r="3380" ht="33.75" customHeight="1">
      <c r="A3380" s="7">
        <v>113.0</v>
      </c>
      <c r="B3380" s="9" t="s">
        <v>7172</v>
      </c>
      <c r="C3380" s="9" t="s">
        <v>6416</v>
      </c>
      <c r="D3380" s="9" t="s">
        <v>89</v>
      </c>
      <c r="E3380" s="6" t="s">
        <v>7178</v>
      </c>
      <c r="F3380" s="9"/>
    </row>
    <row r="3381" ht="33.75" customHeight="1">
      <c r="A3381" s="7">
        <v>113.0</v>
      </c>
      <c r="B3381" s="9" t="s">
        <v>7172</v>
      </c>
      <c r="C3381" s="9" t="s">
        <v>6416</v>
      </c>
      <c r="D3381" s="9" t="s">
        <v>91</v>
      </c>
      <c r="E3381" s="6" t="s">
        <v>7209</v>
      </c>
      <c r="F3381" s="9"/>
    </row>
    <row r="3382" ht="33.75" customHeight="1">
      <c r="A3382" s="7">
        <v>113.0</v>
      </c>
      <c r="B3382" s="9" t="s">
        <v>7172</v>
      </c>
      <c r="C3382" s="9" t="s">
        <v>6416</v>
      </c>
      <c r="D3382" s="9" t="s">
        <v>93</v>
      </c>
      <c r="E3382" s="6" t="s">
        <v>7204</v>
      </c>
      <c r="F3382" s="9"/>
    </row>
    <row r="3383" ht="33.75" customHeight="1">
      <c r="A3383" s="7">
        <v>113.0</v>
      </c>
      <c r="B3383" s="9" t="s">
        <v>7172</v>
      </c>
      <c r="C3383" s="9" t="s">
        <v>6416</v>
      </c>
      <c r="D3383" s="9" t="s">
        <v>95</v>
      </c>
      <c r="E3383" s="6" t="s">
        <v>7204</v>
      </c>
      <c r="F3383" s="9"/>
    </row>
    <row r="3384" ht="33.75" customHeight="1">
      <c r="A3384" s="7">
        <v>113.0</v>
      </c>
      <c r="B3384" s="9" t="s">
        <v>7172</v>
      </c>
      <c r="C3384" s="9" t="s">
        <v>6416</v>
      </c>
      <c r="D3384" s="9" t="s">
        <v>98</v>
      </c>
      <c r="E3384" s="6" t="s">
        <v>7204</v>
      </c>
      <c r="F3384" s="9"/>
    </row>
    <row r="3385" ht="33.75" customHeight="1">
      <c r="A3385" s="7">
        <v>113.0</v>
      </c>
      <c r="B3385" s="9" t="s">
        <v>7172</v>
      </c>
      <c r="C3385" s="9" t="s">
        <v>6416</v>
      </c>
      <c r="D3385" s="9" t="s">
        <v>99</v>
      </c>
      <c r="E3385" s="6" t="s">
        <v>7204</v>
      </c>
      <c r="F3385" s="9"/>
    </row>
    <row r="3386" ht="33.75" customHeight="1">
      <c r="A3386" s="7">
        <v>113.0</v>
      </c>
      <c r="B3386" s="9" t="s">
        <v>7172</v>
      </c>
      <c r="C3386" s="9" t="s">
        <v>6416</v>
      </c>
      <c r="D3386" s="9" t="s">
        <v>101</v>
      </c>
      <c r="E3386" s="6" t="s">
        <v>7199</v>
      </c>
      <c r="F3386" s="9"/>
    </row>
    <row r="3387" ht="33.75" customHeight="1">
      <c r="A3387" s="7">
        <v>113.0</v>
      </c>
      <c r="B3387" s="9" t="s">
        <v>7172</v>
      </c>
      <c r="C3387" s="9" t="s">
        <v>6416</v>
      </c>
      <c r="D3387" s="9" t="s">
        <v>105</v>
      </c>
      <c r="E3387" s="6" t="s">
        <v>7191</v>
      </c>
      <c r="F3387" s="9"/>
    </row>
    <row r="3388" ht="33.75" customHeight="1">
      <c r="A3388" s="7">
        <v>113.0</v>
      </c>
      <c r="B3388" s="9" t="s">
        <v>7172</v>
      </c>
      <c r="C3388" s="9" t="s">
        <v>6416</v>
      </c>
      <c r="D3388" s="9" t="s">
        <v>107</v>
      </c>
      <c r="E3388" s="6" t="s">
        <v>7213</v>
      </c>
      <c r="F3388" s="9"/>
    </row>
    <row r="3389" ht="33.75" customHeight="1">
      <c r="A3389" s="7">
        <v>113.0</v>
      </c>
      <c r="B3389" s="9" t="s">
        <v>7172</v>
      </c>
      <c r="C3389" s="9" t="s">
        <v>6416</v>
      </c>
      <c r="D3389" s="9" t="s">
        <v>109</v>
      </c>
      <c r="E3389" s="6" t="s">
        <v>7213</v>
      </c>
      <c r="F3389" s="9"/>
    </row>
    <row r="3390" ht="33.75" customHeight="1">
      <c r="A3390" s="7">
        <v>113.0</v>
      </c>
      <c r="B3390" s="9" t="s">
        <v>7172</v>
      </c>
      <c r="C3390" s="9" t="s">
        <v>6416</v>
      </c>
      <c r="D3390" s="9" t="s">
        <v>637</v>
      </c>
      <c r="E3390" s="6" t="s">
        <v>7215</v>
      </c>
      <c r="F3390" s="9"/>
    </row>
    <row r="3391" ht="33.75" customHeight="1">
      <c r="A3391" s="7">
        <v>113.0</v>
      </c>
      <c r="B3391" s="9" t="s">
        <v>7172</v>
      </c>
      <c r="C3391" s="9" t="s">
        <v>6416</v>
      </c>
      <c r="D3391" s="9" t="s">
        <v>642</v>
      </c>
      <c r="E3391" s="6" t="s">
        <v>7216</v>
      </c>
      <c r="F3391" s="9"/>
    </row>
    <row r="3392" ht="33.75" customHeight="1">
      <c r="A3392" s="7">
        <v>113.0</v>
      </c>
      <c r="B3392" s="9" t="s">
        <v>7172</v>
      </c>
      <c r="C3392" s="9" t="s">
        <v>6416</v>
      </c>
      <c r="D3392" s="9" t="s">
        <v>647</v>
      </c>
      <c r="E3392" s="6" t="s">
        <v>7218</v>
      </c>
      <c r="F3392" s="9"/>
    </row>
    <row r="3393" ht="33.75" customHeight="1">
      <c r="A3393" s="7">
        <v>113.0</v>
      </c>
      <c r="B3393" s="9" t="s">
        <v>7172</v>
      </c>
      <c r="C3393" s="9" t="s">
        <v>6416</v>
      </c>
      <c r="D3393" s="9" t="s">
        <v>652</v>
      </c>
      <c r="E3393" s="6" t="s">
        <v>7221</v>
      </c>
      <c r="F3393" s="9"/>
    </row>
    <row r="3394" ht="33.75" customHeight="1">
      <c r="A3394" s="7">
        <v>113.0</v>
      </c>
      <c r="B3394" s="9" t="s">
        <v>7172</v>
      </c>
      <c r="C3394" s="9" t="s">
        <v>6416</v>
      </c>
      <c r="D3394" s="9" t="s">
        <v>111</v>
      </c>
      <c r="E3394" s="6" t="s">
        <v>7222</v>
      </c>
      <c r="F3394" s="9"/>
    </row>
    <row r="3395" ht="33.75" customHeight="1">
      <c r="A3395" s="7">
        <v>113.0</v>
      </c>
      <c r="B3395" s="9" t="s">
        <v>7172</v>
      </c>
      <c r="C3395" s="9" t="s">
        <v>6416</v>
      </c>
      <c r="D3395" s="9" t="s">
        <v>113</v>
      </c>
      <c r="E3395" s="6" t="s">
        <v>7222</v>
      </c>
      <c r="F3395" s="9"/>
    </row>
    <row r="3396" ht="33.75" customHeight="1">
      <c r="A3396" s="7">
        <v>113.0</v>
      </c>
      <c r="B3396" s="9" t="s">
        <v>7172</v>
      </c>
      <c r="C3396" s="9" t="s">
        <v>6416</v>
      </c>
      <c r="D3396" s="9" t="s">
        <v>114</v>
      </c>
      <c r="E3396" s="6" t="s">
        <v>7225</v>
      </c>
      <c r="F3396" s="9"/>
    </row>
    <row r="3397" ht="33.75" customHeight="1">
      <c r="A3397" s="7">
        <v>113.0</v>
      </c>
      <c r="B3397" s="9" t="s">
        <v>7172</v>
      </c>
      <c r="C3397" s="9" t="s">
        <v>6416</v>
      </c>
      <c r="D3397" s="9" t="s">
        <v>117</v>
      </c>
      <c r="E3397" s="6" t="s">
        <v>7226</v>
      </c>
      <c r="F3397" s="9"/>
    </row>
    <row r="3398" ht="33.75" customHeight="1">
      <c r="A3398" s="7">
        <v>113.0</v>
      </c>
      <c r="B3398" s="9" t="s">
        <v>7172</v>
      </c>
      <c r="C3398" s="9" t="s">
        <v>6416</v>
      </c>
      <c r="D3398" s="9" t="s">
        <v>1577</v>
      </c>
      <c r="E3398" s="6" t="s">
        <v>7228</v>
      </c>
      <c r="F3398" s="9"/>
    </row>
    <row r="3399" ht="33.75" customHeight="1">
      <c r="A3399" s="7">
        <v>114.0</v>
      </c>
      <c r="B3399" s="9" t="s">
        <v>7229</v>
      </c>
      <c r="C3399" s="9" t="s">
        <v>7230</v>
      </c>
      <c r="D3399" s="9" t="s">
        <v>24</v>
      </c>
      <c r="E3399" s="6" t="s">
        <v>7232</v>
      </c>
      <c r="F3399" t="inlineStr" s="10">
        <is>
          <t xml:space="preserve">Koko vartalo on peittynyt leveisiin, merilevän kaltaisiin köynnöksiin. Sen köynnökset tärisevät sen kävellessä. Sen identiteettiä hämärtävät paksut, siniset köynnökset. Köynnösten sanotaan kasvavan jatkuvasti. Koko sen vartaloa peittävät köynnökset heiluvat jatkuvasti. Ne hermostuttavat tehokkaasti sen vihollisia. Se sotkee ​​köynnöksillään minkä tahansa liikkuvan esineen. Niiden hienovarainen tärinä on kutittavaa, jos jäät ansaan. Taistelun aikana se liikuttaa jatkuvasti vartaloaan peittäviä köynnöksiä ärsyttääkseen vastustajaansa. TANGELAn köynnökset katkeavat helposti, jos niihin tarttuu. Tämä tapahtuu kivuttomasti, minkä ansiosta se pääsee nopeasti pakoon. Kadonneet köynnökset korvataan uusilla jo seuraavana päivänä. Sen köynnökset katkeavat helposti ja kivuttomasti, jos niihin tarttuu, jolloin se pääsee nopeasti pakoon. Kadonneet köynnökset korvautuvat uusilla versoilla jo seuraavana päivänä. Siniset köynnökset kätkevät POKéMONien identiteetin takkuiseen massaan. Se kietoo sisäänsä kaiken lähelle tulevan. Koko vartalo on leveiden, merilevän kaltaisten köynnösten peitossa. Köynnökset huojuvat sen kävellessä. Sitä ympäröivät siniset köynnökset. Kukaan ei ole nähnyt tämän köynnöskasvuston takana piilevää kasvoja. Sen vartaloa ympäröivät siniset köynnökset ovat hienojen karvojen peitossa. Sen tiedetään olevan kutiava. Monet kiemurtelevat köynnökset peittävät sitä, joten sen todellinen identiteetti jää tuntemattomaksi. Siniset köynnökset kasvavat koko sen elämän ajan. Kadonneet köynnökset korvautuvat uusilla jo seuraavana päivänä. Sen identiteettiä hämärtävät paksut siniset köynnökset. Köynnösvyyhden alle piiloutuneena, vaikka köynnökset revittäisiin irti, tämän Pokémonin todellinen ulkonäkö on edelleen mysteeri. Tangela-köynnöksillä on tunnusomainen tuoksu. Joissakin Galarin osissa Tangela-köynnöksiä käytetään yrtteinä. Se on kokonaan sinisten köynnösten peitossa, mikä estää vilauksen sen todellisesta luonteesta. Köynnökset antavat pureskeltaessa virkistävän tunteen – ne ovat hyödyllinen mauste.</t>
        </is>
      </c>
    </row>
    <row r="3400" ht="33.75" customHeight="1">
      <c r="A3400" s="7">
        <v>114.0</v>
      </c>
      <c r="B3400" s="9" t="s">
        <v>7229</v>
      </c>
      <c r="C3400" s="9" t="s">
        <v>7230</v>
      </c>
      <c r="D3400" s="9" t="s">
        <v>35</v>
      </c>
      <c r="E3400" s="6" t="s">
        <v>7232</v>
      </c>
      <c r="F3400" s="9"/>
    </row>
    <row r="3401" ht="33.75" customHeight="1">
      <c r="A3401" s="7">
        <v>114.0</v>
      </c>
      <c r="B3401" s="9" t="s">
        <v>7229</v>
      </c>
      <c r="C3401" s="9" t="s">
        <v>7230</v>
      </c>
      <c r="D3401" s="9" t="s">
        <v>42</v>
      </c>
      <c r="E3401" s="6" t="s">
        <v>7234</v>
      </c>
      <c r="F3401" s="9"/>
    </row>
    <row r="3402" ht="33.75" customHeight="1">
      <c r="A3402" s="7">
        <v>114.0</v>
      </c>
      <c r="B3402" s="9" t="s">
        <v>7229</v>
      </c>
      <c r="C3402" s="9" t="s">
        <v>7230</v>
      </c>
      <c r="D3402" s="9" t="s">
        <v>52</v>
      </c>
      <c r="E3402" s="6" t="s">
        <v>7236</v>
      </c>
      <c r="F3402" s="9"/>
    </row>
    <row r="3403" ht="33.75" customHeight="1">
      <c r="A3403" s="7">
        <v>114.0</v>
      </c>
      <c r="B3403" s="9" t="s">
        <v>7229</v>
      </c>
      <c r="C3403" s="9" t="s">
        <v>7230</v>
      </c>
      <c r="D3403" s="9" t="s">
        <v>59</v>
      </c>
      <c r="E3403" s="6" t="s">
        <v>7238</v>
      </c>
      <c r="F3403" s="9"/>
    </row>
    <row r="3404" ht="33.75" customHeight="1">
      <c r="A3404" s="7">
        <v>114.0</v>
      </c>
      <c r="B3404" s="9" t="s">
        <v>7229</v>
      </c>
      <c r="C3404" s="9" t="s">
        <v>7230</v>
      </c>
      <c r="D3404" s="9" t="s">
        <v>64</v>
      </c>
      <c r="E3404" s="6" t="s">
        <v>7240</v>
      </c>
      <c r="F3404" s="9"/>
    </row>
    <row r="3405" ht="33.75" customHeight="1">
      <c r="A3405" s="7">
        <v>114.0</v>
      </c>
      <c r="B3405" s="9" t="s">
        <v>7229</v>
      </c>
      <c r="C3405" s="9" t="s">
        <v>7230</v>
      </c>
      <c r="D3405" s="9" t="s">
        <v>67</v>
      </c>
      <c r="E3405" s="6" t="s">
        <v>7242</v>
      </c>
      <c r="F3405" s="9"/>
    </row>
    <row r="3406" ht="33.75" customHeight="1">
      <c r="A3406" s="7">
        <v>114.0</v>
      </c>
      <c r="B3406" s="9" t="s">
        <v>7229</v>
      </c>
      <c r="C3406" s="9" t="s">
        <v>7230</v>
      </c>
      <c r="D3406" s="9" t="s">
        <v>71</v>
      </c>
      <c r="E3406" s="6" t="s">
        <v>7242</v>
      </c>
      <c r="F3406" s="9"/>
    </row>
    <row r="3407" ht="33.75" customHeight="1">
      <c r="A3407" s="7">
        <v>114.0</v>
      </c>
      <c r="B3407" s="9" t="s">
        <v>7229</v>
      </c>
      <c r="C3407" s="9" t="s">
        <v>7230</v>
      </c>
      <c r="D3407" s="9" t="s">
        <v>73</v>
      </c>
      <c r="E3407" s="6" t="s">
        <v>7244</v>
      </c>
      <c r="F3407" s="9"/>
    </row>
    <row r="3408" ht="33.75" customHeight="1">
      <c r="A3408" s="7">
        <v>114.0</v>
      </c>
      <c r="B3408" s="9" t="s">
        <v>7229</v>
      </c>
      <c r="C3408" s="9" t="s">
        <v>7230</v>
      </c>
      <c r="D3408" s="9" t="s">
        <v>75</v>
      </c>
      <c r="E3408" s="6" t="s">
        <v>7246</v>
      </c>
      <c r="F3408" s="9"/>
    </row>
    <row r="3409" ht="33.75" customHeight="1">
      <c r="A3409" s="7">
        <v>114.0</v>
      </c>
      <c r="B3409" s="9" t="s">
        <v>7229</v>
      </c>
      <c r="C3409" s="9" t="s">
        <v>7230</v>
      </c>
      <c r="D3409" s="9" t="s">
        <v>79</v>
      </c>
      <c r="E3409" s="6" t="s">
        <v>7248</v>
      </c>
      <c r="F3409" s="9"/>
    </row>
    <row r="3410" ht="33.75" customHeight="1">
      <c r="A3410" s="7">
        <v>114.0</v>
      </c>
      <c r="B3410" s="9" t="s">
        <v>7229</v>
      </c>
      <c r="C3410" s="9" t="s">
        <v>7230</v>
      </c>
      <c r="D3410" s="9" t="s">
        <v>81</v>
      </c>
      <c r="E3410" s="6" t="s">
        <v>7250</v>
      </c>
      <c r="F3410" s="9"/>
    </row>
    <row r="3411" ht="33.75" customHeight="1">
      <c r="A3411" s="7">
        <v>114.0</v>
      </c>
      <c r="B3411" s="9" t="s">
        <v>7229</v>
      </c>
      <c r="C3411" s="9" t="s">
        <v>7230</v>
      </c>
      <c r="D3411" s="9" t="s">
        <v>84</v>
      </c>
      <c r="E3411" s="6" t="s">
        <v>7250</v>
      </c>
      <c r="F3411" s="9"/>
    </row>
    <row r="3412" ht="33.75" customHeight="1">
      <c r="A3412" s="7">
        <v>114.0</v>
      </c>
      <c r="B3412" s="9" t="s">
        <v>7229</v>
      </c>
      <c r="C3412" s="9" t="s">
        <v>7230</v>
      </c>
      <c r="D3412" s="9" t="s">
        <v>87</v>
      </c>
      <c r="E3412" s="6" t="s">
        <v>7254</v>
      </c>
      <c r="F3412" s="9"/>
    </row>
    <row r="3413" ht="33.75" customHeight="1">
      <c r="A3413" s="7">
        <v>114.0</v>
      </c>
      <c r="B3413" s="9" t="s">
        <v>7229</v>
      </c>
      <c r="C3413" s="9" t="s">
        <v>7230</v>
      </c>
      <c r="D3413" s="9" t="s">
        <v>89</v>
      </c>
      <c r="E3413" s="6" t="s">
        <v>7236</v>
      </c>
      <c r="F3413" s="9"/>
    </row>
    <row r="3414" ht="33.75" customHeight="1">
      <c r="A3414" s="7">
        <v>114.0</v>
      </c>
      <c r="B3414" s="9" t="s">
        <v>7229</v>
      </c>
      <c r="C3414" s="9" t="s">
        <v>7230</v>
      </c>
      <c r="D3414" s="9" t="s">
        <v>91</v>
      </c>
      <c r="E3414" s="6" t="s">
        <v>7238</v>
      </c>
      <c r="F3414" s="9"/>
    </row>
    <row r="3415" ht="33.75" customHeight="1">
      <c r="A3415" s="7">
        <v>114.0</v>
      </c>
      <c r="B3415" s="9" t="s">
        <v>7229</v>
      </c>
      <c r="C3415" s="9" t="s">
        <v>7230</v>
      </c>
      <c r="D3415" s="9" t="s">
        <v>93</v>
      </c>
      <c r="E3415" s="6" t="s">
        <v>7254</v>
      </c>
      <c r="F3415" s="9"/>
    </row>
    <row r="3416" ht="33.75" customHeight="1">
      <c r="A3416" s="7">
        <v>114.0</v>
      </c>
      <c r="B3416" s="9" t="s">
        <v>7229</v>
      </c>
      <c r="C3416" s="9" t="s">
        <v>7230</v>
      </c>
      <c r="D3416" s="9" t="s">
        <v>95</v>
      </c>
      <c r="E3416" s="6" t="s">
        <v>7254</v>
      </c>
      <c r="F3416" s="9"/>
    </row>
    <row r="3417" ht="33.75" customHeight="1">
      <c r="A3417" s="7">
        <v>114.0</v>
      </c>
      <c r="B3417" s="9" t="s">
        <v>7229</v>
      </c>
      <c r="C3417" s="9" t="s">
        <v>7230</v>
      </c>
      <c r="D3417" s="9" t="s">
        <v>98</v>
      </c>
      <c r="E3417" s="6" t="s">
        <v>7261</v>
      </c>
      <c r="F3417" s="9"/>
    </row>
    <row r="3418" ht="33.75" customHeight="1">
      <c r="A3418" s="7">
        <v>114.0</v>
      </c>
      <c r="B3418" s="9" t="s">
        <v>7229</v>
      </c>
      <c r="C3418" s="9" t="s">
        <v>7230</v>
      </c>
      <c r="D3418" s="9" t="s">
        <v>99</v>
      </c>
      <c r="E3418" s="6" t="s">
        <v>7261</v>
      </c>
      <c r="F3418" s="9"/>
    </row>
    <row r="3419" ht="33.75" customHeight="1">
      <c r="A3419" s="7">
        <v>114.0</v>
      </c>
      <c r="B3419" s="9" t="s">
        <v>7229</v>
      </c>
      <c r="C3419" s="9" t="s">
        <v>7230</v>
      </c>
      <c r="D3419" s="9" t="s">
        <v>101</v>
      </c>
      <c r="E3419" s="6" t="s">
        <v>7261</v>
      </c>
      <c r="F3419" s="9"/>
    </row>
    <row r="3420" ht="33.75" customHeight="1">
      <c r="A3420" s="7">
        <v>114.0</v>
      </c>
      <c r="B3420" s="9" t="s">
        <v>7229</v>
      </c>
      <c r="C3420" s="9" t="s">
        <v>7230</v>
      </c>
      <c r="D3420" s="9" t="s">
        <v>105</v>
      </c>
      <c r="E3420" s="6" t="s">
        <v>7238</v>
      </c>
      <c r="F3420" s="9"/>
    </row>
    <row r="3421" ht="33.75" customHeight="1">
      <c r="A3421" s="7">
        <v>114.0</v>
      </c>
      <c r="B3421" s="9" t="s">
        <v>7229</v>
      </c>
      <c r="C3421" s="9" t="s">
        <v>7230</v>
      </c>
      <c r="D3421" s="9" t="s">
        <v>107</v>
      </c>
      <c r="E3421" s="6" t="s">
        <v>7267</v>
      </c>
      <c r="F3421" s="9"/>
    </row>
    <row r="3422" ht="33.75" customHeight="1">
      <c r="A3422" s="7">
        <v>114.0</v>
      </c>
      <c r="B3422" s="9" t="s">
        <v>7229</v>
      </c>
      <c r="C3422" s="9" t="s">
        <v>7230</v>
      </c>
      <c r="D3422" s="9" t="s">
        <v>109</v>
      </c>
      <c r="E3422" s="6" t="s">
        <v>7267</v>
      </c>
      <c r="F3422" s="9"/>
    </row>
    <row r="3423" ht="33.75" customHeight="1">
      <c r="A3423" s="7">
        <v>114.0</v>
      </c>
      <c r="B3423" s="9" t="s">
        <v>7229</v>
      </c>
      <c r="C3423" s="9" t="s">
        <v>7230</v>
      </c>
      <c r="D3423" s="9" t="s">
        <v>111</v>
      </c>
      <c r="E3423" s="6" t="s">
        <v>7271</v>
      </c>
      <c r="F3423" s="9"/>
    </row>
    <row r="3424" ht="33.75" customHeight="1">
      <c r="A3424" s="7">
        <v>114.0</v>
      </c>
      <c r="B3424" s="9" t="s">
        <v>7229</v>
      </c>
      <c r="C3424" s="9" t="s">
        <v>7230</v>
      </c>
      <c r="D3424" s="9" t="s">
        <v>113</v>
      </c>
      <c r="E3424" s="6" t="s">
        <v>7271</v>
      </c>
      <c r="F3424" s="9"/>
    </row>
    <row r="3425" ht="33.75" customHeight="1">
      <c r="A3425" s="7">
        <v>114.0</v>
      </c>
      <c r="B3425" s="9" t="s">
        <v>7229</v>
      </c>
      <c r="C3425" s="9" t="s">
        <v>7230</v>
      </c>
      <c r="D3425" s="9" t="s">
        <v>114</v>
      </c>
      <c r="E3425" s="6" t="s">
        <v>7274</v>
      </c>
      <c r="F3425" s="9"/>
    </row>
    <row r="3426" ht="33.75" customHeight="1">
      <c r="A3426" s="7">
        <v>114.0</v>
      </c>
      <c r="B3426" s="9" t="s">
        <v>7229</v>
      </c>
      <c r="C3426" s="9" t="s">
        <v>7230</v>
      </c>
      <c r="D3426" s="9" t="s">
        <v>117</v>
      </c>
      <c r="E3426" s="6" t="s">
        <v>7277</v>
      </c>
      <c r="F3426" s="9"/>
    </row>
    <row r="3427" ht="33.75" customHeight="1">
      <c r="A3427" s="7">
        <v>114.0</v>
      </c>
      <c r="B3427" s="9" t="s">
        <v>7229</v>
      </c>
      <c r="C3427" s="9" t="s">
        <v>7230</v>
      </c>
      <c r="D3427" s="9" t="s">
        <v>1577</v>
      </c>
      <c r="E3427" s="6" t="s">
        <v>7279</v>
      </c>
      <c r="F3427" s="9"/>
    </row>
    <row r="3428" ht="33.75" customHeight="1">
      <c r="A3428" s="7">
        <v>115.0</v>
      </c>
      <c r="B3428" s="9" t="s">
        <v>7281</v>
      </c>
      <c r="C3428" s="9" t="s">
        <v>7282</v>
      </c>
      <c r="D3428" s="9" t="s">
        <v>24</v>
      </c>
      <c r="E3428" s="6" t="s">
        <v>7283</v>
      </c>
      <c r="F3428" t="inlineStr" s="10">
        <is>
          <t xml:space="preserve">Vauva uskaltautuu harvoin ulos äitinsä suojapussista ennen kuin se on 3-vuotias. Kasvattaa poikasensa vatsapussissaan. Ei pakene taistelua suojellakseen poikasiaan. Jos se on turvallista, poikanen nousee vatsapussista leikkimään. Aikuinen pitää poikasta tarkasti silmällä. Suojellakseen poikasiaan se ei koskaan anna periksi taistelussa, olipa haavoittunut kuinka pahasti tahansa. Välttääkseen vauvan murskaantumisen pussissaan, se nukkuu aina seisten. Jos kohtaat yksin leikkivän KANGASKHANin, älä koskaan häiritse sitä tai yritä saada sitä kiinni. Vauva-POKéMONin vanhempi on varmasti lähistöllä, ja se raivostuu sinulle rajusti. Jos kohtaat yksin leikkivän pienen KANGASKHANin, älä koskaan yritä saada sitä kiinni. Vauvan vanhempi on varmasti lähistöllä, ja vauva raivostuu rajusti. Naaras kasvattaa jälkeläisensä vatsallaan olevassa pussissa. Se on taitava hyökkäämään KOMEETTAISKUA käyttäen. Vauva uskaltautuu harvoin ulos äitinsä suojapussista ennen kuin se on kolmevuotias. Se kasvattaa jälkeläisensä vatsapussissaan. Se päästää poikasen ulos leikkimään vain silloin, kun se tuntee olonsa turvalliseksi. Vauvan Pokémonin vanhempi on varmasti lähistöllä, ja se raivostuu sinulle rajusti. Kangaskhanin äidinrakkaus on niin syvää, että se uhmaa kuolemaa suojellakseen jälkeläisiään. Lapsi pussukassa lähtee kotoa noin kolmen vuoden iän jälkeen. Se on ainoa kerta, kun äidin kuullaan itkevän villisti. Kangaskhan suojelee lastaan ​​pitämällä tätä pussukassa. Se ei anna minkäänlaista anteeksi niille, jotka vahingoittavat sen lasta, ja lyö heidät alas. Sinun ei pitäisi mennä lähelle lasta, kun se leikkii emonsa pussin ulkopuolella. Äiti on aina lähellä ja pitää siitä huolta. Vaikka Kangaskhan kantaa vauvaansa pussissa vatsallaan, se on nopea jaloillaan. Se pelottelee vastustajiaan nopeilla iskuilla. On olemassa tietoja kadonneesta ihmislapsesta, jonka lapseton Kangaskhan kasvatti.</t>
        </is>
      </c>
    </row>
    <row r="3429" ht="33.75" customHeight="1">
      <c r="A3429" s="7">
        <v>115.0</v>
      </c>
      <c r="B3429" s="9" t="s">
        <v>7281</v>
      </c>
      <c r="C3429" s="9" t="s">
        <v>7282</v>
      </c>
      <c r="D3429" s="9" t="s">
        <v>35</v>
      </c>
      <c r="E3429" s="6" t="s">
        <v>7283</v>
      </c>
      <c r="F3429" s="9"/>
    </row>
    <row r="3430" ht="33.75" customHeight="1">
      <c r="A3430" s="7">
        <v>115.0</v>
      </c>
      <c r="B3430" s="9" t="s">
        <v>7281</v>
      </c>
      <c r="C3430" s="9" t="s">
        <v>7282</v>
      </c>
      <c r="D3430" s="9" t="s">
        <v>42</v>
      </c>
      <c r="E3430" s="6" t="s">
        <v>7287</v>
      </c>
      <c r="F3430" s="9"/>
    </row>
    <row r="3431" ht="33.75" customHeight="1">
      <c r="A3431" s="7">
        <v>115.0</v>
      </c>
      <c r="B3431" s="9" t="s">
        <v>7281</v>
      </c>
      <c r="C3431" s="9" t="s">
        <v>7282</v>
      </c>
      <c r="D3431" s="9" t="s">
        <v>52</v>
      </c>
      <c r="E3431" s="6" t="s">
        <v>7289</v>
      </c>
      <c r="F3431" s="9"/>
    </row>
    <row r="3432" ht="33.75" customHeight="1">
      <c r="A3432" s="7">
        <v>115.0</v>
      </c>
      <c r="B3432" s="9" t="s">
        <v>7281</v>
      </c>
      <c r="C3432" s="9" t="s">
        <v>7282</v>
      </c>
      <c r="D3432" s="9" t="s">
        <v>59</v>
      </c>
      <c r="E3432" s="6" t="s">
        <v>7291</v>
      </c>
      <c r="F3432" s="9"/>
    </row>
    <row r="3433" ht="33.75" customHeight="1">
      <c r="A3433" s="7">
        <v>115.0</v>
      </c>
      <c r="B3433" s="9" t="s">
        <v>7281</v>
      </c>
      <c r="C3433" s="9" t="s">
        <v>7282</v>
      </c>
      <c r="D3433" s="9" t="s">
        <v>64</v>
      </c>
      <c r="E3433" s="6" t="s">
        <v>7293</v>
      </c>
      <c r="F3433" s="9"/>
    </row>
    <row r="3434" ht="33.75" customHeight="1">
      <c r="A3434" s="7">
        <v>115.0</v>
      </c>
      <c r="B3434" s="9" t="s">
        <v>7281</v>
      </c>
      <c r="C3434" s="9" t="s">
        <v>7282</v>
      </c>
      <c r="D3434" s="9" t="s">
        <v>67</v>
      </c>
      <c r="E3434" s="6" t="s">
        <v>7296</v>
      </c>
      <c r="F3434" s="9"/>
    </row>
    <row r="3435" ht="33.75" customHeight="1">
      <c r="A3435" s="7">
        <v>115.0</v>
      </c>
      <c r="B3435" s="9" t="s">
        <v>7281</v>
      </c>
      <c r="C3435" s="9" t="s">
        <v>7282</v>
      </c>
      <c r="D3435" s="9" t="s">
        <v>71</v>
      </c>
      <c r="E3435" s="6" t="s">
        <v>7296</v>
      </c>
      <c r="F3435" s="9"/>
    </row>
    <row r="3436" ht="33.75" customHeight="1">
      <c r="A3436" s="7">
        <v>115.0</v>
      </c>
      <c r="B3436" s="9" t="s">
        <v>7281</v>
      </c>
      <c r="C3436" s="9" t="s">
        <v>7282</v>
      </c>
      <c r="D3436" s="9" t="s">
        <v>73</v>
      </c>
      <c r="E3436" s="6" t="s">
        <v>7300</v>
      </c>
      <c r="F3436" s="9"/>
    </row>
    <row r="3437" ht="33.75" customHeight="1">
      <c r="A3437" s="7">
        <v>115.0</v>
      </c>
      <c r="B3437" s="9" t="s">
        <v>7281</v>
      </c>
      <c r="C3437" s="9" t="s">
        <v>7282</v>
      </c>
      <c r="D3437" s="9" t="s">
        <v>75</v>
      </c>
      <c r="E3437" s="6" t="s">
        <v>7301</v>
      </c>
      <c r="F3437" s="9"/>
    </row>
    <row r="3438" ht="33.75" customHeight="1">
      <c r="A3438" s="7">
        <v>115.0</v>
      </c>
      <c r="B3438" s="9" t="s">
        <v>7281</v>
      </c>
      <c r="C3438" s="9" t="s">
        <v>7282</v>
      </c>
      <c r="D3438" s="9" t="s">
        <v>79</v>
      </c>
      <c r="E3438" s="6" t="s">
        <v>7304</v>
      </c>
      <c r="F3438" s="9"/>
    </row>
    <row r="3439" ht="33.75" customHeight="1">
      <c r="A3439" s="7">
        <v>115.0</v>
      </c>
      <c r="B3439" s="9" t="s">
        <v>7281</v>
      </c>
      <c r="C3439" s="9" t="s">
        <v>7282</v>
      </c>
      <c r="D3439" s="9" t="s">
        <v>81</v>
      </c>
      <c r="E3439" s="6" t="s">
        <v>7306</v>
      </c>
      <c r="F3439" s="9"/>
    </row>
    <row r="3440" ht="33.75" customHeight="1">
      <c r="A3440" s="7">
        <v>115.0</v>
      </c>
      <c r="B3440" s="9" t="s">
        <v>7281</v>
      </c>
      <c r="C3440" s="9" t="s">
        <v>7282</v>
      </c>
      <c r="D3440" s="9" t="s">
        <v>84</v>
      </c>
      <c r="E3440" s="6" t="s">
        <v>7306</v>
      </c>
      <c r="F3440" s="9"/>
    </row>
    <row r="3441" ht="33.75" customHeight="1">
      <c r="A3441" s="7">
        <v>115.0</v>
      </c>
      <c r="B3441" s="9" t="s">
        <v>7281</v>
      </c>
      <c r="C3441" s="9" t="s">
        <v>7282</v>
      </c>
      <c r="D3441" s="9" t="s">
        <v>87</v>
      </c>
      <c r="E3441" s="6" t="s">
        <v>7306</v>
      </c>
      <c r="F3441" s="9"/>
    </row>
    <row r="3442" ht="33.75" customHeight="1">
      <c r="A3442" s="7">
        <v>115.0</v>
      </c>
      <c r="B3442" s="9" t="s">
        <v>7281</v>
      </c>
      <c r="C3442" s="9" t="s">
        <v>7282</v>
      </c>
      <c r="D3442" s="9" t="s">
        <v>89</v>
      </c>
      <c r="E3442" s="6" t="s">
        <v>7289</v>
      </c>
      <c r="F3442" s="9"/>
    </row>
    <row r="3443" ht="33.75" customHeight="1">
      <c r="A3443" s="7">
        <v>115.0</v>
      </c>
      <c r="B3443" s="9" t="s">
        <v>7281</v>
      </c>
      <c r="C3443" s="9" t="s">
        <v>7282</v>
      </c>
      <c r="D3443" s="9" t="s">
        <v>91</v>
      </c>
      <c r="E3443" s="6" t="s">
        <v>7291</v>
      </c>
      <c r="F3443" s="9"/>
    </row>
    <row r="3444" ht="33.75" customHeight="1">
      <c r="A3444" s="7">
        <v>115.0</v>
      </c>
      <c r="B3444" s="9" t="s">
        <v>7281</v>
      </c>
      <c r="C3444" s="9" t="s">
        <v>7282</v>
      </c>
      <c r="D3444" s="9" t="s">
        <v>93</v>
      </c>
      <c r="E3444" s="6" t="s">
        <v>7306</v>
      </c>
      <c r="F3444" s="9"/>
    </row>
    <row r="3445" ht="33.75" customHeight="1">
      <c r="A3445" s="7">
        <v>115.0</v>
      </c>
      <c r="B3445" s="9" t="s">
        <v>7281</v>
      </c>
      <c r="C3445" s="9" t="s">
        <v>7282</v>
      </c>
      <c r="D3445" s="9" t="s">
        <v>95</v>
      </c>
      <c r="E3445" s="6" t="s">
        <v>7306</v>
      </c>
      <c r="F3445" s="9"/>
    </row>
    <row r="3446" ht="33.75" customHeight="1">
      <c r="A3446" s="7">
        <v>115.0</v>
      </c>
      <c r="B3446" s="9" t="s">
        <v>7281</v>
      </c>
      <c r="C3446" s="9" t="s">
        <v>7282</v>
      </c>
      <c r="D3446" s="9" t="s">
        <v>98</v>
      </c>
      <c r="E3446" s="6" t="s">
        <v>7306</v>
      </c>
      <c r="F3446" s="9"/>
    </row>
    <row r="3447" ht="33.75" customHeight="1">
      <c r="A3447" s="7">
        <v>115.0</v>
      </c>
      <c r="B3447" s="9" t="s">
        <v>7281</v>
      </c>
      <c r="C3447" s="9" t="s">
        <v>7282</v>
      </c>
      <c r="D3447" s="9" t="s">
        <v>99</v>
      </c>
      <c r="E3447" s="6" t="s">
        <v>7306</v>
      </c>
      <c r="F3447" s="9"/>
    </row>
    <row r="3448" ht="33.75" customHeight="1">
      <c r="A3448" s="7">
        <v>115.0</v>
      </c>
      <c r="B3448" s="9" t="s">
        <v>7281</v>
      </c>
      <c r="C3448" s="9" t="s">
        <v>7282</v>
      </c>
      <c r="D3448" s="9" t="s">
        <v>101</v>
      </c>
      <c r="E3448" s="6" t="s">
        <v>7306</v>
      </c>
      <c r="F3448" s="9"/>
    </row>
    <row r="3449" ht="33.75" customHeight="1">
      <c r="A3449" s="7">
        <v>115.0</v>
      </c>
      <c r="B3449" s="9" t="s">
        <v>7281</v>
      </c>
      <c r="C3449" s="9" t="s">
        <v>7282</v>
      </c>
      <c r="D3449" s="9" t="s">
        <v>105</v>
      </c>
      <c r="E3449" s="6" t="s">
        <v>7289</v>
      </c>
      <c r="F3449" s="9"/>
    </row>
    <row r="3450" ht="33.75" customHeight="1">
      <c r="A3450" s="7">
        <v>115.0</v>
      </c>
      <c r="B3450" s="9" t="s">
        <v>7281</v>
      </c>
      <c r="C3450" s="9" t="s">
        <v>7282</v>
      </c>
      <c r="D3450" s="9" t="s">
        <v>107</v>
      </c>
      <c r="E3450" s="6" t="s">
        <v>7317</v>
      </c>
      <c r="F3450" s="9"/>
    </row>
    <row r="3451" ht="33.75" customHeight="1">
      <c r="A3451" s="7">
        <v>115.0</v>
      </c>
      <c r="B3451" s="9" t="s">
        <v>7281</v>
      </c>
      <c r="C3451" s="9" t="s">
        <v>7282</v>
      </c>
      <c r="D3451" s="9" t="s">
        <v>109</v>
      </c>
      <c r="E3451" s="6" t="s">
        <v>7317</v>
      </c>
      <c r="F3451" s="9"/>
    </row>
    <row r="3452" ht="33.75" customHeight="1">
      <c r="A3452" s="7">
        <v>115.0</v>
      </c>
      <c r="B3452" s="9" t="s">
        <v>7281</v>
      </c>
      <c r="C3452" s="9" t="s">
        <v>7282</v>
      </c>
      <c r="D3452" s="9" t="s">
        <v>637</v>
      </c>
      <c r="E3452" s="6" t="s">
        <v>7320</v>
      </c>
      <c r="F3452" s="9"/>
    </row>
    <row r="3453" ht="33.75" customHeight="1">
      <c r="A3453" s="7">
        <v>115.0</v>
      </c>
      <c r="B3453" s="9" t="s">
        <v>7281</v>
      </c>
      <c r="C3453" s="9" t="s">
        <v>7282</v>
      </c>
      <c r="D3453" s="9" t="s">
        <v>642</v>
      </c>
      <c r="E3453" s="6" t="s">
        <v>7322</v>
      </c>
      <c r="F3453" s="9"/>
    </row>
    <row r="3454" ht="33.75" customHeight="1">
      <c r="A3454" s="7">
        <v>115.0</v>
      </c>
      <c r="B3454" s="9" t="s">
        <v>7281</v>
      </c>
      <c r="C3454" s="9" t="s">
        <v>7282</v>
      </c>
      <c r="D3454" s="9" t="s">
        <v>647</v>
      </c>
      <c r="E3454" s="6" t="s">
        <v>7325</v>
      </c>
      <c r="F3454" s="9"/>
    </row>
    <row r="3455" ht="33.75" customHeight="1">
      <c r="A3455" s="7">
        <v>115.0</v>
      </c>
      <c r="B3455" s="9" t="s">
        <v>7281</v>
      </c>
      <c r="C3455" s="9" t="s">
        <v>7282</v>
      </c>
      <c r="D3455" s="9" t="s">
        <v>652</v>
      </c>
      <c r="E3455" s="6" t="s">
        <v>7329</v>
      </c>
      <c r="F3455" s="9"/>
    </row>
    <row r="3456" ht="33.75" customHeight="1">
      <c r="A3456" s="7">
        <v>115.0</v>
      </c>
      <c r="B3456" s="9" t="s">
        <v>7281</v>
      </c>
      <c r="C3456" s="9" t="s">
        <v>7282</v>
      </c>
      <c r="D3456" s="9" t="s">
        <v>111</v>
      </c>
      <c r="E3456" s="6" t="s">
        <v>7287</v>
      </c>
      <c r="F3456" s="9"/>
    </row>
    <row r="3457" ht="33.75" customHeight="1">
      <c r="A3457" s="7">
        <v>115.0</v>
      </c>
      <c r="B3457" s="9" t="s">
        <v>7281</v>
      </c>
      <c r="C3457" s="9" t="s">
        <v>7282</v>
      </c>
      <c r="D3457" s="9" t="s">
        <v>113</v>
      </c>
      <c r="E3457" s="6" t="s">
        <v>7287</v>
      </c>
      <c r="F3457" s="9"/>
    </row>
    <row r="3458" ht="33.75" customHeight="1">
      <c r="A3458" s="7">
        <v>115.0</v>
      </c>
      <c r="B3458" s="9" t="s">
        <v>7281</v>
      </c>
      <c r="C3458" s="9" t="s">
        <v>7282</v>
      </c>
      <c r="D3458" s="9" t="s">
        <v>114</v>
      </c>
      <c r="E3458" s="6" t="s">
        <v>7336</v>
      </c>
      <c r="F3458" s="9"/>
    </row>
    <row r="3459" ht="33.75" customHeight="1">
      <c r="A3459" s="7">
        <v>115.0</v>
      </c>
      <c r="B3459" s="9" t="s">
        <v>7281</v>
      </c>
      <c r="C3459" s="9" t="s">
        <v>7282</v>
      </c>
      <c r="D3459" s="9" t="s">
        <v>117</v>
      </c>
      <c r="E3459" s="6" t="s">
        <v>7339</v>
      </c>
      <c r="F3459" s="9"/>
    </row>
    <row r="3460" ht="33.75" customHeight="1">
      <c r="A3460" s="7">
        <v>116.0</v>
      </c>
      <c r="B3460" s="9" t="s">
        <v>7341</v>
      </c>
      <c r="C3460" s="9" t="s">
        <v>7342</v>
      </c>
      <c r="D3460" s="9" t="s">
        <v>24</v>
      </c>
      <c r="E3460" s="6" t="s">
        <v>7344</v>
      </c>
      <c r="F3460" t="inlineStr" s="10">
        <is>
          <t xml:space="preserve">Tunnetaan siitä, että se ampuu alas lentäviä hyönteisiä tarkoilla mustesuihkuilla veden pinnalta. Jos se aistii vaaran, se suihkuttaa voimakkaasti vettä tai erityistä mustetta suustaan. Jos suurempi vihollinen hyökkää sitä vastaan, se ui nopeasti turvaan hallitsemalla taitavasti selkäeväänsä. Sen suuret, kehittyneet evät liikkuvat nopeasti, minkä ansiosta se voi uida taaksepäin katsomatta edelleen eteenpäin. Turvallisessa paikassa ne voivat nähdä leikkisästi sotkemassa häntiään yhteen. HEVONEN syö pieniä hyönteisiä ja sammalta kivistä. Jos merivirta muuttuu nopeaksi, tämä POKéMON ankkuroi itsensä kietomalla pyrstönsä kivien tai korallien ympärille estääkseen sen huuhtoutumisen pois. Jos HEVONEN aistii vaaran, se suihkuttaa refleksinomaisesti suustaan ​​tiheää mustaa mustetta ja yrittää paeta. Tämä POKéMON ui räpyttelemällä taitavasti eviään selässään. Heilauttamalla taitavasti selkäeviä puolelta toiselle se liikkuu mihin tahansa suuntaan katsoessaan eteenpäin. Se sylkee mustetta paetakseen, jos se aistii vaaran. Se pitää tasapainon yllä pyrstöllään, joka on kierretty kelan muotoon. Se voi suihkuttaa mustetta suustaan. Se tekee pesänsä korallien varjoon. Jos se aistii vaaran, se sylkee sameaa mustetta ja pakenee. Jos suurempi vihollinen hyökkää sitä vastaan, se ui nopeasti turvaan hallitsemalla taitavasti hyvin kehittynyttä selkäeväänsä. Horsea syö pieniä hyönteisiä ja sammalta kivistä. Jos merivirta muuttuu nopeaksi, tämä Pokémon ankkuroi itsensä kietomalla häntänsä kivien tai korallien ympärille estääkseen sen huuhtoutumisen pois. Jos Horsea aistii vaaran, se suihkuttaa refleksinomaisesti suustaan ​​tiheää mustaa mustetta ja yrittää paeta. Tämä Pokémon ui räpyttelemällä taitavasti evää selässään. Horsea asuu valtamerissä, joissa on lempeät virtaukset. Jos tämä Pokémon on hyökkäyksen kohteena, se sylkee ulos pikimustaa mustetta ja pakenee. Ne uivat tanssimaisin liikkein ja aiheuttavat pyörteitä. Horseat kilpailevat siitä, mikä niistä pystyy tuottamaan suurimman pyörteen.</t>
        </is>
      </c>
    </row>
    <row r="3461" ht="33.75" customHeight="1">
      <c r="A3461" s="7">
        <v>116.0</v>
      </c>
      <c r="B3461" s="9" t="s">
        <v>7341</v>
      </c>
      <c r="C3461" s="9" t="s">
        <v>7342</v>
      </c>
      <c r="D3461" s="9" t="s">
        <v>35</v>
      </c>
      <c r="E3461" s="6" t="s">
        <v>7344</v>
      </c>
      <c r="F3461" s="9"/>
    </row>
    <row r="3462" ht="33.75" customHeight="1">
      <c r="A3462" s="7">
        <v>116.0</v>
      </c>
      <c r="B3462" s="9" t="s">
        <v>7341</v>
      </c>
      <c r="C3462" s="9" t="s">
        <v>7342</v>
      </c>
      <c r="D3462" s="9" t="s">
        <v>42</v>
      </c>
      <c r="E3462" s="6" t="s">
        <v>7347</v>
      </c>
      <c r="F3462" s="9"/>
    </row>
    <row r="3463" ht="33.75" customHeight="1">
      <c r="A3463" s="7">
        <v>116.0</v>
      </c>
      <c r="B3463" s="9" t="s">
        <v>7341</v>
      </c>
      <c r="C3463" s="9" t="s">
        <v>7342</v>
      </c>
      <c r="D3463" s="9" t="s">
        <v>52</v>
      </c>
      <c r="E3463" s="6" t="s">
        <v>7349</v>
      </c>
      <c r="F3463" s="9"/>
    </row>
    <row r="3464" ht="33.75" customHeight="1">
      <c r="A3464" s="7">
        <v>116.0</v>
      </c>
      <c r="B3464" s="9" t="s">
        <v>7341</v>
      </c>
      <c r="C3464" s="9" t="s">
        <v>7342</v>
      </c>
      <c r="D3464" s="9" t="s">
        <v>59</v>
      </c>
      <c r="E3464" s="6" t="s">
        <v>7351</v>
      </c>
      <c r="F3464" s="9"/>
    </row>
    <row r="3465" ht="33.75" customHeight="1">
      <c r="A3465" s="7">
        <v>116.0</v>
      </c>
      <c r="B3465" s="9" t="s">
        <v>7341</v>
      </c>
      <c r="C3465" s="9" t="s">
        <v>7342</v>
      </c>
      <c r="D3465" s="9" t="s">
        <v>64</v>
      </c>
      <c r="E3465" s="6" t="s">
        <v>7353</v>
      </c>
      <c r="F3465" s="9"/>
    </row>
    <row r="3466" ht="33.75" customHeight="1">
      <c r="A3466" s="7">
        <v>116.0</v>
      </c>
      <c r="B3466" s="9" t="s">
        <v>7341</v>
      </c>
      <c r="C3466" s="9" t="s">
        <v>7342</v>
      </c>
      <c r="D3466" s="9" t="s">
        <v>67</v>
      </c>
      <c r="E3466" s="6" t="s">
        <v>7355</v>
      </c>
      <c r="F3466" s="9"/>
    </row>
    <row r="3467" ht="33.75" customHeight="1">
      <c r="A3467" s="7">
        <v>116.0</v>
      </c>
      <c r="B3467" s="9" t="s">
        <v>7341</v>
      </c>
      <c r="C3467" s="9" t="s">
        <v>7342</v>
      </c>
      <c r="D3467" s="9" t="s">
        <v>71</v>
      </c>
      <c r="E3467" s="6" t="s">
        <v>7357</v>
      </c>
      <c r="F3467" s="9"/>
    </row>
    <row r="3468" ht="33.75" customHeight="1">
      <c r="A3468" s="7">
        <v>116.0</v>
      </c>
      <c r="B3468" s="9" t="s">
        <v>7341</v>
      </c>
      <c r="C3468" s="9" t="s">
        <v>7342</v>
      </c>
      <c r="D3468" s="9" t="s">
        <v>73</v>
      </c>
      <c r="E3468" s="6" t="s">
        <v>7358</v>
      </c>
      <c r="F3468" s="9"/>
    </row>
    <row r="3469" ht="33.75" customHeight="1">
      <c r="A3469" s="7">
        <v>116.0</v>
      </c>
      <c r="B3469" s="9" t="s">
        <v>7341</v>
      </c>
      <c r="C3469" s="9" t="s">
        <v>7342</v>
      </c>
      <c r="D3469" s="9" t="s">
        <v>75</v>
      </c>
      <c r="E3469" s="6" t="s">
        <v>7360</v>
      </c>
      <c r="F3469" s="9"/>
    </row>
    <row r="3470" ht="33.75" customHeight="1">
      <c r="A3470" s="7">
        <v>116.0</v>
      </c>
      <c r="B3470" s="9" t="s">
        <v>7341</v>
      </c>
      <c r="C3470" s="9" t="s">
        <v>7342</v>
      </c>
      <c r="D3470" s="9" t="s">
        <v>79</v>
      </c>
      <c r="E3470" s="6" t="s">
        <v>7344</v>
      </c>
      <c r="F3470" s="9"/>
    </row>
    <row r="3471" ht="33.75" customHeight="1">
      <c r="A3471" s="7">
        <v>116.0</v>
      </c>
      <c r="B3471" s="9" t="s">
        <v>7341</v>
      </c>
      <c r="C3471" s="9" t="s">
        <v>7342</v>
      </c>
      <c r="D3471" s="9" t="s">
        <v>81</v>
      </c>
      <c r="E3471" s="6" t="s">
        <v>7363</v>
      </c>
      <c r="F3471" s="9"/>
    </row>
    <row r="3472" ht="33.75" customHeight="1">
      <c r="A3472" s="7">
        <v>116.0</v>
      </c>
      <c r="B3472" s="9" t="s">
        <v>7341</v>
      </c>
      <c r="C3472" s="9" t="s">
        <v>7342</v>
      </c>
      <c r="D3472" s="9" t="s">
        <v>84</v>
      </c>
      <c r="E3472" s="6" t="s">
        <v>7363</v>
      </c>
      <c r="F3472" s="9"/>
    </row>
    <row r="3473" ht="33.75" customHeight="1">
      <c r="A3473" s="7">
        <v>116.0</v>
      </c>
      <c r="B3473" s="9" t="s">
        <v>7341</v>
      </c>
      <c r="C3473" s="9" t="s">
        <v>7342</v>
      </c>
      <c r="D3473" s="9" t="s">
        <v>87</v>
      </c>
      <c r="E3473" s="6" t="s">
        <v>7363</v>
      </c>
      <c r="F3473" s="9"/>
    </row>
    <row r="3474" ht="33.75" customHeight="1">
      <c r="A3474" s="7">
        <v>116.0</v>
      </c>
      <c r="B3474" s="9" t="s">
        <v>7341</v>
      </c>
      <c r="C3474" s="9" t="s">
        <v>7342</v>
      </c>
      <c r="D3474" s="9" t="s">
        <v>89</v>
      </c>
      <c r="E3474" s="6" t="s">
        <v>7368</v>
      </c>
      <c r="F3474" s="9"/>
    </row>
    <row r="3475" ht="33.75" customHeight="1">
      <c r="A3475" s="7">
        <v>116.0</v>
      </c>
      <c r="B3475" s="9" t="s">
        <v>7341</v>
      </c>
      <c r="C3475" s="9" t="s">
        <v>7342</v>
      </c>
      <c r="D3475" s="9" t="s">
        <v>91</v>
      </c>
      <c r="E3475" s="6" t="s">
        <v>7351</v>
      </c>
      <c r="F3475" s="9"/>
    </row>
    <row r="3476" ht="33.75" customHeight="1">
      <c r="A3476" s="7">
        <v>116.0</v>
      </c>
      <c r="B3476" s="9" t="s">
        <v>7341</v>
      </c>
      <c r="C3476" s="9" t="s">
        <v>7342</v>
      </c>
      <c r="D3476" s="9" t="s">
        <v>93</v>
      </c>
      <c r="E3476" s="6" t="s">
        <v>7363</v>
      </c>
      <c r="F3476" s="9"/>
    </row>
    <row r="3477" ht="33.75" customHeight="1">
      <c r="A3477" s="7">
        <v>116.0</v>
      </c>
      <c r="B3477" s="9" t="s">
        <v>7341</v>
      </c>
      <c r="C3477" s="9" t="s">
        <v>7342</v>
      </c>
      <c r="D3477" s="9" t="s">
        <v>95</v>
      </c>
      <c r="E3477" s="6" t="s">
        <v>7363</v>
      </c>
      <c r="F3477" s="9"/>
    </row>
    <row r="3478" ht="33.75" customHeight="1">
      <c r="A3478" s="7">
        <v>116.0</v>
      </c>
      <c r="B3478" s="9" t="s">
        <v>7341</v>
      </c>
      <c r="C3478" s="9" t="s">
        <v>7342</v>
      </c>
      <c r="D3478" s="9" t="s">
        <v>98</v>
      </c>
      <c r="E3478" s="6" t="s">
        <v>7363</v>
      </c>
      <c r="F3478" s="9"/>
    </row>
    <row r="3479" ht="33.75" customHeight="1">
      <c r="A3479" s="7">
        <v>116.0</v>
      </c>
      <c r="B3479" s="9" t="s">
        <v>7341</v>
      </c>
      <c r="C3479" s="9" t="s">
        <v>7342</v>
      </c>
      <c r="D3479" s="9" t="s">
        <v>99</v>
      </c>
      <c r="E3479" s="6" t="s">
        <v>7363</v>
      </c>
      <c r="F3479" s="9"/>
    </row>
    <row r="3480" ht="33.75" customHeight="1">
      <c r="A3480" s="7">
        <v>116.0</v>
      </c>
      <c r="B3480" s="9" t="s">
        <v>7341</v>
      </c>
      <c r="C3480" s="9" t="s">
        <v>7342</v>
      </c>
      <c r="D3480" s="9" t="s">
        <v>101</v>
      </c>
      <c r="E3480" s="6" t="s">
        <v>7344</v>
      </c>
      <c r="F3480" s="9"/>
    </row>
    <row r="3481" ht="33.75" customHeight="1">
      <c r="A3481" s="7">
        <v>116.0</v>
      </c>
      <c r="B3481" s="9" t="s">
        <v>7341</v>
      </c>
      <c r="C3481" s="9" t="s">
        <v>7342</v>
      </c>
      <c r="D3481" s="9" t="s">
        <v>105</v>
      </c>
      <c r="E3481" s="6" t="s">
        <v>7363</v>
      </c>
      <c r="F3481" s="9"/>
    </row>
    <row r="3482" ht="33.75" customHeight="1">
      <c r="A3482" s="7">
        <v>116.0</v>
      </c>
      <c r="B3482" s="9" t="s">
        <v>7341</v>
      </c>
      <c r="C3482" s="9" t="s">
        <v>7342</v>
      </c>
      <c r="D3482" s="9" t="s">
        <v>107</v>
      </c>
      <c r="E3482" s="6" t="s">
        <v>7381</v>
      </c>
      <c r="F3482" s="9"/>
    </row>
    <row r="3483" ht="33.75" customHeight="1">
      <c r="A3483" s="7">
        <v>116.0</v>
      </c>
      <c r="B3483" s="9" t="s">
        <v>7341</v>
      </c>
      <c r="C3483" s="9" t="s">
        <v>7342</v>
      </c>
      <c r="D3483" s="9" t="s">
        <v>109</v>
      </c>
      <c r="E3483" s="6" t="s">
        <v>7383</v>
      </c>
      <c r="F3483" s="9"/>
    </row>
    <row r="3484" ht="33.75" customHeight="1">
      <c r="A3484" s="7">
        <v>116.0</v>
      </c>
      <c r="B3484" s="9" t="s">
        <v>7341</v>
      </c>
      <c r="C3484" s="9" t="s">
        <v>7342</v>
      </c>
      <c r="D3484" s="9" t="s">
        <v>111</v>
      </c>
      <c r="E3484" s="6" t="s">
        <v>7347</v>
      </c>
      <c r="F3484" s="9"/>
    </row>
    <row r="3485" ht="33.75" customHeight="1">
      <c r="A3485" s="7">
        <v>116.0</v>
      </c>
      <c r="B3485" s="9" t="s">
        <v>7341</v>
      </c>
      <c r="C3485" s="9" t="s">
        <v>7342</v>
      </c>
      <c r="D3485" s="9" t="s">
        <v>113</v>
      </c>
      <c r="E3485" s="6" t="s">
        <v>7347</v>
      </c>
      <c r="F3485" s="9"/>
    </row>
    <row r="3486" ht="33.75" customHeight="1">
      <c r="A3486" s="7">
        <v>116.0</v>
      </c>
      <c r="B3486" s="9" t="s">
        <v>7341</v>
      </c>
      <c r="C3486" s="9" t="s">
        <v>7342</v>
      </c>
      <c r="D3486" s="9" t="s">
        <v>114</v>
      </c>
      <c r="E3486" s="6" t="s">
        <v>7388</v>
      </c>
      <c r="F3486" s="9"/>
    </row>
    <row r="3487" ht="33.75" customHeight="1">
      <c r="A3487" s="7">
        <v>116.0</v>
      </c>
      <c r="B3487" s="9" t="s">
        <v>7341</v>
      </c>
      <c r="C3487" s="9" t="s">
        <v>7342</v>
      </c>
      <c r="D3487" s="9" t="s">
        <v>117</v>
      </c>
      <c r="E3487" s="6" t="s">
        <v>7390</v>
      </c>
      <c r="F3487" s="9"/>
    </row>
    <row r="3488" ht="33.75" customHeight="1">
      <c r="A3488" s="7">
        <v>117.0</v>
      </c>
      <c r="B3488" s="9" t="s">
        <v>7391</v>
      </c>
      <c r="C3488" s="9" t="s">
        <v>7342</v>
      </c>
      <c r="D3488" s="9" t="s">
        <v>24</v>
      </c>
      <c r="E3488" s="6" t="s">
        <v>7393</v>
      </c>
      <c r="F3488" t="inlineStr" s="10">
        <is>
          <t xml:space="preserve">Pystyy uimaan taaksepäin räpyttelemällä nopeasti siipimäisiä rintaeviään ja paksua pyrstöään. Takaevän koskettaminen aiheuttaa tunnottomuutta. Se kiinnittää pyrstönsä koralliin pysyäkseen paikallaan nukkuessaan. Sen solujen tutkimus paljasti geenin, jota ei löydy HORSEAsta. Siitä tuli kuuma puheenaihe. Sen evien kärjistä vuotaa myrkkyä. Sen evät ja luut ovat erittäin arvostettuja ainesosia yrttilääkkeissä. Uros kasvattaa poikaset. Jos sitä lähestytään, se käyttää myrkyllisiä piikkejään torjuakseen tunkeilijan. SEADRA nukkuu luikerreltuaan korallien oksien välissä. Korallien keräämistä yrittävät joutuvat toisinaan tämän POKéMONin myrkkypiikkien pistoksiin, jos he eivät huomaa sitä. SEADRA tuottaa pyörteitä pyörittämällä kehoaan. Pyörteet ovat niin voimakkaita, että ne nielevät jopa kalastusveneet. Tämä POKéMON heikentää saalistaan ​​näillä virtauksilla ja nielee sen sitten kokonaisena. Sen kehossa olevat myrkylliset piikit ovat erittäin arvostettuja ainesosia perinteisen yrttilääkkeen valmistuksessa. Se ei armahda mitään pesäänsä lähestyvää. Sen ruumis on täynnä teräviä piikkejä. Varomaton kosketus voi aiheuttaa piikkien takia pyörtymisen. Se pystyy uimaan taaksepäin räpyttelemällä nopeasti siipimäisiä rintaeviään ja paksua pyrstöään. Sen piikit tarjoavat suojaa. Sen evät ja luut ovat arvostettuja perinteisen lääketieteen ainesosia. Seadra nukkuu luikerrettuaan korallien oksien välissä. Pyörteet ovat niin voimakkaita, että ne voivat niellä jopa kalastusveneitä. Tämä Pokémon heikentää saalista näillä virtauksilla ja nielee sen sitten kokonaisena. Urokset kasvattavat jälkeläiset. Seadran kasvattaessa poikasia niiden selässä olevat piikit erittävät paksumpaa ja vahvempaa myrkkyä. Seadran suu on kapea, mutta sen imuteho on voimakas. Se voi hetkessä imeä sisäänsä ruokaa, joka on suuaukkoa suurempaa.</t>
        </is>
      </c>
    </row>
    <row r="3489" ht="33.75" customHeight="1">
      <c r="A3489" s="7">
        <v>117.0</v>
      </c>
      <c r="B3489" s="9" t="s">
        <v>7391</v>
      </c>
      <c r="C3489" s="9" t="s">
        <v>7342</v>
      </c>
      <c r="D3489" s="9" t="s">
        <v>35</v>
      </c>
      <c r="E3489" s="6" t="s">
        <v>7393</v>
      </c>
      <c r="F3489" s="9"/>
    </row>
    <row r="3490" ht="33.75" customHeight="1">
      <c r="A3490" s="7">
        <v>117.0</v>
      </c>
      <c r="B3490" s="9" t="s">
        <v>7391</v>
      </c>
      <c r="C3490" s="9" t="s">
        <v>7342</v>
      </c>
      <c r="D3490" s="9" t="s">
        <v>42</v>
      </c>
      <c r="E3490" s="6" t="s">
        <v>7397</v>
      </c>
      <c r="F3490" s="9"/>
    </row>
    <row r="3491" ht="33.75" customHeight="1">
      <c r="A3491" s="7">
        <v>117.0</v>
      </c>
      <c r="B3491" s="9" t="s">
        <v>7391</v>
      </c>
      <c r="C3491" s="9" t="s">
        <v>7342</v>
      </c>
      <c r="D3491" s="9" t="s">
        <v>52</v>
      </c>
      <c r="E3491" s="6" t="s">
        <v>7400</v>
      </c>
      <c r="F3491" s="9"/>
    </row>
    <row r="3492" ht="33.75" customHeight="1">
      <c r="A3492" s="7">
        <v>117.0</v>
      </c>
      <c r="B3492" s="9" t="s">
        <v>7391</v>
      </c>
      <c r="C3492" s="9" t="s">
        <v>7342</v>
      </c>
      <c r="D3492" s="9" t="s">
        <v>59</v>
      </c>
      <c r="E3492" s="6" t="s">
        <v>7403</v>
      </c>
      <c r="F3492" s="9"/>
    </row>
    <row r="3493" ht="33.75" customHeight="1">
      <c r="A3493" s="7">
        <v>117.0</v>
      </c>
      <c r="B3493" s="9" t="s">
        <v>7391</v>
      </c>
      <c r="C3493" s="9" t="s">
        <v>7342</v>
      </c>
      <c r="D3493" s="9" t="s">
        <v>64</v>
      </c>
      <c r="E3493" s="6" t="s">
        <v>7407</v>
      </c>
      <c r="F3493" s="9"/>
    </row>
    <row r="3494" ht="33.75" customHeight="1">
      <c r="A3494" s="7">
        <v>117.0</v>
      </c>
      <c r="B3494" s="9" t="s">
        <v>7391</v>
      </c>
      <c r="C3494" s="9" t="s">
        <v>7342</v>
      </c>
      <c r="D3494" s="9" t="s">
        <v>67</v>
      </c>
      <c r="E3494" s="6" t="s">
        <v>7410</v>
      </c>
      <c r="F3494" s="9"/>
    </row>
    <row r="3495" ht="33.75" customHeight="1">
      <c r="A3495" s="7">
        <v>117.0</v>
      </c>
      <c r="B3495" s="9" t="s">
        <v>7391</v>
      </c>
      <c r="C3495" s="9" t="s">
        <v>7342</v>
      </c>
      <c r="D3495" s="9" t="s">
        <v>71</v>
      </c>
      <c r="E3495" s="6" t="s">
        <v>7414</v>
      </c>
      <c r="F3495" s="9"/>
    </row>
    <row r="3496" ht="33.75" customHeight="1">
      <c r="A3496" s="7">
        <v>117.0</v>
      </c>
      <c r="B3496" s="9" t="s">
        <v>7391</v>
      </c>
      <c r="C3496" s="9" t="s">
        <v>7342</v>
      </c>
      <c r="D3496" s="9" t="s">
        <v>73</v>
      </c>
      <c r="E3496" s="6" t="s">
        <v>7417</v>
      </c>
      <c r="F3496" s="9"/>
    </row>
    <row r="3497" ht="33.75" customHeight="1">
      <c r="A3497" s="7">
        <v>117.0</v>
      </c>
      <c r="B3497" s="9" t="s">
        <v>7391</v>
      </c>
      <c r="C3497" s="9" t="s">
        <v>7342</v>
      </c>
      <c r="D3497" s="9" t="s">
        <v>75</v>
      </c>
      <c r="E3497" s="6" t="s">
        <v>7420</v>
      </c>
      <c r="F3497" s="9"/>
    </row>
    <row r="3498" ht="33.75" customHeight="1">
      <c r="A3498" s="7">
        <v>117.0</v>
      </c>
      <c r="B3498" s="9" t="s">
        <v>7391</v>
      </c>
      <c r="C3498" s="9" t="s">
        <v>7342</v>
      </c>
      <c r="D3498" s="9" t="s">
        <v>79</v>
      </c>
      <c r="E3498" s="6" t="s">
        <v>7422</v>
      </c>
      <c r="F3498" s="9"/>
    </row>
    <row r="3499" ht="33.75" customHeight="1">
      <c r="A3499" s="7">
        <v>117.0</v>
      </c>
      <c r="B3499" s="9" t="s">
        <v>7391</v>
      </c>
      <c r="C3499" s="9" t="s">
        <v>7342</v>
      </c>
      <c r="D3499" s="9" t="s">
        <v>81</v>
      </c>
      <c r="E3499" s="6" t="s">
        <v>7425</v>
      </c>
      <c r="F3499" s="9"/>
    </row>
    <row r="3500" ht="33.75" customHeight="1">
      <c r="A3500" s="7">
        <v>117.0</v>
      </c>
      <c r="B3500" s="9" t="s">
        <v>7391</v>
      </c>
      <c r="C3500" s="9" t="s">
        <v>7342</v>
      </c>
      <c r="D3500" s="9" t="s">
        <v>84</v>
      </c>
      <c r="E3500" s="6" t="s">
        <v>7425</v>
      </c>
      <c r="F3500" s="9"/>
    </row>
    <row r="3501" ht="33.75" customHeight="1">
      <c r="A3501" s="7">
        <v>117.0</v>
      </c>
      <c r="B3501" s="9" t="s">
        <v>7391</v>
      </c>
      <c r="C3501" s="9" t="s">
        <v>7342</v>
      </c>
      <c r="D3501" s="9" t="s">
        <v>87</v>
      </c>
      <c r="E3501" s="6" t="s">
        <v>7425</v>
      </c>
      <c r="F3501" s="9"/>
    </row>
    <row r="3502" ht="33.75" customHeight="1">
      <c r="A3502" s="7">
        <v>117.0</v>
      </c>
      <c r="B3502" s="9" t="s">
        <v>7391</v>
      </c>
      <c r="C3502" s="9" t="s">
        <v>7342</v>
      </c>
      <c r="D3502" s="9" t="s">
        <v>89</v>
      </c>
      <c r="E3502" s="6" t="s">
        <v>7400</v>
      </c>
      <c r="F3502" s="9"/>
    </row>
    <row r="3503" ht="33.75" customHeight="1">
      <c r="A3503" s="7">
        <v>117.0</v>
      </c>
      <c r="B3503" s="9" t="s">
        <v>7391</v>
      </c>
      <c r="C3503" s="9" t="s">
        <v>7342</v>
      </c>
      <c r="D3503" s="9" t="s">
        <v>91</v>
      </c>
      <c r="E3503" s="6" t="s">
        <v>7403</v>
      </c>
      <c r="F3503" s="9"/>
    </row>
    <row r="3504" ht="33.75" customHeight="1">
      <c r="A3504" s="7">
        <v>117.0</v>
      </c>
      <c r="B3504" s="9" t="s">
        <v>7391</v>
      </c>
      <c r="C3504" s="9" t="s">
        <v>7342</v>
      </c>
      <c r="D3504" s="9" t="s">
        <v>93</v>
      </c>
      <c r="E3504" s="6" t="s">
        <v>7425</v>
      </c>
      <c r="F3504" s="9"/>
    </row>
    <row r="3505" ht="33.75" customHeight="1">
      <c r="A3505" s="7">
        <v>117.0</v>
      </c>
      <c r="B3505" s="9" t="s">
        <v>7391</v>
      </c>
      <c r="C3505" s="9" t="s">
        <v>7342</v>
      </c>
      <c r="D3505" s="9" t="s">
        <v>95</v>
      </c>
      <c r="E3505" s="6" t="s">
        <v>7425</v>
      </c>
      <c r="F3505" s="9"/>
    </row>
    <row r="3506" ht="33.75" customHeight="1">
      <c r="A3506" s="7">
        <v>117.0</v>
      </c>
      <c r="B3506" s="9" t="s">
        <v>7391</v>
      </c>
      <c r="C3506" s="9" t="s">
        <v>7342</v>
      </c>
      <c r="D3506" s="9" t="s">
        <v>98</v>
      </c>
      <c r="E3506" s="6" t="s">
        <v>7425</v>
      </c>
      <c r="F3506" s="9"/>
    </row>
    <row r="3507" ht="33.75" customHeight="1">
      <c r="A3507" s="7">
        <v>117.0</v>
      </c>
      <c r="B3507" s="9" t="s">
        <v>7391</v>
      </c>
      <c r="C3507" s="9" t="s">
        <v>7342</v>
      </c>
      <c r="D3507" s="9" t="s">
        <v>99</v>
      </c>
      <c r="E3507" s="6" t="s">
        <v>7425</v>
      </c>
      <c r="F3507" s="9"/>
    </row>
    <row r="3508" ht="33.75" customHeight="1">
      <c r="A3508" s="7">
        <v>117.0</v>
      </c>
      <c r="B3508" s="9" t="s">
        <v>7391</v>
      </c>
      <c r="C3508" s="9" t="s">
        <v>7342</v>
      </c>
      <c r="D3508" s="9" t="s">
        <v>101</v>
      </c>
      <c r="E3508" s="6" t="s">
        <v>7420</v>
      </c>
      <c r="F3508" s="9"/>
    </row>
    <row r="3509" ht="33.75" customHeight="1">
      <c r="A3509" s="7">
        <v>117.0</v>
      </c>
      <c r="B3509" s="9" t="s">
        <v>7391</v>
      </c>
      <c r="C3509" s="9" t="s">
        <v>7342</v>
      </c>
      <c r="D3509" s="9" t="s">
        <v>105</v>
      </c>
      <c r="E3509" s="6" t="s">
        <v>7422</v>
      </c>
      <c r="F3509" s="9"/>
    </row>
    <row r="3510" ht="33.75" customHeight="1">
      <c r="A3510" s="7">
        <v>117.0</v>
      </c>
      <c r="B3510" s="9" t="s">
        <v>7391</v>
      </c>
      <c r="C3510" s="9" t="s">
        <v>7342</v>
      </c>
      <c r="D3510" s="9" t="s">
        <v>107</v>
      </c>
      <c r="E3510" s="6" t="s">
        <v>7440</v>
      </c>
      <c r="F3510" s="9"/>
    </row>
    <row r="3511" ht="33.75" customHeight="1">
      <c r="A3511" s="7">
        <v>117.0</v>
      </c>
      <c r="B3511" s="9" t="s">
        <v>7391</v>
      </c>
      <c r="C3511" s="9" t="s">
        <v>7342</v>
      </c>
      <c r="D3511" s="9" t="s">
        <v>109</v>
      </c>
      <c r="E3511" s="6" t="s">
        <v>7442</v>
      </c>
      <c r="F3511" s="9"/>
    </row>
    <row r="3512" ht="33.75" customHeight="1">
      <c r="A3512" s="7">
        <v>117.0</v>
      </c>
      <c r="B3512" s="9" t="s">
        <v>7391</v>
      </c>
      <c r="C3512" s="9" t="s">
        <v>7342</v>
      </c>
      <c r="D3512" s="9" t="s">
        <v>111</v>
      </c>
      <c r="E3512" s="6" t="s">
        <v>7397</v>
      </c>
      <c r="F3512" s="9"/>
    </row>
    <row r="3513" ht="33.75" customHeight="1">
      <c r="A3513" s="7">
        <v>117.0</v>
      </c>
      <c r="B3513" s="9" t="s">
        <v>7391</v>
      </c>
      <c r="C3513" s="9" t="s">
        <v>7342</v>
      </c>
      <c r="D3513" s="9" t="s">
        <v>113</v>
      </c>
      <c r="E3513" s="6" t="s">
        <v>7397</v>
      </c>
      <c r="F3513" s="9"/>
    </row>
    <row r="3514" ht="33.75" customHeight="1">
      <c r="A3514" s="7">
        <v>117.0</v>
      </c>
      <c r="B3514" s="9" t="s">
        <v>7391</v>
      </c>
      <c r="C3514" s="9" t="s">
        <v>7342</v>
      </c>
      <c r="D3514" s="9" t="s">
        <v>114</v>
      </c>
      <c r="E3514" s="6" t="s">
        <v>7445</v>
      </c>
      <c r="F3514" s="9"/>
    </row>
    <row r="3515" ht="33.75" customHeight="1">
      <c r="A3515" s="7">
        <v>117.0</v>
      </c>
      <c r="B3515" s="9" t="s">
        <v>7391</v>
      </c>
      <c r="C3515" s="9" t="s">
        <v>7342</v>
      </c>
      <c r="D3515" s="9" t="s">
        <v>117</v>
      </c>
      <c r="E3515" s="6" t="s">
        <v>7447</v>
      </c>
      <c r="F3515" s="9"/>
    </row>
    <row r="3516" ht="33.75" customHeight="1">
      <c r="A3516" s="7">
        <v>118.0</v>
      </c>
      <c r="B3516" s="9" t="s">
        <v>7449</v>
      </c>
      <c r="C3516" s="9" t="s">
        <v>7450</v>
      </c>
      <c r="D3516" s="9" t="s">
        <v>24</v>
      </c>
      <c r="E3516" s="6" t="s">
        <v>7451</v>
      </c>
      <c r="F3516" t="inlineStr" s="10">
        <is>
          <t xml:space="preserve">Goldeenin pyrstöevä liehuu kuin elegantti tanssiaismekko, mistä se on saanut lempinimen Vesikuningatar. Kun niiden on aika munia, ne voidaan nähdä uimassa jokia ja putouksia pitkin suurina parvina. Sen selkä-, rinta- ja pyrstöevät aaltoilevat tyylikkäästi vedessä. Siksi sitä kutsutaan vesitanssijaksi. Se on vahva uimari ja pystyy uimaan tauotta nopeissa puroissa tasaisella viiden solmun nopeudella. Kutuaikana ne uivat sulavasti vedessä etsien täydellistä kumppaniaan. GOLDEEN on erittäin kaunis POKéMON, jonka evät liehuvat elegantisti vedessä. Älä kuitenkaan laske varovaisuuttasi tämän POKéMONin lähellä - se voi törmätä sinuun voimakkaasti sarvellaan. GOLDEEN rakastaa uida vapaana joissa ja lammissa. Jos jokin näistä POKéMONeista laitetaan akvaarioon, se rikkoo paksuimmankin lasin yhdellä sarvensa iskulla ja pääsee karkuun. Keväällä GOLDEEN-parvia voi nähdä uimassa putouksissa ja joissa. Se aiheuttaa huimaavaa vahinkoa yhdellä ainoalla sarvellaan. Sen selkä- ja rintaevät ovat vahvasti kehittyneet kuin lihakset. Se voi uida viiden solmun nopeudella. Sen pyrstöevä liehuu kuin elegantti tanssiaispuku, mistä se on saanut lempinimen "Veden kuningatar". Se ui tyylikkäästi heiluttamalla pyrstöeväänsä kuin mekkoa. Sillä on kuningattaren ulkonäkö. Se ui tasaisesti viiden solmun nopeudella. Jos se aistii vaaran, se iskee takaisin terävällä sarvellaan. Vaikka se näyttää erittäin elegantilta uidessaan evät avattuna, se voi iskeä voimakkaasti sarvellaan. Sen selkä-, rinta- ja pyrstöevät huojuvat tyylikkäästi vedessä. Se on vahva uimari ja pystyy uimaan tauotta nopeissa puroissa tasaisella viiden solmun tunnissa nopeudella. Goldene on erittäin kaunis Pokémon, jonka evät liehuvat elegantisti vedessä. Älä kuitenkaan laske varovaisuuttasi tämän Pokémonin lähellä – se voi iskeä sinuun voimakkaasti sarvellaan. Goldeneen rakastaa uida vapaana joissa ja lammissa. Kun sää lämpenee, ne muodostavat parvia ja uivat ylävirtaan. Tämä näky toimii runollisena muistutuksena kevään saapumisesta. Sen sarven pituuden ja evien kauneuden lumoamia monet oudot kouluttajat kasvattavat vain Goldeneenia. Vaikka Goldenit tunnetaan upeista pyrstöevistään, ne ilmeisesti kilpailevat keskenään siitä, kenen sarvi on paksuin ja terävin. Tapa, jolla se ui lepattaen mekkoa muistuttavia eviään, on ansainnut sille nimen "veden prinsessa".</t>
        </is>
      </c>
    </row>
    <row r="3517" ht="33.75" customHeight="1">
      <c r="A3517" s="7">
        <v>118.0</v>
      </c>
      <c r="B3517" s="9" t="s">
        <v>7449</v>
      </c>
      <c r="C3517" s="9" t="s">
        <v>7450</v>
      </c>
      <c r="D3517" s="9" t="s">
        <v>35</v>
      </c>
      <c r="E3517" s="6" t="s">
        <v>7451</v>
      </c>
      <c r="F3517" s="9"/>
    </row>
    <row r="3518" ht="33.75" customHeight="1">
      <c r="A3518" s="7">
        <v>118.0</v>
      </c>
      <c r="B3518" s="9" t="s">
        <v>7449</v>
      </c>
      <c r="C3518" s="9" t="s">
        <v>7450</v>
      </c>
      <c r="D3518" s="9" t="s">
        <v>42</v>
      </c>
      <c r="E3518" s="6" t="s">
        <v>7454</v>
      </c>
      <c r="F3518" s="9"/>
    </row>
    <row r="3519" ht="33.75" customHeight="1">
      <c r="A3519" s="7">
        <v>118.0</v>
      </c>
      <c r="B3519" s="9" t="s">
        <v>7449</v>
      </c>
      <c r="C3519" s="9" t="s">
        <v>7450</v>
      </c>
      <c r="D3519" s="9" t="s">
        <v>52</v>
      </c>
      <c r="E3519" s="6" t="s">
        <v>7456</v>
      </c>
      <c r="F3519" s="9"/>
    </row>
    <row r="3520" ht="33.75" customHeight="1">
      <c r="A3520" s="7">
        <v>118.0</v>
      </c>
      <c r="B3520" s="9" t="s">
        <v>7449</v>
      </c>
      <c r="C3520" s="9" t="s">
        <v>7450</v>
      </c>
      <c r="D3520" s="9" t="s">
        <v>59</v>
      </c>
      <c r="E3520" s="6" t="s">
        <v>7457</v>
      </c>
      <c r="F3520" s="9"/>
    </row>
    <row r="3521" ht="33.75" customHeight="1">
      <c r="A3521" s="7">
        <v>118.0</v>
      </c>
      <c r="B3521" s="9" t="s">
        <v>7449</v>
      </c>
      <c r="C3521" s="9" t="s">
        <v>7450</v>
      </c>
      <c r="D3521" s="9" t="s">
        <v>64</v>
      </c>
      <c r="E3521" s="6" t="s">
        <v>7458</v>
      </c>
      <c r="F3521" s="9"/>
    </row>
    <row r="3522" ht="33.75" customHeight="1">
      <c r="A3522" s="7">
        <v>118.0</v>
      </c>
      <c r="B3522" s="9" t="s">
        <v>7449</v>
      </c>
      <c r="C3522" s="9" t="s">
        <v>7450</v>
      </c>
      <c r="D3522" s="9" t="s">
        <v>67</v>
      </c>
      <c r="E3522" s="6" t="s">
        <v>7459</v>
      </c>
      <c r="F3522" s="9"/>
    </row>
    <row r="3523" ht="33.75" customHeight="1">
      <c r="A3523" s="7">
        <v>118.0</v>
      </c>
      <c r="B3523" s="9" t="s">
        <v>7449</v>
      </c>
      <c r="C3523" s="9" t="s">
        <v>7450</v>
      </c>
      <c r="D3523" s="9" t="s">
        <v>71</v>
      </c>
      <c r="E3523" s="6" t="s">
        <v>7461</v>
      </c>
      <c r="F3523" s="9"/>
    </row>
    <row r="3524" ht="33.75" customHeight="1">
      <c r="A3524" s="7">
        <v>118.0</v>
      </c>
      <c r="B3524" s="9" t="s">
        <v>7449</v>
      </c>
      <c r="C3524" s="9" t="s">
        <v>7450</v>
      </c>
      <c r="D3524" s="9" t="s">
        <v>73</v>
      </c>
      <c r="E3524" s="6" t="s">
        <v>7462</v>
      </c>
      <c r="F3524" s="9"/>
    </row>
    <row r="3525" ht="33.75" customHeight="1">
      <c r="A3525" s="7">
        <v>118.0</v>
      </c>
      <c r="B3525" s="9" t="s">
        <v>7449</v>
      </c>
      <c r="C3525" s="9" t="s">
        <v>7450</v>
      </c>
      <c r="D3525" s="9" t="s">
        <v>75</v>
      </c>
      <c r="E3525" s="6" t="s">
        <v>7464</v>
      </c>
      <c r="F3525" s="9"/>
    </row>
    <row r="3526" ht="33.75" customHeight="1">
      <c r="A3526" s="7">
        <v>118.0</v>
      </c>
      <c r="B3526" s="9" t="s">
        <v>7449</v>
      </c>
      <c r="C3526" s="9" t="s">
        <v>7450</v>
      </c>
      <c r="D3526" s="9" t="s">
        <v>79</v>
      </c>
      <c r="E3526" s="6" t="s">
        <v>7466</v>
      </c>
      <c r="F3526" s="9"/>
    </row>
    <row r="3527" ht="33.75" customHeight="1">
      <c r="A3527" s="7">
        <v>118.0</v>
      </c>
      <c r="B3527" s="9" t="s">
        <v>7449</v>
      </c>
      <c r="C3527" s="9" t="s">
        <v>7450</v>
      </c>
      <c r="D3527" s="9" t="s">
        <v>81</v>
      </c>
      <c r="E3527" s="6" t="s">
        <v>7467</v>
      </c>
      <c r="F3527" s="9"/>
    </row>
    <row r="3528" ht="33.75" customHeight="1">
      <c r="A3528" s="7">
        <v>118.0</v>
      </c>
      <c r="B3528" s="9" t="s">
        <v>7449</v>
      </c>
      <c r="C3528" s="9" t="s">
        <v>7450</v>
      </c>
      <c r="D3528" s="9" t="s">
        <v>84</v>
      </c>
      <c r="E3528" s="6" t="s">
        <v>7469</v>
      </c>
      <c r="F3528" s="9"/>
    </row>
    <row r="3529" ht="33.75" customHeight="1">
      <c r="A3529" s="7">
        <v>118.0</v>
      </c>
      <c r="B3529" s="9" t="s">
        <v>7449</v>
      </c>
      <c r="C3529" s="9" t="s">
        <v>7450</v>
      </c>
      <c r="D3529" s="9" t="s">
        <v>87</v>
      </c>
      <c r="E3529" s="6" t="s">
        <v>7471</v>
      </c>
      <c r="F3529" s="9"/>
    </row>
    <row r="3530" ht="33.75" customHeight="1">
      <c r="A3530" s="7">
        <v>118.0</v>
      </c>
      <c r="B3530" s="9" t="s">
        <v>7449</v>
      </c>
      <c r="C3530" s="9" t="s">
        <v>7450</v>
      </c>
      <c r="D3530" s="9" t="s">
        <v>89</v>
      </c>
      <c r="E3530" s="6" t="s">
        <v>7472</v>
      </c>
      <c r="F3530" s="9"/>
    </row>
    <row r="3531" ht="33.75" customHeight="1">
      <c r="A3531" s="7">
        <v>118.0</v>
      </c>
      <c r="B3531" s="9" t="s">
        <v>7449</v>
      </c>
      <c r="C3531" s="9" t="s">
        <v>7450</v>
      </c>
      <c r="D3531" s="9" t="s">
        <v>91</v>
      </c>
      <c r="E3531" s="6" t="s">
        <v>7474</v>
      </c>
      <c r="F3531" s="9"/>
    </row>
    <row r="3532" ht="33.75" customHeight="1">
      <c r="A3532" s="7">
        <v>118.0</v>
      </c>
      <c r="B3532" s="9" t="s">
        <v>7449</v>
      </c>
      <c r="C3532" s="9" t="s">
        <v>7450</v>
      </c>
      <c r="D3532" s="9" t="s">
        <v>93</v>
      </c>
      <c r="E3532" s="6" t="s">
        <v>7471</v>
      </c>
      <c r="F3532" s="9"/>
    </row>
    <row r="3533" ht="33.75" customHeight="1">
      <c r="A3533" s="7">
        <v>118.0</v>
      </c>
      <c r="B3533" s="9" t="s">
        <v>7449</v>
      </c>
      <c r="C3533" s="9" t="s">
        <v>7450</v>
      </c>
      <c r="D3533" s="9" t="s">
        <v>95</v>
      </c>
      <c r="E3533" s="6" t="s">
        <v>7471</v>
      </c>
      <c r="F3533" s="9"/>
    </row>
    <row r="3534" ht="33.75" customHeight="1">
      <c r="A3534" s="7">
        <v>118.0</v>
      </c>
      <c r="B3534" s="9" t="s">
        <v>7449</v>
      </c>
      <c r="C3534" s="9" t="s">
        <v>7450</v>
      </c>
      <c r="D3534" s="9" t="s">
        <v>98</v>
      </c>
      <c r="E3534" s="6" t="s">
        <v>7471</v>
      </c>
      <c r="F3534" s="9"/>
    </row>
    <row r="3535" ht="33.75" customHeight="1">
      <c r="A3535" s="7">
        <v>118.0</v>
      </c>
      <c r="B3535" s="9" t="s">
        <v>7449</v>
      </c>
      <c r="C3535" s="9" t="s">
        <v>7450</v>
      </c>
      <c r="D3535" s="9" t="s">
        <v>99</v>
      </c>
      <c r="E3535" s="6" t="s">
        <v>7471</v>
      </c>
      <c r="F3535" s="9"/>
    </row>
    <row r="3536" ht="33.75" customHeight="1">
      <c r="A3536" s="7">
        <v>118.0</v>
      </c>
      <c r="B3536" s="9" t="s">
        <v>7449</v>
      </c>
      <c r="C3536" s="9" t="s">
        <v>7450</v>
      </c>
      <c r="D3536" s="9" t="s">
        <v>101</v>
      </c>
      <c r="E3536" s="6" t="s">
        <v>7469</v>
      </c>
      <c r="F3536" s="9"/>
    </row>
    <row r="3537" ht="33.75" customHeight="1">
      <c r="A3537" s="7">
        <v>118.0</v>
      </c>
      <c r="B3537" s="9" t="s">
        <v>7449</v>
      </c>
      <c r="C3537" s="9" t="s">
        <v>7450</v>
      </c>
      <c r="D3537" s="9" t="s">
        <v>105</v>
      </c>
      <c r="E3537" s="6" t="s">
        <v>7472</v>
      </c>
      <c r="F3537" s="9"/>
    </row>
    <row r="3538" ht="33.75" customHeight="1">
      <c r="A3538" s="7">
        <v>118.0</v>
      </c>
      <c r="B3538" s="9" t="s">
        <v>7449</v>
      </c>
      <c r="C3538" s="9" t="s">
        <v>7450</v>
      </c>
      <c r="D3538" s="9" t="s">
        <v>107</v>
      </c>
      <c r="E3538" s="6" t="s">
        <v>7481</v>
      </c>
      <c r="F3538" s="9"/>
    </row>
    <row r="3539" ht="33.75" customHeight="1">
      <c r="A3539" s="7">
        <v>118.0</v>
      </c>
      <c r="B3539" s="9" t="s">
        <v>7449</v>
      </c>
      <c r="C3539" s="9" t="s">
        <v>7450</v>
      </c>
      <c r="D3539" s="9" t="s">
        <v>109</v>
      </c>
      <c r="E3539" s="6" t="s">
        <v>7483</v>
      </c>
      <c r="F3539" s="9"/>
    </row>
    <row r="3540" ht="33.75" customHeight="1">
      <c r="A3540" s="7">
        <v>118.0</v>
      </c>
      <c r="B3540" s="9" t="s">
        <v>7449</v>
      </c>
      <c r="C3540" s="9" t="s">
        <v>7450</v>
      </c>
      <c r="D3540" s="9" t="s">
        <v>637</v>
      </c>
      <c r="E3540" s="6" t="s">
        <v>7484</v>
      </c>
      <c r="F3540" s="9"/>
    </row>
    <row r="3541" ht="33.75" customHeight="1">
      <c r="A3541" s="7">
        <v>118.0</v>
      </c>
      <c r="B3541" s="9" t="s">
        <v>7449</v>
      </c>
      <c r="C3541" s="9" t="s">
        <v>7450</v>
      </c>
      <c r="D3541" s="9" t="s">
        <v>642</v>
      </c>
      <c r="E3541" s="6" t="s">
        <v>7486</v>
      </c>
      <c r="F3541" s="9"/>
    </row>
    <row r="3542" ht="33.75" customHeight="1">
      <c r="A3542" s="7">
        <v>118.0</v>
      </c>
      <c r="B3542" s="9" t="s">
        <v>7449</v>
      </c>
      <c r="C3542" s="9" t="s">
        <v>7450</v>
      </c>
      <c r="D3542" s="9" t="s">
        <v>647</v>
      </c>
      <c r="E3542" s="6" t="s">
        <v>7488</v>
      </c>
      <c r="F3542" s="9"/>
    </row>
    <row r="3543" ht="33.75" customHeight="1">
      <c r="A3543" s="7">
        <v>118.0</v>
      </c>
      <c r="B3543" s="9" t="s">
        <v>7449</v>
      </c>
      <c r="C3543" s="9" t="s">
        <v>7450</v>
      </c>
      <c r="D3543" s="9" t="s">
        <v>652</v>
      </c>
      <c r="E3543" s="6" t="s">
        <v>7489</v>
      </c>
      <c r="F3543" s="9"/>
    </row>
    <row r="3544" ht="33.75" customHeight="1">
      <c r="A3544" s="7">
        <v>118.0</v>
      </c>
      <c r="B3544" s="9" t="s">
        <v>7449</v>
      </c>
      <c r="C3544" s="9" t="s">
        <v>7450</v>
      </c>
      <c r="D3544" s="9" t="s">
        <v>111</v>
      </c>
      <c r="E3544" s="6" t="s">
        <v>7454</v>
      </c>
      <c r="F3544" s="9"/>
    </row>
    <row r="3545" ht="33.75" customHeight="1">
      <c r="A3545" s="7">
        <v>118.0</v>
      </c>
      <c r="B3545" s="9" t="s">
        <v>7449</v>
      </c>
      <c r="C3545" s="9" t="s">
        <v>7450</v>
      </c>
      <c r="D3545" s="9" t="s">
        <v>113</v>
      </c>
      <c r="E3545" s="6" t="s">
        <v>7454</v>
      </c>
      <c r="F3545" s="9"/>
    </row>
    <row r="3546" ht="33.75" customHeight="1">
      <c r="A3546" s="7">
        <v>118.0</v>
      </c>
      <c r="B3546" s="9" t="s">
        <v>7449</v>
      </c>
      <c r="C3546" s="9" t="s">
        <v>7450</v>
      </c>
      <c r="D3546" s="9" t="s">
        <v>114</v>
      </c>
      <c r="E3546" s="6" t="s">
        <v>7472</v>
      </c>
      <c r="F3546" s="9"/>
    </row>
    <row r="3547" ht="33.75" customHeight="1">
      <c r="A3547" s="7">
        <v>118.0</v>
      </c>
      <c r="B3547" s="9" t="s">
        <v>7449</v>
      </c>
      <c r="C3547" s="9" t="s">
        <v>7450</v>
      </c>
      <c r="D3547" s="9" t="s">
        <v>117</v>
      </c>
      <c r="E3547" s="6" t="s">
        <v>7464</v>
      </c>
      <c r="F3547" s="9"/>
    </row>
    <row r="3548" ht="33.75" customHeight="1">
      <c r="A3548" s="7">
        <v>119.0</v>
      </c>
      <c r="B3548" s="9" t="s">
        <v>7493</v>
      </c>
      <c r="C3548" s="9" t="s">
        <v>7450</v>
      </c>
      <c r="D3548" s="9" t="s">
        <v>24</v>
      </c>
      <c r="E3548" s="6" t="s">
        <v>7495</v>
      </c>
      <c r="F3548" t="inlineStr" s="10">
        <is>
          <t xml:space="preserve">Syksyn kutuaikana ne voivat nähdä uiden täydellä teholla jokia ja puroja ylös. Uroksen tehtävänä on tehdä pesä kaivertamalla lohkareita puroon päässään olevan sarven avulla. Kutuaikana SEAKEING-kaloja kerääntyy kaikkialta ja ne värjäävät joet kirkkaanpunaisiksi. Sarvellaan se poraa reikiä joenpohjan lohkareisiin ja tekee pesiä estääkseen munien huuhtoutumisen pois. Syksyn saapuessa koiraat partioivat pesiensä ympäristöä suojellakseen poikasiaan. Syksyllä SEAKING-koiria voi nähdä esittämässä seurustelutansseja jokiuomissa naaraiden houkuttelemiseksi. Tänä vuodenaikana tämän POKéMONin ruumiinväritys on kauneimmillaan. SEAKING on erittäin suojelevainen muniensa suhteen. Uros ja naaras partioivat vuorotellen pesänsä ja munien ympärillä. Näiden POKéMONien munien vartiointi kestää yli kuukauden. Se tekee reikiä jokiuomien lohkareisiin. Tämä on nerokas innovaatio, joka estää sen munia joutumasta virran hyökkäyksen kohteeksi tai huuhtoutumasta pois. Sen päässä oleva sarvi on terävä kuin pora. Se poraa reiän lohkareeseen pesänsä rakentamiseksi. Syksyn kutuaikana ne voivat nähdä uivat voimakkaasti jokia ja puroja ylös. Se tekee pesänsä kovertamalla sarvellaan kiviä puroihin. Se puolustaa munia elämällään. Suojellakseen perhettään se taistelee terävällä sarvellaan. Se asuu purojen onteloissa kallioissa. Syksyllä sen ruumis muuttuu rasvaisemmaksi valmistautuessaan kosimaan. Se saa kauniita värejä. Kutuaikana SEA-kaloja kerääntyy kaikkialta, mikä saa joet näyttämään kirkkaan punaisilta. Syksyllä Seaking-urokset esittävät seurustelutansseja jokiuomissa naaraiden houkuttelemiseksi. Kun sää kylmenee, koko sen ruumis punastuu syvän punaiseksi. Tämä näky toimii runollisena muistutuksena syksyn saapumisesta. Seakingista hulluna olevat kouluttajat jakautuvat torviharrastajiin ja evien harrastajiin. Nämä kaksi ryhmää eivät tule hyvin toimeen keskenään. Sen sarvi pyörii kuin pora ja kovertaa tasaisesti kiviä – jopa kovempia. Koiraan väritys on eloisampi. Houkutellakseen naaraita koiraat tanssivat joen pohjassa. Naaraat kerääntyvät sen koiraan ympärille, joka tanssii sulavimmin. Koiran tehtävänä on tehdä pesä kaivertamalla lohkareita puroon päässään olevan sarven avulla.</t>
        </is>
      </c>
    </row>
    <row r="3549" ht="33.75" customHeight="1">
      <c r="A3549" s="7">
        <v>119.0</v>
      </c>
      <c r="B3549" s="9" t="s">
        <v>7493</v>
      </c>
      <c r="C3549" s="9" t="s">
        <v>7450</v>
      </c>
      <c r="D3549" s="9" t="s">
        <v>35</v>
      </c>
      <c r="E3549" s="6" t="s">
        <v>7495</v>
      </c>
      <c r="F3549" s="9"/>
    </row>
    <row r="3550" ht="33.75" customHeight="1">
      <c r="A3550" s="7">
        <v>119.0</v>
      </c>
      <c r="B3550" s="9" t="s">
        <v>7493</v>
      </c>
      <c r="C3550" s="9" t="s">
        <v>7450</v>
      </c>
      <c r="D3550" s="9" t="s">
        <v>42</v>
      </c>
      <c r="E3550" s="6" t="s">
        <v>7497</v>
      </c>
      <c r="F3550" s="9"/>
    </row>
    <row r="3551" ht="33.75" customHeight="1">
      <c r="A3551" s="7">
        <v>119.0</v>
      </c>
      <c r="B3551" s="9" t="s">
        <v>7493</v>
      </c>
      <c r="C3551" s="9" t="s">
        <v>7450</v>
      </c>
      <c r="D3551" s="9" t="s">
        <v>52</v>
      </c>
      <c r="E3551" s="6" t="s">
        <v>7499</v>
      </c>
      <c r="F3551" s="9"/>
    </row>
    <row r="3552" ht="33.75" customHeight="1">
      <c r="A3552" s="7">
        <v>119.0</v>
      </c>
      <c r="B3552" s="9" t="s">
        <v>7493</v>
      </c>
      <c r="C3552" s="9" t="s">
        <v>7450</v>
      </c>
      <c r="D3552" s="9" t="s">
        <v>59</v>
      </c>
      <c r="E3552" s="6" t="s">
        <v>7501</v>
      </c>
      <c r="F3552" s="9"/>
    </row>
    <row r="3553" ht="33.75" customHeight="1">
      <c r="A3553" s="7">
        <v>119.0</v>
      </c>
      <c r="B3553" s="9" t="s">
        <v>7493</v>
      </c>
      <c r="C3553" s="9" t="s">
        <v>7450</v>
      </c>
      <c r="D3553" s="9" t="s">
        <v>64</v>
      </c>
      <c r="E3553" s="6" t="s">
        <v>7503</v>
      </c>
      <c r="F3553" s="9"/>
    </row>
    <row r="3554" ht="33.75" customHeight="1">
      <c r="A3554" s="7">
        <v>119.0</v>
      </c>
      <c r="B3554" s="9" t="s">
        <v>7493</v>
      </c>
      <c r="C3554" s="9" t="s">
        <v>7450</v>
      </c>
      <c r="D3554" s="9" t="s">
        <v>67</v>
      </c>
      <c r="E3554" s="6" t="s">
        <v>7507</v>
      </c>
      <c r="F3554" s="9"/>
    </row>
    <row r="3555" ht="33.75" customHeight="1">
      <c r="A3555" s="7">
        <v>119.0</v>
      </c>
      <c r="B3555" s="9" t="s">
        <v>7493</v>
      </c>
      <c r="C3555" s="9" t="s">
        <v>7450</v>
      </c>
      <c r="D3555" s="9" t="s">
        <v>71</v>
      </c>
      <c r="E3555" s="6" t="s">
        <v>7511</v>
      </c>
      <c r="F3555" s="9"/>
    </row>
    <row r="3556" ht="33.75" customHeight="1">
      <c r="A3556" s="7">
        <v>119.0</v>
      </c>
      <c r="B3556" s="9" t="s">
        <v>7493</v>
      </c>
      <c r="C3556" s="9" t="s">
        <v>7450</v>
      </c>
      <c r="D3556" s="9" t="s">
        <v>73</v>
      </c>
      <c r="E3556" s="6" t="s">
        <v>7514</v>
      </c>
      <c r="F3556" s="9"/>
    </row>
    <row r="3557" ht="33.75" customHeight="1">
      <c r="A3557" s="7">
        <v>119.0</v>
      </c>
      <c r="B3557" s="9" t="s">
        <v>7493</v>
      </c>
      <c r="C3557" s="9" t="s">
        <v>7450</v>
      </c>
      <c r="D3557" s="9" t="s">
        <v>75</v>
      </c>
      <c r="E3557" s="6" t="s">
        <v>7516</v>
      </c>
      <c r="F3557" s="9"/>
    </row>
    <row r="3558" ht="33.75" customHeight="1">
      <c r="A3558" s="7">
        <v>119.0</v>
      </c>
      <c r="B3558" s="9" t="s">
        <v>7493</v>
      </c>
      <c r="C3558" s="9" t="s">
        <v>7450</v>
      </c>
      <c r="D3558" s="9" t="s">
        <v>79</v>
      </c>
      <c r="E3558" s="6" t="s">
        <v>7519</v>
      </c>
      <c r="F3558" s="9"/>
    </row>
    <row r="3559" ht="33.75" customHeight="1">
      <c r="A3559" s="7">
        <v>119.0</v>
      </c>
      <c r="B3559" s="9" t="s">
        <v>7493</v>
      </c>
      <c r="C3559" s="9" t="s">
        <v>7450</v>
      </c>
      <c r="D3559" s="9" t="s">
        <v>81</v>
      </c>
      <c r="E3559" s="6" t="s">
        <v>7523</v>
      </c>
      <c r="F3559" s="9"/>
    </row>
    <row r="3560" ht="33.75" customHeight="1">
      <c r="A3560" s="7">
        <v>119.0</v>
      </c>
      <c r="B3560" s="9" t="s">
        <v>7493</v>
      </c>
      <c r="C3560" s="9" t="s">
        <v>7450</v>
      </c>
      <c r="D3560" s="9" t="s">
        <v>84</v>
      </c>
      <c r="E3560" s="6" t="s">
        <v>7527</v>
      </c>
      <c r="F3560" s="9"/>
    </row>
    <row r="3561" ht="33.75" customHeight="1">
      <c r="A3561" s="7">
        <v>119.0</v>
      </c>
      <c r="B3561" s="9" t="s">
        <v>7493</v>
      </c>
      <c r="C3561" s="9" t="s">
        <v>7450</v>
      </c>
      <c r="D3561" s="9" t="s">
        <v>87</v>
      </c>
      <c r="E3561" s="6" t="s">
        <v>7530</v>
      </c>
      <c r="F3561" s="9"/>
    </row>
    <row r="3562" ht="33.75" customHeight="1">
      <c r="A3562" s="7">
        <v>119.0</v>
      </c>
      <c r="B3562" s="9" t="s">
        <v>7493</v>
      </c>
      <c r="C3562" s="9" t="s">
        <v>7450</v>
      </c>
      <c r="D3562" s="9" t="s">
        <v>89</v>
      </c>
      <c r="E3562" s="6" t="s">
        <v>7532</v>
      </c>
      <c r="F3562" s="9"/>
    </row>
    <row r="3563" ht="33.75" customHeight="1">
      <c r="A3563" s="7">
        <v>119.0</v>
      </c>
      <c r="B3563" s="9" t="s">
        <v>7493</v>
      </c>
      <c r="C3563" s="9" t="s">
        <v>7450</v>
      </c>
      <c r="D3563" s="9" t="s">
        <v>91</v>
      </c>
      <c r="E3563" s="6" t="s">
        <v>7501</v>
      </c>
      <c r="F3563" s="9"/>
    </row>
    <row r="3564" ht="33.75" customHeight="1">
      <c r="A3564" s="7">
        <v>119.0</v>
      </c>
      <c r="B3564" s="9" t="s">
        <v>7493</v>
      </c>
      <c r="C3564" s="9" t="s">
        <v>7450</v>
      </c>
      <c r="D3564" s="9" t="s">
        <v>93</v>
      </c>
      <c r="E3564" s="6" t="s">
        <v>7530</v>
      </c>
      <c r="F3564" s="9"/>
    </row>
    <row r="3565" ht="33.75" customHeight="1">
      <c r="A3565" s="7">
        <v>119.0</v>
      </c>
      <c r="B3565" s="9" t="s">
        <v>7493</v>
      </c>
      <c r="C3565" s="9" t="s">
        <v>7450</v>
      </c>
      <c r="D3565" s="9" t="s">
        <v>95</v>
      </c>
      <c r="E3565" s="6" t="s">
        <v>7530</v>
      </c>
      <c r="F3565" s="9"/>
    </row>
    <row r="3566" ht="33.75" customHeight="1">
      <c r="A3566" s="7">
        <v>119.0</v>
      </c>
      <c r="B3566" s="9" t="s">
        <v>7493</v>
      </c>
      <c r="C3566" s="9" t="s">
        <v>7450</v>
      </c>
      <c r="D3566" s="9" t="s">
        <v>98</v>
      </c>
      <c r="E3566" s="6" t="s">
        <v>7530</v>
      </c>
      <c r="F3566" s="9"/>
    </row>
    <row r="3567" ht="33.75" customHeight="1">
      <c r="A3567" s="7">
        <v>119.0</v>
      </c>
      <c r="B3567" s="9" t="s">
        <v>7493</v>
      </c>
      <c r="C3567" s="9" t="s">
        <v>7450</v>
      </c>
      <c r="D3567" s="9" t="s">
        <v>99</v>
      </c>
      <c r="E3567" s="6" t="s">
        <v>7530</v>
      </c>
      <c r="F3567" s="9"/>
    </row>
    <row r="3568" ht="33.75" customHeight="1">
      <c r="A3568" s="7">
        <v>119.0</v>
      </c>
      <c r="B3568" s="9" t="s">
        <v>7493</v>
      </c>
      <c r="C3568" s="9" t="s">
        <v>7450</v>
      </c>
      <c r="D3568" s="9" t="s">
        <v>101</v>
      </c>
      <c r="E3568" s="6" t="s">
        <v>7519</v>
      </c>
      <c r="F3568" s="9"/>
    </row>
    <row r="3569" ht="33.75" customHeight="1">
      <c r="A3569" s="7">
        <v>119.0</v>
      </c>
      <c r="B3569" s="9" t="s">
        <v>7493</v>
      </c>
      <c r="C3569" s="9" t="s">
        <v>7450</v>
      </c>
      <c r="D3569" s="9" t="s">
        <v>105</v>
      </c>
      <c r="E3569" s="6" t="s">
        <v>7523</v>
      </c>
      <c r="F3569" s="9"/>
    </row>
    <row r="3570" ht="33.75" customHeight="1">
      <c r="A3570" s="7">
        <v>119.0</v>
      </c>
      <c r="B3570" s="9" t="s">
        <v>7493</v>
      </c>
      <c r="C3570" s="9" t="s">
        <v>7450</v>
      </c>
      <c r="D3570" s="9" t="s">
        <v>107</v>
      </c>
      <c r="E3570" s="6" t="s">
        <v>7542</v>
      </c>
      <c r="F3570" s="9"/>
    </row>
    <row r="3571" ht="33.75" customHeight="1">
      <c r="A3571" s="7">
        <v>119.0</v>
      </c>
      <c r="B3571" s="9" t="s">
        <v>7493</v>
      </c>
      <c r="C3571" s="9" t="s">
        <v>7450</v>
      </c>
      <c r="D3571" s="9" t="s">
        <v>109</v>
      </c>
      <c r="E3571" s="6" t="s">
        <v>7545</v>
      </c>
      <c r="F3571" s="9"/>
    </row>
    <row r="3572" ht="33.75" customHeight="1">
      <c r="A3572" s="7">
        <v>119.0</v>
      </c>
      <c r="B3572" s="9" t="s">
        <v>7493</v>
      </c>
      <c r="C3572" s="9" t="s">
        <v>7450</v>
      </c>
      <c r="D3572" s="9" t="s">
        <v>637</v>
      </c>
      <c r="E3572" s="6" t="s">
        <v>7548</v>
      </c>
      <c r="F3572" s="9"/>
    </row>
    <row r="3573" ht="33.75" customHeight="1">
      <c r="A3573" s="7">
        <v>119.0</v>
      </c>
      <c r="B3573" s="9" t="s">
        <v>7493</v>
      </c>
      <c r="C3573" s="9" t="s">
        <v>7450</v>
      </c>
      <c r="D3573" s="9" t="s">
        <v>642</v>
      </c>
      <c r="E3573" s="6" t="s">
        <v>7551</v>
      </c>
      <c r="F3573" s="9"/>
    </row>
    <row r="3574" ht="33.75" customHeight="1">
      <c r="A3574" s="7">
        <v>119.0</v>
      </c>
      <c r="B3574" s="9" t="s">
        <v>7493</v>
      </c>
      <c r="C3574" s="9" t="s">
        <v>7450</v>
      </c>
      <c r="D3574" s="9" t="s">
        <v>647</v>
      </c>
      <c r="E3574" s="6" t="s">
        <v>7555</v>
      </c>
      <c r="F3574" s="9"/>
    </row>
    <row r="3575" ht="33.75" customHeight="1">
      <c r="A3575" s="7">
        <v>119.0</v>
      </c>
      <c r="B3575" s="9" t="s">
        <v>7493</v>
      </c>
      <c r="C3575" s="9" t="s">
        <v>7450</v>
      </c>
      <c r="D3575" s="9" t="s">
        <v>652</v>
      </c>
      <c r="E3575" s="6" t="s">
        <v>7559</v>
      </c>
      <c r="F3575" s="9"/>
    </row>
    <row r="3576" ht="33.75" customHeight="1">
      <c r="A3576" s="7">
        <v>119.0</v>
      </c>
      <c r="B3576" s="9" t="s">
        <v>7493</v>
      </c>
      <c r="C3576" s="9" t="s">
        <v>7450</v>
      </c>
      <c r="D3576" s="9" t="s">
        <v>111</v>
      </c>
      <c r="E3576" s="6" t="s">
        <v>7562</v>
      </c>
      <c r="F3576" s="9"/>
    </row>
    <row r="3577" ht="33.75" customHeight="1">
      <c r="A3577" s="7">
        <v>119.0</v>
      </c>
      <c r="B3577" s="9" t="s">
        <v>7493</v>
      </c>
      <c r="C3577" s="9" t="s">
        <v>7450</v>
      </c>
      <c r="D3577" s="9" t="s">
        <v>113</v>
      </c>
      <c r="E3577" s="6" t="s">
        <v>7562</v>
      </c>
      <c r="F3577" s="9"/>
    </row>
    <row r="3578" ht="33.75" customHeight="1">
      <c r="A3578" s="7">
        <v>119.0</v>
      </c>
      <c r="B3578" s="9" t="s">
        <v>7493</v>
      </c>
      <c r="C3578" s="9" t="s">
        <v>7450</v>
      </c>
      <c r="D3578" s="9" t="s">
        <v>114</v>
      </c>
      <c r="E3578" s="6" t="s">
        <v>7530</v>
      </c>
      <c r="F3578" s="9"/>
    </row>
    <row r="3579" ht="33.75" customHeight="1">
      <c r="A3579" s="7">
        <v>119.0</v>
      </c>
      <c r="B3579" s="9" t="s">
        <v>7493</v>
      </c>
      <c r="C3579" s="9" t="s">
        <v>7450</v>
      </c>
      <c r="D3579" s="9" t="s">
        <v>117</v>
      </c>
      <c r="E3579" s="6" t="s">
        <v>7501</v>
      </c>
      <c r="F3579" s="9"/>
    </row>
    <row r="3580" ht="33.75" customHeight="1">
      <c r="A3580" s="7">
        <v>120.0</v>
      </c>
      <c r="B3580" s="9" t="s">
        <v>7567</v>
      </c>
      <c r="C3580" s="9" t="s">
        <v>7568</v>
      </c>
      <c r="D3580" s="9" t="s">
        <v>24</v>
      </c>
      <c r="E3580" s="6" t="s">
        <v>7569</v>
      </c>
      <c r="F3580" t="inlineStr" s="10">
        <is>
          <t xml:space="preserve">Arvoituksellinen POKéMON, joka pystyy vaivattomasti regeneroimaan minkä tahansa taistelussa menettämänsä raajan. Niin kauan kuin keskiosa on vahingoittumaton, se voi kasvaa takaisin kokonaan, vaikka se pilkottaisiin palasiksi. Yöllä sen kehon keskiosa lepattaa hitaasti samalla rytmillä kuin ihmisen sydämenlyönti. Vaikka sen runko repeytyisi, se voi uusiutua niin kauan kuin hehkuva keskusydin pysyy ehjänä. Kun tähdet tuikkivat yöllä, se kelluu ylös merenpohjasta ja sen kehon keskiosa välkkyy. STARYUn keskiosassa on elin nimeltä ydin, joka hohtaa kirkkaan punaisena. Jos menet rannalle loppukesästä, näiden POKéMONien hohtavat ytimet näyttävät taivaan tähdiltä. STARYU ilmeisesti kommunikoi yötaivaan tähtien kanssa väläyttämällä punaisen ytimen ruumiinsa keskellä. Jos osia sen ruumiista repeytyy, tämä POKéMON yksinkertaisesti luo puuttuvat osat ja raajat. Se kerääntyy muiden joukkoon yöllä ja saa punaisen ytimensä hehkumaan tuikkien tähtien valossa. Se voi luoda uusia raajoja, jos ne irrotetaan sen kehosta. Se esiintyy suurina määrinä merenrannoilla. Yöllä sen ydin välkkyy punaisena valona. Jos sen runko repeytyy, se voi kasvaa takaisin, jos punainen ydin on jäljellä. Ydin välähtää keskiyöllä. Vaikka sen runko repeytyisi, se voi uudistua niin kauan kuin hehkuva keskusydin pysyy ehjänä. Niin kauan kuin sen punainen ydin on jäljellä, se voi uudistaa kehonsa välittömästi, vaikka se repeytyisi kappaleiksi. Staryu ilmeisesti kommunikoi yötaivaan tähtien kanssa väläyttämällä punaisen ytimen kehonsa keskellä. Suuri määrä näitä Pokémoneja asuu meren rannalla. Yöllä niiden keskeltä säteilee outo punainen hehku. Lumineon ja muut nakertelevat tätä Pokémonia. Punaisen ytimensä ansiosta se uusiutuu nopeasti, joten heidän välipalahyökkäyksensä eivät häiritse sitä. Monissa paikoissa on kansantarinoita tähtipölystä, joka putoaa mereen ja muuttuu Staryuksi. Mitkään vammat eivät voi vaivata Staryua. Sen hämmästyttävät uudistumisvoimat palauttavat sen alkuperäiseen tilaansa puolessa päivässä! Niin kauan kuin keskiosa on vahingoittumaton, tämä Pokémon voi kasvaa takaisin kokonaan, vaikka se pilkottaisiin palasiksi. Jos vierailet rannalla loppukesästä, voit nähdä Staryun linturyhmien syttyvän tasaiseen rytmiin. Kala-Pokémonit näykkivät sitä, mutta Staryu ei välitä. Sen ruumis uusiutuu nopeasti, vaikka osa siitä repeytyisi kokonaan irti.</t>
        </is>
      </c>
    </row>
    <row r="3581" ht="33.75" customHeight="1">
      <c r="A3581" s="7">
        <v>120.0</v>
      </c>
      <c r="B3581" s="9" t="s">
        <v>7567</v>
      </c>
      <c r="C3581" s="9" t="s">
        <v>7568</v>
      </c>
      <c r="D3581" s="9" t="s">
        <v>35</v>
      </c>
      <c r="E3581" s="6" t="s">
        <v>7569</v>
      </c>
      <c r="F3581" s="9"/>
    </row>
    <row r="3582" ht="33.75" customHeight="1">
      <c r="A3582" s="7">
        <v>120.0</v>
      </c>
      <c r="B3582" s="9" t="s">
        <v>7567</v>
      </c>
      <c r="C3582" s="9" t="s">
        <v>7568</v>
      </c>
      <c r="D3582" s="9" t="s">
        <v>42</v>
      </c>
      <c r="E3582" s="6" t="s">
        <v>7572</v>
      </c>
      <c r="F3582" s="9"/>
    </row>
    <row r="3583" ht="33.75" customHeight="1">
      <c r="A3583" s="7">
        <v>120.0</v>
      </c>
      <c r="B3583" s="9" t="s">
        <v>7567</v>
      </c>
      <c r="C3583" s="9" t="s">
        <v>7568</v>
      </c>
      <c r="D3583" s="9" t="s">
        <v>52</v>
      </c>
      <c r="E3583" s="6" t="s">
        <v>7574</v>
      </c>
      <c r="F3583" s="9"/>
    </row>
    <row r="3584" ht="33.75" customHeight="1">
      <c r="A3584" s="7">
        <v>120.0</v>
      </c>
      <c r="B3584" s="9" t="s">
        <v>7567</v>
      </c>
      <c r="C3584" s="9" t="s">
        <v>7568</v>
      </c>
      <c r="D3584" s="9" t="s">
        <v>59</v>
      </c>
      <c r="E3584" s="6" t="s">
        <v>7576</v>
      </c>
      <c r="F3584" s="9"/>
    </row>
    <row r="3585" ht="33.75" customHeight="1">
      <c r="A3585" s="7">
        <v>120.0</v>
      </c>
      <c r="B3585" s="9" t="s">
        <v>7567</v>
      </c>
      <c r="C3585" s="9" t="s">
        <v>7568</v>
      </c>
      <c r="D3585" s="9" t="s">
        <v>64</v>
      </c>
      <c r="E3585" s="6" t="s">
        <v>7578</v>
      </c>
      <c r="F3585" s="9"/>
    </row>
    <row r="3586" ht="33.75" customHeight="1">
      <c r="A3586" s="7">
        <v>120.0</v>
      </c>
      <c r="B3586" s="9" t="s">
        <v>7567</v>
      </c>
      <c r="C3586" s="9" t="s">
        <v>7568</v>
      </c>
      <c r="D3586" s="9" t="s">
        <v>67</v>
      </c>
      <c r="E3586" s="6" t="s">
        <v>7581</v>
      </c>
      <c r="F3586" s="9"/>
    </row>
    <row r="3587" ht="33.75" customHeight="1">
      <c r="A3587" s="7">
        <v>120.0</v>
      </c>
      <c r="B3587" s="9" t="s">
        <v>7567</v>
      </c>
      <c r="C3587" s="9" t="s">
        <v>7568</v>
      </c>
      <c r="D3587" s="9" t="s">
        <v>71</v>
      </c>
      <c r="E3587" s="6" t="s">
        <v>7583</v>
      </c>
      <c r="F3587" s="9"/>
    </row>
    <row r="3588" ht="33.75" customHeight="1">
      <c r="A3588" s="7">
        <v>120.0</v>
      </c>
      <c r="B3588" s="9" t="s">
        <v>7567</v>
      </c>
      <c r="C3588" s="9" t="s">
        <v>7568</v>
      </c>
      <c r="D3588" s="9" t="s">
        <v>73</v>
      </c>
      <c r="E3588" s="6" t="s">
        <v>7585</v>
      </c>
      <c r="F3588" s="9"/>
    </row>
    <row r="3589" ht="33.75" customHeight="1">
      <c r="A3589" s="7">
        <v>120.0</v>
      </c>
      <c r="B3589" s="9" t="s">
        <v>7567</v>
      </c>
      <c r="C3589" s="9" t="s">
        <v>7568</v>
      </c>
      <c r="D3589" s="9" t="s">
        <v>75</v>
      </c>
      <c r="E3589" s="6" t="s">
        <v>7586</v>
      </c>
      <c r="F3589" s="9"/>
    </row>
    <row r="3590" ht="33.75" customHeight="1">
      <c r="A3590" s="7">
        <v>120.0</v>
      </c>
      <c r="B3590" s="9" t="s">
        <v>7567</v>
      </c>
      <c r="C3590" s="9" t="s">
        <v>7568</v>
      </c>
      <c r="D3590" s="9" t="s">
        <v>79</v>
      </c>
      <c r="E3590" s="6" t="s">
        <v>7569</v>
      </c>
      <c r="F3590" s="9"/>
    </row>
    <row r="3591" ht="33.75" customHeight="1">
      <c r="A3591" s="7">
        <v>120.0</v>
      </c>
      <c r="B3591" s="9" t="s">
        <v>7567</v>
      </c>
      <c r="C3591" s="9" t="s">
        <v>7568</v>
      </c>
      <c r="D3591" s="9" t="s">
        <v>81</v>
      </c>
      <c r="E3591" s="6" t="s">
        <v>7589</v>
      </c>
      <c r="F3591" s="9"/>
    </row>
    <row r="3592" ht="33.75" customHeight="1">
      <c r="A3592" s="7">
        <v>120.0</v>
      </c>
      <c r="B3592" s="9" t="s">
        <v>7567</v>
      </c>
      <c r="C3592" s="9" t="s">
        <v>7568</v>
      </c>
      <c r="D3592" s="9" t="s">
        <v>84</v>
      </c>
      <c r="E3592" s="6" t="s">
        <v>7589</v>
      </c>
      <c r="F3592" s="9"/>
    </row>
    <row r="3593" ht="33.75" customHeight="1">
      <c r="A3593" s="7">
        <v>120.0</v>
      </c>
      <c r="B3593" s="9" t="s">
        <v>7567</v>
      </c>
      <c r="C3593" s="9" t="s">
        <v>7568</v>
      </c>
      <c r="D3593" s="9" t="s">
        <v>87</v>
      </c>
      <c r="E3593" s="6" t="s">
        <v>7589</v>
      </c>
      <c r="F3593" s="9"/>
    </row>
    <row r="3594" ht="33.75" customHeight="1">
      <c r="A3594" s="7">
        <v>120.0</v>
      </c>
      <c r="B3594" s="9" t="s">
        <v>7567</v>
      </c>
      <c r="C3594" s="9" t="s">
        <v>7568</v>
      </c>
      <c r="D3594" s="9" t="s">
        <v>89</v>
      </c>
      <c r="E3594" s="6" t="s">
        <v>7574</v>
      </c>
      <c r="F3594" s="9"/>
    </row>
    <row r="3595" ht="33.75" customHeight="1">
      <c r="A3595" s="7">
        <v>120.0</v>
      </c>
      <c r="B3595" s="9" t="s">
        <v>7567</v>
      </c>
      <c r="C3595" s="9" t="s">
        <v>7568</v>
      </c>
      <c r="D3595" s="9" t="s">
        <v>91</v>
      </c>
      <c r="E3595" s="6" t="s">
        <v>7593</v>
      </c>
      <c r="F3595" s="9"/>
    </row>
    <row r="3596" ht="33.75" customHeight="1">
      <c r="A3596" s="7">
        <v>120.0</v>
      </c>
      <c r="B3596" s="9" t="s">
        <v>7567</v>
      </c>
      <c r="C3596" s="9" t="s">
        <v>7568</v>
      </c>
      <c r="D3596" s="9" t="s">
        <v>93</v>
      </c>
      <c r="E3596" s="6" t="s">
        <v>7589</v>
      </c>
      <c r="F3596" s="9"/>
    </row>
    <row r="3597" ht="33.75" customHeight="1">
      <c r="A3597" s="7">
        <v>120.0</v>
      </c>
      <c r="B3597" s="9" t="s">
        <v>7567</v>
      </c>
      <c r="C3597" s="9" t="s">
        <v>7568</v>
      </c>
      <c r="D3597" s="9" t="s">
        <v>95</v>
      </c>
      <c r="E3597" s="6" t="s">
        <v>7589</v>
      </c>
      <c r="F3597" s="9"/>
    </row>
    <row r="3598" ht="33.75" customHeight="1">
      <c r="A3598" s="7">
        <v>120.0</v>
      </c>
      <c r="B3598" s="9" t="s">
        <v>7567</v>
      </c>
      <c r="C3598" s="9" t="s">
        <v>7568</v>
      </c>
      <c r="D3598" s="9" t="s">
        <v>98</v>
      </c>
      <c r="E3598" s="6" t="s">
        <v>7597</v>
      </c>
      <c r="F3598" s="9"/>
    </row>
    <row r="3599" ht="33.75" customHeight="1">
      <c r="A3599" s="7">
        <v>120.0</v>
      </c>
      <c r="B3599" s="9" t="s">
        <v>7567</v>
      </c>
      <c r="C3599" s="9" t="s">
        <v>7568</v>
      </c>
      <c r="D3599" s="9" t="s">
        <v>99</v>
      </c>
      <c r="E3599" s="6" t="s">
        <v>7597</v>
      </c>
      <c r="F3599" s="9"/>
    </row>
    <row r="3600" ht="33.75" customHeight="1">
      <c r="A3600" s="7">
        <v>120.0</v>
      </c>
      <c r="B3600" s="9" t="s">
        <v>7567</v>
      </c>
      <c r="C3600" s="9" t="s">
        <v>7568</v>
      </c>
      <c r="D3600" s="9" t="s">
        <v>101</v>
      </c>
      <c r="E3600" s="6" t="s">
        <v>7593</v>
      </c>
      <c r="F3600" s="9"/>
    </row>
    <row r="3601" ht="33.75" customHeight="1">
      <c r="A3601" s="7">
        <v>120.0</v>
      </c>
      <c r="B3601" s="9" t="s">
        <v>7567</v>
      </c>
      <c r="C3601" s="9" t="s">
        <v>7568</v>
      </c>
      <c r="D3601" s="9" t="s">
        <v>105</v>
      </c>
      <c r="E3601" s="6" t="s">
        <v>7586</v>
      </c>
      <c r="F3601" s="9"/>
    </row>
    <row r="3602" ht="33.75" customHeight="1">
      <c r="A3602" s="7">
        <v>120.0</v>
      </c>
      <c r="B3602" s="9" t="s">
        <v>7567</v>
      </c>
      <c r="C3602" s="9" t="s">
        <v>7568</v>
      </c>
      <c r="D3602" s="9" t="s">
        <v>107</v>
      </c>
      <c r="E3602" s="6" t="s">
        <v>7601</v>
      </c>
      <c r="F3602" s="9"/>
    </row>
    <row r="3603" ht="33.75" customHeight="1">
      <c r="A3603" s="7">
        <v>120.0</v>
      </c>
      <c r="B3603" s="9" t="s">
        <v>7567</v>
      </c>
      <c r="C3603" s="9" t="s">
        <v>7568</v>
      </c>
      <c r="D3603" s="9" t="s">
        <v>109</v>
      </c>
      <c r="E3603" s="6" t="s">
        <v>7603</v>
      </c>
      <c r="F3603" s="9"/>
    </row>
    <row r="3604" ht="33.75" customHeight="1">
      <c r="A3604" s="7">
        <v>120.0</v>
      </c>
      <c r="B3604" s="9" t="s">
        <v>7567</v>
      </c>
      <c r="C3604" s="9" t="s">
        <v>7568</v>
      </c>
      <c r="D3604" s="9" t="s">
        <v>637</v>
      </c>
      <c r="E3604" s="6" t="s">
        <v>7605</v>
      </c>
      <c r="F3604" s="9"/>
    </row>
    <row r="3605" ht="33.75" customHeight="1">
      <c r="A3605" s="7">
        <v>120.0</v>
      </c>
      <c r="B3605" s="9" t="s">
        <v>7567</v>
      </c>
      <c r="C3605" s="9" t="s">
        <v>7568</v>
      </c>
      <c r="D3605" s="9" t="s">
        <v>642</v>
      </c>
      <c r="E3605" s="6" t="s">
        <v>7606</v>
      </c>
      <c r="F3605" s="9"/>
    </row>
    <row r="3606" ht="33.75" customHeight="1">
      <c r="A3606" s="7">
        <v>120.0</v>
      </c>
      <c r="B3606" s="9" t="s">
        <v>7567</v>
      </c>
      <c r="C3606" s="9" t="s">
        <v>7568</v>
      </c>
      <c r="D3606" s="9" t="s">
        <v>647</v>
      </c>
      <c r="E3606" s="6" t="s">
        <v>7609</v>
      </c>
      <c r="F3606" s="9"/>
    </row>
    <row r="3607" ht="33.75" customHeight="1">
      <c r="A3607" s="7">
        <v>120.0</v>
      </c>
      <c r="B3607" s="9" t="s">
        <v>7567</v>
      </c>
      <c r="C3607" s="9" t="s">
        <v>7568</v>
      </c>
      <c r="D3607" s="9" t="s">
        <v>652</v>
      </c>
      <c r="E3607" s="6" t="s">
        <v>7611</v>
      </c>
      <c r="F3607" s="9"/>
    </row>
    <row r="3608" ht="33.75" customHeight="1">
      <c r="A3608" s="7">
        <v>120.0</v>
      </c>
      <c r="B3608" s="9" t="s">
        <v>7567</v>
      </c>
      <c r="C3608" s="9" t="s">
        <v>7568</v>
      </c>
      <c r="D3608" s="9" t="s">
        <v>111</v>
      </c>
      <c r="E3608" s="6" t="s">
        <v>7613</v>
      </c>
      <c r="F3608" s="9"/>
    </row>
    <row r="3609" ht="33.75" customHeight="1">
      <c r="A3609" s="7">
        <v>120.0</v>
      </c>
      <c r="B3609" s="9" t="s">
        <v>7567</v>
      </c>
      <c r="C3609" s="9" t="s">
        <v>7568</v>
      </c>
      <c r="D3609" s="9" t="s">
        <v>113</v>
      </c>
      <c r="E3609" s="6" t="s">
        <v>7613</v>
      </c>
      <c r="F3609" s="9"/>
    </row>
    <row r="3610" ht="33.75" customHeight="1">
      <c r="A3610" s="7">
        <v>120.0</v>
      </c>
      <c r="B3610" s="9" t="s">
        <v>7567</v>
      </c>
      <c r="C3610" s="9" t="s">
        <v>7568</v>
      </c>
      <c r="D3610" s="9" t="s">
        <v>114</v>
      </c>
      <c r="E3610" s="6" t="s">
        <v>7616</v>
      </c>
      <c r="F3610" s="9"/>
    </row>
    <row r="3611" ht="33.75" customHeight="1">
      <c r="A3611" s="7">
        <v>120.0</v>
      </c>
      <c r="B3611" s="9" t="s">
        <v>7567</v>
      </c>
      <c r="C3611" s="9" t="s">
        <v>7568</v>
      </c>
      <c r="D3611" s="9" t="s">
        <v>117</v>
      </c>
      <c r="E3611" s="6" t="s">
        <v>7618</v>
      </c>
      <c r="F3611" s="9"/>
    </row>
    <row r="3612" ht="33.75" customHeight="1">
      <c r="A3612" s="7">
        <v>121.0</v>
      </c>
      <c r="B3612" s="9" t="s">
        <v>7619</v>
      </c>
      <c r="C3612" s="9" t="s">
        <v>7622</v>
      </c>
      <c r="D3612" s="9" t="s">
        <v>24</v>
      </c>
      <c r="E3612" s="6" t="s">
        <v>7623</v>
      </c>
      <c r="F3612" t="inlineStr" s="10">
        <is>
          <t xml:space="preserve">Starmien keskusydin hehkuu sateenkaaren seitsemässä värissä. Jotkut ihmiset arvostavat ydintä jalokivenä. Keskiosaa kutsutaan ytimeksi. Ihmiset luulevat sen kommunikoivan, kun se hehkuu seitsemässä värissä. Sen rungon keskiosaa kutsutaan ytimeksi. Se hehkuu eri värillä joka kerta, kun se nähdään. Ympäristöstä riippumatta sen ruumis kasvaa symmetrisen geometrisen muodon mukaisesti. Sanotaan, että se käyttää seitsemänväristä kehonsa ydintä lähettääkseen sähköaaltoja avaruuteen. STARMIEn keskiosa – ydin – hohtaa kirkkaasti seitsemässä värissä. Hohtavan luonteensa vuoksi tälle POKéMONille on annettu lempinimi "meren helmi". STARMIE ui vedessä pyörittämällä tähdenmuotoista vartaloaan aivan kuin se olisi laivan potkuri. Tämän POKéMONin kehon keskellä oleva ydin hehkuu seitsemässä värissä. Muinaiset ihmiset kuvittelivat, että TÄHTIT muuttuivat yöllä lempeillä aalloilla tuikkivien tähtien heijastuksista. Tällä POKéMONilla on geometrinen ruumis. Sen ruumiin perusteella paikalliset epäilevät sitä avaruusolennoksi. Sen rungon keskellä on punainen ydin, joka lähettää salaperäisiä radiosignaaleja yötaivaalle. Sen ydin loistaa monissa väreissä ja lähettää radiosignaaleja avaruuteen kommunikoidakseen jonkin kanssa. Sen kiiltävän ytimen uskotaan vastaanottavan ja lähettävän arvoituksellisia signaaleja. Sen tiedetään aiheuttavan päänsärkyä sitä lähestyville. Sen epätavallinen, abstraktia taidetta muistuttava ruumiinmuoto sai paikalliset ihmiset levittämään huhuja, että tämä Pokémon saattaa olla avaruudesta tullut tunkeilija. Sen kimaltelevaa ydintä kutsutaan "meren jalokiveksi". Tästä ytimestä voidaan tehdä kalliita asusteita, joilla käydään kauppaa salaa. Se pyörittää geometrisesti muotoiltua vartaloaan uidakseen vedessä. Se näyttää jatkuvasti lähettävän salaperäisiä radioaaltoja. Tällä Pokémonilla on elin, jota kutsutaan sen ytimeksi. Elin hohtaa seitsemässä värissä, kun Starmie vapauttaa voimakkaita psyykkisiä voimiaan. Starmie ui pyörittämällä kehoaan kovaa vauhtia. Meren halki risteillessään tämä Pokémon imee itseensä pientä planktonia.</t>
        </is>
      </c>
    </row>
    <row r="3613" ht="33.75" customHeight="1">
      <c r="A3613" s="7">
        <v>121.0</v>
      </c>
      <c r="B3613" s="9" t="s">
        <v>7619</v>
      </c>
      <c r="C3613" s="9" t="s">
        <v>7622</v>
      </c>
      <c r="D3613" s="9" t="s">
        <v>35</v>
      </c>
      <c r="E3613" s="6" t="s">
        <v>7623</v>
      </c>
      <c r="F3613" s="9"/>
    </row>
    <row r="3614" ht="33.75" customHeight="1">
      <c r="A3614" s="7">
        <v>121.0</v>
      </c>
      <c r="B3614" s="9" t="s">
        <v>7619</v>
      </c>
      <c r="C3614" s="9" t="s">
        <v>7622</v>
      </c>
      <c r="D3614" s="9" t="s">
        <v>42</v>
      </c>
      <c r="E3614" s="6" t="s">
        <v>7625</v>
      </c>
      <c r="F3614" s="9"/>
    </row>
    <row r="3615" ht="33.75" customHeight="1">
      <c r="A3615" s="7">
        <v>121.0</v>
      </c>
      <c r="B3615" s="9" t="s">
        <v>7619</v>
      </c>
      <c r="C3615" s="9" t="s">
        <v>7622</v>
      </c>
      <c r="D3615" s="9" t="s">
        <v>52</v>
      </c>
      <c r="E3615" s="6" t="s">
        <v>7627</v>
      </c>
      <c r="F3615" s="9"/>
    </row>
    <row r="3616" ht="33.75" customHeight="1">
      <c r="A3616" s="7">
        <v>121.0</v>
      </c>
      <c r="B3616" s="9" t="s">
        <v>7619</v>
      </c>
      <c r="C3616" s="9" t="s">
        <v>7622</v>
      </c>
      <c r="D3616" s="9" t="s">
        <v>59</v>
      </c>
      <c r="E3616" s="6" t="s">
        <v>7629</v>
      </c>
      <c r="F3616" s="9"/>
    </row>
    <row r="3617" ht="33.75" customHeight="1">
      <c r="A3617" s="7">
        <v>121.0</v>
      </c>
      <c r="B3617" s="9" t="s">
        <v>7619</v>
      </c>
      <c r="C3617" s="9" t="s">
        <v>7622</v>
      </c>
      <c r="D3617" s="9" t="s">
        <v>64</v>
      </c>
      <c r="E3617" s="6" t="s">
        <v>7630</v>
      </c>
      <c r="F3617" s="9"/>
    </row>
    <row r="3618" ht="33.75" customHeight="1">
      <c r="A3618" s="7">
        <v>121.0</v>
      </c>
      <c r="B3618" s="9" t="s">
        <v>7619</v>
      </c>
      <c r="C3618" s="9" t="s">
        <v>7622</v>
      </c>
      <c r="D3618" s="9" t="s">
        <v>67</v>
      </c>
      <c r="E3618" s="6" t="s">
        <v>7632</v>
      </c>
      <c r="F3618" s="9"/>
    </row>
    <row r="3619" ht="33.75" customHeight="1">
      <c r="A3619" s="7">
        <v>121.0</v>
      </c>
      <c r="B3619" s="9" t="s">
        <v>7619</v>
      </c>
      <c r="C3619" s="9" t="s">
        <v>7622</v>
      </c>
      <c r="D3619" s="9" t="s">
        <v>71</v>
      </c>
      <c r="E3619" s="6" t="s">
        <v>7634</v>
      </c>
      <c r="F3619" s="9"/>
    </row>
    <row r="3620" ht="33.75" customHeight="1">
      <c r="A3620" s="7">
        <v>121.0</v>
      </c>
      <c r="B3620" s="9" t="s">
        <v>7619</v>
      </c>
      <c r="C3620" s="9" t="s">
        <v>7622</v>
      </c>
      <c r="D3620" s="9" t="s">
        <v>73</v>
      </c>
      <c r="E3620" s="6" t="s">
        <v>7636</v>
      </c>
      <c r="F3620" s="9"/>
    </row>
    <row r="3621" ht="33.75" customHeight="1">
      <c r="A3621" s="7">
        <v>121.0</v>
      </c>
      <c r="B3621" s="9" t="s">
        <v>7619</v>
      </c>
      <c r="C3621" s="9" t="s">
        <v>7622</v>
      </c>
      <c r="D3621" s="9" t="s">
        <v>75</v>
      </c>
      <c r="E3621" s="6" t="s">
        <v>7638</v>
      </c>
      <c r="F3621" s="9"/>
    </row>
    <row r="3622" ht="33.75" customHeight="1">
      <c r="A3622" s="7">
        <v>121.0</v>
      </c>
      <c r="B3622" s="9" t="s">
        <v>7619</v>
      </c>
      <c r="C3622" s="9" t="s">
        <v>7622</v>
      </c>
      <c r="D3622" s="9" t="s">
        <v>79</v>
      </c>
      <c r="E3622" s="6" t="s">
        <v>7623</v>
      </c>
      <c r="F3622" s="9"/>
    </row>
    <row r="3623" ht="33.75" customHeight="1">
      <c r="A3623" s="7">
        <v>121.0</v>
      </c>
      <c r="B3623" s="9" t="s">
        <v>7619</v>
      </c>
      <c r="C3623" s="9" t="s">
        <v>7622</v>
      </c>
      <c r="D3623" s="9" t="s">
        <v>81</v>
      </c>
      <c r="E3623" s="6" t="s">
        <v>7640</v>
      </c>
      <c r="F3623" s="9"/>
    </row>
    <row r="3624" ht="33.75" customHeight="1">
      <c r="A3624" s="7">
        <v>121.0</v>
      </c>
      <c r="B3624" s="9" t="s">
        <v>7619</v>
      </c>
      <c r="C3624" s="9" t="s">
        <v>7622</v>
      </c>
      <c r="D3624" s="9" t="s">
        <v>84</v>
      </c>
      <c r="E3624" s="6" t="s">
        <v>7640</v>
      </c>
      <c r="F3624" s="9"/>
    </row>
    <row r="3625" ht="33.75" customHeight="1">
      <c r="A3625" s="7">
        <v>121.0</v>
      </c>
      <c r="B3625" s="9" t="s">
        <v>7619</v>
      </c>
      <c r="C3625" s="9" t="s">
        <v>7622</v>
      </c>
      <c r="D3625" s="9" t="s">
        <v>87</v>
      </c>
      <c r="E3625" s="6" t="s">
        <v>7640</v>
      </c>
      <c r="F3625" s="9"/>
    </row>
    <row r="3626" ht="33.75" customHeight="1">
      <c r="A3626" s="7">
        <v>121.0</v>
      </c>
      <c r="B3626" s="9" t="s">
        <v>7619</v>
      </c>
      <c r="C3626" s="9" t="s">
        <v>7622</v>
      </c>
      <c r="D3626" s="9" t="s">
        <v>89</v>
      </c>
      <c r="E3626" s="6" t="s">
        <v>7627</v>
      </c>
      <c r="F3626" s="9"/>
    </row>
    <row r="3627" ht="33.75" customHeight="1">
      <c r="A3627" s="7">
        <v>121.0</v>
      </c>
      <c r="B3627" s="9" t="s">
        <v>7619</v>
      </c>
      <c r="C3627" s="9" t="s">
        <v>7622</v>
      </c>
      <c r="D3627" s="9" t="s">
        <v>91</v>
      </c>
      <c r="E3627" s="6" t="s">
        <v>7629</v>
      </c>
      <c r="F3627" s="9"/>
    </row>
    <row r="3628" ht="33.75" customHeight="1">
      <c r="A3628" s="7">
        <v>121.0</v>
      </c>
      <c r="B3628" s="9" t="s">
        <v>7619</v>
      </c>
      <c r="C3628" s="9" t="s">
        <v>7622</v>
      </c>
      <c r="D3628" s="9" t="s">
        <v>93</v>
      </c>
      <c r="E3628" s="6" t="s">
        <v>7640</v>
      </c>
      <c r="F3628" s="9"/>
    </row>
    <row r="3629" ht="33.75" customHeight="1">
      <c r="A3629" s="7">
        <v>121.0</v>
      </c>
      <c r="B3629" s="9" t="s">
        <v>7619</v>
      </c>
      <c r="C3629" s="9" t="s">
        <v>7622</v>
      </c>
      <c r="D3629" s="9" t="s">
        <v>95</v>
      </c>
      <c r="E3629" s="6" t="s">
        <v>7640</v>
      </c>
      <c r="F3629" s="9"/>
    </row>
    <row r="3630" ht="33.75" customHeight="1">
      <c r="A3630" s="7">
        <v>121.0</v>
      </c>
      <c r="B3630" s="9" t="s">
        <v>7619</v>
      </c>
      <c r="C3630" s="9" t="s">
        <v>7622</v>
      </c>
      <c r="D3630" s="9" t="s">
        <v>98</v>
      </c>
      <c r="E3630" s="6" t="s">
        <v>7647</v>
      </c>
      <c r="F3630" s="9"/>
    </row>
    <row r="3631" ht="33.75" customHeight="1">
      <c r="A3631" s="7">
        <v>121.0</v>
      </c>
      <c r="B3631" s="9" t="s">
        <v>7619</v>
      </c>
      <c r="C3631" s="9" t="s">
        <v>7622</v>
      </c>
      <c r="D3631" s="9" t="s">
        <v>99</v>
      </c>
      <c r="E3631" s="6" t="s">
        <v>7647</v>
      </c>
      <c r="F3631" s="9"/>
    </row>
    <row r="3632" ht="33.75" customHeight="1">
      <c r="A3632" s="7">
        <v>121.0</v>
      </c>
      <c r="B3632" s="9" t="s">
        <v>7619</v>
      </c>
      <c r="C3632" s="9" t="s">
        <v>7622</v>
      </c>
      <c r="D3632" s="9" t="s">
        <v>101</v>
      </c>
      <c r="E3632" s="6" t="s">
        <v>7623</v>
      </c>
      <c r="F3632" s="9"/>
    </row>
    <row r="3633" ht="33.75" customHeight="1">
      <c r="A3633" s="7">
        <v>121.0</v>
      </c>
      <c r="B3633" s="9" t="s">
        <v>7619</v>
      </c>
      <c r="C3633" s="9" t="s">
        <v>7622</v>
      </c>
      <c r="D3633" s="9" t="s">
        <v>105</v>
      </c>
      <c r="E3633" s="6" t="s">
        <v>7640</v>
      </c>
      <c r="F3633" s="9"/>
    </row>
    <row r="3634" ht="33.75" customHeight="1">
      <c r="A3634" s="7">
        <v>121.0</v>
      </c>
      <c r="B3634" s="9" t="s">
        <v>7619</v>
      </c>
      <c r="C3634" s="9" t="s">
        <v>7622</v>
      </c>
      <c r="D3634" s="9" t="s">
        <v>107</v>
      </c>
      <c r="E3634" s="6" t="s">
        <v>7652</v>
      </c>
      <c r="F3634" s="9"/>
    </row>
    <row r="3635" ht="33.75" customHeight="1">
      <c r="A3635" s="7">
        <v>121.0</v>
      </c>
      <c r="B3635" s="9" t="s">
        <v>7619</v>
      </c>
      <c r="C3635" s="9" t="s">
        <v>7622</v>
      </c>
      <c r="D3635" s="9" t="s">
        <v>109</v>
      </c>
      <c r="E3635" s="6" t="s">
        <v>7653</v>
      </c>
      <c r="F3635" s="9"/>
    </row>
    <row r="3636" ht="33.75" customHeight="1">
      <c r="A3636" s="7">
        <v>121.0</v>
      </c>
      <c r="B3636" s="9" t="s">
        <v>7619</v>
      </c>
      <c r="C3636" s="9" t="s">
        <v>7622</v>
      </c>
      <c r="D3636" s="9" t="s">
        <v>637</v>
      </c>
      <c r="E3636" s="6" t="s">
        <v>7655</v>
      </c>
      <c r="F3636" s="9"/>
    </row>
    <row r="3637" ht="33.75" customHeight="1">
      <c r="A3637" s="7">
        <v>121.0</v>
      </c>
      <c r="B3637" s="9" t="s">
        <v>7619</v>
      </c>
      <c r="C3637" s="9" t="s">
        <v>7622</v>
      </c>
      <c r="D3637" s="9" t="s">
        <v>642</v>
      </c>
      <c r="E3637" s="6" t="s">
        <v>7657</v>
      </c>
      <c r="F3637" s="9"/>
    </row>
    <row r="3638" ht="33.75" customHeight="1">
      <c r="A3638" s="7">
        <v>121.0</v>
      </c>
      <c r="B3638" s="9" t="s">
        <v>7619</v>
      </c>
      <c r="C3638" s="9" t="s">
        <v>7622</v>
      </c>
      <c r="D3638" s="9" t="s">
        <v>647</v>
      </c>
      <c r="E3638" s="6" t="s">
        <v>7659</v>
      </c>
      <c r="F3638" s="9"/>
    </row>
    <row r="3639" ht="33.75" customHeight="1">
      <c r="A3639" s="7">
        <v>121.0</v>
      </c>
      <c r="B3639" s="9" t="s">
        <v>7619</v>
      </c>
      <c r="C3639" s="9" t="s">
        <v>7622</v>
      </c>
      <c r="D3639" s="9" t="s">
        <v>652</v>
      </c>
      <c r="E3639" s="6" t="s">
        <v>7661</v>
      </c>
      <c r="F3639" s="9"/>
    </row>
    <row r="3640" ht="33.75" customHeight="1">
      <c r="A3640" s="7">
        <v>121.0</v>
      </c>
      <c r="B3640" s="9" t="s">
        <v>7619</v>
      </c>
      <c r="C3640" s="9" t="s">
        <v>7622</v>
      </c>
      <c r="D3640" s="9" t="s">
        <v>111</v>
      </c>
      <c r="E3640" s="6" t="s">
        <v>7625</v>
      </c>
      <c r="F3640" s="9"/>
    </row>
    <row r="3641" ht="33.75" customHeight="1">
      <c r="A3641" s="7">
        <v>121.0</v>
      </c>
      <c r="B3641" s="9" t="s">
        <v>7619</v>
      </c>
      <c r="C3641" s="9" t="s">
        <v>7622</v>
      </c>
      <c r="D3641" s="9" t="s">
        <v>113</v>
      </c>
      <c r="E3641" s="6" t="s">
        <v>7625</v>
      </c>
      <c r="F3641" s="9"/>
    </row>
    <row r="3642" ht="33.75" customHeight="1">
      <c r="A3642" s="7">
        <v>121.0</v>
      </c>
      <c r="B3642" s="9" t="s">
        <v>7619</v>
      </c>
      <c r="C3642" s="9" t="s">
        <v>7622</v>
      </c>
      <c r="D3642" s="9" t="s">
        <v>114</v>
      </c>
      <c r="E3642" s="6" t="s">
        <v>7665</v>
      </c>
      <c r="F3642" s="9"/>
    </row>
    <row r="3643" ht="33.75" customHeight="1">
      <c r="A3643" s="7">
        <v>121.0</v>
      </c>
      <c r="B3643" s="9" t="s">
        <v>7619</v>
      </c>
      <c r="C3643" s="9" t="s">
        <v>7622</v>
      </c>
      <c r="D3643" s="9" t="s">
        <v>117</v>
      </c>
      <c r="E3643" s="6" t="s">
        <v>7668</v>
      </c>
      <c r="F3643" s="9"/>
    </row>
    <row r="3644" ht="33.75" customHeight="1">
      <c r="A3644" s="7">
        <v>122.0</v>
      </c>
      <c r="B3644" s="9" t="s">
        <v>7669</v>
      </c>
      <c r="C3644" s="9" t="s">
        <v>7671</v>
      </c>
      <c r="D3644" s="9" t="s">
        <v>24</v>
      </c>
      <c r="E3644" s="6" t="s">
        <v>7672</v>
      </c>
      <c r="F3644" t="inlineStr" s="10">
        <is>
          <t xml:space="preserve">Jos se keskeytetään matkimisen aikana, se läimäyttää loukkaajaa leveillä käsillään. Harjoittelee aina pantomiimiaan. Se saa viholliset uskomaan, että on olemassa jotain, mitä ei oikeasti ole. Se on syntymästään asti taitava miimikko, ja se saa kyvyn luoda näkymättömiä esineitä kypsyessään. Sen sormenpäät lähettävät erikoisen voimakentän, joka kovettaa ilman ja luo todellisen seinän. Se käyttää sormissaan olevaa salaperäistä voimaa jähmettääkseen ilman näkymättömäksi seinäksi. MR. MIME on pantomiimin mestari. Sen eleet ja liikkeet vakuuttavat katsojat siitä, että jokin näkymätön on todella olemassa. Kun siihen uskotaan, se on olemassa kuin se olisi todellinen asia. Se voi vakuuttaa muut siitä, että jokin näkymätön on todella olemassa. Kun kuvitteelliseen objektiin kerran uskotaan, siitä tulee todellinen. Se on taitava huijaamaan ihmisiä. Sen sanotaan pystyvän luomaan muureja tyhjästä matkimalla. Jos se keskeytetään matkimisen aikana, se yhtäkkiä LÄPÄISEE loukkaajaa KAKSINKERTAISESTI leveillä käsillään. Hän on pantomiimin asiantuntija, joka pystyy luomaan näkymättömiä mutta kiinteitä seiniä matkivien eleiden avulla. Sen sormenpäistä lähtevät säteilyt jähmettävät ilman näkymättömiksi muureiksi, jotka torjuvat jopa ankarimmat hyökkäykset. Se muodostaa näkymättömän seinän ilmaan värähtelemällä sormenpäitään tarkasti pysäyttääkseen ilmassa olevat molekyylit. Taitava miimikko syntymästään asti, se saa kyvyn luoda näkymättömiä esineitä kypsyessään. Herra Miimikko on pantomiimin mestari. Kun katsojat ovat vakuuttuneita, näkymätön asia on olemassa ikään kuin se olisi todellinen. Sen pantomiimitaidot ovat upeat. Saatat lumoutua sitä katsellessasi, mutta seuraavaksi herra Miimikko on tehnyt todellisen muurin. Se luo näkymättömiä muureja pantomiimillään. Jos et teeskentele vaikuttunutta, se hyökkää kimppuusi tuplaläimäyksellä! Harjoittelee aina pantomiimiesitystään. Sen käsien leveys ei ehkä ole sattumaa – monet tiedemiehet uskovat, että sen kämmenet suurenivat erityisesti pantomiimia varten. Se tunnetaan huippuluokan pantomiimitaidoistaan. Se suojaa itseään kaikenlaisilta hyökkäyksiltä lähettämällä sormistaan ​​auroja luodakseen seiniä. Tämän pellemäisen Pokémonin käytös muistuttaa pantomiimia. Se luo näkymättömiä seiniä sormenpäistään lähtevän voiman avulla.</t>
        </is>
      </c>
    </row>
    <row r="3645" ht="33.75" customHeight="1">
      <c r="A3645" s="7">
        <v>122.0</v>
      </c>
      <c r="B3645" s="9" t="s">
        <v>7669</v>
      </c>
      <c r="C3645" s="9" t="s">
        <v>7671</v>
      </c>
      <c r="D3645" s="9" t="s">
        <v>35</v>
      </c>
      <c r="E3645" s="6" t="s">
        <v>7672</v>
      </c>
      <c r="F3645" s="9"/>
    </row>
    <row r="3646" ht="33.75" customHeight="1">
      <c r="A3646" s="7">
        <v>122.0</v>
      </c>
      <c r="B3646" s="9" t="s">
        <v>7669</v>
      </c>
      <c r="C3646" s="9" t="s">
        <v>7671</v>
      </c>
      <c r="D3646" s="9" t="s">
        <v>42</v>
      </c>
      <c r="E3646" s="6" t="s">
        <v>7675</v>
      </c>
      <c r="F3646" s="9"/>
    </row>
    <row r="3647" ht="33.75" customHeight="1">
      <c r="A3647" s="7">
        <v>122.0</v>
      </c>
      <c r="B3647" s="9" t="s">
        <v>7669</v>
      </c>
      <c r="C3647" s="9" t="s">
        <v>7671</v>
      </c>
      <c r="D3647" s="9" t="s">
        <v>52</v>
      </c>
      <c r="E3647" s="6" t="s">
        <v>7677</v>
      </c>
      <c r="F3647" s="9"/>
    </row>
    <row r="3648" ht="33.75" customHeight="1">
      <c r="A3648" s="7">
        <v>122.0</v>
      </c>
      <c r="B3648" s="9" t="s">
        <v>7669</v>
      </c>
      <c r="C3648" s="9" t="s">
        <v>7671</v>
      </c>
      <c r="D3648" s="9" t="s">
        <v>59</v>
      </c>
      <c r="E3648" s="6" t="s">
        <v>7679</v>
      </c>
      <c r="F3648" s="9"/>
    </row>
    <row r="3649" ht="33.75" customHeight="1">
      <c r="A3649" s="7">
        <v>122.0</v>
      </c>
      <c r="B3649" s="9" t="s">
        <v>7669</v>
      </c>
      <c r="C3649" s="9" t="s">
        <v>7671</v>
      </c>
      <c r="D3649" s="9" t="s">
        <v>64</v>
      </c>
      <c r="E3649" s="6" t="s">
        <v>7681</v>
      </c>
      <c r="F3649" s="9"/>
    </row>
    <row r="3650" ht="33.75" customHeight="1">
      <c r="A3650" s="7">
        <v>122.0</v>
      </c>
      <c r="B3650" s="9" t="s">
        <v>7669</v>
      </c>
      <c r="C3650" s="9" t="s">
        <v>7671</v>
      </c>
      <c r="D3650" s="9" t="s">
        <v>67</v>
      </c>
      <c r="E3650" s="6" t="s">
        <v>7683</v>
      </c>
      <c r="F3650" s="9"/>
    </row>
    <row r="3651" ht="33.75" customHeight="1">
      <c r="A3651" s="7">
        <v>122.0</v>
      </c>
      <c r="B3651" s="9" t="s">
        <v>7669</v>
      </c>
      <c r="C3651" s="9" t="s">
        <v>7671</v>
      </c>
      <c r="D3651" s="9" t="s">
        <v>71</v>
      </c>
      <c r="E3651" s="6" t="s">
        <v>7683</v>
      </c>
      <c r="F3651" s="9"/>
    </row>
    <row r="3652" ht="33.75" customHeight="1">
      <c r="A3652" s="7">
        <v>122.0</v>
      </c>
      <c r="B3652" s="9" t="s">
        <v>7669</v>
      </c>
      <c r="C3652" s="9" t="s">
        <v>7671</v>
      </c>
      <c r="D3652" s="9" t="s">
        <v>73</v>
      </c>
      <c r="E3652" s="6" t="s">
        <v>7686</v>
      </c>
      <c r="F3652" s="9"/>
    </row>
    <row r="3653" ht="33.75" customHeight="1">
      <c r="A3653" s="7">
        <v>122.0</v>
      </c>
      <c r="B3653" s="9" t="s">
        <v>7669</v>
      </c>
      <c r="C3653" s="9" t="s">
        <v>7671</v>
      </c>
      <c r="D3653" s="9" t="s">
        <v>75</v>
      </c>
      <c r="E3653" s="6" t="s">
        <v>7689</v>
      </c>
      <c r="F3653" s="9"/>
    </row>
    <row r="3654" ht="33.75" customHeight="1">
      <c r="A3654" s="7">
        <v>122.0</v>
      </c>
      <c r="B3654" s="9" t="s">
        <v>7669</v>
      </c>
      <c r="C3654" s="9" t="s">
        <v>7671</v>
      </c>
      <c r="D3654" s="9" t="s">
        <v>79</v>
      </c>
      <c r="E3654" s="6" t="s">
        <v>7690</v>
      </c>
      <c r="F3654" s="9"/>
    </row>
    <row r="3655" ht="33.75" customHeight="1">
      <c r="A3655" s="7">
        <v>122.0</v>
      </c>
      <c r="B3655" s="9" t="s">
        <v>7669</v>
      </c>
      <c r="C3655" s="9" t="s">
        <v>7671</v>
      </c>
      <c r="D3655" s="9" t="s">
        <v>81</v>
      </c>
      <c r="E3655" s="6" t="s">
        <v>7693</v>
      </c>
      <c r="F3655" s="9"/>
    </row>
    <row r="3656" ht="33.75" customHeight="1">
      <c r="A3656" s="7">
        <v>122.0</v>
      </c>
      <c r="B3656" s="9" t="s">
        <v>7669</v>
      </c>
      <c r="C3656" s="9" t="s">
        <v>7671</v>
      </c>
      <c r="D3656" s="9" t="s">
        <v>84</v>
      </c>
      <c r="E3656" s="6" t="s">
        <v>7696</v>
      </c>
      <c r="F3656" s="9"/>
    </row>
    <row r="3657" ht="33.75" customHeight="1">
      <c r="A3657" s="7">
        <v>122.0</v>
      </c>
      <c r="B3657" s="9" t="s">
        <v>7669</v>
      </c>
      <c r="C3657" s="9" t="s">
        <v>7671</v>
      </c>
      <c r="D3657" s="9" t="s">
        <v>87</v>
      </c>
      <c r="E3657" s="6" t="s">
        <v>7699</v>
      </c>
      <c r="F3657" s="9"/>
    </row>
    <row r="3658" ht="33.75" customHeight="1">
      <c r="A3658" s="7">
        <v>122.0</v>
      </c>
      <c r="B3658" s="9" t="s">
        <v>7669</v>
      </c>
      <c r="C3658" s="9" t="s">
        <v>7671</v>
      </c>
      <c r="D3658" s="9" t="s">
        <v>89</v>
      </c>
      <c r="E3658" s="6" t="s">
        <v>7701</v>
      </c>
      <c r="F3658" s="9"/>
    </row>
    <row r="3659" ht="33.75" customHeight="1">
      <c r="A3659" s="7">
        <v>122.0</v>
      </c>
      <c r="B3659" s="9" t="s">
        <v>7669</v>
      </c>
      <c r="C3659" s="9" t="s">
        <v>7671</v>
      </c>
      <c r="D3659" s="9" t="s">
        <v>91</v>
      </c>
      <c r="E3659" s="6" t="s">
        <v>7679</v>
      </c>
      <c r="F3659" s="9"/>
    </row>
    <row r="3660" ht="33.75" customHeight="1">
      <c r="A3660" s="7">
        <v>122.0</v>
      </c>
      <c r="B3660" s="9" t="s">
        <v>7669</v>
      </c>
      <c r="C3660" s="9" t="s">
        <v>7671</v>
      </c>
      <c r="D3660" s="9" t="s">
        <v>93</v>
      </c>
      <c r="E3660" s="6" t="s">
        <v>7699</v>
      </c>
      <c r="F3660" s="9"/>
    </row>
    <row r="3661" ht="33.75" customHeight="1">
      <c r="A3661" s="7">
        <v>122.0</v>
      </c>
      <c r="B3661" s="9" t="s">
        <v>7669</v>
      </c>
      <c r="C3661" s="9" t="s">
        <v>7671</v>
      </c>
      <c r="D3661" s="9" t="s">
        <v>95</v>
      </c>
      <c r="E3661" s="6" t="s">
        <v>7699</v>
      </c>
      <c r="F3661" s="9"/>
    </row>
    <row r="3662" ht="33.75" customHeight="1">
      <c r="A3662" s="7">
        <v>122.0</v>
      </c>
      <c r="B3662" s="9" t="s">
        <v>7669</v>
      </c>
      <c r="C3662" s="9" t="s">
        <v>7671</v>
      </c>
      <c r="D3662" s="9" t="s">
        <v>98</v>
      </c>
      <c r="E3662" s="6" t="s">
        <v>7699</v>
      </c>
      <c r="F3662" s="9"/>
    </row>
    <row r="3663" ht="33.75" customHeight="1">
      <c r="A3663" s="7">
        <v>122.0</v>
      </c>
      <c r="B3663" s="9" t="s">
        <v>7669</v>
      </c>
      <c r="C3663" s="9" t="s">
        <v>7671</v>
      </c>
      <c r="D3663" s="9" t="s">
        <v>99</v>
      </c>
      <c r="E3663" s="6" t="s">
        <v>7699</v>
      </c>
      <c r="F3663" s="9"/>
    </row>
    <row r="3664" ht="33.75" customHeight="1">
      <c r="A3664" s="7">
        <v>122.0</v>
      </c>
      <c r="B3664" s="9" t="s">
        <v>7669</v>
      </c>
      <c r="C3664" s="9" t="s">
        <v>7671</v>
      </c>
      <c r="D3664" s="9" t="s">
        <v>101</v>
      </c>
      <c r="E3664" s="6" t="s">
        <v>7696</v>
      </c>
      <c r="F3664" s="9"/>
    </row>
    <row r="3665" ht="33.75" customHeight="1">
      <c r="A3665" s="7">
        <v>122.0</v>
      </c>
      <c r="B3665" s="9" t="s">
        <v>7669</v>
      </c>
      <c r="C3665" s="9" t="s">
        <v>7671</v>
      </c>
      <c r="D3665" s="9" t="s">
        <v>105</v>
      </c>
      <c r="E3665" s="6" t="s">
        <v>7689</v>
      </c>
      <c r="F3665" s="9"/>
    </row>
    <row r="3666" ht="33.75" customHeight="1">
      <c r="A3666" s="7">
        <v>122.0</v>
      </c>
      <c r="B3666" s="9" t="s">
        <v>7669</v>
      </c>
      <c r="C3666" s="9" t="s">
        <v>7671</v>
      </c>
      <c r="D3666" s="9" t="s">
        <v>107</v>
      </c>
      <c r="E3666" s="6" t="s">
        <v>7710</v>
      </c>
      <c r="F3666" s="9"/>
    </row>
    <row r="3667" ht="33.75" customHeight="1">
      <c r="A3667" s="7">
        <v>122.0</v>
      </c>
      <c r="B3667" s="9" t="s">
        <v>7669</v>
      </c>
      <c r="C3667" s="9" t="s">
        <v>7671</v>
      </c>
      <c r="D3667" s="9" t="s">
        <v>109</v>
      </c>
      <c r="E3667" s="6" t="s">
        <v>7710</v>
      </c>
      <c r="F3667" s="9"/>
    </row>
    <row r="3668" ht="33.75" customHeight="1">
      <c r="A3668" s="7">
        <v>122.0</v>
      </c>
      <c r="B3668" s="9" t="s">
        <v>7669</v>
      </c>
      <c r="C3668" s="9" t="s">
        <v>7671</v>
      </c>
      <c r="D3668" s="9" t="s">
        <v>647</v>
      </c>
      <c r="E3668" s="6" t="s">
        <v>7714</v>
      </c>
      <c r="F3668" s="9"/>
    </row>
    <row r="3669" ht="33.75" customHeight="1">
      <c r="A3669" s="7">
        <v>122.0</v>
      </c>
      <c r="B3669" s="9" t="s">
        <v>7669</v>
      </c>
      <c r="C3669" s="9" t="s">
        <v>7671</v>
      </c>
      <c r="D3669" s="9" t="s">
        <v>652</v>
      </c>
      <c r="E3669" s="6" t="s">
        <v>7716</v>
      </c>
      <c r="F3669" s="9"/>
    </row>
    <row r="3670" ht="33.75" customHeight="1">
      <c r="A3670" s="7">
        <v>122.0</v>
      </c>
      <c r="B3670" s="9" t="s">
        <v>7669</v>
      </c>
      <c r="C3670" s="9" t="s">
        <v>7671</v>
      </c>
      <c r="D3670" s="9" t="s">
        <v>111</v>
      </c>
      <c r="E3670" s="6" t="s">
        <v>7718</v>
      </c>
      <c r="F3670" s="9"/>
    </row>
    <row r="3671" ht="33.75" customHeight="1">
      <c r="A3671" s="7">
        <v>122.0</v>
      </c>
      <c r="B3671" s="9" t="s">
        <v>7669</v>
      </c>
      <c r="C3671" s="9" t="s">
        <v>7671</v>
      </c>
      <c r="D3671" s="9" t="s">
        <v>113</v>
      </c>
      <c r="E3671" s="6" t="s">
        <v>7718</v>
      </c>
      <c r="F3671" s="9"/>
    </row>
    <row r="3672" ht="33.75" customHeight="1">
      <c r="A3672" s="7">
        <v>122.0</v>
      </c>
      <c r="B3672" s="9" t="s">
        <v>7669</v>
      </c>
      <c r="C3672" s="9" t="s">
        <v>7671</v>
      </c>
      <c r="D3672" s="9" t="s">
        <v>114</v>
      </c>
      <c r="E3672" s="6" t="s">
        <v>7722</v>
      </c>
      <c r="F3672" s="9"/>
    </row>
    <row r="3673" ht="33.75" customHeight="1">
      <c r="A3673" s="7">
        <v>122.0</v>
      </c>
      <c r="B3673" s="9" t="s">
        <v>7669</v>
      </c>
      <c r="C3673" s="9" t="s">
        <v>7671</v>
      </c>
      <c r="D3673" s="9" t="s">
        <v>117</v>
      </c>
      <c r="E3673" s="6" t="s">
        <v>7725</v>
      </c>
      <c r="F3673" s="9"/>
    </row>
    <row r="3674" ht="33.75" customHeight="1">
      <c r="A3674" s="7">
        <v>122.0</v>
      </c>
      <c r="B3674" s="9" t="s">
        <v>7669</v>
      </c>
      <c r="C3674" s="9" t="s">
        <v>7671</v>
      </c>
      <c r="D3674" s="9" t="s">
        <v>1577</v>
      </c>
      <c r="E3674" s="6" t="s">
        <v>7727</v>
      </c>
      <c r="F3674" s="9"/>
    </row>
    <row r="3675" ht="33.75" customHeight="1">
      <c r="A3675" s="7">
        <v>123.0</v>
      </c>
      <c r="B3675" s="9" t="s">
        <v>7729</v>
      </c>
      <c r="C3675" s="9" t="s">
        <v>7730</v>
      </c>
      <c r="D3675" s="9" t="s">
        <v>24</v>
      </c>
      <c r="E3675" s="6" t="s">
        <v>7731</v>
      </c>
      <c r="F3675" t="inlineStr" s="10">
        <is>
          <t xml:space="preserve">Ninjamaisella ketteryydellä ja nopeudella se voi luoda illuusion, että niitä on useampi kuin yksi. Hyppää korkeasta ruohosta ja viipaloi saalista viikatteillaan. Liike näyttää ninjan liikkeeltä. Se viiltää ruohoa terävillä viikatteillaan liian nopeasti ihmissilmän seurattavaksi. Liikkuessaan se jättää jälkeensä vain sumennuksen. Jos se piiloutuu ruohikkoon, sen suojaavat värit tekevät siitä näkymättömän. Se on erittäin ylpeä nopeudestaan. Se liikkuu niin nopeasti, ettei vastustaja edes tiedä, mikä sen kaatoi. SCYTHER on sokaisevan nopea. Sen salamannopeus parantaa sen kyynärvarsissa olevien kaksoisviikatteiden tehokkuutta. Tämän POKéMONin viikatteet ovat niin tehokkaita, että ne voivat viiltää paksuja tukin läpi yhdellä voimakkaalla vedolla. Sen sokaisevan nopea nopeus lisää sen kahden kyynärvarsiviikatteen terävyyttä. Viikatteet voivat viiltää paksuja tukin läpi yhdellä voimakkaalla vedolla. Se repii ja silppuaa saalistaan ​​terävillä viikatteillaan. Se levittää siipensä lentoon hyvin harvoin. Ninjamaisella ketteryydellä ja nopeudella se voi luoda illuusion siitä, että sitä itseään on useampi kuin yksi. Sen hyökkäysviikatteita on lähes mahdotonta torjua. Sen liikkeet ovat kuin ninjan. Sen kyynärvarsien terävät viikatteet terävöityvät entisestään leikkaamalla kovia esineitä. Liikkuessaan se jättää jälkeensä vain sumun. Jos se piiloutuu ruohikkoon, sen suojaava väritys tekee siitä näkymättömän. Se hämmentää saalistaan ​​nopeilla, ninjamaisilla liikkeillään. Sitten, hetkessä, se halkaisee sen viikatteillaan. Nuorena ne asuvat yhdessä syvällä vuoristossa ja harjoittelevat taistelemaan viikatteillaan ja liikkumaan suurilla nopeuksilla. Sen kaksi terävää viikatettä ovat enemmän kuin vain aseita. Se käyttää niitä taitavasti saaliinsa pukemiseen ennen syömistä. Jotkut kutsuvat sitä ninjaksi. Sen liikkeet – huomaamattoman nopeat – riittävät halkaisemaan ilman kahtia. Se on erittäin suosittu Alolassa. Hyppää korkeasta ruohosta ja viiltää saalista viikatteillaan. Scytherin käydessä yhä useampia taisteluita, sen viikatteet terävöityvät ja terävöityvät. Yhdellä viikatteella Scyther voi kaataa valtavan puun. Jos törmäät metsäalueeseen, jossa paljon puita on kaadettu, olet löytänyt viikatemiehen reviirin. Sen kyynärvarsien suuret, ilkeän terävät viikatteet ovat todella pelottavia aseita. Preyn pakoyritykset estyvät poikkeuksetta tämän Pokémonin ketterillä liikkeillä.</t>
        </is>
      </c>
    </row>
    <row r="3676" ht="33.75" customHeight="1">
      <c r="A3676" s="7">
        <v>123.0</v>
      </c>
      <c r="B3676" s="9" t="s">
        <v>7729</v>
      </c>
      <c r="C3676" s="9" t="s">
        <v>7730</v>
      </c>
      <c r="D3676" s="9" t="s">
        <v>35</v>
      </c>
      <c r="E3676" s="6" t="s">
        <v>7731</v>
      </c>
      <c r="F3676" s="9"/>
    </row>
    <row r="3677" ht="33.75" customHeight="1">
      <c r="A3677" s="7">
        <v>123.0</v>
      </c>
      <c r="B3677" s="9" t="s">
        <v>7729</v>
      </c>
      <c r="C3677" s="9" t="s">
        <v>7730</v>
      </c>
      <c r="D3677" s="9" t="s">
        <v>42</v>
      </c>
      <c r="E3677" s="6" t="s">
        <v>7735</v>
      </c>
      <c r="F3677" s="9"/>
    </row>
    <row r="3678" ht="33.75" customHeight="1">
      <c r="A3678" s="7">
        <v>123.0</v>
      </c>
      <c r="B3678" s="9" t="s">
        <v>7729</v>
      </c>
      <c r="C3678" s="9" t="s">
        <v>7730</v>
      </c>
      <c r="D3678" s="9" t="s">
        <v>52</v>
      </c>
      <c r="E3678" s="6" t="s">
        <v>7738</v>
      </c>
      <c r="F3678" s="9"/>
    </row>
    <row r="3679" ht="33.75" customHeight="1">
      <c r="A3679" s="7">
        <v>123.0</v>
      </c>
      <c r="B3679" s="9" t="s">
        <v>7729</v>
      </c>
      <c r="C3679" s="9" t="s">
        <v>7730</v>
      </c>
      <c r="D3679" s="9" t="s">
        <v>59</v>
      </c>
      <c r="E3679" s="6" t="s">
        <v>7741</v>
      </c>
      <c r="F3679" s="9"/>
    </row>
    <row r="3680" ht="33.75" customHeight="1">
      <c r="A3680" s="7">
        <v>123.0</v>
      </c>
      <c r="B3680" s="9" t="s">
        <v>7729</v>
      </c>
      <c r="C3680" s="9" t="s">
        <v>7730</v>
      </c>
      <c r="D3680" s="9" t="s">
        <v>64</v>
      </c>
      <c r="E3680" s="6" t="s">
        <v>7743</v>
      </c>
      <c r="F3680" s="9"/>
    </row>
    <row r="3681" ht="33.75" customHeight="1">
      <c r="A3681" s="7">
        <v>123.0</v>
      </c>
      <c r="B3681" s="9" t="s">
        <v>7729</v>
      </c>
      <c r="C3681" s="9" t="s">
        <v>7730</v>
      </c>
      <c r="D3681" s="9" t="s">
        <v>67</v>
      </c>
      <c r="E3681" s="6" t="s">
        <v>7746</v>
      </c>
      <c r="F3681" s="9"/>
    </row>
    <row r="3682" ht="33.75" customHeight="1">
      <c r="A3682" s="7">
        <v>123.0</v>
      </c>
      <c r="B3682" s="9" t="s">
        <v>7729</v>
      </c>
      <c r="C3682" s="9" t="s">
        <v>7730</v>
      </c>
      <c r="D3682" s="9" t="s">
        <v>71</v>
      </c>
      <c r="E3682" s="6" t="s">
        <v>7746</v>
      </c>
      <c r="F3682" s="9"/>
    </row>
    <row r="3683" ht="33.75" customHeight="1">
      <c r="A3683" s="7">
        <v>123.0</v>
      </c>
      <c r="B3683" s="9" t="s">
        <v>7729</v>
      </c>
      <c r="C3683" s="9" t="s">
        <v>7730</v>
      </c>
      <c r="D3683" s="9" t="s">
        <v>73</v>
      </c>
      <c r="E3683" s="6" t="s">
        <v>7749</v>
      </c>
      <c r="F3683" s="9"/>
    </row>
    <row r="3684" ht="33.75" customHeight="1">
      <c r="A3684" s="7">
        <v>123.0</v>
      </c>
      <c r="B3684" s="9" t="s">
        <v>7729</v>
      </c>
      <c r="C3684" s="9" t="s">
        <v>7730</v>
      </c>
      <c r="D3684" s="9" t="s">
        <v>75</v>
      </c>
      <c r="E3684" s="6" t="s">
        <v>7751</v>
      </c>
      <c r="F3684" s="9"/>
    </row>
    <row r="3685" ht="33.75" customHeight="1">
      <c r="A3685" s="7">
        <v>123.0</v>
      </c>
      <c r="B3685" s="9" t="s">
        <v>7729</v>
      </c>
      <c r="C3685" s="9" t="s">
        <v>7730</v>
      </c>
      <c r="D3685" s="9" t="s">
        <v>79</v>
      </c>
      <c r="E3685" s="6" t="s">
        <v>7753</v>
      </c>
      <c r="F3685" s="9"/>
    </row>
    <row r="3686" ht="33.75" customHeight="1">
      <c r="A3686" s="7">
        <v>123.0</v>
      </c>
      <c r="B3686" s="9" t="s">
        <v>7729</v>
      </c>
      <c r="C3686" s="9" t="s">
        <v>7730</v>
      </c>
      <c r="D3686" s="9" t="s">
        <v>81</v>
      </c>
      <c r="E3686" s="6" t="s">
        <v>7756</v>
      </c>
      <c r="F3686" s="9"/>
    </row>
    <row r="3687" ht="33.75" customHeight="1">
      <c r="A3687" s="7">
        <v>123.0</v>
      </c>
      <c r="B3687" s="9" t="s">
        <v>7729</v>
      </c>
      <c r="C3687" s="9" t="s">
        <v>7730</v>
      </c>
      <c r="D3687" s="9" t="s">
        <v>84</v>
      </c>
      <c r="E3687" s="6" t="s">
        <v>7756</v>
      </c>
      <c r="F3687" s="9"/>
    </row>
    <row r="3688" ht="33.75" customHeight="1">
      <c r="A3688" s="7">
        <v>123.0</v>
      </c>
      <c r="B3688" s="9" t="s">
        <v>7729</v>
      </c>
      <c r="C3688" s="9" t="s">
        <v>7730</v>
      </c>
      <c r="D3688" s="9" t="s">
        <v>87</v>
      </c>
      <c r="E3688" s="6" t="s">
        <v>7759</v>
      </c>
      <c r="F3688" s="9"/>
    </row>
    <row r="3689" ht="33.75" customHeight="1">
      <c r="A3689" s="7">
        <v>123.0</v>
      </c>
      <c r="B3689" s="9" t="s">
        <v>7729</v>
      </c>
      <c r="C3689" s="9" t="s">
        <v>7730</v>
      </c>
      <c r="D3689" s="9" t="s">
        <v>89</v>
      </c>
      <c r="E3689" s="6" t="s">
        <v>7738</v>
      </c>
      <c r="F3689" s="9"/>
    </row>
    <row r="3690" ht="33.75" customHeight="1">
      <c r="A3690" s="7">
        <v>123.0</v>
      </c>
      <c r="B3690" s="9" t="s">
        <v>7729</v>
      </c>
      <c r="C3690" s="9" t="s">
        <v>7730</v>
      </c>
      <c r="D3690" s="9" t="s">
        <v>91</v>
      </c>
      <c r="E3690" s="6" t="s">
        <v>7761</v>
      </c>
      <c r="F3690" s="9"/>
    </row>
    <row r="3691" ht="33.75" customHeight="1">
      <c r="A3691" s="7">
        <v>123.0</v>
      </c>
      <c r="B3691" s="9" t="s">
        <v>7729</v>
      </c>
      <c r="C3691" s="9" t="s">
        <v>7730</v>
      </c>
      <c r="D3691" s="9" t="s">
        <v>93</v>
      </c>
      <c r="E3691" s="6" t="s">
        <v>7759</v>
      </c>
      <c r="F3691" s="9"/>
    </row>
    <row r="3692" ht="33.75" customHeight="1">
      <c r="A3692" s="7">
        <v>123.0</v>
      </c>
      <c r="B3692" s="9" t="s">
        <v>7729</v>
      </c>
      <c r="C3692" s="9" t="s">
        <v>7730</v>
      </c>
      <c r="D3692" s="9" t="s">
        <v>95</v>
      </c>
      <c r="E3692" s="6" t="s">
        <v>7759</v>
      </c>
      <c r="F3692" s="9"/>
    </row>
    <row r="3693" ht="33.75" customHeight="1">
      <c r="A3693" s="7">
        <v>123.0</v>
      </c>
      <c r="B3693" s="9" t="s">
        <v>7729</v>
      </c>
      <c r="C3693" s="9" t="s">
        <v>7730</v>
      </c>
      <c r="D3693" s="9" t="s">
        <v>98</v>
      </c>
      <c r="E3693" s="6" t="s">
        <v>7759</v>
      </c>
      <c r="F3693" s="9"/>
    </row>
    <row r="3694" ht="33.75" customHeight="1">
      <c r="A3694" s="7">
        <v>123.0</v>
      </c>
      <c r="B3694" s="9" t="s">
        <v>7729</v>
      </c>
      <c r="C3694" s="9" t="s">
        <v>7730</v>
      </c>
      <c r="D3694" s="9" t="s">
        <v>99</v>
      </c>
      <c r="E3694" s="6" t="s">
        <v>7759</v>
      </c>
      <c r="F3694" s="9"/>
    </row>
    <row r="3695" ht="33.75" customHeight="1">
      <c r="A3695" s="7">
        <v>123.0</v>
      </c>
      <c r="B3695" s="9" t="s">
        <v>7729</v>
      </c>
      <c r="C3695" s="9" t="s">
        <v>7730</v>
      </c>
      <c r="D3695" s="9" t="s">
        <v>101</v>
      </c>
      <c r="E3695" s="6" t="s">
        <v>7751</v>
      </c>
      <c r="F3695" s="9"/>
    </row>
    <row r="3696" ht="33.75" customHeight="1">
      <c r="A3696" s="7">
        <v>123.0</v>
      </c>
      <c r="B3696" s="9" t="s">
        <v>7729</v>
      </c>
      <c r="C3696" s="9" t="s">
        <v>7730</v>
      </c>
      <c r="D3696" s="9" t="s">
        <v>105</v>
      </c>
      <c r="E3696" s="6" t="s">
        <v>7738</v>
      </c>
      <c r="F3696" s="9"/>
    </row>
    <row r="3697" ht="33.75" customHeight="1">
      <c r="A3697" s="7">
        <v>123.0</v>
      </c>
      <c r="B3697" s="9" t="s">
        <v>7729</v>
      </c>
      <c r="C3697" s="9" t="s">
        <v>7730</v>
      </c>
      <c r="D3697" s="9" t="s">
        <v>107</v>
      </c>
      <c r="E3697" s="6" t="s">
        <v>7771</v>
      </c>
      <c r="F3697" s="9"/>
    </row>
    <row r="3698" ht="33.75" customHeight="1">
      <c r="A3698" s="7">
        <v>123.0</v>
      </c>
      <c r="B3698" s="9" t="s">
        <v>7729</v>
      </c>
      <c r="C3698" s="9" t="s">
        <v>7730</v>
      </c>
      <c r="D3698" s="9" t="s">
        <v>109</v>
      </c>
      <c r="E3698" s="6" t="s">
        <v>7771</v>
      </c>
      <c r="F3698" s="9"/>
    </row>
    <row r="3699" ht="33.75" customHeight="1">
      <c r="A3699" s="7">
        <v>123.0</v>
      </c>
      <c r="B3699" s="9" t="s">
        <v>7729</v>
      </c>
      <c r="C3699" s="9" t="s">
        <v>7730</v>
      </c>
      <c r="D3699" s="9" t="s">
        <v>637</v>
      </c>
      <c r="E3699" s="6" t="s">
        <v>7775</v>
      </c>
      <c r="F3699" s="9"/>
    </row>
    <row r="3700" ht="33.75" customHeight="1">
      <c r="A3700" s="7">
        <v>123.0</v>
      </c>
      <c r="B3700" s="9" t="s">
        <v>7729</v>
      </c>
      <c r="C3700" s="9" t="s">
        <v>7730</v>
      </c>
      <c r="D3700" s="9" t="s">
        <v>642</v>
      </c>
      <c r="E3700" s="6" t="s">
        <v>7777</v>
      </c>
      <c r="F3700" s="9"/>
    </row>
    <row r="3701" ht="33.75" customHeight="1">
      <c r="A3701" s="7">
        <v>123.0</v>
      </c>
      <c r="B3701" s="9" t="s">
        <v>7729</v>
      </c>
      <c r="C3701" s="9" t="s">
        <v>7730</v>
      </c>
      <c r="D3701" s="9" t="s">
        <v>647</v>
      </c>
      <c r="E3701" s="6" t="s">
        <v>7779</v>
      </c>
      <c r="F3701" s="9"/>
    </row>
    <row r="3702" ht="33.75" customHeight="1">
      <c r="A3702" s="7">
        <v>123.0</v>
      </c>
      <c r="B3702" s="9" t="s">
        <v>7729</v>
      </c>
      <c r="C3702" s="9" t="s">
        <v>7730</v>
      </c>
      <c r="D3702" s="9" t="s">
        <v>652</v>
      </c>
      <c r="E3702" s="6" t="s">
        <v>7781</v>
      </c>
      <c r="F3702" s="9"/>
    </row>
    <row r="3703" ht="33.75" customHeight="1">
      <c r="A3703" s="7">
        <v>123.0</v>
      </c>
      <c r="B3703" s="9" t="s">
        <v>7729</v>
      </c>
      <c r="C3703" s="9" t="s">
        <v>7730</v>
      </c>
      <c r="D3703" s="9" t="s">
        <v>111</v>
      </c>
      <c r="E3703" s="6" t="s">
        <v>7784</v>
      </c>
      <c r="F3703" s="9"/>
    </row>
    <row r="3704" ht="33.75" customHeight="1">
      <c r="A3704" s="7">
        <v>123.0</v>
      </c>
      <c r="B3704" s="9" t="s">
        <v>7729</v>
      </c>
      <c r="C3704" s="9" t="s">
        <v>7730</v>
      </c>
      <c r="D3704" s="9" t="s">
        <v>113</v>
      </c>
      <c r="E3704" s="6" t="s">
        <v>7784</v>
      </c>
      <c r="F3704" s="9"/>
    </row>
    <row r="3705" ht="33.75" customHeight="1">
      <c r="A3705" s="7">
        <v>123.0</v>
      </c>
      <c r="B3705" s="9" t="s">
        <v>7729</v>
      </c>
      <c r="C3705" s="9" t="s">
        <v>7730</v>
      </c>
      <c r="D3705" s="9" t="s">
        <v>114</v>
      </c>
      <c r="E3705" s="6" t="s">
        <v>7787</v>
      </c>
      <c r="F3705" s="9"/>
    </row>
    <row r="3706" ht="33.75" customHeight="1">
      <c r="A3706" s="7">
        <v>123.0</v>
      </c>
      <c r="B3706" s="9" t="s">
        <v>7729</v>
      </c>
      <c r="C3706" s="9" t="s">
        <v>7730</v>
      </c>
      <c r="D3706" s="9" t="s">
        <v>117</v>
      </c>
      <c r="E3706" s="6" t="s">
        <v>7790</v>
      </c>
      <c r="F3706" s="9"/>
    </row>
    <row r="3707" ht="33.75" customHeight="1">
      <c r="A3707" s="7">
        <v>123.0</v>
      </c>
      <c r="B3707" s="9" t="s">
        <v>7729</v>
      </c>
      <c r="C3707" s="9" t="s">
        <v>7730</v>
      </c>
      <c r="D3707" s="9" t="s">
        <v>1577</v>
      </c>
      <c r="E3707" s="6" t="s">
        <v>7794</v>
      </c>
      <c r="F3707" s="9"/>
    </row>
    <row r="3708" ht="33.75" customHeight="1">
      <c r="A3708" s="7">
        <v>124.0</v>
      </c>
      <c r="B3708" s="9" t="s">
        <v>7797</v>
      </c>
      <c r="C3708" s="9" t="s">
        <v>7798</v>
      </c>
      <c r="D3708" s="9" t="s">
        <v>24</v>
      </c>
      <c r="E3708" s="6" t="s">
        <v>7800</v>
      </c>
      <c r="F3708" t="inlineStr" s="10">
        <is>
          <t xml:space="preserve">Jynx heiluttelee viettelevästi lanteitaan kävellessään. Se voi saada ihmiset tanssimaan yhdessä sen kanssa. Näyttää liikkuvan omassa rytmissään, ikään kuin tanssisi. Se heiluttaa lantiotaan kävellessään. Se keinuttelee kehoaan rytmisesti. Se näyttää muuttavan rytmiä tuntemusten mukaan. Se puhuu samanlaista kieltä kuin ihmiset. Se näyttää kuitenkin kommunikoivan tanssimalla. Siinä on useita erilaisia ​​itkukuvioita, joilla jokaisella näyttää olevan oma merkityksensä. JYNX kävelee rytmikkäästi, keinuen ja ravistellen lantiotaan kuin tanssien. Sen liikkeet ovat niin pomppivan houkuttelevia, että sen näkevät ihmiset tekevät pakkoa ravistella lantiotaan ajattelematta lainkaan, mitä he tekevät. JYNX heiluu rytmisesti kuin tanssien. Sen liikkeet ovat niin pomppivan houkuttelevia, että sen näkevät ihmiset pakottavat heiluttamaan lantiotaan huomaamattaan. Se puhuu kielellä, joka kuulostaa ihmiseltä. Tutkimus on käynnissä sen selvittämiseksi, mitä sanotaan. Sen huudot kuulostavat ihmispuheelta. On kuitenkin mahdotonta sanoa, mitä se yrittää sanoa. Se keinuttaa kehoaan rytmisesti. Se näyttää muuttavan rytmiä tunteidensa mukaan. Se puhuu samanlaista kieltä kuin ihmisten kieli. Se näyttää kuitenkin kommunikoivan tanssin avulla. Se heiluttelee lanteitaan kävellessään. Jynx kävelee rytmikkäästi, keinuen ja ravistellen lanteitaan kuin tanssien. Sen liikkeet ovat niin pomppivan houkuttelevia, että sen näkevät ihmiset tekevät pakkoa ravistella lanteitaan ajattelematta lainkaan, mitä he tekevät. Se heiluttaa lantiotaan aivan omaan rytmiinsä. Alolassa asuvan Jynxin tarkat liikkeet ovat todella upeita. Sen oudot huudot kuulostavat ihmiskieleltä. Jotkut muusikot säveltävät lauluja Jynxin laulettavaksi. Tietyillä Galarin alueilla Jynxiä pelättiin ja palvottiin aikoinaan Jään kuningattarena. Galarin Jynxeillä on usein kauniit ja herkät äänet. Jotkut näistä Pokémoneista ovat jopa keränneet fanikunnan.</t>
        </is>
      </c>
    </row>
    <row r="3709" ht="33.75" customHeight="1">
      <c r="A3709" s="7">
        <v>124.0</v>
      </c>
      <c r="B3709" s="9" t="s">
        <v>7797</v>
      </c>
      <c r="C3709" s="9" t="s">
        <v>7798</v>
      </c>
      <c r="D3709" s="9" t="s">
        <v>35</v>
      </c>
      <c r="E3709" s="6" t="s">
        <v>7800</v>
      </c>
      <c r="F3709" s="9"/>
    </row>
    <row r="3710" ht="33.75" customHeight="1">
      <c r="A3710" s="7">
        <v>124.0</v>
      </c>
      <c r="B3710" s="9" t="s">
        <v>7797</v>
      </c>
      <c r="C3710" s="9" t="s">
        <v>7798</v>
      </c>
      <c r="D3710" s="9" t="s">
        <v>42</v>
      </c>
      <c r="E3710" s="6" t="s">
        <v>7805</v>
      </c>
      <c r="F3710" s="9"/>
    </row>
    <row r="3711" ht="33.75" customHeight="1">
      <c r="A3711" s="7">
        <v>124.0</v>
      </c>
      <c r="B3711" s="9" t="s">
        <v>7797</v>
      </c>
      <c r="C3711" s="9" t="s">
        <v>7798</v>
      </c>
      <c r="D3711" s="9" t="s">
        <v>52</v>
      </c>
      <c r="E3711" s="6" t="s">
        <v>7808</v>
      </c>
      <c r="F3711" s="9"/>
    </row>
    <row r="3712" ht="33.75" customHeight="1">
      <c r="A3712" s="7">
        <v>124.0</v>
      </c>
      <c r="B3712" s="9" t="s">
        <v>7797</v>
      </c>
      <c r="C3712" s="9" t="s">
        <v>7798</v>
      </c>
      <c r="D3712" s="9" t="s">
        <v>59</v>
      </c>
      <c r="E3712" s="6" t="s">
        <v>7811</v>
      </c>
      <c r="F3712" s="9"/>
    </row>
    <row r="3713" ht="33.75" customHeight="1">
      <c r="A3713" s="7">
        <v>124.0</v>
      </c>
      <c r="B3713" s="9" t="s">
        <v>7797</v>
      </c>
      <c r="C3713" s="9" t="s">
        <v>7798</v>
      </c>
      <c r="D3713" s="9" t="s">
        <v>64</v>
      </c>
      <c r="E3713" s="6" t="s">
        <v>7815</v>
      </c>
      <c r="F3713" s="9"/>
    </row>
    <row r="3714" ht="33.75" customHeight="1">
      <c r="A3714" s="7">
        <v>124.0</v>
      </c>
      <c r="B3714" s="9" t="s">
        <v>7797</v>
      </c>
      <c r="C3714" s="9" t="s">
        <v>7798</v>
      </c>
      <c r="D3714" s="9" t="s">
        <v>67</v>
      </c>
      <c r="E3714" s="6" t="s">
        <v>7818</v>
      </c>
      <c r="F3714" s="9"/>
    </row>
    <row r="3715" ht="33.75" customHeight="1">
      <c r="A3715" s="7">
        <v>124.0</v>
      </c>
      <c r="B3715" s="9" t="s">
        <v>7797</v>
      </c>
      <c r="C3715" s="9" t="s">
        <v>7798</v>
      </c>
      <c r="D3715" s="9" t="s">
        <v>71</v>
      </c>
      <c r="E3715" s="6" t="s">
        <v>7818</v>
      </c>
      <c r="F3715" s="9"/>
    </row>
    <row r="3716" ht="33.75" customHeight="1">
      <c r="A3716" s="7">
        <v>124.0</v>
      </c>
      <c r="B3716" s="9" t="s">
        <v>7797</v>
      </c>
      <c r="C3716" s="9" t="s">
        <v>7798</v>
      </c>
      <c r="D3716" s="9" t="s">
        <v>73</v>
      </c>
      <c r="E3716" s="6" t="s">
        <v>7822</v>
      </c>
      <c r="F3716" s="9"/>
    </row>
    <row r="3717" ht="33.75" customHeight="1">
      <c r="A3717" s="7">
        <v>124.0</v>
      </c>
      <c r="B3717" s="9" t="s">
        <v>7797</v>
      </c>
      <c r="C3717" s="9" t="s">
        <v>7798</v>
      </c>
      <c r="D3717" s="9" t="s">
        <v>75</v>
      </c>
      <c r="E3717" s="6" t="s">
        <v>7824</v>
      </c>
      <c r="F3717" s="9"/>
    </row>
    <row r="3718" ht="33.75" customHeight="1">
      <c r="A3718" s="7">
        <v>124.0</v>
      </c>
      <c r="B3718" s="9" t="s">
        <v>7797</v>
      </c>
      <c r="C3718" s="9" t="s">
        <v>7798</v>
      </c>
      <c r="D3718" s="9" t="s">
        <v>79</v>
      </c>
      <c r="E3718" s="6" t="s">
        <v>7800</v>
      </c>
      <c r="F3718" s="9"/>
    </row>
    <row r="3719" ht="33.75" customHeight="1">
      <c r="A3719" s="7">
        <v>124.0</v>
      </c>
      <c r="B3719" s="9" t="s">
        <v>7797</v>
      </c>
      <c r="C3719" s="9" t="s">
        <v>7798</v>
      </c>
      <c r="D3719" s="9" t="s">
        <v>81</v>
      </c>
      <c r="E3719" s="6" t="s">
        <v>7829</v>
      </c>
      <c r="F3719" s="9"/>
    </row>
    <row r="3720" ht="33.75" customHeight="1">
      <c r="A3720" s="7">
        <v>124.0</v>
      </c>
      <c r="B3720" s="9" t="s">
        <v>7797</v>
      </c>
      <c r="C3720" s="9" t="s">
        <v>7798</v>
      </c>
      <c r="D3720" s="9" t="s">
        <v>84</v>
      </c>
      <c r="E3720" s="6" t="s">
        <v>7829</v>
      </c>
      <c r="F3720" s="9"/>
    </row>
    <row r="3721" ht="33.75" customHeight="1">
      <c r="A3721" s="7">
        <v>124.0</v>
      </c>
      <c r="B3721" s="9" t="s">
        <v>7797</v>
      </c>
      <c r="C3721" s="9" t="s">
        <v>7798</v>
      </c>
      <c r="D3721" s="9" t="s">
        <v>87</v>
      </c>
      <c r="E3721" s="6" t="s">
        <v>7829</v>
      </c>
      <c r="F3721" s="9"/>
    </row>
    <row r="3722" ht="33.75" customHeight="1">
      <c r="A3722" s="7">
        <v>124.0</v>
      </c>
      <c r="B3722" s="9" t="s">
        <v>7797</v>
      </c>
      <c r="C3722" s="9" t="s">
        <v>7798</v>
      </c>
      <c r="D3722" s="9" t="s">
        <v>89</v>
      </c>
      <c r="E3722" s="6" t="s">
        <v>7834</v>
      </c>
      <c r="F3722" s="9"/>
    </row>
    <row r="3723" ht="33.75" customHeight="1">
      <c r="A3723" s="7">
        <v>124.0</v>
      </c>
      <c r="B3723" s="9" t="s">
        <v>7797</v>
      </c>
      <c r="C3723" s="9" t="s">
        <v>7798</v>
      </c>
      <c r="D3723" s="9" t="s">
        <v>91</v>
      </c>
      <c r="E3723" s="6" t="s">
        <v>7836</v>
      </c>
      <c r="F3723" s="9"/>
    </row>
    <row r="3724" ht="33.75" customHeight="1">
      <c r="A3724" s="7">
        <v>124.0</v>
      </c>
      <c r="B3724" s="9" t="s">
        <v>7797</v>
      </c>
      <c r="C3724" s="9" t="s">
        <v>7798</v>
      </c>
      <c r="D3724" s="9" t="s">
        <v>93</v>
      </c>
      <c r="E3724" s="6" t="s">
        <v>7829</v>
      </c>
      <c r="F3724" s="9"/>
    </row>
    <row r="3725" ht="33.75" customHeight="1">
      <c r="A3725" s="7">
        <v>124.0</v>
      </c>
      <c r="B3725" s="9" t="s">
        <v>7797</v>
      </c>
      <c r="C3725" s="9" t="s">
        <v>7798</v>
      </c>
      <c r="D3725" s="9" t="s">
        <v>95</v>
      </c>
      <c r="E3725" s="6" t="s">
        <v>7829</v>
      </c>
      <c r="F3725" s="9"/>
    </row>
    <row r="3726" ht="33.75" customHeight="1">
      <c r="A3726" s="7">
        <v>124.0</v>
      </c>
      <c r="B3726" s="9" t="s">
        <v>7797</v>
      </c>
      <c r="C3726" s="9" t="s">
        <v>7798</v>
      </c>
      <c r="D3726" s="9" t="s">
        <v>98</v>
      </c>
      <c r="E3726" s="6" t="s">
        <v>7829</v>
      </c>
      <c r="F3726" s="9"/>
    </row>
    <row r="3727" ht="33.75" customHeight="1">
      <c r="A3727" s="7">
        <v>124.0</v>
      </c>
      <c r="B3727" s="9" t="s">
        <v>7797</v>
      </c>
      <c r="C3727" s="9" t="s">
        <v>7798</v>
      </c>
      <c r="D3727" s="9" t="s">
        <v>99</v>
      </c>
      <c r="E3727" s="6" t="s">
        <v>7829</v>
      </c>
      <c r="F3727" s="9"/>
    </row>
    <row r="3728" ht="33.75" customHeight="1">
      <c r="A3728" s="7">
        <v>124.0</v>
      </c>
      <c r="B3728" s="9" t="s">
        <v>7797</v>
      </c>
      <c r="C3728" s="9" t="s">
        <v>7798</v>
      </c>
      <c r="D3728" s="9" t="s">
        <v>101</v>
      </c>
      <c r="E3728" s="6" t="s">
        <v>7845</v>
      </c>
      <c r="F3728" s="9"/>
    </row>
    <row r="3729" ht="33.75" customHeight="1">
      <c r="A3729" s="7">
        <v>124.0</v>
      </c>
      <c r="B3729" s="9" t="s">
        <v>7797</v>
      </c>
      <c r="C3729" s="9" t="s">
        <v>7798</v>
      </c>
      <c r="D3729" s="9" t="s">
        <v>105</v>
      </c>
      <c r="E3729" s="6" t="s">
        <v>7824</v>
      </c>
      <c r="F3729" s="9"/>
    </row>
    <row r="3730" ht="33.75" customHeight="1">
      <c r="A3730" s="7">
        <v>124.0</v>
      </c>
      <c r="B3730" s="9" t="s">
        <v>7797</v>
      </c>
      <c r="C3730" s="9" t="s">
        <v>7798</v>
      </c>
      <c r="D3730" s="9" t="s">
        <v>107</v>
      </c>
      <c r="E3730" s="6" t="s">
        <v>7849</v>
      </c>
      <c r="F3730" s="9"/>
    </row>
    <row r="3731" ht="33.75" customHeight="1">
      <c r="A3731" s="7">
        <v>124.0</v>
      </c>
      <c r="B3731" s="9" t="s">
        <v>7797</v>
      </c>
      <c r="C3731" s="9" t="s">
        <v>7798</v>
      </c>
      <c r="D3731" s="9" t="s">
        <v>109</v>
      </c>
      <c r="E3731" s="6" t="s">
        <v>7849</v>
      </c>
      <c r="F3731" s="9"/>
    </row>
    <row r="3732" ht="33.75" customHeight="1">
      <c r="A3732" s="7">
        <v>124.0</v>
      </c>
      <c r="B3732" s="9" t="s">
        <v>7797</v>
      </c>
      <c r="C3732" s="9" t="s">
        <v>7798</v>
      </c>
      <c r="D3732" s="9" t="s">
        <v>647</v>
      </c>
      <c r="E3732" s="6" t="s">
        <v>7853</v>
      </c>
      <c r="F3732" s="9"/>
    </row>
    <row r="3733" ht="33.75" customHeight="1">
      <c r="A3733" s="7">
        <v>124.0</v>
      </c>
      <c r="B3733" s="9" t="s">
        <v>7797</v>
      </c>
      <c r="C3733" s="9" t="s">
        <v>7798</v>
      </c>
      <c r="D3733" s="9" t="s">
        <v>652</v>
      </c>
      <c r="E3733" s="6" t="s">
        <v>7856</v>
      </c>
      <c r="F3733" s="9"/>
    </row>
    <row r="3734" ht="33.75" customHeight="1">
      <c r="A3734" s="7">
        <v>124.0</v>
      </c>
      <c r="B3734" s="9" t="s">
        <v>7797</v>
      </c>
      <c r="C3734" s="9" t="s">
        <v>7798</v>
      </c>
      <c r="D3734" s="9" t="s">
        <v>111</v>
      </c>
      <c r="E3734" s="6" t="s">
        <v>7805</v>
      </c>
      <c r="F3734" s="9"/>
    </row>
    <row r="3735" ht="33.75" customHeight="1">
      <c r="A3735" s="7">
        <v>124.0</v>
      </c>
      <c r="B3735" s="9" t="s">
        <v>7797</v>
      </c>
      <c r="C3735" s="9" t="s">
        <v>7798</v>
      </c>
      <c r="D3735" s="9" t="s">
        <v>113</v>
      </c>
      <c r="E3735" s="6" t="s">
        <v>7805</v>
      </c>
      <c r="F3735" s="9"/>
    </row>
    <row r="3736" ht="33.75" customHeight="1">
      <c r="A3736" s="7">
        <v>124.0</v>
      </c>
      <c r="B3736" s="9" t="s">
        <v>7797</v>
      </c>
      <c r="C3736" s="9" t="s">
        <v>7798</v>
      </c>
      <c r="D3736" s="9" t="s">
        <v>114</v>
      </c>
      <c r="E3736" s="6" t="s">
        <v>7861</v>
      </c>
      <c r="F3736" s="9"/>
    </row>
    <row r="3737" ht="33.75" customHeight="1">
      <c r="A3737" s="7">
        <v>124.0</v>
      </c>
      <c r="B3737" s="9" t="s">
        <v>7797</v>
      </c>
      <c r="C3737" s="9" t="s">
        <v>7798</v>
      </c>
      <c r="D3737" s="9" t="s">
        <v>117</v>
      </c>
      <c r="E3737" s="6" t="s">
        <v>7864</v>
      </c>
      <c r="F3737" s="9"/>
    </row>
    <row r="3738" ht="33.75" customHeight="1">
      <c r="A3738" s="7">
        <v>125.0</v>
      </c>
      <c r="B3738" s="9" t="s">
        <v>7865</v>
      </c>
      <c r="C3738" s="9" t="s">
        <v>7866</v>
      </c>
      <c r="D3738" s="9" t="s">
        <v>24</v>
      </c>
      <c r="E3738" s="6" t="s">
        <v>7868</v>
      </c>
      <c r="F3738" t="inlineStr" s="10">
        <is>
          <t xml:space="preserve">Normaalisti voimalaitosten lähellä esiintyviä niitä voi harhailla pois ja aiheuttaa suuria sähkökatkoksia kaupungeissa. Jos tapahtuu iso sähkökatko, on varmaa, että tämä POKéMON on syönyt sähköä voimalaitoksessa. Sähkö kulkee sen kehon pinnalla. Pimeydessä koko sen ruumis hehkuu vaaleansinisenä. Sen keho purkaa jatkuvasti sähköä. Lähelle meneminen saa hiuksesi nousemaan pystyyn. Kun kaksi ELECTABUZZ-kuuloketta koskettavat toisiaan, ne ohjaavat sähkövirtoja ja viestivät tunteitaan. Myrskyn saapuessa tämän POKéMONin jengit kilpailevat keskenään kiivetäkseen korkeuksille, joihin salamat todennäköisesti iskevät. Joissakin kaupungeissa käytetään ELECTABUZZia salamanjohtimien sijasta. Kun myrsky lähestyy, se kilpailee muiden kanssa kiivetäkseen korkeuksille, joilla salama todennäköisesti iskee. Joissakin kaupungeissa käytetään ELECTABUZZ-tekniikkaa salamanjohtimien sijaan. Se rakastaa vahvaa sähköä. Se esiintyy toisinaan suurten voimalaitosten lähellä ja niin edelleen. Puolet kaikista sähkökatkoksista tapahtuu, kun tämä Pokémon ilmestyy voimalaitoksiin ja syö sähköä. Se pyörittää käsivarsiaan hieman tehostaakseen iskujaan. Viholliset ovat usein paenneet sillä välin. Pimeydessä koko sen keho hehkuu vaaleansinisenä. Sen lähelle meneminen saa hiuksesi nousemaan pystyyn. Tutkimus salaman varastoinnista Electabuzziin edistyy, jotta tätä energiaa voidaan käyttää milloin tahansa. Myrskyn saapuessa tämän Pokémonin jengit kilpailevat keskenään kiivetäkseen korkeuksiin, joihin salamat todennäköisesti iskevät. Puolet kaikista äkillisistä sähkökatkoksista johtuu sähkövoimaloihin kerääntyvästä sähkösurinasta, joka kuluttaa sähköä. Siitä vuotaa sähköä paljon suurempia määriä kuin se syö sähköä. Sähkö läpäisee sen kehon. Se heilauttaa käsiään ympäri latautuakseen sähköä ennen kuin päästää irti iskun. Vaikka sitä usein syytetään sähkökatkoksista, totuus on, että katkosten syynä on useimmiten sähköyhtiön tekemä virhe. Jos tapahtuu suuri sähkökatkos, on varmaa, että tämä Pokémon on syönyt sähköä voimalaitoksessa. Monet voimalaitokset pitävät maatyyppisiä Pokémoneja suojana sähköä etsiviä Electabuzzeja vastaan. Myrskyn lähestyessä monet näistä Pokémoneista kerääntyvät korkeiden puiden alle ja odottavat salaman iskemistä. Käyttää sähköenergiaa. Äkillisten sadekuurojen aikana uhkaavien ukkospilvien alla voi nähdä Electabuzzien kiipeilevän korkeiden puiden läpi, missä Pokémonit odottavat salaman iskemistä.</t>
        </is>
      </c>
    </row>
    <row r="3739" ht="33.75" customHeight="1">
      <c r="A3739" s="7">
        <v>125.0</v>
      </c>
      <c r="B3739" s="9" t="s">
        <v>7865</v>
      </c>
      <c r="C3739" s="9" t="s">
        <v>7866</v>
      </c>
      <c r="D3739" s="9" t="s">
        <v>35</v>
      </c>
      <c r="E3739" s="6" t="s">
        <v>7868</v>
      </c>
      <c r="F3739" s="9"/>
    </row>
    <row r="3740" ht="33.75" customHeight="1">
      <c r="A3740" s="7">
        <v>125.0</v>
      </c>
      <c r="B3740" s="9" t="s">
        <v>7865</v>
      </c>
      <c r="C3740" s="9" t="s">
        <v>7866</v>
      </c>
      <c r="D3740" s="9" t="s">
        <v>42</v>
      </c>
      <c r="E3740" s="6" t="s">
        <v>7871</v>
      </c>
      <c r="F3740" s="9"/>
    </row>
    <row r="3741" ht="33.75" customHeight="1">
      <c r="A3741" s="7">
        <v>125.0</v>
      </c>
      <c r="B3741" s="9" t="s">
        <v>7865</v>
      </c>
      <c r="C3741" s="9" t="s">
        <v>7866</v>
      </c>
      <c r="D3741" s="9" t="s">
        <v>52</v>
      </c>
      <c r="E3741" s="6" t="s">
        <v>7874</v>
      </c>
      <c r="F3741" s="9"/>
    </row>
    <row r="3742" ht="33.75" customHeight="1">
      <c r="A3742" s="7">
        <v>125.0</v>
      </c>
      <c r="B3742" s="9" t="s">
        <v>7865</v>
      </c>
      <c r="C3742" s="9" t="s">
        <v>7866</v>
      </c>
      <c r="D3742" s="9" t="s">
        <v>59</v>
      </c>
      <c r="E3742" s="6" t="s">
        <v>7876</v>
      </c>
      <c r="F3742" s="9"/>
    </row>
    <row r="3743" ht="33.75" customHeight="1">
      <c r="A3743" s="7">
        <v>125.0</v>
      </c>
      <c r="B3743" s="9" t="s">
        <v>7865</v>
      </c>
      <c r="C3743" s="9" t="s">
        <v>7866</v>
      </c>
      <c r="D3743" s="9" t="s">
        <v>64</v>
      </c>
      <c r="E3743" s="6" t="s">
        <v>7878</v>
      </c>
      <c r="F3743" s="9"/>
    </row>
    <row r="3744" ht="33.75" customHeight="1">
      <c r="A3744" s="7">
        <v>125.0</v>
      </c>
      <c r="B3744" s="9" t="s">
        <v>7865</v>
      </c>
      <c r="C3744" s="9" t="s">
        <v>7866</v>
      </c>
      <c r="D3744" s="9" t="s">
        <v>67</v>
      </c>
      <c r="E3744" s="6" t="s">
        <v>7881</v>
      </c>
      <c r="F3744" s="9"/>
    </row>
    <row r="3745" ht="33.75" customHeight="1">
      <c r="A3745" s="7">
        <v>125.0</v>
      </c>
      <c r="B3745" s="9" t="s">
        <v>7865</v>
      </c>
      <c r="C3745" s="9" t="s">
        <v>7866</v>
      </c>
      <c r="D3745" s="9" t="s">
        <v>71</v>
      </c>
      <c r="E3745" s="6" t="s">
        <v>7881</v>
      </c>
      <c r="F3745" s="9"/>
    </row>
    <row r="3746" ht="33.75" customHeight="1">
      <c r="A3746" s="7">
        <v>125.0</v>
      </c>
      <c r="B3746" s="9" t="s">
        <v>7865</v>
      </c>
      <c r="C3746" s="9" t="s">
        <v>7866</v>
      </c>
      <c r="D3746" s="9" t="s">
        <v>73</v>
      </c>
      <c r="E3746" s="6" t="s">
        <v>7884</v>
      </c>
      <c r="F3746" s="9"/>
    </row>
    <row r="3747" ht="33.75" customHeight="1">
      <c r="A3747" s="7">
        <v>125.0</v>
      </c>
      <c r="B3747" s="9" t="s">
        <v>7865</v>
      </c>
      <c r="C3747" s="9" t="s">
        <v>7866</v>
      </c>
      <c r="D3747" s="9" t="s">
        <v>75</v>
      </c>
      <c r="E3747" s="6" t="s">
        <v>7886</v>
      </c>
      <c r="F3747" s="9"/>
    </row>
    <row r="3748" ht="33.75" customHeight="1">
      <c r="A3748" s="7">
        <v>125.0</v>
      </c>
      <c r="B3748" s="9" t="s">
        <v>7865</v>
      </c>
      <c r="C3748" s="9" t="s">
        <v>7866</v>
      </c>
      <c r="D3748" s="9" t="s">
        <v>79</v>
      </c>
      <c r="E3748" s="6" t="s">
        <v>7868</v>
      </c>
      <c r="F3748" s="9"/>
    </row>
    <row r="3749" ht="33.75" customHeight="1">
      <c r="A3749" s="7">
        <v>125.0</v>
      </c>
      <c r="B3749" s="9" t="s">
        <v>7865</v>
      </c>
      <c r="C3749" s="9" t="s">
        <v>7866</v>
      </c>
      <c r="D3749" s="9" t="s">
        <v>81</v>
      </c>
      <c r="E3749" s="6" t="s">
        <v>7890</v>
      </c>
      <c r="F3749" s="9"/>
    </row>
    <row r="3750" ht="33.75" customHeight="1">
      <c r="A3750" s="7">
        <v>125.0</v>
      </c>
      <c r="B3750" s="9" t="s">
        <v>7865</v>
      </c>
      <c r="C3750" s="9" t="s">
        <v>7866</v>
      </c>
      <c r="D3750" s="9" t="s">
        <v>84</v>
      </c>
      <c r="E3750" s="6" t="s">
        <v>7890</v>
      </c>
      <c r="F3750" s="9"/>
    </row>
    <row r="3751" ht="33.75" customHeight="1">
      <c r="A3751" s="7">
        <v>125.0</v>
      </c>
      <c r="B3751" s="9" t="s">
        <v>7865</v>
      </c>
      <c r="C3751" s="9" t="s">
        <v>7866</v>
      </c>
      <c r="D3751" s="9" t="s">
        <v>87</v>
      </c>
      <c r="E3751" s="6" t="s">
        <v>7894</v>
      </c>
      <c r="F3751" s="9"/>
    </row>
    <row r="3752" ht="33.75" customHeight="1">
      <c r="A3752" s="7">
        <v>125.0</v>
      </c>
      <c r="B3752" s="9" t="s">
        <v>7865</v>
      </c>
      <c r="C3752" s="9" t="s">
        <v>7866</v>
      </c>
      <c r="D3752" s="9" t="s">
        <v>89</v>
      </c>
      <c r="E3752" s="6" t="s">
        <v>7896</v>
      </c>
      <c r="F3752" s="9"/>
    </row>
    <row r="3753" ht="33.75" customHeight="1">
      <c r="A3753" s="7">
        <v>125.0</v>
      </c>
      <c r="B3753" s="9" t="s">
        <v>7865</v>
      </c>
      <c r="C3753" s="9" t="s">
        <v>7866</v>
      </c>
      <c r="D3753" s="9" t="s">
        <v>91</v>
      </c>
      <c r="E3753" s="6" t="s">
        <v>7898</v>
      </c>
      <c r="F3753" s="9"/>
    </row>
    <row r="3754" ht="33.75" customHeight="1">
      <c r="A3754" s="7">
        <v>125.0</v>
      </c>
      <c r="B3754" s="9" t="s">
        <v>7865</v>
      </c>
      <c r="C3754" s="9" t="s">
        <v>7866</v>
      </c>
      <c r="D3754" s="9" t="s">
        <v>93</v>
      </c>
      <c r="E3754" s="6" t="s">
        <v>7894</v>
      </c>
      <c r="F3754" s="9"/>
    </row>
    <row r="3755" ht="33.75" customHeight="1">
      <c r="A3755" s="7">
        <v>125.0</v>
      </c>
      <c r="B3755" s="9" t="s">
        <v>7865</v>
      </c>
      <c r="C3755" s="9" t="s">
        <v>7866</v>
      </c>
      <c r="D3755" s="9" t="s">
        <v>95</v>
      </c>
      <c r="E3755" s="6" t="s">
        <v>7894</v>
      </c>
      <c r="F3755" s="9"/>
    </row>
    <row r="3756" ht="33.75" customHeight="1">
      <c r="A3756" s="7">
        <v>125.0</v>
      </c>
      <c r="B3756" s="9" t="s">
        <v>7865</v>
      </c>
      <c r="C3756" s="9" t="s">
        <v>7866</v>
      </c>
      <c r="D3756" s="9" t="s">
        <v>98</v>
      </c>
      <c r="E3756" s="6" t="s">
        <v>7902</v>
      </c>
      <c r="F3756" s="9"/>
    </row>
    <row r="3757" ht="33.75" customHeight="1">
      <c r="A3757" s="7">
        <v>125.0</v>
      </c>
      <c r="B3757" s="9" t="s">
        <v>7865</v>
      </c>
      <c r="C3757" s="9" t="s">
        <v>7866</v>
      </c>
      <c r="D3757" s="9" t="s">
        <v>99</v>
      </c>
      <c r="E3757" s="6" t="s">
        <v>7902</v>
      </c>
      <c r="F3757" s="9"/>
    </row>
    <row r="3758" ht="33.75" customHeight="1">
      <c r="A3758" s="7">
        <v>125.0</v>
      </c>
      <c r="B3758" s="9" t="s">
        <v>7865</v>
      </c>
      <c r="C3758" s="9" t="s">
        <v>7866</v>
      </c>
      <c r="D3758" s="9" t="s">
        <v>101</v>
      </c>
      <c r="E3758" s="6" t="s">
        <v>7896</v>
      </c>
      <c r="F3758" s="9"/>
    </row>
    <row r="3759" ht="33.75" customHeight="1">
      <c r="A3759" s="7">
        <v>125.0</v>
      </c>
      <c r="B3759" s="9" t="s">
        <v>7865</v>
      </c>
      <c r="C3759" s="9" t="s">
        <v>7866</v>
      </c>
      <c r="D3759" s="9" t="s">
        <v>105</v>
      </c>
      <c r="E3759" s="6" t="s">
        <v>7886</v>
      </c>
      <c r="F3759" s="9"/>
    </row>
    <row r="3760" ht="33.75" customHeight="1">
      <c r="A3760" s="7">
        <v>125.0</v>
      </c>
      <c r="B3760" s="9" t="s">
        <v>7865</v>
      </c>
      <c r="C3760" s="9" t="s">
        <v>7866</v>
      </c>
      <c r="D3760" s="9" t="s">
        <v>107</v>
      </c>
      <c r="E3760" s="6" t="s">
        <v>7908</v>
      </c>
      <c r="F3760" s="9"/>
    </row>
    <row r="3761" ht="33.75" customHeight="1">
      <c r="A3761" s="7">
        <v>125.0</v>
      </c>
      <c r="B3761" s="9" t="s">
        <v>7865</v>
      </c>
      <c r="C3761" s="9" t="s">
        <v>7866</v>
      </c>
      <c r="D3761" s="9" t="s">
        <v>109</v>
      </c>
      <c r="E3761" s="6" t="s">
        <v>7908</v>
      </c>
      <c r="F3761" s="9"/>
    </row>
    <row r="3762" ht="33.75" customHeight="1">
      <c r="A3762" s="7">
        <v>125.0</v>
      </c>
      <c r="B3762" s="9" t="s">
        <v>7865</v>
      </c>
      <c r="C3762" s="9" t="s">
        <v>7866</v>
      </c>
      <c r="D3762" s="9" t="s">
        <v>637</v>
      </c>
      <c r="E3762" s="6" t="s">
        <v>7911</v>
      </c>
      <c r="F3762" s="9"/>
    </row>
    <row r="3763" ht="33.75" customHeight="1">
      <c r="A3763" s="7">
        <v>125.0</v>
      </c>
      <c r="B3763" s="9" t="s">
        <v>7865</v>
      </c>
      <c r="C3763" s="9" t="s">
        <v>7866</v>
      </c>
      <c r="D3763" s="9" t="s">
        <v>642</v>
      </c>
      <c r="E3763" s="6" t="s">
        <v>7913</v>
      </c>
      <c r="F3763" s="9"/>
    </row>
    <row r="3764" ht="33.75" customHeight="1">
      <c r="A3764" s="7">
        <v>125.0</v>
      </c>
      <c r="B3764" s="9" t="s">
        <v>7865</v>
      </c>
      <c r="C3764" s="9" t="s">
        <v>7866</v>
      </c>
      <c r="D3764" s="9" t="s">
        <v>647</v>
      </c>
      <c r="E3764" s="6" t="s">
        <v>7915</v>
      </c>
      <c r="F3764" s="9"/>
    </row>
    <row r="3765" ht="33.75" customHeight="1">
      <c r="A3765" s="7">
        <v>125.0</v>
      </c>
      <c r="B3765" s="9" t="s">
        <v>7865</v>
      </c>
      <c r="C3765" s="9" t="s">
        <v>7866</v>
      </c>
      <c r="D3765" s="9" t="s">
        <v>652</v>
      </c>
      <c r="E3765" s="6" t="s">
        <v>7918</v>
      </c>
      <c r="F3765" s="9"/>
    </row>
    <row r="3766" ht="33.75" customHeight="1">
      <c r="A3766" s="7">
        <v>125.0</v>
      </c>
      <c r="B3766" s="9" t="s">
        <v>7865</v>
      </c>
      <c r="C3766" s="9" t="s">
        <v>7866</v>
      </c>
      <c r="D3766" s="9" t="s">
        <v>111</v>
      </c>
      <c r="E3766" s="6" t="s">
        <v>7920</v>
      </c>
      <c r="F3766" s="9"/>
    </row>
    <row r="3767" ht="33.75" customHeight="1">
      <c r="A3767" s="7">
        <v>125.0</v>
      </c>
      <c r="B3767" s="9" t="s">
        <v>7865</v>
      </c>
      <c r="C3767" s="9" t="s">
        <v>7866</v>
      </c>
      <c r="D3767" s="9" t="s">
        <v>113</v>
      </c>
      <c r="E3767" s="6" t="s">
        <v>7920</v>
      </c>
      <c r="F3767" s="9"/>
    </row>
    <row r="3768" ht="33.75" customHeight="1">
      <c r="A3768" s="7">
        <v>125.0</v>
      </c>
      <c r="B3768" s="9" t="s">
        <v>7865</v>
      </c>
      <c r="C3768" s="9" t="s">
        <v>7866</v>
      </c>
      <c r="D3768" s="9" t="s">
        <v>114</v>
      </c>
      <c r="E3768" s="6" t="s">
        <v>7924</v>
      </c>
      <c r="F3768" s="9"/>
    </row>
    <row r="3769" ht="33.75" customHeight="1">
      <c r="A3769" s="7">
        <v>125.0</v>
      </c>
      <c r="B3769" s="9" t="s">
        <v>7865</v>
      </c>
      <c r="C3769" s="9" t="s">
        <v>7866</v>
      </c>
      <c r="D3769" s="9" t="s">
        <v>117</v>
      </c>
      <c r="E3769" s="6" t="s">
        <v>7926</v>
      </c>
      <c r="F3769" s="9"/>
    </row>
    <row r="3770" ht="33.75" customHeight="1">
      <c r="A3770" s="7">
        <v>125.0</v>
      </c>
      <c r="B3770" s="9" t="s">
        <v>7865</v>
      </c>
      <c r="C3770" s="9" t="s">
        <v>7866</v>
      </c>
      <c r="D3770" s="9" t="s">
        <v>1577</v>
      </c>
      <c r="E3770" s="6" t="s">
        <v>7928</v>
      </c>
      <c r="F3770" s="9"/>
    </row>
    <row r="3771" ht="33.75" customHeight="1">
      <c r="A3771" s="7">
        <v>126.0</v>
      </c>
      <c r="B3771" s="9" t="s">
        <v>7930</v>
      </c>
      <c r="C3771" s="9" t="s">
        <v>7931</v>
      </c>
      <c r="D3771" s="9" t="s">
        <v>24</v>
      </c>
      <c r="E3771" s="6" t="s">
        <v>7933</v>
      </c>
      <c r="F3771" t="inlineStr" s="10">
        <is>
          <t xml:space="preserve">Magmarin ruumis palaa aina oranssilla hehkulla, minkä ansiosta se voi piiloutua täydellisesti liekkien sekaan. Syntynyt aktiivisessa tulivuoressa. Sen ruumis on aina liekkien peitossa, joten se näyttää suurelta tulipallolta. Se ei pidä kylmistä paikoista, joten se puhaltaa polttavia liekkejä tehdäkseen ympäristöstä itselleen sopivan. Sen ruumiin tulinen pinta säteilee väreilevää, aaltoilevaa loistoa, joka on samanlainen kuin aurinko. Se liikkuu useammin kuumilla alueilla. Se voi parantaa itsensä kastamalla haavansa laavaan. Taistelussa MAGMAR puhaltaa kuumia liekkejä kaikkialle kehoonsa pelotellakseen vastustajaansa. Tämän POKéMONin tulisia purkauksia luo helleaaltoja, jotka sytyttävät ruohon ja puut sen ympäristössä. Taistelussa se puhaltaa voimakkaita liekkejä kaikkialle kehoonsa pelotellakseen vihollistaan. Nämä tulisia purkauksia luovat helleaaltoja, jotka sytyttävät alueen ruohon ja puut. Löytyy tulivuoren suun läheltä. Tämän tulta hengittävän olennon ruumiinlämpö on lähes 2 200 celsiusastetta. Sen ruumis palaa aina oranssilla hehkulla, minkä ansiosta se voi piiloutua täydellisesti liekkien keskelle. Se on syntynyt tulivuoren purkauksessa, ja sen ruumis on peitetty liekeillä, jotka hohtavat kuin aurinko. Kun se hengittää syvään, sen kehon ympärille muodostuu lämpöaaltoja, jotka vaikeuttavat näkemistä selvästi. Magmarin uloshengittämään polttavaan tuleen muodostuu lämpöaaltoja sen ympärille, mikä tekee Pokémonin näkemisestä vaikeaa. Kun se on väsynyt, se hyppää tulivuoren suulle ja kastelee ruumiinsa magmassa helpottaakseen väsymystään. Sen ruumis palaa 2 192 Fahrenheit-asteessa. Vihastuttuaan se purkaa loistavaa tulta kaikkialle kehoonsa. Se ei rauhoitu ennen kuin sen vastustaja on palanut tuhkaksi. Koko sen ruumis palaa. Kun se hengittää, lämpötila nousee. Kun se aivastaa, liekit leimahtavat! Mitä kuumempi paikka, sitä paremmalta ne tuntuvat. Alolan magmareiden sanotaan olevan kestävämpiä kuin muiden alueiden magmarien. Magmar tuhoaa saaliinsa tulella. Mutta se katuu tätä tapaa tajuttuaan polttaneensa aiotun saaliinsa rapeiksi paloiksi. Näiden Pokémonien ruumiit palavat jatkuvasti. Magmaria pelätään yhtenä tulipalojen syttyjistä. Legendan mukaan tämä Pokémon syntyi tulivuoren kraatterissa. Haavoittuessaan se kylpee laavassa parantaakseen kehonsa, aivan kuten kuumassa lähteessä liotettaisiin.</t>
        </is>
      </c>
    </row>
    <row r="3772" ht="33.75" customHeight="1">
      <c r="A3772" s="7">
        <v>126.0</v>
      </c>
      <c r="B3772" s="9" t="s">
        <v>7930</v>
      </c>
      <c r="C3772" s="9" t="s">
        <v>7931</v>
      </c>
      <c r="D3772" s="9" t="s">
        <v>35</v>
      </c>
      <c r="E3772" s="6" t="s">
        <v>7933</v>
      </c>
      <c r="F3772" s="9"/>
    </row>
    <row r="3773" ht="33.75" customHeight="1">
      <c r="A3773" s="7">
        <v>126.0</v>
      </c>
      <c r="B3773" s="9" t="s">
        <v>7930</v>
      </c>
      <c r="C3773" s="9" t="s">
        <v>7931</v>
      </c>
      <c r="D3773" s="9" t="s">
        <v>42</v>
      </c>
      <c r="E3773" s="6" t="s">
        <v>7936</v>
      </c>
      <c r="F3773" s="9"/>
    </row>
    <row r="3774" ht="33.75" customHeight="1">
      <c r="A3774" s="7">
        <v>126.0</v>
      </c>
      <c r="B3774" s="9" t="s">
        <v>7930</v>
      </c>
      <c r="C3774" s="9" t="s">
        <v>7931</v>
      </c>
      <c r="D3774" s="9" t="s">
        <v>52</v>
      </c>
      <c r="E3774" s="6" t="s">
        <v>7939</v>
      </c>
      <c r="F3774" s="9"/>
    </row>
    <row r="3775" ht="33.75" customHeight="1">
      <c r="A3775" s="7">
        <v>126.0</v>
      </c>
      <c r="B3775" s="9" t="s">
        <v>7930</v>
      </c>
      <c r="C3775" s="9" t="s">
        <v>7931</v>
      </c>
      <c r="D3775" s="9" t="s">
        <v>59</v>
      </c>
      <c r="E3775" s="6" t="s">
        <v>7941</v>
      </c>
      <c r="F3775" s="9"/>
    </row>
    <row r="3776" ht="33.75" customHeight="1">
      <c r="A3776" s="7">
        <v>126.0</v>
      </c>
      <c r="B3776" s="9" t="s">
        <v>7930</v>
      </c>
      <c r="C3776" s="9" t="s">
        <v>7931</v>
      </c>
      <c r="D3776" s="9" t="s">
        <v>64</v>
      </c>
      <c r="E3776" s="6" t="s">
        <v>7943</v>
      </c>
      <c r="F3776" s="9"/>
    </row>
    <row r="3777" ht="33.75" customHeight="1">
      <c r="A3777" s="7">
        <v>126.0</v>
      </c>
      <c r="B3777" s="9" t="s">
        <v>7930</v>
      </c>
      <c r="C3777" s="9" t="s">
        <v>7931</v>
      </c>
      <c r="D3777" s="9" t="s">
        <v>67</v>
      </c>
      <c r="E3777" s="6" t="s">
        <v>7945</v>
      </c>
      <c r="F3777" s="9"/>
    </row>
    <row r="3778" ht="33.75" customHeight="1">
      <c r="A3778" s="7">
        <v>126.0</v>
      </c>
      <c r="B3778" s="9" t="s">
        <v>7930</v>
      </c>
      <c r="C3778" s="9" t="s">
        <v>7931</v>
      </c>
      <c r="D3778" s="9" t="s">
        <v>71</v>
      </c>
      <c r="E3778" s="6" t="s">
        <v>7945</v>
      </c>
      <c r="F3778" s="9"/>
    </row>
    <row r="3779" ht="33.75" customHeight="1">
      <c r="A3779" s="7">
        <v>126.0</v>
      </c>
      <c r="B3779" s="9" t="s">
        <v>7930</v>
      </c>
      <c r="C3779" s="9" t="s">
        <v>7931</v>
      </c>
      <c r="D3779" s="9" t="s">
        <v>73</v>
      </c>
      <c r="E3779" s="6" t="s">
        <v>7949</v>
      </c>
      <c r="F3779" s="9"/>
    </row>
    <row r="3780" ht="33.75" customHeight="1">
      <c r="A3780" s="7">
        <v>126.0</v>
      </c>
      <c r="B3780" s="9" t="s">
        <v>7930</v>
      </c>
      <c r="C3780" s="9" t="s">
        <v>7931</v>
      </c>
      <c r="D3780" s="9" t="s">
        <v>75</v>
      </c>
      <c r="E3780" s="6" t="s">
        <v>7951</v>
      </c>
      <c r="F3780" s="9"/>
    </row>
    <row r="3781" ht="33.75" customHeight="1">
      <c r="A3781" s="7">
        <v>126.0</v>
      </c>
      <c r="B3781" s="9" t="s">
        <v>7930</v>
      </c>
      <c r="C3781" s="9" t="s">
        <v>7931</v>
      </c>
      <c r="D3781" s="9" t="s">
        <v>79</v>
      </c>
      <c r="E3781" s="6" t="s">
        <v>7953</v>
      </c>
      <c r="F3781" s="9"/>
    </row>
    <row r="3782" ht="33.75" customHeight="1">
      <c r="A3782" s="7">
        <v>126.0</v>
      </c>
      <c r="B3782" s="9" t="s">
        <v>7930</v>
      </c>
      <c r="C3782" s="9" t="s">
        <v>7931</v>
      </c>
      <c r="D3782" s="9" t="s">
        <v>81</v>
      </c>
      <c r="E3782" s="6" t="s">
        <v>7956</v>
      </c>
      <c r="F3782" s="9"/>
    </row>
    <row r="3783" ht="33.75" customHeight="1">
      <c r="A3783" s="7">
        <v>126.0</v>
      </c>
      <c r="B3783" s="9" t="s">
        <v>7930</v>
      </c>
      <c r="C3783" s="9" t="s">
        <v>7931</v>
      </c>
      <c r="D3783" s="9" t="s">
        <v>84</v>
      </c>
      <c r="E3783" s="6" t="s">
        <v>7956</v>
      </c>
      <c r="F3783" s="9"/>
    </row>
    <row r="3784" ht="33.75" customHeight="1">
      <c r="A3784" s="7">
        <v>126.0</v>
      </c>
      <c r="B3784" s="9" t="s">
        <v>7930</v>
      </c>
      <c r="C3784" s="9" t="s">
        <v>7931</v>
      </c>
      <c r="D3784" s="9" t="s">
        <v>87</v>
      </c>
      <c r="E3784" s="6" t="s">
        <v>7959</v>
      </c>
      <c r="F3784" s="9"/>
    </row>
    <row r="3785" ht="33.75" customHeight="1">
      <c r="A3785" s="7">
        <v>126.0</v>
      </c>
      <c r="B3785" s="9" t="s">
        <v>7930</v>
      </c>
      <c r="C3785" s="9" t="s">
        <v>7931</v>
      </c>
      <c r="D3785" s="9" t="s">
        <v>89</v>
      </c>
      <c r="E3785" s="6" t="s">
        <v>7939</v>
      </c>
      <c r="F3785" s="9"/>
    </row>
    <row r="3786" ht="33.75" customHeight="1">
      <c r="A3786" s="7">
        <v>126.0</v>
      </c>
      <c r="B3786" s="9" t="s">
        <v>7930</v>
      </c>
      <c r="C3786" s="9" t="s">
        <v>7931</v>
      </c>
      <c r="D3786" s="9" t="s">
        <v>91</v>
      </c>
      <c r="E3786" s="6" t="s">
        <v>7941</v>
      </c>
      <c r="F3786" s="9"/>
    </row>
    <row r="3787" ht="33.75" customHeight="1">
      <c r="A3787" s="7">
        <v>126.0</v>
      </c>
      <c r="B3787" s="9" t="s">
        <v>7930</v>
      </c>
      <c r="C3787" s="9" t="s">
        <v>7931</v>
      </c>
      <c r="D3787" s="9" t="s">
        <v>93</v>
      </c>
      <c r="E3787" s="6" t="s">
        <v>7959</v>
      </c>
      <c r="F3787" s="9"/>
    </row>
    <row r="3788" ht="33.75" customHeight="1">
      <c r="A3788" s="7">
        <v>126.0</v>
      </c>
      <c r="B3788" s="9" t="s">
        <v>7930</v>
      </c>
      <c r="C3788" s="9" t="s">
        <v>7931</v>
      </c>
      <c r="D3788" s="9" t="s">
        <v>95</v>
      </c>
      <c r="E3788" s="6" t="s">
        <v>7959</v>
      </c>
      <c r="F3788" s="9"/>
    </row>
    <row r="3789" ht="33.75" customHeight="1">
      <c r="A3789" s="7">
        <v>126.0</v>
      </c>
      <c r="B3789" s="9" t="s">
        <v>7930</v>
      </c>
      <c r="C3789" s="9" t="s">
        <v>7931</v>
      </c>
      <c r="D3789" s="9" t="s">
        <v>98</v>
      </c>
      <c r="E3789" s="6" t="s">
        <v>7966</v>
      </c>
      <c r="F3789" s="9"/>
    </row>
    <row r="3790" ht="33.75" customHeight="1">
      <c r="A3790" s="7">
        <v>126.0</v>
      </c>
      <c r="B3790" s="9" t="s">
        <v>7930</v>
      </c>
      <c r="C3790" s="9" t="s">
        <v>7931</v>
      </c>
      <c r="D3790" s="9" t="s">
        <v>99</v>
      </c>
      <c r="E3790" s="6" t="s">
        <v>7966</v>
      </c>
      <c r="F3790" s="9"/>
    </row>
    <row r="3791" ht="33.75" customHeight="1">
      <c r="A3791" s="7">
        <v>126.0</v>
      </c>
      <c r="B3791" s="9" t="s">
        <v>7930</v>
      </c>
      <c r="C3791" s="9" t="s">
        <v>7931</v>
      </c>
      <c r="D3791" s="9" t="s">
        <v>101</v>
      </c>
      <c r="E3791" s="6" t="s">
        <v>7951</v>
      </c>
      <c r="F3791" s="9"/>
    </row>
    <row r="3792" ht="33.75" customHeight="1">
      <c r="A3792" s="7">
        <v>126.0</v>
      </c>
      <c r="B3792" s="9" t="s">
        <v>7930</v>
      </c>
      <c r="C3792" s="9" t="s">
        <v>7931</v>
      </c>
      <c r="D3792" s="9" t="s">
        <v>105</v>
      </c>
      <c r="E3792" s="6" t="s">
        <v>7956</v>
      </c>
      <c r="F3792" s="9"/>
    </row>
    <row r="3793" ht="33.75" customHeight="1">
      <c r="A3793" s="7">
        <v>126.0</v>
      </c>
      <c r="B3793" s="9" t="s">
        <v>7930</v>
      </c>
      <c r="C3793" s="9" t="s">
        <v>7931</v>
      </c>
      <c r="D3793" s="9" t="s">
        <v>107</v>
      </c>
      <c r="E3793" s="6" t="s">
        <v>7973</v>
      </c>
      <c r="F3793" s="9"/>
    </row>
    <row r="3794" ht="33.75" customHeight="1">
      <c r="A3794" s="7">
        <v>126.0</v>
      </c>
      <c r="B3794" s="9" t="s">
        <v>7930</v>
      </c>
      <c r="C3794" s="9" t="s">
        <v>7931</v>
      </c>
      <c r="D3794" s="9" t="s">
        <v>109</v>
      </c>
      <c r="E3794" s="6" t="s">
        <v>7973</v>
      </c>
      <c r="F3794" s="9"/>
    </row>
    <row r="3795" ht="33.75" customHeight="1">
      <c r="A3795" s="7">
        <v>126.0</v>
      </c>
      <c r="B3795" s="9" t="s">
        <v>7930</v>
      </c>
      <c r="C3795" s="9" t="s">
        <v>7931</v>
      </c>
      <c r="D3795" s="9" t="s">
        <v>637</v>
      </c>
      <c r="E3795" s="6" t="s">
        <v>7976</v>
      </c>
      <c r="F3795" s="9"/>
    </row>
    <row r="3796" ht="33.75" customHeight="1">
      <c r="A3796" s="7">
        <v>126.0</v>
      </c>
      <c r="B3796" s="9" t="s">
        <v>7930</v>
      </c>
      <c r="C3796" s="9" t="s">
        <v>7931</v>
      </c>
      <c r="D3796" s="9" t="s">
        <v>642</v>
      </c>
      <c r="E3796" s="6" t="s">
        <v>7977</v>
      </c>
      <c r="F3796" s="9"/>
    </row>
    <row r="3797" ht="33.75" customHeight="1">
      <c r="A3797" s="7">
        <v>126.0</v>
      </c>
      <c r="B3797" s="9" t="s">
        <v>7930</v>
      </c>
      <c r="C3797" s="9" t="s">
        <v>7931</v>
      </c>
      <c r="D3797" s="9" t="s">
        <v>647</v>
      </c>
      <c r="E3797" s="6" t="s">
        <v>7978</v>
      </c>
      <c r="F3797" s="9"/>
    </row>
    <row r="3798" ht="33.75" customHeight="1">
      <c r="A3798" s="7">
        <v>126.0</v>
      </c>
      <c r="B3798" s="9" t="s">
        <v>7930</v>
      </c>
      <c r="C3798" s="9" t="s">
        <v>7931</v>
      </c>
      <c r="D3798" s="9" t="s">
        <v>652</v>
      </c>
      <c r="E3798" s="6" t="s">
        <v>7980</v>
      </c>
      <c r="F3798" s="9"/>
    </row>
    <row r="3799" ht="33.75" customHeight="1">
      <c r="A3799" s="7">
        <v>126.0</v>
      </c>
      <c r="B3799" s="9" t="s">
        <v>7930</v>
      </c>
      <c r="C3799" s="9" t="s">
        <v>7931</v>
      </c>
      <c r="D3799" s="9" t="s">
        <v>111</v>
      </c>
      <c r="E3799" s="6" t="s">
        <v>7936</v>
      </c>
      <c r="F3799" s="9"/>
    </row>
    <row r="3800" ht="33.75" customHeight="1">
      <c r="A3800" s="7">
        <v>126.0</v>
      </c>
      <c r="B3800" s="9" t="s">
        <v>7930</v>
      </c>
      <c r="C3800" s="9" t="s">
        <v>7931</v>
      </c>
      <c r="D3800" s="9" t="s">
        <v>113</v>
      </c>
      <c r="E3800" s="6" t="s">
        <v>7936</v>
      </c>
      <c r="F3800" s="9"/>
    </row>
    <row r="3801" ht="33.75" customHeight="1">
      <c r="A3801" s="7">
        <v>126.0</v>
      </c>
      <c r="B3801" s="9" t="s">
        <v>7930</v>
      </c>
      <c r="C3801" s="9" t="s">
        <v>7931</v>
      </c>
      <c r="D3801" s="9" t="s">
        <v>114</v>
      </c>
      <c r="E3801" s="6" t="s">
        <v>7985</v>
      </c>
      <c r="F3801" s="9"/>
    </row>
    <row r="3802" ht="33.75" customHeight="1">
      <c r="A3802" s="7">
        <v>126.0</v>
      </c>
      <c r="B3802" s="9" t="s">
        <v>7930</v>
      </c>
      <c r="C3802" s="9" t="s">
        <v>7931</v>
      </c>
      <c r="D3802" s="9" t="s">
        <v>117</v>
      </c>
      <c r="E3802" s="6" t="s">
        <v>7987</v>
      </c>
      <c r="F3802" s="9"/>
    </row>
    <row r="3803" ht="33.75" customHeight="1">
      <c r="A3803" s="7">
        <v>126.0</v>
      </c>
      <c r="B3803" s="9" t="s">
        <v>7930</v>
      </c>
      <c r="C3803" s="9" t="s">
        <v>7931</v>
      </c>
      <c r="D3803" s="9" t="s">
        <v>1577</v>
      </c>
      <c r="E3803" s="6" t="s">
        <v>7990</v>
      </c>
      <c r="F3803" s="9"/>
    </row>
    <row r="3804" ht="33.75" customHeight="1">
      <c r="A3804" s="7">
        <v>127.0</v>
      </c>
      <c r="B3804" s="9" t="s">
        <v>7991</v>
      </c>
      <c r="C3804" s="9" t="s">
        <v>7992</v>
      </c>
      <c r="D3804" s="9" t="s">
        <v>24</v>
      </c>
      <c r="E3804" s="6" t="s">
        <v>7994</v>
      </c>
      <c r="F3804" t="inlineStr" s="10">
        <is>
          <t xml:space="preserve">Jos se ei saa uhria puristettua pihdeillään, se heilauttaa sitä ympäri ja heittää sitä lujaa. Puristaa saalistaan ​​pihdeillään ja lujaa! Se ei voi liikkua kylmässä, joten se elää lämpimissä paikoissa. Sarvillaan se kaivaa koloja nukkuakseen yöllä. Aamulla kostea multa tarttuu sen ruumiiseen. Heiluttaa pitkiä sarviaan villisti hyökätessään. Kylminä kausina se piiloutuu syvälle metsiin. Kun lämpötila laskee yöllä, se nukkuu puiden latvoissa tai juurien välissä, missä se on hyvin piilossa. PINSIR on hämmästyttävän vahva. Se voi tarttua sarviinsa kaksi kertaa sen painoiseen viholliseen ja nostaa sen helposti. Tämän POKéMONin liikkeet hidastuvat kylmissä paikoissa. PINSIRillä on pari massiivisia sarvia. Näiden sarvien pinnasta työntyvät piikit. Piikit iskeytyvät syvälle vihollisen kehoon, kun pihdit sulkeutuvat, mikä tekee vihollisen pakenemisesta vaikeaa. Niiden pihdit ovat riittävän vahvat murskaamaan paksuja puita. Koska ne eivät pidä kylmästä, ne kaivautuvat maan alle ja nukkuvat kylminä öinä. Sen kaksi pitkää pihtisarvea ovat voimakkaat. Kun ne tarttuvat viholliseen, ne eivät päästä irti ennen kuin vihollinen on revitty. Jos se ei onnistu murskaamaan vihollista pihdeissään, se pyörähtää ympäri ja heittää vastustajan ympäri. Se puristaa saalista pihdeillään, kunnes se repäisee sen kahtia. Mitä se ei voi repiä, sen se heittää kauas. Se kaivaa yöksi nukkumaan koloja pinssarvillaan. Se heiluttelee pitkiä pihtisarvejaan villisti hyökätessään. Se tarttuu saaliiseen voimakkailla pihdeillään eikä päästä irti ennen kuin saalis on revitty kahtia. Sarvien pinnasta työntyy esiin piikkejä. Se tarttuu saaliiseensa pihdeillään ja halkaisee ne erilleen. Vaikka se on voimakas Pokémon, se ei kestä kylmää. Yksi napakka isku sen sarvista riittää halkaisemaan suuren puun. Sen suurin kilpailija Alolassa on Vikavolt. Se joutuu aluekiistoihin Vikavoltin kanssa. Jostain syystä se ilmeisesti tulee hyvin toimeen Heracrossin kanssa Alolassa. Vaikka se on sitkeä, se ei kestä kylmää hyvin. Yön laskeutuessa se hautautuu lehtiin ja nukkuu. Nämä Pokémonit arvioivat toisiaan pinssien perusteella. Paksummat ja vaikuttavammat pihdit ovat suositumpia vastakkaisen sukupuolen keskuudessa. Tämä Pokémon puristaa saaliinsa pihdeillään ja joko halkaisee saaliin kahtia tai heittää sen pois.</t>
        </is>
      </c>
    </row>
    <row r="3805" ht="33.75" customHeight="1">
      <c r="A3805" s="7">
        <v>127.0</v>
      </c>
      <c r="B3805" s="9" t="s">
        <v>7991</v>
      </c>
      <c r="C3805" s="9" t="s">
        <v>7992</v>
      </c>
      <c r="D3805" s="9" t="s">
        <v>35</v>
      </c>
      <c r="E3805" s="6" t="s">
        <v>7994</v>
      </c>
      <c r="F3805" s="9"/>
    </row>
    <row r="3806" ht="33.75" customHeight="1">
      <c r="A3806" s="7">
        <v>127.0</v>
      </c>
      <c r="B3806" s="9" t="s">
        <v>7991</v>
      </c>
      <c r="C3806" s="9" t="s">
        <v>7992</v>
      </c>
      <c r="D3806" s="9" t="s">
        <v>42</v>
      </c>
      <c r="E3806" s="6" t="s">
        <v>7997</v>
      </c>
      <c r="F3806" s="9"/>
    </row>
    <row r="3807" ht="33.75" customHeight="1">
      <c r="A3807" s="7">
        <v>127.0</v>
      </c>
      <c r="B3807" s="9" t="s">
        <v>7991</v>
      </c>
      <c r="C3807" s="9" t="s">
        <v>7992</v>
      </c>
      <c r="D3807" s="9" t="s">
        <v>52</v>
      </c>
      <c r="E3807" s="6" t="s">
        <v>8000</v>
      </c>
      <c r="F3807" s="9"/>
    </row>
    <row r="3808" ht="33.75" customHeight="1">
      <c r="A3808" s="7">
        <v>127.0</v>
      </c>
      <c r="B3808" s="9" t="s">
        <v>7991</v>
      </c>
      <c r="C3808" s="9" t="s">
        <v>7992</v>
      </c>
      <c r="D3808" s="9" t="s">
        <v>59</v>
      </c>
      <c r="E3808" s="6" t="s">
        <v>8002</v>
      </c>
      <c r="F3808" s="9"/>
    </row>
    <row r="3809" ht="33.75" customHeight="1">
      <c r="A3809" s="7">
        <v>127.0</v>
      </c>
      <c r="B3809" s="9" t="s">
        <v>7991</v>
      </c>
      <c r="C3809" s="9" t="s">
        <v>7992</v>
      </c>
      <c r="D3809" s="9" t="s">
        <v>64</v>
      </c>
      <c r="E3809" s="6" t="s">
        <v>8003</v>
      </c>
      <c r="F3809" s="9"/>
    </row>
    <row r="3810" ht="33.75" customHeight="1">
      <c r="A3810" s="7">
        <v>127.0</v>
      </c>
      <c r="B3810" s="9" t="s">
        <v>7991</v>
      </c>
      <c r="C3810" s="9" t="s">
        <v>7992</v>
      </c>
      <c r="D3810" s="9" t="s">
        <v>67</v>
      </c>
      <c r="E3810" s="6" t="s">
        <v>8005</v>
      </c>
      <c r="F3810" s="9"/>
    </row>
    <row r="3811" ht="33.75" customHeight="1">
      <c r="A3811" s="7">
        <v>127.0</v>
      </c>
      <c r="B3811" s="9" t="s">
        <v>7991</v>
      </c>
      <c r="C3811" s="9" t="s">
        <v>7992</v>
      </c>
      <c r="D3811" s="9" t="s">
        <v>71</v>
      </c>
      <c r="E3811" s="6" t="s">
        <v>8007</v>
      </c>
      <c r="F3811" s="9"/>
    </row>
    <row r="3812" ht="33.75" customHeight="1">
      <c r="A3812" s="7">
        <v>127.0</v>
      </c>
      <c r="B3812" s="9" t="s">
        <v>7991</v>
      </c>
      <c r="C3812" s="9" t="s">
        <v>7992</v>
      </c>
      <c r="D3812" s="9" t="s">
        <v>73</v>
      </c>
      <c r="E3812" s="6" t="s">
        <v>8010</v>
      </c>
      <c r="F3812" s="9"/>
    </row>
    <row r="3813" ht="33.75" customHeight="1">
      <c r="A3813" s="7">
        <v>127.0</v>
      </c>
      <c r="B3813" s="9" t="s">
        <v>7991</v>
      </c>
      <c r="C3813" s="9" t="s">
        <v>7992</v>
      </c>
      <c r="D3813" s="9" t="s">
        <v>75</v>
      </c>
      <c r="E3813" s="6" t="s">
        <v>8012</v>
      </c>
      <c r="F3813" s="9"/>
    </row>
    <row r="3814" ht="33.75" customHeight="1">
      <c r="A3814" s="7">
        <v>127.0</v>
      </c>
      <c r="B3814" s="9" t="s">
        <v>7991</v>
      </c>
      <c r="C3814" s="9" t="s">
        <v>7992</v>
      </c>
      <c r="D3814" s="9" t="s">
        <v>79</v>
      </c>
      <c r="E3814" s="6" t="s">
        <v>8014</v>
      </c>
      <c r="F3814" s="9"/>
    </row>
    <row r="3815" ht="33.75" customHeight="1">
      <c r="A3815" s="7">
        <v>127.0</v>
      </c>
      <c r="B3815" s="9" t="s">
        <v>7991</v>
      </c>
      <c r="C3815" s="9" t="s">
        <v>7992</v>
      </c>
      <c r="D3815" s="9" t="s">
        <v>81</v>
      </c>
      <c r="E3815" s="6" t="s">
        <v>8015</v>
      </c>
      <c r="F3815" s="9"/>
    </row>
    <row r="3816" ht="33.75" customHeight="1">
      <c r="A3816" s="7">
        <v>127.0</v>
      </c>
      <c r="B3816" s="9" t="s">
        <v>7991</v>
      </c>
      <c r="C3816" s="9" t="s">
        <v>7992</v>
      </c>
      <c r="D3816" s="9" t="s">
        <v>84</v>
      </c>
      <c r="E3816" s="6" t="s">
        <v>8015</v>
      </c>
      <c r="F3816" s="9"/>
    </row>
    <row r="3817" ht="33.75" customHeight="1">
      <c r="A3817" s="7">
        <v>127.0</v>
      </c>
      <c r="B3817" s="9" t="s">
        <v>7991</v>
      </c>
      <c r="C3817" s="9" t="s">
        <v>7992</v>
      </c>
      <c r="D3817" s="9" t="s">
        <v>87</v>
      </c>
      <c r="E3817" s="6" t="s">
        <v>8015</v>
      </c>
      <c r="F3817" s="9"/>
    </row>
    <row r="3818" ht="33.75" customHeight="1">
      <c r="A3818" s="7">
        <v>127.0</v>
      </c>
      <c r="B3818" s="9" t="s">
        <v>7991</v>
      </c>
      <c r="C3818" s="9" t="s">
        <v>7992</v>
      </c>
      <c r="D3818" s="9" t="s">
        <v>89</v>
      </c>
      <c r="E3818" s="6" t="s">
        <v>8019</v>
      </c>
      <c r="F3818" s="9"/>
    </row>
    <row r="3819" ht="33.75" customHeight="1">
      <c r="A3819" s="7">
        <v>127.0</v>
      </c>
      <c r="B3819" s="9" t="s">
        <v>7991</v>
      </c>
      <c r="C3819" s="9" t="s">
        <v>7992</v>
      </c>
      <c r="D3819" s="9" t="s">
        <v>91</v>
      </c>
      <c r="E3819" s="6" t="s">
        <v>8021</v>
      </c>
      <c r="F3819" s="9"/>
    </row>
    <row r="3820" ht="33.75" customHeight="1">
      <c r="A3820" s="7">
        <v>127.0</v>
      </c>
      <c r="B3820" s="9" t="s">
        <v>7991</v>
      </c>
      <c r="C3820" s="9" t="s">
        <v>7992</v>
      </c>
      <c r="D3820" s="9" t="s">
        <v>93</v>
      </c>
      <c r="E3820" s="6" t="s">
        <v>8015</v>
      </c>
      <c r="F3820" s="9"/>
    </row>
    <row r="3821" ht="33.75" customHeight="1">
      <c r="A3821" s="7">
        <v>127.0</v>
      </c>
      <c r="B3821" s="9" t="s">
        <v>7991</v>
      </c>
      <c r="C3821" s="9" t="s">
        <v>7992</v>
      </c>
      <c r="D3821" s="9" t="s">
        <v>95</v>
      </c>
      <c r="E3821" s="6" t="s">
        <v>8015</v>
      </c>
      <c r="F3821" s="9"/>
    </row>
    <row r="3822" ht="33.75" customHeight="1">
      <c r="A3822" s="7">
        <v>127.0</v>
      </c>
      <c r="B3822" s="9" t="s">
        <v>7991</v>
      </c>
      <c r="C3822" s="9" t="s">
        <v>7992</v>
      </c>
      <c r="D3822" s="9" t="s">
        <v>98</v>
      </c>
      <c r="E3822" s="6" t="s">
        <v>8025</v>
      </c>
      <c r="F3822" s="9"/>
    </row>
    <row r="3823" ht="33.75" customHeight="1">
      <c r="A3823" s="7">
        <v>127.0</v>
      </c>
      <c r="B3823" s="9" t="s">
        <v>7991</v>
      </c>
      <c r="C3823" s="9" t="s">
        <v>7992</v>
      </c>
      <c r="D3823" s="9" t="s">
        <v>99</v>
      </c>
      <c r="E3823" s="6" t="s">
        <v>8025</v>
      </c>
      <c r="F3823" s="9"/>
    </row>
    <row r="3824" ht="33.75" customHeight="1">
      <c r="A3824" s="7">
        <v>127.0</v>
      </c>
      <c r="B3824" s="9" t="s">
        <v>7991</v>
      </c>
      <c r="C3824" s="9" t="s">
        <v>7992</v>
      </c>
      <c r="D3824" s="9" t="s">
        <v>101</v>
      </c>
      <c r="E3824" s="6" t="s">
        <v>8015</v>
      </c>
      <c r="F3824" s="9"/>
    </row>
    <row r="3825" ht="33.75" customHeight="1">
      <c r="A3825" s="7">
        <v>127.0</v>
      </c>
      <c r="B3825" s="9" t="s">
        <v>7991</v>
      </c>
      <c r="C3825" s="9" t="s">
        <v>7992</v>
      </c>
      <c r="D3825" s="9" t="s">
        <v>105</v>
      </c>
      <c r="E3825" s="6" t="s">
        <v>8021</v>
      </c>
      <c r="F3825" s="9"/>
    </row>
    <row r="3826" ht="33.75" customHeight="1">
      <c r="A3826" s="7">
        <v>127.0</v>
      </c>
      <c r="B3826" s="9" t="s">
        <v>7991</v>
      </c>
      <c r="C3826" s="9" t="s">
        <v>7992</v>
      </c>
      <c r="D3826" s="9" t="s">
        <v>107</v>
      </c>
      <c r="E3826" s="6" t="s">
        <v>8029</v>
      </c>
      <c r="F3826" s="9"/>
    </row>
    <row r="3827" ht="33.75" customHeight="1">
      <c r="A3827" s="7">
        <v>127.0</v>
      </c>
      <c r="B3827" s="9" t="s">
        <v>7991</v>
      </c>
      <c r="C3827" s="9" t="s">
        <v>7992</v>
      </c>
      <c r="D3827" s="9" t="s">
        <v>109</v>
      </c>
      <c r="E3827" s="6" t="s">
        <v>8031</v>
      </c>
      <c r="F3827" s="9"/>
    </row>
    <row r="3828" ht="33.75" customHeight="1">
      <c r="A3828" s="7">
        <v>127.0</v>
      </c>
      <c r="B3828" s="9" t="s">
        <v>7991</v>
      </c>
      <c r="C3828" s="9" t="s">
        <v>7992</v>
      </c>
      <c r="D3828" s="9" t="s">
        <v>637</v>
      </c>
      <c r="E3828" s="6" t="s">
        <v>8033</v>
      </c>
      <c r="F3828" s="9"/>
    </row>
    <row r="3829" ht="33.75" customHeight="1">
      <c r="A3829" s="7">
        <v>127.0</v>
      </c>
      <c r="B3829" s="9" t="s">
        <v>7991</v>
      </c>
      <c r="C3829" s="9" t="s">
        <v>7992</v>
      </c>
      <c r="D3829" s="9" t="s">
        <v>642</v>
      </c>
      <c r="E3829" s="6" t="s">
        <v>8035</v>
      </c>
      <c r="F3829" s="9"/>
    </row>
    <row r="3830" ht="33.75" customHeight="1">
      <c r="A3830" s="7">
        <v>127.0</v>
      </c>
      <c r="B3830" s="9" t="s">
        <v>7991</v>
      </c>
      <c r="C3830" s="9" t="s">
        <v>7992</v>
      </c>
      <c r="D3830" s="9" t="s">
        <v>647</v>
      </c>
      <c r="E3830" s="6" t="s">
        <v>8037</v>
      </c>
      <c r="F3830" s="9"/>
    </row>
    <row r="3831" ht="33.75" customHeight="1">
      <c r="A3831" s="7">
        <v>127.0</v>
      </c>
      <c r="B3831" s="9" t="s">
        <v>7991</v>
      </c>
      <c r="C3831" s="9" t="s">
        <v>7992</v>
      </c>
      <c r="D3831" s="9" t="s">
        <v>652</v>
      </c>
      <c r="E3831" s="6" t="s">
        <v>8039</v>
      </c>
      <c r="F3831" s="9"/>
    </row>
    <row r="3832" ht="33.75" customHeight="1">
      <c r="A3832" s="7">
        <v>127.0</v>
      </c>
      <c r="B3832" s="9" t="s">
        <v>7991</v>
      </c>
      <c r="C3832" s="9" t="s">
        <v>7992</v>
      </c>
      <c r="D3832" s="9" t="s">
        <v>111</v>
      </c>
      <c r="E3832" s="6" t="s">
        <v>7997</v>
      </c>
      <c r="F3832" s="9"/>
    </row>
    <row r="3833" ht="33.75" customHeight="1">
      <c r="A3833" s="7">
        <v>127.0</v>
      </c>
      <c r="B3833" s="9" t="s">
        <v>7991</v>
      </c>
      <c r="C3833" s="9" t="s">
        <v>7992</v>
      </c>
      <c r="D3833" s="9" t="s">
        <v>113</v>
      </c>
      <c r="E3833" s="6" t="s">
        <v>7997</v>
      </c>
      <c r="F3833" s="9"/>
    </row>
    <row r="3834" ht="33.75" customHeight="1">
      <c r="A3834" s="7">
        <v>127.0</v>
      </c>
      <c r="B3834" s="9" t="s">
        <v>7991</v>
      </c>
      <c r="C3834" s="9" t="s">
        <v>7992</v>
      </c>
      <c r="D3834" s="9" t="s">
        <v>114</v>
      </c>
      <c r="E3834" s="6" t="s">
        <v>8042</v>
      </c>
      <c r="F3834" s="9"/>
    </row>
    <row r="3835" ht="33.75" customHeight="1">
      <c r="A3835" s="7">
        <v>127.0</v>
      </c>
      <c r="B3835" s="9" t="s">
        <v>7991</v>
      </c>
      <c r="C3835" s="9" t="s">
        <v>7992</v>
      </c>
      <c r="D3835" s="9" t="s">
        <v>117</v>
      </c>
      <c r="E3835" s="6" t="s">
        <v>8044</v>
      </c>
      <c r="F3835" s="9"/>
    </row>
    <row r="3836" ht="33.75" customHeight="1">
      <c r="A3836" s="7">
        <v>128.0</v>
      </c>
      <c r="B3836" s="9" t="s">
        <v>8045</v>
      </c>
      <c r="C3836" s="9" t="s">
        <v>8046</v>
      </c>
      <c r="D3836" s="9" t="s">
        <v>24</v>
      </c>
      <c r="E3836" s="6" t="s">
        <v>8047</v>
      </c>
      <c r="F3836" t="inlineStr" s="10">
        <is>
          <t xml:space="preserve">Kun se kohdistaa vihollisen, se rynnistää raivokkaasti ja piiskaa ruumistaan ​​pitkillä hännillään. Räjähtävä ja kestävä POKéMON. Kun se on kerran juossut, se ei pysähdy ennen kuin osuu johonkin. Ne taistelevat toisiaan vastaan ​​lukitsemalla sarvet yhteen. Lauman suojelija on ylpeä sen taistelun arpeuttamista sarvista. Lisättyään taistelutahtoaan piiskaamalla itseään kolmella hännällään se ryntää täydellä vauhdilla. Nämä väkivaltaiset POKéMONit taistelevat laumansa muita jäseniä vastaan ​​​​osoittaakseen voimansa. Tämä POKéMON ei ole tyytyväinen, ellei se riehu koko ajan. Jos TAUROSilla ei ole vastustajaa taisteltavana, se hyökkää tiheiden puiden kimppuun ja kaataa ne rauhoittaakseen itsensä. Se ei ole tyytyväinen, ellei se riehu koko ajan. Kun se on aikeissa HYÖKKÄÄ, se piiskaa ruumistaan ​​toistuvasti kolmella pitkällä hännällään. Kun se tähtää viholliseensa, se hyökkää suin päin. Se on kuuluisa väkivaltaisesta luonteestaan. Kun se on aikeissa tarttua hyökkäykseen, se piiskaa ruumistaan ​​toistuvasti kolmella pitkällä hännällään. Jos Taurosilla ei ole vastustajaa taisteltavana, se hyökkää paksujen puiden kimppuun ja kaataa ne rauhoittaakseen itsensä. Historiallisesti ihmiset ympäri maailmaa ovat ratsastaneet Tauroilla, mutta käytännön sanotaan saaneen alkunsa Alolassa. Vaikka sen tiedetään olevan hurja Pokémon, Alolan alueen Tauroksilla sanotaan olevan jonkin verran rauhallisuutta. Ne elävät ryhmissä. Se, jolla on pisimmät, paksuimmat ja arpeutuneimmat sarvet, on lauman pomo. Ilmasto näyttää liittyvän siihen, miksi Alolan taurot ovat hieman rauhallisempia kuin muiden alueiden taurot. Räikkä ja kestävä Pokémon. Kun Tauros alkaa piiskaa itseään hännällään, se on varoitus siitä, että Pokémon on rynnäkkökiihtymässä hämmästyttävällä nopeudella. Galarin alueen Taurot ovat luonteeltaan epävakaita, eivätkä he anna ihmisten ratsastaa selällään.</t>
        </is>
      </c>
    </row>
    <row r="3837" ht="33.75" customHeight="1">
      <c r="A3837" s="7">
        <v>128.0</v>
      </c>
      <c r="B3837" s="9" t="s">
        <v>8045</v>
      </c>
      <c r="C3837" s="9" t="s">
        <v>8046</v>
      </c>
      <c r="D3837" s="9" t="s">
        <v>35</v>
      </c>
      <c r="E3837" s="6" t="s">
        <v>8047</v>
      </c>
      <c r="F3837" s="9"/>
    </row>
    <row r="3838" ht="33.75" customHeight="1">
      <c r="A3838" s="7">
        <v>128.0</v>
      </c>
      <c r="B3838" s="9" t="s">
        <v>8045</v>
      </c>
      <c r="C3838" s="9" t="s">
        <v>8046</v>
      </c>
      <c r="D3838" s="9" t="s">
        <v>42</v>
      </c>
      <c r="E3838" s="6" t="s">
        <v>8050</v>
      </c>
      <c r="F3838" s="9"/>
    </row>
    <row r="3839" ht="33.75" customHeight="1">
      <c r="A3839" s="7">
        <v>128.0</v>
      </c>
      <c r="B3839" s="9" t="s">
        <v>8045</v>
      </c>
      <c r="C3839" s="9" t="s">
        <v>8046</v>
      </c>
      <c r="D3839" s="9" t="s">
        <v>52</v>
      </c>
      <c r="E3839" s="6" t="s">
        <v>8052</v>
      </c>
      <c r="F3839" s="9"/>
    </row>
    <row r="3840" ht="33.75" customHeight="1">
      <c r="A3840" s="7">
        <v>128.0</v>
      </c>
      <c r="B3840" s="9" t="s">
        <v>8045</v>
      </c>
      <c r="C3840" s="9" t="s">
        <v>8046</v>
      </c>
      <c r="D3840" s="9" t="s">
        <v>59</v>
      </c>
      <c r="E3840" s="6" t="s">
        <v>8054</v>
      </c>
      <c r="F3840" s="9"/>
    </row>
    <row r="3841" ht="33.75" customHeight="1">
      <c r="A3841" s="7">
        <v>128.0</v>
      </c>
      <c r="B3841" s="9" t="s">
        <v>8045</v>
      </c>
      <c r="C3841" s="9" t="s">
        <v>8046</v>
      </c>
      <c r="D3841" s="9" t="s">
        <v>64</v>
      </c>
      <c r="E3841" s="6" t="s">
        <v>8056</v>
      </c>
      <c r="F3841" s="9"/>
    </row>
    <row r="3842" ht="33.75" customHeight="1">
      <c r="A3842" s="7">
        <v>128.0</v>
      </c>
      <c r="B3842" s="9" t="s">
        <v>8045</v>
      </c>
      <c r="C3842" s="9" t="s">
        <v>8046</v>
      </c>
      <c r="D3842" s="9" t="s">
        <v>67</v>
      </c>
      <c r="E3842" s="6" t="s">
        <v>8058</v>
      </c>
      <c r="F3842" s="9"/>
    </row>
    <row r="3843" ht="33.75" customHeight="1">
      <c r="A3843" s="7">
        <v>128.0</v>
      </c>
      <c r="B3843" s="9" t="s">
        <v>8045</v>
      </c>
      <c r="C3843" s="9" t="s">
        <v>8046</v>
      </c>
      <c r="D3843" s="9" t="s">
        <v>71</v>
      </c>
      <c r="E3843" s="6" t="s">
        <v>8058</v>
      </c>
      <c r="F3843" s="9"/>
    </row>
    <row r="3844" ht="33.75" customHeight="1">
      <c r="A3844" s="7">
        <v>128.0</v>
      </c>
      <c r="B3844" s="9" t="s">
        <v>8045</v>
      </c>
      <c r="C3844" s="9" t="s">
        <v>8046</v>
      </c>
      <c r="D3844" s="9" t="s">
        <v>73</v>
      </c>
      <c r="E3844" s="6" t="s">
        <v>8062</v>
      </c>
      <c r="F3844" s="9"/>
    </row>
    <row r="3845" ht="33.75" customHeight="1">
      <c r="A3845" s="7">
        <v>128.0</v>
      </c>
      <c r="B3845" s="9" t="s">
        <v>8045</v>
      </c>
      <c r="C3845" s="9" t="s">
        <v>8046</v>
      </c>
      <c r="D3845" s="9" t="s">
        <v>75</v>
      </c>
      <c r="E3845" s="6" t="s">
        <v>8064</v>
      </c>
      <c r="F3845" s="9"/>
    </row>
    <row r="3846" ht="33.75" customHeight="1">
      <c r="A3846" s="7">
        <v>128.0</v>
      </c>
      <c r="B3846" s="9" t="s">
        <v>8045</v>
      </c>
      <c r="C3846" s="9" t="s">
        <v>8046</v>
      </c>
      <c r="D3846" s="9" t="s">
        <v>79</v>
      </c>
      <c r="E3846" s="6" t="s">
        <v>8047</v>
      </c>
      <c r="F3846" s="9"/>
    </row>
    <row r="3847" ht="33.75" customHeight="1">
      <c r="A3847" s="7">
        <v>128.0</v>
      </c>
      <c r="B3847" s="9" t="s">
        <v>8045</v>
      </c>
      <c r="C3847" s="9" t="s">
        <v>8046</v>
      </c>
      <c r="D3847" s="9" t="s">
        <v>81</v>
      </c>
      <c r="E3847" s="6" t="s">
        <v>8066</v>
      </c>
      <c r="F3847" s="9"/>
    </row>
    <row r="3848" ht="33.75" customHeight="1">
      <c r="A3848" s="7">
        <v>128.0</v>
      </c>
      <c r="B3848" s="9" t="s">
        <v>8045</v>
      </c>
      <c r="C3848" s="9" t="s">
        <v>8046</v>
      </c>
      <c r="D3848" s="9" t="s">
        <v>84</v>
      </c>
      <c r="E3848" s="6" t="s">
        <v>8066</v>
      </c>
      <c r="F3848" s="9"/>
    </row>
    <row r="3849" ht="33.75" customHeight="1">
      <c r="A3849" s="7">
        <v>128.0</v>
      </c>
      <c r="B3849" s="9" t="s">
        <v>8045</v>
      </c>
      <c r="C3849" s="9" t="s">
        <v>8046</v>
      </c>
      <c r="D3849" s="9" t="s">
        <v>87</v>
      </c>
      <c r="E3849" s="6" t="s">
        <v>8066</v>
      </c>
      <c r="F3849" s="9"/>
    </row>
    <row r="3850" ht="33.75" customHeight="1">
      <c r="A3850" s="7">
        <v>128.0</v>
      </c>
      <c r="B3850" s="9" t="s">
        <v>8045</v>
      </c>
      <c r="C3850" s="9" t="s">
        <v>8046</v>
      </c>
      <c r="D3850" s="9" t="s">
        <v>89</v>
      </c>
      <c r="E3850" s="6" t="s">
        <v>8052</v>
      </c>
      <c r="F3850" s="9"/>
    </row>
    <row r="3851" ht="33.75" customHeight="1">
      <c r="A3851" s="7">
        <v>128.0</v>
      </c>
      <c r="B3851" s="9" t="s">
        <v>8045</v>
      </c>
      <c r="C3851" s="9" t="s">
        <v>8046</v>
      </c>
      <c r="D3851" s="9" t="s">
        <v>91</v>
      </c>
      <c r="E3851" s="6" t="s">
        <v>8054</v>
      </c>
      <c r="F3851" s="9"/>
    </row>
    <row r="3852" ht="33.75" customHeight="1">
      <c r="A3852" s="7">
        <v>128.0</v>
      </c>
      <c r="B3852" s="9" t="s">
        <v>8045</v>
      </c>
      <c r="C3852" s="9" t="s">
        <v>8046</v>
      </c>
      <c r="D3852" s="9" t="s">
        <v>93</v>
      </c>
      <c r="E3852" s="6" t="s">
        <v>8066</v>
      </c>
      <c r="F3852" s="9"/>
    </row>
    <row r="3853" ht="33.75" customHeight="1">
      <c r="A3853" s="7">
        <v>128.0</v>
      </c>
      <c r="B3853" s="9" t="s">
        <v>8045</v>
      </c>
      <c r="C3853" s="9" t="s">
        <v>8046</v>
      </c>
      <c r="D3853" s="9" t="s">
        <v>95</v>
      </c>
      <c r="E3853" s="6" t="s">
        <v>8066</v>
      </c>
      <c r="F3853" s="9"/>
    </row>
    <row r="3854" ht="33.75" customHeight="1">
      <c r="A3854" s="7">
        <v>128.0</v>
      </c>
      <c r="B3854" s="9" t="s">
        <v>8045</v>
      </c>
      <c r="C3854" s="9" t="s">
        <v>8046</v>
      </c>
      <c r="D3854" s="9" t="s">
        <v>98</v>
      </c>
      <c r="E3854" s="6" t="s">
        <v>8066</v>
      </c>
      <c r="F3854" s="9"/>
    </row>
    <row r="3855" ht="33.75" customHeight="1">
      <c r="A3855" s="7">
        <v>128.0</v>
      </c>
      <c r="B3855" s="9" t="s">
        <v>8045</v>
      </c>
      <c r="C3855" s="9" t="s">
        <v>8046</v>
      </c>
      <c r="D3855" s="9" t="s">
        <v>99</v>
      </c>
      <c r="E3855" s="6" t="s">
        <v>8066</v>
      </c>
      <c r="F3855" s="9"/>
    </row>
    <row r="3856" ht="33.75" customHeight="1">
      <c r="A3856" s="7">
        <v>128.0</v>
      </c>
      <c r="B3856" s="9" t="s">
        <v>8045</v>
      </c>
      <c r="C3856" s="9" t="s">
        <v>8046</v>
      </c>
      <c r="D3856" s="9" t="s">
        <v>101</v>
      </c>
      <c r="E3856" s="6" t="s">
        <v>8054</v>
      </c>
      <c r="F3856" s="9"/>
    </row>
    <row r="3857" ht="33.75" customHeight="1">
      <c r="A3857" s="7">
        <v>128.0</v>
      </c>
      <c r="B3857" s="9" t="s">
        <v>8045</v>
      </c>
      <c r="C3857" s="9" t="s">
        <v>8046</v>
      </c>
      <c r="D3857" s="9" t="s">
        <v>105</v>
      </c>
      <c r="E3857" s="6" t="s">
        <v>8078</v>
      </c>
      <c r="F3857" s="9"/>
    </row>
    <row r="3858" ht="33.75" customHeight="1">
      <c r="A3858" s="7">
        <v>128.0</v>
      </c>
      <c r="B3858" s="9" t="s">
        <v>8045</v>
      </c>
      <c r="C3858" s="9" t="s">
        <v>8046</v>
      </c>
      <c r="D3858" s="9" t="s">
        <v>107</v>
      </c>
      <c r="E3858" s="6" t="s">
        <v>8082</v>
      </c>
      <c r="F3858" s="9"/>
    </row>
    <row r="3859" ht="33.75" customHeight="1">
      <c r="A3859" s="7">
        <v>128.0</v>
      </c>
      <c r="B3859" s="9" t="s">
        <v>8045</v>
      </c>
      <c r="C3859" s="9" t="s">
        <v>8046</v>
      </c>
      <c r="D3859" s="9" t="s">
        <v>109</v>
      </c>
      <c r="E3859" s="6" t="s">
        <v>8082</v>
      </c>
      <c r="F3859" s="9"/>
    </row>
    <row r="3860" ht="33.75" customHeight="1">
      <c r="A3860" s="7">
        <v>128.0</v>
      </c>
      <c r="B3860" s="9" t="s">
        <v>8045</v>
      </c>
      <c r="C3860" s="9" t="s">
        <v>8046</v>
      </c>
      <c r="D3860" s="9" t="s">
        <v>637</v>
      </c>
      <c r="E3860" s="6" t="s">
        <v>8089</v>
      </c>
      <c r="F3860" s="9"/>
    </row>
    <row r="3861" ht="33.75" customHeight="1">
      <c r="A3861" s="7">
        <v>128.0</v>
      </c>
      <c r="B3861" s="9" t="s">
        <v>8045</v>
      </c>
      <c r="C3861" s="9" t="s">
        <v>8046</v>
      </c>
      <c r="D3861" s="9" t="s">
        <v>642</v>
      </c>
      <c r="E3861" s="6" t="s">
        <v>8092</v>
      </c>
      <c r="F3861" s="9"/>
    </row>
    <row r="3862" ht="33.75" customHeight="1">
      <c r="A3862" s="7">
        <v>128.0</v>
      </c>
      <c r="B3862" s="9" t="s">
        <v>8045</v>
      </c>
      <c r="C3862" s="9" t="s">
        <v>8046</v>
      </c>
      <c r="D3862" s="9" t="s">
        <v>647</v>
      </c>
      <c r="E3862" s="6" t="s">
        <v>8095</v>
      </c>
      <c r="F3862" s="9"/>
    </row>
    <row r="3863" ht="33.75" customHeight="1">
      <c r="A3863" s="7">
        <v>128.0</v>
      </c>
      <c r="B3863" s="9" t="s">
        <v>8045</v>
      </c>
      <c r="C3863" s="9" t="s">
        <v>8046</v>
      </c>
      <c r="D3863" s="9" t="s">
        <v>652</v>
      </c>
      <c r="E3863" s="6" t="s">
        <v>8097</v>
      </c>
      <c r="F3863" s="9"/>
    </row>
    <row r="3864" ht="33.75" customHeight="1">
      <c r="A3864" s="7">
        <v>128.0</v>
      </c>
      <c r="B3864" s="9" t="s">
        <v>8045</v>
      </c>
      <c r="C3864" s="9" t="s">
        <v>8046</v>
      </c>
      <c r="D3864" s="9" t="s">
        <v>111</v>
      </c>
      <c r="E3864" s="6" t="s">
        <v>8099</v>
      </c>
      <c r="F3864" s="9"/>
    </row>
    <row r="3865" ht="33.75" customHeight="1">
      <c r="A3865" s="7">
        <v>128.0</v>
      </c>
      <c r="B3865" s="9" t="s">
        <v>8045</v>
      </c>
      <c r="C3865" s="9" t="s">
        <v>8046</v>
      </c>
      <c r="D3865" s="9" t="s">
        <v>113</v>
      </c>
      <c r="E3865" s="6" t="s">
        <v>8099</v>
      </c>
      <c r="F3865" s="9"/>
    </row>
    <row r="3866" ht="33.75" customHeight="1">
      <c r="A3866" s="7">
        <v>128.0</v>
      </c>
      <c r="B3866" s="9" t="s">
        <v>8045</v>
      </c>
      <c r="C3866" s="9" t="s">
        <v>8046</v>
      </c>
      <c r="D3866" s="9" t="s">
        <v>114</v>
      </c>
      <c r="E3866" s="6" t="s">
        <v>8103</v>
      </c>
      <c r="F3866" s="9"/>
    </row>
    <row r="3867" ht="33.75" customHeight="1">
      <c r="A3867" s="7">
        <v>128.0</v>
      </c>
      <c r="B3867" s="9" t="s">
        <v>8045</v>
      </c>
      <c r="C3867" s="9" t="s">
        <v>8046</v>
      </c>
      <c r="D3867" s="9" t="s">
        <v>117</v>
      </c>
      <c r="E3867" s="6" t="s">
        <v>8105</v>
      </c>
      <c r="F3867" s="9"/>
    </row>
    <row r="3868" ht="33.75" customHeight="1">
      <c r="A3868" s="7">
        <v>129.0</v>
      </c>
      <c r="B3868" s="9" t="s">
        <v>8107</v>
      </c>
      <c r="C3868" s="9" t="s">
        <v>8108</v>
      </c>
      <c r="D3868" s="9" t="s">
        <v>24</v>
      </c>
      <c r="E3868" s="6" t="s">
        <v>8110</v>
      </c>
      <c r="F3868" t="inlineStr" s="10">
        <is>
          <t xml:space="preserve">Kaukaisessa menneisyydessä se oli jonkin verran vahvempi kuin nykyään olemassa olevat hirvittävän heikot jälkeläiset. Kuuluisa erittäin epäluotettavana. Sitä voi löytää uimasta merissä, järvissä, joissa ja matalissa lätäköissä. Heikotehoinen ja säälittävä POKéMON. Se saattaa hypätä korkealle harvoin, mutta ei koskaan yli kaksi metriä. Se hyppii ja loiskii ilman syytä, minkä ansiosta petoeläimet, kuten PIDGEOTTO, voivat helposti napata sen kesken hypyn. Tämä heikko ja säälittävä POKéMON työntyy helposti jokien mukana voimakkaissa virtauksissa. MAGIKARP on säälittävä tekosyy POKéMONille, joka pystyy vain pyörimään ja roiskimaan. Tämä käytös sai tiedemiehet ryhtymään tutkimukseen sen suhteen. MAGIKARP on käytännössä hyödytön taistelussa, koska se voi vain loiskia ympäriinsä. Tämän seurauksena sitä pidetään heikkona. Se on kuitenkin itse asiassa erittäin kestävä POKéMON, joka voi selviytyä missä tahansa vesistössä riippumatta siitä, kuinka saastunut se on. Sen uintilihakset ovat heikot, joten virtaukset huuhtovat sen helposti mukaansa. Paikoissa, joissa vesi on lammikoita, voi nähdä paljon MAGIKARP-jäänteitä virtauksen kerrostamana. Se on käytännössä arvoton sekä tehon että nopeuden suhteen. Se on maailman heikoin ja säälittävin POKéMON. Sen sanotaan olevan maailman heikoin Pokémon. Kukaan ei tiedä, miksi se on onnistunut selviytymään. Se ei pysty uimaan edes hitaasti virtaavia virtauksia vastaan. Se loiskii aina jostain syystä. Monta vuotta elänyt MAGIKARP voi hypätä vuoren Roiskeella. Liike on kuitenkin edelleen hyödytön. Se saattaa hypätä korkealle harvinaisissa tapauksissa, mutta yleensä korkeintaan kaksi metriä. Monia vuosia elänyt Magikarp voi hypätä vuoren Roiskeella. Se on käytännössä arvoton sekä voiman että nopeuden suhteen. Magikarp on säälittävä tekosyy Pokémonille, joka pystyy vain pyörittelemään ja roiskimaan. Vaikka tämä Pokémon on heikko ja avuton, se on uskomattoman hedelmällinen. Niitä on niin paljon, että kyllästyt pian näkemään niitä. Sen holtittomat loikat tekevät siitä helpon saalistajien saaliiksi. Onneksi monet Pokémonit elävät pidempään Magikarpin ansiosta. Kaukaisessa menneisyydessä ne olivat melko vahvoja, mutta ajan myötä ne ovat vähitellen heikkeneneet. Koska ne pitävät otteessaan elämään, likainen vesi ei häiritse niitä lainkaan. Ne elävät vesissä kaikkialla maailmassa! Heikko, säälittävä ja idioottimainen Pokémon, joka on kuitenkin erittäin kestävä. Samea vesi ei häiritse sitä, ja sitä voi tavata monenlaisissa paikoissa.</t>
        </is>
      </c>
    </row>
    <row r="3869" ht="33.75" customHeight="1">
      <c r="A3869" s="7">
        <v>129.0</v>
      </c>
      <c r="B3869" s="9" t="s">
        <v>8107</v>
      </c>
      <c r="C3869" s="9" t="s">
        <v>8108</v>
      </c>
      <c r="D3869" s="9" t="s">
        <v>35</v>
      </c>
      <c r="E3869" s="6" t="s">
        <v>8110</v>
      </c>
      <c r="F3869" s="9"/>
    </row>
    <row r="3870" ht="33.75" customHeight="1">
      <c r="A3870" s="7">
        <v>129.0</v>
      </c>
      <c r="B3870" s="9" t="s">
        <v>8107</v>
      </c>
      <c r="C3870" s="9" t="s">
        <v>8108</v>
      </c>
      <c r="D3870" s="9" t="s">
        <v>42</v>
      </c>
      <c r="E3870" s="6" t="s">
        <v>8114</v>
      </c>
      <c r="F3870" s="9"/>
    </row>
    <row r="3871" ht="33.75" customHeight="1">
      <c r="A3871" s="7">
        <v>129.0</v>
      </c>
      <c r="B3871" s="9" t="s">
        <v>8107</v>
      </c>
      <c r="C3871" s="9" t="s">
        <v>8108</v>
      </c>
      <c r="D3871" s="9" t="s">
        <v>52</v>
      </c>
      <c r="E3871" s="6" t="s">
        <v>8116</v>
      </c>
      <c r="F3871" s="9"/>
    </row>
    <row r="3872" ht="33.75" customHeight="1">
      <c r="A3872" s="7">
        <v>129.0</v>
      </c>
      <c r="B3872" s="9" t="s">
        <v>8107</v>
      </c>
      <c r="C3872" s="9" t="s">
        <v>8108</v>
      </c>
      <c r="D3872" s="9" t="s">
        <v>59</v>
      </c>
      <c r="E3872" s="6" t="s">
        <v>8118</v>
      </c>
      <c r="F3872" s="9"/>
    </row>
    <row r="3873" ht="33.75" customHeight="1">
      <c r="A3873" s="7">
        <v>129.0</v>
      </c>
      <c r="B3873" s="9" t="s">
        <v>8107</v>
      </c>
      <c r="C3873" s="9" t="s">
        <v>8108</v>
      </c>
      <c r="D3873" s="9" t="s">
        <v>64</v>
      </c>
      <c r="E3873" s="6" t="s">
        <v>8120</v>
      </c>
      <c r="F3873" s="9"/>
    </row>
    <row r="3874" ht="33.75" customHeight="1">
      <c r="A3874" s="7">
        <v>129.0</v>
      </c>
      <c r="B3874" s="9" t="s">
        <v>8107</v>
      </c>
      <c r="C3874" s="9" t="s">
        <v>8108</v>
      </c>
      <c r="D3874" s="9" t="s">
        <v>67</v>
      </c>
      <c r="E3874" s="6" t="s">
        <v>8122</v>
      </c>
      <c r="F3874" s="9"/>
    </row>
    <row r="3875" ht="33.75" customHeight="1">
      <c r="A3875" s="7">
        <v>129.0</v>
      </c>
      <c r="B3875" s="9" t="s">
        <v>8107</v>
      </c>
      <c r="C3875" s="9" t="s">
        <v>8108</v>
      </c>
      <c r="D3875" s="9" t="s">
        <v>71</v>
      </c>
      <c r="E3875" s="6" t="s">
        <v>8124</v>
      </c>
      <c r="F3875" s="9"/>
    </row>
    <row r="3876" ht="33.75" customHeight="1">
      <c r="A3876" s="7">
        <v>129.0</v>
      </c>
      <c r="B3876" s="9" t="s">
        <v>8107</v>
      </c>
      <c r="C3876" s="9" t="s">
        <v>8108</v>
      </c>
      <c r="D3876" s="9" t="s">
        <v>73</v>
      </c>
      <c r="E3876" s="6" t="s">
        <v>8126</v>
      </c>
      <c r="F3876" s="9"/>
    </row>
    <row r="3877" ht="33.75" customHeight="1">
      <c r="A3877" s="7">
        <v>129.0</v>
      </c>
      <c r="B3877" s="9" t="s">
        <v>8107</v>
      </c>
      <c r="C3877" s="9" t="s">
        <v>8108</v>
      </c>
      <c r="D3877" s="9" t="s">
        <v>75</v>
      </c>
      <c r="E3877" s="6" t="s">
        <v>8128</v>
      </c>
      <c r="F3877" s="9"/>
    </row>
    <row r="3878" ht="33.75" customHeight="1">
      <c r="A3878" s="7">
        <v>129.0</v>
      </c>
      <c r="B3878" s="9" t="s">
        <v>8107</v>
      </c>
      <c r="C3878" s="9" t="s">
        <v>8108</v>
      </c>
      <c r="D3878" s="9" t="s">
        <v>79</v>
      </c>
      <c r="E3878" s="6" t="s">
        <v>8110</v>
      </c>
      <c r="F3878" s="9"/>
    </row>
    <row r="3879" ht="33.75" customHeight="1">
      <c r="A3879" s="7">
        <v>129.0</v>
      </c>
      <c r="B3879" s="9" t="s">
        <v>8107</v>
      </c>
      <c r="C3879" s="9" t="s">
        <v>8108</v>
      </c>
      <c r="D3879" s="9" t="s">
        <v>81</v>
      </c>
      <c r="E3879" s="6" t="s">
        <v>8130</v>
      </c>
      <c r="F3879" s="9"/>
    </row>
    <row r="3880" ht="33.75" customHeight="1">
      <c r="A3880" s="7">
        <v>129.0</v>
      </c>
      <c r="B3880" s="9" t="s">
        <v>8107</v>
      </c>
      <c r="C3880" s="9" t="s">
        <v>8108</v>
      </c>
      <c r="D3880" s="9" t="s">
        <v>84</v>
      </c>
      <c r="E3880" s="6" t="s">
        <v>8132</v>
      </c>
      <c r="F3880" s="9"/>
    </row>
    <row r="3881" ht="33.75" customHeight="1">
      <c r="A3881" s="7">
        <v>129.0</v>
      </c>
      <c r="B3881" s="9" t="s">
        <v>8107</v>
      </c>
      <c r="C3881" s="9" t="s">
        <v>8108</v>
      </c>
      <c r="D3881" s="9" t="s">
        <v>87</v>
      </c>
      <c r="E3881" s="6" t="s">
        <v>8133</v>
      </c>
      <c r="F3881" s="9"/>
    </row>
    <row r="3882" ht="33.75" customHeight="1">
      <c r="A3882" s="7">
        <v>129.0</v>
      </c>
      <c r="B3882" s="9" t="s">
        <v>8107</v>
      </c>
      <c r="C3882" s="9" t="s">
        <v>8108</v>
      </c>
      <c r="D3882" s="9" t="s">
        <v>89</v>
      </c>
      <c r="E3882" s="6" t="s">
        <v>8135</v>
      </c>
      <c r="F3882" s="9"/>
    </row>
    <row r="3883" ht="33.75" customHeight="1">
      <c r="A3883" s="7">
        <v>129.0</v>
      </c>
      <c r="B3883" s="9" t="s">
        <v>8107</v>
      </c>
      <c r="C3883" s="9" t="s">
        <v>8108</v>
      </c>
      <c r="D3883" s="9" t="s">
        <v>91</v>
      </c>
      <c r="E3883" s="6" t="s">
        <v>8118</v>
      </c>
      <c r="F3883" s="9"/>
    </row>
    <row r="3884" ht="33.75" customHeight="1">
      <c r="A3884" s="7">
        <v>129.0</v>
      </c>
      <c r="B3884" s="9" t="s">
        <v>8107</v>
      </c>
      <c r="C3884" s="9" t="s">
        <v>8108</v>
      </c>
      <c r="D3884" s="9" t="s">
        <v>93</v>
      </c>
      <c r="E3884" s="6" t="s">
        <v>8138</v>
      </c>
      <c r="F3884" s="9"/>
    </row>
    <row r="3885" ht="33.75" customHeight="1">
      <c r="A3885" s="7">
        <v>129.0</v>
      </c>
      <c r="B3885" s="9" t="s">
        <v>8107</v>
      </c>
      <c r="C3885" s="9" t="s">
        <v>8108</v>
      </c>
      <c r="D3885" s="9" t="s">
        <v>95</v>
      </c>
      <c r="E3885" s="6" t="s">
        <v>8138</v>
      </c>
      <c r="F3885" s="9"/>
    </row>
    <row r="3886" ht="33.75" customHeight="1">
      <c r="A3886" s="7">
        <v>129.0</v>
      </c>
      <c r="B3886" s="9" t="s">
        <v>8107</v>
      </c>
      <c r="C3886" s="9" t="s">
        <v>8108</v>
      </c>
      <c r="D3886" s="9" t="s">
        <v>98</v>
      </c>
      <c r="E3886" s="6" t="s">
        <v>8138</v>
      </c>
      <c r="F3886" s="9"/>
    </row>
    <row r="3887" ht="33.75" customHeight="1">
      <c r="A3887" s="7">
        <v>129.0</v>
      </c>
      <c r="B3887" s="9" t="s">
        <v>8107</v>
      </c>
      <c r="C3887" s="9" t="s">
        <v>8108</v>
      </c>
      <c r="D3887" s="9" t="s">
        <v>99</v>
      </c>
      <c r="E3887" s="6" t="s">
        <v>8138</v>
      </c>
      <c r="F3887" s="9"/>
    </row>
    <row r="3888" ht="33.75" customHeight="1">
      <c r="A3888" s="7">
        <v>129.0</v>
      </c>
      <c r="B3888" s="9" t="s">
        <v>8107</v>
      </c>
      <c r="C3888" s="9" t="s">
        <v>8108</v>
      </c>
      <c r="D3888" s="9" t="s">
        <v>101</v>
      </c>
      <c r="E3888" s="6" t="s">
        <v>8143</v>
      </c>
      <c r="F3888" s="9"/>
    </row>
    <row r="3889" ht="33.75" customHeight="1">
      <c r="A3889" s="7">
        <v>129.0</v>
      </c>
      <c r="B3889" s="9" t="s">
        <v>8107</v>
      </c>
      <c r="C3889" s="9" t="s">
        <v>8108</v>
      </c>
      <c r="D3889" s="9" t="s">
        <v>105</v>
      </c>
      <c r="E3889" s="6" t="s">
        <v>8110</v>
      </c>
      <c r="F3889" s="9"/>
    </row>
    <row r="3890" ht="33.75" customHeight="1">
      <c r="A3890" s="7">
        <v>129.0</v>
      </c>
      <c r="B3890" s="9" t="s">
        <v>8107</v>
      </c>
      <c r="C3890" s="9" t="s">
        <v>8108</v>
      </c>
      <c r="D3890" s="9" t="s">
        <v>107</v>
      </c>
      <c r="E3890" s="6" t="s">
        <v>8145</v>
      </c>
      <c r="F3890" s="9"/>
    </row>
    <row r="3891" ht="33.75" customHeight="1">
      <c r="A3891" s="7">
        <v>129.0</v>
      </c>
      <c r="B3891" s="9" t="s">
        <v>8107</v>
      </c>
      <c r="C3891" s="9" t="s">
        <v>8108</v>
      </c>
      <c r="D3891" s="9" t="s">
        <v>109</v>
      </c>
      <c r="E3891" s="6" t="s">
        <v>8147</v>
      </c>
      <c r="F3891" s="9"/>
    </row>
    <row r="3892" ht="33.75" customHeight="1">
      <c r="A3892" s="7">
        <v>129.0</v>
      </c>
      <c r="B3892" s="9" t="s">
        <v>8107</v>
      </c>
      <c r="C3892" s="9" t="s">
        <v>8108</v>
      </c>
      <c r="D3892" s="9" t="s">
        <v>637</v>
      </c>
      <c r="E3892" s="6" t="s">
        <v>8149</v>
      </c>
      <c r="F3892" s="9"/>
    </row>
    <row r="3893" ht="33.75" customHeight="1">
      <c r="A3893" s="7">
        <v>129.0</v>
      </c>
      <c r="B3893" s="9" t="s">
        <v>8107</v>
      </c>
      <c r="C3893" s="9" t="s">
        <v>8108</v>
      </c>
      <c r="D3893" s="9" t="s">
        <v>642</v>
      </c>
      <c r="E3893" s="6" t="s">
        <v>8150</v>
      </c>
      <c r="F3893" s="9"/>
    </row>
    <row r="3894" ht="33.75" customHeight="1">
      <c r="A3894" s="7">
        <v>129.0</v>
      </c>
      <c r="B3894" s="9" t="s">
        <v>8107</v>
      </c>
      <c r="C3894" s="9" t="s">
        <v>8108</v>
      </c>
      <c r="D3894" s="9" t="s">
        <v>647</v>
      </c>
      <c r="E3894" s="6" t="s">
        <v>8152</v>
      </c>
      <c r="F3894" s="9"/>
    </row>
    <row r="3895" ht="33.75" customHeight="1">
      <c r="A3895" s="7">
        <v>129.0</v>
      </c>
      <c r="B3895" s="9" t="s">
        <v>8107</v>
      </c>
      <c r="C3895" s="9" t="s">
        <v>8108</v>
      </c>
      <c r="D3895" s="9" t="s">
        <v>652</v>
      </c>
      <c r="E3895" s="6" t="s">
        <v>8153</v>
      </c>
      <c r="F3895" s="9"/>
    </row>
    <row r="3896" ht="33.75" customHeight="1">
      <c r="A3896" s="7">
        <v>129.0</v>
      </c>
      <c r="B3896" s="9" t="s">
        <v>8107</v>
      </c>
      <c r="C3896" s="9" t="s">
        <v>8108</v>
      </c>
      <c r="D3896" s="9" t="s">
        <v>111</v>
      </c>
      <c r="E3896" s="6" t="s">
        <v>8114</v>
      </c>
      <c r="F3896" s="9"/>
    </row>
    <row r="3897" ht="33.75" customHeight="1">
      <c r="A3897" s="7">
        <v>129.0</v>
      </c>
      <c r="B3897" s="9" t="s">
        <v>8107</v>
      </c>
      <c r="C3897" s="9" t="s">
        <v>8108</v>
      </c>
      <c r="D3897" s="9" t="s">
        <v>113</v>
      </c>
      <c r="E3897" s="6" t="s">
        <v>8114</v>
      </c>
      <c r="F3897" s="9"/>
    </row>
    <row r="3898" ht="33.75" customHeight="1">
      <c r="A3898" s="7">
        <v>129.0</v>
      </c>
      <c r="B3898" s="9" t="s">
        <v>8107</v>
      </c>
      <c r="C3898" s="9" t="s">
        <v>8108</v>
      </c>
      <c r="D3898" s="9" t="s">
        <v>114</v>
      </c>
      <c r="E3898" s="6" t="s">
        <v>8143</v>
      </c>
      <c r="F3898" s="9"/>
    </row>
    <row r="3899" ht="33.75" customHeight="1">
      <c r="A3899" s="7">
        <v>129.0</v>
      </c>
      <c r="B3899" s="9" t="s">
        <v>8107</v>
      </c>
      <c r="C3899" s="9" t="s">
        <v>8108</v>
      </c>
      <c r="D3899" s="9" t="s">
        <v>117</v>
      </c>
      <c r="E3899" s="6" t="s">
        <v>8157</v>
      </c>
      <c r="F3899" s="9"/>
    </row>
    <row r="3900" ht="33.75" customHeight="1">
      <c r="A3900" s="7">
        <v>129.0</v>
      </c>
      <c r="B3900" s="9" t="s">
        <v>8107</v>
      </c>
      <c r="C3900" s="9" t="s">
        <v>8108</v>
      </c>
      <c r="D3900" s="9" t="s">
        <v>1577</v>
      </c>
      <c r="E3900" s="6" t="s">
        <v>8159</v>
      </c>
      <c r="F3900" s="9"/>
    </row>
    <row r="3901" ht="33.75" customHeight="1">
      <c r="A3901" s="7">
        <v>130.0</v>
      </c>
      <c r="B3901" s="9" t="s">
        <v>8160</v>
      </c>
      <c r="C3901" s="9" t="s">
        <v>8162</v>
      </c>
      <c r="D3901" s="9" t="s">
        <v>24</v>
      </c>
      <c r="E3901" s="6" t="s">
        <v>8163</v>
      </c>
      <c r="F3901" t="inlineStr" s="10">
        <is>
          <t xml:space="preserve">Harvoin nähty luonnossa. Valtava ja ilkeä, se kykenee tuhoamaan kokonaisia ​​kaupunkeja raivoissaan. Raa'an julma ja valtavan tuhoisa. Tunnettu kaupunkien täydellisestä tuhoamisesta muinaisilla ajoilla. He sanovat, että menneiden sotien aikana GYARADOS ilmestyi ja jätti jälkeensä hehkuvia raunioita. Kun se ilmestyy, se siirtyy ram-sivulle. Se pysyy raivoissaan, kunnes tuhoaa kaiken ympärillään. Se ilmestyy aina, kun maailmassa on konflikti, ja polttaa maan tasalle kaikki paikat, joiden läpi se kulkee. Kun MAGIKARP kehittyy GYARADOSiksi, sen aivosolut käyvät läpi rakenteellisen muutoksen. Sanotaan, että tämä muutos on syypää tämän POKéMONin villisti väkivaltaiseen luonteeseen. Kun GYARADOS riehuu, sen raju veri ei tyynny ennen kuin se on polttanut kaiken maan tasalle. Tämän POKéMONin riehumisista on tietoa kokonaisen kuukauden ajan. Se on äärimmäisen ilkeä ja väkivaltainen POKéMON. Kun ihmiset alkavat taistella, se ilmestyy ja polttaa kaiken maan tasalle kuumilla liekeillä. Sillä on äärimmäisen aggressiivinen luonne. Sen suusta ampuma HYPERSÄDE polttaa kaikki kohteet täysin. Kun se ilmestyy, sen raivo ei laannu ennen kuin se on tuhonnut ympäröivät pellot ja vuoret. Muinaisessa kirjallisuudessa on kuvaus gyaradoksesta, joka tuhosi kylän väkivallan leimahdellessa. Kun gyarados alkaa riehua, se polttaa kaiken maan tasalle, jopa ankarassa myrskyssä. He sanovat, että menneiden taisteluiden aikana GYARADOS ilmestyi ja jätti jälkeensä liekehtiviä raunioita. Heti ilmestyttyään se riehuu. Muinaisessa kirjallisuudessa on maininta Gyaradosista, joka tuhosi kylän väkivallan leimahdettua. Kun Magikarp kehittyy Gyaradokseksi, sen aivosolut käyvät läpi rakenteellisen muutoksen. Kun Gyarados riehuu, sen raivoisa veri ei tyynny ennen kuin se on polttanut kaiken maan tasalle. Tämän Pokémonin riehumisista on tietoa, jotka ovat kestäneet kokonaisen kuukauden. Kertomus kertoo kaupungista, joka suututti Gyaradosin. Ennen auringonnousua seuraavana päivänä liekit tuhosivat kaupungin täysin jättämättä jälkeään. Jotkut vannovat, että kaikki Gyaradosin ilmestymispaikat ovat tuhon omaisia. Se ampuu hypersäteitä kaikkiin suuntiin polttaen ympäröivän alueen tuhkaksi. On joitakin alueita, joilla sitä kutsutaan "tuhon jumaluudeksi". Evoluution energia stimuloi sen aivosoluja voimakkaasti, mikä teki siitä hyvin raivoisan. Epäilen tämän Pokémonin olevan muinaisissa teksteissä mainitun lohikäärmeen oikea henkilöllisyys. Teksteissä väitetään, että se tuhosi kokonaisen kylän kitansa valkohehkuisilla säteillä.</t>
        </is>
      </c>
    </row>
    <row r="3902" ht="33.75" customHeight="1">
      <c r="A3902" s="7">
        <v>130.0</v>
      </c>
      <c r="B3902" s="9" t="s">
        <v>8160</v>
      </c>
      <c r="C3902" s="9" t="s">
        <v>8162</v>
      </c>
      <c r="D3902" s="9" t="s">
        <v>35</v>
      </c>
      <c r="E3902" s="6" t="s">
        <v>8163</v>
      </c>
      <c r="F3902" s="9"/>
    </row>
    <row r="3903" ht="33.75" customHeight="1">
      <c r="A3903" s="7">
        <v>130.0</v>
      </c>
      <c r="B3903" s="9" t="s">
        <v>8160</v>
      </c>
      <c r="C3903" s="9" t="s">
        <v>8162</v>
      </c>
      <c r="D3903" s="9" t="s">
        <v>42</v>
      </c>
      <c r="E3903" s="6" t="s">
        <v>8165</v>
      </c>
      <c r="F3903" s="9"/>
    </row>
    <row r="3904" ht="33.75" customHeight="1">
      <c r="A3904" s="7">
        <v>130.0</v>
      </c>
      <c r="B3904" s="9" t="s">
        <v>8160</v>
      </c>
      <c r="C3904" s="9" t="s">
        <v>8162</v>
      </c>
      <c r="D3904" s="9" t="s">
        <v>52</v>
      </c>
      <c r="E3904" s="6" t="s">
        <v>8167</v>
      </c>
      <c r="F3904" s="9"/>
    </row>
    <row r="3905" ht="33.75" customHeight="1">
      <c r="A3905" s="7">
        <v>130.0</v>
      </c>
      <c r="B3905" s="9" t="s">
        <v>8160</v>
      </c>
      <c r="C3905" s="9" t="s">
        <v>8162</v>
      </c>
      <c r="D3905" s="9" t="s">
        <v>59</v>
      </c>
      <c r="E3905" s="6" t="s">
        <v>8168</v>
      </c>
      <c r="F3905" s="9"/>
    </row>
    <row r="3906" ht="33.75" customHeight="1">
      <c r="A3906" s="7">
        <v>130.0</v>
      </c>
      <c r="B3906" s="9" t="s">
        <v>8160</v>
      </c>
      <c r="C3906" s="9" t="s">
        <v>8162</v>
      </c>
      <c r="D3906" s="9" t="s">
        <v>64</v>
      </c>
      <c r="E3906" s="6" t="s">
        <v>8170</v>
      </c>
      <c r="F3906" s="9"/>
    </row>
    <row r="3907" ht="33.75" customHeight="1">
      <c r="A3907" s="7">
        <v>130.0</v>
      </c>
      <c r="B3907" s="9" t="s">
        <v>8160</v>
      </c>
      <c r="C3907" s="9" t="s">
        <v>8162</v>
      </c>
      <c r="D3907" s="9" t="s">
        <v>67</v>
      </c>
      <c r="E3907" s="6" t="s">
        <v>8172</v>
      </c>
      <c r="F3907" s="9"/>
    </row>
    <row r="3908" ht="33.75" customHeight="1">
      <c r="A3908" s="7">
        <v>130.0</v>
      </c>
      <c r="B3908" s="9" t="s">
        <v>8160</v>
      </c>
      <c r="C3908" s="9" t="s">
        <v>8162</v>
      </c>
      <c r="D3908" s="9" t="s">
        <v>71</v>
      </c>
      <c r="E3908" s="6" t="s">
        <v>8174</v>
      </c>
      <c r="F3908" s="9"/>
    </row>
    <row r="3909" ht="33.75" customHeight="1">
      <c r="A3909" s="7">
        <v>130.0</v>
      </c>
      <c r="B3909" s="9" t="s">
        <v>8160</v>
      </c>
      <c r="C3909" s="9" t="s">
        <v>8162</v>
      </c>
      <c r="D3909" s="9" t="s">
        <v>73</v>
      </c>
      <c r="E3909" s="6" t="s">
        <v>8175</v>
      </c>
      <c r="F3909" s="9"/>
    </row>
    <row r="3910" ht="33.75" customHeight="1">
      <c r="A3910" s="7">
        <v>130.0</v>
      </c>
      <c r="B3910" s="9" t="s">
        <v>8160</v>
      </c>
      <c r="C3910" s="9" t="s">
        <v>8162</v>
      </c>
      <c r="D3910" s="9" t="s">
        <v>75</v>
      </c>
      <c r="E3910" s="6" t="s">
        <v>8177</v>
      </c>
      <c r="F3910" s="9"/>
    </row>
    <row r="3911" ht="33.75" customHeight="1">
      <c r="A3911" s="7">
        <v>130.0</v>
      </c>
      <c r="B3911" s="9" t="s">
        <v>8160</v>
      </c>
      <c r="C3911" s="9" t="s">
        <v>8162</v>
      </c>
      <c r="D3911" s="9" t="s">
        <v>79</v>
      </c>
      <c r="E3911" s="6" t="s">
        <v>8163</v>
      </c>
      <c r="F3911" s="9"/>
    </row>
    <row r="3912" ht="33.75" customHeight="1">
      <c r="A3912" s="7">
        <v>130.0</v>
      </c>
      <c r="B3912" s="9" t="s">
        <v>8160</v>
      </c>
      <c r="C3912" s="9" t="s">
        <v>8162</v>
      </c>
      <c r="D3912" s="9" t="s">
        <v>81</v>
      </c>
      <c r="E3912" s="6" t="s">
        <v>8180</v>
      </c>
      <c r="F3912" s="9"/>
    </row>
    <row r="3913" ht="33.75" customHeight="1">
      <c r="A3913" s="7">
        <v>130.0</v>
      </c>
      <c r="B3913" s="9" t="s">
        <v>8160</v>
      </c>
      <c r="C3913" s="9" t="s">
        <v>8162</v>
      </c>
      <c r="D3913" s="9" t="s">
        <v>84</v>
      </c>
      <c r="E3913" s="6" t="s">
        <v>8182</v>
      </c>
      <c r="F3913" s="9"/>
    </row>
    <row r="3914" ht="33.75" customHeight="1">
      <c r="A3914" s="7">
        <v>130.0</v>
      </c>
      <c r="B3914" s="9" t="s">
        <v>8160</v>
      </c>
      <c r="C3914" s="9" t="s">
        <v>8162</v>
      </c>
      <c r="D3914" s="9" t="s">
        <v>87</v>
      </c>
      <c r="E3914" s="6" t="s">
        <v>8184</v>
      </c>
      <c r="F3914" s="9"/>
    </row>
    <row r="3915" ht="33.75" customHeight="1">
      <c r="A3915" s="7">
        <v>130.0</v>
      </c>
      <c r="B3915" s="9" t="s">
        <v>8160</v>
      </c>
      <c r="C3915" s="9" t="s">
        <v>8162</v>
      </c>
      <c r="D3915" s="9" t="s">
        <v>89</v>
      </c>
      <c r="E3915" s="6" t="s">
        <v>8189</v>
      </c>
      <c r="F3915" s="9"/>
    </row>
    <row r="3916" ht="33.75" customHeight="1">
      <c r="A3916" s="7">
        <v>130.0</v>
      </c>
      <c r="B3916" s="9" t="s">
        <v>8160</v>
      </c>
      <c r="C3916" s="9" t="s">
        <v>8162</v>
      </c>
      <c r="D3916" s="9" t="s">
        <v>91</v>
      </c>
      <c r="E3916" s="6" t="s">
        <v>8191</v>
      </c>
      <c r="F3916" s="9"/>
    </row>
    <row r="3917" ht="33.75" customHeight="1">
      <c r="A3917" s="7">
        <v>130.0</v>
      </c>
      <c r="B3917" s="9" t="s">
        <v>8160</v>
      </c>
      <c r="C3917" s="9" t="s">
        <v>8162</v>
      </c>
      <c r="D3917" s="9" t="s">
        <v>93</v>
      </c>
      <c r="E3917" s="6" t="s">
        <v>8194</v>
      </c>
      <c r="F3917" s="9"/>
    </row>
    <row r="3918" ht="33.75" customHeight="1">
      <c r="A3918" s="7">
        <v>130.0</v>
      </c>
      <c r="B3918" s="9" t="s">
        <v>8160</v>
      </c>
      <c r="C3918" s="9" t="s">
        <v>8162</v>
      </c>
      <c r="D3918" s="9" t="s">
        <v>95</v>
      </c>
      <c r="E3918" s="6" t="s">
        <v>8194</v>
      </c>
      <c r="F3918" s="9"/>
    </row>
    <row r="3919" ht="33.75" customHeight="1">
      <c r="A3919" s="7">
        <v>130.0</v>
      </c>
      <c r="B3919" s="9" t="s">
        <v>8160</v>
      </c>
      <c r="C3919" s="9" t="s">
        <v>8162</v>
      </c>
      <c r="D3919" s="9" t="s">
        <v>98</v>
      </c>
      <c r="E3919" s="6" t="s">
        <v>8194</v>
      </c>
      <c r="F3919" s="9"/>
    </row>
    <row r="3920" ht="33.75" customHeight="1">
      <c r="A3920" s="7">
        <v>130.0</v>
      </c>
      <c r="B3920" s="9" t="s">
        <v>8160</v>
      </c>
      <c r="C3920" s="9" t="s">
        <v>8162</v>
      </c>
      <c r="D3920" s="9" t="s">
        <v>99</v>
      </c>
      <c r="E3920" s="6" t="s">
        <v>8194</v>
      </c>
      <c r="F3920" s="9"/>
    </row>
    <row r="3921" ht="33.75" customHeight="1">
      <c r="A3921" s="7">
        <v>130.0</v>
      </c>
      <c r="B3921" s="9" t="s">
        <v>8160</v>
      </c>
      <c r="C3921" s="9" t="s">
        <v>8162</v>
      </c>
      <c r="D3921" s="9" t="s">
        <v>101</v>
      </c>
      <c r="E3921" s="6" t="s">
        <v>8198</v>
      </c>
      <c r="F3921" s="9"/>
    </row>
    <row r="3922" ht="33.75" customHeight="1">
      <c r="A3922" s="7">
        <v>130.0</v>
      </c>
      <c r="B3922" s="9" t="s">
        <v>8160</v>
      </c>
      <c r="C3922" s="9" t="s">
        <v>8162</v>
      </c>
      <c r="D3922" s="9" t="s">
        <v>105</v>
      </c>
      <c r="E3922" s="6" t="s">
        <v>8163</v>
      </c>
      <c r="F3922" s="9"/>
    </row>
    <row r="3923" ht="33.75" customHeight="1">
      <c r="A3923" s="7">
        <v>130.0</v>
      </c>
      <c r="B3923" s="9" t="s">
        <v>8160</v>
      </c>
      <c r="C3923" s="9" t="s">
        <v>8162</v>
      </c>
      <c r="D3923" s="9" t="s">
        <v>107</v>
      </c>
      <c r="E3923" s="6" t="s">
        <v>8201</v>
      </c>
      <c r="F3923" s="9"/>
    </row>
    <row r="3924" ht="33.75" customHeight="1">
      <c r="A3924" s="7">
        <v>130.0</v>
      </c>
      <c r="B3924" s="9" t="s">
        <v>8160</v>
      </c>
      <c r="C3924" s="9" t="s">
        <v>8162</v>
      </c>
      <c r="D3924" s="9" t="s">
        <v>109</v>
      </c>
      <c r="E3924" s="6" t="s">
        <v>8203</v>
      </c>
      <c r="F3924" s="9"/>
    </row>
    <row r="3925" ht="33.75" customHeight="1">
      <c r="A3925" s="7">
        <v>130.0</v>
      </c>
      <c r="B3925" s="9" t="s">
        <v>8160</v>
      </c>
      <c r="C3925" s="9" t="s">
        <v>8162</v>
      </c>
      <c r="D3925" s="9" t="s">
        <v>637</v>
      </c>
      <c r="E3925" s="6" t="s">
        <v>8205</v>
      </c>
      <c r="F3925" s="9"/>
    </row>
    <row r="3926" ht="33.75" customHeight="1">
      <c r="A3926" s="7">
        <v>130.0</v>
      </c>
      <c r="B3926" s="9" t="s">
        <v>8160</v>
      </c>
      <c r="C3926" s="9" t="s">
        <v>8162</v>
      </c>
      <c r="D3926" s="9" t="s">
        <v>642</v>
      </c>
      <c r="E3926" s="6" t="s">
        <v>8207</v>
      </c>
      <c r="F3926" s="9"/>
    </row>
    <row r="3927" ht="33.75" customHeight="1">
      <c r="A3927" s="7">
        <v>130.0</v>
      </c>
      <c r="B3927" s="9" t="s">
        <v>8160</v>
      </c>
      <c r="C3927" s="9" t="s">
        <v>8162</v>
      </c>
      <c r="D3927" s="9" t="s">
        <v>647</v>
      </c>
      <c r="E3927" s="6" t="s">
        <v>8209</v>
      </c>
      <c r="F3927" s="9"/>
    </row>
    <row r="3928" ht="33.75" customHeight="1">
      <c r="A3928" s="7">
        <v>130.0</v>
      </c>
      <c r="B3928" s="9" t="s">
        <v>8160</v>
      </c>
      <c r="C3928" s="9" t="s">
        <v>8162</v>
      </c>
      <c r="D3928" s="9" t="s">
        <v>652</v>
      </c>
      <c r="E3928" s="6" t="s">
        <v>8211</v>
      </c>
      <c r="F3928" s="9"/>
    </row>
    <row r="3929" ht="33.75" customHeight="1">
      <c r="A3929" s="7">
        <v>130.0</v>
      </c>
      <c r="B3929" s="9" t="s">
        <v>8160</v>
      </c>
      <c r="C3929" s="9" t="s">
        <v>8162</v>
      </c>
      <c r="D3929" s="9" t="s">
        <v>111</v>
      </c>
      <c r="E3929" s="6" t="s">
        <v>8165</v>
      </c>
      <c r="F3929" s="9"/>
    </row>
    <row r="3930" ht="33.75" customHeight="1">
      <c r="A3930" s="7">
        <v>130.0</v>
      </c>
      <c r="B3930" s="9" t="s">
        <v>8160</v>
      </c>
      <c r="C3930" s="9" t="s">
        <v>8162</v>
      </c>
      <c r="D3930" s="9" t="s">
        <v>113</v>
      </c>
      <c r="E3930" s="6" t="s">
        <v>8165</v>
      </c>
      <c r="F3930" s="9"/>
    </row>
    <row r="3931" ht="33.75" customHeight="1">
      <c r="A3931" s="7">
        <v>130.0</v>
      </c>
      <c r="B3931" s="9" t="s">
        <v>8160</v>
      </c>
      <c r="C3931" s="9" t="s">
        <v>8162</v>
      </c>
      <c r="D3931" s="9" t="s">
        <v>114</v>
      </c>
      <c r="E3931" s="6" t="s">
        <v>8216</v>
      </c>
      <c r="F3931" s="9"/>
    </row>
    <row r="3932" ht="33.75" customHeight="1">
      <c r="A3932" s="7">
        <v>130.0</v>
      </c>
      <c r="B3932" s="9" t="s">
        <v>8160</v>
      </c>
      <c r="C3932" s="9" t="s">
        <v>8162</v>
      </c>
      <c r="D3932" s="9" t="s">
        <v>117</v>
      </c>
      <c r="E3932" s="6" t="s">
        <v>8194</v>
      </c>
      <c r="F3932" s="9"/>
    </row>
    <row r="3933" ht="33.75" customHeight="1">
      <c r="A3933" s="7">
        <v>130.0</v>
      </c>
      <c r="B3933" s="9" t="s">
        <v>8160</v>
      </c>
      <c r="C3933" s="9" t="s">
        <v>8162</v>
      </c>
      <c r="D3933" s="9" t="s">
        <v>1577</v>
      </c>
      <c r="E3933" s="6" t="s">
        <v>8220</v>
      </c>
      <c r="F3933" s="9"/>
    </row>
    <row r="3934" ht="33.75" customHeight="1">
      <c r="A3934" s="7">
        <v>131.0</v>
      </c>
      <c r="B3934" s="9" t="s">
        <v>8221</v>
      </c>
      <c r="C3934" s="9" t="s">
        <v>8223</v>
      </c>
      <c r="D3934" s="9" t="s">
        <v>24</v>
      </c>
      <c r="E3934" s="6" t="s">
        <v>8224</v>
      </c>
      <c r="F3934" t="inlineStr" s="10">
        <is>
          <t xml:space="preserve">Pokémon, jota on metsästetty lähes sukupuuttoon. Se voi kuljettaa ihmisiä veden yli. Lempeä sielu, joka osaa lukea ihmisten ajatuksia. Se voi kuljettaa ihmisiä meren yli selässään. Heillä on lempeät sydämet. Koska he harvoin taistelevat, monet heistä on jäänyt kiinni. Heidän lukumääränsä on vähentynyt. Se kuljettaa ihmisiä meren yli selällään. Se voi laulaa lumoavan huudon, jos se on hyvällä tuulella. Tämä lempeä POKéMON rakastaa kyydin antamista ja tarjoaa erittäin mukavan tavan liikkua. Ihmiset ovat ajaneet LAPRASin lähes sukupuuton partaalle. Iltaisin tämän POKéMONin sanotaan laulavan valittavasti etsiessään sitä, mitä vain harvat lajitoverinsa ovat enää jäljellä. Iltaisin sen sanotaan laulavan valittavasti etsiessään sitä, mitä harvat lajinsa edustajat ovat enää jäljellä. Sen korkea älykkyys mahdollistaa ihmispuheen ymmärtämisen. Se kuljettaa mielellään ihmisiä selässään. Lähes sukupuuttoon kuollut POKéMON. Se voi kuljettaa ihmisiä selässään. Se rakastaa meren ylittämistä ihmisten ja Pokémonien kanssa selässään. Se ymmärtää ihmispuhetta. Koska he harvoin taistelevat, monet ovat jääneet kiinni. Heidän määränsä on vähentynyt. Se pystyy ymmärtämään ihmispuhetta ja on erittäin älykäs, ja rakastaa uida meressä ihmisten selässään. Iltaisin tämän Pokémonin sanotaan laulavan valittavasti etsiessään sitä, mitä harvat lajitoverinsa ovat enää jäljellä. Hyvällä tuulella se laulaa kauniilla äänellään. Nämä Pokémonit olivat aikoinaan sukupuuton partaalla salametsästyksen vuoksi. Suojelumääräysten vuoksi niitä on nyt ylitarjontaa. Se tykkää uida ihmisten selässään. Alolan alueella se on tärkeä kulkuväline vesillä. Niitä on pidetty niin vaalimana, että niitä on nyt ylitarjontaa. Kala-Pokémon-populaatio on vähentynyt vesissä, joissa on liikaa Lapras-pokémoneja. Lempeä sielu, joka ymmärtää ihmispuhetta. Älykäs ja hyväsydäminen Pokémon liitää meren pinnalla kauniin laulunsa kaikuessa ympärillään. Jäisten merien ylittäminen ei ole ongelma tälle kylmänkestävälle Pokémonille. Sen sileä iho on hieman viileä koskettaa.</t>
        </is>
      </c>
    </row>
    <row r="3935" ht="33.75" customHeight="1">
      <c r="A3935" s="7">
        <v>131.0</v>
      </c>
      <c r="B3935" s="9" t="s">
        <v>8221</v>
      </c>
      <c r="C3935" s="9" t="s">
        <v>8223</v>
      </c>
      <c r="D3935" s="9" t="s">
        <v>35</v>
      </c>
      <c r="E3935" s="6" t="s">
        <v>8224</v>
      </c>
      <c r="F3935" s="9"/>
    </row>
    <row r="3936" ht="33.75" customHeight="1">
      <c r="A3936" s="7">
        <v>131.0</v>
      </c>
      <c r="B3936" s="9" t="s">
        <v>8221</v>
      </c>
      <c r="C3936" s="9" t="s">
        <v>8223</v>
      </c>
      <c r="D3936" s="9" t="s">
        <v>42</v>
      </c>
      <c r="E3936" s="6" t="s">
        <v>8228</v>
      </c>
      <c r="F3936" s="9"/>
    </row>
    <row r="3937" ht="33.75" customHeight="1">
      <c r="A3937" s="7">
        <v>131.0</v>
      </c>
      <c r="B3937" s="9" t="s">
        <v>8221</v>
      </c>
      <c r="C3937" s="9" t="s">
        <v>8223</v>
      </c>
      <c r="D3937" s="9" t="s">
        <v>52</v>
      </c>
      <c r="E3937" s="6" t="s">
        <v>8230</v>
      </c>
      <c r="F3937" s="9"/>
    </row>
    <row r="3938" ht="33.75" customHeight="1">
      <c r="A3938" s="7">
        <v>131.0</v>
      </c>
      <c r="B3938" s="9" t="s">
        <v>8221</v>
      </c>
      <c r="C3938" s="9" t="s">
        <v>8223</v>
      </c>
      <c r="D3938" s="9" t="s">
        <v>59</v>
      </c>
      <c r="E3938" s="6" t="s">
        <v>8232</v>
      </c>
      <c r="F3938" s="9"/>
    </row>
    <row r="3939" ht="33.75" customHeight="1">
      <c r="A3939" s="7">
        <v>131.0</v>
      </c>
      <c r="B3939" s="9" t="s">
        <v>8221</v>
      </c>
      <c r="C3939" s="9" t="s">
        <v>8223</v>
      </c>
      <c r="D3939" s="9" t="s">
        <v>64</v>
      </c>
      <c r="E3939" s="6" t="s">
        <v>8234</v>
      </c>
      <c r="F3939" s="9"/>
    </row>
    <row r="3940" ht="33.75" customHeight="1">
      <c r="A3940" s="7">
        <v>131.0</v>
      </c>
      <c r="B3940" s="9" t="s">
        <v>8221</v>
      </c>
      <c r="C3940" s="9" t="s">
        <v>8223</v>
      </c>
      <c r="D3940" s="9" t="s">
        <v>67</v>
      </c>
      <c r="E3940" s="6" t="s">
        <v>8237</v>
      </c>
      <c r="F3940" s="9"/>
    </row>
    <row r="3941" ht="33.75" customHeight="1">
      <c r="A3941" s="7">
        <v>131.0</v>
      </c>
      <c r="B3941" s="9" t="s">
        <v>8221</v>
      </c>
      <c r="C3941" s="9" t="s">
        <v>8223</v>
      </c>
      <c r="D3941" s="9" t="s">
        <v>71</v>
      </c>
      <c r="E3941" s="6" t="s">
        <v>8237</v>
      </c>
      <c r="F3941" s="9"/>
    </row>
    <row r="3942" ht="33.75" customHeight="1">
      <c r="A3942" s="7">
        <v>131.0</v>
      </c>
      <c r="B3942" s="9" t="s">
        <v>8221</v>
      </c>
      <c r="C3942" s="9" t="s">
        <v>8223</v>
      </c>
      <c r="D3942" s="9" t="s">
        <v>73</v>
      </c>
      <c r="E3942" s="6" t="s">
        <v>8243</v>
      </c>
      <c r="F3942" s="9"/>
    </row>
    <row r="3943" ht="33.75" customHeight="1">
      <c r="A3943" s="7">
        <v>131.0</v>
      </c>
      <c r="B3943" s="9" t="s">
        <v>8221</v>
      </c>
      <c r="C3943" s="9" t="s">
        <v>8223</v>
      </c>
      <c r="D3943" s="9" t="s">
        <v>75</v>
      </c>
      <c r="E3943" s="6" t="s">
        <v>8247</v>
      </c>
      <c r="F3943" s="9"/>
    </row>
    <row r="3944" ht="33.75" customHeight="1">
      <c r="A3944" s="7">
        <v>131.0</v>
      </c>
      <c r="B3944" s="9" t="s">
        <v>8221</v>
      </c>
      <c r="C3944" s="9" t="s">
        <v>8223</v>
      </c>
      <c r="D3944" s="9" t="s">
        <v>79</v>
      </c>
      <c r="E3944" s="6" t="s">
        <v>8251</v>
      </c>
      <c r="F3944" s="9"/>
    </row>
    <row r="3945" ht="33.75" customHeight="1">
      <c r="A3945" s="7">
        <v>131.0</v>
      </c>
      <c r="B3945" s="9" t="s">
        <v>8221</v>
      </c>
      <c r="C3945" s="9" t="s">
        <v>8223</v>
      </c>
      <c r="D3945" s="9" t="s">
        <v>81</v>
      </c>
      <c r="E3945" s="6" t="s">
        <v>8256</v>
      </c>
      <c r="F3945" s="9"/>
    </row>
    <row r="3946" ht="33.75" customHeight="1">
      <c r="A3946" s="7">
        <v>131.0</v>
      </c>
      <c r="B3946" s="9" t="s">
        <v>8221</v>
      </c>
      <c r="C3946" s="9" t="s">
        <v>8223</v>
      </c>
      <c r="D3946" s="9" t="s">
        <v>84</v>
      </c>
      <c r="E3946" s="6" t="s">
        <v>8256</v>
      </c>
      <c r="F3946" s="9"/>
    </row>
    <row r="3947" ht="33.75" customHeight="1">
      <c r="A3947" s="7">
        <v>131.0</v>
      </c>
      <c r="B3947" s="9" t="s">
        <v>8221</v>
      </c>
      <c r="C3947" s="9" t="s">
        <v>8223</v>
      </c>
      <c r="D3947" s="9" t="s">
        <v>87</v>
      </c>
      <c r="E3947" s="6" t="s">
        <v>8256</v>
      </c>
      <c r="F3947" s="9"/>
    </row>
    <row r="3948" ht="33.75" customHeight="1">
      <c r="A3948" s="7">
        <v>131.0</v>
      </c>
      <c r="B3948" s="9" t="s">
        <v>8221</v>
      </c>
      <c r="C3948" s="9" t="s">
        <v>8223</v>
      </c>
      <c r="D3948" s="9" t="s">
        <v>89</v>
      </c>
      <c r="E3948" s="6" t="s">
        <v>8263</v>
      </c>
      <c r="F3948" s="9"/>
    </row>
    <row r="3949" ht="33.75" customHeight="1">
      <c r="A3949" s="7">
        <v>131.0</v>
      </c>
      <c r="B3949" s="9" t="s">
        <v>8221</v>
      </c>
      <c r="C3949" s="9" t="s">
        <v>8223</v>
      </c>
      <c r="D3949" s="9" t="s">
        <v>91</v>
      </c>
      <c r="E3949" s="6" t="s">
        <v>8232</v>
      </c>
      <c r="F3949" s="9"/>
    </row>
    <row r="3950" ht="33.75" customHeight="1">
      <c r="A3950" s="7">
        <v>131.0</v>
      </c>
      <c r="B3950" s="9" t="s">
        <v>8221</v>
      </c>
      <c r="C3950" s="9" t="s">
        <v>8223</v>
      </c>
      <c r="D3950" s="9" t="s">
        <v>93</v>
      </c>
      <c r="E3950" s="6" t="s">
        <v>8256</v>
      </c>
      <c r="F3950" s="9"/>
    </row>
    <row r="3951" ht="33.75" customHeight="1">
      <c r="A3951" s="7">
        <v>131.0</v>
      </c>
      <c r="B3951" s="9" t="s">
        <v>8221</v>
      </c>
      <c r="C3951" s="9" t="s">
        <v>8223</v>
      </c>
      <c r="D3951" s="9" t="s">
        <v>95</v>
      </c>
      <c r="E3951" s="6" t="s">
        <v>8256</v>
      </c>
      <c r="F3951" s="9"/>
    </row>
    <row r="3952" ht="33.75" customHeight="1">
      <c r="A3952" s="7">
        <v>131.0</v>
      </c>
      <c r="B3952" s="9" t="s">
        <v>8221</v>
      </c>
      <c r="C3952" s="9" t="s">
        <v>8223</v>
      </c>
      <c r="D3952" s="9" t="s">
        <v>98</v>
      </c>
      <c r="E3952" s="6" t="s">
        <v>8267</v>
      </c>
      <c r="F3952" s="9"/>
    </row>
    <row r="3953" ht="33.75" customHeight="1">
      <c r="A3953" s="7">
        <v>131.0</v>
      </c>
      <c r="B3953" s="9" t="s">
        <v>8221</v>
      </c>
      <c r="C3953" s="9" t="s">
        <v>8223</v>
      </c>
      <c r="D3953" s="9" t="s">
        <v>99</v>
      </c>
      <c r="E3953" s="6" t="s">
        <v>8267</v>
      </c>
      <c r="F3953" s="9"/>
    </row>
    <row r="3954" ht="33.75" customHeight="1">
      <c r="A3954" s="7">
        <v>131.0</v>
      </c>
      <c r="B3954" s="9" t="s">
        <v>8221</v>
      </c>
      <c r="C3954" s="9" t="s">
        <v>8223</v>
      </c>
      <c r="D3954" s="9" t="s">
        <v>101</v>
      </c>
      <c r="E3954" s="6" t="s">
        <v>8263</v>
      </c>
      <c r="F3954" s="9"/>
    </row>
    <row r="3955" ht="33.75" customHeight="1">
      <c r="A3955" s="7">
        <v>131.0</v>
      </c>
      <c r="B3955" s="9" t="s">
        <v>8221</v>
      </c>
      <c r="C3955" s="9" t="s">
        <v>8223</v>
      </c>
      <c r="D3955" s="9" t="s">
        <v>105</v>
      </c>
      <c r="E3955" s="6" t="s">
        <v>8247</v>
      </c>
      <c r="F3955" s="9"/>
    </row>
    <row r="3956" ht="33.75" customHeight="1">
      <c r="A3956" s="7">
        <v>131.0</v>
      </c>
      <c r="B3956" s="9" t="s">
        <v>8221</v>
      </c>
      <c r="C3956" s="9" t="s">
        <v>8223</v>
      </c>
      <c r="D3956" s="9" t="s">
        <v>107</v>
      </c>
      <c r="E3956" s="6" t="s">
        <v>8272</v>
      </c>
      <c r="F3956" s="9"/>
    </row>
    <row r="3957" ht="33.75" customHeight="1">
      <c r="A3957" s="7">
        <v>131.0</v>
      </c>
      <c r="B3957" s="9" t="s">
        <v>8221</v>
      </c>
      <c r="C3957" s="9" t="s">
        <v>8223</v>
      </c>
      <c r="D3957" s="9" t="s">
        <v>109</v>
      </c>
      <c r="E3957" s="6" t="s">
        <v>8272</v>
      </c>
      <c r="F3957" s="9"/>
    </row>
    <row r="3958" ht="33.75" customHeight="1">
      <c r="A3958" s="7">
        <v>131.0</v>
      </c>
      <c r="B3958" s="9" t="s">
        <v>8221</v>
      </c>
      <c r="C3958" s="9" t="s">
        <v>8223</v>
      </c>
      <c r="D3958" s="9" t="s">
        <v>637</v>
      </c>
      <c r="E3958" s="6" t="s">
        <v>8276</v>
      </c>
      <c r="F3958" s="9"/>
    </row>
    <row r="3959" ht="33.75" customHeight="1">
      <c r="A3959" s="7">
        <v>131.0</v>
      </c>
      <c r="B3959" s="9" t="s">
        <v>8221</v>
      </c>
      <c r="C3959" s="9" t="s">
        <v>8223</v>
      </c>
      <c r="D3959" s="9" t="s">
        <v>642</v>
      </c>
      <c r="E3959" s="6" t="s">
        <v>8278</v>
      </c>
      <c r="F3959" s="9"/>
    </row>
    <row r="3960" ht="33.75" customHeight="1">
      <c r="A3960" s="7">
        <v>131.0</v>
      </c>
      <c r="B3960" s="9" t="s">
        <v>8221</v>
      </c>
      <c r="C3960" s="9" t="s">
        <v>8223</v>
      </c>
      <c r="D3960" s="9" t="s">
        <v>647</v>
      </c>
      <c r="E3960" s="6" t="s">
        <v>8281</v>
      </c>
      <c r="F3960" s="9"/>
    </row>
    <row r="3961" ht="33.75" customHeight="1">
      <c r="A3961" s="7">
        <v>131.0</v>
      </c>
      <c r="B3961" s="9" t="s">
        <v>8221</v>
      </c>
      <c r="C3961" s="9" t="s">
        <v>8223</v>
      </c>
      <c r="D3961" s="9" t="s">
        <v>652</v>
      </c>
      <c r="E3961" s="6" t="s">
        <v>8283</v>
      </c>
      <c r="F3961" s="9"/>
    </row>
    <row r="3962" ht="33.75" customHeight="1">
      <c r="A3962" s="7">
        <v>131.0</v>
      </c>
      <c r="B3962" s="9" t="s">
        <v>8221</v>
      </c>
      <c r="C3962" s="9" t="s">
        <v>8223</v>
      </c>
      <c r="D3962" s="9" t="s">
        <v>111</v>
      </c>
      <c r="E3962" s="6" t="s">
        <v>8285</v>
      </c>
      <c r="F3962" s="9"/>
    </row>
    <row r="3963" ht="33.75" customHeight="1">
      <c r="A3963" s="7">
        <v>131.0</v>
      </c>
      <c r="B3963" s="9" t="s">
        <v>8221</v>
      </c>
      <c r="C3963" s="9" t="s">
        <v>8223</v>
      </c>
      <c r="D3963" s="9" t="s">
        <v>113</v>
      </c>
      <c r="E3963" s="6" t="s">
        <v>8285</v>
      </c>
      <c r="F3963" s="9"/>
    </row>
    <row r="3964" ht="33.75" customHeight="1">
      <c r="A3964" s="7">
        <v>131.0</v>
      </c>
      <c r="B3964" s="9" t="s">
        <v>8221</v>
      </c>
      <c r="C3964" s="9" t="s">
        <v>8223</v>
      </c>
      <c r="D3964" s="9" t="s">
        <v>114</v>
      </c>
      <c r="E3964" s="6" t="s">
        <v>8288</v>
      </c>
      <c r="F3964" s="9"/>
    </row>
    <row r="3965" ht="33.75" customHeight="1">
      <c r="A3965" s="7">
        <v>131.0</v>
      </c>
      <c r="B3965" s="9" t="s">
        <v>8221</v>
      </c>
      <c r="C3965" s="9" t="s">
        <v>8223</v>
      </c>
      <c r="D3965" s="9" t="s">
        <v>117</v>
      </c>
      <c r="E3965" s="6" t="s">
        <v>8290</v>
      </c>
      <c r="F3965" s="9"/>
    </row>
    <row r="3966" ht="33.75" customHeight="1">
      <c r="A3966" s="7">
        <v>132.0</v>
      </c>
      <c r="B3966" s="9" t="s">
        <v>8292</v>
      </c>
      <c r="C3966" s="9" t="s">
        <v>8293</v>
      </c>
      <c r="D3966" s="9" t="s">
        <v>24</v>
      </c>
      <c r="E3966" s="6" t="s">
        <v>8295</v>
      </c>
      <c r="F3966" t="inlineStr" s="10">
        <is>
          <t xml:space="preserve">Kykenee kopioimaan vihollisen geneettisen koodin ja muuttamaan itsensä välittömästi vihollisen kopioksi. Kun se havaitsee vihollisen, sen ruumis muuttuu lähes täydelliseksi kopioksi vastustajasta. Se voi muuttua miksi tahansa. Nukkuessaan se muuttuu kiveksi välttääkseen hyökkäyksen. Sen muodonmuutoskyky on täydellinen. Jos se kuitenkin naurattaa, se ei pysty säilyttämään naamiotaan. Kun se kohtaa toisen SAMANLAISEN, se liikkuu normaalia nopeammin kopioidakseen vastustajan täsmälleen. DITTO järjestelee solurakennettaan uudelleen muuttaakseen itsensä muihin muotoihin. Jos se kuitenkin yrittää muuttaa itsensä joksikin muistinsa avulla, tämä POKéMON onnistuu erehtymään yksityiskohdissa. DITTO järjestelee solurakennettaan uudelleen muuttaakseen itseään. Jos se kuitenkin yrittää muuttua muistinsa perusteella, se saa virheellisiä tietoja. Se voi vapaasti yhdistää oman solurakenteensa uudelleen muuntuakseen muiksi elämänmuodoiksi. Kykenee kopioimaan vastustajan geneettisen koodin ja muuttamaan itsensä välittömästi vihollisen kopioksi. Sillä on kyky rakentaa koko solurakenteensa uudelleen ja muuttua siksi, mitä se näkee. Se voi rakentaa koko solurakenteensa uudelleen ja muuttua näkemäkseen, mutta se palautuu normaaliksi rentoutuessaan. Se voi vapaasti rekombinoida omaa solurakennettaan muuntuakseen muiksi elämänmuodoiksi. Se voi järjestää solunsa uudelleen ja tehdä itsestään kopion kaikesta näkemästään. Kopion laatu riippuu yksilöstä. Hämmästyttävän muodonmuutoskykynsä ansiosta se tulee toimeen minkä tahansa kanssa. Se ei tule hyvin toimeen Ditto-toverinsa kanssa. Vaikka se voi muuttua miksi tahansa, jokaisella Ditolla on ilmeisesti omat vahvuutensa ja heikkoutensa muuntautumisten suhteen. Se muuttuu miksi tahansa näkemäkseen. Jos asia, joksi se muuttuu, ei ole aivan sen edessä, Ditto luottaa muistiinsa – joten joskus se epäonnistuu. Kun se kohtaa toisen Ditton, se liikkuu normaalia nopeammin kopioidakseen vastustajan täsmälleen.</t>
        </is>
      </c>
    </row>
    <row r="3967" ht="33.75" customHeight="1">
      <c r="A3967" s="7">
        <v>132.0</v>
      </c>
      <c r="B3967" s="9" t="s">
        <v>8292</v>
      </c>
      <c r="C3967" s="9" t="s">
        <v>8293</v>
      </c>
      <c r="D3967" s="9" t="s">
        <v>35</v>
      </c>
      <c r="E3967" s="6" t="s">
        <v>8295</v>
      </c>
      <c r="F3967" s="9"/>
    </row>
    <row r="3968" ht="33.75" customHeight="1">
      <c r="A3968" s="7">
        <v>132.0</v>
      </c>
      <c r="B3968" s="9" t="s">
        <v>8292</v>
      </c>
      <c r="C3968" s="9" t="s">
        <v>8293</v>
      </c>
      <c r="D3968" s="9" t="s">
        <v>42</v>
      </c>
      <c r="E3968" s="6" t="s">
        <v>8298</v>
      </c>
      <c r="F3968" s="9"/>
    </row>
    <row r="3969" ht="33.75" customHeight="1">
      <c r="A3969" s="7">
        <v>132.0</v>
      </c>
      <c r="B3969" s="9" t="s">
        <v>8292</v>
      </c>
      <c r="C3969" s="9" t="s">
        <v>8293</v>
      </c>
      <c r="D3969" s="9" t="s">
        <v>52</v>
      </c>
      <c r="E3969" s="6" t="s">
        <v>8300</v>
      </c>
      <c r="F3969" s="9"/>
    </row>
    <row r="3970" ht="33.75" customHeight="1">
      <c r="A3970" s="7">
        <v>132.0</v>
      </c>
      <c r="B3970" s="9" t="s">
        <v>8292</v>
      </c>
      <c r="C3970" s="9" t="s">
        <v>8293</v>
      </c>
      <c r="D3970" s="9" t="s">
        <v>59</v>
      </c>
      <c r="E3970" s="6" t="s">
        <v>8302</v>
      </c>
      <c r="F3970" s="9"/>
    </row>
    <row r="3971" ht="33.75" customHeight="1">
      <c r="A3971" s="7">
        <v>132.0</v>
      </c>
      <c r="B3971" s="9" t="s">
        <v>8292</v>
      </c>
      <c r="C3971" s="9" t="s">
        <v>8293</v>
      </c>
      <c r="D3971" s="9" t="s">
        <v>64</v>
      </c>
      <c r="E3971" s="6" t="s">
        <v>8305</v>
      </c>
      <c r="F3971" s="9"/>
    </row>
    <row r="3972" ht="33.75" customHeight="1">
      <c r="A3972" s="7">
        <v>132.0</v>
      </c>
      <c r="B3972" s="9" t="s">
        <v>8292</v>
      </c>
      <c r="C3972" s="9" t="s">
        <v>8293</v>
      </c>
      <c r="D3972" s="9" t="s">
        <v>67</v>
      </c>
      <c r="E3972" s="6" t="s">
        <v>8307</v>
      </c>
      <c r="F3972" s="9"/>
    </row>
    <row r="3973" ht="33.75" customHeight="1">
      <c r="A3973" s="7">
        <v>132.0</v>
      </c>
      <c r="B3973" s="9" t="s">
        <v>8292</v>
      </c>
      <c r="C3973" s="9" t="s">
        <v>8293</v>
      </c>
      <c r="D3973" s="9" t="s">
        <v>71</v>
      </c>
      <c r="E3973" s="6" t="s">
        <v>8307</v>
      </c>
      <c r="F3973" s="9"/>
    </row>
    <row r="3974" ht="33.75" customHeight="1">
      <c r="A3974" s="7">
        <v>132.0</v>
      </c>
      <c r="B3974" s="9" t="s">
        <v>8292</v>
      </c>
      <c r="C3974" s="9" t="s">
        <v>8293</v>
      </c>
      <c r="D3974" s="9" t="s">
        <v>73</v>
      </c>
      <c r="E3974" s="6" t="s">
        <v>8310</v>
      </c>
      <c r="F3974" s="9"/>
    </row>
    <row r="3975" ht="33.75" customHeight="1">
      <c r="A3975" s="7">
        <v>132.0</v>
      </c>
      <c r="B3975" s="9" t="s">
        <v>8292</v>
      </c>
      <c r="C3975" s="9" t="s">
        <v>8293</v>
      </c>
      <c r="D3975" s="9" t="s">
        <v>75</v>
      </c>
      <c r="E3975" s="6" t="s">
        <v>8313</v>
      </c>
      <c r="F3975" s="9"/>
    </row>
    <row r="3976" ht="33.75" customHeight="1">
      <c r="A3976" s="7">
        <v>132.0</v>
      </c>
      <c r="B3976" s="9" t="s">
        <v>8292</v>
      </c>
      <c r="C3976" s="9" t="s">
        <v>8293</v>
      </c>
      <c r="D3976" s="9" t="s">
        <v>79</v>
      </c>
      <c r="E3976" s="6" t="s">
        <v>8316</v>
      </c>
      <c r="F3976" s="9"/>
    </row>
    <row r="3977" ht="33.75" customHeight="1">
      <c r="A3977" s="7">
        <v>132.0</v>
      </c>
      <c r="B3977" s="9" t="s">
        <v>8292</v>
      </c>
      <c r="C3977" s="9" t="s">
        <v>8293</v>
      </c>
      <c r="D3977" s="9" t="s">
        <v>81</v>
      </c>
      <c r="E3977" s="6" t="s">
        <v>8318</v>
      </c>
      <c r="F3977" s="9"/>
    </row>
    <row r="3978" ht="33.75" customHeight="1">
      <c r="A3978" s="7">
        <v>132.0</v>
      </c>
      <c r="B3978" s="9" t="s">
        <v>8292</v>
      </c>
      <c r="C3978" s="9" t="s">
        <v>8293</v>
      </c>
      <c r="D3978" s="9" t="s">
        <v>84</v>
      </c>
      <c r="E3978" s="6" t="s">
        <v>8318</v>
      </c>
      <c r="F3978" s="9"/>
    </row>
    <row r="3979" ht="33.75" customHeight="1">
      <c r="A3979" s="7">
        <v>132.0</v>
      </c>
      <c r="B3979" s="9" t="s">
        <v>8292</v>
      </c>
      <c r="C3979" s="9" t="s">
        <v>8293</v>
      </c>
      <c r="D3979" s="9" t="s">
        <v>87</v>
      </c>
      <c r="E3979" s="6" t="s">
        <v>8318</v>
      </c>
      <c r="F3979" s="9"/>
    </row>
    <row r="3980" ht="33.75" customHeight="1">
      <c r="A3980" s="7">
        <v>132.0</v>
      </c>
      <c r="B3980" s="9" t="s">
        <v>8292</v>
      </c>
      <c r="C3980" s="9" t="s">
        <v>8293</v>
      </c>
      <c r="D3980" s="9" t="s">
        <v>89</v>
      </c>
      <c r="E3980" s="6" t="s">
        <v>8300</v>
      </c>
      <c r="F3980" s="9"/>
    </row>
    <row r="3981" ht="33.75" customHeight="1">
      <c r="A3981" s="7">
        <v>132.0</v>
      </c>
      <c r="B3981" s="9" t="s">
        <v>8292</v>
      </c>
      <c r="C3981" s="9" t="s">
        <v>8293</v>
      </c>
      <c r="D3981" s="9" t="s">
        <v>91</v>
      </c>
      <c r="E3981" s="6" t="s">
        <v>8302</v>
      </c>
      <c r="F3981" s="9"/>
    </row>
    <row r="3982" ht="33.75" customHeight="1">
      <c r="A3982" s="7">
        <v>132.0</v>
      </c>
      <c r="B3982" s="9" t="s">
        <v>8292</v>
      </c>
      <c r="C3982" s="9" t="s">
        <v>8293</v>
      </c>
      <c r="D3982" s="9" t="s">
        <v>93</v>
      </c>
      <c r="E3982" s="6" t="s">
        <v>8318</v>
      </c>
      <c r="F3982" s="9"/>
    </row>
    <row r="3983" ht="33.75" customHeight="1">
      <c r="A3983" s="7">
        <v>132.0</v>
      </c>
      <c r="B3983" s="9" t="s">
        <v>8292</v>
      </c>
      <c r="C3983" s="9" t="s">
        <v>8293</v>
      </c>
      <c r="D3983" s="9" t="s">
        <v>95</v>
      </c>
      <c r="E3983" s="6" t="s">
        <v>8318</v>
      </c>
      <c r="F3983" s="9"/>
    </row>
    <row r="3984" ht="33.75" customHeight="1">
      <c r="A3984" s="7">
        <v>132.0</v>
      </c>
      <c r="B3984" s="9" t="s">
        <v>8292</v>
      </c>
      <c r="C3984" s="9" t="s">
        <v>8293</v>
      </c>
      <c r="D3984" s="9" t="s">
        <v>98</v>
      </c>
      <c r="E3984" s="6" t="s">
        <v>8330</v>
      </c>
      <c r="F3984" s="9"/>
    </row>
    <row r="3985" ht="33.75" customHeight="1">
      <c r="A3985" s="7">
        <v>132.0</v>
      </c>
      <c r="B3985" s="9" t="s">
        <v>8292</v>
      </c>
      <c r="C3985" s="9" t="s">
        <v>8293</v>
      </c>
      <c r="D3985" s="9" t="s">
        <v>99</v>
      </c>
      <c r="E3985" s="6" t="s">
        <v>8330</v>
      </c>
      <c r="F3985" s="9"/>
    </row>
    <row r="3986" ht="33.75" customHeight="1">
      <c r="A3986" s="7">
        <v>132.0</v>
      </c>
      <c r="B3986" s="9" t="s">
        <v>8292</v>
      </c>
      <c r="C3986" s="9" t="s">
        <v>8293</v>
      </c>
      <c r="D3986" s="9" t="s">
        <v>101</v>
      </c>
      <c r="E3986" s="6" t="s">
        <v>8318</v>
      </c>
      <c r="F3986" s="9"/>
    </row>
    <row r="3987" ht="33.75" customHeight="1">
      <c r="A3987" s="7">
        <v>132.0</v>
      </c>
      <c r="B3987" s="9" t="s">
        <v>8292</v>
      </c>
      <c r="C3987" s="9" t="s">
        <v>8293</v>
      </c>
      <c r="D3987" s="9" t="s">
        <v>105</v>
      </c>
      <c r="E3987" s="6" t="s">
        <v>8334</v>
      </c>
      <c r="F3987" s="9"/>
    </row>
    <row r="3988" ht="33.75" customHeight="1">
      <c r="A3988" s="7">
        <v>132.0</v>
      </c>
      <c r="B3988" s="9" t="s">
        <v>8292</v>
      </c>
      <c r="C3988" s="9" t="s">
        <v>8293</v>
      </c>
      <c r="D3988" s="9" t="s">
        <v>107</v>
      </c>
      <c r="E3988" s="6" t="s">
        <v>8337</v>
      </c>
      <c r="F3988" s="9"/>
    </row>
    <row r="3989" ht="33.75" customHeight="1">
      <c r="A3989" s="7">
        <v>132.0</v>
      </c>
      <c r="B3989" s="9" t="s">
        <v>8292</v>
      </c>
      <c r="C3989" s="9" t="s">
        <v>8293</v>
      </c>
      <c r="D3989" s="9" t="s">
        <v>109</v>
      </c>
      <c r="E3989" s="6" t="s">
        <v>8337</v>
      </c>
      <c r="F3989" s="9"/>
    </row>
    <row r="3990" ht="33.75" customHeight="1">
      <c r="A3990" s="7">
        <v>132.0</v>
      </c>
      <c r="B3990" s="9" t="s">
        <v>8292</v>
      </c>
      <c r="C3990" s="9" t="s">
        <v>8293</v>
      </c>
      <c r="D3990" s="9" t="s">
        <v>637</v>
      </c>
      <c r="E3990" s="6" t="s">
        <v>8340</v>
      </c>
      <c r="F3990" s="9"/>
    </row>
    <row r="3991" ht="33.75" customHeight="1">
      <c r="A3991" s="7">
        <v>132.0</v>
      </c>
      <c r="B3991" s="9" t="s">
        <v>8292</v>
      </c>
      <c r="C3991" s="9" t="s">
        <v>8293</v>
      </c>
      <c r="D3991" s="9" t="s">
        <v>642</v>
      </c>
      <c r="E3991" s="6" t="s">
        <v>8343</v>
      </c>
      <c r="F3991" s="9"/>
    </row>
    <row r="3992" ht="33.75" customHeight="1">
      <c r="A3992" s="7">
        <v>132.0</v>
      </c>
      <c r="B3992" s="9" t="s">
        <v>8292</v>
      </c>
      <c r="C3992" s="9" t="s">
        <v>8293</v>
      </c>
      <c r="D3992" s="9" t="s">
        <v>647</v>
      </c>
      <c r="E3992" s="6" t="s">
        <v>8345</v>
      </c>
      <c r="F3992" s="9"/>
    </row>
    <row r="3993" ht="33.75" customHeight="1">
      <c r="A3993" s="7">
        <v>132.0</v>
      </c>
      <c r="B3993" s="9" t="s">
        <v>8292</v>
      </c>
      <c r="C3993" s="9" t="s">
        <v>8293</v>
      </c>
      <c r="D3993" s="9" t="s">
        <v>652</v>
      </c>
      <c r="E3993" s="6" t="s">
        <v>8347</v>
      </c>
      <c r="F3993" s="9"/>
    </row>
    <row r="3994" ht="33.75" customHeight="1">
      <c r="A3994" s="7">
        <v>132.0</v>
      </c>
      <c r="B3994" s="9" t="s">
        <v>8292</v>
      </c>
      <c r="C3994" s="9" t="s">
        <v>8293</v>
      </c>
      <c r="D3994" s="9" t="s">
        <v>111</v>
      </c>
      <c r="E3994" s="6" t="s">
        <v>8298</v>
      </c>
      <c r="F3994" s="9"/>
    </row>
    <row r="3995" ht="33.75" customHeight="1">
      <c r="A3995" s="7">
        <v>132.0</v>
      </c>
      <c r="B3995" s="9" t="s">
        <v>8292</v>
      </c>
      <c r="C3995" s="9" t="s">
        <v>8293</v>
      </c>
      <c r="D3995" s="9" t="s">
        <v>113</v>
      </c>
      <c r="E3995" s="6" t="s">
        <v>8298</v>
      </c>
      <c r="F3995" s="9"/>
    </row>
    <row r="3996" ht="33.75" customHeight="1">
      <c r="A3996" s="7">
        <v>132.0</v>
      </c>
      <c r="B3996" s="9" t="s">
        <v>8292</v>
      </c>
      <c r="C3996" s="9" t="s">
        <v>8293</v>
      </c>
      <c r="D3996" s="9" t="s">
        <v>114</v>
      </c>
      <c r="E3996" s="6" t="s">
        <v>8330</v>
      </c>
      <c r="F3996" s="9"/>
    </row>
    <row r="3997" ht="33.75" customHeight="1">
      <c r="A3997" s="7">
        <v>132.0</v>
      </c>
      <c r="B3997" s="9" t="s">
        <v>8292</v>
      </c>
      <c r="C3997" s="9" t="s">
        <v>8293</v>
      </c>
      <c r="D3997" s="9" t="s">
        <v>117</v>
      </c>
      <c r="E3997" s="6" t="s">
        <v>8353</v>
      </c>
      <c r="F3997" s="9"/>
    </row>
    <row r="3998" ht="33.75" customHeight="1">
      <c r="A3998" s="7">
        <v>133.0</v>
      </c>
      <c r="B3998" s="9" t="s">
        <v>8355</v>
      </c>
      <c r="C3998" s="9" t="s">
        <v>8356</v>
      </c>
      <c r="D3998" s="9" t="s">
        <v>24</v>
      </c>
      <c r="E3998" s="6" t="s">
        <v>8357</v>
      </c>
      <c r="F3998" t="inlineStr" s="10">
        <is>
          <t xml:space="preserve">Eeveen geneettinen koodi on epäsäännöllinen. Se voi mutatoitua, jos se altistuu alkuaineiden STONE säteilylle. Sen geneettinen koodi on epävakaa, joten se voi kehittyä monin eri tavoin. Niitä on elossa vain muutama. Sillä on kyky muuttaa kehonsa koostumusta ympäristöönsä sopivaksi. Sen epäsäännöllisesti muodostuneeseen DNA:han vaikuttaa sen ympäristö. Se kehittyy, jos sen ympäristö muuttuu. Sen kyky kehittyä moniin eri muotoihin mahdollistaa sen sopeutumisen sujuvasti ja täydellisesti mihin tahansa ympäristöön. EEVEE:llä on epävakaa geneettinen koostumus, joka mutatoituu äkillisesti elinympäristön vuoksi. Erilaisten KIVEIDEN säteily saa tämän POKéMONin kehittymään. EEVEE:llä on epävakaa geneettinen koostumus, joka mutatoituu äkillisesti ympäristön vuoksi. Erittäin harvinainen POKéMON, joka voi kehittyä monella eri tavalla ärsykkeistä riippuen. Se voi mutatoitua, jos se altistuu KIVET-elementin säteilylle. Harvinainen Pokémon, joka sopeutuu ankariin ympäristöihin ottamalla erilaisia ​​evolutiivisia muotoja. Koska sen geneettinen koostumus on epäsäännöllinen, se muuttaa muotoaan nopeasti useista syistä johtuen. Sillä on kyky muuttaa kehonsa koostumusta ympäristönsä olosuhteisiin sopivaksi. Epävakaan geneettisen koostumuksensa ansiosta tämä erityinen Pokémon kätkee sisäänsä monia erilaisia ​​​​mahdollisuuksia evoluutiossa. Eeveellä on epävakaa geneettinen koostumus, joka mutatoituu äkillisesti elinympäristön vuoksi. Erilaisten kivien säteily saa tämän Pokémonin kehittymään. Epätasapainoisen ja epävakaan geneettisen koostumuksensa ansiosta se kätkee sisäänsä monia mahdollisia evoluutioita. Nykytutkimukset osoittavat, että se voi kehittyä uskomattomaksi kahdeksaksi eri Pokémon-lajiksi. Kysymys siitä, miksi vain Eeveellä on niin epävakaat geenit, on edelleen ratkaisematta. Ympäristö vaikuttaa helposti sen geeneihin. Jopa sen kasvot alkavat näyttää kouluttajansa kasvoilta. Se voi kehittyä monenlaisiksi. Eeveen geenit ovat avain Pokémonien evoluution mysteerien ratkaisemiseen. Sisältää potentiaalin kehittyä moniin eri muotoihin. Eeveessä piilee avain Pokémonin evoluution mysteereihin – olen siitä varma.</t>
        </is>
      </c>
    </row>
    <row r="3999" ht="33.75" customHeight="1">
      <c r="A3999" s="7">
        <v>133.0</v>
      </c>
      <c r="B3999" s="9" t="s">
        <v>8355</v>
      </c>
      <c r="C3999" s="9" t="s">
        <v>8356</v>
      </c>
      <c r="D3999" s="9" t="s">
        <v>35</v>
      </c>
      <c r="E3999" s="6" t="s">
        <v>8357</v>
      </c>
      <c r="F3999" s="9"/>
    </row>
    <row r="4000" ht="33.75" customHeight="1">
      <c r="A4000" s="7">
        <v>133.0</v>
      </c>
      <c r="B4000" s="9" t="s">
        <v>8355</v>
      </c>
      <c r="C4000" s="9" t="s">
        <v>8356</v>
      </c>
      <c r="D4000" s="9" t="s">
        <v>42</v>
      </c>
      <c r="E4000" s="6" t="s">
        <v>8360</v>
      </c>
      <c r="F4000" s="9"/>
    </row>
    <row r="4001" ht="33.75" customHeight="1">
      <c r="A4001" s="7">
        <v>133.0</v>
      </c>
      <c r="B4001" s="9" t="s">
        <v>8355</v>
      </c>
      <c r="C4001" s="9" t="s">
        <v>8356</v>
      </c>
      <c r="D4001" s="9" t="s">
        <v>52</v>
      </c>
      <c r="E4001" s="6" t="s">
        <v>8362</v>
      </c>
      <c r="F4001" s="9"/>
    </row>
    <row r="4002" ht="33.75" customHeight="1">
      <c r="A4002" s="7">
        <v>133.0</v>
      </c>
      <c r="B4002" s="9" t="s">
        <v>8355</v>
      </c>
      <c r="C4002" s="9" t="s">
        <v>8356</v>
      </c>
      <c r="D4002" s="9" t="s">
        <v>59</v>
      </c>
      <c r="E4002" s="6" t="s">
        <v>8364</v>
      </c>
      <c r="F4002" s="9"/>
    </row>
    <row r="4003" ht="33.75" customHeight="1">
      <c r="A4003" s="7">
        <v>133.0</v>
      </c>
      <c r="B4003" s="9" t="s">
        <v>8355</v>
      </c>
      <c r="C4003" s="9" t="s">
        <v>8356</v>
      </c>
      <c r="D4003" s="9" t="s">
        <v>64</v>
      </c>
      <c r="E4003" s="6" t="s">
        <v>8365</v>
      </c>
      <c r="F4003" s="9"/>
    </row>
    <row r="4004" ht="33.75" customHeight="1">
      <c r="A4004" s="7">
        <v>133.0</v>
      </c>
      <c r="B4004" s="9" t="s">
        <v>8355</v>
      </c>
      <c r="C4004" s="9" t="s">
        <v>8356</v>
      </c>
      <c r="D4004" s="9" t="s">
        <v>67</v>
      </c>
      <c r="E4004" s="6" t="s">
        <v>8367</v>
      </c>
      <c r="F4004" s="9"/>
    </row>
    <row r="4005" ht="33.75" customHeight="1">
      <c r="A4005" s="7">
        <v>133.0</v>
      </c>
      <c r="B4005" s="9" t="s">
        <v>8355</v>
      </c>
      <c r="C4005" s="9" t="s">
        <v>8356</v>
      </c>
      <c r="D4005" s="9" t="s">
        <v>71</v>
      </c>
      <c r="E4005" s="6" t="s">
        <v>8367</v>
      </c>
      <c r="F4005" s="9"/>
    </row>
    <row r="4006" ht="33.75" customHeight="1">
      <c r="A4006" s="7">
        <v>133.0</v>
      </c>
      <c r="B4006" s="9" t="s">
        <v>8355</v>
      </c>
      <c r="C4006" s="9" t="s">
        <v>8356</v>
      </c>
      <c r="D4006" s="9" t="s">
        <v>73</v>
      </c>
      <c r="E4006" s="6" t="s">
        <v>8371</v>
      </c>
      <c r="F4006" s="9"/>
    </row>
    <row r="4007" ht="33.75" customHeight="1">
      <c r="A4007" s="7">
        <v>133.0</v>
      </c>
      <c r="B4007" s="9" t="s">
        <v>8355</v>
      </c>
      <c r="C4007" s="9" t="s">
        <v>8356</v>
      </c>
      <c r="D4007" s="9" t="s">
        <v>75</v>
      </c>
      <c r="E4007" s="6" t="s">
        <v>8373</v>
      </c>
      <c r="F4007" s="9"/>
    </row>
    <row r="4008" ht="33.75" customHeight="1">
      <c r="A4008" s="7">
        <v>133.0</v>
      </c>
      <c r="B4008" s="9" t="s">
        <v>8355</v>
      </c>
      <c r="C4008" s="9" t="s">
        <v>8356</v>
      </c>
      <c r="D4008" s="9" t="s">
        <v>79</v>
      </c>
      <c r="E4008" s="6" t="s">
        <v>8374</v>
      </c>
      <c r="F4008" s="9"/>
    </row>
    <row r="4009" ht="33.75" customHeight="1">
      <c r="A4009" s="7">
        <v>133.0</v>
      </c>
      <c r="B4009" s="9" t="s">
        <v>8355</v>
      </c>
      <c r="C4009" s="9" t="s">
        <v>8356</v>
      </c>
      <c r="D4009" s="9" t="s">
        <v>81</v>
      </c>
      <c r="E4009" s="6" t="s">
        <v>8376</v>
      </c>
      <c r="F4009" s="9"/>
    </row>
    <row r="4010" ht="33.75" customHeight="1">
      <c r="A4010" s="7">
        <v>133.0</v>
      </c>
      <c r="B4010" s="9" t="s">
        <v>8355</v>
      </c>
      <c r="C4010" s="9" t="s">
        <v>8356</v>
      </c>
      <c r="D4010" s="9" t="s">
        <v>84</v>
      </c>
      <c r="E4010" s="6" t="s">
        <v>8376</v>
      </c>
      <c r="F4010" s="9"/>
    </row>
    <row r="4011" ht="33.75" customHeight="1">
      <c r="A4011" s="7">
        <v>133.0</v>
      </c>
      <c r="B4011" s="9" t="s">
        <v>8355</v>
      </c>
      <c r="C4011" s="9" t="s">
        <v>8356</v>
      </c>
      <c r="D4011" s="9" t="s">
        <v>87</v>
      </c>
      <c r="E4011" s="6" t="s">
        <v>8379</v>
      </c>
      <c r="F4011" s="9"/>
    </row>
    <row r="4012" ht="33.75" customHeight="1">
      <c r="A4012" s="7">
        <v>133.0</v>
      </c>
      <c r="B4012" s="9" t="s">
        <v>8355</v>
      </c>
      <c r="C4012" s="9" t="s">
        <v>8356</v>
      </c>
      <c r="D4012" s="9" t="s">
        <v>89</v>
      </c>
      <c r="E4012" s="6" t="s">
        <v>8381</v>
      </c>
      <c r="F4012" s="9"/>
    </row>
    <row r="4013" ht="33.75" customHeight="1">
      <c r="A4013" s="7">
        <v>133.0</v>
      </c>
      <c r="B4013" s="9" t="s">
        <v>8355</v>
      </c>
      <c r="C4013" s="9" t="s">
        <v>8356</v>
      </c>
      <c r="D4013" s="9" t="s">
        <v>91</v>
      </c>
      <c r="E4013" s="6" t="s">
        <v>8364</v>
      </c>
      <c r="F4013" s="9"/>
    </row>
    <row r="4014" ht="33.75" customHeight="1">
      <c r="A4014" s="7">
        <v>133.0</v>
      </c>
      <c r="B4014" s="9" t="s">
        <v>8355</v>
      </c>
      <c r="C4014" s="9" t="s">
        <v>8356</v>
      </c>
      <c r="D4014" s="9" t="s">
        <v>93</v>
      </c>
      <c r="E4014" s="6" t="s">
        <v>8379</v>
      </c>
      <c r="F4014" s="9"/>
    </row>
    <row r="4015" ht="33.75" customHeight="1">
      <c r="A4015" s="7">
        <v>133.0</v>
      </c>
      <c r="B4015" s="9" t="s">
        <v>8355</v>
      </c>
      <c r="C4015" s="9" t="s">
        <v>8356</v>
      </c>
      <c r="D4015" s="9" t="s">
        <v>95</v>
      </c>
      <c r="E4015" s="6" t="s">
        <v>8379</v>
      </c>
      <c r="F4015" s="9"/>
    </row>
    <row r="4016" ht="33.75" customHeight="1">
      <c r="A4016" s="7">
        <v>133.0</v>
      </c>
      <c r="B4016" s="9" t="s">
        <v>8355</v>
      </c>
      <c r="C4016" s="9" t="s">
        <v>8356</v>
      </c>
      <c r="D4016" s="9" t="s">
        <v>98</v>
      </c>
      <c r="E4016" s="6" t="s">
        <v>8387</v>
      </c>
      <c r="F4016" s="9"/>
    </row>
    <row r="4017" ht="33.75" customHeight="1">
      <c r="A4017" s="7">
        <v>133.0</v>
      </c>
      <c r="B4017" s="9" t="s">
        <v>8355</v>
      </c>
      <c r="C4017" s="9" t="s">
        <v>8356</v>
      </c>
      <c r="D4017" s="9" t="s">
        <v>99</v>
      </c>
      <c r="E4017" s="6" t="s">
        <v>8387</v>
      </c>
      <c r="F4017" s="9"/>
    </row>
    <row r="4018" ht="33.75" customHeight="1">
      <c r="A4018" s="7">
        <v>133.0</v>
      </c>
      <c r="B4018" s="9" t="s">
        <v>8355</v>
      </c>
      <c r="C4018" s="9" t="s">
        <v>8356</v>
      </c>
      <c r="D4018" s="9" t="s">
        <v>101</v>
      </c>
      <c r="E4018" s="6" t="s">
        <v>8376</v>
      </c>
      <c r="F4018" s="9"/>
    </row>
    <row r="4019" ht="33.75" customHeight="1">
      <c r="A4019" s="7">
        <v>133.0</v>
      </c>
      <c r="B4019" s="9" t="s">
        <v>8355</v>
      </c>
      <c r="C4019" s="9" t="s">
        <v>8356</v>
      </c>
      <c r="D4019" s="9" t="s">
        <v>105</v>
      </c>
      <c r="E4019" s="6" t="s">
        <v>8387</v>
      </c>
      <c r="F4019" s="9"/>
    </row>
    <row r="4020" ht="33.75" customHeight="1">
      <c r="A4020" s="7">
        <v>133.0</v>
      </c>
      <c r="B4020" s="9" t="s">
        <v>8355</v>
      </c>
      <c r="C4020" s="9" t="s">
        <v>8356</v>
      </c>
      <c r="D4020" s="9" t="s">
        <v>107</v>
      </c>
      <c r="E4020" s="6" t="s">
        <v>8394</v>
      </c>
      <c r="F4020" s="9"/>
    </row>
    <row r="4021" ht="33.75" customHeight="1">
      <c r="A4021" s="7">
        <v>133.0</v>
      </c>
      <c r="B4021" s="9" t="s">
        <v>8355</v>
      </c>
      <c r="C4021" s="9" t="s">
        <v>8356</v>
      </c>
      <c r="D4021" s="9" t="s">
        <v>109</v>
      </c>
      <c r="E4021" s="6" t="s">
        <v>8394</v>
      </c>
      <c r="F4021" s="9"/>
    </row>
    <row r="4022" ht="33.75" customHeight="1">
      <c r="A4022" s="7">
        <v>133.0</v>
      </c>
      <c r="B4022" s="9" t="s">
        <v>8355</v>
      </c>
      <c r="C4022" s="9" t="s">
        <v>8356</v>
      </c>
      <c r="D4022" s="9" t="s">
        <v>637</v>
      </c>
      <c r="E4022" s="6" t="s">
        <v>8398</v>
      </c>
      <c r="F4022" s="9"/>
    </row>
    <row r="4023" ht="33.75" customHeight="1">
      <c r="A4023" s="7">
        <v>133.0</v>
      </c>
      <c r="B4023" s="9" t="s">
        <v>8355</v>
      </c>
      <c r="C4023" s="9" t="s">
        <v>8356</v>
      </c>
      <c r="D4023" s="9" t="s">
        <v>642</v>
      </c>
      <c r="E4023" s="6" t="s">
        <v>8402</v>
      </c>
      <c r="F4023" s="9"/>
    </row>
    <row r="4024" ht="33.75" customHeight="1">
      <c r="A4024" s="7">
        <v>133.0</v>
      </c>
      <c r="B4024" s="9" t="s">
        <v>8355</v>
      </c>
      <c r="C4024" s="9" t="s">
        <v>8356</v>
      </c>
      <c r="D4024" s="9" t="s">
        <v>647</v>
      </c>
      <c r="E4024" s="6" t="s">
        <v>8405</v>
      </c>
      <c r="F4024" s="9"/>
    </row>
    <row r="4025" ht="33.75" customHeight="1">
      <c r="A4025" s="7">
        <v>133.0</v>
      </c>
      <c r="B4025" s="9" t="s">
        <v>8355</v>
      </c>
      <c r="C4025" s="9" t="s">
        <v>8356</v>
      </c>
      <c r="D4025" s="9" t="s">
        <v>652</v>
      </c>
      <c r="E4025" s="6" t="s">
        <v>8408</v>
      </c>
      <c r="F4025" s="9"/>
    </row>
    <row r="4026" ht="33.75" customHeight="1">
      <c r="A4026" s="7">
        <v>133.0</v>
      </c>
      <c r="B4026" s="9" t="s">
        <v>8355</v>
      </c>
      <c r="C4026" s="9" t="s">
        <v>8356</v>
      </c>
      <c r="D4026" s="9" t="s">
        <v>111</v>
      </c>
      <c r="E4026" s="6" t="s">
        <v>8410</v>
      </c>
      <c r="F4026" s="9"/>
    </row>
    <row r="4027" ht="33.75" customHeight="1">
      <c r="A4027" s="7">
        <v>133.0</v>
      </c>
      <c r="B4027" s="9" t="s">
        <v>8355</v>
      </c>
      <c r="C4027" s="9" t="s">
        <v>8356</v>
      </c>
      <c r="D4027" s="9" t="s">
        <v>113</v>
      </c>
      <c r="E4027" s="6" t="s">
        <v>8410</v>
      </c>
      <c r="F4027" s="9"/>
    </row>
    <row r="4028" ht="33.75" customHeight="1">
      <c r="A4028" s="7">
        <v>133.0</v>
      </c>
      <c r="B4028" s="9" t="s">
        <v>8355</v>
      </c>
      <c r="C4028" s="9" t="s">
        <v>8356</v>
      </c>
      <c r="D4028" s="9" t="s">
        <v>114</v>
      </c>
      <c r="E4028" s="6" t="s">
        <v>8381</v>
      </c>
      <c r="F4028" s="9"/>
    </row>
    <row r="4029" ht="33.75" customHeight="1">
      <c r="A4029" s="7">
        <v>133.0</v>
      </c>
      <c r="B4029" s="9" t="s">
        <v>8355</v>
      </c>
      <c r="C4029" s="9" t="s">
        <v>8356</v>
      </c>
      <c r="D4029" s="9" t="s">
        <v>117</v>
      </c>
      <c r="E4029" s="6" t="s">
        <v>8387</v>
      </c>
      <c r="F4029" s="9"/>
    </row>
    <row r="4030" ht="33.75" customHeight="1">
      <c r="A4030" s="7">
        <v>133.0</v>
      </c>
      <c r="B4030" s="9" t="s">
        <v>8355</v>
      </c>
      <c r="C4030" s="9" t="s">
        <v>8356</v>
      </c>
      <c r="D4030" s="9" t="s">
        <v>1577</v>
      </c>
      <c r="E4030" s="6" t="s">
        <v>8415</v>
      </c>
      <c r="F4030" s="9"/>
    </row>
    <row r="4031" ht="33.75" customHeight="1">
      <c r="A4031" s="7">
        <v>134.0</v>
      </c>
      <c r="B4031" s="9" t="s">
        <v>8417</v>
      </c>
      <c r="C4031" s="9" t="s">
        <v>8418</v>
      </c>
      <c r="D4031" s="9" t="s">
        <v>24</v>
      </c>
      <c r="E4031" s="6" t="s">
        <v>8420</v>
      </c>
      <c r="F4031" t="inlineStr" s="10">
        <is>
          <t xml:space="preserve">Asuu veden lähellä. Sen pitkässä pyrstössä on harjanne ja evä, jota usein luullaan merenneidon eväksi. Sen solurakenne on samanlainen kuin vesimolekyylien. Se sulaa pois ja muuttuu näkymättömäksi vedessä. Kun VAPOREONin evät alkavat värähdellä, se on merkki siitä, että sadetta tulee muutaman tunnin kuluessa. Se viihtyy kauniissa rannoissa. Koska sen solut ovat vesimolekyylien kaltaisia, se voisi sulaa vedessä. Koska se käyttää uintiin pyrstönsä kärjessä olevia eviä, se sulautuu veteen täydellisesti. VAPOREON koki spontaanin mutaation ja kasvatti evät ja kidukset, jotka mahdollistavat sen elämän veden alla. Tällä POKéMONilla on kyky hallita vettä vapaasti. VAPOREONit kokivat spontaanin mutaation ja kasvattivat evät ja kidukset, jotka mahdollistavat niiden elämän veden alla. Niillä on kyky hallita vettä vapaasti. Sen kehon solurakenne on samanlainen kuin veden molekyylikoostumus. Se voi sulaa näkymättömästi veteen. Se on kehittynyt sopivaksi vesieliöille. Sen solukoostumus on samanlainen kuin vesimolekyylien. Tämän seurauksena se voi sulaa vedeksi. Tämän seurauksena sitä ei voida nähdä, kun se sulaa vedeksi. Vaporeonille tapahtui spontaanisti mutaatio, ja sille kasvoi evät ja kidukset, joiden avulla se voi elää veden alla. Sen solut koostuvat vesimolekyylien kaltaisista yksiköistä. Se elää veden lähellä ja sitä usein luullaan merenneidoksi. Se sulautuu veteen ja pyyhkii pois kaikki merkit läsnäolostaan ​​odottaen kärsivällisesti saalistaan, kala-Pokémonia. Kirkkaat ja puhtaat vedet ovat sen tavanomainen elinympäristö. Kun se on vihollisen hyökkäyksen uhan alla, se sukeltaa veteen piiloon. Se havaitsee lähellä olevan kosteuden evällään. Kun sen evä alkaa täristä nopeasti, se tarkoittaa, että muutaman tunnin kuluttua sataa. Se sulaa veteen ja muuttuu näkymättömäksi. Testit osoittavat, että sen solut muistuttavat läheisesti vesimolekyylejä, mikä kenties selittää sen kyvyn kätkeä muotonsa veden alla. Uskon, että merenneitoperinteen alkuperä on tässä Pokémonissa.</t>
        </is>
      </c>
    </row>
    <row r="4032" ht="33.75" customHeight="1">
      <c r="A4032" s="7">
        <v>134.0</v>
      </c>
      <c r="B4032" s="9" t="s">
        <v>8417</v>
      </c>
      <c r="C4032" s="9" t="s">
        <v>8418</v>
      </c>
      <c r="D4032" s="9" t="s">
        <v>35</v>
      </c>
      <c r="E4032" s="6" t="s">
        <v>8420</v>
      </c>
      <c r="F4032" s="9"/>
    </row>
    <row r="4033" ht="33.75" customHeight="1">
      <c r="A4033" s="7">
        <v>134.0</v>
      </c>
      <c r="B4033" s="9" t="s">
        <v>8417</v>
      </c>
      <c r="C4033" s="9" t="s">
        <v>8418</v>
      </c>
      <c r="D4033" s="9" t="s">
        <v>42</v>
      </c>
      <c r="E4033" s="6" t="s">
        <v>8424</v>
      </c>
      <c r="F4033" s="9"/>
    </row>
    <row r="4034" ht="33.75" customHeight="1">
      <c r="A4034" s="7">
        <v>134.0</v>
      </c>
      <c r="B4034" s="9" t="s">
        <v>8417</v>
      </c>
      <c r="C4034" s="9" t="s">
        <v>8418</v>
      </c>
      <c r="D4034" s="9" t="s">
        <v>52</v>
      </c>
      <c r="E4034" s="6" t="s">
        <v>8426</v>
      </c>
      <c r="F4034" s="9"/>
    </row>
    <row r="4035" ht="33.75" customHeight="1">
      <c r="A4035" s="7">
        <v>134.0</v>
      </c>
      <c r="B4035" s="9" t="s">
        <v>8417</v>
      </c>
      <c r="C4035" s="9" t="s">
        <v>8418</v>
      </c>
      <c r="D4035" s="9" t="s">
        <v>59</v>
      </c>
      <c r="E4035" s="6" t="s">
        <v>8428</v>
      </c>
      <c r="F4035" s="9"/>
    </row>
    <row r="4036" ht="33.75" customHeight="1">
      <c r="A4036" s="7">
        <v>134.0</v>
      </c>
      <c r="B4036" s="9" t="s">
        <v>8417</v>
      </c>
      <c r="C4036" s="9" t="s">
        <v>8418</v>
      </c>
      <c r="D4036" s="9" t="s">
        <v>64</v>
      </c>
      <c r="E4036" s="6" t="s">
        <v>8430</v>
      </c>
      <c r="F4036" s="9"/>
    </row>
    <row r="4037" ht="33.75" customHeight="1">
      <c r="A4037" s="7">
        <v>134.0</v>
      </c>
      <c r="B4037" s="9" t="s">
        <v>8417</v>
      </c>
      <c r="C4037" s="9" t="s">
        <v>8418</v>
      </c>
      <c r="D4037" s="9" t="s">
        <v>67</v>
      </c>
      <c r="E4037" s="6" t="s">
        <v>8432</v>
      </c>
      <c r="F4037" s="9"/>
    </row>
    <row r="4038" ht="33.75" customHeight="1">
      <c r="A4038" s="7">
        <v>134.0</v>
      </c>
      <c r="B4038" s="9" t="s">
        <v>8417</v>
      </c>
      <c r="C4038" s="9" t="s">
        <v>8418</v>
      </c>
      <c r="D4038" s="9" t="s">
        <v>71</v>
      </c>
      <c r="E4038" s="6" t="s">
        <v>8432</v>
      </c>
      <c r="F4038" s="9"/>
    </row>
    <row r="4039" ht="33.75" customHeight="1">
      <c r="A4039" s="7">
        <v>134.0</v>
      </c>
      <c r="B4039" s="9" t="s">
        <v>8417</v>
      </c>
      <c r="C4039" s="9" t="s">
        <v>8418</v>
      </c>
      <c r="D4039" s="9" t="s">
        <v>73</v>
      </c>
      <c r="E4039" s="6" t="s">
        <v>8436</v>
      </c>
      <c r="F4039" s="9"/>
    </row>
    <row r="4040" ht="33.75" customHeight="1">
      <c r="A4040" s="7">
        <v>134.0</v>
      </c>
      <c r="B4040" s="9" t="s">
        <v>8417</v>
      </c>
      <c r="C4040" s="9" t="s">
        <v>8418</v>
      </c>
      <c r="D4040" s="9" t="s">
        <v>75</v>
      </c>
      <c r="E4040" s="6" t="s">
        <v>8438</v>
      </c>
      <c r="F4040" s="9"/>
    </row>
    <row r="4041" ht="33.75" customHeight="1">
      <c r="A4041" s="7">
        <v>134.0</v>
      </c>
      <c r="B4041" s="9" t="s">
        <v>8417</v>
      </c>
      <c r="C4041" s="9" t="s">
        <v>8418</v>
      </c>
      <c r="D4041" s="9" t="s">
        <v>79</v>
      </c>
      <c r="E4041" s="6" t="s">
        <v>8420</v>
      </c>
      <c r="F4041" s="9"/>
    </row>
    <row r="4042" ht="33.75" customHeight="1">
      <c r="A4042" s="7">
        <v>134.0</v>
      </c>
      <c r="B4042" s="9" t="s">
        <v>8417</v>
      </c>
      <c r="C4042" s="9" t="s">
        <v>8418</v>
      </c>
      <c r="D4042" s="9" t="s">
        <v>81</v>
      </c>
      <c r="E4042" s="6" t="s">
        <v>8442</v>
      </c>
      <c r="F4042" s="9"/>
    </row>
    <row r="4043" ht="33.75" customHeight="1">
      <c r="A4043" s="7">
        <v>134.0</v>
      </c>
      <c r="B4043" s="9" t="s">
        <v>8417</v>
      </c>
      <c r="C4043" s="9" t="s">
        <v>8418</v>
      </c>
      <c r="D4043" s="9" t="s">
        <v>84</v>
      </c>
      <c r="E4043" s="6" t="s">
        <v>8442</v>
      </c>
      <c r="F4043" s="9"/>
    </row>
    <row r="4044" ht="33.75" customHeight="1">
      <c r="A4044" s="7">
        <v>134.0</v>
      </c>
      <c r="B4044" s="9" t="s">
        <v>8417</v>
      </c>
      <c r="C4044" s="9" t="s">
        <v>8418</v>
      </c>
      <c r="D4044" s="9" t="s">
        <v>87</v>
      </c>
      <c r="E4044" s="6" t="s">
        <v>8445</v>
      </c>
      <c r="F4044" s="9"/>
    </row>
    <row r="4045" ht="33.75" customHeight="1">
      <c r="A4045" s="7">
        <v>134.0</v>
      </c>
      <c r="B4045" s="9" t="s">
        <v>8417</v>
      </c>
      <c r="C4045" s="9" t="s">
        <v>8418</v>
      </c>
      <c r="D4045" s="9" t="s">
        <v>89</v>
      </c>
      <c r="E4045" s="6" t="s">
        <v>8426</v>
      </c>
      <c r="F4045" s="9"/>
    </row>
    <row r="4046" ht="33.75" customHeight="1">
      <c r="A4046" s="7">
        <v>134.0</v>
      </c>
      <c r="B4046" s="9" t="s">
        <v>8417</v>
      </c>
      <c r="C4046" s="9" t="s">
        <v>8418</v>
      </c>
      <c r="D4046" s="9" t="s">
        <v>91</v>
      </c>
      <c r="E4046" s="6" t="s">
        <v>8428</v>
      </c>
      <c r="F4046" s="9"/>
    </row>
    <row r="4047" ht="33.75" customHeight="1">
      <c r="A4047" s="7">
        <v>134.0</v>
      </c>
      <c r="B4047" s="9" t="s">
        <v>8417</v>
      </c>
      <c r="C4047" s="9" t="s">
        <v>8418</v>
      </c>
      <c r="D4047" s="9" t="s">
        <v>93</v>
      </c>
      <c r="E4047" s="6" t="s">
        <v>8445</v>
      </c>
      <c r="F4047" s="9"/>
    </row>
    <row r="4048" ht="33.75" customHeight="1">
      <c r="A4048" s="7">
        <v>134.0</v>
      </c>
      <c r="B4048" s="9" t="s">
        <v>8417</v>
      </c>
      <c r="C4048" s="9" t="s">
        <v>8418</v>
      </c>
      <c r="D4048" s="9" t="s">
        <v>95</v>
      </c>
      <c r="E4048" s="6" t="s">
        <v>8445</v>
      </c>
      <c r="F4048" s="9"/>
    </row>
    <row r="4049" ht="33.75" customHeight="1">
      <c r="A4049" s="7">
        <v>134.0</v>
      </c>
      <c r="B4049" s="9" t="s">
        <v>8417</v>
      </c>
      <c r="C4049" s="9" t="s">
        <v>8418</v>
      </c>
      <c r="D4049" s="9" t="s">
        <v>98</v>
      </c>
      <c r="E4049" s="6" t="s">
        <v>8453</v>
      </c>
      <c r="F4049" s="9"/>
    </row>
    <row r="4050" ht="33.75" customHeight="1">
      <c r="A4050" s="7">
        <v>134.0</v>
      </c>
      <c r="B4050" s="9" t="s">
        <v>8417</v>
      </c>
      <c r="C4050" s="9" t="s">
        <v>8418</v>
      </c>
      <c r="D4050" s="9" t="s">
        <v>99</v>
      </c>
      <c r="E4050" s="6" t="s">
        <v>8453</v>
      </c>
      <c r="F4050" s="9"/>
    </row>
    <row r="4051" ht="33.75" customHeight="1">
      <c r="A4051" s="7">
        <v>134.0</v>
      </c>
      <c r="B4051" s="9" t="s">
        <v>8417</v>
      </c>
      <c r="C4051" s="9" t="s">
        <v>8418</v>
      </c>
      <c r="D4051" s="9" t="s">
        <v>101</v>
      </c>
      <c r="E4051" s="6" t="s">
        <v>8428</v>
      </c>
      <c r="F4051" s="9"/>
    </row>
    <row r="4052" ht="33.75" customHeight="1">
      <c r="A4052" s="7">
        <v>134.0</v>
      </c>
      <c r="B4052" s="9" t="s">
        <v>8417</v>
      </c>
      <c r="C4052" s="9" t="s">
        <v>8418</v>
      </c>
      <c r="D4052" s="9" t="s">
        <v>105</v>
      </c>
      <c r="E4052" s="6" t="s">
        <v>8442</v>
      </c>
      <c r="F4052" s="9"/>
    </row>
    <row r="4053" ht="33.75" customHeight="1">
      <c r="A4053" s="7">
        <v>134.0</v>
      </c>
      <c r="B4053" s="9" t="s">
        <v>8417</v>
      </c>
      <c r="C4053" s="9" t="s">
        <v>8418</v>
      </c>
      <c r="D4053" s="9" t="s">
        <v>107</v>
      </c>
      <c r="E4053" s="6" t="s">
        <v>8459</v>
      </c>
      <c r="F4053" s="9"/>
    </row>
    <row r="4054" ht="33.75" customHeight="1">
      <c r="A4054" s="7">
        <v>134.0</v>
      </c>
      <c r="B4054" s="9" t="s">
        <v>8417</v>
      </c>
      <c r="C4054" s="9" t="s">
        <v>8418</v>
      </c>
      <c r="D4054" s="9" t="s">
        <v>109</v>
      </c>
      <c r="E4054" s="6" t="s">
        <v>8459</v>
      </c>
      <c r="F4054" s="9"/>
    </row>
    <row r="4055" ht="33.75" customHeight="1">
      <c r="A4055" s="7">
        <v>134.0</v>
      </c>
      <c r="B4055" s="9" t="s">
        <v>8417</v>
      </c>
      <c r="C4055" s="9" t="s">
        <v>8418</v>
      </c>
      <c r="D4055" s="9" t="s">
        <v>637</v>
      </c>
      <c r="E4055" s="6" t="s">
        <v>8462</v>
      </c>
      <c r="F4055" s="9"/>
    </row>
    <row r="4056" ht="33.75" customHeight="1">
      <c r="A4056" s="7">
        <v>134.0</v>
      </c>
      <c r="B4056" s="9" t="s">
        <v>8417</v>
      </c>
      <c r="C4056" s="9" t="s">
        <v>8418</v>
      </c>
      <c r="D4056" s="9" t="s">
        <v>642</v>
      </c>
      <c r="E4056" s="6" t="s">
        <v>8465</v>
      </c>
      <c r="F4056" s="9"/>
    </row>
    <row r="4057" ht="33.75" customHeight="1">
      <c r="A4057" s="7">
        <v>134.0</v>
      </c>
      <c r="B4057" s="9" t="s">
        <v>8417</v>
      </c>
      <c r="C4057" s="9" t="s">
        <v>8418</v>
      </c>
      <c r="D4057" s="9" t="s">
        <v>647</v>
      </c>
      <c r="E4057" s="6" t="s">
        <v>8468</v>
      </c>
      <c r="F4057" s="9"/>
    </row>
    <row r="4058" ht="33.75" customHeight="1">
      <c r="A4058" s="7">
        <v>134.0</v>
      </c>
      <c r="B4058" s="9" t="s">
        <v>8417</v>
      </c>
      <c r="C4058" s="9" t="s">
        <v>8418</v>
      </c>
      <c r="D4058" s="9" t="s">
        <v>652</v>
      </c>
      <c r="E4058" s="6" t="s">
        <v>8471</v>
      </c>
      <c r="F4058" s="9"/>
    </row>
    <row r="4059" ht="33.75" customHeight="1">
      <c r="A4059" s="7">
        <v>134.0</v>
      </c>
      <c r="B4059" s="9" t="s">
        <v>8417</v>
      </c>
      <c r="C4059" s="9" t="s">
        <v>8418</v>
      </c>
      <c r="D4059" s="9" t="s">
        <v>111</v>
      </c>
      <c r="E4059" s="6" t="s">
        <v>8474</v>
      </c>
      <c r="F4059" s="9"/>
    </row>
    <row r="4060" ht="33.75" customHeight="1">
      <c r="A4060" s="7">
        <v>134.0</v>
      </c>
      <c r="B4060" s="9" t="s">
        <v>8417</v>
      </c>
      <c r="C4060" s="9" t="s">
        <v>8418</v>
      </c>
      <c r="D4060" s="9" t="s">
        <v>113</v>
      </c>
      <c r="E4060" s="6" t="s">
        <v>8474</v>
      </c>
      <c r="F4060" s="9"/>
    </row>
    <row r="4061" ht="33.75" customHeight="1">
      <c r="A4061" s="7">
        <v>134.0</v>
      </c>
      <c r="B4061" s="9" t="s">
        <v>8417</v>
      </c>
      <c r="C4061" s="9" t="s">
        <v>8418</v>
      </c>
      <c r="D4061" s="9" t="s">
        <v>114</v>
      </c>
      <c r="E4061" s="6" t="s">
        <v>8480</v>
      </c>
      <c r="F4061" s="9"/>
    </row>
    <row r="4062" ht="33.75" customHeight="1">
      <c r="A4062" s="7">
        <v>134.0</v>
      </c>
      <c r="B4062" s="9" t="s">
        <v>8417</v>
      </c>
      <c r="C4062" s="9" t="s">
        <v>8418</v>
      </c>
      <c r="D4062" s="9" t="s">
        <v>117</v>
      </c>
      <c r="E4062" s="6" t="s">
        <v>8438</v>
      </c>
      <c r="F4062" s="9"/>
    </row>
    <row r="4063" ht="33.75" customHeight="1">
      <c r="A4063" s="7">
        <v>134.0</v>
      </c>
      <c r="B4063" s="9" t="s">
        <v>8417</v>
      </c>
      <c r="C4063" s="9" t="s">
        <v>8418</v>
      </c>
      <c r="D4063" s="9" t="s">
        <v>1577</v>
      </c>
      <c r="E4063" s="6" t="s">
        <v>8484</v>
      </c>
      <c r="F4063" s="9"/>
    </row>
    <row r="4064" ht="33.75" customHeight="1">
      <c r="A4064" s="7">
        <v>135.0</v>
      </c>
      <c r="B4064" s="9" t="s">
        <v>8486</v>
      </c>
      <c r="C4064" s="9" t="s">
        <v>8487</v>
      </c>
      <c r="D4064" s="9" t="s">
        <v>24</v>
      </c>
      <c r="E4064" s="6" t="s">
        <v>8489</v>
      </c>
      <c r="F4064" t="inlineStr" s="10">
        <is>
          <t xml:space="preserve">Jolteon kerää ilmakehään negatiivisia ioneja, jotka voivat laukaista 10 000 voltin salamoita. Herkkä POKéMON, joka helposti surullistuu tai suuttuu. Joka kerta, kun sen mieliala muuttuu, se latautuu. Se keskittää kennojensa lähettämät heikot sähkövaraukset ja laukaisee voimakkaita salamoita. Jokainen sen kehon karva nousee pystyyn, jos siihen tulee sähkövaraus. Sen turkissa syntyvät negatiivisesti varautuneet ionit aiheuttavat jatkuvaa kipinöintiääntä. JOLTEONin kennot tuottavat vähän sähköä. Tätä tehoa vahvistaa sen turkin staattinen sähkö, minkä ansiosta POKéMON voi pudottaa salamoja. Harjaksinen turkki on tehty sähköisesti varautuneista neuloista. Sen solut tuottavat heikkoa virtaa, jota sen turkin staattinen sähkö vahvistaa ja joka saa aikaan salamaiskuja. Jos se on vihainen tai säikähtänyt, sen turkki nousee pystyyn kuin terävät neulat, jotka lävistävät vihollisia. Se kerää ilmakehään negatiivisia ioneja, jotka laukaisevat 10 000 voltin salamoita. Se ohjaa 10 000 voltin tehoa ja voi nostaa kaikki ruumiinsa karvat kuin teräviä neuloja. Jos se on levoton, se käyttää sähköä suoristaakseen turkkinsa ja laukaistakseen sen pieninä nippuina. Varastoimalla sähköä kehoonsa se voi ampua harjasmaista turkkiaan kuin ohjussarven. Jolteonin solut tuottavat vähän sähköä. Ne lähettävät noin 10 000 voltin sähkövarauksia. Koska ne ovat erittäin jännitteisiä, niiden lähellä voi olla vaikea kasvaa. Kun sen turkki nousee pystyyn, se on merkki siitä, että se on päästämässä sähköiskun. Ole varovainen, sillä joskus salama iskee myös sen viereen. Sen keuhkoissa on elin, joka tuottaa sähköä. Sähkön rätinää voi kuulla sen uloshengityksessä. Sen turkki nousee pystyyn ja muuttuu neulojen kaltaiseksi, joita se ampuu vihollisia kohti. Kun ne ovat heikentyneet, se viimeistelee ne 10 000 voltin sähköiskulla. Herkkä Pokémon, joka helposti sureutuu tai suuttuu. Joka kerta, kun sen mieliala muuttuu, se latautuu voimalla. Raivostuneena se harjaa turkkinsa teräviksi, neulanmuotoisiksi harjaksiksi. Sen hengityksessä voi kuulla sähkön rätinää uloshengittäessä.</t>
        </is>
      </c>
    </row>
    <row r="4065" ht="33.75" customHeight="1">
      <c r="A4065" s="7">
        <v>135.0</v>
      </c>
      <c r="B4065" s="9" t="s">
        <v>8486</v>
      </c>
      <c r="C4065" s="9" t="s">
        <v>8487</v>
      </c>
      <c r="D4065" s="9" t="s">
        <v>35</v>
      </c>
      <c r="E4065" s="6" t="s">
        <v>8489</v>
      </c>
      <c r="F4065" s="9"/>
    </row>
    <row r="4066" ht="33.75" customHeight="1">
      <c r="A4066" s="7">
        <v>135.0</v>
      </c>
      <c r="B4066" s="9" t="s">
        <v>8486</v>
      </c>
      <c r="C4066" s="9" t="s">
        <v>8487</v>
      </c>
      <c r="D4066" s="9" t="s">
        <v>42</v>
      </c>
      <c r="E4066" s="6" t="s">
        <v>8496</v>
      </c>
      <c r="F4066" s="9"/>
    </row>
    <row r="4067" ht="33.75" customHeight="1">
      <c r="A4067" s="7">
        <v>135.0</v>
      </c>
      <c r="B4067" s="9" t="s">
        <v>8486</v>
      </c>
      <c r="C4067" s="9" t="s">
        <v>8487</v>
      </c>
      <c r="D4067" s="9" t="s">
        <v>52</v>
      </c>
      <c r="E4067" s="6" t="s">
        <v>8500</v>
      </c>
      <c r="F4067" s="9"/>
    </row>
    <row r="4068" ht="33.75" customHeight="1">
      <c r="A4068" s="7">
        <v>135.0</v>
      </c>
      <c r="B4068" s="9" t="s">
        <v>8486</v>
      </c>
      <c r="C4068" s="9" t="s">
        <v>8487</v>
      </c>
      <c r="D4068" s="9" t="s">
        <v>59</v>
      </c>
      <c r="E4068" s="6" t="s">
        <v>8503</v>
      </c>
      <c r="F4068" s="9"/>
    </row>
    <row r="4069" ht="33.75" customHeight="1">
      <c r="A4069" s="7">
        <v>135.0</v>
      </c>
      <c r="B4069" s="9" t="s">
        <v>8486</v>
      </c>
      <c r="C4069" s="9" t="s">
        <v>8487</v>
      </c>
      <c r="D4069" s="9" t="s">
        <v>64</v>
      </c>
      <c r="E4069" s="6" t="s">
        <v>8507</v>
      </c>
      <c r="F4069" s="9"/>
    </row>
    <row r="4070" ht="33.75" customHeight="1">
      <c r="A4070" s="7">
        <v>135.0</v>
      </c>
      <c r="B4070" s="9" t="s">
        <v>8486</v>
      </c>
      <c r="C4070" s="9" t="s">
        <v>8487</v>
      </c>
      <c r="D4070" s="9" t="s">
        <v>67</v>
      </c>
      <c r="E4070" s="6" t="s">
        <v>8511</v>
      </c>
      <c r="F4070" s="9"/>
    </row>
    <row r="4071" ht="33.75" customHeight="1">
      <c r="A4071" s="7">
        <v>135.0</v>
      </c>
      <c r="B4071" s="9" t="s">
        <v>8486</v>
      </c>
      <c r="C4071" s="9" t="s">
        <v>8487</v>
      </c>
      <c r="D4071" s="9" t="s">
        <v>71</v>
      </c>
      <c r="E4071" s="6" t="s">
        <v>8511</v>
      </c>
      <c r="F4071" s="9"/>
    </row>
    <row r="4072" ht="33.75" customHeight="1">
      <c r="A4072" s="7">
        <v>135.0</v>
      </c>
      <c r="B4072" s="9" t="s">
        <v>8486</v>
      </c>
      <c r="C4072" s="9" t="s">
        <v>8487</v>
      </c>
      <c r="D4072" s="9" t="s">
        <v>73</v>
      </c>
      <c r="E4072" s="6" t="s">
        <v>8517</v>
      </c>
      <c r="F4072" s="9"/>
    </row>
    <row r="4073" ht="33.75" customHeight="1">
      <c r="A4073" s="7">
        <v>135.0</v>
      </c>
      <c r="B4073" s="9" t="s">
        <v>8486</v>
      </c>
      <c r="C4073" s="9" t="s">
        <v>8487</v>
      </c>
      <c r="D4073" s="9" t="s">
        <v>75</v>
      </c>
      <c r="E4073" s="6" t="s">
        <v>8520</v>
      </c>
      <c r="F4073" s="9"/>
    </row>
    <row r="4074" ht="33.75" customHeight="1">
      <c r="A4074" s="7">
        <v>135.0</v>
      </c>
      <c r="B4074" s="9" t="s">
        <v>8486</v>
      </c>
      <c r="C4074" s="9" t="s">
        <v>8487</v>
      </c>
      <c r="D4074" s="9" t="s">
        <v>79</v>
      </c>
      <c r="E4074" s="6" t="s">
        <v>8524</v>
      </c>
      <c r="F4074" s="9"/>
    </row>
    <row r="4075" ht="33.75" customHeight="1">
      <c r="A4075" s="7">
        <v>135.0</v>
      </c>
      <c r="B4075" s="9" t="s">
        <v>8486</v>
      </c>
      <c r="C4075" s="9" t="s">
        <v>8487</v>
      </c>
      <c r="D4075" s="9" t="s">
        <v>81</v>
      </c>
      <c r="E4075" s="6" t="s">
        <v>8528</v>
      </c>
      <c r="F4075" s="9"/>
    </row>
    <row r="4076" ht="33.75" customHeight="1">
      <c r="A4076" s="7">
        <v>135.0</v>
      </c>
      <c r="B4076" s="9" t="s">
        <v>8486</v>
      </c>
      <c r="C4076" s="9" t="s">
        <v>8487</v>
      </c>
      <c r="D4076" s="9" t="s">
        <v>84</v>
      </c>
      <c r="E4076" s="6" t="s">
        <v>8528</v>
      </c>
      <c r="F4076" s="9"/>
    </row>
    <row r="4077" ht="33.75" customHeight="1">
      <c r="A4077" s="7">
        <v>135.0</v>
      </c>
      <c r="B4077" s="9" t="s">
        <v>8486</v>
      </c>
      <c r="C4077" s="9" t="s">
        <v>8487</v>
      </c>
      <c r="D4077" s="9" t="s">
        <v>87</v>
      </c>
      <c r="E4077" s="6" t="s">
        <v>8534</v>
      </c>
      <c r="F4077" s="9"/>
    </row>
    <row r="4078" ht="33.75" customHeight="1">
      <c r="A4078" s="7">
        <v>135.0</v>
      </c>
      <c r="B4078" s="9" t="s">
        <v>8486</v>
      </c>
      <c r="C4078" s="9" t="s">
        <v>8487</v>
      </c>
      <c r="D4078" s="9" t="s">
        <v>89</v>
      </c>
      <c r="E4078" s="6" t="s">
        <v>8500</v>
      </c>
      <c r="F4078" s="9"/>
    </row>
    <row r="4079" ht="33.75" customHeight="1">
      <c r="A4079" s="7">
        <v>135.0</v>
      </c>
      <c r="B4079" s="9" t="s">
        <v>8486</v>
      </c>
      <c r="C4079" s="9" t="s">
        <v>8487</v>
      </c>
      <c r="D4079" s="9" t="s">
        <v>91</v>
      </c>
      <c r="E4079" s="6" t="s">
        <v>8503</v>
      </c>
      <c r="F4079" s="9"/>
    </row>
    <row r="4080" ht="33.75" customHeight="1">
      <c r="A4080" s="7">
        <v>135.0</v>
      </c>
      <c r="B4080" s="9" t="s">
        <v>8486</v>
      </c>
      <c r="C4080" s="9" t="s">
        <v>8487</v>
      </c>
      <c r="D4080" s="9" t="s">
        <v>93</v>
      </c>
      <c r="E4080" s="6" t="s">
        <v>8534</v>
      </c>
      <c r="F4080" s="9"/>
    </row>
    <row r="4081" ht="33.75" customHeight="1">
      <c r="A4081" s="7">
        <v>135.0</v>
      </c>
      <c r="B4081" s="9" t="s">
        <v>8486</v>
      </c>
      <c r="C4081" s="9" t="s">
        <v>8487</v>
      </c>
      <c r="D4081" s="9" t="s">
        <v>95</v>
      </c>
      <c r="E4081" s="6" t="s">
        <v>8534</v>
      </c>
      <c r="F4081" s="9"/>
    </row>
    <row r="4082" ht="33.75" customHeight="1">
      <c r="A4082" s="7">
        <v>135.0</v>
      </c>
      <c r="B4082" s="9" t="s">
        <v>8486</v>
      </c>
      <c r="C4082" s="9" t="s">
        <v>8487</v>
      </c>
      <c r="D4082" s="9" t="s">
        <v>98</v>
      </c>
      <c r="E4082" s="6" t="s">
        <v>8546</v>
      </c>
      <c r="F4082" s="9"/>
    </row>
    <row r="4083" ht="33.75" customHeight="1">
      <c r="A4083" s="7">
        <v>135.0</v>
      </c>
      <c r="B4083" s="9" t="s">
        <v>8486</v>
      </c>
      <c r="C4083" s="9" t="s">
        <v>8487</v>
      </c>
      <c r="D4083" s="9" t="s">
        <v>99</v>
      </c>
      <c r="E4083" s="6" t="s">
        <v>8546</v>
      </c>
      <c r="F4083" s="9"/>
    </row>
    <row r="4084" ht="33.75" customHeight="1">
      <c r="A4084" s="7">
        <v>135.0</v>
      </c>
      <c r="B4084" s="9" t="s">
        <v>8486</v>
      </c>
      <c r="C4084" s="9" t="s">
        <v>8487</v>
      </c>
      <c r="D4084" s="9" t="s">
        <v>101</v>
      </c>
      <c r="E4084" s="6" t="s">
        <v>8503</v>
      </c>
      <c r="F4084" s="9"/>
    </row>
    <row r="4085" ht="33.75" customHeight="1">
      <c r="A4085" s="7">
        <v>135.0</v>
      </c>
      <c r="B4085" s="9" t="s">
        <v>8486</v>
      </c>
      <c r="C4085" s="9" t="s">
        <v>8487</v>
      </c>
      <c r="D4085" s="9" t="s">
        <v>105</v>
      </c>
      <c r="E4085" s="6" t="s">
        <v>8524</v>
      </c>
      <c r="F4085" s="9"/>
    </row>
    <row r="4086" ht="33.75" customHeight="1">
      <c r="A4086" s="7">
        <v>135.0</v>
      </c>
      <c r="B4086" s="9" t="s">
        <v>8486</v>
      </c>
      <c r="C4086" s="9" t="s">
        <v>8487</v>
      </c>
      <c r="D4086" s="9" t="s">
        <v>107</v>
      </c>
      <c r="E4086" s="6" t="s">
        <v>8554</v>
      </c>
      <c r="F4086" s="9"/>
    </row>
    <row r="4087" ht="33.75" customHeight="1">
      <c r="A4087" s="7">
        <v>135.0</v>
      </c>
      <c r="B4087" s="9" t="s">
        <v>8486</v>
      </c>
      <c r="C4087" s="9" t="s">
        <v>8487</v>
      </c>
      <c r="D4087" s="9" t="s">
        <v>109</v>
      </c>
      <c r="E4087" s="6" t="s">
        <v>8554</v>
      </c>
      <c r="F4087" s="9"/>
    </row>
    <row r="4088" ht="33.75" customHeight="1">
      <c r="A4088" s="7">
        <v>135.0</v>
      </c>
      <c r="B4088" s="9" t="s">
        <v>8486</v>
      </c>
      <c r="C4088" s="9" t="s">
        <v>8487</v>
      </c>
      <c r="D4088" s="9" t="s">
        <v>637</v>
      </c>
      <c r="E4088" s="6" t="s">
        <v>8558</v>
      </c>
      <c r="F4088" s="9"/>
    </row>
    <row r="4089" ht="33.75" customHeight="1">
      <c r="A4089" s="7">
        <v>135.0</v>
      </c>
      <c r="B4089" s="9" t="s">
        <v>8486</v>
      </c>
      <c r="C4089" s="9" t="s">
        <v>8487</v>
      </c>
      <c r="D4089" s="9" t="s">
        <v>642</v>
      </c>
      <c r="E4089" s="6" t="s">
        <v>8560</v>
      </c>
      <c r="F4089" s="9"/>
    </row>
    <row r="4090" ht="33.75" customHeight="1">
      <c r="A4090" s="7">
        <v>135.0</v>
      </c>
      <c r="B4090" s="9" t="s">
        <v>8486</v>
      </c>
      <c r="C4090" s="9" t="s">
        <v>8487</v>
      </c>
      <c r="D4090" s="9" t="s">
        <v>647</v>
      </c>
      <c r="E4090" s="6" t="s">
        <v>8563</v>
      </c>
      <c r="F4090" s="9"/>
    </row>
    <row r="4091" ht="33.75" customHeight="1">
      <c r="A4091" s="7">
        <v>135.0</v>
      </c>
      <c r="B4091" s="9" t="s">
        <v>8486</v>
      </c>
      <c r="C4091" s="9" t="s">
        <v>8487</v>
      </c>
      <c r="D4091" s="9" t="s">
        <v>652</v>
      </c>
      <c r="E4091" s="6" t="s">
        <v>8566</v>
      </c>
      <c r="F4091" s="9"/>
    </row>
    <row r="4092" ht="33.75" customHeight="1">
      <c r="A4092" s="7">
        <v>135.0</v>
      </c>
      <c r="B4092" s="9" t="s">
        <v>8486</v>
      </c>
      <c r="C4092" s="9" t="s">
        <v>8487</v>
      </c>
      <c r="D4092" s="9" t="s">
        <v>111</v>
      </c>
      <c r="E4092" s="6" t="s">
        <v>8569</v>
      </c>
      <c r="F4092" s="9"/>
    </row>
    <row r="4093" ht="33.75" customHeight="1">
      <c r="A4093" s="7">
        <v>135.0</v>
      </c>
      <c r="B4093" s="9" t="s">
        <v>8486</v>
      </c>
      <c r="C4093" s="9" t="s">
        <v>8487</v>
      </c>
      <c r="D4093" s="9" t="s">
        <v>113</v>
      </c>
      <c r="E4093" s="6" t="s">
        <v>8569</v>
      </c>
      <c r="F4093" s="9"/>
    </row>
    <row r="4094" ht="33.75" customHeight="1">
      <c r="A4094" s="7">
        <v>135.0</v>
      </c>
      <c r="B4094" s="9" t="s">
        <v>8486</v>
      </c>
      <c r="C4094" s="9" t="s">
        <v>8487</v>
      </c>
      <c r="D4094" s="9" t="s">
        <v>114</v>
      </c>
      <c r="E4094" s="6" t="s">
        <v>8520</v>
      </c>
      <c r="F4094" s="9"/>
    </row>
    <row r="4095" ht="33.75" customHeight="1">
      <c r="A4095" s="7">
        <v>135.0</v>
      </c>
      <c r="B4095" s="9" t="s">
        <v>8486</v>
      </c>
      <c r="C4095" s="9" t="s">
        <v>8487</v>
      </c>
      <c r="D4095" s="9" t="s">
        <v>117</v>
      </c>
      <c r="E4095" s="6" t="s">
        <v>8524</v>
      </c>
      <c r="F4095" s="9"/>
    </row>
    <row r="4096" ht="33.75" customHeight="1">
      <c r="A4096" s="7">
        <v>135.0</v>
      </c>
      <c r="B4096" s="9" t="s">
        <v>8486</v>
      </c>
      <c r="C4096" s="9" t="s">
        <v>8487</v>
      </c>
      <c r="D4096" s="9" t="s">
        <v>1577</v>
      </c>
      <c r="E4096" s="6" t="s">
        <v>8580</v>
      </c>
      <c r="F4096" s="9"/>
    </row>
    <row r="4097" ht="33.75" customHeight="1">
      <c r="A4097" s="7">
        <v>136.0</v>
      </c>
      <c r="B4097" s="9" t="s">
        <v>8582</v>
      </c>
      <c r="C4097" s="9" t="s">
        <v>294</v>
      </c>
      <c r="D4097" s="9" t="s">
        <v>24</v>
      </c>
      <c r="E4097" s="6" t="s">
        <v>8584</v>
      </c>
      <c r="F4097" t="inlineStr" s="10">
        <is>
          <t xml:space="preserve">Kun se varastoi lämpöenergiaa kehoonsa, Flareonin lämpötila voi nousta yli 1600 asteeseen. Sen ruumiissa on liekkikammio. Se hengittää sisään ja puhaltaa sitten ulos yli 1 000 celsiusasteen tulen. Se varastoi osan hengittämästään ilmasta sisäiseen liekkipussiinsa, joka lämmittää sen yli 3 000 asteeseen. Se pöyhii turkiskaulustaan ​​​​viilentääkseen ruumiinlämpöään, joka voi nousta 1 650 asteeseen. Kun se on varastoinut tarpeeksi lämpöä, tämän POKéMONin ruumiinlämpötila voi nousta jopa 1700 asteeseen. FLAREONin pörröisellä turkilla on toiminnallinen tarkoitus – se vapauttaa lämpöä ilmaan, jotta sen ruumis ei kuumene liikaa. Tämän POKéMONin ruumiinlämpötila voi nousta enintään 1 650 Fahrenheit-asteeseen. FLAREONin pörröinen turkki vapauttaa lämpöä ilmaan, jotta sen ruumis ei kuumene liikaa. Sen ruumiinlämpötila voi nousta korkeintaan 1 650 Fahrenheit-asteeseen. Sen ruumiissa on liekkipussi. Syvän sisäänhengityksen jälkeen se puhaltaa ulos lähes 1 000 celsiusasteen liekit. Kun se varastoi lämpöenergiaa kehoonsa, sen lämpötila voi nousta yli 1 600 celsiusasteeseen. Sen ruumiinlämpötila nousee ennen taistelua 1 650 Fahrenheit-asteeseen. Hengitetty ilma kuumennetaan sen kehon liekkipussissa yli 3 000 Fahrenheit-asteeseen. Se varastoi osan hengittämästään ilmasta sisäiseen liekkipussiinsa, joka lämmittää sen yli 3 000 celsiusasteeseen. Se pöyhii turkiskaulustaan ​​​​viilentääkseen ruumiinlämpöään, joka voi nousta 1 650 celsiusasteeseen. Sisäänhengitetty ilma kuljetetaan liekkipussiinsa, lämmitetään ja uloshengitetään yli 3 000 Fahrenheit-astetta lämpötilaan nousevana tulena. Tämän Pokémonin ruumiinlämpötila voi nousta korkeintaan 1 650 Fahrenheit-asteeseen. Kun se saa saaliin tai löytää marjoja, se sylkee niihin tulta, kunnes ne ovat kypsiä, ja sitten se hotkaisee ne. Sen keskimääräinen ruumiinlämpötila on 1 300–1 500 Fahrenheit-astetta. Sen sisäisessä liekkipussissa lämpötila nousee 3 000 asteeseen. Jos se hengittää syvään sisään, se on merkki siitä, että se on hyökkäämässä. Valmistaudu yli 1 000 celsiusasteen liekkien osumaan siihen! Flareonin sisällä oleva liekkikammio syttyy, kun sitä sekoitetaan, ja lämpötila nousee jopa 1 650 Fahrenheit-asteeseen. Se hengittää sisään ja puhaltaa ulos yli 1 000 celsiusasteen tulta. Kun se on varastoinut tarpeeksi lämpöä, tämän Pokémonin ruumiinlämpötila voi nousta jopa 1700 Fahrenheit-asteeseen. Liekit palavat tämän Pokémonin sisällä olevassa pussimaisessa elimessä. Kun Flareon hengittää sisään, liekit voimistuvat ja saavuttavat mahtavat 3 000 Fahrenheit-astetta.</t>
        </is>
      </c>
    </row>
    <row r="4098" ht="33.75" customHeight="1">
      <c r="A4098" s="7">
        <v>136.0</v>
      </c>
      <c r="B4098" s="9" t="s">
        <v>8582</v>
      </c>
      <c r="C4098" s="9" t="s">
        <v>294</v>
      </c>
      <c r="D4098" s="9" t="s">
        <v>35</v>
      </c>
      <c r="E4098" s="6" t="s">
        <v>8584</v>
      </c>
      <c r="F4098" s="9"/>
    </row>
    <row r="4099" ht="33.75" customHeight="1">
      <c r="A4099" s="7">
        <v>136.0</v>
      </c>
      <c r="B4099" s="9" t="s">
        <v>8582</v>
      </c>
      <c r="C4099" s="9" t="s">
        <v>294</v>
      </c>
      <c r="D4099" s="9" t="s">
        <v>42</v>
      </c>
      <c r="E4099" s="6" t="s">
        <v>8590</v>
      </c>
      <c r="F4099" s="9"/>
    </row>
    <row r="4100" ht="33.75" customHeight="1">
      <c r="A4100" s="7">
        <v>136.0</v>
      </c>
      <c r="B4100" s="9" t="s">
        <v>8582</v>
      </c>
      <c r="C4100" s="9" t="s">
        <v>294</v>
      </c>
      <c r="D4100" s="9" t="s">
        <v>52</v>
      </c>
      <c r="E4100" s="6" t="s">
        <v>8592</v>
      </c>
      <c r="F4100" s="9"/>
    </row>
    <row r="4101" ht="33.75" customHeight="1">
      <c r="A4101" s="7">
        <v>136.0</v>
      </c>
      <c r="B4101" s="9" t="s">
        <v>8582</v>
      </c>
      <c r="C4101" s="9" t="s">
        <v>294</v>
      </c>
      <c r="D4101" s="9" t="s">
        <v>59</v>
      </c>
      <c r="E4101" s="6" t="s">
        <v>8594</v>
      </c>
      <c r="F4101" s="9"/>
    </row>
    <row r="4102" ht="33.75" customHeight="1">
      <c r="A4102" s="7">
        <v>136.0</v>
      </c>
      <c r="B4102" s="9" t="s">
        <v>8582</v>
      </c>
      <c r="C4102" s="9" t="s">
        <v>294</v>
      </c>
      <c r="D4102" s="9" t="s">
        <v>64</v>
      </c>
      <c r="E4102" s="6" t="s">
        <v>8599</v>
      </c>
      <c r="F4102" s="9"/>
    </row>
    <row r="4103" ht="33.75" customHeight="1">
      <c r="A4103" s="7">
        <v>136.0</v>
      </c>
      <c r="B4103" s="9" t="s">
        <v>8582</v>
      </c>
      <c r="C4103" s="9" t="s">
        <v>294</v>
      </c>
      <c r="D4103" s="9" t="s">
        <v>67</v>
      </c>
      <c r="E4103" s="6" t="s">
        <v>8603</v>
      </c>
      <c r="F4103" s="9"/>
    </row>
    <row r="4104" ht="33.75" customHeight="1">
      <c r="A4104" s="7">
        <v>136.0</v>
      </c>
      <c r="B4104" s="9" t="s">
        <v>8582</v>
      </c>
      <c r="C4104" s="9" t="s">
        <v>294</v>
      </c>
      <c r="D4104" s="9" t="s">
        <v>71</v>
      </c>
      <c r="E4104" s="6" t="s">
        <v>8603</v>
      </c>
      <c r="F4104" s="9"/>
    </row>
    <row r="4105" ht="33.75" customHeight="1">
      <c r="A4105" s="7">
        <v>136.0</v>
      </c>
      <c r="B4105" s="9" t="s">
        <v>8582</v>
      </c>
      <c r="C4105" s="9" t="s">
        <v>294</v>
      </c>
      <c r="D4105" s="9" t="s">
        <v>73</v>
      </c>
      <c r="E4105" s="6" t="s">
        <v>8607</v>
      </c>
      <c r="F4105" s="9"/>
    </row>
    <row r="4106" ht="33.75" customHeight="1">
      <c r="A4106" s="7">
        <v>136.0</v>
      </c>
      <c r="B4106" s="9" t="s">
        <v>8582</v>
      </c>
      <c r="C4106" s="9" t="s">
        <v>294</v>
      </c>
      <c r="D4106" s="9" t="s">
        <v>75</v>
      </c>
      <c r="E4106" s="6" t="s">
        <v>8609</v>
      </c>
      <c r="F4106" s="9"/>
    </row>
    <row r="4107" ht="33.75" customHeight="1">
      <c r="A4107" s="7">
        <v>136.0</v>
      </c>
      <c r="B4107" s="9" t="s">
        <v>8582</v>
      </c>
      <c r="C4107" s="9" t="s">
        <v>294</v>
      </c>
      <c r="D4107" s="9" t="s">
        <v>79</v>
      </c>
      <c r="E4107" s="6" t="s">
        <v>8611</v>
      </c>
      <c r="F4107" s="9"/>
    </row>
    <row r="4108" ht="33.75" customHeight="1">
      <c r="A4108" s="7">
        <v>136.0</v>
      </c>
      <c r="B4108" s="9" t="s">
        <v>8582</v>
      </c>
      <c r="C4108" s="9" t="s">
        <v>294</v>
      </c>
      <c r="D4108" s="9" t="s">
        <v>81</v>
      </c>
      <c r="E4108" s="6" t="s">
        <v>8613</v>
      </c>
      <c r="F4108" s="9"/>
    </row>
    <row r="4109" ht="33.75" customHeight="1">
      <c r="A4109" s="7">
        <v>136.0</v>
      </c>
      <c r="B4109" s="9" t="s">
        <v>8582</v>
      </c>
      <c r="C4109" s="9" t="s">
        <v>294</v>
      </c>
      <c r="D4109" s="9" t="s">
        <v>84</v>
      </c>
      <c r="E4109" s="6" t="s">
        <v>8613</v>
      </c>
      <c r="F4109" s="9"/>
    </row>
    <row r="4110" ht="33.75" customHeight="1">
      <c r="A4110" s="7">
        <v>136.0</v>
      </c>
      <c r="B4110" s="9" t="s">
        <v>8582</v>
      </c>
      <c r="C4110" s="9" t="s">
        <v>294</v>
      </c>
      <c r="D4110" s="9" t="s">
        <v>87</v>
      </c>
      <c r="E4110" s="6" t="s">
        <v>8614</v>
      </c>
      <c r="F4110" s="9"/>
    </row>
    <row r="4111" ht="33.75" customHeight="1">
      <c r="A4111" s="7">
        <v>136.0</v>
      </c>
      <c r="B4111" s="9" t="s">
        <v>8582</v>
      </c>
      <c r="C4111" s="9" t="s">
        <v>294</v>
      </c>
      <c r="D4111" s="9" t="s">
        <v>89</v>
      </c>
      <c r="E4111" s="6" t="s">
        <v>8616</v>
      </c>
      <c r="F4111" s="9"/>
    </row>
    <row r="4112" ht="33.75" customHeight="1">
      <c r="A4112" s="7">
        <v>136.0</v>
      </c>
      <c r="B4112" s="9" t="s">
        <v>8582</v>
      </c>
      <c r="C4112" s="9" t="s">
        <v>294</v>
      </c>
      <c r="D4112" s="9" t="s">
        <v>91</v>
      </c>
      <c r="E4112" s="6" t="s">
        <v>8618</v>
      </c>
      <c r="F4112" s="9"/>
    </row>
    <row r="4113" ht="33.75" customHeight="1">
      <c r="A4113" s="7">
        <v>136.0</v>
      </c>
      <c r="B4113" s="9" t="s">
        <v>8582</v>
      </c>
      <c r="C4113" s="9" t="s">
        <v>294</v>
      </c>
      <c r="D4113" s="9" t="s">
        <v>93</v>
      </c>
      <c r="E4113" s="6" t="s">
        <v>8614</v>
      </c>
      <c r="F4113" s="9"/>
    </row>
    <row r="4114" ht="33.75" customHeight="1">
      <c r="A4114" s="7">
        <v>136.0</v>
      </c>
      <c r="B4114" s="9" t="s">
        <v>8582</v>
      </c>
      <c r="C4114" s="9" t="s">
        <v>294</v>
      </c>
      <c r="D4114" s="9" t="s">
        <v>95</v>
      </c>
      <c r="E4114" s="6" t="s">
        <v>8614</v>
      </c>
      <c r="F4114" s="9"/>
    </row>
    <row r="4115" ht="33.75" customHeight="1">
      <c r="A4115" s="7">
        <v>136.0</v>
      </c>
      <c r="B4115" s="9" t="s">
        <v>8582</v>
      </c>
      <c r="C4115" s="9" t="s">
        <v>294</v>
      </c>
      <c r="D4115" s="9" t="s">
        <v>98</v>
      </c>
      <c r="E4115" s="6" t="s">
        <v>8621</v>
      </c>
      <c r="F4115" s="9"/>
    </row>
    <row r="4116" ht="33.75" customHeight="1">
      <c r="A4116" s="7">
        <v>136.0</v>
      </c>
      <c r="B4116" s="9" t="s">
        <v>8582</v>
      </c>
      <c r="C4116" s="9" t="s">
        <v>294</v>
      </c>
      <c r="D4116" s="9" t="s">
        <v>99</v>
      </c>
      <c r="E4116" s="6" t="s">
        <v>8621</v>
      </c>
      <c r="F4116" s="9"/>
    </row>
    <row r="4117" ht="33.75" customHeight="1">
      <c r="A4117" s="7">
        <v>136.0</v>
      </c>
      <c r="B4117" s="9" t="s">
        <v>8582</v>
      </c>
      <c r="C4117" s="9" t="s">
        <v>294</v>
      </c>
      <c r="D4117" s="9" t="s">
        <v>101</v>
      </c>
      <c r="E4117" s="6" t="s">
        <v>8613</v>
      </c>
      <c r="F4117" s="9"/>
    </row>
    <row r="4118" ht="33.75" customHeight="1">
      <c r="A4118" s="7">
        <v>136.0</v>
      </c>
      <c r="B4118" s="9" t="s">
        <v>8582</v>
      </c>
      <c r="C4118" s="9" t="s">
        <v>294</v>
      </c>
      <c r="D4118" s="9" t="s">
        <v>105</v>
      </c>
      <c r="E4118" s="6" t="s">
        <v>8609</v>
      </c>
      <c r="F4118" s="9"/>
    </row>
    <row r="4119" ht="33.75" customHeight="1">
      <c r="A4119" s="7">
        <v>136.0</v>
      </c>
      <c r="B4119" s="9" t="s">
        <v>8582</v>
      </c>
      <c r="C4119" s="9" t="s">
        <v>294</v>
      </c>
      <c r="D4119" s="9" t="s">
        <v>107</v>
      </c>
      <c r="E4119" s="6" t="s">
        <v>8627</v>
      </c>
      <c r="F4119" s="9"/>
    </row>
    <row r="4120" ht="33.75" customHeight="1">
      <c r="A4120" s="7">
        <v>136.0</v>
      </c>
      <c r="B4120" s="9" t="s">
        <v>8582</v>
      </c>
      <c r="C4120" s="9" t="s">
        <v>294</v>
      </c>
      <c r="D4120" s="9" t="s">
        <v>109</v>
      </c>
      <c r="E4120" s="6" t="s">
        <v>8627</v>
      </c>
      <c r="F4120" s="9"/>
    </row>
    <row r="4121" ht="33.75" customHeight="1">
      <c r="A4121" s="7">
        <v>136.0</v>
      </c>
      <c r="B4121" s="9" t="s">
        <v>8582</v>
      </c>
      <c r="C4121" s="9" t="s">
        <v>294</v>
      </c>
      <c r="D4121" s="9" t="s">
        <v>637</v>
      </c>
      <c r="E4121" s="6" t="s">
        <v>8630</v>
      </c>
      <c r="F4121" s="9"/>
    </row>
    <row r="4122" ht="33.75" customHeight="1">
      <c r="A4122" s="7">
        <v>136.0</v>
      </c>
      <c r="B4122" s="9" t="s">
        <v>8582</v>
      </c>
      <c r="C4122" s="9" t="s">
        <v>294</v>
      </c>
      <c r="D4122" s="9" t="s">
        <v>642</v>
      </c>
      <c r="E4122" s="6" t="s">
        <v>8632</v>
      </c>
      <c r="F4122" s="9"/>
    </row>
    <row r="4123" ht="33.75" customHeight="1">
      <c r="A4123" s="7">
        <v>136.0</v>
      </c>
      <c r="B4123" s="9" t="s">
        <v>8582</v>
      </c>
      <c r="C4123" s="9" t="s">
        <v>294</v>
      </c>
      <c r="D4123" s="9" t="s">
        <v>647</v>
      </c>
      <c r="E4123" s="6" t="s">
        <v>8634</v>
      </c>
      <c r="F4123" s="9"/>
    </row>
    <row r="4124" ht="33.75" customHeight="1">
      <c r="A4124" s="7">
        <v>136.0</v>
      </c>
      <c r="B4124" s="9" t="s">
        <v>8582</v>
      </c>
      <c r="C4124" s="9" t="s">
        <v>294</v>
      </c>
      <c r="D4124" s="9" t="s">
        <v>652</v>
      </c>
      <c r="E4124" s="6" t="s">
        <v>8636</v>
      </c>
      <c r="F4124" s="9"/>
    </row>
    <row r="4125" ht="33.75" customHeight="1">
      <c r="A4125" s="7">
        <v>136.0</v>
      </c>
      <c r="B4125" s="9" t="s">
        <v>8582</v>
      </c>
      <c r="C4125" s="9" t="s">
        <v>294</v>
      </c>
      <c r="D4125" s="9" t="s">
        <v>111</v>
      </c>
      <c r="E4125" s="6" t="s">
        <v>8639</v>
      </c>
      <c r="F4125" s="9"/>
    </row>
    <row r="4126" ht="33.75" customHeight="1">
      <c r="A4126" s="7">
        <v>136.0</v>
      </c>
      <c r="B4126" s="9" t="s">
        <v>8582</v>
      </c>
      <c r="C4126" s="9" t="s">
        <v>294</v>
      </c>
      <c r="D4126" s="9" t="s">
        <v>113</v>
      </c>
      <c r="E4126" s="6" t="s">
        <v>8639</v>
      </c>
      <c r="F4126" s="9"/>
    </row>
    <row r="4127" ht="33.75" customHeight="1">
      <c r="A4127" s="7">
        <v>136.0</v>
      </c>
      <c r="B4127" s="9" t="s">
        <v>8582</v>
      </c>
      <c r="C4127" s="9" t="s">
        <v>294</v>
      </c>
      <c r="D4127" s="9" t="s">
        <v>114</v>
      </c>
      <c r="E4127" s="6" t="s">
        <v>8642</v>
      </c>
      <c r="F4127" s="9"/>
    </row>
    <row r="4128" ht="33.75" customHeight="1">
      <c r="A4128" s="7">
        <v>136.0</v>
      </c>
      <c r="B4128" s="9" t="s">
        <v>8582</v>
      </c>
      <c r="C4128" s="9" t="s">
        <v>294</v>
      </c>
      <c r="D4128" s="9" t="s">
        <v>117</v>
      </c>
      <c r="E4128" s="6" t="s">
        <v>8616</v>
      </c>
      <c r="F4128" s="9"/>
    </row>
    <row r="4129" ht="33.75" customHeight="1">
      <c r="A4129" s="7">
        <v>136.0</v>
      </c>
      <c r="B4129" s="9" t="s">
        <v>8582</v>
      </c>
      <c r="C4129" s="9" t="s">
        <v>294</v>
      </c>
      <c r="D4129" s="9" t="s">
        <v>1577</v>
      </c>
      <c r="E4129" s="6" t="s">
        <v>8645</v>
      </c>
      <c r="F4129" s="9"/>
    </row>
    <row r="4130" ht="33.75" customHeight="1">
      <c r="A4130" s="7">
        <v>137.0</v>
      </c>
      <c r="B4130" s="9" t="s">
        <v>8647</v>
      </c>
      <c r="C4130" s="9" t="s">
        <v>8648</v>
      </c>
      <c r="D4130" s="9" t="s">
        <v>24</v>
      </c>
      <c r="E4130" s="6" t="s">
        <v>8649</v>
      </c>
      <c r="F4130" t="inlineStr" s="10">
        <is>
          <t xml:space="preserve">POKéMON, joka koostuu kokonaan ohjelmointikoodista. Pystyy liikkumaan vapaasti kyberavaruudessa. Ainoat POKéMONit, joiden ihmiset odottavat voivan lentää avaruuteen. Kukaan ei kuitenkaan ole vielä onnistunut siinä. Se on ihmisen tekemä POKéMON. Koska se ei hengitä, ihmiset haluavat kokeilla sitä missä tahansa ympäristössä. Tutkimuksen tuloksena syntynyt ihmisen tekemä POKéMON. Se on ohjelmoitu vain perusliikkeillä. Laajan tutkimuksen tuloksena luotu keinotekoinen POKéMON pystyy suorittamaan vain sen, mitä sen ohjelmassa on. PORYGON pystyy palauttamaan itsensä kokonaan takaisin ohjelmadataksi ja siirtymään kyberavaruuteen. Tämä POKéMON on kopiosuojattu, joten sitä ei voi kopioida. Se pystyy palauttamaan itsensä kokonaan takaisin ohjelmadataksi päästäkseen kyberavaruuteen. PORYGON on kopiosuojattu, joten sitä ei voida kopioida. Käyttämällä edistyneintä teknologiaa tiedemiehet onnistuivat vihdoin luomaan ensimmäisen keinotekoisen POKéMONin. Se pystyy liikkumaan vapaasti kyberavaruudessa. Maailman ensimmäinen keinotekoisesti luotu Pokémon. Se voi matkustaa elektronisessa avaruudessa. Keinotekoinen Pokémon, joka on luotu edistyneillä tieteellisillä keinoilla. Se voi liikkua vapaasti kyberavaruudessa. Noin 20 vuotta sitten se luotiin keinotekoisesti hyödyntäen aikansa uusinta teknologiaa. Se voi muuntaa kehonsa digitaaliseksi dataksi, mikä mahdollistaa sen pääsyn kyberavaruuteen. Tämä Pokémon luotiin 20 vuotta sitten huipputieteen avulla, joten monet sen osat ovat sittemmin vanhentuneet. Sen rakensivat 20 vuotta sitten tiedemiehet, jotka unelmoivat avaruuden tutkimisesta. Heidän unelmansa eivät ole vielä toteutuneet. Ainoa Pokémon, jonka ihmiset odottavat pystyvän lentämään avaruuteen. Porygonin luomiseen käytettiin huipputeknologiaa. Se oli ensimmäinen tietokoneohjelmoinnin avulla luotu keinotekoinen Pokémon. Viime vuosina tämä laji on ollut erittäin hyödyllinen kyberavaruudessa. Nämä Pokémonit kiertelevät ympäriinsä tarkistaen, ettei epäilyttävää dataa ole olemassa. Siinä ei ole havaittavaa sydämenlyöntiä eikä se tunnu vetävän henkeä, ja silti se näyttää toimivan ongelmitta. En pysty edes selittämään tätä äärimmäisen omituista poikkeavuutta.</t>
        </is>
      </c>
    </row>
    <row r="4131" ht="33.75" customHeight="1">
      <c r="A4131" s="7">
        <v>137.0</v>
      </c>
      <c r="B4131" s="9" t="s">
        <v>8647</v>
      </c>
      <c r="C4131" s="9" t="s">
        <v>8648</v>
      </c>
      <c r="D4131" s="9" t="s">
        <v>35</v>
      </c>
      <c r="E4131" s="6" t="s">
        <v>8649</v>
      </c>
      <c r="F4131" s="9"/>
    </row>
    <row r="4132" ht="33.75" customHeight="1">
      <c r="A4132" s="7">
        <v>137.0</v>
      </c>
      <c r="B4132" s="9" t="s">
        <v>8647</v>
      </c>
      <c r="C4132" s="9" t="s">
        <v>8648</v>
      </c>
      <c r="D4132" s="9" t="s">
        <v>42</v>
      </c>
      <c r="E4132" s="6" t="s">
        <v>8652</v>
      </c>
      <c r="F4132" s="9"/>
    </row>
    <row r="4133" ht="33.75" customHeight="1">
      <c r="A4133" s="7">
        <v>137.0</v>
      </c>
      <c r="B4133" s="9" t="s">
        <v>8647</v>
      </c>
      <c r="C4133" s="9" t="s">
        <v>8648</v>
      </c>
      <c r="D4133" s="9" t="s">
        <v>52</v>
      </c>
      <c r="E4133" s="6" t="s">
        <v>8654</v>
      </c>
      <c r="F4133" s="9"/>
    </row>
    <row r="4134" ht="33.75" customHeight="1">
      <c r="A4134" s="7">
        <v>137.0</v>
      </c>
      <c r="B4134" s="9" t="s">
        <v>8647</v>
      </c>
      <c r="C4134" s="9" t="s">
        <v>8648</v>
      </c>
      <c r="D4134" s="9" t="s">
        <v>59</v>
      </c>
      <c r="E4134" s="6" t="s">
        <v>8656</v>
      </c>
      <c r="F4134" s="9"/>
    </row>
    <row r="4135" ht="33.75" customHeight="1">
      <c r="A4135" s="7">
        <v>137.0</v>
      </c>
      <c r="B4135" s="9" t="s">
        <v>8647</v>
      </c>
      <c r="C4135" s="9" t="s">
        <v>8648</v>
      </c>
      <c r="D4135" s="9" t="s">
        <v>64</v>
      </c>
      <c r="E4135" s="6" t="s">
        <v>8658</v>
      </c>
      <c r="F4135" s="9"/>
    </row>
    <row r="4136" ht="33.75" customHeight="1">
      <c r="A4136" s="7">
        <v>137.0</v>
      </c>
      <c r="B4136" s="9" t="s">
        <v>8647</v>
      </c>
      <c r="C4136" s="9" t="s">
        <v>8648</v>
      </c>
      <c r="D4136" s="9" t="s">
        <v>67</v>
      </c>
      <c r="E4136" s="6" t="s">
        <v>8660</v>
      </c>
      <c r="F4136" s="9"/>
    </row>
    <row r="4137" ht="33.75" customHeight="1">
      <c r="A4137" s="7">
        <v>137.0</v>
      </c>
      <c r="B4137" s="9" t="s">
        <v>8647</v>
      </c>
      <c r="C4137" s="9" t="s">
        <v>8648</v>
      </c>
      <c r="D4137" s="9" t="s">
        <v>71</v>
      </c>
      <c r="E4137" s="6" t="s">
        <v>8660</v>
      </c>
      <c r="F4137" s="9"/>
    </row>
    <row r="4138" ht="33.75" customHeight="1">
      <c r="A4138" s="7">
        <v>137.0</v>
      </c>
      <c r="B4138" s="9" t="s">
        <v>8647</v>
      </c>
      <c r="C4138" s="9" t="s">
        <v>8648</v>
      </c>
      <c r="D4138" s="9" t="s">
        <v>73</v>
      </c>
      <c r="E4138" s="6" t="s">
        <v>8663</v>
      </c>
      <c r="F4138" s="9"/>
    </row>
    <row r="4139" ht="33.75" customHeight="1">
      <c r="A4139" s="7">
        <v>137.0</v>
      </c>
      <c r="B4139" s="9" t="s">
        <v>8647</v>
      </c>
      <c r="C4139" s="9" t="s">
        <v>8648</v>
      </c>
      <c r="D4139" s="9" t="s">
        <v>75</v>
      </c>
      <c r="E4139" s="6" t="s">
        <v>8665</v>
      </c>
      <c r="F4139" s="9"/>
    </row>
    <row r="4140" ht="33.75" customHeight="1">
      <c r="A4140" s="7">
        <v>137.0</v>
      </c>
      <c r="B4140" s="9" t="s">
        <v>8647</v>
      </c>
      <c r="C4140" s="9" t="s">
        <v>8648</v>
      </c>
      <c r="D4140" s="9" t="s">
        <v>79</v>
      </c>
      <c r="E4140" s="6" t="s">
        <v>8667</v>
      </c>
      <c r="F4140" s="9"/>
    </row>
    <row r="4141" ht="33.75" customHeight="1">
      <c r="A4141" s="7">
        <v>137.0</v>
      </c>
      <c r="B4141" s="9" t="s">
        <v>8647</v>
      </c>
      <c r="C4141" s="9" t="s">
        <v>8648</v>
      </c>
      <c r="D4141" s="9" t="s">
        <v>81</v>
      </c>
      <c r="E4141" s="6" t="s">
        <v>8669</v>
      </c>
      <c r="F4141" s="9"/>
    </row>
    <row r="4142" ht="33.75" customHeight="1">
      <c r="A4142" s="7">
        <v>137.0</v>
      </c>
      <c r="B4142" s="9" t="s">
        <v>8647</v>
      </c>
      <c r="C4142" s="9" t="s">
        <v>8648</v>
      </c>
      <c r="D4142" s="9" t="s">
        <v>84</v>
      </c>
      <c r="E4142" s="6" t="s">
        <v>8669</v>
      </c>
      <c r="F4142" s="9"/>
    </row>
    <row r="4143" ht="33.75" customHeight="1">
      <c r="A4143" s="7">
        <v>137.0</v>
      </c>
      <c r="B4143" s="9" t="s">
        <v>8647</v>
      </c>
      <c r="C4143" s="9" t="s">
        <v>8648</v>
      </c>
      <c r="D4143" s="9" t="s">
        <v>87</v>
      </c>
      <c r="E4143" s="6" t="s">
        <v>8673</v>
      </c>
      <c r="F4143" s="9"/>
    </row>
    <row r="4144" ht="33.75" customHeight="1">
      <c r="A4144" s="7">
        <v>137.0</v>
      </c>
      <c r="B4144" s="9" t="s">
        <v>8647</v>
      </c>
      <c r="C4144" s="9" t="s">
        <v>8648</v>
      </c>
      <c r="D4144" s="9" t="s">
        <v>89</v>
      </c>
      <c r="E4144" s="6" t="s">
        <v>8676</v>
      </c>
      <c r="F4144" s="9"/>
    </row>
    <row r="4145" ht="33.75" customHeight="1">
      <c r="A4145" s="7">
        <v>137.0</v>
      </c>
      <c r="B4145" s="9" t="s">
        <v>8647</v>
      </c>
      <c r="C4145" s="9" t="s">
        <v>8648</v>
      </c>
      <c r="D4145" s="9" t="s">
        <v>91</v>
      </c>
      <c r="E4145" s="6" t="s">
        <v>8677</v>
      </c>
      <c r="F4145" s="9"/>
    </row>
    <row r="4146" ht="33.75" customHeight="1">
      <c r="A4146" s="7">
        <v>137.0</v>
      </c>
      <c r="B4146" s="9" t="s">
        <v>8647</v>
      </c>
      <c r="C4146" s="9" t="s">
        <v>8648</v>
      </c>
      <c r="D4146" s="9" t="s">
        <v>93</v>
      </c>
      <c r="E4146" s="6" t="s">
        <v>8673</v>
      </c>
      <c r="F4146" s="9"/>
    </row>
    <row r="4147" ht="33.75" customHeight="1">
      <c r="A4147" s="7">
        <v>137.0</v>
      </c>
      <c r="B4147" s="9" t="s">
        <v>8647</v>
      </c>
      <c r="C4147" s="9" t="s">
        <v>8648</v>
      </c>
      <c r="D4147" s="9" t="s">
        <v>95</v>
      </c>
      <c r="E4147" s="6" t="s">
        <v>8673</v>
      </c>
      <c r="F4147" s="9"/>
    </row>
    <row r="4148" ht="33.75" customHeight="1">
      <c r="A4148" s="7">
        <v>137.0</v>
      </c>
      <c r="B4148" s="9" t="s">
        <v>8647</v>
      </c>
      <c r="C4148" s="9" t="s">
        <v>8648</v>
      </c>
      <c r="D4148" s="9" t="s">
        <v>98</v>
      </c>
      <c r="E4148" s="6" t="s">
        <v>8673</v>
      </c>
      <c r="F4148" s="9"/>
    </row>
    <row r="4149" ht="33.75" customHeight="1">
      <c r="A4149" s="7">
        <v>137.0</v>
      </c>
      <c r="B4149" s="9" t="s">
        <v>8647</v>
      </c>
      <c r="C4149" s="9" t="s">
        <v>8648</v>
      </c>
      <c r="D4149" s="9" t="s">
        <v>99</v>
      </c>
      <c r="E4149" s="6" t="s">
        <v>8673</v>
      </c>
      <c r="F4149" s="9"/>
    </row>
    <row r="4150" ht="33.75" customHeight="1">
      <c r="A4150" s="7">
        <v>137.0</v>
      </c>
      <c r="B4150" s="9" t="s">
        <v>8647</v>
      </c>
      <c r="C4150" s="9" t="s">
        <v>8648</v>
      </c>
      <c r="D4150" s="9" t="s">
        <v>101</v>
      </c>
      <c r="E4150" s="6" t="s">
        <v>8677</v>
      </c>
      <c r="F4150" s="9"/>
    </row>
    <row r="4151" ht="33.75" customHeight="1">
      <c r="A4151" s="7">
        <v>137.0</v>
      </c>
      <c r="B4151" s="9" t="s">
        <v>8647</v>
      </c>
      <c r="C4151" s="9" t="s">
        <v>8648</v>
      </c>
      <c r="D4151" s="9" t="s">
        <v>105</v>
      </c>
      <c r="E4151" s="6" t="s">
        <v>8684</v>
      </c>
      <c r="F4151" s="9"/>
    </row>
    <row r="4152" ht="33.75" customHeight="1">
      <c r="A4152" s="7">
        <v>137.0</v>
      </c>
      <c r="B4152" s="9" t="s">
        <v>8647</v>
      </c>
      <c r="C4152" s="9" t="s">
        <v>8648</v>
      </c>
      <c r="D4152" s="9" t="s">
        <v>107</v>
      </c>
      <c r="E4152" s="6" t="s">
        <v>8686</v>
      </c>
      <c r="F4152" s="9"/>
    </row>
    <row r="4153" ht="33.75" customHeight="1">
      <c r="A4153" s="7">
        <v>137.0</v>
      </c>
      <c r="B4153" s="9" t="s">
        <v>8647</v>
      </c>
      <c r="C4153" s="9" t="s">
        <v>8648</v>
      </c>
      <c r="D4153" s="9" t="s">
        <v>109</v>
      </c>
      <c r="E4153" s="6" t="s">
        <v>8686</v>
      </c>
      <c r="F4153" s="9"/>
    </row>
    <row r="4154" ht="33.75" customHeight="1">
      <c r="A4154" s="7">
        <v>137.0</v>
      </c>
      <c r="B4154" s="9" t="s">
        <v>8647</v>
      </c>
      <c r="C4154" s="9" t="s">
        <v>8648</v>
      </c>
      <c r="D4154" s="9" t="s">
        <v>637</v>
      </c>
      <c r="E4154" s="6" t="s">
        <v>8688</v>
      </c>
      <c r="F4154" s="9"/>
    </row>
    <row r="4155" ht="33.75" customHeight="1">
      <c r="A4155" s="7">
        <v>137.0</v>
      </c>
      <c r="B4155" s="9" t="s">
        <v>8647</v>
      </c>
      <c r="C4155" s="9" t="s">
        <v>8648</v>
      </c>
      <c r="D4155" s="9" t="s">
        <v>642</v>
      </c>
      <c r="E4155" s="6" t="s">
        <v>8690</v>
      </c>
      <c r="F4155" s="9"/>
    </row>
    <row r="4156" ht="33.75" customHeight="1">
      <c r="A4156" s="7">
        <v>137.0</v>
      </c>
      <c r="B4156" s="9" t="s">
        <v>8647</v>
      </c>
      <c r="C4156" s="9" t="s">
        <v>8648</v>
      </c>
      <c r="D4156" s="9" t="s">
        <v>647</v>
      </c>
      <c r="E4156" s="6" t="s">
        <v>8692</v>
      </c>
      <c r="F4156" s="9"/>
    </row>
    <row r="4157" ht="33.75" customHeight="1">
      <c r="A4157" s="7">
        <v>137.0</v>
      </c>
      <c r="B4157" s="9" t="s">
        <v>8647</v>
      </c>
      <c r="C4157" s="9" t="s">
        <v>8648</v>
      </c>
      <c r="D4157" s="9" t="s">
        <v>652</v>
      </c>
      <c r="E4157" s="6" t="s">
        <v>8695</v>
      </c>
      <c r="F4157" s="9"/>
    </row>
    <row r="4158" ht="33.75" customHeight="1">
      <c r="A4158" s="7">
        <v>137.0</v>
      </c>
      <c r="B4158" s="9" t="s">
        <v>8647</v>
      </c>
      <c r="C4158" s="9" t="s">
        <v>8648</v>
      </c>
      <c r="D4158" s="9" t="s">
        <v>111</v>
      </c>
      <c r="E4158" s="6" t="s">
        <v>8697</v>
      </c>
      <c r="F4158" s="9"/>
    </row>
    <row r="4159" ht="33.75" customHeight="1">
      <c r="A4159" s="7">
        <v>137.0</v>
      </c>
      <c r="B4159" s="9" t="s">
        <v>8647</v>
      </c>
      <c r="C4159" s="9" t="s">
        <v>8648</v>
      </c>
      <c r="D4159" s="9" t="s">
        <v>113</v>
      </c>
      <c r="E4159" s="6" t="s">
        <v>8697</v>
      </c>
      <c r="F4159" s="9"/>
    </row>
    <row r="4160" ht="33.75" customHeight="1">
      <c r="A4160" s="7">
        <v>137.0</v>
      </c>
      <c r="B4160" s="9" t="s">
        <v>8647</v>
      </c>
      <c r="C4160" s="9" t="s">
        <v>8648</v>
      </c>
      <c r="D4160" s="9" t="s">
        <v>114</v>
      </c>
      <c r="E4160" s="6" t="s">
        <v>8701</v>
      </c>
      <c r="F4160" s="9"/>
    </row>
    <row r="4161" ht="33.75" customHeight="1">
      <c r="A4161" s="7">
        <v>137.0</v>
      </c>
      <c r="B4161" s="9" t="s">
        <v>8647</v>
      </c>
      <c r="C4161" s="9" t="s">
        <v>8648</v>
      </c>
      <c r="D4161" s="9" t="s">
        <v>117</v>
      </c>
      <c r="E4161" s="6" t="s">
        <v>8703</v>
      </c>
      <c r="F4161" s="9"/>
    </row>
    <row r="4162" ht="33.75" customHeight="1">
      <c r="A4162" s="7">
        <v>137.0</v>
      </c>
      <c r="B4162" s="9" t="s">
        <v>8647</v>
      </c>
      <c r="C4162" s="9" t="s">
        <v>8648</v>
      </c>
      <c r="D4162" s="9" t="s">
        <v>1577</v>
      </c>
      <c r="E4162" s="6" t="s">
        <v>8706</v>
      </c>
      <c r="F4162" s="9"/>
    </row>
    <row r="4163" ht="33.75" customHeight="1">
      <c r="A4163" s="7">
        <v>138.0</v>
      </c>
      <c r="B4163" s="9" t="s">
        <v>8708</v>
      </c>
      <c r="C4163" s="9" t="s">
        <v>8709</v>
      </c>
      <c r="D4163" s="9" t="s">
        <v>24</v>
      </c>
      <c r="E4163" s="6" t="s">
        <v>8710</v>
      </c>
      <c r="F4163" t="inlineStr" s="10">
        <is>
          <t xml:space="preserve">Vaikka se on ollut sukupuuttoon kuollut jo kauan sitten, se voidaan harvinaisissa tapauksissa herättää geneettisesti fossiileista henkiin. Fossiilista löydetty muinainen POKéMON. Se ui kiertämällä taitavasti kymmentä lonkeroaan. Muinaisesta fossiilista herätetty POKéMON käyttää kuoressaan varastoitunutta ilmaa uppoamiseen ja nousemiseen vedessä. Tämän muinaisten aikojen POKéMONin sanotaan navigoineen merellä kiertämällä taitavasti kymmentä lonkeroaan. Esihistoriallisella ajalla se ui merenpohjassa syöden planktonia. Sen fossiileja löytyy joskus. OMANYTE on yksi muinaisista ja kauan sitten sukupuuttoon kuolleista POKéMONeista, jotka ihmiset ovat luoneet fossiileista. Jos vihollinen hyökkää sitä vastaan, se vetäytyy kovaan kuoreensa. Yksi muinaisista ja kauan sitten sukupuuttoon kuolleista POKéMONeista, jotka ihmiset ovat luoneet fossiileista. Hyökkäyksen sattuessa se vetäytyy kovaan kuoreensa. Se on esihistoriallinen POKéMON, joka eli alkukantaisessa meressä. Se ui kiertämällä kymmentä lonkeroaan. Vaikka se on ollut sukupuuttoon kuollut jo kauan sitten, se voidaan harvinaisissa tapauksissa synnyttää geneettisesti fossiileista. Pokémon, joka herätettiin henkiin fossiilista nykyaikaisen tieteen avulla. Se ui muinaisissa merissä. Tämän muinaisten aikojen Pokémonin sanotaan navigoineen meressä taitavasti kiertämällä kymmentä lonkeroaan. Tämä esihistoriallinen Pokémon eli alkukantaisessa meressä ja ui kiertämällä kymmentä lonkeroaan. Omanyte eli antiikin merissä. Sen fossiileista on löydetty Archeopsin puremajälkiä, joten Archeops ilmeisesti saalisti sitä. Se on restauroitu muinaisesta fossiilista. Nuo Helix-fossiilit on kaivettu esiin alueilta, jotka olivat aikoinaan valtameriä kauan, kauan sitten. Se ui pyörittelemällä taitavasti kymmentä lonkeroaan. Koska jotkut omanytit onnistuvat pakenemaan ennallistamisen jälkeen tai ihmisten päästämät ne luontoon, tästä lajista on tulossa ongelma. Tämä Pokémon kuuluu muinaiseen, sukupuuttoon kuolleeseen lajiin. Omanyte meloo vedessä kymmenellä lonkerollaan näyttäen siltä kuin se vain ajelehtisi.</t>
        </is>
      </c>
    </row>
    <row r="4164" ht="33.75" customHeight="1">
      <c r="A4164" s="7">
        <v>138.0</v>
      </c>
      <c r="B4164" s="9" t="s">
        <v>8708</v>
      </c>
      <c r="C4164" s="9" t="s">
        <v>8709</v>
      </c>
      <c r="D4164" s="9" t="s">
        <v>35</v>
      </c>
      <c r="E4164" s="6" t="s">
        <v>8710</v>
      </c>
      <c r="F4164" s="9"/>
    </row>
    <row r="4165" ht="33.75" customHeight="1">
      <c r="A4165" s="7">
        <v>138.0</v>
      </c>
      <c r="B4165" s="9" t="s">
        <v>8708</v>
      </c>
      <c r="C4165" s="9" t="s">
        <v>8709</v>
      </c>
      <c r="D4165" s="9" t="s">
        <v>42</v>
      </c>
      <c r="E4165" s="6" t="s">
        <v>8714</v>
      </c>
      <c r="F4165" s="9"/>
    </row>
    <row r="4166" ht="33.75" customHeight="1">
      <c r="A4166" s="7">
        <v>138.0</v>
      </c>
      <c r="B4166" s="9" t="s">
        <v>8708</v>
      </c>
      <c r="C4166" s="9" t="s">
        <v>8709</v>
      </c>
      <c r="D4166" s="9" t="s">
        <v>52</v>
      </c>
      <c r="E4166" s="6" t="s">
        <v>8717</v>
      </c>
      <c r="F4166" s="9"/>
    </row>
    <row r="4167" ht="33.75" customHeight="1">
      <c r="A4167" s="7">
        <v>138.0</v>
      </c>
      <c r="B4167" s="9" t="s">
        <v>8708</v>
      </c>
      <c r="C4167" s="9" t="s">
        <v>8709</v>
      </c>
      <c r="D4167" s="9" t="s">
        <v>59</v>
      </c>
      <c r="E4167" s="6" t="s">
        <v>8719</v>
      </c>
      <c r="F4167" s="9"/>
    </row>
    <row r="4168" ht="33.75" customHeight="1">
      <c r="A4168" s="7">
        <v>138.0</v>
      </c>
      <c r="B4168" s="9" t="s">
        <v>8708</v>
      </c>
      <c r="C4168" s="9" t="s">
        <v>8709</v>
      </c>
      <c r="D4168" s="9" t="s">
        <v>64</v>
      </c>
      <c r="E4168" s="6" t="s">
        <v>8721</v>
      </c>
      <c r="F4168" s="9"/>
    </row>
    <row r="4169" ht="33.75" customHeight="1">
      <c r="A4169" s="7">
        <v>138.0</v>
      </c>
      <c r="B4169" s="9" t="s">
        <v>8708</v>
      </c>
      <c r="C4169" s="9" t="s">
        <v>8709</v>
      </c>
      <c r="D4169" s="9" t="s">
        <v>67</v>
      </c>
      <c r="E4169" s="6" t="s">
        <v>8723</v>
      </c>
      <c r="F4169" s="9"/>
    </row>
    <row r="4170" ht="33.75" customHeight="1">
      <c r="A4170" s="7">
        <v>138.0</v>
      </c>
      <c r="B4170" s="9" t="s">
        <v>8708</v>
      </c>
      <c r="C4170" s="9" t="s">
        <v>8709</v>
      </c>
      <c r="D4170" s="9" t="s">
        <v>71</v>
      </c>
      <c r="E4170" s="6" t="s">
        <v>8723</v>
      </c>
      <c r="F4170" s="9"/>
    </row>
    <row r="4171" ht="33.75" customHeight="1">
      <c r="A4171" s="7">
        <v>138.0</v>
      </c>
      <c r="B4171" s="9" t="s">
        <v>8708</v>
      </c>
      <c r="C4171" s="9" t="s">
        <v>8709</v>
      </c>
      <c r="D4171" s="9" t="s">
        <v>73</v>
      </c>
      <c r="E4171" s="6" t="s">
        <v>8727</v>
      </c>
      <c r="F4171" s="9"/>
    </row>
    <row r="4172" ht="33.75" customHeight="1">
      <c r="A4172" s="7">
        <v>138.0</v>
      </c>
      <c r="B4172" s="9" t="s">
        <v>8708</v>
      </c>
      <c r="C4172" s="9" t="s">
        <v>8709</v>
      </c>
      <c r="D4172" s="9" t="s">
        <v>75</v>
      </c>
      <c r="E4172" s="6" t="s">
        <v>8729</v>
      </c>
      <c r="F4172" s="9"/>
    </row>
    <row r="4173" ht="33.75" customHeight="1">
      <c r="A4173" s="7">
        <v>138.0</v>
      </c>
      <c r="B4173" s="9" t="s">
        <v>8708</v>
      </c>
      <c r="C4173" s="9" t="s">
        <v>8709</v>
      </c>
      <c r="D4173" s="9" t="s">
        <v>79</v>
      </c>
      <c r="E4173" s="6" t="s">
        <v>8732</v>
      </c>
      <c r="F4173" s="9"/>
    </row>
    <row r="4174" ht="33.75" customHeight="1">
      <c r="A4174" s="7">
        <v>138.0</v>
      </c>
      <c r="B4174" s="9" t="s">
        <v>8708</v>
      </c>
      <c r="C4174" s="9" t="s">
        <v>8709</v>
      </c>
      <c r="D4174" s="9" t="s">
        <v>81</v>
      </c>
      <c r="E4174" s="6" t="s">
        <v>8734</v>
      </c>
      <c r="F4174" s="9"/>
    </row>
    <row r="4175" ht="33.75" customHeight="1">
      <c r="A4175" s="7">
        <v>138.0</v>
      </c>
      <c r="B4175" s="9" t="s">
        <v>8708</v>
      </c>
      <c r="C4175" s="9" t="s">
        <v>8709</v>
      </c>
      <c r="D4175" s="9" t="s">
        <v>84</v>
      </c>
      <c r="E4175" s="6" t="s">
        <v>8734</v>
      </c>
      <c r="F4175" s="9"/>
    </row>
    <row r="4176" ht="33.75" customHeight="1">
      <c r="A4176" s="7">
        <v>138.0</v>
      </c>
      <c r="B4176" s="9" t="s">
        <v>8708</v>
      </c>
      <c r="C4176" s="9" t="s">
        <v>8709</v>
      </c>
      <c r="D4176" s="9" t="s">
        <v>87</v>
      </c>
      <c r="E4176" s="6" t="s">
        <v>8734</v>
      </c>
      <c r="F4176" s="9"/>
    </row>
    <row r="4177" ht="33.75" customHeight="1">
      <c r="A4177" s="7">
        <v>138.0</v>
      </c>
      <c r="B4177" s="9" t="s">
        <v>8708</v>
      </c>
      <c r="C4177" s="9" t="s">
        <v>8709</v>
      </c>
      <c r="D4177" s="9" t="s">
        <v>89</v>
      </c>
      <c r="E4177" s="6" t="s">
        <v>8739</v>
      </c>
      <c r="F4177" s="9"/>
    </row>
    <row r="4178" ht="33.75" customHeight="1">
      <c r="A4178" s="7">
        <v>138.0</v>
      </c>
      <c r="B4178" s="9" t="s">
        <v>8708</v>
      </c>
      <c r="C4178" s="9" t="s">
        <v>8709</v>
      </c>
      <c r="D4178" s="9" t="s">
        <v>91</v>
      </c>
      <c r="E4178" s="6" t="s">
        <v>8741</v>
      </c>
      <c r="F4178" s="9"/>
    </row>
    <row r="4179" ht="33.75" customHeight="1">
      <c r="A4179" s="7">
        <v>138.0</v>
      </c>
      <c r="B4179" s="9" t="s">
        <v>8708</v>
      </c>
      <c r="C4179" s="9" t="s">
        <v>8709</v>
      </c>
      <c r="D4179" s="9" t="s">
        <v>93</v>
      </c>
      <c r="E4179" s="6" t="s">
        <v>8734</v>
      </c>
      <c r="F4179" s="9"/>
    </row>
    <row r="4180" ht="33.75" customHeight="1">
      <c r="A4180" s="7">
        <v>138.0</v>
      </c>
      <c r="B4180" s="9" t="s">
        <v>8708</v>
      </c>
      <c r="C4180" s="9" t="s">
        <v>8709</v>
      </c>
      <c r="D4180" s="9" t="s">
        <v>95</v>
      </c>
      <c r="E4180" s="6" t="s">
        <v>8734</v>
      </c>
      <c r="F4180" s="9"/>
    </row>
    <row r="4181" ht="33.75" customHeight="1">
      <c r="A4181" s="7">
        <v>138.0</v>
      </c>
      <c r="B4181" s="9" t="s">
        <v>8708</v>
      </c>
      <c r="C4181" s="9" t="s">
        <v>8709</v>
      </c>
      <c r="D4181" s="9" t="s">
        <v>98</v>
      </c>
      <c r="E4181" s="6" t="s">
        <v>8734</v>
      </c>
      <c r="F4181" s="9"/>
    </row>
    <row r="4182" ht="33.75" customHeight="1">
      <c r="A4182" s="7">
        <v>138.0</v>
      </c>
      <c r="B4182" s="9" t="s">
        <v>8708</v>
      </c>
      <c r="C4182" s="9" t="s">
        <v>8709</v>
      </c>
      <c r="D4182" s="9" t="s">
        <v>99</v>
      </c>
      <c r="E4182" s="6" t="s">
        <v>8734</v>
      </c>
      <c r="F4182" s="9"/>
    </row>
    <row r="4183" ht="33.75" customHeight="1">
      <c r="A4183" s="7">
        <v>138.0</v>
      </c>
      <c r="B4183" s="9" t="s">
        <v>8708</v>
      </c>
      <c r="C4183" s="9" t="s">
        <v>8709</v>
      </c>
      <c r="D4183" s="9" t="s">
        <v>101</v>
      </c>
      <c r="E4183" s="6" t="s">
        <v>8751</v>
      </c>
      <c r="F4183" s="9"/>
    </row>
    <row r="4184" ht="33.75" customHeight="1">
      <c r="A4184" s="7">
        <v>138.0</v>
      </c>
      <c r="B4184" s="9" t="s">
        <v>8708</v>
      </c>
      <c r="C4184" s="9" t="s">
        <v>8709</v>
      </c>
      <c r="D4184" s="9" t="s">
        <v>105</v>
      </c>
      <c r="E4184" s="6" t="s">
        <v>8739</v>
      </c>
      <c r="F4184" s="9"/>
    </row>
    <row r="4185" ht="33.75" customHeight="1">
      <c r="A4185" s="7">
        <v>138.0</v>
      </c>
      <c r="B4185" s="9" t="s">
        <v>8708</v>
      </c>
      <c r="C4185" s="9" t="s">
        <v>8709</v>
      </c>
      <c r="D4185" s="9" t="s">
        <v>107</v>
      </c>
      <c r="E4185" s="6" t="s">
        <v>8755</v>
      </c>
      <c r="F4185" s="9"/>
    </row>
    <row r="4186" ht="33.75" customHeight="1">
      <c r="A4186" s="7">
        <v>138.0</v>
      </c>
      <c r="B4186" s="9" t="s">
        <v>8708</v>
      </c>
      <c r="C4186" s="9" t="s">
        <v>8709</v>
      </c>
      <c r="D4186" s="9" t="s">
        <v>109</v>
      </c>
      <c r="E4186" s="6" t="s">
        <v>8755</v>
      </c>
      <c r="F4186" s="9"/>
    </row>
    <row r="4187" ht="33.75" customHeight="1">
      <c r="A4187" s="7">
        <v>138.0</v>
      </c>
      <c r="B4187" s="9" t="s">
        <v>8708</v>
      </c>
      <c r="C4187" s="9" t="s">
        <v>8709</v>
      </c>
      <c r="D4187" s="9" t="s">
        <v>647</v>
      </c>
      <c r="E4187" s="6" t="s">
        <v>8758</v>
      </c>
      <c r="F4187" s="9"/>
    </row>
    <row r="4188" ht="33.75" customHeight="1">
      <c r="A4188" s="7">
        <v>138.0</v>
      </c>
      <c r="B4188" s="9" t="s">
        <v>8708</v>
      </c>
      <c r="C4188" s="9" t="s">
        <v>8709</v>
      </c>
      <c r="D4188" s="9" t="s">
        <v>652</v>
      </c>
      <c r="E4188" s="6" t="s">
        <v>8761</v>
      </c>
      <c r="F4188" s="9"/>
    </row>
    <row r="4189" ht="33.75" customHeight="1">
      <c r="A4189" s="7">
        <v>138.0</v>
      </c>
      <c r="B4189" s="9" t="s">
        <v>8708</v>
      </c>
      <c r="C4189" s="9" t="s">
        <v>8709</v>
      </c>
      <c r="D4189" s="9" t="s">
        <v>111</v>
      </c>
      <c r="E4189" s="6" t="s">
        <v>8763</v>
      </c>
      <c r="F4189" s="9"/>
    </row>
    <row r="4190" ht="33.75" customHeight="1">
      <c r="A4190" s="7">
        <v>138.0</v>
      </c>
      <c r="B4190" s="9" t="s">
        <v>8708</v>
      </c>
      <c r="C4190" s="9" t="s">
        <v>8709</v>
      </c>
      <c r="D4190" s="9" t="s">
        <v>113</v>
      </c>
      <c r="E4190" s="6" t="s">
        <v>8763</v>
      </c>
      <c r="F4190" s="9"/>
    </row>
    <row r="4191" ht="33.75" customHeight="1">
      <c r="A4191" s="7">
        <v>138.0</v>
      </c>
      <c r="B4191" s="9" t="s">
        <v>8708</v>
      </c>
      <c r="C4191" s="9" t="s">
        <v>8709</v>
      </c>
      <c r="D4191" s="9" t="s">
        <v>114</v>
      </c>
      <c r="E4191" s="6" t="s">
        <v>8766</v>
      </c>
      <c r="F4191" s="9"/>
    </row>
    <row r="4192" ht="33.75" customHeight="1">
      <c r="A4192" s="7">
        <v>138.0</v>
      </c>
      <c r="B4192" s="9" t="s">
        <v>8708</v>
      </c>
      <c r="C4192" s="9" t="s">
        <v>8709</v>
      </c>
      <c r="D4192" s="9" t="s">
        <v>117</v>
      </c>
      <c r="E4192" s="6" t="s">
        <v>8769</v>
      </c>
      <c r="F4192" s="9"/>
    </row>
    <row r="4193" ht="33.75" customHeight="1">
      <c r="A4193" s="7">
        <v>139.0</v>
      </c>
      <c r="B4193" s="9" t="s">
        <v>8770</v>
      </c>
      <c r="C4193" s="9" t="s">
        <v>8709</v>
      </c>
      <c r="D4193" s="9" t="s">
        <v>24</v>
      </c>
      <c r="E4193" s="6" t="s">
        <v>8772</v>
      </c>
      <c r="F4193" t="inlineStr" s="10">
        <is>
          <t xml:space="preserve">Esihistoriallinen POKéMON, joka kuoli sukupuuttoon, kun Omastarin raskas kuori esti saaliin pyydystämisen. Terävät nokat ympäröivät sen suuta. Sen kuori oli liian suuri liikkuakseen vapaasti, joten se kuoli sukupuuttoon. Ilmeisesti se halkaisi SHELLDERin kuoren terävillä hampaillaan ja imi sisukset ulos. Kun se on kerran kiertynyt saaliinsa ympärille, se ei koskaan päästä irti. Se syö saaliin repimällä sitä terävillä hampailla. Sen painava kuori mahdollisti sen pääsyn vain lähellä olevaan ruokaan. Tämä voi olla syynä sen sukupuuttoon. OMASTAR käyttää lonkeroitaan saaliinsa pyydystämiseen. Sen uskotaan kuolleen sukupuuttoon, koska sen kuori kasvoi liian suureksi ja raskaaksi, mikä teki sen liikkeistä liian hitaita ja raskaita. Sen uskotaan kuolleen sukupuuttoon, koska sen kuori kasvoi liian suureksi, mikä teki sen liikkeistä hitaita ja raskkaita. Sen lonkerot ovat erittäin kehittyneet, aivan kuin ne olisivat käsiä ja jalkoja. Heti kun se saa saaliinsa ansaan, se puree. Vaikka sillä oli vahvat torahampaat ja lonkerot, se kuoli sukupuuttoon, kun sen raskas kuori esti sitä kykenemästä saalistamaan. Tämän Pokémonin uskotaan kuolleen sukupuuttoon, koska sen spiraalimainen kuori kasvoi liian suureksi. Sen raskaan kuoren uskotaan olevan syy tämän muinaisen Pokémonin kuolemaan. Se on ilmeisesti Octilleryn kaukainen esi-isä. Se käärii saaliinsa lonkeroihinsa lamauttaakseen sen ja viimeistelee sen sitten terävillä hampaillaan. Sen terävä nokka ympäröi sen suuta. Suuren ja raskaan kuoren painamana Omastar ei pystynyt liikkumaan kovin nopeasti. Jotkut sanovat sen kuolleen sukupuuttoon, koska se ei kyennyt saamaan ruokaa. Omastarin terävät kulmahampaat pystyivät murskaamaan kiven, mutta Pokémon voi hyökätä vain saaliin kimppuun, joka tulee sen lonkeroiden ulottuville.</t>
        </is>
      </c>
    </row>
    <row r="4194" ht="33.75" customHeight="1">
      <c r="A4194" s="7">
        <v>139.0</v>
      </c>
      <c r="B4194" s="9" t="s">
        <v>8770</v>
      </c>
      <c r="C4194" s="9" t="s">
        <v>8709</v>
      </c>
      <c r="D4194" s="9" t="s">
        <v>35</v>
      </c>
      <c r="E4194" s="6" t="s">
        <v>8772</v>
      </c>
      <c r="F4194" s="9"/>
    </row>
    <row r="4195" ht="33.75" customHeight="1">
      <c r="A4195" s="7">
        <v>139.0</v>
      </c>
      <c r="B4195" s="9" t="s">
        <v>8770</v>
      </c>
      <c r="C4195" s="9" t="s">
        <v>8709</v>
      </c>
      <c r="D4195" s="9" t="s">
        <v>42</v>
      </c>
      <c r="E4195" s="6" t="s">
        <v>8776</v>
      </c>
      <c r="F4195" s="9"/>
    </row>
    <row r="4196" ht="33.75" customHeight="1">
      <c r="A4196" s="7">
        <v>139.0</v>
      </c>
      <c r="B4196" s="9" t="s">
        <v>8770</v>
      </c>
      <c r="C4196" s="9" t="s">
        <v>8709</v>
      </c>
      <c r="D4196" s="9" t="s">
        <v>52</v>
      </c>
      <c r="E4196" s="6" t="s">
        <v>8778</v>
      </c>
      <c r="F4196" s="9"/>
    </row>
    <row r="4197" ht="33.75" customHeight="1">
      <c r="A4197" s="7">
        <v>139.0</v>
      </c>
      <c r="B4197" s="9" t="s">
        <v>8770</v>
      </c>
      <c r="C4197" s="9" t="s">
        <v>8709</v>
      </c>
      <c r="D4197" s="9" t="s">
        <v>59</v>
      </c>
      <c r="E4197" s="6" t="s">
        <v>8780</v>
      </c>
      <c r="F4197" s="9"/>
    </row>
    <row r="4198" ht="33.75" customHeight="1">
      <c r="A4198" s="7">
        <v>139.0</v>
      </c>
      <c r="B4198" s="9" t="s">
        <v>8770</v>
      </c>
      <c r="C4198" s="9" t="s">
        <v>8709</v>
      </c>
      <c r="D4198" s="9" t="s">
        <v>64</v>
      </c>
      <c r="E4198" s="6" t="s">
        <v>8783</v>
      </c>
      <c r="F4198" s="9"/>
    </row>
    <row r="4199" ht="33.75" customHeight="1">
      <c r="A4199" s="7">
        <v>139.0</v>
      </c>
      <c r="B4199" s="9" t="s">
        <v>8770</v>
      </c>
      <c r="C4199" s="9" t="s">
        <v>8709</v>
      </c>
      <c r="D4199" s="9" t="s">
        <v>67</v>
      </c>
      <c r="E4199" s="6" t="s">
        <v>8785</v>
      </c>
      <c r="F4199" s="9"/>
    </row>
    <row r="4200" ht="33.75" customHeight="1">
      <c r="A4200" s="7">
        <v>139.0</v>
      </c>
      <c r="B4200" s="9" t="s">
        <v>8770</v>
      </c>
      <c r="C4200" s="9" t="s">
        <v>8709</v>
      </c>
      <c r="D4200" s="9" t="s">
        <v>71</v>
      </c>
      <c r="E4200" s="6" t="s">
        <v>8785</v>
      </c>
      <c r="F4200" s="9"/>
    </row>
    <row r="4201" ht="33.75" customHeight="1">
      <c r="A4201" s="7">
        <v>139.0</v>
      </c>
      <c r="B4201" s="9" t="s">
        <v>8770</v>
      </c>
      <c r="C4201" s="9" t="s">
        <v>8709</v>
      </c>
      <c r="D4201" s="9" t="s">
        <v>73</v>
      </c>
      <c r="E4201" s="6" t="s">
        <v>8788</v>
      </c>
      <c r="F4201" s="9"/>
    </row>
    <row r="4202" ht="33.75" customHeight="1">
      <c r="A4202" s="7">
        <v>139.0</v>
      </c>
      <c r="B4202" s="9" t="s">
        <v>8770</v>
      </c>
      <c r="C4202" s="9" t="s">
        <v>8709</v>
      </c>
      <c r="D4202" s="9" t="s">
        <v>75</v>
      </c>
      <c r="E4202" s="6" t="s">
        <v>8790</v>
      </c>
      <c r="F4202" s="9"/>
    </row>
    <row r="4203" ht="33.75" customHeight="1">
      <c r="A4203" s="7">
        <v>139.0</v>
      </c>
      <c r="B4203" s="9" t="s">
        <v>8770</v>
      </c>
      <c r="C4203" s="9" t="s">
        <v>8709</v>
      </c>
      <c r="D4203" s="9" t="s">
        <v>79</v>
      </c>
      <c r="E4203" s="6" t="s">
        <v>8793</v>
      </c>
      <c r="F4203" s="9"/>
    </row>
    <row r="4204" ht="33.75" customHeight="1">
      <c r="A4204" s="7">
        <v>139.0</v>
      </c>
      <c r="B4204" s="9" t="s">
        <v>8770</v>
      </c>
      <c r="C4204" s="9" t="s">
        <v>8709</v>
      </c>
      <c r="D4204" s="9" t="s">
        <v>81</v>
      </c>
      <c r="E4204" s="6" t="s">
        <v>8795</v>
      </c>
      <c r="F4204" s="9"/>
    </row>
    <row r="4205" ht="33.75" customHeight="1">
      <c r="A4205" s="7">
        <v>139.0</v>
      </c>
      <c r="B4205" s="9" t="s">
        <v>8770</v>
      </c>
      <c r="C4205" s="9" t="s">
        <v>8709</v>
      </c>
      <c r="D4205" s="9" t="s">
        <v>84</v>
      </c>
      <c r="E4205" s="6" t="s">
        <v>8795</v>
      </c>
      <c r="F4205" s="9"/>
    </row>
    <row r="4206" ht="33.75" customHeight="1">
      <c r="A4206" s="7">
        <v>139.0</v>
      </c>
      <c r="B4206" s="9" t="s">
        <v>8770</v>
      </c>
      <c r="C4206" s="9" t="s">
        <v>8709</v>
      </c>
      <c r="D4206" s="9" t="s">
        <v>87</v>
      </c>
      <c r="E4206" s="6" t="s">
        <v>8795</v>
      </c>
      <c r="F4206" s="9"/>
    </row>
    <row r="4207" ht="33.75" customHeight="1">
      <c r="A4207" s="7">
        <v>139.0</v>
      </c>
      <c r="B4207" s="9" t="s">
        <v>8770</v>
      </c>
      <c r="C4207" s="9" t="s">
        <v>8709</v>
      </c>
      <c r="D4207" s="9" t="s">
        <v>89</v>
      </c>
      <c r="E4207" s="6" t="s">
        <v>8778</v>
      </c>
      <c r="F4207" s="9"/>
    </row>
    <row r="4208" ht="33.75" customHeight="1">
      <c r="A4208" s="7">
        <v>139.0</v>
      </c>
      <c r="B4208" s="9" t="s">
        <v>8770</v>
      </c>
      <c r="C4208" s="9" t="s">
        <v>8709</v>
      </c>
      <c r="D4208" s="9" t="s">
        <v>91</v>
      </c>
      <c r="E4208" s="6" t="s">
        <v>8780</v>
      </c>
      <c r="F4208" s="9"/>
    </row>
    <row r="4209" ht="33.75" customHeight="1">
      <c r="A4209" s="7">
        <v>139.0</v>
      </c>
      <c r="B4209" s="9" t="s">
        <v>8770</v>
      </c>
      <c r="C4209" s="9" t="s">
        <v>8709</v>
      </c>
      <c r="D4209" s="9" t="s">
        <v>93</v>
      </c>
      <c r="E4209" s="6" t="s">
        <v>8795</v>
      </c>
      <c r="F4209" s="9"/>
    </row>
    <row r="4210" ht="33.75" customHeight="1">
      <c r="A4210" s="7">
        <v>139.0</v>
      </c>
      <c r="B4210" s="9" t="s">
        <v>8770</v>
      </c>
      <c r="C4210" s="9" t="s">
        <v>8709</v>
      </c>
      <c r="D4210" s="9" t="s">
        <v>95</v>
      </c>
      <c r="E4210" s="6" t="s">
        <v>8795</v>
      </c>
      <c r="F4210" s="9"/>
    </row>
    <row r="4211" ht="33.75" customHeight="1">
      <c r="A4211" s="7">
        <v>139.0</v>
      </c>
      <c r="B4211" s="9" t="s">
        <v>8770</v>
      </c>
      <c r="C4211" s="9" t="s">
        <v>8709</v>
      </c>
      <c r="D4211" s="9" t="s">
        <v>98</v>
      </c>
      <c r="E4211" s="6" t="s">
        <v>8795</v>
      </c>
      <c r="F4211" s="9"/>
    </row>
    <row r="4212" ht="33.75" customHeight="1">
      <c r="A4212" s="7">
        <v>139.0</v>
      </c>
      <c r="B4212" s="9" t="s">
        <v>8770</v>
      </c>
      <c r="C4212" s="9" t="s">
        <v>8709</v>
      </c>
      <c r="D4212" s="9" t="s">
        <v>99</v>
      </c>
      <c r="E4212" s="6" t="s">
        <v>8795</v>
      </c>
      <c r="F4212" s="9"/>
    </row>
    <row r="4213" ht="33.75" customHeight="1">
      <c r="A4213" s="7">
        <v>139.0</v>
      </c>
      <c r="B4213" s="9" t="s">
        <v>8770</v>
      </c>
      <c r="C4213" s="9" t="s">
        <v>8709</v>
      </c>
      <c r="D4213" s="9" t="s">
        <v>101</v>
      </c>
      <c r="E4213" s="6" t="s">
        <v>8790</v>
      </c>
      <c r="F4213" s="9"/>
    </row>
    <row r="4214" ht="33.75" customHeight="1">
      <c r="A4214" s="7">
        <v>139.0</v>
      </c>
      <c r="B4214" s="9" t="s">
        <v>8770</v>
      </c>
      <c r="C4214" s="9" t="s">
        <v>8709</v>
      </c>
      <c r="D4214" s="9" t="s">
        <v>105</v>
      </c>
      <c r="E4214" s="6" t="s">
        <v>8780</v>
      </c>
      <c r="F4214" s="9"/>
    </row>
    <row r="4215" ht="33.75" customHeight="1">
      <c r="A4215" s="7">
        <v>139.0</v>
      </c>
      <c r="B4215" s="9" t="s">
        <v>8770</v>
      </c>
      <c r="C4215" s="9" t="s">
        <v>8709</v>
      </c>
      <c r="D4215" s="9" t="s">
        <v>107</v>
      </c>
      <c r="E4215" s="6" t="s">
        <v>8811</v>
      </c>
      <c r="F4215" s="9"/>
    </row>
    <row r="4216" ht="33.75" customHeight="1">
      <c r="A4216" s="7">
        <v>139.0</v>
      </c>
      <c r="B4216" s="9" t="s">
        <v>8770</v>
      </c>
      <c r="C4216" s="9" t="s">
        <v>8709</v>
      </c>
      <c r="D4216" s="9" t="s">
        <v>109</v>
      </c>
      <c r="E4216" s="6" t="s">
        <v>8811</v>
      </c>
      <c r="F4216" s="9"/>
    </row>
    <row r="4217" ht="33.75" customHeight="1">
      <c r="A4217" s="7">
        <v>139.0</v>
      </c>
      <c r="B4217" s="9" t="s">
        <v>8770</v>
      </c>
      <c r="C4217" s="9" t="s">
        <v>8709</v>
      </c>
      <c r="D4217" s="9" t="s">
        <v>647</v>
      </c>
      <c r="E4217" s="6" t="s">
        <v>8814</v>
      </c>
      <c r="F4217" s="9"/>
    </row>
    <row r="4218" ht="33.75" customHeight="1">
      <c r="A4218" s="7">
        <v>139.0</v>
      </c>
      <c r="B4218" s="9" t="s">
        <v>8770</v>
      </c>
      <c r="C4218" s="9" t="s">
        <v>8709</v>
      </c>
      <c r="D4218" s="9" t="s">
        <v>652</v>
      </c>
      <c r="E4218" s="6" t="s">
        <v>8817</v>
      </c>
      <c r="F4218" s="9"/>
    </row>
    <row r="4219" ht="33.75" customHeight="1">
      <c r="A4219" s="7">
        <v>139.0</v>
      </c>
      <c r="B4219" s="9" t="s">
        <v>8770</v>
      </c>
      <c r="C4219" s="9" t="s">
        <v>8709</v>
      </c>
      <c r="D4219" s="9" t="s">
        <v>111</v>
      </c>
      <c r="E4219" s="6" t="s">
        <v>8819</v>
      </c>
      <c r="F4219" s="9"/>
    </row>
    <row r="4220" ht="33.75" customHeight="1">
      <c r="A4220" s="7">
        <v>139.0</v>
      </c>
      <c r="B4220" s="9" t="s">
        <v>8770</v>
      </c>
      <c r="C4220" s="9" t="s">
        <v>8709</v>
      </c>
      <c r="D4220" s="9" t="s">
        <v>113</v>
      </c>
      <c r="E4220" s="6" t="s">
        <v>8819</v>
      </c>
      <c r="F4220" s="9"/>
    </row>
    <row r="4221" ht="33.75" customHeight="1">
      <c r="A4221" s="7">
        <v>139.0</v>
      </c>
      <c r="B4221" s="9" t="s">
        <v>8770</v>
      </c>
      <c r="C4221" s="9" t="s">
        <v>8709</v>
      </c>
      <c r="D4221" s="9" t="s">
        <v>114</v>
      </c>
      <c r="E4221" s="6" t="s">
        <v>8823</v>
      </c>
      <c r="F4221" s="9"/>
    </row>
    <row r="4222" ht="33.75" customHeight="1">
      <c r="A4222" s="7">
        <v>139.0</v>
      </c>
      <c r="B4222" s="9" t="s">
        <v>8770</v>
      </c>
      <c r="C4222" s="9" t="s">
        <v>8709</v>
      </c>
      <c r="D4222" s="9" t="s">
        <v>117</v>
      </c>
      <c r="E4222" s="6" t="s">
        <v>8825</v>
      </c>
      <c r="F4222" s="9"/>
    </row>
    <row r="4223" ht="33.75" customHeight="1">
      <c r="A4223" s="7">
        <v>140.0</v>
      </c>
      <c r="B4223" s="9" t="s">
        <v>8827</v>
      </c>
      <c r="C4223" s="9" t="s">
        <v>520</v>
      </c>
      <c r="D4223" s="9" t="s">
        <v>24</v>
      </c>
      <c r="E4223" s="6" t="s">
        <v>8829</v>
      </c>
      <c r="F4223" t="inlineStr" s="10">
        <is>
          <t xml:space="preserve">POKéMON, joka herätettiin henkiin aikoinaan merenpohjasta löydetystä fossiilista. Fossiilista löydetty POKéMON. Se käyttää selässään olevia silmiä piileskellessään merenpohjassa. Harvinaisissa tapauksissa joitakin on löydetty fossiileina, joiksi ne ovat tulleet piiloutuessaan merenpohjaan. Tämä POKéMON eli muinaisina aikoina. Harvinaisissa tapauksissa se on löydetty elävänä fossiilina. Kolmesataa miljoonaa vuotta sitten se piileskeli merenpohjassa. Sillä on myös selässään hohtavat silmät. KABUTO on fossiilista uusiutunut POKéMON. Erittäin harvinaisissa tapauksissa on kuitenkin löydetty eläviä esimerkkejä. POKéMON ei ole muuttunut lainkaan 300 miljoonaan vuoteen. Se on fossiilista uusiutunut POKéMON. Harvinaisissa tapauksissa on kuitenkin löydetty eläviä esimerkkejä. KABUTO ei ole muuttunut 300 miljoonaan vuoteen. Tämä POKéMON luotiin muinaisen olennon fossiilista. Se suojaa itseään kovalla kuorella. POKéMON, joka on uusiutunut kauan sitten merenpohjasta löydetystä fossiilista. Sen uskotaan olleen asuttu rannoilla 300 miljoonaa vuotta sitten. Sitä suojaa jäykkä kuori. Hyvin harvinaisissa tapauksissa on kuitenkin löydetty eläviä esimerkkejä. Tämä Pokémon kukoisti 300 miljoonaa vuotta sitten. Sanotaan, että eläviä yksilöitä voi edelleen nähdä tietyllä alueella – harvinainen näky. Tämä Pokémon kuoli sukupuuttoon kaikkialla, paitsi muutamilla alueilla. Se suojaa itseään kovalla kuorellaan. Se käytti selässään olevia silmiä piileskellessään merenpohjassa. Tämä laji on lähes kokonaan sukupuuttoon kuollut. Kabuto-kakadut sulkasavat kolmen päivän välein, minkä vuoksi niiden kuoret kovenevat ja kovetuvat. Vaikka jotkut sanovat tämän lajin kuolleen sukupuuttoon, Kabuto-havainnot ovat ilmeisesti melko yleisiä joissakin paikoissa.</t>
        </is>
      </c>
    </row>
    <row r="4224" ht="33.75" customHeight="1">
      <c r="A4224" s="7">
        <v>140.0</v>
      </c>
      <c r="B4224" s="9" t="s">
        <v>8827</v>
      </c>
      <c r="C4224" s="9" t="s">
        <v>520</v>
      </c>
      <c r="D4224" s="9" t="s">
        <v>35</v>
      </c>
      <c r="E4224" s="6" t="s">
        <v>8829</v>
      </c>
      <c r="F4224" s="9"/>
    </row>
    <row r="4225" ht="33.75" customHeight="1">
      <c r="A4225" s="7">
        <v>140.0</v>
      </c>
      <c r="B4225" s="9" t="s">
        <v>8827</v>
      </c>
      <c r="C4225" s="9" t="s">
        <v>520</v>
      </c>
      <c r="D4225" s="9" t="s">
        <v>42</v>
      </c>
      <c r="E4225" s="6" t="s">
        <v>8832</v>
      </c>
      <c r="F4225" s="9"/>
    </row>
    <row r="4226" ht="33.75" customHeight="1">
      <c r="A4226" s="7">
        <v>140.0</v>
      </c>
      <c r="B4226" s="9" t="s">
        <v>8827</v>
      </c>
      <c r="C4226" s="9" t="s">
        <v>520</v>
      </c>
      <c r="D4226" s="9" t="s">
        <v>52</v>
      </c>
      <c r="E4226" s="6" t="s">
        <v>8834</v>
      </c>
      <c r="F4226" s="9"/>
    </row>
    <row r="4227" ht="33.75" customHeight="1">
      <c r="A4227" s="7">
        <v>140.0</v>
      </c>
      <c r="B4227" s="9" t="s">
        <v>8827</v>
      </c>
      <c r="C4227" s="9" t="s">
        <v>520</v>
      </c>
      <c r="D4227" s="9" t="s">
        <v>59</v>
      </c>
      <c r="E4227" s="6" t="s">
        <v>8837</v>
      </c>
      <c r="F4227" s="9"/>
    </row>
    <row r="4228" ht="33.75" customHeight="1">
      <c r="A4228" s="7">
        <v>140.0</v>
      </c>
      <c r="B4228" s="9" t="s">
        <v>8827</v>
      </c>
      <c r="C4228" s="9" t="s">
        <v>520</v>
      </c>
      <c r="D4228" s="9" t="s">
        <v>64</v>
      </c>
      <c r="E4228" s="6" t="s">
        <v>8839</v>
      </c>
      <c r="F4228" s="9"/>
    </row>
    <row r="4229" ht="33.75" customHeight="1">
      <c r="A4229" s="7">
        <v>140.0</v>
      </c>
      <c r="B4229" s="9" t="s">
        <v>8827</v>
      </c>
      <c r="C4229" s="9" t="s">
        <v>520</v>
      </c>
      <c r="D4229" s="9" t="s">
        <v>67</v>
      </c>
      <c r="E4229" s="6" t="s">
        <v>8842</v>
      </c>
      <c r="F4229" s="9"/>
    </row>
    <row r="4230" ht="33.75" customHeight="1">
      <c r="A4230" s="7">
        <v>140.0</v>
      </c>
      <c r="B4230" s="9" t="s">
        <v>8827</v>
      </c>
      <c r="C4230" s="9" t="s">
        <v>520</v>
      </c>
      <c r="D4230" s="9" t="s">
        <v>71</v>
      </c>
      <c r="E4230" s="6" t="s">
        <v>8842</v>
      </c>
      <c r="F4230" s="9"/>
    </row>
    <row r="4231" ht="33.75" customHeight="1">
      <c r="A4231" s="7">
        <v>140.0</v>
      </c>
      <c r="B4231" s="9" t="s">
        <v>8827</v>
      </c>
      <c r="C4231" s="9" t="s">
        <v>520</v>
      </c>
      <c r="D4231" s="9" t="s">
        <v>73</v>
      </c>
      <c r="E4231" s="6" t="s">
        <v>8845</v>
      </c>
      <c r="F4231" s="9"/>
    </row>
    <row r="4232" ht="33.75" customHeight="1">
      <c r="A4232" s="7">
        <v>140.0</v>
      </c>
      <c r="B4232" s="9" t="s">
        <v>8827</v>
      </c>
      <c r="C4232" s="9" t="s">
        <v>520</v>
      </c>
      <c r="D4232" s="9" t="s">
        <v>75</v>
      </c>
      <c r="E4232" s="6" t="s">
        <v>8848</v>
      </c>
      <c r="F4232" s="9"/>
    </row>
    <row r="4233" ht="33.75" customHeight="1">
      <c r="A4233" s="7">
        <v>140.0</v>
      </c>
      <c r="B4233" s="9" t="s">
        <v>8827</v>
      </c>
      <c r="C4233" s="9" t="s">
        <v>520</v>
      </c>
      <c r="D4233" s="9" t="s">
        <v>79</v>
      </c>
      <c r="E4233" s="6" t="s">
        <v>8850</v>
      </c>
      <c r="F4233" s="9"/>
    </row>
    <row r="4234" ht="33.75" customHeight="1">
      <c r="A4234" s="7">
        <v>140.0</v>
      </c>
      <c r="B4234" s="9" t="s">
        <v>8827</v>
      </c>
      <c r="C4234" s="9" t="s">
        <v>520</v>
      </c>
      <c r="D4234" s="9" t="s">
        <v>81</v>
      </c>
      <c r="E4234" s="6" t="s">
        <v>8852</v>
      </c>
      <c r="F4234" s="9"/>
    </row>
    <row r="4235" ht="33.75" customHeight="1">
      <c r="A4235" s="7">
        <v>140.0</v>
      </c>
      <c r="B4235" s="9" t="s">
        <v>8827</v>
      </c>
      <c r="C4235" s="9" t="s">
        <v>520</v>
      </c>
      <c r="D4235" s="9" t="s">
        <v>84</v>
      </c>
      <c r="E4235" s="6" t="s">
        <v>8852</v>
      </c>
      <c r="F4235" s="9"/>
    </row>
    <row r="4236" ht="33.75" customHeight="1">
      <c r="A4236" s="7">
        <v>140.0</v>
      </c>
      <c r="B4236" s="9" t="s">
        <v>8827</v>
      </c>
      <c r="C4236" s="9" t="s">
        <v>520</v>
      </c>
      <c r="D4236" s="9" t="s">
        <v>87</v>
      </c>
      <c r="E4236" s="6" t="s">
        <v>8852</v>
      </c>
      <c r="F4236" s="9"/>
    </row>
    <row r="4237" ht="33.75" customHeight="1">
      <c r="A4237" s="7">
        <v>140.0</v>
      </c>
      <c r="B4237" s="9" t="s">
        <v>8827</v>
      </c>
      <c r="C4237" s="9" t="s">
        <v>520</v>
      </c>
      <c r="D4237" s="9" t="s">
        <v>89</v>
      </c>
      <c r="E4237" s="6" t="s">
        <v>8834</v>
      </c>
      <c r="F4237" s="9"/>
    </row>
    <row r="4238" ht="33.75" customHeight="1">
      <c r="A4238" s="7">
        <v>140.0</v>
      </c>
      <c r="B4238" s="9" t="s">
        <v>8827</v>
      </c>
      <c r="C4238" s="9" t="s">
        <v>520</v>
      </c>
      <c r="D4238" s="9" t="s">
        <v>91</v>
      </c>
      <c r="E4238" s="6" t="s">
        <v>8859</v>
      </c>
      <c r="F4238" s="9"/>
    </row>
    <row r="4239" ht="33.75" customHeight="1">
      <c r="A4239" s="7">
        <v>140.0</v>
      </c>
      <c r="B4239" s="9" t="s">
        <v>8827</v>
      </c>
      <c r="C4239" s="9" t="s">
        <v>520</v>
      </c>
      <c r="D4239" s="9" t="s">
        <v>93</v>
      </c>
      <c r="E4239" s="6" t="s">
        <v>8852</v>
      </c>
      <c r="F4239" s="9"/>
    </row>
    <row r="4240" ht="33.75" customHeight="1">
      <c r="A4240" s="7">
        <v>140.0</v>
      </c>
      <c r="B4240" s="9" t="s">
        <v>8827</v>
      </c>
      <c r="C4240" s="9" t="s">
        <v>520</v>
      </c>
      <c r="D4240" s="9" t="s">
        <v>95</v>
      </c>
      <c r="E4240" s="6" t="s">
        <v>8852</v>
      </c>
      <c r="F4240" s="9"/>
    </row>
    <row r="4241" ht="33.75" customHeight="1">
      <c r="A4241" s="7">
        <v>140.0</v>
      </c>
      <c r="B4241" s="9" t="s">
        <v>8827</v>
      </c>
      <c r="C4241" s="9" t="s">
        <v>520</v>
      </c>
      <c r="D4241" s="9" t="s">
        <v>98</v>
      </c>
      <c r="E4241" s="6" t="s">
        <v>8852</v>
      </c>
      <c r="F4241" s="9"/>
    </row>
    <row r="4242" ht="33.75" customHeight="1">
      <c r="A4242" s="7">
        <v>140.0</v>
      </c>
      <c r="B4242" s="9" t="s">
        <v>8827</v>
      </c>
      <c r="C4242" s="9" t="s">
        <v>520</v>
      </c>
      <c r="D4242" s="9" t="s">
        <v>99</v>
      </c>
      <c r="E4242" s="6" t="s">
        <v>8852</v>
      </c>
      <c r="F4242" s="9"/>
    </row>
    <row r="4243" ht="33.75" customHeight="1">
      <c r="A4243" s="7">
        <v>140.0</v>
      </c>
      <c r="B4243" s="9" t="s">
        <v>8827</v>
      </c>
      <c r="C4243" s="9" t="s">
        <v>520</v>
      </c>
      <c r="D4243" s="9" t="s">
        <v>101</v>
      </c>
      <c r="E4243" s="6" t="s">
        <v>8852</v>
      </c>
      <c r="F4243" s="9"/>
    </row>
    <row r="4244" ht="33.75" customHeight="1">
      <c r="A4244" s="7">
        <v>140.0</v>
      </c>
      <c r="B4244" s="9" t="s">
        <v>8827</v>
      </c>
      <c r="C4244" s="9" t="s">
        <v>520</v>
      </c>
      <c r="D4244" s="9" t="s">
        <v>105</v>
      </c>
      <c r="E4244" s="6" t="s">
        <v>8867</v>
      </c>
      <c r="F4244" s="9"/>
    </row>
    <row r="4245" ht="33.75" customHeight="1">
      <c r="A4245" s="7">
        <v>140.0</v>
      </c>
      <c r="B4245" s="9" t="s">
        <v>8827</v>
      </c>
      <c r="C4245" s="9" t="s">
        <v>520</v>
      </c>
      <c r="D4245" s="9" t="s">
        <v>107</v>
      </c>
      <c r="E4245" s="6" t="s">
        <v>8870</v>
      </c>
      <c r="F4245" s="9"/>
    </row>
    <row r="4246" ht="33.75" customHeight="1">
      <c r="A4246" s="7">
        <v>140.0</v>
      </c>
      <c r="B4246" s="9" t="s">
        <v>8827</v>
      </c>
      <c r="C4246" s="9" t="s">
        <v>520</v>
      </c>
      <c r="D4246" s="9" t="s">
        <v>109</v>
      </c>
      <c r="E4246" s="6" t="s">
        <v>8870</v>
      </c>
      <c r="F4246" s="9"/>
    </row>
    <row r="4247" ht="33.75" customHeight="1">
      <c r="A4247" s="7">
        <v>140.0</v>
      </c>
      <c r="B4247" s="9" t="s">
        <v>8827</v>
      </c>
      <c r="C4247" s="9" t="s">
        <v>520</v>
      </c>
      <c r="D4247" s="9" t="s">
        <v>647</v>
      </c>
      <c r="E4247" s="6" t="s">
        <v>8873</v>
      </c>
      <c r="F4247" s="9"/>
    </row>
    <row r="4248" ht="33.75" customHeight="1">
      <c r="A4248" s="7">
        <v>140.0</v>
      </c>
      <c r="B4248" s="9" t="s">
        <v>8827</v>
      </c>
      <c r="C4248" s="9" t="s">
        <v>520</v>
      </c>
      <c r="D4248" s="9" t="s">
        <v>652</v>
      </c>
      <c r="E4248" s="6" t="s">
        <v>8876</v>
      </c>
      <c r="F4248" s="9"/>
    </row>
    <row r="4249" ht="33.75" customHeight="1">
      <c r="A4249" s="7">
        <v>140.0</v>
      </c>
      <c r="B4249" s="9" t="s">
        <v>8827</v>
      </c>
      <c r="C4249" s="9" t="s">
        <v>520</v>
      </c>
      <c r="D4249" s="9" t="s">
        <v>111</v>
      </c>
      <c r="E4249" s="6" t="s">
        <v>8878</v>
      </c>
      <c r="F4249" s="9"/>
    </row>
    <row r="4250" ht="33.75" customHeight="1">
      <c r="A4250" s="7">
        <v>140.0</v>
      </c>
      <c r="B4250" s="9" t="s">
        <v>8827</v>
      </c>
      <c r="C4250" s="9" t="s">
        <v>520</v>
      </c>
      <c r="D4250" s="9" t="s">
        <v>113</v>
      </c>
      <c r="E4250" s="6" t="s">
        <v>8878</v>
      </c>
      <c r="F4250" s="9"/>
    </row>
    <row r="4251" ht="33.75" customHeight="1">
      <c r="A4251" s="7">
        <v>140.0</v>
      </c>
      <c r="B4251" s="9" t="s">
        <v>8827</v>
      </c>
      <c r="C4251" s="9" t="s">
        <v>520</v>
      </c>
      <c r="D4251" s="9" t="s">
        <v>114</v>
      </c>
      <c r="E4251" s="6" t="s">
        <v>8882</v>
      </c>
      <c r="F4251" s="9"/>
    </row>
    <row r="4252" ht="33.75" customHeight="1">
      <c r="A4252" s="7">
        <v>140.0</v>
      </c>
      <c r="B4252" s="9" t="s">
        <v>8827</v>
      </c>
      <c r="C4252" s="9" t="s">
        <v>520</v>
      </c>
      <c r="D4252" s="9" t="s">
        <v>117</v>
      </c>
      <c r="E4252" s="6" t="s">
        <v>8884</v>
      </c>
      <c r="F4252" s="9"/>
    </row>
    <row r="4253" ht="33.75" customHeight="1">
      <c r="A4253" s="7">
        <v>141.0</v>
      </c>
      <c r="B4253" s="9" t="s">
        <v>8886</v>
      </c>
      <c r="C4253" s="9" t="s">
        <v>520</v>
      </c>
      <c r="D4253" s="9" t="s">
        <v>24</v>
      </c>
      <c r="E4253" s="6" t="s">
        <v>8887</v>
      </c>
      <c r="F4253" t="inlineStr" s="10">
        <is>
          <t xml:space="preserve">Kabutopsin virtaviivainen muoto sopii täydellisesti uimiseen. Se viiltää saalista kynsillään ja imee siitä nesteitä. Hoikka ja nopea uimari. Se viiltää saalistaan ​​terävillä sirpeillään ja juo sen ruumiinnesteitä. Vedessä se vetää raajansa sisäänpäin tiivistääkseen kokoaan ja sitten se heiluttelee kuortaan uidakseen nopeasti. Terävillä kynsillään tämä raivoisa, muinainen POKéMON repii saaliinsa kappaleiksi ja imee niiden ruumiinnesteitä. Se pystyi uida nopeasti vedessä taittamalla terävät sirppinsä tiiviisti kokoon. Muinaisina aikoina kabutopsit uivat veden alla metsästääkseen saalistaan. Pokémon oli ilmeisesti kehittymässä vesieliöistä maalla eläviksi, kuten sen kidusten ja jalkojen muutokset osoittavat. KABUTOPS ui aikoinaan veden alla metsästääkseen saalista. Se oli ilmeisesti kehittymässä vesieliöstä maalla eläväksi, kuten sen kidusten ja jalkojen muutokset osoittavat. Se ui vapaasti vedessä. Se pyydystää saaliin viikatteen kaltaisilla käsillään ja imee uhrin nesteet. Sen virtaviivainen muoto on täydellinen uimiseen. Se viiltää saalista kynsillään ja imee sen nesteet pois. Tämän Pokémonin uskotaan tulleen maalle, koska sen saalis sopeutui maaelämään. Pokémonit olivat ilmeisesti kehittymässä vesieliöistä maalla eläviksi, mikä käy ilmi sen kidusten ja jalkojen muutoksista. Sen ruumis oli alkanut muuttua, jotta se kykenisi toimimaan maalla. Mutta se ei sopeutunut ajoissa ja kuoli sukupuuttoon. Se ui noin 29 solmun nopeudella, lähestyy nopeasti saalistaan ​​ja viivoittaa sitä viikatteillaan lopettaakseen sen. Se viilsi saalistaan ​​terävillä sirpeillään ja joi sen ruumiinnesteet. Kabutops viipaloi saaliinsa ja imee nesteet ulos. Hylätyistä ruumiinosista tulee ruokaa muille Pokémoneille. Tämän lajin sukupuuton syytä ei tiedetä. Kabutopsit olivat aggressiivisia Pokémoneja, jotka asuttivat lämpimiä meriä.</t>
        </is>
      </c>
    </row>
    <row r="4254" ht="33.75" customHeight="1">
      <c r="A4254" s="7">
        <v>141.0</v>
      </c>
      <c r="B4254" s="9" t="s">
        <v>8886</v>
      </c>
      <c r="C4254" s="9" t="s">
        <v>520</v>
      </c>
      <c r="D4254" s="9" t="s">
        <v>35</v>
      </c>
      <c r="E4254" s="6" t="s">
        <v>8887</v>
      </c>
      <c r="F4254" s="9"/>
    </row>
    <row r="4255" ht="33.75" customHeight="1">
      <c r="A4255" s="7">
        <v>141.0</v>
      </c>
      <c r="B4255" s="9" t="s">
        <v>8886</v>
      </c>
      <c r="C4255" s="9" t="s">
        <v>520</v>
      </c>
      <c r="D4255" s="9" t="s">
        <v>42</v>
      </c>
      <c r="E4255" s="6" t="s">
        <v>8890</v>
      </c>
      <c r="F4255" s="9"/>
    </row>
    <row r="4256" ht="33.75" customHeight="1">
      <c r="A4256" s="7">
        <v>141.0</v>
      </c>
      <c r="B4256" s="9" t="s">
        <v>8886</v>
      </c>
      <c r="C4256" s="9" t="s">
        <v>520</v>
      </c>
      <c r="D4256" s="9" t="s">
        <v>52</v>
      </c>
      <c r="E4256" s="6" t="s">
        <v>8893</v>
      </c>
      <c r="F4256" s="9"/>
    </row>
    <row r="4257" ht="33.75" customHeight="1">
      <c r="A4257" s="7">
        <v>141.0</v>
      </c>
      <c r="B4257" s="9" t="s">
        <v>8886</v>
      </c>
      <c r="C4257" s="9" t="s">
        <v>520</v>
      </c>
      <c r="D4257" s="9" t="s">
        <v>59</v>
      </c>
      <c r="E4257" s="6" t="s">
        <v>8895</v>
      </c>
      <c r="F4257" s="9"/>
    </row>
    <row r="4258" ht="33.75" customHeight="1">
      <c r="A4258" s="7">
        <v>141.0</v>
      </c>
      <c r="B4258" s="9" t="s">
        <v>8886</v>
      </c>
      <c r="C4258" s="9" t="s">
        <v>520</v>
      </c>
      <c r="D4258" s="9" t="s">
        <v>64</v>
      </c>
      <c r="E4258" s="6" t="s">
        <v>8897</v>
      </c>
      <c r="F4258" s="9"/>
    </row>
    <row r="4259" ht="33.75" customHeight="1">
      <c r="A4259" s="7">
        <v>141.0</v>
      </c>
      <c r="B4259" s="9" t="s">
        <v>8886</v>
      </c>
      <c r="C4259" s="9" t="s">
        <v>520</v>
      </c>
      <c r="D4259" s="9" t="s">
        <v>67</v>
      </c>
      <c r="E4259" s="6" t="s">
        <v>8900</v>
      </c>
      <c r="F4259" s="9"/>
    </row>
    <row r="4260" ht="33.75" customHeight="1">
      <c r="A4260" s="7">
        <v>141.0</v>
      </c>
      <c r="B4260" s="9" t="s">
        <v>8886</v>
      </c>
      <c r="C4260" s="9" t="s">
        <v>520</v>
      </c>
      <c r="D4260" s="9" t="s">
        <v>71</v>
      </c>
      <c r="E4260" s="6" t="s">
        <v>8900</v>
      </c>
      <c r="F4260" s="9"/>
    </row>
    <row r="4261" ht="33.75" customHeight="1">
      <c r="A4261" s="7">
        <v>141.0</v>
      </c>
      <c r="B4261" s="9" t="s">
        <v>8886</v>
      </c>
      <c r="C4261" s="9" t="s">
        <v>520</v>
      </c>
      <c r="D4261" s="9" t="s">
        <v>73</v>
      </c>
      <c r="E4261" s="6" t="s">
        <v>8904</v>
      </c>
      <c r="F4261" s="9"/>
    </row>
    <row r="4262" ht="33.75" customHeight="1">
      <c r="A4262" s="7">
        <v>141.0</v>
      </c>
      <c r="B4262" s="9" t="s">
        <v>8886</v>
      </c>
      <c r="C4262" s="9" t="s">
        <v>520</v>
      </c>
      <c r="D4262" s="9" t="s">
        <v>75</v>
      </c>
      <c r="E4262" s="6" t="s">
        <v>8906</v>
      </c>
      <c r="F4262" s="9"/>
    </row>
    <row r="4263" ht="33.75" customHeight="1">
      <c r="A4263" s="7">
        <v>141.0</v>
      </c>
      <c r="B4263" s="9" t="s">
        <v>8886</v>
      </c>
      <c r="C4263" s="9" t="s">
        <v>520</v>
      </c>
      <c r="D4263" s="9" t="s">
        <v>79</v>
      </c>
      <c r="E4263" s="6" t="s">
        <v>8908</v>
      </c>
      <c r="F4263" s="9"/>
    </row>
    <row r="4264" ht="33.75" customHeight="1">
      <c r="A4264" s="7">
        <v>141.0</v>
      </c>
      <c r="B4264" s="9" t="s">
        <v>8886</v>
      </c>
      <c r="C4264" s="9" t="s">
        <v>520</v>
      </c>
      <c r="D4264" s="9" t="s">
        <v>81</v>
      </c>
      <c r="E4264" s="6" t="s">
        <v>8910</v>
      </c>
      <c r="F4264" s="9"/>
    </row>
    <row r="4265" ht="33.75" customHeight="1">
      <c r="A4265" s="7">
        <v>141.0</v>
      </c>
      <c r="B4265" s="9" t="s">
        <v>8886</v>
      </c>
      <c r="C4265" s="9" t="s">
        <v>520</v>
      </c>
      <c r="D4265" s="9" t="s">
        <v>84</v>
      </c>
      <c r="E4265" s="6" t="s">
        <v>8910</v>
      </c>
      <c r="F4265" s="9"/>
    </row>
    <row r="4266" ht="33.75" customHeight="1">
      <c r="A4266" s="7">
        <v>141.0</v>
      </c>
      <c r="B4266" s="9" t="s">
        <v>8886</v>
      </c>
      <c r="C4266" s="9" t="s">
        <v>520</v>
      </c>
      <c r="D4266" s="9" t="s">
        <v>87</v>
      </c>
      <c r="E4266" s="6" t="s">
        <v>8910</v>
      </c>
      <c r="F4266" s="9"/>
    </row>
    <row r="4267" ht="33.75" customHeight="1">
      <c r="A4267" s="7">
        <v>141.0</v>
      </c>
      <c r="B4267" s="9" t="s">
        <v>8886</v>
      </c>
      <c r="C4267" s="9" t="s">
        <v>520</v>
      </c>
      <c r="D4267" s="9" t="s">
        <v>89</v>
      </c>
      <c r="E4267" s="6" t="s">
        <v>8893</v>
      </c>
      <c r="F4267" s="9"/>
    </row>
    <row r="4268" ht="33.75" customHeight="1">
      <c r="A4268" s="7">
        <v>141.0</v>
      </c>
      <c r="B4268" s="9" t="s">
        <v>8886</v>
      </c>
      <c r="C4268" s="9" t="s">
        <v>520</v>
      </c>
      <c r="D4268" s="9" t="s">
        <v>91</v>
      </c>
      <c r="E4268" s="6" t="s">
        <v>8919</v>
      </c>
      <c r="F4268" s="9"/>
    </row>
    <row r="4269" ht="33.75" customHeight="1">
      <c r="A4269" s="7">
        <v>141.0</v>
      </c>
      <c r="B4269" s="9" t="s">
        <v>8886</v>
      </c>
      <c r="C4269" s="9" t="s">
        <v>520</v>
      </c>
      <c r="D4269" s="9" t="s">
        <v>93</v>
      </c>
      <c r="E4269" s="6" t="s">
        <v>8910</v>
      </c>
      <c r="F4269" s="9"/>
    </row>
    <row r="4270" ht="33.75" customHeight="1">
      <c r="A4270" s="7">
        <v>141.0</v>
      </c>
      <c r="B4270" s="9" t="s">
        <v>8886</v>
      </c>
      <c r="C4270" s="9" t="s">
        <v>520</v>
      </c>
      <c r="D4270" s="9" t="s">
        <v>95</v>
      </c>
      <c r="E4270" s="6" t="s">
        <v>8910</v>
      </c>
      <c r="F4270" s="9"/>
    </row>
    <row r="4271" ht="33.75" customHeight="1">
      <c r="A4271" s="7">
        <v>141.0</v>
      </c>
      <c r="B4271" s="9" t="s">
        <v>8886</v>
      </c>
      <c r="C4271" s="9" t="s">
        <v>520</v>
      </c>
      <c r="D4271" s="9" t="s">
        <v>98</v>
      </c>
      <c r="E4271" s="6" t="s">
        <v>8910</v>
      </c>
      <c r="F4271" s="9"/>
    </row>
    <row r="4272" ht="33.75" customHeight="1">
      <c r="A4272" s="7">
        <v>141.0</v>
      </c>
      <c r="B4272" s="9" t="s">
        <v>8886</v>
      </c>
      <c r="C4272" s="9" t="s">
        <v>520</v>
      </c>
      <c r="D4272" s="9" t="s">
        <v>99</v>
      </c>
      <c r="E4272" s="6" t="s">
        <v>8910</v>
      </c>
      <c r="F4272" s="9"/>
    </row>
    <row r="4273" ht="33.75" customHeight="1">
      <c r="A4273" s="7">
        <v>141.0</v>
      </c>
      <c r="B4273" s="9" t="s">
        <v>8886</v>
      </c>
      <c r="C4273" s="9" t="s">
        <v>520</v>
      </c>
      <c r="D4273" s="9" t="s">
        <v>101</v>
      </c>
      <c r="E4273" s="6" t="s">
        <v>8893</v>
      </c>
      <c r="F4273" s="9"/>
    </row>
    <row r="4274" ht="33.75" customHeight="1">
      <c r="A4274" s="7">
        <v>141.0</v>
      </c>
      <c r="B4274" s="9" t="s">
        <v>8886</v>
      </c>
      <c r="C4274" s="9" t="s">
        <v>520</v>
      </c>
      <c r="D4274" s="9" t="s">
        <v>105</v>
      </c>
      <c r="E4274" s="6" t="s">
        <v>8890</v>
      </c>
      <c r="F4274" s="9"/>
    </row>
    <row r="4275" ht="33.75" customHeight="1">
      <c r="A4275" s="7">
        <v>141.0</v>
      </c>
      <c r="B4275" s="9" t="s">
        <v>8886</v>
      </c>
      <c r="C4275" s="9" t="s">
        <v>520</v>
      </c>
      <c r="D4275" s="9" t="s">
        <v>107</v>
      </c>
      <c r="E4275" s="6" t="s">
        <v>8926</v>
      </c>
      <c r="F4275" s="9"/>
    </row>
    <row r="4276" ht="33.75" customHeight="1">
      <c r="A4276" s="7">
        <v>141.0</v>
      </c>
      <c r="B4276" s="9" t="s">
        <v>8886</v>
      </c>
      <c r="C4276" s="9" t="s">
        <v>520</v>
      </c>
      <c r="D4276" s="9" t="s">
        <v>109</v>
      </c>
      <c r="E4276" s="6" t="s">
        <v>8926</v>
      </c>
      <c r="F4276" s="9"/>
    </row>
    <row r="4277" ht="33.75" customHeight="1">
      <c r="A4277" s="7">
        <v>141.0</v>
      </c>
      <c r="B4277" s="9" t="s">
        <v>8886</v>
      </c>
      <c r="C4277" s="9" t="s">
        <v>520</v>
      </c>
      <c r="D4277" s="9" t="s">
        <v>647</v>
      </c>
      <c r="E4277" s="6" t="s">
        <v>8928</v>
      </c>
      <c r="F4277" s="9"/>
    </row>
    <row r="4278" ht="33.75" customHeight="1">
      <c r="A4278" s="7">
        <v>141.0</v>
      </c>
      <c r="B4278" s="9" t="s">
        <v>8886</v>
      </c>
      <c r="C4278" s="9" t="s">
        <v>520</v>
      </c>
      <c r="D4278" s="9" t="s">
        <v>652</v>
      </c>
      <c r="E4278" s="6" t="s">
        <v>8931</v>
      </c>
      <c r="F4278" s="9"/>
    </row>
    <row r="4279" ht="33.75" customHeight="1">
      <c r="A4279" s="7">
        <v>141.0</v>
      </c>
      <c r="B4279" s="9" t="s">
        <v>8886</v>
      </c>
      <c r="C4279" s="9" t="s">
        <v>520</v>
      </c>
      <c r="D4279" s="9" t="s">
        <v>111</v>
      </c>
      <c r="E4279" s="6" t="s">
        <v>8933</v>
      </c>
      <c r="F4279" s="9"/>
    </row>
    <row r="4280" ht="33.75" customHeight="1">
      <c r="A4280" s="7">
        <v>141.0</v>
      </c>
      <c r="B4280" s="9" t="s">
        <v>8886</v>
      </c>
      <c r="C4280" s="9" t="s">
        <v>520</v>
      </c>
      <c r="D4280" s="9" t="s">
        <v>113</v>
      </c>
      <c r="E4280" s="6" t="s">
        <v>8933</v>
      </c>
      <c r="F4280" s="9"/>
    </row>
    <row r="4281" ht="33.75" customHeight="1">
      <c r="A4281" s="7">
        <v>141.0</v>
      </c>
      <c r="B4281" s="9" t="s">
        <v>8886</v>
      </c>
      <c r="C4281" s="9" t="s">
        <v>520</v>
      </c>
      <c r="D4281" s="9" t="s">
        <v>114</v>
      </c>
      <c r="E4281" s="6" t="s">
        <v>8935</v>
      </c>
      <c r="F4281" s="9"/>
    </row>
    <row r="4282" ht="33.75" customHeight="1">
      <c r="A4282" s="7">
        <v>141.0</v>
      </c>
      <c r="B4282" s="9" t="s">
        <v>8886</v>
      </c>
      <c r="C4282" s="9" t="s">
        <v>520</v>
      </c>
      <c r="D4282" s="9" t="s">
        <v>117</v>
      </c>
      <c r="E4282" s="6" t="s">
        <v>8936</v>
      </c>
      <c r="F4282" s="9"/>
    </row>
    <row r="4283" ht="33.75" customHeight="1">
      <c r="A4283" s="7">
        <v>142.0</v>
      </c>
      <c r="B4283" s="9" t="s">
        <v>8938</v>
      </c>
      <c r="C4283" s="9" t="s">
        <v>8939</v>
      </c>
      <c r="D4283" s="9" t="s">
        <v>24</v>
      </c>
      <c r="E4283" s="6" t="s">
        <v>8940</v>
      </c>
      <c r="F4283" t="inlineStr" s="10">
        <is>
          <t xml:space="preserve">Raivoisa, esihistoriallinen POKéMON, joka hyökkää vihollisen kurkkuun sahalaitaisilla, sahan kaltaisilla hampaillaan. Villi POKéMON, joka kuoli sukupuuttoon muinaisina aikoina. Se herätettiin henkiin meripihkasta otetulla DNA:lla. Kaukaisesta menneisyydestä peräisin oleva ilkeä POKéMON näyttää lentäneen levittämällä siipensä ja liitämällä. Tämän ilkeän POKé MONin kerrotaan lentäneen muinaisella taivaalla kirkuen korkeita huutoja. Esihistoriallisina aikoina tämä POKéMON lensi vapaasti ja pelottomasti taivaalla. AERODACTYL on dinosaurusten aikakauden POKéMON. Se luotiin uudelleen meripihkasta uutetusta geneettisestä materiaalista. Sen uskotaan olleen taivaiden kuningas muinaisissa ajoissa. Se luotiin uudelleen meripihkasta uutetusta DNA:sta. Sen uskotaan olleen taivaiden kuningas. Se luotiin uudelleen dinosauruksen geneettisestä aineksesta, jota löydettiin meripihkasta. Se lentää korkeilla äänillä. Pokémon, joka vaelsi taivailla dinosaurusten aikakaudella. Sen hampaat ovat kuin sahanterät. Kaukaisesta menneisyydestä peräisin oleva ilkeä Pokémon näyttää lentäneen levittämällä siipiään ja liitämällä. Tämän ilkeän Pokémonin sanotaan lentäneen muinaisilla taivailla kirkuen korkeita huutoja. Sen uskotaan olleen taivaiden kuningas muinaisina aikoina. Dinosaurusten aikakauden Pokémon. Se käytti sahamaisia ​​hampaitaan saaliinsa silppuamiseen ennen sen syömistä. Muinaisina aikoina se hallitsi taivaita. Yleisesti hyväksytyn teorian mukaan se kuoli sukupuuttoon suuren meteoritörmäyksen seurauksena. Meripihkasta löydetystä DNA:sta ennallistettu Pokémon osoitti odotettua suurempaa raivoa. Joitakin uhreja seurasi. Se lensi muinaisen mantereen yllä avoimen taivaan halki kuin omansa. Maata koskettaessaan sen kävely oli heikkoa ja hidasta. Tämä on hurja Pokémon muinaisista ajoista. Ilmeisesti edes nykyteknologia ei kykene tuottamaan täydellisesti restauroitua yksilöä. Aerodactylin sahan kaltaiset kulmahampaat voivat repiä ihon kappaleiksi – jopa terästyyppisen Pokémonin ihon.</t>
        </is>
      </c>
    </row>
    <row r="4284" ht="33.75" customHeight="1">
      <c r="A4284" s="7">
        <v>142.0</v>
      </c>
      <c r="B4284" s="9" t="s">
        <v>8938</v>
      </c>
      <c r="C4284" s="9" t="s">
        <v>8939</v>
      </c>
      <c r="D4284" s="9" t="s">
        <v>35</v>
      </c>
      <c r="E4284" s="6" t="s">
        <v>8940</v>
      </c>
      <c r="F4284" s="9"/>
    </row>
    <row r="4285" ht="33.75" customHeight="1">
      <c r="A4285" s="7">
        <v>142.0</v>
      </c>
      <c r="B4285" s="9" t="s">
        <v>8938</v>
      </c>
      <c r="C4285" s="9" t="s">
        <v>8939</v>
      </c>
      <c r="D4285" s="9" t="s">
        <v>42</v>
      </c>
      <c r="E4285" s="6" t="s">
        <v>8943</v>
      </c>
      <c r="F4285" s="9"/>
    </row>
    <row r="4286" ht="33.75" customHeight="1">
      <c r="A4286" s="7">
        <v>142.0</v>
      </c>
      <c r="B4286" s="9" t="s">
        <v>8938</v>
      </c>
      <c r="C4286" s="9" t="s">
        <v>8939</v>
      </c>
      <c r="D4286" s="9" t="s">
        <v>52</v>
      </c>
      <c r="E4286" s="6" t="s">
        <v>8945</v>
      </c>
      <c r="F4286" s="9"/>
    </row>
    <row r="4287" ht="33.75" customHeight="1">
      <c r="A4287" s="7">
        <v>142.0</v>
      </c>
      <c r="B4287" s="9" t="s">
        <v>8938</v>
      </c>
      <c r="C4287" s="9" t="s">
        <v>8939</v>
      </c>
      <c r="D4287" s="9" t="s">
        <v>59</v>
      </c>
      <c r="E4287" s="6" t="s">
        <v>8947</v>
      </c>
      <c r="F4287" s="9"/>
    </row>
    <row r="4288" ht="33.75" customHeight="1">
      <c r="A4288" s="7">
        <v>142.0</v>
      </c>
      <c r="B4288" s="9" t="s">
        <v>8938</v>
      </c>
      <c r="C4288" s="9" t="s">
        <v>8939</v>
      </c>
      <c r="D4288" s="9" t="s">
        <v>64</v>
      </c>
      <c r="E4288" s="6" t="s">
        <v>8949</v>
      </c>
      <c r="F4288" s="9"/>
    </row>
    <row r="4289" ht="33.75" customHeight="1">
      <c r="A4289" s="7">
        <v>142.0</v>
      </c>
      <c r="B4289" s="9" t="s">
        <v>8938</v>
      </c>
      <c r="C4289" s="9" t="s">
        <v>8939</v>
      </c>
      <c r="D4289" s="9" t="s">
        <v>67</v>
      </c>
      <c r="E4289" s="6" t="s">
        <v>8951</v>
      </c>
      <c r="F4289" s="9"/>
    </row>
    <row r="4290" ht="33.75" customHeight="1">
      <c r="A4290" s="7">
        <v>142.0</v>
      </c>
      <c r="B4290" s="9" t="s">
        <v>8938</v>
      </c>
      <c r="C4290" s="9" t="s">
        <v>8939</v>
      </c>
      <c r="D4290" s="9" t="s">
        <v>71</v>
      </c>
      <c r="E4290" s="6" t="s">
        <v>8951</v>
      </c>
      <c r="F4290" s="9"/>
    </row>
    <row r="4291" ht="33.75" customHeight="1">
      <c r="A4291" s="7">
        <v>142.0</v>
      </c>
      <c r="B4291" s="9" t="s">
        <v>8938</v>
      </c>
      <c r="C4291" s="9" t="s">
        <v>8939</v>
      </c>
      <c r="D4291" s="9" t="s">
        <v>73</v>
      </c>
      <c r="E4291" s="6" t="s">
        <v>8955</v>
      </c>
      <c r="F4291" s="9"/>
    </row>
    <row r="4292" ht="33.75" customHeight="1">
      <c r="A4292" s="7">
        <v>142.0</v>
      </c>
      <c r="B4292" s="9" t="s">
        <v>8938</v>
      </c>
      <c r="C4292" s="9" t="s">
        <v>8939</v>
      </c>
      <c r="D4292" s="9" t="s">
        <v>75</v>
      </c>
      <c r="E4292" s="6" t="s">
        <v>8957</v>
      </c>
      <c r="F4292" s="9"/>
    </row>
    <row r="4293" ht="33.75" customHeight="1">
      <c r="A4293" s="7">
        <v>142.0</v>
      </c>
      <c r="B4293" s="9" t="s">
        <v>8938</v>
      </c>
      <c r="C4293" s="9" t="s">
        <v>8939</v>
      </c>
      <c r="D4293" s="9" t="s">
        <v>79</v>
      </c>
      <c r="E4293" s="6" t="s">
        <v>8940</v>
      </c>
      <c r="F4293" s="9"/>
    </row>
    <row r="4294" ht="33.75" customHeight="1">
      <c r="A4294" s="7">
        <v>142.0</v>
      </c>
      <c r="B4294" s="9" t="s">
        <v>8938</v>
      </c>
      <c r="C4294" s="9" t="s">
        <v>8939</v>
      </c>
      <c r="D4294" s="9" t="s">
        <v>81</v>
      </c>
      <c r="E4294" s="6" t="s">
        <v>8960</v>
      </c>
      <c r="F4294" s="9"/>
    </row>
    <row r="4295" ht="33.75" customHeight="1">
      <c r="A4295" s="7">
        <v>142.0</v>
      </c>
      <c r="B4295" s="9" t="s">
        <v>8938</v>
      </c>
      <c r="C4295" s="9" t="s">
        <v>8939</v>
      </c>
      <c r="D4295" s="9" t="s">
        <v>84</v>
      </c>
      <c r="E4295" s="6" t="s">
        <v>8960</v>
      </c>
      <c r="F4295" s="9"/>
    </row>
    <row r="4296" ht="33.75" customHeight="1">
      <c r="A4296" s="7">
        <v>142.0</v>
      </c>
      <c r="B4296" s="9" t="s">
        <v>8938</v>
      </c>
      <c r="C4296" s="9" t="s">
        <v>8939</v>
      </c>
      <c r="D4296" s="9" t="s">
        <v>87</v>
      </c>
      <c r="E4296" s="6" t="s">
        <v>8960</v>
      </c>
      <c r="F4296" s="9"/>
    </row>
    <row r="4297" ht="33.75" customHeight="1">
      <c r="A4297" s="7">
        <v>142.0</v>
      </c>
      <c r="B4297" s="9" t="s">
        <v>8938</v>
      </c>
      <c r="C4297" s="9" t="s">
        <v>8939</v>
      </c>
      <c r="D4297" s="9" t="s">
        <v>89</v>
      </c>
      <c r="E4297" s="6" t="s">
        <v>8965</v>
      </c>
      <c r="F4297" s="9"/>
    </row>
    <row r="4298" ht="33.75" customHeight="1">
      <c r="A4298" s="7">
        <v>142.0</v>
      </c>
      <c r="B4298" s="9" t="s">
        <v>8938</v>
      </c>
      <c r="C4298" s="9" t="s">
        <v>8939</v>
      </c>
      <c r="D4298" s="9" t="s">
        <v>91</v>
      </c>
      <c r="E4298" s="6" t="s">
        <v>8967</v>
      </c>
      <c r="F4298" s="9"/>
    </row>
    <row r="4299" ht="33.75" customHeight="1">
      <c r="A4299" s="7">
        <v>142.0</v>
      </c>
      <c r="B4299" s="9" t="s">
        <v>8938</v>
      </c>
      <c r="C4299" s="9" t="s">
        <v>8939</v>
      </c>
      <c r="D4299" s="9" t="s">
        <v>93</v>
      </c>
      <c r="E4299" s="6" t="s">
        <v>8960</v>
      </c>
      <c r="F4299" s="9"/>
    </row>
    <row r="4300" ht="33.75" customHeight="1">
      <c r="A4300" s="7">
        <v>142.0</v>
      </c>
      <c r="B4300" s="9" t="s">
        <v>8938</v>
      </c>
      <c r="C4300" s="9" t="s">
        <v>8939</v>
      </c>
      <c r="D4300" s="9" t="s">
        <v>95</v>
      </c>
      <c r="E4300" s="6" t="s">
        <v>8960</v>
      </c>
      <c r="F4300" s="9"/>
    </row>
    <row r="4301" ht="33.75" customHeight="1">
      <c r="A4301" s="7">
        <v>142.0</v>
      </c>
      <c r="B4301" s="9" t="s">
        <v>8938</v>
      </c>
      <c r="C4301" s="9" t="s">
        <v>8939</v>
      </c>
      <c r="D4301" s="9" t="s">
        <v>98</v>
      </c>
      <c r="E4301" s="6" t="s">
        <v>8960</v>
      </c>
      <c r="F4301" s="9"/>
    </row>
    <row r="4302" ht="33.75" customHeight="1">
      <c r="A4302" s="7">
        <v>142.0</v>
      </c>
      <c r="B4302" s="9" t="s">
        <v>8938</v>
      </c>
      <c r="C4302" s="9" t="s">
        <v>8939</v>
      </c>
      <c r="D4302" s="9" t="s">
        <v>99</v>
      </c>
      <c r="E4302" s="6" t="s">
        <v>8960</v>
      </c>
      <c r="F4302" s="9"/>
    </row>
    <row r="4303" ht="33.75" customHeight="1">
      <c r="A4303" s="7">
        <v>142.0</v>
      </c>
      <c r="B4303" s="9" t="s">
        <v>8938</v>
      </c>
      <c r="C4303" s="9" t="s">
        <v>8939</v>
      </c>
      <c r="D4303" s="9" t="s">
        <v>101</v>
      </c>
      <c r="E4303" s="6" t="s">
        <v>8957</v>
      </c>
      <c r="F4303" s="9"/>
    </row>
    <row r="4304" ht="33.75" customHeight="1">
      <c r="A4304" s="7">
        <v>142.0</v>
      </c>
      <c r="B4304" s="9" t="s">
        <v>8938</v>
      </c>
      <c r="C4304" s="9" t="s">
        <v>8939</v>
      </c>
      <c r="D4304" s="9" t="s">
        <v>105</v>
      </c>
      <c r="E4304" s="6" t="s">
        <v>8967</v>
      </c>
      <c r="F4304" s="9"/>
    </row>
    <row r="4305" ht="33.75" customHeight="1">
      <c r="A4305" s="7">
        <v>142.0</v>
      </c>
      <c r="B4305" s="9" t="s">
        <v>8938</v>
      </c>
      <c r="C4305" s="9" t="s">
        <v>8939</v>
      </c>
      <c r="D4305" s="9" t="s">
        <v>107</v>
      </c>
      <c r="E4305" s="6" t="s">
        <v>8977</v>
      </c>
      <c r="F4305" s="9"/>
    </row>
    <row r="4306" ht="33.75" customHeight="1">
      <c r="A4306" s="7">
        <v>142.0</v>
      </c>
      <c r="B4306" s="9" t="s">
        <v>8938</v>
      </c>
      <c r="C4306" s="9" t="s">
        <v>8939</v>
      </c>
      <c r="D4306" s="9" t="s">
        <v>109</v>
      </c>
      <c r="E4306" s="6" t="s">
        <v>8977</v>
      </c>
      <c r="F4306" s="9"/>
    </row>
    <row r="4307" ht="33.75" customHeight="1">
      <c r="A4307" s="7">
        <v>142.0</v>
      </c>
      <c r="B4307" s="9" t="s">
        <v>8938</v>
      </c>
      <c r="C4307" s="9" t="s">
        <v>8939</v>
      </c>
      <c r="D4307" s="9" t="s">
        <v>637</v>
      </c>
      <c r="E4307" s="6" t="s">
        <v>8980</v>
      </c>
      <c r="F4307" s="9"/>
    </row>
    <row r="4308" ht="33.75" customHeight="1">
      <c r="A4308" s="7">
        <v>142.0</v>
      </c>
      <c r="B4308" s="9" t="s">
        <v>8938</v>
      </c>
      <c r="C4308" s="9" t="s">
        <v>8939</v>
      </c>
      <c r="D4308" s="9" t="s">
        <v>642</v>
      </c>
      <c r="E4308" s="6" t="s">
        <v>8982</v>
      </c>
      <c r="F4308" s="9"/>
    </row>
    <row r="4309" ht="33.75" customHeight="1">
      <c r="A4309" s="7">
        <v>142.0</v>
      </c>
      <c r="B4309" s="9" t="s">
        <v>8938</v>
      </c>
      <c r="C4309" s="9" t="s">
        <v>8939</v>
      </c>
      <c r="D4309" s="9" t="s">
        <v>647</v>
      </c>
      <c r="E4309" s="6" t="s">
        <v>8985</v>
      </c>
      <c r="F4309" s="9"/>
    </row>
    <row r="4310" ht="33.75" customHeight="1">
      <c r="A4310" s="7">
        <v>142.0</v>
      </c>
      <c r="B4310" s="9" t="s">
        <v>8938</v>
      </c>
      <c r="C4310" s="9" t="s">
        <v>8939</v>
      </c>
      <c r="D4310" s="9" t="s">
        <v>652</v>
      </c>
      <c r="E4310" s="6" t="s">
        <v>8987</v>
      </c>
      <c r="F4310" s="9"/>
    </row>
    <row r="4311" ht="33.75" customHeight="1">
      <c r="A4311" s="7">
        <v>142.0</v>
      </c>
      <c r="B4311" s="9" t="s">
        <v>8938</v>
      </c>
      <c r="C4311" s="9" t="s">
        <v>8939</v>
      </c>
      <c r="D4311" s="9" t="s">
        <v>111</v>
      </c>
      <c r="E4311" s="6" t="s">
        <v>8989</v>
      </c>
      <c r="F4311" s="9"/>
    </row>
    <row r="4312" ht="33.75" customHeight="1">
      <c r="A4312" s="7">
        <v>142.0</v>
      </c>
      <c r="B4312" s="9" t="s">
        <v>8938</v>
      </c>
      <c r="C4312" s="9" t="s">
        <v>8939</v>
      </c>
      <c r="D4312" s="9" t="s">
        <v>113</v>
      </c>
      <c r="E4312" s="6" t="s">
        <v>8989</v>
      </c>
      <c r="F4312" s="9"/>
    </row>
    <row r="4313" ht="33.75" customHeight="1">
      <c r="A4313" s="7">
        <v>142.0</v>
      </c>
      <c r="B4313" s="9" t="s">
        <v>8938</v>
      </c>
      <c r="C4313" s="9" t="s">
        <v>8939</v>
      </c>
      <c r="D4313" s="9" t="s">
        <v>114</v>
      </c>
      <c r="E4313" s="6" t="s">
        <v>8992</v>
      </c>
      <c r="F4313" s="9"/>
    </row>
    <row r="4314" ht="33.75" customHeight="1">
      <c r="A4314" s="7">
        <v>142.0</v>
      </c>
      <c r="B4314" s="9" t="s">
        <v>8938</v>
      </c>
      <c r="C4314" s="9" t="s">
        <v>8939</v>
      </c>
      <c r="D4314" s="9" t="s">
        <v>117</v>
      </c>
      <c r="E4314" s="6" t="s">
        <v>8995</v>
      </c>
      <c r="F4314" s="9"/>
    </row>
    <row r="4315" ht="33.75" customHeight="1">
      <c r="A4315" s="7">
        <v>143.0</v>
      </c>
      <c r="B4315" s="9" t="s">
        <v>8996</v>
      </c>
      <c r="C4315" s="9" t="s">
        <v>8998</v>
      </c>
      <c r="D4315" s="9" t="s">
        <v>24</v>
      </c>
      <c r="E4315" s="6" t="s">
        <v>8999</v>
      </c>
      <c r="F4315" t="inlineStr" s="10">
        <is>
          <t xml:space="preserve">Hyvin laiska. Syö ja nukkuu vain. Kun sen pyöreä massa kasvaa, siitä tulee yhä laiskampi. Syö mitä tahansa, vaikka ruoka sattuisi olemaan vähän homeista. Vatsa ei koskaan mene sekaisin. Se, mikä kuulostaa sen huudolta, voi todellisuudessa olla sen kuorsausta tai nälkäisen vatsan kurnimista. Sen mahan ruoansulatusnesteet voivat liuottaa minkä tahansa tyyppisiä myrkkyjä. Se voi jopa syödä maasta irronneita esineitä. Tämän POKéMONin vatsa on niin vahva, ettei edes homeisen tai pilaantuneen ruoan syöminen vaikuta siihen. SNORLAXin tyypillinen päivä koostuu pelkästä syömisestä ja nukkumisesta. Se on niin säyseä POKéMON, että jotkut lapset käyttävät sen valtavaa vatsaa leikkipaikkana. Se on niin säyseä POKéMON, että jotkut lapset käyttävät sen isoa vatsaa leikkipaikkana. Se ei ole kylläinen, ellei se syö yli 400 kiloa ruokaa joka päivä. Syötyään se menee heti nukkumaan. Sen vatsa voi sulattaa minkä tahansa ruoan, vaikka se sattuisi olemaan homeista tai mätää. Se lopettaa syömisen vain nukkuakseen. Se ei tunne oloaan kylläiseksi, ellei se syö lähes 400 kiloa päivässä. Kun sen vatsa on täynnä, siitä tulee liian apaattinen edes nostaakseen sormea, joten se on turvallista pomppia vatsallaan. Snorlaxin tyypillinen päivä koostuu vain syömisestä ja nukkumisesta. Se on niin säyseä Pokémon, että jotkut lapset käyttävät sen laajaa vatsaa leikkipaikkana. Sen vatsan sanotaan olevan verrattoman vahva. Jopa Mukin myrkky on vain häivähdys mausteita Snorlaxin kielellä. Se syö lähes 400 kiloa ruokaa joka päivä. Se alkaa torkahtaa syödessään – ja jatkaa syömistä jopa nukkuessaan. Se ei tee mitään muuta kuin syö ja nukkuu. Kun sitä kehotetaan ponnistelemaan tosissaan, se ilmeisesti osoittaa mahtavaa voimaa. Se ei ole kiinnostunut mistään muusta kuin syömisestä. Vaikka kiipeäisit sen vatsalle sen nukkuessa, se ei näytä välittävän ollenkaan! Tämä ahmatti ilmestyy kyliin varoittamatta ja ahmii kaikki niiden riisiviljat – tällaisia ​​​​tapauksia on pitkään pidetty vakavimpien katastrofien joukossa.</t>
        </is>
      </c>
    </row>
    <row r="4316" ht="33.75" customHeight="1">
      <c r="A4316" s="7">
        <v>143.0</v>
      </c>
      <c r="B4316" s="9" t="s">
        <v>8996</v>
      </c>
      <c r="C4316" s="9" t="s">
        <v>8998</v>
      </c>
      <c r="D4316" s="9" t="s">
        <v>35</v>
      </c>
      <c r="E4316" s="6" t="s">
        <v>8999</v>
      </c>
      <c r="F4316" s="9"/>
    </row>
    <row r="4317" ht="33.75" customHeight="1">
      <c r="A4317" s="7">
        <v>143.0</v>
      </c>
      <c r="B4317" s="9" t="s">
        <v>8996</v>
      </c>
      <c r="C4317" s="9" t="s">
        <v>8998</v>
      </c>
      <c r="D4317" s="9" t="s">
        <v>42</v>
      </c>
      <c r="E4317" s="6" t="s">
        <v>9004</v>
      </c>
      <c r="F4317" s="9"/>
    </row>
    <row r="4318" ht="33.75" customHeight="1">
      <c r="A4318" s="7">
        <v>143.0</v>
      </c>
      <c r="B4318" s="9" t="s">
        <v>8996</v>
      </c>
      <c r="C4318" s="9" t="s">
        <v>8998</v>
      </c>
      <c r="D4318" s="9" t="s">
        <v>52</v>
      </c>
      <c r="E4318" s="6" t="s">
        <v>9006</v>
      </c>
      <c r="F4318" s="9"/>
    </row>
    <row r="4319" ht="33.75" customHeight="1">
      <c r="A4319" s="7">
        <v>143.0</v>
      </c>
      <c r="B4319" s="9" t="s">
        <v>8996</v>
      </c>
      <c r="C4319" s="9" t="s">
        <v>8998</v>
      </c>
      <c r="D4319" s="9" t="s">
        <v>59</v>
      </c>
      <c r="E4319" s="6" t="s">
        <v>9007</v>
      </c>
      <c r="F4319" s="9"/>
    </row>
    <row r="4320" ht="33.75" customHeight="1">
      <c r="A4320" s="7">
        <v>143.0</v>
      </c>
      <c r="B4320" s="9" t="s">
        <v>8996</v>
      </c>
      <c r="C4320" s="9" t="s">
        <v>8998</v>
      </c>
      <c r="D4320" s="9" t="s">
        <v>64</v>
      </c>
      <c r="E4320" s="6" t="s">
        <v>9010</v>
      </c>
      <c r="F4320" s="9"/>
    </row>
    <row r="4321" ht="33.75" customHeight="1">
      <c r="A4321" s="7">
        <v>143.0</v>
      </c>
      <c r="B4321" s="9" t="s">
        <v>8996</v>
      </c>
      <c r="C4321" s="9" t="s">
        <v>8998</v>
      </c>
      <c r="D4321" s="9" t="s">
        <v>67</v>
      </c>
      <c r="E4321" s="6" t="s">
        <v>9012</v>
      </c>
      <c r="F4321" s="9"/>
    </row>
    <row r="4322" ht="33.75" customHeight="1">
      <c r="A4322" s="7">
        <v>143.0</v>
      </c>
      <c r="B4322" s="9" t="s">
        <v>8996</v>
      </c>
      <c r="C4322" s="9" t="s">
        <v>8998</v>
      </c>
      <c r="D4322" s="9" t="s">
        <v>71</v>
      </c>
      <c r="E4322" s="6" t="s">
        <v>9012</v>
      </c>
      <c r="F4322" s="9"/>
    </row>
    <row r="4323" ht="33.75" customHeight="1">
      <c r="A4323" s="7">
        <v>143.0</v>
      </c>
      <c r="B4323" s="9" t="s">
        <v>8996</v>
      </c>
      <c r="C4323" s="9" t="s">
        <v>8998</v>
      </c>
      <c r="D4323" s="9" t="s">
        <v>73</v>
      </c>
      <c r="E4323" s="6" t="s">
        <v>9016</v>
      </c>
      <c r="F4323" s="9"/>
    </row>
    <row r="4324" ht="33.75" customHeight="1">
      <c r="A4324" s="7">
        <v>143.0</v>
      </c>
      <c r="B4324" s="9" t="s">
        <v>8996</v>
      </c>
      <c r="C4324" s="9" t="s">
        <v>8998</v>
      </c>
      <c r="D4324" s="9" t="s">
        <v>75</v>
      </c>
      <c r="E4324" s="6" t="s">
        <v>9018</v>
      </c>
      <c r="F4324" s="9"/>
    </row>
    <row r="4325" ht="33.75" customHeight="1">
      <c r="A4325" s="7">
        <v>143.0</v>
      </c>
      <c r="B4325" s="9" t="s">
        <v>8996</v>
      </c>
      <c r="C4325" s="9" t="s">
        <v>8998</v>
      </c>
      <c r="D4325" s="9" t="s">
        <v>79</v>
      </c>
      <c r="E4325" s="6" t="s">
        <v>8999</v>
      </c>
      <c r="F4325" s="9"/>
    </row>
    <row r="4326" ht="33.75" customHeight="1">
      <c r="A4326" s="7">
        <v>143.0</v>
      </c>
      <c r="B4326" s="9" t="s">
        <v>8996</v>
      </c>
      <c r="C4326" s="9" t="s">
        <v>8998</v>
      </c>
      <c r="D4326" s="9" t="s">
        <v>81</v>
      </c>
      <c r="E4326" s="6" t="s">
        <v>9022</v>
      </c>
      <c r="F4326" s="9"/>
    </row>
    <row r="4327" ht="33.75" customHeight="1">
      <c r="A4327" s="7">
        <v>143.0</v>
      </c>
      <c r="B4327" s="9" t="s">
        <v>8996</v>
      </c>
      <c r="C4327" s="9" t="s">
        <v>8998</v>
      </c>
      <c r="D4327" s="9" t="s">
        <v>84</v>
      </c>
      <c r="E4327" s="6" t="s">
        <v>9024</v>
      </c>
      <c r="F4327" s="9"/>
    </row>
    <row r="4328" ht="33.75" customHeight="1">
      <c r="A4328" s="7">
        <v>143.0</v>
      </c>
      <c r="B4328" s="9" t="s">
        <v>8996</v>
      </c>
      <c r="C4328" s="9" t="s">
        <v>8998</v>
      </c>
      <c r="D4328" s="9" t="s">
        <v>87</v>
      </c>
      <c r="E4328" s="6" t="s">
        <v>9026</v>
      </c>
      <c r="F4328" s="9"/>
    </row>
    <row r="4329" ht="33.75" customHeight="1">
      <c r="A4329" s="7">
        <v>143.0</v>
      </c>
      <c r="B4329" s="9" t="s">
        <v>8996</v>
      </c>
      <c r="C4329" s="9" t="s">
        <v>8998</v>
      </c>
      <c r="D4329" s="9" t="s">
        <v>89</v>
      </c>
      <c r="E4329" s="6" t="s">
        <v>9006</v>
      </c>
      <c r="F4329" s="9"/>
    </row>
    <row r="4330" ht="33.75" customHeight="1">
      <c r="A4330" s="7">
        <v>143.0</v>
      </c>
      <c r="B4330" s="9" t="s">
        <v>8996</v>
      </c>
      <c r="C4330" s="9" t="s">
        <v>8998</v>
      </c>
      <c r="D4330" s="9" t="s">
        <v>91</v>
      </c>
      <c r="E4330" s="6" t="s">
        <v>9007</v>
      </c>
      <c r="F4330" s="9"/>
    </row>
    <row r="4331" ht="33.75" customHeight="1">
      <c r="A4331" s="7">
        <v>143.0</v>
      </c>
      <c r="B4331" s="9" t="s">
        <v>8996</v>
      </c>
      <c r="C4331" s="9" t="s">
        <v>8998</v>
      </c>
      <c r="D4331" s="9" t="s">
        <v>93</v>
      </c>
      <c r="E4331" s="6" t="s">
        <v>9026</v>
      </c>
      <c r="F4331" s="9"/>
    </row>
    <row r="4332" ht="33.75" customHeight="1">
      <c r="A4332" s="7">
        <v>143.0</v>
      </c>
      <c r="B4332" s="9" t="s">
        <v>8996</v>
      </c>
      <c r="C4332" s="9" t="s">
        <v>8998</v>
      </c>
      <c r="D4332" s="9" t="s">
        <v>95</v>
      </c>
      <c r="E4332" s="6" t="s">
        <v>9026</v>
      </c>
      <c r="F4332" s="9"/>
    </row>
    <row r="4333" ht="33.75" customHeight="1">
      <c r="A4333" s="7">
        <v>143.0</v>
      </c>
      <c r="B4333" s="9" t="s">
        <v>8996</v>
      </c>
      <c r="C4333" s="9" t="s">
        <v>8998</v>
      </c>
      <c r="D4333" s="9" t="s">
        <v>98</v>
      </c>
      <c r="E4333" s="6" t="s">
        <v>9026</v>
      </c>
      <c r="F4333" s="9"/>
    </row>
    <row r="4334" ht="33.75" customHeight="1">
      <c r="A4334" s="7">
        <v>143.0</v>
      </c>
      <c r="B4334" s="9" t="s">
        <v>8996</v>
      </c>
      <c r="C4334" s="9" t="s">
        <v>8998</v>
      </c>
      <c r="D4334" s="9" t="s">
        <v>99</v>
      </c>
      <c r="E4334" s="6" t="s">
        <v>9026</v>
      </c>
      <c r="F4334" s="9"/>
    </row>
    <row r="4335" ht="33.75" customHeight="1">
      <c r="A4335" s="7">
        <v>143.0</v>
      </c>
      <c r="B4335" s="9" t="s">
        <v>8996</v>
      </c>
      <c r="C4335" s="9" t="s">
        <v>8998</v>
      </c>
      <c r="D4335" s="9" t="s">
        <v>101</v>
      </c>
      <c r="E4335" s="6" t="s">
        <v>9018</v>
      </c>
      <c r="F4335" s="9"/>
    </row>
    <row r="4336" ht="33.75" customHeight="1">
      <c r="A4336" s="7">
        <v>143.0</v>
      </c>
      <c r="B4336" s="9" t="s">
        <v>8996</v>
      </c>
      <c r="C4336" s="9" t="s">
        <v>8998</v>
      </c>
      <c r="D4336" s="9" t="s">
        <v>105</v>
      </c>
      <c r="E4336" s="6" t="s">
        <v>9022</v>
      </c>
      <c r="F4336" s="9"/>
    </row>
    <row r="4337" ht="33.75" customHeight="1">
      <c r="A4337" s="7">
        <v>143.0</v>
      </c>
      <c r="B4337" s="9" t="s">
        <v>8996</v>
      </c>
      <c r="C4337" s="9" t="s">
        <v>8998</v>
      </c>
      <c r="D4337" s="9" t="s">
        <v>107</v>
      </c>
      <c r="E4337" s="6" t="s">
        <v>9033</v>
      </c>
      <c r="F4337" s="9"/>
    </row>
    <row r="4338" ht="33.75" customHeight="1">
      <c r="A4338" s="7">
        <v>143.0</v>
      </c>
      <c r="B4338" s="9" t="s">
        <v>8996</v>
      </c>
      <c r="C4338" s="9" t="s">
        <v>8998</v>
      </c>
      <c r="D4338" s="9" t="s">
        <v>109</v>
      </c>
      <c r="E4338" s="6" t="s">
        <v>9033</v>
      </c>
      <c r="F4338" s="9"/>
    </row>
    <row r="4339" ht="33.75" customHeight="1">
      <c r="A4339" s="7">
        <v>143.0</v>
      </c>
      <c r="B4339" s="9" t="s">
        <v>8996</v>
      </c>
      <c r="C4339" s="9" t="s">
        <v>8998</v>
      </c>
      <c r="D4339" s="9" t="s">
        <v>637</v>
      </c>
      <c r="E4339" s="6" t="s">
        <v>9036</v>
      </c>
      <c r="F4339" s="9"/>
    </row>
    <row r="4340" ht="33.75" customHeight="1">
      <c r="A4340" s="7">
        <v>143.0</v>
      </c>
      <c r="B4340" s="9" t="s">
        <v>8996</v>
      </c>
      <c r="C4340" s="9" t="s">
        <v>8998</v>
      </c>
      <c r="D4340" s="9" t="s">
        <v>642</v>
      </c>
      <c r="E4340" s="6" t="s">
        <v>9037</v>
      </c>
      <c r="F4340" s="9"/>
    </row>
    <row r="4341" ht="33.75" customHeight="1">
      <c r="A4341" s="7">
        <v>143.0</v>
      </c>
      <c r="B4341" s="9" t="s">
        <v>8996</v>
      </c>
      <c r="C4341" s="9" t="s">
        <v>8998</v>
      </c>
      <c r="D4341" s="9" t="s">
        <v>647</v>
      </c>
      <c r="E4341" s="6" t="s">
        <v>9039</v>
      </c>
      <c r="F4341" s="9"/>
    </row>
    <row r="4342" ht="33.75" customHeight="1">
      <c r="A4342" s="7">
        <v>143.0</v>
      </c>
      <c r="B4342" s="9" t="s">
        <v>8996</v>
      </c>
      <c r="C4342" s="9" t="s">
        <v>8998</v>
      </c>
      <c r="D4342" s="9" t="s">
        <v>652</v>
      </c>
      <c r="E4342" s="6" t="s">
        <v>9041</v>
      </c>
      <c r="F4342" s="9"/>
    </row>
    <row r="4343" ht="33.75" customHeight="1">
      <c r="A4343" s="7">
        <v>143.0</v>
      </c>
      <c r="B4343" s="9" t="s">
        <v>8996</v>
      </c>
      <c r="C4343" s="9" t="s">
        <v>8998</v>
      </c>
      <c r="D4343" s="9" t="s">
        <v>111</v>
      </c>
      <c r="E4343" s="6" t="s">
        <v>9004</v>
      </c>
      <c r="F4343" s="9"/>
    </row>
    <row r="4344" ht="33.75" customHeight="1">
      <c r="A4344" s="7">
        <v>143.0</v>
      </c>
      <c r="B4344" s="9" t="s">
        <v>8996</v>
      </c>
      <c r="C4344" s="9" t="s">
        <v>8998</v>
      </c>
      <c r="D4344" s="9" t="s">
        <v>113</v>
      </c>
      <c r="E4344" s="6" t="s">
        <v>9004</v>
      </c>
      <c r="F4344" s="9"/>
    </row>
    <row r="4345" ht="33.75" customHeight="1">
      <c r="A4345" s="7">
        <v>143.0</v>
      </c>
      <c r="B4345" s="9" t="s">
        <v>8996</v>
      </c>
      <c r="C4345" s="9" t="s">
        <v>8998</v>
      </c>
      <c r="D4345" s="9" t="s">
        <v>114</v>
      </c>
      <c r="E4345" s="6" t="s">
        <v>9018</v>
      </c>
      <c r="F4345" s="9"/>
    </row>
    <row r="4346" ht="33.75" customHeight="1">
      <c r="A4346" s="7">
        <v>143.0</v>
      </c>
      <c r="B4346" s="9" t="s">
        <v>8996</v>
      </c>
      <c r="C4346" s="9" t="s">
        <v>8998</v>
      </c>
      <c r="D4346" s="9" t="s">
        <v>117</v>
      </c>
      <c r="E4346" s="6" t="s">
        <v>9045</v>
      </c>
      <c r="F4346" s="9"/>
    </row>
    <row r="4347" ht="33.75" customHeight="1">
      <c r="A4347" s="7">
        <v>143.0</v>
      </c>
      <c r="B4347" s="9" t="s">
        <v>8996</v>
      </c>
      <c r="C4347" s="9" t="s">
        <v>8998</v>
      </c>
      <c r="D4347" s="9" t="s">
        <v>1577</v>
      </c>
      <c r="E4347" s="6" t="s">
        <v>9046</v>
      </c>
      <c r="F4347" s="9"/>
    </row>
    <row r="4348" ht="33.75" customHeight="1">
      <c r="A4348" s="7">
        <v>144.0</v>
      </c>
      <c r="B4348" s="9" t="s">
        <v>9048</v>
      </c>
      <c r="C4348" s="9" t="s">
        <v>9049</v>
      </c>
      <c r="D4348" s="9" t="s">
        <v>24</v>
      </c>
      <c r="E4348" s="6" t="s">
        <v>9050</v>
      </c>
      <c r="F4348" t="inlineStr" s="10">
        <is>
          <t xml:space="preserve">Legendaarinen lintu-POKéMON, jonka sanotaan ilmestyvän jäisiin vuoriin eksyneille tuhoon tuomituille ihmisille. Legendaarinen lintu-POKéMON. Se jäädyttää talvi-ilmassa olevan veden ja tekee siitä lunta. Tämän legendaarisen lintu-POKéMONin upeiden, näennäisen läpikuultavien siipien sanotaan olevan tehty jäästä. Yksi legendaarisista Pokémon-linnuista, se jäähdyttää ilmakehän kosteutta luodakseen lunta lentäessään. Lentäessään taivaalla se viilentää ilmaa ja aiheuttaa lunta. ARTICUNO on legendaarinen lintu-POKéMON, joka pystyy hallitsemaan jäätä. Sen siipien räpyttely viilentää ilmaa. Tämän seurauksena sanotaan, että kun tämä POKéMON lentää, sataa lunta. Yksi legendaarisista lintu-POKéMONeista. Pitkän pyrstönsä ansiosta sen lentomuoto on upea. Se voi aiheuttaa lumimyrskyjä jäädyttämällä ilman kosteutta. Tämän legendaarisen lintu-Pokémonin upeiden, näennäisesti läpikuultavien siipien sanotaan olevan tehty jäästä. Yksi legendaarisista lintu-Pokémoneista, se jäähdyttää ilmakehän kosteutta luodakseen lunta lentäessään. Tämän Pokémonin sanotaan lentävän ja satavan lunta. Sanotaan, että tämän Pokémonin kauniit siniset siivet ovat jäätä. Articuno lentää lumihuippuisten vuorten yli, sen pitkä häntä lepattellen sen perässä. Tämä Pokémon voi hallita jäätä mielensä mukaan. Articunon sanotaan elävän lumisilla vuorilla, joita peittää ikirouta.</t>
        </is>
      </c>
    </row>
    <row r="4349" ht="33.75" customHeight="1">
      <c r="A4349" s="7">
        <v>144.0</v>
      </c>
      <c r="B4349" s="9" t="s">
        <v>9048</v>
      </c>
      <c r="C4349" s="9" t="s">
        <v>9049</v>
      </c>
      <c r="D4349" s="9" t="s">
        <v>35</v>
      </c>
      <c r="E4349" s="6" t="s">
        <v>9050</v>
      </c>
      <c r="F4349" s="9"/>
    </row>
    <row r="4350" ht="33.75" customHeight="1">
      <c r="A4350" s="7">
        <v>144.0</v>
      </c>
      <c r="B4350" s="9" t="s">
        <v>9048</v>
      </c>
      <c r="C4350" s="9" t="s">
        <v>9049</v>
      </c>
      <c r="D4350" s="9" t="s">
        <v>42</v>
      </c>
      <c r="E4350" s="6" t="s">
        <v>9053</v>
      </c>
      <c r="F4350" s="9"/>
    </row>
    <row r="4351" ht="33.75" customHeight="1">
      <c r="A4351" s="7">
        <v>144.0</v>
      </c>
      <c r="B4351" s="9" t="s">
        <v>9048</v>
      </c>
      <c r="C4351" s="9" t="s">
        <v>9049</v>
      </c>
      <c r="D4351" s="9" t="s">
        <v>52</v>
      </c>
      <c r="E4351" s="6" t="s">
        <v>9054</v>
      </c>
      <c r="F4351" s="9"/>
    </row>
    <row r="4352" ht="33.75" customHeight="1">
      <c r="A4352" s="7">
        <v>144.0</v>
      </c>
      <c r="B4352" s="9" t="s">
        <v>9048</v>
      </c>
      <c r="C4352" s="9" t="s">
        <v>9049</v>
      </c>
      <c r="D4352" s="9" t="s">
        <v>59</v>
      </c>
      <c r="E4352" s="6" t="s">
        <v>9056</v>
      </c>
      <c r="F4352" s="9"/>
    </row>
    <row r="4353" ht="33.75" customHeight="1">
      <c r="A4353" s="7">
        <v>144.0</v>
      </c>
      <c r="B4353" s="9" t="s">
        <v>9048</v>
      </c>
      <c r="C4353" s="9" t="s">
        <v>9049</v>
      </c>
      <c r="D4353" s="9" t="s">
        <v>64</v>
      </c>
      <c r="E4353" s="6" t="s">
        <v>9058</v>
      </c>
      <c r="F4353" s="9"/>
    </row>
    <row r="4354" ht="33.75" customHeight="1">
      <c r="A4354" s="7">
        <v>144.0</v>
      </c>
      <c r="B4354" s="9" t="s">
        <v>9048</v>
      </c>
      <c r="C4354" s="9" t="s">
        <v>9049</v>
      </c>
      <c r="D4354" s="9" t="s">
        <v>67</v>
      </c>
      <c r="E4354" s="6" t="s">
        <v>9059</v>
      </c>
      <c r="F4354" s="9"/>
    </row>
    <row r="4355" ht="33.75" customHeight="1">
      <c r="A4355" s="7">
        <v>144.0</v>
      </c>
      <c r="B4355" s="9" t="s">
        <v>9048</v>
      </c>
      <c r="C4355" s="9" t="s">
        <v>9049</v>
      </c>
      <c r="D4355" s="9" t="s">
        <v>71</v>
      </c>
      <c r="E4355" s="6" t="s">
        <v>9059</v>
      </c>
      <c r="F4355" s="9"/>
    </row>
    <row r="4356" ht="33.75" customHeight="1">
      <c r="A4356" s="7">
        <v>144.0</v>
      </c>
      <c r="B4356" s="9" t="s">
        <v>9048</v>
      </c>
      <c r="C4356" s="9" t="s">
        <v>9049</v>
      </c>
      <c r="D4356" s="9" t="s">
        <v>73</v>
      </c>
      <c r="E4356" s="6" t="s">
        <v>9059</v>
      </c>
      <c r="F4356" s="9"/>
    </row>
    <row r="4357" ht="33.75" customHeight="1">
      <c r="A4357" s="7">
        <v>144.0</v>
      </c>
      <c r="B4357" s="9" t="s">
        <v>9048</v>
      </c>
      <c r="C4357" s="9" t="s">
        <v>9049</v>
      </c>
      <c r="D4357" s="9" t="s">
        <v>75</v>
      </c>
      <c r="E4357" s="6" t="s">
        <v>9062</v>
      </c>
      <c r="F4357" s="9"/>
    </row>
    <row r="4358" ht="33.75" customHeight="1">
      <c r="A4358" s="7">
        <v>144.0</v>
      </c>
      <c r="B4358" s="9" t="s">
        <v>9048</v>
      </c>
      <c r="C4358" s="9" t="s">
        <v>9049</v>
      </c>
      <c r="D4358" s="9" t="s">
        <v>79</v>
      </c>
      <c r="E4358" s="6" t="s">
        <v>9050</v>
      </c>
      <c r="F4358" s="9"/>
    </row>
    <row r="4359" ht="33.75" customHeight="1">
      <c r="A4359" s="7">
        <v>144.0</v>
      </c>
      <c r="B4359" s="9" t="s">
        <v>9048</v>
      </c>
      <c r="C4359" s="9" t="s">
        <v>9049</v>
      </c>
      <c r="D4359" s="9" t="s">
        <v>81</v>
      </c>
      <c r="E4359" s="6" t="s">
        <v>9064</v>
      </c>
      <c r="F4359" s="9"/>
    </row>
    <row r="4360" ht="33.75" customHeight="1">
      <c r="A4360" s="7">
        <v>144.0</v>
      </c>
      <c r="B4360" s="9" t="s">
        <v>9048</v>
      </c>
      <c r="C4360" s="9" t="s">
        <v>9049</v>
      </c>
      <c r="D4360" s="9" t="s">
        <v>84</v>
      </c>
      <c r="E4360" s="6" t="s">
        <v>9064</v>
      </c>
      <c r="F4360" s="9"/>
    </row>
    <row r="4361" ht="33.75" customHeight="1">
      <c r="A4361" s="7">
        <v>144.0</v>
      </c>
      <c r="B4361" s="9" t="s">
        <v>9048</v>
      </c>
      <c r="C4361" s="9" t="s">
        <v>9049</v>
      </c>
      <c r="D4361" s="9" t="s">
        <v>87</v>
      </c>
      <c r="E4361" s="6" t="s">
        <v>9064</v>
      </c>
      <c r="F4361" s="9"/>
    </row>
    <row r="4362" ht="33.75" customHeight="1">
      <c r="A4362" s="7">
        <v>144.0</v>
      </c>
      <c r="B4362" s="9" t="s">
        <v>9048</v>
      </c>
      <c r="C4362" s="9" t="s">
        <v>9049</v>
      </c>
      <c r="D4362" s="9" t="s">
        <v>89</v>
      </c>
      <c r="E4362" s="6" t="s">
        <v>9067</v>
      </c>
      <c r="F4362" s="9"/>
    </row>
    <row r="4363" ht="33.75" customHeight="1">
      <c r="A4363" s="7">
        <v>144.0</v>
      </c>
      <c r="B4363" s="9" t="s">
        <v>9048</v>
      </c>
      <c r="C4363" s="9" t="s">
        <v>9049</v>
      </c>
      <c r="D4363" s="9" t="s">
        <v>91</v>
      </c>
      <c r="E4363" s="6" t="s">
        <v>9068</v>
      </c>
      <c r="F4363" s="9"/>
    </row>
    <row r="4364" ht="33.75" customHeight="1">
      <c r="A4364" s="7">
        <v>144.0</v>
      </c>
      <c r="B4364" s="9" t="s">
        <v>9048</v>
      </c>
      <c r="C4364" s="9" t="s">
        <v>9049</v>
      </c>
      <c r="D4364" s="9" t="s">
        <v>93</v>
      </c>
      <c r="E4364" s="6" t="s">
        <v>9064</v>
      </c>
      <c r="F4364" s="9"/>
    </row>
    <row r="4365" ht="33.75" customHeight="1">
      <c r="A4365" s="7">
        <v>144.0</v>
      </c>
      <c r="B4365" s="9" t="s">
        <v>9048</v>
      </c>
      <c r="C4365" s="9" t="s">
        <v>9049</v>
      </c>
      <c r="D4365" s="9" t="s">
        <v>95</v>
      </c>
      <c r="E4365" s="6" t="s">
        <v>9064</v>
      </c>
      <c r="F4365" s="9"/>
    </row>
    <row r="4366" ht="33.75" customHeight="1">
      <c r="A4366" s="7">
        <v>144.0</v>
      </c>
      <c r="B4366" s="9" t="s">
        <v>9048</v>
      </c>
      <c r="C4366" s="9" t="s">
        <v>9049</v>
      </c>
      <c r="D4366" s="9" t="s">
        <v>98</v>
      </c>
      <c r="E4366" s="6" t="s">
        <v>9064</v>
      </c>
      <c r="F4366" s="9"/>
    </row>
    <row r="4367" ht="33.75" customHeight="1">
      <c r="A4367" s="7">
        <v>144.0</v>
      </c>
      <c r="B4367" s="9" t="s">
        <v>9048</v>
      </c>
      <c r="C4367" s="9" t="s">
        <v>9049</v>
      </c>
      <c r="D4367" s="9" t="s">
        <v>99</v>
      </c>
      <c r="E4367" s="6" t="s">
        <v>9064</v>
      </c>
      <c r="F4367" s="9"/>
    </row>
    <row r="4368" ht="33.75" customHeight="1">
      <c r="A4368" s="7">
        <v>144.0</v>
      </c>
      <c r="B4368" s="9" t="s">
        <v>9048</v>
      </c>
      <c r="C4368" s="9" t="s">
        <v>9049</v>
      </c>
      <c r="D4368" s="9" t="s">
        <v>101</v>
      </c>
      <c r="E4368" s="6" t="s">
        <v>9064</v>
      </c>
      <c r="F4368" s="9"/>
    </row>
    <row r="4369" ht="33.75" customHeight="1">
      <c r="A4369" s="7">
        <v>144.0</v>
      </c>
      <c r="B4369" s="9" t="s">
        <v>9048</v>
      </c>
      <c r="C4369" s="9" t="s">
        <v>9049</v>
      </c>
      <c r="D4369" s="9" t="s">
        <v>105</v>
      </c>
      <c r="E4369" s="6" t="s">
        <v>9075</v>
      </c>
      <c r="F4369" s="9"/>
    </row>
    <row r="4370" ht="33.75" customHeight="1">
      <c r="A4370" s="7">
        <v>144.0</v>
      </c>
      <c r="B4370" s="9" t="s">
        <v>9048</v>
      </c>
      <c r="C4370" s="9" t="s">
        <v>9049</v>
      </c>
      <c r="D4370" s="9" t="s">
        <v>107</v>
      </c>
      <c r="E4370" s="6" t="s">
        <v>9076</v>
      </c>
      <c r="F4370" s="9"/>
    </row>
    <row r="4371" ht="33.75" customHeight="1">
      <c r="A4371" s="7">
        <v>144.0</v>
      </c>
      <c r="B4371" s="9" t="s">
        <v>9048</v>
      </c>
      <c r="C4371" s="9" t="s">
        <v>9049</v>
      </c>
      <c r="D4371" s="9" t="s">
        <v>109</v>
      </c>
      <c r="E4371" s="6" t="s">
        <v>9076</v>
      </c>
      <c r="F4371" s="9"/>
    </row>
    <row r="4372" ht="33.75" customHeight="1">
      <c r="A4372" s="7">
        <v>144.0</v>
      </c>
      <c r="B4372" s="9" t="s">
        <v>9048</v>
      </c>
      <c r="C4372" s="9" t="s">
        <v>9049</v>
      </c>
      <c r="D4372" s="9" t="s">
        <v>111</v>
      </c>
      <c r="E4372" s="6" t="s">
        <v>9078</v>
      </c>
      <c r="F4372" s="9"/>
    </row>
    <row r="4373" ht="33.75" customHeight="1">
      <c r="A4373" s="7">
        <v>144.0</v>
      </c>
      <c r="B4373" s="9" t="s">
        <v>9048</v>
      </c>
      <c r="C4373" s="9" t="s">
        <v>9049</v>
      </c>
      <c r="D4373" s="9" t="s">
        <v>113</v>
      </c>
      <c r="E4373" s="6" t="s">
        <v>9078</v>
      </c>
      <c r="F4373" s="9"/>
    </row>
    <row r="4374" ht="33.75" customHeight="1">
      <c r="A4374" s="7">
        <v>144.0</v>
      </c>
      <c r="B4374" s="9" t="s">
        <v>9048</v>
      </c>
      <c r="C4374" s="9" t="s">
        <v>9049</v>
      </c>
      <c r="D4374" s="9" t="s">
        <v>114</v>
      </c>
      <c r="E4374" s="6" t="s">
        <v>9081</v>
      </c>
      <c r="F4374" s="9"/>
    </row>
    <row r="4375" ht="33.75" customHeight="1">
      <c r="A4375" s="7">
        <v>144.0</v>
      </c>
      <c r="B4375" s="9" t="s">
        <v>9048</v>
      </c>
      <c r="C4375" s="9" t="s">
        <v>9049</v>
      </c>
      <c r="D4375" s="9" t="s">
        <v>117</v>
      </c>
      <c r="E4375" s="6" t="s">
        <v>9083</v>
      </c>
      <c r="F4375" s="9"/>
    </row>
    <row r="4376" ht="33.75" customHeight="1">
      <c r="A4376" s="7">
        <v>145.0</v>
      </c>
      <c r="B4376" s="9" t="s">
        <v>9084</v>
      </c>
      <c r="C4376" s="9" t="s">
        <v>7866</v>
      </c>
      <c r="D4376" s="9" t="s">
        <v>24</v>
      </c>
      <c r="E4376" s="6" t="s">
        <v>9085</v>
      </c>
      <c r="F4376" t="inlineStr" s="10">
        <is>
          <t xml:space="preserve">Legendaarinen lintu-POKéMON, jonka sanotaan ilmestyvän pilvistä pudottaen valtavia salamoita. Tämän legendaarisen lintu-POKéMONin sanotaan ilmestyvän, kun taivas pimenee ja salamointi iskee. Tämä legendaarinen lintu-POKéMON aiheuttaa rajuja ukkosmyrskyjä räpyttelemällä kimaltelevia siipiään. Tämän legendaarisen lintu-POKéMONin sanotaan ilmestyvän vain, kun ukkospilvi jakautuu kahtia. Legendaarinen lintu-POKéMON. Sanotaan, että sen siipien räpyttelystä johtuva salama aiheuttaa kesämyrskyjä. ZAPDOS on legendaarinen lintu-POKéMON, jolla on kyky hallita sähköä. Se elää yleensä ukkospilvissä. POKéMON saa voimaa, jos siihen iskee salama. Se saa voimaa, jos salama iskee siihen. Yksi legendaarisista lintu-POKéMONeista. Lentäessään se päästää rätinää ja napsahtelua. Legendaarinen Pokémon, jonka sanotaan elävän ukkospilvissä. Se hallitsee vapaasti salamoita. Pokémon saa voimaa, jos salama iskee siihen. Tämä Pokémon hallitsee täysin sähköä. Tarinoiden mukaan Zapdos pesii pikimustien ukkospilvien syvyyksissä. Zapdos on legendaarinen lintu-Pokémon. Sanotaan, että kun Zapdos hieroo höyheniä yhteen, salama iskee heti perään.</t>
        </is>
      </c>
    </row>
    <row r="4377" ht="33.75" customHeight="1">
      <c r="A4377" s="7">
        <v>145.0</v>
      </c>
      <c r="B4377" s="9" t="s">
        <v>9084</v>
      </c>
      <c r="C4377" s="9" t="s">
        <v>7866</v>
      </c>
      <c r="D4377" s="9" t="s">
        <v>35</v>
      </c>
      <c r="E4377" s="6" t="s">
        <v>9085</v>
      </c>
      <c r="F4377" s="9"/>
    </row>
    <row r="4378" ht="33.75" customHeight="1">
      <c r="A4378" s="7">
        <v>145.0</v>
      </c>
      <c r="B4378" s="9" t="s">
        <v>9084</v>
      </c>
      <c r="C4378" s="9" t="s">
        <v>7866</v>
      </c>
      <c r="D4378" s="9" t="s">
        <v>42</v>
      </c>
      <c r="E4378" s="6" t="s">
        <v>9088</v>
      </c>
      <c r="F4378" s="9"/>
    </row>
    <row r="4379" ht="33.75" customHeight="1">
      <c r="A4379" s="7">
        <v>145.0</v>
      </c>
      <c r="B4379" s="9" t="s">
        <v>9084</v>
      </c>
      <c r="C4379" s="9" t="s">
        <v>7866</v>
      </c>
      <c r="D4379" s="9" t="s">
        <v>52</v>
      </c>
      <c r="E4379" s="6" t="s">
        <v>9089</v>
      </c>
      <c r="F4379" s="9"/>
    </row>
    <row r="4380" ht="33.75" customHeight="1">
      <c r="A4380" s="7">
        <v>145.0</v>
      </c>
      <c r="B4380" s="9" t="s">
        <v>9084</v>
      </c>
      <c r="C4380" s="9" t="s">
        <v>7866</v>
      </c>
      <c r="D4380" s="9" t="s">
        <v>59</v>
      </c>
      <c r="E4380" s="6" t="s">
        <v>9090</v>
      </c>
      <c r="F4380" s="9"/>
    </row>
    <row r="4381" ht="33.75" customHeight="1">
      <c r="A4381" s="7">
        <v>145.0</v>
      </c>
      <c r="B4381" s="9" t="s">
        <v>9084</v>
      </c>
      <c r="C4381" s="9" t="s">
        <v>7866</v>
      </c>
      <c r="D4381" s="9" t="s">
        <v>64</v>
      </c>
      <c r="E4381" s="6" t="s">
        <v>9092</v>
      </c>
      <c r="F4381" s="9"/>
    </row>
    <row r="4382" ht="33.75" customHeight="1">
      <c r="A4382" s="7">
        <v>145.0</v>
      </c>
      <c r="B4382" s="9" t="s">
        <v>9084</v>
      </c>
      <c r="C4382" s="9" t="s">
        <v>7866</v>
      </c>
      <c r="D4382" s="9" t="s">
        <v>67</v>
      </c>
      <c r="E4382" s="6" t="s">
        <v>9094</v>
      </c>
      <c r="F4382" s="9"/>
    </row>
    <row r="4383" ht="33.75" customHeight="1">
      <c r="A4383" s="7">
        <v>145.0</v>
      </c>
      <c r="B4383" s="9" t="s">
        <v>9084</v>
      </c>
      <c r="C4383" s="9" t="s">
        <v>7866</v>
      </c>
      <c r="D4383" s="9" t="s">
        <v>71</v>
      </c>
      <c r="E4383" s="6" t="s">
        <v>9094</v>
      </c>
      <c r="F4383" s="9"/>
    </row>
    <row r="4384" ht="33.75" customHeight="1">
      <c r="A4384" s="7">
        <v>145.0</v>
      </c>
      <c r="B4384" s="9" t="s">
        <v>9084</v>
      </c>
      <c r="C4384" s="9" t="s">
        <v>7866</v>
      </c>
      <c r="D4384" s="9" t="s">
        <v>73</v>
      </c>
      <c r="E4384" s="6" t="s">
        <v>9097</v>
      </c>
      <c r="F4384" s="9"/>
    </row>
    <row r="4385" ht="33.75" customHeight="1">
      <c r="A4385" s="7">
        <v>145.0</v>
      </c>
      <c r="B4385" s="9" t="s">
        <v>9084</v>
      </c>
      <c r="C4385" s="9" t="s">
        <v>7866</v>
      </c>
      <c r="D4385" s="9" t="s">
        <v>75</v>
      </c>
      <c r="E4385" s="6" t="s">
        <v>9099</v>
      </c>
      <c r="F4385" s="9"/>
    </row>
    <row r="4386" ht="33.75" customHeight="1">
      <c r="A4386" s="7">
        <v>145.0</v>
      </c>
      <c r="B4386" s="9" t="s">
        <v>9084</v>
      </c>
      <c r="C4386" s="9" t="s">
        <v>7866</v>
      </c>
      <c r="D4386" s="9" t="s">
        <v>79</v>
      </c>
      <c r="E4386" s="6" t="s">
        <v>9085</v>
      </c>
      <c r="F4386" s="9"/>
    </row>
    <row r="4387" ht="33.75" customHeight="1">
      <c r="A4387" s="7">
        <v>145.0</v>
      </c>
      <c r="B4387" s="9" t="s">
        <v>9084</v>
      </c>
      <c r="C4387" s="9" t="s">
        <v>7866</v>
      </c>
      <c r="D4387" s="9" t="s">
        <v>81</v>
      </c>
      <c r="E4387" s="6" t="s">
        <v>9102</v>
      </c>
      <c r="F4387" s="9"/>
    </row>
    <row r="4388" ht="33.75" customHeight="1">
      <c r="A4388" s="7">
        <v>145.0</v>
      </c>
      <c r="B4388" s="9" t="s">
        <v>9084</v>
      </c>
      <c r="C4388" s="9" t="s">
        <v>7866</v>
      </c>
      <c r="D4388" s="9" t="s">
        <v>84</v>
      </c>
      <c r="E4388" s="6" t="s">
        <v>9102</v>
      </c>
      <c r="F4388" s="9"/>
    </row>
    <row r="4389" ht="33.75" customHeight="1">
      <c r="A4389" s="7">
        <v>145.0</v>
      </c>
      <c r="B4389" s="9" t="s">
        <v>9084</v>
      </c>
      <c r="C4389" s="9" t="s">
        <v>7866</v>
      </c>
      <c r="D4389" s="9" t="s">
        <v>87</v>
      </c>
      <c r="E4389" s="6" t="s">
        <v>9102</v>
      </c>
      <c r="F4389" s="9"/>
    </row>
    <row r="4390" ht="33.75" customHeight="1">
      <c r="A4390" s="7">
        <v>145.0</v>
      </c>
      <c r="B4390" s="9" t="s">
        <v>9084</v>
      </c>
      <c r="C4390" s="9" t="s">
        <v>7866</v>
      </c>
      <c r="D4390" s="9" t="s">
        <v>89</v>
      </c>
      <c r="E4390" s="6" t="s">
        <v>9108</v>
      </c>
      <c r="F4390" s="9"/>
    </row>
    <row r="4391" ht="33.75" customHeight="1">
      <c r="A4391" s="7">
        <v>145.0</v>
      </c>
      <c r="B4391" s="9" t="s">
        <v>9084</v>
      </c>
      <c r="C4391" s="9" t="s">
        <v>7866</v>
      </c>
      <c r="D4391" s="9" t="s">
        <v>91</v>
      </c>
      <c r="E4391" s="6" t="s">
        <v>9110</v>
      </c>
      <c r="F4391" s="9"/>
    </row>
    <row r="4392" ht="33.75" customHeight="1">
      <c r="A4392" s="7">
        <v>145.0</v>
      </c>
      <c r="B4392" s="9" t="s">
        <v>9084</v>
      </c>
      <c r="C4392" s="9" t="s">
        <v>7866</v>
      </c>
      <c r="D4392" s="9" t="s">
        <v>93</v>
      </c>
      <c r="E4392" s="6" t="s">
        <v>9102</v>
      </c>
      <c r="F4392" s="9"/>
    </row>
    <row r="4393" ht="33.75" customHeight="1">
      <c r="A4393" s="7">
        <v>145.0</v>
      </c>
      <c r="B4393" s="9" t="s">
        <v>9084</v>
      </c>
      <c r="C4393" s="9" t="s">
        <v>7866</v>
      </c>
      <c r="D4393" s="9" t="s">
        <v>95</v>
      </c>
      <c r="E4393" s="6" t="s">
        <v>9102</v>
      </c>
      <c r="F4393" s="9"/>
    </row>
    <row r="4394" ht="33.75" customHeight="1">
      <c r="A4394" s="7">
        <v>145.0</v>
      </c>
      <c r="B4394" s="9" t="s">
        <v>9084</v>
      </c>
      <c r="C4394" s="9" t="s">
        <v>7866</v>
      </c>
      <c r="D4394" s="9" t="s">
        <v>98</v>
      </c>
      <c r="E4394" s="6" t="s">
        <v>9102</v>
      </c>
      <c r="F4394" s="9"/>
    </row>
    <row r="4395" ht="33.75" customHeight="1">
      <c r="A4395" s="7">
        <v>145.0</v>
      </c>
      <c r="B4395" s="9" t="s">
        <v>9084</v>
      </c>
      <c r="C4395" s="9" t="s">
        <v>7866</v>
      </c>
      <c r="D4395" s="9" t="s">
        <v>99</v>
      </c>
      <c r="E4395" s="6" t="s">
        <v>9102</v>
      </c>
      <c r="F4395" s="9"/>
    </row>
    <row r="4396" ht="33.75" customHeight="1">
      <c r="A4396" s="7">
        <v>145.0</v>
      </c>
      <c r="B4396" s="9" t="s">
        <v>9084</v>
      </c>
      <c r="C4396" s="9" t="s">
        <v>7866</v>
      </c>
      <c r="D4396" s="9" t="s">
        <v>101</v>
      </c>
      <c r="E4396" s="6" t="s">
        <v>9120</v>
      </c>
      <c r="F4396" s="9"/>
    </row>
    <row r="4397" ht="33.75" customHeight="1">
      <c r="A4397" s="7">
        <v>145.0</v>
      </c>
      <c r="B4397" s="9" t="s">
        <v>9084</v>
      </c>
      <c r="C4397" s="9" t="s">
        <v>7866</v>
      </c>
      <c r="D4397" s="9" t="s">
        <v>105</v>
      </c>
      <c r="E4397" s="6" t="s">
        <v>9102</v>
      </c>
      <c r="F4397" s="9"/>
    </row>
    <row r="4398" ht="33.75" customHeight="1">
      <c r="A4398" s="7">
        <v>145.0</v>
      </c>
      <c r="B4398" s="9" t="s">
        <v>9084</v>
      </c>
      <c r="C4398" s="9" t="s">
        <v>7866</v>
      </c>
      <c r="D4398" s="9" t="s">
        <v>107</v>
      </c>
      <c r="E4398" s="6" t="s">
        <v>9126</v>
      </c>
      <c r="F4398" s="9"/>
    </row>
    <row r="4399" ht="33.75" customHeight="1">
      <c r="A4399" s="7">
        <v>145.0</v>
      </c>
      <c r="B4399" s="9" t="s">
        <v>9084</v>
      </c>
      <c r="C4399" s="9" t="s">
        <v>7866</v>
      </c>
      <c r="D4399" s="9" t="s">
        <v>109</v>
      </c>
      <c r="E4399" s="6" t="s">
        <v>9126</v>
      </c>
      <c r="F4399" s="9"/>
    </row>
    <row r="4400" ht="33.75" customHeight="1">
      <c r="A4400" s="7">
        <v>145.0</v>
      </c>
      <c r="B4400" s="9" t="s">
        <v>9084</v>
      </c>
      <c r="C4400" s="9" t="s">
        <v>7866</v>
      </c>
      <c r="D4400" s="9" t="s">
        <v>111</v>
      </c>
      <c r="E4400" s="6" t="s">
        <v>9131</v>
      </c>
      <c r="F4400" s="9"/>
    </row>
    <row r="4401" ht="33.75" customHeight="1">
      <c r="A4401" s="7">
        <v>145.0</v>
      </c>
      <c r="B4401" s="9" t="s">
        <v>9084</v>
      </c>
      <c r="C4401" s="9" t="s">
        <v>7866</v>
      </c>
      <c r="D4401" s="9" t="s">
        <v>113</v>
      </c>
      <c r="E4401" s="6" t="s">
        <v>9131</v>
      </c>
      <c r="F4401" s="9"/>
    </row>
    <row r="4402" ht="33.75" customHeight="1">
      <c r="A4402" s="7">
        <v>145.0</v>
      </c>
      <c r="B4402" s="9" t="s">
        <v>9084</v>
      </c>
      <c r="C4402" s="9" t="s">
        <v>7866</v>
      </c>
      <c r="D4402" s="9" t="s">
        <v>114</v>
      </c>
      <c r="E4402" s="6" t="s">
        <v>9136</v>
      </c>
      <c r="F4402" s="9"/>
    </row>
    <row r="4403" ht="33.75" customHeight="1">
      <c r="A4403" s="7">
        <v>145.0</v>
      </c>
      <c r="B4403" s="9" t="s">
        <v>9084</v>
      </c>
      <c r="C4403" s="9" t="s">
        <v>7866</v>
      </c>
      <c r="D4403" s="9" t="s">
        <v>117</v>
      </c>
      <c r="E4403" s="6" t="s">
        <v>9140</v>
      </c>
      <c r="F4403" s="9"/>
    </row>
    <row r="4404" ht="33.75" customHeight="1">
      <c r="A4404" s="7">
        <v>146.0</v>
      </c>
      <c r="B4404" s="9" t="s">
        <v>9142</v>
      </c>
      <c r="C4404" s="9" t="s">
        <v>294</v>
      </c>
      <c r="D4404" s="9" t="s">
        <v>24</v>
      </c>
      <c r="E4404" s="6" t="s">
        <v>9144</v>
      </c>
      <c r="F4404" t="inlineStr" s="10">
        <is>
          <t xml:space="preserve">Tunnetaan legendaarisena tulilintuna. Jokainen sen siivenlyönti luo häikäisevän liekkien välähdyksen. Legendaarinen lintu-POKéMON. Kun se räpyttelee liekehtiviä siipiään, jopa yötaivas muuttuu punaiseksi. Tämä legendaarinen POKéMON sirottelee kekäleitä jokaisella siivenläpäyksellä. Se on jännittävä näky. Tämän legendaarisen lintu-POKéMONin sanotaan tuovan aikaisen kevään talvisiin maihin, joissa se vierailee. Sen sanotaan muuttavan etelästä kevään mukana. MOLTRES on legendaarinen lintu-POKéMON, jolla on kyky hallita tulta. Jos tämä POKéMON loukkaantuu, sen sanotaan kastavan ruumiinsa tulivuoren sulaan magmaan palamaan ja parantamaan itsensä. MOLTRES on legendaarinen lintu-POKéMON, joka osaa hallita tulta. Jos se loukkaantuu, sen sanotaan kastavan ruumiinsa tulivuoren sulaan magmaan palamaan ja parantamaan itsensä. Yksi legendaarisista lintu-POKéMONeista. Sen näkevät hämmästyvät sen oransseista, tulessa hehkuvista siivistä. Sen sanotaan olevan legendaarinen tulilintu-POKéMON. Jokainen sen siivenlyönti luo häikäisevän liekkien leimahduksen. Sanotaan, että sen ilmestyminen ennustaa kevään tuloa. Tämä legendaarinen Pokémon sirottelee kekäleitä jokaisella siivenläpäyksellään. Se on yksi legendaarisista lintu-Pokémoneista. Kun Moltres räpyttelee liekehtiviä siipiään, ne hohtavat häikäisevän punaisena. Tarinoissa kerrotaan, kuinka tämä Pokémon käyttää säteileviä, liekkien peittämiä siipiään valaisemaan polkuja vuorilla eksyneille.</t>
        </is>
      </c>
    </row>
    <row r="4405" ht="33.75" customHeight="1">
      <c r="A4405" s="7">
        <v>146.0</v>
      </c>
      <c r="B4405" s="9" t="s">
        <v>9142</v>
      </c>
      <c r="C4405" s="9" t="s">
        <v>294</v>
      </c>
      <c r="D4405" s="9" t="s">
        <v>35</v>
      </c>
      <c r="E4405" s="6" t="s">
        <v>9144</v>
      </c>
      <c r="F4405" s="9"/>
    </row>
    <row r="4406" ht="33.75" customHeight="1">
      <c r="A4406" s="7">
        <v>146.0</v>
      </c>
      <c r="B4406" s="9" t="s">
        <v>9142</v>
      </c>
      <c r="C4406" s="9" t="s">
        <v>294</v>
      </c>
      <c r="D4406" s="9" t="s">
        <v>42</v>
      </c>
      <c r="E4406" s="6" t="s">
        <v>9150</v>
      </c>
      <c r="F4406" s="9"/>
    </row>
    <row r="4407" ht="33.75" customHeight="1">
      <c r="A4407" s="7">
        <v>146.0</v>
      </c>
      <c r="B4407" s="9" t="s">
        <v>9142</v>
      </c>
      <c r="C4407" s="9" t="s">
        <v>294</v>
      </c>
      <c r="D4407" s="9" t="s">
        <v>52</v>
      </c>
      <c r="E4407" s="6" t="s">
        <v>9154</v>
      </c>
      <c r="F4407" s="9"/>
    </row>
    <row r="4408" ht="33.75" customHeight="1">
      <c r="A4408" s="7">
        <v>146.0</v>
      </c>
      <c r="B4408" s="9" t="s">
        <v>9142</v>
      </c>
      <c r="C4408" s="9" t="s">
        <v>294</v>
      </c>
      <c r="D4408" s="9" t="s">
        <v>59</v>
      </c>
      <c r="E4408" s="6" t="s">
        <v>9159</v>
      </c>
      <c r="F4408" s="9"/>
    </row>
    <row r="4409" ht="33.75" customHeight="1">
      <c r="A4409" s="7">
        <v>146.0</v>
      </c>
      <c r="B4409" s="9" t="s">
        <v>9142</v>
      </c>
      <c r="C4409" s="9" t="s">
        <v>294</v>
      </c>
      <c r="D4409" s="9" t="s">
        <v>64</v>
      </c>
      <c r="E4409" s="6" t="s">
        <v>9162</v>
      </c>
      <c r="F4409" s="9"/>
    </row>
    <row r="4410" ht="33.75" customHeight="1">
      <c r="A4410" s="7">
        <v>146.0</v>
      </c>
      <c r="B4410" s="9" t="s">
        <v>9142</v>
      </c>
      <c r="C4410" s="9" t="s">
        <v>294</v>
      </c>
      <c r="D4410" s="9" t="s">
        <v>67</v>
      </c>
      <c r="E4410" s="6" t="s">
        <v>9166</v>
      </c>
      <c r="F4410" s="9"/>
    </row>
    <row r="4411" ht="33.75" customHeight="1">
      <c r="A4411" s="7">
        <v>146.0</v>
      </c>
      <c r="B4411" s="9" t="s">
        <v>9142</v>
      </c>
      <c r="C4411" s="9" t="s">
        <v>294</v>
      </c>
      <c r="D4411" s="9" t="s">
        <v>71</v>
      </c>
      <c r="E4411" s="6" t="s">
        <v>9166</v>
      </c>
      <c r="F4411" s="9"/>
    </row>
    <row r="4412" ht="33.75" customHeight="1">
      <c r="A4412" s="7">
        <v>146.0</v>
      </c>
      <c r="B4412" s="9" t="s">
        <v>9142</v>
      </c>
      <c r="C4412" s="9" t="s">
        <v>294</v>
      </c>
      <c r="D4412" s="9" t="s">
        <v>73</v>
      </c>
      <c r="E4412" s="6" t="s">
        <v>9171</v>
      </c>
      <c r="F4412" s="9"/>
    </row>
    <row r="4413" ht="33.75" customHeight="1">
      <c r="A4413" s="7">
        <v>146.0</v>
      </c>
      <c r="B4413" s="9" t="s">
        <v>9142</v>
      </c>
      <c r="C4413" s="9" t="s">
        <v>294</v>
      </c>
      <c r="D4413" s="9" t="s">
        <v>75</v>
      </c>
      <c r="E4413" s="6" t="s">
        <v>9175</v>
      </c>
      <c r="F4413" s="9"/>
    </row>
    <row r="4414" ht="33.75" customHeight="1">
      <c r="A4414" s="7">
        <v>146.0</v>
      </c>
      <c r="B4414" s="9" t="s">
        <v>9142</v>
      </c>
      <c r="C4414" s="9" t="s">
        <v>294</v>
      </c>
      <c r="D4414" s="9" t="s">
        <v>79</v>
      </c>
      <c r="E4414" s="6" t="s">
        <v>9178</v>
      </c>
      <c r="F4414" s="9"/>
    </row>
    <row r="4415" ht="33.75" customHeight="1">
      <c r="A4415" s="7">
        <v>146.0</v>
      </c>
      <c r="B4415" s="9" t="s">
        <v>9142</v>
      </c>
      <c r="C4415" s="9" t="s">
        <v>294</v>
      </c>
      <c r="D4415" s="9" t="s">
        <v>81</v>
      </c>
      <c r="E4415" s="6" t="s">
        <v>9181</v>
      </c>
      <c r="F4415" s="9"/>
    </row>
    <row r="4416" ht="33.75" customHeight="1">
      <c r="A4416" s="7">
        <v>146.0</v>
      </c>
      <c r="B4416" s="9" t="s">
        <v>9142</v>
      </c>
      <c r="C4416" s="9" t="s">
        <v>294</v>
      </c>
      <c r="D4416" s="9" t="s">
        <v>84</v>
      </c>
      <c r="E4416" s="6" t="s">
        <v>9181</v>
      </c>
      <c r="F4416" s="9"/>
    </row>
    <row r="4417" ht="33.75" customHeight="1">
      <c r="A4417" s="7">
        <v>146.0</v>
      </c>
      <c r="B4417" s="9" t="s">
        <v>9142</v>
      </c>
      <c r="C4417" s="9" t="s">
        <v>294</v>
      </c>
      <c r="D4417" s="9" t="s">
        <v>87</v>
      </c>
      <c r="E4417" s="6" t="s">
        <v>9181</v>
      </c>
      <c r="F4417" s="9"/>
    </row>
    <row r="4418" ht="33.75" customHeight="1">
      <c r="A4418" s="7">
        <v>146.0</v>
      </c>
      <c r="B4418" s="9" t="s">
        <v>9142</v>
      </c>
      <c r="C4418" s="9" t="s">
        <v>294</v>
      </c>
      <c r="D4418" s="9" t="s">
        <v>89</v>
      </c>
      <c r="E4418" s="6" t="s">
        <v>9189</v>
      </c>
      <c r="F4418" s="9"/>
    </row>
    <row r="4419" ht="33.75" customHeight="1">
      <c r="A4419" s="7">
        <v>146.0</v>
      </c>
      <c r="B4419" s="9" t="s">
        <v>9142</v>
      </c>
      <c r="C4419" s="9" t="s">
        <v>294</v>
      </c>
      <c r="D4419" s="9" t="s">
        <v>91</v>
      </c>
      <c r="E4419" s="6" t="s">
        <v>9192</v>
      </c>
      <c r="F4419" s="9"/>
    </row>
    <row r="4420" ht="33.75" customHeight="1">
      <c r="A4420" s="7">
        <v>146.0</v>
      </c>
      <c r="B4420" s="9" t="s">
        <v>9142</v>
      </c>
      <c r="C4420" s="9" t="s">
        <v>294</v>
      </c>
      <c r="D4420" s="9" t="s">
        <v>93</v>
      </c>
      <c r="E4420" s="6" t="s">
        <v>9181</v>
      </c>
      <c r="F4420" s="9"/>
    </row>
    <row r="4421" ht="33.75" customHeight="1">
      <c r="A4421" s="7">
        <v>146.0</v>
      </c>
      <c r="B4421" s="9" t="s">
        <v>9142</v>
      </c>
      <c r="C4421" s="9" t="s">
        <v>294</v>
      </c>
      <c r="D4421" s="9" t="s">
        <v>95</v>
      </c>
      <c r="E4421" s="6" t="s">
        <v>9181</v>
      </c>
      <c r="F4421" s="9"/>
    </row>
    <row r="4422" ht="33.75" customHeight="1">
      <c r="A4422" s="7">
        <v>146.0</v>
      </c>
      <c r="B4422" s="9" t="s">
        <v>9142</v>
      </c>
      <c r="C4422" s="9" t="s">
        <v>294</v>
      </c>
      <c r="D4422" s="9" t="s">
        <v>98</v>
      </c>
      <c r="E4422" s="6" t="s">
        <v>9181</v>
      </c>
      <c r="F4422" s="9"/>
    </row>
    <row r="4423" ht="33.75" customHeight="1">
      <c r="A4423" s="7">
        <v>146.0</v>
      </c>
      <c r="B4423" s="9" t="s">
        <v>9142</v>
      </c>
      <c r="C4423" s="9" t="s">
        <v>294</v>
      </c>
      <c r="D4423" s="9" t="s">
        <v>99</v>
      </c>
      <c r="E4423" s="6" t="s">
        <v>9181</v>
      </c>
      <c r="F4423" s="9"/>
    </row>
    <row r="4424" ht="33.75" customHeight="1">
      <c r="A4424" s="7">
        <v>146.0</v>
      </c>
      <c r="B4424" s="9" t="s">
        <v>9142</v>
      </c>
      <c r="C4424" s="9" t="s">
        <v>294</v>
      </c>
      <c r="D4424" s="9" t="s">
        <v>101</v>
      </c>
      <c r="E4424" s="6" t="s">
        <v>9201</v>
      </c>
      <c r="F4424" s="9"/>
    </row>
    <row r="4425" ht="33.75" customHeight="1">
      <c r="A4425" s="7">
        <v>146.0</v>
      </c>
      <c r="B4425" s="9" t="s">
        <v>9142</v>
      </c>
      <c r="C4425" s="9" t="s">
        <v>294</v>
      </c>
      <c r="D4425" s="9" t="s">
        <v>105</v>
      </c>
      <c r="E4425" s="6" t="s">
        <v>9181</v>
      </c>
      <c r="F4425" s="9"/>
    </row>
    <row r="4426" ht="33.75" customHeight="1">
      <c r="A4426" s="7">
        <v>146.0</v>
      </c>
      <c r="B4426" s="9" t="s">
        <v>9142</v>
      </c>
      <c r="C4426" s="9" t="s">
        <v>294</v>
      </c>
      <c r="D4426" s="9" t="s">
        <v>107</v>
      </c>
      <c r="E4426" s="6" t="s">
        <v>9206</v>
      </c>
      <c r="F4426" s="9"/>
    </row>
    <row r="4427" ht="33.75" customHeight="1">
      <c r="A4427" s="7">
        <v>146.0</v>
      </c>
      <c r="B4427" s="9" t="s">
        <v>9142</v>
      </c>
      <c r="C4427" s="9" t="s">
        <v>294</v>
      </c>
      <c r="D4427" s="9" t="s">
        <v>109</v>
      </c>
      <c r="E4427" s="6" t="s">
        <v>9206</v>
      </c>
      <c r="F4427" s="9"/>
    </row>
    <row r="4428" ht="33.75" customHeight="1">
      <c r="A4428" s="7">
        <v>146.0</v>
      </c>
      <c r="B4428" s="9" t="s">
        <v>9142</v>
      </c>
      <c r="C4428" s="9" t="s">
        <v>294</v>
      </c>
      <c r="D4428" s="9" t="s">
        <v>111</v>
      </c>
      <c r="E4428" s="6" t="s">
        <v>9210</v>
      </c>
      <c r="F4428" s="9"/>
    </row>
    <row r="4429" ht="33.75" customHeight="1">
      <c r="A4429" s="7">
        <v>146.0</v>
      </c>
      <c r="B4429" s="9" t="s">
        <v>9142</v>
      </c>
      <c r="C4429" s="9" t="s">
        <v>294</v>
      </c>
      <c r="D4429" s="9" t="s">
        <v>113</v>
      </c>
      <c r="E4429" s="6" t="s">
        <v>9210</v>
      </c>
      <c r="F4429" s="9"/>
    </row>
    <row r="4430" ht="33.75" customHeight="1">
      <c r="A4430" s="7">
        <v>146.0</v>
      </c>
      <c r="B4430" s="9" t="s">
        <v>9142</v>
      </c>
      <c r="C4430" s="9" t="s">
        <v>294</v>
      </c>
      <c r="D4430" s="9" t="s">
        <v>114</v>
      </c>
      <c r="E4430" s="6" t="s">
        <v>9213</v>
      </c>
      <c r="F4430" s="9"/>
    </row>
    <row r="4431" ht="33.75" customHeight="1">
      <c r="A4431" s="7">
        <v>146.0</v>
      </c>
      <c r="B4431" s="9" t="s">
        <v>9142</v>
      </c>
      <c r="C4431" s="9" t="s">
        <v>294</v>
      </c>
      <c r="D4431" s="9" t="s">
        <v>117</v>
      </c>
      <c r="E4431" s="6" t="s">
        <v>9215</v>
      </c>
      <c r="F4431" s="9"/>
    </row>
    <row r="4432" ht="33.75" customHeight="1">
      <c r="A4432" s="7">
        <v>147.0</v>
      </c>
      <c r="B4432" s="9" t="s">
        <v>9217</v>
      </c>
      <c r="C4432" s="9" t="s">
        <v>7342</v>
      </c>
      <c r="D4432" s="9" t="s">
        <v>24</v>
      </c>
      <c r="E4432" s="6" t="s">
        <v>9218</v>
      </c>
      <c r="F4432" t="inlineStr" s="10">
        <is>
          <t xml:space="preserve">Pitkään pidetty myyttisenä POKéMONina, kunnes pieni yhdyskunta löydettiin veden alta. Tämän myyttisen POKéMONin olemassaolo vahvistettiin vasta äskettäin kalastajan toimesta, joka sai sellaisen kiinni. Se syntyy aluksi suurena. Se luo nahkansa toistuvasti kasvaessaan tasaisesti pituudeltaan. Tämä POKéMON on täynnä elämänenergiaa. Se luo jatkuvasti nahkaansa ja kasvaa tasaisesti suuremmaksi. Se karistaa useita ihokerroksia kasvaessaan. Tämän prosessin aikana sitä suojaa nopea vesiputous. DRATINI jatkuvasti luo ja kuorii vanhaa nahkaansa. Se tekee niin, koska sen kehon elämänenergia kasvaa tasaisesti ja saavuttaa hallitsemattomat tasot. DRATINI jatkuvasti luopuu ja kuorii pois vanhan nahkansa. Jopa poikaset voivat kasvaa yli 2 metrin pituisiksi. Ne kasvavat suuremmiksi luomalla toistuvasti nahkaa. Pitkään pidetty myyttisenä POKéMONina, kunnes pieni yhdyskunta löydettiin veden alla. Sitä kutsutaan "Mirage Pokémoniksi", koska niin harvat ovat nähneet sen. Sen irronnut nahka on löydetty. Se luopuu jatkuvasti ihoaan ja kasvaa tasaisesti suuremmaksi. Se kasvaa luopumalla toistuvasta sulkasateesta. Ruskettuneesta irtonahasta tehdyt saappaat ovat superluksustuote. Kymmenen tunnin taistelun jälkeen kalastaja onnistui vetämään sellaisen ylös ja varmistamaan sen olemassaolon. Se on vielä heikko, joten se lymyilee vesistöjen pohjalla, syö kaiken alas vajoavan ruoan ja elää hiljaista elämää. Se luo nahkansa – lähes päivittäin – ja kasvaa suuremmaksi. Sen nahka on pehmeä heti luomisen jälkeen. Pitkään myytiksi luultu Pokémon sai vasta äskettäin vahvistuksen kalastajan toimesta, joka sai sellaisen. Dratini asuu nopeasti virtaavien vesistöjen, kuten vesiputousten, lähellä. Kasvaessaan Dratini luopuu nahkansa useita kertoja. Tätä Pokémonia pidettiin pitkään vain myyttina. Dratinin otsassa oleva pieni kyhmy on itse asiassa sarvi, joka on yhä kasvamassa.</t>
        </is>
      </c>
    </row>
    <row r="4433" ht="33.75" customHeight="1">
      <c r="A4433" s="7">
        <v>147.0</v>
      </c>
      <c r="B4433" s="9" t="s">
        <v>9217</v>
      </c>
      <c r="C4433" s="9" t="s">
        <v>7342</v>
      </c>
      <c r="D4433" s="9" t="s">
        <v>35</v>
      </c>
      <c r="E4433" s="6" t="s">
        <v>9218</v>
      </c>
      <c r="F4433" s="9"/>
    </row>
    <row r="4434" ht="33.75" customHeight="1">
      <c r="A4434" s="7">
        <v>147.0</v>
      </c>
      <c r="B4434" s="9" t="s">
        <v>9217</v>
      </c>
      <c r="C4434" s="9" t="s">
        <v>7342</v>
      </c>
      <c r="D4434" s="9" t="s">
        <v>42</v>
      </c>
      <c r="E4434" s="6" t="s">
        <v>9223</v>
      </c>
      <c r="F4434" s="9"/>
    </row>
    <row r="4435" ht="33.75" customHeight="1">
      <c r="A4435" s="7">
        <v>147.0</v>
      </c>
      <c r="B4435" s="9" t="s">
        <v>9217</v>
      </c>
      <c r="C4435" s="9" t="s">
        <v>7342</v>
      </c>
      <c r="D4435" s="9" t="s">
        <v>52</v>
      </c>
      <c r="E4435" s="6" t="s">
        <v>9225</v>
      </c>
      <c r="F4435" s="9"/>
    </row>
    <row r="4436" ht="33.75" customHeight="1">
      <c r="A4436" s="7">
        <v>147.0</v>
      </c>
      <c r="B4436" s="9" t="s">
        <v>9217</v>
      </c>
      <c r="C4436" s="9" t="s">
        <v>7342</v>
      </c>
      <c r="D4436" s="9" t="s">
        <v>59</v>
      </c>
      <c r="E4436" s="6" t="s">
        <v>9227</v>
      </c>
      <c r="F4436" s="9"/>
    </row>
    <row r="4437" ht="33.75" customHeight="1">
      <c r="A4437" s="7">
        <v>147.0</v>
      </c>
      <c r="B4437" s="9" t="s">
        <v>9217</v>
      </c>
      <c r="C4437" s="9" t="s">
        <v>7342</v>
      </c>
      <c r="D4437" s="9" t="s">
        <v>64</v>
      </c>
      <c r="E4437" s="6" t="s">
        <v>9229</v>
      </c>
      <c r="F4437" s="9"/>
    </row>
    <row r="4438" ht="33.75" customHeight="1">
      <c r="A4438" s="7">
        <v>147.0</v>
      </c>
      <c r="B4438" s="9" t="s">
        <v>9217</v>
      </c>
      <c r="C4438" s="9" t="s">
        <v>7342</v>
      </c>
      <c r="D4438" s="9" t="s">
        <v>67</v>
      </c>
      <c r="E4438" s="6" t="s">
        <v>9231</v>
      </c>
      <c r="F4438" s="9"/>
    </row>
    <row r="4439" ht="33.75" customHeight="1">
      <c r="A4439" s="7">
        <v>147.0</v>
      </c>
      <c r="B4439" s="9" t="s">
        <v>9217</v>
      </c>
      <c r="C4439" s="9" t="s">
        <v>7342</v>
      </c>
      <c r="D4439" s="9" t="s">
        <v>71</v>
      </c>
      <c r="E4439" s="6" t="s">
        <v>9231</v>
      </c>
      <c r="F4439" s="9"/>
    </row>
    <row r="4440" ht="33.75" customHeight="1">
      <c r="A4440" s="7">
        <v>147.0</v>
      </c>
      <c r="B4440" s="9" t="s">
        <v>9217</v>
      </c>
      <c r="C4440" s="9" t="s">
        <v>7342</v>
      </c>
      <c r="D4440" s="9" t="s">
        <v>73</v>
      </c>
      <c r="E4440" s="6" t="s">
        <v>9235</v>
      </c>
      <c r="F4440" s="9"/>
    </row>
    <row r="4441" ht="33.75" customHeight="1">
      <c r="A4441" s="7">
        <v>147.0</v>
      </c>
      <c r="B4441" s="9" t="s">
        <v>9217</v>
      </c>
      <c r="C4441" s="9" t="s">
        <v>7342</v>
      </c>
      <c r="D4441" s="9" t="s">
        <v>75</v>
      </c>
      <c r="E4441" s="6" t="s">
        <v>9237</v>
      </c>
      <c r="F4441" s="9"/>
    </row>
    <row r="4442" ht="33.75" customHeight="1">
      <c r="A4442" s="7">
        <v>147.0</v>
      </c>
      <c r="B4442" s="9" t="s">
        <v>9217</v>
      </c>
      <c r="C4442" s="9" t="s">
        <v>7342</v>
      </c>
      <c r="D4442" s="9" t="s">
        <v>79</v>
      </c>
      <c r="E4442" s="6" t="s">
        <v>9239</v>
      </c>
      <c r="F4442" s="9"/>
    </row>
    <row r="4443" ht="33.75" customHeight="1">
      <c r="A4443" s="7">
        <v>147.0</v>
      </c>
      <c r="B4443" s="9" t="s">
        <v>9217</v>
      </c>
      <c r="C4443" s="9" t="s">
        <v>7342</v>
      </c>
      <c r="D4443" s="9" t="s">
        <v>81</v>
      </c>
      <c r="E4443" s="6" t="s">
        <v>9242</v>
      </c>
      <c r="F4443" s="9"/>
    </row>
    <row r="4444" ht="33.75" customHeight="1">
      <c r="A4444" s="7">
        <v>147.0</v>
      </c>
      <c r="B4444" s="9" t="s">
        <v>9217</v>
      </c>
      <c r="C4444" s="9" t="s">
        <v>7342</v>
      </c>
      <c r="D4444" s="9" t="s">
        <v>84</v>
      </c>
      <c r="E4444" s="6" t="s">
        <v>9242</v>
      </c>
      <c r="F4444" s="9"/>
    </row>
    <row r="4445" ht="33.75" customHeight="1">
      <c r="A4445" s="7">
        <v>147.0</v>
      </c>
      <c r="B4445" s="9" t="s">
        <v>9217</v>
      </c>
      <c r="C4445" s="9" t="s">
        <v>7342</v>
      </c>
      <c r="D4445" s="9" t="s">
        <v>87</v>
      </c>
      <c r="E4445" s="6" t="s">
        <v>9242</v>
      </c>
      <c r="F4445" s="9"/>
    </row>
    <row r="4446" ht="33.75" customHeight="1">
      <c r="A4446" s="7">
        <v>147.0</v>
      </c>
      <c r="B4446" s="9" t="s">
        <v>9217</v>
      </c>
      <c r="C4446" s="9" t="s">
        <v>7342</v>
      </c>
      <c r="D4446" s="9" t="s">
        <v>89</v>
      </c>
      <c r="E4446" s="6" t="s">
        <v>9225</v>
      </c>
      <c r="F4446" s="9"/>
    </row>
    <row r="4447" ht="33.75" customHeight="1">
      <c r="A4447" s="7">
        <v>147.0</v>
      </c>
      <c r="B4447" s="9" t="s">
        <v>9217</v>
      </c>
      <c r="C4447" s="9" t="s">
        <v>7342</v>
      </c>
      <c r="D4447" s="9" t="s">
        <v>91</v>
      </c>
      <c r="E4447" s="6" t="s">
        <v>9249</v>
      </c>
      <c r="F4447" s="9"/>
    </row>
    <row r="4448" ht="33.75" customHeight="1">
      <c r="A4448" s="7">
        <v>147.0</v>
      </c>
      <c r="B4448" s="9" t="s">
        <v>9217</v>
      </c>
      <c r="C4448" s="9" t="s">
        <v>7342</v>
      </c>
      <c r="D4448" s="9" t="s">
        <v>93</v>
      </c>
      <c r="E4448" s="6" t="s">
        <v>9242</v>
      </c>
      <c r="F4448" s="9"/>
    </row>
    <row r="4449" ht="33.75" customHeight="1">
      <c r="A4449" s="7">
        <v>147.0</v>
      </c>
      <c r="B4449" s="9" t="s">
        <v>9217</v>
      </c>
      <c r="C4449" s="9" t="s">
        <v>7342</v>
      </c>
      <c r="D4449" s="9" t="s">
        <v>95</v>
      </c>
      <c r="E4449" s="6" t="s">
        <v>9242</v>
      </c>
      <c r="F4449" s="9"/>
    </row>
    <row r="4450" ht="33.75" customHeight="1">
      <c r="A4450" s="7">
        <v>147.0</v>
      </c>
      <c r="B4450" s="9" t="s">
        <v>9217</v>
      </c>
      <c r="C4450" s="9" t="s">
        <v>7342</v>
      </c>
      <c r="D4450" s="9" t="s">
        <v>98</v>
      </c>
      <c r="E4450" s="6" t="s">
        <v>9242</v>
      </c>
      <c r="F4450" s="9"/>
    </row>
    <row r="4451" ht="33.75" customHeight="1">
      <c r="A4451" s="7">
        <v>147.0</v>
      </c>
      <c r="B4451" s="9" t="s">
        <v>9217</v>
      </c>
      <c r="C4451" s="9" t="s">
        <v>7342</v>
      </c>
      <c r="D4451" s="9" t="s">
        <v>99</v>
      </c>
      <c r="E4451" s="6" t="s">
        <v>9242</v>
      </c>
      <c r="F4451" s="9"/>
    </row>
    <row r="4452" ht="33.75" customHeight="1">
      <c r="A4452" s="7">
        <v>147.0</v>
      </c>
      <c r="B4452" s="9" t="s">
        <v>9217</v>
      </c>
      <c r="C4452" s="9" t="s">
        <v>7342</v>
      </c>
      <c r="D4452" s="9" t="s">
        <v>101</v>
      </c>
      <c r="E4452" s="6" t="s">
        <v>9242</v>
      </c>
      <c r="F4452" s="9"/>
    </row>
    <row r="4453" ht="33.75" customHeight="1">
      <c r="A4453" s="7">
        <v>147.0</v>
      </c>
      <c r="B4453" s="9" t="s">
        <v>9217</v>
      </c>
      <c r="C4453" s="9" t="s">
        <v>7342</v>
      </c>
      <c r="D4453" s="9" t="s">
        <v>105</v>
      </c>
      <c r="E4453" s="6" t="s">
        <v>9249</v>
      </c>
      <c r="F4453" s="9"/>
    </row>
    <row r="4454" ht="33.75" customHeight="1">
      <c r="A4454" s="7">
        <v>147.0</v>
      </c>
      <c r="B4454" s="9" t="s">
        <v>9217</v>
      </c>
      <c r="C4454" s="9" t="s">
        <v>7342</v>
      </c>
      <c r="D4454" s="9" t="s">
        <v>107</v>
      </c>
      <c r="E4454" s="6" t="s">
        <v>9259</v>
      </c>
      <c r="F4454" s="9"/>
    </row>
    <row r="4455" ht="33.75" customHeight="1">
      <c r="A4455" s="7">
        <v>147.0</v>
      </c>
      <c r="B4455" s="9" t="s">
        <v>9217</v>
      </c>
      <c r="C4455" s="9" t="s">
        <v>7342</v>
      </c>
      <c r="D4455" s="9" t="s">
        <v>109</v>
      </c>
      <c r="E4455" s="6" t="s">
        <v>9259</v>
      </c>
      <c r="F4455" s="9"/>
    </row>
    <row r="4456" ht="33.75" customHeight="1">
      <c r="A4456" s="7">
        <v>147.0</v>
      </c>
      <c r="B4456" s="9" t="s">
        <v>9217</v>
      </c>
      <c r="C4456" s="9" t="s">
        <v>7342</v>
      </c>
      <c r="D4456" s="9" t="s">
        <v>637</v>
      </c>
      <c r="E4456" s="6" t="s">
        <v>9263</v>
      </c>
      <c r="F4456" s="9"/>
    </row>
    <row r="4457" ht="33.75" customHeight="1">
      <c r="A4457" s="7">
        <v>147.0</v>
      </c>
      <c r="B4457" s="9" t="s">
        <v>9217</v>
      </c>
      <c r="C4457" s="9" t="s">
        <v>7342</v>
      </c>
      <c r="D4457" s="9" t="s">
        <v>642</v>
      </c>
      <c r="E4457" s="6" t="s">
        <v>9265</v>
      </c>
      <c r="F4457" s="9"/>
    </row>
    <row r="4458" ht="33.75" customHeight="1">
      <c r="A4458" s="7">
        <v>147.0</v>
      </c>
      <c r="B4458" s="9" t="s">
        <v>9217</v>
      </c>
      <c r="C4458" s="9" t="s">
        <v>7342</v>
      </c>
      <c r="D4458" s="9" t="s">
        <v>647</v>
      </c>
      <c r="E4458" s="6" t="s">
        <v>9267</v>
      </c>
      <c r="F4458" s="9"/>
    </row>
    <row r="4459" ht="33.75" customHeight="1">
      <c r="A4459" s="7">
        <v>147.0</v>
      </c>
      <c r="B4459" s="9" t="s">
        <v>9217</v>
      </c>
      <c r="C4459" s="9" t="s">
        <v>7342</v>
      </c>
      <c r="D4459" s="9" t="s">
        <v>652</v>
      </c>
      <c r="E4459" s="6" t="s">
        <v>9269</v>
      </c>
      <c r="F4459" s="9"/>
    </row>
    <row r="4460" ht="33.75" customHeight="1">
      <c r="A4460" s="7">
        <v>147.0</v>
      </c>
      <c r="B4460" s="9" t="s">
        <v>9217</v>
      </c>
      <c r="C4460" s="9" t="s">
        <v>7342</v>
      </c>
      <c r="D4460" s="9" t="s">
        <v>111</v>
      </c>
      <c r="E4460" s="6" t="s">
        <v>9272</v>
      </c>
      <c r="F4460" s="9"/>
    </row>
    <row r="4461" ht="33.75" customHeight="1">
      <c r="A4461" s="7">
        <v>147.0</v>
      </c>
      <c r="B4461" s="9" t="s">
        <v>9217</v>
      </c>
      <c r="C4461" s="9" t="s">
        <v>7342</v>
      </c>
      <c r="D4461" s="9" t="s">
        <v>113</v>
      </c>
      <c r="E4461" s="6" t="s">
        <v>9272</v>
      </c>
      <c r="F4461" s="9"/>
    </row>
    <row r="4462" ht="33.75" customHeight="1">
      <c r="A4462" s="7">
        <v>147.0</v>
      </c>
      <c r="B4462" s="9" t="s">
        <v>9217</v>
      </c>
      <c r="C4462" s="9" t="s">
        <v>7342</v>
      </c>
      <c r="D4462" s="9" t="s">
        <v>114</v>
      </c>
      <c r="E4462" s="6" t="s">
        <v>9275</v>
      </c>
      <c r="F4462" s="9"/>
    </row>
    <row r="4463" ht="33.75" customHeight="1">
      <c r="A4463" s="7">
        <v>147.0</v>
      </c>
      <c r="B4463" s="9" t="s">
        <v>9217</v>
      </c>
      <c r="C4463" s="9" t="s">
        <v>7342</v>
      </c>
      <c r="D4463" s="9" t="s">
        <v>117</v>
      </c>
      <c r="E4463" s="6" t="s">
        <v>9278</v>
      </c>
      <c r="F4463" s="9"/>
    </row>
    <row r="4464" ht="33.75" customHeight="1">
      <c r="A4464" s="7">
        <v>148.0</v>
      </c>
      <c r="B4464" s="9" t="s">
        <v>9280</v>
      </c>
      <c r="C4464" s="9" t="s">
        <v>7342</v>
      </c>
      <c r="D4464" s="9" t="s">
        <v>24</v>
      </c>
      <c r="E4464" s="6" t="s">
        <v>9281</v>
      </c>
      <c r="F4464" t="inlineStr" s="10">
        <is>
          <t xml:space="preserve">Mystinen POKéMON, joka huokuu lempeää auraa. Kyky muuttaa ilmasto-olosuhteita. Silminnäkijän mukaan sen ruumista ympäröi outo aura, joka antoi sille mystisen ilmeen. He sanovat, että jos se säteilee auraa koko kehostaan, sää alkaa muuttua välittömästi. Sen kristalliset pallot näyttävät antavan tälle POKéMONille kyvyn hallita säätä vapaasti. Sitä kutsutaan jumalaiseksi POKéMONiksi. Kun sen koko keho kirkastuu hieman, sää muuttuu. DRAGONAIR varastoi valtavan määrän energiaa kehoonsa. Sen sanotaan muuttavan lähiympäristönsä sääolosuhteita purkamalla energiaa kaulassaan ja hännässään olevista kristalleista. LOHIKÄÄRMEENKARJA varastoi valtavan määrän energiaa kehoonsa. Sen sanotaan muuttavan ympärillään olevaa säätä menettämällä energiaa kaulassaan ja hännässään olevista kristalleista. Sen sanotaan elävän merissä ja järvissä. Vaikka sillä ei ole siipiä, sitä on nähty lentävän satunnaisesti. Mystinen POKéMON, jolla on lempeä aura. Sen sanotaan pystyvän muuttamaan säätä. Jos sen kehoon muodostuu aura, sää muuttuu välittömästi. Sen kristalliset pallot näyttävät antavan tälle Pokémonille voiman hallita säätä vapaasti. Sen sanotaan muuttavan lähiympäristönsä sääolosuhteita purkamalla energiaa kaulassaan ja pyrstössään olevista kristalleista. On pitkään ajateltu, että sen kiteiset pallot kykenevät hallitsemaan säätä. Maatalouskansat ovat muinaisista ajoista lähtien kunnioittaneet sitä säätä hallitsevana tekijänä. Järvet, joissa Dragonairit asuvat, ovat täynnä ihmisten uhreja, koska he uskovat tämän Pokémonin pystyvän hallitsemaan säätä. Jotkut sanovat, että jos näet sen vuoden alussa lentämässä taivaalla ja vääntämässä vartaloaan, olet terve koko vuoden. Tämä Pokémon elää koskemattomissa valtamerissä ja järvissä. Se voi hallita säätä ja käyttää tätä voimaa lentääkseen taivaalle tuulen varassa. Tämä Pokémon kerää voimaa pyrstössään oleviin palloihin ja hallitsee säätä. Auran ympäröimänä Dragonairilla on mystinen ulkonäkö.</t>
        </is>
      </c>
    </row>
    <row r="4465" ht="33.75" customHeight="1">
      <c r="A4465" s="7">
        <v>148.0</v>
      </c>
      <c r="B4465" s="9" t="s">
        <v>9280</v>
      </c>
      <c r="C4465" s="9" t="s">
        <v>7342</v>
      </c>
      <c r="D4465" s="9" t="s">
        <v>35</v>
      </c>
      <c r="E4465" s="6" t="s">
        <v>9281</v>
      </c>
      <c r="F4465" s="9"/>
    </row>
    <row r="4466" ht="33.75" customHeight="1">
      <c r="A4466" s="7">
        <v>148.0</v>
      </c>
      <c r="B4466" s="9" t="s">
        <v>9280</v>
      </c>
      <c r="C4466" s="9" t="s">
        <v>7342</v>
      </c>
      <c r="D4466" s="9" t="s">
        <v>42</v>
      </c>
      <c r="E4466" s="6" t="s">
        <v>9285</v>
      </c>
      <c r="F4466" s="9"/>
    </row>
    <row r="4467" ht="33.75" customHeight="1">
      <c r="A4467" s="7">
        <v>148.0</v>
      </c>
      <c r="B4467" s="9" t="s">
        <v>9280</v>
      </c>
      <c r="C4467" s="9" t="s">
        <v>7342</v>
      </c>
      <c r="D4467" s="9" t="s">
        <v>52</v>
      </c>
      <c r="E4467" s="6" t="s">
        <v>9287</v>
      </c>
      <c r="F4467" s="9"/>
    </row>
    <row r="4468" ht="33.75" customHeight="1">
      <c r="A4468" s="7">
        <v>148.0</v>
      </c>
      <c r="B4468" s="9" t="s">
        <v>9280</v>
      </c>
      <c r="C4468" s="9" t="s">
        <v>7342</v>
      </c>
      <c r="D4468" s="9" t="s">
        <v>59</v>
      </c>
      <c r="E4468" s="6" t="s">
        <v>9290</v>
      </c>
      <c r="F4468" s="9"/>
    </row>
    <row r="4469" ht="33.75" customHeight="1">
      <c r="A4469" s="7">
        <v>148.0</v>
      </c>
      <c r="B4469" s="9" t="s">
        <v>9280</v>
      </c>
      <c r="C4469" s="9" t="s">
        <v>7342</v>
      </c>
      <c r="D4469" s="9" t="s">
        <v>64</v>
      </c>
      <c r="E4469" s="6" t="s">
        <v>9292</v>
      </c>
      <c r="F4469" s="9"/>
    </row>
    <row r="4470" ht="33.75" customHeight="1">
      <c r="A4470" s="7">
        <v>148.0</v>
      </c>
      <c r="B4470" s="9" t="s">
        <v>9280</v>
      </c>
      <c r="C4470" s="9" t="s">
        <v>7342</v>
      </c>
      <c r="D4470" s="9" t="s">
        <v>67</v>
      </c>
      <c r="E4470" s="6" t="s">
        <v>9294</v>
      </c>
      <c r="F4470" s="9"/>
    </row>
    <row r="4471" ht="33.75" customHeight="1">
      <c r="A4471" s="7">
        <v>148.0</v>
      </c>
      <c r="B4471" s="9" t="s">
        <v>9280</v>
      </c>
      <c r="C4471" s="9" t="s">
        <v>7342</v>
      </c>
      <c r="D4471" s="9" t="s">
        <v>71</v>
      </c>
      <c r="E4471" s="6" t="s">
        <v>9294</v>
      </c>
      <c r="F4471" s="9"/>
    </row>
    <row r="4472" ht="33.75" customHeight="1">
      <c r="A4472" s="7">
        <v>148.0</v>
      </c>
      <c r="B4472" s="9" t="s">
        <v>9280</v>
      </c>
      <c r="C4472" s="9" t="s">
        <v>7342</v>
      </c>
      <c r="D4472" s="9" t="s">
        <v>73</v>
      </c>
      <c r="E4472" s="6" t="s">
        <v>9295</v>
      </c>
      <c r="F4472" s="9"/>
    </row>
    <row r="4473" ht="33.75" customHeight="1">
      <c r="A4473" s="7">
        <v>148.0</v>
      </c>
      <c r="B4473" s="9" t="s">
        <v>9280</v>
      </c>
      <c r="C4473" s="9" t="s">
        <v>7342</v>
      </c>
      <c r="D4473" s="9" t="s">
        <v>75</v>
      </c>
      <c r="E4473" s="6" t="s">
        <v>9296</v>
      </c>
      <c r="F4473" s="9"/>
    </row>
    <row r="4474" ht="33.75" customHeight="1">
      <c r="A4474" s="7">
        <v>148.0</v>
      </c>
      <c r="B4474" s="9" t="s">
        <v>9280</v>
      </c>
      <c r="C4474" s="9" t="s">
        <v>7342</v>
      </c>
      <c r="D4474" s="9" t="s">
        <v>79</v>
      </c>
      <c r="E4474" s="6" t="s">
        <v>9298</v>
      </c>
      <c r="F4474" s="9"/>
    </row>
    <row r="4475" ht="33.75" customHeight="1">
      <c r="A4475" s="7">
        <v>148.0</v>
      </c>
      <c r="B4475" s="9" t="s">
        <v>9280</v>
      </c>
      <c r="C4475" s="9" t="s">
        <v>7342</v>
      </c>
      <c r="D4475" s="9" t="s">
        <v>81</v>
      </c>
      <c r="E4475" s="6" t="s">
        <v>9301</v>
      </c>
      <c r="F4475" s="9"/>
    </row>
    <row r="4476" ht="33.75" customHeight="1">
      <c r="A4476" s="7">
        <v>148.0</v>
      </c>
      <c r="B4476" s="9" t="s">
        <v>9280</v>
      </c>
      <c r="C4476" s="9" t="s">
        <v>7342</v>
      </c>
      <c r="D4476" s="9" t="s">
        <v>84</v>
      </c>
      <c r="E4476" s="6" t="s">
        <v>9301</v>
      </c>
      <c r="F4476" s="9"/>
    </row>
    <row r="4477" ht="33.75" customHeight="1">
      <c r="A4477" s="7">
        <v>148.0</v>
      </c>
      <c r="B4477" s="9" t="s">
        <v>9280</v>
      </c>
      <c r="C4477" s="9" t="s">
        <v>7342</v>
      </c>
      <c r="D4477" s="9" t="s">
        <v>87</v>
      </c>
      <c r="E4477" s="6" t="s">
        <v>9301</v>
      </c>
      <c r="F4477" s="9"/>
    </row>
    <row r="4478" ht="33.75" customHeight="1">
      <c r="A4478" s="7">
        <v>148.0</v>
      </c>
      <c r="B4478" s="9" t="s">
        <v>9280</v>
      </c>
      <c r="C4478" s="9" t="s">
        <v>7342</v>
      </c>
      <c r="D4478" s="9" t="s">
        <v>89</v>
      </c>
      <c r="E4478" s="6" t="s">
        <v>9287</v>
      </c>
      <c r="F4478" s="9"/>
    </row>
    <row r="4479" ht="33.75" customHeight="1">
      <c r="A4479" s="7">
        <v>148.0</v>
      </c>
      <c r="B4479" s="9" t="s">
        <v>9280</v>
      </c>
      <c r="C4479" s="9" t="s">
        <v>7342</v>
      </c>
      <c r="D4479" s="9" t="s">
        <v>91</v>
      </c>
      <c r="E4479" s="6" t="s">
        <v>9307</v>
      </c>
      <c r="F4479" s="9"/>
    </row>
    <row r="4480" ht="33.75" customHeight="1">
      <c r="A4480" s="7">
        <v>148.0</v>
      </c>
      <c r="B4480" s="9" t="s">
        <v>9280</v>
      </c>
      <c r="C4480" s="9" t="s">
        <v>7342</v>
      </c>
      <c r="D4480" s="9" t="s">
        <v>93</v>
      </c>
      <c r="E4480" s="6" t="s">
        <v>9301</v>
      </c>
      <c r="F4480" s="9"/>
    </row>
    <row r="4481" ht="33.75" customHeight="1">
      <c r="A4481" s="7">
        <v>148.0</v>
      </c>
      <c r="B4481" s="9" t="s">
        <v>9280</v>
      </c>
      <c r="C4481" s="9" t="s">
        <v>7342</v>
      </c>
      <c r="D4481" s="9" t="s">
        <v>95</v>
      </c>
      <c r="E4481" s="6" t="s">
        <v>9301</v>
      </c>
      <c r="F4481" s="9"/>
    </row>
    <row r="4482" ht="33.75" customHeight="1">
      <c r="A4482" s="7">
        <v>148.0</v>
      </c>
      <c r="B4482" s="9" t="s">
        <v>9280</v>
      </c>
      <c r="C4482" s="9" t="s">
        <v>7342</v>
      </c>
      <c r="D4482" s="9" t="s">
        <v>98</v>
      </c>
      <c r="E4482" s="6" t="s">
        <v>9301</v>
      </c>
      <c r="F4482" s="9"/>
    </row>
    <row r="4483" ht="33.75" customHeight="1">
      <c r="A4483" s="7">
        <v>148.0</v>
      </c>
      <c r="B4483" s="9" t="s">
        <v>9280</v>
      </c>
      <c r="C4483" s="9" t="s">
        <v>7342</v>
      </c>
      <c r="D4483" s="9" t="s">
        <v>99</v>
      </c>
      <c r="E4483" s="6" t="s">
        <v>9301</v>
      </c>
      <c r="F4483" s="9"/>
    </row>
    <row r="4484" ht="33.75" customHeight="1">
      <c r="A4484" s="7">
        <v>148.0</v>
      </c>
      <c r="B4484" s="9" t="s">
        <v>9280</v>
      </c>
      <c r="C4484" s="9" t="s">
        <v>7342</v>
      </c>
      <c r="D4484" s="9" t="s">
        <v>101</v>
      </c>
      <c r="E4484" s="6" t="s">
        <v>9307</v>
      </c>
      <c r="F4484" s="9"/>
    </row>
    <row r="4485" ht="33.75" customHeight="1">
      <c r="A4485" s="7">
        <v>148.0</v>
      </c>
      <c r="B4485" s="9" t="s">
        <v>9280</v>
      </c>
      <c r="C4485" s="9" t="s">
        <v>7342</v>
      </c>
      <c r="D4485" s="9" t="s">
        <v>105</v>
      </c>
      <c r="E4485" s="6" t="s">
        <v>9316</v>
      </c>
      <c r="F4485" s="9"/>
    </row>
    <row r="4486" ht="33.75" customHeight="1">
      <c r="A4486" s="7">
        <v>148.0</v>
      </c>
      <c r="B4486" s="9" t="s">
        <v>9280</v>
      </c>
      <c r="C4486" s="9" t="s">
        <v>7342</v>
      </c>
      <c r="D4486" s="9" t="s">
        <v>107</v>
      </c>
      <c r="E4486" s="6" t="s">
        <v>9318</v>
      </c>
      <c r="F4486" s="9"/>
    </row>
    <row r="4487" ht="33.75" customHeight="1">
      <c r="A4487" s="7">
        <v>148.0</v>
      </c>
      <c r="B4487" s="9" t="s">
        <v>9280</v>
      </c>
      <c r="C4487" s="9" t="s">
        <v>7342</v>
      </c>
      <c r="D4487" s="9" t="s">
        <v>109</v>
      </c>
      <c r="E4487" s="6" t="s">
        <v>9318</v>
      </c>
      <c r="F4487" s="9"/>
    </row>
    <row r="4488" ht="33.75" customHeight="1">
      <c r="A4488" s="7">
        <v>148.0</v>
      </c>
      <c r="B4488" s="9" t="s">
        <v>9280</v>
      </c>
      <c r="C4488" s="9" t="s">
        <v>7342</v>
      </c>
      <c r="D4488" s="9" t="s">
        <v>637</v>
      </c>
      <c r="E4488" s="6" t="s">
        <v>9322</v>
      </c>
      <c r="F4488" s="9"/>
    </row>
    <row r="4489" ht="33.75" customHeight="1">
      <c r="A4489" s="7">
        <v>148.0</v>
      </c>
      <c r="B4489" s="9" t="s">
        <v>9280</v>
      </c>
      <c r="C4489" s="9" t="s">
        <v>7342</v>
      </c>
      <c r="D4489" s="9" t="s">
        <v>642</v>
      </c>
      <c r="E4489" s="6" t="s">
        <v>9324</v>
      </c>
      <c r="F4489" s="9"/>
    </row>
    <row r="4490" ht="33.75" customHeight="1">
      <c r="A4490" s="7">
        <v>148.0</v>
      </c>
      <c r="B4490" s="9" t="s">
        <v>9280</v>
      </c>
      <c r="C4490" s="9" t="s">
        <v>7342</v>
      </c>
      <c r="D4490" s="9" t="s">
        <v>647</v>
      </c>
      <c r="E4490" s="6" t="s">
        <v>9326</v>
      </c>
      <c r="F4490" s="9"/>
    </row>
    <row r="4491" ht="33.75" customHeight="1">
      <c r="A4491" s="7">
        <v>148.0</v>
      </c>
      <c r="B4491" s="9" t="s">
        <v>9280</v>
      </c>
      <c r="C4491" s="9" t="s">
        <v>7342</v>
      </c>
      <c r="D4491" s="9" t="s">
        <v>652</v>
      </c>
      <c r="E4491" s="6" t="s">
        <v>9328</v>
      </c>
      <c r="F4491" s="9"/>
    </row>
    <row r="4492" ht="33.75" customHeight="1">
      <c r="A4492" s="7">
        <v>148.0</v>
      </c>
      <c r="B4492" s="9" t="s">
        <v>9280</v>
      </c>
      <c r="C4492" s="9" t="s">
        <v>7342</v>
      </c>
      <c r="D4492" s="9" t="s">
        <v>111</v>
      </c>
      <c r="E4492" s="6" t="s">
        <v>9285</v>
      </c>
      <c r="F4492" s="9"/>
    </row>
    <row r="4493" ht="33.75" customHeight="1">
      <c r="A4493" s="7">
        <v>148.0</v>
      </c>
      <c r="B4493" s="9" t="s">
        <v>9280</v>
      </c>
      <c r="C4493" s="9" t="s">
        <v>7342</v>
      </c>
      <c r="D4493" s="9" t="s">
        <v>113</v>
      </c>
      <c r="E4493" s="6" t="s">
        <v>9285</v>
      </c>
      <c r="F4493" s="9"/>
    </row>
    <row r="4494" ht="33.75" customHeight="1">
      <c r="A4494" s="7">
        <v>148.0</v>
      </c>
      <c r="B4494" s="9" t="s">
        <v>9280</v>
      </c>
      <c r="C4494" s="9" t="s">
        <v>7342</v>
      </c>
      <c r="D4494" s="9" t="s">
        <v>114</v>
      </c>
      <c r="E4494" s="6" t="s">
        <v>9333</v>
      </c>
      <c r="F4494" s="9"/>
    </row>
    <row r="4495" ht="33.75" customHeight="1">
      <c r="A4495" s="7">
        <v>148.0</v>
      </c>
      <c r="B4495" s="9" t="s">
        <v>9280</v>
      </c>
      <c r="C4495" s="9" t="s">
        <v>7342</v>
      </c>
      <c r="D4495" s="9" t="s">
        <v>117</v>
      </c>
      <c r="E4495" s="6" t="s">
        <v>9336</v>
      </c>
      <c r="F4495" s="9"/>
    </row>
    <row r="4496" ht="33.75" customHeight="1">
      <c r="A4496" s="7">
        <v>149.0</v>
      </c>
      <c r="B4496" s="9" t="s">
        <v>9337</v>
      </c>
      <c r="C4496" s="9" t="s">
        <v>7342</v>
      </c>
      <c r="D4496" s="9" t="s">
        <v>24</v>
      </c>
      <c r="E4496" s="6" t="s">
        <v>9339</v>
      </c>
      <c r="F4496" t="inlineStr" s="10">
        <is>
          <t xml:space="preserve">Äärimmäisen harvoin nähty meri-POKéMON. Sen älykkyyden sanotaan vastaavan ihmisten älykkyyttä. Sanotaan, että tämä POKéMON asuu jossain meressä ja että se lentää. Se on kuitenkin vain huhu. Kerrotaan, että tämä Pokémon lentää jatkuvasti valtavien merien yllä ja pelastaa hukkuvia ihmisiä. Tämän merellisen POKé MONin vaikuttava rakenne antaa sen lentää vapaasti raivoavien merien yli ongelmitta. Sanotaan, että jossain meressä on saari, jossa nämä kerääntyvät. Vain ne elävät siellä. DRAGONITE pystyy kiertämään maapallon vain kuudessatoista tunnissa. Se on hyväsydäminen POKéMON, joka johdattaa myrskyssä eksyneet ja haaksirikkoutuneet laivat turvaan maihin. Se voi kiertää maapallon vain 16 tunnissa. Se pystyy lentämään suuresta ja kömpelöstä ruumiinrakenteestaan ​​huolimatta. Se kiertää maapallon vain 16 tunnissa. Vain hyvin harvat ihmiset näkevät tämän POKéMONin. Sen sanotaan asuvan jossain meressä. Se opastaa hylkyjen miehistöjä rantaan. Sanotaan, että tämä Pokémon lentää jatkuvasti valtavien merien yllä ja pelastaa hukkuvia ihmisiä. Tällä meri-Pokémonilla on vaikuttava rakenne, jonka ansiosta se voi lentää vapaasti raivoavien merien yli ongelmitta. Dragonite pystyy kiertämään maapallon vain 16 tunnissa. Tämä Pokémon pelasti haaksirikkoutuneen miehen ja vei hänet syrjäiselle saarelle – paratiisiin, jossa asuu yksinomaan Dragonite. Vedä tämän normaalisti rauhallisen Pokémonin viha niskaasi omalla vastuullasi, sillä se murskaa kaiken palasiksi ennen kuin on tyytyväinen. Se lentää raivoavien merien yllä kuin ne eivät olisi mitään. Tämän havaittuaan laivan kapteeni nimesi tämän Pokémonin "meri-inkarnaatioksi". Kuulet usein tarinoita tästä hyväsydämisestä Pokémonista, joka pelastaa ihmisiä tai hukkumassa olevia Pokémoneja. Nämä ovat kuitenkin vain huhuja. Se on hyväsydäminen Pokémon. Jos se havaitsee hukkuvan ihmisen tai Pokémonin, Dragoniten on yksinkertaisesti autettava heitä. Tämä Pokémon tunnetaan nimellä Sea Incarnate. Monien laivojen keulassa on Dragonitea muistuttavia keulakuvia.</t>
        </is>
      </c>
    </row>
    <row r="4497" ht="33.75" customHeight="1">
      <c r="A4497" s="7">
        <v>149.0</v>
      </c>
      <c r="B4497" s="9" t="s">
        <v>9337</v>
      </c>
      <c r="C4497" s="9" t="s">
        <v>7342</v>
      </c>
      <c r="D4497" s="9" t="s">
        <v>35</v>
      </c>
      <c r="E4497" s="6" t="s">
        <v>9339</v>
      </c>
      <c r="F4497" s="9"/>
    </row>
    <row r="4498" ht="33.75" customHeight="1">
      <c r="A4498" s="7">
        <v>149.0</v>
      </c>
      <c r="B4498" s="9" t="s">
        <v>9337</v>
      </c>
      <c r="C4498" s="9" t="s">
        <v>7342</v>
      </c>
      <c r="D4498" s="9" t="s">
        <v>42</v>
      </c>
      <c r="E4498" s="6" t="s">
        <v>9343</v>
      </c>
      <c r="F4498" s="9"/>
    </row>
    <row r="4499" ht="33.75" customHeight="1">
      <c r="A4499" s="7">
        <v>149.0</v>
      </c>
      <c r="B4499" s="9" t="s">
        <v>9337</v>
      </c>
      <c r="C4499" s="9" t="s">
        <v>7342</v>
      </c>
      <c r="D4499" s="9" t="s">
        <v>52</v>
      </c>
      <c r="E4499" s="6" t="s">
        <v>9346</v>
      </c>
      <c r="F4499" s="9"/>
    </row>
    <row r="4500" ht="33.75" customHeight="1">
      <c r="A4500" s="7">
        <v>149.0</v>
      </c>
      <c r="B4500" s="9" t="s">
        <v>9337</v>
      </c>
      <c r="C4500" s="9" t="s">
        <v>7342</v>
      </c>
      <c r="D4500" s="9" t="s">
        <v>59</v>
      </c>
      <c r="E4500" s="6" t="s">
        <v>9348</v>
      </c>
      <c r="F4500" s="9"/>
    </row>
    <row r="4501" ht="33.75" customHeight="1">
      <c r="A4501" s="7">
        <v>149.0</v>
      </c>
      <c r="B4501" s="9" t="s">
        <v>9337</v>
      </c>
      <c r="C4501" s="9" t="s">
        <v>7342</v>
      </c>
      <c r="D4501" s="9" t="s">
        <v>64</v>
      </c>
      <c r="E4501" s="6" t="s">
        <v>9351</v>
      </c>
      <c r="F4501" s="9"/>
    </row>
    <row r="4502" ht="33.75" customHeight="1">
      <c r="A4502" s="7">
        <v>149.0</v>
      </c>
      <c r="B4502" s="9" t="s">
        <v>9337</v>
      </c>
      <c r="C4502" s="9" t="s">
        <v>7342</v>
      </c>
      <c r="D4502" s="9" t="s">
        <v>67</v>
      </c>
      <c r="E4502" s="6" t="s">
        <v>9353</v>
      </c>
      <c r="F4502" s="9"/>
    </row>
    <row r="4503" ht="33.75" customHeight="1">
      <c r="A4503" s="7">
        <v>149.0</v>
      </c>
      <c r="B4503" s="9" t="s">
        <v>9337</v>
      </c>
      <c r="C4503" s="9" t="s">
        <v>7342</v>
      </c>
      <c r="D4503" s="9" t="s">
        <v>71</v>
      </c>
      <c r="E4503" s="6" t="s">
        <v>9353</v>
      </c>
      <c r="F4503" s="9"/>
    </row>
    <row r="4504" ht="33.75" customHeight="1">
      <c r="A4504" s="7">
        <v>149.0</v>
      </c>
      <c r="B4504" s="9" t="s">
        <v>9337</v>
      </c>
      <c r="C4504" s="9" t="s">
        <v>7342</v>
      </c>
      <c r="D4504" s="9" t="s">
        <v>73</v>
      </c>
      <c r="E4504" s="6" t="s">
        <v>9356</v>
      </c>
      <c r="F4504" s="9"/>
    </row>
    <row r="4505" ht="33.75" customHeight="1">
      <c r="A4505" s="7">
        <v>149.0</v>
      </c>
      <c r="B4505" s="9" t="s">
        <v>9337</v>
      </c>
      <c r="C4505" s="9" t="s">
        <v>7342</v>
      </c>
      <c r="D4505" s="9" t="s">
        <v>75</v>
      </c>
      <c r="E4505" s="6" t="s">
        <v>9359</v>
      </c>
      <c r="F4505" s="9"/>
    </row>
    <row r="4506" ht="33.75" customHeight="1">
      <c r="A4506" s="7">
        <v>149.0</v>
      </c>
      <c r="B4506" s="9" t="s">
        <v>9337</v>
      </c>
      <c r="C4506" s="9" t="s">
        <v>7342</v>
      </c>
      <c r="D4506" s="9" t="s">
        <v>79</v>
      </c>
      <c r="E4506" s="6" t="s">
        <v>9361</v>
      </c>
      <c r="F4506" s="9"/>
    </row>
    <row r="4507" ht="33.75" customHeight="1">
      <c r="A4507" s="7">
        <v>149.0</v>
      </c>
      <c r="B4507" s="9" t="s">
        <v>9337</v>
      </c>
      <c r="C4507" s="9" t="s">
        <v>7342</v>
      </c>
      <c r="D4507" s="9" t="s">
        <v>81</v>
      </c>
      <c r="E4507" s="6" t="s">
        <v>9363</v>
      </c>
      <c r="F4507" s="9"/>
    </row>
    <row r="4508" ht="33.75" customHeight="1">
      <c r="A4508" s="7">
        <v>149.0</v>
      </c>
      <c r="B4508" s="9" t="s">
        <v>9337</v>
      </c>
      <c r="C4508" s="9" t="s">
        <v>7342</v>
      </c>
      <c r="D4508" s="9" t="s">
        <v>84</v>
      </c>
      <c r="E4508" s="6" t="s">
        <v>9363</v>
      </c>
      <c r="F4508" s="9"/>
    </row>
    <row r="4509" ht="33.75" customHeight="1">
      <c r="A4509" s="7">
        <v>149.0</v>
      </c>
      <c r="B4509" s="9" t="s">
        <v>9337</v>
      </c>
      <c r="C4509" s="9" t="s">
        <v>7342</v>
      </c>
      <c r="D4509" s="9" t="s">
        <v>87</v>
      </c>
      <c r="E4509" s="6" t="s">
        <v>9363</v>
      </c>
      <c r="F4509" s="9"/>
    </row>
    <row r="4510" ht="33.75" customHeight="1">
      <c r="A4510" s="7">
        <v>149.0</v>
      </c>
      <c r="B4510" s="9" t="s">
        <v>9337</v>
      </c>
      <c r="C4510" s="9" t="s">
        <v>7342</v>
      </c>
      <c r="D4510" s="9" t="s">
        <v>89</v>
      </c>
      <c r="E4510" s="6" t="s">
        <v>9368</v>
      </c>
      <c r="F4510" s="9"/>
    </row>
    <row r="4511" ht="33.75" customHeight="1">
      <c r="A4511" s="7">
        <v>149.0</v>
      </c>
      <c r="B4511" s="9" t="s">
        <v>9337</v>
      </c>
      <c r="C4511" s="9" t="s">
        <v>7342</v>
      </c>
      <c r="D4511" s="9" t="s">
        <v>91</v>
      </c>
      <c r="E4511" s="6" t="s">
        <v>9370</v>
      </c>
      <c r="F4511" s="9"/>
    </row>
    <row r="4512" ht="33.75" customHeight="1">
      <c r="A4512" s="7">
        <v>149.0</v>
      </c>
      <c r="B4512" s="9" t="s">
        <v>9337</v>
      </c>
      <c r="C4512" s="9" t="s">
        <v>7342</v>
      </c>
      <c r="D4512" s="9" t="s">
        <v>93</v>
      </c>
      <c r="E4512" s="6" t="s">
        <v>9363</v>
      </c>
      <c r="F4512" s="9"/>
    </row>
    <row r="4513" ht="33.75" customHeight="1">
      <c r="A4513" s="7">
        <v>149.0</v>
      </c>
      <c r="B4513" s="9" t="s">
        <v>9337</v>
      </c>
      <c r="C4513" s="9" t="s">
        <v>7342</v>
      </c>
      <c r="D4513" s="9" t="s">
        <v>95</v>
      </c>
      <c r="E4513" s="6" t="s">
        <v>9363</v>
      </c>
      <c r="F4513" s="9"/>
    </row>
    <row r="4514" ht="33.75" customHeight="1">
      <c r="A4514" s="7">
        <v>149.0</v>
      </c>
      <c r="B4514" s="9" t="s">
        <v>9337</v>
      </c>
      <c r="C4514" s="9" t="s">
        <v>7342</v>
      </c>
      <c r="D4514" s="9" t="s">
        <v>98</v>
      </c>
      <c r="E4514" s="6" t="s">
        <v>9363</v>
      </c>
      <c r="F4514" s="9"/>
    </row>
    <row r="4515" ht="33.75" customHeight="1">
      <c r="A4515" s="7">
        <v>149.0</v>
      </c>
      <c r="B4515" s="9" t="s">
        <v>9337</v>
      </c>
      <c r="C4515" s="9" t="s">
        <v>7342</v>
      </c>
      <c r="D4515" s="9" t="s">
        <v>99</v>
      </c>
      <c r="E4515" s="6" t="s">
        <v>9363</v>
      </c>
      <c r="F4515" s="9"/>
    </row>
    <row r="4516" ht="33.75" customHeight="1">
      <c r="A4516" s="7">
        <v>149.0</v>
      </c>
      <c r="B4516" s="9" t="s">
        <v>9337</v>
      </c>
      <c r="C4516" s="9" t="s">
        <v>7342</v>
      </c>
      <c r="D4516" s="9" t="s">
        <v>101</v>
      </c>
      <c r="E4516" s="6" t="s">
        <v>9359</v>
      </c>
      <c r="F4516" s="9"/>
    </row>
    <row r="4517" ht="33.75" customHeight="1">
      <c r="A4517" s="7">
        <v>149.0</v>
      </c>
      <c r="B4517" s="9" t="s">
        <v>9337</v>
      </c>
      <c r="C4517" s="9" t="s">
        <v>7342</v>
      </c>
      <c r="D4517" s="9" t="s">
        <v>105</v>
      </c>
      <c r="E4517" s="6" t="s">
        <v>9363</v>
      </c>
      <c r="F4517" s="9"/>
    </row>
    <row r="4518" ht="33.75" customHeight="1">
      <c r="A4518" s="7">
        <v>149.0</v>
      </c>
      <c r="B4518" s="9" t="s">
        <v>9337</v>
      </c>
      <c r="C4518" s="9" t="s">
        <v>7342</v>
      </c>
      <c r="D4518" s="9" t="s">
        <v>107</v>
      </c>
      <c r="E4518" s="6" t="s">
        <v>9381</v>
      </c>
      <c r="F4518" s="9"/>
    </row>
    <row r="4519" ht="33.75" customHeight="1">
      <c r="A4519" s="7">
        <v>149.0</v>
      </c>
      <c r="B4519" s="9" t="s">
        <v>9337</v>
      </c>
      <c r="C4519" s="9" t="s">
        <v>7342</v>
      </c>
      <c r="D4519" s="9" t="s">
        <v>109</v>
      </c>
      <c r="E4519" s="6" t="s">
        <v>9381</v>
      </c>
      <c r="F4519" s="9"/>
    </row>
    <row r="4520" ht="33.75" customHeight="1">
      <c r="A4520" s="7">
        <v>149.0</v>
      </c>
      <c r="B4520" s="9" t="s">
        <v>9337</v>
      </c>
      <c r="C4520" s="9" t="s">
        <v>7342</v>
      </c>
      <c r="D4520" s="9" t="s">
        <v>637</v>
      </c>
      <c r="E4520" s="6" t="s">
        <v>9384</v>
      </c>
      <c r="F4520" s="9"/>
    </row>
    <row r="4521" ht="33.75" customHeight="1">
      <c r="A4521" s="7">
        <v>149.0</v>
      </c>
      <c r="B4521" s="9" t="s">
        <v>9337</v>
      </c>
      <c r="C4521" s="9" t="s">
        <v>7342</v>
      </c>
      <c r="D4521" s="9" t="s">
        <v>642</v>
      </c>
      <c r="E4521" s="6" t="s">
        <v>9386</v>
      </c>
      <c r="F4521" s="9"/>
    </row>
    <row r="4522" ht="33.75" customHeight="1">
      <c r="A4522" s="7">
        <v>149.0</v>
      </c>
      <c r="B4522" s="9" t="s">
        <v>9337</v>
      </c>
      <c r="C4522" s="9" t="s">
        <v>7342</v>
      </c>
      <c r="D4522" s="9" t="s">
        <v>647</v>
      </c>
      <c r="E4522" s="6" t="s">
        <v>9389</v>
      </c>
      <c r="F4522" s="9"/>
    </row>
    <row r="4523" ht="33.75" customHeight="1">
      <c r="A4523" s="7">
        <v>149.0</v>
      </c>
      <c r="B4523" s="9" t="s">
        <v>9337</v>
      </c>
      <c r="C4523" s="9" t="s">
        <v>7342</v>
      </c>
      <c r="D4523" s="9" t="s">
        <v>652</v>
      </c>
      <c r="E4523" s="6" t="s">
        <v>9391</v>
      </c>
      <c r="F4523" s="9"/>
    </row>
    <row r="4524" ht="33.75" customHeight="1">
      <c r="A4524" s="7">
        <v>149.0</v>
      </c>
      <c r="B4524" s="9" t="s">
        <v>9337</v>
      </c>
      <c r="C4524" s="9" t="s">
        <v>7342</v>
      </c>
      <c r="D4524" s="9" t="s">
        <v>111</v>
      </c>
      <c r="E4524" s="6" t="s">
        <v>9393</v>
      </c>
      <c r="F4524" s="9"/>
    </row>
    <row r="4525" ht="33.75" customHeight="1">
      <c r="A4525" s="7">
        <v>149.0</v>
      </c>
      <c r="B4525" s="9" t="s">
        <v>9337</v>
      </c>
      <c r="C4525" s="9" t="s">
        <v>7342</v>
      </c>
      <c r="D4525" s="9" t="s">
        <v>113</v>
      </c>
      <c r="E4525" s="6" t="s">
        <v>9393</v>
      </c>
      <c r="F4525" s="9"/>
    </row>
    <row r="4526" ht="33.75" customHeight="1">
      <c r="A4526" s="7">
        <v>149.0</v>
      </c>
      <c r="B4526" s="9" t="s">
        <v>9337</v>
      </c>
      <c r="C4526" s="9" t="s">
        <v>7342</v>
      </c>
      <c r="D4526" s="9" t="s">
        <v>114</v>
      </c>
      <c r="E4526" s="6" t="s">
        <v>9398</v>
      </c>
      <c r="F4526" s="9"/>
    </row>
    <row r="4527" ht="33.75" customHeight="1">
      <c r="A4527" s="7">
        <v>149.0</v>
      </c>
      <c r="B4527" s="9" t="s">
        <v>9337</v>
      </c>
      <c r="C4527" s="9" t="s">
        <v>7342</v>
      </c>
      <c r="D4527" s="9" t="s">
        <v>117</v>
      </c>
      <c r="E4527" s="6" t="s">
        <v>9400</v>
      </c>
      <c r="F4527" s="9"/>
    </row>
    <row r="4528" ht="33.75" customHeight="1">
      <c r="A4528" s="7">
        <v>150.0</v>
      </c>
      <c r="B4528" s="9" t="s">
        <v>9402</v>
      </c>
      <c r="C4528" s="9" t="s">
        <v>9403</v>
      </c>
      <c r="D4528" s="9" t="s">
        <v>24</v>
      </c>
      <c r="E4528" s="6" t="s">
        <v>9404</v>
      </c>
      <c r="F4528" t="inlineStr" s="10">
        <is>
          <t xml:space="preserve">Mewtwon loi tiedemies vuosien hirvittävien geenien silmukointi- ja DNA-muokkauskokeiden jälkeen. Sen DNA on lähes sama kuin MEW:n. Sen koko ja luonne ovat kuitenkin hyvin erilaiset. Koska sen taistelukyvyt on nostettu huipputasolle, se ajattelee vain vihollistensa voittamista. Se pysyy yleensä liikkumattomana säästääkseen energiaa, jotta se voi päästää koko voimansa valloilleen taistelussa. Tämän POKéMONin sanotaan lepäävän hiljaa tuntemattomassa luolassa, ja se luotiin yksinomaan taistelua varten. MEWTWO on geenimanipulaation avulla luotu POKéMON. Vaikka ihmisten tieteellinen voima loi tämän POKéMONin kehon, he eivät onnistuneet antamaan MEWTWOlle myötätuntoista sydäntä. Geenimanipulaatiolla luotu POKéMON. Vaikka ihmisten tieteellinen voima loi sille ruumiin, he eivät kuitenkaan onnistuneet antamaan sille lämmintä sydäntä. POKéMON, jonka geneettistä koodia yhdisteltiin toistuvasti tutkimusta varten. Siitä tuli sen seurauksena ilkeämielinen. MEW:n geenien rekombinaatiosta luotu Pokémon. Sen sanotaan omaavan villiinki sydämen Pokémoneista. Se pysyy yleensä liikkumattomana energian säästämiseksi, jotta se voi vapauttaa täyden voimansa taistelussa. Mew'n geenien rekombinaatiosta luotu Pokémon. Sen DNA on lähes sama kuin Mew'n.</t>
        </is>
      </c>
    </row>
    <row r="4529" ht="33.75" customHeight="1">
      <c r="A4529" s="7">
        <v>150.0</v>
      </c>
      <c r="B4529" s="9" t="s">
        <v>9402</v>
      </c>
      <c r="C4529" s="9" t="s">
        <v>9403</v>
      </c>
      <c r="D4529" s="9" t="s">
        <v>35</v>
      </c>
      <c r="E4529" s="6" t="s">
        <v>9404</v>
      </c>
      <c r="F4529" s="9"/>
    </row>
    <row r="4530" ht="33.75" customHeight="1">
      <c r="A4530" s="7">
        <v>150.0</v>
      </c>
      <c r="B4530" s="9" t="s">
        <v>9402</v>
      </c>
      <c r="C4530" s="9" t="s">
        <v>9403</v>
      </c>
      <c r="D4530" s="9" t="s">
        <v>42</v>
      </c>
      <c r="E4530" s="6" t="s">
        <v>9408</v>
      </c>
      <c r="F4530" s="9"/>
    </row>
    <row r="4531" ht="33.75" customHeight="1">
      <c r="A4531" s="7">
        <v>150.0</v>
      </c>
      <c r="B4531" s="9" t="s">
        <v>9402</v>
      </c>
      <c r="C4531" s="9" t="s">
        <v>9403</v>
      </c>
      <c r="D4531" s="9" t="s">
        <v>52</v>
      </c>
      <c r="E4531" s="6" t="s">
        <v>9410</v>
      </c>
      <c r="F4531" s="9"/>
    </row>
    <row r="4532" ht="33.75" customHeight="1">
      <c r="A4532" s="7">
        <v>150.0</v>
      </c>
      <c r="B4532" s="9" t="s">
        <v>9402</v>
      </c>
      <c r="C4532" s="9" t="s">
        <v>9403</v>
      </c>
      <c r="D4532" s="9" t="s">
        <v>59</v>
      </c>
      <c r="E4532" s="6" t="s">
        <v>9412</v>
      </c>
      <c r="F4532" s="9"/>
    </row>
    <row r="4533" ht="33.75" customHeight="1">
      <c r="A4533" s="7">
        <v>150.0</v>
      </c>
      <c r="B4533" s="9" t="s">
        <v>9402</v>
      </c>
      <c r="C4533" s="9" t="s">
        <v>9403</v>
      </c>
      <c r="D4533" s="9" t="s">
        <v>64</v>
      </c>
      <c r="E4533" s="6" t="s">
        <v>9415</v>
      </c>
      <c r="F4533" s="9"/>
    </row>
    <row r="4534" ht="33.75" customHeight="1">
      <c r="A4534" s="7">
        <v>150.0</v>
      </c>
      <c r="B4534" s="9" t="s">
        <v>9402</v>
      </c>
      <c r="C4534" s="9" t="s">
        <v>9403</v>
      </c>
      <c r="D4534" s="9" t="s">
        <v>67</v>
      </c>
      <c r="E4534" s="6" t="s">
        <v>9417</v>
      </c>
      <c r="F4534" s="9"/>
    </row>
    <row r="4535" ht="33.75" customHeight="1">
      <c r="A4535" s="7">
        <v>150.0</v>
      </c>
      <c r="B4535" s="9" t="s">
        <v>9402</v>
      </c>
      <c r="C4535" s="9" t="s">
        <v>9403</v>
      </c>
      <c r="D4535" s="9" t="s">
        <v>71</v>
      </c>
      <c r="E4535" s="6" t="s">
        <v>9417</v>
      </c>
      <c r="F4535" s="9"/>
    </row>
    <row r="4536" ht="33.75" customHeight="1">
      <c r="A4536" s="7">
        <v>150.0</v>
      </c>
      <c r="B4536" s="9" t="s">
        <v>9402</v>
      </c>
      <c r="C4536" s="9" t="s">
        <v>9403</v>
      </c>
      <c r="D4536" s="9" t="s">
        <v>73</v>
      </c>
      <c r="E4536" s="6" t="s">
        <v>9421</v>
      </c>
      <c r="F4536" s="9"/>
    </row>
    <row r="4537" ht="33.75" customHeight="1">
      <c r="A4537" s="7">
        <v>150.0</v>
      </c>
      <c r="B4537" s="9" t="s">
        <v>9402</v>
      </c>
      <c r="C4537" s="9" t="s">
        <v>9403</v>
      </c>
      <c r="D4537" s="9" t="s">
        <v>75</v>
      </c>
      <c r="E4537" s="6" t="s">
        <v>9423</v>
      </c>
      <c r="F4537" s="9"/>
    </row>
    <row r="4538" ht="33.75" customHeight="1">
      <c r="A4538" s="7">
        <v>150.0</v>
      </c>
      <c r="B4538" s="9" t="s">
        <v>9402</v>
      </c>
      <c r="C4538" s="9" t="s">
        <v>9403</v>
      </c>
      <c r="D4538" s="9" t="s">
        <v>79</v>
      </c>
      <c r="E4538" s="6" t="s">
        <v>9404</v>
      </c>
      <c r="F4538" s="9"/>
    </row>
    <row r="4539" ht="33.75" customHeight="1">
      <c r="A4539" s="7">
        <v>150.0</v>
      </c>
      <c r="B4539" s="9" t="s">
        <v>9402</v>
      </c>
      <c r="C4539" s="9" t="s">
        <v>9403</v>
      </c>
      <c r="D4539" s="9" t="s">
        <v>81</v>
      </c>
      <c r="E4539" s="6" t="s">
        <v>9427</v>
      </c>
      <c r="F4539" s="9"/>
    </row>
    <row r="4540" ht="33.75" customHeight="1">
      <c r="A4540" s="7">
        <v>150.0</v>
      </c>
      <c r="B4540" s="9" t="s">
        <v>9402</v>
      </c>
      <c r="C4540" s="9" t="s">
        <v>9403</v>
      </c>
      <c r="D4540" s="9" t="s">
        <v>84</v>
      </c>
      <c r="E4540" s="6" t="s">
        <v>9427</v>
      </c>
      <c r="F4540" s="9"/>
    </row>
    <row r="4541" ht="33.75" customHeight="1">
      <c r="A4541" s="7">
        <v>150.0</v>
      </c>
      <c r="B4541" s="9" t="s">
        <v>9402</v>
      </c>
      <c r="C4541" s="9" t="s">
        <v>9403</v>
      </c>
      <c r="D4541" s="9" t="s">
        <v>87</v>
      </c>
      <c r="E4541" s="6" t="s">
        <v>9427</v>
      </c>
      <c r="F4541" s="9"/>
    </row>
    <row r="4542" ht="33.75" customHeight="1">
      <c r="A4542" s="7">
        <v>150.0</v>
      </c>
      <c r="B4542" s="9" t="s">
        <v>9402</v>
      </c>
      <c r="C4542" s="9" t="s">
        <v>9403</v>
      </c>
      <c r="D4542" s="9" t="s">
        <v>89</v>
      </c>
      <c r="E4542" s="6" t="s">
        <v>9410</v>
      </c>
      <c r="F4542" s="9"/>
    </row>
    <row r="4543" ht="33.75" customHeight="1">
      <c r="A4543" s="7">
        <v>150.0</v>
      </c>
      <c r="B4543" s="9" t="s">
        <v>9402</v>
      </c>
      <c r="C4543" s="9" t="s">
        <v>9403</v>
      </c>
      <c r="D4543" s="9" t="s">
        <v>91</v>
      </c>
      <c r="E4543" s="6" t="s">
        <v>9433</v>
      </c>
      <c r="F4543" s="9"/>
    </row>
    <row r="4544" ht="33.75" customHeight="1">
      <c r="A4544" s="7">
        <v>150.0</v>
      </c>
      <c r="B4544" s="9" t="s">
        <v>9402</v>
      </c>
      <c r="C4544" s="9" t="s">
        <v>9403</v>
      </c>
      <c r="D4544" s="9" t="s">
        <v>93</v>
      </c>
      <c r="E4544" s="6" t="s">
        <v>9435</v>
      </c>
      <c r="F4544" s="9"/>
    </row>
    <row r="4545" ht="33.75" customHeight="1">
      <c r="A4545" s="7">
        <v>150.0</v>
      </c>
      <c r="B4545" s="9" t="s">
        <v>9402</v>
      </c>
      <c r="C4545" s="9" t="s">
        <v>9403</v>
      </c>
      <c r="D4545" s="9" t="s">
        <v>95</v>
      </c>
      <c r="E4545" s="6" t="s">
        <v>9435</v>
      </c>
      <c r="F4545" s="9"/>
    </row>
    <row r="4546" ht="33.75" customHeight="1">
      <c r="A4546" s="7">
        <v>150.0</v>
      </c>
      <c r="B4546" s="9" t="s">
        <v>9402</v>
      </c>
      <c r="C4546" s="9" t="s">
        <v>9403</v>
      </c>
      <c r="D4546" s="9" t="s">
        <v>98</v>
      </c>
      <c r="E4546" s="6" t="s">
        <v>9435</v>
      </c>
      <c r="F4546" s="9"/>
    </row>
    <row r="4547" ht="33.75" customHeight="1">
      <c r="A4547" s="7">
        <v>150.0</v>
      </c>
      <c r="B4547" s="9" t="s">
        <v>9402</v>
      </c>
      <c r="C4547" s="9" t="s">
        <v>9403</v>
      </c>
      <c r="D4547" s="9" t="s">
        <v>99</v>
      </c>
      <c r="E4547" s="6" t="s">
        <v>9435</v>
      </c>
      <c r="F4547" s="9"/>
    </row>
    <row r="4548" ht="33.75" customHeight="1">
      <c r="A4548" s="7">
        <v>150.0</v>
      </c>
      <c r="B4548" s="9" t="s">
        <v>9402</v>
      </c>
      <c r="C4548" s="9" t="s">
        <v>9403</v>
      </c>
      <c r="D4548" s="9" t="s">
        <v>101</v>
      </c>
      <c r="E4548" s="6" t="s">
        <v>9404</v>
      </c>
      <c r="F4548" s="9"/>
    </row>
    <row r="4549" ht="33.75" customHeight="1">
      <c r="A4549" s="7">
        <v>150.0</v>
      </c>
      <c r="B4549" s="9" t="s">
        <v>9402</v>
      </c>
      <c r="C4549" s="9" t="s">
        <v>9403</v>
      </c>
      <c r="D4549" s="9" t="s">
        <v>105</v>
      </c>
      <c r="E4549" s="6" t="s">
        <v>9435</v>
      </c>
      <c r="F4549" s="9"/>
    </row>
    <row r="4550" ht="33.75" customHeight="1">
      <c r="A4550" s="7">
        <v>150.0</v>
      </c>
      <c r="B4550" s="9" t="s">
        <v>9402</v>
      </c>
      <c r="C4550" s="9" t="s">
        <v>9403</v>
      </c>
      <c r="D4550" s="9" t="s">
        <v>107</v>
      </c>
      <c r="E4550" s="6" t="s">
        <v>9444</v>
      </c>
      <c r="F4550" s="9"/>
    </row>
    <row r="4551" ht="33.75" customHeight="1">
      <c r="A4551" s="7">
        <v>150.0</v>
      </c>
      <c r="B4551" s="9" t="s">
        <v>9402</v>
      </c>
      <c r="C4551" s="9" t="s">
        <v>9403</v>
      </c>
      <c r="D4551" s="9" t="s">
        <v>109</v>
      </c>
      <c r="E4551" s="6" t="s">
        <v>9444</v>
      </c>
      <c r="F4551" s="9"/>
    </row>
    <row r="4552" ht="33.75" customHeight="1">
      <c r="A4552" s="7">
        <v>150.0</v>
      </c>
      <c r="B4552" s="9" t="s">
        <v>9402</v>
      </c>
      <c r="C4552" s="9" t="s">
        <v>9403</v>
      </c>
      <c r="D4552" s="9" t="s">
        <v>111</v>
      </c>
      <c r="E4552" s="6" t="s">
        <v>9447</v>
      </c>
      <c r="F4552" s="9"/>
    </row>
    <row r="4553" ht="33.75" customHeight="1">
      <c r="A4553" s="7">
        <v>150.0</v>
      </c>
      <c r="B4553" s="9" t="s">
        <v>9402</v>
      </c>
      <c r="C4553" s="9" t="s">
        <v>9403</v>
      </c>
      <c r="D4553" s="9" t="s">
        <v>113</v>
      </c>
      <c r="E4553" s="6" t="s">
        <v>9447</v>
      </c>
      <c r="F4553" s="9"/>
    </row>
    <row r="4554" ht="33.75" customHeight="1">
      <c r="A4554" s="7">
        <v>151.0</v>
      </c>
      <c r="B4554" s="9" t="s">
        <v>9450</v>
      </c>
      <c r="C4554" s="9" t="s">
        <v>9452</v>
      </c>
      <c r="D4554" s="9" t="s">
        <v>24</v>
      </c>
      <c r="E4554" s="6" t="s">
        <v>9453</v>
      </c>
      <c r="F4554" t="inlineStr" s="10">
        <is>
          <t xml:space="preserve">Niin harvinainen, että monet asiantuntijat pitävät sitä edelleen kangastuksena. Vain harvat ihmiset ovat nähneet sen maailmanlaajuisesti. Mikroskoopin läpi katsottuna tämän POKéMONin lyhyet, hienot ja hentoiset hiukset näkyvät. Ilmeisesti se näkyy vain niille ihmisille, jotka ovat puhdassydämisiä ja joilla on voimakas halu nähdä se. Sen DNA:n sanotaan sisältävän kaikkien POKéMONien geneettiset koodit, joten se voi käyttää kaikenlaisia ​​tekniikoita. Koska se voi oppia minkä tahansa liikkeen, jotkut alkoivat tutkia, onko se kaikkien POKéMONien esi-isä. MEWin sanotaan omaavan kaikkien POKéMONien geneettisen koostumuksen. Se pystyy tekemään itsestään näkymättömän milloin tahansa, joten se välttyy täysin huomiotta, vaikka se lähestyisi ihmisiä. MEWin sanotaan omaavan kaikkien POKéMONien geenit. Etelä-Amerikasta kotoisin oleva POKéMON, jonka luultiin kuolleen sukupuuttoon. Se on erittäin älykäs ja oppii kaikki liikkeet. Koska MEW voi käyttää kaikenlaisia ​​liikkeitä, monet tiedemiehet uskovat sen olevan Pokémonien esi-isä. Koska Mew pystyy käyttämään kaikenlaisia ​​liikkeitä, monet tiedemiehet uskovat sen olevan Pokémonien esi-isä. Mew'n sanotaan omaavan kaikkien Pokémonien geneettisen koostumuksen. Se pystyy tekemään itsestään näkymättömän milloin tahansa, joten se välttyy kokonaan huomiotta, vaikka se lähestyisi ihmisiä. Mikroskoopilla katsottuna tämän Pokémonin lyhyet, hienot ja herkät hiukset näkyvät.</t>
        </is>
      </c>
    </row>
    <row r="4555" ht="33.75" customHeight="1">
      <c r="A4555" s="7">
        <v>151.0</v>
      </c>
      <c r="B4555" s="9" t="s">
        <v>9450</v>
      </c>
      <c r="C4555" s="9" t="s">
        <v>9452</v>
      </c>
      <c r="D4555" s="9" t="s">
        <v>35</v>
      </c>
      <c r="E4555" s="6" t="s">
        <v>9453</v>
      </c>
      <c r="F4555" s="9"/>
    </row>
    <row r="4556" ht="33.75" customHeight="1">
      <c r="A4556" s="7">
        <v>151.0</v>
      </c>
      <c r="B4556" s="9" t="s">
        <v>9450</v>
      </c>
      <c r="C4556" s="9" t="s">
        <v>9452</v>
      </c>
      <c r="D4556" s="9" t="s">
        <v>42</v>
      </c>
      <c r="E4556" s="6" t="s">
        <v>9457</v>
      </c>
      <c r="F4556" s="9"/>
    </row>
    <row r="4557" ht="33.75" customHeight="1">
      <c r="A4557" s="7">
        <v>151.0</v>
      </c>
      <c r="B4557" s="9" t="s">
        <v>9450</v>
      </c>
      <c r="C4557" s="9" t="s">
        <v>9452</v>
      </c>
      <c r="D4557" s="9" t="s">
        <v>52</v>
      </c>
      <c r="E4557" s="6" t="s">
        <v>9459</v>
      </c>
      <c r="F4557" s="9"/>
    </row>
    <row r="4558" ht="33.75" customHeight="1">
      <c r="A4558" s="7">
        <v>151.0</v>
      </c>
      <c r="B4558" s="9" t="s">
        <v>9450</v>
      </c>
      <c r="C4558" s="9" t="s">
        <v>9452</v>
      </c>
      <c r="D4558" s="9" t="s">
        <v>59</v>
      </c>
      <c r="E4558" s="6" t="s">
        <v>9462</v>
      </c>
      <c r="F4558" s="9"/>
    </row>
    <row r="4559" ht="33.75" customHeight="1">
      <c r="A4559" s="7">
        <v>151.0</v>
      </c>
      <c r="B4559" s="9" t="s">
        <v>9450</v>
      </c>
      <c r="C4559" s="9" t="s">
        <v>9452</v>
      </c>
      <c r="D4559" s="9" t="s">
        <v>64</v>
      </c>
      <c r="E4559" s="6" t="s">
        <v>9464</v>
      </c>
      <c r="F4559" s="9"/>
    </row>
    <row r="4560" ht="33.75" customHeight="1">
      <c r="A4560" s="7">
        <v>151.0</v>
      </c>
      <c r="B4560" s="9" t="s">
        <v>9450</v>
      </c>
      <c r="C4560" s="9" t="s">
        <v>9452</v>
      </c>
      <c r="D4560" s="9" t="s">
        <v>67</v>
      </c>
      <c r="E4560" s="6" t="s">
        <v>9468</v>
      </c>
      <c r="F4560" s="9"/>
    </row>
    <row r="4561" ht="33.75" customHeight="1">
      <c r="A4561" s="7">
        <v>151.0</v>
      </c>
      <c r="B4561" s="9" t="s">
        <v>9450</v>
      </c>
      <c r="C4561" s="9" t="s">
        <v>9452</v>
      </c>
      <c r="D4561" s="9" t="s">
        <v>71</v>
      </c>
      <c r="E4561" s="6" t="s">
        <v>9468</v>
      </c>
      <c r="F4561" s="9"/>
    </row>
    <row r="4562" ht="33.75" customHeight="1">
      <c r="A4562" s="7">
        <v>151.0</v>
      </c>
      <c r="B4562" s="9" t="s">
        <v>9450</v>
      </c>
      <c r="C4562" s="9" t="s">
        <v>9452</v>
      </c>
      <c r="D4562" s="9" t="s">
        <v>73</v>
      </c>
      <c r="E4562" s="6" t="s">
        <v>9471</v>
      </c>
      <c r="F4562" s="9"/>
    </row>
    <row r="4563" ht="33.75" customHeight="1">
      <c r="A4563" s="7">
        <v>151.0</v>
      </c>
      <c r="B4563" s="9" t="s">
        <v>9450</v>
      </c>
      <c r="C4563" s="9" t="s">
        <v>9452</v>
      </c>
      <c r="D4563" s="9" t="s">
        <v>75</v>
      </c>
      <c r="E4563" s="6" t="s">
        <v>9474</v>
      </c>
      <c r="F4563" s="9"/>
    </row>
    <row r="4564" ht="33.75" customHeight="1">
      <c r="A4564" s="7">
        <v>151.0</v>
      </c>
      <c r="B4564" s="9" t="s">
        <v>9450</v>
      </c>
      <c r="C4564" s="9" t="s">
        <v>9452</v>
      </c>
      <c r="D4564" s="9" t="s">
        <v>79</v>
      </c>
      <c r="E4564" s="6" t="s">
        <v>9453</v>
      </c>
      <c r="F4564" s="9"/>
    </row>
    <row r="4565" ht="33.75" customHeight="1">
      <c r="A4565" s="7">
        <v>151.0</v>
      </c>
      <c r="B4565" s="9" t="s">
        <v>9450</v>
      </c>
      <c r="C4565" s="9" t="s">
        <v>9452</v>
      </c>
      <c r="D4565" s="9" t="s">
        <v>81</v>
      </c>
      <c r="E4565" s="6" t="s">
        <v>9478</v>
      </c>
      <c r="F4565" s="9"/>
    </row>
    <row r="4566" ht="33.75" customHeight="1">
      <c r="A4566" s="7">
        <v>151.0</v>
      </c>
      <c r="B4566" s="9" t="s">
        <v>9450</v>
      </c>
      <c r="C4566" s="9" t="s">
        <v>9452</v>
      </c>
      <c r="D4566" s="9" t="s">
        <v>84</v>
      </c>
      <c r="E4566" s="6" t="s">
        <v>9478</v>
      </c>
      <c r="F4566" s="9"/>
    </row>
    <row r="4567" ht="33.75" customHeight="1">
      <c r="A4567" s="7">
        <v>151.0</v>
      </c>
      <c r="B4567" s="9" t="s">
        <v>9450</v>
      </c>
      <c r="C4567" s="9" t="s">
        <v>9452</v>
      </c>
      <c r="D4567" s="9" t="s">
        <v>87</v>
      </c>
      <c r="E4567" s="6" t="s">
        <v>9478</v>
      </c>
      <c r="F4567" s="9"/>
    </row>
    <row r="4568" ht="33.75" customHeight="1">
      <c r="A4568" s="7">
        <v>151.0</v>
      </c>
      <c r="B4568" s="9" t="s">
        <v>9450</v>
      </c>
      <c r="C4568" s="9" t="s">
        <v>9452</v>
      </c>
      <c r="D4568" s="9" t="s">
        <v>89</v>
      </c>
      <c r="E4568" s="6" t="s">
        <v>9459</v>
      </c>
      <c r="F4568" s="9"/>
    </row>
    <row r="4569" ht="33.75" customHeight="1">
      <c r="A4569" s="7">
        <v>151.0</v>
      </c>
      <c r="B4569" s="9" t="s">
        <v>9450</v>
      </c>
      <c r="C4569" s="9" t="s">
        <v>9452</v>
      </c>
      <c r="D4569" s="9" t="s">
        <v>91</v>
      </c>
      <c r="E4569" s="6" t="s">
        <v>9484</v>
      </c>
      <c r="F4569" s="9"/>
    </row>
    <row r="4570" ht="33.75" customHeight="1">
      <c r="A4570" s="7">
        <v>151.0</v>
      </c>
      <c r="B4570" s="9" t="s">
        <v>9450</v>
      </c>
      <c r="C4570" s="9" t="s">
        <v>9452</v>
      </c>
      <c r="D4570" s="9" t="s">
        <v>93</v>
      </c>
      <c r="E4570" s="6" t="s">
        <v>9486</v>
      </c>
      <c r="F4570" s="9"/>
    </row>
    <row r="4571" ht="33.75" customHeight="1">
      <c r="A4571" s="7">
        <v>151.0</v>
      </c>
      <c r="B4571" s="9" t="s">
        <v>9450</v>
      </c>
      <c r="C4571" s="9" t="s">
        <v>9452</v>
      </c>
      <c r="D4571" s="9" t="s">
        <v>95</v>
      </c>
      <c r="E4571" s="6" t="s">
        <v>9486</v>
      </c>
      <c r="F4571" s="9"/>
    </row>
    <row r="4572" ht="33.75" customHeight="1">
      <c r="A4572" s="7">
        <v>151.0</v>
      </c>
      <c r="B4572" s="9" t="s">
        <v>9450</v>
      </c>
      <c r="C4572" s="9" t="s">
        <v>9452</v>
      </c>
      <c r="D4572" s="9" t="s">
        <v>98</v>
      </c>
      <c r="E4572" s="6" t="s">
        <v>9486</v>
      </c>
      <c r="F4572" s="9"/>
    </row>
    <row r="4573" ht="33.75" customHeight="1">
      <c r="A4573" s="7">
        <v>151.0</v>
      </c>
      <c r="B4573" s="9" t="s">
        <v>9450</v>
      </c>
      <c r="C4573" s="9" t="s">
        <v>9452</v>
      </c>
      <c r="D4573" s="9" t="s">
        <v>99</v>
      </c>
      <c r="E4573" s="6" t="s">
        <v>9486</v>
      </c>
      <c r="F4573" s="9"/>
    </row>
    <row r="4574" ht="33.75" customHeight="1">
      <c r="A4574" s="7">
        <v>151.0</v>
      </c>
      <c r="B4574" s="9" t="s">
        <v>9450</v>
      </c>
      <c r="C4574" s="9" t="s">
        <v>9452</v>
      </c>
      <c r="D4574" s="9" t="s">
        <v>101</v>
      </c>
      <c r="E4574" s="6" t="s">
        <v>9486</v>
      </c>
      <c r="F4574" s="9"/>
    </row>
    <row r="4575" ht="33.75" customHeight="1">
      <c r="A4575" s="7">
        <v>151.0</v>
      </c>
      <c r="B4575" s="9" t="s">
        <v>9450</v>
      </c>
      <c r="C4575" s="9" t="s">
        <v>9452</v>
      </c>
      <c r="D4575" s="9" t="s">
        <v>105</v>
      </c>
      <c r="E4575" s="6" t="s">
        <v>9484</v>
      </c>
      <c r="F4575" s="9"/>
    </row>
    <row r="4576" ht="33.75" customHeight="1">
      <c r="A4576" s="7">
        <v>151.0</v>
      </c>
      <c r="B4576" s="9" t="s">
        <v>9450</v>
      </c>
      <c r="C4576" s="9" t="s">
        <v>9452</v>
      </c>
      <c r="D4576" s="9" t="s">
        <v>107</v>
      </c>
      <c r="E4576" s="6" t="s">
        <v>9495</v>
      </c>
      <c r="F4576" s="9"/>
    </row>
    <row r="4577" ht="33.75" customHeight="1">
      <c r="A4577" s="7">
        <v>151.0</v>
      </c>
      <c r="B4577" s="9" t="s">
        <v>9450</v>
      </c>
      <c r="C4577" s="9" t="s">
        <v>9452</v>
      </c>
      <c r="D4577" s="9" t="s">
        <v>109</v>
      </c>
      <c r="E4577" s="6" t="s">
        <v>9495</v>
      </c>
      <c r="F4577" s="9"/>
    </row>
    <row r="4578" ht="33.75" customHeight="1">
      <c r="A4578" s="7">
        <v>151.0</v>
      </c>
      <c r="B4578" s="9" t="s">
        <v>9450</v>
      </c>
      <c r="C4578" s="9" t="s">
        <v>9452</v>
      </c>
      <c r="D4578" s="9" t="s">
        <v>111</v>
      </c>
      <c r="E4578" s="6" t="s">
        <v>9499</v>
      </c>
      <c r="F4578" s="9"/>
    </row>
    <row r="4579" ht="33.75" customHeight="1">
      <c r="A4579" s="7">
        <v>151.0</v>
      </c>
      <c r="B4579" s="9" t="s">
        <v>9450</v>
      </c>
      <c r="C4579" s="9" t="s">
        <v>9452</v>
      </c>
      <c r="D4579" s="9" t="s">
        <v>113</v>
      </c>
      <c r="E4579" s="6" t="s">
        <v>9499</v>
      </c>
      <c r="F4579" s="9"/>
    </row>
    <row r="4580" ht="33.75" customHeight="1">
      <c r="A4580" s="7">
        <v>152.0</v>
      </c>
      <c r="B4580" s="9" t="s">
        <v>9502</v>
      </c>
      <c r="C4580" s="9" t="s">
        <v>9504</v>
      </c>
      <c r="D4580" s="9" t="s">
        <v>52</v>
      </c>
      <c r="E4580" s="6" t="s">
        <v>9505</v>
      </c>
      <c r="F4580" t="inlineStr" s="10">
        <is>
          <t xml:space="preserve">Chikoritan päässä olevasta lehdestä leijuu lempeästi makea tuoksu. Se on säyseä ja rakastaa nauttia auringonsäteistä. Sen miellyttävän aromaattiset lehdet pystyvät säätelemään kosteutta ja lämpötilaa. Se rakastaa paistatella auringonvalossa. Se käyttää päänsä lehteä etsiäkseen lämpimiä paikkoja. Taistelussa CHIKORITA heiluttaa lehteään pitääkseen vihollisen loitolla. Lehdestä leijuu kuitenkin myös makea tuoksu, joka rauhoittaa taistelevat POKéMONit ja luo ympärille viihtyisän ja ystävällisen ilmapiirin. Se heiluttaa lehteään pitääkseen viholliset loitolla. Lehdestä leijuu kuitenkin myös makea tuoksu, joka luo ystävällisen ilmapiirin, joka rauhoittaa taistelijat. Se on säyseä ja rakastaa auringonsäteitä. Se käyttää päänsä lehteä lämpötilan ja kosteuden määrittämiseen. Se rakastaa auringonottoa. Sen miellyttävän aromaattinen lehti pystyy tarkistamaan kosteuden ja lämpötilan. Lehdestä leijuu kuitenkin myös makea tuoksu, joka rauhoittaa taistelevan Pokémonin ja luo ympärille viihtyisän ja ystävällisen ilmapiirin.</t>
        </is>
      </c>
    </row>
    <row r="4581" ht="33.75" customHeight="1">
      <c r="A4581" s="7">
        <v>152.0</v>
      </c>
      <c r="B4581" s="9" t="s">
        <v>9502</v>
      </c>
      <c r="C4581" s="9" t="s">
        <v>9504</v>
      </c>
      <c r="D4581" s="9" t="s">
        <v>59</v>
      </c>
      <c r="E4581" s="6" t="s">
        <v>9507</v>
      </c>
      <c r="F4581" s="9"/>
    </row>
    <row r="4582" ht="33.75" customHeight="1">
      <c r="A4582" s="7">
        <v>152.0</v>
      </c>
      <c r="B4582" s="9" t="s">
        <v>9502</v>
      </c>
      <c r="C4582" s="9" t="s">
        <v>9504</v>
      </c>
      <c r="D4582" s="9" t="s">
        <v>64</v>
      </c>
      <c r="E4582" s="6" t="s">
        <v>9510</v>
      </c>
      <c r="F4582" s="9"/>
    </row>
    <row r="4583" ht="33.75" customHeight="1">
      <c r="A4583" s="7">
        <v>152.0</v>
      </c>
      <c r="B4583" s="9" t="s">
        <v>9502</v>
      </c>
      <c r="C4583" s="9" t="s">
        <v>9504</v>
      </c>
      <c r="D4583" s="9" t="s">
        <v>67</v>
      </c>
      <c r="E4583" s="6" t="s">
        <v>9513</v>
      </c>
      <c r="F4583" s="9"/>
    </row>
    <row r="4584" ht="33.75" customHeight="1">
      <c r="A4584" s="7">
        <v>152.0</v>
      </c>
      <c r="B4584" s="9" t="s">
        <v>9502</v>
      </c>
      <c r="C4584" s="9" t="s">
        <v>9504</v>
      </c>
      <c r="D4584" s="9" t="s">
        <v>71</v>
      </c>
      <c r="E4584" s="6" t="s">
        <v>9513</v>
      </c>
      <c r="F4584" s="9"/>
    </row>
    <row r="4585" ht="33.75" customHeight="1">
      <c r="A4585" s="7">
        <v>152.0</v>
      </c>
      <c r="B4585" s="9" t="s">
        <v>9502</v>
      </c>
      <c r="C4585" s="9" t="s">
        <v>9504</v>
      </c>
      <c r="D4585" s="9" t="s">
        <v>73</v>
      </c>
      <c r="E4585" s="6" t="s">
        <v>9517</v>
      </c>
      <c r="F4585" s="9"/>
    </row>
    <row r="4586" ht="33.75" customHeight="1">
      <c r="A4586" s="7">
        <v>152.0</v>
      </c>
      <c r="B4586" s="9" t="s">
        <v>9502</v>
      </c>
      <c r="C4586" s="9" t="s">
        <v>9504</v>
      </c>
      <c r="D4586" s="9" t="s">
        <v>75</v>
      </c>
      <c r="E4586" s="6" t="s">
        <v>9507</v>
      </c>
      <c r="F4586" s="9"/>
    </row>
    <row r="4587" ht="33.75" customHeight="1">
      <c r="A4587" s="7">
        <v>152.0</v>
      </c>
      <c r="B4587" s="9" t="s">
        <v>9502</v>
      </c>
      <c r="C4587" s="9" t="s">
        <v>9504</v>
      </c>
      <c r="D4587" s="9" t="s">
        <v>79</v>
      </c>
      <c r="E4587" s="6" t="s">
        <v>9521</v>
      </c>
      <c r="F4587" s="9"/>
    </row>
    <row r="4588" ht="33.75" customHeight="1">
      <c r="A4588" s="7">
        <v>152.0</v>
      </c>
      <c r="B4588" s="9" t="s">
        <v>9502</v>
      </c>
      <c r="C4588" s="9" t="s">
        <v>9504</v>
      </c>
      <c r="D4588" s="9" t="s">
        <v>81</v>
      </c>
      <c r="E4588" s="6" t="s">
        <v>9523</v>
      </c>
      <c r="F4588" s="9"/>
    </row>
    <row r="4589" ht="33.75" customHeight="1">
      <c r="A4589" s="7">
        <v>152.0</v>
      </c>
      <c r="B4589" s="9" t="s">
        <v>9502</v>
      </c>
      <c r="C4589" s="9" t="s">
        <v>9504</v>
      </c>
      <c r="D4589" s="9" t="s">
        <v>84</v>
      </c>
      <c r="E4589" s="6" t="s">
        <v>9523</v>
      </c>
      <c r="F4589" s="9"/>
    </row>
    <row r="4590" ht="33.75" customHeight="1">
      <c r="A4590" s="7">
        <v>152.0</v>
      </c>
      <c r="B4590" s="9" t="s">
        <v>9502</v>
      </c>
      <c r="C4590" s="9" t="s">
        <v>9504</v>
      </c>
      <c r="D4590" s="9" t="s">
        <v>87</v>
      </c>
      <c r="E4590" s="6" t="s">
        <v>9523</v>
      </c>
      <c r="F4590" s="9"/>
    </row>
    <row r="4591" ht="33.75" customHeight="1">
      <c r="A4591" s="7">
        <v>152.0</v>
      </c>
      <c r="B4591" s="9" t="s">
        <v>9502</v>
      </c>
      <c r="C4591" s="9" t="s">
        <v>9504</v>
      </c>
      <c r="D4591" s="9" t="s">
        <v>89</v>
      </c>
      <c r="E4591" s="6" t="s">
        <v>9521</v>
      </c>
      <c r="F4591" s="9"/>
    </row>
    <row r="4592" ht="33.75" customHeight="1">
      <c r="A4592" s="7">
        <v>152.0</v>
      </c>
      <c r="B4592" s="9" t="s">
        <v>9502</v>
      </c>
      <c r="C4592" s="9" t="s">
        <v>9504</v>
      </c>
      <c r="D4592" s="9" t="s">
        <v>91</v>
      </c>
      <c r="E4592" s="6" t="s">
        <v>9530</v>
      </c>
      <c r="F4592" s="9"/>
    </row>
    <row r="4593" ht="33.75" customHeight="1">
      <c r="A4593" s="7">
        <v>152.0</v>
      </c>
      <c r="B4593" s="9" t="s">
        <v>9502</v>
      </c>
      <c r="C4593" s="9" t="s">
        <v>9504</v>
      </c>
      <c r="D4593" s="9" t="s">
        <v>93</v>
      </c>
      <c r="E4593" s="6" t="s">
        <v>9523</v>
      </c>
      <c r="F4593" s="9"/>
    </row>
    <row r="4594" ht="33.75" customHeight="1">
      <c r="A4594" s="7">
        <v>152.0</v>
      </c>
      <c r="B4594" s="9" t="s">
        <v>9502</v>
      </c>
      <c r="C4594" s="9" t="s">
        <v>9504</v>
      </c>
      <c r="D4594" s="9" t="s">
        <v>95</v>
      </c>
      <c r="E4594" s="6" t="s">
        <v>9523</v>
      </c>
      <c r="F4594" s="9"/>
    </row>
    <row r="4595" ht="33.75" customHeight="1">
      <c r="A4595" s="7">
        <v>152.0</v>
      </c>
      <c r="B4595" s="9" t="s">
        <v>9502</v>
      </c>
      <c r="C4595" s="9" t="s">
        <v>9504</v>
      </c>
      <c r="D4595" s="9" t="s">
        <v>98</v>
      </c>
      <c r="E4595" s="6" t="s">
        <v>9523</v>
      </c>
      <c r="F4595" s="9"/>
    </row>
    <row r="4596" ht="33.75" customHeight="1">
      <c r="A4596" s="7">
        <v>152.0</v>
      </c>
      <c r="B4596" s="9" t="s">
        <v>9502</v>
      </c>
      <c r="C4596" s="9" t="s">
        <v>9504</v>
      </c>
      <c r="D4596" s="9" t="s">
        <v>99</v>
      </c>
      <c r="E4596" s="6" t="s">
        <v>9523</v>
      </c>
      <c r="F4596" s="9"/>
    </row>
    <row r="4597" ht="33.75" customHeight="1">
      <c r="A4597" s="7">
        <v>152.0</v>
      </c>
      <c r="B4597" s="9" t="s">
        <v>9502</v>
      </c>
      <c r="C4597" s="9" t="s">
        <v>9504</v>
      </c>
      <c r="D4597" s="9" t="s">
        <v>101</v>
      </c>
      <c r="E4597" s="6" t="s">
        <v>9521</v>
      </c>
      <c r="F4597" s="9"/>
    </row>
    <row r="4598" ht="33.75" customHeight="1">
      <c r="A4598" s="7">
        <v>152.0</v>
      </c>
      <c r="B4598" s="9" t="s">
        <v>9502</v>
      </c>
      <c r="C4598" s="9" t="s">
        <v>9504</v>
      </c>
      <c r="D4598" s="9" t="s">
        <v>105</v>
      </c>
      <c r="E4598" s="6" t="s">
        <v>9523</v>
      </c>
      <c r="F4598" s="9"/>
    </row>
    <row r="4599" ht="33.75" customHeight="1">
      <c r="A4599" s="7">
        <v>152.0</v>
      </c>
      <c r="B4599" s="9" t="s">
        <v>9502</v>
      </c>
      <c r="C4599" s="9" t="s">
        <v>9504</v>
      </c>
      <c r="D4599" s="9" t="s">
        <v>107</v>
      </c>
      <c r="E4599" s="6" t="s">
        <v>9540</v>
      </c>
      <c r="F4599" s="9"/>
    </row>
    <row r="4600" ht="33.75" customHeight="1">
      <c r="A4600" s="7">
        <v>152.0</v>
      </c>
      <c r="B4600" s="9" t="s">
        <v>9502</v>
      </c>
      <c r="C4600" s="9" t="s">
        <v>9504</v>
      </c>
      <c r="D4600" s="9" t="s">
        <v>109</v>
      </c>
      <c r="E4600" s="6" t="s">
        <v>9540</v>
      </c>
      <c r="F4600" s="9"/>
    </row>
    <row r="4601" ht="33.75" customHeight="1">
      <c r="A4601" s="7">
        <v>153.0</v>
      </c>
      <c r="B4601" s="9" t="s">
        <v>9544</v>
      </c>
      <c r="C4601" s="9" t="s">
        <v>9504</v>
      </c>
      <c r="D4601" s="9" t="s">
        <v>52</v>
      </c>
      <c r="E4601" s="6" t="s">
        <v>9545</v>
      </c>
      <c r="F4601" t="inlineStr" s="10">
        <is>
          <t xml:space="preserve">Mausteiden tuoksu tulee Bayleefin kaulasta. Jostain syystä sen nuuhkiminen saa sinut haluamaan taistella. Sen kaulasta leijuu mausteinen tuoksu. Tuoksu toimii terveyden palauttajana. Sen kaulassa olevista lehdistä leijuva tuoksu saa jokaisen, joka sitä haistaa, energiseksi. BAYLEEFin kaulaa reunustavat käpristyneet lehdet. Jokaisen putkimaisen lehden sisällä on pieni puunverso. Verson tuoksu piristää ihmisiä. Laakerinlehden kaulaa reunustavat käpristyneet lehdet. Jokaisen lehden sisällä on pieni puunverso. Sen kaulasta leijuu mausteinen tuoksu, joka toimii terveyttä palauttavana piristeenä. Sen kaulaa ympäröivät nuput levittävät mausteista tuoksua, joka piristää ihmisiä.</t>
        </is>
      </c>
    </row>
    <row r="4602" ht="33.75" customHeight="1">
      <c r="A4602" s="7">
        <v>153.0</v>
      </c>
      <c r="B4602" s="9" t="s">
        <v>9544</v>
      </c>
      <c r="C4602" s="9" t="s">
        <v>9504</v>
      </c>
      <c r="D4602" s="9" t="s">
        <v>59</v>
      </c>
      <c r="E4602" s="6" t="s">
        <v>9548</v>
      </c>
      <c r="F4602" s="9"/>
    </row>
    <row r="4603" ht="33.75" customHeight="1">
      <c r="A4603" s="7">
        <v>153.0</v>
      </c>
      <c r="B4603" s="9" t="s">
        <v>9544</v>
      </c>
      <c r="C4603" s="9" t="s">
        <v>9504</v>
      </c>
      <c r="D4603" s="9" t="s">
        <v>64</v>
      </c>
      <c r="E4603" s="6" t="s">
        <v>9550</v>
      </c>
      <c r="F4603" s="9"/>
    </row>
    <row r="4604" ht="33.75" customHeight="1">
      <c r="A4604" s="7">
        <v>153.0</v>
      </c>
      <c r="B4604" s="9" t="s">
        <v>9544</v>
      </c>
      <c r="C4604" s="9" t="s">
        <v>9504</v>
      </c>
      <c r="D4604" s="9" t="s">
        <v>67</v>
      </c>
      <c r="E4604" s="6" t="s">
        <v>9553</v>
      </c>
      <c r="F4604" s="9"/>
    </row>
    <row r="4605" ht="33.75" customHeight="1">
      <c r="A4605" s="7">
        <v>153.0</v>
      </c>
      <c r="B4605" s="9" t="s">
        <v>9544</v>
      </c>
      <c r="C4605" s="9" t="s">
        <v>9504</v>
      </c>
      <c r="D4605" s="9" t="s">
        <v>71</v>
      </c>
      <c r="E4605" s="6" t="s">
        <v>9553</v>
      </c>
      <c r="F4605" s="9"/>
    </row>
    <row r="4606" ht="33.75" customHeight="1">
      <c r="A4606" s="7">
        <v>153.0</v>
      </c>
      <c r="B4606" s="9" t="s">
        <v>9544</v>
      </c>
      <c r="C4606" s="9" t="s">
        <v>9504</v>
      </c>
      <c r="D4606" s="9" t="s">
        <v>73</v>
      </c>
      <c r="E4606" s="6" t="s">
        <v>9556</v>
      </c>
      <c r="F4606" s="9"/>
    </row>
    <row r="4607" ht="33.75" customHeight="1">
      <c r="A4607" s="7">
        <v>153.0</v>
      </c>
      <c r="B4607" s="9" t="s">
        <v>9544</v>
      </c>
      <c r="C4607" s="9" t="s">
        <v>9504</v>
      </c>
      <c r="D4607" s="9" t="s">
        <v>75</v>
      </c>
      <c r="E4607" s="6" t="s">
        <v>9558</v>
      </c>
      <c r="F4607" s="9"/>
    </row>
    <row r="4608" ht="33.75" customHeight="1">
      <c r="A4608" s="7">
        <v>153.0</v>
      </c>
      <c r="B4608" s="9" t="s">
        <v>9544</v>
      </c>
      <c r="C4608" s="9" t="s">
        <v>9504</v>
      </c>
      <c r="D4608" s="9" t="s">
        <v>79</v>
      </c>
      <c r="E4608" s="6" t="s">
        <v>9545</v>
      </c>
      <c r="F4608" s="9"/>
    </row>
    <row r="4609" ht="33.75" customHeight="1">
      <c r="A4609" s="7">
        <v>153.0</v>
      </c>
      <c r="B4609" s="9" t="s">
        <v>9544</v>
      </c>
      <c r="C4609" s="9" t="s">
        <v>9504</v>
      </c>
      <c r="D4609" s="9" t="s">
        <v>81</v>
      </c>
      <c r="E4609" s="6" t="s">
        <v>9560</v>
      </c>
      <c r="F4609" s="9"/>
    </row>
    <row r="4610" ht="33.75" customHeight="1">
      <c r="A4610" s="7">
        <v>153.0</v>
      </c>
      <c r="B4610" s="9" t="s">
        <v>9544</v>
      </c>
      <c r="C4610" s="9" t="s">
        <v>9504</v>
      </c>
      <c r="D4610" s="9" t="s">
        <v>84</v>
      </c>
      <c r="E4610" s="6" t="s">
        <v>9560</v>
      </c>
      <c r="F4610" s="9"/>
    </row>
    <row r="4611" ht="33.75" customHeight="1">
      <c r="A4611" s="7">
        <v>153.0</v>
      </c>
      <c r="B4611" s="9" t="s">
        <v>9544</v>
      </c>
      <c r="C4611" s="9" t="s">
        <v>9504</v>
      </c>
      <c r="D4611" s="9" t="s">
        <v>87</v>
      </c>
      <c r="E4611" s="6" t="s">
        <v>9560</v>
      </c>
      <c r="F4611" s="9"/>
    </row>
    <row r="4612" ht="33.75" customHeight="1">
      <c r="A4612" s="7">
        <v>153.0</v>
      </c>
      <c r="B4612" s="9" t="s">
        <v>9544</v>
      </c>
      <c r="C4612" s="9" t="s">
        <v>9504</v>
      </c>
      <c r="D4612" s="9" t="s">
        <v>89</v>
      </c>
      <c r="E4612" s="6" t="s">
        <v>9545</v>
      </c>
      <c r="F4612" s="9"/>
    </row>
    <row r="4613" ht="33.75" customHeight="1">
      <c r="A4613" s="7">
        <v>153.0</v>
      </c>
      <c r="B4613" s="9" t="s">
        <v>9544</v>
      </c>
      <c r="C4613" s="9" t="s">
        <v>9504</v>
      </c>
      <c r="D4613" s="9" t="s">
        <v>91</v>
      </c>
      <c r="E4613" s="6" t="s">
        <v>9558</v>
      </c>
      <c r="F4613" s="9"/>
    </row>
    <row r="4614" ht="33.75" customHeight="1">
      <c r="A4614" s="7">
        <v>153.0</v>
      </c>
      <c r="B4614" s="9" t="s">
        <v>9544</v>
      </c>
      <c r="C4614" s="9" t="s">
        <v>9504</v>
      </c>
      <c r="D4614" s="9" t="s">
        <v>93</v>
      </c>
      <c r="E4614" s="6" t="s">
        <v>9560</v>
      </c>
      <c r="F4614" s="9"/>
    </row>
    <row r="4615" ht="33.75" customHeight="1">
      <c r="A4615" s="7">
        <v>153.0</v>
      </c>
      <c r="B4615" s="9" t="s">
        <v>9544</v>
      </c>
      <c r="C4615" s="9" t="s">
        <v>9504</v>
      </c>
      <c r="D4615" s="9" t="s">
        <v>95</v>
      </c>
      <c r="E4615" s="6" t="s">
        <v>9560</v>
      </c>
      <c r="F4615" s="9"/>
    </row>
    <row r="4616" ht="33.75" customHeight="1">
      <c r="A4616" s="7">
        <v>153.0</v>
      </c>
      <c r="B4616" s="9" t="s">
        <v>9544</v>
      </c>
      <c r="C4616" s="9" t="s">
        <v>9504</v>
      </c>
      <c r="D4616" s="9" t="s">
        <v>98</v>
      </c>
      <c r="E4616" s="6" t="s">
        <v>9560</v>
      </c>
      <c r="F4616" s="9"/>
    </row>
    <row r="4617" ht="33.75" customHeight="1">
      <c r="A4617" s="7">
        <v>153.0</v>
      </c>
      <c r="B4617" s="9" t="s">
        <v>9544</v>
      </c>
      <c r="C4617" s="9" t="s">
        <v>9504</v>
      </c>
      <c r="D4617" s="9" t="s">
        <v>99</v>
      </c>
      <c r="E4617" s="6" t="s">
        <v>9560</v>
      </c>
      <c r="F4617" s="9"/>
    </row>
    <row r="4618" ht="33.75" customHeight="1">
      <c r="A4618" s="7">
        <v>153.0</v>
      </c>
      <c r="B4618" s="9" t="s">
        <v>9544</v>
      </c>
      <c r="C4618" s="9" t="s">
        <v>9504</v>
      </c>
      <c r="D4618" s="9" t="s">
        <v>101</v>
      </c>
      <c r="E4618" s="6" t="s">
        <v>9558</v>
      </c>
      <c r="F4618" s="9"/>
    </row>
    <row r="4619" ht="33.75" customHeight="1">
      <c r="A4619" s="7">
        <v>153.0</v>
      </c>
      <c r="B4619" s="9" t="s">
        <v>9544</v>
      </c>
      <c r="C4619" s="9" t="s">
        <v>9504</v>
      </c>
      <c r="D4619" s="9" t="s">
        <v>105</v>
      </c>
      <c r="E4619" s="6" t="s">
        <v>9560</v>
      </c>
      <c r="F4619" s="9"/>
    </row>
    <row r="4620" ht="33.75" customHeight="1">
      <c r="A4620" s="7">
        <v>153.0</v>
      </c>
      <c r="B4620" s="9" t="s">
        <v>9544</v>
      </c>
      <c r="C4620" s="9" t="s">
        <v>9504</v>
      </c>
      <c r="D4620" s="9" t="s">
        <v>107</v>
      </c>
      <c r="E4620" s="6" t="s">
        <v>9576</v>
      </c>
      <c r="F4620" s="9"/>
    </row>
    <row r="4621" ht="33.75" customHeight="1">
      <c r="A4621" s="7">
        <v>153.0</v>
      </c>
      <c r="B4621" s="9" t="s">
        <v>9544</v>
      </c>
      <c r="C4621" s="9" t="s">
        <v>9504</v>
      </c>
      <c r="D4621" s="9" t="s">
        <v>109</v>
      </c>
      <c r="E4621" s="6" t="s">
        <v>9576</v>
      </c>
      <c r="F4621" s="9"/>
    </row>
    <row r="4622" ht="33.75" customHeight="1">
      <c r="A4622" s="7">
        <v>154.0</v>
      </c>
      <c r="B4622" s="9" t="s">
        <v>9581</v>
      </c>
      <c r="C4622" s="9" t="s">
        <v>9583</v>
      </c>
      <c r="D4622" s="9" t="s">
        <v>52</v>
      </c>
      <c r="E4622" s="6" t="s">
        <v>9585</v>
      </c>
      <c r="F4622" t="inlineStr" s="10">
        <is>
          <t xml:space="preserve">Meganiumin terälehdistä nouseva tuoksu sisältää ainetta, joka rauhoittaa aggressiivisia tunteita. MEGANIUMin hengityksellä on voima elvyttää kuollutta ruohoa ja kasveja. Se voi tehdä niistä jälleen terveitä. Jokainen sen vieressä seisova virkistyy, aivan kuin rentoutuisi aurinkoisessa metsässä. MEGANIUMin kukan tuoksu rauhoittaa ja tyynnyttää tunteita. Taistelussa tämä POKéMON erittää lisää rauhoittavaa tuoksuaan lannistaakseen vihollisen taistelutahtoa. Taistelussa se erittää lisää rauhoittavaa tuoksuaan lannistaakseen vihollisen taistelutahtoa. Sen hengityksellä on fantastinen kyky herättää kuolleita kasveja ja kukkia henkiin.</t>
        </is>
      </c>
    </row>
    <row r="4623" ht="33.75" customHeight="1">
      <c r="A4623" s="7">
        <v>154.0</v>
      </c>
      <c r="B4623" s="9" t="s">
        <v>9581</v>
      </c>
      <c r="C4623" s="9" t="s">
        <v>9583</v>
      </c>
      <c r="D4623" s="9" t="s">
        <v>59</v>
      </c>
      <c r="E4623" s="6" t="s">
        <v>9587</v>
      </c>
      <c r="F4623" s="9"/>
    </row>
    <row r="4624" ht="33.75" customHeight="1">
      <c r="A4624" s="7">
        <v>154.0</v>
      </c>
      <c r="B4624" s="9" t="s">
        <v>9581</v>
      </c>
      <c r="C4624" s="9" t="s">
        <v>9583</v>
      </c>
      <c r="D4624" s="9" t="s">
        <v>64</v>
      </c>
      <c r="E4624" s="6" t="s">
        <v>9589</v>
      </c>
      <c r="F4624" s="9"/>
    </row>
    <row r="4625" ht="33.75" customHeight="1">
      <c r="A4625" s="7">
        <v>154.0</v>
      </c>
      <c r="B4625" s="9" t="s">
        <v>9581</v>
      </c>
      <c r="C4625" s="9" t="s">
        <v>9583</v>
      </c>
      <c r="D4625" s="9" t="s">
        <v>67</v>
      </c>
      <c r="E4625" s="6" t="s">
        <v>9592</v>
      </c>
      <c r="F4625" s="9"/>
    </row>
    <row r="4626" ht="33.75" customHeight="1">
      <c r="A4626" s="7">
        <v>154.0</v>
      </c>
      <c r="B4626" s="9" t="s">
        <v>9581</v>
      </c>
      <c r="C4626" s="9" t="s">
        <v>9583</v>
      </c>
      <c r="D4626" s="9" t="s">
        <v>71</v>
      </c>
      <c r="E4626" s="6" t="s">
        <v>9592</v>
      </c>
      <c r="F4626" s="9"/>
    </row>
    <row r="4627" ht="33.75" customHeight="1">
      <c r="A4627" s="7">
        <v>154.0</v>
      </c>
      <c r="B4627" s="9" t="s">
        <v>9581</v>
      </c>
      <c r="C4627" s="9" t="s">
        <v>9583</v>
      </c>
      <c r="D4627" s="9" t="s">
        <v>73</v>
      </c>
      <c r="E4627" s="6" t="s">
        <v>9595</v>
      </c>
      <c r="F4627" s="9"/>
    </row>
    <row r="4628" ht="33.75" customHeight="1">
      <c r="A4628" s="7">
        <v>154.0</v>
      </c>
      <c r="B4628" s="9" t="s">
        <v>9581</v>
      </c>
      <c r="C4628" s="9" t="s">
        <v>9583</v>
      </c>
      <c r="D4628" s="9" t="s">
        <v>75</v>
      </c>
      <c r="E4628" s="6" t="s">
        <v>9587</v>
      </c>
      <c r="F4628" s="9"/>
    </row>
    <row r="4629" ht="33.75" customHeight="1">
      <c r="A4629" s="7">
        <v>154.0</v>
      </c>
      <c r="B4629" s="9" t="s">
        <v>9581</v>
      </c>
      <c r="C4629" s="9" t="s">
        <v>9583</v>
      </c>
      <c r="D4629" s="9" t="s">
        <v>79</v>
      </c>
      <c r="E4629" s="6" t="s">
        <v>9585</v>
      </c>
      <c r="F4629" s="9"/>
    </row>
    <row r="4630" ht="33.75" customHeight="1">
      <c r="A4630" s="7">
        <v>154.0</v>
      </c>
      <c r="B4630" s="9" t="s">
        <v>9581</v>
      </c>
      <c r="C4630" s="9" t="s">
        <v>9583</v>
      </c>
      <c r="D4630" s="9" t="s">
        <v>81</v>
      </c>
      <c r="E4630" s="6" t="s">
        <v>9599</v>
      </c>
      <c r="F4630" s="9"/>
    </row>
    <row r="4631" ht="33.75" customHeight="1">
      <c r="A4631" s="7">
        <v>154.0</v>
      </c>
      <c r="B4631" s="9" t="s">
        <v>9581</v>
      </c>
      <c r="C4631" s="9" t="s">
        <v>9583</v>
      </c>
      <c r="D4631" s="9" t="s">
        <v>84</v>
      </c>
      <c r="E4631" s="6" t="s">
        <v>9599</v>
      </c>
      <c r="F4631" s="9"/>
    </row>
    <row r="4632" ht="33.75" customHeight="1">
      <c r="A4632" s="7">
        <v>154.0</v>
      </c>
      <c r="B4632" s="9" t="s">
        <v>9581</v>
      </c>
      <c r="C4632" s="9" t="s">
        <v>9583</v>
      </c>
      <c r="D4632" s="9" t="s">
        <v>87</v>
      </c>
      <c r="E4632" s="6" t="s">
        <v>9599</v>
      </c>
      <c r="F4632" s="9"/>
    </row>
    <row r="4633" ht="33.75" customHeight="1">
      <c r="A4633" s="7">
        <v>154.0</v>
      </c>
      <c r="B4633" s="9" t="s">
        <v>9581</v>
      </c>
      <c r="C4633" s="9" t="s">
        <v>9583</v>
      </c>
      <c r="D4633" s="9" t="s">
        <v>89</v>
      </c>
      <c r="E4633" s="6" t="s">
        <v>9585</v>
      </c>
      <c r="F4633" s="9"/>
    </row>
    <row r="4634" ht="33.75" customHeight="1">
      <c r="A4634" s="7">
        <v>154.0</v>
      </c>
      <c r="B4634" s="9" t="s">
        <v>9581</v>
      </c>
      <c r="C4634" s="9" t="s">
        <v>9583</v>
      </c>
      <c r="D4634" s="9" t="s">
        <v>91</v>
      </c>
      <c r="E4634" s="6" t="s">
        <v>9587</v>
      </c>
      <c r="F4634" s="9"/>
    </row>
    <row r="4635" ht="33.75" customHeight="1">
      <c r="A4635" s="7">
        <v>154.0</v>
      </c>
      <c r="B4635" s="9" t="s">
        <v>9581</v>
      </c>
      <c r="C4635" s="9" t="s">
        <v>9583</v>
      </c>
      <c r="D4635" s="9" t="s">
        <v>93</v>
      </c>
      <c r="E4635" s="6" t="s">
        <v>9599</v>
      </c>
      <c r="F4635" s="9"/>
    </row>
    <row r="4636" ht="33.75" customHeight="1">
      <c r="A4636" s="7">
        <v>154.0</v>
      </c>
      <c r="B4636" s="9" t="s">
        <v>9581</v>
      </c>
      <c r="C4636" s="9" t="s">
        <v>9583</v>
      </c>
      <c r="D4636" s="9" t="s">
        <v>95</v>
      </c>
      <c r="E4636" s="6" t="s">
        <v>9599</v>
      </c>
      <c r="F4636" s="9"/>
    </row>
    <row r="4637" ht="33.75" customHeight="1">
      <c r="A4637" s="7">
        <v>154.0</v>
      </c>
      <c r="B4637" s="9" t="s">
        <v>9581</v>
      </c>
      <c r="C4637" s="9" t="s">
        <v>9583</v>
      </c>
      <c r="D4637" s="9" t="s">
        <v>98</v>
      </c>
      <c r="E4637" s="6" t="s">
        <v>9599</v>
      </c>
      <c r="F4637" s="9"/>
    </row>
    <row r="4638" ht="33.75" customHeight="1">
      <c r="A4638" s="7">
        <v>154.0</v>
      </c>
      <c r="B4638" s="9" t="s">
        <v>9581</v>
      </c>
      <c r="C4638" s="9" t="s">
        <v>9583</v>
      </c>
      <c r="D4638" s="9" t="s">
        <v>99</v>
      </c>
      <c r="E4638" s="6" t="s">
        <v>9599</v>
      </c>
      <c r="F4638" s="9"/>
    </row>
    <row r="4639" ht="33.75" customHeight="1">
      <c r="A4639" s="7">
        <v>154.0</v>
      </c>
      <c r="B4639" s="9" t="s">
        <v>9581</v>
      </c>
      <c r="C4639" s="9" t="s">
        <v>9583</v>
      </c>
      <c r="D4639" s="9" t="s">
        <v>101</v>
      </c>
      <c r="E4639" s="6" t="s">
        <v>9585</v>
      </c>
      <c r="F4639" s="9"/>
    </row>
    <row r="4640" ht="33.75" customHeight="1">
      <c r="A4640" s="7">
        <v>154.0</v>
      </c>
      <c r="B4640" s="9" t="s">
        <v>9581</v>
      </c>
      <c r="C4640" s="9" t="s">
        <v>9583</v>
      </c>
      <c r="D4640" s="9" t="s">
        <v>105</v>
      </c>
      <c r="E4640" s="6" t="s">
        <v>9609</v>
      </c>
      <c r="F4640" s="9"/>
    </row>
    <row r="4641" ht="33.75" customHeight="1">
      <c r="A4641" s="7">
        <v>154.0</v>
      </c>
      <c r="B4641" s="9" t="s">
        <v>9581</v>
      </c>
      <c r="C4641" s="9" t="s">
        <v>9583</v>
      </c>
      <c r="D4641" s="9" t="s">
        <v>107</v>
      </c>
      <c r="E4641" s="6" t="s">
        <v>9612</v>
      </c>
      <c r="F4641" s="9"/>
    </row>
    <row r="4642" ht="33.75" customHeight="1">
      <c r="A4642" s="7">
        <v>154.0</v>
      </c>
      <c r="B4642" s="9" t="s">
        <v>9581</v>
      </c>
      <c r="C4642" s="9" t="s">
        <v>9583</v>
      </c>
      <c r="D4642" s="9" t="s">
        <v>109</v>
      </c>
      <c r="E4642" s="6" t="s">
        <v>9612</v>
      </c>
      <c r="F4642" s="9"/>
    </row>
    <row r="4643" ht="33.75" customHeight="1">
      <c r="A4643" s="7">
        <v>155.0</v>
      </c>
      <c r="B4643" s="9" t="s">
        <v>9616</v>
      </c>
      <c r="C4643" s="9" t="s">
        <v>9617</v>
      </c>
      <c r="D4643" s="9" t="s">
        <v>52</v>
      </c>
      <c r="E4643" s="6" t="s">
        <v>9619</v>
      </c>
      <c r="F4643" t="inlineStr" s="10">
        <is>
          <t xml:space="preserve">Cyndaquil on arka ja käpertyy aina palloksi. Hyökkäyksen sattuessa se levittää selkäänsä suojakseen. Se pysyy yleensä kumarassa. Jos se on vihainen tai yllättynyt, se ampuu liekkejä selästään. Sen selästä purkautuva tuli palaa kuumimmin, kun se on vihainen. Liekit pelottavat vihollisia. CYNDAQUIL suojaa itseään sytyttämällä liekkejä selälleen. Liekit ovat voimakkaita, jos POKéMON on vihainen. Jos se on kuitenkin väsynyt, liekit pauhaavat epätäydellisen palamisen seurauksena. Se ampuu liekkejä selästään suojautuakseen. Tuli palaa voimakkaasti, jos POKéMON on vihainen. Kun se on väsynyt, se roiskuu epätäydellisen palamisen seurauksena. Jos sitä vastaan ​​hyökätään, se levittää selkäänsä suojakseen. Se on luonteeltaan arka. Jos se säikähtää, sen selässä olevat liekit palavat voimakkaammin. Cyndaquil suojaa itseään sytyttämällä liekkejä selässään. Kotoisin Johto-alueelta. Vaikka se yleensä käpertyy palloksi aran luonteensa vuoksi, sillä on valtava tulivoima.</t>
        </is>
      </c>
    </row>
    <row r="4644" ht="33.75" customHeight="1">
      <c r="A4644" s="7">
        <v>155.0</v>
      </c>
      <c r="B4644" s="9" t="s">
        <v>9616</v>
      </c>
      <c r="C4644" s="9" t="s">
        <v>9617</v>
      </c>
      <c r="D4644" s="9" t="s">
        <v>59</v>
      </c>
      <c r="E4644" s="6" t="s">
        <v>9622</v>
      </c>
      <c r="F4644" s="9"/>
    </row>
    <row r="4645" ht="33.75" customHeight="1">
      <c r="A4645" s="7">
        <v>155.0</v>
      </c>
      <c r="B4645" s="9" t="s">
        <v>9616</v>
      </c>
      <c r="C4645" s="9" t="s">
        <v>9617</v>
      </c>
      <c r="D4645" s="9" t="s">
        <v>64</v>
      </c>
      <c r="E4645" s="6" t="s">
        <v>9623</v>
      </c>
      <c r="F4645" s="9"/>
    </row>
    <row r="4646" ht="33.75" customHeight="1">
      <c r="A4646" s="7">
        <v>155.0</v>
      </c>
      <c r="B4646" s="9" t="s">
        <v>9616</v>
      </c>
      <c r="C4646" s="9" t="s">
        <v>9617</v>
      </c>
      <c r="D4646" s="9" t="s">
        <v>67</v>
      </c>
      <c r="E4646" s="6" t="s">
        <v>9625</v>
      </c>
      <c r="F4646" s="9"/>
    </row>
    <row r="4647" ht="33.75" customHeight="1">
      <c r="A4647" s="7">
        <v>155.0</v>
      </c>
      <c r="B4647" s="9" t="s">
        <v>9616</v>
      </c>
      <c r="C4647" s="9" t="s">
        <v>9617</v>
      </c>
      <c r="D4647" s="9" t="s">
        <v>71</v>
      </c>
      <c r="E4647" s="6" t="s">
        <v>9625</v>
      </c>
      <c r="F4647" s="9"/>
    </row>
    <row r="4648" ht="33.75" customHeight="1">
      <c r="A4648" s="7">
        <v>155.0</v>
      </c>
      <c r="B4648" s="9" t="s">
        <v>9616</v>
      </c>
      <c r="C4648" s="9" t="s">
        <v>9617</v>
      </c>
      <c r="D4648" s="9" t="s">
        <v>73</v>
      </c>
      <c r="E4648" s="6" t="s">
        <v>9629</v>
      </c>
      <c r="F4648" s="9"/>
    </row>
    <row r="4649" ht="33.75" customHeight="1">
      <c r="A4649" s="7">
        <v>155.0</v>
      </c>
      <c r="B4649" s="9" t="s">
        <v>9616</v>
      </c>
      <c r="C4649" s="9" t="s">
        <v>9617</v>
      </c>
      <c r="D4649" s="9" t="s">
        <v>75</v>
      </c>
      <c r="E4649" s="6" t="s">
        <v>9622</v>
      </c>
      <c r="F4649" s="9"/>
    </row>
    <row r="4650" ht="33.75" customHeight="1">
      <c r="A4650" s="7">
        <v>155.0</v>
      </c>
      <c r="B4650" s="9" t="s">
        <v>9616</v>
      </c>
      <c r="C4650" s="9" t="s">
        <v>9617</v>
      </c>
      <c r="D4650" s="9" t="s">
        <v>79</v>
      </c>
      <c r="E4650" s="6" t="s">
        <v>9632</v>
      </c>
      <c r="F4650" s="9"/>
    </row>
    <row r="4651" ht="33.75" customHeight="1">
      <c r="A4651" s="7">
        <v>155.0</v>
      </c>
      <c r="B4651" s="9" t="s">
        <v>9616</v>
      </c>
      <c r="C4651" s="9" t="s">
        <v>9617</v>
      </c>
      <c r="D4651" s="9" t="s">
        <v>81</v>
      </c>
      <c r="E4651" s="6" t="s">
        <v>9634</v>
      </c>
      <c r="F4651" s="9"/>
    </row>
    <row r="4652" ht="33.75" customHeight="1">
      <c r="A4652" s="7">
        <v>155.0</v>
      </c>
      <c r="B4652" s="9" t="s">
        <v>9616</v>
      </c>
      <c r="C4652" s="9" t="s">
        <v>9617</v>
      </c>
      <c r="D4652" s="9" t="s">
        <v>84</v>
      </c>
      <c r="E4652" s="6" t="s">
        <v>9634</v>
      </c>
      <c r="F4652" s="9"/>
    </row>
    <row r="4653" ht="33.75" customHeight="1">
      <c r="A4653" s="7">
        <v>155.0</v>
      </c>
      <c r="B4653" s="9" t="s">
        <v>9616</v>
      </c>
      <c r="C4653" s="9" t="s">
        <v>9617</v>
      </c>
      <c r="D4653" s="9" t="s">
        <v>87</v>
      </c>
      <c r="E4653" s="6" t="s">
        <v>9634</v>
      </c>
      <c r="F4653" s="9"/>
    </row>
    <row r="4654" ht="33.75" customHeight="1">
      <c r="A4654" s="7">
        <v>155.0</v>
      </c>
      <c r="B4654" s="9" t="s">
        <v>9616</v>
      </c>
      <c r="C4654" s="9" t="s">
        <v>9617</v>
      </c>
      <c r="D4654" s="9" t="s">
        <v>89</v>
      </c>
      <c r="E4654" s="6" t="s">
        <v>9619</v>
      </c>
      <c r="F4654" s="9"/>
    </row>
    <row r="4655" ht="33.75" customHeight="1">
      <c r="A4655" s="7">
        <v>155.0</v>
      </c>
      <c r="B4655" s="9" t="s">
        <v>9616</v>
      </c>
      <c r="C4655" s="9" t="s">
        <v>9617</v>
      </c>
      <c r="D4655" s="9" t="s">
        <v>91</v>
      </c>
      <c r="E4655" s="6" t="s">
        <v>9622</v>
      </c>
      <c r="F4655" s="9"/>
    </row>
    <row r="4656" ht="33.75" customHeight="1">
      <c r="A4656" s="7">
        <v>155.0</v>
      </c>
      <c r="B4656" s="9" t="s">
        <v>9616</v>
      </c>
      <c r="C4656" s="9" t="s">
        <v>9617</v>
      </c>
      <c r="D4656" s="9" t="s">
        <v>93</v>
      </c>
      <c r="E4656" s="6" t="s">
        <v>9634</v>
      </c>
      <c r="F4656" s="9"/>
    </row>
    <row r="4657" ht="33.75" customHeight="1">
      <c r="A4657" s="7">
        <v>155.0</v>
      </c>
      <c r="B4657" s="9" t="s">
        <v>9616</v>
      </c>
      <c r="C4657" s="9" t="s">
        <v>9617</v>
      </c>
      <c r="D4657" s="9" t="s">
        <v>95</v>
      </c>
      <c r="E4657" s="6" t="s">
        <v>9634</v>
      </c>
      <c r="F4657" s="9"/>
    </row>
    <row r="4658" ht="33.75" customHeight="1">
      <c r="A4658" s="7">
        <v>155.0</v>
      </c>
      <c r="B4658" s="9" t="s">
        <v>9616</v>
      </c>
      <c r="C4658" s="9" t="s">
        <v>9617</v>
      </c>
      <c r="D4658" s="9" t="s">
        <v>98</v>
      </c>
      <c r="E4658" s="6" t="s">
        <v>9634</v>
      </c>
      <c r="F4658" s="9"/>
    </row>
    <row r="4659" ht="33.75" customHeight="1">
      <c r="A4659" s="7">
        <v>155.0</v>
      </c>
      <c r="B4659" s="9" t="s">
        <v>9616</v>
      </c>
      <c r="C4659" s="9" t="s">
        <v>9617</v>
      </c>
      <c r="D4659" s="9" t="s">
        <v>99</v>
      </c>
      <c r="E4659" s="6" t="s">
        <v>9634</v>
      </c>
      <c r="F4659" s="9"/>
    </row>
    <row r="4660" ht="33.75" customHeight="1">
      <c r="A4660" s="7">
        <v>155.0</v>
      </c>
      <c r="B4660" s="9" t="s">
        <v>9616</v>
      </c>
      <c r="C4660" s="9" t="s">
        <v>9617</v>
      </c>
      <c r="D4660" s="9" t="s">
        <v>101</v>
      </c>
      <c r="E4660" s="6" t="s">
        <v>9632</v>
      </c>
      <c r="F4660" s="9"/>
    </row>
    <row r="4661" ht="33.75" customHeight="1">
      <c r="A4661" s="7">
        <v>155.0</v>
      </c>
      <c r="B4661" s="9" t="s">
        <v>9616</v>
      </c>
      <c r="C4661" s="9" t="s">
        <v>9617</v>
      </c>
      <c r="D4661" s="9" t="s">
        <v>105</v>
      </c>
      <c r="E4661" s="6" t="s">
        <v>9634</v>
      </c>
      <c r="F4661" s="9"/>
    </row>
    <row r="4662" ht="33.75" customHeight="1">
      <c r="A4662" s="7">
        <v>155.0</v>
      </c>
      <c r="B4662" s="9" t="s">
        <v>9616</v>
      </c>
      <c r="C4662" s="9" t="s">
        <v>9617</v>
      </c>
      <c r="D4662" s="9" t="s">
        <v>107</v>
      </c>
      <c r="E4662" s="6" t="s">
        <v>9649</v>
      </c>
      <c r="F4662" s="9"/>
    </row>
    <row r="4663" ht="33.75" customHeight="1">
      <c r="A4663" s="7">
        <v>155.0</v>
      </c>
      <c r="B4663" s="9" t="s">
        <v>9616</v>
      </c>
      <c r="C4663" s="9" t="s">
        <v>9617</v>
      </c>
      <c r="D4663" s="9" t="s">
        <v>109</v>
      </c>
      <c r="E4663" s="6" t="s">
        <v>9649</v>
      </c>
      <c r="F4663" s="9"/>
    </row>
    <row r="4664" ht="33.75" customHeight="1">
      <c r="A4664" s="7">
        <v>155.0</v>
      </c>
      <c r="B4664" s="9" t="s">
        <v>9616</v>
      </c>
      <c r="C4664" s="9" t="s">
        <v>9617</v>
      </c>
      <c r="D4664" s="9" t="s">
        <v>1577</v>
      </c>
      <c r="E4664" s="6" t="s">
        <v>9652</v>
      </c>
      <c r="F4664" s="9"/>
    </row>
    <row r="4665" ht="33.75" customHeight="1">
      <c r="A4665" s="7">
        <v>156.0</v>
      </c>
      <c r="B4665" s="9" t="s">
        <v>9653</v>
      </c>
      <c r="C4665" s="9" t="s">
        <v>9654</v>
      </c>
      <c r="D4665" s="9" t="s">
        <v>52</v>
      </c>
      <c r="E4665" s="6" t="s">
        <v>9655</v>
      </c>
      <c r="F4665" t="inlineStr" s="10">
        <is>
          <t xml:space="preserve">Ole varovainen, jos se kääntää selkänsä taistelun aikana. Se tarkoittaa, että se hyökkää tuli selässään. Tämä POKéMON on kokonaan peitetty palamattomalla turkilla. Se kestää minkä tahansa tulipalon. Ennen taistelua se kääntää selkänsä vastustajalleen osoittaakseen kuinka raivokkaasti sen tuli roihuaa. QUILAVA pitää vihollisensa loitolla liekkiensä voimakkuudella ja ylikuumennetun ilman puuskilla. Tämä POKéMON käyttää erinomaista ketteryyttään väistelläkseen hyökkäyksiä jopa samalla, kun se polttaa vihollista liekeillä. Se pelottelee vihollisia voimakkailla liekkien puuskilla ja ylikuumennetulla ilmalla. Nopean ketteryytensä ansiosta se pystyy väistelemään hyökkäyksiä jopa vihollista polttaessaan. Se pelottaa vihollisia liekkiensä kuumuudella. Tuli palaa voimakkaammin, kun se on valmis taisteluun. Tämä Pokémon käyttää poikkeuksellista ketteryyttään väistelläkseen hyökkäyksiä, vaikka se polttaisi vihollista liekeillä. Tämän olennon turkki on hyvin salaperäinen – se on täysin immuuni liekin polttavalle kosketukselle. Jos Quilava kääntää selkänsä sinulle, ole varovainen! Tällainen asento ennakoi tulevaa hyökkäystä.</t>
        </is>
      </c>
    </row>
    <row r="4666" ht="33.75" customHeight="1">
      <c r="A4666" s="7">
        <v>156.0</v>
      </c>
      <c r="B4666" s="9" t="s">
        <v>9653</v>
      </c>
      <c r="C4666" s="9" t="s">
        <v>9654</v>
      </c>
      <c r="D4666" s="9" t="s">
        <v>59</v>
      </c>
      <c r="E4666" s="6" t="s">
        <v>9656</v>
      </c>
      <c r="F4666" s="9"/>
    </row>
    <row r="4667" ht="33.75" customHeight="1">
      <c r="A4667" s="7">
        <v>156.0</v>
      </c>
      <c r="B4667" s="9" t="s">
        <v>9653</v>
      </c>
      <c r="C4667" s="9" t="s">
        <v>9654</v>
      </c>
      <c r="D4667" s="9" t="s">
        <v>64</v>
      </c>
      <c r="E4667" s="6" t="s">
        <v>9657</v>
      </c>
      <c r="F4667" s="9"/>
    </row>
    <row r="4668" ht="33.75" customHeight="1">
      <c r="A4668" s="7">
        <v>156.0</v>
      </c>
      <c r="B4668" s="9" t="s">
        <v>9653</v>
      </c>
      <c r="C4668" s="9" t="s">
        <v>9654</v>
      </c>
      <c r="D4668" s="9" t="s">
        <v>67</v>
      </c>
      <c r="E4668" s="6" t="s">
        <v>9658</v>
      </c>
      <c r="F4668" s="9"/>
    </row>
    <row r="4669" ht="33.75" customHeight="1">
      <c r="A4669" s="7">
        <v>156.0</v>
      </c>
      <c r="B4669" s="9" t="s">
        <v>9653</v>
      </c>
      <c r="C4669" s="9" t="s">
        <v>9654</v>
      </c>
      <c r="D4669" s="9" t="s">
        <v>71</v>
      </c>
      <c r="E4669" s="6" t="s">
        <v>9658</v>
      </c>
      <c r="F4669" s="9"/>
    </row>
    <row r="4670" ht="33.75" customHeight="1">
      <c r="A4670" s="7">
        <v>156.0</v>
      </c>
      <c r="B4670" s="9" t="s">
        <v>9653</v>
      </c>
      <c r="C4670" s="9" t="s">
        <v>9654</v>
      </c>
      <c r="D4670" s="9" t="s">
        <v>73</v>
      </c>
      <c r="E4670" s="6" t="s">
        <v>9661</v>
      </c>
      <c r="F4670" s="9"/>
    </row>
    <row r="4671" ht="33.75" customHeight="1">
      <c r="A4671" s="7">
        <v>156.0</v>
      </c>
      <c r="B4671" s="9" t="s">
        <v>9653</v>
      </c>
      <c r="C4671" s="9" t="s">
        <v>9654</v>
      </c>
      <c r="D4671" s="9" t="s">
        <v>75</v>
      </c>
      <c r="E4671" s="6" t="s">
        <v>9656</v>
      </c>
      <c r="F4671" s="9"/>
    </row>
    <row r="4672" ht="33.75" customHeight="1">
      <c r="A4672" s="7">
        <v>156.0</v>
      </c>
      <c r="B4672" s="9" t="s">
        <v>9653</v>
      </c>
      <c r="C4672" s="9" t="s">
        <v>9654</v>
      </c>
      <c r="D4672" s="9" t="s">
        <v>79</v>
      </c>
      <c r="E4672" s="6" t="s">
        <v>9655</v>
      </c>
      <c r="F4672" s="9"/>
    </row>
    <row r="4673" ht="33.75" customHeight="1">
      <c r="A4673" s="7">
        <v>156.0</v>
      </c>
      <c r="B4673" s="9" t="s">
        <v>9653</v>
      </c>
      <c r="C4673" s="9" t="s">
        <v>9654</v>
      </c>
      <c r="D4673" s="9" t="s">
        <v>81</v>
      </c>
      <c r="E4673" s="6" t="s">
        <v>9664</v>
      </c>
      <c r="F4673" s="9"/>
    </row>
    <row r="4674" ht="33.75" customHeight="1">
      <c r="A4674" s="7">
        <v>156.0</v>
      </c>
      <c r="B4674" s="9" t="s">
        <v>9653</v>
      </c>
      <c r="C4674" s="9" t="s">
        <v>9654</v>
      </c>
      <c r="D4674" s="9" t="s">
        <v>84</v>
      </c>
      <c r="E4674" s="6" t="s">
        <v>9664</v>
      </c>
      <c r="F4674" s="9"/>
    </row>
    <row r="4675" ht="33.75" customHeight="1">
      <c r="A4675" s="7">
        <v>156.0</v>
      </c>
      <c r="B4675" s="9" t="s">
        <v>9653</v>
      </c>
      <c r="C4675" s="9" t="s">
        <v>9654</v>
      </c>
      <c r="D4675" s="9" t="s">
        <v>87</v>
      </c>
      <c r="E4675" s="6" t="s">
        <v>9664</v>
      </c>
      <c r="F4675" s="9"/>
    </row>
    <row r="4676" ht="33.75" customHeight="1">
      <c r="A4676" s="7">
        <v>156.0</v>
      </c>
      <c r="B4676" s="9" t="s">
        <v>9653</v>
      </c>
      <c r="C4676" s="9" t="s">
        <v>9654</v>
      </c>
      <c r="D4676" s="9" t="s">
        <v>89</v>
      </c>
      <c r="E4676" s="6" t="s">
        <v>9655</v>
      </c>
      <c r="F4676" s="9"/>
    </row>
    <row r="4677" ht="33.75" customHeight="1">
      <c r="A4677" s="7">
        <v>156.0</v>
      </c>
      <c r="B4677" s="9" t="s">
        <v>9653</v>
      </c>
      <c r="C4677" s="9" t="s">
        <v>9654</v>
      </c>
      <c r="D4677" s="9" t="s">
        <v>91</v>
      </c>
      <c r="E4677" s="6" t="s">
        <v>9669</v>
      </c>
      <c r="F4677" s="9"/>
    </row>
    <row r="4678" ht="33.75" customHeight="1">
      <c r="A4678" s="7">
        <v>156.0</v>
      </c>
      <c r="B4678" s="9" t="s">
        <v>9653</v>
      </c>
      <c r="C4678" s="9" t="s">
        <v>9654</v>
      </c>
      <c r="D4678" s="9" t="s">
        <v>93</v>
      </c>
      <c r="E4678" s="6" t="s">
        <v>9664</v>
      </c>
      <c r="F4678" s="9"/>
    </row>
    <row r="4679" ht="33.75" customHeight="1">
      <c r="A4679" s="7">
        <v>156.0</v>
      </c>
      <c r="B4679" s="9" t="s">
        <v>9653</v>
      </c>
      <c r="C4679" s="9" t="s">
        <v>9654</v>
      </c>
      <c r="D4679" s="9" t="s">
        <v>95</v>
      </c>
      <c r="E4679" s="6" t="s">
        <v>9664</v>
      </c>
      <c r="F4679" s="9"/>
    </row>
    <row r="4680" ht="33.75" customHeight="1">
      <c r="A4680" s="7">
        <v>156.0</v>
      </c>
      <c r="B4680" s="9" t="s">
        <v>9653</v>
      </c>
      <c r="C4680" s="9" t="s">
        <v>9654</v>
      </c>
      <c r="D4680" s="9" t="s">
        <v>98</v>
      </c>
      <c r="E4680" s="6" t="s">
        <v>9664</v>
      </c>
      <c r="F4680" s="9"/>
    </row>
    <row r="4681" ht="33.75" customHeight="1">
      <c r="A4681" s="7">
        <v>156.0</v>
      </c>
      <c r="B4681" s="9" t="s">
        <v>9653</v>
      </c>
      <c r="C4681" s="9" t="s">
        <v>9654</v>
      </c>
      <c r="D4681" s="9" t="s">
        <v>99</v>
      </c>
      <c r="E4681" s="6" t="s">
        <v>9664</v>
      </c>
      <c r="F4681" s="9"/>
    </row>
    <row r="4682" ht="33.75" customHeight="1">
      <c r="A4682" s="7">
        <v>156.0</v>
      </c>
      <c r="B4682" s="9" t="s">
        <v>9653</v>
      </c>
      <c r="C4682" s="9" t="s">
        <v>9654</v>
      </c>
      <c r="D4682" s="9" t="s">
        <v>101</v>
      </c>
      <c r="E4682" s="6" t="s">
        <v>9657</v>
      </c>
      <c r="F4682" s="9"/>
    </row>
    <row r="4683" ht="33.75" customHeight="1">
      <c r="A4683" s="7">
        <v>156.0</v>
      </c>
      <c r="B4683" s="9" t="s">
        <v>9653</v>
      </c>
      <c r="C4683" s="9" t="s">
        <v>9654</v>
      </c>
      <c r="D4683" s="9" t="s">
        <v>105</v>
      </c>
      <c r="E4683" s="6" t="s">
        <v>9655</v>
      </c>
      <c r="F4683" s="9"/>
    </row>
    <row r="4684" ht="33.75" customHeight="1">
      <c r="A4684" s="7">
        <v>156.0</v>
      </c>
      <c r="B4684" s="9" t="s">
        <v>9653</v>
      </c>
      <c r="C4684" s="9" t="s">
        <v>9654</v>
      </c>
      <c r="D4684" s="9" t="s">
        <v>107</v>
      </c>
      <c r="E4684" s="6" t="s">
        <v>9679</v>
      </c>
      <c r="F4684" s="9"/>
    </row>
    <row r="4685" ht="33.75" customHeight="1">
      <c r="A4685" s="7">
        <v>156.0</v>
      </c>
      <c r="B4685" s="9" t="s">
        <v>9653</v>
      </c>
      <c r="C4685" s="9" t="s">
        <v>9654</v>
      </c>
      <c r="D4685" s="9" t="s">
        <v>109</v>
      </c>
      <c r="E4685" s="6" t="s">
        <v>9679</v>
      </c>
      <c r="F4685" s="9"/>
    </row>
    <row r="4686" ht="33.75" customHeight="1">
      <c r="A4686" s="7">
        <v>156.0</v>
      </c>
      <c r="B4686" s="9" t="s">
        <v>9653</v>
      </c>
      <c r="C4686" s="9" t="s">
        <v>9654</v>
      </c>
      <c r="D4686" s="9" t="s">
        <v>1577</v>
      </c>
      <c r="E4686" s="6" t="s">
        <v>9681</v>
      </c>
      <c r="F4686" s="9"/>
    </row>
    <row r="4687" ht="33.75" customHeight="1">
      <c r="A4687" s="7">
        <v>157.0</v>
      </c>
      <c r="B4687" s="9" t="s">
        <v>9683</v>
      </c>
      <c r="C4687" s="9" t="s">
        <v>9654</v>
      </c>
      <c r="D4687" s="9" t="s">
        <v>52</v>
      </c>
      <c r="E4687" s="6" t="s">
        <v>9684</v>
      </c>
      <c r="F4687" t="inlineStr" s="10">
        <is>
          <t xml:space="preserve">Jos Typhlosionin raivo huipentuu, se kuumenee niin paljon, että kaikki siihen liittyvä syttyy välittömästi liekkeihin. Sillä on salainen, tuhoisa ele. Se hieroo hehkuvaa turkkiaan yhteen aiheuttaakseen valtavia räjähdyksiä. Kun sen ruumiista tuleva lämpö saa sen ympärillä olevan ilman hohtamaan, se on merkki siitä, että se on valmis taisteluun. TYPHLOSION kätkee itsensä kimaltelevan kuuman usvan taakse, jonka se luo erittäin kuumilla liekeillään. Tämä POKéMON luo roihuavia räjähdyksiä, jotka polttavat kaiken tuhkaksi. Se voi piiloutua hohtavan kuumuuden taakse, jonka se luo voimakkailla liekeillään. TYPHLOSION luo roihuavia räjähdyksiä, jotka polttavat kaiken tuhkaksi. Se hyökkää tuliräjähdyksillä. Se luo lämpöhohteita voimakkaalla tulella piiloutuakseen. Typhlosion kätkee itsensä hohtavan kuuman usvan taakse, jonka se luo erittäin kuumilla liekuillaan. Sanotaan puhdistavan kadonneita, hylättyjä sieluja liekeillään ja ohjaavan heidät tuonpuoleiseen. Uskon, että sen muotoon on vaikuttanut Hisuin keskustassa kohoavan pyhän vuoren energia.</t>
        </is>
      </c>
    </row>
    <row r="4688" ht="33.75" customHeight="1">
      <c r="A4688" s="7">
        <v>157.0</v>
      </c>
      <c r="B4688" s="9" t="s">
        <v>9683</v>
      </c>
      <c r="C4688" s="9" t="s">
        <v>9654</v>
      </c>
      <c r="D4688" s="9" t="s">
        <v>59</v>
      </c>
      <c r="E4688" s="6" t="s">
        <v>9686</v>
      </c>
      <c r="F4688" s="9"/>
    </row>
    <row r="4689" ht="33.75" customHeight="1">
      <c r="A4689" s="7">
        <v>157.0</v>
      </c>
      <c r="B4689" s="9" t="s">
        <v>9683</v>
      </c>
      <c r="C4689" s="9" t="s">
        <v>9654</v>
      </c>
      <c r="D4689" s="9" t="s">
        <v>64</v>
      </c>
      <c r="E4689" s="6" t="s">
        <v>9689</v>
      </c>
      <c r="F4689" s="9"/>
    </row>
    <row r="4690" ht="33.75" customHeight="1">
      <c r="A4690" s="7">
        <v>157.0</v>
      </c>
      <c r="B4690" s="9" t="s">
        <v>9683</v>
      </c>
      <c r="C4690" s="9" t="s">
        <v>9654</v>
      </c>
      <c r="D4690" s="9" t="s">
        <v>67</v>
      </c>
      <c r="E4690" s="6" t="s">
        <v>9691</v>
      </c>
      <c r="F4690" s="9"/>
    </row>
    <row r="4691" ht="33.75" customHeight="1">
      <c r="A4691" s="7">
        <v>157.0</v>
      </c>
      <c r="B4691" s="9" t="s">
        <v>9683</v>
      </c>
      <c r="C4691" s="9" t="s">
        <v>9654</v>
      </c>
      <c r="D4691" s="9" t="s">
        <v>71</v>
      </c>
      <c r="E4691" s="6" t="s">
        <v>9691</v>
      </c>
      <c r="F4691" s="9"/>
    </row>
    <row r="4692" ht="33.75" customHeight="1">
      <c r="A4692" s="7">
        <v>157.0</v>
      </c>
      <c r="B4692" s="9" t="s">
        <v>9683</v>
      </c>
      <c r="C4692" s="9" t="s">
        <v>9654</v>
      </c>
      <c r="D4692" s="9" t="s">
        <v>73</v>
      </c>
      <c r="E4692" s="6" t="s">
        <v>9696</v>
      </c>
      <c r="F4692" s="9"/>
    </row>
    <row r="4693" ht="33.75" customHeight="1">
      <c r="A4693" s="7">
        <v>157.0</v>
      </c>
      <c r="B4693" s="9" t="s">
        <v>9683</v>
      </c>
      <c r="C4693" s="9" t="s">
        <v>9654</v>
      </c>
      <c r="D4693" s="9" t="s">
        <v>75</v>
      </c>
      <c r="E4693" s="6" t="s">
        <v>9686</v>
      </c>
      <c r="F4693" s="9"/>
    </row>
    <row r="4694" ht="33.75" customHeight="1">
      <c r="A4694" s="7">
        <v>157.0</v>
      </c>
      <c r="B4694" s="9" t="s">
        <v>9683</v>
      </c>
      <c r="C4694" s="9" t="s">
        <v>9654</v>
      </c>
      <c r="D4694" s="9" t="s">
        <v>79</v>
      </c>
      <c r="E4694" s="6" t="s">
        <v>9684</v>
      </c>
      <c r="F4694" s="9"/>
    </row>
    <row r="4695" ht="33.75" customHeight="1">
      <c r="A4695" s="7">
        <v>157.0</v>
      </c>
      <c r="B4695" s="9" t="s">
        <v>9683</v>
      </c>
      <c r="C4695" s="9" t="s">
        <v>9654</v>
      </c>
      <c r="D4695" s="9" t="s">
        <v>81</v>
      </c>
      <c r="E4695" s="6" t="s">
        <v>9699</v>
      </c>
      <c r="F4695" s="9"/>
    </row>
    <row r="4696" ht="33.75" customHeight="1">
      <c r="A4696" s="7">
        <v>157.0</v>
      </c>
      <c r="B4696" s="9" t="s">
        <v>9683</v>
      </c>
      <c r="C4696" s="9" t="s">
        <v>9654</v>
      </c>
      <c r="D4696" s="9" t="s">
        <v>84</v>
      </c>
      <c r="E4696" s="6" t="s">
        <v>9699</v>
      </c>
      <c r="F4696" s="9"/>
    </row>
    <row r="4697" ht="33.75" customHeight="1">
      <c r="A4697" s="7">
        <v>157.0</v>
      </c>
      <c r="B4697" s="9" t="s">
        <v>9683</v>
      </c>
      <c r="C4697" s="9" t="s">
        <v>9654</v>
      </c>
      <c r="D4697" s="9" t="s">
        <v>87</v>
      </c>
      <c r="E4697" s="6" t="s">
        <v>9699</v>
      </c>
      <c r="F4697" s="9"/>
    </row>
    <row r="4698" ht="33.75" customHeight="1">
      <c r="A4698" s="7">
        <v>157.0</v>
      </c>
      <c r="B4698" s="9" t="s">
        <v>9683</v>
      </c>
      <c r="C4698" s="9" t="s">
        <v>9654</v>
      </c>
      <c r="D4698" s="9" t="s">
        <v>89</v>
      </c>
      <c r="E4698" s="6" t="s">
        <v>9684</v>
      </c>
      <c r="F4698" s="9"/>
    </row>
    <row r="4699" ht="33.75" customHeight="1">
      <c r="A4699" s="7">
        <v>157.0</v>
      </c>
      <c r="B4699" s="9" t="s">
        <v>9683</v>
      </c>
      <c r="C4699" s="9" t="s">
        <v>9654</v>
      </c>
      <c r="D4699" s="9" t="s">
        <v>91</v>
      </c>
      <c r="E4699" s="6" t="s">
        <v>9686</v>
      </c>
      <c r="F4699" s="9"/>
    </row>
    <row r="4700" ht="33.75" customHeight="1">
      <c r="A4700" s="7">
        <v>157.0</v>
      </c>
      <c r="B4700" s="9" t="s">
        <v>9683</v>
      </c>
      <c r="C4700" s="9" t="s">
        <v>9654</v>
      </c>
      <c r="D4700" s="9" t="s">
        <v>93</v>
      </c>
      <c r="E4700" s="6" t="s">
        <v>9699</v>
      </c>
      <c r="F4700" s="9"/>
    </row>
    <row r="4701" ht="33.75" customHeight="1">
      <c r="A4701" s="7">
        <v>157.0</v>
      </c>
      <c r="B4701" s="9" t="s">
        <v>9683</v>
      </c>
      <c r="C4701" s="9" t="s">
        <v>9654</v>
      </c>
      <c r="D4701" s="9" t="s">
        <v>95</v>
      </c>
      <c r="E4701" s="6" t="s">
        <v>9699</v>
      </c>
      <c r="F4701" s="9"/>
    </row>
    <row r="4702" ht="33.75" customHeight="1">
      <c r="A4702" s="7">
        <v>157.0</v>
      </c>
      <c r="B4702" s="9" t="s">
        <v>9683</v>
      </c>
      <c r="C4702" s="9" t="s">
        <v>9654</v>
      </c>
      <c r="D4702" s="9" t="s">
        <v>98</v>
      </c>
      <c r="E4702" s="6" t="s">
        <v>9699</v>
      </c>
      <c r="F4702" s="9"/>
    </row>
    <row r="4703" ht="33.75" customHeight="1">
      <c r="A4703" s="7">
        <v>157.0</v>
      </c>
      <c r="B4703" s="9" t="s">
        <v>9683</v>
      </c>
      <c r="C4703" s="9" t="s">
        <v>9654</v>
      </c>
      <c r="D4703" s="9" t="s">
        <v>99</v>
      </c>
      <c r="E4703" s="6" t="s">
        <v>9699</v>
      </c>
      <c r="F4703" s="9"/>
    </row>
    <row r="4704" ht="33.75" customHeight="1">
      <c r="A4704" s="7">
        <v>157.0</v>
      </c>
      <c r="B4704" s="9" t="s">
        <v>9683</v>
      </c>
      <c r="C4704" s="9" t="s">
        <v>9654</v>
      </c>
      <c r="D4704" s="9" t="s">
        <v>101</v>
      </c>
      <c r="E4704" s="6" t="s">
        <v>9684</v>
      </c>
      <c r="F4704" s="9"/>
    </row>
    <row r="4705" ht="33.75" customHeight="1">
      <c r="A4705" s="7">
        <v>157.0</v>
      </c>
      <c r="B4705" s="9" t="s">
        <v>9683</v>
      </c>
      <c r="C4705" s="9" t="s">
        <v>9654</v>
      </c>
      <c r="D4705" s="9" t="s">
        <v>105</v>
      </c>
      <c r="E4705" s="6" t="s">
        <v>9686</v>
      </c>
      <c r="F4705" s="9"/>
    </row>
    <row r="4706" ht="33.75" customHeight="1">
      <c r="A4706" s="7">
        <v>157.0</v>
      </c>
      <c r="B4706" s="9" t="s">
        <v>9683</v>
      </c>
      <c r="C4706" s="9" t="s">
        <v>9654</v>
      </c>
      <c r="D4706" s="9" t="s">
        <v>107</v>
      </c>
      <c r="E4706" s="6" t="s">
        <v>9716</v>
      </c>
      <c r="F4706" s="9"/>
    </row>
    <row r="4707" ht="33.75" customHeight="1">
      <c r="A4707" s="7">
        <v>157.0</v>
      </c>
      <c r="B4707" s="9" t="s">
        <v>9683</v>
      </c>
      <c r="C4707" s="9" t="s">
        <v>9654</v>
      </c>
      <c r="D4707" s="9" t="s">
        <v>109</v>
      </c>
      <c r="E4707" s="6" t="s">
        <v>9716</v>
      </c>
      <c r="F4707" s="9"/>
    </row>
    <row r="4708" ht="33.75" customHeight="1">
      <c r="A4708" s="7">
        <v>157.0</v>
      </c>
      <c r="B4708" s="9" t="s">
        <v>9683</v>
      </c>
      <c r="C4708" s="9" t="s">
        <v>9654</v>
      </c>
      <c r="D4708" s="9" t="s">
        <v>1577</v>
      </c>
      <c r="E4708" s="6" t="s">
        <v>9720</v>
      </c>
      <c r="F4708" s="9"/>
    </row>
    <row r="4709" ht="33.75" customHeight="1">
      <c r="A4709" s="7">
        <v>158.0</v>
      </c>
      <c r="B4709" s="9" t="s">
        <v>9723</v>
      </c>
      <c r="C4709" s="9" t="s">
        <v>9725</v>
      </c>
      <c r="D4709" s="9" t="s">
        <v>52</v>
      </c>
      <c r="E4709" s="6" t="s">
        <v>9726</v>
      </c>
      <c r="F4709" t="inlineStr" s="10">
        <is>
          <t xml:space="preserve">Totodilen hyvin kehittyneet leuat ovat voimakkaat ja kykenevät murskaamaan mitä tahansa. Jopa sen kouluttajan on oltava varovainen. Se on pieni mutta karu ja sitkeä. Se ei epäröi purra mitään, mikä liikkuu. Tämä karkea otus jyrää kaikkia näkemiään liikkuvia kohteita. Selän kääntämistä sille ei suositella. Pienestä koostaan ​​huolimatta TOTODILEn leuat ovat erittäin voimakkaat. Vaikka POKéMON saattaa luulla vain leikkisän näykkivän, sen purema on tarpeeksi voimakas aiheuttamaan vakavia vammoja. Pienestä ruumiistaan ​​huolimatta TOTODILEn leuat ovat erittäin voimakkaat. Vaikka se saattaa luulla vain leikkisän näykkivän, sen purenta on tarpeeksi voimakas aiheuttamaan vakavan vamman. Sillä on tapana purra mitä tahansa kehittyneillä leuoillaan. Sen voimakkaat ja hyvin kehittyneet leuat pystyvät murskaamaan mitä tahansa.</t>
        </is>
      </c>
    </row>
    <row r="4710" ht="33.75" customHeight="1">
      <c r="A4710" s="7">
        <v>158.0</v>
      </c>
      <c r="B4710" s="9" t="s">
        <v>9723</v>
      </c>
      <c r="C4710" s="9" t="s">
        <v>9725</v>
      </c>
      <c r="D4710" s="9" t="s">
        <v>59</v>
      </c>
      <c r="E4710" s="6" t="s">
        <v>9729</v>
      </c>
      <c r="F4710" s="9"/>
    </row>
    <row r="4711" ht="33.75" customHeight="1">
      <c r="A4711" s="7">
        <v>158.0</v>
      </c>
      <c r="B4711" s="9" t="s">
        <v>9723</v>
      </c>
      <c r="C4711" s="9" t="s">
        <v>9725</v>
      </c>
      <c r="D4711" s="9" t="s">
        <v>64</v>
      </c>
      <c r="E4711" s="6" t="s">
        <v>9731</v>
      </c>
      <c r="F4711" s="9"/>
    </row>
    <row r="4712" ht="33.75" customHeight="1">
      <c r="A4712" s="7">
        <v>158.0</v>
      </c>
      <c r="B4712" s="9" t="s">
        <v>9723</v>
      </c>
      <c r="C4712" s="9" t="s">
        <v>9725</v>
      </c>
      <c r="D4712" s="9" t="s">
        <v>67</v>
      </c>
      <c r="E4712" s="6" t="s">
        <v>9734</v>
      </c>
      <c r="F4712" s="9"/>
    </row>
    <row r="4713" ht="33.75" customHeight="1">
      <c r="A4713" s="7">
        <v>158.0</v>
      </c>
      <c r="B4713" s="9" t="s">
        <v>9723</v>
      </c>
      <c r="C4713" s="9" t="s">
        <v>9725</v>
      </c>
      <c r="D4713" s="9" t="s">
        <v>71</v>
      </c>
      <c r="E4713" s="6" t="s">
        <v>9734</v>
      </c>
      <c r="F4713" s="9"/>
    </row>
    <row r="4714" ht="33.75" customHeight="1">
      <c r="A4714" s="7">
        <v>158.0</v>
      </c>
      <c r="B4714" s="9" t="s">
        <v>9723</v>
      </c>
      <c r="C4714" s="9" t="s">
        <v>9725</v>
      </c>
      <c r="D4714" s="9" t="s">
        <v>73</v>
      </c>
      <c r="E4714" s="6" t="s">
        <v>9738</v>
      </c>
      <c r="F4714" s="9"/>
    </row>
    <row r="4715" ht="33.75" customHeight="1">
      <c r="A4715" s="7">
        <v>158.0</v>
      </c>
      <c r="B4715" s="9" t="s">
        <v>9723</v>
      </c>
      <c r="C4715" s="9" t="s">
        <v>9725</v>
      </c>
      <c r="D4715" s="9" t="s">
        <v>75</v>
      </c>
      <c r="E4715" s="6" t="s">
        <v>9729</v>
      </c>
      <c r="F4715" s="9"/>
    </row>
    <row r="4716" ht="33.75" customHeight="1">
      <c r="A4716" s="7">
        <v>158.0</v>
      </c>
      <c r="B4716" s="9" t="s">
        <v>9723</v>
      </c>
      <c r="C4716" s="9" t="s">
        <v>9725</v>
      </c>
      <c r="D4716" s="9" t="s">
        <v>79</v>
      </c>
      <c r="E4716" s="6" t="s">
        <v>9742</v>
      </c>
      <c r="F4716" s="9"/>
    </row>
    <row r="4717" ht="33.75" customHeight="1">
      <c r="A4717" s="7">
        <v>158.0</v>
      </c>
      <c r="B4717" s="9" t="s">
        <v>9723</v>
      </c>
      <c r="C4717" s="9" t="s">
        <v>9725</v>
      </c>
      <c r="D4717" s="9" t="s">
        <v>81</v>
      </c>
      <c r="E4717" s="6" t="s">
        <v>9744</v>
      </c>
      <c r="F4717" s="9"/>
    </row>
    <row r="4718" ht="33.75" customHeight="1">
      <c r="A4718" s="7">
        <v>158.0</v>
      </c>
      <c r="B4718" s="9" t="s">
        <v>9723</v>
      </c>
      <c r="C4718" s="9" t="s">
        <v>9725</v>
      </c>
      <c r="D4718" s="9" t="s">
        <v>84</v>
      </c>
      <c r="E4718" s="6" t="s">
        <v>9744</v>
      </c>
      <c r="F4718" s="9"/>
    </row>
    <row r="4719" ht="33.75" customHeight="1">
      <c r="A4719" s="7">
        <v>158.0</v>
      </c>
      <c r="B4719" s="9" t="s">
        <v>9723</v>
      </c>
      <c r="C4719" s="9" t="s">
        <v>9725</v>
      </c>
      <c r="D4719" s="9" t="s">
        <v>87</v>
      </c>
      <c r="E4719" s="6" t="s">
        <v>9744</v>
      </c>
      <c r="F4719" s="9"/>
    </row>
    <row r="4720" ht="33.75" customHeight="1">
      <c r="A4720" s="7">
        <v>158.0</v>
      </c>
      <c r="B4720" s="9" t="s">
        <v>9723</v>
      </c>
      <c r="C4720" s="9" t="s">
        <v>9725</v>
      </c>
      <c r="D4720" s="9" t="s">
        <v>89</v>
      </c>
      <c r="E4720" s="6" t="s">
        <v>9748</v>
      </c>
      <c r="F4720" s="9"/>
    </row>
    <row r="4721" ht="33.75" customHeight="1">
      <c r="A4721" s="7">
        <v>158.0</v>
      </c>
      <c r="B4721" s="9" t="s">
        <v>9723</v>
      </c>
      <c r="C4721" s="9" t="s">
        <v>9725</v>
      </c>
      <c r="D4721" s="9" t="s">
        <v>91</v>
      </c>
      <c r="E4721" s="6" t="s">
        <v>9729</v>
      </c>
      <c r="F4721" s="9"/>
    </row>
    <row r="4722" ht="33.75" customHeight="1">
      <c r="A4722" s="7">
        <v>158.0</v>
      </c>
      <c r="B4722" s="9" t="s">
        <v>9723</v>
      </c>
      <c r="C4722" s="9" t="s">
        <v>9725</v>
      </c>
      <c r="D4722" s="9" t="s">
        <v>93</v>
      </c>
      <c r="E4722" s="6" t="s">
        <v>9744</v>
      </c>
      <c r="F4722" s="9"/>
    </row>
    <row r="4723" ht="33.75" customHeight="1">
      <c r="A4723" s="7">
        <v>158.0</v>
      </c>
      <c r="B4723" s="9" t="s">
        <v>9723</v>
      </c>
      <c r="C4723" s="9" t="s">
        <v>9725</v>
      </c>
      <c r="D4723" s="9" t="s">
        <v>95</v>
      </c>
      <c r="E4723" s="6" t="s">
        <v>9744</v>
      </c>
      <c r="F4723" s="9"/>
    </row>
    <row r="4724" ht="33.75" customHeight="1">
      <c r="A4724" s="7">
        <v>158.0</v>
      </c>
      <c r="B4724" s="9" t="s">
        <v>9723</v>
      </c>
      <c r="C4724" s="9" t="s">
        <v>9725</v>
      </c>
      <c r="D4724" s="9" t="s">
        <v>98</v>
      </c>
      <c r="E4724" s="6" t="s">
        <v>9744</v>
      </c>
      <c r="F4724" s="9"/>
    </row>
    <row r="4725" ht="33.75" customHeight="1">
      <c r="A4725" s="7">
        <v>158.0</v>
      </c>
      <c r="B4725" s="9" t="s">
        <v>9723</v>
      </c>
      <c r="C4725" s="9" t="s">
        <v>9725</v>
      </c>
      <c r="D4725" s="9" t="s">
        <v>99</v>
      </c>
      <c r="E4725" s="6" t="s">
        <v>9744</v>
      </c>
      <c r="F4725" s="9"/>
    </row>
    <row r="4726" ht="33.75" customHeight="1">
      <c r="A4726" s="7">
        <v>158.0</v>
      </c>
      <c r="B4726" s="9" t="s">
        <v>9723</v>
      </c>
      <c r="C4726" s="9" t="s">
        <v>9725</v>
      </c>
      <c r="D4726" s="9" t="s">
        <v>101</v>
      </c>
      <c r="E4726" s="6" t="s">
        <v>9729</v>
      </c>
      <c r="F4726" s="9"/>
    </row>
    <row r="4727" ht="33.75" customHeight="1">
      <c r="A4727" s="7">
        <v>158.0</v>
      </c>
      <c r="B4727" s="9" t="s">
        <v>9723</v>
      </c>
      <c r="C4727" s="9" t="s">
        <v>9725</v>
      </c>
      <c r="D4727" s="9" t="s">
        <v>105</v>
      </c>
      <c r="E4727" s="6" t="s">
        <v>9748</v>
      </c>
      <c r="F4727" s="9"/>
    </row>
    <row r="4728" ht="33.75" customHeight="1">
      <c r="A4728" s="7">
        <v>158.0</v>
      </c>
      <c r="B4728" s="9" t="s">
        <v>9723</v>
      </c>
      <c r="C4728" s="9" t="s">
        <v>9725</v>
      </c>
      <c r="D4728" s="9" t="s">
        <v>107</v>
      </c>
      <c r="E4728" s="6" t="s">
        <v>9760</v>
      </c>
      <c r="F4728" s="9"/>
    </row>
    <row r="4729" ht="33.75" customHeight="1">
      <c r="A4729" s="7">
        <v>158.0</v>
      </c>
      <c r="B4729" s="9" t="s">
        <v>9723</v>
      </c>
      <c r="C4729" s="9" t="s">
        <v>9725</v>
      </c>
      <c r="D4729" s="9" t="s">
        <v>109</v>
      </c>
      <c r="E4729" s="6" t="s">
        <v>9760</v>
      </c>
      <c r="F4729" s="9"/>
    </row>
    <row r="4730" ht="33.75" customHeight="1">
      <c r="A4730" s="7">
        <v>159.0</v>
      </c>
      <c r="B4730" s="9" t="s">
        <v>9762</v>
      </c>
      <c r="C4730" s="9" t="s">
        <v>9725</v>
      </c>
      <c r="D4730" s="9" t="s">
        <v>52</v>
      </c>
      <c r="E4730" s="6" t="s">
        <v>9764</v>
      </c>
      <c r="F4730" t="inlineStr" s="10">
        <is>
          <t xml:space="preserve">Jos se menettää hampaansa, uusi kasvaa Croconawin tilalle. Sen suussa on aina 48 hampaista. Se avaa valtavat leukansa ammolleen hyökätessään. Jos se menettää purressaan kulmahampaitaan, ne kasvavat takaisin. Sen kulmahampaiden kärjet ovat taaksepäin kallistuneet. Kun kulmahampaat ovat kiinni, saaliilla ei ole toivoa paeta. Kun CROCONAW on puristanut leukansa viholliseensa, se ei missään nimessä päästä irti. Koska sen kulmahampaiden kärjet ovat haarukkamaiset kuin piikkiset ongenkoukut, niitä on mahdotonta poistaa niiden upottua maahan. Kun sen leuat ovat kerran puristaneet vihollistaan, se ei missään nimessä päästä irti. Koska sen kulmahampaiden kärjet ovat haarukkamaiset taaksepäin kuin ongenkoukut, ne juuttuvat pysyvästi kiinni viholliseen. Kun se puree alas, se ei päästä irti ennen kuin menettää kulmahampaansa. Uudet kulmahampaat kasvavat nopeasti tilalle. Koska sen kulmahampaiden kärjet ovat haarukkamaiset kuin piikkiset ongenkoukut, niitä on mahdotonta poistaa niiden upottua sisään.</t>
        </is>
      </c>
    </row>
    <row r="4731" ht="33.75" customHeight="1">
      <c r="A4731" s="7">
        <v>159.0</v>
      </c>
      <c r="B4731" s="9" t="s">
        <v>9762</v>
      </c>
      <c r="C4731" s="9" t="s">
        <v>9725</v>
      </c>
      <c r="D4731" s="9" t="s">
        <v>59</v>
      </c>
      <c r="E4731" s="6" t="s">
        <v>9766</v>
      </c>
      <c r="F4731" s="9"/>
    </row>
    <row r="4732" ht="33.75" customHeight="1">
      <c r="A4732" s="7">
        <v>159.0</v>
      </c>
      <c r="B4732" s="9" t="s">
        <v>9762</v>
      </c>
      <c r="C4732" s="9" t="s">
        <v>9725</v>
      </c>
      <c r="D4732" s="9" t="s">
        <v>64</v>
      </c>
      <c r="E4732" s="6" t="s">
        <v>9768</v>
      </c>
      <c r="F4732" s="9"/>
    </row>
    <row r="4733" ht="33.75" customHeight="1">
      <c r="A4733" s="7">
        <v>159.0</v>
      </c>
      <c r="B4733" s="9" t="s">
        <v>9762</v>
      </c>
      <c r="C4733" s="9" t="s">
        <v>9725</v>
      </c>
      <c r="D4733" s="9" t="s">
        <v>67</v>
      </c>
      <c r="E4733" s="6" t="s">
        <v>9770</v>
      </c>
      <c r="F4733" s="9"/>
    </row>
    <row r="4734" ht="33.75" customHeight="1">
      <c r="A4734" s="7">
        <v>159.0</v>
      </c>
      <c r="B4734" s="9" t="s">
        <v>9762</v>
      </c>
      <c r="C4734" s="9" t="s">
        <v>9725</v>
      </c>
      <c r="D4734" s="9" t="s">
        <v>71</v>
      </c>
      <c r="E4734" s="6" t="s">
        <v>9770</v>
      </c>
      <c r="F4734" s="9"/>
    </row>
    <row r="4735" ht="33.75" customHeight="1">
      <c r="A4735" s="7">
        <v>159.0</v>
      </c>
      <c r="B4735" s="9" t="s">
        <v>9762</v>
      </c>
      <c r="C4735" s="9" t="s">
        <v>9725</v>
      </c>
      <c r="D4735" s="9" t="s">
        <v>73</v>
      </c>
      <c r="E4735" s="6" t="s">
        <v>9772</v>
      </c>
      <c r="F4735" s="9"/>
    </row>
    <row r="4736" ht="33.75" customHeight="1">
      <c r="A4736" s="7">
        <v>159.0</v>
      </c>
      <c r="B4736" s="9" t="s">
        <v>9762</v>
      </c>
      <c r="C4736" s="9" t="s">
        <v>9725</v>
      </c>
      <c r="D4736" s="9" t="s">
        <v>75</v>
      </c>
      <c r="E4736" s="6" t="s">
        <v>9766</v>
      </c>
      <c r="F4736" s="9"/>
    </row>
    <row r="4737" ht="33.75" customHeight="1">
      <c r="A4737" s="7">
        <v>159.0</v>
      </c>
      <c r="B4737" s="9" t="s">
        <v>9762</v>
      </c>
      <c r="C4737" s="9" t="s">
        <v>9725</v>
      </c>
      <c r="D4737" s="9" t="s">
        <v>79</v>
      </c>
      <c r="E4737" s="6" t="s">
        <v>9764</v>
      </c>
      <c r="F4737" s="9"/>
    </row>
    <row r="4738" ht="33.75" customHeight="1">
      <c r="A4738" s="7">
        <v>159.0</v>
      </c>
      <c r="B4738" s="9" t="s">
        <v>9762</v>
      </c>
      <c r="C4738" s="9" t="s">
        <v>9725</v>
      </c>
      <c r="D4738" s="9" t="s">
        <v>81</v>
      </c>
      <c r="E4738" s="6" t="s">
        <v>9775</v>
      </c>
      <c r="F4738" s="9"/>
    </row>
    <row r="4739" ht="33.75" customHeight="1">
      <c r="A4739" s="7">
        <v>159.0</v>
      </c>
      <c r="B4739" s="9" t="s">
        <v>9762</v>
      </c>
      <c r="C4739" s="9" t="s">
        <v>9725</v>
      </c>
      <c r="D4739" s="9" t="s">
        <v>84</v>
      </c>
      <c r="E4739" s="6" t="s">
        <v>9775</v>
      </c>
      <c r="F4739" s="9"/>
    </row>
    <row r="4740" ht="33.75" customHeight="1">
      <c r="A4740" s="7">
        <v>159.0</v>
      </c>
      <c r="B4740" s="9" t="s">
        <v>9762</v>
      </c>
      <c r="C4740" s="9" t="s">
        <v>9725</v>
      </c>
      <c r="D4740" s="9" t="s">
        <v>87</v>
      </c>
      <c r="E4740" s="6" t="s">
        <v>9775</v>
      </c>
      <c r="F4740" s="9"/>
    </row>
    <row r="4741" ht="33.75" customHeight="1">
      <c r="A4741" s="7">
        <v>159.0</v>
      </c>
      <c r="B4741" s="9" t="s">
        <v>9762</v>
      </c>
      <c r="C4741" s="9" t="s">
        <v>9725</v>
      </c>
      <c r="D4741" s="9" t="s">
        <v>89</v>
      </c>
      <c r="E4741" s="6" t="s">
        <v>9764</v>
      </c>
      <c r="F4741" s="9"/>
    </row>
    <row r="4742" ht="33.75" customHeight="1">
      <c r="A4742" s="7">
        <v>159.0</v>
      </c>
      <c r="B4742" s="9" t="s">
        <v>9762</v>
      </c>
      <c r="C4742" s="9" t="s">
        <v>9725</v>
      </c>
      <c r="D4742" s="9" t="s">
        <v>91</v>
      </c>
      <c r="E4742" s="6" t="s">
        <v>9766</v>
      </c>
      <c r="F4742" s="9"/>
    </row>
    <row r="4743" ht="33.75" customHeight="1">
      <c r="A4743" s="7">
        <v>159.0</v>
      </c>
      <c r="B4743" s="9" t="s">
        <v>9762</v>
      </c>
      <c r="C4743" s="9" t="s">
        <v>9725</v>
      </c>
      <c r="D4743" s="9" t="s">
        <v>93</v>
      </c>
      <c r="E4743" s="6" t="s">
        <v>9775</v>
      </c>
      <c r="F4743" s="9"/>
    </row>
    <row r="4744" ht="33.75" customHeight="1">
      <c r="A4744" s="7">
        <v>159.0</v>
      </c>
      <c r="B4744" s="9" t="s">
        <v>9762</v>
      </c>
      <c r="C4744" s="9" t="s">
        <v>9725</v>
      </c>
      <c r="D4744" s="9" t="s">
        <v>95</v>
      </c>
      <c r="E4744" s="6" t="s">
        <v>9775</v>
      </c>
      <c r="F4744" s="9"/>
    </row>
    <row r="4745" ht="33.75" customHeight="1">
      <c r="A4745" s="7">
        <v>159.0</v>
      </c>
      <c r="B4745" s="9" t="s">
        <v>9762</v>
      </c>
      <c r="C4745" s="9" t="s">
        <v>9725</v>
      </c>
      <c r="D4745" s="9" t="s">
        <v>98</v>
      </c>
      <c r="E4745" s="6" t="s">
        <v>9775</v>
      </c>
      <c r="F4745" s="9"/>
    </row>
    <row r="4746" ht="33.75" customHeight="1">
      <c r="A4746" s="7">
        <v>159.0</v>
      </c>
      <c r="B4746" s="9" t="s">
        <v>9762</v>
      </c>
      <c r="C4746" s="9" t="s">
        <v>9725</v>
      </c>
      <c r="D4746" s="9" t="s">
        <v>99</v>
      </c>
      <c r="E4746" s="6" t="s">
        <v>9775</v>
      </c>
      <c r="F4746" s="9"/>
    </row>
    <row r="4747" ht="33.75" customHeight="1">
      <c r="A4747" s="7">
        <v>159.0</v>
      </c>
      <c r="B4747" s="9" t="s">
        <v>9762</v>
      </c>
      <c r="C4747" s="9" t="s">
        <v>9725</v>
      </c>
      <c r="D4747" s="9" t="s">
        <v>101</v>
      </c>
      <c r="E4747" s="6" t="s">
        <v>9764</v>
      </c>
      <c r="F4747" s="9"/>
    </row>
    <row r="4748" ht="33.75" customHeight="1">
      <c r="A4748" s="7">
        <v>159.0</v>
      </c>
      <c r="B4748" s="9" t="s">
        <v>9762</v>
      </c>
      <c r="C4748" s="9" t="s">
        <v>9725</v>
      </c>
      <c r="D4748" s="9" t="s">
        <v>105</v>
      </c>
      <c r="E4748" s="6" t="s">
        <v>9775</v>
      </c>
      <c r="F4748" s="9"/>
    </row>
    <row r="4749" ht="33.75" customHeight="1">
      <c r="A4749" s="7">
        <v>159.0</v>
      </c>
      <c r="B4749" s="9" t="s">
        <v>9762</v>
      </c>
      <c r="C4749" s="9" t="s">
        <v>9725</v>
      </c>
      <c r="D4749" s="9" t="s">
        <v>107</v>
      </c>
      <c r="E4749" s="6" t="s">
        <v>9790</v>
      </c>
      <c r="F4749" s="9"/>
    </row>
    <row r="4750" ht="33.75" customHeight="1">
      <c r="A4750" s="7">
        <v>159.0</v>
      </c>
      <c r="B4750" s="9" t="s">
        <v>9762</v>
      </c>
      <c r="C4750" s="9" t="s">
        <v>9725</v>
      </c>
      <c r="D4750" s="9" t="s">
        <v>109</v>
      </c>
      <c r="E4750" s="6" t="s">
        <v>9790</v>
      </c>
      <c r="F4750" s="9"/>
    </row>
    <row r="4751" ht="33.75" customHeight="1">
      <c r="A4751" s="7">
        <v>160.0</v>
      </c>
      <c r="B4751" s="9" t="s">
        <v>9793</v>
      </c>
      <c r="C4751" s="9" t="s">
        <v>9725</v>
      </c>
      <c r="D4751" s="9" t="s">
        <v>52</v>
      </c>
      <c r="E4751" s="6" t="s">
        <v>9795</v>
      </c>
      <c r="F4751" t="inlineStr" s="10">
        <is>
          <t xml:space="preserve">Kun se puree massiivisilla ja voimakkailla leuoillaan, se pudistelee päätään ja repii uhrinsa raa'asti irti. Sen on vaikea kannatella omaa painoaan vedessä, joten se laskeutuu kontalleen. Mutta se liikkuu nopeasti. Vaikka sillä on massiivinen ruumis, sen voimakkaat takajalat mahdollistavat nopean liikkumisen jopa maassa. FERALIGATR pelottelee vihollisiaan avaamalla valtavan kitansa. Taistelussa se potkaisee maata lujaa paksuilla ja voimakkailla takajaloillaan ja hyökkää vihollisen kimppuun uskomattomalla nopeudella. Se avaa valtavan kitansa pelotellakseen vihollisia. Taistelussa se juoksee käyttäen paksuja ja voimakkaita takajalkojaan hyökätäkseen vihollisen kimppuun uskomattomalla nopeudella. Kun se puree massiivisilla ja voimakkailla leuoillaan, se pudistelee päätään ja repii uhrinsa raa'asti. Se liikkuu yleensä hitaasti, mutta hyökätessään ja purressaan saalista se etenee sokaisevaa vauhtia. Sen on vaikea kannatella painoaan vedessä, joten se joskus laskeutuu kontalleen.</t>
        </is>
      </c>
    </row>
    <row r="4752" ht="33.75" customHeight="1">
      <c r="A4752" s="7">
        <v>160.0</v>
      </c>
      <c r="B4752" s="9" t="s">
        <v>9793</v>
      </c>
      <c r="C4752" s="9" t="s">
        <v>9725</v>
      </c>
      <c r="D4752" s="9" t="s">
        <v>59</v>
      </c>
      <c r="E4752" s="6" t="s">
        <v>9797</v>
      </c>
      <c r="F4752" s="9"/>
    </row>
    <row r="4753" ht="33.75" customHeight="1">
      <c r="A4753" s="7">
        <v>160.0</v>
      </c>
      <c r="B4753" s="9" t="s">
        <v>9793</v>
      </c>
      <c r="C4753" s="9" t="s">
        <v>9725</v>
      </c>
      <c r="D4753" s="9" t="s">
        <v>64</v>
      </c>
      <c r="E4753" s="6" t="s">
        <v>9799</v>
      </c>
      <c r="F4753" s="9"/>
    </row>
    <row r="4754" ht="33.75" customHeight="1">
      <c r="A4754" s="7">
        <v>160.0</v>
      </c>
      <c r="B4754" s="9" t="s">
        <v>9793</v>
      </c>
      <c r="C4754" s="9" t="s">
        <v>9725</v>
      </c>
      <c r="D4754" s="9" t="s">
        <v>67</v>
      </c>
      <c r="E4754" s="6" t="s">
        <v>9801</v>
      </c>
      <c r="F4754" s="9"/>
    </row>
    <row r="4755" ht="33.75" customHeight="1">
      <c r="A4755" s="7">
        <v>160.0</v>
      </c>
      <c r="B4755" s="9" t="s">
        <v>9793</v>
      </c>
      <c r="C4755" s="9" t="s">
        <v>9725</v>
      </c>
      <c r="D4755" s="9" t="s">
        <v>71</v>
      </c>
      <c r="E4755" s="6" t="s">
        <v>9801</v>
      </c>
      <c r="F4755" s="9"/>
    </row>
    <row r="4756" ht="33.75" customHeight="1">
      <c r="A4756" s="7">
        <v>160.0</v>
      </c>
      <c r="B4756" s="9" t="s">
        <v>9793</v>
      </c>
      <c r="C4756" s="9" t="s">
        <v>9725</v>
      </c>
      <c r="D4756" s="9" t="s">
        <v>73</v>
      </c>
      <c r="E4756" s="6" t="s">
        <v>9804</v>
      </c>
      <c r="F4756" s="9"/>
    </row>
    <row r="4757" ht="33.75" customHeight="1">
      <c r="A4757" s="7">
        <v>160.0</v>
      </c>
      <c r="B4757" s="9" t="s">
        <v>9793</v>
      </c>
      <c r="C4757" s="9" t="s">
        <v>9725</v>
      </c>
      <c r="D4757" s="9" t="s">
        <v>75</v>
      </c>
      <c r="E4757" s="6" t="s">
        <v>9797</v>
      </c>
      <c r="F4757" s="9"/>
    </row>
    <row r="4758" ht="33.75" customHeight="1">
      <c r="A4758" s="7">
        <v>160.0</v>
      </c>
      <c r="B4758" s="9" t="s">
        <v>9793</v>
      </c>
      <c r="C4758" s="9" t="s">
        <v>9725</v>
      </c>
      <c r="D4758" s="9" t="s">
        <v>79</v>
      </c>
      <c r="E4758" s="6" t="s">
        <v>9806</v>
      </c>
      <c r="F4758" s="9"/>
    </row>
    <row r="4759" ht="33.75" customHeight="1">
      <c r="A4759" s="7">
        <v>160.0</v>
      </c>
      <c r="B4759" s="9" t="s">
        <v>9793</v>
      </c>
      <c r="C4759" s="9" t="s">
        <v>9725</v>
      </c>
      <c r="D4759" s="9" t="s">
        <v>81</v>
      </c>
      <c r="E4759" s="6" t="s">
        <v>9807</v>
      </c>
      <c r="F4759" s="9"/>
    </row>
    <row r="4760" ht="33.75" customHeight="1">
      <c r="A4760" s="7">
        <v>160.0</v>
      </c>
      <c r="B4760" s="9" t="s">
        <v>9793</v>
      </c>
      <c r="C4760" s="9" t="s">
        <v>9725</v>
      </c>
      <c r="D4760" s="9" t="s">
        <v>84</v>
      </c>
      <c r="E4760" s="6" t="s">
        <v>9807</v>
      </c>
      <c r="F4760" s="9"/>
    </row>
    <row r="4761" ht="33.75" customHeight="1">
      <c r="A4761" s="7">
        <v>160.0</v>
      </c>
      <c r="B4761" s="9" t="s">
        <v>9793</v>
      </c>
      <c r="C4761" s="9" t="s">
        <v>9725</v>
      </c>
      <c r="D4761" s="9" t="s">
        <v>87</v>
      </c>
      <c r="E4761" s="6" t="s">
        <v>9807</v>
      </c>
      <c r="F4761" s="9"/>
    </row>
    <row r="4762" ht="33.75" customHeight="1">
      <c r="A4762" s="7">
        <v>160.0</v>
      </c>
      <c r="B4762" s="9" t="s">
        <v>9793</v>
      </c>
      <c r="C4762" s="9" t="s">
        <v>9725</v>
      </c>
      <c r="D4762" s="9" t="s">
        <v>89</v>
      </c>
      <c r="E4762" s="6" t="s">
        <v>9795</v>
      </c>
      <c r="F4762" s="9"/>
    </row>
    <row r="4763" ht="33.75" customHeight="1">
      <c r="A4763" s="7">
        <v>160.0</v>
      </c>
      <c r="B4763" s="9" t="s">
        <v>9793</v>
      </c>
      <c r="C4763" s="9" t="s">
        <v>9725</v>
      </c>
      <c r="D4763" s="9" t="s">
        <v>91</v>
      </c>
      <c r="E4763" s="6" t="s">
        <v>9811</v>
      </c>
      <c r="F4763" s="9"/>
    </row>
    <row r="4764" ht="33.75" customHeight="1">
      <c r="A4764" s="7">
        <v>160.0</v>
      </c>
      <c r="B4764" s="9" t="s">
        <v>9793</v>
      </c>
      <c r="C4764" s="9" t="s">
        <v>9725</v>
      </c>
      <c r="D4764" s="9" t="s">
        <v>93</v>
      </c>
      <c r="E4764" s="6" t="s">
        <v>9807</v>
      </c>
      <c r="F4764" s="9"/>
    </row>
    <row r="4765" ht="33.75" customHeight="1">
      <c r="A4765" s="7">
        <v>160.0</v>
      </c>
      <c r="B4765" s="9" t="s">
        <v>9793</v>
      </c>
      <c r="C4765" s="9" t="s">
        <v>9725</v>
      </c>
      <c r="D4765" s="9" t="s">
        <v>95</v>
      </c>
      <c r="E4765" s="6" t="s">
        <v>9807</v>
      </c>
      <c r="F4765" s="9"/>
    </row>
    <row r="4766" ht="33.75" customHeight="1">
      <c r="A4766" s="7">
        <v>160.0</v>
      </c>
      <c r="B4766" s="9" t="s">
        <v>9793</v>
      </c>
      <c r="C4766" s="9" t="s">
        <v>9725</v>
      </c>
      <c r="D4766" s="9" t="s">
        <v>98</v>
      </c>
      <c r="E4766" s="6" t="s">
        <v>9807</v>
      </c>
      <c r="F4766" s="9"/>
    </row>
    <row r="4767" ht="33.75" customHeight="1">
      <c r="A4767" s="7">
        <v>160.0</v>
      </c>
      <c r="B4767" s="9" t="s">
        <v>9793</v>
      </c>
      <c r="C4767" s="9" t="s">
        <v>9725</v>
      </c>
      <c r="D4767" s="9" t="s">
        <v>99</v>
      </c>
      <c r="E4767" s="6" t="s">
        <v>9807</v>
      </c>
      <c r="F4767" s="9"/>
    </row>
    <row r="4768" ht="33.75" customHeight="1">
      <c r="A4768" s="7">
        <v>160.0</v>
      </c>
      <c r="B4768" s="9" t="s">
        <v>9793</v>
      </c>
      <c r="C4768" s="9" t="s">
        <v>9725</v>
      </c>
      <c r="D4768" s="9" t="s">
        <v>101</v>
      </c>
      <c r="E4768" s="6" t="s">
        <v>9807</v>
      </c>
      <c r="F4768" s="9"/>
    </row>
    <row r="4769" ht="33.75" customHeight="1">
      <c r="A4769" s="7">
        <v>160.0</v>
      </c>
      <c r="B4769" s="9" t="s">
        <v>9793</v>
      </c>
      <c r="C4769" s="9" t="s">
        <v>9725</v>
      </c>
      <c r="D4769" s="9" t="s">
        <v>105</v>
      </c>
      <c r="E4769" s="6" t="s">
        <v>9795</v>
      </c>
      <c r="F4769" s="9"/>
    </row>
    <row r="4770" ht="33.75" customHeight="1">
      <c r="A4770" s="7">
        <v>160.0</v>
      </c>
      <c r="B4770" s="9" t="s">
        <v>9793</v>
      </c>
      <c r="C4770" s="9" t="s">
        <v>9725</v>
      </c>
      <c r="D4770" s="9" t="s">
        <v>107</v>
      </c>
      <c r="E4770" s="6" t="s">
        <v>9817</v>
      </c>
      <c r="F4770" s="9"/>
    </row>
    <row r="4771" ht="33.75" customHeight="1">
      <c r="A4771" s="7">
        <v>160.0</v>
      </c>
      <c r="B4771" s="9" t="s">
        <v>9793</v>
      </c>
      <c r="C4771" s="9" t="s">
        <v>9725</v>
      </c>
      <c r="D4771" s="9" t="s">
        <v>109</v>
      </c>
      <c r="E4771" s="6" t="s">
        <v>9817</v>
      </c>
      <c r="F4771" s="9"/>
    </row>
    <row r="4772" ht="33.75" customHeight="1">
      <c r="A4772" s="7">
        <v>161.0</v>
      </c>
      <c r="B4772" s="9" t="s">
        <v>9819</v>
      </c>
      <c r="C4772" s="9" t="s">
        <v>9820</v>
      </c>
      <c r="D4772" s="9" t="s">
        <v>52</v>
      </c>
      <c r="E4772" s="6" t="s">
        <v>9822</v>
      </c>
      <c r="F4772" t="inlineStr" s="10">
        <is>
          <t xml:space="preserve">Hyvin varovainen POKéMON, se nostaa itsensä ilmaan käyttäen häntäänsä nähdäkseen paremmin ympäristönsä. Se seisoo hännällään nähdäkseen kauas. Jos se havaitsee vihollisen, se huutaa kovaa varoittaakseen lajitovereitaan. Tähystäessään se varoittaa muita vaarasta kirskumalla ja lyömällä maata hännällään. Kun SENTRET nukkuu, se tekee niin toisen seisoessa vartijana. Vartija herättää muut ensimmäisestä vaaran merkistä. Kun tämä POKéMON irtoaa laumastaan, se ei pysty nukkumaan pelon vuoksi. Ne vuorottelevat vartiossa, kun on aika mennä nukkumaan. Vartiomies herättää muut, jos se aistii vaaran. Jos yksi joutuu erilleen, se menettää unensa pelosta. Se on luonteeltaan hyvin hermostunut. Se seisoo korkealla hännällään, jotta se voi tarkkailla laajoja alueita. Hyvin varovainen Pokémon, se nostaa itsensä ylös häntäänsä käyttäen saadakseen paremman näkymän ympäristöönsä. Kun Sentret nukkuu, se tekee niin toisen vartioidessaan.</t>
        </is>
      </c>
    </row>
    <row r="4773" ht="33.75" customHeight="1">
      <c r="A4773" s="7">
        <v>161.0</v>
      </c>
      <c r="B4773" s="9" t="s">
        <v>9819</v>
      </c>
      <c r="C4773" s="9" t="s">
        <v>9820</v>
      </c>
      <c r="D4773" s="9" t="s">
        <v>59</v>
      </c>
      <c r="E4773" s="6" t="s">
        <v>9823</v>
      </c>
      <c r="F4773" s="9"/>
    </row>
    <row r="4774" ht="33.75" customHeight="1">
      <c r="A4774" s="7">
        <v>161.0</v>
      </c>
      <c r="B4774" s="9" t="s">
        <v>9819</v>
      </c>
      <c r="C4774" s="9" t="s">
        <v>9820</v>
      </c>
      <c r="D4774" s="9" t="s">
        <v>64</v>
      </c>
      <c r="E4774" s="6" t="s">
        <v>9825</v>
      </c>
      <c r="F4774" s="9"/>
    </row>
    <row r="4775" ht="33.75" customHeight="1">
      <c r="A4775" s="7">
        <v>161.0</v>
      </c>
      <c r="B4775" s="9" t="s">
        <v>9819</v>
      </c>
      <c r="C4775" s="9" t="s">
        <v>9820</v>
      </c>
      <c r="D4775" s="9" t="s">
        <v>67</v>
      </c>
      <c r="E4775" s="6" t="s">
        <v>9827</v>
      </c>
      <c r="F4775" s="9"/>
    </row>
    <row r="4776" ht="33.75" customHeight="1">
      <c r="A4776" s="7">
        <v>161.0</v>
      </c>
      <c r="B4776" s="9" t="s">
        <v>9819</v>
      </c>
      <c r="C4776" s="9" t="s">
        <v>9820</v>
      </c>
      <c r="D4776" s="9" t="s">
        <v>71</v>
      </c>
      <c r="E4776" s="6" t="s">
        <v>9827</v>
      </c>
      <c r="F4776" s="9"/>
    </row>
    <row r="4777" ht="33.75" customHeight="1">
      <c r="A4777" s="7">
        <v>161.0</v>
      </c>
      <c r="B4777" s="9" t="s">
        <v>9819</v>
      </c>
      <c r="C4777" s="9" t="s">
        <v>9820</v>
      </c>
      <c r="D4777" s="9" t="s">
        <v>73</v>
      </c>
      <c r="E4777" s="6" t="s">
        <v>9830</v>
      </c>
      <c r="F4777" s="9"/>
    </row>
    <row r="4778" ht="33.75" customHeight="1">
      <c r="A4778" s="7">
        <v>161.0</v>
      </c>
      <c r="B4778" s="9" t="s">
        <v>9819</v>
      </c>
      <c r="C4778" s="9" t="s">
        <v>9820</v>
      </c>
      <c r="D4778" s="9" t="s">
        <v>75</v>
      </c>
      <c r="E4778" s="6" t="s">
        <v>9823</v>
      </c>
      <c r="F4778" s="9"/>
    </row>
    <row r="4779" ht="33.75" customHeight="1">
      <c r="A4779" s="7">
        <v>161.0</v>
      </c>
      <c r="B4779" s="9" t="s">
        <v>9819</v>
      </c>
      <c r="C4779" s="9" t="s">
        <v>9820</v>
      </c>
      <c r="D4779" s="9" t="s">
        <v>79</v>
      </c>
      <c r="E4779" s="6" t="s">
        <v>9822</v>
      </c>
      <c r="F4779" s="9"/>
    </row>
    <row r="4780" ht="33.75" customHeight="1">
      <c r="A4780" s="7">
        <v>161.0</v>
      </c>
      <c r="B4780" s="9" t="s">
        <v>9819</v>
      </c>
      <c r="C4780" s="9" t="s">
        <v>9820</v>
      </c>
      <c r="D4780" s="9" t="s">
        <v>81</v>
      </c>
      <c r="E4780" s="6" t="s">
        <v>9833</v>
      </c>
      <c r="F4780" s="9"/>
    </row>
    <row r="4781" ht="33.75" customHeight="1">
      <c r="A4781" s="7">
        <v>161.0</v>
      </c>
      <c r="B4781" s="9" t="s">
        <v>9819</v>
      </c>
      <c r="C4781" s="9" t="s">
        <v>9820</v>
      </c>
      <c r="D4781" s="9" t="s">
        <v>84</v>
      </c>
      <c r="E4781" s="6" t="s">
        <v>9833</v>
      </c>
      <c r="F4781" s="9"/>
    </row>
    <row r="4782" ht="33.75" customHeight="1">
      <c r="A4782" s="7">
        <v>161.0</v>
      </c>
      <c r="B4782" s="9" t="s">
        <v>9819</v>
      </c>
      <c r="C4782" s="9" t="s">
        <v>9820</v>
      </c>
      <c r="D4782" s="9" t="s">
        <v>87</v>
      </c>
      <c r="E4782" s="6" t="s">
        <v>9833</v>
      </c>
      <c r="F4782" s="9"/>
    </row>
    <row r="4783" ht="33.75" customHeight="1">
      <c r="A4783" s="7">
        <v>161.0</v>
      </c>
      <c r="B4783" s="9" t="s">
        <v>9819</v>
      </c>
      <c r="C4783" s="9" t="s">
        <v>9820</v>
      </c>
      <c r="D4783" s="9" t="s">
        <v>89</v>
      </c>
      <c r="E4783" s="6" t="s">
        <v>9837</v>
      </c>
      <c r="F4783" s="9"/>
    </row>
    <row r="4784" ht="33.75" customHeight="1">
      <c r="A4784" s="7">
        <v>161.0</v>
      </c>
      <c r="B4784" s="9" t="s">
        <v>9819</v>
      </c>
      <c r="C4784" s="9" t="s">
        <v>9820</v>
      </c>
      <c r="D4784" s="9" t="s">
        <v>91</v>
      </c>
      <c r="E4784" s="6" t="s">
        <v>9823</v>
      </c>
      <c r="F4784" s="9"/>
    </row>
    <row r="4785" ht="33.75" customHeight="1">
      <c r="A4785" s="7">
        <v>161.0</v>
      </c>
      <c r="B4785" s="9" t="s">
        <v>9819</v>
      </c>
      <c r="C4785" s="9" t="s">
        <v>9820</v>
      </c>
      <c r="D4785" s="9" t="s">
        <v>93</v>
      </c>
      <c r="E4785" s="6" t="s">
        <v>9833</v>
      </c>
      <c r="F4785" s="9"/>
    </row>
    <row r="4786" ht="33.75" customHeight="1">
      <c r="A4786" s="7">
        <v>161.0</v>
      </c>
      <c r="B4786" s="9" t="s">
        <v>9819</v>
      </c>
      <c r="C4786" s="9" t="s">
        <v>9820</v>
      </c>
      <c r="D4786" s="9" t="s">
        <v>95</v>
      </c>
      <c r="E4786" s="6" t="s">
        <v>9833</v>
      </c>
      <c r="F4786" s="9"/>
    </row>
    <row r="4787" ht="33.75" customHeight="1">
      <c r="A4787" s="7">
        <v>161.0</v>
      </c>
      <c r="B4787" s="9" t="s">
        <v>9819</v>
      </c>
      <c r="C4787" s="9" t="s">
        <v>9820</v>
      </c>
      <c r="D4787" s="9" t="s">
        <v>98</v>
      </c>
      <c r="E4787" s="6" t="s">
        <v>9833</v>
      </c>
      <c r="F4787" s="9"/>
    </row>
    <row r="4788" ht="33.75" customHeight="1">
      <c r="A4788" s="7">
        <v>161.0</v>
      </c>
      <c r="B4788" s="9" t="s">
        <v>9819</v>
      </c>
      <c r="C4788" s="9" t="s">
        <v>9820</v>
      </c>
      <c r="D4788" s="9" t="s">
        <v>99</v>
      </c>
      <c r="E4788" s="6" t="s">
        <v>9833</v>
      </c>
      <c r="F4788" s="9"/>
    </row>
    <row r="4789" ht="33.75" customHeight="1">
      <c r="A4789" s="7">
        <v>161.0</v>
      </c>
      <c r="B4789" s="9" t="s">
        <v>9819</v>
      </c>
      <c r="C4789" s="9" t="s">
        <v>9820</v>
      </c>
      <c r="D4789" s="9" t="s">
        <v>101</v>
      </c>
      <c r="E4789" s="6" t="s">
        <v>9825</v>
      </c>
      <c r="F4789" s="9"/>
    </row>
    <row r="4790" ht="33.75" customHeight="1">
      <c r="A4790" s="7">
        <v>161.0</v>
      </c>
      <c r="B4790" s="9" t="s">
        <v>9819</v>
      </c>
      <c r="C4790" s="9" t="s">
        <v>9820</v>
      </c>
      <c r="D4790" s="9" t="s">
        <v>105</v>
      </c>
      <c r="E4790" s="6" t="s">
        <v>9823</v>
      </c>
      <c r="F4790" s="9"/>
    </row>
    <row r="4791" ht="33.75" customHeight="1">
      <c r="A4791" s="7">
        <v>161.0</v>
      </c>
      <c r="B4791" s="9" t="s">
        <v>9819</v>
      </c>
      <c r="C4791" s="9" t="s">
        <v>9820</v>
      </c>
      <c r="D4791" s="9" t="s">
        <v>107</v>
      </c>
      <c r="E4791" s="6" t="s">
        <v>9847</v>
      </c>
      <c r="F4791" s="9"/>
    </row>
    <row r="4792" ht="33.75" customHeight="1">
      <c r="A4792" s="7">
        <v>161.0</v>
      </c>
      <c r="B4792" s="9" t="s">
        <v>9819</v>
      </c>
      <c r="C4792" s="9" t="s">
        <v>9820</v>
      </c>
      <c r="D4792" s="9" t="s">
        <v>109</v>
      </c>
      <c r="E4792" s="6" t="s">
        <v>9847</v>
      </c>
      <c r="F4792" s="9"/>
    </row>
    <row r="4793" ht="33.75" customHeight="1">
      <c r="A4793" s="7">
        <v>162.0</v>
      </c>
      <c r="B4793" s="9" t="s">
        <v>9850</v>
      </c>
      <c r="C4793" s="9" t="s">
        <v>9851</v>
      </c>
      <c r="D4793" s="9" t="s">
        <v>52</v>
      </c>
      <c r="E4793" s="6" t="s">
        <v>9852</v>
      </c>
      <c r="F4793" t="inlineStr" s="10">
        <is>
          <t xml:space="preserve">Furret tekee pesän, joka sopii pitkälle ja laihalle ruumiilleen. Muut POKéMONit eivät pääse pesään. Ei ole selvää, mistä häntä alkaa. Lyhyistä jaloistaan ​​huolimatta se on nopea metsästämään RATTATAA. Se elää kapeissa koloissa, jotka sopivat sen hoikkaan vartaloon. Mitä syvemmälle pesät menevät, sitä labyrinttimaisemmiksi ne muuttuvat. FURRETilla on hyvin hoikka rakenne. Hyökkäyksen kohteena se voi liukua sujuvasti ahtaiden paikkojen läpi ja paeta. Lyhyistä raajoistaan ​​huolimatta tämä POKéMON on erittäin ketterä ja nopea. TURKILLA on hyvin hoikka rakenne. Hyökkäyksen kohteeksi joutuessaan se voi puikkelehtia ahtaissa tiloissa ja paeta. Lyhyistä raajoistaan ​​huolimatta se on erittäin ketterä ja nopea. Sen häntä alkaa mahdottomalta. Emo nukuttaa poikasensa käpertymällä niiden ympärille. Se ahdistaa viholliset nopeasti. Lyhyistä jaloistaan ​​huolimatta se on nopea ja jahtaa mielellään RATTATAA. Hyökkäyksen kohteena se voi liukua sulavasti ahtaiden paikkojen läpi ja paeta.</t>
        </is>
      </c>
    </row>
    <row r="4794" ht="33.75" customHeight="1">
      <c r="A4794" s="7">
        <v>162.0</v>
      </c>
      <c r="B4794" s="9" t="s">
        <v>9850</v>
      </c>
      <c r="C4794" s="9" t="s">
        <v>9851</v>
      </c>
      <c r="D4794" s="9" t="s">
        <v>59</v>
      </c>
      <c r="E4794" s="6" t="s">
        <v>9854</v>
      </c>
      <c r="F4794" s="9"/>
    </row>
    <row r="4795" ht="33.75" customHeight="1">
      <c r="A4795" s="7">
        <v>162.0</v>
      </c>
      <c r="B4795" s="9" t="s">
        <v>9850</v>
      </c>
      <c r="C4795" s="9" t="s">
        <v>9851</v>
      </c>
      <c r="D4795" s="9" t="s">
        <v>64</v>
      </c>
      <c r="E4795" s="6" t="s">
        <v>9856</v>
      </c>
      <c r="F4795" s="9"/>
    </row>
    <row r="4796" ht="33.75" customHeight="1">
      <c r="A4796" s="7">
        <v>162.0</v>
      </c>
      <c r="B4796" s="9" t="s">
        <v>9850</v>
      </c>
      <c r="C4796" s="9" t="s">
        <v>9851</v>
      </c>
      <c r="D4796" s="9" t="s">
        <v>67</v>
      </c>
      <c r="E4796" s="6" t="s">
        <v>9857</v>
      </c>
      <c r="F4796" s="9"/>
    </row>
    <row r="4797" ht="33.75" customHeight="1">
      <c r="A4797" s="7">
        <v>162.0</v>
      </c>
      <c r="B4797" s="9" t="s">
        <v>9850</v>
      </c>
      <c r="C4797" s="9" t="s">
        <v>9851</v>
      </c>
      <c r="D4797" s="9" t="s">
        <v>71</v>
      </c>
      <c r="E4797" s="6" t="s">
        <v>9857</v>
      </c>
      <c r="F4797" s="9"/>
    </row>
    <row r="4798" ht="33.75" customHeight="1">
      <c r="A4798" s="7">
        <v>162.0</v>
      </c>
      <c r="B4798" s="9" t="s">
        <v>9850</v>
      </c>
      <c r="C4798" s="9" t="s">
        <v>9851</v>
      </c>
      <c r="D4798" s="9" t="s">
        <v>73</v>
      </c>
      <c r="E4798" s="6" t="s">
        <v>9860</v>
      </c>
      <c r="F4798" s="9"/>
    </row>
    <row r="4799" ht="33.75" customHeight="1">
      <c r="A4799" s="7">
        <v>162.0</v>
      </c>
      <c r="B4799" s="9" t="s">
        <v>9850</v>
      </c>
      <c r="C4799" s="9" t="s">
        <v>9851</v>
      </c>
      <c r="D4799" s="9" t="s">
        <v>75</v>
      </c>
      <c r="E4799" s="6" t="s">
        <v>9862</v>
      </c>
      <c r="F4799" s="9"/>
    </row>
    <row r="4800" ht="33.75" customHeight="1">
      <c r="A4800" s="7">
        <v>162.0</v>
      </c>
      <c r="B4800" s="9" t="s">
        <v>9850</v>
      </c>
      <c r="C4800" s="9" t="s">
        <v>9851</v>
      </c>
      <c r="D4800" s="9" t="s">
        <v>79</v>
      </c>
      <c r="E4800" s="6" t="s">
        <v>9852</v>
      </c>
      <c r="F4800" s="9"/>
    </row>
    <row r="4801" ht="33.75" customHeight="1">
      <c r="A4801" s="7">
        <v>162.0</v>
      </c>
      <c r="B4801" s="9" t="s">
        <v>9850</v>
      </c>
      <c r="C4801" s="9" t="s">
        <v>9851</v>
      </c>
      <c r="D4801" s="9" t="s">
        <v>81</v>
      </c>
      <c r="E4801" s="6" t="s">
        <v>9865</v>
      </c>
      <c r="F4801" s="9"/>
    </row>
    <row r="4802" ht="33.75" customHeight="1">
      <c r="A4802" s="7">
        <v>162.0</v>
      </c>
      <c r="B4802" s="9" t="s">
        <v>9850</v>
      </c>
      <c r="C4802" s="9" t="s">
        <v>9851</v>
      </c>
      <c r="D4802" s="9" t="s">
        <v>84</v>
      </c>
      <c r="E4802" s="6" t="s">
        <v>9865</v>
      </c>
      <c r="F4802" s="9"/>
    </row>
    <row r="4803" ht="33.75" customHeight="1">
      <c r="A4803" s="7">
        <v>162.0</v>
      </c>
      <c r="B4803" s="9" t="s">
        <v>9850</v>
      </c>
      <c r="C4803" s="9" t="s">
        <v>9851</v>
      </c>
      <c r="D4803" s="9" t="s">
        <v>87</v>
      </c>
      <c r="E4803" s="6" t="s">
        <v>9865</v>
      </c>
      <c r="F4803" s="9"/>
    </row>
    <row r="4804" ht="33.75" customHeight="1">
      <c r="A4804" s="7">
        <v>162.0</v>
      </c>
      <c r="B4804" s="9" t="s">
        <v>9850</v>
      </c>
      <c r="C4804" s="9" t="s">
        <v>9851</v>
      </c>
      <c r="D4804" s="9" t="s">
        <v>89</v>
      </c>
      <c r="E4804" s="6" t="s">
        <v>9868</v>
      </c>
      <c r="F4804" s="9"/>
    </row>
    <row r="4805" ht="33.75" customHeight="1">
      <c r="A4805" s="7">
        <v>162.0</v>
      </c>
      <c r="B4805" s="9" t="s">
        <v>9850</v>
      </c>
      <c r="C4805" s="9" t="s">
        <v>9851</v>
      </c>
      <c r="D4805" s="9" t="s">
        <v>91</v>
      </c>
      <c r="E4805" s="6" t="s">
        <v>9870</v>
      </c>
      <c r="F4805" s="9"/>
    </row>
    <row r="4806" ht="33.75" customHeight="1">
      <c r="A4806" s="7">
        <v>162.0</v>
      </c>
      <c r="B4806" s="9" t="s">
        <v>9850</v>
      </c>
      <c r="C4806" s="9" t="s">
        <v>9851</v>
      </c>
      <c r="D4806" s="9" t="s">
        <v>93</v>
      </c>
      <c r="E4806" s="6" t="s">
        <v>9865</v>
      </c>
      <c r="F4806" s="9"/>
    </row>
    <row r="4807" ht="33.75" customHeight="1">
      <c r="A4807" s="7">
        <v>162.0</v>
      </c>
      <c r="B4807" s="9" t="s">
        <v>9850</v>
      </c>
      <c r="C4807" s="9" t="s">
        <v>9851</v>
      </c>
      <c r="D4807" s="9" t="s">
        <v>95</v>
      </c>
      <c r="E4807" s="6" t="s">
        <v>9865</v>
      </c>
      <c r="F4807" s="9"/>
    </row>
    <row r="4808" ht="33.75" customHeight="1">
      <c r="A4808" s="7">
        <v>162.0</v>
      </c>
      <c r="B4808" s="9" t="s">
        <v>9850</v>
      </c>
      <c r="C4808" s="9" t="s">
        <v>9851</v>
      </c>
      <c r="D4808" s="9" t="s">
        <v>98</v>
      </c>
      <c r="E4808" s="6" t="s">
        <v>9865</v>
      </c>
      <c r="F4808" s="9"/>
    </row>
    <row r="4809" ht="33.75" customHeight="1">
      <c r="A4809" s="7">
        <v>162.0</v>
      </c>
      <c r="B4809" s="9" t="s">
        <v>9850</v>
      </c>
      <c r="C4809" s="9" t="s">
        <v>9851</v>
      </c>
      <c r="D4809" s="9" t="s">
        <v>99</v>
      </c>
      <c r="E4809" s="6" t="s">
        <v>9865</v>
      </c>
      <c r="F4809" s="9"/>
    </row>
    <row r="4810" ht="33.75" customHeight="1">
      <c r="A4810" s="7">
        <v>162.0</v>
      </c>
      <c r="B4810" s="9" t="s">
        <v>9850</v>
      </c>
      <c r="C4810" s="9" t="s">
        <v>9851</v>
      </c>
      <c r="D4810" s="9" t="s">
        <v>101</v>
      </c>
      <c r="E4810" s="6" t="s">
        <v>9865</v>
      </c>
      <c r="F4810" s="9"/>
    </row>
    <row r="4811" ht="33.75" customHeight="1">
      <c r="A4811" s="7">
        <v>162.0</v>
      </c>
      <c r="B4811" s="9" t="s">
        <v>9850</v>
      </c>
      <c r="C4811" s="9" t="s">
        <v>9851</v>
      </c>
      <c r="D4811" s="9" t="s">
        <v>105</v>
      </c>
      <c r="E4811" s="6" t="s">
        <v>9868</v>
      </c>
      <c r="F4811" s="9"/>
    </row>
    <row r="4812" ht="33.75" customHeight="1">
      <c r="A4812" s="7">
        <v>162.0</v>
      </c>
      <c r="B4812" s="9" t="s">
        <v>9850</v>
      </c>
      <c r="C4812" s="9" t="s">
        <v>9851</v>
      </c>
      <c r="D4812" s="9" t="s">
        <v>107</v>
      </c>
      <c r="E4812" s="6" t="s">
        <v>9876</v>
      </c>
      <c r="F4812" s="9"/>
    </row>
    <row r="4813" ht="33.75" customHeight="1">
      <c r="A4813" s="7">
        <v>162.0</v>
      </c>
      <c r="B4813" s="9" t="s">
        <v>9850</v>
      </c>
      <c r="C4813" s="9" t="s">
        <v>9851</v>
      </c>
      <c r="D4813" s="9" t="s">
        <v>109</v>
      </c>
      <c r="E4813" s="6" t="s">
        <v>9876</v>
      </c>
      <c r="F4813" s="9"/>
    </row>
    <row r="4814" ht="33.75" customHeight="1">
      <c r="A4814" s="7">
        <v>163.0</v>
      </c>
      <c r="B4814" s="9" t="s">
        <v>9878</v>
      </c>
      <c r="C4814" s="9" t="s">
        <v>9880</v>
      </c>
      <c r="D4814" s="9" t="s">
        <v>52</v>
      </c>
      <c r="E4814" s="6" t="s">
        <v>9881</v>
      </c>
      <c r="F4814" t="inlineStr" s="10">
        <is>
          <t xml:space="preserve">Hoothoot seisoo aina yhdellä jalalla. Se vaihtaa jalkaa niin nopeasti, että liikettä on harvoin havaittavissa. Sillä on täydellinen ajantaju. Tapahtuipa mitä tahansa, se pysyy rytmissä kallistamalla päätään tarkasti tahdissa. Se alkaa huhuilla samaan aikaan joka päivä. Jotkut valmentajat käyttävät niitä kellojen sijasta. HOOTHOOTilla on sisäinen elin, joka aistii ja seuraa maapallon pyörimistä. Tämän erityisen elimen avulla tämä POKéMON alkaa huutaa täsmälleen samaan aikaan joka päivä. Sillä on sisäinen elin, joka aistii maapallon pyörimisen. Tämän erityisen elimen avulla HOOTHOOT alkaa huhuilla täsmälleen samaan aikaan joka päivä. Vaikka sitä vastaan ​​hyökättäisiin, se ei tue itseään molemmilla jaloilla. Se vaihtaa seisoma-asentoa niin nopeasti, ettei sitä näe. Se itkee samaan aikaan joka päivä. Se mittaa aikaa tarkasti. Joissakin maissa sitä pidetään viisaana ystävänä, joka tuntee maailman tavat. Se kallistaa päätään joka päivä samaan rytmiin. Kauan sitten ihmiset kasvattivat näitä Pokémoneja kelloiksi. Se huutaa samaan aikaan joka päivä. Kauan sitten ihmiset vaalivat sitä ja pitivät sitä jumalallisena sanansaattajana, joka lähetettiin kertomaan aika. Jotkut kouluttajat käyttävät niitä kellojen sijasta.</t>
        </is>
      </c>
    </row>
    <row r="4815" ht="33.75" customHeight="1">
      <c r="A4815" s="7">
        <v>163.0</v>
      </c>
      <c r="B4815" s="9" t="s">
        <v>9878</v>
      </c>
      <c r="C4815" s="9" t="s">
        <v>9880</v>
      </c>
      <c r="D4815" s="9" t="s">
        <v>59</v>
      </c>
      <c r="E4815" s="6" t="s">
        <v>9883</v>
      </c>
      <c r="F4815" s="9"/>
    </row>
    <row r="4816" ht="33.75" customHeight="1">
      <c r="A4816" s="7">
        <v>163.0</v>
      </c>
      <c r="B4816" s="9" t="s">
        <v>9878</v>
      </c>
      <c r="C4816" s="9" t="s">
        <v>9880</v>
      </c>
      <c r="D4816" s="9" t="s">
        <v>64</v>
      </c>
      <c r="E4816" s="6" t="s">
        <v>9885</v>
      </c>
      <c r="F4816" s="9"/>
    </row>
    <row r="4817" ht="33.75" customHeight="1">
      <c r="A4817" s="7">
        <v>163.0</v>
      </c>
      <c r="B4817" s="9" t="s">
        <v>9878</v>
      </c>
      <c r="C4817" s="9" t="s">
        <v>9880</v>
      </c>
      <c r="D4817" s="9" t="s">
        <v>67</v>
      </c>
      <c r="E4817" s="6" t="s">
        <v>9887</v>
      </c>
      <c r="F4817" s="9"/>
    </row>
    <row r="4818" ht="33.75" customHeight="1">
      <c r="A4818" s="7">
        <v>163.0</v>
      </c>
      <c r="B4818" s="9" t="s">
        <v>9878</v>
      </c>
      <c r="C4818" s="9" t="s">
        <v>9880</v>
      </c>
      <c r="D4818" s="9" t="s">
        <v>71</v>
      </c>
      <c r="E4818" s="6" t="s">
        <v>9887</v>
      </c>
      <c r="F4818" s="9"/>
    </row>
    <row r="4819" ht="33.75" customHeight="1">
      <c r="A4819" s="7">
        <v>163.0</v>
      </c>
      <c r="B4819" s="9" t="s">
        <v>9878</v>
      </c>
      <c r="C4819" s="9" t="s">
        <v>9880</v>
      </c>
      <c r="D4819" s="9" t="s">
        <v>73</v>
      </c>
      <c r="E4819" s="6" t="s">
        <v>9890</v>
      </c>
      <c r="F4819" s="9"/>
    </row>
    <row r="4820" ht="33.75" customHeight="1">
      <c r="A4820" s="7">
        <v>163.0</v>
      </c>
      <c r="B4820" s="9" t="s">
        <v>9878</v>
      </c>
      <c r="C4820" s="9" t="s">
        <v>9880</v>
      </c>
      <c r="D4820" s="9" t="s">
        <v>75</v>
      </c>
      <c r="E4820" s="6" t="s">
        <v>9883</v>
      </c>
      <c r="F4820" s="9"/>
    </row>
    <row r="4821" ht="33.75" customHeight="1">
      <c r="A4821" s="7">
        <v>163.0</v>
      </c>
      <c r="B4821" s="9" t="s">
        <v>9878</v>
      </c>
      <c r="C4821" s="9" t="s">
        <v>9880</v>
      </c>
      <c r="D4821" s="9" t="s">
        <v>79</v>
      </c>
      <c r="E4821" s="6" t="s">
        <v>9881</v>
      </c>
      <c r="F4821" s="9"/>
    </row>
    <row r="4822" ht="33.75" customHeight="1">
      <c r="A4822" s="7">
        <v>163.0</v>
      </c>
      <c r="B4822" s="9" t="s">
        <v>9878</v>
      </c>
      <c r="C4822" s="9" t="s">
        <v>9880</v>
      </c>
      <c r="D4822" s="9" t="s">
        <v>81</v>
      </c>
      <c r="E4822" s="6" t="s">
        <v>9893</v>
      </c>
      <c r="F4822" s="9"/>
    </row>
    <row r="4823" ht="33.75" customHeight="1">
      <c r="A4823" s="7">
        <v>163.0</v>
      </c>
      <c r="B4823" s="9" t="s">
        <v>9878</v>
      </c>
      <c r="C4823" s="9" t="s">
        <v>9880</v>
      </c>
      <c r="D4823" s="9" t="s">
        <v>84</v>
      </c>
      <c r="E4823" s="6" t="s">
        <v>9895</v>
      </c>
      <c r="F4823" s="9"/>
    </row>
    <row r="4824" ht="33.75" customHeight="1">
      <c r="A4824" s="7">
        <v>163.0</v>
      </c>
      <c r="B4824" s="9" t="s">
        <v>9878</v>
      </c>
      <c r="C4824" s="9" t="s">
        <v>9880</v>
      </c>
      <c r="D4824" s="9" t="s">
        <v>87</v>
      </c>
      <c r="E4824" s="6" t="s">
        <v>9897</v>
      </c>
      <c r="F4824" s="9"/>
    </row>
    <row r="4825" ht="33.75" customHeight="1">
      <c r="A4825" s="7">
        <v>163.0</v>
      </c>
      <c r="B4825" s="9" t="s">
        <v>9878</v>
      </c>
      <c r="C4825" s="9" t="s">
        <v>9880</v>
      </c>
      <c r="D4825" s="9" t="s">
        <v>89</v>
      </c>
      <c r="E4825" s="6" t="s">
        <v>9881</v>
      </c>
      <c r="F4825" s="9"/>
    </row>
    <row r="4826" ht="33.75" customHeight="1">
      <c r="A4826" s="7">
        <v>163.0</v>
      </c>
      <c r="B4826" s="9" t="s">
        <v>9878</v>
      </c>
      <c r="C4826" s="9" t="s">
        <v>9880</v>
      </c>
      <c r="D4826" s="9" t="s">
        <v>91</v>
      </c>
      <c r="E4826" s="6" t="s">
        <v>9883</v>
      </c>
      <c r="F4826" s="9"/>
    </row>
    <row r="4827" ht="33.75" customHeight="1">
      <c r="A4827" s="7">
        <v>163.0</v>
      </c>
      <c r="B4827" s="9" t="s">
        <v>9878</v>
      </c>
      <c r="C4827" s="9" t="s">
        <v>9880</v>
      </c>
      <c r="D4827" s="9" t="s">
        <v>93</v>
      </c>
      <c r="E4827" s="6" t="s">
        <v>9897</v>
      </c>
      <c r="F4827" s="9"/>
    </row>
    <row r="4828" ht="33.75" customHeight="1">
      <c r="A4828" s="7">
        <v>163.0</v>
      </c>
      <c r="B4828" s="9" t="s">
        <v>9878</v>
      </c>
      <c r="C4828" s="9" t="s">
        <v>9880</v>
      </c>
      <c r="D4828" s="9" t="s">
        <v>95</v>
      </c>
      <c r="E4828" s="6" t="s">
        <v>9897</v>
      </c>
      <c r="F4828" s="9"/>
    </row>
    <row r="4829" ht="33.75" customHeight="1">
      <c r="A4829" s="7">
        <v>163.0</v>
      </c>
      <c r="B4829" s="9" t="s">
        <v>9878</v>
      </c>
      <c r="C4829" s="9" t="s">
        <v>9880</v>
      </c>
      <c r="D4829" s="9" t="s">
        <v>98</v>
      </c>
      <c r="E4829" s="6" t="s">
        <v>9897</v>
      </c>
      <c r="F4829" s="9"/>
    </row>
    <row r="4830" ht="33.75" customHeight="1">
      <c r="A4830" s="7">
        <v>163.0</v>
      </c>
      <c r="B4830" s="9" t="s">
        <v>9878</v>
      </c>
      <c r="C4830" s="9" t="s">
        <v>9880</v>
      </c>
      <c r="D4830" s="9" t="s">
        <v>99</v>
      </c>
      <c r="E4830" s="6" t="s">
        <v>9897</v>
      </c>
      <c r="F4830" s="9"/>
    </row>
    <row r="4831" ht="33.75" customHeight="1">
      <c r="A4831" s="7">
        <v>163.0</v>
      </c>
      <c r="B4831" s="9" t="s">
        <v>9878</v>
      </c>
      <c r="C4831" s="9" t="s">
        <v>9880</v>
      </c>
      <c r="D4831" s="9" t="s">
        <v>101</v>
      </c>
      <c r="E4831" s="6" t="s">
        <v>9883</v>
      </c>
      <c r="F4831" s="9"/>
    </row>
    <row r="4832" ht="33.75" customHeight="1">
      <c r="A4832" s="7">
        <v>163.0</v>
      </c>
      <c r="B4832" s="9" t="s">
        <v>9878</v>
      </c>
      <c r="C4832" s="9" t="s">
        <v>9880</v>
      </c>
      <c r="D4832" s="9" t="s">
        <v>105</v>
      </c>
      <c r="E4832" s="6" t="s">
        <v>9881</v>
      </c>
      <c r="F4832" s="9"/>
    </row>
    <row r="4833" ht="33.75" customHeight="1">
      <c r="A4833" s="7">
        <v>163.0</v>
      </c>
      <c r="B4833" s="9" t="s">
        <v>9878</v>
      </c>
      <c r="C4833" s="9" t="s">
        <v>9880</v>
      </c>
      <c r="D4833" s="9" t="s">
        <v>107</v>
      </c>
      <c r="E4833" s="6" t="s">
        <v>9905</v>
      </c>
      <c r="F4833" s="9"/>
    </row>
    <row r="4834" ht="33.75" customHeight="1">
      <c r="A4834" s="7">
        <v>163.0</v>
      </c>
      <c r="B4834" s="9" t="s">
        <v>9878</v>
      </c>
      <c r="C4834" s="9" t="s">
        <v>9880</v>
      </c>
      <c r="D4834" s="9" t="s">
        <v>109</v>
      </c>
      <c r="E4834" s="6" t="s">
        <v>9905</v>
      </c>
      <c r="F4834" s="9"/>
    </row>
    <row r="4835" ht="33.75" customHeight="1">
      <c r="A4835" s="7">
        <v>163.0</v>
      </c>
      <c r="B4835" s="9" t="s">
        <v>9878</v>
      </c>
      <c r="C4835" s="9" t="s">
        <v>9880</v>
      </c>
      <c r="D4835" s="9" t="s">
        <v>647</v>
      </c>
      <c r="E4835" s="6" t="s">
        <v>9908</v>
      </c>
      <c r="F4835" s="9"/>
    </row>
    <row r="4836" ht="33.75" customHeight="1">
      <c r="A4836" s="7">
        <v>163.0</v>
      </c>
      <c r="B4836" s="9" t="s">
        <v>9878</v>
      </c>
      <c r="C4836" s="9" t="s">
        <v>9880</v>
      </c>
      <c r="D4836" s="9" t="s">
        <v>652</v>
      </c>
      <c r="E4836" s="6" t="s">
        <v>9910</v>
      </c>
      <c r="F4836" s="9"/>
    </row>
    <row r="4837" ht="33.75" customHeight="1">
      <c r="A4837" s="7">
        <v>163.0</v>
      </c>
      <c r="B4837" s="9" t="s">
        <v>9878</v>
      </c>
      <c r="C4837" s="9" t="s">
        <v>9880</v>
      </c>
      <c r="D4837" s="9" t="s">
        <v>114</v>
      </c>
      <c r="E4837" s="6" t="s">
        <v>9881</v>
      </c>
      <c r="F4837" s="9"/>
    </row>
    <row r="4838" ht="33.75" customHeight="1">
      <c r="A4838" s="7">
        <v>163.0</v>
      </c>
      <c r="B4838" s="9" t="s">
        <v>9878</v>
      </c>
      <c r="C4838" s="9" t="s">
        <v>9880</v>
      </c>
      <c r="D4838" s="9" t="s">
        <v>117</v>
      </c>
      <c r="E4838" s="6" t="s">
        <v>9913</v>
      </c>
      <c r="F4838" s="9"/>
    </row>
    <row r="4839" ht="33.75" customHeight="1">
      <c r="A4839" s="7">
        <v>164.0</v>
      </c>
      <c r="B4839" s="9" t="s">
        <v>9915</v>
      </c>
      <c r="C4839" s="9" t="s">
        <v>9880</v>
      </c>
      <c r="D4839" s="9" t="s">
        <v>52</v>
      </c>
      <c r="E4839" s="6" t="s">
        <v>9916</v>
      </c>
      <c r="F4839" t="inlineStr" s="10">
        <is>
          <t xml:space="preserve">Noctowlin silmät ovat erityisesti sopeutuneet. Ne keskittävät himmeänkin valon ja mahdollistavat sen näkemisen pimeässä. Kun sen täytyy ajatella, se kääntää päätään 180 astetta terävöittääkseen älyllisiä kykyjään. Sen erittäin pehmeät höyhenet eivät pidä ääntä lennon aikana. Se hiipii hiljaa saaliinsa luokse huomaamatta. NOCTOWL ei koskaan epäonnistu saaliin nappaamisessa pimeässä. Tämä POKéMON on menestyksensä velkaa erinomaiselle näkökyvylleen, jonka ansiosta se näkee vähäisessä valossa, sekä pehmeille, taipuisille siivilleen, jotka eivät pidä ääntä lennon aikana. Se pyydystää saalista erehtymättä pimeydessä. NOCTOWL-suvun menestys perustuu niiden erinomaiseen näkökykyyn, jonka ansiosta ne näkevät vähässä valossa, sekä taipuisiin ja äänettömiin siivihinsä. Sen silmät ovat erityiset. Ne pystyvät erottamaan esineitä, kunhan niitä on vähänkin valoa. Jos se kääntää päänsä ylösalaisin, se on merkki siitä, että se ajattelee erittäin monimutkaisesti. Sen silmät on kehitetty erityisesti, jotta se näkee selvästi jopa hämärässä ja vähäisessä valossa. Yököykky ei koskaan epäonnistu saaliin nappaamisessa pimeässä. Tämä Pokémon on menestyksensä velkaa erinomaiselle näölleen, jonka ansiosta se näkee vähäisessä valossa, sekä pehmeille, taipuisille siivilleen, jotka eivät pidä ääntä lennon aikana. Sen silmät näkevät pilkkopimeässä, joten se ei koskaan päästä saalistaan ​​karkuun. Jotkut kutsuvat sitä jopa "pimeiden öiden keisariksi". Kun se kääntää päänsä kokonaan ylösalaisin, tiedät, että sitä vaivaa jokin. Jos et jätä sitä rauhaan, se nokkaa sinua.</t>
        </is>
      </c>
    </row>
    <row r="4840" ht="33.75" customHeight="1">
      <c r="A4840" s="7">
        <v>164.0</v>
      </c>
      <c r="B4840" s="9" t="s">
        <v>9915</v>
      </c>
      <c r="C4840" s="9" t="s">
        <v>9880</v>
      </c>
      <c r="D4840" s="9" t="s">
        <v>59</v>
      </c>
      <c r="E4840" s="6" t="s">
        <v>9919</v>
      </c>
      <c r="F4840" s="9"/>
    </row>
    <row r="4841" ht="33.75" customHeight="1">
      <c r="A4841" s="7">
        <v>164.0</v>
      </c>
      <c r="B4841" s="9" t="s">
        <v>9915</v>
      </c>
      <c r="C4841" s="9" t="s">
        <v>9880</v>
      </c>
      <c r="D4841" s="9" t="s">
        <v>64</v>
      </c>
      <c r="E4841" s="6" t="s">
        <v>9921</v>
      </c>
      <c r="F4841" s="9"/>
    </row>
    <row r="4842" ht="33.75" customHeight="1">
      <c r="A4842" s="7">
        <v>164.0</v>
      </c>
      <c r="B4842" s="9" t="s">
        <v>9915</v>
      </c>
      <c r="C4842" s="9" t="s">
        <v>9880</v>
      </c>
      <c r="D4842" s="9" t="s">
        <v>67</v>
      </c>
      <c r="E4842" s="6" t="s">
        <v>9924</v>
      </c>
      <c r="F4842" s="9"/>
    </row>
    <row r="4843" ht="33.75" customHeight="1">
      <c r="A4843" s="7">
        <v>164.0</v>
      </c>
      <c r="B4843" s="9" t="s">
        <v>9915</v>
      </c>
      <c r="C4843" s="9" t="s">
        <v>9880</v>
      </c>
      <c r="D4843" s="9" t="s">
        <v>71</v>
      </c>
      <c r="E4843" s="6" t="s">
        <v>9924</v>
      </c>
      <c r="F4843" s="9"/>
    </row>
    <row r="4844" ht="33.75" customHeight="1">
      <c r="A4844" s="7">
        <v>164.0</v>
      </c>
      <c r="B4844" s="9" t="s">
        <v>9915</v>
      </c>
      <c r="C4844" s="9" t="s">
        <v>9880</v>
      </c>
      <c r="D4844" s="9" t="s">
        <v>73</v>
      </c>
      <c r="E4844" s="6" t="s">
        <v>9927</v>
      </c>
      <c r="F4844" s="9"/>
    </row>
    <row r="4845" ht="33.75" customHeight="1">
      <c r="A4845" s="7">
        <v>164.0</v>
      </c>
      <c r="B4845" s="9" t="s">
        <v>9915</v>
      </c>
      <c r="C4845" s="9" t="s">
        <v>9880</v>
      </c>
      <c r="D4845" s="9" t="s">
        <v>75</v>
      </c>
      <c r="E4845" s="6" t="s">
        <v>9919</v>
      </c>
      <c r="F4845" s="9"/>
    </row>
    <row r="4846" ht="33.75" customHeight="1">
      <c r="A4846" s="7">
        <v>164.0</v>
      </c>
      <c r="B4846" s="9" t="s">
        <v>9915</v>
      </c>
      <c r="C4846" s="9" t="s">
        <v>9880</v>
      </c>
      <c r="D4846" s="9" t="s">
        <v>79</v>
      </c>
      <c r="E4846" s="6" t="s">
        <v>9916</v>
      </c>
      <c r="F4846" s="9"/>
    </row>
    <row r="4847" ht="33.75" customHeight="1">
      <c r="A4847" s="7">
        <v>164.0</v>
      </c>
      <c r="B4847" s="9" t="s">
        <v>9915</v>
      </c>
      <c r="C4847" s="9" t="s">
        <v>9880</v>
      </c>
      <c r="D4847" s="9" t="s">
        <v>81</v>
      </c>
      <c r="E4847" s="6" t="s">
        <v>9930</v>
      </c>
      <c r="F4847" s="9"/>
    </row>
    <row r="4848" ht="33.75" customHeight="1">
      <c r="A4848" s="7">
        <v>164.0</v>
      </c>
      <c r="B4848" s="9" t="s">
        <v>9915</v>
      </c>
      <c r="C4848" s="9" t="s">
        <v>9880</v>
      </c>
      <c r="D4848" s="9" t="s">
        <v>84</v>
      </c>
      <c r="E4848" s="6" t="s">
        <v>9932</v>
      </c>
      <c r="F4848" s="9"/>
    </row>
    <row r="4849" ht="33.75" customHeight="1">
      <c r="A4849" s="7">
        <v>164.0</v>
      </c>
      <c r="B4849" s="9" t="s">
        <v>9915</v>
      </c>
      <c r="C4849" s="9" t="s">
        <v>9880</v>
      </c>
      <c r="D4849" s="9" t="s">
        <v>87</v>
      </c>
      <c r="E4849" s="6" t="s">
        <v>9934</v>
      </c>
      <c r="F4849" s="9"/>
    </row>
    <row r="4850" ht="33.75" customHeight="1">
      <c r="A4850" s="7">
        <v>164.0</v>
      </c>
      <c r="B4850" s="9" t="s">
        <v>9915</v>
      </c>
      <c r="C4850" s="9" t="s">
        <v>9880</v>
      </c>
      <c r="D4850" s="9" t="s">
        <v>89</v>
      </c>
      <c r="E4850" s="6" t="s">
        <v>9916</v>
      </c>
      <c r="F4850" s="9"/>
    </row>
    <row r="4851" ht="33.75" customHeight="1">
      <c r="A4851" s="7">
        <v>164.0</v>
      </c>
      <c r="B4851" s="9" t="s">
        <v>9915</v>
      </c>
      <c r="C4851" s="9" t="s">
        <v>9880</v>
      </c>
      <c r="D4851" s="9" t="s">
        <v>91</v>
      </c>
      <c r="E4851" s="6" t="s">
        <v>9919</v>
      </c>
      <c r="F4851" s="9"/>
    </row>
    <row r="4852" ht="33.75" customHeight="1">
      <c r="A4852" s="7">
        <v>164.0</v>
      </c>
      <c r="B4852" s="9" t="s">
        <v>9915</v>
      </c>
      <c r="C4852" s="9" t="s">
        <v>9880</v>
      </c>
      <c r="D4852" s="9" t="s">
        <v>93</v>
      </c>
      <c r="E4852" s="6" t="s">
        <v>9934</v>
      </c>
      <c r="F4852" s="9"/>
    </row>
    <row r="4853" ht="33.75" customHeight="1">
      <c r="A4853" s="7">
        <v>164.0</v>
      </c>
      <c r="B4853" s="9" t="s">
        <v>9915</v>
      </c>
      <c r="C4853" s="9" t="s">
        <v>9880</v>
      </c>
      <c r="D4853" s="9" t="s">
        <v>95</v>
      </c>
      <c r="E4853" s="6" t="s">
        <v>9934</v>
      </c>
      <c r="F4853" s="9"/>
    </row>
    <row r="4854" ht="33.75" customHeight="1">
      <c r="A4854" s="7">
        <v>164.0</v>
      </c>
      <c r="B4854" s="9" t="s">
        <v>9915</v>
      </c>
      <c r="C4854" s="9" t="s">
        <v>9880</v>
      </c>
      <c r="D4854" s="9" t="s">
        <v>98</v>
      </c>
      <c r="E4854" s="6" t="s">
        <v>9934</v>
      </c>
      <c r="F4854" s="9"/>
    </row>
    <row r="4855" ht="33.75" customHeight="1">
      <c r="A4855" s="7">
        <v>164.0</v>
      </c>
      <c r="B4855" s="9" t="s">
        <v>9915</v>
      </c>
      <c r="C4855" s="9" t="s">
        <v>9880</v>
      </c>
      <c r="D4855" s="9" t="s">
        <v>99</v>
      </c>
      <c r="E4855" s="6" t="s">
        <v>9934</v>
      </c>
      <c r="F4855" s="9"/>
    </row>
    <row r="4856" ht="33.75" customHeight="1">
      <c r="A4856" s="7">
        <v>164.0</v>
      </c>
      <c r="B4856" s="9" t="s">
        <v>9915</v>
      </c>
      <c r="C4856" s="9" t="s">
        <v>9880</v>
      </c>
      <c r="D4856" s="9" t="s">
        <v>101</v>
      </c>
      <c r="E4856" s="6" t="s">
        <v>9916</v>
      </c>
      <c r="F4856" s="9"/>
    </row>
    <row r="4857" ht="33.75" customHeight="1">
      <c r="A4857" s="7">
        <v>164.0</v>
      </c>
      <c r="B4857" s="9" t="s">
        <v>9915</v>
      </c>
      <c r="C4857" s="9" t="s">
        <v>9880</v>
      </c>
      <c r="D4857" s="9" t="s">
        <v>105</v>
      </c>
      <c r="E4857" s="6" t="s">
        <v>9919</v>
      </c>
      <c r="F4857" s="9"/>
    </row>
    <row r="4858" ht="33.75" customHeight="1">
      <c r="A4858" s="7">
        <v>164.0</v>
      </c>
      <c r="B4858" s="9" t="s">
        <v>9915</v>
      </c>
      <c r="C4858" s="9" t="s">
        <v>9880</v>
      </c>
      <c r="D4858" s="9" t="s">
        <v>107</v>
      </c>
      <c r="E4858" s="6" t="s">
        <v>9947</v>
      </c>
      <c r="F4858" s="9"/>
    </row>
    <row r="4859" ht="33.75" customHeight="1">
      <c r="A4859" s="7">
        <v>164.0</v>
      </c>
      <c r="B4859" s="9" t="s">
        <v>9915</v>
      </c>
      <c r="C4859" s="9" t="s">
        <v>9880</v>
      </c>
      <c r="D4859" s="9" t="s">
        <v>109</v>
      </c>
      <c r="E4859" s="6" t="s">
        <v>9947</v>
      </c>
      <c r="F4859" s="9"/>
    </row>
    <row r="4860" ht="33.75" customHeight="1">
      <c r="A4860" s="7">
        <v>164.0</v>
      </c>
      <c r="B4860" s="9" t="s">
        <v>9915</v>
      </c>
      <c r="C4860" s="9" t="s">
        <v>9880</v>
      </c>
      <c r="D4860" s="9" t="s">
        <v>647</v>
      </c>
      <c r="E4860" s="6" t="s">
        <v>9950</v>
      </c>
      <c r="F4860" s="9"/>
    </row>
    <row r="4861" ht="33.75" customHeight="1">
      <c r="A4861" s="7">
        <v>164.0</v>
      </c>
      <c r="B4861" s="9" t="s">
        <v>9915</v>
      </c>
      <c r="C4861" s="9" t="s">
        <v>9880</v>
      </c>
      <c r="D4861" s="9" t="s">
        <v>652</v>
      </c>
      <c r="E4861" s="6" t="s">
        <v>9952</v>
      </c>
      <c r="F4861" s="9"/>
    </row>
    <row r="4862" ht="33.75" customHeight="1">
      <c r="A4862" s="7">
        <v>164.0</v>
      </c>
      <c r="B4862" s="9" t="s">
        <v>9915</v>
      </c>
      <c r="C4862" s="9" t="s">
        <v>9880</v>
      </c>
      <c r="D4862" s="9" t="s">
        <v>114</v>
      </c>
      <c r="E4862" s="6" t="s">
        <v>9934</v>
      </c>
      <c r="F4862" s="9"/>
    </row>
    <row r="4863" ht="33.75" customHeight="1">
      <c r="A4863" s="7">
        <v>164.0</v>
      </c>
      <c r="B4863" s="9" t="s">
        <v>9915</v>
      </c>
      <c r="C4863" s="9" t="s">
        <v>9880</v>
      </c>
      <c r="D4863" s="9" t="s">
        <v>117</v>
      </c>
      <c r="E4863" s="6" t="s">
        <v>9919</v>
      </c>
      <c r="F4863" s="9"/>
    </row>
    <row r="4864" ht="33.75" customHeight="1">
      <c r="A4864" s="7">
        <v>165.0</v>
      </c>
      <c r="B4864" s="9" t="s">
        <v>9960</v>
      </c>
      <c r="C4864" s="9" t="s">
        <v>9961</v>
      </c>
      <c r="D4864" s="9" t="s">
        <v>52</v>
      </c>
      <c r="E4864" s="6" t="s">
        <v>9963</v>
      </c>
      <c r="F4864" t="inlineStr" s="10">
        <is>
          <t xml:space="preserve">Ledyba on hyvin arka. Se pelkää liikkua yksin. Mutta se on aktiivinen ryhmässä. Kun sää kylmenee, paljon LEDYBA-ryhmiä kokoontuu kaikkialta ryhmittymään ja pitämään toisiaan lämpiminä. Se on arka ja kerääntyy muiden joukkoon. Sen jaloista erittyvä neste osoittaa sen sijainnin. LEDYBA erittää aromaattista nestettä kohdasta, josta sen jalat liittyvät kehoon. Tätä nestettä käytetään kommunikointiin muiden kanssa. Tämä POKéMON välittää tunteitaan muille muuttamalla nesteen tuoksua. LEDYBA-käärmeet kommunikoivat nesteen avulla, jota ne erittävät jalkojen ja kehon liitoskohdasta. Niiden sanotaan välittävän tunteita muille muuttamalla nesteen tuoksua. Kun sää kylmenee, lukuisat LEDYBA-olentojen jäsenet kokoontuvat kaikkialta ryhmittymään ja lämmittämään toisiaan. Se on niin arka, ettei se voi liikkua, ellei se ole muiden parven seurassa. Se ilmaisee tunteitaan hajulla. Kun sää kylmenee, paljon Ledyba-väkeä kokoontuu kaikkialta pitämään toisiaan lämpiminä. Ne ovat arkoja ja levottomia, jos ne eivät ole parvessa muiden lajitovereidensa kanssa. Niiden selkäkuvio vaihtelee hieman lajista toiseen. Ne kommunikoivat keskenään käyttämällä ruumiinnesteitä, jotka erittävät hajuja. Kun ne ovat vihaisia, niiden haju haisee happamalle. Tämä Pokémon on hyvin herkkä kylmälle. Alolan lämmössä se näyttää melko vilkkaalta. Nämä hyvin pelkurimaiset Pokémonit liittyvät yhteen ja käyttävät Reflectiä suojellakseen pesäänsä.</t>
        </is>
      </c>
    </row>
    <row r="4865" ht="33.75" customHeight="1">
      <c r="A4865" s="7">
        <v>165.0</v>
      </c>
      <c r="B4865" s="9" t="s">
        <v>9960</v>
      </c>
      <c r="C4865" s="9" t="s">
        <v>9961</v>
      </c>
      <c r="D4865" s="9" t="s">
        <v>59</v>
      </c>
      <c r="E4865" s="6" t="s">
        <v>9966</v>
      </c>
      <c r="F4865" s="9"/>
    </row>
    <row r="4866" ht="33.75" customHeight="1">
      <c r="A4866" s="7">
        <v>165.0</v>
      </c>
      <c r="B4866" s="9" t="s">
        <v>9960</v>
      </c>
      <c r="C4866" s="9" t="s">
        <v>9961</v>
      </c>
      <c r="D4866" s="9" t="s">
        <v>64</v>
      </c>
      <c r="E4866" s="6" t="s">
        <v>9969</v>
      </c>
      <c r="F4866" s="9"/>
    </row>
    <row r="4867" ht="33.75" customHeight="1">
      <c r="A4867" s="7">
        <v>165.0</v>
      </c>
      <c r="B4867" s="9" t="s">
        <v>9960</v>
      </c>
      <c r="C4867" s="9" t="s">
        <v>9961</v>
      </c>
      <c r="D4867" s="9" t="s">
        <v>67</v>
      </c>
      <c r="E4867" s="6" t="s">
        <v>9971</v>
      </c>
      <c r="F4867" s="9"/>
    </row>
    <row r="4868" ht="33.75" customHeight="1">
      <c r="A4868" s="7">
        <v>165.0</v>
      </c>
      <c r="B4868" s="9" t="s">
        <v>9960</v>
      </c>
      <c r="C4868" s="9" t="s">
        <v>9961</v>
      </c>
      <c r="D4868" s="9" t="s">
        <v>71</v>
      </c>
      <c r="E4868" s="6" t="s">
        <v>9971</v>
      </c>
      <c r="F4868" s="9"/>
    </row>
    <row r="4869" ht="33.75" customHeight="1">
      <c r="A4869" s="7">
        <v>165.0</v>
      </c>
      <c r="B4869" s="9" t="s">
        <v>9960</v>
      </c>
      <c r="C4869" s="9" t="s">
        <v>9961</v>
      </c>
      <c r="D4869" s="9" t="s">
        <v>73</v>
      </c>
      <c r="E4869" s="6" t="s">
        <v>9974</v>
      </c>
      <c r="F4869" s="9"/>
    </row>
    <row r="4870" ht="33.75" customHeight="1">
      <c r="A4870" s="7">
        <v>165.0</v>
      </c>
      <c r="B4870" s="9" t="s">
        <v>9960</v>
      </c>
      <c r="C4870" s="9" t="s">
        <v>9961</v>
      </c>
      <c r="D4870" s="9" t="s">
        <v>75</v>
      </c>
      <c r="E4870" s="6" t="s">
        <v>9976</v>
      </c>
      <c r="F4870" s="9"/>
    </row>
    <row r="4871" ht="33.75" customHeight="1">
      <c r="A4871" s="7">
        <v>165.0</v>
      </c>
      <c r="B4871" s="9" t="s">
        <v>9960</v>
      </c>
      <c r="C4871" s="9" t="s">
        <v>9961</v>
      </c>
      <c r="D4871" s="9" t="s">
        <v>79</v>
      </c>
      <c r="E4871" s="6" t="s">
        <v>9963</v>
      </c>
      <c r="F4871" s="9"/>
    </row>
    <row r="4872" ht="33.75" customHeight="1">
      <c r="A4872" s="7">
        <v>165.0</v>
      </c>
      <c r="B4872" s="9" t="s">
        <v>9960</v>
      </c>
      <c r="C4872" s="9" t="s">
        <v>9961</v>
      </c>
      <c r="D4872" s="9" t="s">
        <v>81</v>
      </c>
      <c r="E4872" s="6" t="s">
        <v>9980</v>
      </c>
      <c r="F4872" s="9"/>
    </row>
    <row r="4873" ht="33.75" customHeight="1">
      <c r="A4873" s="7">
        <v>165.0</v>
      </c>
      <c r="B4873" s="9" t="s">
        <v>9960</v>
      </c>
      <c r="C4873" s="9" t="s">
        <v>9961</v>
      </c>
      <c r="D4873" s="9" t="s">
        <v>84</v>
      </c>
      <c r="E4873" s="6" t="s">
        <v>9980</v>
      </c>
      <c r="F4873" s="9"/>
    </row>
    <row r="4874" ht="33.75" customHeight="1">
      <c r="A4874" s="7">
        <v>165.0</v>
      </c>
      <c r="B4874" s="9" t="s">
        <v>9960</v>
      </c>
      <c r="C4874" s="9" t="s">
        <v>9961</v>
      </c>
      <c r="D4874" s="9" t="s">
        <v>87</v>
      </c>
      <c r="E4874" s="6" t="s">
        <v>9980</v>
      </c>
      <c r="F4874" s="9"/>
    </row>
    <row r="4875" ht="33.75" customHeight="1">
      <c r="A4875" s="7">
        <v>165.0</v>
      </c>
      <c r="B4875" s="9" t="s">
        <v>9960</v>
      </c>
      <c r="C4875" s="9" t="s">
        <v>9961</v>
      </c>
      <c r="D4875" s="9" t="s">
        <v>89</v>
      </c>
      <c r="E4875" s="6" t="s">
        <v>9963</v>
      </c>
      <c r="F4875" s="9"/>
    </row>
    <row r="4876" ht="33.75" customHeight="1">
      <c r="A4876" s="7">
        <v>165.0</v>
      </c>
      <c r="B4876" s="9" t="s">
        <v>9960</v>
      </c>
      <c r="C4876" s="9" t="s">
        <v>9961</v>
      </c>
      <c r="D4876" s="9" t="s">
        <v>91</v>
      </c>
      <c r="E4876" s="6" t="s">
        <v>9966</v>
      </c>
      <c r="F4876" s="9"/>
    </row>
    <row r="4877" ht="33.75" customHeight="1">
      <c r="A4877" s="7">
        <v>165.0</v>
      </c>
      <c r="B4877" s="9" t="s">
        <v>9960</v>
      </c>
      <c r="C4877" s="9" t="s">
        <v>9961</v>
      </c>
      <c r="D4877" s="9" t="s">
        <v>93</v>
      </c>
      <c r="E4877" s="6" t="s">
        <v>9980</v>
      </c>
      <c r="F4877" s="9"/>
    </row>
    <row r="4878" ht="33.75" customHeight="1">
      <c r="A4878" s="7">
        <v>165.0</v>
      </c>
      <c r="B4878" s="9" t="s">
        <v>9960</v>
      </c>
      <c r="C4878" s="9" t="s">
        <v>9961</v>
      </c>
      <c r="D4878" s="9" t="s">
        <v>95</v>
      </c>
      <c r="E4878" s="6" t="s">
        <v>9980</v>
      </c>
      <c r="F4878" s="9"/>
    </row>
    <row r="4879" ht="33.75" customHeight="1">
      <c r="A4879" s="7">
        <v>165.0</v>
      </c>
      <c r="B4879" s="9" t="s">
        <v>9960</v>
      </c>
      <c r="C4879" s="9" t="s">
        <v>9961</v>
      </c>
      <c r="D4879" s="9" t="s">
        <v>98</v>
      </c>
      <c r="E4879" s="6" t="s">
        <v>9980</v>
      </c>
      <c r="F4879" s="9"/>
    </row>
    <row r="4880" ht="33.75" customHeight="1">
      <c r="A4880" s="7">
        <v>165.0</v>
      </c>
      <c r="B4880" s="9" t="s">
        <v>9960</v>
      </c>
      <c r="C4880" s="9" t="s">
        <v>9961</v>
      </c>
      <c r="D4880" s="9" t="s">
        <v>99</v>
      </c>
      <c r="E4880" s="6" t="s">
        <v>9980</v>
      </c>
      <c r="F4880" s="9"/>
    </row>
    <row r="4881" ht="33.75" customHeight="1">
      <c r="A4881" s="7">
        <v>165.0</v>
      </c>
      <c r="B4881" s="9" t="s">
        <v>9960</v>
      </c>
      <c r="C4881" s="9" t="s">
        <v>9961</v>
      </c>
      <c r="D4881" s="9" t="s">
        <v>101</v>
      </c>
      <c r="E4881" s="6" t="s">
        <v>9991</v>
      </c>
      <c r="F4881" s="9"/>
    </row>
    <row r="4882" ht="33.75" customHeight="1">
      <c r="A4882" s="7">
        <v>165.0</v>
      </c>
      <c r="B4882" s="9" t="s">
        <v>9960</v>
      </c>
      <c r="C4882" s="9" t="s">
        <v>9961</v>
      </c>
      <c r="D4882" s="9" t="s">
        <v>105</v>
      </c>
      <c r="E4882" s="6" t="s">
        <v>9969</v>
      </c>
      <c r="F4882" s="9"/>
    </row>
    <row r="4883" ht="33.75" customHeight="1">
      <c r="A4883" s="7">
        <v>165.0</v>
      </c>
      <c r="B4883" s="9" t="s">
        <v>9960</v>
      </c>
      <c r="C4883" s="9" t="s">
        <v>9961</v>
      </c>
      <c r="D4883" s="9" t="s">
        <v>107</v>
      </c>
      <c r="E4883" s="6" t="s">
        <v>9994</v>
      </c>
      <c r="F4883" s="9"/>
    </row>
    <row r="4884" ht="33.75" customHeight="1">
      <c r="A4884" s="7">
        <v>165.0</v>
      </c>
      <c r="B4884" s="9" t="s">
        <v>9960</v>
      </c>
      <c r="C4884" s="9" t="s">
        <v>9961</v>
      </c>
      <c r="D4884" s="9" t="s">
        <v>109</v>
      </c>
      <c r="E4884" s="6" t="s">
        <v>9994</v>
      </c>
      <c r="F4884" s="9"/>
    </row>
    <row r="4885" ht="33.75" customHeight="1">
      <c r="A4885" s="7">
        <v>165.0</v>
      </c>
      <c r="B4885" s="9" t="s">
        <v>9960</v>
      </c>
      <c r="C4885" s="9" t="s">
        <v>9961</v>
      </c>
      <c r="D4885" s="9" t="s">
        <v>637</v>
      </c>
      <c r="E4885" s="6" t="s">
        <v>9996</v>
      </c>
      <c r="F4885" s="9"/>
    </row>
    <row r="4886" ht="33.75" customHeight="1">
      <c r="A4886" s="7">
        <v>165.0</v>
      </c>
      <c r="B4886" s="9" t="s">
        <v>9960</v>
      </c>
      <c r="C4886" s="9" t="s">
        <v>9961</v>
      </c>
      <c r="D4886" s="9" t="s">
        <v>642</v>
      </c>
      <c r="E4886" s="6" t="s">
        <v>9998</v>
      </c>
      <c r="F4886" s="9"/>
    </row>
    <row r="4887" ht="33.75" customHeight="1">
      <c r="A4887" s="7">
        <v>165.0</v>
      </c>
      <c r="B4887" s="9" t="s">
        <v>9960</v>
      </c>
      <c r="C4887" s="9" t="s">
        <v>9961</v>
      </c>
      <c r="D4887" s="9" t="s">
        <v>647</v>
      </c>
      <c r="E4887" s="6" t="s">
        <v>10000</v>
      </c>
      <c r="F4887" s="9"/>
    </row>
    <row r="4888" ht="33.75" customHeight="1">
      <c r="A4888" s="7">
        <v>165.0</v>
      </c>
      <c r="B4888" s="9" t="s">
        <v>9960</v>
      </c>
      <c r="C4888" s="9" t="s">
        <v>9961</v>
      </c>
      <c r="D4888" s="9" t="s">
        <v>652</v>
      </c>
      <c r="E4888" s="6" t="s">
        <v>10003</v>
      </c>
      <c r="F4888" s="9"/>
    </row>
    <row r="4889" ht="33.75" customHeight="1">
      <c r="A4889" s="7">
        <v>166.0</v>
      </c>
      <c r="B4889" s="9" t="s">
        <v>10004</v>
      </c>
      <c r="C4889" s="9" t="s">
        <v>9961</v>
      </c>
      <c r="D4889" s="9" t="s">
        <v>52</v>
      </c>
      <c r="E4889" s="6" t="s">
        <v>10006</v>
      </c>
      <c r="F4889" t="inlineStr" s="10">
        <is>
          <t xml:space="preserve">Kun tähdet välkkyvät yötaivaalla, se lepattaa ympäriinsä sirotellen hehkuvaa jauhetta. Sen selässä olevat tähtikuviot kasvavat suuremmiksi tai pienemmiksi riippuen yötaivaan tähtien määrästä. Päivällä, kun tulee lämmin, se käpertyy suuren lehden sisään ja vaipuu syvään uneen. Sanotaan, että maissa, joissa on puhdas ilma ja tähtien täyttämä taivas, asuu lukemattomia määriä LEDIANEJA. Tähän on hyvä syy - POKéMONit käyttävät tähtien valoa energianaan. Sanotaan, että maissa, joissa on puhdas ilma ja tähtien täyttämä taivas, asuu paljon LEDIALAISIA. Hyvästä syystä he käyttävät tähtien valoa energianaan. Se käyttää tähtien valoa energianaan. Kun yöllä ilmestyy lisää tähtiä, sen selässä olevat kuviot suurenevat. Sen selässä olevat täpläkuviot kasvavat suuremmiksi tai pienemmiksi riippuen yötaivaan tähtien määrästä. Sanotaan, että maissa, joissa on puhdas ilma ja tähtien täyttämä taivas, asuu lukemattomia määriä ledialaisia. Tähän on hyvä syy – Pokémonit käyttävät tähtien valoa energianaan. Vaikka uskotaan, että tähtien valo antaa sille energiaa, tämä Pokémon rakastaa myös marjojen syömistä. Päivällä se käpertyy ruohikkoon nukkumaan. Taistelussa se lyö kaikilla neljällä kädellään. Kunkin yksittäisen iskun voima on mitätön, joten se pyrkii voittamaan määrän eikä laadun perusteella. Sanotaan, että sen selän kuviot liittyvät yötaivaan tähtiin, mutta tämän suhteen yksityiskohdat ovat edelleen epäselviä. Se lentää yötaivaan halki ja sirottelee kimaltelevaa pölyä. Joidenkin mukaan jos tuo pöly tarttuu sinuun, sinulle tapahtuu hyviä asioita.</t>
        </is>
      </c>
    </row>
    <row r="4890" ht="33.75" customHeight="1">
      <c r="A4890" s="7">
        <v>166.0</v>
      </c>
      <c r="B4890" s="9" t="s">
        <v>10004</v>
      </c>
      <c r="C4890" s="9" t="s">
        <v>9961</v>
      </c>
      <c r="D4890" s="9" t="s">
        <v>59</v>
      </c>
      <c r="E4890" s="6" t="s">
        <v>10007</v>
      </c>
      <c r="F4890" s="9"/>
    </row>
    <row r="4891" ht="33.75" customHeight="1">
      <c r="A4891" s="7">
        <v>166.0</v>
      </c>
      <c r="B4891" s="9" t="s">
        <v>10004</v>
      </c>
      <c r="C4891" s="9" t="s">
        <v>9961</v>
      </c>
      <c r="D4891" s="9" t="s">
        <v>64</v>
      </c>
      <c r="E4891" s="6" t="s">
        <v>10009</v>
      </c>
      <c r="F4891" s="9"/>
    </row>
    <row r="4892" ht="33.75" customHeight="1">
      <c r="A4892" s="7">
        <v>166.0</v>
      </c>
      <c r="B4892" s="9" t="s">
        <v>10004</v>
      </c>
      <c r="C4892" s="9" t="s">
        <v>9961</v>
      </c>
      <c r="D4892" s="9" t="s">
        <v>67</v>
      </c>
      <c r="E4892" s="6" t="s">
        <v>10011</v>
      </c>
      <c r="F4892" s="9"/>
    </row>
    <row r="4893" ht="33.75" customHeight="1">
      <c r="A4893" s="7">
        <v>166.0</v>
      </c>
      <c r="B4893" s="9" t="s">
        <v>10004</v>
      </c>
      <c r="C4893" s="9" t="s">
        <v>9961</v>
      </c>
      <c r="D4893" s="9" t="s">
        <v>71</v>
      </c>
      <c r="E4893" s="6" t="s">
        <v>10011</v>
      </c>
      <c r="F4893" s="9"/>
    </row>
    <row r="4894" ht="33.75" customHeight="1">
      <c r="A4894" s="7">
        <v>166.0</v>
      </c>
      <c r="B4894" s="9" t="s">
        <v>10004</v>
      </c>
      <c r="C4894" s="9" t="s">
        <v>9961</v>
      </c>
      <c r="D4894" s="9" t="s">
        <v>73</v>
      </c>
      <c r="E4894" s="6" t="s">
        <v>10014</v>
      </c>
      <c r="F4894" s="9"/>
    </row>
    <row r="4895" ht="33.75" customHeight="1">
      <c r="A4895" s="7">
        <v>166.0</v>
      </c>
      <c r="B4895" s="9" t="s">
        <v>10004</v>
      </c>
      <c r="C4895" s="9" t="s">
        <v>9961</v>
      </c>
      <c r="D4895" s="9" t="s">
        <v>75</v>
      </c>
      <c r="E4895" s="6" t="s">
        <v>10007</v>
      </c>
      <c r="F4895" s="9"/>
    </row>
    <row r="4896" ht="33.75" customHeight="1">
      <c r="A4896" s="7">
        <v>166.0</v>
      </c>
      <c r="B4896" s="9" t="s">
        <v>10004</v>
      </c>
      <c r="C4896" s="9" t="s">
        <v>9961</v>
      </c>
      <c r="D4896" s="9" t="s">
        <v>79</v>
      </c>
      <c r="E4896" s="6" t="s">
        <v>10006</v>
      </c>
      <c r="F4896" s="9"/>
    </row>
    <row r="4897" ht="33.75" customHeight="1">
      <c r="A4897" s="7">
        <v>166.0</v>
      </c>
      <c r="B4897" s="9" t="s">
        <v>10004</v>
      </c>
      <c r="C4897" s="9" t="s">
        <v>9961</v>
      </c>
      <c r="D4897" s="9" t="s">
        <v>81</v>
      </c>
      <c r="E4897" s="6" t="s">
        <v>10020</v>
      </c>
      <c r="F4897" s="9"/>
    </row>
    <row r="4898" ht="33.75" customHeight="1">
      <c r="A4898" s="7">
        <v>166.0</v>
      </c>
      <c r="B4898" s="9" t="s">
        <v>10004</v>
      </c>
      <c r="C4898" s="9" t="s">
        <v>9961</v>
      </c>
      <c r="D4898" s="9" t="s">
        <v>84</v>
      </c>
      <c r="E4898" s="6" t="s">
        <v>10020</v>
      </c>
      <c r="F4898" s="9"/>
    </row>
    <row r="4899" ht="33.75" customHeight="1">
      <c r="A4899" s="7">
        <v>166.0</v>
      </c>
      <c r="B4899" s="9" t="s">
        <v>10004</v>
      </c>
      <c r="C4899" s="9" t="s">
        <v>9961</v>
      </c>
      <c r="D4899" s="9" t="s">
        <v>87</v>
      </c>
      <c r="E4899" s="6" t="s">
        <v>10020</v>
      </c>
      <c r="F4899" s="9"/>
    </row>
    <row r="4900" ht="33.75" customHeight="1">
      <c r="A4900" s="7">
        <v>166.0</v>
      </c>
      <c r="B4900" s="9" t="s">
        <v>10004</v>
      </c>
      <c r="C4900" s="9" t="s">
        <v>9961</v>
      </c>
      <c r="D4900" s="9" t="s">
        <v>89</v>
      </c>
      <c r="E4900" s="6" t="s">
        <v>10006</v>
      </c>
      <c r="F4900" s="9"/>
    </row>
    <row r="4901" ht="33.75" customHeight="1">
      <c r="A4901" s="7">
        <v>166.0</v>
      </c>
      <c r="B4901" s="9" t="s">
        <v>10004</v>
      </c>
      <c r="C4901" s="9" t="s">
        <v>9961</v>
      </c>
      <c r="D4901" s="9" t="s">
        <v>91</v>
      </c>
      <c r="E4901" s="6" t="s">
        <v>10025</v>
      </c>
      <c r="F4901" s="9"/>
    </row>
    <row r="4902" ht="33.75" customHeight="1">
      <c r="A4902" s="7">
        <v>166.0</v>
      </c>
      <c r="B4902" s="9" t="s">
        <v>10004</v>
      </c>
      <c r="C4902" s="9" t="s">
        <v>9961</v>
      </c>
      <c r="D4902" s="9" t="s">
        <v>93</v>
      </c>
      <c r="E4902" s="6" t="s">
        <v>10020</v>
      </c>
      <c r="F4902" s="9"/>
    </row>
    <row r="4903" ht="33.75" customHeight="1">
      <c r="A4903" s="7">
        <v>166.0</v>
      </c>
      <c r="B4903" s="9" t="s">
        <v>10004</v>
      </c>
      <c r="C4903" s="9" t="s">
        <v>9961</v>
      </c>
      <c r="D4903" s="9" t="s">
        <v>95</v>
      </c>
      <c r="E4903" s="6" t="s">
        <v>10020</v>
      </c>
      <c r="F4903" s="9"/>
    </row>
    <row r="4904" ht="33.75" customHeight="1">
      <c r="A4904" s="7">
        <v>166.0</v>
      </c>
      <c r="B4904" s="9" t="s">
        <v>10004</v>
      </c>
      <c r="C4904" s="9" t="s">
        <v>9961</v>
      </c>
      <c r="D4904" s="9" t="s">
        <v>98</v>
      </c>
      <c r="E4904" s="6" t="s">
        <v>10020</v>
      </c>
      <c r="F4904" s="9"/>
    </row>
    <row r="4905" ht="33.75" customHeight="1">
      <c r="A4905" s="7">
        <v>166.0</v>
      </c>
      <c r="B4905" s="9" t="s">
        <v>10004</v>
      </c>
      <c r="C4905" s="9" t="s">
        <v>9961</v>
      </c>
      <c r="D4905" s="9" t="s">
        <v>99</v>
      </c>
      <c r="E4905" s="6" t="s">
        <v>10020</v>
      </c>
      <c r="F4905" s="9"/>
    </row>
    <row r="4906" ht="33.75" customHeight="1">
      <c r="A4906" s="7">
        <v>166.0</v>
      </c>
      <c r="B4906" s="9" t="s">
        <v>10004</v>
      </c>
      <c r="C4906" s="9" t="s">
        <v>9961</v>
      </c>
      <c r="D4906" s="9" t="s">
        <v>101</v>
      </c>
      <c r="E4906" s="6" t="s">
        <v>10006</v>
      </c>
      <c r="F4906" s="9"/>
    </row>
    <row r="4907" ht="33.75" customHeight="1">
      <c r="A4907" s="7">
        <v>166.0</v>
      </c>
      <c r="B4907" s="9" t="s">
        <v>10004</v>
      </c>
      <c r="C4907" s="9" t="s">
        <v>9961</v>
      </c>
      <c r="D4907" s="9" t="s">
        <v>105</v>
      </c>
      <c r="E4907" s="6" t="s">
        <v>10025</v>
      </c>
      <c r="F4907" s="9"/>
    </row>
    <row r="4908" ht="33.75" customHeight="1">
      <c r="A4908" s="7">
        <v>166.0</v>
      </c>
      <c r="B4908" s="9" t="s">
        <v>10004</v>
      </c>
      <c r="C4908" s="9" t="s">
        <v>9961</v>
      </c>
      <c r="D4908" s="9" t="s">
        <v>107</v>
      </c>
      <c r="E4908" s="6" t="s">
        <v>10035</v>
      </c>
      <c r="F4908" s="9"/>
    </row>
    <row r="4909" ht="33.75" customHeight="1">
      <c r="A4909" s="7">
        <v>166.0</v>
      </c>
      <c r="B4909" s="9" t="s">
        <v>10004</v>
      </c>
      <c r="C4909" s="9" t="s">
        <v>9961</v>
      </c>
      <c r="D4909" s="9" t="s">
        <v>109</v>
      </c>
      <c r="E4909" s="6" t="s">
        <v>10035</v>
      </c>
      <c r="F4909" s="9"/>
    </row>
    <row r="4910" ht="33.75" customHeight="1">
      <c r="A4910" s="7">
        <v>166.0</v>
      </c>
      <c r="B4910" s="9" t="s">
        <v>10004</v>
      </c>
      <c r="C4910" s="9" t="s">
        <v>9961</v>
      </c>
      <c r="D4910" s="9" t="s">
        <v>637</v>
      </c>
      <c r="E4910" s="6" t="s">
        <v>10038</v>
      </c>
      <c r="F4910" s="9"/>
    </row>
    <row r="4911" ht="33.75" customHeight="1">
      <c r="A4911" s="7">
        <v>166.0</v>
      </c>
      <c r="B4911" s="9" t="s">
        <v>10004</v>
      </c>
      <c r="C4911" s="9" t="s">
        <v>9961</v>
      </c>
      <c r="D4911" s="9" t="s">
        <v>642</v>
      </c>
      <c r="E4911" s="6" t="s">
        <v>10040</v>
      </c>
      <c r="F4911" s="9"/>
    </row>
    <row r="4912" ht="33.75" customHeight="1">
      <c r="A4912" s="7">
        <v>166.0</v>
      </c>
      <c r="B4912" s="9" t="s">
        <v>10004</v>
      </c>
      <c r="C4912" s="9" t="s">
        <v>9961</v>
      </c>
      <c r="D4912" s="9" t="s">
        <v>647</v>
      </c>
      <c r="E4912" s="6" t="s">
        <v>10042</v>
      </c>
      <c r="F4912" s="9"/>
    </row>
    <row r="4913" ht="33.75" customHeight="1">
      <c r="A4913" s="7">
        <v>166.0</v>
      </c>
      <c r="B4913" s="9" t="s">
        <v>10004</v>
      </c>
      <c r="C4913" s="9" t="s">
        <v>9961</v>
      </c>
      <c r="D4913" s="9" t="s">
        <v>652</v>
      </c>
      <c r="E4913" s="6" t="s">
        <v>10044</v>
      </c>
      <c r="F4913" s="9"/>
    </row>
    <row r="4914" ht="33.75" customHeight="1">
      <c r="A4914" s="7">
        <v>167.0</v>
      </c>
      <c r="B4914" s="9" t="s">
        <v>10045</v>
      </c>
      <c r="C4914" s="9" t="s">
        <v>10046</v>
      </c>
      <c r="D4914" s="9" t="s">
        <v>52</v>
      </c>
      <c r="E4914" s="6" t="s">
        <v>10048</v>
      </c>
      <c r="F4914" t="inlineStr" s="10">
        <is>
          <t xml:space="preserve">Spinarak makaa päiväkausia samassa asennossa verkossaan odottaen tietämättömän saaliinsa vaeltavan lähelle. Se kutoo verkkoa ohuesta – mutta kestävästä – langasta. Sitten se odottaa kärsivällisesti saaliinsa pyydystämistä. Jos saalis jää kiinni kehrätystä narusta tehtyyn pesäänsä, se odottaa liikkumatta, kunnes tulee pimeää. SPINARAKin kehräämää verkkoa voidaan pitää sen toisena hermostona. Sanotaan, että tämä POKéMON pystyy päättelemään, millainen saalis koskettaa sen verkkoa, pelkästään niiden pienten värähtelyjen perusteella, joita se tuntee verkon säikeiden läpi. Sen kehräämää verkkoa voidaan pitää sen toisena hermostona. Sanotaan, että SPINARAK tunnistaa saaliinsa verkon läpi tuntemiensa pienten värähtelyjen perusteella. Se kutoo verkkoa ohuesta mutta kestävästä langasta. Se virittää ansan kehrämällä ohuesta mutta vahvasta silkistä tehdyn verkon. Se odottaa liikkumatta saalista. Se odottaa tarkkaavaisesti, kunnes sen suosikkisaalis, Cutiefly, jää kiinni sen verkkoon. Itse asiassa se on melko kärsivällinen Pokémon. Jotkut kalastajat kutovat sen tukevaa lankaa verkkoihin pyydystääkseen Pokémoneja. Suustaan ​​lähtevillä langoilla se muodostaa tukevia verkkoja, jotka eivät katkea, vaikka niiden päälle laittaisi kiven. Vaikka sen hampaiden myrkky ei ole kovin vahvaa, se on riittävän tehokas heikentämään sen verkkoon jäävää saalista.</t>
        </is>
      </c>
    </row>
    <row r="4915" ht="33.75" customHeight="1">
      <c r="A4915" s="7">
        <v>167.0</v>
      </c>
      <c r="B4915" s="9" t="s">
        <v>10045</v>
      </c>
      <c r="C4915" s="9" t="s">
        <v>10046</v>
      </c>
      <c r="D4915" s="9" t="s">
        <v>59</v>
      </c>
      <c r="E4915" s="6" t="s">
        <v>10049</v>
      </c>
      <c r="F4915" s="9"/>
    </row>
    <row r="4916" ht="33.75" customHeight="1">
      <c r="A4916" s="7">
        <v>167.0</v>
      </c>
      <c r="B4916" s="9" t="s">
        <v>10045</v>
      </c>
      <c r="C4916" s="9" t="s">
        <v>10046</v>
      </c>
      <c r="D4916" s="9" t="s">
        <v>64</v>
      </c>
      <c r="E4916" s="6" t="s">
        <v>10051</v>
      </c>
      <c r="F4916" s="9"/>
    </row>
    <row r="4917" ht="33.75" customHeight="1">
      <c r="A4917" s="7">
        <v>167.0</v>
      </c>
      <c r="B4917" s="9" t="s">
        <v>10045</v>
      </c>
      <c r="C4917" s="9" t="s">
        <v>10046</v>
      </c>
      <c r="D4917" s="9" t="s">
        <v>67</v>
      </c>
      <c r="E4917" s="6" t="s">
        <v>10053</v>
      </c>
      <c r="F4917" s="9"/>
    </row>
    <row r="4918" ht="33.75" customHeight="1">
      <c r="A4918" s="7">
        <v>167.0</v>
      </c>
      <c r="B4918" s="9" t="s">
        <v>10045</v>
      </c>
      <c r="C4918" s="9" t="s">
        <v>10046</v>
      </c>
      <c r="D4918" s="9" t="s">
        <v>71</v>
      </c>
      <c r="E4918" s="6" t="s">
        <v>10053</v>
      </c>
      <c r="F4918" s="9"/>
    </row>
    <row r="4919" ht="33.75" customHeight="1">
      <c r="A4919" s="7">
        <v>167.0</v>
      </c>
      <c r="B4919" s="9" t="s">
        <v>10045</v>
      </c>
      <c r="C4919" s="9" t="s">
        <v>10046</v>
      </c>
      <c r="D4919" s="9" t="s">
        <v>73</v>
      </c>
      <c r="E4919" s="6" t="s">
        <v>10055</v>
      </c>
      <c r="F4919" s="9"/>
    </row>
    <row r="4920" ht="33.75" customHeight="1">
      <c r="A4920" s="7">
        <v>167.0</v>
      </c>
      <c r="B4920" s="9" t="s">
        <v>10045</v>
      </c>
      <c r="C4920" s="9" t="s">
        <v>10046</v>
      </c>
      <c r="D4920" s="9" t="s">
        <v>75</v>
      </c>
      <c r="E4920" s="6" t="s">
        <v>10057</v>
      </c>
      <c r="F4920" s="9"/>
    </row>
    <row r="4921" ht="33.75" customHeight="1">
      <c r="A4921" s="7">
        <v>167.0</v>
      </c>
      <c r="B4921" s="9" t="s">
        <v>10045</v>
      </c>
      <c r="C4921" s="9" t="s">
        <v>10046</v>
      </c>
      <c r="D4921" s="9" t="s">
        <v>79</v>
      </c>
      <c r="E4921" s="6" t="s">
        <v>10048</v>
      </c>
      <c r="F4921" s="9"/>
    </row>
    <row r="4922" ht="33.75" customHeight="1">
      <c r="A4922" s="7">
        <v>167.0</v>
      </c>
      <c r="B4922" s="9" t="s">
        <v>10045</v>
      </c>
      <c r="C4922" s="9" t="s">
        <v>10046</v>
      </c>
      <c r="D4922" s="9" t="s">
        <v>81</v>
      </c>
      <c r="E4922" s="6" t="s">
        <v>10060</v>
      </c>
      <c r="F4922" s="9"/>
    </row>
    <row r="4923" ht="33.75" customHeight="1">
      <c r="A4923" s="7">
        <v>167.0</v>
      </c>
      <c r="B4923" s="9" t="s">
        <v>10045</v>
      </c>
      <c r="C4923" s="9" t="s">
        <v>10046</v>
      </c>
      <c r="D4923" s="9" t="s">
        <v>84</v>
      </c>
      <c r="E4923" s="6" t="s">
        <v>10060</v>
      </c>
      <c r="F4923" s="9"/>
    </row>
    <row r="4924" ht="33.75" customHeight="1">
      <c r="A4924" s="7">
        <v>167.0</v>
      </c>
      <c r="B4924" s="9" t="s">
        <v>10045</v>
      </c>
      <c r="C4924" s="9" t="s">
        <v>10046</v>
      </c>
      <c r="D4924" s="9" t="s">
        <v>87</v>
      </c>
      <c r="E4924" s="6" t="s">
        <v>10060</v>
      </c>
      <c r="F4924" s="9"/>
    </row>
    <row r="4925" ht="33.75" customHeight="1">
      <c r="A4925" s="7">
        <v>167.0</v>
      </c>
      <c r="B4925" s="9" t="s">
        <v>10045</v>
      </c>
      <c r="C4925" s="9" t="s">
        <v>10046</v>
      </c>
      <c r="D4925" s="9" t="s">
        <v>89</v>
      </c>
      <c r="E4925" s="6" t="s">
        <v>10048</v>
      </c>
      <c r="F4925" s="9"/>
    </row>
    <row r="4926" ht="33.75" customHeight="1">
      <c r="A4926" s="7">
        <v>167.0</v>
      </c>
      <c r="B4926" s="9" t="s">
        <v>10045</v>
      </c>
      <c r="C4926" s="9" t="s">
        <v>10046</v>
      </c>
      <c r="D4926" s="9" t="s">
        <v>91</v>
      </c>
      <c r="E4926" s="6" t="s">
        <v>10049</v>
      </c>
      <c r="F4926" s="9"/>
    </row>
    <row r="4927" ht="33.75" customHeight="1">
      <c r="A4927" s="7">
        <v>167.0</v>
      </c>
      <c r="B4927" s="9" t="s">
        <v>10045</v>
      </c>
      <c r="C4927" s="9" t="s">
        <v>10046</v>
      </c>
      <c r="D4927" s="9" t="s">
        <v>93</v>
      </c>
      <c r="E4927" s="6" t="s">
        <v>10060</v>
      </c>
      <c r="F4927" s="9"/>
    </row>
    <row r="4928" ht="33.75" customHeight="1">
      <c r="A4928" s="7">
        <v>167.0</v>
      </c>
      <c r="B4928" s="9" t="s">
        <v>10045</v>
      </c>
      <c r="C4928" s="9" t="s">
        <v>10046</v>
      </c>
      <c r="D4928" s="9" t="s">
        <v>95</v>
      </c>
      <c r="E4928" s="6" t="s">
        <v>10060</v>
      </c>
      <c r="F4928" s="9"/>
    </row>
    <row r="4929" ht="33.75" customHeight="1">
      <c r="A4929" s="7">
        <v>167.0</v>
      </c>
      <c r="B4929" s="9" t="s">
        <v>10045</v>
      </c>
      <c r="C4929" s="9" t="s">
        <v>10046</v>
      </c>
      <c r="D4929" s="9" t="s">
        <v>98</v>
      </c>
      <c r="E4929" s="6" t="s">
        <v>10060</v>
      </c>
      <c r="F4929" s="9"/>
    </row>
    <row r="4930" ht="33.75" customHeight="1">
      <c r="A4930" s="7">
        <v>167.0</v>
      </c>
      <c r="B4930" s="9" t="s">
        <v>10045</v>
      </c>
      <c r="C4930" s="9" t="s">
        <v>10046</v>
      </c>
      <c r="D4930" s="9" t="s">
        <v>99</v>
      </c>
      <c r="E4930" s="6" t="s">
        <v>10060</v>
      </c>
      <c r="F4930" s="9"/>
    </row>
    <row r="4931" ht="33.75" customHeight="1">
      <c r="A4931" s="7">
        <v>167.0</v>
      </c>
      <c r="B4931" s="9" t="s">
        <v>10045</v>
      </c>
      <c r="C4931" s="9" t="s">
        <v>10046</v>
      </c>
      <c r="D4931" s="9" t="s">
        <v>101</v>
      </c>
      <c r="E4931" s="6" t="s">
        <v>10049</v>
      </c>
      <c r="F4931" s="9"/>
    </row>
    <row r="4932" ht="33.75" customHeight="1">
      <c r="A4932" s="7">
        <v>167.0</v>
      </c>
      <c r="B4932" s="9" t="s">
        <v>10045</v>
      </c>
      <c r="C4932" s="9" t="s">
        <v>10046</v>
      </c>
      <c r="D4932" s="9" t="s">
        <v>105</v>
      </c>
      <c r="E4932" s="6" t="s">
        <v>10048</v>
      </c>
      <c r="F4932" s="9"/>
    </row>
    <row r="4933" ht="33.75" customHeight="1">
      <c r="A4933" s="7">
        <v>167.0</v>
      </c>
      <c r="B4933" s="9" t="s">
        <v>10045</v>
      </c>
      <c r="C4933" s="9" t="s">
        <v>10046</v>
      </c>
      <c r="D4933" s="9" t="s">
        <v>107</v>
      </c>
      <c r="E4933" s="6" t="s">
        <v>10077</v>
      </c>
      <c r="F4933" s="9"/>
    </row>
    <row r="4934" ht="33.75" customHeight="1">
      <c r="A4934" s="7">
        <v>167.0</v>
      </c>
      <c r="B4934" s="9" t="s">
        <v>10045</v>
      </c>
      <c r="C4934" s="9" t="s">
        <v>10046</v>
      </c>
      <c r="D4934" s="9" t="s">
        <v>109</v>
      </c>
      <c r="E4934" s="6" t="s">
        <v>10077</v>
      </c>
      <c r="F4934" s="9"/>
    </row>
    <row r="4935" ht="33.75" customHeight="1">
      <c r="A4935" s="7">
        <v>167.0</v>
      </c>
      <c r="B4935" s="9" t="s">
        <v>10045</v>
      </c>
      <c r="C4935" s="9" t="s">
        <v>10046</v>
      </c>
      <c r="D4935" s="9" t="s">
        <v>637</v>
      </c>
      <c r="E4935" s="6" t="s">
        <v>10081</v>
      </c>
      <c r="F4935" s="9"/>
    </row>
    <row r="4936" ht="33.75" customHeight="1">
      <c r="A4936" s="7">
        <v>167.0</v>
      </c>
      <c r="B4936" s="9" t="s">
        <v>10045</v>
      </c>
      <c r="C4936" s="9" t="s">
        <v>10046</v>
      </c>
      <c r="D4936" s="9" t="s">
        <v>642</v>
      </c>
      <c r="E4936" s="6" t="s">
        <v>10083</v>
      </c>
      <c r="F4936" s="9"/>
    </row>
    <row r="4937" ht="33.75" customHeight="1">
      <c r="A4937" s="7">
        <v>167.0</v>
      </c>
      <c r="B4937" s="9" t="s">
        <v>10045</v>
      </c>
      <c r="C4937" s="9" t="s">
        <v>10046</v>
      </c>
      <c r="D4937" s="9" t="s">
        <v>647</v>
      </c>
      <c r="E4937" s="6" t="s">
        <v>10085</v>
      </c>
      <c r="F4937" s="9"/>
    </row>
    <row r="4938" ht="33.75" customHeight="1">
      <c r="A4938" s="7">
        <v>167.0</v>
      </c>
      <c r="B4938" s="9" t="s">
        <v>10045</v>
      </c>
      <c r="C4938" s="9" t="s">
        <v>10046</v>
      </c>
      <c r="D4938" s="9" t="s">
        <v>652</v>
      </c>
      <c r="E4938" s="6" t="s">
        <v>10088</v>
      </c>
      <c r="F4938" s="9"/>
    </row>
    <row r="4939" ht="33.75" customHeight="1">
      <c r="A4939" s="7">
        <v>168.0</v>
      </c>
      <c r="B4939" s="9" t="s">
        <v>10089</v>
      </c>
      <c r="C4939" s="9" t="s">
        <v>10091</v>
      </c>
      <c r="D4939" s="9" t="s">
        <v>52</v>
      </c>
      <c r="E4939" s="6" t="s">
        <v>10092</v>
      </c>
      <c r="F4939" t="inlineStr" s="10">
        <is>
          <t xml:space="preserve">Ariados kehrää narua paitsi takapuolestaan ​​myös suustaan. On vaikea sanoa, kumpi pää on kumpi. Yksittäinen säie erityistä narua pyörii loputtomasti sen takaosasta. Naru johtaa takaisin pesäänsä. Sen sijaan, että se tekisi pesän yhteen tiettyyn paikkaan, se vaeltaa pimeän laskeuduttua etsimässä ruokaa. ARIADOSin jaloissa on pienet koukkuiset kynnet, joiden avulla se voi kiivetä katoissa ja pystysuorilla seinillä. Tämä POKéMON kuristaa vihollisen ohuella ja vahvalla silkkiverkolla. Sen jalkojen kärjissä on pienet koukkuiset kynnet, joiden avulla se voi kiivetä katoissa ja pystysuorilla seinillä. Se kuristaa vihollistaan ​​ohuilla ja vahvoilla silkkiverkoilla. Se kiinnittää silkkiä saaliiseensa ja päästää sen vapaaksi. Myöhemmin se jäljittää silkin saaliinsa ja sen ystävien luo. Se pyörittää narua paitsi takapuolestaan ​​myös suustaan. Tämä Pokémon kuristaa vihollisen ohuilla ja vahvoilla silkkiverkoilla. Joillakin alueilla ihmiset käyttävät Ariadosin kehräämää narua omaan kutomiseen. Tuloksena oleva kangas on suosittua kestävyytensä ansiosta. Se kehrää lankaa sekä takapuolestaan ​​että suustaan. Sitten se käärii saaliinsa lankaan ja siemailee sen ruumiinnesteitä kaikessa rauhassa. Joka yö se vaeltelee ympäriinsä etsien saalista, jonka liikkeitä se hillitsee oksentamalla lankoja ennen kuin puree niitä hampaillaan. Se sylkee suustaan ​​lankoja saalistaakseen. Yön laskeutuessa se jättää verkkonsa ja lähtee aggressiivisesti metsästämään.</t>
        </is>
      </c>
    </row>
    <row r="4940" ht="33.75" customHeight="1">
      <c r="A4940" s="7">
        <v>168.0</v>
      </c>
      <c r="B4940" s="9" t="s">
        <v>10089</v>
      </c>
      <c r="C4940" s="9" t="s">
        <v>10091</v>
      </c>
      <c r="D4940" s="9" t="s">
        <v>59</v>
      </c>
      <c r="E4940" s="6" t="s">
        <v>10095</v>
      </c>
      <c r="F4940" s="9"/>
    </row>
    <row r="4941" ht="33.75" customHeight="1">
      <c r="A4941" s="7">
        <v>168.0</v>
      </c>
      <c r="B4941" s="9" t="s">
        <v>10089</v>
      </c>
      <c r="C4941" s="9" t="s">
        <v>10091</v>
      </c>
      <c r="D4941" s="9" t="s">
        <v>64</v>
      </c>
      <c r="E4941" s="6" t="s">
        <v>10097</v>
      </c>
      <c r="F4941" s="9"/>
    </row>
    <row r="4942" ht="33.75" customHeight="1">
      <c r="A4942" s="7">
        <v>168.0</v>
      </c>
      <c r="B4942" s="9" t="s">
        <v>10089</v>
      </c>
      <c r="C4942" s="9" t="s">
        <v>10091</v>
      </c>
      <c r="D4942" s="9" t="s">
        <v>67</v>
      </c>
      <c r="E4942" s="6" t="s">
        <v>10100</v>
      </c>
      <c r="F4942" s="9"/>
    </row>
    <row r="4943" ht="33.75" customHeight="1">
      <c r="A4943" s="7">
        <v>168.0</v>
      </c>
      <c r="B4943" s="9" t="s">
        <v>10089</v>
      </c>
      <c r="C4943" s="9" t="s">
        <v>10091</v>
      </c>
      <c r="D4943" s="9" t="s">
        <v>71</v>
      </c>
      <c r="E4943" s="6" t="s">
        <v>10100</v>
      </c>
      <c r="F4943" s="9"/>
    </row>
    <row r="4944" ht="33.75" customHeight="1">
      <c r="A4944" s="7">
        <v>168.0</v>
      </c>
      <c r="B4944" s="9" t="s">
        <v>10089</v>
      </c>
      <c r="C4944" s="9" t="s">
        <v>10091</v>
      </c>
      <c r="D4944" s="9" t="s">
        <v>73</v>
      </c>
      <c r="E4944" s="6" t="s">
        <v>10102</v>
      </c>
      <c r="F4944" s="9"/>
    </row>
    <row r="4945" ht="33.75" customHeight="1">
      <c r="A4945" s="7">
        <v>168.0</v>
      </c>
      <c r="B4945" s="9" t="s">
        <v>10089</v>
      </c>
      <c r="C4945" s="9" t="s">
        <v>10091</v>
      </c>
      <c r="D4945" s="9" t="s">
        <v>75</v>
      </c>
      <c r="E4945" s="6" t="s">
        <v>10095</v>
      </c>
      <c r="F4945" s="9"/>
    </row>
    <row r="4946" ht="33.75" customHeight="1">
      <c r="A4946" s="7">
        <v>168.0</v>
      </c>
      <c r="B4946" s="9" t="s">
        <v>10089</v>
      </c>
      <c r="C4946" s="9" t="s">
        <v>10091</v>
      </c>
      <c r="D4946" s="9" t="s">
        <v>79</v>
      </c>
      <c r="E4946" s="6" t="s">
        <v>10092</v>
      </c>
      <c r="F4946" s="9"/>
    </row>
    <row r="4947" ht="33.75" customHeight="1">
      <c r="A4947" s="7">
        <v>168.0</v>
      </c>
      <c r="B4947" s="9" t="s">
        <v>10089</v>
      </c>
      <c r="C4947" s="9" t="s">
        <v>10091</v>
      </c>
      <c r="D4947" s="9" t="s">
        <v>81</v>
      </c>
      <c r="E4947" s="6" t="s">
        <v>10108</v>
      </c>
      <c r="F4947" s="9"/>
    </row>
    <row r="4948" ht="33.75" customHeight="1">
      <c r="A4948" s="7">
        <v>168.0</v>
      </c>
      <c r="B4948" s="9" t="s">
        <v>10089</v>
      </c>
      <c r="C4948" s="9" t="s">
        <v>10091</v>
      </c>
      <c r="D4948" s="9" t="s">
        <v>84</v>
      </c>
      <c r="E4948" s="6" t="s">
        <v>10108</v>
      </c>
      <c r="F4948" s="9"/>
    </row>
    <row r="4949" ht="33.75" customHeight="1">
      <c r="A4949" s="7">
        <v>168.0</v>
      </c>
      <c r="B4949" s="9" t="s">
        <v>10089</v>
      </c>
      <c r="C4949" s="9" t="s">
        <v>10091</v>
      </c>
      <c r="D4949" s="9" t="s">
        <v>87</v>
      </c>
      <c r="E4949" s="6" t="s">
        <v>10108</v>
      </c>
      <c r="F4949" s="9"/>
    </row>
    <row r="4950" ht="33.75" customHeight="1">
      <c r="A4950" s="7">
        <v>168.0</v>
      </c>
      <c r="B4950" s="9" t="s">
        <v>10089</v>
      </c>
      <c r="C4950" s="9" t="s">
        <v>10091</v>
      </c>
      <c r="D4950" s="9" t="s">
        <v>89</v>
      </c>
      <c r="E4950" s="6" t="s">
        <v>10116</v>
      </c>
      <c r="F4950" s="9"/>
    </row>
    <row r="4951" ht="33.75" customHeight="1">
      <c r="A4951" s="7">
        <v>168.0</v>
      </c>
      <c r="B4951" s="9" t="s">
        <v>10089</v>
      </c>
      <c r="C4951" s="9" t="s">
        <v>10091</v>
      </c>
      <c r="D4951" s="9" t="s">
        <v>91</v>
      </c>
      <c r="E4951" s="6" t="s">
        <v>10095</v>
      </c>
      <c r="F4951" s="9"/>
    </row>
    <row r="4952" ht="33.75" customHeight="1">
      <c r="A4952" s="7">
        <v>168.0</v>
      </c>
      <c r="B4952" s="9" t="s">
        <v>10089</v>
      </c>
      <c r="C4952" s="9" t="s">
        <v>10091</v>
      </c>
      <c r="D4952" s="9" t="s">
        <v>93</v>
      </c>
      <c r="E4952" s="6" t="s">
        <v>10108</v>
      </c>
      <c r="F4952" s="9"/>
    </row>
    <row r="4953" ht="33.75" customHeight="1">
      <c r="A4953" s="7">
        <v>168.0</v>
      </c>
      <c r="B4953" s="9" t="s">
        <v>10089</v>
      </c>
      <c r="C4953" s="9" t="s">
        <v>10091</v>
      </c>
      <c r="D4953" s="9" t="s">
        <v>95</v>
      </c>
      <c r="E4953" s="6" t="s">
        <v>10108</v>
      </c>
      <c r="F4953" s="9"/>
    </row>
    <row r="4954" ht="33.75" customHeight="1">
      <c r="A4954" s="7">
        <v>168.0</v>
      </c>
      <c r="B4954" s="9" t="s">
        <v>10089</v>
      </c>
      <c r="C4954" s="9" t="s">
        <v>10091</v>
      </c>
      <c r="D4954" s="9" t="s">
        <v>98</v>
      </c>
      <c r="E4954" s="6" t="s">
        <v>10108</v>
      </c>
      <c r="F4954" s="9"/>
    </row>
    <row r="4955" ht="33.75" customHeight="1">
      <c r="A4955" s="7">
        <v>168.0</v>
      </c>
      <c r="B4955" s="9" t="s">
        <v>10089</v>
      </c>
      <c r="C4955" s="9" t="s">
        <v>10091</v>
      </c>
      <c r="D4955" s="9" t="s">
        <v>99</v>
      </c>
      <c r="E4955" s="6" t="s">
        <v>10108</v>
      </c>
      <c r="F4955" s="9"/>
    </row>
    <row r="4956" ht="33.75" customHeight="1">
      <c r="A4956" s="7">
        <v>168.0</v>
      </c>
      <c r="B4956" s="9" t="s">
        <v>10089</v>
      </c>
      <c r="C4956" s="9" t="s">
        <v>10091</v>
      </c>
      <c r="D4956" s="9" t="s">
        <v>101</v>
      </c>
      <c r="E4956" s="6" t="s">
        <v>10116</v>
      </c>
      <c r="F4956" s="9"/>
    </row>
    <row r="4957" ht="33.75" customHeight="1">
      <c r="A4957" s="7">
        <v>168.0</v>
      </c>
      <c r="B4957" s="9" t="s">
        <v>10089</v>
      </c>
      <c r="C4957" s="9" t="s">
        <v>10091</v>
      </c>
      <c r="D4957" s="9" t="s">
        <v>105</v>
      </c>
      <c r="E4957" s="6" t="s">
        <v>10108</v>
      </c>
      <c r="F4957" s="9"/>
    </row>
    <row r="4958" ht="33.75" customHeight="1">
      <c r="A4958" s="7">
        <v>168.0</v>
      </c>
      <c r="B4958" s="9" t="s">
        <v>10089</v>
      </c>
      <c r="C4958" s="9" t="s">
        <v>10091</v>
      </c>
      <c r="D4958" s="9" t="s">
        <v>107</v>
      </c>
      <c r="E4958" s="6" t="s">
        <v>10130</v>
      </c>
      <c r="F4958" s="9"/>
    </row>
    <row r="4959" ht="33.75" customHeight="1">
      <c r="A4959" s="7">
        <v>168.0</v>
      </c>
      <c r="B4959" s="9" t="s">
        <v>10089</v>
      </c>
      <c r="C4959" s="9" t="s">
        <v>10091</v>
      </c>
      <c r="D4959" s="9" t="s">
        <v>109</v>
      </c>
      <c r="E4959" s="6" t="s">
        <v>10130</v>
      </c>
      <c r="F4959" s="9"/>
    </row>
    <row r="4960" ht="33.75" customHeight="1">
      <c r="A4960" s="7">
        <v>168.0</v>
      </c>
      <c r="B4960" s="9" t="s">
        <v>10089</v>
      </c>
      <c r="C4960" s="9" t="s">
        <v>10091</v>
      </c>
      <c r="D4960" s="9" t="s">
        <v>637</v>
      </c>
      <c r="E4960" s="6" t="s">
        <v>10133</v>
      </c>
      <c r="F4960" s="9"/>
    </row>
    <row r="4961" ht="33.75" customHeight="1">
      <c r="A4961" s="7">
        <v>168.0</v>
      </c>
      <c r="B4961" s="9" t="s">
        <v>10089</v>
      </c>
      <c r="C4961" s="9" t="s">
        <v>10091</v>
      </c>
      <c r="D4961" s="9" t="s">
        <v>642</v>
      </c>
      <c r="E4961" s="6" t="s">
        <v>10135</v>
      </c>
      <c r="F4961" s="9"/>
    </row>
    <row r="4962" ht="33.75" customHeight="1">
      <c r="A4962" s="7">
        <v>168.0</v>
      </c>
      <c r="B4962" s="9" t="s">
        <v>10089</v>
      </c>
      <c r="C4962" s="9" t="s">
        <v>10091</v>
      </c>
      <c r="D4962" s="9" t="s">
        <v>647</v>
      </c>
      <c r="E4962" s="6" t="s">
        <v>10137</v>
      </c>
      <c r="F4962" s="9"/>
    </row>
    <row r="4963" ht="33.75" customHeight="1">
      <c r="A4963" s="7">
        <v>168.0</v>
      </c>
      <c r="B4963" s="9" t="s">
        <v>10089</v>
      </c>
      <c r="C4963" s="9" t="s">
        <v>10091</v>
      </c>
      <c r="D4963" s="9" t="s">
        <v>652</v>
      </c>
      <c r="E4963" s="6" t="s">
        <v>10139</v>
      </c>
      <c r="F4963" s="9"/>
    </row>
    <row r="4964" ht="33.75" customHeight="1">
      <c r="A4964" s="7">
        <v>169.0</v>
      </c>
      <c r="B4964" s="9" t="s">
        <v>10140</v>
      </c>
      <c r="C4964" s="9" t="s">
        <v>2488</v>
      </c>
      <c r="D4964" s="9" t="s">
        <v>52</v>
      </c>
      <c r="E4964" s="6" t="s">
        <v>10142</v>
      </c>
      <c r="F4964" t="inlineStr" s="10">
        <is>
          <t xml:space="preserve">Crobat lentää niin hiljaa pimeyden läpi neljällä siivellään, ettei sitä ehkä huomaa edes lähellä ollessaan. Jalkojen siipien kehitys mahdollistaa nopean lentämisen, mutta tekee myös pysähtymisen ja lepäämisen vaikeaksi. Pyrkimyksenään lentää nopeammin mutta hiljaisemmin, sen takajalkoihin kasvoi uudet siivet. Jos tämä POKéMON lentää räpyttelemällä vain siipiparia joko etu- tai takajaloillaan, se on todiste siitä, että CROBAT on lentänyt pitkän matkan. Se vaihtaa siipiään, jos se on väsynyt. KROBATT hiipii saaliinsa luo tuskin ääntä pitävillä siipillään. Tämä POKéMON lepää roikkuen puun oksalla takajalat toimivat siipinä. Evoluution aikana sen takajalat muuttuivat siiviksi. Lepuuttamalla vuorotellen etu- ja takasiipiä se voi lentää koko päivän pysähtymättä. Se lentää niin äänettömästi pimeyden läpi neljällä siivellään, ettei sitä ehkä huomaa edes lähellä ollessaan. Neljän siiven ansiosta se lentää nopeammin ja hiljaisemmin. Se aktivoituu yön laskeutuessa. Pokémon, jonka lento-ominaisuudet paranivat huomattavasti muuttamalla sen jalat siiviksi. Jalkojen muuttuminen siiviksi teki siitä paremman lentämisen, mutta kömpelömmän kävelyn. Neljän siiven ansiosta se voi lentää nopeammin ja hiljaisemmin, joten se voi hiipiä saaliinsa kimppuun huomaamattaan. Krobatti hiipii saaliinsa luo käyttäen siipiä, jotka tuskin pitävät ääntä. Tämä Pokémon lepää roikkuen puun oksalla takajalkojensa toimiessa siipinä. Sen molemmat jalat muuttuivat siiviksi, minkä seurauksena se ei pysty liikkumaan hyvin maassa. Se pystyy vain ryömiä ympäriinsä. Hiljaisena ja nopeana nelisiipisellä lennossaan se puree saalistaan ​​ennen kuin ne tajuavat, mitä tapahtuu. Sydämenlyönnissä se imee niiden veret. Sen torahampaat ovat niin terävät, että jos se puree sinua pimeässä ja imee vertasi, et huomaa kipua etkä tajua tulleensa purruksi. Se syö elävien ihmisten ja Pokémonien verta. Jos se ei pysty juomaan verta edes hetkeen, siitä tulee heikko eikä se pysty lentämään. Sen molemmat jalat ovat muuttuneet siiviksi. Äänettömästi Crobat lentää nopeasti saalistaan ​​kohti ja upottaa kulmahampaansa kohteensa niskaan. Tämä Pokémon räpyttelee taitavasti neljää siipeään. Crobat voi lentää ahtaiden luolien läpi hidastamatta. Sen takaraajat ovat muuttuneet toisiksi siipiksi. Crobat ohjaa taitavasti neljää siipeään syöksyäkseen upealla tavalla ahtaimmissakin luolissa menettämättä nopeuttaan.</t>
        </is>
      </c>
    </row>
    <row r="4965" ht="33.75" customHeight="1">
      <c r="A4965" s="7">
        <v>169.0</v>
      </c>
      <c r="B4965" s="9" t="s">
        <v>10140</v>
      </c>
      <c r="C4965" s="9" t="s">
        <v>2488</v>
      </c>
      <c r="D4965" s="9" t="s">
        <v>59</v>
      </c>
      <c r="E4965" s="6" t="s">
        <v>10144</v>
      </c>
      <c r="F4965" s="9"/>
    </row>
    <row r="4966" ht="33.75" customHeight="1">
      <c r="A4966" s="7">
        <v>169.0</v>
      </c>
      <c r="B4966" s="9" t="s">
        <v>10140</v>
      </c>
      <c r="C4966" s="9" t="s">
        <v>2488</v>
      </c>
      <c r="D4966" s="9" t="s">
        <v>64</v>
      </c>
      <c r="E4966" s="6" t="s">
        <v>10146</v>
      </c>
      <c r="F4966" s="9"/>
    </row>
    <row r="4967" ht="33.75" customHeight="1">
      <c r="A4967" s="7">
        <v>169.0</v>
      </c>
      <c r="B4967" s="9" t="s">
        <v>10140</v>
      </c>
      <c r="C4967" s="9" t="s">
        <v>2488</v>
      </c>
      <c r="D4967" s="9" t="s">
        <v>67</v>
      </c>
      <c r="E4967" s="6" t="s">
        <v>10148</v>
      </c>
      <c r="F4967" s="9"/>
    </row>
    <row r="4968" ht="33.75" customHeight="1">
      <c r="A4968" s="7">
        <v>169.0</v>
      </c>
      <c r="B4968" s="9" t="s">
        <v>10140</v>
      </c>
      <c r="C4968" s="9" t="s">
        <v>2488</v>
      </c>
      <c r="D4968" s="9" t="s">
        <v>71</v>
      </c>
      <c r="E4968" s="6" t="s">
        <v>10149</v>
      </c>
      <c r="F4968" s="9"/>
    </row>
    <row r="4969" ht="33.75" customHeight="1">
      <c r="A4969" s="7">
        <v>169.0</v>
      </c>
      <c r="B4969" s="9" t="s">
        <v>10140</v>
      </c>
      <c r="C4969" s="9" t="s">
        <v>2488</v>
      </c>
      <c r="D4969" s="9" t="s">
        <v>73</v>
      </c>
      <c r="E4969" s="6" t="s">
        <v>10151</v>
      </c>
      <c r="F4969" s="9"/>
    </row>
    <row r="4970" ht="33.75" customHeight="1">
      <c r="A4970" s="7">
        <v>169.0</v>
      </c>
      <c r="B4970" s="9" t="s">
        <v>10140</v>
      </c>
      <c r="C4970" s="9" t="s">
        <v>2488</v>
      </c>
      <c r="D4970" s="9" t="s">
        <v>75</v>
      </c>
      <c r="E4970" s="6" t="s">
        <v>10144</v>
      </c>
      <c r="F4970" s="9"/>
    </row>
    <row r="4971" ht="33.75" customHeight="1">
      <c r="A4971" s="7">
        <v>169.0</v>
      </c>
      <c r="B4971" s="9" t="s">
        <v>10140</v>
      </c>
      <c r="C4971" s="9" t="s">
        <v>2488</v>
      </c>
      <c r="D4971" s="9" t="s">
        <v>79</v>
      </c>
      <c r="E4971" s="6" t="s">
        <v>10154</v>
      </c>
      <c r="F4971" s="9"/>
    </row>
    <row r="4972" ht="33.75" customHeight="1">
      <c r="A4972" s="7">
        <v>169.0</v>
      </c>
      <c r="B4972" s="9" t="s">
        <v>10140</v>
      </c>
      <c r="C4972" s="9" t="s">
        <v>2488</v>
      </c>
      <c r="D4972" s="9" t="s">
        <v>81</v>
      </c>
      <c r="E4972" s="6" t="s">
        <v>10155</v>
      </c>
      <c r="F4972" s="9"/>
    </row>
    <row r="4973" ht="33.75" customHeight="1">
      <c r="A4973" s="7">
        <v>169.0</v>
      </c>
      <c r="B4973" s="9" t="s">
        <v>10140</v>
      </c>
      <c r="C4973" s="9" t="s">
        <v>2488</v>
      </c>
      <c r="D4973" s="9" t="s">
        <v>84</v>
      </c>
      <c r="E4973" s="6" t="s">
        <v>10156</v>
      </c>
      <c r="F4973" s="9"/>
    </row>
    <row r="4974" ht="33.75" customHeight="1">
      <c r="A4974" s="7">
        <v>169.0</v>
      </c>
      <c r="B4974" s="9" t="s">
        <v>10140</v>
      </c>
      <c r="C4974" s="9" t="s">
        <v>2488</v>
      </c>
      <c r="D4974" s="9" t="s">
        <v>87</v>
      </c>
      <c r="E4974" s="6" t="s">
        <v>10158</v>
      </c>
      <c r="F4974" s="9"/>
    </row>
    <row r="4975" ht="33.75" customHeight="1">
      <c r="A4975" s="7">
        <v>169.0</v>
      </c>
      <c r="B4975" s="9" t="s">
        <v>10140</v>
      </c>
      <c r="C4975" s="9" t="s">
        <v>2488</v>
      </c>
      <c r="D4975" s="9" t="s">
        <v>89</v>
      </c>
      <c r="E4975" s="6" t="s">
        <v>10154</v>
      </c>
      <c r="F4975" s="9"/>
    </row>
    <row r="4976" ht="33.75" customHeight="1">
      <c r="A4976" s="7">
        <v>169.0</v>
      </c>
      <c r="B4976" s="9" t="s">
        <v>10140</v>
      </c>
      <c r="C4976" s="9" t="s">
        <v>2488</v>
      </c>
      <c r="D4976" s="9" t="s">
        <v>91</v>
      </c>
      <c r="E4976" s="6" t="s">
        <v>10144</v>
      </c>
      <c r="F4976" s="9"/>
    </row>
    <row r="4977" ht="33.75" customHeight="1">
      <c r="A4977" s="7">
        <v>169.0</v>
      </c>
      <c r="B4977" s="9" t="s">
        <v>10140</v>
      </c>
      <c r="C4977" s="9" t="s">
        <v>2488</v>
      </c>
      <c r="D4977" s="9" t="s">
        <v>93</v>
      </c>
      <c r="E4977" s="6" t="s">
        <v>10158</v>
      </c>
      <c r="F4977" s="9"/>
    </row>
    <row r="4978" ht="33.75" customHeight="1">
      <c r="A4978" s="7">
        <v>169.0</v>
      </c>
      <c r="B4978" s="9" t="s">
        <v>10140</v>
      </c>
      <c r="C4978" s="9" t="s">
        <v>2488</v>
      </c>
      <c r="D4978" s="9" t="s">
        <v>95</v>
      </c>
      <c r="E4978" s="6" t="s">
        <v>10158</v>
      </c>
      <c r="F4978" s="9"/>
    </row>
    <row r="4979" ht="33.75" customHeight="1">
      <c r="A4979" s="7">
        <v>169.0</v>
      </c>
      <c r="B4979" s="9" t="s">
        <v>10140</v>
      </c>
      <c r="C4979" s="9" t="s">
        <v>2488</v>
      </c>
      <c r="D4979" s="9" t="s">
        <v>98</v>
      </c>
      <c r="E4979" s="6" t="s">
        <v>10163</v>
      </c>
      <c r="F4979" s="9"/>
    </row>
    <row r="4980" ht="33.75" customHeight="1">
      <c r="A4980" s="7">
        <v>169.0</v>
      </c>
      <c r="B4980" s="9" t="s">
        <v>10140</v>
      </c>
      <c r="C4980" s="9" t="s">
        <v>2488</v>
      </c>
      <c r="D4980" s="9" t="s">
        <v>99</v>
      </c>
      <c r="E4980" s="6" t="s">
        <v>10163</v>
      </c>
      <c r="F4980" s="9"/>
    </row>
    <row r="4981" ht="33.75" customHeight="1">
      <c r="A4981" s="7">
        <v>169.0</v>
      </c>
      <c r="B4981" s="9" t="s">
        <v>10140</v>
      </c>
      <c r="C4981" s="9" t="s">
        <v>2488</v>
      </c>
      <c r="D4981" s="9" t="s">
        <v>101</v>
      </c>
      <c r="E4981" s="6" t="s">
        <v>10154</v>
      </c>
      <c r="F4981" s="9"/>
    </row>
    <row r="4982" ht="33.75" customHeight="1">
      <c r="A4982" s="7">
        <v>169.0</v>
      </c>
      <c r="B4982" s="9" t="s">
        <v>10140</v>
      </c>
      <c r="C4982" s="9" t="s">
        <v>2488</v>
      </c>
      <c r="D4982" s="9" t="s">
        <v>105</v>
      </c>
      <c r="E4982" s="6" t="s">
        <v>10163</v>
      </c>
      <c r="F4982" s="9"/>
    </row>
    <row r="4983" ht="33.75" customHeight="1">
      <c r="A4983" s="7">
        <v>169.0</v>
      </c>
      <c r="B4983" s="9" t="s">
        <v>10140</v>
      </c>
      <c r="C4983" s="9" t="s">
        <v>2488</v>
      </c>
      <c r="D4983" s="9" t="s">
        <v>107</v>
      </c>
      <c r="E4983" s="6" t="s">
        <v>10167</v>
      </c>
      <c r="F4983" s="9"/>
    </row>
    <row r="4984" ht="33.75" customHeight="1">
      <c r="A4984" s="7">
        <v>169.0</v>
      </c>
      <c r="B4984" s="9" t="s">
        <v>10140</v>
      </c>
      <c r="C4984" s="9" t="s">
        <v>2488</v>
      </c>
      <c r="D4984" s="9" t="s">
        <v>109</v>
      </c>
      <c r="E4984" s="6" t="s">
        <v>10169</v>
      </c>
      <c r="F4984" s="9"/>
    </row>
    <row r="4985" ht="33.75" customHeight="1">
      <c r="A4985" s="7">
        <v>169.0</v>
      </c>
      <c r="B4985" s="9" t="s">
        <v>10140</v>
      </c>
      <c r="C4985" s="9" t="s">
        <v>2488</v>
      </c>
      <c r="D4985" s="9" t="s">
        <v>637</v>
      </c>
      <c r="E4985" s="6" t="s">
        <v>10171</v>
      </c>
      <c r="F4985" s="9"/>
    </row>
    <row r="4986" ht="33.75" customHeight="1">
      <c r="A4986" s="7">
        <v>169.0</v>
      </c>
      <c r="B4986" s="9" t="s">
        <v>10140</v>
      </c>
      <c r="C4986" s="9" t="s">
        <v>2488</v>
      </c>
      <c r="D4986" s="9" t="s">
        <v>642</v>
      </c>
      <c r="E4986" s="6" t="s">
        <v>10173</v>
      </c>
      <c r="F4986" s="9"/>
    </row>
    <row r="4987" ht="33.75" customHeight="1">
      <c r="A4987" s="7">
        <v>169.0</v>
      </c>
      <c r="B4987" s="9" t="s">
        <v>10140</v>
      </c>
      <c r="C4987" s="9" t="s">
        <v>2488</v>
      </c>
      <c r="D4987" s="9" t="s">
        <v>647</v>
      </c>
      <c r="E4987" s="6" t="s">
        <v>10177</v>
      </c>
      <c r="F4987" s="9"/>
    </row>
    <row r="4988" ht="33.75" customHeight="1">
      <c r="A4988" s="7">
        <v>169.0</v>
      </c>
      <c r="B4988" s="9" t="s">
        <v>10140</v>
      </c>
      <c r="C4988" s="9" t="s">
        <v>2488</v>
      </c>
      <c r="D4988" s="9" t="s">
        <v>652</v>
      </c>
      <c r="E4988" s="6" t="s">
        <v>10179</v>
      </c>
      <c r="F4988" s="9"/>
    </row>
    <row r="4989" ht="33.75" customHeight="1">
      <c r="A4989" s="7">
        <v>169.0</v>
      </c>
      <c r="B4989" s="9" t="s">
        <v>10140</v>
      </c>
      <c r="C4989" s="9" t="s">
        <v>2488</v>
      </c>
      <c r="D4989" s="9" t="s">
        <v>114</v>
      </c>
      <c r="E4989" s="6" t="s">
        <v>10181</v>
      </c>
      <c r="F4989" s="9"/>
    </row>
    <row r="4990" ht="33.75" customHeight="1">
      <c r="A4990" s="7">
        <v>169.0</v>
      </c>
      <c r="B4990" s="9" t="s">
        <v>10140</v>
      </c>
      <c r="C4990" s="9" t="s">
        <v>2488</v>
      </c>
      <c r="D4990" s="9" t="s">
        <v>117</v>
      </c>
      <c r="E4990" s="6" t="s">
        <v>10183</v>
      </c>
      <c r="F4990" s="9"/>
    </row>
    <row r="4991" ht="33.75" customHeight="1">
      <c r="A4991" s="7">
        <v>169.0</v>
      </c>
      <c r="B4991" s="9" t="s">
        <v>10140</v>
      </c>
      <c r="C4991" s="9" t="s">
        <v>2488</v>
      </c>
      <c r="D4991" s="9" t="s">
        <v>1577</v>
      </c>
      <c r="E4991" s="6" t="s">
        <v>10185</v>
      </c>
      <c r="F4991" s="9"/>
    </row>
    <row r="4992" ht="33.75" customHeight="1">
      <c r="A4992" s="7">
        <v>170.0</v>
      </c>
      <c r="B4992" s="9" t="s">
        <v>10187</v>
      </c>
      <c r="C4992" s="9" t="s">
        <v>10188</v>
      </c>
      <c r="D4992" s="9" t="s">
        <v>52</v>
      </c>
      <c r="E4992" s="6" t="s">
        <v>10189</v>
      </c>
      <c r="F4992" t="inlineStr" s="10">
        <is>
          <t xml:space="preserve">Chinchou ampuu positiivista ja negatiivista sähköä kahden antenninsa kärkien väliin ja tuhoaa vihollisensa. Pimeällä merenpohjalla sen ainoa kommunikointikeino ovat jatkuvasti vilkkuvat valot. Sen evästä kehittyneissä tuntosarvissa kulkee sekä positiivisia että negatiivisia varauksia. CHINCHOU vapauttaa positiivisia ja negatiivisia sähkövarauksia kahdesta antennistaan, mikä pyörryttää saalistaan. Tämä POKéMON väläyttää sähkövalojaan vaihtaakseen signaaleja muiden POKéMONien kanssa. CHINCHOUn kaksi antennia on täynnä kennoja, jotka tuottavat voimakasta sähköä. Tämän POKéMONin kennot tuottavat niin paljon sähköenergiaa, että se jopa kihelmöi hieman. Kun se aistii vaaran, se purkaa positiivista ja negatiivista sähköä kahdesta antennistaan. Se elää syvyyksissä, joihin auringonvalo ei pääse. Se purkaa positiivista ja negatiivista sähköä antennikärjistään antaakseen sähköiskuja vihollisilleen. Chinchou päästää positiivisia ja negatiivisia sähkövarauksia kahdesta antennistaan ​​pyörryttääkseen saaliinsa. Chinchoun kaksi antennia on täynnä soluja, jotka tuottavat voimakasta sähköä. Tämän Pokémonin solut tuottavat niin paljon sähköenergiaa, että se jopa saa itsensä kihelmöimään hieman. Sen kaksi tuntosarvia olivat alun perin eviä. Se purkaa sähköä tainnuttaakseen saaliinsa ennen hyökkäystä. Se elää syvyyksissä auringonvalon ulottumattomissa. Se väläyttää valoja tuntosarvissaan kommunikoidakseen muiden kaltaistensa kanssa. Sen kaksi tuntosarvea hohtavat pehmeästi houkutellakseen saalista, mikä tekee siitä hyödyllisen Pokémonin yökalastukseen. Chinchout räpyttelevät kiiltäviä tuntosarviaan toisilleen vallatakseen oman reviirinsä. Sen evästä kehittyneissä tuntosarvissa virtaa sekä positiivisia että negatiivisia varauksia.</t>
        </is>
      </c>
    </row>
    <row r="4993" ht="33.75" customHeight="1">
      <c r="A4993" s="7">
        <v>170.0</v>
      </c>
      <c r="B4993" s="9" t="s">
        <v>10187</v>
      </c>
      <c r="C4993" s="9" t="s">
        <v>10188</v>
      </c>
      <c r="D4993" s="9" t="s">
        <v>59</v>
      </c>
      <c r="E4993" s="6" t="s">
        <v>10190</v>
      </c>
      <c r="F4993" s="9"/>
    </row>
    <row r="4994" ht="33.75" customHeight="1">
      <c r="A4994" s="7">
        <v>170.0</v>
      </c>
      <c r="B4994" s="9" t="s">
        <v>10187</v>
      </c>
      <c r="C4994" s="9" t="s">
        <v>10188</v>
      </c>
      <c r="D4994" s="9" t="s">
        <v>64</v>
      </c>
      <c r="E4994" s="6" t="s">
        <v>10193</v>
      </c>
      <c r="F4994" s="9"/>
    </row>
    <row r="4995" ht="33.75" customHeight="1">
      <c r="A4995" s="7">
        <v>170.0</v>
      </c>
      <c r="B4995" s="9" t="s">
        <v>10187</v>
      </c>
      <c r="C4995" s="9" t="s">
        <v>10188</v>
      </c>
      <c r="D4995" s="9" t="s">
        <v>67</v>
      </c>
      <c r="E4995" s="6" t="s">
        <v>10195</v>
      </c>
      <c r="F4995" s="9"/>
    </row>
    <row r="4996" ht="33.75" customHeight="1">
      <c r="A4996" s="7">
        <v>170.0</v>
      </c>
      <c r="B4996" s="9" t="s">
        <v>10187</v>
      </c>
      <c r="C4996" s="9" t="s">
        <v>10188</v>
      </c>
      <c r="D4996" s="9" t="s">
        <v>71</v>
      </c>
      <c r="E4996" s="6" t="s">
        <v>10198</v>
      </c>
      <c r="F4996" s="9"/>
    </row>
    <row r="4997" ht="33.75" customHeight="1">
      <c r="A4997" s="7">
        <v>170.0</v>
      </c>
      <c r="B4997" s="9" t="s">
        <v>10187</v>
      </c>
      <c r="C4997" s="9" t="s">
        <v>10188</v>
      </c>
      <c r="D4997" s="9" t="s">
        <v>73</v>
      </c>
      <c r="E4997" s="6" t="s">
        <v>10200</v>
      </c>
      <c r="F4997" s="9"/>
    </row>
    <row r="4998" ht="33.75" customHeight="1">
      <c r="A4998" s="7">
        <v>170.0</v>
      </c>
      <c r="B4998" s="9" t="s">
        <v>10187</v>
      </c>
      <c r="C4998" s="9" t="s">
        <v>10188</v>
      </c>
      <c r="D4998" s="9" t="s">
        <v>75</v>
      </c>
      <c r="E4998" s="6" t="s">
        <v>10190</v>
      </c>
      <c r="F4998" s="9"/>
    </row>
    <row r="4999" ht="33.75" customHeight="1">
      <c r="A4999" s="7">
        <v>170.0</v>
      </c>
      <c r="B4999" s="9" t="s">
        <v>10187</v>
      </c>
      <c r="C4999" s="9" t="s">
        <v>10188</v>
      </c>
      <c r="D4999" s="9" t="s">
        <v>79</v>
      </c>
      <c r="E4999" s="6" t="s">
        <v>10189</v>
      </c>
      <c r="F4999" s="9"/>
    </row>
    <row r="5000" ht="33.75" customHeight="1">
      <c r="A5000" s="7">
        <v>170.0</v>
      </c>
      <c r="B5000" s="9" t="s">
        <v>10187</v>
      </c>
      <c r="C5000" s="9" t="s">
        <v>10188</v>
      </c>
      <c r="D5000" s="9" t="s">
        <v>81</v>
      </c>
      <c r="E5000" s="6" t="s">
        <v>10203</v>
      </c>
      <c r="F5000" s="9"/>
    </row>
    <row r="5001" ht="33.75" customHeight="1">
      <c r="A5001" s="7">
        <v>170.0</v>
      </c>
      <c r="B5001" s="9" t="s">
        <v>10187</v>
      </c>
      <c r="C5001" s="9" t="s">
        <v>10188</v>
      </c>
      <c r="D5001" s="9" t="s">
        <v>84</v>
      </c>
      <c r="E5001" s="6" t="s">
        <v>10203</v>
      </c>
      <c r="F5001" s="9"/>
    </row>
    <row r="5002" ht="33.75" customHeight="1">
      <c r="A5002" s="7">
        <v>170.0</v>
      </c>
      <c r="B5002" s="9" t="s">
        <v>10187</v>
      </c>
      <c r="C5002" s="9" t="s">
        <v>10188</v>
      </c>
      <c r="D5002" s="9" t="s">
        <v>87</v>
      </c>
      <c r="E5002" s="6" t="s">
        <v>10203</v>
      </c>
      <c r="F5002" s="9"/>
    </row>
    <row r="5003" ht="33.75" customHeight="1">
      <c r="A5003" s="7">
        <v>170.0</v>
      </c>
      <c r="B5003" s="9" t="s">
        <v>10187</v>
      </c>
      <c r="C5003" s="9" t="s">
        <v>10188</v>
      </c>
      <c r="D5003" s="9" t="s">
        <v>89</v>
      </c>
      <c r="E5003" s="6" t="s">
        <v>10189</v>
      </c>
      <c r="F5003" s="9"/>
    </row>
    <row r="5004" ht="33.75" customHeight="1">
      <c r="A5004" s="7">
        <v>170.0</v>
      </c>
      <c r="B5004" s="9" t="s">
        <v>10187</v>
      </c>
      <c r="C5004" s="9" t="s">
        <v>10188</v>
      </c>
      <c r="D5004" s="9" t="s">
        <v>91</v>
      </c>
      <c r="E5004" s="6" t="s">
        <v>10190</v>
      </c>
      <c r="F5004" s="9"/>
    </row>
    <row r="5005" ht="33.75" customHeight="1">
      <c r="A5005" s="7">
        <v>170.0</v>
      </c>
      <c r="B5005" s="9" t="s">
        <v>10187</v>
      </c>
      <c r="C5005" s="9" t="s">
        <v>10188</v>
      </c>
      <c r="D5005" s="9" t="s">
        <v>93</v>
      </c>
      <c r="E5005" s="6" t="s">
        <v>10203</v>
      </c>
      <c r="F5005" s="9"/>
    </row>
    <row r="5006" ht="33.75" customHeight="1">
      <c r="A5006" s="7">
        <v>170.0</v>
      </c>
      <c r="B5006" s="9" t="s">
        <v>10187</v>
      </c>
      <c r="C5006" s="9" t="s">
        <v>10188</v>
      </c>
      <c r="D5006" s="9" t="s">
        <v>95</v>
      </c>
      <c r="E5006" s="6" t="s">
        <v>10203</v>
      </c>
      <c r="F5006" s="9"/>
    </row>
    <row r="5007" ht="33.75" customHeight="1">
      <c r="A5007" s="7">
        <v>170.0</v>
      </c>
      <c r="B5007" s="9" t="s">
        <v>10187</v>
      </c>
      <c r="C5007" s="9" t="s">
        <v>10188</v>
      </c>
      <c r="D5007" s="9" t="s">
        <v>98</v>
      </c>
      <c r="E5007" s="6" t="s">
        <v>10203</v>
      </c>
      <c r="F5007" s="9"/>
    </row>
    <row r="5008" ht="33.75" customHeight="1">
      <c r="A5008" s="7">
        <v>170.0</v>
      </c>
      <c r="B5008" s="9" t="s">
        <v>10187</v>
      </c>
      <c r="C5008" s="9" t="s">
        <v>10188</v>
      </c>
      <c r="D5008" s="9" t="s">
        <v>99</v>
      </c>
      <c r="E5008" s="6" t="s">
        <v>10203</v>
      </c>
      <c r="F5008" s="9"/>
    </row>
    <row r="5009" ht="33.75" customHeight="1">
      <c r="A5009" s="7">
        <v>170.0</v>
      </c>
      <c r="B5009" s="9" t="s">
        <v>10187</v>
      </c>
      <c r="C5009" s="9" t="s">
        <v>10188</v>
      </c>
      <c r="D5009" s="9" t="s">
        <v>101</v>
      </c>
      <c r="E5009" s="6" t="s">
        <v>10190</v>
      </c>
      <c r="F5009" s="9"/>
    </row>
    <row r="5010" ht="33.75" customHeight="1">
      <c r="A5010" s="7">
        <v>170.0</v>
      </c>
      <c r="B5010" s="9" t="s">
        <v>10187</v>
      </c>
      <c r="C5010" s="9" t="s">
        <v>10188</v>
      </c>
      <c r="D5010" s="9" t="s">
        <v>105</v>
      </c>
      <c r="E5010" s="6" t="s">
        <v>10189</v>
      </c>
      <c r="F5010" s="9"/>
    </row>
    <row r="5011" ht="33.75" customHeight="1">
      <c r="A5011" s="7">
        <v>170.0</v>
      </c>
      <c r="B5011" s="9" t="s">
        <v>10187</v>
      </c>
      <c r="C5011" s="9" t="s">
        <v>10188</v>
      </c>
      <c r="D5011" s="9" t="s">
        <v>107</v>
      </c>
      <c r="E5011" s="6" t="s">
        <v>10218</v>
      </c>
      <c r="F5011" s="9"/>
    </row>
    <row r="5012" ht="33.75" customHeight="1">
      <c r="A5012" s="7">
        <v>170.0</v>
      </c>
      <c r="B5012" s="9" t="s">
        <v>10187</v>
      </c>
      <c r="C5012" s="9" t="s">
        <v>10188</v>
      </c>
      <c r="D5012" s="9" t="s">
        <v>109</v>
      </c>
      <c r="E5012" s="6" t="s">
        <v>10219</v>
      </c>
      <c r="F5012" s="9"/>
    </row>
    <row r="5013" ht="33.75" customHeight="1">
      <c r="A5013" s="7">
        <v>170.0</v>
      </c>
      <c r="B5013" s="9" t="s">
        <v>10187</v>
      </c>
      <c r="C5013" s="9" t="s">
        <v>10188</v>
      </c>
      <c r="D5013" s="9" t="s">
        <v>637</v>
      </c>
      <c r="E5013" s="6" t="s">
        <v>10221</v>
      </c>
      <c r="F5013" s="9"/>
    </row>
    <row r="5014" ht="33.75" customHeight="1">
      <c r="A5014" s="7">
        <v>170.0</v>
      </c>
      <c r="B5014" s="9" t="s">
        <v>10187</v>
      </c>
      <c r="C5014" s="9" t="s">
        <v>10188</v>
      </c>
      <c r="D5014" s="9" t="s">
        <v>642</v>
      </c>
      <c r="E5014" s="6" t="s">
        <v>10223</v>
      </c>
      <c r="F5014" s="9"/>
    </row>
    <row r="5015" ht="33.75" customHeight="1">
      <c r="A5015" s="7">
        <v>170.0</v>
      </c>
      <c r="B5015" s="9" t="s">
        <v>10187</v>
      </c>
      <c r="C5015" s="9" t="s">
        <v>10188</v>
      </c>
      <c r="D5015" s="9" t="s">
        <v>647</v>
      </c>
      <c r="E5015" s="6" t="s">
        <v>10224</v>
      </c>
      <c r="F5015" s="9"/>
    </row>
    <row r="5016" ht="33.75" customHeight="1">
      <c r="A5016" s="7">
        <v>170.0</v>
      </c>
      <c r="B5016" s="9" t="s">
        <v>10187</v>
      </c>
      <c r="C5016" s="9" t="s">
        <v>10188</v>
      </c>
      <c r="D5016" s="9" t="s">
        <v>652</v>
      </c>
      <c r="E5016" s="6" t="s">
        <v>10226</v>
      </c>
      <c r="F5016" s="9"/>
    </row>
    <row r="5017" ht="33.75" customHeight="1">
      <c r="A5017" s="7">
        <v>170.0</v>
      </c>
      <c r="B5017" s="9" t="s">
        <v>10187</v>
      </c>
      <c r="C5017" s="9" t="s">
        <v>10188</v>
      </c>
      <c r="D5017" s="9" t="s">
        <v>114</v>
      </c>
      <c r="E5017" s="6" t="s">
        <v>10228</v>
      </c>
      <c r="F5017" s="9"/>
    </row>
    <row r="5018" ht="33.75" customHeight="1">
      <c r="A5018" s="7">
        <v>170.0</v>
      </c>
      <c r="B5018" s="9" t="s">
        <v>10187</v>
      </c>
      <c r="C5018" s="9" t="s">
        <v>10188</v>
      </c>
      <c r="D5018" s="9" t="s">
        <v>117</v>
      </c>
      <c r="E5018" s="6" t="s">
        <v>10190</v>
      </c>
      <c r="F5018" s="9"/>
    </row>
    <row r="5019" ht="33.75" customHeight="1">
      <c r="A5019" s="7">
        <v>171.0</v>
      </c>
      <c r="B5019" s="9" t="s">
        <v>10230</v>
      </c>
      <c r="C5019" s="9" t="s">
        <v>10231</v>
      </c>
      <c r="D5019" s="9" t="s">
        <v>52</v>
      </c>
      <c r="E5019" s="6" t="s">
        <v>10232</v>
      </c>
      <c r="F5019" t="inlineStr" s="10">
        <is>
          <t xml:space="preserve">Lanturnin lähettämä valo on niin kirkasta, että se voi valaista merenpinnan yli viiden kilometrin syvyydestä. Se sokaisee saaliin voimakkaalla valonpurkauksella ja nielee sitten liikkumattoman saaliin yhdellä kulauksella. Tämä POKéMON käyttää ruumiinsa kirkasta osaa, joka on muuttunut selkäevästä, houkutellakseen saalista. LANTURNia kutsutaan lempinimellä "syvänmeren tähti" sen valaistun antennin mukaan. Tämä POKéMON tuottaa valoa aiheuttamalla kemiallisen reaktion bakteerien ja niiden ruumiinnesteiden välillä antennin sisällä. LANTURNin tiedetään säteilevän valoa. Jos katsot yöllä laivasta alas pimeään mereen, voit joskus nähdä tämän POKéMONin valon nousevan syvyyksistä, joissa se ui. Se antaa merelle tähtitaivaan yön vaikutelman. Sen selässä olevat valoa emittoivat pallot ovat erittäin kirkkaita. Ne muodostuvat osasta sen selkäevää. Tämä POKéMON valaisee syvänmeren musteen pimeyttä. LANTURNin valo voi loistaa suurista syvyyksistä. Se on saanut lempinimen "Syvänmeren tähti". Se sokaisee saaliinsa voimakkaalla valonvälähdyksellä. Kun saalis on toimintakyvytön, Pokémon nielee sen yhdellä kulauksella. Tämä Pokémon tuottaa valoa aiheuttamalla kemiallisen reaktion bakteerien ja ruumiinnesteiden välillä antennin sisällä. Se antaa merelle tähtitaivaan vaikutelman. Jos katsot yöllä mereen ja näet valon, joka hohtaa kuin tähdet, se on Lanturn. Tämä Pokémon väläyttää kirkasta valoa, joka sokaisee saaliinsa. Tämä luo sille aukon sähköiskun suorittamiseen. Kun Lanturnin tuntosarvien sisällä elävät bakteerit imevät sen ruumiinnesteitä, syntyy voimakas luminesoiva vaikutus. Se elää syvällä meren syvyyksissä. Se sokaisee saaliinsa valolla ja käyttää hetken, jolloin ne häikäistyvät, nielläkseen ne kokonaisina.</t>
        </is>
      </c>
    </row>
    <row r="5020" ht="33.75" customHeight="1">
      <c r="A5020" s="7">
        <v>171.0</v>
      </c>
      <c r="B5020" s="9" t="s">
        <v>10230</v>
      </c>
      <c r="C5020" s="9" t="s">
        <v>10231</v>
      </c>
      <c r="D5020" s="9" t="s">
        <v>59</v>
      </c>
      <c r="E5020" s="6" t="s">
        <v>10234</v>
      </c>
      <c r="F5020" s="9"/>
    </row>
    <row r="5021" ht="33.75" customHeight="1">
      <c r="A5021" s="7">
        <v>171.0</v>
      </c>
      <c r="B5021" s="9" t="s">
        <v>10230</v>
      </c>
      <c r="C5021" s="9" t="s">
        <v>10231</v>
      </c>
      <c r="D5021" s="9" t="s">
        <v>64</v>
      </c>
      <c r="E5021" s="6" t="s">
        <v>10236</v>
      </c>
      <c r="F5021" s="9"/>
    </row>
    <row r="5022" ht="33.75" customHeight="1">
      <c r="A5022" s="7">
        <v>171.0</v>
      </c>
      <c r="B5022" s="9" t="s">
        <v>10230</v>
      </c>
      <c r="C5022" s="9" t="s">
        <v>10231</v>
      </c>
      <c r="D5022" s="9" t="s">
        <v>67</v>
      </c>
      <c r="E5022" s="6" t="s">
        <v>10238</v>
      </c>
      <c r="F5022" s="9"/>
    </row>
    <row r="5023" ht="33.75" customHeight="1">
      <c r="A5023" s="7">
        <v>171.0</v>
      </c>
      <c r="B5023" s="9" t="s">
        <v>10230</v>
      </c>
      <c r="C5023" s="9" t="s">
        <v>10231</v>
      </c>
      <c r="D5023" s="9" t="s">
        <v>71</v>
      </c>
      <c r="E5023" s="6" t="s">
        <v>10240</v>
      </c>
      <c r="F5023" s="9"/>
    </row>
    <row r="5024" ht="33.75" customHeight="1">
      <c r="A5024" s="7">
        <v>171.0</v>
      </c>
      <c r="B5024" s="9" t="s">
        <v>10230</v>
      </c>
      <c r="C5024" s="9" t="s">
        <v>10231</v>
      </c>
      <c r="D5024" s="9" t="s">
        <v>73</v>
      </c>
      <c r="E5024" s="6" t="s">
        <v>10242</v>
      </c>
      <c r="F5024" s="9"/>
    </row>
    <row r="5025" ht="33.75" customHeight="1">
      <c r="A5025" s="7">
        <v>171.0</v>
      </c>
      <c r="B5025" s="9" t="s">
        <v>10230</v>
      </c>
      <c r="C5025" s="9" t="s">
        <v>10231</v>
      </c>
      <c r="D5025" s="9" t="s">
        <v>75</v>
      </c>
      <c r="E5025" s="6" t="s">
        <v>10234</v>
      </c>
      <c r="F5025" s="9"/>
    </row>
    <row r="5026" ht="33.75" customHeight="1">
      <c r="A5026" s="7">
        <v>171.0</v>
      </c>
      <c r="B5026" s="9" t="s">
        <v>10230</v>
      </c>
      <c r="C5026" s="9" t="s">
        <v>10231</v>
      </c>
      <c r="D5026" s="9" t="s">
        <v>79</v>
      </c>
      <c r="E5026" s="6" t="s">
        <v>10232</v>
      </c>
      <c r="F5026" s="9"/>
    </row>
    <row r="5027" ht="33.75" customHeight="1">
      <c r="A5027" s="7">
        <v>171.0</v>
      </c>
      <c r="B5027" s="9" t="s">
        <v>10230</v>
      </c>
      <c r="C5027" s="9" t="s">
        <v>10231</v>
      </c>
      <c r="D5027" s="9" t="s">
        <v>81</v>
      </c>
      <c r="E5027" s="6" t="s">
        <v>10246</v>
      </c>
      <c r="F5027" s="9"/>
    </row>
    <row r="5028" ht="33.75" customHeight="1">
      <c r="A5028" s="7">
        <v>171.0</v>
      </c>
      <c r="B5028" s="9" t="s">
        <v>10230</v>
      </c>
      <c r="C5028" s="9" t="s">
        <v>10231</v>
      </c>
      <c r="D5028" s="9" t="s">
        <v>84</v>
      </c>
      <c r="E5028" s="6" t="s">
        <v>10246</v>
      </c>
      <c r="F5028" s="9"/>
    </row>
    <row r="5029" ht="33.75" customHeight="1">
      <c r="A5029" s="7">
        <v>171.0</v>
      </c>
      <c r="B5029" s="9" t="s">
        <v>10230</v>
      </c>
      <c r="C5029" s="9" t="s">
        <v>10231</v>
      </c>
      <c r="D5029" s="9" t="s">
        <v>87</v>
      </c>
      <c r="E5029" s="6" t="s">
        <v>10246</v>
      </c>
      <c r="F5029" s="9"/>
    </row>
    <row r="5030" ht="33.75" customHeight="1">
      <c r="A5030" s="7">
        <v>171.0</v>
      </c>
      <c r="B5030" s="9" t="s">
        <v>10230</v>
      </c>
      <c r="C5030" s="9" t="s">
        <v>10231</v>
      </c>
      <c r="D5030" s="9" t="s">
        <v>89</v>
      </c>
      <c r="E5030" s="6" t="s">
        <v>10232</v>
      </c>
      <c r="F5030" s="9"/>
    </row>
    <row r="5031" ht="33.75" customHeight="1">
      <c r="A5031" s="7">
        <v>171.0</v>
      </c>
      <c r="B5031" s="9" t="s">
        <v>10230</v>
      </c>
      <c r="C5031" s="9" t="s">
        <v>10231</v>
      </c>
      <c r="D5031" s="9" t="s">
        <v>91</v>
      </c>
      <c r="E5031" s="6" t="s">
        <v>10252</v>
      </c>
      <c r="F5031" s="9"/>
    </row>
    <row r="5032" ht="33.75" customHeight="1">
      <c r="A5032" s="7">
        <v>171.0</v>
      </c>
      <c r="B5032" s="9" t="s">
        <v>10230</v>
      </c>
      <c r="C5032" s="9" t="s">
        <v>10231</v>
      </c>
      <c r="D5032" s="9" t="s">
        <v>93</v>
      </c>
      <c r="E5032" s="6" t="s">
        <v>10254</v>
      </c>
      <c r="F5032" s="9"/>
    </row>
    <row r="5033" ht="33.75" customHeight="1">
      <c r="A5033" s="7">
        <v>171.0</v>
      </c>
      <c r="B5033" s="9" t="s">
        <v>10230</v>
      </c>
      <c r="C5033" s="9" t="s">
        <v>10231</v>
      </c>
      <c r="D5033" s="9" t="s">
        <v>95</v>
      </c>
      <c r="E5033" s="6" t="s">
        <v>10254</v>
      </c>
      <c r="F5033" s="9"/>
    </row>
    <row r="5034" ht="33.75" customHeight="1">
      <c r="A5034" s="7">
        <v>171.0</v>
      </c>
      <c r="B5034" s="9" t="s">
        <v>10230</v>
      </c>
      <c r="C5034" s="9" t="s">
        <v>10231</v>
      </c>
      <c r="D5034" s="9" t="s">
        <v>98</v>
      </c>
      <c r="E5034" s="6" t="s">
        <v>10254</v>
      </c>
      <c r="F5034" s="9"/>
    </row>
    <row r="5035" ht="33.75" customHeight="1">
      <c r="A5035" s="7">
        <v>171.0</v>
      </c>
      <c r="B5035" s="9" t="s">
        <v>10230</v>
      </c>
      <c r="C5035" s="9" t="s">
        <v>10231</v>
      </c>
      <c r="D5035" s="9" t="s">
        <v>99</v>
      </c>
      <c r="E5035" s="6" t="s">
        <v>10254</v>
      </c>
      <c r="F5035" s="9"/>
    </row>
    <row r="5036" ht="33.75" customHeight="1">
      <c r="A5036" s="7">
        <v>171.0</v>
      </c>
      <c r="B5036" s="9" t="s">
        <v>10230</v>
      </c>
      <c r="C5036" s="9" t="s">
        <v>10231</v>
      </c>
      <c r="D5036" s="9" t="s">
        <v>101</v>
      </c>
      <c r="E5036" s="6" t="s">
        <v>10254</v>
      </c>
      <c r="F5036" s="9"/>
    </row>
    <row r="5037" ht="33.75" customHeight="1">
      <c r="A5037" s="7">
        <v>171.0</v>
      </c>
      <c r="B5037" s="9" t="s">
        <v>10230</v>
      </c>
      <c r="C5037" s="9" t="s">
        <v>10231</v>
      </c>
      <c r="D5037" s="9" t="s">
        <v>105</v>
      </c>
      <c r="E5037" s="6" t="s">
        <v>10252</v>
      </c>
      <c r="F5037" s="9"/>
    </row>
    <row r="5038" ht="33.75" customHeight="1">
      <c r="A5038" s="7">
        <v>171.0</v>
      </c>
      <c r="B5038" s="9" t="s">
        <v>10230</v>
      </c>
      <c r="C5038" s="9" t="s">
        <v>10231</v>
      </c>
      <c r="D5038" s="9" t="s">
        <v>107</v>
      </c>
      <c r="E5038" s="6" t="s">
        <v>10262</v>
      </c>
      <c r="F5038" s="9"/>
    </row>
    <row r="5039" ht="33.75" customHeight="1">
      <c r="A5039" s="7">
        <v>171.0</v>
      </c>
      <c r="B5039" s="9" t="s">
        <v>10230</v>
      </c>
      <c r="C5039" s="9" t="s">
        <v>10231</v>
      </c>
      <c r="D5039" s="9" t="s">
        <v>109</v>
      </c>
      <c r="E5039" s="6" t="s">
        <v>10264</v>
      </c>
      <c r="F5039" s="9"/>
    </row>
    <row r="5040" ht="33.75" customHeight="1">
      <c r="A5040" s="7">
        <v>171.0</v>
      </c>
      <c r="B5040" s="9" t="s">
        <v>10230</v>
      </c>
      <c r="C5040" s="9" t="s">
        <v>10231</v>
      </c>
      <c r="D5040" s="9" t="s">
        <v>637</v>
      </c>
      <c r="E5040" s="6" t="s">
        <v>10266</v>
      </c>
      <c r="F5040" s="9"/>
    </row>
    <row r="5041" ht="33.75" customHeight="1">
      <c r="A5041" s="7">
        <v>171.0</v>
      </c>
      <c r="B5041" s="9" t="s">
        <v>10230</v>
      </c>
      <c r="C5041" s="9" t="s">
        <v>10231</v>
      </c>
      <c r="D5041" s="9" t="s">
        <v>642</v>
      </c>
      <c r="E5041" s="6" t="s">
        <v>10268</v>
      </c>
      <c r="F5041" s="9"/>
    </row>
    <row r="5042" ht="33.75" customHeight="1">
      <c r="A5042" s="7">
        <v>171.0</v>
      </c>
      <c r="B5042" s="9" t="s">
        <v>10230</v>
      </c>
      <c r="C5042" s="9" t="s">
        <v>10231</v>
      </c>
      <c r="D5042" s="9" t="s">
        <v>647</v>
      </c>
      <c r="E5042" s="6" t="s">
        <v>10271</v>
      </c>
      <c r="F5042" s="9"/>
    </row>
    <row r="5043" ht="33.75" customHeight="1">
      <c r="A5043" s="7">
        <v>171.0</v>
      </c>
      <c r="B5043" s="9" t="s">
        <v>10230</v>
      </c>
      <c r="C5043" s="9" t="s">
        <v>10231</v>
      </c>
      <c r="D5043" s="9" t="s">
        <v>652</v>
      </c>
      <c r="E5043" s="6" t="s">
        <v>10274</v>
      </c>
      <c r="F5043" s="9"/>
    </row>
    <row r="5044" ht="33.75" customHeight="1">
      <c r="A5044" s="7">
        <v>171.0</v>
      </c>
      <c r="B5044" s="9" t="s">
        <v>10230</v>
      </c>
      <c r="C5044" s="9" t="s">
        <v>10231</v>
      </c>
      <c r="D5044" s="9" t="s">
        <v>114</v>
      </c>
      <c r="E5044" s="6" t="s">
        <v>10232</v>
      </c>
      <c r="F5044" s="9"/>
    </row>
    <row r="5045" ht="33.75" customHeight="1">
      <c r="A5045" s="7">
        <v>171.0</v>
      </c>
      <c r="B5045" s="9" t="s">
        <v>10230</v>
      </c>
      <c r="C5045" s="9" t="s">
        <v>10231</v>
      </c>
      <c r="D5045" s="9" t="s">
        <v>117</v>
      </c>
      <c r="E5045" s="6" t="s">
        <v>10268</v>
      </c>
      <c r="F5045" s="9"/>
    </row>
    <row r="5046" ht="33.75" customHeight="1">
      <c r="A5046" s="7">
        <v>172.0</v>
      </c>
      <c r="B5046" s="9" t="s">
        <v>10279</v>
      </c>
      <c r="C5046" s="9" t="s">
        <v>10280</v>
      </c>
      <c r="D5046" s="9" t="s">
        <v>52</v>
      </c>
      <c r="E5046" s="6" t="s">
        <v>10281</v>
      </c>
      <c r="F5046" t="inlineStr" s="10">
        <is>
          <t xml:space="preserve">Pichu ei ole vielä taitava varastoimaan sähköä. Se saattaa lähettää tärinän, jos se on huvittunut tai säikähtänyt. Pienestä koostaan ​​huolimatta se voi ällistyttää jopa aikuiset ihmiset. Jos se kuitenkin tekee niin, se yllättää myös itsensä. Se ei ole taitava sähköenergian varastoinnissa. Minkä tahansa tyyppinen sähköisku saa sen purkamaan energiaa itsestään. PICHU latautuu sähköllä helpommin ukkospilvien aikaan tai erittäin kuivalla ilmalla. Voit kuulla tästä POKéMONista tulevan staattisen sähkön rätinän. Kun PICHU leikkii muiden PICHUjen kanssa, se saattaa aiheuttaa oikosulun toisen PICHUn kanssa, mikä aiheuttaa kipinäsateen. Tässä tapauksessa tämä POKéMON alkaa itkeä säikähtäen kipinöiden välähdyksestä. Se on vielä kyvytön säilyttämään sähköä. Säikähtäessään se purkaa vahingossa virtaa. Sen kyky pitää virta paranee vanhetessaan. Sen poskissa olevat sähköpussit ovat vielä pieniä. Ne eivät pysty vielä varastoimaan paljon sähköä. Se leikkii muiden kanssa koskettamalla häntäänsä ja sytyttämällä kipinöitä. Tämä näyttää olevan rohkeuden testi. Sen poskissa olevat sähköpussit ovat pienet. Jo pienikin sähkövuoto saa sen säikähtämään. Voit kuulla tästä Pokémonista lähtevän staattisen sähkön rätinän. Kun Pichu leikkii muiden kanssa, se saattaa aiheuttaa oikosulun toisen Pichun kanssa, mikä aiheuttaa kipinäsateen. Se ei ole vielä taitava hallitsemaan sähköä. Jos irrotat katseesi siitä, se saattaa sähköiskua itseensä. Vaikka tämä Pokémon on söpöstä ulkonäöstä huolimatta, niiden, jotka haluavat elää sellaisen kanssa, tulisi valmistautua joutumaan sen sähköiskujen kohteeksi. Se ei vieläkään osaa käyttää sähköä hyvin. Yllättyessään tai innostuessaan se purkaa tahattomasti sähköä. Sen poskissa on sähköpusseja. Täyteen ladattuina Pichu soittaa erittäin energisesti. Pichu varastoi sähköä poskillaan oleviin pusseihin, mutta purkaa sitä tahattomasti ollessaan levoton tai kiihtynyt. Koska Pokémon on vielä kehittymätön, sen sähkönkäsittely on melko kömpelöä.</t>
        </is>
      </c>
    </row>
    <row r="5047" ht="33.75" customHeight="1">
      <c r="A5047" s="7">
        <v>172.0</v>
      </c>
      <c r="B5047" s="9" t="s">
        <v>10279</v>
      </c>
      <c r="C5047" s="9" t="s">
        <v>10280</v>
      </c>
      <c r="D5047" s="9" t="s">
        <v>59</v>
      </c>
      <c r="E5047" s="6" t="s">
        <v>10284</v>
      </c>
      <c r="F5047" s="9"/>
    </row>
    <row r="5048" ht="33.75" customHeight="1">
      <c r="A5048" s="7">
        <v>172.0</v>
      </c>
      <c r="B5048" s="9" t="s">
        <v>10279</v>
      </c>
      <c r="C5048" s="9" t="s">
        <v>10280</v>
      </c>
      <c r="D5048" s="9" t="s">
        <v>64</v>
      </c>
      <c r="E5048" s="6" t="s">
        <v>10287</v>
      </c>
      <c r="F5048" s="9"/>
    </row>
    <row r="5049" ht="33.75" customHeight="1">
      <c r="A5049" s="7">
        <v>172.0</v>
      </c>
      <c r="B5049" s="9" t="s">
        <v>10279</v>
      </c>
      <c r="C5049" s="9" t="s">
        <v>10280</v>
      </c>
      <c r="D5049" s="9" t="s">
        <v>67</v>
      </c>
      <c r="E5049" s="6" t="s">
        <v>10290</v>
      </c>
      <c r="F5049" s="9"/>
    </row>
    <row r="5050" ht="33.75" customHeight="1">
      <c r="A5050" s="7">
        <v>172.0</v>
      </c>
      <c r="B5050" s="9" t="s">
        <v>10279</v>
      </c>
      <c r="C5050" s="9" t="s">
        <v>10280</v>
      </c>
      <c r="D5050" s="9" t="s">
        <v>71</v>
      </c>
      <c r="E5050" s="6" t="s">
        <v>10293</v>
      </c>
      <c r="F5050" s="9"/>
    </row>
    <row r="5051" ht="33.75" customHeight="1">
      <c r="A5051" s="7">
        <v>172.0</v>
      </c>
      <c r="B5051" s="9" t="s">
        <v>10279</v>
      </c>
      <c r="C5051" s="9" t="s">
        <v>10280</v>
      </c>
      <c r="D5051" s="9" t="s">
        <v>73</v>
      </c>
      <c r="E5051" s="6" t="s">
        <v>10296</v>
      </c>
      <c r="F5051" s="9"/>
    </row>
    <row r="5052" ht="33.75" customHeight="1">
      <c r="A5052" s="7">
        <v>172.0</v>
      </c>
      <c r="B5052" s="9" t="s">
        <v>10279</v>
      </c>
      <c r="C5052" s="9" t="s">
        <v>10280</v>
      </c>
      <c r="D5052" s="9" t="s">
        <v>75</v>
      </c>
      <c r="E5052" s="6" t="s">
        <v>10284</v>
      </c>
      <c r="F5052" s="9"/>
    </row>
    <row r="5053" ht="33.75" customHeight="1">
      <c r="A5053" s="7">
        <v>172.0</v>
      </c>
      <c r="B5053" s="9" t="s">
        <v>10279</v>
      </c>
      <c r="C5053" s="9" t="s">
        <v>10280</v>
      </c>
      <c r="D5053" s="9" t="s">
        <v>79</v>
      </c>
      <c r="E5053" s="6" t="s">
        <v>10281</v>
      </c>
      <c r="F5053" s="9"/>
    </row>
    <row r="5054" ht="33.75" customHeight="1">
      <c r="A5054" s="7">
        <v>172.0</v>
      </c>
      <c r="B5054" s="9" t="s">
        <v>10279</v>
      </c>
      <c r="C5054" s="9" t="s">
        <v>10280</v>
      </c>
      <c r="D5054" s="9" t="s">
        <v>81</v>
      </c>
      <c r="E5054" s="6" t="s">
        <v>10301</v>
      </c>
      <c r="F5054" s="9"/>
    </row>
    <row r="5055" ht="33.75" customHeight="1">
      <c r="A5055" s="7">
        <v>172.0</v>
      </c>
      <c r="B5055" s="9" t="s">
        <v>10279</v>
      </c>
      <c r="C5055" s="9" t="s">
        <v>10280</v>
      </c>
      <c r="D5055" s="9" t="s">
        <v>84</v>
      </c>
      <c r="E5055" s="6" t="s">
        <v>10304</v>
      </c>
      <c r="F5055" s="9"/>
    </row>
    <row r="5056" ht="33.75" customHeight="1">
      <c r="A5056" s="7">
        <v>172.0</v>
      </c>
      <c r="B5056" s="9" t="s">
        <v>10279</v>
      </c>
      <c r="C5056" s="9" t="s">
        <v>10280</v>
      </c>
      <c r="D5056" s="9" t="s">
        <v>87</v>
      </c>
      <c r="E5056" s="6" t="s">
        <v>10307</v>
      </c>
      <c r="F5056" s="9"/>
    </row>
    <row r="5057" ht="33.75" customHeight="1">
      <c r="A5057" s="7">
        <v>172.0</v>
      </c>
      <c r="B5057" s="9" t="s">
        <v>10279</v>
      </c>
      <c r="C5057" s="9" t="s">
        <v>10280</v>
      </c>
      <c r="D5057" s="9" t="s">
        <v>89</v>
      </c>
      <c r="E5057" s="6" t="s">
        <v>10281</v>
      </c>
      <c r="F5057" s="9"/>
    </row>
    <row r="5058" ht="33.75" customHeight="1">
      <c r="A5058" s="7">
        <v>172.0</v>
      </c>
      <c r="B5058" s="9" t="s">
        <v>10279</v>
      </c>
      <c r="C5058" s="9" t="s">
        <v>10280</v>
      </c>
      <c r="D5058" s="9" t="s">
        <v>91</v>
      </c>
      <c r="E5058" s="6" t="s">
        <v>10284</v>
      </c>
      <c r="F5058" s="9"/>
    </row>
    <row r="5059" ht="33.75" customHeight="1">
      <c r="A5059" s="7">
        <v>172.0</v>
      </c>
      <c r="B5059" s="9" t="s">
        <v>10279</v>
      </c>
      <c r="C5059" s="9" t="s">
        <v>10280</v>
      </c>
      <c r="D5059" s="9" t="s">
        <v>93</v>
      </c>
      <c r="E5059" s="6" t="s">
        <v>10307</v>
      </c>
      <c r="F5059" s="9"/>
    </row>
    <row r="5060" ht="33.75" customHeight="1">
      <c r="A5060" s="7">
        <v>172.0</v>
      </c>
      <c r="B5060" s="9" t="s">
        <v>10279</v>
      </c>
      <c r="C5060" s="9" t="s">
        <v>10280</v>
      </c>
      <c r="D5060" s="9" t="s">
        <v>95</v>
      </c>
      <c r="E5060" s="6" t="s">
        <v>10307</v>
      </c>
      <c r="F5060" s="9"/>
    </row>
    <row r="5061" ht="33.75" customHeight="1">
      <c r="A5061" s="7">
        <v>172.0</v>
      </c>
      <c r="B5061" s="9" t="s">
        <v>10279</v>
      </c>
      <c r="C5061" s="9" t="s">
        <v>10280</v>
      </c>
      <c r="D5061" s="9" t="s">
        <v>98</v>
      </c>
      <c r="E5061" s="6" t="s">
        <v>10307</v>
      </c>
      <c r="F5061" s="9"/>
    </row>
    <row r="5062" ht="33.75" customHeight="1">
      <c r="A5062" s="7">
        <v>172.0</v>
      </c>
      <c r="B5062" s="9" t="s">
        <v>10279</v>
      </c>
      <c r="C5062" s="9" t="s">
        <v>10280</v>
      </c>
      <c r="D5062" s="9" t="s">
        <v>99</v>
      </c>
      <c r="E5062" s="6" t="s">
        <v>10307</v>
      </c>
      <c r="F5062" s="9"/>
    </row>
    <row r="5063" ht="33.75" customHeight="1">
      <c r="A5063" s="7">
        <v>172.0</v>
      </c>
      <c r="B5063" s="9" t="s">
        <v>10279</v>
      </c>
      <c r="C5063" s="9" t="s">
        <v>10280</v>
      </c>
      <c r="D5063" s="9" t="s">
        <v>101</v>
      </c>
      <c r="E5063" s="6" t="s">
        <v>10304</v>
      </c>
      <c r="F5063" s="9"/>
    </row>
    <row r="5064" ht="33.75" customHeight="1">
      <c r="A5064" s="7">
        <v>172.0</v>
      </c>
      <c r="B5064" s="9" t="s">
        <v>10279</v>
      </c>
      <c r="C5064" s="9" t="s">
        <v>10280</v>
      </c>
      <c r="D5064" s="9" t="s">
        <v>105</v>
      </c>
      <c r="E5064" s="6" t="s">
        <v>10281</v>
      </c>
      <c r="F5064" s="9"/>
    </row>
    <row r="5065" ht="33.75" customHeight="1">
      <c r="A5065" s="7">
        <v>172.0</v>
      </c>
      <c r="B5065" s="9" t="s">
        <v>10279</v>
      </c>
      <c r="C5065" s="9" t="s">
        <v>10280</v>
      </c>
      <c r="D5065" s="9" t="s">
        <v>107</v>
      </c>
      <c r="E5065" s="6" t="s">
        <v>10319</v>
      </c>
      <c r="F5065" s="9"/>
    </row>
    <row r="5066" ht="33.75" customHeight="1">
      <c r="A5066" s="7">
        <v>172.0</v>
      </c>
      <c r="B5066" s="9" t="s">
        <v>10279</v>
      </c>
      <c r="C5066" s="9" t="s">
        <v>10280</v>
      </c>
      <c r="D5066" s="9" t="s">
        <v>109</v>
      </c>
      <c r="E5066" s="6" t="s">
        <v>10322</v>
      </c>
      <c r="F5066" s="9"/>
    </row>
    <row r="5067" ht="33.75" customHeight="1">
      <c r="A5067" s="7">
        <v>172.0</v>
      </c>
      <c r="B5067" s="9" t="s">
        <v>10279</v>
      </c>
      <c r="C5067" s="9" t="s">
        <v>10280</v>
      </c>
      <c r="D5067" s="9" t="s">
        <v>637</v>
      </c>
      <c r="E5067" s="6" t="s">
        <v>10324</v>
      </c>
      <c r="F5067" s="9"/>
    </row>
    <row r="5068" ht="33.75" customHeight="1">
      <c r="A5068" s="7">
        <v>172.0</v>
      </c>
      <c r="B5068" s="9" t="s">
        <v>10279</v>
      </c>
      <c r="C5068" s="9" t="s">
        <v>10280</v>
      </c>
      <c r="D5068" s="9" t="s">
        <v>642</v>
      </c>
      <c r="E5068" s="6" t="s">
        <v>10326</v>
      </c>
      <c r="F5068" s="9"/>
    </row>
    <row r="5069" ht="33.75" customHeight="1">
      <c r="A5069" s="7">
        <v>172.0</v>
      </c>
      <c r="B5069" s="9" t="s">
        <v>10279</v>
      </c>
      <c r="C5069" s="9" t="s">
        <v>10280</v>
      </c>
      <c r="D5069" s="9" t="s">
        <v>647</v>
      </c>
      <c r="E5069" s="6" t="s">
        <v>10329</v>
      </c>
      <c r="F5069" s="9"/>
    </row>
    <row r="5070" ht="33.75" customHeight="1">
      <c r="A5070" s="7">
        <v>172.0</v>
      </c>
      <c r="B5070" s="9" t="s">
        <v>10279</v>
      </c>
      <c r="C5070" s="9" t="s">
        <v>10280</v>
      </c>
      <c r="D5070" s="9" t="s">
        <v>652</v>
      </c>
      <c r="E5070" s="6" t="s">
        <v>10332</v>
      </c>
      <c r="F5070" s="9"/>
    </row>
    <row r="5071" ht="33.75" customHeight="1">
      <c r="A5071" s="7">
        <v>172.0</v>
      </c>
      <c r="B5071" s="9" t="s">
        <v>10279</v>
      </c>
      <c r="C5071" s="9" t="s">
        <v>10280</v>
      </c>
      <c r="D5071" s="9" t="s">
        <v>114</v>
      </c>
      <c r="E5071" s="6" t="s">
        <v>10284</v>
      </c>
      <c r="F5071" s="9"/>
    </row>
    <row r="5072" ht="33.75" customHeight="1">
      <c r="A5072" s="7">
        <v>172.0</v>
      </c>
      <c r="B5072" s="9" t="s">
        <v>10279</v>
      </c>
      <c r="C5072" s="9" t="s">
        <v>10280</v>
      </c>
      <c r="D5072" s="9" t="s">
        <v>117</v>
      </c>
      <c r="E5072" s="6" t="s">
        <v>10307</v>
      </c>
      <c r="F5072" s="9"/>
    </row>
    <row r="5073" ht="33.75" customHeight="1">
      <c r="A5073" s="7">
        <v>172.0</v>
      </c>
      <c r="B5073" s="9" t="s">
        <v>10279</v>
      </c>
      <c r="C5073" s="9" t="s">
        <v>10280</v>
      </c>
      <c r="D5073" s="9" t="s">
        <v>1577</v>
      </c>
      <c r="E5073" s="6" t="s">
        <v>10337</v>
      </c>
      <c r="F5073" s="9"/>
    </row>
    <row r="5074" ht="33.75" customHeight="1">
      <c r="A5074" s="7">
        <v>173.0</v>
      </c>
      <c r="B5074" s="9" t="s">
        <v>10339</v>
      </c>
      <c r="C5074" s="9" t="s">
        <v>7568</v>
      </c>
      <c r="D5074" s="9" t="s">
        <v>52</v>
      </c>
      <c r="E5074" s="6" t="s">
        <v>10340</v>
      </c>
      <c r="F5074" t="inlineStr" s="10">
        <is>
          <t xml:space="preserve">Epätavallisen, tähtimäisen siluettinsa vuoksi ihmiset uskovat, että se tuli tänne meteorin mukana. Kun lukuisat meteorit valaisevat yötaivasta, CLEFFA-havainnot lisääntyvät oudolla tavalla. Jos meteoriitin törmäyskohta löytyy, tämä POKéMON on varmasti sen välittömässä läheisyydessä. Öinä, jolloin on paljon tähdenlentoja, CLEFFA-pokemoneja voi nähdä tanssimassa kehässä. Ne tanssivat läpi yön ja pysähtyvät vasta aamunkoitteessa, jolloin nämä POKéMONit sammuttavat janonsa aamukasteella. Öinä, jolloin on paljon tähdenlentoja, CLEFFA-lintuja voi nähdä tanssimassa kehässä. Ne tanssivat aamunkoittoon asti, jolloin ne sammuttavat janonsa aamukasteella. Sen siluetti on kuin tähti. Sen uskotaan saapuvan paikalle tähdenlentojen päällä ratsastaen. Monet ilmestyvät, kun yötaivas on täynnä tähdenlentoja. Ne katoavat auringonnousun myötä. Se nähdään usein, kun tähdenlennot täyttävät yötaivaan. Sen sanotaan saapuvan ratsastaen tähdenlennon selässä. Paikallisten huhujen mukaan Cleffoja nähdään usein paikoissa, joissa tähdenlennot ovat pudonneet. Öinä, jolloin tähdenlentoja on paljon, Cleffan voi nähdä tanssivan kehässä. Myöhään öisin, tähdenlennon valaisemina, se tuijottaa intensiivisesti taivasta kohti, ikään kuin ajatellen kotiaan. Siluettinsa vuoksi sen uskotaan olevan uudestisyntynyt tähti. Jostain syystä se rakastaa Minioria. Öinä, jolloin tähdenlentoja on paljon, ne kerääntyvät laumoihin ja tanssivat ympyrää. Jos näet ne, tapahtuu jotain hyvää! Cleffan sanotaan ratsastaneen täällä tähdenlennon kyydissä, ja se näyttää ilmestyvän paikoissa, joihin meteoriitit ovat osuneet aiemmin. Siluetissa ne muistuttavat tuikkivaa tähtien valoa. Kun tähdenlentoja sataa yötaivaalta, Cleffat kokoontuvat joukoittain ja tanssivat aivan kuin he olisivat todellakin tähtien inkarnaatioita.</t>
        </is>
      </c>
    </row>
    <row r="5075" ht="33.75" customHeight="1">
      <c r="A5075" s="7">
        <v>173.0</v>
      </c>
      <c r="B5075" s="9" t="s">
        <v>10339</v>
      </c>
      <c r="C5075" s="9" t="s">
        <v>7568</v>
      </c>
      <c r="D5075" s="9" t="s">
        <v>59</v>
      </c>
      <c r="E5075" s="6" t="s">
        <v>10343</v>
      </c>
      <c r="F5075" s="9"/>
    </row>
    <row r="5076" ht="33.75" customHeight="1">
      <c r="A5076" s="7">
        <v>173.0</v>
      </c>
      <c r="B5076" s="9" t="s">
        <v>10339</v>
      </c>
      <c r="C5076" s="9" t="s">
        <v>7568</v>
      </c>
      <c r="D5076" s="9" t="s">
        <v>64</v>
      </c>
      <c r="E5076" s="6" t="s">
        <v>10345</v>
      </c>
      <c r="F5076" s="9"/>
    </row>
    <row r="5077" ht="33.75" customHeight="1">
      <c r="A5077" s="7">
        <v>173.0</v>
      </c>
      <c r="B5077" s="9" t="s">
        <v>10339</v>
      </c>
      <c r="C5077" s="9" t="s">
        <v>7568</v>
      </c>
      <c r="D5077" s="9" t="s">
        <v>67</v>
      </c>
      <c r="E5077" s="6" t="s">
        <v>10348</v>
      </c>
      <c r="F5077" s="9"/>
    </row>
    <row r="5078" ht="33.75" customHeight="1">
      <c r="A5078" s="7">
        <v>173.0</v>
      </c>
      <c r="B5078" s="9" t="s">
        <v>10339</v>
      </c>
      <c r="C5078" s="9" t="s">
        <v>7568</v>
      </c>
      <c r="D5078" s="9" t="s">
        <v>71</v>
      </c>
      <c r="E5078" s="6" t="s">
        <v>10348</v>
      </c>
      <c r="F5078" s="9"/>
    </row>
    <row r="5079" ht="33.75" customHeight="1">
      <c r="A5079" s="7">
        <v>173.0</v>
      </c>
      <c r="B5079" s="9" t="s">
        <v>10339</v>
      </c>
      <c r="C5079" s="9" t="s">
        <v>7568</v>
      </c>
      <c r="D5079" s="9" t="s">
        <v>73</v>
      </c>
      <c r="E5079" s="6" t="s">
        <v>10352</v>
      </c>
      <c r="F5079" s="9"/>
    </row>
    <row r="5080" ht="33.75" customHeight="1">
      <c r="A5080" s="7">
        <v>173.0</v>
      </c>
      <c r="B5080" s="9" t="s">
        <v>10339</v>
      </c>
      <c r="C5080" s="9" t="s">
        <v>7568</v>
      </c>
      <c r="D5080" s="9" t="s">
        <v>75</v>
      </c>
      <c r="E5080" s="6" t="s">
        <v>10343</v>
      </c>
      <c r="F5080" s="9"/>
    </row>
    <row r="5081" ht="33.75" customHeight="1">
      <c r="A5081" s="7">
        <v>173.0</v>
      </c>
      <c r="B5081" s="9" t="s">
        <v>10339</v>
      </c>
      <c r="C5081" s="9" t="s">
        <v>7568</v>
      </c>
      <c r="D5081" s="9" t="s">
        <v>79</v>
      </c>
      <c r="E5081" s="6" t="s">
        <v>10340</v>
      </c>
      <c r="F5081" s="9"/>
    </row>
    <row r="5082" ht="33.75" customHeight="1">
      <c r="A5082" s="7">
        <v>173.0</v>
      </c>
      <c r="B5082" s="9" t="s">
        <v>10339</v>
      </c>
      <c r="C5082" s="9" t="s">
        <v>7568</v>
      </c>
      <c r="D5082" s="9" t="s">
        <v>81</v>
      </c>
      <c r="E5082" s="6" t="s">
        <v>10356</v>
      </c>
      <c r="F5082" s="9"/>
    </row>
    <row r="5083" ht="33.75" customHeight="1">
      <c r="A5083" s="7">
        <v>173.0</v>
      </c>
      <c r="B5083" s="9" t="s">
        <v>10339</v>
      </c>
      <c r="C5083" s="9" t="s">
        <v>7568</v>
      </c>
      <c r="D5083" s="9" t="s">
        <v>84</v>
      </c>
      <c r="E5083" s="6" t="s">
        <v>10359</v>
      </c>
      <c r="F5083" s="9"/>
    </row>
    <row r="5084" ht="33.75" customHeight="1">
      <c r="A5084" s="7">
        <v>173.0</v>
      </c>
      <c r="B5084" s="9" t="s">
        <v>10339</v>
      </c>
      <c r="C5084" s="9" t="s">
        <v>7568</v>
      </c>
      <c r="D5084" s="9" t="s">
        <v>87</v>
      </c>
      <c r="E5084" s="6" t="s">
        <v>10361</v>
      </c>
      <c r="F5084" s="9"/>
    </row>
    <row r="5085" ht="33.75" customHeight="1">
      <c r="A5085" s="7">
        <v>173.0</v>
      </c>
      <c r="B5085" s="9" t="s">
        <v>10339</v>
      </c>
      <c r="C5085" s="9" t="s">
        <v>7568</v>
      </c>
      <c r="D5085" s="9" t="s">
        <v>89</v>
      </c>
      <c r="E5085" s="6" t="s">
        <v>10340</v>
      </c>
      <c r="F5085" s="9"/>
    </row>
    <row r="5086" ht="33.75" customHeight="1">
      <c r="A5086" s="7">
        <v>173.0</v>
      </c>
      <c r="B5086" s="9" t="s">
        <v>10339</v>
      </c>
      <c r="C5086" s="9" t="s">
        <v>7568</v>
      </c>
      <c r="D5086" s="9" t="s">
        <v>91</v>
      </c>
      <c r="E5086" s="6" t="s">
        <v>10343</v>
      </c>
      <c r="F5086" s="9"/>
    </row>
    <row r="5087" ht="33.75" customHeight="1">
      <c r="A5087" s="7">
        <v>173.0</v>
      </c>
      <c r="B5087" s="9" t="s">
        <v>10339</v>
      </c>
      <c r="C5087" s="9" t="s">
        <v>7568</v>
      </c>
      <c r="D5087" s="9" t="s">
        <v>93</v>
      </c>
      <c r="E5087" s="6" t="s">
        <v>10361</v>
      </c>
      <c r="F5087" s="9"/>
    </row>
    <row r="5088" ht="33.75" customHeight="1">
      <c r="A5088" s="7">
        <v>173.0</v>
      </c>
      <c r="B5088" s="9" t="s">
        <v>10339</v>
      </c>
      <c r="C5088" s="9" t="s">
        <v>7568</v>
      </c>
      <c r="D5088" s="9" t="s">
        <v>95</v>
      </c>
      <c r="E5088" s="6" t="s">
        <v>10361</v>
      </c>
      <c r="F5088" s="9"/>
    </row>
    <row r="5089" ht="33.75" customHeight="1">
      <c r="A5089" s="7">
        <v>173.0</v>
      </c>
      <c r="B5089" s="9" t="s">
        <v>10339</v>
      </c>
      <c r="C5089" s="9" t="s">
        <v>7568</v>
      </c>
      <c r="D5089" s="9" t="s">
        <v>98</v>
      </c>
      <c r="E5089" s="6" t="s">
        <v>10369</v>
      </c>
      <c r="F5089" s="9"/>
    </row>
    <row r="5090" ht="33.75" customHeight="1">
      <c r="A5090" s="7">
        <v>173.0</v>
      </c>
      <c r="B5090" s="9" t="s">
        <v>10339</v>
      </c>
      <c r="C5090" s="9" t="s">
        <v>7568</v>
      </c>
      <c r="D5090" s="9" t="s">
        <v>99</v>
      </c>
      <c r="E5090" s="6" t="s">
        <v>10369</v>
      </c>
      <c r="F5090" s="9"/>
    </row>
    <row r="5091" ht="33.75" customHeight="1">
      <c r="A5091" s="7">
        <v>173.0</v>
      </c>
      <c r="B5091" s="9" t="s">
        <v>10339</v>
      </c>
      <c r="C5091" s="9" t="s">
        <v>7568</v>
      </c>
      <c r="D5091" s="9" t="s">
        <v>101</v>
      </c>
      <c r="E5091" s="6" t="s">
        <v>10340</v>
      </c>
      <c r="F5091" s="9"/>
    </row>
    <row r="5092" ht="33.75" customHeight="1">
      <c r="A5092" s="7">
        <v>173.0</v>
      </c>
      <c r="B5092" s="9" t="s">
        <v>10339</v>
      </c>
      <c r="C5092" s="9" t="s">
        <v>7568</v>
      </c>
      <c r="D5092" s="9" t="s">
        <v>105</v>
      </c>
      <c r="E5092" s="6" t="s">
        <v>10359</v>
      </c>
      <c r="F5092" s="9"/>
    </row>
    <row r="5093" ht="33.75" customHeight="1">
      <c r="A5093" s="7">
        <v>173.0</v>
      </c>
      <c r="B5093" s="9" t="s">
        <v>10339</v>
      </c>
      <c r="C5093" s="9" t="s">
        <v>7568</v>
      </c>
      <c r="D5093" s="9" t="s">
        <v>107</v>
      </c>
      <c r="E5093" s="6" t="s">
        <v>10375</v>
      </c>
      <c r="F5093" s="9"/>
    </row>
    <row r="5094" ht="33.75" customHeight="1">
      <c r="A5094" s="7">
        <v>173.0</v>
      </c>
      <c r="B5094" s="9" t="s">
        <v>10339</v>
      </c>
      <c r="C5094" s="9" t="s">
        <v>7568</v>
      </c>
      <c r="D5094" s="9" t="s">
        <v>109</v>
      </c>
      <c r="E5094" s="6" t="s">
        <v>10375</v>
      </c>
      <c r="F5094" s="9"/>
    </row>
    <row r="5095" ht="33.75" customHeight="1">
      <c r="A5095" s="7">
        <v>173.0</v>
      </c>
      <c r="B5095" s="9" t="s">
        <v>10339</v>
      </c>
      <c r="C5095" s="9" t="s">
        <v>7568</v>
      </c>
      <c r="D5095" s="9" t="s">
        <v>637</v>
      </c>
      <c r="E5095" s="6" t="s">
        <v>10380</v>
      </c>
      <c r="F5095" s="9"/>
    </row>
    <row r="5096" ht="33.75" customHeight="1">
      <c r="A5096" s="7">
        <v>173.0</v>
      </c>
      <c r="B5096" s="9" t="s">
        <v>10339</v>
      </c>
      <c r="C5096" s="9" t="s">
        <v>7568</v>
      </c>
      <c r="D5096" s="9" t="s">
        <v>642</v>
      </c>
      <c r="E5096" s="6" t="s">
        <v>10383</v>
      </c>
      <c r="F5096" s="9"/>
    </row>
    <row r="5097" ht="33.75" customHeight="1">
      <c r="A5097" s="7">
        <v>173.0</v>
      </c>
      <c r="B5097" s="9" t="s">
        <v>10339</v>
      </c>
      <c r="C5097" s="9" t="s">
        <v>7568</v>
      </c>
      <c r="D5097" s="9" t="s">
        <v>647</v>
      </c>
      <c r="E5097" s="6" t="s">
        <v>10387</v>
      </c>
      <c r="F5097" s="9"/>
    </row>
    <row r="5098" ht="33.75" customHeight="1">
      <c r="A5098" s="7">
        <v>173.0</v>
      </c>
      <c r="B5098" s="9" t="s">
        <v>10339</v>
      </c>
      <c r="C5098" s="9" t="s">
        <v>7568</v>
      </c>
      <c r="D5098" s="9" t="s">
        <v>652</v>
      </c>
      <c r="E5098" s="6" t="s">
        <v>10390</v>
      </c>
      <c r="F5098" s="9"/>
    </row>
    <row r="5099" ht="33.75" customHeight="1">
      <c r="A5099" s="7">
        <v>173.0</v>
      </c>
      <c r="B5099" s="9" t="s">
        <v>10339</v>
      </c>
      <c r="C5099" s="9" t="s">
        <v>7568</v>
      </c>
      <c r="D5099" s="9" t="s">
        <v>114</v>
      </c>
      <c r="E5099" s="6" t="s">
        <v>10369</v>
      </c>
      <c r="F5099" s="9"/>
    </row>
    <row r="5100" ht="33.75" customHeight="1">
      <c r="A5100" s="7">
        <v>173.0</v>
      </c>
      <c r="B5100" s="9" t="s">
        <v>10339</v>
      </c>
      <c r="C5100" s="9" t="s">
        <v>7568</v>
      </c>
      <c r="D5100" s="9" t="s">
        <v>117</v>
      </c>
      <c r="E5100" s="6" t="s">
        <v>10340</v>
      </c>
      <c r="F5100" s="9"/>
    </row>
    <row r="5101" ht="33.75" customHeight="1">
      <c r="A5101" s="7">
        <v>173.0</v>
      </c>
      <c r="B5101" s="9" t="s">
        <v>10339</v>
      </c>
      <c r="C5101" s="9" t="s">
        <v>7568</v>
      </c>
      <c r="D5101" s="9" t="s">
        <v>1577</v>
      </c>
      <c r="E5101" s="6" t="s">
        <v>10402</v>
      </c>
      <c r="F5101" s="9"/>
    </row>
    <row r="5102" ht="33.75" customHeight="1">
      <c r="A5102" s="7">
        <v>174.0</v>
      </c>
      <c r="B5102" s="9" t="s">
        <v>10405</v>
      </c>
      <c r="C5102" s="9" t="s">
        <v>2368</v>
      </c>
      <c r="D5102" s="9" t="s">
        <v>52</v>
      </c>
      <c r="E5102" s="6" t="s">
        <v>10407</v>
      </c>
      <c r="F5102" t="inlineStr" s="10">
        <is>
          <t xml:space="preserve">Sillä on erittäin pehmeä runko. Jos se alkaa pyöriä, se pomppii ympäriinsä eikä sitä voi pysäyttää. Sen erittäin joustava ja kimmoisa runko saa sen pomppimaan jatkuvasti – milloin ja missä tahansa. Lyhyiden jalkojensa sijaan se liikkuu pomppimalla pehmeällä, hellällä vartalollaan. IGGLYBUFFin äänihuulet eivät ole riittävän kehittyneet. Sen kurkku loukkaantuisi, jos se laulaisi liikaa. Tämä POKéMON kurlaa makealla vedellä puhtaasta purosta. IGGLYBUFFilla on pehmeä ja muhkea vartalo, joka tuntuu hyvin paljon vaahtokarkilta. Tästä vartalosta leijuu lempeän makea tuoksu, joka rauhoittaa ja tyynnyttää vihollisten tunteita. Sen pehmeä ja taipuisa ruumis on erittäin kimmoisa. Kun se laulaa jatkuvasti täydellä voimallaan, sen ruumis muuttuu tasaisesti syvenevän vaaleanpunaiseksi. Sillä on pehmeä ja kimmoisa runko. Kun se alkaa pomppia, sitä on mahdotonta pysäyttää. Sen vartalolla on hennon makea tuoksu, ja se on kimmoisa ja pehmeä. Jos se pomppaa kerrankaan, se ei voi pysähtyä. Se tykkää laulaa, mutta ei ole vielä siinä hyvä. Kehumalla ja kannustuksella se paranee pikkuhiljaa. Se liikkuu pomppimalla. Liikkuessaan paljon se hikoilee, ja sen kehosta lähtee makea tuoksu. Se harjoittelee aina laulamistaan, koska se haluaa kehittyä. Se laulaa unissaan jopa nukkuessaan! Omalla jalallaan se harjoittelee laulamista jatkuvasti. Sinun pitäisi antaa sen pitää taukoa, jotta sen kurkku ei satu. Igglybuff rakastaa laulamista. Sen vaahtokarkkia muistuttava ruumis tuoksuu heikosti makealta. Igglybuff hyödyntää pehmeää kehoaan ja liikkuu kuin pomppisi. Sen ruumis muuttuu syvän vaaleanpunaiseksi lämpötilan noustessa.</t>
        </is>
      </c>
    </row>
    <row r="5103" ht="33.75" customHeight="1">
      <c r="A5103" s="7">
        <v>174.0</v>
      </c>
      <c r="B5103" s="9" t="s">
        <v>10405</v>
      </c>
      <c r="C5103" s="9" t="s">
        <v>2368</v>
      </c>
      <c r="D5103" s="9" t="s">
        <v>59</v>
      </c>
      <c r="E5103" s="6" t="s">
        <v>10410</v>
      </c>
      <c r="F5103" s="9"/>
    </row>
    <row r="5104" ht="33.75" customHeight="1">
      <c r="A5104" s="7">
        <v>174.0</v>
      </c>
      <c r="B5104" s="9" t="s">
        <v>10405</v>
      </c>
      <c r="C5104" s="9" t="s">
        <v>2368</v>
      </c>
      <c r="D5104" s="9" t="s">
        <v>64</v>
      </c>
      <c r="E5104" s="6" t="s">
        <v>10413</v>
      </c>
      <c r="F5104" s="9"/>
    </row>
    <row r="5105" ht="33.75" customHeight="1">
      <c r="A5105" s="7">
        <v>174.0</v>
      </c>
      <c r="B5105" s="9" t="s">
        <v>10405</v>
      </c>
      <c r="C5105" s="9" t="s">
        <v>2368</v>
      </c>
      <c r="D5105" s="9" t="s">
        <v>67</v>
      </c>
      <c r="E5105" s="6" t="s">
        <v>10415</v>
      </c>
      <c r="F5105" s="9"/>
    </row>
    <row r="5106" ht="33.75" customHeight="1">
      <c r="A5106" s="7">
        <v>174.0</v>
      </c>
      <c r="B5106" s="9" t="s">
        <v>10405</v>
      </c>
      <c r="C5106" s="9" t="s">
        <v>2368</v>
      </c>
      <c r="D5106" s="9" t="s">
        <v>71</v>
      </c>
      <c r="E5106" s="6" t="s">
        <v>10418</v>
      </c>
      <c r="F5106" s="9"/>
    </row>
    <row r="5107" ht="33.75" customHeight="1">
      <c r="A5107" s="7">
        <v>174.0</v>
      </c>
      <c r="B5107" s="9" t="s">
        <v>10405</v>
      </c>
      <c r="C5107" s="9" t="s">
        <v>2368</v>
      </c>
      <c r="D5107" s="9" t="s">
        <v>73</v>
      </c>
      <c r="E5107" s="6" t="s">
        <v>10420</v>
      </c>
      <c r="F5107" s="9"/>
    </row>
    <row r="5108" ht="33.75" customHeight="1">
      <c r="A5108" s="7">
        <v>174.0</v>
      </c>
      <c r="B5108" s="9" t="s">
        <v>10405</v>
      </c>
      <c r="C5108" s="9" t="s">
        <v>2368</v>
      </c>
      <c r="D5108" s="9" t="s">
        <v>75</v>
      </c>
      <c r="E5108" s="6" t="s">
        <v>10410</v>
      </c>
      <c r="F5108" s="9"/>
    </row>
    <row r="5109" ht="33.75" customHeight="1">
      <c r="A5109" s="7">
        <v>174.0</v>
      </c>
      <c r="B5109" s="9" t="s">
        <v>10405</v>
      </c>
      <c r="C5109" s="9" t="s">
        <v>2368</v>
      </c>
      <c r="D5109" s="9" t="s">
        <v>79</v>
      </c>
      <c r="E5109" s="6" t="s">
        <v>10407</v>
      </c>
      <c r="F5109" s="9"/>
    </row>
    <row r="5110" ht="33.75" customHeight="1">
      <c r="A5110" s="7">
        <v>174.0</v>
      </c>
      <c r="B5110" s="9" t="s">
        <v>10405</v>
      </c>
      <c r="C5110" s="9" t="s">
        <v>2368</v>
      </c>
      <c r="D5110" s="9" t="s">
        <v>81</v>
      </c>
      <c r="E5110" s="6" t="s">
        <v>10426</v>
      </c>
      <c r="F5110" s="9"/>
    </row>
    <row r="5111" ht="33.75" customHeight="1">
      <c r="A5111" s="7">
        <v>174.0</v>
      </c>
      <c r="B5111" s="9" t="s">
        <v>10405</v>
      </c>
      <c r="C5111" s="9" t="s">
        <v>2368</v>
      </c>
      <c r="D5111" s="9" t="s">
        <v>84</v>
      </c>
      <c r="E5111" s="6" t="s">
        <v>10426</v>
      </c>
      <c r="F5111" s="9"/>
    </row>
    <row r="5112" ht="33.75" customHeight="1">
      <c r="A5112" s="7">
        <v>174.0</v>
      </c>
      <c r="B5112" s="9" t="s">
        <v>10405</v>
      </c>
      <c r="C5112" s="9" t="s">
        <v>2368</v>
      </c>
      <c r="D5112" s="9" t="s">
        <v>87</v>
      </c>
      <c r="E5112" s="6" t="s">
        <v>10426</v>
      </c>
      <c r="F5112" s="9"/>
    </row>
    <row r="5113" ht="33.75" customHeight="1">
      <c r="A5113" s="7">
        <v>174.0</v>
      </c>
      <c r="B5113" s="9" t="s">
        <v>10405</v>
      </c>
      <c r="C5113" s="9" t="s">
        <v>2368</v>
      </c>
      <c r="D5113" s="9" t="s">
        <v>89</v>
      </c>
      <c r="E5113" s="6" t="s">
        <v>10407</v>
      </c>
      <c r="F5113" s="9"/>
    </row>
    <row r="5114" ht="33.75" customHeight="1">
      <c r="A5114" s="7">
        <v>174.0</v>
      </c>
      <c r="B5114" s="9" t="s">
        <v>10405</v>
      </c>
      <c r="C5114" s="9" t="s">
        <v>2368</v>
      </c>
      <c r="D5114" s="9" t="s">
        <v>91</v>
      </c>
      <c r="E5114" s="6" t="s">
        <v>10410</v>
      </c>
      <c r="F5114" s="9"/>
    </row>
    <row r="5115" ht="33.75" customHeight="1">
      <c r="A5115" s="7">
        <v>174.0</v>
      </c>
      <c r="B5115" s="9" t="s">
        <v>10405</v>
      </c>
      <c r="C5115" s="9" t="s">
        <v>2368</v>
      </c>
      <c r="D5115" s="9" t="s">
        <v>93</v>
      </c>
      <c r="E5115" s="6" t="s">
        <v>10426</v>
      </c>
      <c r="F5115" s="9"/>
    </row>
    <row r="5116" ht="33.75" customHeight="1">
      <c r="A5116" s="7">
        <v>174.0</v>
      </c>
      <c r="B5116" s="9" t="s">
        <v>10405</v>
      </c>
      <c r="C5116" s="9" t="s">
        <v>2368</v>
      </c>
      <c r="D5116" s="9" t="s">
        <v>95</v>
      </c>
      <c r="E5116" s="6" t="s">
        <v>10426</v>
      </c>
      <c r="F5116" s="9"/>
    </row>
    <row r="5117" ht="33.75" customHeight="1">
      <c r="A5117" s="7">
        <v>174.0</v>
      </c>
      <c r="B5117" s="9" t="s">
        <v>10405</v>
      </c>
      <c r="C5117" s="9" t="s">
        <v>2368</v>
      </c>
      <c r="D5117" s="9" t="s">
        <v>98</v>
      </c>
      <c r="E5117" s="6" t="s">
        <v>10438</v>
      </c>
      <c r="F5117" s="9"/>
    </row>
    <row r="5118" ht="33.75" customHeight="1">
      <c r="A5118" s="7">
        <v>174.0</v>
      </c>
      <c r="B5118" s="9" t="s">
        <v>10405</v>
      </c>
      <c r="C5118" s="9" t="s">
        <v>2368</v>
      </c>
      <c r="D5118" s="9" t="s">
        <v>99</v>
      </c>
      <c r="E5118" s="6" t="s">
        <v>10438</v>
      </c>
      <c r="F5118" s="9"/>
    </row>
    <row r="5119" ht="33.75" customHeight="1">
      <c r="A5119" s="7">
        <v>174.0</v>
      </c>
      <c r="B5119" s="9" t="s">
        <v>10405</v>
      </c>
      <c r="C5119" s="9" t="s">
        <v>2368</v>
      </c>
      <c r="D5119" s="9" t="s">
        <v>101</v>
      </c>
      <c r="E5119" s="6" t="s">
        <v>10413</v>
      </c>
      <c r="F5119" s="9"/>
    </row>
    <row r="5120" ht="33.75" customHeight="1">
      <c r="A5120" s="7">
        <v>174.0</v>
      </c>
      <c r="B5120" s="9" t="s">
        <v>10405</v>
      </c>
      <c r="C5120" s="9" t="s">
        <v>2368</v>
      </c>
      <c r="D5120" s="9" t="s">
        <v>105</v>
      </c>
      <c r="E5120" s="6" t="s">
        <v>10407</v>
      </c>
      <c r="F5120" s="9"/>
    </row>
    <row r="5121" ht="33.75" customHeight="1">
      <c r="A5121" s="7">
        <v>174.0</v>
      </c>
      <c r="B5121" s="9" t="s">
        <v>10405</v>
      </c>
      <c r="C5121" s="9" t="s">
        <v>2368</v>
      </c>
      <c r="D5121" s="9" t="s">
        <v>107</v>
      </c>
      <c r="E5121" s="6" t="s">
        <v>10449</v>
      </c>
      <c r="F5121" s="9"/>
    </row>
    <row r="5122" ht="33.75" customHeight="1">
      <c r="A5122" s="7">
        <v>174.0</v>
      </c>
      <c r="B5122" s="9" t="s">
        <v>10405</v>
      </c>
      <c r="C5122" s="9" t="s">
        <v>2368</v>
      </c>
      <c r="D5122" s="9" t="s">
        <v>109</v>
      </c>
      <c r="E5122" s="6" t="s">
        <v>10453</v>
      </c>
      <c r="F5122" s="9"/>
    </row>
    <row r="5123" ht="33.75" customHeight="1">
      <c r="A5123" s="7">
        <v>174.0</v>
      </c>
      <c r="B5123" s="9" t="s">
        <v>10405</v>
      </c>
      <c r="C5123" s="9" t="s">
        <v>2368</v>
      </c>
      <c r="D5123" s="9" t="s">
        <v>637</v>
      </c>
      <c r="E5123" s="6" t="s">
        <v>10457</v>
      </c>
      <c r="F5123" s="9"/>
    </row>
    <row r="5124" ht="33.75" customHeight="1">
      <c r="A5124" s="7">
        <v>174.0</v>
      </c>
      <c r="B5124" s="9" t="s">
        <v>10405</v>
      </c>
      <c r="C5124" s="9" t="s">
        <v>2368</v>
      </c>
      <c r="D5124" s="9" t="s">
        <v>642</v>
      </c>
      <c r="E5124" s="6" t="s">
        <v>10461</v>
      </c>
      <c r="F5124" s="9"/>
    </row>
    <row r="5125" ht="33.75" customHeight="1">
      <c r="A5125" s="7">
        <v>174.0</v>
      </c>
      <c r="B5125" s="9" t="s">
        <v>10405</v>
      </c>
      <c r="C5125" s="9" t="s">
        <v>2368</v>
      </c>
      <c r="D5125" s="9" t="s">
        <v>647</v>
      </c>
      <c r="E5125" s="6" t="s">
        <v>10464</v>
      </c>
      <c r="F5125" s="9"/>
    </row>
    <row r="5126" ht="33.75" customHeight="1">
      <c r="A5126" s="7">
        <v>174.0</v>
      </c>
      <c r="B5126" s="9" t="s">
        <v>10405</v>
      </c>
      <c r="C5126" s="9" t="s">
        <v>2368</v>
      </c>
      <c r="D5126" s="9" t="s">
        <v>652</v>
      </c>
      <c r="E5126" s="6" t="s">
        <v>10469</v>
      </c>
      <c r="F5126" s="9"/>
    </row>
    <row r="5127" ht="33.75" customHeight="1">
      <c r="A5127" s="7">
        <v>174.0</v>
      </c>
      <c r="B5127" s="9" t="s">
        <v>10405</v>
      </c>
      <c r="C5127" s="9" t="s">
        <v>2368</v>
      </c>
      <c r="D5127" s="9" t="s">
        <v>114</v>
      </c>
      <c r="E5127" s="6" t="s">
        <v>10472</v>
      </c>
      <c r="F5127" s="9"/>
    </row>
    <row r="5128" ht="33.75" customHeight="1">
      <c r="A5128" s="7">
        <v>174.0</v>
      </c>
      <c r="B5128" s="9" t="s">
        <v>10405</v>
      </c>
      <c r="C5128" s="9" t="s">
        <v>2368</v>
      </c>
      <c r="D5128" s="9" t="s">
        <v>117</v>
      </c>
      <c r="E5128" s="6" t="s">
        <v>10477</v>
      </c>
      <c r="F5128" s="9"/>
    </row>
    <row r="5129" ht="33.75" customHeight="1">
      <c r="A5129" s="7">
        <v>175.0</v>
      </c>
      <c r="B5129" s="9" t="s">
        <v>10479</v>
      </c>
      <c r="C5129" s="9" t="s">
        <v>10480</v>
      </c>
      <c r="D5129" s="9" t="s">
        <v>52</v>
      </c>
      <c r="E5129" s="6" t="s">
        <v>10482</v>
      </c>
      <c r="F5129" t="inlineStr" s="10">
        <is>
          <t xml:space="preserve">Simpukankuori näyttää olevan täynnä iloa. Sanotaan, että se jakaa onnea, kun sitä kohdellaan ystävällisesti. Sananlasku sanoo, että onni saavuttaa sen, joka pystyy nostamaan nukkuvan togepin ylös. Sitä pidetään onnen symbolina. Sen kuoren sanotaan olevan täynnä onnellisuutta. Energianaan TOGEPI käyttää ihmisten ja POKéMONien huokumia myötätunnon ja mielihyvän positiivisia tunteita. Tämä POKéMON varastoi onnellisuuden tunteita kuoreensa ja jakaa ne sitten muiden kanssa. Energianaan se käyttää ihmisten ja POKéMONien huokumia myötätunnon ja mielihyvän tunteita. Se varastoi onnellisuuden tunteita kuoreensa ja jakaa ne sitten eteenpäin. Sananlasku väittää, että onni tulee sille, joka saa nukkuvan TOGEPI:n nousemaan seisomaan. Sen kuoren sanotaan olevan täynnä onnea, jota se jakaa hyväsydämisten ihmisten kanssa. Se muuttaa muiden ystävällisyyden ja ilon onnellisuudeksi, jonka se varastoi kuoreensa. Sananlasku väittää, että onni tulee sille, joka saa nukkuvan Togepin nousemaan ylös. Energianaan Togepi käyttää ihmisten ja Pokémonien huokumia myötätunnon ja nautinnon positiivisia tunteita. Tämä soikea olento sekoitetaan usein liikkuvaan munaan, kun se nähdään pelloilla tai vuorilla. Sen vilpitön hymy rauhoittaa sielua.</t>
        </is>
      </c>
    </row>
    <row r="5130" ht="33.75" customHeight="1">
      <c r="A5130" s="7">
        <v>175.0</v>
      </c>
      <c r="B5130" s="9" t="s">
        <v>10479</v>
      </c>
      <c r="C5130" s="9" t="s">
        <v>10480</v>
      </c>
      <c r="D5130" s="9" t="s">
        <v>59</v>
      </c>
      <c r="E5130" s="6" t="s">
        <v>10486</v>
      </c>
      <c r="F5130" s="9"/>
    </row>
    <row r="5131" ht="33.75" customHeight="1">
      <c r="A5131" s="7">
        <v>175.0</v>
      </c>
      <c r="B5131" s="9" t="s">
        <v>10479</v>
      </c>
      <c r="C5131" s="9" t="s">
        <v>10480</v>
      </c>
      <c r="D5131" s="9" t="s">
        <v>64</v>
      </c>
      <c r="E5131" s="6" t="s">
        <v>10489</v>
      </c>
      <c r="F5131" s="9"/>
    </row>
    <row r="5132" ht="33.75" customHeight="1">
      <c r="A5132" s="7">
        <v>175.0</v>
      </c>
      <c r="B5132" s="9" t="s">
        <v>10479</v>
      </c>
      <c r="C5132" s="9" t="s">
        <v>10480</v>
      </c>
      <c r="D5132" s="9" t="s">
        <v>67</v>
      </c>
      <c r="E5132" s="6" t="s">
        <v>10493</v>
      </c>
      <c r="F5132" s="9"/>
    </row>
    <row r="5133" ht="33.75" customHeight="1">
      <c r="A5133" s="7">
        <v>175.0</v>
      </c>
      <c r="B5133" s="9" t="s">
        <v>10479</v>
      </c>
      <c r="C5133" s="9" t="s">
        <v>10480</v>
      </c>
      <c r="D5133" s="9" t="s">
        <v>71</v>
      </c>
      <c r="E5133" s="6" t="s">
        <v>10493</v>
      </c>
      <c r="F5133" s="9"/>
    </row>
    <row r="5134" ht="33.75" customHeight="1">
      <c r="A5134" s="7">
        <v>175.0</v>
      </c>
      <c r="B5134" s="9" t="s">
        <v>10479</v>
      </c>
      <c r="C5134" s="9" t="s">
        <v>10480</v>
      </c>
      <c r="D5134" s="9" t="s">
        <v>73</v>
      </c>
      <c r="E5134" s="6" t="s">
        <v>10497</v>
      </c>
      <c r="F5134" s="9"/>
    </row>
    <row r="5135" ht="33.75" customHeight="1">
      <c r="A5135" s="7">
        <v>175.0</v>
      </c>
      <c r="B5135" s="9" t="s">
        <v>10479</v>
      </c>
      <c r="C5135" s="9" t="s">
        <v>10480</v>
      </c>
      <c r="D5135" s="9" t="s">
        <v>75</v>
      </c>
      <c r="E5135" s="6" t="s">
        <v>10498</v>
      </c>
      <c r="F5135" s="9"/>
    </row>
    <row r="5136" ht="33.75" customHeight="1">
      <c r="A5136" s="7">
        <v>175.0</v>
      </c>
      <c r="B5136" s="9" t="s">
        <v>10479</v>
      </c>
      <c r="C5136" s="9" t="s">
        <v>10480</v>
      </c>
      <c r="D5136" s="9" t="s">
        <v>79</v>
      </c>
      <c r="E5136" s="6" t="s">
        <v>10482</v>
      </c>
      <c r="F5136" s="9"/>
    </row>
    <row r="5137" ht="33.75" customHeight="1">
      <c r="A5137" s="7">
        <v>175.0</v>
      </c>
      <c r="B5137" s="9" t="s">
        <v>10479</v>
      </c>
      <c r="C5137" s="9" t="s">
        <v>10480</v>
      </c>
      <c r="D5137" s="9" t="s">
        <v>81</v>
      </c>
      <c r="E5137" s="6" t="s">
        <v>10501</v>
      </c>
      <c r="F5137" s="9"/>
    </row>
    <row r="5138" ht="33.75" customHeight="1">
      <c r="A5138" s="7">
        <v>175.0</v>
      </c>
      <c r="B5138" s="9" t="s">
        <v>10479</v>
      </c>
      <c r="C5138" s="9" t="s">
        <v>10480</v>
      </c>
      <c r="D5138" s="9" t="s">
        <v>84</v>
      </c>
      <c r="E5138" s="6" t="s">
        <v>10501</v>
      </c>
      <c r="F5138" s="9"/>
    </row>
    <row r="5139" ht="33.75" customHeight="1">
      <c r="A5139" s="7">
        <v>175.0</v>
      </c>
      <c r="B5139" s="9" t="s">
        <v>10479</v>
      </c>
      <c r="C5139" s="9" t="s">
        <v>10480</v>
      </c>
      <c r="D5139" s="9" t="s">
        <v>87</v>
      </c>
      <c r="E5139" s="6" t="s">
        <v>10503</v>
      </c>
      <c r="F5139" s="9"/>
    </row>
    <row r="5140" ht="33.75" customHeight="1">
      <c r="A5140" s="7">
        <v>175.0</v>
      </c>
      <c r="B5140" s="9" t="s">
        <v>10479</v>
      </c>
      <c r="C5140" s="9" t="s">
        <v>10480</v>
      </c>
      <c r="D5140" s="9" t="s">
        <v>89</v>
      </c>
      <c r="E5140" s="6" t="s">
        <v>10482</v>
      </c>
      <c r="F5140" s="9"/>
    </row>
    <row r="5141" ht="33.75" customHeight="1">
      <c r="A5141" s="7">
        <v>175.0</v>
      </c>
      <c r="B5141" s="9" t="s">
        <v>10479</v>
      </c>
      <c r="C5141" s="9" t="s">
        <v>10480</v>
      </c>
      <c r="D5141" s="9" t="s">
        <v>91</v>
      </c>
      <c r="E5141" s="6" t="s">
        <v>10498</v>
      </c>
      <c r="F5141" s="9"/>
    </row>
    <row r="5142" ht="33.75" customHeight="1">
      <c r="A5142" s="7">
        <v>175.0</v>
      </c>
      <c r="B5142" s="9" t="s">
        <v>10479</v>
      </c>
      <c r="C5142" s="9" t="s">
        <v>10480</v>
      </c>
      <c r="D5142" s="9" t="s">
        <v>93</v>
      </c>
      <c r="E5142" s="6" t="s">
        <v>10503</v>
      </c>
      <c r="F5142" s="9"/>
    </row>
    <row r="5143" ht="33.75" customHeight="1">
      <c r="A5143" s="7">
        <v>175.0</v>
      </c>
      <c r="B5143" s="9" t="s">
        <v>10479</v>
      </c>
      <c r="C5143" s="9" t="s">
        <v>10480</v>
      </c>
      <c r="D5143" s="9" t="s">
        <v>95</v>
      </c>
      <c r="E5143" s="6" t="s">
        <v>10503</v>
      </c>
      <c r="F5143" s="9"/>
    </row>
    <row r="5144" ht="33.75" customHeight="1">
      <c r="A5144" s="7">
        <v>175.0</v>
      </c>
      <c r="B5144" s="9" t="s">
        <v>10479</v>
      </c>
      <c r="C5144" s="9" t="s">
        <v>10480</v>
      </c>
      <c r="D5144" s="9" t="s">
        <v>98</v>
      </c>
      <c r="E5144" s="6" t="s">
        <v>10503</v>
      </c>
      <c r="F5144" s="9"/>
    </row>
    <row r="5145" ht="33.75" customHeight="1">
      <c r="A5145" s="7">
        <v>175.0</v>
      </c>
      <c r="B5145" s="9" t="s">
        <v>10479</v>
      </c>
      <c r="C5145" s="9" t="s">
        <v>10480</v>
      </c>
      <c r="D5145" s="9" t="s">
        <v>99</v>
      </c>
      <c r="E5145" s="6" t="s">
        <v>10503</v>
      </c>
      <c r="F5145" s="9"/>
    </row>
    <row r="5146" ht="33.75" customHeight="1">
      <c r="A5146" s="7">
        <v>175.0</v>
      </c>
      <c r="B5146" s="9" t="s">
        <v>10479</v>
      </c>
      <c r="C5146" s="9" t="s">
        <v>10480</v>
      </c>
      <c r="D5146" s="9" t="s">
        <v>101</v>
      </c>
      <c r="E5146" s="6" t="s">
        <v>10482</v>
      </c>
      <c r="F5146" s="9"/>
    </row>
    <row r="5147" ht="33.75" customHeight="1">
      <c r="A5147" s="7">
        <v>175.0</v>
      </c>
      <c r="B5147" s="9" t="s">
        <v>10479</v>
      </c>
      <c r="C5147" s="9" t="s">
        <v>10480</v>
      </c>
      <c r="D5147" s="9" t="s">
        <v>105</v>
      </c>
      <c r="E5147" s="6" t="s">
        <v>10512</v>
      </c>
      <c r="F5147" s="9"/>
    </row>
    <row r="5148" ht="33.75" customHeight="1">
      <c r="A5148" s="7">
        <v>175.0</v>
      </c>
      <c r="B5148" s="9" t="s">
        <v>10479</v>
      </c>
      <c r="C5148" s="9" t="s">
        <v>10480</v>
      </c>
      <c r="D5148" s="9" t="s">
        <v>107</v>
      </c>
      <c r="E5148" s="6" t="s">
        <v>10514</v>
      </c>
      <c r="F5148" s="9"/>
    </row>
    <row r="5149" ht="33.75" customHeight="1">
      <c r="A5149" s="7">
        <v>175.0</v>
      </c>
      <c r="B5149" s="9" t="s">
        <v>10479</v>
      </c>
      <c r="C5149" s="9" t="s">
        <v>10480</v>
      </c>
      <c r="D5149" s="9" t="s">
        <v>109</v>
      </c>
      <c r="E5149" s="6" t="s">
        <v>10514</v>
      </c>
      <c r="F5149" s="9"/>
    </row>
    <row r="5150" ht="33.75" customHeight="1">
      <c r="A5150" s="7">
        <v>175.0</v>
      </c>
      <c r="B5150" s="9" t="s">
        <v>10479</v>
      </c>
      <c r="C5150" s="9" t="s">
        <v>10480</v>
      </c>
      <c r="D5150" s="9" t="s">
        <v>114</v>
      </c>
      <c r="E5150" s="6" t="s">
        <v>10482</v>
      </c>
      <c r="F5150" s="9"/>
    </row>
    <row r="5151" ht="33.75" customHeight="1">
      <c r="A5151" s="7">
        <v>175.0</v>
      </c>
      <c r="B5151" s="9" t="s">
        <v>10479</v>
      </c>
      <c r="C5151" s="9" t="s">
        <v>10480</v>
      </c>
      <c r="D5151" s="9" t="s">
        <v>117</v>
      </c>
      <c r="E5151" s="6" t="s">
        <v>10489</v>
      </c>
      <c r="F5151" s="9"/>
    </row>
    <row r="5152" ht="33.75" customHeight="1">
      <c r="A5152" s="7">
        <v>175.0</v>
      </c>
      <c r="B5152" s="9" t="s">
        <v>10479</v>
      </c>
      <c r="C5152" s="9" t="s">
        <v>10480</v>
      </c>
      <c r="D5152" s="9" t="s">
        <v>1577</v>
      </c>
      <c r="E5152" s="6" t="s">
        <v>10520</v>
      </c>
      <c r="F5152" s="9"/>
    </row>
    <row r="5153" ht="33.75" customHeight="1">
      <c r="A5153" s="7">
        <v>176.0</v>
      </c>
      <c r="B5153" s="9" t="s">
        <v>10522</v>
      </c>
      <c r="C5153" s="9" t="s">
        <v>10523</v>
      </c>
      <c r="D5153" s="9" t="s">
        <v>52</v>
      </c>
      <c r="E5153" s="6" t="s">
        <v>10524</v>
      </c>
      <c r="F5153" t="inlineStr" s="10">
        <is>
          <t xml:space="preserve">He sanovat, että se ilmestyy hyväsydämisten ja huolehtivien ihmisten eteen ja hukuttaa heidät onnellisuuteen. Se masentuu, jos se ei ole ystävällisten ihmisten seurassa. Se voi leijua ilmassa liikauttamatta siipiään. Vaikka se ei räpyttele siipiään paljon, se pysyy ilmassa seuratessaan kouluttajaansa. TOGETICin sanotaan olevan onnea tuova POKéMON. Kun POKéMON havaitsee puhdassydämisen henkilön, sen sanotaan ilmestyvän ja jakavan onnensa kyseisen henkilön kanssa. Sen sanotaan olevan onnea tuova POKéMON. Kun se havaitsee puhdassydämisen ihmisen, TOGETIC ilmestyy ja jakaa onnensa kyseisen henkilön kanssa. He sanovat, että se ilmestyy hyväsydämisten, välittävien ihmisten eteen ja suihkuttaa heidät onnellisuuteen. Sen sanotaan ilmestyvän ystävällisten ihmisten eteen levittämään hehkuvaa untuvaa, jota kutsutaan "ilopölyksi". Jakaakseen onneaan se lentää ympäri maailmaa etsien hyväsydämisiä ihmisiä. Togeticin näkemisestä luonnossa ei ole tietoja. Huhujen mukaan se kehittyy luotettavan ihmiskumppanin rakastavan hoivan alaisena, jolle Pokémon sitten tuo suurta iloa.</t>
        </is>
      </c>
    </row>
    <row r="5154" ht="33.75" customHeight="1">
      <c r="A5154" s="7">
        <v>176.0</v>
      </c>
      <c r="B5154" s="9" t="s">
        <v>10522</v>
      </c>
      <c r="C5154" s="9" t="s">
        <v>10523</v>
      </c>
      <c r="D5154" s="9" t="s">
        <v>59</v>
      </c>
      <c r="E5154" s="6" t="s">
        <v>10527</v>
      </c>
      <c r="F5154" s="9"/>
    </row>
    <row r="5155" ht="33.75" customHeight="1">
      <c r="A5155" s="7">
        <v>176.0</v>
      </c>
      <c r="B5155" s="9" t="s">
        <v>10522</v>
      </c>
      <c r="C5155" s="9" t="s">
        <v>10523</v>
      </c>
      <c r="D5155" s="9" t="s">
        <v>64</v>
      </c>
      <c r="E5155" s="6" t="s">
        <v>10530</v>
      </c>
      <c r="F5155" s="9"/>
    </row>
    <row r="5156" ht="33.75" customHeight="1">
      <c r="A5156" s="7">
        <v>176.0</v>
      </c>
      <c r="B5156" s="9" t="s">
        <v>10522</v>
      </c>
      <c r="C5156" s="9" t="s">
        <v>10523</v>
      </c>
      <c r="D5156" s="9" t="s">
        <v>67</v>
      </c>
      <c r="E5156" s="6" t="s">
        <v>10532</v>
      </c>
      <c r="F5156" s="9"/>
    </row>
    <row r="5157" ht="33.75" customHeight="1">
      <c r="A5157" s="7">
        <v>176.0</v>
      </c>
      <c r="B5157" s="9" t="s">
        <v>10522</v>
      </c>
      <c r="C5157" s="9" t="s">
        <v>10523</v>
      </c>
      <c r="D5157" s="9" t="s">
        <v>71</v>
      </c>
      <c r="E5157" s="6" t="s">
        <v>10532</v>
      </c>
      <c r="F5157" s="9"/>
    </row>
    <row r="5158" ht="33.75" customHeight="1">
      <c r="A5158" s="7">
        <v>176.0</v>
      </c>
      <c r="B5158" s="9" t="s">
        <v>10522</v>
      </c>
      <c r="C5158" s="9" t="s">
        <v>10523</v>
      </c>
      <c r="D5158" s="9" t="s">
        <v>73</v>
      </c>
      <c r="E5158" s="6" t="s">
        <v>10536</v>
      </c>
      <c r="F5158" s="9"/>
    </row>
    <row r="5159" ht="33.75" customHeight="1">
      <c r="A5159" s="7">
        <v>176.0</v>
      </c>
      <c r="B5159" s="9" t="s">
        <v>10522</v>
      </c>
      <c r="C5159" s="9" t="s">
        <v>10523</v>
      </c>
      <c r="D5159" s="9" t="s">
        <v>75</v>
      </c>
      <c r="E5159" s="6" t="s">
        <v>10527</v>
      </c>
      <c r="F5159" s="9"/>
    </row>
    <row r="5160" ht="33.75" customHeight="1">
      <c r="A5160" s="7">
        <v>176.0</v>
      </c>
      <c r="B5160" s="9" t="s">
        <v>10522</v>
      </c>
      <c r="C5160" s="9" t="s">
        <v>10523</v>
      </c>
      <c r="D5160" s="9" t="s">
        <v>79</v>
      </c>
      <c r="E5160" s="6" t="s">
        <v>10540</v>
      </c>
      <c r="F5160" s="9"/>
    </row>
    <row r="5161" ht="33.75" customHeight="1">
      <c r="A5161" s="7">
        <v>176.0</v>
      </c>
      <c r="B5161" s="9" t="s">
        <v>10522</v>
      </c>
      <c r="C5161" s="9" t="s">
        <v>10523</v>
      </c>
      <c r="D5161" s="9" t="s">
        <v>81</v>
      </c>
      <c r="E5161" s="6" t="s">
        <v>10541</v>
      </c>
      <c r="F5161" s="9"/>
    </row>
    <row r="5162" ht="33.75" customHeight="1">
      <c r="A5162" s="7">
        <v>176.0</v>
      </c>
      <c r="B5162" s="9" t="s">
        <v>10522</v>
      </c>
      <c r="C5162" s="9" t="s">
        <v>10523</v>
      </c>
      <c r="D5162" s="9" t="s">
        <v>84</v>
      </c>
      <c r="E5162" s="6" t="s">
        <v>10541</v>
      </c>
      <c r="F5162" s="9"/>
    </row>
    <row r="5163" ht="33.75" customHeight="1">
      <c r="A5163" s="7">
        <v>176.0</v>
      </c>
      <c r="B5163" s="9" t="s">
        <v>10522</v>
      </c>
      <c r="C5163" s="9" t="s">
        <v>10523</v>
      </c>
      <c r="D5163" s="9" t="s">
        <v>87</v>
      </c>
      <c r="E5163" s="6" t="s">
        <v>10543</v>
      </c>
      <c r="F5163" s="9"/>
    </row>
    <row r="5164" ht="33.75" customHeight="1">
      <c r="A5164" s="7">
        <v>176.0</v>
      </c>
      <c r="B5164" s="9" t="s">
        <v>10522</v>
      </c>
      <c r="C5164" s="9" t="s">
        <v>10523</v>
      </c>
      <c r="D5164" s="9" t="s">
        <v>89</v>
      </c>
      <c r="E5164" s="6" t="s">
        <v>10540</v>
      </c>
      <c r="F5164" s="9"/>
    </row>
    <row r="5165" ht="33.75" customHeight="1">
      <c r="A5165" s="7">
        <v>176.0</v>
      </c>
      <c r="B5165" s="9" t="s">
        <v>10522</v>
      </c>
      <c r="C5165" s="9" t="s">
        <v>10523</v>
      </c>
      <c r="D5165" s="9" t="s">
        <v>91</v>
      </c>
      <c r="E5165" s="6" t="s">
        <v>10527</v>
      </c>
      <c r="F5165" s="9"/>
    </row>
    <row r="5166" ht="33.75" customHeight="1">
      <c r="A5166" s="7">
        <v>176.0</v>
      </c>
      <c r="B5166" s="9" t="s">
        <v>10522</v>
      </c>
      <c r="C5166" s="9" t="s">
        <v>10523</v>
      </c>
      <c r="D5166" s="9" t="s">
        <v>93</v>
      </c>
      <c r="E5166" s="6" t="s">
        <v>10543</v>
      </c>
      <c r="F5166" s="9"/>
    </row>
    <row r="5167" ht="33.75" customHeight="1">
      <c r="A5167" s="7">
        <v>176.0</v>
      </c>
      <c r="B5167" s="9" t="s">
        <v>10522</v>
      </c>
      <c r="C5167" s="9" t="s">
        <v>10523</v>
      </c>
      <c r="D5167" s="9" t="s">
        <v>95</v>
      </c>
      <c r="E5167" s="6" t="s">
        <v>10543</v>
      </c>
      <c r="F5167" s="9"/>
    </row>
    <row r="5168" ht="33.75" customHeight="1">
      <c r="A5168" s="7">
        <v>176.0</v>
      </c>
      <c r="B5168" s="9" t="s">
        <v>10522</v>
      </c>
      <c r="C5168" s="9" t="s">
        <v>10523</v>
      </c>
      <c r="D5168" s="9" t="s">
        <v>98</v>
      </c>
      <c r="E5168" s="6" t="s">
        <v>10543</v>
      </c>
      <c r="F5168" s="9"/>
    </row>
    <row r="5169" ht="33.75" customHeight="1">
      <c r="A5169" s="7">
        <v>176.0</v>
      </c>
      <c r="B5169" s="9" t="s">
        <v>10522</v>
      </c>
      <c r="C5169" s="9" t="s">
        <v>10523</v>
      </c>
      <c r="D5169" s="9" t="s">
        <v>99</v>
      </c>
      <c r="E5169" s="6" t="s">
        <v>10543</v>
      </c>
      <c r="F5169" s="9"/>
    </row>
    <row r="5170" ht="33.75" customHeight="1">
      <c r="A5170" s="7">
        <v>176.0</v>
      </c>
      <c r="B5170" s="9" t="s">
        <v>10522</v>
      </c>
      <c r="C5170" s="9" t="s">
        <v>10523</v>
      </c>
      <c r="D5170" s="9" t="s">
        <v>101</v>
      </c>
      <c r="E5170" s="6" t="s">
        <v>10527</v>
      </c>
      <c r="F5170" s="9"/>
    </row>
    <row r="5171" ht="33.75" customHeight="1">
      <c r="A5171" s="7">
        <v>176.0</v>
      </c>
      <c r="B5171" s="9" t="s">
        <v>10522</v>
      </c>
      <c r="C5171" s="9" t="s">
        <v>10523</v>
      </c>
      <c r="D5171" s="9" t="s">
        <v>105</v>
      </c>
      <c r="E5171" s="6" t="s">
        <v>10540</v>
      </c>
      <c r="F5171" s="9"/>
    </row>
    <row r="5172" ht="33.75" customHeight="1">
      <c r="A5172" s="7">
        <v>176.0</v>
      </c>
      <c r="B5172" s="9" t="s">
        <v>10522</v>
      </c>
      <c r="C5172" s="9" t="s">
        <v>10523</v>
      </c>
      <c r="D5172" s="9" t="s">
        <v>107</v>
      </c>
      <c r="E5172" s="6" t="s">
        <v>10566</v>
      </c>
      <c r="F5172" s="9"/>
    </row>
    <row r="5173" ht="33.75" customHeight="1">
      <c r="A5173" s="7">
        <v>176.0</v>
      </c>
      <c r="B5173" s="9" t="s">
        <v>10522</v>
      </c>
      <c r="C5173" s="9" t="s">
        <v>10523</v>
      </c>
      <c r="D5173" s="9" t="s">
        <v>109</v>
      </c>
      <c r="E5173" s="6" t="s">
        <v>10566</v>
      </c>
      <c r="F5173" s="9"/>
    </row>
    <row r="5174" ht="33.75" customHeight="1">
      <c r="A5174" s="7">
        <v>176.0</v>
      </c>
      <c r="B5174" s="9" t="s">
        <v>10522</v>
      </c>
      <c r="C5174" s="9" t="s">
        <v>10523</v>
      </c>
      <c r="D5174" s="9" t="s">
        <v>114</v>
      </c>
      <c r="E5174" s="6" t="s">
        <v>10540</v>
      </c>
      <c r="F5174" s="9"/>
    </row>
    <row r="5175" ht="33.75" customHeight="1">
      <c r="A5175" s="7">
        <v>176.0</v>
      </c>
      <c r="B5175" s="9" t="s">
        <v>10522</v>
      </c>
      <c r="C5175" s="9" t="s">
        <v>10523</v>
      </c>
      <c r="D5175" s="9" t="s">
        <v>117</v>
      </c>
      <c r="E5175" s="6" t="s">
        <v>10527</v>
      </c>
      <c r="F5175" s="9"/>
    </row>
    <row r="5176" ht="33.75" customHeight="1">
      <c r="A5176" s="7">
        <v>176.0</v>
      </c>
      <c r="B5176" s="9" t="s">
        <v>10522</v>
      </c>
      <c r="C5176" s="9" t="s">
        <v>10523</v>
      </c>
      <c r="D5176" s="9" t="s">
        <v>1577</v>
      </c>
      <c r="E5176" s="6" t="s">
        <v>10573</v>
      </c>
      <c r="F5176" s="9"/>
    </row>
    <row r="5177" ht="33.75" customHeight="1">
      <c r="A5177" s="7">
        <v>177.0</v>
      </c>
      <c r="B5177" s="9" t="s">
        <v>10575</v>
      </c>
      <c r="C5177" s="9" t="s">
        <v>1041</v>
      </c>
      <c r="D5177" s="9" t="s">
        <v>52</v>
      </c>
      <c r="E5177" s="6" t="s">
        <v>10577</v>
      </c>
      <c r="F5177" t="inlineStr" s="10">
        <is>
          <t xml:space="preserve">Koska Natun siivet eivät ole vielä täysin kasvaneet, sen täytyy hypätä liikkuakseen. Se tuijottaa aina jotakin. Se yleensä etsii ravintoa maasta, mutta voi harvinaisissa tapauksissa hypätä oksille nokkimaan versoja. Se on erittäin hyvä kiipeilemään puunrunkoja ja syö mielellään puiden uusia versoja. NATU ei voi lentää, koska sen siivet eivät ole vielä täysin kasvaneet. Jos katseesi kohtaavat tämän POKéMONin silmät, se tuijottaa sinua takaisin intensiivisesti. Mutta jos liikut vähänkään, se hyppää turvaan. NATUlla on erittäin kehittynyt hyppykyky. POKéMON räpyttelee ja hyppää aikuista pidemmille puiden oksille nyppiäkseen puun uusia versoja. Se kiipeää savannilla kasvavien lyhyiden puiden latvoihin nokkimaan uusia versoja. NATUn silmät näyttävät siltä kuin ne tarkkailisivat jatkuvasti jotakin. Se poimii ruokaa kaktuksista, väistäen taitavasti silmuja ja piikkejä. Se näyttää hyppivän liikkuessaan. Jos katseesi kohtaavat tämän Pokémonin silmien, se tuijottaa sinua takaisin intensiivisesti. Pokémon räpyttelee ja hyppää aikuisia pidemmille puiden oksille nyppiäkseen puun uusia versoja. Vaikka se ei vieläkään osaa lentää, sen hyppyvoima on huomattava. Se hyppää korkealle puihin ja nyppii silmuja oksista. Sen katse antaa vaikutelman, että se tarkkailee sinua tarkasti. Jos lähestyt sitä, Natu hyppää pois.</t>
        </is>
      </c>
    </row>
    <row r="5178" ht="33.75" customHeight="1">
      <c r="A5178" s="7">
        <v>177.0</v>
      </c>
      <c r="B5178" s="9" t="s">
        <v>10575</v>
      </c>
      <c r="C5178" s="9" t="s">
        <v>1041</v>
      </c>
      <c r="D5178" s="9" t="s">
        <v>59</v>
      </c>
      <c r="E5178" s="6" t="s">
        <v>10578</v>
      </c>
      <c r="F5178" s="9"/>
    </row>
    <row r="5179" ht="33.75" customHeight="1">
      <c r="A5179" s="7">
        <v>177.0</v>
      </c>
      <c r="B5179" s="9" t="s">
        <v>10575</v>
      </c>
      <c r="C5179" s="9" t="s">
        <v>1041</v>
      </c>
      <c r="D5179" s="9" t="s">
        <v>64</v>
      </c>
      <c r="E5179" s="6" t="s">
        <v>10580</v>
      </c>
      <c r="F5179" s="9"/>
    </row>
    <row r="5180" ht="33.75" customHeight="1">
      <c r="A5180" s="7">
        <v>177.0</v>
      </c>
      <c r="B5180" s="9" t="s">
        <v>10575</v>
      </c>
      <c r="C5180" s="9" t="s">
        <v>1041</v>
      </c>
      <c r="D5180" s="9" t="s">
        <v>67</v>
      </c>
      <c r="E5180" s="6" t="s">
        <v>10584</v>
      </c>
      <c r="F5180" s="9"/>
    </row>
    <row r="5181" ht="33.75" customHeight="1">
      <c r="A5181" s="7">
        <v>177.0</v>
      </c>
      <c r="B5181" s="9" t="s">
        <v>10575</v>
      </c>
      <c r="C5181" s="9" t="s">
        <v>1041</v>
      </c>
      <c r="D5181" s="9" t="s">
        <v>71</v>
      </c>
      <c r="E5181" s="6" t="s">
        <v>10586</v>
      </c>
      <c r="F5181" s="9"/>
    </row>
    <row r="5182" ht="33.75" customHeight="1">
      <c r="A5182" s="7">
        <v>177.0</v>
      </c>
      <c r="B5182" s="9" t="s">
        <v>10575</v>
      </c>
      <c r="C5182" s="9" t="s">
        <v>1041</v>
      </c>
      <c r="D5182" s="9" t="s">
        <v>73</v>
      </c>
      <c r="E5182" s="6" t="s">
        <v>10588</v>
      </c>
      <c r="F5182" s="9"/>
    </row>
    <row r="5183" ht="33.75" customHeight="1">
      <c r="A5183" s="7">
        <v>177.0</v>
      </c>
      <c r="B5183" s="9" t="s">
        <v>10575</v>
      </c>
      <c r="C5183" s="9" t="s">
        <v>1041</v>
      </c>
      <c r="D5183" s="9" t="s">
        <v>75</v>
      </c>
      <c r="E5183" s="6" t="s">
        <v>10578</v>
      </c>
      <c r="F5183" s="9"/>
    </row>
    <row r="5184" ht="33.75" customHeight="1">
      <c r="A5184" s="7">
        <v>177.0</v>
      </c>
      <c r="B5184" s="9" t="s">
        <v>10575</v>
      </c>
      <c r="C5184" s="9" t="s">
        <v>1041</v>
      </c>
      <c r="D5184" s="9" t="s">
        <v>79</v>
      </c>
      <c r="E5184" s="6" t="s">
        <v>10577</v>
      </c>
      <c r="F5184" s="9"/>
    </row>
    <row r="5185" ht="33.75" customHeight="1">
      <c r="A5185" s="7">
        <v>177.0</v>
      </c>
      <c r="B5185" s="9" t="s">
        <v>10575</v>
      </c>
      <c r="C5185" s="9" t="s">
        <v>1041</v>
      </c>
      <c r="D5185" s="9" t="s">
        <v>81</v>
      </c>
      <c r="E5185" s="6" t="s">
        <v>10595</v>
      </c>
      <c r="F5185" s="9"/>
    </row>
    <row r="5186" ht="33.75" customHeight="1">
      <c r="A5186" s="7">
        <v>177.0</v>
      </c>
      <c r="B5186" s="9" t="s">
        <v>10575</v>
      </c>
      <c r="C5186" s="9" t="s">
        <v>1041</v>
      </c>
      <c r="D5186" s="9" t="s">
        <v>84</v>
      </c>
      <c r="E5186" s="6" t="s">
        <v>10595</v>
      </c>
      <c r="F5186" s="9"/>
    </row>
    <row r="5187" ht="33.75" customHeight="1">
      <c r="A5187" s="7">
        <v>177.0</v>
      </c>
      <c r="B5187" s="9" t="s">
        <v>10575</v>
      </c>
      <c r="C5187" s="9" t="s">
        <v>1041</v>
      </c>
      <c r="D5187" s="9" t="s">
        <v>87</v>
      </c>
      <c r="E5187" s="6" t="s">
        <v>10595</v>
      </c>
      <c r="F5187" s="9"/>
    </row>
    <row r="5188" ht="33.75" customHeight="1">
      <c r="A5188" s="7">
        <v>177.0</v>
      </c>
      <c r="B5188" s="9" t="s">
        <v>10575</v>
      </c>
      <c r="C5188" s="9" t="s">
        <v>1041</v>
      </c>
      <c r="D5188" s="9" t="s">
        <v>89</v>
      </c>
      <c r="E5188" s="6" t="s">
        <v>10577</v>
      </c>
      <c r="F5188" s="9"/>
    </row>
    <row r="5189" ht="33.75" customHeight="1">
      <c r="A5189" s="7">
        <v>177.0</v>
      </c>
      <c r="B5189" s="9" t="s">
        <v>10575</v>
      </c>
      <c r="C5189" s="9" t="s">
        <v>1041</v>
      </c>
      <c r="D5189" s="9" t="s">
        <v>91</v>
      </c>
      <c r="E5189" s="6" t="s">
        <v>10578</v>
      </c>
      <c r="F5189" s="9"/>
    </row>
    <row r="5190" ht="33.75" customHeight="1">
      <c r="A5190" s="7">
        <v>177.0</v>
      </c>
      <c r="B5190" s="9" t="s">
        <v>10575</v>
      </c>
      <c r="C5190" s="9" t="s">
        <v>1041</v>
      </c>
      <c r="D5190" s="9" t="s">
        <v>93</v>
      </c>
      <c r="E5190" s="6" t="s">
        <v>10595</v>
      </c>
      <c r="F5190" s="9"/>
    </row>
    <row r="5191" ht="33.75" customHeight="1">
      <c r="A5191" s="7">
        <v>177.0</v>
      </c>
      <c r="B5191" s="9" t="s">
        <v>10575</v>
      </c>
      <c r="C5191" s="9" t="s">
        <v>1041</v>
      </c>
      <c r="D5191" s="9" t="s">
        <v>95</v>
      </c>
      <c r="E5191" s="6" t="s">
        <v>10595</v>
      </c>
      <c r="F5191" s="9"/>
    </row>
    <row r="5192" ht="33.75" customHeight="1">
      <c r="A5192" s="7">
        <v>177.0</v>
      </c>
      <c r="B5192" s="9" t="s">
        <v>10575</v>
      </c>
      <c r="C5192" s="9" t="s">
        <v>1041</v>
      </c>
      <c r="D5192" s="9" t="s">
        <v>98</v>
      </c>
      <c r="E5192" s="6" t="s">
        <v>10595</v>
      </c>
      <c r="F5192" s="9"/>
    </row>
    <row r="5193" ht="33.75" customHeight="1">
      <c r="A5193" s="7">
        <v>177.0</v>
      </c>
      <c r="B5193" s="9" t="s">
        <v>10575</v>
      </c>
      <c r="C5193" s="9" t="s">
        <v>1041</v>
      </c>
      <c r="D5193" s="9" t="s">
        <v>99</v>
      </c>
      <c r="E5193" s="6" t="s">
        <v>10595</v>
      </c>
      <c r="F5193" s="9"/>
    </row>
    <row r="5194" ht="33.75" customHeight="1">
      <c r="A5194" s="7">
        <v>177.0</v>
      </c>
      <c r="B5194" s="9" t="s">
        <v>10575</v>
      </c>
      <c r="C5194" s="9" t="s">
        <v>1041</v>
      </c>
      <c r="D5194" s="9" t="s">
        <v>101</v>
      </c>
      <c r="E5194" s="6" t="s">
        <v>10577</v>
      </c>
      <c r="F5194" s="9"/>
    </row>
    <row r="5195" ht="33.75" customHeight="1">
      <c r="A5195" s="7">
        <v>177.0</v>
      </c>
      <c r="B5195" s="9" t="s">
        <v>10575</v>
      </c>
      <c r="C5195" s="9" t="s">
        <v>1041</v>
      </c>
      <c r="D5195" s="9" t="s">
        <v>105</v>
      </c>
      <c r="E5195" s="6" t="s">
        <v>10578</v>
      </c>
      <c r="F5195" s="9"/>
    </row>
    <row r="5196" ht="33.75" customHeight="1">
      <c r="A5196" s="7">
        <v>177.0</v>
      </c>
      <c r="B5196" s="9" t="s">
        <v>10575</v>
      </c>
      <c r="C5196" s="9" t="s">
        <v>1041</v>
      </c>
      <c r="D5196" s="9" t="s">
        <v>107</v>
      </c>
      <c r="E5196" s="6" t="s">
        <v>10617</v>
      </c>
      <c r="F5196" s="9"/>
    </row>
    <row r="5197" ht="33.75" customHeight="1">
      <c r="A5197" s="7">
        <v>177.0</v>
      </c>
      <c r="B5197" s="9" t="s">
        <v>10575</v>
      </c>
      <c r="C5197" s="9" t="s">
        <v>1041</v>
      </c>
      <c r="D5197" s="9" t="s">
        <v>109</v>
      </c>
      <c r="E5197" s="6" t="s">
        <v>10621</v>
      </c>
      <c r="F5197" s="9"/>
    </row>
    <row r="5198" ht="33.75" customHeight="1">
      <c r="A5198" s="7">
        <v>177.0</v>
      </c>
      <c r="B5198" s="9" t="s">
        <v>10575</v>
      </c>
      <c r="C5198" s="9" t="s">
        <v>1041</v>
      </c>
      <c r="D5198" s="9" t="s">
        <v>647</v>
      </c>
      <c r="E5198" s="6" t="s">
        <v>10624</v>
      </c>
      <c r="F5198" s="9"/>
    </row>
    <row r="5199" ht="33.75" customHeight="1">
      <c r="A5199" s="7">
        <v>177.0</v>
      </c>
      <c r="B5199" s="9" t="s">
        <v>10575</v>
      </c>
      <c r="C5199" s="9" t="s">
        <v>1041</v>
      </c>
      <c r="D5199" s="9" t="s">
        <v>652</v>
      </c>
      <c r="E5199" s="6" t="s">
        <v>10628</v>
      </c>
      <c r="F5199" s="9"/>
    </row>
    <row r="5200" ht="33.75" customHeight="1">
      <c r="A5200" s="7">
        <v>177.0</v>
      </c>
      <c r="B5200" s="9" t="s">
        <v>10575</v>
      </c>
      <c r="C5200" s="9" t="s">
        <v>1041</v>
      </c>
      <c r="D5200" s="9" t="s">
        <v>114</v>
      </c>
      <c r="E5200" s="6" t="s">
        <v>10580</v>
      </c>
      <c r="F5200" s="9"/>
    </row>
    <row r="5201" ht="33.75" customHeight="1">
      <c r="A5201" s="7">
        <v>177.0</v>
      </c>
      <c r="B5201" s="9" t="s">
        <v>10575</v>
      </c>
      <c r="C5201" s="9" t="s">
        <v>1041</v>
      </c>
      <c r="D5201" s="9" t="s">
        <v>117</v>
      </c>
      <c r="E5201" s="6" t="s">
        <v>10577</v>
      </c>
      <c r="F5201" s="9"/>
    </row>
    <row r="5202" ht="33.75" customHeight="1">
      <c r="A5202" s="7">
        <v>178.0</v>
      </c>
      <c r="B5202" s="9" t="s">
        <v>10633</v>
      </c>
      <c r="C5202" s="9" t="s">
        <v>10634</v>
      </c>
      <c r="D5202" s="9" t="s">
        <v>52</v>
      </c>
      <c r="E5202" s="6" t="s">
        <v>10636</v>
      </c>
      <c r="F5202" t="inlineStr" s="10">
        <is>
          <t xml:space="preserve">Sanotaan, että se pysyy hiljaa ja liikkumattomana, koska se näkee sekä menneisyyden että tulevaisuuden samaan aikaan. Etelä-Amerikassa sanotaan, että oikea silmä näkee tulevaisuuden ja vasen silmä menneisyyden. Kun se alkaa meditoida auringonnousun aikaan, koko päivä kuluu ennen kuin se liikkuu uudelleen. XATU seisoo juurtuneena ja liikkumatta yhdessä paikassa koko päivän. Ihmiset uskovat, että tämä POKéMON tekee niin pelätessään tulevaisuuden kauheita asioita. XATUn tiedetään seisovan liikkumattomana tuijottaen aurinkoa koko päivän. Jotkut ihmiset kunnioittavat sitä mystisenä POKéMONina, koska he uskovat XATUn omaavan kyvyn nähdä tulevaisuuteen. Sillä on arvoituksellinen kyky ennustaa tulevaisuutta. Jotkut ihmiset eri maissa ovat pitkään uskoneet, että XATU:t ovat lähettiläitä toisesta maailmasta. Tämä outo Pokémon näkee sekä menneisyyden että tulevaisuuden. Se tarkkailee auringon liikettä koko päivän. Sanotaan, että vaikka tällä Pokémonilla on kyky ennustaa tulevaisuutta, se ei ole tarpeeksi voimakas muuttamaan näkemäänsä tulevaisuutta. Vaikka se näkee tulevaisuuden, sillä ei ole halua muuttaa sitä, minkä vuoksi se luultavasti pysyy aina liikkumattomana.</t>
        </is>
      </c>
    </row>
    <row r="5203" ht="33.75" customHeight="1">
      <c r="A5203" s="7">
        <v>178.0</v>
      </c>
      <c r="B5203" s="9" t="s">
        <v>10633</v>
      </c>
      <c r="C5203" s="9" t="s">
        <v>10634</v>
      </c>
      <c r="D5203" s="9" t="s">
        <v>59</v>
      </c>
      <c r="E5203" s="6" t="s">
        <v>10639</v>
      </c>
      <c r="F5203" s="9"/>
    </row>
    <row r="5204" ht="33.75" customHeight="1">
      <c r="A5204" s="7">
        <v>178.0</v>
      </c>
      <c r="B5204" s="9" t="s">
        <v>10633</v>
      </c>
      <c r="C5204" s="9" t="s">
        <v>10634</v>
      </c>
      <c r="D5204" s="9" t="s">
        <v>64</v>
      </c>
      <c r="E5204" s="6" t="s">
        <v>10641</v>
      </c>
      <c r="F5204" s="9"/>
    </row>
    <row r="5205" ht="33.75" customHeight="1">
      <c r="A5205" s="7">
        <v>178.0</v>
      </c>
      <c r="B5205" s="9" t="s">
        <v>10633</v>
      </c>
      <c r="C5205" s="9" t="s">
        <v>10634</v>
      </c>
      <c r="D5205" s="9" t="s">
        <v>67</v>
      </c>
      <c r="E5205" s="6" t="s">
        <v>10644</v>
      </c>
      <c r="F5205" s="9"/>
    </row>
    <row r="5206" ht="33.75" customHeight="1">
      <c r="A5206" s="7">
        <v>178.0</v>
      </c>
      <c r="B5206" s="9" t="s">
        <v>10633</v>
      </c>
      <c r="C5206" s="9" t="s">
        <v>10634</v>
      </c>
      <c r="D5206" s="9" t="s">
        <v>71</v>
      </c>
      <c r="E5206" s="6" t="s">
        <v>10647</v>
      </c>
      <c r="F5206" s="9"/>
    </row>
    <row r="5207" ht="33.75" customHeight="1">
      <c r="A5207" s="7">
        <v>178.0</v>
      </c>
      <c r="B5207" s="9" t="s">
        <v>10633</v>
      </c>
      <c r="C5207" s="9" t="s">
        <v>10634</v>
      </c>
      <c r="D5207" s="9" t="s">
        <v>73</v>
      </c>
      <c r="E5207" s="6" t="s">
        <v>10650</v>
      </c>
      <c r="F5207" s="9"/>
    </row>
    <row r="5208" ht="33.75" customHeight="1">
      <c r="A5208" s="7">
        <v>178.0</v>
      </c>
      <c r="B5208" s="9" t="s">
        <v>10633</v>
      </c>
      <c r="C5208" s="9" t="s">
        <v>10634</v>
      </c>
      <c r="D5208" s="9" t="s">
        <v>75</v>
      </c>
      <c r="E5208" s="6" t="s">
        <v>10639</v>
      </c>
      <c r="F5208" s="9"/>
    </row>
    <row r="5209" ht="33.75" customHeight="1">
      <c r="A5209" s="7">
        <v>178.0</v>
      </c>
      <c r="B5209" s="9" t="s">
        <v>10633</v>
      </c>
      <c r="C5209" s="9" t="s">
        <v>10634</v>
      </c>
      <c r="D5209" s="9" t="s">
        <v>79</v>
      </c>
      <c r="E5209" s="6" t="s">
        <v>10636</v>
      </c>
      <c r="F5209" s="9"/>
    </row>
    <row r="5210" ht="33.75" customHeight="1">
      <c r="A5210" s="7">
        <v>178.0</v>
      </c>
      <c r="B5210" s="9" t="s">
        <v>10633</v>
      </c>
      <c r="C5210" s="9" t="s">
        <v>10634</v>
      </c>
      <c r="D5210" s="9" t="s">
        <v>81</v>
      </c>
      <c r="E5210" s="6" t="s">
        <v>10655</v>
      </c>
      <c r="F5210" s="9"/>
    </row>
    <row r="5211" ht="33.75" customHeight="1">
      <c r="A5211" s="7">
        <v>178.0</v>
      </c>
      <c r="B5211" s="9" t="s">
        <v>10633</v>
      </c>
      <c r="C5211" s="9" t="s">
        <v>10634</v>
      </c>
      <c r="D5211" s="9" t="s">
        <v>84</v>
      </c>
      <c r="E5211" s="6" t="s">
        <v>10655</v>
      </c>
      <c r="F5211" s="9"/>
    </row>
    <row r="5212" ht="33.75" customHeight="1">
      <c r="A5212" s="7">
        <v>178.0</v>
      </c>
      <c r="B5212" s="9" t="s">
        <v>10633</v>
      </c>
      <c r="C5212" s="9" t="s">
        <v>10634</v>
      </c>
      <c r="D5212" s="9" t="s">
        <v>87</v>
      </c>
      <c r="E5212" s="6" t="s">
        <v>10655</v>
      </c>
      <c r="F5212" s="9"/>
    </row>
    <row r="5213" ht="33.75" customHeight="1">
      <c r="A5213" s="7">
        <v>178.0</v>
      </c>
      <c r="B5213" s="9" t="s">
        <v>10633</v>
      </c>
      <c r="C5213" s="9" t="s">
        <v>10634</v>
      </c>
      <c r="D5213" s="9" t="s">
        <v>89</v>
      </c>
      <c r="E5213" s="6" t="s">
        <v>10636</v>
      </c>
      <c r="F5213" s="9"/>
    </row>
    <row r="5214" ht="33.75" customHeight="1">
      <c r="A5214" s="7">
        <v>178.0</v>
      </c>
      <c r="B5214" s="9" t="s">
        <v>10633</v>
      </c>
      <c r="C5214" s="9" t="s">
        <v>10634</v>
      </c>
      <c r="D5214" s="9" t="s">
        <v>91</v>
      </c>
      <c r="E5214" s="6" t="s">
        <v>10639</v>
      </c>
      <c r="F5214" s="9"/>
    </row>
    <row r="5215" ht="33.75" customHeight="1">
      <c r="A5215" s="7">
        <v>178.0</v>
      </c>
      <c r="B5215" s="9" t="s">
        <v>10633</v>
      </c>
      <c r="C5215" s="9" t="s">
        <v>10634</v>
      </c>
      <c r="D5215" s="9" t="s">
        <v>93</v>
      </c>
      <c r="E5215" s="6" t="s">
        <v>10655</v>
      </c>
      <c r="F5215" s="9"/>
    </row>
    <row r="5216" ht="33.75" customHeight="1">
      <c r="A5216" s="7">
        <v>178.0</v>
      </c>
      <c r="B5216" s="9" t="s">
        <v>10633</v>
      </c>
      <c r="C5216" s="9" t="s">
        <v>10634</v>
      </c>
      <c r="D5216" s="9" t="s">
        <v>95</v>
      </c>
      <c r="E5216" s="6" t="s">
        <v>10655</v>
      </c>
      <c r="F5216" s="9"/>
    </row>
    <row r="5217" ht="33.75" customHeight="1">
      <c r="A5217" s="7">
        <v>178.0</v>
      </c>
      <c r="B5217" s="9" t="s">
        <v>10633</v>
      </c>
      <c r="C5217" s="9" t="s">
        <v>10634</v>
      </c>
      <c r="D5217" s="9" t="s">
        <v>98</v>
      </c>
      <c r="E5217" s="6" t="s">
        <v>10655</v>
      </c>
      <c r="F5217" s="9"/>
    </row>
    <row r="5218" ht="33.75" customHeight="1">
      <c r="A5218" s="7">
        <v>178.0</v>
      </c>
      <c r="B5218" s="9" t="s">
        <v>10633</v>
      </c>
      <c r="C5218" s="9" t="s">
        <v>10634</v>
      </c>
      <c r="D5218" s="9" t="s">
        <v>99</v>
      </c>
      <c r="E5218" s="6" t="s">
        <v>10655</v>
      </c>
      <c r="F5218" s="9"/>
    </row>
    <row r="5219" ht="33.75" customHeight="1">
      <c r="A5219" s="7">
        <v>178.0</v>
      </c>
      <c r="B5219" s="9" t="s">
        <v>10633</v>
      </c>
      <c r="C5219" s="9" t="s">
        <v>10634</v>
      </c>
      <c r="D5219" s="9" t="s">
        <v>101</v>
      </c>
      <c r="E5219" s="6" t="s">
        <v>10641</v>
      </c>
      <c r="F5219" s="9"/>
    </row>
    <row r="5220" ht="33.75" customHeight="1">
      <c r="A5220" s="7">
        <v>178.0</v>
      </c>
      <c r="B5220" s="9" t="s">
        <v>10633</v>
      </c>
      <c r="C5220" s="9" t="s">
        <v>10634</v>
      </c>
      <c r="D5220" s="9" t="s">
        <v>105</v>
      </c>
      <c r="E5220" s="6" t="s">
        <v>10636</v>
      </c>
      <c r="F5220" s="9"/>
    </row>
    <row r="5221" ht="33.75" customHeight="1">
      <c r="A5221" s="7">
        <v>178.0</v>
      </c>
      <c r="B5221" s="9" t="s">
        <v>10633</v>
      </c>
      <c r="C5221" s="9" t="s">
        <v>10634</v>
      </c>
      <c r="D5221" s="9" t="s">
        <v>107</v>
      </c>
      <c r="E5221" s="6" t="s">
        <v>10676</v>
      </c>
      <c r="F5221" s="9"/>
    </row>
    <row r="5222" ht="33.75" customHeight="1">
      <c r="A5222" s="7">
        <v>178.0</v>
      </c>
      <c r="B5222" s="9" t="s">
        <v>10633</v>
      </c>
      <c r="C5222" s="9" t="s">
        <v>10634</v>
      </c>
      <c r="D5222" s="9" t="s">
        <v>109</v>
      </c>
      <c r="E5222" s="6" t="s">
        <v>10678</v>
      </c>
      <c r="F5222" s="9"/>
    </row>
    <row r="5223" ht="33.75" customHeight="1">
      <c r="A5223" s="7">
        <v>178.0</v>
      </c>
      <c r="B5223" s="9" t="s">
        <v>10633</v>
      </c>
      <c r="C5223" s="9" t="s">
        <v>10634</v>
      </c>
      <c r="D5223" s="9" t="s">
        <v>647</v>
      </c>
      <c r="E5223" s="6" t="s">
        <v>10680</v>
      </c>
      <c r="F5223" s="9"/>
    </row>
    <row r="5224" ht="33.75" customHeight="1">
      <c r="A5224" s="7">
        <v>178.0</v>
      </c>
      <c r="B5224" s="9" t="s">
        <v>10633</v>
      </c>
      <c r="C5224" s="9" t="s">
        <v>10634</v>
      </c>
      <c r="D5224" s="9" t="s">
        <v>652</v>
      </c>
      <c r="E5224" s="6" t="s">
        <v>10682</v>
      </c>
      <c r="F5224" s="9"/>
    </row>
    <row r="5225" ht="33.75" customHeight="1">
      <c r="A5225" s="7">
        <v>178.0</v>
      </c>
      <c r="B5225" s="9" t="s">
        <v>10633</v>
      </c>
      <c r="C5225" s="9" t="s">
        <v>10634</v>
      </c>
      <c r="D5225" s="9" t="s">
        <v>114</v>
      </c>
      <c r="E5225" s="6" t="s">
        <v>10636</v>
      </c>
      <c r="F5225" s="9"/>
    </row>
    <row r="5226" ht="33.75" customHeight="1">
      <c r="A5226" s="7">
        <v>178.0</v>
      </c>
      <c r="B5226" s="9" t="s">
        <v>10633</v>
      </c>
      <c r="C5226" s="9" t="s">
        <v>10634</v>
      </c>
      <c r="D5226" s="9" t="s">
        <v>117</v>
      </c>
      <c r="E5226" s="6" t="s">
        <v>10655</v>
      </c>
      <c r="F5226" s="9"/>
    </row>
    <row r="5227" ht="33.75" customHeight="1">
      <c r="A5227" s="7">
        <v>179.0</v>
      </c>
      <c r="B5227" s="9" t="s">
        <v>10687</v>
      </c>
      <c r="C5227" s="9" t="s">
        <v>10688</v>
      </c>
      <c r="D5227" s="9" t="s">
        <v>52</v>
      </c>
      <c r="E5227" s="6" t="s">
        <v>10689</v>
      </c>
      <c r="F5227" t="inlineStr" s="10">
        <is>
          <t xml:space="preserve">Jos Mareepin kehoon kertyy staattista sähköä, sen fleecekankaan tilavuus kaksinkertaistuu. Sen koskettaminen aiheuttaa sähköiskun. Sen turkki kasvaa jatkuvasti. Kesällä turkki karvaa kokonaan, mutta kasvaa takaisin viikossa. Se varastoi paljon ilmaa pehmeään turkkiinsa, minkä ansiosta se pysyy viileänä kesällä ja lämpimänä talvella. MAREEPin pörröinen villaturkki hankautuu yhteen ja varaa staattisen sähkön. Mitä enemmän staattista sähköä sen pyrstössä on, sitä kirkkaammin sen hännänpäässä oleva hehkulamppu palaa. Sen pörröinen villa hankautuu yhteen ja varaa staattisen sähkön. Mitä enemmän energiaa latautuu, sitä kirkkaammin sen pyrstön kärjessä oleva hehkulamppu hehkuu. Jos sen kehoon kertyy staattista sähköä, sen fleecevuori kaksinkertaistuu tilavuudeltaan. Sen pörröinen turkki turpoaa kaksinkertaiseksi staattisen sähkön kertyessä. Sen koskettaminen voi olla järkyttävää. Kun kylmä sää lisää staattista sähköä, sen villa kaksinkertaistuu kooltaan ja sen hännänpää hehkuu hieman. Mitä enemmän staattista sähköä sen hännänpäässä on, sitä kirkkaammin sen pyrstönpäässä oleva hehkulamppu hehkuu. Mareepin fleecekankaasta valmistetut vaatteet latautuvat helposti staattisella sähköllä, joten niihin käytetään erityistä prosessia. Sen fleecen hankaaminen tuottaa sähköä. Haluat varmasti silittää sitä, koska se on söpö, mutta jos käytät sitä paljaalla kädellä, saat tuskallisen sähköiskun.</t>
        </is>
      </c>
    </row>
    <row r="5228" ht="33.75" customHeight="1">
      <c r="A5228" s="7">
        <v>179.0</v>
      </c>
      <c r="B5228" s="9" t="s">
        <v>10687</v>
      </c>
      <c r="C5228" s="9" t="s">
        <v>10688</v>
      </c>
      <c r="D5228" s="9" t="s">
        <v>59</v>
      </c>
      <c r="E5228" s="6" t="s">
        <v>10692</v>
      </c>
      <c r="F5228" s="9"/>
    </row>
    <row r="5229" ht="33.75" customHeight="1">
      <c r="A5229" s="7">
        <v>179.0</v>
      </c>
      <c r="B5229" s="9" t="s">
        <v>10687</v>
      </c>
      <c r="C5229" s="9" t="s">
        <v>10688</v>
      </c>
      <c r="D5229" s="9" t="s">
        <v>64</v>
      </c>
      <c r="E5229" s="6" t="s">
        <v>10694</v>
      </c>
      <c r="F5229" s="9"/>
    </row>
    <row r="5230" ht="33.75" customHeight="1">
      <c r="A5230" s="7">
        <v>179.0</v>
      </c>
      <c r="B5230" s="9" t="s">
        <v>10687</v>
      </c>
      <c r="C5230" s="9" t="s">
        <v>10688</v>
      </c>
      <c r="D5230" s="9" t="s">
        <v>67</v>
      </c>
      <c r="E5230" s="6" t="s">
        <v>10696</v>
      </c>
      <c r="F5230" s="9"/>
    </row>
    <row r="5231" ht="33.75" customHeight="1">
      <c r="A5231" s="7">
        <v>179.0</v>
      </c>
      <c r="B5231" s="9" t="s">
        <v>10687</v>
      </c>
      <c r="C5231" s="9" t="s">
        <v>10688</v>
      </c>
      <c r="D5231" s="9" t="s">
        <v>71</v>
      </c>
      <c r="E5231" s="6" t="s">
        <v>10696</v>
      </c>
      <c r="F5231" s="9"/>
    </row>
    <row r="5232" ht="33.75" customHeight="1">
      <c r="A5232" s="7">
        <v>179.0</v>
      </c>
      <c r="B5232" s="9" t="s">
        <v>10687</v>
      </c>
      <c r="C5232" s="9" t="s">
        <v>10688</v>
      </c>
      <c r="D5232" s="9" t="s">
        <v>73</v>
      </c>
      <c r="E5232" s="6" t="s">
        <v>10705</v>
      </c>
      <c r="F5232" s="9"/>
    </row>
    <row r="5233" ht="33.75" customHeight="1">
      <c r="A5233" s="7">
        <v>179.0</v>
      </c>
      <c r="B5233" s="9" t="s">
        <v>10687</v>
      </c>
      <c r="C5233" s="9" t="s">
        <v>10688</v>
      </c>
      <c r="D5233" s="9" t="s">
        <v>75</v>
      </c>
      <c r="E5233" s="6" t="s">
        <v>10692</v>
      </c>
      <c r="F5233" s="9"/>
    </row>
    <row r="5234" ht="33.75" customHeight="1">
      <c r="A5234" s="7">
        <v>179.0</v>
      </c>
      <c r="B5234" s="9" t="s">
        <v>10687</v>
      </c>
      <c r="C5234" s="9" t="s">
        <v>10688</v>
      </c>
      <c r="D5234" s="9" t="s">
        <v>79</v>
      </c>
      <c r="E5234" s="6" t="s">
        <v>10708</v>
      </c>
      <c r="F5234" s="9"/>
    </row>
    <row r="5235" ht="33.75" customHeight="1">
      <c r="A5235" s="7">
        <v>179.0</v>
      </c>
      <c r="B5235" s="9" t="s">
        <v>10687</v>
      </c>
      <c r="C5235" s="9" t="s">
        <v>10688</v>
      </c>
      <c r="D5235" s="9" t="s">
        <v>81</v>
      </c>
      <c r="E5235" s="6" t="s">
        <v>10711</v>
      </c>
      <c r="F5235" s="9"/>
    </row>
    <row r="5236" ht="33.75" customHeight="1">
      <c r="A5236" s="7">
        <v>179.0</v>
      </c>
      <c r="B5236" s="9" t="s">
        <v>10687</v>
      </c>
      <c r="C5236" s="9" t="s">
        <v>10688</v>
      </c>
      <c r="D5236" s="9" t="s">
        <v>84</v>
      </c>
      <c r="E5236" s="6" t="s">
        <v>10711</v>
      </c>
      <c r="F5236" s="9"/>
    </row>
    <row r="5237" ht="33.75" customHeight="1">
      <c r="A5237" s="7">
        <v>179.0</v>
      </c>
      <c r="B5237" s="9" t="s">
        <v>10687</v>
      </c>
      <c r="C5237" s="9" t="s">
        <v>10688</v>
      </c>
      <c r="D5237" s="9" t="s">
        <v>87</v>
      </c>
      <c r="E5237" s="6" t="s">
        <v>10711</v>
      </c>
      <c r="F5237" s="9"/>
    </row>
    <row r="5238" ht="33.75" customHeight="1">
      <c r="A5238" s="7">
        <v>179.0</v>
      </c>
      <c r="B5238" s="9" t="s">
        <v>10687</v>
      </c>
      <c r="C5238" s="9" t="s">
        <v>10688</v>
      </c>
      <c r="D5238" s="9" t="s">
        <v>89</v>
      </c>
      <c r="E5238" s="6" t="s">
        <v>10708</v>
      </c>
      <c r="F5238" s="9"/>
    </row>
    <row r="5239" ht="33.75" customHeight="1">
      <c r="A5239" s="7">
        <v>179.0</v>
      </c>
      <c r="B5239" s="9" t="s">
        <v>10687</v>
      </c>
      <c r="C5239" s="9" t="s">
        <v>10688</v>
      </c>
      <c r="D5239" s="9" t="s">
        <v>91</v>
      </c>
      <c r="E5239" s="6" t="s">
        <v>10692</v>
      </c>
      <c r="F5239" s="9"/>
    </row>
    <row r="5240" ht="33.75" customHeight="1">
      <c r="A5240" s="7">
        <v>179.0</v>
      </c>
      <c r="B5240" s="9" t="s">
        <v>10687</v>
      </c>
      <c r="C5240" s="9" t="s">
        <v>10688</v>
      </c>
      <c r="D5240" s="9" t="s">
        <v>93</v>
      </c>
      <c r="E5240" s="6" t="s">
        <v>10711</v>
      </c>
      <c r="F5240" s="9"/>
    </row>
    <row r="5241" ht="33.75" customHeight="1">
      <c r="A5241" s="7">
        <v>179.0</v>
      </c>
      <c r="B5241" s="9" t="s">
        <v>10687</v>
      </c>
      <c r="C5241" s="9" t="s">
        <v>10688</v>
      </c>
      <c r="D5241" s="9" t="s">
        <v>95</v>
      </c>
      <c r="E5241" s="6" t="s">
        <v>10711</v>
      </c>
      <c r="F5241" s="9"/>
    </row>
    <row r="5242" ht="33.75" customHeight="1">
      <c r="A5242" s="7">
        <v>179.0</v>
      </c>
      <c r="B5242" s="9" t="s">
        <v>10687</v>
      </c>
      <c r="C5242" s="9" t="s">
        <v>10688</v>
      </c>
      <c r="D5242" s="9" t="s">
        <v>98</v>
      </c>
      <c r="E5242" s="6" t="s">
        <v>10720</v>
      </c>
      <c r="F5242" s="9"/>
    </row>
    <row r="5243" ht="33.75" customHeight="1">
      <c r="A5243" s="7">
        <v>179.0</v>
      </c>
      <c r="B5243" s="9" t="s">
        <v>10687</v>
      </c>
      <c r="C5243" s="9" t="s">
        <v>10688</v>
      </c>
      <c r="D5243" s="9" t="s">
        <v>99</v>
      </c>
      <c r="E5243" s="6" t="s">
        <v>10720</v>
      </c>
      <c r="F5243" s="9"/>
    </row>
    <row r="5244" ht="33.75" customHeight="1">
      <c r="A5244" s="7">
        <v>179.0</v>
      </c>
      <c r="B5244" s="9" t="s">
        <v>10687</v>
      </c>
      <c r="C5244" s="9" t="s">
        <v>10688</v>
      </c>
      <c r="D5244" s="9" t="s">
        <v>101</v>
      </c>
      <c r="E5244" s="6" t="s">
        <v>10711</v>
      </c>
      <c r="F5244" s="9"/>
    </row>
    <row r="5245" ht="33.75" customHeight="1">
      <c r="A5245" s="7">
        <v>179.0</v>
      </c>
      <c r="B5245" s="9" t="s">
        <v>10687</v>
      </c>
      <c r="C5245" s="9" t="s">
        <v>10688</v>
      </c>
      <c r="D5245" s="9" t="s">
        <v>105</v>
      </c>
      <c r="E5245" s="6" t="s">
        <v>10694</v>
      </c>
      <c r="F5245" s="9"/>
    </row>
    <row r="5246" ht="33.75" customHeight="1">
      <c r="A5246" s="7">
        <v>179.0</v>
      </c>
      <c r="B5246" s="9" t="s">
        <v>10687</v>
      </c>
      <c r="C5246" s="9" t="s">
        <v>10688</v>
      </c>
      <c r="D5246" s="9" t="s">
        <v>107</v>
      </c>
      <c r="E5246" s="6" t="s">
        <v>10734</v>
      </c>
      <c r="F5246" s="9"/>
    </row>
    <row r="5247" ht="33.75" customHeight="1">
      <c r="A5247" s="7">
        <v>179.0</v>
      </c>
      <c r="B5247" s="9" t="s">
        <v>10687</v>
      </c>
      <c r="C5247" s="9" t="s">
        <v>10688</v>
      </c>
      <c r="D5247" s="9" t="s">
        <v>109</v>
      </c>
      <c r="E5247" s="6" t="s">
        <v>10734</v>
      </c>
      <c r="F5247" s="9"/>
    </row>
    <row r="5248" ht="33.75" customHeight="1">
      <c r="A5248" s="7">
        <v>179.0</v>
      </c>
      <c r="B5248" s="9" t="s">
        <v>10687</v>
      </c>
      <c r="C5248" s="9" t="s">
        <v>10688</v>
      </c>
      <c r="D5248" s="9" t="s">
        <v>647</v>
      </c>
      <c r="E5248" s="6" t="s">
        <v>10740</v>
      </c>
      <c r="F5248" s="9"/>
    </row>
    <row r="5249" ht="33.75" customHeight="1">
      <c r="A5249" s="7">
        <v>179.0</v>
      </c>
      <c r="B5249" s="9" t="s">
        <v>10687</v>
      </c>
      <c r="C5249" s="9" t="s">
        <v>10688</v>
      </c>
      <c r="D5249" s="9" t="s">
        <v>652</v>
      </c>
      <c r="E5249" s="6" t="s">
        <v>10744</v>
      </c>
      <c r="F5249" s="9"/>
    </row>
    <row r="5250" ht="33.75" customHeight="1">
      <c r="A5250" s="7">
        <v>180.0</v>
      </c>
      <c r="B5250" s="9" t="s">
        <v>10747</v>
      </c>
      <c r="C5250" s="9" t="s">
        <v>10688</v>
      </c>
      <c r="D5250" s="9" t="s">
        <v>52</v>
      </c>
      <c r="E5250" s="6" t="s">
        <v>10749</v>
      </c>
      <c r="F5250" t="inlineStr" s="10">
        <is>
          <t xml:space="preserve">Liian suuren sähkön varastoinnin seurauksena sille kehittyi laikkuja, joilla edes untuvainen villa ei kasva. Sen pörröinen fleece varastoi helposti sähköä. Sen kumimainen nahka estää sähköiskun. Kumisen ja sähköä kestävän ihonsa ansiosta se voi varastoida paljon sähköä turkkiinsa. FLAAFFYn villan laatu muuttuu siten, että se voi tuottaa paljon staattista sähköä pienellä villamäärällä. Sen nahan paljaat ja liukkaat osat on suojattu sähköltä. Sen fleecen laatu muuttuu ja pieni määrä villaa tuottaa voimakasta staattista sähköä. Sen nahan paljaat, liukkaat osat ovat suojattuja sähköltä. Jos sen turkki latautuu täyteen sähköllä, sen pyrstö syttyy. Se ampuu karvoja, jotka lentävät iskusta irti. Sen kumimaisilla, sähköä johtamattomilla ihoalueilla, jotka estävät sähköiskun, ei kasva edes untuvainen villa. Flaaffyn villan laatu muuttuu niin, että se voi tuottaa paljon staattista sähköä pienellä villamäärällä. Sen nahan paljaat ja liukkaat osat ovat suojattuja sähköltä. Niissä kehon kohdissa, joissa villaa ei kasva, sen iho on kumimaista eikä johda sähköä. Näitä kohtia on turvallista koskettaa. Se varastoi sähköä pörröiseen fleeceensä. Jos se varastoi liikaa, se alkaa kaljuuntua noista kohdista.</t>
        </is>
      </c>
    </row>
    <row r="5251" ht="33.75" customHeight="1">
      <c r="A5251" s="7">
        <v>180.0</v>
      </c>
      <c r="B5251" s="9" t="s">
        <v>10747</v>
      </c>
      <c r="C5251" s="9" t="s">
        <v>10688</v>
      </c>
      <c r="D5251" s="9" t="s">
        <v>59</v>
      </c>
      <c r="E5251" s="6" t="s">
        <v>10753</v>
      </c>
      <c r="F5251" s="9"/>
    </row>
    <row r="5252" ht="33.75" customHeight="1">
      <c r="A5252" s="7">
        <v>180.0</v>
      </c>
      <c r="B5252" s="9" t="s">
        <v>10747</v>
      </c>
      <c r="C5252" s="9" t="s">
        <v>10688</v>
      </c>
      <c r="D5252" s="9" t="s">
        <v>64</v>
      </c>
      <c r="E5252" s="6" t="s">
        <v>10758</v>
      </c>
      <c r="F5252" s="9"/>
    </row>
    <row r="5253" ht="33.75" customHeight="1">
      <c r="A5253" s="7">
        <v>180.0</v>
      </c>
      <c r="B5253" s="9" t="s">
        <v>10747</v>
      </c>
      <c r="C5253" s="9" t="s">
        <v>10688</v>
      </c>
      <c r="D5253" s="9" t="s">
        <v>67</v>
      </c>
      <c r="E5253" s="6" t="s">
        <v>10762</v>
      </c>
      <c r="F5253" s="9"/>
    </row>
    <row r="5254" ht="33.75" customHeight="1">
      <c r="A5254" s="7">
        <v>180.0</v>
      </c>
      <c r="B5254" s="9" t="s">
        <v>10747</v>
      </c>
      <c r="C5254" s="9" t="s">
        <v>10688</v>
      </c>
      <c r="D5254" s="9" t="s">
        <v>71</v>
      </c>
      <c r="E5254" s="6" t="s">
        <v>10762</v>
      </c>
      <c r="F5254" s="9"/>
    </row>
    <row r="5255" ht="33.75" customHeight="1">
      <c r="A5255" s="7">
        <v>180.0</v>
      </c>
      <c r="B5255" s="9" t="s">
        <v>10747</v>
      </c>
      <c r="C5255" s="9" t="s">
        <v>10688</v>
      </c>
      <c r="D5255" s="9" t="s">
        <v>73</v>
      </c>
      <c r="E5255" s="6" t="s">
        <v>10767</v>
      </c>
      <c r="F5255" s="9"/>
    </row>
    <row r="5256" ht="33.75" customHeight="1">
      <c r="A5256" s="7">
        <v>180.0</v>
      </c>
      <c r="B5256" s="9" t="s">
        <v>10747</v>
      </c>
      <c r="C5256" s="9" t="s">
        <v>10688</v>
      </c>
      <c r="D5256" s="9" t="s">
        <v>75</v>
      </c>
      <c r="E5256" s="6" t="s">
        <v>10753</v>
      </c>
      <c r="F5256" s="9"/>
    </row>
    <row r="5257" ht="33.75" customHeight="1">
      <c r="A5257" s="7">
        <v>180.0</v>
      </c>
      <c r="B5257" s="9" t="s">
        <v>10747</v>
      </c>
      <c r="C5257" s="9" t="s">
        <v>10688</v>
      </c>
      <c r="D5257" s="9" t="s">
        <v>79</v>
      </c>
      <c r="E5257" s="6" t="s">
        <v>10749</v>
      </c>
      <c r="F5257" s="9"/>
    </row>
    <row r="5258" ht="33.75" customHeight="1">
      <c r="A5258" s="7">
        <v>180.0</v>
      </c>
      <c r="B5258" s="9" t="s">
        <v>10747</v>
      </c>
      <c r="C5258" s="9" t="s">
        <v>10688</v>
      </c>
      <c r="D5258" s="9" t="s">
        <v>81</v>
      </c>
      <c r="E5258" s="6" t="s">
        <v>10772</v>
      </c>
      <c r="F5258" s="9"/>
    </row>
    <row r="5259" ht="33.75" customHeight="1">
      <c r="A5259" s="7">
        <v>180.0</v>
      </c>
      <c r="B5259" s="9" t="s">
        <v>10747</v>
      </c>
      <c r="C5259" s="9" t="s">
        <v>10688</v>
      </c>
      <c r="D5259" s="9" t="s">
        <v>84</v>
      </c>
      <c r="E5259" s="6" t="s">
        <v>10772</v>
      </c>
      <c r="F5259" s="9"/>
    </row>
    <row r="5260" ht="33.75" customHeight="1">
      <c r="A5260" s="7">
        <v>180.0</v>
      </c>
      <c r="B5260" s="9" t="s">
        <v>10747</v>
      </c>
      <c r="C5260" s="9" t="s">
        <v>10688</v>
      </c>
      <c r="D5260" s="9" t="s">
        <v>87</v>
      </c>
      <c r="E5260" s="6" t="s">
        <v>10772</v>
      </c>
      <c r="F5260" s="9"/>
    </row>
    <row r="5261" ht="33.75" customHeight="1">
      <c r="A5261" s="7">
        <v>180.0</v>
      </c>
      <c r="B5261" s="9" t="s">
        <v>10747</v>
      </c>
      <c r="C5261" s="9" t="s">
        <v>10688</v>
      </c>
      <c r="D5261" s="9" t="s">
        <v>89</v>
      </c>
      <c r="E5261" s="6" t="s">
        <v>10749</v>
      </c>
      <c r="F5261" s="9"/>
    </row>
    <row r="5262" ht="33.75" customHeight="1">
      <c r="A5262" s="7">
        <v>180.0</v>
      </c>
      <c r="B5262" s="9" t="s">
        <v>10747</v>
      </c>
      <c r="C5262" s="9" t="s">
        <v>10688</v>
      </c>
      <c r="D5262" s="9" t="s">
        <v>91</v>
      </c>
      <c r="E5262" s="6" t="s">
        <v>10753</v>
      </c>
      <c r="F5262" s="9"/>
    </row>
    <row r="5263" ht="33.75" customHeight="1">
      <c r="A5263" s="7">
        <v>180.0</v>
      </c>
      <c r="B5263" s="9" t="s">
        <v>10747</v>
      </c>
      <c r="C5263" s="9" t="s">
        <v>10688</v>
      </c>
      <c r="D5263" s="9" t="s">
        <v>93</v>
      </c>
      <c r="E5263" s="6" t="s">
        <v>10772</v>
      </c>
      <c r="F5263" s="9"/>
    </row>
    <row r="5264" ht="33.75" customHeight="1">
      <c r="A5264" s="7">
        <v>180.0</v>
      </c>
      <c r="B5264" s="9" t="s">
        <v>10747</v>
      </c>
      <c r="C5264" s="9" t="s">
        <v>10688</v>
      </c>
      <c r="D5264" s="9" t="s">
        <v>95</v>
      </c>
      <c r="E5264" s="6" t="s">
        <v>10772</v>
      </c>
      <c r="F5264" s="9"/>
    </row>
    <row r="5265" ht="33.75" customHeight="1">
      <c r="A5265" s="7">
        <v>180.0</v>
      </c>
      <c r="B5265" s="9" t="s">
        <v>10747</v>
      </c>
      <c r="C5265" s="9" t="s">
        <v>10688</v>
      </c>
      <c r="D5265" s="9" t="s">
        <v>98</v>
      </c>
      <c r="E5265" s="6" t="s">
        <v>10785</v>
      </c>
      <c r="F5265" s="9"/>
    </row>
    <row r="5266" ht="33.75" customHeight="1">
      <c r="A5266" s="7">
        <v>180.0</v>
      </c>
      <c r="B5266" s="9" t="s">
        <v>10747</v>
      </c>
      <c r="C5266" s="9" t="s">
        <v>10688</v>
      </c>
      <c r="D5266" s="9" t="s">
        <v>99</v>
      </c>
      <c r="E5266" s="6" t="s">
        <v>10785</v>
      </c>
      <c r="F5266" s="9"/>
    </row>
    <row r="5267" ht="33.75" customHeight="1">
      <c r="A5267" s="7">
        <v>180.0</v>
      </c>
      <c r="B5267" s="9" t="s">
        <v>10747</v>
      </c>
      <c r="C5267" s="9" t="s">
        <v>10688</v>
      </c>
      <c r="D5267" s="9" t="s">
        <v>101</v>
      </c>
      <c r="E5267" s="6" t="s">
        <v>10753</v>
      </c>
      <c r="F5267" s="9"/>
    </row>
    <row r="5268" ht="33.75" customHeight="1">
      <c r="A5268" s="7">
        <v>180.0</v>
      </c>
      <c r="B5268" s="9" t="s">
        <v>10747</v>
      </c>
      <c r="C5268" s="9" t="s">
        <v>10688</v>
      </c>
      <c r="D5268" s="9" t="s">
        <v>105</v>
      </c>
      <c r="E5268" s="6" t="s">
        <v>10772</v>
      </c>
      <c r="F5268" s="9"/>
    </row>
    <row r="5269" ht="33.75" customHeight="1">
      <c r="A5269" s="7">
        <v>180.0</v>
      </c>
      <c r="B5269" s="9" t="s">
        <v>10747</v>
      </c>
      <c r="C5269" s="9" t="s">
        <v>10688</v>
      </c>
      <c r="D5269" s="9" t="s">
        <v>107</v>
      </c>
      <c r="E5269" s="6" t="s">
        <v>10789</v>
      </c>
      <c r="F5269" s="9"/>
    </row>
    <row r="5270" ht="33.75" customHeight="1">
      <c r="A5270" s="7">
        <v>180.0</v>
      </c>
      <c r="B5270" s="9" t="s">
        <v>10747</v>
      </c>
      <c r="C5270" s="9" t="s">
        <v>10688</v>
      </c>
      <c r="D5270" s="9" t="s">
        <v>109</v>
      </c>
      <c r="E5270" s="6" t="s">
        <v>10789</v>
      </c>
      <c r="F5270" s="9"/>
    </row>
    <row r="5271" ht="33.75" customHeight="1">
      <c r="A5271" s="7">
        <v>180.0</v>
      </c>
      <c r="B5271" s="9" t="s">
        <v>10747</v>
      </c>
      <c r="C5271" s="9" t="s">
        <v>10688</v>
      </c>
      <c r="D5271" s="9" t="s">
        <v>647</v>
      </c>
      <c r="E5271" s="6" t="s">
        <v>10791</v>
      </c>
      <c r="F5271" s="9"/>
    </row>
    <row r="5272" ht="33.75" customHeight="1">
      <c r="A5272" s="7">
        <v>180.0</v>
      </c>
      <c r="B5272" s="9" t="s">
        <v>10747</v>
      </c>
      <c r="C5272" s="9" t="s">
        <v>10688</v>
      </c>
      <c r="D5272" s="9" t="s">
        <v>652</v>
      </c>
      <c r="E5272" s="6" t="s">
        <v>10793</v>
      </c>
      <c r="F5272" s="9"/>
    </row>
    <row r="5273" ht="33.75" customHeight="1">
      <c r="A5273" s="7">
        <v>181.0</v>
      </c>
      <c r="B5273" s="9" t="s">
        <v>10795</v>
      </c>
      <c r="C5273" s="9" t="s">
        <v>10231</v>
      </c>
      <c r="D5273" s="9" t="s">
        <v>52</v>
      </c>
      <c r="E5273" s="6" t="s">
        <v>10796</v>
      </c>
      <c r="F5273" t="inlineStr" s="10">
        <is>
          <t xml:space="preserve">Hännän kärki loistaa kirkkaasti ja näkyy kaukaa. Se toimii majakkana eksyneille. Sen pyrstön kirkas valo näkyy kauas. Sitä on vaalittu majakkana muinaisista ajoista lähtien. Kun hämärtyy, sen kirkkaan, kiiltävän pyrstön valo näkyy kaukaa meren pinnalla. AMPHAROS säteilee niin paljon valoa, että se näkyy jopa avaruudesta. Ennen vanhaan ihmiset käyttivät tämän POKéMONin valoa lähettääkseen signaaleja edestakaisin kaukaisten POKéMONien kanssa. Se säteilee niin paljon valoa, että se näkyy jopa avaruudesta. Ennen vanhaan ihmiset käyttivät sen valoa lähettääkseen signaaleja edestakaisin kaukaisten ihmisten kanssa. Sen pyrstönpää loistaa kirkkaasti. Ennen vanhaan ihmiset lähettivät signaaleja pyrstön valon avulla. Sen pyrstönkärki loistaa niin kirkkaasti, että sitä voidaan käyttää merimerkkien lähettämiseen kaukaisille vieraille rannoille. Vanhaan aikaan ihmiset käyttivät tämän Pokémonin valoa lähettääkseen signaaleja edestakaisin kaukaisten Pokémonien kanssa. Sen pyrstön valo näkyy avaruudesta. Siksi sen sijainti on aina nähtävissä, minkä vuoksi se yleensä pitää valon sammutettuna. Sen pyrstö loistaa kirkkaasti ja voimakkaasti. Sitä on arvostettu merimiesten majakkana jo kauan sitten.</t>
        </is>
      </c>
    </row>
    <row r="5274" ht="33.75" customHeight="1">
      <c r="A5274" s="7">
        <v>181.0</v>
      </c>
      <c r="B5274" s="9" t="s">
        <v>10795</v>
      </c>
      <c r="C5274" s="9" t="s">
        <v>10231</v>
      </c>
      <c r="D5274" s="9" t="s">
        <v>59</v>
      </c>
      <c r="E5274" s="6" t="s">
        <v>10799</v>
      </c>
      <c r="F5274" s="9"/>
    </row>
    <row r="5275" ht="33.75" customHeight="1">
      <c r="A5275" s="7">
        <v>181.0</v>
      </c>
      <c r="B5275" s="9" t="s">
        <v>10795</v>
      </c>
      <c r="C5275" s="9" t="s">
        <v>10231</v>
      </c>
      <c r="D5275" s="9" t="s">
        <v>64</v>
      </c>
      <c r="E5275" s="6" t="s">
        <v>10801</v>
      </c>
      <c r="F5275" s="9"/>
    </row>
    <row r="5276" ht="33.75" customHeight="1">
      <c r="A5276" s="7">
        <v>181.0</v>
      </c>
      <c r="B5276" s="9" t="s">
        <v>10795</v>
      </c>
      <c r="C5276" s="9" t="s">
        <v>10231</v>
      </c>
      <c r="D5276" s="9" t="s">
        <v>67</v>
      </c>
      <c r="E5276" s="6" t="s">
        <v>10803</v>
      </c>
      <c r="F5276" s="9"/>
    </row>
    <row r="5277" ht="33.75" customHeight="1">
      <c r="A5277" s="7">
        <v>181.0</v>
      </c>
      <c r="B5277" s="9" t="s">
        <v>10795</v>
      </c>
      <c r="C5277" s="9" t="s">
        <v>10231</v>
      </c>
      <c r="D5277" s="9" t="s">
        <v>71</v>
      </c>
      <c r="E5277" s="6" t="s">
        <v>10803</v>
      </c>
      <c r="F5277" s="9"/>
    </row>
    <row r="5278" ht="33.75" customHeight="1">
      <c r="A5278" s="7">
        <v>181.0</v>
      </c>
      <c r="B5278" s="9" t="s">
        <v>10795</v>
      </c>
      <c r="C5278" s="9" t="s">
        <v>10231</v>
      </c>
      <c r="D5278" s="9" t="s">
        <v>73</v>
      </c>
      <c r="E5278" s="6" t="s">
        <v>10807</v>
      </c>
      <c r="F5278" s="9"/>
    </row>
    <row r="5279" ht="33.75" customHeight="1">
      <c r="A5279" s="7">
        <v>181.0</v>
      </c>
      <c r="B5279" s="9" t="s">
        <v>10795</v>
      </c>
      <c r="C5279" s="9" t="s">
        <v>10231</v>
      </c>
      <c r="D5279" s="9" t="s">
        <v>75</v>
      </c>
      <c r="E5279" s="6" t="s">
        <v>10799</v>
      </c>
      <c r="F5279" s="9"/>
    </row>
    <row r="5280" ht="33.75" customHeight="1">
      <c r="A5280" s="7">
        <v>181.0</v>
      </c>
      <c r="B5280" s="9" t="s">
        <v>10795</v>
      </c>
      <c r="C5280" s="9" t="s">
        <v>10231</v>
      </c>
      <c r="D5280" s="9" t="s">
        <v>79</v>
      </c>
      <c r="E5280" s="6" t="s">
        <v>10796</v>
      </c>
      <c r="F5280" s="9"/>
    </row>
    <row r="5281" ht="33.75" customHeight="1">
      <c r="A5281" s="7">
        <v>181.0</v>
      </c>
      <c r="B5281" s="9" t="s">
        <v>10795</v>
      </c>
      <c r="C5281" s="9" t="s">
        <v>10231</v>
      </c>
      <c r="D5281" s="9" t="s">
        <v>81</v>
      </c>
      <c r="E5281" s="6" t="s">
        <v>10812</v>
      </c>
      <c r="F5281" s="9"/>
    </row>
    <row r="5282" ht="33.75" customHeight="1">
      <c r="A5282" s="7">
        <v>181.0</v>
      </c>
      <c r="B5282" s="9" t="s">
        <v>10795</v>
      </c>
      <c r="C5282" s="9" t="s">
        <v>10231</v>
      </c>
      <c r="D5282" s="9" t="s">
        <v>84</v>
      </c>
      <c r="E5282" s="6" t="s">
        <v>10812</v>
      </c>
      <c r="F5282" s="9"/>
    </row>
    <row r="5283" ht="33.75" customHeight="1">
      <c r="A5283" s="7">
        <v>181.0</v>
      </c>
      <c r="B5283" s="9" t="s">
        <v>10795</v>
      </c>
      <c r="C5283" s="9" t="s">
        <v>10231</v>
      </c>
      <c r="D5283" s="9" t="s">
        <v>87</v>
      </c>
      <c r="E5283" s="6" t="s">
        <v>10812</v>
      </c>
      <c r="F5283" s="9"/>
    </row>
    <row r="5284" ht="33.75" customHeight="1">
      <c r="A5284" s="7">
        <v>181.0</v>
      </c>
      <c r="B5284" s="9" t="s">
        <v>10795</v>
      </c>
      <c r="C5284" s="9" t="s">
        <v>10231</v>
      </c>
      <c r="D5284" s="9" t="s">
        <v>89</v>
      </c>
      <c r="E5284" s="6" t="s">
        <v>10796</v>
      </c>
      <c r="F5284" s="9"/>
    </row>
    <row r="5285" ht="33.75" customHeight="1">
      <c r="A5285" s="7">
        <v>181.0</v>
      </c>
      <c r="B5285" s="9" t="s">
        <v>10795</v>
      </c>
      <c r="C5285" s="9" t="s">
        <v>10231</v>
      </c>
      <c r="D5285" s="9" t="s">
        <v>91</v>
      </c>
      <c r="E5285" s="6" t="s">
        <v>10799</v>
      </c>
      <c r="F5285" s="9"/>
    </row>
    <row r="5286" ht="33.75" customHeight="1">
      <c r="A5286" s="7">
        <v>181.0</v>
      </c>
      <c r="B5286" s="9" t="s">
        <v>10795</v>
      </c>
      <c r="C5286" s="9" t="s">
        <v>10231</v>
      </c>
      <c r="D5286" s="9" t="s">
        <v>93</v>
      </c>
      <c r="E5286" s="6" t="s">
        <v>10812</v>
      </c>
      <c r="F5286" s="9"/>
    </row>
    <row r="5287" ht="33.75" customHeight="1">
      <c r="A5287" s="7">
        <v>181.0</v>
      </c>
      <c r="B5287" s="9" t="s">
        <v>10795</v>
      </c>
      <c r="C5287" s="9" t="s">
        <v>10231</v>
      </c>
      <c r="D5287" s="9" t="s">
        <v>95</v>
      </c>
      <c r="E5287" s="6" t="s">
        <v>10812</v>
      </c>
      <c r="F5287" s="9"/>
    </row>
    <row r="5288" ht="33.75" customHeight="1">
      <c r="A5288" s="7">
        <v>181.0</v>
      </c>
      <c r="B5288" s="9" t="s">
        <v>10795</v>
      </c>
      <c r="C5288" s="9" t="s">
        <v>10231</v>
      </c>
      <c r="D5288" s="9" t="s">
        <v>98</v>
      </c>
      <c r="E5288" s="6" t="s">
        <v>10824</v>
      </c>
      <c r="F5288" s="9"/>
    </row>
    <row r="5289" ht="33.75" customHeight="1">
      <c r="A5289" s="7">
        <v>181.0</v>
      </c>
      <c r="B5289" s="9" t="s">
        <v>10795</v>
      </c>
      <c r="C5289" s="9" t="s">
        <v>10231</v>
      </c>
      <c r="D5289" s="9" t="s">
        <v>99</v>
      </c>
      <c r="E5289" s="6" t="s">
        <v>10824</v>
      </c>
      <c r="F5289" s="9"/>
    </row>
    <row r="5290" ht="33.75" customHeight="1">
      <c r="A5290" s="7">
        <v>181.0</v>
      </c>
      <c r="B5290" s="9" t="s">
        <v>10795</v>
      </c>
      <c r="C5290" s="9" t="s">
        <v>10231</v>
      </c>
      <c r="D5290" s="9" t="s">
        <v>101</v>
      </c>
      <c r="E5290" s="6" t="s">
        <v>10796</v>
      </c>
      <c r="F5290" s="9"/>
    </row>
    <row r="5291" ht="33.75" customHeight="1">
      <c r="A5291" s="7">
        <v>181.0</v>
      </c>
      <c r="B5291" s="9" t="s">
        <v>10795</v>
      </c>
      <c r="C5291" s="9" t="s">
        <v>10231</v>
      </c>
      <c r="D5291" s="9" t="s">
        <v>105</v>
      </c>
      <c r="E5291" s="6" t="s">
        <v>10796</v>
      </c>
      <c r="F5291" s="9"/>
    </row>
    <row r="5292" ht="33.75" customHeight="1">
      <c r="A5292" s="7">
        <v>181.0</v>
      </c>
      <c r="B5292" s="9" t="s">
        <v>10795</v>
      </c>
      <c r="C5292" s="9" t="s">
        <v>10231</v>
      </c>
      <c r="D5292" s="9" t="s">
        <v>107</v>
      </c>
      <c r="E5292" s="6" t="s">
        <v>10830</v>
      </c>
      <c r="F5292" s="9"/>
    </row>
    <row r="5293" ht="33.75" customHeight="1">
      <c r="A5293" s="7">
        <v>181.0</v>
      </c>
      <c r="B5293" s="9" t="s">
        <v>10795</v>
      </c>
      <c r="C5293" s="9" t="s">
        <v>10231</v>
      </c>
      <c r="D5293" s="9" t="s">
        <v>109</v>
      </c>
      <c r="E5293" s="6" t="s">
        <v>10830</v>
      </c>
      <c r="F5293" s="9"/>
    </row>
    <row r="5294" ht="33.75" customHeight="1">
      <c r="A5294" s="7">
        <v>181.0</v>
      </c>
      <c r="B5294" s="9" t="s">
        <v>10795</v>
      </c>
      <c r="C5294" s="9" t="s">
        <v>10231</v>
      </c>
      <c r="D5294" s="9" t="s">
        <v>647</v>
      </c>
      <c r="E5294" s="6" t="s">
        <v>10834</v>
      </c>
      <c r="F5294" s="9"/>
    </row>
    <row r="5295" ht="33.75" customHeight="1">
      <c r="A5295" s="7">
        <v>181.0</v>
      </c>
      <c r="B5295" s="9" t="s">
        <v>10795</v>
      </c>
      <c r="C5295" s="9" t="s">
        <v>10231</v>
      </c>
      <c r="D5295" s="9" t="s">
        <v>652</v>
      </c>
      <c r="E5295" s="6" t="s">
        <v>10836</v>
      </c>
      <c r="F5295" s="9"/>
    </row>
    <row r="5296" ht="33.75" customHeight="1">
      <c r="A5296" s="7">
        <v>182.0</v>
      </c>
      <c r="B5296" s="9" t="s">
        <v>10838</v>
      </c>
      <c r="C5296" s="9" t="s">
        <v>2711</v>
      </c>
      <c r="D5296" s="9" t="s">
        <v>52</v>
      </c>
      <c r="E5296" s="6" t="s">
        <v>10840</v>
      </c>
      <c r="F5296" t="inlineStr" s="10">
        <is>
          <t xml:space="preserve">BELLOSSOM kokoontuu ajoittain ja näyttää tanssivan. Heidän sanotaan, että tanssi on rituaali auringon kutsumiseksi. Runsas tropiikissa. Tanssiessaan sen terälehdet hankautuvat yhteen ja muodostavat miellyttävän soivan äänen. Kun nämä tanssivat yhdessä, niiden terälehdet hankautuvat toisiaan vasten ja tuottavat kauniita, rentouttavia ääniä. Kun BELLOSSOM altistuu runsaalle auringonvalolle, sen kehoa ympäröivät lehdet alkavat pyöriä. Tämän POKéMONin tanssiminen on tunnettua eteläisillä alueilla. BELLOSSOM kukkii kauniimmin, jos se on kehittynyt haisevasta synkkyydestä – mitä haisevampi, sen parempi. Yöllä tämä POKéMON sulkee terälehtensä ja nukahtaa. Sen kukkaterälehdet syventyvät auringonvalon vaikutuksesta. Pilvisellä säällä se tanssii, jonka uskotaan olevan auringon kutsumiseen tarkoitettu rituaali. Kun rankkasadekausi päättyy, lämmin auringonvalo vetää sen tanssimaan ulkona. He sanovat, että tanssi on rituaali auringon kutsumiseksi. Kun Bellossom altistuu runsaalle auringonvalolle, sen vartaloa ympäröivät lehdet alkavat pyöriä. Tämän Pokémonin tanssi on tunnettua eteläisillä seuduilla. Bellossom kasvattaa kukkia kauniimmin, jos se on kehittynyt haisevasta synkkyydestä – mitä haisevampi, sen parempi.</t>
        </is>
      </c>
    </row>
    <row r="5297" ht="33.75" customHeight="1">
      <c r="A5297" s="7">
        <v>182.0</v>
      </c>
      <c r="B5297" s="9" t="s">
        <v>10838</v>
      </c>
      <c r="C5297" s="9" t="s">
        <v>2711</v>
      </c>
      <c r="D5297" s="9" t="s">
        <v>59</v>
      </c>
      <c r="E5297" s="6" t="s">
        <v>10842</v>
      </c>
      <c r="F5297" s="9"/>
    </row>
    <row r="5298" ht="33.75" customHeight="1">
      <c r="A5298" s="7">
        <v>182.0</v>
      </c>
      <c r="B5298" s="9" t="s">
        <v>10838</v>
      </c>
      <c r="C5298" s="9" t="s">
        <v>2711</v>
      </c>
      <c r="D5298" s="9" t="s">
        <v>64</v>
      </c>
      <c r="E5298" s="6" t="s">
        <v>10844</v>
      </c>
      <c r="F5298" s="9"/>
    </row>
    <row r="5299" ht="33.75" customHeight="1">
      <c r="A5299" s="7">
        <v>182.0</v>
      </c>
      <c r="B5299" s="9" t="s">
        <v>10838</v>
      </c>
      <c r="C5299" s="9" t="s">
        <v>2711</v>
      </c>
      <c r="D5299" s="9" t="s">
        <v>67</v>
      </c>
      <c r="E5299" s="6" t="s">
        <v>10847</v>
      </c>
      <c r="F5299" s="9"/>
    </row>
    <row r="5300" ht="33.75" customHeight="1">
      <c r="A5300" s="7">
        <v>182.0</v>
      </c>
      <c r="B5300" s="9" t="s">
        <v>10838</v>
      </c>
      <c r="C5300" s="9" t="s">
        <v>2711</v>
      </c>
      <c r="D5300" s="9" t="s">
        <v>71</v>
      </c>
      <c r="E5300" s="6" t="s">
        <v>10851</v>
      </c>
      <c r="F5300" s="9"/>
    </row>
    <row r="5301" ht="33.75" customHeight="1">
      <c r="A5301" s="7">
        <v>182.0</v>
      </c>
      <c r="B5301" s="9" t="s">
        <v>10838</v>
      </c>
      <c r="C5301" s="9" t="s">
        <v>2711</v>
      </c>
      <c r="D5301" s="9" t="s">
        <v>73</v>
      </c>
      <c r="E5301" s="6" t="s">
        <v>10854</v>
      </c>
      <c r="F5301" s="9"/>
    </row>
    <row r="5302" ht="33.75" customHeight="1">
      <c r="A5302" s="7">
        <v>182.0</v>
      </c>
      <c r="B5302" s="9" t="s">
        <v>10838</v>
      </c>
      <c r="C5302" s="9" t="s">
        <v>2711</v>
      </c>
      <c r="D5302" s="9" t="s">
        <v>75</v>
      </c>
      <c r="E5302" s="6" t="s">
        <v>10842</v>
      </c>
      <c r="F5302" s="9"/>
    </row>
    <row r="5303" ht="33.75" customHeight="1">
      <c r="A5303" s="7">
        <v>182.0</v>
      </c>
      <c r="B5303" s="9" t="s">
        <v>10838</v>
      </c>
      <c r="C5303" s="9" t="s">
        <v>2711</v>
      </c>
      <c r="D5303" s="9" t="s">
        <v>79</v>
      </c>
      <c r="E5303" s="6" t="s">
        <v>10840</v>
      </c>
      <c r="F5303" s="9"/>
    </row>
    <row r="5304" ht="33.75" customHeight="1">
      <c r="A5304" s="7">
        <v>182.0</v>
      </c>
      <c r="B5304" s="9" t="s">
        <v>10838</v>
      </c>
      <c r="C5304" s="9" t="s">
        <v>2711</v>
      </c>
      <c r="D5304" s="9" t="s">
        <v>81</v>
      </c>
      <c r="E5304" s="6" t="s">
        <v>10863</v>
      </c>
      <c r="F5304" s="9"/>
    </row>
    <row r="5305" ht="33.75" customHeight="1">
      <c r="A5305" s="7">
        <v>182.0</v>
      </c>
      <c r="B5305" s="9" t="s">
        <v>10838</v>
      </c>
      <c r="C5305" s="9" t="s">
        <v>2711</v>
      </c>
      <c r="D5305" s="9" t="s">
        <v>84</v>
      </c>
      <c r="E5305" s="6" t="s">
        <v>10863</v>
      </c>
      <c r="F5305" s="9"/>
    </row>
    <row r="5306" ht="33.75" customHeight="1">
      <c r="A5306" s="7">
        <v>182.0</v>
      </c>
      <c r="B5306" s="9" t="s">
        <v>10838</v>
      </c>
      <c r="C5306" s="9" t="s">
        <v>2711</v>
      </c>
      <c r="D5306" s="9" t="s">
        <v>87</v>
      </c>
      <c r="E5306" s="6" t="s">
        <v>10863</v>
      </c>
      <c r="F5306" s="9"/>
    </row>
    <row r="5307" ht="33.75" customHeight="1">
      <c r="A5307" s="7">
        <v>182.0</v>
      </c>
      <c r="B5307" s="9" t="s">
        <v>10838</v>
      </c>
      <c r="C5307" s="9" t="s">
        <v>2711</v>
      </c>
      <c r="D5307" s="9" t="s">
        <v>89</v>
      </c>
      <c r="E5307" s="6" t="s">
        <v>10872</v>
      </c>
      <c r="F5307" s="9"/>
    </row>
    <row r="5308" ht="33.75" customHeight="1">
      <c r="A5308" s="7">
        <v>182.0</v>
      </c>
      <c r="B5308" s="9" t="s">
        <v>10838</v>
      </c>
      <c r="C5308" s="9" t="s">
        <v>2711</v>
      </c>
      <c r="D5308" s="9" t="s">
        <v>91</v>
      </c>
      <c r="E5308" s="6" t="s">
        <v>10842</v>
      </c>
      <c r="F5308" s="9"/>
    </row>
    <row r="5309" ht="33.75" customHeight="1">
      <c r="A5309" s="7">
        <v>182.0</v>
      </c>
      <c r="B5309" s="9" t="s">
        <v>10838</v>
      </c>
      <c r="C5309" s="9" t="s">
        <v>2711</v>
      </c>
      <c r="D5309" s="9" t="s">
        <v>93</v>
      </c>
      <c r="E5309" s="6" t="s">
        <v>10863</v>
      </c>
      <c r="F5309" s="9"/>
    </row>
    <row r="5310" ht="33.75" customHeight="1">
      <c r="A5310" s="7">
        <v>182.0</v>
      </c>
      <c r="B5310" s="9" t="s">
        <v>10838</v>
      </c>
      <c r="C5310" s="9" t="s">
        <v>2711</v>
      </c>
      <c r="D5310" s="9" t="s">
        <v>95</v>
      </c>
      <c r="E5310" s="6" t="s">
        <v>10863</v>
      </c>
      <c r="F5310" s="9"/>
    </row>
    <row r="5311" ht="33.75" customHeight="1">
      <c r="A5311" s="7">
        <v>182.0</v>
      </c>
      <c r="B5311" s="9" t="s">
        <v>10838</v>
      </c>
      <c r="C5311" s="9" t="s">
        <v>2711</v>
      </c>
      <c r="D5311" s="9" t="s">
        <v>98</v>
      </c>
      <c r="E5311" s="6" t="s">
        <v>10863</v>
      </c>
      <c r="F5311" s="9"/>
    </row>
    <row r="5312" ht="33.75" customHeight="1">
      <c r="A5312" s="7">
        <v>182.0</v>
      </c>
      <c r="B5312" s="9" t="s">
        <v>10838</v>
      </c>
      <c r="C5312" s="9" t="s">
        <v>2711</v>
      </c>
      <c r="D5312" s="9" t="s">
        <v>99</v>
      </c>
      <c r="E5312" s="6" t="s">
        <v>10863</v>
      </c>
      <c r="F5312" s="9"/>
    </row>
    <row r="5313" ht="33.75" customHeight="1">
      <c r="A5313" s="7">
        <v>182.0</v>
      </c>
      <c r="B5313" s="9" t="s">
        <v>10838</v>
      </c>
      <c r="C5313" s="9" t="s">
        <v>2711</v>
      </c>
      <c r="D5313" s="9" t="s">
        <v>101</v>
      </c>
      <c r="E5313" s="6" t="s">
        <v>10889</v>
      </c>
      <c r="F5313" s="9"/>
    </row>
    <row r="5314" ht="33.75" customHeight="1">
      <c r="A5314" s="7">
        <v>182.0</v>
      </c>
      <c r="B5314" s="9" t="s">
        <v>10838</v>
      </c>
      <c r="C5314" s="9" t="s">
        <v>2711</v>
      </c>
      <c r="D5314" s="9" t="s">
        <v>105</v>
      </c>
      <c r="E5314" s="6" t="s">
        <v>10863</v>
      </c>
      <c r="F5314" s="9"/>
    </row>
    <row r="5315" ht="33.75" customHeight="1">
      <c r="A5315" s="7">
        <v>182.0</v>
      </c>
      <c r="B5315" s="9" t="s">
        <v>10838</v>
      </c>
      <c r="C5315" s="9" t="s">
        <v>2711</v>
      </c>
      <c r="D5315" s="9" t="s">
        <v>107</v>
      </c>
      <c r="E5315" s="6" t="s">
        <v>10895</v>
      </c>
      <c r="F5315" s="9"/>
    </row>
    <row r="5316" ht="33.75" customHeight="1">
      <c r="A5316" s="7">
        <v>182.0</v>
      </c>
      <c r="B5316" s="9" t="s">
        <v>10838</v>
      </c>
      <c r="C5316" s="9" t="s">
        <v>2711</v>
      </c>
      <c r="D5316" s="9" t="s">
        <v>109</v>
      </c>
      <c r="E5316" s="6" t="s">
        <v>10899</v>
      </c>
      <c r="F5316" s="9"/>
    </row>
    <row r="5317" ht="33.75" customHeight="1">
      <c r="A5317" s="7">
        <v>182.0</v>
      </c>
      <c r="B5317" s="9" t="s">
        <v>10838</v>
      </c>
      <c r="C5317" s="9" t="s">
        <v>2711</v>
      </c>
      <c r="D5317" s="9" t="s">
        <v>114</v>
      </c>
      <c r="E5317" s="6" t="s">
        <v>10842</v>
      </c>
      <c r="F5317" s="9"/>
    </row>
    <row r="5318" ht="33.75" customHeight="1">
      <c r="A5318" s="7">
        <v>182.0</v>
      </c>
      <c r="B5318" s="9" t="s">
        <v>10838</v>
      </c>
      <c r="C5318" s="9" t="s">
        <v>2711</v>
      </c>
      <c r="D5318" s="9" t="s">
        <v>117</v>
      </c>
      <c r="E5318" s="6" t="s">
        <v>10889</v>
      </c>
      <c r="F5318" s="9"/>
    </row>
    <row r="5319" ht="33.75" customHeight="1">
      <c r="A5319" s="7">
        <v>183.0</v>
      </c>
      <c r="B5319" s="9" t="s">
        <v>10903</v>
      </c>
      <c r="C5319" s="9" t="s">
        <v>10904</v>
      </c>
      <c r="D5319" s="9" t="s">
        <v>52</v>
      </c>
      <c r="E5319" s="6" t="s">
        <v>10906</v>
      </c>
      <c r="F5319" t="inlineStr" s="10">
        <is>
          <t xml:space="preserve">Marillin pyrstönkärki, joka sisältää vettä kevyempää öljyä, antaa sen uida hukkumatta. Sen pyrstön pää toimii poijuna, joka estää sitä hukkumasta edes voimakkaassa virtauksessa. Sen turkki hylkii luonnostaan ​​vettä. Se pysyy kuivana, jopa leikkiessään vedessä. MARILLin öljyinen pyrstö toimii paljolti pelastusrenkaan tavoin. Jos näet jo pelkästään sen pyrstön kelluvan veden pinnalla, se on varma merkki siitä, että tämä POKéMON sukeltaa veden alle syömään vesikasveja. Kun MARILL kalastaa ruokaa nopeasti virtaavan puron reunalla, se kietoo pyrstönsä puun rungon ympärille. Tämän POKéMONin häntä on joustava ja venyvä. Sen ruumis on peitetty vettähylkivällä turkilla. Turkin ansiosta se voi uida vedessä suurella nopeudella veden vastuksen hidastumatta. Sen pyrstönpää, joka sisältää vettä kevyempää öljyä, antaa sen uida hukkumatta. Se sukeltaa veden alla käyttäen pyrstöään kellukkeena. Se syö mielellään jokien pohjassa kasvavia kasveja. Sen pyrstön kärki on täynnä vettä kevyempää öljyä, joten se toimii kellukkeena. Öljyinen pyrstönpää kelluu vedessä. Se estää MARILLia hukkumasta edes voimakkaassa virtauksessa. Öljyllä täytetty pyrstö toimii poijuna, joten se sopii hyvin myös voimakkaissa joissa. Marillin öljyinen häntä toimii paljolti pelastusrenkaan tavoin. Jos näet vain sen hännän kelluvan veden pinnalla, se on varma merkki siitä, että tämä Pokémon sukeltaa veden alle syömään vesikasveja. Kun Marill kalastaa ruokaa nopeasti virtaavan puron reunalla, se kietoo häntänsä puun rungon ympärille. Tämän Pokémonin häntä on joustava ja muotoiltu venymään. Tämä Pokémon käyttää pyöreää häntäänsä kellukkeena. Marillin hännän pallo on täynnä ravinteita, jotka on muutettu öljyksi. Vaikka Marill ui kylmässä meressä, sen vettähylkivä turkki kuivuu lähes heti Marillin noustua vedestä. Siksi tämä Pokémon ei ole koskaan kylmä.</t>
        </is>
      </c>
    </row>
    <row r="5320" ht="33.75" customHeight="1">
      <c r="A5320" s="7">
        <v>183.0</v>
      </c>
      <c r="B5320" s="9" t="s">
        <v>10903</v>
      </c>
      <c r="C5320" s="9" t="s">
        <v>10904</v>
      </c>
      <c r="D5320" s="9" t="s">
        <v>59</v>
      </c>
      <c r="E5320" s="6" t="s">
        <v>10909</v>
      </c>
      <c r="F5320" s="9"/>
    </row>
    <row r="5321" ht="33.75" customHeight="1">
      <c r="A5321" s="7">
        <v>183.0</v>
      </c>
      <c r="B5321" s="9" t="s">
        <v>10903</v>
      </c>
      <c r="C5321" s="9" t="s">
        <v>10904</v>
      </c>
      <c r="D5321" s="9" t="s">
        <v>64</v>
      </c>
      <c r="E5321" s="6" t="s">
        <v>10912</v>
      </c>
      <c r="F5321" s="9"/>
    </row>
    <row r="5322" ht="33.75" customHeight="1">
      <c r="A5322" s="7">
        <v>183.0</v>
      </c>
      <c r="B5322" s="9" t="s">
        <v>10903</v>
      </c>
      <c r="C5322" s="9" t="s">
        <v>10904</v>
      </c>
      <c r="D5322" s="9" t="s">
        <v>67</v>
      </c>
      <c r="E5322" s="6" t="s">
        <v>10915</v>
      </c>
      <c r="F5322" s="9"/>
    </row>
    <row r="5323" ht="33.75" customHeight="1">
      <c r="A5323" s="7">
        <v>183.0</v>
      </c>
      <c r="B5323" s="9" t="s">
        <v>10903</v>
      </c>
      <c r="C5323" s="9" t="s">
        <v>10904</v>
      </c>
      <c r="D5323" s="9" t="s">
        <v>71</v>
      </c>
      <c r="E5323" s="6" t="s">
        <v>10917</v>
      </c>
      <c r="F5323" s="9"/>
    </row>
    <row r="5324" ht="33.75" customHeight="1">
      <c r="A5324" s="7">
        <v>183.0</v>
      </c>
      <c r="B5324" s="9" t="s">
        <v>10903</v>
      </c>
      <c r="C5324" s="9" t="s">
        <v>10904</v>
      </c>
      <c r="D5324" s="9" t="s">
        <v>73</v>
      </c>
      <c r="E5324" s="6" t="s">
        <v>10920</v>
      </c>
      <c r="F5324" s="9"/>
    </row>
    <row r="5325" ht="33.75" customHeight="1">
      <c r="A5325" s="7">
        <v>183.0</v>
      </c>
      <c r="B5325" s="9" t="s">
        <v>10903</v>
      </c>
      <c r="C5325" s="9" t="s">
        <v>10904</v>
      </c>
      <c r="D5325" s="9" t="s">
        <v>75</v>
      </c>
      <c r="E5325" s="6" t="s">
        <v>10909</v>
      </c>
      <c r="F5325" s="9"/>
    </row>
    <row r="5326" ht="33.75" customHeight="1">
      <c r="A5326" s="7">
        <v>183.0</v>
      </c>
      <c r="B5326" s="9" t="s">
        <v>10903</v>
      </c>
      <c r="C5326" s="9" t="s">
        <v>10904</v>
      </c>
      <c r="D5326" s="9" t="s">
        <v>79</v>
      </c>
      <c r="E5326" s="6" t="s">
        <v>10924</v>
      </c>
      <c r="F5326" s="9"/>
    </row>
    <row r="5327" ht="33.75" customHeight="1">
      <c r="A5327" s="7">
        <v>183.0</v>
      </c>
      <c r="B5327" s="9" t="s">
        <v>10903</v>
      </c>
      <c r="C5327" s="9" t="s">
        <v>10904</v>
      </c>
      <c r="D5327" s="9" t="s">
        <v>81</v>
      </c>
      <c r="E5327" s="6" t="s">
        <v>10926</v>
      </c>
      <c r="F5327" s="9"/>
    </row>
    <row r="5328" ht="33.75" customHeight="1">
      <c r="A5328" s="7">
        <v>183.0</v>
      </c>
      <c r="B5328" s="9" t="s">
        <v>10903</v>
      </c>
      <c r="C5328" s="9" t="s">
        <v>10904</v>
      </c>
      <c r="D5328" s="9" t="s">
        <v>84</v>
      </c>
      <c r="E5328" s="6" t="s">
        <v>10928</v>
      </c>
      <c r="F5328" s="9"/>
    </row>
    <row r="5329" ht="33.75" customHeight="1">
      <c r="A5329" s="7">
        <v>183.0</v>
      </c>
      <c r="B5329" s="9" t="s">
        <v>10903</v>
      </c>
      <c r="C5329" s="9" t="s">
        <v>10904</v>
      </c>
      <c r="D5329" s="9" t="s">
        <v>87</v>
      </c>
      <c r="E5329" s="6" t="s">
        <v>10932</v>
      </c>
      <c r="F5329" s="9"/>
    </row>
    <row r="5330" ht="33.75" customHeight="1">
      <c r="A5330" s="7">
        <v>183.0</v>
      </c>
      <c r="B5330" s="9" t="s">
        <v>10903</v>
      </c>
      <c r="C5330" s="9" t="s">
        <v>10904</v>
      </c>
      <c r="D5330" s="9" t="s">
        <v>89</v>
      </c>
      <c r="E5330" s="6" t="s">
        <v>10924</v>
      </c>
      <c r="F5330" s="9"/>
    </row>
    <row r="5331" ht="33.75" customHeight="1">
      <c r="A5331" s="7">
        <v>183.0</v>
      </c>
      <c r="B5331" s="9" t="s">
        <v>10903</v>
      </c>
      <c r="C5331" s="9" t="s">
        <v>10904</v>
      </c>
      <c r="D5331" s="9" t="s">
        <v>91</v>
      </c>
      <c r="E5331" s="6" t="s">
        <v>10909</v>
      </c>
      <c r="F5331" s="9"/>
    </row>
    <row r="5332" ht="33.75" customHeight="1">
      <c r="A5332" s="7">
        <v>183.0</v>
      </c>
      <c r="B5332" s="9" t="s">
        <v>10903</v>
      </c>
      <c r="C5332" s="9" t="s">
        <v>10904</v>
      </c>
      <c r="D5332" s="9" t="s">
        <v>93</v>
      </c>
      <c r="E5332" s="6" t="s">
        <v>10939</v>
      </c>
      <c r="F5332" s="9"/>
    </row>
    <row r="5333" ht="33.75" customHeight="1">
      <c r="A5333" s="7">
        <v>183.0</v>
      </c>
      <c r="B5333" s="9" t="s">
        <v>10903</v>
      </c>
      <c r="C5333" s="9" t="s">
        <v>10904</v>
      </c>
      <c r="D5333" s="9" t="s">
        <v>95</v>
      </c>
      <c r="E5333" s="6" t="s">
        <v>10939</v>
      </c>
      <c r="F5333" s="9"/>
    </row>
    <row r="5334" ht="33.75" customHeight="1">
      <c r="A5334" s="7">
        <v>183.0</v>
      </c>
      <c r="B5334" s="9" t="s">
        <v>10903</v>
      </c>
      <c r="C5334" s="9" t="s">
        <v>10904</v>
      </c>
      <c r="D5334" s="9" t="s">
        <v>98</v>
      </c>
      <c r="E5334" s="6" t="s">
        <v>10943</v>
      </c>
      <c r="F5334" s="9"/>
    </row>
    <row r="5335" ht="33.75" customHeight="1">
      <c r="A5335" s="7">
        <v>183.0</v>
      </c>
      <c r="B5335" s="9" t="s">
        <v>10903</v>
      </c>
      <c r="C5335" s="9" t="s">
        <v>10904</v>
      </c>
      <c r="D5335" s="9" t="s">
        <v>99</v>
      </c>
      <c r="E5335" s="6" t="s">
        <v>10943</v>
      </c>
      <c r="F5335" s="9"/>
    </row>
    <row r="5336" ht="33.75" customHeight="1">
      <c r="A5336" s="7">
        <v>183.0</v>
      </c>
      <c r="B5336" s="9" t="s">
        <v>10903</v>
      </c>
      <c r="C5336" s="9" t="s">
        <v>10904</v>
      </c>
      <c r="D5336" s="9" t="s">
        <v>101</v>
      </c>
      <c r="E5336" s="6" t="s">
        <v>10912</v>
      </c>
      <c r="F5336" s="9"/>
    </row>
    <row r="5337" ht="33.75" customHeight="1">
      <c r="A5337" s="7">
        <v>183.0</v>
      </c>
      <c r="B5337" s="9" t="s">
        <v>10903</v>
      </c>
      <c r="C5337" s="9" t="s">
        <v>10904</v>
      </c>
      <c r="D5337" s="9" t="s">
        <v>105</v>
      </c>
      <c r="E5337" s="6" t="s">
        <v>10928</v>
      </c>
      <c r="F5337" s="9"/>
    </row>
    <row r="5338" ht="33.75" customHeight="1">
      <c r="A5338" s="7">
        <v>183.0</v>
      </c>
      <c r="B5338" s="9" t="s">
        <v>10903</v>
      </c>
      <c r="C5338" s="9" t="s">
        <v>10904</v>
      </c>
      <c r="D5338" s="9" t="s">
        <v>107</v>
      </c>
      <c r="E5338" s="6" t="s">
        <v>10949</v>
      </c>
      <c r="F5338" s="9"/>
    </row>
    <row r="5339" ht="33.75" customHeight="1">
      <c r="A5339" s="7">
        <v>183.0</v>
      </c>
      <c r="B5339" s="9" t="s">
        <v>10903</v>
      </c>
      <c r="C5339" s="9" t="s">
        <v>10904</v>
      </c>
      <c r="D5339" s="9" t="s">
        <v>109</v>
      </c>
      <c r="E5339" s="6" t="s">
        <v>10951</v>
      </c>
      <c r="F5339" s="9"/>
    </row>
    <row r="5340" ht="33.75" customHeight="1">
      <c r="A5340" s="7">
        <v>183.0</v>
      </c>
      <c r="B5340" s="9" t="s">
        <v>10903</v>
      </c>
      <c r="C5340" s="9" t="s">
        <v>10904</v>
      </c>
      <c r="D5340" s="9" t="s">
        <v>114</v>
      </c>
      <c r="E5340" s="6" t="s">
        <v>10954</v>
      </c>
      <c r="F5340" s="9"/>
    </row>
    <row r="5341" ht="33.75" customHeight="1">
      <c r="A5341" s="7">
        <v>183.0</v>
      </c>
      <c r="B5341" s="9" t="s">
        <v>10903</v>
      </c>
      <c r="C5341" s="9" t="s">
        <v>10904</v>
      </c>
      <c r="D5341" s="9" t="s">
        <v>117</v>
      </c>
      <c r="E5341" s="6" t="s">
        <v>10957</v>
      </c>
      <c r="F5341" s="9"/>
    </row>
    <row r="5342" ht="33.75" customHeight="1">
      <c r="A5342" s="7">
        <v>184.0</v>
      </c>
      <c r="B5342" s="9" t="s">
        <v>10959</v>
      </c>
      <c r="C5342" s="9" t="s">
        <v>10960</v>
      </c>
      <c r="D5342" s="9" t="s">
        <v>52</v>
      </c>
      <c r="E5342" s="6" t="s">
        <v>10961</v>
      </c>
      <c r="F5342" t="inlineStr" s="10">
        <is>
          <t xml:space="preserve">Pysymällä paikallaan ja kuuntelemalla tarkkaavaisesti se voi kertoa, mitä on jopa villeissä, nopeasti virtaavissa joissa. Kun se leikkii vedessä, se kääntää pitkänomaiset korvansa ylös estääkseen niiden sisäpuolen kastumisen. Vatsan kuplamainen kuvio auttaa sitä naamioimaan itsensä vedessä. AZUMARILLin pitkät korvat ovat korvaamattomia antureita. Keskittämällä kuuloaan tämä POKéMON pystyy tunnistamaan ympärillä olevia saaliseläimiä jopa kovaäänisissä ja nopeasti virtaavissa joissa. AZUMARILL osaa tehdä ilmapalloja ilmasta. Se tekee näitä ilmapalloja, jos se havaitsee hukkuvan POKéMONin. Ilmapallot mahdollistavat pulassa olevan POKéMONin hengittämisen. Se elää vedessä käytännössä koko päivän. Sen ruumiin väri ja kuvio toimivat naamiointina, minkä vuoksi vihollisten on vaikea havaita sitä vedessä. Pysymällä paikallaan ja kuuntelemalla tarkkaavaisesti se voi jopa kertoa, mitä on villeissä, nopeasti virtaavissa joissa. Se elää joissa ja järvissä. Vedessä sen väritys ja kuviot hämäävät vihollisten näkökyvyn. Sen pitkät korvat ovat erinomaisia ​​aistimia. Se pystyy erottamaan elävien olentojen liikkeet joenuomissa. Se voi viettää koko päivän vedessä, koska se voi hengittää ja varastoida suuren määrän ilmaa. Se pystyy erottamaan vedessä olevien esineiden liikkeet ja kertomaan, mitä ne ovat. Keskittämällä kuuloaan tämä Pokémon pystyy tunnistamaan ympärillä olevia saaliseläimiä jopa karuissa ja nopeasti virtaavissa joissa. Azumarill voi tehdä ilmapalloja ilmasta. Se viettää suurimman osan ajastaan ​​vedessä. Aurinkoisina päivinä Azumarill kelluu veden pinnalla ja ottaa aurinkoa. Nämä Pokémonit luovat ilmatäytteisiä kuplia. Kun Azurill leikkii joissa, Azumarill peittää ne näillä kuplilla.</t>
        </is>
      </c>
    </row>
    <row r="5343" ht="33.75" customHeight="1">
      <c r="A5343" s="7">
        <v>184.0</v>
      </c>
      <c r="B5343" s="9" t="s">
        <v>10959</v>
      </c>
      <c r="C5343" s="9" t="s">
        <v>10960</v>
      </c>
      <c r="D5343" s="9" t="s">
        <v>59</v>
      </c>
      <c r="E5343" s="6" t="s">
        <v>10963</v>
      </c>
      <c r="F5343" s="9"/>
    </row>
    <row r="5344" ht="33.75" customHeight="1">
      <c r="A5344" s="7">
        <v>184.0</v>
      </c>
      <c r="B5344" s="9" t="s">
        <v>10959</v>
      </c>
      <c r="C5344" s="9" t="s">
        <v>10960</v>
      </c>
      <c r="D5344" s="9" t="s">
        <v>64</v>
      </c>
      <c r="E5344" s="6" t="s">
        <v>10965</v>
      </c>
      <c r="F5344" s="9"/>
    </row>
    <row r="5345" ht="33.75" customHeight="1">
      <c r="A5345" s="7">
        <v>184.0</v>
      </c>
      <c r="B5345" s="9" t="s">
        <v>10959</v>
      </c>
      <c r="C5345" s="9" t="s">
        <v>10960</v>
      </c>
      <c r="D5345" s="9" t="s">
        <v>67</v>
      </c>
      <c r="E5345" s="6" t="s">
        <v>10968</v>
      </c>
      <c r="F5345" s="9"/>
    </row>
    <row r="5346" ht="33.75" customHeight="1">
      <c r="A5346" s="7">
        <v>184.0</v>
      </c>
      <c r="B5346" s="9" t="s">
        <v>10959</v>
      </c>
      <c r="C5346" s="9" t="s">
        <v>10960</v>
      </c>
      <c r="D5346" s="9" t="s">
        <v>71</v>
      </c>
      <c r="E5346" s="6" t="s">
        <v>10970</v>
      </c>
      <c r="F5346" s="9"/>
    </row>
    <row r="5347" ht="33.75" customHeight="1">
      <c r="A5347" s="7">
        <v>184.0</v>
      </c>
      <c r="B5347" s="9" t="s">
        <v>10959</v>
      </c>
      <c r="C5347" s="9" t="s">
        <v>10960</v>
      </c>
      <c r="D5347" s="9" t="s">
        <v>73</v>
      </c>
      <c r="E5347" s="6" t="s">
        <v>10972</v>
      </c>
      <c r="F5347" s="9"/>
    </row>
    <row r="5348" ht="33.75" customHeight="1">
      <c r="A5348" s="7">
        <v>184.0</v>
      </c>
      <c r="B5348" s="9" t="s">
        <v>10959</v>
      </c>
      <c r="C5348" s="9" t="s">
        <v>10960</v>
      </c>
      <c r="D5348" s="9" t="s">
        <v>75</v>
      </c>
      <c r="E5348" s="6" t="s">
        <v>10963</v>
      </c>
      <c r="F5348" s="9"/>
    </row>
    <row r="5349" ht="33.75" customHeight="1">
      <c r="A5349" s="7">
        <v>184.0</v>
      </c>
      <c r="B5349" s="9" t="s">
        <v>10959</v>
      </c>
      <c r="C5349" s="9" t="s">
        <v>10960</v>
      </c>
      <c r="D5349" s="9" t="s">
        <v>79</v>
      </c>
      <c r="E5349" s="6" t="s">
        <v>10976</v>
      </c>
      <c r="F5349" s="9"/>
    </row>
    <row r="5350" ht="33.75" customHeight="1">
      <c r="A5350" s="7">
        <v>184.0</v>
      </c>
      <c r="B5350" s="9" t="s">
        <v>10959</v>
      </c>
      <c r="C5350" s="9" t="s">
        <v>10960</v>
      </c>
      <c r="D5350" s="9" t="s">
        <v>81</v>
      </c>
      <c r="E5350" s="6" t="s">
        <v>10978</v>
      </c>
      <c r="F5350" s="9"/>
    </row>
    <row r="5351" ht="33.75" customHeight="1">
      <c r="A5351" s="7">
        <v>184.0</v>
      </c>
      <c r="B5351" s="9" t="s">
        <v>10959</v>
      </c>
      <c r="C5351" s="9" t="s">
        <v>10960</v>
      </c>
      <c r="D5351" s="9" t="s">
        <v>84</v>
      </c>
      <c r="E5351" s="6" t="s">
        <v>10981</v>
      </c>
      <c r="F5351" s="9"/>
    </row>
    <row r="5352" ht="33.75" customHeight="1">
      <c r="A5352" s="7">
        <v>184.0</v>
      </c>
      <c r="B5352" s="9" t="s">
        <v>10959</v>
      </c>
      <c r="C5352" s="9" t="s">
        <v>10960</v>
      </c>
      <c r="D5352" s="9" t="s">
        <v>87</v>
      </c>
      <c r="E5352" s="6" t="s">
        <v>10983</v>
      </c>
      <c r="F5352" s="9"/>
    </row>
    <row r="5353" ht="33.75" customHeight="1">
      <c r="A5353" s="7">
        <v>184.0</v>
      </c>
      <c r="B5353" s="9" t="s">
        <v>10959</v>
      </c>
      <c r="C5353" s="9" t="s">
        <v>10960</v>
      </c>
      <c r="D5353" s="9" t="s">
        <v>89</v>
      </c>
      <c r="E5353" s="6" t="s">
        <v>10961</v>
      </c>
      <c r="F5353" s="9"/>
    </row>
    <row r="5354" ht="33.75" customHeight="1">
      <c r="A5354" s="7">
        <v>184.0</v>
      </c>
      <c r="B5354" s="9" t="s">
        <v>10959</v>
      </c>
      <c r="C5354" s="9" t="s">
        <v>10960</v>
      </c>
      <c r="D5354" s="9" t="s">
        <v>91</v>
      </c>
      <c r="E5354" s="6" t="s">
        <v>10963</v>
      </c>
      <c r="F5354" s="9"/>
    </row>
    <row r="5355" ht="33.75" customHeight="1">
      <c r="A5355" s="7">
        <v>184.0</v>
      </c>
      <c r="B5355" s="9" t="s">
        <v>10959</v>
      </c>
      <c r="C5355" s="9" t="s">
        <v>10960</v>
      </c>
      <c r="D5355" s="9" t="s">
        <v>93</v>
      </c>
      <c r="E5355" s="6" t="s">
        <v>10983</v>
      </c>
      <c r="F5355" s="9"/>
    </row>
    <row r="5356" ht="33.75" customHeight="1">
      <c r="A5356" s="7">
        <v>184.0</v>
      </c>
      <c r="B5356" s="9" t="s">
        <v>10959</v>
      </c>
      <c r="C5356" s="9" t="s">
        <v>10960</v>
      </c>
      <c r="D5356" s="9" t="s">
        <v>95</v>
      </c>
      <c r="E5356" s="6" t="s">
        <v>10983</v>
      </c>
      <c r="F5356" s="9"/>
    </row>
    <row r="5357" ht="33.75" customHeight="1">
      <c r="A5357" s="7">
        <v>184.0</v>
      </c>
      <c r="B5357" s="9" t="s">
        <v>10959</v>
      </c>
      <c r="C5357" s="9" t="s">
        <v>10960</v>
      </c>
      <c r="D5357" s="9" t="s">
        <v>98</v>
      </c>
      <c r="E5357" s="6" t="s">
        <v>10994</v>
      </c>
      <c r="F5357" s="9"/>
    </row>
    <row r="5358" ht="33.75" customHeight="1">
      <c r="A5358" s="7">
        <v>184.0</v>
      </c>
      <c r="B5358" s="9" t="s">
        <v>10959</v>
      </c>
      <c r="C5358" s="9" t="s">
        <v>10960</v>
      </c>
      <c r="D5358" s="9" t="s">
        <v>99</v>
      </c>
      <c r="E5358" s="6" t="s">
        <v>10994</v>
      </c>
      <c r="F5358" s="9"/>
    </row>
    <row r="5359" ht="33.75" customHeight="1">
      <c r="A5359" s="7">
        <v>184.0</v>
      </c>
      <c r="B5359" s="9" t="s">
        <v>10959</v>
      </c>
      <c r="C5359" s="9" t="s">
        <v>10960</v>
      </c>
      <c r="D5359" s="9" t="s">
        <v>101</v>
      </c>
      <c r="E5359" s="6" t="s">
        <v>10981</v>
      </c>
      <c r="F5359" s="9"/>
    </row>
    <row r="5360" ht="33.75" customHeight="1">
      <c r="A5360" s="7">
        <v>184.0</v>
      </c>
      <c r="B5360" s="9" t="s">
        <v>10959</v>
      </c>
      <c r="C5360" s="9" t="s">
        <v>10960</v>
      </c>
      <c r="D5360" s="9" t="s">
        <v>105</v>
      </c>
      <c r="E5360" s="6" t="s">
        <v>10965</v>
      </c>
      <c r="F5360" s="9"/>
    </row>
    <row r="5361" ht="33.75" customHeight="1">
      <c r="A5361" s="7">
        <v>184.0</v>
      </c>
      <c r="B5361" s="9" t="s">
        <v>10959</v>
      </c>
      <c r="C5361" s="9" t="s">
        <v>10960</v>
      </c>
      <c r="D5361" s="9" t="s">
        <v>107</v>
      </c>
      <c r="E5361" s="6" t="s">
        <v>11001</v>
      </c>
      <c r="F5361" s="9"/>
    </row>
    <row r="5362" ht="33.75" customHeight="1">
      <c r="A5362" s="7">
        <v>184.0</v>
      </c>
      <c r="B5362" s="9" t="s">
        <v>10959</v>
      </c>
      <c r="C5362" s="9" t="s">
        <v>10960</v>
      </c>
      <c r="D5362" s="9" t="s">
        <v>109</v>
      </c>
      <c r="E5362" s="6" t="s">
        <v>11003</v>
      </c>
      <c r="F5362" s="9"/>
    </row>
    <row r="5363" ht="33.75" customHeight="1">
      <c r="A5363" s="7">
        <v>184.0</v>
      </c>
      <c r="B5363" s="9" t="s">
        <v>10959</v>
      </c>
      <c r="C5363" s="9" t="s">
        <v>10960</v>
      </c>
      <c r="D5363" s="9" t="s">
        <v>114</v>
      </c>
      <c r="E5363" s="6" t="s">
        <v>11006</v>
      </c>
      <c r="F5363" s="9"/>
    </row>
    <row r="5364" ht="33.75" customHeight="1">
      <c r="A5364" s="7">
        <v>184.0</v>
      </c>
      <c r="B5364" s="9" t="s">
        <v>10959</v>
      </c>
      <c r="C5364" s="9" t="s">
        <v>10960</v>
      </c>
      <c r="D5364" s="9" t="s">
        <v>117</v>
      </c>
      <c r="E5364" s="6" t="s">
        <v>11008</v>
      </c>
      <c r="F5364" s="9"/>
    </row>
    <row r="5365" ht="33.75" customHeight="1">
      <c r="A5365" s="7">
        <v>185.0</v>
      </c>
      <c r="B5365" s="9" t="s">
        <v>11010</v>
      </c>
      <c r="C5365" s="9" t="s">
        <v>11011</v>
      </c>
      <c r="D5365" s="9" t="s">
        <v>52</v>
      </c>
      <c r="E5365" s="6" t="s">
        <v>11013</v>
      </c>
      <c r="F5365" t="inlineStr" s="10">
        <is>
          <t xml:space="preserve">Vaikka se aina teeskentelee olevansa puu, Sudowoodon koostumus näyttää olevan lähempänä kiveä kuin kasvia. Se naamioituu puuksi välttääkseen hyökkäyksen. Se vihaa vettä, joten se katoaa, jos alkaa sataa. Jos puun oksa tärisee, kun ei ole tuulta, se on SUDOWOODO, ei puu. Se piiloutuu sateelta. Sudowoodo naamioi itsensä puuksi välttääkseen vihollisten hyökkäyksiä. Koska etujalat pysyvät kuitenkin vihreinä ympäri vuoden, POKéMON on helppo tunnistaa feikkiksi talvella. Se matkii puuta välttääkseen vihollisten hyökkäyksiä. Mutta koska sen etujalat pysyvät vihreinä ympäri vuoden, se on helppo tunnistaa feikiksi talvella. Vaikka se näyttää puulta, sen ruumis on lähempänä kiviä ja kiviä. Se on hyvin heikko vedelle. Se seisoo polkujen varrella teeskennellen olevansa puu. Jos alkaa sataa, se näyttää katoavan. Välttääkseen hyökkäyksen se vain matkii puuta. Se vihaa vettä ja pakenee sadetta. Vaikka se aina teeskentelee olevansa puu, sen koostumus näyttää enemmän kalliolta kuin kasvillisuudelta. Koska sen kädet pysyvät kuitenkin vihreinä ympäri vuoden, Pokémon on helppo tunnistaa feikkiksi talvella. Välttääkseen hyökkäyksen se matkii puuta. Se juoksee karkuun, jos sitä roiskuu vedellä, mitä se vihaa. Ilmeisesti mitä suurempia tämän Pokémonin vihreät osat ovat, sitä enemmän keräilijät sitä arvostavat. Se on erityisen suosittu ikääntyneiden keskuudessa. Se on niin suosittu ikääntyneiden keskuudessa, että sille on omistettu oma aikakauslehti. Fanit ovat pakkomielteisesti ihastuneet sen käsivarsien erityiseen pituuteen ja kulmaan. Saman asennon pitäminen koko ajan johtaa siihen, että käsivarsista on tullut notkeat mutta vahvat. Vaikka se teeskentelee olevansa puu, se ei onnistu hämäämään edes lapsia. Sen ruumis tuntuu kosketettaessa enemmän kiveltä kuin puunkuorelta. Sudowoodon äärimmäinen vastenmielisyys vettä kohtaan ansaitsee erityishuomion.</t>
        </is>
      </c>
    </row>
    <row r="5366" ht="33.75" customHeight="1">
      <c r="A5366" s="7">
        <v>185.0</v>
      </c>
      <c r="B5366" s="9" t="s">
        <v>11010</v>
      </c>
      <c r="C5366" s="9" t="s">
        <v>11011</v>
      </c>
      <c r="D5366" s="9" t="s">
        <v>59</v>
      </c>
      <c r="E5366" s="6" t="s">
        <v>11015</v>
      </c>
      <c r="F5366" s="9"/>
    </row>
    <row r="5367" ht="33.75" customHeight="1">
      <c r="A5367" s="7">
        <v>185.0</v>
      </c>
      <c r="B5367" s="9" t="s">
        <v>11010</v>
      </c>
      <c r="C5367" s="9" t="s">
        <v>11011</v>
      </c>
      <c r="D5367" s="9" t="s">
        <v>64</v>
      </c>
      <c r="E5367" s="6" t="s">
        <v>11017</v>
      </c>
      <c r="F5367" s="9"/>
    </row>
    <row r="5368" ht="33.75" customHeight="1">
      <c r="A5368" s="7">
        <v>185.0</v>
      </c>
      <c r="B5368" s="9" t="s">
        <v>11010</v>
      </c>
      <c r="C5368" s="9" t="s">
        <v>11011</v>
      </c>
      <c r="D5368" s="9" t="s">
        <v>67</v>
      </c>
      <c r="E5368" s="6" t="s">
        <v>11020</v>
      </c>
      <c r="F5368" s="9"/>
    </row>
    <row r="5369" ht="33.75" customHeight="1">
      <c r="A5369" s="7">
        <v>185.0</v>
      </c>
      <c r="B5369" s="9" t="s">
        <v>11010</v>
      </c>
      <c r="C5369" s="9" t="s">
        <v>11011</v>
      </c>
      <c r="D5369" s="9" t="s">
        <v>71</v>
      </c>
      <c r="E5369" s="6" t="s">
        <v>11020</v>
      </c>
      <c r="F5369" s="9"/>
    </row>
    <row r="5370" ht="33.75" customHeight="1">
      <c r="A5370" s="7">
        <v>185.0</v>
      </c>
      <c r="B5370" s="9" t="s">
        <v>11010</v>
      </c>
      <c r="C5370" s="9" t="s">
        <v>11011</v>
      </c>
      <c r="D5370" s="9" t="s">
        <v>73</v>
      </c>
      <c r="E5370" s="6" t="s">
        <v>11024</v>
      </c>
      <c r="F5370" s="9"/>
    </row>
    <row r="5371" ht="33.75" customHeight="1">
      <c r="A5371" s="7">
        <v>185.0</v>
      </c>
      <c r="B5371" s="9" t="s">
        <v>11010</v>
      </c>
      <c r="C5371" s="9" t="s">
        <v>11011</v>
      </c>
      <c r="D5371" s="9" t="s">
        <v>75</v>
      </c>
      <c r="E5371" s="6" t="s">
        <v>11015</v>
      </c>
      <c r="F5371" s="9"/>
    </row>
    <row r="5372" ht="33.75" customHeight="1">
      <c r="A5372" s="7">
        <v>185.0</v>
      </c>
      <c r="B5372" s="9" t="s">
        <v>11010</v>
      </c>
      <c r="C5372" s="9" t="s">
        <v>11011</v>
      </c>
      <c r="D5372" s="9" t="s">
        <v>79</v>
      </c>
      <c r="E5372" s="6" t="s">
        <v>11013</v>
      </c>
      <c r="F5372" s="9"/>
    </row>
    <row r="5373" ht="33.75" customHeight="1">
      <c r="A5373" s="7">
        <v>185.0</v>
      </c>
      <c r="B5373" s="9" t="s">
        <v>11010</v>
      </c>
      <c r="C5373" s="9" t="s">
        <v>11011</v>
      </c>
      <c r="D5373" s="9" t="s">
        <v>81</v>
      </c>
      <c r="E5373" s="6" t="s">
        <v>11028</v>
      </c>
      <c r="F5373" s="9"/>
    </row>
    <row r="5374" ht="33.75" customHeight="1">
      <c r="A5374" s="7">
        <v>185.0</v>
      </c>
      <c r="B5374" s="9" t="s">
        <v>11010</v>
      </c>
      <c r="C5374" s="9" t="s">
        <v>11011</v>
      </c>
      <c r="D5374" s="9" t="s">
        <v>84</v>
      </c>
      <c r="E5374" s="6" t="s">
        <v>11029</v>
      </c>
      <c r="F5374" s="9"/>
    </row>
    <row r="5375" ht="33.75" customHeight="1">
      <c r="A5375" s="7">
        <v>185.0</v>
      </c>
      <c r="B5375" s="9" t="s">
        <v>11010</v>
      </c>
      <c r="C5375" s="9" t="s">
        <v>11011</v>
      </c>
      <c r="D5375" s="9" t="s">
        <v>87</v>
      </c>
      <c r="E5375" s="6" t="s">
        <v>11032</v>
      </c>
      <c r="F5375" s="9"/>
    </row>
    <row r="5376" ht="33.75" customHeight="1">
      <c r="A5376" s="7">
        <v>185.0</v>
      </c>
      <c r="B5376" s="9" t="s">
        <v>11010</v>
      </c>
      <c r="C5376" s="9" t="s">
        <v>11011</v>
      </c>
      <c r="D5376" s="9" t="s">
        <v>89</v>
      </c>
      <c r="E5376" s="6" t="s">
        <v>11034</v>
      </c>
      <c r="F5376" s="9"/>
    </row>
    <row r="5377" ht="33.75" customHeight="1">
      <c r="A5377" s="7">
        <v>185.0</v>
      </c>
      <c r="B5377" s="9" t="s">
        <v>11010</v>
      </c>
      <c r="C5377" s="9" t="s">
        <v>11011</v>
      </c>
      <c r="D5377" s="9" t="s">
        <v>91</v>
      </c>
      <c r="E5377" s="6" t="s">
        <v>11015</v>
      </c>
      <c r="F5377" s="9"/>
    </row>
    <row r="5378" ht="33.75" customHeight="1">
      <c r="A5378" s="7">
        <v>185.0</v>
      </c>
      <c r="B5378" s="9" t="s">
        <v>11010</v>
      </c>
      <c r="C5378" s="9" t="s">
        <v>11011</v>
      </c>
      <c r="D5378" s="9" t="s">
        <v>93</v>
      </c>
      <c r="E5378" s="6" t="s">
        <v>11032</v>
      </c>
      <c r="F5378" s="9"/>
    </row>
    <row r="5379" ht="33.75" customHeight="1">
      <c r="A5379" s="7">
        <v>185.0</v>
      </c>
      <c r="B5379" s="9" t="s">
        <v>11010</v>
      </c>
      <c r="C5379" s="9" t="s">
        <v>11011</v>
      </c>
      <c r="D5379" s="9" t="s">
        <v>95</v>
      </c>
      <c r="E5379" s="6" t="s">
        <v>11032</v>
      </c>
      <c r="F5379" s="9"/>
    </row>
    <row r="5380" ht="33.75" customHeight="1">
      <c r="A5380" s="7">
        <v>185.0</v>
      </c>
      <c r="B5380" s="9" t="s">
        <v>11010</v>
      </c>
      <c r="C5380" s="9" t="s">
        <v>11011</v>
      </c>
      <c r="D5380" s="9" t="s">
        <v>98</v>
      </c>
      <c r="E5380" s="6" t="s">
        <v>11032</v>
      </c>
      <c r="F5380" s="9"/>
    </row>
    <row r="5381" ht="33.75" customHeight="1">
      <c r="A5381" s="7">
        <v>185.0</v>
      </c>
      <c r="B5381" s="9" t="s">
        <v>11010</v>
      </c>
      <c r="C5381" s="9" t="s">
        <v>11011</v>
      </c>
      <c r="D5381" s="9" t="s">
        <v>99</v>
      </c>
      <c r="E5381" s="6" t="s">
        <v>11032</v>
      </c>
      <c r="F5381" s="9"/>
    </row>
    <row r="5382" ht="33.75" customHeight="1">
      <c r="A5382" s="7">
        <v>185.0</v>
      </c>
      <c r="B5382" s="9" t="s">
        <v>11010</v>
      </c>
      <c r="C5382" s="9" t="s">
        <v>11011</v>
      </c>
      <c r="D5382" s="9" t="s">
        <v>101</v>
      </c>
      <c r="E5382" s="6" t="s">
        <v>11034</v>
      </c>
      <c r="F5382" s="9"/>
    </row>
    <row r="5383" ht="33.75" customHeight="1">
      <c r="A5383" s="7">
        <v>185.0</v>
      </c>
      <c r="B5383" s="9" t="s">
        <v>11010</v>
      </c>
      <c r="C5383" s="9" t="s">
        <v>11011</v>
      </c>
      <c r="D5383" s="9" t="s">
        <v>105</v>
      </c>
      <c r="E5383" s="6" t="s">
        <v>11015</v>
      </c>
      <c r="F5383" s="9"/>
    </row>
    <row r="5384" ht="33.75" customHeight="1">
      <c r="A5384" s="7">
        <v>185.0</v>
      </c>
      <c r="B5384" s="9" t="s">
        <v>11010</v>
      </c>
      <c r="C5384" s="9" t="s">
        <v>11011</v>
      </c>
      <c r="D5384" s="9" t="s">
        <v>107</v>
      </c>
      <c r="E5384" s="6" t="s">
        <v>11045</v>
      </c>
      <c r="F5384" s="9"/>
    </row>
    <row r="5385" ht="33.75" customHeight="1">
      <c r="A5385" s="7">
        <v>185.0</v>
      </c>
      <c r="B5385" s="9" t="s">
        <v>11010</v>
      </c>
      <c r="C5385" s="9" t="s">
        <v>11011</v>
      </c>
      <c r="D5385" s="9" t="s">
        <v>109</v>
      </c>
      <c r="E5385" s="6" t="s">
        <v>11045</v>
      </c>
      <c r="F5385" s="9"/>
    </row>
    <row r="5386" ht="33.75" customHeight="1">
      <c r="A5386" s="7">
        <v>185.0</v>
      </c>
      <c r="B5386" s="9" t="s">
        <v>11010</v>
      </c>
      <c r="C5386" s="9" t="s">
        <v>11011</v>
      </c>
      <c r="D5386" s="9" t="s">
        <v>637</v>
      </c>
      <c r="E5386" s="6" t="s">
        <v>11049</v>
      </c>
      <c r="F5386" s="9"/>
    </row>
    <row r="5387" ht="33.75" customHeight="1">
      <c r="A5387" s="7">
        <v>185.0</v>
      </c>
      <c r="B5387" s="9" t="s">
        <v>11010</v>
      </c>
      <c r="C5387" s="9" t="s">
        <v>11011</v>
      </c>
      <c r="D5387" s="9" t="s">
        <v>642</v>
      </c>
      <c r="E5387" s="6" t="s">
        <v>11050</v>
      </c>
      <c r="F5387" s="9"/>
    </row>
    <row r="5388" ht="33.75" customHeight="1">
      <c r="A5388" s="7">
        <v>185.0</v>
      </c>
      <c r="B5388" s="9" t="s">
        <v>11010</v>
      </c>
      <c r="C5388" s="9" t="s">
        <v>11011</v>
      </c>
      <c r="D5388" s="9" t="s">
        <v>647</v>
      </c>
      <c r="E5388" s="6" t="s">
        <v>11052</v>
      </c>
      <c r="F5388" s="9"/>
    </row>
    <row r="5389" ht="33.75" customHeight="1">
      <c r="A5389" s="7">
        <v>185.0</v>
      </c>
      <c r="B5389" s="9" t="s">
        <v>11010</v>
      </c>
      <c r="C5389" s="9" t="s">
        <v>11011</v>
      </c>
      <c r="D5389" s="9" t="s">
        <v>652</v>
      </c>
      <c r="E5389" s="6" t="s">
        <v>11054</v>
      </c>
      <c r="F5389" s="9"/>
    </row>
    <row r="5390" ht="33.75" customHeight="1">
      <c r="A5390" s="7">
        <v>185.0</v>
      </c>
      <c r="B5390" s="9" t="s">
        <v>11010</v>
      </c>
      <c r="C5390" s="9" t="s">
        <v>11011</v>
      </c>
      <c r="D5390" s="9" t="s">
        <v>114</v>
      </c>
      <c r="E5390" s="6" t="s">
        <v>11056</v>
      </c>
      <c r="F5390" s="9"/>
    </row>
    <row r="5391" ht="33.75" customHeight="1">
      <c r="A5391" s="7">
        <v>185.0</v>
      </c>
      <c r="B5391" s="9" t="s">
        <v>11010</v>
      </c>
      <c r="C5391" s="9" t="s">
        <v>11011</v>
      </c>
      <c r="D5391" s="9" t="s">
        <v>117</v>
      </c>
      <c r="E5391" s="6" t="s">
        <v>11015</v>
      </c>
      <c r="F5391" s="9"/>
    </row>
    <row r="5392" ht="33.75" customHeight="1">
      <c r="A5392" s="7">
        <v>185.0</v>
      </c>
      <c r="B5392" s="9" t="s">
        <v>11010</v>
      </c>
      <c r="C5392" s="9" t="s">
        <v>11011</v>
      </c>
      <c r="D5392" s="9" t="s">
        <v>1577</v>
      </c>
      <c r="E5392" s="6" t="s">
        <v>11058</v>
      </c>
      <c r="F5392" s="9"/>
    </row>
    <row r="5393" ht="33.75" customHeight="1">
      <c r="A5393" s="7">
        <v>186.0</v>
      </c>
      <c r="B5393" s="9" t="s">
        <v>11060</v>
      </c>
      <c r="C5393" s="9" t="s">
        <v>11061</v>
      </c>
      <c r="D5393" s="9" t="s">
        <v>52</v>
      </c>
      <c r="E5393" s="6" t="s">
        <v>11062</v>
      </c>
      <c r="F5393" t="inlineStr" s="10">
        <is>
          <t xml:space="preserve">Jos POLIWAG ja POLIWHIRL kuulevat Politoedin kaikuvan huudon, ne vastaavat kokoontumalla kaukaa ja laajalti. Aina kun kolme tai useampi näistä kokoontuu yhteen, ne laulavat kovaan ääneen, joka kuulostaa mölyn ääneltä. Kun se laajentaa kurkkuaan raakuttaakseen sävelmän, lähellä olevat POLIWAG ja POLIPYÖRÄ kokoontuvat välittömästi. POLITOEDin pään kiharat hiukset todistavat sen asemasta kuninkaana. Sanotaan, että mitä pidemmät ja kiharammat hiukset ovat, sitä enemmän kunnioitusta tämä POKéMON ansaitsee vertaisiltaan. Sen kiharat hiukset todistavat sen aseman kuninkaana. Sanotaan, että mitä pidemmät ja kiharammat hiukset, sitä enemmän kunnioitusta se ansaitsee tovereiltaan. Jos POLIWAG ja POLIPWHIRL kuulevat sen kaikuvan huudon, ne vastaavat kokoontumalla kaukaa ja laajalti. Se kokoaa joukon muita johtajikseen. Sen huudot saavat POLIWAGin tottelemaan. Ne kokoontuvat kuutamoöinä muodostamaan suuren kuoron. Niiden huuto kuulostaa vihaiselta ja epämiellyttävältä, mutta ne ovat varmasti tunnusomaisia. Se on Poliwagin ja Poliwhirlin johtaja. Kun Politoed karjuu, he kaikki vapisevat pelosta. Vaikka sen huudot kuulostavat kirkaisuilta, säveltäjä loi kauniin balladin, johon äänet vaikuttivat. Mitä pidemmät ja ylellisemmät kiharat sen päässä ovat, sitä useampi Poliwag ja Poliwhirl tottelee sitä. Illan hämärtyessä nämä Pokémonit ilmestyvät järvien rannoille. Ne ilmoittavat reviirivaatimuksistaan ​​päästämällä huutoja, jotka kuulostavat huudolta. Miehen huuto on kovempi kuin naisen. Syvällä, uhkaavalla äänellä varustetut politoed-urokset ovat suositumpia vastakkaisen sukupuolen keskuudessa.</t>
        </is>
      </c>
    </row>
    <row r="5394" ht="33.75" customHeight="1">
      <c r="A5394" s="7">
        <v>186.0</v>
      </c>
      <c r="B5394" s="9" t="s">
        <v>11060</v>
      </c>
      <c r="C5394" s="9" t="s">
        <v>11061</v>
      </c>
      <c r="D5394" s="9" t="s">
        <v>59</v>
      </c>
      <c r="E5394" s="6" t="s">
        <v>11064</v>
      </c>
      <c r="F5394" s="9"/>
    </row>
    <row r="5395" ht="33.75" customHeight="1">
      <c r="A5395" s="7">
        <v>186.0</v>
      </c>
      <c r="B5395" s="9" t="s">
        <v>11060</v>
      </c>
      <c r="C5395" s="9" t="s">
        <v>11061</v>
      </c>
      <c r="D5395" s="9" t="s">
        <v>64</v>
      </c>
      <c r="E5395" s="6" t="s">
        <v>11066</v>
      </c>
      <c r="F5395" s="9"/>
    </row>
    <row r="5396" ht="33.75" customHeight="1">
      <c r="A5396" s="7">
        <v>186.0</v>
      </c>
      <c r="B5396" s="9" t="s">
        <v>11060</v>
      </c>
      <c r="C5396" s="9" t="s">
        <v>11061</v>
      </c>
      <c r="D5396" s="9" t="s">
        <v>67</v>
      </c>
      <c r="E5396" s="6" t="s">
        <v>11067</v>
      </c>
      <c r="F5396" s="9"/>
    </row>
    <row r="5397" ht="33.75" customHeight="1">
      <c r="A5397" s="7">
        <v>186.0</v>
      </c>
      <c r="B5397" s="9" t="s">
        <v>11060</v>
      </c>
      <c r="C5397" s="9" t="s">
        <v>11061</v>
      </c>
      <c r="D5397" s="9" t="s">
        <v>71</v>
      </c>
      <c r="E5397" s="6" t="s">
        <v>11067</v>
      </c>
      <c r="F5397" s="9"/>
    </row>
    <row r="5398" ht="33.75" customHeight="1">
      <c r="A5398" s="7">
        <v>186.0</v>
      </c>
      <c r="B5398" s="9" t="s">
        <v>11060</v>
      </c>
      <c r="C5398" s="9" t="s">
        <v>11061</v>
      </c>
      <c r="D5398" s="9" t="s">
        <v>73</v>
      </c>
      <c r="E5398" s="6" t="s">
        <v>11071</v>
      </c>
      <c r="F5398" s="9"/>
    </row>
    <row r="5399" ht="33.75" customHeight="1">
      <c r="A5399" s="7">
        <v>186.0</v>
      </c>
      <c r="B5399" s="9" t="s">
        <v>11060</v>
      </c>
      <c r="C5399" s="9" t="s">
        <v>11061</v>
      </c>
      <c r="D5399" s="9" t="s">
        <v>75</v>
      </c>
      <c r="E5399" s="6" t="s">
        <v>11064</v>
      </c>
      <c r="F5399" s="9"/>
    </row>
    <row r="5400" ht="33.75" customHeight="1">
      <c r="A5400" s="7">
        <v>186.0</v>
      </c>
      <c r="B5400" s="9" t="s">
        <v>11060</v>
      </c>
      <c r="C5400" s="9" t="s">
        <v>11061</v>
      </c>
      <c r="D5400" s="9" t="s">
        <v>79</v>
      </c>
      <c r="E5400" s="6" t="s">
        <v>11073</v>
      </c>
      <c r="F5400" s="9"/>
    </row>
    <row r="5401" ht="33.75" customHeight="1">
      <c r="A5401" s="7">
        <v>186.0</v>
      </c>
      <c r="B5401" s="9" t="s">
        <v>11060</v>
      </c>
      <c r="C5401" s="9" t="s">
        <v>11061</v>
      </c>
      <c r="D5401" s="9" t="s">
        <v>81</v>
      </c>
      <c r="E5401" s="6" t="s">
        <v>11075</v>
      </c>
      <c r="F5401" s="9"/>
    </row>
    <row r="5402" ht="33.75" customHeight="1">
      <c r="A5402" s="7">
        <v>186.0</v>
      </c>
      <c r="B5402" s="9" t="s">
        <v>11060</v>
      </c>
      <c r="C5402" s="9" t="s">
        <v>11061</v>
      </c>
      <c r="D5402" s="9" t="s">
        <v>84</v>
      </c>
      <c r="E5402" s="6" t="s">
        <v>11075</v>
      </c>
      <c r="F5402" s="9"/>
    </row>
    <row r="5403" ht="33.75" customHeight="1">
      <c r="A5403" s="7">
        <v>186.0</v>
      </c>
      <c r="B5403" s="9" t="s">
        <v>11060</v>
      </c>
      <c r="C5403" s="9" t="s">
        <v>11061</v>
      </c>
      <c r="D5403" s="9" t="s">
        <v>87</v>
      </c>
      <c r="E5403" s="6" t="s">
        <v>11075</v>
      </c>
      <c r="F5403" s="9"/>
    </row>
    <row r="5404" ht="33.75" customHeight="1">
      <c r="A5404" s="7">
        <v>186.0</v>
      </c>
      <c r="B5404" s="9" t="s">
        <v>11060</v>
      </c>
      <c r="C5404" s="9" t="s">
        <v>11061</v>
      </c>
      <c r="D5404" s="9" t="s">
        <v>89</v>
      </c>
      <c r="E5404" s="6" t="s">
        <v>11073</v>
      </c>
      <c r="F5404" s="9"/>
    </row>
    <row r="5405" ht="33.75" customHeight="1">
      <c r="A5405" s="7">
        <v>186.0</v>
      </c>
      <c r="B5405" s="9" t="s">
        <v>11060</v>
      </c>
      <c r="C5405" s="9" t="s">
        <v>11061</v>
      </c>
      <c r="D5405" s="9" t="s">
        <v>91</v>
      </c>
      <c r="E5405" s="6" t="s">
        <v>11064</v>
      </c>
      <c r="F5405" s="9"/>
    </row>
    <row r="5406" ht="33.75" customHeight="1">
      <c r="A5406" s="7">
        <v>186.0</v>
      </c>
      <c r="B5406" s="9" t="s">
        <v>11060</v>
      </c>
      <c r="C5406" s="9" t="s">
        <v>11061</v>
      </c>
      <c r="D5406" s="9" t="s">
        <v>93</v>
      </c>
      <c r="E5406" s="6" t="s">
        <v>11080</v>
      </c>
      <c r="F5406" s="9"/>
    </row>
    <row r="5407" ht="33.75" customHeight="1">
      <c r="A5407" s="7">
        <v>186.0</v>
      </c>
      <c r="B5407" s="9" t="s">
        <v>11060</v>
      </c>
      <c r="C5407" s="9" t="s">
        <v>11061</v>
      </c>
      <c r="D5407" s="9" t="s">
        <v>95</v>
      </c>
      <c r="E5407" s="6" t="s">
        <v>11080</v>
      </c>
      <c r="F5407" s="9"/>
    </row>
    <row r="5408" ht="33.75" customHeight="1">
      <c r="A5408" s="7">
        <v>186.0</v>
      </c>
      <c r="B5408" s="9" t="s">
        <v>11060</v>
      </c>
      <c r="C5408" s="9" t="s">
        <v>11061</v>
      </c>
      <c r="D5408" s="9" t="s">
        <v>98</v>
      </c>
      <c r="E5408" s="6" t="s">
        <v>11080</v>
      </c>
      <c r="F5408" s="9"/>
    </row>
    <row r="5409" ht="33.75" customHeight="1">
      <c r="A5409" s="7">
        <v>186.0</v>
      </c>
      <c r="B5409" s="9" t="s">
        <v>11060</v>
      </c>
      <c r="C5409" s="9" t="s">
        <v>11061</v>
      </c>
      <c r="D5409" s="9" t="s">
        <v>99</v>
      </c>
      <c r="E5409" s="6" t="s">
        <v>11080</v>
      </c>
      <c r="F5409" s="9"/>
    </row>
    <row r="5410" ht="33.75" customHeight="1">
      <c r="A5410" s="7">
        <v>186.0</v>
      </c>
      <c r="B5410" s="9" t="s">
        <v>11060</v>
      </c>
      <c r="C5410" s="9" t="s">
        <v>11061</v>
      </c>
      <c r="D5410" s="9" t="s">
        <v>101</v>
      </c>
      <c r="E5410" s="6" t="s">
        <v>11064</v>
      </c>
      <c r="F5410" s="9"/>
    </row>
    <row r="5411" ht="33.75" customHeight="1">
      <c r="A5411" s="7">
        <v>186.0</v>
      </c>
      <c r="B5411" s="9" t="s">
        <v>11060</v>
      </c>
      <c r="C5411" s="9" t="s">
        <v>11061</v>
      </c>
      <c r="D5411" s="9" t="s">
        <v>105</v>
      </c>
      <c r="E5411" s="6" t="s">
        <v>11085</v>
      </c>
      <c r="F5411" s="9"/>
    </row>
    <row r="5412" ht="33.75" customHeight="1">
      <c r="A5412" s="7">
        <v>186.0</v>
      </c>
      <c r="B5412" s="9" t="s">
        <v>11060</v>
      </c>
      <c r="C5412" s="9" t="s">
        <v>11061</v>
      </c>
      <c r="D5412" s="9" t="s">
        <v>107</v>
      </c>
      <c r="E5412" s="6" t="s">
        <v>11088</v>
      </c>
      <c r="F5412" s="9"/>
    </row>
    <row r="5413" ht="33.75" customHeight="1">
      <c r="A5413" s="7">
        <v>186.0</v>
      </c>
      <c r="B5413" s="9" t="s">
        <v>11060</v>
      </c>
      <c r="C5413" s="9" t="s">
        <v>11061</v>
      </c>
      <c r="D5413" s="9" t="s">
        <v>109</v>
      </c>
      <c r="E5413" s="6" t="s">
        <v>11088</v>
      </c>
      <c r="F5413" s="9"/>
    </row>
    <row r="5414" ht="33.75" customHeight="1">
      <c r="A5414" s="7">
        <v>186.0</v>
      </c>
      <c r="B5414" s="9" t="s">
        <v>11060</v>
      </c>
      <c r="C5414" s="9" t="s">
        <v>11061</v>
      </c>
      <c r="D5414" s="9" t="s">
        <v>637</v>
      </c>
      <c r="E5414" s="6" t="s">
        <v>11092</v>
      </c>
      <c r="F5414" s="9"/>
    </row>
    <row r="5415" ht="33.75" customHeight="1">
      <c r="A5415" s="7">
        <v>186.0</v>
      </c>
      <c r="B5415" s="9" t="s">
        <v>11060</v>
      </c>
      <c r="C5415" s="9" t="s">
        <v>11061</v>
      </c>
      <c r="D5415" s="9" t="s">
        <v>642</v>
      </c>
      <c r="E5415" s="6" t="s">
        <v>11094</v>
      </c>
      <c r="F5415" s="9"/>
    </row>
    <row r="5416" ht="33.75" customHeight="1">
      <c r="A5416" s="7">
        <v>186.0</v>
      </c>
      <c r="B5416" s="9" t="s">
        <v>11060</v>
      </c>
      <c r="C5416" s="9" t="s">
        <v>11061</v>
      </c>
      <c r="D5416" s="9" t="s">
        <v>647</v>
      </c>
      <c r="E5416" s="6" t="s">
        <v>11097</v>
      </c>
      <c r="F5416" s="9"/>
    </row>
    <row r="5417" ht="33.75" customHeight="1">
      <c r="A5417" s="7">
        <v>186.0</v>
      </c>
      <c r="B5417" s="9" t="s">
        <v>11060</v>
      </c>
      <c r="C5417" s="9" t="s">
        <v>11061</v>
      </c>
      <c r="D5417" s="9" t="s">
        <v>652</v>
      </c>
      <c r="E5417" s="6" t="s">
        <v>11099</v>
      </c>
      <c r="F5417" s="9"/>
    </row>
    <row r="5418" ht="33.75" customHeight="1">
      <c r="A5418" s="7">
        <v>186.0</v>
      </c>
      <c r="B5418" s="9" t="s">
        <v>11060</v>
      </c>
      <c r="C5418" s="9" t="s">
        <v>11061</v>
      </c>
      <c r="D5418" s="9" t="s">
        <v>114</v>
      </c>
      <c r="E5418" s="6" t="s">
        <v>11101</v>
      </c>
      <c r="F5418" s="9"/>
    </row>
    <row r="5419" ht="33.75" customHeight="1">
      <c r="A5419" s="7">
        <v>186.0</v>
      </c>
      <c r="B5419" s="9" t="s">
        <v>11060</v>
      </c>
      <c r="C5419" s="9" t="s">
        <v>11061</v>
      </c>
      <c r="D5419" s="9" t="s">
        <v>117</v>
      </c>
      <c r="E5419" s="6" t="s">
        <v>11103</v>
      </c>
      <c r="F5419" s="9"/>
    </row>
    <row r="5420" ht="33.75" customHeight="1">
      <c r="A5420" s="7">
        <v>187.0</v>
      </c>
      <c r="B5420" s="9" t="s">
        <v>11105</v>
      </c>
      <c r="C5420" s="9" t="s">
        <v>11106</v>
      </c>
      <c r="D5420" s="9" t="s">
        <v>52</v>
      </c>
      <c r="E5420" s="6" t="s">
        <v>11108</v>
      </c>
      <c r="F5420" t="inlineStr" s="10">
        <is>
          <t xml:space="preserve">Estääkseen tuulen viemisen ne kerääntyvät ryhmiin. Ne kuitenkin nauttivat lempeästä tuulesta. Sen ruumis on niin kevyt, että sen on pidettävä jaloillaan tiukasti kiinni maassa estääkseen sen tuulenpuuskan viemästä sitä mennessään. Se voi kulkeutua mukanaan jopa lempeimmässä tuulessa. Se voi jopa leijua seuraavaan kaupunkiin asti. Tämä POKéMON ajelehtii ja kelluu tuulen mukana. Jos se havaitsee voimakkaan tuulen lähestyvän, HOPPIP yhdistää lehtensä muiden HOPPIPien kanssa varautuakseen tuulen viemiseltä. Jos se havaitsee voimakkaan tuulen lähestyvän, HOPPIP yhdistää lehtiä muiden lehtien kanssa valmistautuakseen siihen, ettei se joudu viemään sitä mukanaan. Se ajelehtii tuulen mukana. Sanotaan, että kun HOPPIPit kerääntyvät pelloille ja vuorille, kevät on tulossa. Mutta ne nauttivat lempeästä tuulesta. Sanotaan, että kun hoppipit kokoontuvat pelloille ja vuorille, kevät on tulossa. Jos se havaitsee voimakkaan tuulen lähestyvän, Hoppip yhdistää lehtensä muiden Hoppippien kanssa varautuakseen tuulen viemiseltä.</t>
        </is>
      </c>
    </row>
    <row r="5421" ht="33.75" customHeight="1">
      <c r="A5421" s="7">
        <v>187.0</v>
      </c>
      <c r="B5421" s="9" t="s">
        <v>11105</v>
      </c>
      <c r="C5421" s="9" t="s">
        <v>11106</v>
      </c>
      <c r="D5421" s="9" t="s">
        <v>59</v>
      </c>
      <c r="E5421" s="6" t="s">
        <v>11110</v>
      </c>
      <c r="F5421" s="9"/>
    </row>
    <row r="5422" ht="33.75" customHeight="1">
      <c r="A5422" s="7">
        <v>187.0</v>
      </c>
      <c r="B5422" s="9" t="s">
        <v>11105</v>
      </c>
      <c r="C5422" s="9" t="s">
        <v>11106</v>
      </c>
      <c r="D5422" s="9" t="s">
        <v>64</v>
      </c>
      <c r="E5422" s="6" t="s">
        <v>11112</v>
      </c>
      <c r="F5422" s="9"/>
    </row>
    <row r="5423" ht="33.75" customHeight="1">
      <c r="A5423" s="7">
        <v>187.0</v>
      </c>
      <c r="B5423" s="9" t="s">
        <v>11105</v>
      </c>
      <c r="C5423" s="9" t="s">
        <v>11106</v>
      </c>
      <c r="D5423" s="9" t="s">
        <v>67</v>
      </c>
      <c r="E5423" s="6" t="s">
        <v>11114</v>
      </c>
      <c r="F5423" s="9"/>
    </row>
    <row r="5424" ht="33.75" customHeight="1">
      <c r="A5424" s="7">
        <v>187.0</v>
      </c>
      <c r="B5424" s="9" t="s">
        <v>11105</v>
      </c>
      <c r="C5424" s="9" t="s">
        <v>11106</v>
      </c>
      <c r="D5424" s="9" t="s">
        <v>71</v>
      </c>
      <c r="E5424" s="6" t="s">
        <v>11114</v>
      </c>
      <c r="F5424" s="9"/>
    </row>
    <row r="5425" ht="33.75" customHeight="1">
      <c r="A5425" s="7">
        <v>187.0</v>
      </c>
      <c r="B5425" s="9" t="s">
        <v>11105</v>
      </c>
      <c r="C5425" s="9" t="s">
        <v>11106</v>
      </c>
      <c r="D5425" s="9" t="s">
        <v>73</v>
      </c>
      <c r="E5425" s="6" t="s">
        <v>11115</v>
      </c>
      <c r="F5425" s="9"/>
    </row>
    <row r="5426" ht="33.75" customHeight="1">
      <c r="A5426" s="7">
        <v>187.0</v>
      </c>
      <c r="B5426" s="9" t="s">
        <v>11105</v>
      </c>
      <c r="C5426" s="9" t="s">
        <v>11106</v>
      </c>
      <c r="D5426" s="9" t="s">
        <v>75</v>
      </c>
      <c r="E5426" s="6" t="s">
        <v>11110</v>
      </c>
      <c r="F5426" s="9"/>
    </row>
    <row r="5427" ht="33.75" customHeight="1">
      <c r="A5427" s="7">
        <v>187.0</v>
      </c>
      <c r="B5427" s="9" t="s">
        <v>11105</v>
      </c>
      <c r="C5427" s="9" t="s">
        <v>11106</v>
      </c>
      <c r="D5427" s="9" t="s">
        <v>79</v>
      </c>
      <c r="E5427" s="6" t="s">
        <v>11108</v>
      </c>
      <c r="F5427" s="9"/>
    </row>
    <row r="5428" ht="33.75" customHeight="1">
      <c r="A5428" s="7">
        <v>187.0</v>
      </c>
      <c r="B5428" s="9" t="s">
        <v>11105</v>
      </c>
      <c r="C5428" s="9" t="s">
        <v>11106</v>
      </c>
      <c r="D5428" s="9" t="s">
        <v>81</v>
      </c>
      <c r="E5428" s="6" t="s">
        <v>11118</v>
      </c>
      <c r="F5428" s="9"/>
    </row>
    <row r="5429" ht="33.75" customHeight="1">
      <c r="A5429" s="7">
        <v>187.0</v>
      </c>
      <c r="B5429" s="9" t="s">
        <v>11105</v>
      </c>
      <c r="C5429" s="9" t="s">
        <v>11106</v>
      </c>
      <c r="D5429" s="9" t="s">
        <v>84</v>
      </c>
      <c r="E5429" s="6" t="s">
        <v>11118</v>
      </c>
      <c r="F5429" s="9"/>
    </row>
    <row r="5430" ht="33.75" customHeight="1">
      <c r="A5430" s="7">
        <v>187.0</v>
      </c>
      <c r="B5430" s="9" t="s">
        <v>11105</v>
      </c>
      <c r="C5430" s="9" t="s">
        <v>11106</v>
      </c>
      <c r="D5430" s="9" t="s">
        <v>87</v>
      </c>
      <c r="E5430" s="6" t="s">
        <v>11118</v>
      </c>
      <c r="F5430" s="9"/>
    </row>
    <row r="5431" ht="33.75" customHeight="1">
      <c r="A5431" s="7">
        <v>187.0</v>
      </c>
      <c r="B5431" s="9" t="s">
        <v>11105</v>
      </c>
      <c r="C5431" s="9" t="s">
        <v>11106</v>
      </c>
      <c r="D5431" s="9" t="s">
        <v>89</v>
      </c>
      <c r="E5431" s="6" t="s">
        <v>11120</v>
      </c>
      <c r="F5431" s="9"/>
    </row>
    <row r="5432" ht="33.75" customHeight="1">
      <c r="A5432" s="7">
        <v>187.0</v>
      </c>
      <c r="B5432" s="9" t="s">
        <v>11105</v>
      </c>
      <c r="C5432" s="9" t="s">
        <v>11106</v>
      </c>
      <c r="D5432" s="9" t="s">
        <v>91</v>
      </c>
      <c r="E5432" s="6" t="s">
        <v>11110</v>
      </c>
      <c r="F5432" s="9"/>
    </row>
    <row r="5433" ht="33.75" customHeight="1">
      <c r="A5433" s="7">
        <v>187.0</v>
      </c>
      <c r="B5433" s="9" t="s">
        <v>11105</v>
      </c>
      <c r="C5433" s="9" t="s">
        <v>11106</v>
      </c>
      <c r="D5433" s="9" t="s">
        <v>93</v>
      </c>
      <c r="E5433" s="6" t="s">
        <v>11128</v>
      </c>
      <c r="F5433" s="9"/>
    </row>
    <row r="5434" ht="33.75" customHeight="1">
      <c r="A5434" s="7">
        <v>187.0</v>
      </c>
      <c r="B5434" s="9" t="s">
        <v>11105</v>
      </c>
      <c r="C5434" s="9" t="s">
        <v>11106</v>
      </c>
      <c r="D5434" s="9" t="s">
        <v>95</v>
      </c>
      <c r="E5434" s="6" t="s">
        <v>11128</v>
      </c>
      <c r="F5434" s="9"/>
    </row>
    <row r="5435" ht="33.75" customHeight="1">
      <c r="A5435" s="7">
        <v>187.0</v>
      </c>
      <c r="B5435" s="9" t="s">
        <v>11105</v>
      </c>
      <c r="C5435" s="9" t="s">
        <v>11106</v>
      </c>
      <c r="D5435" s="9" t="s">
        <v>98</v>
      </c>
      <c r="E5435" s="6" t="s">
        <v>11128</v>
      </c>
      <c r="F5435" s="9"/>
    </row>
    <row r="5436" ht="33.75" customHeight="1">
      <c r="A5436" s="7">
        <v>187.0</v>
      </c>
      <c r="B5436" s="9" t="s">
        <v>11105</v>
      </c>
      <c r="C5436" s="9" t="s">
        <v>11106</v>
      </c>
      <c r="D5436" s="9" t="s">
        <v>99</v>
      </c>
      <c r="E5436" s="6" t="s">
        <v>11128</v>
      </c>
      <c r="F5436" s="9"/>
    </row>
    <row r="5437" ht="33.75" customHeight="1">
      <c r="A5437" s="7">
        <v>187.0</v>
      </c>
      <c r="B5437" s="9" t="s">
        <v>11105</v>
      </c>
      <c r="C5437" s="9" t="s">
        <v>11106</v>
      </c>
      <c r="D5437" s="9" t="s">
        <v>101</v>
      </c>
      <c r="E5437" s="6" t="s">
        <v>11110</v>
      </c>
      <c r="F5437" s="9"/>
    </row>
    <row r="5438" ht="33.75" customHeight="1">
      <c r="A5438" s="7">
        <v>187.0</v>
      </c>
      <c r="B5438" s="9" t="s">
        <v>11105</v>
      </c>
      <c r="C5438" s="9" t="s">
        <v>11106</v>
      </c>
      <c r="D5438" s="9" t="s">
        <v>105</v>
      </c>
      <c r="E5438" s="6" t="s">
        <v>11128</v>
      </c>
      <c r="F5438" s="9"/>
    </row>
    <row r="5439" ht="33.75" customHeight="1">
      <c r="A5439" s="7">
        <v>187.0</v>
      </c>
      <c r="B5439" s="9" t="s">
        <v>11105</v>
      </c>
      <c r="C5439" s="9" t="s">
        <v>11106</v>
      </c>
      <c r="D5439" s="9" t="s">
        <v>107</v>
      </c>
      <c r="E5439" s="6" t="s">
        <v>11136</v>
      </c>
      <c r="F5439" s="9"/>
    </row>
    <row r="5440" ht="33.75" customHeight="1">
      <c r="A5440" s="7">
        <v>187.0</v>
      </c>
      <c r="B5440" s="9" t="s">
        <v>11105</v>
      </c>
      <c r="C5440" s="9" t="s">
        <v>11106</v>
      </c>
      <c r="D5440" s="9" t="s">
        <v>109</v>
      </c>
      <c r="E5440" s="6" t="s">
        <v>11136</v>
      </c>
      <c r="F5440" s="9"/>
    </row>
    <row r="5441" ht="33.75" customHeight="1">
      <c r="A5441" s="7">
        <v>188.0</v>
      </c>
      <c r="B5441" s="9" t="s">
        <v>11139</v>
      </c>
      <c r="C5441" s="9" t="s">
        <v>11106</v>
      </c>
      <c r="D5441" s="9" t="s">
        <v>52</v>
      </c>
      <c r="E5441" s="6" t="s">
        <v>11140</v>
      </c>
      <c r="F5441" t="inlineStr" s="10">
        <is>
          <t xml:space="preserve">Skiploomin pään päällä oleva kukinto avautuu ja sulkeutuu lämpötilan vaihdellessa ylös ja alas. Se levittää terälehtiään absorboidakseen auringonvaloa. Se myös leijuu ilmassa päästäkseen lähemmäksi aurinkoa. Heti kun sataa, se sulkee kukkansa ja piiloutuu puun varjoon välttääkseen kastumisen. SKIPLOOMin kukka puhkeaa kukkiin, kun lämpötila nousee yli 19 celsiusasteen. Kukan avautumisaste riippuu lämpötilasta. Tästä syystä tätä POKéMONia käytetään joskus lämpömittarina. Se kukkii, kun lämpötila nousee yli 18 celsiusasteen. Koska sen kukan kukinta muuttuu lämpötilan mukaan, sitä käytetään joskus lämpömittarina. Pään päällä oleva kukinta avautuu ja sulkeutuu lämpötilan vaihdellessa ylös ja alas. Se kukkii, kun sää lämpenee. Se leijuu taivaalla imeäkseen itseensä mahdollisimman paljon auringonvaloa.</t>
        </is>
      </c>
    </row>
    <row r="5442" ht="33.75" customHeight="1">
      <c r="A5442" s="7">
        <v>188.0</v>
      </c>
      <c r="B5442" s="9" t="s">
        <v>11139</v>
      </c>
      <c r="C5442" s="9" t="s">
        <v>11106</v>
      </c>
      <c r="D5442" s="9" t="s">
        <v>59</v>
      </c>
      <c r="E5442" s="6" t="s">
        <v>11142</v>
      </c>
      <c r="F5442" s="9"/>
    </row>
    <row r="5443" ht="33.75" customHeight="1">
      <c r="A5443" s="7">
        <v>188.0</v>
      </c>
      <c r="B5443" s="9" t="s">
        <v>11139</v>
      </c>
      <c r="C5443" s="9" t="s">
        <v>11106</v>
      </c>
      <c r="D5443" s="9" t="s">
        <v>64</v>
      </c>
      <c r="E5443" s="6" t="s">
        <v>11145</v>
      </c>
      <c r="F5443" s="9"/>
    </row>
    <row r="5444" ht="33.75" customHeight="1">
      <c r="A5444" s="7">
        <v>188.0</v>
      </c>
      <c r="B5444" s="9" t="s">
        <v>11139</v>
      </c>
      <c r="C5444" s="9" t="s">
        <v>11106</v>
      </c>
      <c r="D5444" s="9" t="s">
        <v>67</v>
      </c>
      <c r="E5444" s="6" t="s">
        <v>11147</v>
      </c>
      <c r="F5444" s="9"/>
    </row>
    <row r="5445" ht="33.75" customHeight="1">
      <c r="A5445" s="7">
        <v>188.0</v>
      </c>
      <c r="B5445" s="9" t="s">
        <v>11139</v>
      </c>
      <c r="C5445" s="9" t="s">
        <v>11106</v>
      </c>
      <c r="D5445" s="9" t="s">
        <v>71</v>
      </c>
      <c r="E5445" s="6" t="s">
        <v>11147</v>
      </c>
      <c r="F5445" s="9"/>
    </row>
    <row r="5446" ht="33.75" customHeight="1">
      <c r="A5446" s="7">
        <v>188.0</v>
      </c>
      <c r="B5446" s="9" t="s">
        <v>11139</v>
      </c>
      <c r="C5446" s="9" t="s">
        <v>11106</v>
      </c>
      <c r="D5446" s="9" t="s">
        <v>73</v>
      </c>
      <c r="E5446" s="6" t="s">
        <v>11152</v>
      </c>
      <c r="F5446" s="9"/>
    </row>
    <row r="5447" ht="33.75" customHeight="1">
      <c r="A5447" s="7">
        <v>188.0</v>
      </c>
      <c r="B5447" s="9" t="s">
        <v>11139</v>
      </c>
      <c r="C5447" s="9" t="s">
        <v>11106</v>
      </c>
      <c r="D5447" s="9" t="s">
        <v>75</v>
      </c>
      <c r="E5447" s="6" t="s">
        <v>11142</v>
      </c>
      <c r="F5447" s="9"/>
    </row>
    <row r="5448" ht="33.75" customHeight="1">
      <c r="A5448" s="7">
        <v>188.0</v>
      </c>
      <c r="B5448" s="9" t="s">
        <v>11139</v>
      </c>
      <c r="C5448" s="9" t="s">
        <v>11106</v>
      </c>
      <c r="D5448" s="9" t="s">
        <v>79</v>
      </c>
      <c r="E5448" s="6" t="s">
        <v>11156</v>
      </c>
      <c r="F5448" s="9"/>
    </row>
    <row r="5449" ht="33.75" customHeight="1">
      <c r="A5449" s="7">
        <v>188.0</v>
      </c>
      <c r="B5449" s="9" t="s">
        <v>11139</v>
      </c>
      <c r="C5449" s="9" t="s">
        <v>11106</v>
      </c>
      <c r="D5449" s="9" t="s">
        <v>81</v>
      </c>
      <c r="E5449" s="6" t="s">
        <v>11159</v>
      </c>
      <c r="F5449" s="9"/>
    </row>
    <row r="5450" ht="33.75" customHeight="1">
      <c r="A5450" s="7">
        <v>188.0</v>
      </c>
      <c r="B5450" s="9" t="s">
        <v>11139</v>
      </c>
      <c r="C5450" s="9" t="s">
        <v>11106</v>
      </c>
      <c r="D5450" s="9" t="s">
        <v>84</v>
      </c>
      <c r="E5450" s="6" t="s">
        <v>11159</v>
      </c>
      <c r="F5450" s="9"/>
    </row>
    <row r="5451" ht="33.75" customHeight="1">
      <c r="A5451" s="7">
        <v>188.0</v>
      </c>
      <c r="B5451" s="9" t="s">
        <v>11139</v>
      </c>
      <c r="C5451" s="9" t="s">
        <v>11106</v>
      </c>
      <c r="D5451" s="9" t="s">
        <v>87</v>
      </c>
      <c r="E5451" s="6" t="s">
        <v>11159</v>
      </c>
      <c r="F5451" s="9"/>
    </row>
    <row r="5452" ht="33.75" customHeight="1">
      <c r="A5452" s="7">
        <v>188.0</v>
      </c>
      <c r="B5452" s="9" t="s">
        <v>11139</v>
      </c>
      <c r="C5452" s="9" t="s">
        <v>11106</v>
      </c>
      <c r="D5452" s="9" t="s">
        <v>89</v>
      </c>
      <c r="E5452" s="6" t="s">
        <v>11156</v>
      </c>
      <c r="F5452" s="9"/>
    </row>
    <row r="5453" ht="33.75" customHeight="1">
      <c r="A5453" s="7">
        <v>188.0</v>
      </c>
      <c r="B5453" s="9" t="s">
        <v>11139</v>
      </c>
      <c r="C5453" s="9" t="s">
        <v>11106</v>
      </c>
      <c r="D5453" s="9" t="s">
        <v>91</v>
      </c>
      <c r="E5453" s="6" t="s">
        <v>11142</v>
      </c>
      <c r="F5453" s="9"/>
    </row>
    <row r="5454" ht="33.75" customHeight="1">
      <c r="A5454" s="7">
        <v>188.0</v>
      </c>
      <c r="B5454" s="9" t="s">
        <v>11139</v>
      </c>
      <c r="C5454" s="9" t="s">
        <v>11106</v>
      </c>
      <c r="D5454" s="9" t="s">
        <v>93</v>
      </c>
      <c r="E5454" s="6" t="s">
        <v>11159</v>
      </c>
      <c r="F5454" s="9"/>
    </row>
    <row r="5455" ht="33.75" customHeight="1">
      <c r="A5455" s="7">
        <v>188.0</v>
      </c>
      <c r="B5455" s="9" t="s">
        <v>11139</v>
      </c>
      <c r="C5455" s="9" t="s">
        <v>11106</v>
      </c>
      <c r="D5455" s="9" t="s">
        <v>95</v>
      </c>
      <c r="E5455" s="6" t="s">
        <v>11159</v>
      </c>
      <c r="F5455" s="9"/>
    </row>
    <row r="5456" ht="33.75" customHeight="1">
      <c r="A5456" s="7">
        <v>188.0</v>
      </c>
      <c r="B5456" s="9" t="s">
        <v>11139</v>
      </c>
      <c r="C5456" s="9" t="s">
        <v>11106</v>
      </c>
      <c r="D5456" s="9" t="s">
        <v>98</v>
      </c>
      <c r="E5456" s="6" t="s">
        <v>11159</v>
      </c>
      <c r="F5456" s="9"/>
    </row>
    <row r="5457" ht="33.75" customHeight="1">
      <c r="A5457" s="7">
        <v>188.0</v>
      </c>
      <c r="B5457" s="9" t="s">
        <v>11139</v>
      </c>
      <c r="C5457" s="9" t="s">
        <v>11106</v>
      </c>
      <c r="D5457" s="9" t="s">
        <v>99</v>
      </c>
      <c r="E5457" s="6" t="s">
        <v>11159</v>
      </c>
      <c r="F5457" s="9"/>
    </row>
    <row r="5458" ht="33.75" customHeight="1">
      <c r="A5458" s="7">
        <v>188.0</v>
      </c>
      <c r="B5458" s="9" t="s">
        <v>11139</v>
      </c>
      <c r="C5458" s="9" t="s">
        <v>11106</v>
      </c>
      <c r="D5458" s="9" t="s">
        <v>101</v>
      </c>
      <c r="E5458" s="6" t="s">
        <v>11156</v>
      </c>
      <c r="F5458" s="9"/>
    </row>
    <row r="5459" ht="33.75" customHeight="1">
      <c r="A5459" s="7">
        <v>188.0</v>
      </c>
      <c r="B5459" s="9" t="s">
        <v>11139</v>
      </c>
      <c r="C5459" s="9" t="s">
        <v>11106</v>
      </c>
      <c r="D5459" s="9" t="s">
        <v>105</v>
      </c>
      <c r="E5459" s="6" t="s">
        <v>11142</v>
      </c>
      <c r="F5459" s="9"/>
    </row>
    <row r="5460" ht="33.75" customHeight="1">
      <c r="A5460" s="7">
        <v>188.0</v>
      </c>
      <c r="B5460" s="9" t="s">
        <v>11139</v>
      </c>
      <c r="C5460" s="9" t="s">
        <v>11106</v>
      </c>
      <c r="D5460" s="9" t="s">
        <v>107</v>
      </c>
      <c r="E5460" s="6" t="s">
        <v>11175</v>
      </c>
      <c r="F5460" s="9"/>
    </row>
    <row r="5461" ht="33.75" customHeight="1">
      <c r="A5461" s="7">
        <v>188.0</v>
      </c>
      <c r="B5461" s="9" t="s">
        <v>11139</v>
      </c>
      <c r="C5461" s="9" t="s">
        <v>11106</v>
      </c>
      <c r="D5461" s="9" t="s">
        <v>109</v>
      </c>
      <c r="E5461" s="6" t="s">
        <v>11175</v>
      </c>
      <c r="F5461" s="9"/>
    </row>
    <row r="5462" ht="33.75" customHeight="1">
      <c r="A5462" s="7">
        <v>189.0</v>
      </c>
      <c r="B5462" s="9" t="s">
        <v>11178</v>
      </c>
      <c r="C5462" s="9" t="s">
        <v>11106</v>
      </c>
      <c r="D5462" s="9" t="s">
        <v>52</v>
      </c>
      <c r="E5462" s="6" t="s">
        <v>11179</v>
      </c>
      <c r="F5462" t="inlineStr" s="10">
        <is>
          <t xml:space="preserve">Kun se saa tuulen, se hallitsee taitavasti vanutuppomaisia ​​itiöitään leijuakseen jopa ympäri maailmaa. Ajelehtii vuodenaikojen tuulissa ja levittää puuvillamaisia ​​itiöitään kaikkialle maailmaan tehdäkseen lisää jälkeläisiä. Kovimmassakin tuulessa se pystyy hallitsemaan höyhenpeitteensä ja pääsemään minne tahansa maailmassa. JUMPLUFF ratsastaa lämpimien etelätuulien kyydissä ylittääkseen meren ja lentääkseen vieraisiin maihin. POKéMON laskeutuu maahan kohdatessaan kylmää ilmaa leijuessaan. JUMPLUFF ratsastaa lämpimillä etelätuulella ylittääkseen meren ja lentääkseen vieraisiin maihin. Tämä POKéMON laskeutuu kohdatessaan kylmää ilmaa leijuessaan. Se ajelehtii vuodenaikojen tuulissa ja levittää puuvillamaisia ​​itiöitään kaikkialle maailmaan tehdäkseen lisää jälkeläisiä. Kun se saa tuulen, se hallitsee taitavasti pumpulimaisia ​​itiöitään leijuakseen jopa ympäri maailmaa. Vuodenaikojen tuulien puhaltamana se kiertää maapalloa ja levittää puuvillan itiöitä matkan varrella. Kun se saa tuulen, se hallitsee taitavasti pumpulituppumaisia ​​itiöitään – se voi jopa leijua ympäri maailmaa. Pokémon laskeutuu maahan kohdatessaan kylmää ilmaa kelluessaan.</t>
        </is>
      </c>
    </row>
    <row r="5463" ht="33.75" customHeight="1">
      <c r="A5463" s="7">
        <v>189.0</v>
      </c>
      <c r="B5463" s="9" t="s">
        <v>11178</v>
      </c>
      <c r="C5463" s="9" t="s">
        <v>11106</v>
      </c>
      <c r="D5463" s="9" t="s">
        <v>59</v>
      </c>
      <c r="E5463" s="6" t="s">
        <v>11181</v>
      </c>
      <c r="F5463" s="9"/>
    </row>
    <row r="5464" ht="33.75" customHeight="1">
      <c r="A5464" s="7">
        <v>189.0</v>
      </c>
      <c r="B5464" s="9" t="s">
        <v>11178</v>
      </c>
      <c r="C5464" s="9" t="s">
        <v>11106</v>
      </c>
      <c r="D5464" s="9" t="s">
        <v>64</v>
      </c>
      <c r="E5464" s="6" t="s">
        <v>11184</v>
      </c>
      <c r="F5464" s="9"/>
    </row>
    <row r="5465" ht="33.75" customHeight="1">
      <c r="A5465" s="7">
        <v>189.0</v>
      </c>
      <c r="B5465" s="9" t="s">
        <v>11178</v>
      </c>
      <c r="C5465" s="9" t="s">
        <v>11106</v>
      </c>
      <c r="D5465" s="9" t="s">
        <v>67</v>
      </c>
      <c r="E5465" s="6" t="s">
        <v>11186</v>
      </c>
      <c r="F5465" s="9"/>
    </row>
    <row r="5466" ht="33.75" customHeight="1">
      <c r="A5466" s="7">
        <v>189.0</v>
      </c>
      <c r="B5466" s="9" t="s">
        <v>11178</v>
      </c>
      <c r="C5466" s="9" t="s">
        <v>11106</v>
      </c>
      <c r="D5466" s="9" t="s">
        <v>71</v>
      </c>
      <c r="E5466" s="6" t="s">
        <v>11186</v>
      </c>
      <c r="F5466" s="9"/>
    </row>
    <row r="5467" ht="33.75" customHeight="1">
      <c r="A5467" s="7">
        <v>189.0</v>
      </c>
      <c r="B5467" s="9" t="s">
        <v>11178</v>
      </c>
      <c r="C5467" s="9" t="s">
        <v>11106</v>
      </c>
      <c r="D5467" s="9" t="s">
        <v>73</v>
      </c>
      <c r="E5467" s="6" t="s">
        <v>11190</v>
      </c>
      <c r="F5467" s="9"/>
    </row>
    <row r="5468" ht="33.75" customHeight="1">
      <c r="A5468" s="7">
        <v>189.0</v>
      </c>
      <c r="B5468" s="9" t="s">
        <v>11178</v>
      </c>
      <c r="C5468" s="9" t="s">
        <v>11106</v>
      </c>
      <c r="D5468" s="9" t="s">
        <v>75</v>
      </c>
      <c r="E5468" s="6" t="s">
        <v>11193</v>
      </c>
      <c r="F5468" s="9"/>
    </row>
    <row r="5469" ht="33.75" customHeight="1">
      <c r="A5469" s="7">
        <v>189.0</v>
      </c>
      <c r="B5469" s="9" t="s">
        <v>11178</v>
      </c>
      <c r="C5469" s="9" t="s">
        <v>11106</v>
      </c>
      <c r="D5469" s="9" t="s">
        <v>79</v>
      </c>
      <c r="E5469" s="6" t="s">
        <v>11197</v>
      </c>
      <c r="F5469" s="9"/>
    </row>
    <row r="5470" ht="33.75" customHeight="1">
      <c r="A5470" s="7">
        <v>189.0</v>
      </c>
      <c r="B5470" s="9" t="s">
        <v>11178</v>
      </c>
      <c r="C5470" s="9" t="s">
        <v>11106</v>
      </c>
      <c r="D5470" s="9" t="s">
        <v>81</v>
      </c>
      <c r="E5470" s="6" t="s">
        <v>11199</v>
      </c>
      <c r="F5470" s="9"/>
    </row>
    <row r="5471" ht="33.75" customHeight="1">
      <c r="A5471" s="7">
        <v>189.0</v>
      </c>
      <c r="B5471" s="9" t="s">
        <v>11178</v>
      </c>
      <c r="C5471" s="9" t="s">
        <v>11106</v>
      </c>
      <c r="D5471" s="9" t="s">
        <v>84</v>
      </c>
      <c r="E5471" s="6" t="s">
        <v>11199</v>
      </c>
      <c r="F5471" s="9"/>
    </row>
    <row r="5472" ht="33.75" customHeight="1">
      <c r="A5472" s="7">
        <v>189.0</v>
      </c>
      <c r="B5472" s="9" t="s">
        <v>11178</v>
      </c>
      <c r="C5472" s="9" t="s">
        <v>11106</v>
      </c>
      <c r="D5472" s="9" t="s">
        <v>87</v>
      </c>
      <c r="E5472" s="6" t="s">
        <v>11199</v>
      </c>
      <c r="F5472" s="9"/>
    </row>
    <row r="5473" ht="33.75" customHeight="1">
      <c r="A5473" s="7">
        <v>189.0</v>
      </c>
      <c r="B5473" s="9" t="s">
        <v>11178</v>
      </c>
      <c r="C5473" s="9" t="s">
        <v>11106</v>
      </c>
      <c r="D5473" s="9" t="s">
        <v>89</v>
      </c>
      <c r="E5473" s="6" t="s">
        <v>11206</v>
      </c>
      <c r="F5473" s="9"/>
    </row>
    <row r="5474" ht="33.75" customHeight="1">
      <c r="A5474" s="7">
        <v>189.0</v>
      </c>
      <c r="B5474" s="9" t="s">
        <v>11178</v>
      </c>
      <c r="C5474" s="9" t="s">
        <v>11106</v>
      </c>
      <c r="D5474" s="9" t="s">
        <v>91</v>
      </c>
      <c r="E5474" s="6" t="s">
        <v>11181</v>
      </c>
      <c r="F5474" s="9"/>
    </row>
    <row r="5475" ht="33.75" customHeight="1">
      <c r="A5475" s="7">
        <v>189.0</v>
      </c>
      <c r="B5475" s="9" t="s">
        <v>11178</v>
      </c>
      <c r="C5475" s="9" t="s">
        <v>11106</v>
      </c>
      <c r="D5475" s="9" t="s">
        <v>93</v>
      </c>
      <c r="E5475" s="6" t="s">
        <v>11199</v>
      </c>
      <c r="F5475" s="9"/>
    </row>
    <row r="5476" ht="33.75" customHeight="1">
      <c r="A5476" s="7">
        <v>189.0</v>
      </c>
      <c r="B5476" s="9" t="s">
        <v>11178</v>
      </c>
      <c r="C5476" s="9" t="s">
        <v>11106</v>
      </c>
      <c r="D5476" s="9" t="s">
        <v>95</v>
      </c>
      <c r="E5476" s="6" t="s">
        <v>11199</v>
      </c>
      <c r="F5476" s="9"/>
    </row>
    <row r="5477" ht="33.75" customHeight="1">
      <c r="A5477" s="7">
        <v>189.0</v>
      </c>
      <c r="B5477" s="9" t="s">
        <v>11178</v>
      </c>
      <c r="C5477" s="9" t="s">
        <v>11106</v>
      </c>
      <c r="D5477" s="9" t="s">
        <v>98</v>
      </c>
      <c r="E5477" s="6" t="s">
        <v>11199</v>
      </c>
      <c r="F5477" s="9"/>
    </row>
    <row r="5478" ht="33.75" customHeight="1">
      <c r="A5478" s="7">
        <v>189.0</v>
      </c>
      <c r="B5478" s="9" t="s">
        <v>11178</v>
      </c>
      <c r="C5478" s="9" t="s">
        <v>11106</v>
      </c>
      <c r="D5478" s="9" t="s">
        <v>99</v>
      </c>
      <c r="E5478" s="6" t="s">
        <v>11199</v>
      </c>
      <c r="F5478" s="9"/>
    </row>
    <row r="5479" ht="33.75" customHeight="1">
      <c r="A5479" s="7">
        <v>189.0</v>
      </c>
      <c r="B5479" s="9" t="s">
        <v>11178</v>
      </c>
      <c r="C5479" s="9" t="s">
        <v>11106</v>
      </c>
      <c r="D5479" s="9" t="s">
        <v>101</v>
      </c>
      <c r="E5479" s="6" t="s">
        <v>11199</v>
      </c>
      <c r="F5479" s="9"/>
    </row>
    <row r="5480" ht="33.75" customHeight="1">
      <c r="A5480" s="7">
        <v>189.0</v>
      </c>
      <c r="B5480" s="9" t="s">
        <v>11178</v>
      </c>
      <c r="C5480" s="9" t="s">
        <v>11106</v>
      </c>
      <c r="D5480" s="9" t="s">
        <v>105</v>
      </c>
      <c r="E5480" s="6" t="s">
        <v>11184</v>
      </c>
      <c r="F5480" s="9"/>
    </row>
    <row r="5481" ht="33.75" customHeight="1">
      <c r="A5481" s="7">
        <v>189.0</v>
      </c>
      <c r="B5481" s="9" t="s">
        <v>11178</v>
      </c>
      <c r="C5481" s="9" t="s">
        <v>11106</v>
      </c>
      <c r="D5481" s="9" t="s">
        <v>107</v>
      </c>
      <c r="E5481" s="6" t="s">
        <v>11223</v>
      </c>
      <c r="F5481" s="9"/>
    </row>
    <row r="5482" ht="33.75" customHeight="1">
      <c r="A5482" s="7">
        <v>189.0</v>
      </c>
      <c r="B5482" s="9" t="s">
        <v>11178</v>
      </c>
      <c r="C5482" s="9" t="s">
        <v>11106</v>
      </c>
      <c r="D5482" s="9" t="s">
        <v>109</v>
      </c>
      <c r="E5482" s="6" t="s">
        <v>11223</v>
      </c>
      <c r="F5482" s="9"/>
    </row>
    <row r="5483" ht="33.75" customHeight="1">
      <c r="A5483" s="7">
        <v>190.0</v>
      </c>
      <c r="B5483" s="9" t="s">
        <v>11225</v>
      </c>
      <c r="C5483" s="9" t="s">
        <v>11227</v>
      </c>
      <c r="D5483" s="9" t="s">
        <v>52</v>
      </c>
      <c r="E5483" s="6" t="s">
        <v>11228</v>
      </c>
      <c r="F5483" t="inlineStr" s="10">
        <is>
          <t xml:space="preserve">Aipomin häntä on niin voimakas, että se voi tarttua sillä puun oksaan ja pitää itsensä ilmassa. Se elää korkeiden puiden latvoissa. Hyppääessään oksalta oksalle se käyttää taitavasti häntäänsä tasapainon ylläpitämiseen. Se käyttää häntäänsä roikkuakseen puiden oksissa. Se käyttää vauhtiaan heilahtaakseen oksalta toiselle. AIPOMin häntä päättyy käden kaltaiseen ulokkeeseen, jota voidaan taitavasti manipuloida. Koska POKéMON käyttää häntäänsä niin paljon, sen oikeista käsistä on tullut melko kömpelöitä. Sen häntä päättyy taitavaan, käden kaltaiseen ulokkeeseen. Koska se käyttää häntää niin paljon, AIPOMin oikeista käsistä on kuitenkin tullut melko kömpelöitä. Se käyttää häntäänsä poimiakseen ulottumattomissaan olevia hedelmiä. Sen häntä on taitavampi kuin sen oikeat kädet. Se elää jättimäisten puiden latvoissa. Se kietoo häntänsä oksan ympärille, jottei putoaisi nukkuessaan. Se asuu korkealla puiden latvoissa. Se osaa käyttää häntäänsä yhtä vapaasti ja taitavasti kuin käsiään. Koska Pokémon käyttää häntäänsä niin paljon, sen oikeat kädet ovat kuitenkin käyneet melko kömpelöiksi. Kun se liikkui yhä enemmän hännällään, sen kädet kävivät kömpelöiksi. Se tekee pesänsä korkealle puiden latvoihin. Se etsii saalista puiden latvoista. Havaitessaan lempiruokansa, makean makean, Aipom innostuu ja hyökkää kimppuun. Tällä puiden latvoissa asuvalla Pokémonilla on käden taitava häntä. Muinaiset kirjoitukset kuvaavat tätä Pokémonia yksikätiseksi erikoisuudeksi.</t>
        </is>
      </c>
    </row>
    <row r="5484" ht="33.75" customHeight="1">
      <c r="A5484" s="7">
        <v>190.0</v>
      </c>
      <c r="B5484" s="9" t="s">
        <v>11225</v>
      </c>
      <c r="C5484" s="9" t="s">
        <v>11227</v>
      </c>
      <c r="D5484" s="9" t="s">
        <v>59</v>
      </c>
      <c r="E5484" s="6" t="s">
        <v>11230</v>
      </c>
      <c r="F5484" s="9"/>
    </row>
    <row r="5485" ht="33.75" customHeight="1">
      <c r="A5485" s="7">
        <v>190.0</v>
      </c>
      <c r="B5485" s="9" t="s">
        <v>11225</v>
      </c>
      <c r="C5485" s="9" t="s">
        <v>11227</v>
      </c>
      <c r="D5485" s="9" t="s">
        <v>64</v>
      </c>
      <c r="E5485" s="6" t="s">
        <v>11232</v>
      </c>
      <c r="F5485" s="9"/>
    </row>
    <row r="5486" ht="33.75" customHeight="1">
      <c r="A5486" s="7">
        <v>190.0</v>
      </c>
      <c r="B5486" s="9" t="s">
        <v>11225</v>
      </c>
      <c r="C5486" s="9" t="s">
        <v>11227</v>
      </c>
      <c r="D5486" s="9" t="s">
        <v>67</v>
      </c>
      <c r="E5486" s="6" t="s">
        <v>11235</v>
      </c>
      <c r="F5486" s="9"/>
    </row>
    <row r="5487" ht="33.75" customHeight="1">
      <c r="A5487" s="7">
        <v>190.0</v>
      </c>
      <c r="B5487" s="9" t="s">
        <v>11225</v>
      </c>
      <c r="C5487" s="9" t="s">
        <v>11227</v>
      </c>
      <c r="D5487" s="9" t="s">
        <v>71</v>
      </c>
      <c r="E5487" s="6" t="s">
        <v>11235</v>
      </c>
      <c r="F5487" s="9"/>
    </row>
    <row r="5488" ht="33.75" customHeight="1">
      <c r="A5488" s="7">
        <v>190.0</v>
      </c>
      <c r="B5488" s="9" t="s">
        <v>11225</v>
      </c>
      <c r="C5488" s="9" t="s">
        <v>11227</v>
      </c>
      <c r="D5488" s="9" t="s">
        <v>73</v>
      </c>
      <c r="E5488" s="6" t="s">
        <v>11239</v>
      </c>
      <c r="F5488" s="9"/>
    </row>
    <row r="5489" ht="33.75" customHeight="1">
      <c r="A5489" s="7">
        <v>190.0</v>
      </c>
      <c r="B5489" s="9" t="s">
        <v>11225</v>
      </c>
      <c r="C5489" s="9" t="s">
        <v>11227</v>
      </c>
      <c r="D5489" s="9" t="s">
        <v>75</v>
      </c>
      <c r="E5489" s="6" t="s">
        <v>11230</v>
      </c>
      <c r="F5489" s="9"/>
    </row>
    <row r="5490" ht="33.75" customHeight="1">
      <c r="A5490" s="7">
        <v>190.0</v>
      </c>
      <c r="B5490" s="9" t="s">
        <v>11225</v>
      </c>
      <c r="C5490" s="9" t="s">
        <v>11227</v>
      </c>
      <c r="D5490" s="9" t="s">
        <v>79</v>
      </c>
      <c r="E5490" s="6" t="s">
        <v>11228</v>
      </c>
      <c r="F5490" s="9"/>
    </row>
    <row r="5491" ht="33.75" customHeight="1">
      <c r="A5491" s="7">
        <v>190.0</v>
      </c>
      <c r="B5491" s="9" t="s">
        <v>11225</v>
      </c>
      <c r="C5491" s="9" t="s">
        <v>11227</v>
      </c>
      <c r="D5491" s="9" t="s">
        <v>81</v>
      </c>
      <c r="E5491" s="6" t="s">
        <v>11245</v>
      </c>
      <c r="F5491" s="9"/>
    </row>
    <row r="5492" ht="33.75" customHeight="1">
      <c r="A5492" s="7">
        <v>190.0</v>
      </c>
      <c r="B5492" s="9" t="s">
        <v>11225</v>
      </c>
      <c r="C5492" s="9" t="s">
        <v>11227</v>
      </c>
      <c r="D5492" s="9" t="s">
        <v>84</v>
      </c>
      <c r="E5492" s="6" t="s">
        <v>11247</v>
      </c>
      <c r="F5492" s="9"/>
    </row>
    <row r="5493" ht="33.75" customHeight="1">
      <c r="A5493" s="7">
        <v>190.0</v>
      </c>
      <c r="B5493" s="9" t="s">
        <v>11225</v>
      </c>
      <c r="C5493" s="9" t="s">
        <v>11227</v>
      </c>
      <c r="D5493" s="9" t="s">
        <v>87</v>
      </c>
      <c r="E5493" s="6" t="s">
        <v>11250</v>
      </c>
      <c r="F5493" s="9"/>
    </row>
    <row r="5494" ht="33.75" customHeight="1">
      <c r="A5494" s="7">
        <v>190.0</v>
      </c>
      <c r="B5494" s="9" t="s">
        <v>11225</v>
      </c>
      <c r="C5494" s="9" t="s">
        <v>11227</v>
      </c>
      <c r="D5494" s="9" t="s">
        <v>89</v>
      </c>
      <c r="E5494" s="6" t="s">
        <v>11228</v>
      </c>
      <c r="F5494" s="9"/>
    </row>
    <row r="5495" ht="33.75" customHeight="1">
      <c r="A5495" s="7">
        <v>190.0</v>
      </c>
      <c r="B5495" s="9" t="s">
        <v>11225</v>
      </c>
      <c r="C5495" s="9" t="s">
        <v>11227</v>
      </c>
      <c r="D5495" s="9" t="s">
        <v>91</v>
      </c>
      <c r="E5495" s="6" t="s">
        <v>11230</v>
      </c>
      <c r="F5495" s="9"/>
    </row>
    <row r="5496" ht="33.75" customHeight="1">
      <c r="A5496" s="7">
        <v>190.0</v>
      </c>
      <c r="B5496" s="9" t="s">
        <v>11225</v>
      </c>
      <c r="C5496" s="9" t="s">
        <v>11227</v>
      </c>
      <c r="D5496" s="9" t="s">
        <v>93</v>
      </c>
      <c r="E5496" s="6" t="s">
        <v>11250</v>
      </c>
      <c r="F5496" s="9"/>
    </row>
    <row r="5497" ht="33.75" customHeight="1">
      <c r="A5497" s="7">
        <v>190.0</v>
      </c>
      <c r="B5497" s="9" t="s">
        <v>11225</v>
      </c>
      <c r="C5497" s="9" t="s">
        <v>11227</v>
      </c>
      <c r="D5497" s="9" t="s">
        <v>95</v>
      </c>
      <c r="E5497" s="6" t="s">
        <v>11250</v>
      </c>
      <c r="F5497" s="9"/>
    </row>
    <row r="5498" ht="33.75" customHeight="1">
      <c r="A5498" s="7">
        <v>190.0</v>
      </c>
      <c r="B5498" s="9" t="s">
        <v>11225</v>
      </c>
      <c r="C5498" s="9" t="s">
        <v>11227</v>
      </c>
      <c r="D5498" s="9" t="s">
        <v>98</v>
      </c>
      <c r="E5498" s="6" t="s">
        <v>11250</v>
      </c>
      <c r="F5498" s="9"/>
    </row>
    <row r="5499" ht="33.75" customHeight="1">
      <c r="A5499" s="7">
        <v>190.0</v>
      </c>
      <c r="B5499" s="9" t="s">
        <v>11225</v>
      </c>
      <c r="C5499" s="9" t="s">
        <v>11227</v>
      </c>
      <c r="D5499" s="9" t="s">
        <v>99</v>
      </c>
      <c r="E5499" s="6" t="s">
        <v>11250</v>
      </c>
      <c r="F5499" s="9"/>
    </row>
    <row r="5500" ht="33.75" customHeight="1">
      <c r="A5500" s="7">
        <v>190.0</v>
      </c>
      <c r="B5500" s="9" t="s">
        <v>11225</v>
      </c>
      <c r="C5500" s="9" t="s">
        <v>11227</v>
      </c>
      <c r="D5500" s="9" t="s">
        <v>101</v>
      </c>
      <c r="E5500" s="6" t="s">
        <v>11230</v>
      </c>
      <c r="F5500" s="9"/>
    </row>
    <row r="5501" ht="33.75" customHeight="1">
      <c r="A5501" s="7">
        <v>190.0</v>
      </c>
      <c r="B5501" s="9" t="s">
        <v>11225</v>
      </c>
      <c r="C5501" s="9" t="s">
        <v>11227</v>
      </c>
      <c r="D5501" s="9" t="s">
        <v>105</v>
      </c>
      <c r="E5501" s="6" t="s">
        <v>11228</v>
      </c>
      <c r="F5501" s="9"/>
    </row>
    <row r="5502" ht="33.75" customHeight="1">
      <c r="A5502" s="7">
        <v>190.0</v>
      </c>
      <c r="B5502" s="9" t="s">
        <v>11225</v>
      </c>
      <c r="C5502" s="9" t="s">
        <v>11227</v>
      </c>
      <c r="D5502" s="9" t="s">
        <v>107</v>
      </c>
      <c r="E5502" s="6" t="s">
        <v>11263</v>
      </c>
      <c r="F5502" s="9"/>
    </row>
    <row r="5503" ht="33.75" customHeight="1">
      <c r="A5503" s="7">
        <v>190.0</v>
      </c>
      <c r="B5503" s="9" t="s">
        <v>11225</v>
      </c>
      <c r="C5503" s="9" t="s">
        <v>11227</v>
      </c>
      <c r="D5503" s="9" t="s">
        <v>109</v>
      </c>
      <c r="E5503" s="6" t="s">
        <v>11263</v>
      </c>
      <c r="F5503" s="9"/>
    </row>
    <row r="5504" ht="33.75" customHeight="1">
      <c r="A5504" s="7">
        <v>190.0</v>
      </c>
      <c r="B5504" s="9" t="s">
        <v>11225</v>
      </c>
      <c r="C5504" s="9" t="s">
        <v>11227</v>
      </c>
      <c r="D5504" s="9" t="s">
        <v>647</v>
      </c>
      <c r="E5504" s="6" t="s">
        <v>11268</v>
      </c>
      <c r="F5504" s="9"/>
    </row>
    <row r="5505" ht="33.75" customHeight="1">
      <c r="A5505" s="7">
        <v>190.0</v>
      </c>
      <c r="B5505" s="9" t="s">
        <v>11225</v>
      </c>
      <c r="C5505" s="9" t="s">
        <v>11227</v>
      </c>
      <c r="D5505" s="9" t="s">
        <v>652</v>
      </c>
      <c r="E5505" s="6" t="s">
        <v>11271</v>
      </c>
      <c r="F5505" s="9"/>
    </row>
    <row r="5506" ht="33.75" customHeight="1">
      <c r="A5506" s="7">
        <v>190.0</v>
      </c>
      <c r="B5506" s="9" t="s">
        <v>11225</v>
      </c>
      <c r="C5506" s="9" t="s">
        <v>11227</v>
      </c>
      <c r="D5506" s="9" t="s">
        <v>1577</v>
      </c>
      <c r="E5506" s="6" t="s">
        <v>11274</v>
      </c>
      <c r="F5506" s="9"/>
    </row>
    <row r="5507" ht="33.75" customHeight="1">
      <c r="A5507" s="7">
        <v>191.0</v>
      </c>
      <c r="B5507" s="9" t="s">
        <v>11276</v>
      </c>
      <c r="C5507" s="9" t="s">
        <v>27</v>
      </c>
      <c r="D5507" s="9" t="s">
        <v>52</v>
      </c>
      <c r="E5507" s="6" t="s">
        <v>11279</v>
      </c>
      <c r="F5507" t="inlineStr" s="10">
        <is>
          <t xml:space="preserve">Sunkern voi pudota taivaalta yhtäkkiä. Jos keihäs hyökkää sen kimppuun, se ravistelee lehtiään rajusti. Se elää juomalla vain kastepisaroita kasvien lehtien alta. Sanotaan, ettei se syö mitään muuta. Se on hyvin heikko. Sen ainoa puolustuskeino on pudistaa epätoivoisesti lehtiään hyökkääjälleen. SUNKERN pyrkii liikkumaan niin vähän kuin mahdollista. Se tekee niin, koska se yrittää säilyttää kaikki kehoonsa varastoimat ravintoaineet evoluutiotaan varten. Se ei syö mitään, vaan elää vain aamukasteella. SUNKERNit pyrkivät minimoimaan liikkumisen säästääkseen kehoonsa evoluutiota varten varastoimiaan ravinteita. Ne eivät syö, vaan elävät vain aamukasteella. Se putoaa yhtäkkiä taivaalta aamulla. Vuotta kylmän kesän jälkeen niiden populaatio räjähtää. Se voi pudota taivaalta. Tietäen olevansa heikko, se vain syö, kunnes kehittyy. Jos keihäskärsäinen hyökkää sen kimppuun, se ravistelee lehtiään rajusti. Sunkern yrittää liikkua niin vähän kuin mahdollista.</t>
        </is>
      </c>
    </row>
    <row r="5508" ht="33.75" customHeight="1">
      <c r="A5508" s="7">
        <v>191.0</v>
      </c>
      <c r="B5508" s="9" t="s">
        <v>11276</v>
      </c>
      <c r="C5508" s="9" t="s">
        <v>27</v>
      </c>
      <c r="D5508" s="9" t="s">
        <v>59</v>
      </c>
      <c r="E5508" s="6" t="s">
        <v>11282</v>
      </c>
      <c r="F5508" s="9"/>
    </row>
    <row r="5509" ht="33.75" customHeight="1">
      <c r="A5509" s="7">
        <v>191.0</v>
      </c>
      <c r="B5509" s="9" t="s">
        <v>11276</v>
      </c>
      <c r="C5509" s="9" t="s">
        <v>27</v>
      </c>
      <c r="D5509" s="9" t="s">
        <v>64</v>
      </c>
      <c r="E5509" s="6" t="s">
        <v>11285</v>
      </c>
      <c r="F5509" s="9"/>
    </row>
    <row r="5510" ht="33.75" customHeight="1">
      <c r="A5510" s="7">
        <v>191.0</v>
      </c>
      <c r="B5510" s="9" t="s">
        <v>11276</v>
      </c>
      <c r="C5510" s="9" t="s">
        <v>27</v>
      </c>
      <c r="D5510" s="9" t="s">
        <v>67</v>
      </c>
      <c r="E5510" s="6" t="s">
        <v>11288</v>
      </c>
      <c r="F5510" s="9"/>
    </row>
    <row r="5511" ht="33.75" customHeight="1">
      <c r="A5511" s="7">
        <v>191.0</v>
      </c>
      <c r="B5511" s="9" t="s">
        <v>11276</v>
      </c>
      <c r="C5511" s="9" t="s">
        <v>27</v>
      </c>
      <c r="D5511" s="9" t="s">
        <v>71</v>
      </c>
      <c r="E5511" s="6" t="s">
        <v>11288</v>
      </c>
      <c r="F5511" s="9"/>
    </row>
    <row r="5512" ht="33.75" customHeight="1">
      <c r="A5512" s="7">
        <v>191.0</v>
      </c>
      <c r="B5512" s="9" t="s">
        <v>11276</v>
      </c>
      <c r="C5512" s="9" t="s">
        <v>27</v>
      </c>
      <c r="D5512" s="9" t="s">
        <v>73</v>
      </c>
      <c r="E5512" s="6" t="s">
        <v>11292</v>
      </c>
      <c r="F5512" s="9"/>
    </row>
    <row r="5513" ht="33.75" customHeight="1">
      <c r="A5513" s="7">
        <v>191.0</v>
      </c>
      <c r="B5513" s="9" t="s">
        <v>11276</v>
      </c>
      <c r="C5513" s="9" t="s">
        <v>27</v>
      </c>
      <c r="D5513" s="9" t="s">
        <v>75</v>
      </c>
      <c r="E5513" s="6" t="s">
        <v>11282</v>
      </c>
      <c r="F5513" s="9"/>
    </row>
    <row r="5514" ht="33.75" customHeight="1">
      <c r="A5514" s="7">
        <v>191.0</v>
      </c>
      <c r="B5514" s="9" t="s">
        <v>11276</v>
      </c>
      <c r="C5514" s="9" t="s">
        <v>27</v>
      </c>
      <c r="D5514" s="9" t="s">
        <v>79</v>
      </c>
      <c r="E5514" s="6" t="s">
        <v>11279</v>
      </c>
      <c r="F5514" s="9"/>
    </row>
    <row r="5515" ht="33.75" customHeight="1">
      <c r="A5515" s="7">
        <v>191.0</v>
      </c>
      <c r="B5515" s="9" t="s">
        <v>11276</v>
      </c>
      <c r="C5515" s="9" t="s">
        <v>27</v>
      </c>
      <c r="D5515" s="9" t="s">
        <v>81</v>
      </c>
      <c r="E5515" s="6" t="s">
        <v>11299</v>
      </c>
      <c r="F5515" s="9"/>
    </row>
    <row r="5516" ht="33.75" customHeight="1">
      <c r="A5516" s="7">
        <v>191.0</v>
      </c>
      <c r="B5516" s="9" t="s">
        <v>11276</v>
      </c>
      <c r="C5516" s="9" t="s">
        <v>27</v>
      </c>
      <c r="D5516" s="9" t="s">
        <v>84</v>
      </c>
      <c r="E5516" s="6" t="s">
        <v>11299</v>
      </c>
      <c r="F5516" s="9"/>
    </row>
    <row r="5517" ht="33.75" customHeight="1">
      <c r="A5517" s="7">
        <v>191.0</v>
      </c>
      <c r="B5517" s="9" t="s">
        <v>11276</v>
      </c>
      <c r="C5517" s="9" t="s">
        <v>27</v>
      </c>
      <c r="D5517" s="9" t="s">
        <v>87</v>
      </c>
      <c r="E5517" s="6" t="s">
        <v>11299</v>
      </c>
      <c r="F5517" s="9"/>
    </row>
    <row r="5518" ht="33.75" customHeight="1">
      <c r="A5518" s="7">
        <v>191.0</v>
      </c>
      <c r="B5518" s="9" t="s">
        <v>11276</v>
      </c>
      <c r="C5518" s="9" t="s">
        <v>27</v>
      </c>
      <c r="D5518" s="9" t="s">
        <v>89</v>
      </c>
      <c r="E5518" s="6" t="s">
        <v>11305</v>
      </c>
      <c r="F5518" s="9"/>
    </row>
    <row r="5519" ht="33.75" customHeight="1">
      <c r="A5519" s="7">
        <v>191.0</v>
      </c>
      <c r="B5519" s="9" t="s">
        <v>11276</v>
      </c>
      <c r="C5519" s="9" t="s">
        <v>27</v>
      </c>
      <c r="D5519" s="9" t="s">
        <v>91</v>
      </c>
      <c r="E5519" s="6" t="s">
        <v>11282</v>
      </c>
      <c r="F5519" s="9"/>
    </row>
    <row r="5520" ht="33.75" customHeight="1">
      <c r="A5520" s="7">
        <v>191.0</v>
      </c>
      <c r="B5520" s="9" t="s">
        <v>11276</v>
      </c>
      <c r="C5520" s="9" t="s">
        <v>27</v>
      </c>
      <c r="D5520" s="9" t="s">
        <v>93</v>
      </c>
      <c r="E5520" s="6" t="s">
        <v>11299</v>
      </c>
      <c r="F5520" s="9"/>
    </row>
    <row r="5521" ht="33.75" customHeight="1">
      <c r="A5521" s="7">
        <v>191.0</v>
      </c>
      <c r="B5521" s="9" t="s">
        <v>11276</v>
      </c>
      <c r="C5521" s="9" t="s">
        <v>27</v>
      </c>
      <c r="D5521" s="9" t="s">
        <v>95</v>
      </c>
      <c r="E5521" s="6" t="s">
        <v>11299</v>
      </c>
      <c r="F5521" s="9"/>
    </row>
    <row r="5522" ht="33.75" customHeight="1">
      <c r="A5522" s="7">
        <v>191.0</v>
      </c>
      <c r="B5522" s="9" t="s">
        <v>11276</v>
      </c>
      <c r="C5522" s="9" t="s">
        <v>27</v>
      </c>
      <c r="D5522" s="9" t="s">
        <v>98</v>
      </c>
      <c r="E5522" s="6" t="s">
        <v>11313</v>
      </c>
      <c r="F5522" s="9"/>
    </row>
    <row r="5523" ht="33.75" customHeight="1">
      <c r="A5523" s="7">
        <v>191.0</v>
      </c>
      <c r="B5523" s="9" t="s">
        <v>11276</v>
      </c>
      <c r="C5523" s="9" t="s">
        <v>27</v>
      </c>
      <c r="D5523" s="9" t="s">
        <v>99</v>
      </c>
      <c r="E5523" s="6" t="s">
        <v>11313</v>
      </c>
      <c r="F5523" s="9"/>
    </row>
    <row r="5524" ht="33.75" customHeight="1">
      <c r="A5524" s="7">
        <v>191.0</v>
      </c>
      <c r="B5524" s="9" t="s">
        <v>11276</v>
      </c>
      <c r="C5524" s="9" t="s">
        <v>27</v>
      </c>
      <c r="D5524" s="9" t="s">
        <v>101</v>
      </c>
      <c r="E5524" s="6" t="s">
        <v>11317</v>
      </c>
      <c r="F5524" s="9"/>
    </row>
    <row r="5525" ht="33.75" customHeight="1">
      <c r="A5525" s="7">
        <v>191.0</v>
      </c>
      <c r="B5525" s="9" t="s">
        <v>11276</v>
      </c>
      <c r="C5525" s="9" t="s">
        <v>27</v>
      </c>
      <c r="D5525" s="9" t="s">
        <v>105</v>
      </c>
      <c r="E5525" s="6" t="s">
        <v>11282</v>
      </c>
      <c r="F5525" s="9"/>
    </row>
    <row r="5526" ht="33.75" customHeight="1">
      <c r="A5526" s="7">
        <v>191.0</v>
      </c>
      <c r="B5526" s="9" t="s">
        <v>11276</v>
      </c>
      <c r="C5526" s="9" t="s">
        <v>27</v>
      </c>
      <c r="D5526" s="9" t="s">
        <v>107</v>
      </c>
      <c r="E5526" s="6" t="s">
        <v>11323</v>
      </c>
      <c r="F5526" s="9"/>
    </row>
    <row r="5527" ht="33.75" customHeight="1">
      <c r="A5527" s="7">
        <v>191.0</v>
      </c>
      <c r="B5527" s="9" t="s">
        <v>11276</v>
      </c>
      <c r="C5527" s="9" t="s">
        <v>27</v>
      </c>
      <c r="D5527" s="9" t="s">
        <v>109</v>
      </c>
      <c r="E5527" s="6" t="s">
        <v>11323</v>
      </c>
      <c r="F5527" s="9"/>
    </row>
    <row r="5528" ht="33.75" customHeight="1">
      <c r="A5528" s="7">
        <v>192.0</v>
      </c>
      <c r="B5528" s="9" t="s">
        <v>11326</v>
      </c>
      <c r="C5528" s="9" t="s">
        <v>11328</v>
      </c>
      <c r="D5528" s="9" t="s">
        <v>52</v>
      </c>
      <c r="E5528" s="6" t="s">
        <v>11329</v>
      </c>
      <c r="F5528" t="inlineStr" s="10">
        <is>
          <t xml:space="preserve">Sunflora muuntaa auringonvalon energiaksi. Auringonlaskun jälkeisessä pimeydessä se sulkee terälehtensä ja pysähtyy. Päivällä se juoksee kiireisesti, mutta pysähtyy kokonaan auringon laskiessa. Kuuman kauden lähestyessä tämän POKéMONin kasvojen terälehdet muuttuvat eloisammiksi ja eloisammiksi. AURINGONKUKKASVI muuntaa auringon energian ravinteeksi. Se liikkuu aktiivisesti päiväsaikaan, kun on lämmintä. Se pysähtyy heti auringon laskiessa yöksi. AURINGONKUKAT muuttavat auringon energian ravinnoksi. Ne ovat erittäin aktiivisia lämpimällä päivällä, mutta lakkaavat yhtäkkiä liikkumasta heti auringon laskiessa. Se saa energiaa lämpimästä auringonvalosta ja tunnetaan tavastaan ​​liikkua sen perässä. Koska se muuntaa auringonvalon energiaksi, se katsoo aina aurinkoon. Auringonkukka muuntaa auringon energian ravinteeksi. Se liikkuu aktiivisesti päiväsaikaan lämpimällä säällä.</t>
        </is>
      </c>
    </row>
    <row r="5529" ht="33.75" customHeight="1">
      <c r="A5529" s="7">
        <v>192.0</v>
      </c>
      <c r="B5529" s="9" t="s">
        <v>11326</v>
      </c>
      <c r="C5529" s="9" t="s">
        <v>11328</v>
      </c>
      <c r="D5529" s="9" t="s">
        <v>59</v>
      </c>
      <c r="E5529" s="6" t="s">
        <v>11331</v>
      </c>
      <c r="F5529" s="9"/>
    </row>
    <row r="5530" ht="33.75" customHeight="1">
      <c r="A5530" s="7">
        <v>192.0</v>
      </c>
      <c r="B5530" s="9" t="s">
        <v>11326</v>
      </c>
      <c r="C5530" s="9" t="s">
        <v>11328</v>
      </c>
      <c r="D5530" s="9" t="s">
        <v>64</v>
      </c>
      <c r="E5530" s="6" t="s">
        <v>11334</v>
      </c>
      <c r="F5530" s="9"/>
    </row>
    <row r="5531" ht="33.75" customHeight="1">
      <c r="A5531" s="7">
        <v>192.0</v>
      </c>
      <c r="B5531" s="9" t="s">
        <v>11326</v>
      </c>
      <c r="C5531" s="9" t="s">
        <v>11328</v>
      </c>
      <c r="D5531" s="9" t="s">
        <v>67</v>
      </c>
      <c r="E5531" s="6" t="s">
        <v>11336</v>
      </c>
      <c r="F5531" s="9"/>
    </row>
    <row r="5532" ht="33.75" customHeight="1">
      <c r="A5532" s="7">
        <v>192.0</v>
      </c>
      <c r="B5532" s="9" t="s">
        <v>11326</v>
      </c>
      <c r="C5532" s="9" t="s">
        <v>11328</v>
      </c>
      <c r="D5532" s="9" t="s">
        <v>71</v>
      </c>
      <c r="E5532" s="6" t="s">
        <v>11336</v>
      </c>
      <c r="F5532" s="9"/>
    </row>
    <row r="5533" ht="33.75" customHeight="1">
      <c r="A5533" s="7">
        <v>192.0</v>
      </c>
      <c r="B5533" s="9" t="s">
        <v>11326</v>
      </c>
      <c r="C5533" s="9" t="s">
        <v>11328</v>
      </c>
      <c r="D5533" s="9" t="s">
        <v>73</v>
      </c>
      <c r="E5533" s="6" t="s">
        <v>11339</v>
      </c>
      <c r="F5533" s="9"/>
    </row>
    <row r="5534" ht="33.75" customHeight="1">
      <c r="A5534" s="7">
        <v>192.0</v>
      </c>
      <c r="B5534" s="9" t="s">
        <v>11326</v>
      </c>
      <c r="C5534" s="9" t="s">
        <v>11328</v>
      </c>
      <c r="D5534" s="9" t="s">
        <v>75</v>
      </c>
      <c r="E5534" s="6" t="s">
        <v>11331</v>
      </c>
      <c r="F5534" s="9"/>
    </row>
    <row r="5535" ht="33.75" customHeight="1">
      <c r="A5535" s="7">
        <v>192.0</v>
      </c>
      <c r="B5535" s="9" t="s">
        <v>11326</v>
      </c>
      <c r="C5535" s="9" t="s">
        <v>11328</v>
      </c>
      <c r="D5535" s="9" t="s">
        <v>79</v>
      </c>
      <c r="E5535" s="6" t="s">
        <v>11329</v>
      </c>
      <c r="F5535" s="9"/>
    </row>
    <row r="5536" ht="33.75" customHeight="1">
      <c r="A5536" s="7">
        <v>192.0</v>
      </c>
      <c r="B5536" s="9" t="s">
        <v>11326</v>
      </c>
      <c r="C5536" s="9" t="s">
        <v>11328</v>
      </c>
      <c r="D5536" s="9" t="s">
        <v>81</v>
      </c>
      <c r="E5536" s="6" t="s">
        <v>11344</v>
      </c>
      <c r="F5536" s="9"/>
    </row>
    <row r="5537" ht="33.75" customHeight="1">
      <c r="A5537" s="7">
        <v>192.0</v>
      </c>
      <c r="B5537" s="9" t="s">
        <v>11326</v>
      </c>
      <c r="C5537" s="9" t="s">
        <v>11328</v>
      </c>
      <c r="D5537" s="9" t="s">
        <v>84</v>
      </c>
      <c r="E5537" s="6" t="s">
        <v>11344</v>
      </c>
      <c r="F5537" s="9"/>
    </row>
    <row r="5538" ht="33.75" customHeight="1">
      <c r="A5538" s="7">
        <v>192.0</v>
      </c>
      <c r="B5538" s="9" t="s">
        <v>11326</v>
      </c>
      <c r="C5538" s="9" t="s">
        <v>11328</v>
      </c>
      <c r="D5538" s="9" t="s">
        <v>87</v>
      </c>
      <c r="E5538" s="6" t="s">
        <v>11344</v>
      </c>
      <c r="F5538" s="9"/>
    </row>
    <row r="5539" ht="33.75" customHeight="1">
      <c r="A5539" s="7">
        <v>192.0</v>
      </c>
      <c r="B5539" s="9" t="s">
        <v>11326</v>
      </c>
      <c r="C5539" s="9" t="s">
        <v>11328</v>
      </c>
      <c r="D5539" s="9" t="s">
        <v>89</v>
      </c>
      <c r="E5539" s="6" t="s">
        <v>11329</v>
      </c>
      <c r="F5539" s="9"/>
    </row>
    <row r="5540" ht="33.75" customHeight="1">
      <c r="A5540" s="7">
        <v>192.0</v>
      </c>
      <c r="B5540" s="9" t="s">
        <v>11326</v>
      </c>
      <c r="C5540" s="9" t="s">
        <v>11328</v>
      </c>
      <c r="D5540" s="9" t="s">
        <v>91</v>
      </c>
      <c r="E5540" s="6" t="s">
        <v>11331</v>
      </c>
      <c r="F5540" s="9"/>
    </row>
    <row r="5541" ht="33.75" customHeight="1">
      <c r="A5541" s="7">
        <v>192.0</v>
      </c>
      <c r="B5541" s="9" t="s">
        <v>11326</v>
      </c>
      <c r="C5541" s="9" t="s">
        <v>11328</v>
      </c>
      <c r="D5541" s="9" t="s">
        <v>93</v>
      </c>
      <c r="E5541" s="6" t="s">
        <v>11344</v>
      </c>
      <c r="F5541" s="9"/>
    </row>
    <row r="5542" ht="33.75" customHeight="1">
      <c r="A5542" s="7">
        <v>192.0</v>
      </c>
      <c r="B5542" s="9" t="s">
        <v>11326</v>
      </c>
      <c r="C5542" s="9" t="s">
        <v>11328</v>
      </c>
      <c r="D5542" s="9" t="s">
        <v>95</v>
      </c>
      <c r="E5542" s="6" t="s">
        <v>11344</v>
      </c>
      <c r="F5542" s="9"/>
    </row>
    <row r="5543" ht="33.75" customHeight="1">
      <c r="A5543" s="7">
        <v>192.0</v>
      </c>
      <c r="B5543" s="9" t="s">
        <v>11326</v>
      </c>
      <c r="C5543" s="9" t="s">
        <v>11328</v>
      </c>
      <c r="D5543" s="9" t="s">
        <v>98</v>
      </c>
      <c r="E5543" s="6" t="s">
        <v>11353</v>
      </c>
      <c r="F5543" s="9"/>
    </row>
    <row r="5544" ht="33.75" customHeight="1">
      <c r="A5544" s="7">
        <v>192.0</v>
      </c>
      <c r="B5544" s="9" t="s">
        <v>11326</v>
      </c>
      <c r="C5544" s="9" t="s">
        <v>11328</v>
      </c>
      <c r="D5544" s="9" t="s">
        <v>99</v>
      </c>
      <c r="E5544" s="6" t="s">
        <v>11353</v>
      </c>
      <c r="F5544" s="9"/>
    </row>
    <row r="5545" ht="33.75" customHeight="1">
      <c r="A5545" s="7">
        <v>192.0</v>
      </c>
      <c r="B5545" s="9" t="s">
        <v>11326</v>
      </c>
      <c r="C5545" s="9" t="s">
        <v>11328</v>
      </c>
      <c r="D5545" s="9" t="s">
        <v>101</v>
      </c>
      <c r="E5545" s="6" t="s">
        <v>11356</v>
      </c>
      <c r="F5545" s="9"/>
    </row>
    <row r="5546" ht="33.75" customHeight="1">
      <c r="A5546" s="7">
        <v>192.0</v>
      </c>
      <c r="B5546" s="9" t="s">
        <v>11326</v>
      </c>
      <c r="C5546" s="9" t="s">
        <v>11328</v>
      </c>
      <c r="D5546" s="9" t="s">
        <v>105</v>
      </c>
      <c r="E5546" s="6" t="s">
        <v>11344</v>
      </c>
      <c r="F5546" s="9"/>
    </row>
    <row r="5547" ht="33.75" customHeight="1">
      <c r="A5547" s="7">
        <v>192.0</v>
      </c>
      <c r="B5547" s="9" t="s">
        <v>11326</v>
      </c>
      <c r="C5547" s="9" t="s">
        <v>11328</v>
      </c>
      <c r="D5547" s="9" t="s">
        <v>107</v>
      </c>
      <c r="E5547" s="6" t="s">
        <v>11360</v>
      </c>
      <c r="F5547" s="9"/>
    </row>
    <row r="5548" ht="33.75" customHeight="1">
      <c r="A5548" s="7">
        <v>192.0</v>
      </c>
      <c r="B5548" s="9" t="s">
        <v>11326</v>
      </c>
      <c r="C5548" s="9" t="s">
        <v>11328</v>
      </c>
      <c r="D5548" s="9" t="s">
        <v>109</v>
      </c>
      <c r="E5548" s="6" t="s">
        <v>11360</v>
      </c>
      <c r="F5548" s="9"/>
    </row>
    <row r="5549" ht="33.75" customHeight="1">
      <c r="A5549" s="7">
        <v>193.0</v>
      </c>
      <c r="B5549" s="9" t="s">
        <v>11364</v>
      </c>
      <c r="C5549" s="9" t="s">
        <v>11365</v>
      </c>
      <c r="D5549" s="9" t="s">
        <v>52</v>
      </c>
      <c r="E5549" s="6" t="s">
        <v>11367</v>
      </c>
      <c r="F5549" t="inlineStr" s="10">
        <is>
          <t xml:space="preserve">Jos se räpyttelee siipiään todella nopeasti, se voi tuottaa paineaaltoja, jotka rikkovat alueen ikkunoita. Sen suuret silmät voivat skannata 360 astetta. Se katsoo kaikkiin suuntiin etsiessään saaliikseen hyönteisiä. Se näkee kaikkiin suuntiin liikuttamatta suuria silmiään, mikä auttaa sitä havaitsemaan hyökkääjät ja ruoan heti. YANMA pystyy näkemään 360 astetta ilman, että sen tarvitsee liikuttaa silmiään. Se on loistava lentäjä, joka on taitava tekemään äkillisiä pysähdyksiä ja kääntymään ilmassa. Tämä POKéMON käyttää lentokykyään jahdatakseen nopeasti kohteena olevaa saalista. Se näkee 360 ​​astetta liikuttamatta silmiään. Se on loistava lentäjä, joka pystyy tekemään äkillisiä pysähdyksiä ja kääntymään ilmassa nopeasti jahdatakseen kohteensa saalista. Sen silmät näkevät 360 astetta liikuttamatta päätä. Se ei jätä saalista huomaamatta – edes sen takana olevia. Se voi leijua paikallaan räpyttelemällä siipiään suurella nopeudella. Se liitelee ympäriinsä vartioidakseen reviiriään. Läpyttelemällä siipiään suurella nopeudella se voi lentää vapaasti ilmassa. Edes äkilliset pysähdykset eivät ole ongelma. Yanma pystyy näkemään 360 astetta liikuttamatta silmiään. Sen hauraat siivet ovat niin ohuet, että niiden läpi näkee selvästi. Lennon aikana nämä siivet kuitenkin pystyvät pyörittämään ilmaa niin voimakkaasti, että ne voisivat sinkoa talon ilmaan.</t>
        </is>
      </c>
    </row>
    <row r="5550" ht="33.75" customHeight="1">
      <c r="A5550" s="7">
        <v>193.0</v>
      </c>
      <c r="B5550" s="9" t="s">
        <v>11364</v>
      </c>
      <c r="C5550" s="9" t="s">
        <v>11365</v>
      </c>
      <c r="D5550" s="9" t="s">
        <v>59</v>
      </c>
      <c r="E5550" s="6" t="s">
        <v>11369</v>
      </c>
      <c r="F5550" s="9"/>
    </row>
    <row r="5551" ht="33.75" customHeight="1">
      <c r="A5551" s="7">
        <v>193.0</v>
      </c>
      <c r="B5551" s="9" t="s">
        <v>11364</v>
      </c>
      <c r="C5551" s="9" t="s">
        <v>11365</v>
      </c>
      <c r="D5551" s="9" t="s">
        <v>64</v>
      </c>
      <c r="E5551" s="6" t="s">
        <v>11371</v>
      </c>
      <c r="F5551" s="9"/>
    </row>
    <row r="5552" ht="33.75" customHeight="1">
      <c r="A5552" s="7">
        <v>193.0</v>
      </c>
      <c r="B5552" s="9" t="s">
        <v>11364</v>
      </c>
      <c r="C5552" s="9" t="s">
        <v>11365</v>
      </c>
      <c r="D5552" s="9" t="s">
        <v>67</v>
      </c>
      <c r="E5552" s="6" t="s">
        <v>11374</v>
      </c>
      <c r="F5552" s="9"/>
    </row>
    <row r="5553" ht="33.75" customHeight="1">
      <c r="A5553" s="7">
        <v>193.0</v>
      </c>
      <c r="B5553" s="9" t="s">
        <v>11364</v>
      </c>
      <c r="C5553" s="9" t="s">
        <v>11365</v>
      </c>
      <c r="D5553" s="9" t="s">
        <v>71</v>
      </c>
      <c r="E5553" s="6" t="s">
        <v>11374</v>
      </c>
      <c r="F5553" s="9"/>
    </row>
    <row r="5554" ht="33.75" customHeight="1">
      <c r="A5554" s="7">
        <v>193.0</v>
      </c>
      <c r="B5554" s="9" t="s">
        <v>11364</v>
      </c>
      <c r="C5554" s="9" t="s">
        <v>11365</v>
      </c>
      <c r="D5554" s="9" t="s">
        <v>73</v>
      </c>
      <c r="E5554" s="6" t="s">
        <v>11377</v>
      </c>
      <c r="F5554" s="9"/>
    </row>
    <row r="5555" ht="33.75" customHeight="1">
      <c r="A5555" s="7">
        <v>193.0</v>
      </c>
      <c r="B5555" s="9" t="s">
        <v>11364</v>
      </c>
      <c r="C5555" s="9" t="s">
        <v>11365</v>
      </c>
      <c r="D5555" s="9" t="s">
        <v>75</v>
      </c>
      <c r="E5555" s="6" t="s">
        <v>11369</v>
      </c>
      <c r="F5555" s="9"/>
    </row>
    <row r="5556" ht="33.75" customHeight="1">
      <c r="A5556" s="7">
        <v>193.0</v>
      </c>
      <c r="B5556" s="9" t="s">
        <v>11364</v>
      </c>
      <c r="C5556" s="9" t="s">
        <v>11365</v>
      </c>
      <c r="D5556" s="9" t="s">
        <v>79</v>
      </c>
      <c r="E5556" s="6" t="s">
        <v>11367</v>
      </c>
      <c r="F5556" s="9"/>
    </row>
    <row r="5557" ht="33.75" customHeight="1">
      <c r="A5557" s="7">
        <v>193.0</v>
      </c>
      <c r="B5557" s="9" t="s">
        <v>11364</v>
      </c>
      <c r="C5557" s="9" t="s">
        <v>11365</v>
      </c>
      <c r="D5557" s="9" t="s">
        <v>81</v>
      </c>
      <c r="E5557" s="6" t="s">
        <v>11382</v>
      </c>
      <c r="F5557" s="9"/>
    </row>
    <row r="5558" ht="33.75" customHeight="1">
      <c r="A5558" s="7">
        <v>193.0</v>
      </c>
      <c r="B5558" s="9" t="s">
        <v>11364</v>
      </c>
      <c r="C5558" s="9" t="s">
        <v>11365</v>
      </c>
      <c r="D5558" s="9" t="s">
        <v>84</v>
      </c>
      <c r="E5558" s="6" t="s">
        <v>11382</v>
      </c>
      <c r="F5558" s="9"/>
    </row>
    <row r="5559" ht="33.75" customHeight="1">
      <c r="A5559" s="7">
        <v>193.0</v>
      </c>
      <c r="B5559" s="9" t="s">
        <v>11364</v>
      </c>
      <c r="C5559" s="9" t="s">
        <v>11365</v>
      </c>
      <c r="D5559" s="9" t="s">
        <v>87</v>
      </c>
      <c r="E5559" s="6" t="s">
        <v>11386</v>
      </c>
      <c r="F5559" s="9"/>
    </row>
    <row r="5560" ht="33.75" customHeight="1">
      <c r="A5560" s="7">
        <v>193.0</v>
      </c>
      <c r="B5560" s="9" t="s">
        <v>11364</v>
      </c>
      <c r="C5560" s="9" t="s">
        <v>11365</v>
      </c>
      <c r="D5560" s="9" t="s">
        <v>89</v>
      </c>
      <c r="E5560" s="6" t="s">
        <v>11367</v>
      </c>
      <c r="F5560" s="9"/>
    </row>
    <row r="5561" ht="33.75" customHeight="1">
      <c r="A5561" s="7">
        <v>193.0</v>
      </c>
      <c r="B5561" s="9" t="s">
        <v>11364</v>
      </c>
      <c r="C5561" s="9" t="s">
        <v>11365</v>
      </c>
      <c r="D5561" s="9" t="s">
        <v>91</v>
      </c>
      <c r="E5561" s="6" t="s">
        <v>11369</v>
      </c>
      <c r="F5561" s="9"/>
    </row>
    <row r="5562" ht="33.75" customHeight="1">
      <c r="A5562" s="7">
        <v>193.0</v>
      </c>
      <c r="B5562" s="9" t="s">
        <v>11364</v>
      </c>
      <c r="C5562" s="9" t="s">
        <v>11365</v>
      </c>
      <c r="D5562" s="9" t="s">
        <v>93</v>
      </c>
      <c r="E5562" s="6" t="s">
        <v>11386</v>
      </c>
      <c r="F5562" s="9"/>
    </row>
    <row r="5563" ht="33.75" customHeight="1">
      <c r="A5563" s="7">
        <v>193.0</v>
      </c>
      <c r="B5563" s="9" t="s">
        <v>11364</v>
      </c>
      <c r="C5563" s="9" t="s">
        <v>11365</v>
      </c>
      <c r="D5563" s="9" t="s">
        <v>95</v>
      </c>
      <c r="E5563" s="6" t="s">
        <v>11386</v>
      </c>
      <c r="F5563" s="9"/>
    </row>
    <row r="5564" ht="33.75" customHeight="1">
      <c r="A5564" s="7">
        <v>193.0</v>
      </c>
      <c r="B5564" s="9" t="s">
        <v>11364</v>
      </c>
      <c r="C5564" s="9" t="s">
        <v>11365</v>
      </c>
      <c r="D5564" s="9" t="s">
        <v>98</v>
      </c>
      <c r="E5564" s="6" t="s">
        <v>11394</v>
      </c>
      <c r="F5564" s="9"/>
    </row>
    <row r="5565" ht="33.75" customHeight="1">
      <c r="A5565" s="7">
        <v>193.0</v>
      </c>
      <c r="B5565" s="9" t="s">
        <v>11364</v>
      </c>
      <c r="C5565" s="9" t="s">
        <v>11365</v>
      </c>
      <c r="D5565" s="9" t="s">
        <v>99</v>
      </c>
      <c r="E5565" s="6" t="s">
        <v>11394</v>
      </c>
      <c r="F5565" s="9"/>
    </row>
    <row r="5566" ht="33.75" customHeight="1">
      <c r="A5566" s="7">
        <v>193.0</v>
      </c>
      <c r="B5566" s="9" t="s">
        <v>11364</v>
      </c>
      <c r="C5566" s="9" t="s">
        <v>11365</v>
      </c>
      <c r="D5566" s="9" t="s">
        <v>101</v>
      </c>
      <c r="E5566" s="6" t="s">
        <v>11382</v>
      </c>
      <c r="F5566" s="9"/>
    </row>
    <row r="5567" ht="33.75" customHeight="1">
      <c r="A5567" s="7">
        <v>193.0</v>
      </c>
      <c r="B5567" s="9" t="s">
        <v>11364</v>
      </c>
      <c r="C5567" s="9" t="s">
        <v>11365</v>
      </c>
      <c r="D5567" s="9" t="s">
        <v>105</v>
      </c>
      <c r="E5567" s="6" t="s">
        <v>11367</v>
      </c>
      <c r="F5567" s="9"/>
    </row>
    <row r="5568" ht="33.75" customHeight="1">
      <c r="A5568" s="7">
        <v>193.0</v>
      </c>
      <c r="B5568" s="9" t="s">
        <v>11364</v>
      </c>
      <c r="C5568" s="9" t="s">
        <v>11365</v>
      </c>
      <c r="D5568" s="9" t="s">
        <v>107</v>
      </c>
      <c r="E5568" s="6" t="s">
        <v>11400</v>
      </c>
      <c r="F5568" s="9"/>
    </row>
    <row r="5569" ht="33.75" customHeight="1">
      <c r="A5569" s="7">
        <v>193.0</v>
      </c>
      <c r="B5569" s="9" t="s">
        <v>11364</v>
      </c>
      <c r="C5569" s="9" t="s">
        <v>11365</v>
      </c>
      <c r="D5569" s="9" t="s">
        <v>109</v>
      </c>
      <c r="E5569" s="6" t="s">
        <v>11400</v>
      </c>
      <c r="F5569" s="9"/>
    </row>
    <row r="5570" ht="33.75" customHeight="1">
      <c r="A5570" s="7">
        <v>193.0</v>
      </c>
      <c r="B5570" s="9" t="s">
        <v>11364</v>
      </c>
      <c r="C5570" s="9" t="s">
        <v>11365</v>
      </c>
      <c r="D5570" s="9" t="s">
        <v>1577</v>
      </c>
      <c r="E5570" s="6" t="s">
        <v>11404</v>
      </c>
      <c r="F5570" s="9"/>
    </row>
    <row r="5571" ht="33.75" customHeight="1">
      <c r="A5571" s="7">
        <v>194.0</v>
      </c>
      <c r="B5571" s="9" t="s">
        <v>11408</v>
      </c>
      <c r="C5571" s="9" t="s">
        <v>11409</v>
      </c>
      <c r="D5571" s="9" t="s">
        <v>52</v>
      </c>
      <c r="E5571" s="6" t="s">
        <v>11411</v>
      </c>
      <c r="F5571" t="inlineStr" s="10">
        <is>
          <t xml:space="preserve">Tämä POKéMON elää kylmässä vedessä. Se lähtee vedestä etsimään ruokaa, kun ulkona kylmenee. Kun se kävelee kierroksen maassa, se peittää ruumiinsa limaisella, myrkyllisellä kalvolla. Sen vartaloa peittää limakalvo. Sen koskettaminen paljain käsin aiheuttaa vihlovaa kipua. WOOPER elää yleensä vedessä. Se kuitenkin tulee toisinaan maihin etsimään ruokaa. Maalla se peittää ruumiinsa tahmealla, myrkyllisellä kalvolla. WOOPER elää yleensä vedessä, mutta tulee silloin tällöin maihin etsimään ruokaa. Maalla ne peittävät ruumiinsa tahmealla, myrkyllisellä kalvolla. Maassa kävellessään se peittää ruumiinsa limaisella, myrkyllisellä kalvolla. Se elää kylmässä vedessä, puoliksi hautautuneena pohjaan mutaan nukkuakseen. Kun lämpötila laskee illalla, ne nousevat vedestä etsimään ruokaa rannalta. Maalla kävellessään se peittää ruumiinsa myrkyllisellä kalvolla, joka estää sen ihoa kuivumasta.</t>
        </is>
      </c>
    </row>
    <row r="5572" ht="33.75" customHeight="1">
      <c r="A5572" s="7">
        <v>194.0</v>
      </c>
      <c r="B5572" s="9" t="s">
        <v>11408</v>
      </c>
      <c r="C5572" s="9" t="s">
        <v>11409</v>
      </c>
      <c r="D5572" s="9" t="s">
        <v>59</v>
      </c>
      <c r="E5572" s="6" t="s">
        <v>11413</v>
      </c>
      <c r="F5572" s="9"/>
    </row>
    <row r="5573" ht="33.75" customHeight="1">
      <c r="A5573" s="7">
        <v>194.0</v>
      </c>
      <c r="B5573" s="9" t="s">
        <v>11408</v>
      </c>
      <c r="C5573" s="9" t="s">
        <v>11409</v>
      </c>
      <c r="D5573" s="9" t="s">
        <v>64</v>
      </c>
      <c r="E5573" s="6" t="s">
        <v>11416</v>
      </c>
      <c r="F5573" s="9"/>
    </row>
    <row r="5574" ht="33.75" customHeight="1">
      <c r="A5574" s="7">
        <v>194.0</v>
      </c>
      <c r="B5574" s="9" t="s">
        <v>11408</v>
      </c>
      <c r="C5574" s="9" t="s">
        <v>11409</v>
      </c>
      <c r="D5574" s="9" t="s">
        <v>67</v>
      </c>
      <c r="E5574" s="6" t="s">
        <v>11418</v>
      </c>
      <c r="F5574" s="9"/>
    </row>
    <row r="5575" ht="33.75" customHeight="1">
      <c r="A5575" s="7">
        <v>194.0</v>
      </c>
      <c r="B5575" s="9" t="s">
        <v>11408</v>
      </c>
      <c r="C5575" s="9" t="s">
        <v>11409</v>
      </c>
      <c r="D5575" s="9" t="s">
        <v>71</v>
      </c>
      <c r="E5575" s="6" t="s">
        <v>11418</v>
      </c>
      <c r="F5575" s="9"/>
    </row>
    <row r="5576" ht="33.75" customHeight="1">
      <c r="A5576" s="7">
        <v>194.0</v>
      </c>
      <c r="B5576" s="9" t="s">
        <v>11408</v>
      </c>
      <c r="C5576" s="9" t="s">
        <v>11409</v>
      </c>
      <c r="D5576" s="9" t="s">
        <v>73</v>
      </c>
      <c r="E5576" s="6" t="s">
        <v>11422</v>
      </c>
      <c r="F5576" s="9"/>
    </row>
    <row r="5577" ht="33.75" customHeight="1">
      <c r="A5577" s="7">
        <v>194.0</v>
      </c>
      <c r="B5577" s="9" t="s">
        <v>11408</v>
      </c>
      <c r="C5577" s="9" t="s">
        <v>11409</v>
      </c>
      <c r="D5577" s="9" t="s">
        <v>75</v>
      </c>
      <c r="E5577" s="6" t="s">
        <v>11424</v>
      </c>
      <c r="F5577" s="9"/>
    </row>
    <row r="5578" ht="33.75" customHeight="1">
      <c r="A5578" s="7">
        <v>194.0</v>
      </c>
      <c r="B5578" s="9" t="s">
        <v>11408</v>
      </c>
      <c r="C5578" s="9" t="s">
        <v>11409</v>
      </c>
      <c r="D5578" s="9" t="s">
        <v>79</v>
      </c>
      <c r="E5578" s="6" t="s">
        <v>11411</v>
      </c>
      <c r="F5578" s="9"/>
    </row>
    <row r="5579" ht="33.75" customHeight="1">
      <c r="A5579" s="7">
        <v>194.0</v>
      </c>
      <c r="B5579" s="9" t="s">
        <v>11408</v>
      </c>
      <c r="C5579" s="9" t="s">
        <v>11409</v>
      </c>
      <c r="D5579" s="9" t="s">
        <v>81</v>
      </c>
      <c r="E5579" s="6" t="s">
        <v>11428</v>
      </c>
      <c r="F5579" s="9"/>
    </row>
    <row r="5580" ht="33.75" customHeight="1">
      <c r="A5580" s="7">
        <v>194.0</v>
      </c>
      <c r="B5580" s="9" t="s">
        <v>11408</v>
      </c>
      <c r="C5580" s="9" t="s">
        <v>11409</v>
      </c>
      <c r="D5580" s="9" t="s">
        <v>84</v>
      </c>
      <c r="E5580" s="6" t="s">
        <v>11430</v>
      </c>
      <c r="F5580" s="9"/>
    </row>
    <row r="5581" ht="33.75" customHeight="1">
      <c r="A5581" s="7">
        <v>194.0</v>
      </c>
      <c r="B5581" s="9" t="s">
        <v>11408</v>
      </c>
      <c r="C5581" s="9" t="s">
        <v>11409</v>
      </c>
      <c r="D5581" s="9" t="s">
        <v>87</v>
      </c>
      <c r="E5581" s="6" t="s">
        <v>11432</v>
      </c>
      <c r="F5581" s="9"/>
    </row>
    <row r="5582" ht="33.75" customHeight="1">
      <c r="A5582" s="7">
        <v>194.0</v>
      </c>
      <c r="B5582" s="9" t="s">
        <v>11408</v>
      </c>
      <c r="C5582" s="9" t="s">
        <v>11409</v>
      </c>
      <c r="D5582" s="9" t="s">
        <v>89</v>
      </c>
      <c r="E5582" s="6" t="s">
        <v>11434</v>
      </c>
      <c r="F5582" s="9"/>
    </row>
    <row r="5583" ht="33.75" customHeight="1">
      <c r="A5583" s="7">
        <v>194.0</v>
      </c>
      <c r="B5583" s="9" t="s">
        <v>11408</v>
      </c>
      <c r="C5583" s="9" t="s">
        <v>11409</v>
      </c>
      <c r="D5583" s="9" t="s">
        <v>91</v>
      </c>
      <c r="E5583" s="6" t="s">
        <v>11424</v>
      </c>
      <c r="F5583" s="9"/>
    </row>
    <row r="5584" ht="33.75" customHeight="1">
      <c r="A5584" s="7">
        <v>194.0</v>
      </c>
      <c r="B5584" s="9" t="s">
        <v>11408</v>
      </c>
      <c r="C5584" s="9" t="s">
        <v>11409</v>
      </c>
      <c r="D5584" s="9" t="s">
        <v>93</v>
      </c>
      <c r="E5584" s="6" t="s">
        <v>11432</v>
      </c>
      <c r="F5584" s="9"/>
    </row>
    <row r="5585" ht="33.75" customHeight="1">
      <c r="A5585" s="7">
        <v>194.0</v>
      </c>
      <c r="B5585" s="9" t="s">
        <v>11408</v>
      </c>
      <c r="C5585" s="9" t="s">
        <v>11409</v>
      </c>
      <c r="D5585" s="9" t="s">
        <v>95</v>
      </c>
      <c r="E5585" s="6" t="s">
        <v>11432</v>
      </c>
      <c r="F5585" s="9"/>
    </row>
    <row r="5586" ht="33.75" customHeight="1">
      <c r="A5586" s="7">
        <v>194.0</v>
      </c>
      <c r="B5586" s="9" t="s">
        <v>11408</v>
      </c>
      <c r="C5586" s="9" t="s">
        <v>11409</v>
      </c>
      <c r="D5586" s="9" t="s">
        <v>98</v>
      </c>
      <c r="E5586" s="6" t="s">
        <v>11432</v>
      </c>
      <c r="F5586" s="9"/>
    </row>
    <row r="5587" ht="33.75" customHeight="1">
      <c r="A5587" s="7">
        <v>194.0</v>
      </c>
      <c r="B5587" s="9" t="s">
        <v>11408</v>
      </c>
      <c r="C5587" s="9" t="s">
        <v>11409</v>
      </c>
      <c r="D5587" s="9" t="s">
        <v>99</v>
      </c>
      <c r="E5587" s="6" t="s">
        <v>11432</v>
      </c>
      <c r="F5587" s="9"/>
    </row>
    <row r="5588" ht="33.75" customHeight="1">
      <c r="A5588" s="7">
        <v>194.0</v>
      </c>
      <c r="B5588" s="9" t="s">
        <v>11408</v>
      </c>
      <c r="C5588" s="9" t="s">
        <v>11409</v>
      </c>
      <c r="D5588" s="9" t="s">
        <v>101</v>
      </c>
      <c r="E5588" s="6" t="s">
        <v>11434</v>
      </c>
      <c r="F5588" s="9"/>
    </row>
    <row r="5589" ht="33.75" customHeight="1">
      <c r="A5589" s="7">
        <v>194.0</v>
      </c>
      <c r="B5589" s="9" t="s">
        <v>11408</v>
      </c>
      <c r="C5589" s="9" t="s">
        <v>11409</v>
      </c>
      <c r="D5589" s="9" t="s">
        <v>105</v>
      </c>
      <c r="E5589" s="6" t="s">
        <v>11430</v>
      </c>
      <c r="F5589" s="9"/>
    </row>
    <row r="5590" ht="33.75" customHeight="1">
      <c r="A5590" s="7">
        <v>194.0</v>
      </c>
      <c r="B5590" s="9" t="s">
        <v>11408</v>
      </c>
      <c r="C5590" s="9" t="s">
        <v>11409</v>
      </c>
      <c r="D5590" s="9" t="s">
        <v>107</v>
      </c>
      <c r="E5590" s="6" t="s">
        <v>11445</v>
      </c>
      <c r="F5590" s="9"/>
    </row>
    <row r="5591" ht="33.75" customHeight="1">
      <c r="A5591" s="7">
        <v>194.0</v>
      </c>
      <c r="B5591" s="9" t="s">
        <v>11408</v>
      </c>
      <c r="C5591" s="9" t="s">
        <v>11409</v>
      </c>
      <c r="D5591" s="9" t="s">
        <v>109</v>
      </c>
      <c r="E5591" s="6" t="s">
        <v>11445</v>
      </c>
      <c r="F5591" s="9"/>
    </row>
    <row r="5592" ht="33.75" customHeight="1">
      <c r="A5592" s="7">
        <v>194.0</v>
      </c>
      <c r="B5592" s="9" t="s">
        <v>11408</v>
      </c>
      <c r="C5592" s="9" t="s">
        <v>11409</v>
      </c>
      <c r="D5592" s="9" t="s">
        <v>114</v>
      </c>
      <c r="E5592" s="6" t="s">
        <v>11434</v>
      </c>
      <c r="F5592" s="9"/>
    </row>
    <row r="5593" ht="33.75" customHeight="1">
      <c r="A5593" s="7">
        <v>194.0</v>
      </c>
      <c r="B5593" s="9" t="s">
        <v>11408</v>
      </c>
      <c r="C5593" s="9" t="s">
        <v>11409</v>
      </c>
      <c r="D5593" s="9" t="s">
        <v>117</v>
      </c>
      <c r="E5593" s="6" t="s">
        <v>11432</v>
      </c>
      <c r="F5593" s="9"/>
    </row>
    <row r="5594" ht="33.75" customHeight="1">
      <c r="A5594" s="7">
        <v>195.0</v>
      </c>
      <c r="B5594" s="9" t="s">
        <v>11452</v>
      </c>
      <c r="C5594" s="9" t="s">
        <v>11409</v>
      </c>
      <c r="D5594" s="9" t="s">
        <v>52</v>
      </c>
      <c r="E5594" s="6" t="s">
        <v>11454</v>
      </c>
      <c r="F5594" t="inlineStr" s="10">
        <is>
          <t xml:space="preserve">Tämä huoleton POKéMON on luonteeltaan leppoisa. Uidessaan se törmää aina veneiden runkoihin. Rentouttavan ja huolettoman olemuksensa vuoksi se usein törmää uidessaan päänsä lohkareisiin ja veneen runkoihin. Sen ruumis on aina limainen. Se usein lyö päätään joen pohjaan uidessaan, mutta ei näytä välittävän siitä. QUAGSIRE metsästää ruokaa pitämällä suunsa auki vedessä ja odottamalla saaliinsa kompastuvan sisään tietämättään. Koska POKéMON ei liiku, se ei tule kovin nälkäiseksi. QUAGSIRE metsästää jättämällä suunsa auki veteen ja odottamalla saaliinsa kompastuvan sisään. Koska se ei liiku, se ei tule kovin nälkäiseksi. Rentouttavan ja huolettoman asenteensa vuoksi se usein törmää uidessaan päänsä lohkareisiin ja veneen runkoihin. Se on luonteeltaan hidas. Se makaa joen pohjassa odottamassa saalista eksyvän suuhunsa. Tyhmäjärkinen Pokémon. Se ei välitä, vaikka se uidessaan törmäisi päällään veneeseen tai kiviin. Sillä on leppoisa luonne. Se ei välitä, vaikka se uidessaan törmäisi päänsä veneisiin tai lohkareisiin. Tämä huoleton Pokémon on luonteeltaan rento. Uidessaan se törmää aina veneen runkoihin. Quagsire metsästää ruokaa jättämällä suunsa auki veteen ja odottamalla saaliinsa kompastuvan sisään tietämättään.</t>
        </is>
      </c>
    </row>
    <row r="5595" ht="33.75" customHeight="1">
      <c r="A5595" s="7">
        <v>195.0</v>
      </c>
      <c r="B5595" s="9" t="s">
        <v>11452</v>
      </c>
      <c r="C5595" s="9" t="s">
        <v>11409</v>
      </c>
      <c r="D5595" s="9" t="s">
        <v>59</v>
      </c>
      <c r="E5595" s="6" t="s">
        <v>11456</v>
      </c>
      <c r="F5595" s="9"/>
    </row>
    <row r="5596" ht="33.75" customHeight="1">
      <c r="A5596" s="7">
        <v>195.0</v>
      </c>
      <c r="B5596" s="9" t="s">
        <v>11452</v>
      </c>
      <c r="C5596" s="9" t="s">
        <v>11409</v>
      </c>
      <c r="D5596" s="9" t="s">
        <v>64</v>
      </c>
      <c r="E5596" s="6" t="s">
        <v>11458</v>
      </c>
      <c r="F5596" s="9"/>
    </row>
    <row r="5597" ht="33.75" customHeight="1">
      <c r="A5597" s="7">
        <v>195.0</v>
      </c>
      <c r="B5597" s="9" t="s">
        <v>11452</v>
      </c>
      <c r="C5597" s="9" t="s">
        <v>11409</v>
      </c>
      <c r="D5597" s="9" t="s">
        <v>67</v>
      </c>
      <c r="E5597" s="6" t="s">
        <v>11460</v>
      </c>
      <c r="F5597" s="9"/>
    </row>
    <row r="5598" ht="33.75" customHeight="1">
      <c r="A5598" s="7">
        <v>195.0</v>
      </c>
      <c r="B5598" s="9" t="s">
        <v>11452</v>
      </c>
      <c r="C5598" s="9" t="s">
        <v>11409</v>
      </c>
      <c r="D5598" s="9" t="s">
        <v>71</v>
      </c>
      <c r="E5598" s="6" t="s">
        <v>11460</v>
      </c>
      <c r="F5598" s="9"/>
    </row>
    <row r="5599" ht="33.75" customHeight="1">
      <c r="A5599" s="7">
        <v>195.0</v>
      </c>
      <c r="B5599" s="9" t="s">
        <v>11452</v>
      </c>
      <c r="C5599" s="9" t="s">
        <v>11409</v>
      </c>
      <c r="D5599" s="9" t="s">
        <v>73</v>
      </c>
      <c r="E5599" s="6" t="s">
        <v>11463</v>
      </c>
      <c r="F5599" s="9"/>
    </row>
    <row r="5600" ht="33.75" customHeight="1">
      <c r="A5600" s="7">
        <v>195.0</v>
      </c>
      <c r="B5600" s="9" t="s">
        <v>11452</v>
      </c>
      <c r="C5600" s="9" t="s">
        <v>11409</v>
      </c>
      <c r="D5600" s="9" t="s">
        <v>75</v>
      </c>
      <c r="E5600" s="6" t="s">
        <v>11465</v>
      </c>
      <c r="F5600" s="9"/>
    </row>
    <row r="5601" ht="33.75" customHeight="1">
      <c r="A5601" s="7">
        <v>195.0</v>
      </c>
      <c r="B5601" s="9" t="s">
        <v>11452</v>
      </c>
      <c r="C5601" s="9" t="s">
        <v>11409</v>
      </c>
      <c r="D5601" s="9" t="s">
        <v>79</v>
      </c>
      <c r="E5601" s="6" t="s">
        <v>11454</v>
      </c>
      <c r="F5601" s="9"/>
    </row>
    <row r="5602" ht="33.75" customHeight="1">
      <c r="A5602" s="7">
        <v>195.0</v>
      </c>
      <c r="B5602" s="9" t="s">
        <v>11452</v>
      </c>
      <c r="C5602" s="9" t="s">
        <v>11409</v>
      </c>
      <c r="D5602" s="9" t="s">
        <v>81</v>
      </c>
      <c r="E5602" s="6" t="s">
        <v>11470</v>
      </c>
      <c r="F5602" s="9"/>
    </row>
    <row r="5603" ht="33.75" customHeight="1">
      <c r="A5603" s="7">
        <v>195.0</v>
      </c>
      <c r="B5603" s="9" t="s">
        <v>11452</v>
      </c>
      <c r="C5603" s="9" t="s">
        <v>11409</v>
      </c>
      <c r="D5603" s="9" t="s">
        <v>84</v>
      </c>
      <c r="E5603" s="6" t="s">
        <v>11473</v>
      </c>
      <c r="F5603" s="9"/>
    </row>
    <row r="5604" ht="33.75" customHeight="1">
      <c r="A5604" s="7">
        <v>195.0</v>
      </c>
      <c r="B5604" s="9" t="s">
        <v>11452</v>
      </c>
      <c r="C5604" s="9" t="s">
        <v>11409</v>
      </c>
      <c r="D5604" s="9" t="s">
        <v>87</v>
      </c>
      <c r="E5604" s="6" t="s">
        <v>11475</v>
      </c>
      <c r="F5604" s="9"/>
    </row>
    <row r="5605" ht="33.75" customHeight="1">
      <c r="A5605" s="7">
        <v>195.0</v>
      </c>
      <c r="B5605" s="9" t="s">
        <v>11452</v>
      </c>
      <c r="C5605" s="9" t="s">
        <v>11409</v>
      </c>
      <c r="D5605" s="9" t="s">
        <v>89</v>
      </c>
      <c r="E5605" s="6" t="s">
        <v>11477</v>
      </c>
      <c r="F5605" s="9"/>
    </row>
    <row r="5606" ht="33.75" customHeight="1">
      <c r="A5606" s="7">
        <v>195.0</v>
      </c>
      <c r="B5606" s="9" t="s">
        <v>11452</v>
      </c>
      <c r="C5606" s="9" t="s">
        <v>11409</v>
      </c>
      <c r="D5606" s="9" t="s">
        <v>91</v>
      </c>
      <c r="E5606" s="6" t="s">
        <v>11465</v>
      </c>
      <c r="F5606" s="9"/>
    </row>
    <row r="5607" ht="33.75" customHeight="1">
      <c r="A5607" s="7">
        <v>195.0</v>
      </c>
      <c r="B5607" s="9" t="s">
        <v>11452</v>
      </c>
      <c r="C5607" s="9" t="s">
        <v>11409</v>
      </c>
      <c r="D5607" s="9" t="s">
        <v>93</v>
      </c>
      <c r="E5607" s="6" t="s">
        <v>11475</v>
      </c>
      <c r="F5607" s="9"/>
    </row>
    <row r="5608" ht="33.75" customHeight="1">
      <c r="A5608" s="7">
        <v>195.0</v>
      </c>
      <c r="B5608" s="9" t="s">
        <v>11452</v>
      </c>
      <c r="C5608" s="9" t="s">
        <v>11409</v>
      </c>
      <c r="D5608" s="9" t="s">
        <v>95</v>
      </c>
      <c r="E5608" s="6" t="s">
        <v>11475</v>
      </c>
      <c r="F5608" s="9"/>
    </row>
    <row r="5609" ht="33.75" customHeight="1">
      <c r="A5609" s="7">
        <v>195.0</v>
      </c>
      <c r="B5609" s="9" t="s">
        <v>11452</v>
      </c>
      <c r="C5609" s="9" t="s">
        <v>11409</v>
      </c>
      <c r="D5609" s="9" t="s">
        <v>98</v>
      </c>
      <c r="E5609" s="6" t="s">
        <v>11475</v>
      </c>
      <c r="F5609" s="9"/>
    </row>
    <row r="5610" ht="33.75" customHeight="1">
      <c r="A5610" s="7">
        <v>195.0</v>
      </c>
      <c r="B5610" s="9" t="s">
        <v>11452</v>
      </c>
      <c r="C5610" s="9" t="s">
        <v>11409</v>
      </c>
      <c r="D5610" s="9" t="s">
        <v>99</v>
      </c>
      <c r="E5610" s="6" t="s">
        <v>11475</v>
      </c>
      <c r="F5610" s="9"/>
    </row>
    <row r="5611" ht="33.75" customHeight="1">
      <c r="A5611" s="7">
        <v>195.0</v>
      </c>
      <c r="B5611" s="9" t="s">
        <v>11452</v>
      </c>
      <c r="C5611" s="9" t="s">
        <v>11409</v>
      </c>
      <c r="D5611" s="9" t="s">
        <v>101</v>
      </c>
      <c r="E5611" s="6" t="s">
        <v>11470</v>
      </c>
      <c r="F5611" s="9"/>
    </row>
    <row r="5612" ht="33.75" customHeight="1">
      <c r="A5612" s="7">
        <v>195.0</v>
      </c>
      <c r="B5612" s="9" t="s">
        <v>11452</v>
      </c>
      <c r="C5612" s="9" t="s">
        <v>11409</v>
      </c>
      <c r="D5612" s="9" t="s">
        <v>105</v>
      </c>
      <c r="E5612" s="6" t="s">
        <v>11482</v>
      </c>
      <c r="F5612" s="9"/>
    </row>
    <row r="5613" ht="33.75" customHeight="1">
      <c r="A5613" s="7">
        <v>195.0</v>
      </c>
      <c r="B5613" s="9" t="s">
        <v>11452</v>
      </c>
      <c r="C5613" s="9" t="s">
        <v>11409</v>
      </c>
      <c r="D5613" s="9" t="s">
        <v>107</v>
      </c>
      <c r="E5613" s="6" t="s">
        <v>11484</v>
      </c>
      <c r="F5613" s="9"/>
    </row>
    <row r="5614" ht="33.75" customHeight="1">
      <c r="A5614" s="7">
        <v>195.0</v>
      </c>
      <c r="B5614" s="9" t="s">
        <v>11452</v>
      </c>
      <c r="C5614" s="9" t="s">
        <v>11409</v>
      </c>
      <c r="D5614" s="9" t="s">
        <v>109</v>
      </c>
      <c r="E5614" s="6" t="s">
        <v>11484</v>
      </c>
      <c r="F5614" s="9"/>
    </row>
    <row r="5615" ht="33.75" customHeight="1">
      <c r="A5615" s="7">
        <v>195.0</v>
      </c>
      <c r="B5615" s="9" t="s">
        <v>11452</v>
      </c>
      <c r="C5615" s="9" t="s">
        <v>11409</v>
      </c>
      <c r="D5615" s="9" t="s">
        <v>114</v>
      </c>
      <c r="E5615" s="6" t="s">
        <v>11475</v>
      </c>
      <c r="F5615" s="9"/>
    </row>
    <row r="5616" ht="33.75" customHeight="1">
      <c r="A5616" s="7">
        <v>195.0</v>
      </c>
      <c r="B5616" s="9" t="s">
        <v>11452</v>
      </c>
      <c r="C5616" s="9" t="s">
        <v>11409</v>
      </c>
      <c r="D5616" s="9" t="s">
        <v>117</v>
      </c>
      <c r="E5616" s="6" t="s">
        <v>11458</v>
      </c>
      <c r="F5616" s="9"/>
    </row>
    <row r="5617" ht="33.75" customHeight="1">
      <c r="A5617" s="7">
        <v>196.0</v>
      </c>
      <c r="B5617" s="9" t="s">
        <v>11487</v>
      </c>
      <c r="C5617" s="9" t="s">
        <v>11328</v>
      </c>
      <c r="D5617" s="9" t="s">
        <v>52</v>
      </c>
      <c r="E5617" s="6" t="s">
        <v>11489</v>
      </c>
      <c r="F5617" t="inlineStr" s="10">
        <is>
          <t xml:space="preserve">Espeon käyttää kehoaan peittävää hienoa karvaa aistiakseen ilmavirtoja ja ennustaakseen vihollistensa toimia. Lukemalla ilmavirtauksia se voi ennustaa esimerkiksi säätä tai vihollisensa seuraavaa liikettä. Sen kaksihaaraisen hännän kärki värisee, kun se ennustaa vastustajansa seuraavaa siirtoa. ESPEON on äärimmäisen uskollinen kaikille arvokkaille KOULUTTAJILLE. Kerrotaan, että tämä POKéMON kehitti ennakointikykynsä suojellakseen KOULUTTAJAAN vahingolta. ESPEON on äärimmäisen uskollinen kaikille KOULUTTAJILLE, joita se pitää arvoisina. Sen sanotaan kehittäneen ennakoivia kykyjä suojellakseen KOULUTTAJAANsa vahingolta. Se käyttää vartaloaan peittävää hienoa karvaa aistiakseen ilmavirtoja ja ennustaakseen vihollisensa toimia. Sen turkki näyttää ja tuntuu sametilta. Sen otsassa oleva pallo hehkuu, kun se käyttää psykovoimaa. Sen turkki on niin herkkä, että se voi aistia pienetkin muutokset ilmassa ja ennustaa sään. Sen turkki on niin herkkä, että se voi aistia pienetkin muutokset ilmassa ja ennustaa sään... ja vihollistensa ajatukset. Kerrotaan, että tämä Pokémon kehitti ennakointikykynsä suojellakseen kouluttajaansa vahingolta. Se voi aistia vastustajansa liikkeet välittömästi tunnustelemalla ilmavirtoja hienolla turkillaan. Se vapauttaa psyykkistä voimaa otsassaan olevasta pallosta. Kun sen voima on loppunut, pallo muuttuu himmeäksi ja tummaksi. Vaikka sillä alun perin ei ollut lainkaan voimia, sanotaan, että sen ennaltaehkäisykyky heräsi sen tarpeesta suojella itseään. Sen otsassa olevaan palloon kertyy psyykkistä voimaa sen kylpiessä auringonpaisteessa. Espeon ei ole hyvä taistelemaan yöllä. Käyttää salaperäistä voimaa, jolla se voi ennustaa säätä ja jopa ihmisten ajatuksia. Auringonpaisteessa sen otsassa oleva helakanpunainen pallo hehkuu ja kerää energiaa.</t>
        </is>
      </c>
    </row>
    <row r="5618" ht="33.75" customHeight="1">
      <c r="A5618" s="7">
        <v>196.0</v>
      </c>
      <c r="B5618" s="9" t="s">
        <v>11487</v>
      </c>
      <c r="C5618" s="9" t="s">
        <v>11328</v>
      </c>
      <c r="D5618" s="9" t="s">
        <v>59</v>
      </c>
      <c r="E5618" s="6" t="s">
        <v>11490</v>
      </c>
      <c r="F5618" s="9"/>
    </row>
    <row r="5619" ht="33.75" customHeight="1">
      <c r="A5619" s="7">
        <v>196.0</v>
      </c>
      <c r="B5619" s="9" t="s">
        <v>11487</v>
      </c>
      <c r="C5619" s="9" t="s">
        <v>11328</v>
      </c>
      <c r="D5619" s="9" t="s">
        <v>64</v>
      </c>
      <c r="E5619" s="6" t="s">
        <v>11492</v>
      </c>
      <c r="F5619" s="9"/>
    </row>
    <row r="5620" ht="33.75" customHeight="1">
      <c r="A5620" s="7">
        <v>196.0</v>
      </c>
      <c r="B5620" s="9" t="s">
        <v>11487</v>
      </c>
      <c r="C5620" s="9" t="s">
        <v>11328</v>
      </c>
      <c r="D5620" s="9" t="s">
        <v>67</v>
      </c>
      <c r="E5620" s="6" t="s">
        <v>11494</v>
      </c>
      <c r="F5620" s="9"/>
    </row>
    <row r="5621" ht="33.75" customHeight="1">
      <c r="A5621" s="7">
        <v>196.0</v>
      </c>
      <c r="B5621" s="9" t="s">
        <v>11487</v>
      </c>
      <c r="C5621" s="9" t="s">
        <v>11328</v>
      </c>
      <c r="D5621" s="9" t="s">
        <v>71</v>
      </c>
      <c r="E5621" s="6" t="s">
        <v>11494</v>
      </c>
      <c r="F5621" s="9"/>
    </row>
    <row r="5622" ht="33.75" customHeight="1">
      <c r="A5622" s="7">
        <v>196.0</v>
      </c>
      <c r="B5622" s="9" t="s">
        <v>11487</v>
      </c>
      <c r="C5622" s="9" t="s">
        <v>11328</v>
      </c>
      <c r="D5622" s="9" t="s">
        <v>73</v>
      </c>
      <c r="E5622" s="6" t="s">
        <v>11497</v>
      </c>
      <c r="F5622" s="9"/>
    </row>
    <row r="5623" ht="33.75" customHeight="1">
      <c r="A5623" s="7">
        <v>196.0</v>
      </c>
      <c r="B5623" s="9" t="s">
        <v>11487</v>
      </c>
      <c r="C5623" s="9" t="s">
        <v>11328</v>
      </c>
      <c r="D5623" s="9" t="s">
        <v>75</v>
      </c>
      <c r="E5623" s="6" t="s">
        <v>11490</v>
      </c>
      <c r="F5623" s="9"/>
    </row>
    <row r="5624" ht="33.75" customHeight="1">
      <c r="A5624" s="7">
        <v>196.0</v>
      </c>
      <c r="B5624" s="9" t="s">
        <v>11487</v>
      </c>
      <c r="C5624" s="9" t="s">
        <v>11328</v>
      </c>
      <c r="D5624" s="9" t="s">
        <v>79</v>
      </c>
      <c r="E5624" s="6" t="s">
        <v>11499</v>
      </c>
      <c r="F5624" s="9"/>
    </row>
    <row r="5625" ht="33.75" customHeight="1">
      <c r="A5625" s="7">
        <v>196.0</v>
      </c>
      <c r="B5625" s="9" t="s">
        <v>11487</v>
      </c>
      <c r="C5625" s="9" t="s">
        <v>11328</v>
      </c>
      <c r="D5625" s="9" t="s">
        <v>81</v>
      </c>
      <c r="E5625" s="6" t="s">
        <v>11501</v>
      </c>
      <c r="F5625" s="9"/>
    </row>
    <row r="5626" ht="33.75" customHeight="1">
      <c r="A5626" s="7">
        <v>196.0</v>
      </c>
      <c r="B5626" s="9" t="s">
        <v>11487</v>
      </c>
      <c r="C5626" s="9" t="s">
        <v>11328</v>
      </c>
      <c r="D5626" s="9" t="s">
        <v>84</v>
      </c>
      <c r="E5626" s="6" t="s">
        <v>11501</v>
      </c>
      <c r="F5626" s="9"/>
    </row>
    <row r="5627" ht="33.75" customHeight="1">
      <c r="A5627" s="7">
        <v>196.0</v>
      </c>
      <c r="B5627" s="9" t="s">
        <v>11487</v>
      </c>
      <c r="C5627" s="9" t="s">
        <v>11328</v>
      </c>
      <c r="D5627" s="9" t="s">
        <v>87</v>
      </c>
      <c r="E5627" s="6" t="s">
        <v>11504</v>
      </c>
      <c r="F5627" s="9"/>
    </row>
    <row r="5628" ht="33.75" customHeight="1">
      <c r="A5628" s="7">
        <v>196.0</v>
      </c>
      <c r="B5628" s="9" t="s">
        <v>11487</v>
      </c>
      <c r="C5628" s="9" t="s">
        <v>11328</v>
      </c>
      <c r="D5628" s="9" t="s">
        <v>89</v>
      </c>
      <c r="E5628" s="6" t="s">
        <v>11499</v>
      </c>
      <c r="F5628" s="9"/>
    </row>
    <row r="5629" ht="33.75" customHeight="1">
      <c r="A5629" s="7">
        <v>196.0</v>
      </c>
      <c r="B5629" s="9" t="s">
        <v>11487</v>
      </c>
      <c r="C5629" s="9" t="s">
        <v>11328</v>
      </c>
      <c r="D5629" s="9" t="s">
        <v>91</v>
      </c>
      <c r="E5629" s="6" t="s">
        <v>11490</v>
      </c>
      <c r="F5629" s="9"/>
    </row>
    <row r="5630" ht="33.75" customHeight="1">
      <c r="A5630" s="7">
        <v>196.0</v>
      </c>
      <c r="B5630" s="9" t="s">
        <v>11487</v>
      </c>
      <c r="C5630" s="9" t="s">
        <v>11328</v>
      </c>
      <c r="D5630" s="9" t="s">
        <v>93</v>
      </c>
      <c r="E5630" s="6" t="s">
        <v>11504</v>
      </c>
      <c r="F5630" s="9"/>
    </row>
    <row r="5631" ht="33.75" customHeight="1">
      <c r="A5631" s="7">
        <v>196.0</v>
      </c>
      <c r="B5631" s="9" t="s">
        <v>11487</v>
      </c>
      <c r="C5631" s="9" t="s">
        <v>11328</v>
      </c>
      <c r="D5631" s="9" t="s">
        <v>95</v>
      </c>
      <c r="E5631" s="6" t="s">
        <v>11504</v>
      </c>
      <c r="F5631" s="9"/>
    </row>
    <row r="5632" ht="33.75" customHeight="1">
      <c r="A5632" s="7">
        <v>196.0</v>
      </c>
      <c r="B5632" s="9" t="s">
        <v>11487</v>
      </c>
      <c r="C5632" s="9" t="s">
        <v>11328</v>
      </c>
      <c r="D5632" s="9" t="s">
        <v>98</v>
      </c>
      <c r="E5632" s="6" t="s">
        <v>11509</v>
      </c>
      <c r="F5632" s="9"/>
    </row>
    <row r="5633" ht="33.75" customHeight="1">
      <c r="A5633" s="7">
        <v>196.0</v>
      </c>
      <c r="B5633" s="9" t="s">
        <v>11487</v>
      </c>
      <c r="C5633" s="9" t="s">
        <v>11328</v>
      </c>
      <c r="D5633" s="9" t="s">
        <v>99</v>
      </c>
      <c r="E5633" s="6" t="s">
        <v>11509</v>
      </c>
      <c r="F5633" s="9"/>
    </row>
    <row r="5634" ht="33.75" customHeight="1">
      <c r="A5634" s="7">
        <v>196.0</v>
      </c>
      <c r="B5634" s="9" t="s">
        <v>11487</v>
      </c>
      <c r="C5634" s="9" t="s">
        <v>11328</v>
      </c>
      <c r="D5634" s="9" t="s">
        <v>101</v>
      </c>
      <c r="E5634" s="6" t="s">
        <v>11492</v>
      </c>
      <c r="F5634" s="9"/>
    </row>
    <row r="5635" ht="33.75" customHeight="1">
      <c r="A5635" s="7">
        <v>196.0</v>
      </c>
      <c r="B5635" s="9" t="s">
        <v>11487</v>
      </c>
      <c r="C5635" s="9" t="s">
        <v>11328</v>
      </c>
      <c r="D5635" s="9" t="s">
        <v>105</v>
      </c>
      <c r="E5635" s="6" t="s">
        <v>11509</v>
      </c>
      <c r="F5635" s="9"/>
    </row>
    <row r="5636" ht="33.75" customHeight="1">
      <c r="A5636" s="7">
        <v>196.0</v>
      </c>
      <c r="B5636" s="9" t="s">
        <v>11487</v>
      </c>
      <c r="C5636" s="9" t="s">
        <v>11328</v>
      </c>
      <c r="D5636" s="9" t="s">
        <v>107</v>
      </c>
      <c r="E5636" s="6" t="s">
        <v>11515</v>
      </c>
      <c r="F5636" s="9"/>
    </row>
    <row r="5637" ht="33.75" customHeight="1">
      <c r="A5637" s="7">
        <v>196.0</v>
      </c>
      <c r="B5637" s="9" t="s">
        <v>11487</v>
      </c>
      <c r="C5637" s="9" t="s">
        <v>11328</v>
      </c>
      <c r="D5637" s="9" t="s">
        <v>109</v>
      </c>
      <c r="E5637" s="6" t="s">
        <v>11515</v>
      </c>
      <c r="F5637" s="9"/>
    </row>
    <row r="5638" ht="33.75" customHeight="1">
      <c r="A5638" s="7">
        <v>196.0</v>
      </c>
      <c r="B5638" s="9" t="s">
        <v>11487</v>
      </c>
      <c r="C5638" s="9" t="s">
        <v>11328</v>
      </c>
      <c r="D5638" s="9" t="s">
        <v>637</v>
      </c>
      <c r="E5638" s="6" t="s">
        <v>11520</v>
      </c>
      <c r="F5638" s="9"/>
    </row>
    <row r="5639" ht="33.75" customHeight="1">
      <c r="A5639" s="7">
        <v>196.0</v>
      </c>
      <c r="B5639" s="9" t="s">
        <v>11487</v>
      </c>
      <c r="C5639" s="9" t="s">
        <v>11328</v>
      </c>
      <c r="D5639" s="9" t="s">
        <v>642</v>
      </c>
      <c r="E5639" s="6" t="s">
        <v>11522</v>
      </c>
      <c r="F5639" s="9"/>
    </row>
    <row r="5640" ht="33.75" customHeight="1">
      <c r="A5640" s="7">
        <v>196.0</v>
      </c>
      <c r="B5640" s="9" t="s">
        <v>11487</v>
      </c>
      <c r="C5640" s="9" t="s">
        <v>11328</v>
      </c>
      <c r="D5640" s="9" t="s">
        <v>647</v>
      </c>
      <c r="E5640" s="6" t="s">
        <v>11525</v>
      </c>
      <c r="F5640" s="9"/>
    </row>
    <row r="5641" ht="33.75" customHeight="1">
      <c r="A5641" s="7">
        <v>196.0</v>
      </c>
      <c r="B5641" s="9" t="s">
        <v>11487</v>
      </c>
      <c r="C5641" s="9" t="s">
        <v>11328</v>
      </c>
      <c r="D5641" s="9" t="s">
        <v>652</v>
      </c>
      <c r="E5641" s="6" t="s">
        <v>11528</v>
      </c>
      <c r="F5641" s="9"/>
    </row>
    <row r="5642" ht="33.75" customHeight="1">
      <c r="A5642" s="7">
        <v>196.0</v>
      </c>
      <c r="B5642" s="9" t="s">
        <v>11487</v>
      </c>
      <c r="C5642" s="9" t="s">
        <v>11328</v>
      </c>
      <c r="D5642" s="9" t="s">
        <v>114</v>
      </c>
      <c r="E5642" s="6" t="s">
        <v>11490</v>
      </c>
      <c r="F5642" s="9"/>
    </row>
    <row r="5643" ht="33.75" customHeight="1">
      <c r="A5643" s="7">
        <v>196.0</v>
      </c>
      <c r="B5643" s="9" t="s">
        <v>11487</v>
      </c>
      <c r="C5643" s="9" t="s">
        <v>11328</v>
      </c>
      <c r="D5643" s="9" t="s">
        <v>117</v>
      </c>
      <c r="E5643" s="6" t="s">
        <v>11522</v>
      </c>
      <c r="F5643" s="9"/>
    </row>
    <row r="5644" ht="33.75" customHeight="1">
      <c r="A5644" s="7">
        <v>196.0</v>
      </c>
      <c r="B5644" s="9" t="s">
        <v>11487</v>
      </c>
      <c r="C5644" s="9" t="s">
        <v>11328</v>
      </c>
      <c r="D5644" s="9" t="s">
        <v>1577</v>
      </c>
      <c r="E5644" s="6" t="s">
        <v>11534</v>
      </c>
      <c r="F5644" s="9"/>
    </row>
    <row r="5645" ht="33.75" customHeight="1">
      <c r="A5645" s="7">
        <v>197.0</v>
      </c>
      <c r="B5645" s="9" t="s">
        <v>11535</v>
      </c>
      <c r="C5645" s="9" t="s">
        <v>11536</v>
      </c>
      <c r="D5645" s="9" t="s">
        <v>52</v>
      </c>
      <c r="E5645" s="6" t="s">
        <v>11537</v>
      </c>
      <c r="F5645" t="inlineStr" s="10">
        <is>
          <t xml:space="preserve">Levottomana tämä POKéMON suojaa itseään suihkuttamalla myrkyllistä hikeä ihohuokosistaan. Kun pimeys laskeutuu, kehon renkaat alkavat hehkua ja herättävät pelkoa kaikkien lähellä olevien sydämissä. Täydenkuun yönä tai kun se innostuu, sen kehon rengaskuviot hehkuvat keltaisina. UMBREON kehittyi altistuttuaan kuun aalloille. Se piiloutuu hiljaa pimeyteen ja odottaa vihollistensa tekevän liikkeen. Sen kehon renkaat hehkuvat, kun se hyppää hyökkäämään. UMBREON kehittyi altistuttuaan kuun energiapulsseille. Se väijyy pimeydessä ja odottaa vihollistensa liikkumista. Kun pimeys laskeutuu, sen kehon renkaat alkavat hehkua ja herättävät pelkoa kaikkien lähellä olevien sydämissä. Kuunvalo muutti EEVEE:n geneettistä rakennetta. Se vaanii pimeydessä saalista etsien. Kuun aura lämmittää sen kehon renkaita, ja se saa salaperäisen voiman. Levottomana tämä Pokémon suojaa itseään suihkuttamalla myrkyllistä hikeä huokosistaan. Kun se altistuu kuun auralle, sen kehon renkaat hehkuvat himmeästi ja se täyttyy salaperäisestä voimasta. Kuunvalo muutti Eeveen geneettistä rakennetta. Umbreon kehittyi kuun aaltojen vaikutuksesta. Se piiloutuu hiljaa pimeyteen ja odottaa vihollistensa liikkeitä. Kun tämä Pokémon suuttuu, sen ihohuokoset erittävät myrkyllistä hikeä, jota se suihkuttaa vastustajansa silmiin. Mustalla turkillaan se sulautuu pimeyteen. Se odottaa hetkeään, ja kun saalis ilmestyy, tämä Pokémon tarttuu sen kurkkuun ja syö sen. Tämä Pokémon on yöeläin. Sen suuret silmät pystyvät havaitsemaan saaliinsa selvästi jopa täydellisessä pimeydessä! Se väijyy yön pimeydessä etsien saalista. Hyökkäyshetkellä sen ruumiin renkaat hohtavat himmeästi mutta uhkaavasti. Se on aktiivisimmillaan yön pikkutunneilla, kun kuunvalo kylpee maata. Sen suuret silmät lävistävät pimeyden ja havaitsevat saaliin ehdottoman selkeästi.</t>
        </is>
      </c>
    </row>
    <row r="5646" ht="33.75" customHeight="1">
      <c r="A5646" s="7">
        <v>197.0</v>
      </c>
      <c r="B5646" s="9" t="s">
        <v>11535</v>
      </c>
      <c r="C5646" s="9" t="s">
        <v>11536</v>
      </c>
      <c r="D5646" s="9" t="s">
        <v>59</v>
      </c>
      <c r="E5646" s="6" t="s">
        <v>11539</v>
      </c>
      <c r="F5646" s="9"/>
    </row>
    <row r="5647" ht="33.75" customHeight="1">
      <c r="A5647" s="7">
        <v>197.0</v>
      </c>
      <c r="B5647" s="9" t="s">
        <v>11535</v>
      </c>
      <c r="C5647" s="9" t="s">
        <v>11536</v>
      </c>
      <c r="D5647" s="9" t="s">
        <v>64</v>
      </c>
      <c r="E5647" s="6" t="s">
        <v>11541</v>
      </c>
      <c r="F5647" s="9"/>
    </row>
    <row r="5648" ht="33.75" customHeight="1">
      <c r="A5648" s="7">
        <v>197.0</v>
      </c>
      <c r="B5648" s="9" t="s">
        <v>11535</v>
      </c>
      <c r="C5648" s="9" t="s">
        <v>11536</v>
      </c>
      <c r="D5648" s="9" t="s">
        <v>67</v>
      </c>
      <c r="E5648" s="6" t="s">
        <v>11542</v>
      </c>
      <c r="F5648" s="9"/>
    </row>
    <row r="5649" ht="33.75" customHeight="1">
      <c r="A5649" s="7">
        <v>197.0</v>
      </c>
      <c r="B5649" s="9" t="s">
        <v>11535</v>
      </c>
      <c r="C5649" s="9" t="s">
        <v>11536</v>
      </c>
      <c r="D5649" s="9" t="s">
        <v>71</v>
      </c>
      <c r="E5649" s="6" t="s">
        <v>11542</v>
      </c>
      <c r="F5649" s="9"/>
    </row>
    <row r="5650" ht="33.75" customHeight="1">
      <c r="A5650" s="7">
        <v>197.0</v>
      </c>
      <c r="B5650" s="9" t="s">
        <v>11535</v>
      </c>
      <c r="C5650" s="9" t="s">
        <v>11536</v>
      </c>
      <c r="D5650" s="9" t="s">
        <v>73</v>
      </c>
      <c r="E5650" s="6" t="s">
        <v>11544</v>
      </c>
      <c r="F5650" s="9"/>
    </row>
    <row r="5651" ht="33.75" customHeight="1">
      <c r="A5651" s="7">
        <v>197.0</v>
      </c>
      <c r="B5651" s="9" t="s">
        <v>11535</v>
      </c>
      <c r="C5651" s="9" t="s">
        <v>11536</v>
      </c>
      <c r="D5651" s="9" t="s">
        <v>75</v>
      </c>
      <c r="E5651" s="6" t="s">
        <v>11546</v>
      </c>
      <c r="F5651" s="9"/>
    </row>
    <row r="5652" ht="33.75" customHeight="1">
      <c r="A5652" s="7">
        <v>197.0</v>
      </c>
      <c r="B5652" s="9" t="s">
        <v>11535</v>
      </c>
      <c r="C5652" s="9" t="s">
        <v>11536</v>
      </c>
      <c r="D5652" s="9" t="s">
        <v>79</v>
      </c>
      <c r="E5652" s="6" t="s">
        <v>11537</v>
      </c>
      <c r="F5652" s="9"/>
    </row>
    <row r="5653" ht="33.75" customHeight="1">
      <c r="A5653" s="7">
        <v>197.0</v>
      </c>
      <c r="B5653" s="9" t="s">
        <v>11535</v>
      </c>
      <c r="C5653" s="9" t="s">
        <v>11536</v>
      </c>
      <c r="D5653" s="9" t="s">
        <v>81</v>
      </c>
      <c r="E5653" s="6" t="s">
        <v>11549</v>
      </c>
      <c r="F5653" s="9"/>
    </row>
    <row r="5654" ht="33.75" customHeight="1">
      <c r="A5654" s="7">
        <v>197.0</v>
      </c>
      <c r="B5654" s="9" t="s">
        <v>11535</v>
      </c>
      <c r="C5654" s="9" t="s">
        <v>11536</v>
      </c>
      <c r="D5654" s="9" t="s">
        <v>84</v>
      </c>
      <c r="E5654" s="6" t="s">
        <v>11549</v>
      </c>
      <c r="F5654" s="9"/>
    </row>
    <row r="5655" ht="33.75" customHeight="1">
      <c r="A5655" s="7">
        <v>197.0</v>
      </c>
      <c r="B5655" s="9" t="s">
        <v>11535</v>
      </c>
      <c r="C5655" s="9" t="s">
        <v>11536</v>
      </c>
      <c r="D5655" s="9" t="s">
        <v>87</v>
      </c>
      <c r="E5655" s="6" t="s">
        <v>11553</v>
      </c>
      <c r="F5655" s="9"/>
    </row>
    <row r="5656" ht="33.75" customHeight="1">
      <c r="A5656" s="7">
        <v>197.0</v>
      </c>
      <c r="B5656" s="9" t="s">
        <v>11535</v>
      </c>
      <c r="C5656" s="9" t="s">
        <v>11536</v>
      </c>
      <c r="D5656" s="9" t="s">
        <v>89</v>
      </c>
      <c r="E5656" s="6" t="s">
        <v>11555</v>
      </c>
      <c r="F5656" s="9"/>
    </row>
    <row r="5657" ht="33.75" customHeight="1">
      <c r="A5657" s="7">
        <v>197.0</v>
      </c>
      <c r="B5657" s="9" t="s">
        <v>11535</v>
      </c>
      <c r="C5657" s="9" t="s">
        <v>11536</v>
      </c>
      <c r="D5657" s="9" t="s">
        <v>91</v>
      </c>
      <c r="E5657" s="6" t="s">
        <v>11539</v>
      </c>
      <c r="F5657" s="9"/>
    </row>
    <row r="5658" ht="33.75" customHeight="1">
      <c r="A5658" s="7">
        <v>197.0</v>
      </c>
      <c r="B5658" s="9" t="s">
        <v>11535</v>
      </c>
      <c r="C5658" s="9" t="s">
        <v>11536</v>
      </c>
      <c r="D5658" s="9" t="s">
        <v>93</v>
      </c>
      <c r="E5658" s="6" t="s">
        <v>11553</v>
      </c>
      <c r="F5658" s="9"/>
    </row>
    <row r="5659" ht="33.75" customHeight="1">
      <c r="A5659" s="7">
        <v>197.0</v>
      </c>
      <c r="B5659" s="9" t="s">
        <v>11535</v>
      </c>
      <c r="C5659" s="9" t="s">
        <v>11536</v>
      </c>
      <c r="D5659" s="9" t="s">
        <v>95</v>
      </c>
      <c r="E5659" s="6" t="s">
        <v>11553</v>
      </c>
      <c r="F5659" s="9"/>
    </row>
    <row r="5660" ht="33.75" customHeight="1">
      <c r="A5660" s="7">
        <v>197.0</v>
      </c>
      <c r="B5660" s="9" t="s">
        <v>11535</v>
      </c>
      <c r="C5660" s="9" t="s">
        <v>11536</v>
      </c>
      <c r="D5660" s="9" t="s">
        <v>98</v>
      </c>
      <c r="E5660" s="6" t="s">
        <v>11562</v>
      </c>
      <c r="F5660" s="9"/>
    </row>
    <row r="5661" ht="33.75" customHeight="1">
      <c r="A5661" s="7">
        <v>197.0</v>
      </c>
      <c r="B5661" s="9" t="s">
        <v>11535</v>
      </c>
      <c r="C5661" s="9" t="s">
        <v>11536</v>
      </c>
      <c r="D5661" s="9" t="s">
        <v>99</v>
      </c>
      <c r="E5661" s="6" t="s">
        <v>11562</v>
      </c>
      <c r="F5661" s="9"/>
    </row>
    <row r="5662" ht="33.75" customHeight="1">
      <c r="A5662" s="7">
        <v>197.0</v>
      </c>
      <c r="B5662" s="9" t="s">
        <v>11535</v>
      </c>
      <c r="C5662" s="9" t="s">
        <v>11536</v>
      </c>
      <c r="D5662" s="9" t="s">
        <v>101</v>
      </c>
      <c r="E5662" s="6" t="s">
        <v>11566</v>
      </c>
      <c r="F5662" s="9"/>
    </row>
    <row r="5663" ht="33.75" customHeight="1">
      <c r="A5663" s="7">
        <v>197.0</v>
      </c>
      <c r="B5663" s="9" t="s">
        <v>11535</v>
      </c>
      <c r="C5663" s="9" t="s">
        <v>11536</v>
      </c>
      <c r="D5663" s="9" t="s">
        <v>105</v>
      </c>
      <c r="E5663" s="6" t="s">
        <v>11562</v>
      </c>
      <c r="F5663" s="9"/>
    </row>
    <row r="5664" ht="33.75" customHeight="1">
      <c r="A5664" s="7">
        <v>197.0</v>
      </c>
      <c r="B5664" s="9" t="s">
        <v>11535</v>
      </c>
      <c r="C5664" s="9" t="s">
        <v>11536</v>
      </c>
      <c r="D5664" s="9" t="s">
        <v>107</v>
      </c>
      <c r="E5664" s="6" t="s">
        <v>11569</v>
      </c>
      <c r="F5664" s="9"/>
    </row>
    <row r="5665" ht="33.75" customHeight="1">
      <c r="A5665" s="7">
        <v>197.0</v>
      </c>
      <c r="B5665" s="9" t="s">
        <v>11535</v>
      </c>
      <c r="C5665" s="9" t="s">
        <v>11536</v>
      </c>
      <c r="D5665" s="9" t="s">
        <v>109</v>
      </c>
      <c r="E5665" s="6" t="s">
        <v>11569</v>
      </c>
      <c r="F5665" s="9"/>
    </row>
    <row r="5666" ht="33.75" customHeight="1">
      <c r="A5666" s="7">
        <v>197.0</v>
      </c>
      <c r="B5666" s="9" t="s">
        <v>11535</v>
      </c>
      <c r="C5666" s="9" t="s">
        <v>11536</v>
      </c>
      <c r="D5666" s="9" t="s">
        <v>637</v>
      </c>
      <c r="E5666" s="6" t="s">
        <v>11573</v>
      </c>
      <c r="F5666" s="9"/>
    </row>
    <row r="5667" ht="33.75" customHeight="1">
      <c r="A5667" s="7">
        <v>197.0</v>
      </c>
      <c r="B5667" s="9" t="s">
        <v>11535</v>
      </c>
      <c r="C5667" s="9" t="s">
        <v>11536</v>
      </c>
      <c r="D5667" s="9" t="s">
        <v>642</v>
      </c>
      <c r="E5667" s="6" t="s">
        <v>11575</v>
      </c>
      <c r="F5667" s="9"/>
    </row>
    <row r="5668" ht="33.75" customHeight="1">
      <c r="A5668" s="7">
        <v>197.0</v>
      </c>
      <c r="B5668" s="9" t="s">
        <v>11535</v>
      </c>
      <c r="C5668" s="9" t="s">
        <v>11536</v>
      </c>
      <c r="D5668" s="9" t="s">
        <v>647</v>
      </c>
      <c r="E5668" s="6" t="s">
        <v>11577</v>
      </c>
      <c r="F5668" s="9"/>
    </row>
    <row r="5669" ht="33.75" customHeight="1">
      <c r="A5669" s="7">
        <v>197.0</v>
      </c>
      <c r="B5669" s="9" t="s">
        <v>11535</v>
      </c>
      <c r="C5669" s="9" t="s">
        <v>11536</v>
      </c>
      <c r="D5669" s="9" t="s">
        <v>652</v>
      </c>
      <c r="E5669" s="6" t="s">
        <v>11579</v>
      </c>
      <c r="F5669" s="9"/>
    </row>
    <row r="5670" ht="33.75" customHeight="1">
      <c r="A5670" s="7">
        <v>197.0</v>
      </c>
      <c r="B5670" s="9" t="s">
        <v>11535</v>
      </c>
      <c r="C5670" s="9" t="s">
        <v>11536</v>
      </c>
      <c r="D5670" s="9" t="s">
        <v>114</v>
      </c>
      <c r="E5670" s="6" t="s">
        <v>11573</v>
      </c>
      <c r="F5670" s="9"/>
    </row>
    <row r="5671" ht="33.75" customHeight="1">
      <c r="A5671" s="7">
        <v>197.0</v>
      </c>
      <c r="B5671" s="9" t="s">
        <v>11535</v>
      </c>
      <c r="C5671" s="9" t="s">
        <v>11536</v>
      </c>
      <c r="D5671" s="9" t="s">
        <v>117</v>
      </c>
      <c r="E5671" s="6" t="s">
        <v>11541</v>
      </c>
      <c r="F5671" s="9"/>
    </row>
    <row r="5672" ht="33.75" customHeight="1">
      <c r="A5672" s="7">
        <v>197.0</v>
      </c>
      <c r="B5672" s="9" t="s">
        <v>11535</v>
      </c>
      <c r="C5672" s="9" t="s">
        <v>11536</v>
      </c>
      <c r="D5672" s="9" t="s">
        <v>1577</v>
      </c>
      <c r="E5672" s="6" t="s">
        <v>11582</v>
      </c>
      <c r="F5672" s="9"/>
    </row>
    <row r="5673" ht="33.75" customHeight="1">
      <c r="A5673" s="7">
        <v>198.0</v>
      </c>
      <c r="B5673" s="9" t="s">
        <v>11584</v>
      </c>
      <c r="C5673" s="9" t="s">
        <v>11586</v>
      </c>
      <c r="D5673" s="9" t="s">
        <v>52</v>
      </c>
      <c r="E5673" s="6" t="s">
        <v>11587</v>
      </c>
      <c r="F5673" t="inlineStr" s="10">
        <is>
          <t xml:space="preserve">Monet pelkäävät ja inhoavat sitä, ja Murkrowin uskotaan tuovan epäonnea kaikille, jotka näkevät sen yöllä. Sanotaan, että takaa-ajettuna se houkuttelee hyökkääjänsä pimeille vuoristopoluille, joilla vihollinen eksyy. Se piilottaa kaikki löytämänsä kiiltävät esineet salaiseen paikkaan. MURKROW ja MEOWTH ryöstävät toistensa kätköjä. MURKROWia pelättiin ja inhottiin, koska sitä väitettiin tuovan huonoa onnea. Tämä POKéMON osoittaa vahvaa kiinnostusta kaikkeen, mikä kimaltelee tai säihkyy. Se voi jopa yrittää varastaa sormuksia naisilta. MURKROW-koiria pelättiin epäonnen tuojina. Ne osoittavat voimakasta kiinnostusta kaikkeen kimaltelevaan. Ne jopa yrittävät varastaa sormuksia naisilta. Uskotaan, että tämän Pokémonin näkeminen yöllä tuo mukanaan pahaenteisiä tapahtumia. Se ilmestyy matkalaisten lähelle houkutellakseen heidät syviin metsiin. Sen sanotaan tuovan epäonnea. Jos se havaitaan, se houkuttelee varomattoman ihmisen jahtaamaan sitä ja kadottaa sitten takaa-ajajan vuoristopoluilla. Jos se havaitaan, se houkuttelee varomattoman henkilön jahtaamaan sitä ja eksyy sitten takaa-ajajan vuoristopoluilla. Murkrowia pelättiin ja inhottiin, koska sitä pidettiin epäonnen tuojana. Se yrittää jopa varastaa sormuksia naisilta. Ne heräävät hämärän aikaan ja nousevat lentoon hämärässä, mistä juontaa juurensa sanonta: ”Pääse kotiin ennen kuin Murkrow lentää. Koska sitä pidetään huonon onnen symbolina, sitä ei yleensä pidetä. Silti se antaa lahjoja – kimaltelevia tai hohtavia esineitä – lähellä oleville kouluttajille. Sillä on heikkous kiiltäviin asioihin. Sen tiedetään hiipineen gabiittien – tunnettujen jalokivien keräilijöiden – pesiin aarteenetsinnässä. Se etsii kiiltäviä asioita pomolleen. Murkrow'n läsnäolon sanotaan tuovan epäonnea, joten monet ihmiset inhoavat sitä. Laajalti karttaan huonon onnen tuojana. Minulle on kerrottu, että tämän olennon kohtaamisen jälkeen on lausuttava suojelevaksi loitsuksi ”Workrum, Workrum – huono onni, älä tule”.</t>
        </is>
      </c>
    </row>
    <row r="5674" ht="33.75" customHeight="1">
      <c r="A5674" s="7">
        <v>198.0</v>
      </c>
      <c r="B5674" s="9" t="s">
        <v>11584</v>
      </c>
      <c r="C5674" s="9" t="s">
        <v>11586</v>
      </c>
      <c r="D5674" s="9" t="s">
        <v>59</v>
      </c>
      <c r="E5674" s="6" t="s">
        <v>11592</v>
      </c>
      <c r="F5674" s="9"/>
    </row>
    <row r="5675" ht="33.75" customHeight="1">
      <c r="A5675" s="7">
        <v>198.0</v>
      </c>
      <c r="B5675" s="9" t="s">
        <v>11584</v>
      </c>
      <c r="C5675" s="9" t="s">
        <v>11586</v>
      </c>
      <c r="D5675" s="9" t="s">
        <v>64</v>
      </c>
      <c r="E5675" s="6" t="s">
        <v>11595</v>
      </c>
      <c r="F5675" s="9"/>
    </row>
    <row r="5676" ht="33.75" customHeight="1">
      <c r="A5676" s="7">
        <v>198.0</v>
      </c>
      <c r="B5676" s="9" t="s">
        <v>11584</v>
      </c>
      <c r="C5676" s="9" t="s">
        <v>11586</v>
      </c>
      <c r="D5676" s="9" t="s">
        <v>67</v>
      </c>
      <c r="E5676" s="6" t="s">
        <v>11597</v>
      </c>
      <c r="F5676" s="9"/>
    </row>
    <row r="5677" ht="33.75" customHeight="1">
      <c r="A5677" s="7">
        <v>198.0</v>
      </c>
      <c r="B5677" s="9" t="s">
        <v>11584</v>
      </c>
      <c r="C5677" s="9" t="s">
        <v>11586</v>
      </c>
      <c r="D5677" s="9" t="s">
        <v>71</v>
      </c>
      <c r="E5677" s="6" t="s">
        <v>11597</v>
      </c>
      <c r="F5677" s="9"/>
    </row>
    <row r="5678" ht="33.75" customHeight="1">
      <c r="A5678" s="7">
        <v>198.0</v>
      </c>
      <c r="B5678" s="9" t="s">
        <v>11584</v>
      </c>
      <c r="C5678" s="9" t="s">
        <v>11586</v>
      </c>
      <c r="D5678" s="9" t="s">
        <v>73</v>
      </c>
      <c r="E5678" s="6" t="s">
        <v>11601</v>
      </c>
      <c r="F5678" s="9"/>
    </row>
    <row r="5679" ht="33.75" customHeight="1">
      <c r="A5679" s="7">
        <v>198.0</v>
      </c>
      <c r="B5679" s="9" t="s">
        <v>11584</v>
      </c>
      <c r="C5679" s="9" t="s">
        <v>11586</v>
      </c>
      <c r="D5679" s="9" t="s">
        <v>75</v>
      </c>
      <c r="E5679" s="6" t="s">
        <v>11592</v>
      </c>
      <c r="F5679" s="9"/>
    </row>
    <row r="5680" ht="33.75" customHeight="1">
      <c r="A5680" s="7">
        <v>198.0</v>
      </c>
      <c r="B5680" s="9" t="s">
        <v>11584</v>
      </c>
      <c r="C5680" s="9" t="s">
        <v>11586</v>
      </c>
      <c r="D5680" s="9" t="s">
        <v>79</v>
      </c>
      <c r="E5680" s="6" t="s">
        <v>11587</v>
      </c>
      <c r="F5680" s="9"/>
    </row>
    <row r="5681" ht="33.75" customHeight="1">
      <c r="A5681" s="7">
        <v>198.0</v>
      </c>
      <c r="B5681" s="9" t="s">
        <v>11584</v>
      </c>
      <c r="C5681" s="9" t="s">
        <v>11586</v>
      </c>
      <c r="D5681" s="9" t="s">
        <v>81</v>
      </c>
      <c r="E5681" s="6" t="s">
        <v>11605</v>
      </c>
      <c r="F5681" s="9"/>
    </row>
    <row r="5682" ht="33.75" customHeight="1">
      <c r="A5682" s="7">
        <v>198.0</v>
      </c>
      <c r="B5682" s="9" t="s">
        <v>11584</v>
      </c>
      <c r="C5682" s="9" t="s">
        <v>11586</v>
      </c>
      <c r="D5682" s="9" t="s">
        <v>84</v>
      </c>
      <c r="E5682" s="6" t="s">
        <v>11607</v>
      </c>
      <c r="F5682" s="9"/>
    </row>
    <row r="5683" ht="33.75" customHeight="1">
      <c r="A5683" s="7">
        <v>198.0</v>
      </c>
      <c r="B5683" s="9" t="s">
        <v>11584</v>
      </c>
      <c r="C5683" s="9" t="s">
        <v>11586</v>
      </c>
      <c r="D5683" s="9" t="s">
        <v>87</v>
      </c>
      <c r="E5683" s="6" t="s">
        <v>11609</v>
      </c>
      <c r="F5683" s="9"/>
    </row>
    <row r="5684" ht="33.75" customHeight="1">
      <c r="A5684" s="7">
        <v>198.0</v>
      </c>
      <c r="B5684" s="9" t="s">
        <v>11584</v>
      </c>
      <c r="C5684" s="9" t="s">
        <v>11586</v>
      </c>
      <c r="D5684" s="9" t="s">
        <v>89</v>
      </c>
      <c r="E5684" s="6" t="s">
        <v>11587</v>
      </c>
      <c r="F5684" s="9"/>
    </row>
    <row r="5685" ht="33.75" customHeight="1">
      <c r="A5685" s="7">
        <v>198.0</v>
      </c>
      <c r="B5685" s="9" t="s">
        <v>11584</v>
      </c>
      <c r="C5685" s="9" t="s">
        <v>11586</v>
      </c>
      <c r="D5685" s="9" t="s">
        <v>91</v>
      </c>
      <c r="E5685" s="6" t="s">
        <v>11592</v>
      </c>
      <c r="F5685" s="9"/>
    </row>
    <row r="5686" ht="33.75" customHeight="1">
      <c r="A5686" s="7">
        <v>198.0</v>
      </c>
      <c r="B5686" s="9" t="s">
        <v>11584</v>
      </c>
      <c r="C5686" s="9" t="s">
        <v>11586</v>
      </c>
      <c r="D5686" s="9" t="s">
        <v>93</v>
      </c>
      <c r="E5686" s="6" t="s">
        <v>11609</v>
      </c>
      <c r="F5686" s="9"/>
    </row>
    <row r="5687" ht="33.75" customHeight="1">
      <c r="A5687" s="7">
        <v>198.0</v>
      </c>
      <c r="B5687" s="9" t="s">
        <v>11584</v>
      </c>
      <c r="C5687" s="9" t="s">
        <v>11586</v>
      </c>
      <c r="D5687" s="9" t="s">
        <v>95</v>
      </c>
      <c r="E5687" s="6" t="s">
        <v>11609</v>
      </c>
      <c r="F5687" s="9"/>
    </row>
    <row r="5688" ht="33.75" customHeight="1">
      <c r="A5688" s="7">
        <v>198.0</v>
      </c>
      <c r="B5688" s="9" t="s">
        <v>11584</v>
      </c>
      <c r="C5688" s="9" t="s">
        <v>11586</v>
      </c>
      <c r="D5688" s="9" t="s">
        <v>98</v>
      </c>
      <c r="E5688" s="6" t="s">
        <v>11616</v>
      </c>
      <c r="F5688" s="9"/>
    </row>
    <row r="5689" ht="33.75" customHeight="1">
      <c r="A5689" s="7">
        <v>198.0</v>
      </c>
      <c r="B5689" s="9" t="s">
        <v>11584</v>
      </c>
      <c r="C5689" s="9" t="s">
        <v>11586</v>
      </c>
      <c r="D5689" s="9" t="s">
        <v>99</v>
      </c>
      <c r="E5689" s="6" t="s">
        <v>11616</v>
      </c>
      <c r="F5689" s="9"/>
    </row>
    <row r="5690" ht="33.75" customHeight="1">
      <c r="A5690" s="7">
        <v>198.0</v>
      </c>
      <c r="B5690" s="9" t="s">
        <v>11584</v>
      </c>
      <c r="C5690" s="9" t="s">
        <v>11586</v>
      </c>
      <c r="D5690" s="9" t="s">
        <v>101</v>
      </c>
      <c r="E5690" s="6" t="s">
        <v>11619</v>
      </c>
      <c r="F5690" s="9"/>
    </row>
    <row r="5691" ht="33.75" customHeight="1">
      <c r="A5691" s="7">
        <v>198.0</v>
      </c>
      <c r="B5691" s="9" t="s">
        <v>11584</v>
      </c>
      <c r="C5691" s="9" t="s">
        <v>11586</v>
      </c>
      <c r="D5691" s="9" t="s">
        <v>105</v>
      </c>
      <c r="E5691" s="6" t="s">
        <v>11587</v>
      </c>
      <c r="F5691" s="9"/>
    </row>
    <row r="5692" ht="33.75" customHeight="1">
      <c r="A5692" s="7">
        <v>198.0</v>
      </c>
      <c r="B5692" s="9" t="s">
        <v>11584</v>
      </c>
      <c r="C5692" s="9" t="s">
        <v>11586</v>
      </c>
      <c r="D5692" s="9" t="s">
        <v>107</v>
      </c>
      <c r="E5692" s="6" t="s">
        <v>11622</v>
      </c>
      <c r="F5692" s="9"/>
    </row>
    <row r="5693" ht="33.75" customHeight="1">
      <c r="A5693" s="7">
        <v>198.0</v>
      </c>
      <c r="B5693" s="9" t="s">
        <v>11584</v>
      </c>
      <c r="C5693" s="9" t="s">
        <v>11586</v>
      </c>
      <c r="D5693" s="9" t="s">
        <v>109</v>
      </c>
      <c r="E5693" s="6" t="s">
        <v>11622</v>
      </c>
      <c r="F5693" s="9"/>
    </row>
    <row r="5694" ht="33.75" customHeight="1">
      <c r="A5694" s="7">
        <v>198.0</v>
      </c>
      <c r="B5694" s="9" t="s">
        <v>11584</v>
      </c>
      <c r="C5694" s="9" t="s">
        <v>11586</v>
      </c>
      <c r="D5694" s="9" t="s">
        <v>637</v>
      </c>
      <c r="E5694" s="6" t="s">
        <v>11626</v>
      </c>
      <c r="F5694" s="9"/>
    </row>
    <row r="5695" ht="33.75" customHeight="1">
      <c r="A5695" s="7">
        <v>198.0</v>
      </c>
      <c r="B5695" s="9" t="s">
        <v>11584</v>
      </c>
      <c r="C5695" s="9" t="s">
        <v>11586</v>
      </c>
      <c r="D5695" s="9" t="s">
        <v>642</v>
      </c>
      <c r="E5695" s="6" t="s">
        <v>11628</v>
      </c>
      <c r="F5695" s="9"/>
    </row>
    <row r="5696" ht="33.75" customHeight="1">
      <c r="A5696" s="7">
        <v>198.0</v>
      </c>
      <c r="B5696" s="9" t="s">
        <v>11584</v>
      </c>
      <c r="C5696" s="9" t="s">
        <v>11586</v>
      </c>
      <c r="D5696" s="9" t="s">
        <v>647</v>
      </c>
      <c r="E5696" s="6" t="s">
        <v>11631</v>
      </c>
      <c r="F5696" s="9"/>
    </row>
    <row r="5697" ht="33.75" customHeight="1">
      <c r="A5697" s="7">
        <v>198.0</v>
      </c>
      <c r="B5697" s="9" t="s">
        <v>11584</v>
      </c>
      <c r="C5697" s="9" t="s">
        <v>11586</v>
      </c>
      <c r="D5697" s="9" t="s">
        <v>652</v>
      </c>
      <c r="E5697" s="6" t="s">
        <v>11633</v>
      </c>
      <c r="F5697" s="9"/>
    </row>
    <row r="5698" ht="33.75" customHeight="1">
      <c r="A5698" s="7">
        <v>198.0</v>
      </c>
      <c r="B5698" s="9" t="s">
        <v>11584</v>
      </c>
      <c r="C5698" s="9" t="s">
        <v>11586</v>
      </c>
      <c r="D5698" s="9" t="s">
        <v>1577</v>
      </c>
      <c r="E5698" s="6" t="s">
        <v>11635</v>
      </c>
      <c r="F5698" s="9"/>
    </row>
    <row r="5699" ht="33.75" customHeight="1">
      <c r="A5699" s="7">
        <v>199.0</v>
      </c>
      <c r="B5699" s="9" t="s">
        <v>11637</v>
      </c>
      <c r="C5699" s="9" t="s">
        <v>11638</v>
      </c>
      <c r="D5699" s="9" t="s">
        <v>52</v>
      </c>
      <c r="E5699" s="6" t="s">
        <v>11640</v>
      </c>
      <c r="F5699" t="inlineStr" s="10">
        <is>
          <t xml:space="preserve">Sillä on uskomaton älykkyys ja oppineisuus. Olipa tilanne mikä tahansa, se pysyy rauhallisena ja tyynenä. Kun sen päätä purtiin, myrkkyjä pääsi SLOWPOKEn päähän ja avasi ainutlaatuisen voiman. Joka kerta kun se iskee, SHELLDER ruiskuttaa siihen lisää myrkkyä. Myrkky tekee siitä älykkäämmän. SLOWKING tekee tutkimusta joka päivä ratkaistakseen maailman mysteerejä. Tämä POKéMON kuitenkin ilmeisesti unohtaa kaiken oppimansa, jos sen päästä irtoaa SHELLDER. Se tekee tutkimusta joka päivä ratkaistakseen maailman mysteerejä. Se kuitenkin ilmeisesti unohtaa kaiken, jos sen päästä oleva SHELLDER irtoaa. Sillä on uskomaton älykkyys ja intuitio. SHELLDERin purema antoi sille älykkyyttä, joka oli verrattavissa palkittujen tiedemiesten älykkyyteen. Hidaskuningas tekee tutkimusta joka päivä ratkaistakseen maailman mysteerejä. Myrkyllinen purema reagoi sen elimistöön ja antoi sille nerouden tehostuneen älyn. Se hallitsee täysin psyykkisiä voimiaan. Tämä Pokémon on niin kuuluisa älykkyydestään, että joillakin alueilla elää edelleen sananlasku: "Jos olet epävarma, kysy Hidaskuninkaalta. Se keksii jatkuvasti uusia ideoita, jotka muuttaisivat maailmaa, mutta heti kun se iskee uuteen ideaan, se unohtaa sen. Sitä kutsutaan "meren viisaaksi". Se käy älytaisteluita Orangurua vastaan, mutta tulos on yleensä tasapeli. Ihmeellisesti tämän entisen Hidassuovan piilevä älykkyys paljastui, kun Shellderin myrkky syöksyi sen aivojen läpi. Hidas kuningas voi ratkaista minkä tahansa sille esitetyn ongelman, mutta kukaan ei voi ymmärtää mitään siitä, mitä Hidas kuningas sanoo.</t>
        </is>
      </c>
    </row>
    <row r="5700" ht="33.75" customHeight="1">
      <c r="A5700" s="7">
        <v>199.0</v>
      </c>
      <c r="B5700" s="9" t="s">
        <v>11637</v>
      </c>
      <c r="C5700" s="9" t="s">
        <v>11638</v>
      </c>
      <c r="D5700" s="9" t="s">
        <v>59</v>
      </c>
      <c r="E5700" s="6" t="s">
        <v>11642</v>
      </c>
      <c r="F5700" s="9"/>
    </row>
    <row r="5701" ht="33.75" customHeight="1">
      <c r="A5701" s="7">
        <v>199.0</v>
      </c>
      <c r="B5701" s="9" t="s">
        <v>11637</v>
      </c>
      <c r="C5701" s="9" t="s">
        <v>11638</v>
      </c>
      <c r="D5701" s="9" t="s">
        <v>64</v>
      </c>
      <c r="E5701" s="6" t="s">
        <v>11644</v>
      </c>
      <c r="F5701" s="9"/>
    </row>
    <row r="5702" ht="33.75" customHeight="1">
      <c r="A5702" s="7">
        <v>199.0</v>
      </c>
      <c r="B5702" s="9" t="s">
        <v>11637</v>
      </c>
      <c r="C5702" s="9" t="s">
        <v>11638</v>
      </c>
      <c r="D5702" s="9" t="s">
        <v>67</v>
      </c>
      <c r="E5702" s="6" t="s">
        <v>11646</v>
      </c>
      <c r="F5702" s="9"/>
    </row>
    <row r="5703" ht="33.75" customHeight="1">
      <c r="A5703" s="7">
        <v>199.0</v>
      </c>
      <c r="B5703" s="9" t="s">
        <v>11637</v>
      </c>
      <c r="C5703" s="9" t="s">
        <v>11638</v>
      </c>
      <c r="D5703" s="9" t="s">
        <v>71</v>
      </c>
      <c r="E5703" s="6" t="s">
        <v>11646</v>
      </c>
      <c r="F5703" s="9"/>
    </row>
    <row r="5704" ht="33.75" customHeight="1">
      <c r="A5704" s="7">
        <v>199.0</v>
      </c>
      <c r="B5704" s="9" t="s">
        <v>11637</v>
      </c>
      <c r="C5704" s="9" t="s">
        <v>11638</v>
      </c>
      <c r="D5704" s="9" t="s">
        <v>73</v>
      </c>
      <c r="E5704" s="6" t="s">
        <v>11650</v>
      </c>
      <c r="F5704" s="9"/>
    </row>
    <row r="5705" ht="33.75" customHeight="1">
      <c r="A5705" s="7">
        <v>199.0</v>
      </c>
      <c r="B5705" s="9" t="s">
        <v>11637</v>
      </c>
      <c r="C5705" s="9" t="s">
        <v>11638</v>
      </c>
      <c r="D5705" s="9" t="s">
        <v>75</v>
      </c>
      <c r="E5705" s="6" t="s">
        <v>11642</v>
      </c>
      <c r="F5705" s="9"/>
    </row>
    <row r="5706" ht="33.75" customHeight="1">
      <c r="A5706" s="7">
        <v>199.0</v>
      </c>
      <c r="B5706" s="9" t="s">
        <v>11637</v>
      </c>
      <c r="C5706" s="9" t="s">
        <v>11638</v>
      </c>
      <c r="D5706" s="9" t="s">
        <v>79</v>
      </c>
      <c r="E5706" s="6" t="s">
        <v>11653</v>
      </c>
      <c r="F5706" s="9"/>
    </row>
    <row r="5707" ht="33.75" customHeight="1">
      <c r="A5707" s="7">
        <v>199.0</v>
      </c>
      <c r="B5707" s="9" t="s">
        <v>11637</v>
      </c>
      <c r="C5707" s="9" t="s">
        <v>11638</v>
      </c>
      <c r="D5707" s="9" t="s">
        <v>81</v>
      </c>
      <c r="E5707" s="6" t="s">
        <v>11656</v>
      </c>
      <c r="F5707" s="9"/>
    </row>
    <row r="5708" ht="33.75" customHeight="1">
      <c r="A5708" s="7">
        <v>199.0</v>
      </c>
      <c r="B5708" s="9" t="s">
        <v>11637</v>
      </c>
      <c r="C5708" s="9" t="s">
        <v>11638</v>
      </c>
      <c r="D5708" s="9" t="s">
        <v>84</v>
      </c>
      <c r="E5708" s="6" t="s">
        <v>11656</v>
      </c>
      <c r="F5708" s="9"/>
    </row>
    <row r="5709" ht="33.75" customHeight="1">
      <c r="A5709" s="7">
        <v>199.0</v>
      </c>
      <c r="B5709" s="9" t="s">
        <v>11637</v>
      </c>
      <c r="C5709" s="9" t="s">
        <v>11638</v>
      </c>
      <c r="D5709" s="9" t="s">
        <v>87</v>
      </c>
      <c r="E5709" s="6" t="s">
        <v>11656</v>
      </c>
      <c r="F5709" s="9"/>
    </row>
    <row r="5710" ht="33.75" customHeight="1">
      <c r="A5710" s="7">
        <v>199.0</v>
      </c>
      <c r="B5710" s="9" t="s">
        <v>11637</v>
      </c>
      <c r="C5710" s="9" t="s">
        <v>11638</v>
      </c>
      <c r="D5710" s="9" t="s">
        <v>89</v>
      </c>
      <c r="E5710" s="6" t="s">
        <v>11653</v>
      </c>
      <c r="F5710" s="9"/>
    </row>
    <row r="5711" ht="33.75" customHeight="1">
      <c r="A5711" s="7">
        <v>199.0</v>
      </c>
      <c r="B5711" s="9" t="s">
        <v>11637</v>
      </c>
      <c r="C5711" s="9" t="s">
        <v>11638</v>
      </c>
      <c r="D5711" s="9" t="s">
        <v>91</v>
      </c>
      <c r="E5711" s="6" t="s">
        <v>11642</v>
      </c>
      <c r="F5711" s="9"/>
    </row>
    <row r="5712" ht="33.75" customHeight="1">
      <c r="A5712" s="7">
        <v>199.0</v>
      </c>
      <c r="B5712" s="9" t="s">
        <v>11637</v>
      </c>
      <c r="C5712" s="9" t="s">
        <v>11638</v>
      </c>
      <c r="D5712" s="9" t="s">
        <v>93</v>
      </c>
      <c r="E5712" s="6" t="s">
        <v>11663</v>
      </c>
      <c r="F5712" s="9"/>
    </row>
    <row r="5713" ht="33.75" customHeight="1">
      <c r="A5713" s="7">
        <v>199.0</v>
      </c>
      <c r="B5713" s="9" t="s">
        <v>11637</v>
      </c>
      <c r="C5713" s="9" t="s">
        <v>11638</v>
      </c>
      <c r="D5713" s="9" t="s">
        <v>95</v>
      </c>
      <c r="E5713" s="6" t="s">
        <v>11663</v>
      </c>
      <c r="F5713" s="9"/>
    </row>
    <row r="5714" ht="33.75" customHeight="1">
      <c r="A5714" s="7">
        <v>199.0</v>
      </c>
      <c r="B5714" s="9" t="s">
        <v>11637</v>
      </c>
      <c r="C5714" s="9" t="s">
        <v>11638</v>
      </c>
      <c r="D5714" s="9" t="s">
        <v>98</v>
      </c>
      <c r="E5714" s="6" t="s">
        <v>11663</v>
      </c>
      <c r="F5714" s="9"/>
    </row>
    <row r="5715" ht="33.75" customHeight="1">
      <c r="A5715" s="7">
        <v>199.0</v>
      </c>
      <c r="B5715" s="9" t="s">
        <v>11637</v>
      </c>
      <c r="C5715" s="9" t="s">
        <v>11638</v>
      </c>
      <c r="D5715" s="9" t="s">
        <v>99</v>
      </c>
      <c r="E5715" s="6" t="s">
        <v>11663</v>
      </c>
      <c r="F5715" s="9"/>
    </row>
    <row r="5716" ht="33.75" customHeight="1">
      <c r="A5716" s="7">
        <v>199.0</v>
      </c>
      <c r="B5716" s="9" t="s">
        <v>11637</v>
      </c>
      <c r="C5716" s="9" t="s">
        <v>11638</v>
      </c>
      <c r="D5716" s="9" t="s">
        <v>101</v>
      </c>
      <c r="E5716" s="6" t="s">
        <v>11653</v>
      </c>
      <c r="F5716" s="9"/>
    </row>
    <row r="5717" ht="33.75" customHeight="1">
      <c r="A5717" s="7">
        <v>199.0</v>
      </c>
      <c r="B5717" s="9" t="s">
        <v>11637</v>
      </c>
      <c r="C5717" s="9" t="s">
        <v>11638</v>
      </c>
      <c r="D5717" s="9" t="s">
        <v>105</v>
      </c>
      <c r="E5717" s="6" t="s">
        <v>11670</v>
      </c>
      <c r="F5717" s="9"/>
    </row>
    <row r="5718" ht="33.75" customHeight="1">
      <c r="A5718" s="7">
        <v>199.0</v>
      </c>
      <c r="B5718" s="9" t="s">
        <v>11637</v>
      </c>
      <c r="C5718" s="9" t="s">
        <v>11638</v>
      </c>
      <c r="D5718" s="9" t="s">
        <v>107</v>
      </c>
      <c r="E5718" s="6" t="s">
        <v>11672</v>
      </c>
      <c r="F5718" s="9"/>
    </row>
    <row r="5719" ht="33.75" customHeight="1">
      <c r="A5719" s="7">
        <v>199.0</v>
      </c>
      <c r="B5719" s="9" t="s">
        <v>11637</v>
      </c>
      <c r="C5719" s="9" t="s">
        <v>11638</v>
      </c>
      <c r="D5719" s="9" t="s">
        <v>109</v>
      </c>
      <c r="E5719" s="6" t="s">
        <v>11672</v>
      </c>
      <c r="F5719" s="9"/>
    </row>
    <row r="5720" ht="33.75" customHeight="1">
      <c r="A5720" s="7">
        <v>199.0</v>
      </c>
      <c r="B5720" s="9" t="s">
        <v>11637</v>
      </c>
      <c r="C5720" s="9" t="s">
        <v>11638</v>
      </c>
      <c r="D5720" s="9" t="s">
        <v>637</v>
      </c>
      <c r="E5720" s="6" t="s">
        <v>11675</v>
      </c>
      <c r="F5720" s="9"/>
    </row>
    <row r="5721" ht="33.75" customHeight="1">
      <c r="A5721" s="7">
        <v>199.0</v>
      </c>
      <c r="B5721" s="9" t="s">
        <v>11637</v>
      </c>
      <c r="C5721" s="9" t="s">
        <v>11638</v>
      </c>
      <c r="D5721" s="9" t="s">
        <v>642</v>
      </c>
      <c r="E5721" s="6" t="s">
        <v>11678</v>
      </c>
      <c r="F5721" s="9"/>
    </row>
    <row r="5722" ht="33.75" customHeight="1">
      <c r="A5722" s="7">
        <v>199.0</v>
      </c>
      <c r="B5722" s="9" t="s">
        <v>11637</v>
      </c>
      <c r="C5722" s="9" t="s">
        <v>11638</v>
      </c>
      <c r="D5722" s="9" t="s">
        <v>647</v>
      </c>
      <c r="E5722" s="6" t="s">
        <v>11681</v>
      </c>
      <c r="F5722" s="9"/>
    </row>
    <row r="5723" ht="33.75" customHeight="1">
      <c r="A5723" s="7">
        <v>199.0</v>
      </c>
      <c r="B5723" s="9" t="s">
        <v>11637</v>
      </c>
      <c r="C5723" s="9" t="s">
        <v>11638</v>
      </c>
      <c r="D5723" s="9" t="s">
        <v>652</v>
      </c>
      <c r="E5723" s="6" t="s">
        <v>11684</v>
      </c>
      <c r="F5723" s="9"/>
    </row>
    <row r="5724" ht="33.75" customHeight="1">
      <c r="A5724" s="7">
        <v>199.0</v>
      </c>
      <c r="B5724" s="9" t="s">
        <v>11637</v>
      </c>
      <c r="C5724" s="9" t="s">
        <v>11638</v>
      </c>
      <c r="D5724" s="9" t="s">
        <v>114</v>
      </c>
      <c r="E5724" s="6" t="s">
        <v>11687</v>
      </c>
      <c r="F5724" s="9"/>
    </row>
    <row r="5725" ht="33.75" customHeight="1">
      <c r="A5725" s="7">
        <v>199.0</v>
      </c>
      <c r="B5725" s="9" t="s">
        <v>11637</v>
      </c>
      <c r="C5725" s="9" t="s">
        <v>11638</v>
      </c>
      <c r="D5725" s="9" t="s">
        <v>117</v>
      </c>
      <c r="E5725" s="6" t="s">
        <v>11689</v>
      </c>
      <c r="F5725" s="9"/>
    </row>
    <row r="5726" ht="33.75" customHeight="1">
      <c r="A5726" s="7">
        <v>200.0</v>
      </c>
      <c r="B5726" s="9" t="s">
        <v>11691</v>
      </c>
      <c r="C5726" s="9" t="s">
        <v>11692</v>
      </c>
      <c r="D5726" s="9" t="s">
        <v>52</v>
      </c>
      <c r="E5726" s="6" t="s">
        <v>11693</v>
      </c>
      <c r="F5726" t="inlineStr" s="10">
        <is>
          <t xml:space="preserve">Misdreavus tykkää leikkiä ilkikurisia temppuja, kuten huutamista ja valittamista, säikäyttääkseen ihmisiä yöllä. Se rakastaa purra ja nyppiä ihmisten hiuksia takaapäin varoittamatta vain nähdäkseen heidän järkyttyneet reaktionsa. Se rakastaa katsella ihmisiä, sillä sillä on arpia. Se pelottelee heitä huutamalla kovaa tai ilmestymällä yhtäkkiä esiin. MISDREAVUS pelottaa ihmisiä kammottavalla, nyyhkyttävällä huudolla. POKéMON ilmeisesti käyttää punaisia ​​pallojaan imeäkseen vihollisten pelottavat tunteet ja muuttaakseen ne ravinnoksi. Se ilmeisesti käyttää punaisia ​​pallojaan vihollisten pelon imemiseen ravinnokseen. Se rakastaa hiipiä ihmisten luo myöhään yöllä ja säikäyttää heidät sitten kirkuvalla huudolla. Se saa ravintoa pelosta, jonka se imee punaisiin palloihinsa. Päivällä se nukkuu pimeydessä. Pokémon, joka säikäyttää ihmisiä keskellä yötä. Se kerää energiakseen pelkoa. Se tykkää leikkiä ilkikurisia temppuja, kuten huutaa ja valittaa säikäyttääkseen ihmisiä yöllä. Se käyttää kaikkia tarvittavia keinoja pelotellakseen ihmisiä ja imeäkseen heidän elinvoimansa. Se harjoittelee jatkuvasti hioakseen taitojaan pelon aiheuttamisessa. Jos kuulet nyyhkytyksen tyhjästä huoneesta, Misdreavus tekee epäilemättä vähän ilkikurisuutta. Sen elämälle merkityksen antaa muiden yllättäminen. Jos painat korvasi sen kaulassa olevien punaisten pallojen viereen, voit kuulla kirkumista. Sen tekee onnelliseksi itkevien ihmisten äänien matkiminen ja kaikkien pelottelu. Se ei tule hyvin toimeen ihmisten kanssa, jotka eivät säikähdä helposti. Se kätkee itsensä pimeyteen ja lähettää kylmiä väreitä matkalaisten selkäpiitä pitkin lapsenomaisella itkullaan. Kun se tarkkailee peloissaan olevia matkalaisia ​​riemusta, sen rinnassa olevat punaiset pallot säteilevät aavemaista valoa.</t>
        </is>
      </c>
    </row>
    <row r="5727" ht="33.75" customHeight="1">
      <c r="A5727" s="7">
        <v>200.0</v>
      </c>
      <c r="B5727" s="9" t="s">
        <v>11691</v>
      </c>
      <c r="C5727" s="9" t="s">
        <v>11692</v>
      </c>
      <c r="D5727" s="9" t="s">
        <v>59</v>
      </c>
      <c r="E5727" s="6" t="s">
        <v>11696</v>
      </c>
      <c r="F5727" s="9"/>
    </row>
    <row r="5728" ht="33.75" customHeight="1">
      <c r="A5728" s="7">
        <v>200.0</v>
      </c>
      <c r="B5728" s="9" t="s">
        <v>11691</v>
      </c>
      <c r="C5728" s="9" t="s">
        <v>11692</v>
      </c>
      <c r="D5728" s="9" t="s">
        <v>64</v>
      </c>
      <c r="E5728" s="6" t="s">
        <v>11698</v>
      </c>
      <c r="F5728" s="9"/>
    </row>
    <row r="5729" ht="33.75" customHeight="1">
      <c r="A5729" s="7">
        <v>200.0</v>
      </c>
      <c r="B5729" s="9" t="s">
        <v>11691</v>
      </c>
      <c r="C5729" s="9" t="s">
        <v>11692</v>
      </c>
      <c r="D5729" s="9" t="s">
        <v>67</v>
      </c>
      <c r="E5729" s="6" t="s">
        <v>11701</v>
      </c>
      <c r="F5729" s="9"/>
    </row>
    <row r="5730" ht="33.75" customHeight="1">
      <c r="A5730" s="7">
        <v>200.0</v>
      </c>
      <c r="B5730" s="9" t="s">
        <v>11691</v>
      </c>
      <c r="C5730" s="9" t="s">
        <v>11692</v>
      </c>
      <c r="D5730" s="9" t="s">
        <v>71</v>
      </c>
      <c r="E5730" s="6" t="s">
        <v>11701</v>
      </c>
      <c r="F5730" s="9"/>
    </row>
    <row r="5731" ht="33.75" customHeight="1">
      <c r="A5731" s="7">
        <v>200.0</v>
      </c>
      <c r="B5731" s="9" t="s">
        <v>11691</v>
      </c>
      <c r="C5731" s="9" t="s">
        <v>11692</v>
      </c>
      <c r="D5731" s="9" t="s">
        <v>73</v>
      </c>
      <c r="E5731" s="6" t="s">
        <v>11705</v>
      </c>
      <c r="F5731" s="9"/>
    </row>
    <row r="5732" ht="33.75" customHeight="1">
      <c r="A5732" s="7">
        <v>200.0</v>
      </c>
      <c r="B5732" s="9" t="s">
        <v>11691</v>
      </c>
      <c r="C5732" s="9" t="s">
        <v>11692</v>
      </c>
      <c r="D5732" s="9" t="s">
        <v>75</v>
      </c>
      <c r="E5732" s="6" t="s">
        <v>11696</v>
      </c>
      <c r="F5732" s="9"/>
    </row>
    <row r="5733" ht="33.75" customHeight="1">
      <c r="A5733" s="7">
        <v>200.0</v>
      </c>
      <c r="B5733" s="9" t="s">
        <v>11691</v>
      </c>
      <c r="C5733" s="9" t="s">
        <v>11692</v>
      </c>
      <c r="D5733" s="9" t="s">
        <v>79</v>
      </c>
      <c r="E5733" s="6" t="s">
        <v>11693</v>
      </c>
      <c r="F5733" s="9"/>
    </row>
    <row r="5734" ht="33.75" customHeight="1">
      <c r="A5734" s="7">
        <v>200.0</v>
      </c>
      <c r="B5734" s="9" t="s">
        <v>11691</v>
      </c>
      <c r="C5734" s="9" t="s">
        <v>11692</v>
      </c>
      <c r="D5734" s="9" t="s">
        <v>81</v>
      </c>
      <c r="E5734" s="6" t="s">
        <v>11712</v>
      </c>
      <c r="F5734" s="9"/>
    </row>
    <row r="5735" ht="33.75" customHeight="1">
      <c r="A5735" s="7">
        <v>200.0</v>
      </c>
      <c r="B5735" s="9" t="s">
        <v>11691</v>
      </c>
      <c r="C5735" s="9" t="s">
        <v>11692</v>
      </c>
      <c r="D5735" s="9" t="s">
        <v>84</v>
      </c>
      <c r="E5735" s="6" t="s">
        <v>11716</v>
      </c>
      <c r="F5735" s="9"/>
    </row>
    <row r="5736" ht="33.75" customHeight="1">
      <c r="A5736" s="7">
        <v>200.0</v>
      </c>
      <c r="B5736" s="9" t="s">
        <v>11691</v>
      </c>
      <c r="C5736" s="9" t="s">
        <v>11692</v>
      </c>
      <c r="D5736" s="9" t="s">
        <v>87</v>
      </c>
      <c r="E5736" s="6" t="s">
        <v>11718</v>
      </c>
      <c r="F5736" s="9"/>
    </row>
    <row r="5737" ht="33.75" customHeight="1">
      <c r="A5737" s="7">
        <v>200.0</v>
      </c>
      <c r="B5737" s="9" t="s">
        <v>11691</v>
      </c>
      <c r="C5737" s="9" t="s">
        <v>11692</v>
      </c>
      <c r="D5737" s="9" t="s">
        <v>89</v>
      </c>
      <c r="E5737" s="6" t="s">
        <v>11722</v>
      </c>
      <c r="F5737" s="9"/>
    </row>
    <row r="5738" ht="33.75" customHeight="1">
      <c r="A5738" s="7">
        <v>200.0</v>
      </c>
      <c r="B5738" s="9" t="s">
        <v>11691</v>
      </c>
      <c r="C5738" s="9" t="s">
        <v>11692</v>
      </c>
      <c r="D5738" s="9" t="s">
        <v>91</v>
      </c>
      <c r="E5738" s="6" t="s">
        <v>11696</v>
      </c>
      <c r="F5738" s="9"/>
    </row>
    <row r="5739" ht="33.75" customHeight="1">
      <c r="A5739" s="7">
        <v>200.0</v>
      </c>
      <c r="B5739" s="9" t="s">
        <v>11691</v>
      </c>
      <c r="C5739" s="9" t="s">
        <v>11692</v>
      </c>
      <c r="D5739" s="9" t="s">
        <v>93</v>
      </c>
      <c r="E5739" s="6" t="s">
        <v>11718</v>
      </c>
      <c r="F5739" s="9"/>
    </row>
    <row r="5740" ht="33.75" customHeight="1">
      <c r="A5740" s="7">
        <v>200.0</v>
      </c>
      <c r="B5740" s="9" t="s">
        <v>11691</v>
      </c>
      <c r="C5740" s="9" t="s">
        <v>11692</v>
      </c>
      <c r="D5740" s="9" t="s">
        <v>95</v>
      </c>
      <c r="E5740" s="6" t="s">
        <v>11718</v>
      </c>
      <c r="F5740" s="9"/>
    </row>
    <row r="5741" ht="33.75" customHeight="1">
      <c r="A5741" s="7">
        <v>200.0</v>
      </c>
      <c r="B5741" s="9" t="s">
        <v>11691</v>
      </c>
      <c r="C5741" s="9" t="s">
        <v>11692</v>
      </c>
      <c r="D5741" s="9" t="s">
        <v>98</v>
      </c>
      <c r="E5741" s="6" t="s">
        <v>11718</v>
      </c>
      <c r="F5741" s="9"/>
    </row>
    <row r="5742" ht="33.75" customHeight="1">
      <c r="A5742" s="7">
        <v>200.0</v>
      </c>
      <c r="B5742" s="9" t="s">
        <v>11691</v>
      </c>
      <c r="C5742" s="9" t="s">
        <v>11692</v>
      </c>
      <c r="D5742" s="9" t="s">
        <v>99</v>
      </c>
      <c r="E5742" s="6" t="s">
        <v>11718</v>
      </c>
      <c r="F5742" s="9"/>
    </row>
    <row r="5743" ht="33.75" customHeight="1">
      <c r="A5743" s="7">
        <v>200.0</v>
      </c>
      <c r="B5743" s="9" t="s">
        <v>11691</v>
      </c>
      <c r="C5743" s="9" t="s">
        <v>11692</v>
      </c>
      <c r="D5743" s="9" t="s">
        <v>101</v>
      </c>
      <c r="E5743" s="6" t="s">
        <v>11716</v>
      </c>
      <c r="F5743" s="9"/>
    </row>
    <row r="5744" ht="33.75" customHeight="1">
      <c r="A5744" s="7">
        <v>200.0</v>
      </c>
      <c r="B5744" s="9" t="s">
        <v>11691</v>
      </c>
      <c r="C5744" s="9" t="s">
        <v>11692</v>
      </c>
      <c r="D5744" s="9" t="s">
        <v>105</v>
      </c>
      <c r="E5744" s="6" t="s">
        <v>11722</v>
      </c>
      <c r="F5744" s="9"/>
    </row>
    <row r="5745" ht="33.75" customHeight="1">
      <c r="A5745" s="7">
        <v>200.0</v>
      </c>
      <c r="B5745" s="9" t="s">
        <v>11691</v>
      </c>
      <c r="C5745" s="9" t="s">
        <v>11692</v>
      </c>
      <c r="D5745" s="9" t="s">
        <v>107</v>
      </c>
      <c r="E5745" s="6" t="s">
        <v>11735</v>
      </c>
      <c r="F5745" s="9"/>
    </row>
    <row r="5746" ht="33.75" customHeight="1">
      <c r="A5746" s="7">
        <v>200.0</v>
      </c>
      <c r="B5746" s="9" t="s">
        <v>11691</v>
      </c>
      <c r="C5746" s="9" t="s">
        <v>11692</v>
      </c>
      <c r="D5746" s="9" t="s">
        <v>109</v>
      </c>
      <c r="E5746" s="6" t="s">
        <v>11735</v>
      </c>
      <c r="F5746" s="9"/>
    </row>
    <row r="5747" ht="33.75" customHeight="1">
      <c r="A5747" s="7">
        <v>200.0</v>
      </c>
      <c r="B5747" s="9" t="s">
        <v>11691</v>
      </c>
      <c r="C5747" s="9" t="s">
        <v>11692</v>
      </c>
      <c r="D5747" s="9" t="s">
        <v>637</v>
      </c>
      <c r="E5747" s="6" t="s">
        <v>11740</v>
      </c>
      <c r="F5747" s="9"/>
    </row>
    <row r="5748" ht="33.75" customHeight="1">
      <c r="A5748" s="7">
        <v>200.0</v>
      </c>
      <c r="B5748" s="9" t="s">
        <v>11691</v>
      </c>
      <c r="C5748" s="9" t="s">
        <v>11692</v>
      </c>
      <c r="D5748" s="9" t="s">
        <v>642</v>
      </c>
      <c r="E5748" s="6" t="s">
        <v>11743</v>
      </c>
      <c r="F5748" s="9"/>
    </row>
    <row r="5749" ht="33.75" customHeight="1">
      <c r="A5749" s="7">
        <v>200.0</v>
      </c>
      <c r="B5749" s="9" t="s">
        <v>11691</v>
      </c>
      <c r="C5749" s="9" t="s">
        <v>11692</v>
      </c>
      <c r="D5749" s="9" t="s">
        <v>647</v>
      </c>
      <c r="E5749" s="6" t="s">
        <v>11747</v>
      </c>
      <c r="F5749" s="9"/>
    </row>
    <row r="5750" ht="33.75" customHeight="1">
      <c r="A5750" s="7">
        <v>200.0</v>
      </c>
      <c r="B5750" s="9" t="s">
        <v>11691</v>
      </c>
      <c r="C5750" s="9" t="s">
        <v>11692</v>
      </c>
      <c r="D5750" s="9" t="s">
        <v>652</v>
      </c>
      <c r="E5750" s="6" t="s">
        <v>11750</v>
      </c>
      <c r="F5750" s="9"/>
    </row>
    <row r="5751" ht="33.75" customHeight="1">
      <c r="A5751" s="7">
        <v>200.0</v>
      </c>
      <c r="B5751" s="9" t="s">
        <v>11691</v>
      </c>
      <c r="C5751" s="9" t="s">
        <v>11692</v>
      </c>
      <c r="D5751" s="9" t="s">
        <v>1577</v>
      </c>
      <c r="E5751" s="6" t="s">
        <v>11753</v>
      </c>
      <c r="F5751" s="9"/>
    </row>
    <row r="5752" ht="33.75" customHeight="1">
      <c r="A5752" s="7">
        <v>201.0</v>
      </c>
      <c r="B5752" s="9" t="s">
        <v>11754</v>
      </c>
      <c r="C5752" s="9" t="s">
        <v>11755</v>
      </c>
      <c r="D5752" s="9" t="s">
        <v>52</v>
      </c>
      <c r="E5752" s="6" t="s">
        <v>11757</v>
      </c>
      <c r="F5752" t="inlineStr" s="10">
        <is>
          <t xml:space="preserve">Niiden muodot näyttävät muinaisten kirjoituslehtien hieroglyfeiltä. Sanotaan, että ne ovat jotenkin sukua toisilleen. Sen litteä, ohut runko on aina kiinni seinissä. Sen muodolla näyttää olevan jokin merkitys. Koska UNOWN-tyyppejä on olemassa, sanotaan, että niillä täytyy olla erilaisia ​​kykyjä. Tämä POKéMON on muodoltaan kuin muinainen kirjoitus. On mysteeri, kumpi oli ensin, muinaiset kirjoitukset vai erilaiset YK:n omat. Tutkimus aiheesta on käynnissä, mutta siitä ei tiedetä mitään. Tämä POKéMON on muodoltaan kuin muinaiset tekstimerkit. Vaikka tutkimus on käynnissä, on mysteeri, kumpi tuli ensin, muinaiset kirjoitukset vai erilaiset YKSIOLAISET. Niiden muodot näyttävät muinaisten taulujen hieroglyfeiltä. Muinaisen kirjoituksen muotoinen se on valtava mysteeri, syntyikö ensin kieli vai UNOWN. Ne näyttävät kommunikoivan keskenään telepaattisesti. Ne löytyvät aina seiniltä jumiutuneina. Yksin ollessaan mitään ei tapahdu. Jos heitä kuitenkin on kaksi tai enemmän, sanotaan ilmaantuvan outo voima. On mysteeri, kumpi oli ensin, muinaiset kirjoitukset vai erilaiset Unown-kirjoitukset. On vaikea uskoa, että nämä omituisen muotoiset Pokémonit ovat todella eläviä olentoja. Olen huomauttanut, että lajin monet muodot muistuttavat muiden maiden kirjoitusta; kukaan ei ota minua vakavasti.</t>
        </is>
      </c>
    </row>
    <row r="5753" ht="33.75" customHeight="1">
      <c r="A5753" s="7">
        <v>201.0</v>
      </c>
      <c r="B5753" s="9" t="s">
        <v>11754</v>
      </c>
      <c r="C5753" s="9" t="s">
        <v>11755</v>
      </c>
      <c r="D5753" s="9" t="s">
        <v>59</v>
      </c>
      <c r="E5753" s="6" t="s">
        <v>11760</v>
      </c>
      <c r="F5753" s="9"/>
    </row>
    <row r="5754" ht="33.75" customHeight="1">
      <c r="A5754" s="7">
        <v>201.0</v>
      </c>
      <c r="B5754" s="9" t="s">
        <v>11754</v>
      </c>
      <c r="C5754" s="9" t="s">
        <v>11755</v>
      </c>
      <c r="D5754" s="9" t="s">
        <v>64</v>
      </c>
      <c r="E5754" s="6" t="s">
        <v>11763</v>
      </c>
      <c r="F5754" s="9"/>
    </row>
    <row r="5755" ht="33.75" customHeight="1">
      <c r="A5755" s="7">
        <v>201.0</v>
      </c>
      <c r="B5755" s="9" t="s">
        <v>11754</v>
      </c>
      <c r="C5755" s="9" t="s">
        <v>11755</v>
      </c>
      <c r="D5755" s="9" t="s">
        <v>67</v>
      </c>
      <c r="E5755" s="6" t="s">
        <v>11766</v>
      </c>
      <c r="F5755" s="9"/>
    </row>
    <row r="5756" ht="33.75" customHeight="1">
      <c r="A5756" s="7">
        <v>201.0</v>
      </c>
      <c r="B5756" s="9" t="s">
        <v>11754</v>
      </c>
      <c r="C5756" s="9" t="s">
        <v>11755</v>
      </c>
      <c r="D5756" s="9" t="s">
        <v>71</v>
      </c>
      <c r="E5756" s="6" t="s">
        <v>11766</v>
      </c>
      <c r="F5756" s="9"/>
    </row>
    <row r="5757" ht="33.75" customHeight="1">
      <c r="A5757" s="7">
        <v>201.0</v>
      </c>
      <c r="B5757" s="9" t="s">
        <v>11754</v>
      </c>
      <c r="C5757" s="9" t="s">
        <v>11755</v>
      </c>
      <c r="D5757" s="9" t="s">
        <v>73</v>
      </c>
      <c r="E5757" s="6" t="s">
        <v>11771</v>
      </c>
      <c r="F5757" s="9"/>
    </row>
    <row r="5758" ht="33.75" customHeight="1">
      <c r="A5758" s="7">
        <v>201.0</v>
      </c>
      <c r="B5758" s="9" t="s">
        <v>11754</v>
      </c>
      <c r="C5758" s="9" t="s">
        <v>11755</v>
      </c>
      <c r="D5758" s="9" t="s">
        <v>75</v>
      </c>
      <c r="E5758" s="6" t="s">
        <v>11760</v>
      </c>
      <c r="F5758" s="9"/>
    </row>
    <row r="5759" ht="33.75" customHeight="1">
      <c r="A5759" s="7">
        <v>201.0</v>
      </c>
      <c r="B5759" s="9" t="s">
        <v>11754</v>
      </c>
      <c r="C5759" s="9" t="s">
        <v>11755</v>
      </c>
      <c r="D5759" s="9" t="s">
        <v>79</v>
      </c>
      <c r="E5759" s="6" t="s">
        <v>11778</v>
      </c>
      <c r="F5759" s="9"/>
    </row>
    <row r="5760" ht="33.75" customHeight="1">
      <c r="A5760" s="7">
        <v>201.0</v>
      </c>
      <c r="B5760" s="9" t="s">
        <v>11754</v>
      </c>
      <c r="C5760" s="9" t="s">
        <v>11755</v>
      </c>
      <c r="D5760" s="9" t="s">
        <v>81</v>
      </c>
      <c r="E5760" s="6" t="s">
        <v>11782</v>
      </c>
      <c r="F5760" s="9"/>
    </row>
    <row r="5761" ht="33.75" customHeight="1">
      <c r="A5761" s="7">
        <v>201.0</v>
      </c>
      <c r="B5761" s="9" t="s">
        <v>11754</v>
      </c>
      <c r="C5761" s="9" t="s">
        <v>11755</v>
      </c>
      <c r="D5761" s="9" t="s">
        <v>84</v>
      </c>
      <c r="E5761" s="6" t="s">
        <v>11785</v>
      </c>
      <c r="F5761" s="9"/>
    </row>
    <row r="5762" ht="33.75" customHeight="1">
      <c r="A5762" s="7">
        <v>201.0</v>
      </c>
      <c r="B5762" s="9" t="s">
        <v>11754</v>
      </c>
      <c r="C5762" s="9" t="s">
        <v>11755</v>
      </c>
      <c r="D5762" s="9" t="s">
        <v>87</v>
      </c>
      <c r="E5762" s="6" t="s">
        <v>11789</v>
      </c>
      <c r="F5762" s="9"/>
    </row>
    <row r="5763" ht="33.75" customHeight="1">
      <c r="A5763" s="7">
        <v>201.0</v>
      </c>
      <c r="B5763" s="9" t="s">
        <v>11754</v>
      </c>
      <c r="C5763" s="9" t="s">
        <v>11755</v>
      </c>
      <c r="D5763" s="9" t="s">
        <v>89</v>
      </c>
      <c r="E5763" s="6" t="s">
        <v>11778</v>
      </c>
      <c r="F5763" s="9"/>
    </row>
    <row r="5764" ht="33.75" customHeight="1">
      <c r="A5764" s="7">
        <v>201.0</v>
      </c>
      <c r="B5764" s="9" t="s">
        <v>11754</v>
      </c>
      <c r="C5764" s="9" t="s">
        <v>11755</v>
      </c>
      <c r="D5764" s="9" t="s">
        <v>91</v>
      </c>
      <c r="E5764" s="6" t="s">
        <v>11760</v>
      </c>
      <c r="F5764" s="9"/>
    </row>
    <row r="5765" ht="33.75" customHeight="1">
      <c r="A5765" s="7">
        <v>201.0</v>
      </c>
      <c r="B5765" s="9" t="s">
        <v>11754</v>
      </c>
      <c r="C5765" s="9" t="s">
        <v>11755</v>
      </c>
      <c r="D5765" s="9" t="s">
        <v>93</v>
      </c>
      <c r="E5765" s="6" t="s">
        <v>11789</v>
      </c>
      <c r="F5765" s="9"/>
    </row>
    <row r="5766" ht="33.75" customHeight="1">
      <c r="A5766" s="7">
        <v>201.0</v>
      </c>
      <c r="B5766" s="9" t="s">
        <v>11754</v>
      </c>
      <c r="C5766" s="9" t="s">
        <v>11755</v>
      </c>
      <c r="D5766" s="9" t="s">
        <v>95</v>
      </c>
      <c r="E5766" s="6" t="s">
        <v>11789</v>
      </c>
      <c r="F5766" s="9"/>
    </row>
    <row r="5767" ht="33.75" customHeight="1">
      <c r="A5767" s="7">
        <v>201.0</v>
      </c>
      <c r="B5767" s="9" t="s">
        <v>11754</v>
      </c>
      <c r="C5767" s="9" t="s">
        <v>11755</v>
      </c>
      <c r="D5767" s="9" t="s">
        <v>98</v>
      </c>
      <c r="E5767" s="6" t="s">
        <v>11789</v>
      </c>
      <c r="F5767" s="9"/>
    </row>
    <row r="5768" ht="33.75" customHeight="1">
      <c r="A5768" s="7">
        <v>201.0</v>
      </c>
      <c r="B5768" s="9" t="s">
        <v>11754</v>
      </c>
      <c r="C5768" s="9" t="s">
        <v>11755</v>
      </c>
      <c r="D5768" s="9" t="s">
        <v>99</v>
      </c>
      <c r="E5768" s="6" t="s">
        <v>11789</v>
      </c>
      <c r="F5768" s="9"/>
    </row>
    <row r="5769" ht="33.75" customHeight="1">
      <c r="A5769" s="7">
        <v>201.0</v>
      </c>
      <c r="B5769" s="9" t="s">
        <v>11754</v>
      </c>
      <c r="C5769" s="9" t="s">
        <v>11755</v>
      </c>
      <c r="D5769" s="9" t="s">
        <v>101</v>
      </c>
      <c r="E5769" s="6" t="s">
        <v>11760</v>
      </c>
      <c r="F5769" s="9"/>
    </row>
    <row r="5770" ht="33.75" customHeight="1">
      <c r="A5770" s="7">
        <v>201.0</v>
      </c>
      <c r="B5770" s="9" t="s">
        <v>11754</v>
      </c>
      <c r="C5770" s="9" t="s">
        <v>11755</v>
      </c>
      <c r="D5770" s="9" t="s">
        <v>105</v>
      </c>
      <c r="E5770" s="6" t="s">
        <v>11799</v>
      </c>
      <c r="F5770" s="9"/>
    </row>
    <row r="5771" ht="33.75" customHeight="1">
      <c r="A5771" s="7">
        <v>201.0</v>
      </c>
      <c r="B5771" s="9" t="s">
        <v>11754</v>
      </c>
      <c r="C5771" s="9" t="s">
        <v>11755</v>
      </c>
      <c r="D5771" s="9" t="s">
        <v>107</v>
      </c>
      <c r="E5771" s="6" t="s">
        <v>11801</v>
      </c>
      <c r="F5771" s="9"/>
    </row>
    <row r="5772" ht="33.75" customHeight="1">
      <c r="A5772" s="7">
        <v>201.0</v>
      </c>
      <c r="B5772" s="9" t="s">
        <v>11754</v>
      </c>
      <c r="C5772" s="9" t="s">
        <v>11755</v>
      </c>
      <c r="D5772" s="9" t="s">
        <v>109</v>
      </c>
      <c r="E5772" s="6" t="s">
        <v>11801</v>
      </c>
      <c r="F5772" s="9"/>
    </row>
    <row r="5773" ht="33.75" customHeight="1">
      <c r="A5773" s="7">
        <v>201.0</v>
      </c>
      <c r="B5773" s="9" t="s">
        <v>11754</v>
      </c>
      <c r="C5773" s="9" t="s">
        <v>11755</v>
      </c>
      <c r="D5773" s="9" t="s">
        <v>1577</v>
      </c>
      <c r="E5773" s="6" t="s">
        <v>11804</v>
      </c>
      <c r="F5773" s="9"/>
    </row>
    <row r="5774" ht="33.75" customHeight="1">
      <c r="A5774" s="7">
        <v>202.0</v>
      </c>
      <c r="B5774" s="9" t="s">
        <v>11805</v>
      </c>
      <c r="C5774" s="9" t="s">
        <v>11807</v>
      </c>
      <c r="D5774" s="9" t="s">
        <v>52</v>
      </c>
      <c r="E5774" s="6" t="s">
        <v>11808</v>
      </c>
      <c r="F5774" t="inlineStr" s="10">
        <is>
          <t xml:space="preserve">Wobbuffet vihaa valoa ja iskuja. Hyökkäyksen sattuessa se täyttää kehonsa ilmalla tehostaakseen vastaiskuaan. Pitääkseen pikimustan pyrstönsä piilossa se elää hiljaa pimeydessä. Se ei ole koskaan ensimmäinen hyökkääjä. Piilottaakseen mustan pyrstönsä se asuu pimeässä luolassa ja liikkuu vain yöllä. Jos kaksi tai useampi WOBBUFFET kohtaa, heistä tulee kilpailuhenkisiä ja he yrittävät päihittää toistensa kestävyyden. He saattavat kuitenkin yrittää nähdä, kumpi kestää pisimpään ilman ruokaa. VALMENTAJIEN on oltava varovaisia ​​tämän tavan suhteen. WOBBUFFET kestää vain hyökkäyksiä – se ei hyökkää yksin. Se ei kuitenkaan kestä hyökkäystä häntäänsä kohti. Kun näin tapahtuu, POKéMON yrittää ottaa vihollisen mukaansa KOHTALOSIDOKSELLA. Yleensä säyseä WOBBUFFET iskee raivokkaasti takaisin, jos sen mustaa pyrstöä hyökätään. Se tekee pesänsä luoliin, joissa se odottaa iltahämärää. Se yrittää epätoivoisesti pitää mustan häntänsä piilossa. Sen sanotaan olevan todiste siitä, että häntä kätkee salaisuuden. Hyökkäyksen sattuessa se täyttää kehonsa puhaltamalla vahvistaakseen vastaiskuaan. Jos kaksi tai useampi Wobbuffet-koira kohtaa toisensa, ne alkavat kilpailla keskenään ja yrittävät päihittää toistensa kestävyyden. Ne saattavat kuitenkin yrittää selvittää, kumpi kestää pisimpään ilman ruokaa. Wobbuffet ei tee muuta kuin kestää hyökkäyksiä – se ei hyökkää yksin. Se ei kuitenkaan kestä hyökkäystä häntäänsä vastaan. Kun näin tapahtuu, Pokémon yrittää ottaa vihollisen mukaansa Destiny Bondilla.</t>
        </is>
      </c>
    </row>
    <row r="5775" ht="33.75" customHeight="1">
      <c r="A5775" s="7">
        <v>202.0</v>
      </c>
      <c r="B5775" s="9" t="s">
        <v>11805</v>
      </c>
      <c r="C5775" s="9" t="s">
        <v>11807</v>
      </c>
      <c r="D5775" s="9" t="s">
        <v>59</v>
      </c>
      <c r="E5775" s="6" t="s">
        <v>11811</v>
      </c>
      <c r="F5775" s="9"/>
    </row>
    <row r="5776" ht="33.75" customHeight="1">
      <c r="A5776" s="7">
        <v>202.0</v>
      </c>
      <c r="B5776" s="9" t="s">
        <v>11805</v>
      </c>
      <c r="C5776" s="9" t="s">
        <v>11807</v>
      </c>
      <c r="D5776" s="9" t="s">
        <v>64</v>
      </c>
      <c r="E5776" s="6" t="s">
        <v>11813</v>
      </c>
      <c r="F5776" s="9"/>
    </row>
    <row r="5777" ht="33.75" customHeight="1">
      <c r="A5777" s="7">
        <v>202.0</v>
      </c>
      <c r="B5777" s="9" t="s">
        <v>11805</v>
      </c>
      <c r="C5777" s="9" t="s">
        <v>11807</v>
      </c>
      <c r="D5777" s="9" t="s">
        <v>67</v>
      </c>
      <c r="E5777" s="6" t="s">
        <v>11815</v>
      </c>
      <c r="F5777" s="9"/>
    </row>
    <row r="5778" ht="33.75" customHeight="1">
      <c r="A5778" s="7">
        <v>202.0</v>
      </c>
      <c r="B5778" s="9" t="s">
        <v>11805</v>
      </c>
      <c r="C5778" s="9" t="s">
        <v>11807</v>
      </c>
      <c r="D5778" s="9" t="s">
        <v>71</v>
      </c>
      <c r="E5778" s="6" t="s">
        <v>11818</v>
      </c>
      <c r="F5778" s="9"/>
    </row>
    <row r="5779" ht="33.75" customHeight="1">
      <c r="A5779" s="7">
        <v>202.0</v>
      </c>
      <c r="B5779" s="9" t="s">
        <v>11805</v>
      </c>
      <c r="C5779" s="9" t="s">
        <v>11807</v>
      </c>
      <c r="D5779" s="9" t="s">
        <v>73</v>
      </c>
      <c r="E5779" s="6" t="s">
        <v>11821</v>
      </c>
      <c r="F5779" s="9"/>
    </row>
    <row r="5780" ht="33.75" customHeight="1">
      <c r="A5780" s="7">
        <v>202.0</v>
      </c>
      <c r="B5780" s="9" t="s">
        <v>11805</v>
      </c>
      <c r="C5780" s="9" t="s">
        <v>11807</v>
      </c>
      <c r="D5780" s="9" t="s">
        <v>75</v>
      </c>
      <c r="E5780" s="6" t="s">
        <v>11811</v>
      </c>
      <c r="F5780" s="9"/>
    </row>
    <row r="5781" ht="33.75" customHeight="1">
      <c r="A5781" s="7">
        <v>202.0</v>
      </c>
      <c r="B5781" s="9" t="s">
        <v>11805</v>
      </c>
      <c r="C5781" s="9" t="s">
        <v>11807</v>
      </c>
      <c r="D5781" s="9" t="s">
        <v>79</v>
      </c>
      <c r="E5781" s="6" t="s">
        <v>11808</v>
      </c>
      <c r="F5781" s="9"/>
    </row>
    <row r="5782" ht="33.75" customHeight="1">
      <c r="A5782" s="7">
        <v>202.0</v>
      </c>
      <c r="B5782" s="9" t="s">
        <v>11805</v>
      </c>
      <c r="C5782" s="9" t="s">
        <v>11807</v>
      </c>
      <c r="D5782" s="9" t="s">
        <v>81</v>
      </c>
      <c r="E5782" s="6" t="s">
        <v>11828</v>
      </c>
      <c r="F5782" s="9"/>
    </row>
    <row r="5783" ht="33.75" customHeight="1">
      <c r="A5783" s="7">
        <v>202.0</v>
      </c>
      <c r="B5783" s="9" t="s">
        <v>11805</v>
      </c>
      <c r="C5783" s="9" t="s">
        <v>11807</v>
      </c>
      <c r="D5783" s="9" t="s">
        <v>84</v>
      </c>
      <c r="E5783" s="6" t="s">
        <v>11828</v>
      </c>
      <c r="F5783" s="9"/>
    </row>
    <row r="5784" ht="33.75" customHeight="1">
      <c r="A5784" s="7">
        <v>202.0</v>
      </c>
      <c r="B5784" s="9" t="s">
        <v>11805</v>
      </c>
      <c r="C5784" s="9" t="s">
        <v>11807</v>
      </c>
      <c r="D5784" s="9" t="s">
        <v>87</v>
      </c>
      <c r="E5784" s="6" t="s">
        <v>11828</v>
      </c>
      <c r="F5784" s="9"/>
    </row>
    <row r="5785" ht="33.75" customHeight="1">
      <c r="A5785" s="7">
        <v>202.0</v>
      </c>
      <c r="B5785" s="9" t="s">
        <v>11805</v>
      </c>
      <c r="C5785" s="9" t="s">
        <v>11807</v>
      </c>
      <c r="D5785" s="9" t="s">
        <v>89</v>
      </c>
      <c r="E5785" s="6" t="s">
        <v>11833</v>
      </c>
      <c r="F5785" s="9"/>
    </row>
    <row r="5786" ht="33.75" customHeight="1">
      <c r="A5786" s="7">
        <v>202.0</v>
      </c>
      <c r="B5786" s="9" t="s">
        <v>11805</v>
      </c>
      <c r="C5786" s="9" t="s">
        <v>11807</v>
      </c>
      <c r="D5786" s="9" t="s">
        <v>91</v>
      </c>
      <c r="E5786" s="6" t="s">
        <v>11811</v>
      </c>
      <c r="F5786" s="9"/>
    </row>
    <row r="5787" ht="33.75" customHeight="1">
      <c r="A5787" s="7">
        <v>202.0</v>
      </c>
      <c r="B5787" s="9" t="s">
        <v>11805</v>
      </c>
      <c r="C5787" s="9" t="s">
        <v>11807</v>
      </c>
      <c r="D5787" s="9" t="s">
        <v>93</v>
      </c>
      <c r="E5787" s="6" t="s">
        <v>11828</v>
      </c>
      <c r="F5787" s="9"/>
    </row>
    <row r="5788" ht="33.75" customHeight="1">
      <c r="A5788" s="7">
        <v>202.0</v>
      </c>
      <c r="B5788" s="9" t="s">
        <v>11805</v>
      </c>
      <c r="C5788" s="9" t="s">
        <v>11807</v>
      </c>
      <c r="D5788" s="9" t="s">
        <v>95</v>
      </c>
      <c r="E5788" s="6" t="s">
        <v>11828</v>
      </c>
      <c r="F5788" s="9"/>
    </row>
    <row r="5789" ht="33.75" customHeight="1">
      <c r="A5789" s="7">
        <v>202.0</v>
      </c>
      <c r="B5789" s="9" t="s">
        <v>11805</v>
      </c>
      <c r="C5789" s="9" t="s">
        <v>11807</v>
      </c>
      <c r="D5789" s="9" t="s">
        <v>98</v>
      </c>
      <c r="E5789" s="6" t="s">
        <v>11828</v>
      </c>
      <c r="F5789" s="9"/>
    </row>
    <row r="5790" ht="33.75" customHeight="1">
      <c r="A5790" s="7">
        <v>202.0</v>
      </c>
      <c r="B5790" s="9" t="s">
        <v>11805</v>
      </c>
      <c r="C5790" s="9" t="s">
        <v>11807</v>
      </c>
      <c r="D5790" s="9" t="s">
        <v>99</v>
      </c>
      <c r="E5790" s="6" t="s">
        <v>11828</v>
      </c>
      <c r="F5790" s="9"/>
    </row>
    <row r="5791" ht="33.75" customHeight="1">
      <c r="A5791" s="7">
        <v>202.0</v>
      </c>
      <c r="B5791" s="9" t="s">
        <v>11805</v>
      </c>
      <c r="C5791" s="9" t="s">
        <v>11807</v>
      </c>
      <c r="D5791" s="9" t="s">
        <v>101</v>
      </c>
      <c r="E5791" s="6" t="s">
        <v>11833</v>
      </c>
      <c r="F5791" s="9"/>
    </row>
    <row r="5792" ht="33.75" customHeight="1">
      <c r="A5792" s="7">
        <v>202.0</v>
      </c>
      <c r="B5792" s="9" t="s">
        <v>11805</v>
      </c>
      <c r="C5792" s="9" t="s">
        <v>11807</v>
      </c>
      <c r="D5792" s="9" t="s">
        <v>105</v>
      </c>
      <c r="E5792" s="6" t="s">
        <v>11811</v>
      </c>
      <c r="F5792" s="9"/>
    </row>
    <row r="5793" ht="33.75" customHeight="1">
      <c r="A5793" s="7">
        <v>202.0</v>
      </c>
      <c r="B5793" s="9" t="s">
        <v>11805</v>
      </c>
      <c r="C5793" s="9" t="s">
        <v>11807</v>
      </c>
      <c r="D5793" s="9" t="s">
        <v>107</v>
      </c>
      <c r="E5793" s="6" t="s">
        <v>11846</v>
      </c>
      <c r="F5793" s="9"/>
    </row>
    <row r="5794" ht="33.75" customHeight="1">
      <c r="A5794" s="7">
        <v>202.0</v>
      </c>
      <c r="B5794" s="9" t="s">
        <v>11805</v>
      </c>
      <c r="C5794" s="9" t="s">
        <v>11807</v>
      </c>
      <c r="D5794" s="9" t="s">
        <v>109</v>
      </c>
      <c r="E5794" s="6" t="s">
        <v>11849</v>
      </c>
      <c r="F5794" s="9"/>
    </row>
    <row r="5795" ht="33.75" customHeight="1">
      <c r="A5795" s="7">
        <v>202.0</v>
      </c>
      <c r="B5795" s="9" t="s">
        <v>11805</v>
      </c>
      <c r="C5795" s="9" t="s">
        <v>11807</v>
      </c>
      <c r="D5795" s="9" t="s">
        <v>114</v>
      </c>
      <c r="E5795" s="6" t="s">
        <v>11808</v>
      </c>
      <c r="F5795" s="9"/>
    </row>
    <row r="5796" ht="33.75" customHeight="1">
      <c r="A5796" s="7">
        <v>202.0</v>
      </c>
      <c r="B5796" s="9" t="s">
        <v>11805</v>
      </c>
      <c r="C5796" s="9" t="s">
        <v>11807</v>
      </c>
      <c r="D5796" s="9" t="s">
        <v>117</v>
      </c>
      <c r="E5796" s="6" t="s">
        <v>11811</v>
      </c>
      <c r="F5796" s="9"/>
    </row>
    <row r="5797" ht="33.75" customHeight="1">
      <c r="A5797" s="7">
        <v>203.0</v>
      </c>
      <c r="B5797" s="9" t="s">
        <v>11853</v>
      </c>
      <c r="C5797" s="9" t="s">
        <v>11855</v>
      </c>
      <c r="D5797" s="9" t="s">
        <v>52</v>
      </c>
      <c r="E5797" s="6" t="s">
        <v>11856</v>
      </c>
      <c r="F5797" t="inlineStr" s="10">
        <is>
          <t xml:space="preserve">Girafarigin hännällä on omat pienet aivonsa. Varo! Jos tulet lähelle, se saattaa reagoida hajuusi ja purraasi. Sen häntä, jossa on myös pieni aivo, voi purra itsestään, jos se huomaa houkuttelevan hajun. Vaaran uhatessa sen häntä käyttää jonkinlaisia ​​salaperäisiä voimia vihollisen karkottamiseen. KIRAHVI-POKÉMONIN takapäässä on myös aivot, mutta ne ovat pienet. Takapää hyökkää hajujen ja äänien perusteella. Tämän POKéMONin lähestyminen takaapäin voi saada takapään äkillisesti iskemään ja puremaan. KIRAHVI-kiihkon takaosassa on pieni aivokoko, joka on liian pieni ajattelemiseen. Takaosan ei kuitenkaan tarvitse nukkua, joten se voi tarkkailla ympäristöään 24 tuntia vuorokaudessa. KIRAHVI on kasvinsyöjä – se syö ruohoa ja puiden versoja. Syödessään sen häntä tekee pureskelu- ja nielemisliikkeitä aivan kuin sekin söisi. Sen hännässä on myös pienet aivot. Se puree torjuakseen kaikki viholliset, jotka yrittävät hiipiä sen luo takaapäin. Sen nukkuessa sen häntäpää pitää silmällä. Hännän ei tarvitse nukkua. Sen häntäpäässä on pienet aivot. Se voi vaistomaisesti taistella jopa selkä taaksepäin katsoen. Jos tulet lähelle, se saattaa reagoida hajuusi puremalla. Girafarigin takapäässä on myös aivot, mutta ne ovat pienet. Girafarigin takapäässä on pieni aivokoko, joka on liian pieni ajattelemiseen. Takapään ei kuitenkaan tarvitse nukkua, joten se voi tarkkailla ympäristöään 24 tuntia vuorokaudessa.</t>
        </is>
      </c>
    </row>
    <row r="5798" ht="33.75" customHeight="1">
      <c r="A5798" s="7">
        <v>203.0</v>
      </c>
      <c r="B5798" s="9" t="s">
        <v>11853</v>
      </c>
      <c r="C5798" s="9" t="s">
        <v>11855</v>
      </c>
      <c r="D5798" s="9" t="s">
        <v>59</v>
      </c>
      <c r="E5798" s="6" t="s">
        <v>11858</v>
      </c>
      <c r="F5798" s="9"/>
    </row>
    <row r="5799" ht="33.75" customHeight="1">
      <c r="A5799" s="7">
        <v>203.0</v>
      </c>
      <c r="B5799" s="9" t="s">
        <v>11853</v>
      </c>
      <c r="C5799" s="9" t="s">
        <v>11855</v>
      </c>
      <c r="D5799" s="9" t="s">
        <v>64</v>
      </c>
      <c r="E5799" s="6" t="s">
        <v>11860</v>
      </c>
      <c r="F5799" s="9"/>
    </row>
    <row r="5800" ht="33.75" customHeight="1">
      <c r="A5800" s="7">
        <v>203.0</v>
      </c>
      <c r="B5800" s="9" t="s">
        <v>11853</v>
      </c>
      <c r="C5800" s="9" t="s">
        <v>11855</v>
      </c>
      <c r="D5800" s="9" t="s">
        <v>67</v>
      </c>
      <c r="E5800" s="6" t="s">
        <v>11863</v>
      </c>
      <c r="F5800" s="9"/>
    </row>
    <row r="5801" ht="33.75" customHeight="1">
      <c r="A5801" s="7">
        <v>203.0</v>
      </c>
      <c r="B5801" s="9" t="s">
        <v>11853</v>
      </c>
      <c r="C5801" s="9" t="s">
        <v>11855</v>
      </c>
      <c r="D5801" s="9" t="s">
        <v>71</v>
      </c>
      <c r="E5801" s="6" t="s">
        <v>11865</v>
      </c>
      <c r="F5801" s="9"/>
    </row>
    <row r="5802" ht="33.75" customHeight="1">
      <c r="A5802" s="7">
        <v>203.0</v>
      </c>
      <c r="B5802" s="9" t="s">
        <v>11853</v>
      </c>
      <c r="C5802" s="9" t="s">
        <v>11855</v>
      </c>
      <c r="D5802" s="9" t="s">
        <v>73</v>
      </c>
      <c r="E5802" s="6" t="s">
        <v>11868</v>
      </c>
      <c r="F5802" s="9"/>
    </row>
    <row r="5803" ht="33.75" customHeight="1">
      <c r="A5803" s="7">
        <v>203.0</v>
      </c>
      <c r="B5803" s="9" t="s">
        <v>11853</v>
      </c>
      <c r="C5803" s="9" t="s">
        <v>11855</v>
      </c>
      <c r="D5803" s="9" t="s">
        <v>75</v>
      </c>
      <c r="E5803" s="6" t="s">
        <v>11858</v>
      </c>
      <c r="F5803" s="9"/>
    </row>
    <row r="5804" ht="33.75" customHeight="1">
      <c r="A5804" s="7">
        <v>203.0</v>
      </c>
      <c r="B5804" s="9" t="s">
        <v>11853</v>
      </c>
      <c r="C5804" s="9" t="s">
        <v>11855</v>
      </c>
      <c r="D5804" s="9" t="s">
        <v>79</v>
      </c>
      <c r="E5804" s="6" t="s">
        <v>11856</v>
      </c>
      <c r="F5804" s="9"/>
    </row>
    <row r="5805" ht="33.75" customHeight="1">
      <c r="A5805" s="7">
        <v>203.0</v>
      </c>
      <c r="B5805" s="9" t="s">
        <v>11853</v>
      </c>
      <c r="C5805" s="9" t="s">
        <v>11855</v>
      </c>
      <c r="D5805" s="9" t="s">
        <v>81</v>
      </c>
      <c r="E5805" s="6" t="s">
        <v>11874</v>
      </c>
      <c r="F5805" s="9"/>
    </row>
    <row r="5806" ht="33.75" customHeight="1">
      <c r="A5806" s="7">
        <v>203.0</v>
      </c>
      <c r="B5806" s="9" t="s">
        <v>11853</v>
      </c>
      <c r="C5806" s="9" t="s">
        <v>11855</v>
      </c>
      <c r="D5806" s="9" t="s">
        <v>84</v>
      </c>
      <c r="E5806" s="6" t="s">
        <v>11877</v>
      </c>
      <c r="F5806" s="9"/>
    </row>
    <row r="5807" ht="33.75" customHeight="1">
      <c r="A5807" s="7">
        <v>203.0</v>
      </c>
      <c r="B5807" s="9" t="s">
        <v>11853</v>
      </c>
      <c r="C5807" s="9" t="s">
        <v>11855</v>
      </c>
      <c r="D5807" s="9" t="s">
        <v>87</v>
      </c>
      <c r="E5807" s="6" t="s">
        <v>11879</v>
      </c>
      <c r="F5807" s="9"/>
    </row>
    <row r="5808" ht="33.75" customHeight="1">
      <c r="A5808" s="7">
        <v>203.0</v>
      </c>
      <c r="B5808" s="9" t="s">
        <v>11853</v>
      </c>
      <c r="C5808" s="9" t="s">
        <v>11855</v>
      </c>
      <c r="D5808" s="9" t="s">
        <v>89</v>
      </c>
      <c r="E5808" s="6" t="s">
        <v>11882</v>
      </c>
      <c r="F5808" s="9"/>
    </row>
    <row r="5809" ht="33.75" customHeight="1">
      <c r="A5809" s="7">
        <v>203.0</v>
      </c>
      <c r="B5809" s="9" t="s">
        <v>11853</v>
      </c>
      <c r="C5809" s="9" t="s">
        <v>11855</v>
      </c>
      <c r="D5809" s="9" t="s">
        <v>91</v>
      </c>
      <c r="E5809" s="6" t="s">
        <v>11858</v>
      </c>
      <c r="F5809" s="9"/>
    </row>
    <row r="5810" ht="33.75" customHeight="1">
      <c r="A5810" s="7">
        <v>203.0</v>
      </c>
      <c r="B5810" s="9" t="s">
        <v>11853</v>
      </c>
      <c r="C5810" s="9" t="s">
        <v>11855</v>
      </c>
      <c r="D5810" s="9" t="s">
        <v>93</v>
      </c>
      <c r="E5810" s="6" t="s">
        <v>11879</v>
      </c>
      <c r="F5810" s="9"/>
    </row>
    <row r="5811" ht="33.75" customHeight="1">
      <c r="A5811" s="7">
        <v>203.0</v>
      </c>
      <c r="B5811" s="9" t="s">
        <v>11853</v>
      </c>
      <c r="C5811" s="9" t="s">
        <v>11855</v>
      </c>
      <c r="D5811" s="9" t="s">
        <v>95</v>
      </c>
      <c r="E5811" s="6" t="s">
        <v>11879</v>
      </c>
      <c r="F5811" s="9"/>
    </row>
    <row r="5812" ht="33.75" customHeight="1">
      <c r="A5812" s="7">
        <v>203.0</v>
      </c>
      <c r="B5812" s="9" t="s">
        <v>11853</v>
      </c>
      <c r="C5812" s="9" t="s">
        <v>11855</v>
      </c>
      <c r="D5812" s="9" t="s">
        <v>98</v>
      </c>
      <c r="E5812" s="6" t="s">
        <v>11879</v>
      </c>
      <c r="F5812" s="9"/>
    </row>
    <row r="5813" ht="33.75" customHeight="1">
      <c r="A5813" s="7">
        <v>203.0</v>
      </c>
      <c r="B5813" s="9" t="s">
        <v>11853</v>
      </c>
      <c r="C5813" s="9" t="s">
        <v>11855</v>
      </c>
      <c r="D5813" s="9" t="s">
        <v>99</v>
      </c>
      <c r="E5813" s="6" t="s">
        <v>11879</v>
      </c>
      <c r="F5813" s="9"/>
    </row>
    <row r="5814" ht="33.75" customHeight="1">
      <c r="A5814" s="7">
        <v>203.0</v>
      </c>
      <c r="B5814" s="9" t="s">
        <v>11853</v>
      </c>
      <c r="C5814" s="9" t="s">
        <v>11855</v>
      </c>
      <c r="D5814" s="9" t="s">
        <v>101</v>
      </c>
      <c r="E5814" s="6" t="s">
        <v>11877</v>
      </c>
      <c r="F5814" s="9"/>
    </row>
    <row r="5815" ht="33.75" customHeight="1">
      <c r="A5815" s="7">
        <v>203.0</v>
      </c>
      <c r="B5815" s="9" t="s">
        <v>11853</v>
      </c>
      <c r="C5815" s="9" t="s">
        <v>11855</v>
      </c>
      <c r="D5815" s="9" t="s">
        <v>105</v>
      </c>
      <c r="E5815" s="6" t="s">
        <v>11882</v>
      </c>
      <c r="F5815" s="9"/>
    </row>
    <row r="5816" ht="33.75" customHeight="1">
      <c r="A5816" s="7">
        <v>203.0</v>
      </c>
      <c r="B5816" s="9" t="s">
        <v>11853</v>
      </c>
      <c r="C5816" s="9" t="s">
        <v>11855</v>
      </c>
      <c r="D5816" s="9" t="s">
        <v>107</v>
      </c>
      <c r="E5816" s="6" t="s">
        <v>11896</v>
      </c>
      <c r="F5816" s="9"/>
    </row>
    <row r="5817" ht="33.75" customHeight="1">
      <c r="A5817" s="7">
        <v>203.0</v>
      </c>
      <c r="B5817" s="9" t="s">
        <v>11853</v>
      </c>
      <c r="C5817" s="9" t="s">
        <v>11855</v>
      </c>
      <c r="D5817" s="9" t="s">
        <v>109</v>
      </c>
      <c r="E5817" s="6" t="s">
        <v>11899</v>
      </c>
      <c r="F5817" s="9"/>
    </row>
    <row r="5818" ht="33.75" customHeight="1">
      <c r="A5818" s="7">
        <v>204.0</v>
      </c>
      <c r="B5818" s="9" t="s">
        <v>11900</v>
      </c>
      <c r="C5818" s="9" t="s">
        <v>11902</v>
      </c>
      <c r="D5818" s="9" t="s">
        <v>52</v>
      </c>
      <c r="E5818" s="6" t="s">
        <v>11903</v>
      </c>
      <c r="F5818" t="inlineStr" s="10">
        <is>
          <t xml:space="preserve">Pineco tykkää paksuntaa kuortaan lisäämällä siihen puunkuorta. Lisäpaino ei haittaa sitä. Se roikkuu paikallaan ja odottaa lentävien hyönteisten saalista tulevan lähelle. Se ei liiku paljoakaan yksin. Se sylkee ulos nestettä, jolla se liimaa puunkuorta kehoonsa. Neste kovettuu, kun se koskettaa ilmaa. PINECO roikkuu puun oksalla ja odottaa kärsivällisesti saalista. Jos joku ravistaa puuta ja häiritsee syömistä, POKéMON putoaa maahan ja räjähtää ilman varoitusta. Mänty roikkuu puun oksalla ja odottaa saalista. Jos joku ravistaa puuta ja häiritsee sitä syödessään, se putoaa maahan ja räjähtää yhtäkkiä. Se roikkuu paikallaan ja odottaa lentävien hyönteisten saalista lähelle. Ylimääräinen paino ei haittaa sitä. Se näyttää aivan kävyltä. Sen kuori suojaa sitä lintu-Pokémoneilta, jotka nokkivat sitä vahingossa. Jos joku ravistaa puuta ja häiritsee Pokémonia syödessään, se putoaa maahan ja räjähtää ilman varoitusta. Liikkumattomana se roikkuu puissa odottaen ötökkä-Pokémon-saalistaan. Sen suosikki Alolassa on Cutiefly. Se tarttuu syljellään puunkuoreen, mikä tekee itsestään paksumman ja suuremman. Iäkkäät pineco-hirvet ovat naurettavan valtavia.</t>
        </is>
      </c>
    </row>
    <row r="5819" ht="33.75" customHeight="1">
      <c r="A5819" s="7">
        <v>204.0</v>
      </c>
      <c r="B5819" s="9" t="s">
        <v>11900</v>
      </c>
      <c r="C5819" s="9" t="s">
        <v>11902</v>
      </c>
      <c r="D5819" s="9" t="s">
        <v>59</v>
      </c>
      <c r="E5819" s="6" t="s">
        <v>11906</v>
      </c>
      <c r="F5819" s="9"/>
    </row>
    <row r="5820" ht="33.75" customHeight="1">
      <c r="A5820" s="7">
        <v>204.0</v>
      </c>
      <c r="B5820" s="9" t="s">
        <v>11900</v>
      </c>
      <c r="C5820" s="9" t="s">
        <v>11902</v>
      </c>
      <c r="D5820" s="9" t="s">
        <v>64</v>
      </c>
      <c r="E5820" s="6" t="s">
        <v>11910</v>
      </c>
      <c r="F5820" s="9"/>
    </row>
    <row r="5821" ht="33.75" customHeight="1">
      <c r="A5821" s="7">
        <v>204.0</v>
      </c>
      <c r="B5821" s="9" t="s">
        <v>11900</v>
      </c>
      <c r="C5821" s="9" t="s">
        <v>11902</v>
      </c>
      <c r="D5821" s="9" t="s">
        <v>67</v>
      </c>
      <c r="E5821" s="6" t="s">
        <v>11913</v>
      </c>
      <c r="F5821" s="9"/>
    </row>
    <row r="5822" ht="33.75" customHeight="1">
      <c r="A5822" s="7">
        <v>204.0</v>
      </c>
      <c r="B5822" s="9" t="s">
        <v>11900</v>
      </c>
      <c r="C5822" s="9" t="s">
        <v>11902</v>
      </c>
      <c r="D5822" s="9" t="s">
        <v>71</v>
      </c>
      <c r="E5822" s="6" t="s">
        <v>11913</v>
      </c>
      <c r="F5822" s="9"/>
    </row>
    <row r="5823" ht="33.75" customHeight="1">
      <c r="A5823" s="7">
        <v>204.0</v>
      </c>
      <c r="B5823" s="9" t="s">
        <v>11900</v>
      </c>
      <c r="C5823" s="9" t="s">
        <v>11902</v>
      </c>
      <c r="D5823" s="9" t="s">
        <v>73</v>
      </c>
      <c r="E5823" s="6" t="s">
        <v>11917</v>
      </c>
      <c r="F5823" s="9"/>
    </row>
    <row r="5824" ht="33.75" customHeight="1">
      <c r="A5824" s="7">
        <v>204.0</v>
      </c>
      <c r="B5824" s="9" t="s">
        <v>11900</v>
      </c>
      <c r="C5824" s="9" t="s">
        <v>11902</v>
      </c>
      <c r="D5824" s="9" t="s">
        <v>75</v>
      </c>
      <c r="E5824" s="6" t="s">
        <v>11920</v>
      </c>
      <c r="F5824" s="9"/>
    </row>
    <row r="5825" ht="33.75" customHeight="1">
      <c r="A5825" s="7">
        <v>204.0</v>
      </c>
      <c r="B5825" s="9" t="s">
        <v>11900</v>
      </c>
      <c r="C5825" s="9" t="s">
        <v>11902</v>
      </c>
      <c r="D5825" s="9" t="s">
        <v>79</v>
      </c>
      <c r="E5825" s="6" t="s">
        <v>11922</v>
      </c>
      <c r="F5825" s="9"/>
    </row>
    <row r="5826" ht="33.75" customHeight="1">
      <c r="A5826" s="7">
        <v>204.0</v>
      </c>
      <c r="B5826" s="9" t="s">
        <v>11900</v>
      </c>
      <c r="C5826" s="9" t="s">
        <v>11902</v>
      </c>
      <c r="D5826" s="9" t="s">
        <v>81</v>
      </c>
      <c r="E5826" s="6" t="s">
        <v>11925</v>
      </c>
      <c r="F5826" s="9"/>
    </row>
    <row r="5827" ht="33.75" customHeight="1">
      <c r="A5827" s="7">
        <v>204.0</v>
      </c>
      <c r="B5827" s="9" t="s">
        <v>11900</v>
      </c>
      <c r="C5827" s="9" t="s">
        <v>11902</v>
      </c>
      <c r="D5827" s="9" t="s">
        <v>84</v>
      </c>
      <c r="E5827" s="6" t="s">
        <v>11925</v>
      </c>
      <c r="F5827" s="9"/>
    </row>
    <row r="5828" ht="33.75" customHeight="1">
      <c r="A5828" s="7">
        <v>204.0</v>
      </c>
      <c r="B5828" s="9" t="s">
        <v>11900</v>
      </c>
      <c r="C5828" s="9" t="s">
        <v>11902</v>
      </c>
      <c r="D5828" s="9" t="s">
        <v>87</v>
      </c>
      <c r="E5828" s="6" t="s">
        <v>11925</v>
      </c>
      <c r="F5828" s="9"/>
    </row>
    <row r="5829" ht="33.75" customHeight="1">
      <c r="A5829" s="7">
        <v>204.0</v>
      </c>
      <c r="B5829" s="9" t="s">
        <v>11900</v>
      </c>
      <c r="C5829" s="9" t="s">
        <v>11902</v>
      </c>
      <c r="D5829" s="9" t="s">
        <v>89</v>
      </c>
      <c r="E5829" s="6" t="s">
        <v>11903</v>
      </c>
      <c r="F5829" s="9"/>
    </row>
    <row r="5830" ht="33.75" customHeight="1">
      <c r="A5830" s="7">
        <v>204.0</v>
      </c>
      <c r="B5830" s="9" t="s">
        <v>11900</v>
      </c>
      <c r="C5830" s="9" t="s">
        <v>11902</v>
      </c>
      <c r="D5830" s="9" t="s">
        <v>91</v>
      </c>
      <c r="E5830" s="6" t="s">
        <v>11906</v>
      </c>
      <c r="F5830" s="9"/>
    </row>
    <row r="5831" ht="33.75" customHeight="1">
      <c r="A5831" s="7">
        <v>204.0</v>
      </c>
      <c r="B5831" s="9" t="s">
        <v>11900</v>
      </c>
      <c r="C5831" s="9" t="s">
        <v>11902</v>
      </c>
      <c r="D5831" s="9" t="s">
        <v>93</v>
      </c>
      <c r="E5831" s="6" t="s">
        <v>11925</v>
      </c>
      <c r="F5831" s="9"/>
    </row>
    <row r="5832" ht="33.75" customHeight="1">
      <c r="A5832" s="7">
        <v>204.0</v>
      </c>
      <c r="B5832" s="9" t="s">
        <v>11900</v>
      </c>
      <c r="C5832" s="9" t="s">
        <v>11902</v>
      </c>
      <c r="D5832" s="9" t="s">
        <v>95</v>
      </c>
      <c r="E5832" s="6" t="s">
        <v>11925</v>
      </c>
      <c r="F5832" s="9"/>
    </row>
    <row r="5833" ht="33.75" customHeight="1">
      <c r="A5833" s="7">
        <v>204.0</v>
      </c>
      <c r="B5833" s="9" t="s">
        <v>11900</v>
      </c>
      <c r="C5833" s="9" t="s">
        <v>11902</v>
      </c>
      <c r="D5833" s="9" t="s">
        <v>98</v>
      </c>
      <c r="E5833" s="6" t="s">
        <v>11925</v>
      </c>
      <c r="F5833" s="9"/>
    </row>
    <row r="5834" ht="33.75" customHeight="1">
      <c r="A5834" s="7">
        <v>204.0</v>
      </c>
      <c r="B5834" s="9" t="s">
        <v>11900</v>
      </c>
      <c r="C5834" s="9" t="s">
        <v>11902</v>
      </c>
      <c r="D5834" s="9" t="s">
        <v>99</v>
      </c>
      <c r="E5834" s="6" t="s">
        <v>11925</v>
      </c>
      <c r="F5834" s="9"/>
    </row>
    <row r="5835" ht="33.75" customHeight="1">
      <c r="A5835" s="7">
        <v>204.0</v>
      </c>
      <c r="B5835" s="9" t="s">
        <v>11900</v>
      </c>
      <c r="C5835" s="9" t="s">
        <v>11902</v>
      </c>
      <c r="D5835" s="9" t="s">
        <v>101</v>
      </c>
      <c r="E5835" s="6" t="s">
        <v>11903</v>
      </c>
      <c r="F5835" s="9"/>
    </row>
    <row r="5836" ht="33.75" customHeight="1">
      <c r="A5836" s="7">
        <v>204.0</v>
      </c>
      <c r="B5836" s="9" t="s">
        <v>11900</v>
      </c>
      <c r="C5836" s="9" t="s">
        <v>11902</v>
      </c>
      <c r="D5836" s="9" t="s">
        <v>105</v>
      </c>
      <c r="E5836" s="6" t="s">
        <v>11925</v>
      </c>
      <c r="F5836" s="9"/>
    </row>
    <row r="5837" ht="33.75" customHeight="1">
      <c r="A5837" s="7">
        <v>204.0</v>
      </c>
      <c r="B5837" s="9" t="s">
        <v>11900</v>
      </c>
      <c r="C5837" s="9" t="s">
        <v>11902</v>
      </c>
      <c r="D5837" s="9" t="s">
        <v>107</v>
      </c>
      <c r="E5837" s="6" t="s">
        <v>11948</v>
      </c>
      <c r="F5837" s="9"/>
    </row>
    <row r="5838" ht="33.75" customHeight="1">
      <c r="A5838" s="7">
        <v>204.0</v>
      </c>
      <c r="B5838" s="9" t="s">
        <v>11900</v>
      </c>
      <c r="C5838" s="9" t="s">
        <v>11902</v>
      </c>
      <c r="D5838" s="9" t="s">
        <v>109</v>
      </c>
      <c r="E5838" s="6" t="s">
        <v>11948</v>
      </c>
      <c r="F5838" s="9"/>
    </row>
    <row r="5839" ht="33.75" customHeight="1">
      <c r="A5839" s="7">
        <v>204.0</v>
      </c>
      <c r="B5839" s="9" t="s">
        <v>11900</v>
      </c>
      <c r="C5839" s="9" t="s">
        <v>11902</v>
      </c>
      <c r="D5839" s="9" t="s">
        <v>647</v>
      </c>
      <c r="E5839" s="6" t="s">
        <v>11955</v>
      </c>
      <c r="F5839" s="9"/>
    </row>
    <row r="5840" ht="33.75" customHeight="1">
      <c r="A5840" s="7">
        <v>204.0</v>
      </c>
      <c r="B5840" s="9" t="s">
        <v>11900</v>
      </c>
      <c r="C5840" s="9" t="s">
        <v>11902</v>
      </c>
      <c r="D5840" s="9" t="s">
        <v>652</v>
      </c>
      <c r="E5840" s="6" t="s">
        <v>11958</v>
      </c>
      <c r="F5840" s="9"/>
    </row>
    <row r="5841" ht="33.75" customHeight="1">
      <c r="A5841" s="7">
        <v>205.0</v>
      </c>
      <c r="B5841" s="9" t="s">
        <v>11959</v>
      </c>
      <c r="C5841" s="9" t="s">
        <v>11902</v>
      </c>
      <c r="D5841" s="9" t="s">
        <v>52</v>
      </c>
      <c r="E5841" s="6" t="s">
        <v>11960</v>
      </c>
      <c r="F5841" t="inlineStr" s="10">
        <is>
          <t xml:space="preserve">Forretressin koko vartalo on suojattu teräskovalla kuorella. Se, mitä panssarin sisällä piilee, on täysi mysteeri. Se pysyy liikkumattomasti juurtuneena puuhunsa. Se hajottaa kovan kuorensa paloja ajaakseen vihollisensa pois. Yleensä se roikkuu paksussa puunrungossa. Se ampuu paloja kuorestaan ​​nähdessään toimintaa. FORRETRESS piiloutuu karkaistusta teräskuorestaan. Kuori avataan, kun POKéMON pyydystää saalista, mutta se tapahtuu niin nopeasti, ettei kuoren sisältöä näy. Se pysyttelee teräskuorensa sisällä. Kuori avataan saalista pyydystäessään, mutta se aukeaa niin nopeasti, ettei kuoren sisältöä voida nähdä. Se pysyy järkähtämättömästi juurtuneena puuhunsa. Se sirottelee kovan kuorensa paloja ajaakseen vihollisensa pois. Se on teräskuoren sisällä. Sen salaperäisistä sisusosista näkyy vain sen tiirailevat silmät. Sen koko ruumis on teräskovan kuoren suojaama. Se, mitä kuoren sisällä piilee, on täysi mysteeri. Kun jokin lähestyy sitä, se ampuu teräskuorensa sirpaleita hyökkäyksessä. Tämä ei ole tietoinen toiminta, vaan ehdollinen refleksi. Sillä hetkellä, kun se nielee saaliinsa, sen kuoren sisäpuoli paljastuu, mutta tähän päivään mennessä kukaan ei ole koskaan nähnyt tuota näkyä.</t>
        </is>
      </c>
    </row>
    <row r="5842" ht="33.75" customHeight="1">
      <c r="A5842" s="7">
        <v>205.0</v>
      </c>
      <c r="B5842" s="9" t="s">
        <v>11959</v>
      </c>
      <c r="C5842" s="9" t="s">
        <v>11902</v>
      </c>
      <c r="D5842" s="9" t="s">
        <v>59</v>
      </c>
      <c r="E5842" s="6" t="s">
        <v>11964</v>
      </c>
      <c r="F5842" s="9"/>
    </row>
    <row r="5843" ht="33.75" customHeight="1">
      <c r="A5843" s="7">
        <v>205.0</v>
      </c>
      <c r="B5843" s="9" t="s">
        <v>11959</v>
      </c>
      <c r="C5843" s="9" t="s">
        <v>11902</v>
      </c>
      <c r="D5843" s="9" t="s">
        <v>64</v>
      </c>
      <c r="E5843" s="6" t="s">
        <v>11968</v>
      </c>
      <c r="F5843" s="9"/>
    </row>
    <row r="5844" ht="33.75" customHeight="1">
      <c r="A5844" s="7">
        <v>205.0</v>
      </c>
      <c r="B5844" s="9" t="s">
        <v>11959</v>
      </c>
      <c r="C5844" s="9" t="s">
        <v>11902</v>
      </c>
      <c r="D5844" s="9" t="s">
        <v>67</v>
      </c>
      <c r="E5844" s="6" t="s">
        <v>11971</v>
      </c>
      <c r="F5844" s="9"/>
    </row>
    <row r="5845" ht="33.75" customHeight="1">
      <c r="A5845" s="7">
        <v>205.0</v>
      </c>
      <c r="B5845" s="9" t="s">
        <v>11959</v>
      </c>
      <c r="C5845" s="9" t="s">
        <v>11902</v>
      </c>
      <c r="D5845" s="9" t="s">
        <v>71</v>
      </c>
      <c r="E5845" s="6" t="s">
        <v>11971</v>
      </c>
      <c r="F5845" s="9"/>
    </row>
    <row r="5846" ht="33.75" customHeight="1">
      <c r="A5846" s="7">
        <v>205.0</v>
      </c>
      <c r="B5846" s="9" t="s">
        <v>11959</v>
      </c>
      <c r="C5846" s="9" t="s">
        <v>11902</v>
      </c>
      <c r="D5846" s="9" t="s">
        <v>73</v>
      </c>
      <c r="E5846" s="6" t="s">
        <v>11976</v>
      </c>
      <c r="F5846" s="9"/>
    </row>
    <row r="5847" ht="33.75" customHeight="1">
      <c r="A5847" s="7">
        <v>205.0</v>
      </c>
      <c r="B5847" s="9" t="s">
        <v>11959</v>
      </c>
      <c r="C5847" s="9" t="s">
        <v>11902</v>
      </c>
      <c r="D5847" s="9" t="s">
        <v>75</v>
      </c>
      <c r="E5847" s="6" t="s">
        <v>11978</v>
      </c>
      <c r="F5847" s="9"/>
    </row>
    <row r="5848" ht="33.75" customHeight="1">
      <c r="A5848" s="7">
        <v>205.0</v>
      </c>
      <c r="B5848" s="9" t="s">
        <v>11959</v>
      </c>
      <c r="C5848" s="9" t="s">
        <v>11902</v>
      </c>
      <c r="D5848" s="9" t="s">
        <v>79</v>
      </c>
      <c r="E5848" s="6" t="s">
        <v>11960</v>
      </c>
      <c r="F5848" s="9"/>
    </row>
    <row r="5849" ht="33.75" customHeight="1">
      <c r="A5849" s="7">
        <v>205.0</v>
      </c>
      <c r="B5849" s="9" t="s">
        <v>11959</v>
      </c>
      <c r="C5849" s="9" t="s">
        <v>11902</v>
      </c>
      <c r="D5849" s="9" t="s">
        <v>81</v>
      </c>
      <c r="E5849" s="6" t="s">
        <v>11983</v>
      </c>
      <c r="F5849" s="9"/>
    </row>
    <row r="5850" ht="33.75" customHeight="1">
      <c r="A5850" s="7">
        <v>205.0</v>
      </c>
      <c r="B5850" s="9" t="s">
        <v>11959</v>
      </c>
      <c r="C5850" s="9" t="s">
        <v>11902</v>
      </c>
      <c r="D5850" s="9" t="s">
        <v>84</v>
      </c>
      <c r="E5850" s="6" t="s">
        <v>11983</v>
      </c>
      <c r="F5850" s="9"/>
    </row>
    <row r="5851" ht="33.75" customHeight="1">
      <c r="A5851" s="7">
        <v>205.0</v>
      </c>
      <c r="B5851" s="9" t="s">
        <v>11959</v>
      </c>
      <c r="C5851" s="9" t="s">
        <v>11902</v>
      </c>
      <c r="D5851" s="9" t="s">
        <v>87</v>
      </c>
      <c r="E5851" s="6" t="s">
        <v>11983</v>
      </c>
      <c r="F5851" s="9"/>
    </row>
    <row r="5852" ht="33.75" customHeight="1">
      <c r="A5852" s="7">
        <v>205.0</v>
      </c>
      <c r="B5852" s="9" t="s">
        <v>11959</v>
      </c>
      <c r="C5852" s="9" t="s">
        <v>11902</v>
      </c>
      <c r="D5852" s="9" t="s">
        <v>89</v>
      </c>
      <c r="E5852" s="6" t="s">
        <v>11990</v>
      </c>
      <c r="F5852" s="9"/>
    </row>
    <row r="5853" ht="33.75" customHeight="1">
      <c r="A5853" s="7">
        <v>205.0</v>
      </c>
      <c r="B5853" s="9" t="s">
        <v>11959</v>
      </c>
      <c r="C5853" s="9" t="s">
        <v>11902</v>
      </c>
      <c r="D5853" s="9" t="s">
        <v>91</v>
      </c>
      <c r="E5853" s="6" t="s">
        <v>11978</v>
      </c>
      <c r="F5853" s="9"/>
    </row>
    <row r="5854" ht="33.75" customHeight="1">
      <c r="A5854" s="7">
        <v>205.0</v>
      </c>
      <c r="B5854" s="9" t="s">
        <v>11959</v>
      </c>
      <c r="C5854" s="9" t="s">
        <v>11902</v>
      </c>
      <c r="D5854" s="9" t="s">
        <v>93</v>
      </c>
      <c r="E5854" s="6" t="s">
        <v>11983</v>
      </c>
      <c r="F5854" s="9"/>
    </row>
    <row r="5855" ht="33.75" customHeight="1">
      <c r="A5855" s="7">
        <v>205.0</v>
      </c>
      <c r="B5855" s="9" t="s">
        <v>11959</v>
      </c>
      <c r="C5855" s="9" t="s">
        <v>11902</v>
      </c>
      <c r="D5855" s="9" t="s">
        <v>95</v>
      </c>
      <c r="E5855" s="6" t="s">
        <v>11983</v>
      </c>
      <c r="F5855" s="9"/>
    </row>
    <row r="5856" ht="33.75" customHeight="1">
      <c r="A5856" s="7">
        <v>205.0</v>
      </c>
      <c r="B5856" s="9" t="s">
        <v>11959</v>
      </c>
      <c r="C5856" s="9" t="s">
        <v>11902</v>
      </c>
      <c r="D5856" s="9" t="s">
        <v>98</v>
      </c>
      <c r="E5856" s="6" t="s">
        <v>11983</v>
      </c>
      <c r="F5856" s="9"/>
    </row>
    <row r="5857" ht="33.75" customHeight="1">
      <c r="A5857" s="7">
        <v>205.0</v>
      </c>
      <c r="B5857" s="9" t="s">
        <v>11959</v>
      </c>
      <c r="C5857" s="9" t="s">
        <v>11902</v>
      </c>
      <c r="D5857" s="9" t="s">
        <v>99</v>
      </c>
      <c r="E5857" s="6" t="s">
        <v>11983</v>
      </c>
      <c r="F5857" s="9"/>
    </row>
    <row r="5858" ht="33.75" customHeight="1">
      <c r="A5858" s="7">
        <v>205.0</v>
      </c>
      <c r="B5858" s="9" t="s">
        <v>11959</v>
      </c>
      <c r="C5858" s="9" t="s">
        <v>11902</v>
      </c>
      <c r="D5858" s="9" t="s">
        <v>101</v>
      </c>
      <c r="E5858" s="6" t="s">
        <v>11983</v>
      </c>
      <c r="F5858" s="9"/>
    </row>
    <row r="5859" ht="33.75" customHeight="1">
      <c r="A5859" s="7">
        <v>205.0</v>
      </c>
      <c r="B5859" s="9" t="s">
        <v>11959</v>
      </c>
      <c r="C5859" s="9" t="s">
        <v>11902</v>
      </c>
      <c r="D5859" s="9" t="s">
        <v>105</v>
      </c>
      <c r="E5859" s="6" t="s">
        <v>11978</v>
      </c>
      <c r="F5859" s="9"/>
    </row>
    <row r="5860" ht="33.75" customHeight="1">
      <c r="A5860" s="7">
        <v>205.0</v>
      </c>
      <c r="B5860" s="9" t="s">
        <v>11959</v>
      </c>
      <c r="C5860" s="9" t="s">
        <v>11902</v>
      </c>
      <c r="D5860" s="9" t="s">
        <v>107</v>
      </c>
      <c r="E5860" s="6" t="s">
        <v>12002</v>
      </c>
      <c r="F5860" s="9"/>
    </row>
    <row r="5861" ht="33.75" customHeight="1">
      <c r="A5861" s="7">
        <v>205.0</v>
      </c>
      <c r="B5861" s="9" t="s">
        <v>11959</v>
      </c>
      <c r="C5861" s="9" t="s">
        <v>11902</v>
      </c>
      <c r="D5861" s="9" t="s">
        <v>109</v>
      </c>
      <c r="E5861" s="6" t="s">
        <v>12002</v>
      </c>
      <c r="F5861" s="9"/>
    </row>
    <row r="5862" ht="33.75" customHeight="1">
      <c r="A5862" s="7">
        <v>205.0</v>
      </c>
      <c r="B5862" s="9" t="s">
        <v>11959</v>
      </c>
      <c r="C5862" s="9" t="s">
        <v>11902</v>
      </c>
      <c r="D5862" s="9" t="s">
        <v>647</v>
      </c>
      <c r="E5862" s="6" t="s">
        <v>12005</v>
      </c>
      <c r="F5862" s="9"/>
    </row>
    <row r="5863" ht="33.75" customHeight="1">
      <c r="A5863" s="7">
        <v>205.0</v>
      </c>
      <c r="B5863" s="9" t="s">
        <v>11959</v>
      </c>
      <c r="C5863" s="9" t="s">
        <v>11902</v>
      </c>
      <c r="D5863" s="9" t="s">
        <v>652</v>
      </c>
      <c r="E5863" s="6" t="s">
        <v>12007</v>
      </c>
      <c r="F5863" s="9"/>
    </row>
    <row r="5864" ht="33.75" customHeight="1">
      <c r="A5864" s="7">
        <v>206.0</v>
      </c>
      <c r="B5864" s="9" t="s">
        <v>12009</v>
      </c>
      <c r="C5864" s="9" t="s">
        <v>12013</v>
      </c>
      <c r="D5864" s="9" t="s">
        <v>52</v>
      </c>
      <c r="E5864" s="6" t="s">
        <v>12016</v>
      </c>
      <c r="F5864" t="inlineStr" s="10">
        <is>
          <t xml:space="preserve">Havaittaessa tämä POKéMON pakenee takaperin porautumalla raivokkaasti maahan pyrstöllään. Jos se havaitaan, se pakenee viitoista kaivautumalla pyrstöllään. Se voi kellua vain hieman siipiensä avulla. Se piileskelee syvällä luolissa, joihin valo ei koskaan pääse, ja pysyy siellä käytännössä liikkumattomana. DUNSPARCElla on pora pyrstöään varten. Se käyttää tätä pyrstöä kaivautuakseen maahan takaperin. Tämä POKéMON tunnetaan siitä, että se rakentaa pesänsä monimutkaisiin muotoihin syvälle maan alle. Sen porakärkistä pyrstöä käytetään kaivautumiseen maahan takaperin. Tämä POKéMON tunnetaan siitä, että se rakentaa monimutkaisia ​​pesiä syvälle maan alle. Jos se havaitaan, se pakenee kaivautumalla maahan pyrstöllään. Se voi leijua hieman siipiensä avulla. Se kaivautuu maahan pyrstöllään ja tekee sokkelomaisen pesän. Se osaa lentää vain vähän. Havaittaessa tämä Pokémon pakenee takaperin porautumalla raivokkaasti maahan hännällään. Jos se havaitaan, se pakenee kaivautumalla pyrstöllään. Se luo sokkeloita pimeisiin paikkoihin. Havaitessaan se pakenee maahan kaivamalla häntäänsä. Tämän Pokémonin tiedetään tekevän pesänsä monimutkaisiin muotoihin syvälle maan alle. Se kulkee kaivautumalla maan läpi. Diglett ja Dunsparce jakavat toistensa tunnelit onnellisesti. Kun se näkee ihmisen, se kaivaa hännällään kuopan päästäkseen pakoon. Jos satut löytämään sellaisen, pidä itseäsi onnekkaana. Tämän Pokémonin pienten siipien perusteella jotkut tiedemiehet sanovat, että Dunsparce lensi taivaalla muinaisina aikoina. Dunsparcen pesät ovat tunnelien sokkeloita. Ne eivät koskaan eksy omiin pesiinsä – ne osaavat päätellä missä ne ovat mullan hajusta.</t>
        </is>
      </c>
    </row>
    <row r="5865" ht="33.75" customHeight="1">
      <c r="A5865" s="7">
        <v>206.0</v>
      </c>
      <c r="B5865" s="9" t="s">
        <v>12009</v>
      </c>
      <c r="C5865" s="9" t="s">
        <v>12013</v>
      </c>
      <c r="D5865" s="9" t="s">
        <v>59</v>
      </c>
      <c r="E5865" s="6" t="s">
        <v>12019</v>
      </c>
      <c r="F5865" s="9"/>
    </row>
    <row r="5866" ht="33.75" customHeight="1">
      <c r="A5866" s="7">
        <v>206.0</v>
      </c>
      <c r="B5866" s="9" t="s">
        <v>12009</v>
      </c>
      <c r="C5866" s="9" t="s">
        <v>12013</v>
      </c>
      <c r="D5866" s="9" t="s">
        <v>64</v>
      </c>
      <c r="E5866" s="6" t="s">
        <v>12022</v>
      </c>
      <c r="F5866" s="9"/>
    </row>
    <row r="5867" ht="33.75" customHeight="1">
      <c r="A5867" s="7">
        <v>206.0</v>
      </c>
      <c r="B5867" s="9" t="s">
        <v>12009</v>
      </c>
      <c r="C5867" s="9" t="s">
        <v>12013</v>
      </c>
      <c r="D5867" s="9" t="s">
        <v>67</v>
      </c>
      <c r="E5867" s="6" t="s">
        <v>12024</v>
      </c>
      <c r="F5867" s="9"/>
    </row>
    <row r="5868" ht="33.75" customHeight="1">
      <c r="A5868" s="7">
        <v>206.0</v>
      </c>
      <c r="B5868" s="9" t="s">
        <v>12009</v>
      </c>
      <c r="C5868" s="9" t="s">
        <v>12013</v>
      </c>
      <c r="D5868" s="9" t="s">
        <v>71</v>
      </c>
      <c r="E5868" s="6" t="s">
        <v>12024</v>
      </c>
      <c r="F5868" s="9"/>
    </row>
    <row r="5869" ht="33.75" customHeight="1">
      <c r="A5869" s="7">
        <v>206.0</v>
      </c>
      <c r="B5869" s="9" t="s">
        <v>12009</v>
      </c>
      <c r="C5869" s="9" t="s">
        <v>12013</v>
      </c>
      <c r="D5869" s="9" t="s">
        <v>73</v>
      </c>
      <c r="E5869" s="6" t="s">
        <v>12033</v>
      </c>
      <c r="F5869" s="9"/>
    </row>
    <row r="5870" ht="33.75" customHeight="1">
      <c r="A5870" s="7">
        <v>206.0</v>
      </c>
      <c r="B5870" s="9" t="s">
        <v>12009</v>
      </c>
      <c r="C5870" s="9" t="s">
        <v>12013</v>
      </c>
      <c r="D5870" s="9" t="s">
        <v>75</v>
      </c>
      <c r="E5870" s="6" t="s">
        <v>12037</v>
      </c>
      <c r="F5870" s="9"/>
    </row>
    <row r="5871" ht="33.75" customHeight="1">
      <c r="A5871" s="7">
        <v>206.0</v>
      </c>
      <c r="B5871" s="9" t="s">
        <v>12009</v>
      </c>
      <c r="C5871" s="9" t="s">
        <v>12013</v>
      </c>
      <c r="D5871" s="9" t="s">
        <v>79</v>
      </c>
      <c r="E5871" s="6" t="s">
        <v>12016</v>
      </c>
      <c r="F5871" s="9"/>
    </row>
    <row r="5872" ht="33.75" customHeight="1">
      <c r="A5872" s="7">
        <v>206.0</v>
      </c>
      <c r="B5872" s="9" t="s">
        <v>12009</v>
      </c>
      <c r="C5872" s="9" t="s">
        <v>12013</v>
      </c>
      <c r="D5872" s="9" t="s">
        <v>81</v>
      </c>
      <c r="E5872" s="6" t="s">
        <v>12041</v>
      </c>
      <c r="F5872" s="9"/>
    </row>
    <row r="5873" ht="33.75" customHeight="1">
      <c r="A5873" s="7">
        <v>206.0</v>
      </c>
      <c r="B5873" s="9" t="s">
        <v>12009</v>
      </c>
      <c r="C5873" s="9" t="s">
        <v>12013</v>
      </c>
      <c r="D5873" s="9" t="s">
        <v>84</v>
      </c>
      <c r="E5873" s="6" t="s">
        <v>12041</v>
      </c>
      <c r="F5873" s="9"/>
    </row>
    <row r="5874" ht="33.75" customHeight="1">
      <c r="A5874" s="7">
        <v>206.0</v>
      </c>
      <c r="B5874" s="9" t="s">
        <v>12009</v>
      </c>
      <c r="C5874" s="9" t="s">
        <v>12013</v>
      </c>
      <c r="D5874" s="9" t="s">
        <v>87</v>
      </c>
      <c r="E5874" s="6" t="s">
        <v>12041</v>
      </c>
      <c r="F5874" s="9"/>
    </row>
    <row r="5875" ht="33.75" customHeight="1">
      <c r="A5875" s="7">
        <v>206.0</v>
      </c>
      <c r="B5875" s="9" t="s">
        <v>12009</v>
      </c>
      <c r="C5875" s="9" t="s">
        <v>12013</v>
      </c>
      <c r="D5875" s="9" t="s">
        <v>89</v>
      </c>
      <c r="E5875" s="6" t="s">
        <v>12047</v>
      </c>
      <c r="F5875" s="9"/>
    </row>
    <row r="5876" ht="33.75" customHeight="1">
      <c r="A5876" s="7">
        <v>206.0</v>
      </c>
      <c r="B5876" s="9" t="s">
        <v>12009</v>
      </c>
      <c r="C5876" s="9" t="s">
        <v>12013</v>
      </c>
      <c r="D5876" s="9" t="s">
        <v>91</v>
      </c>
      <c r="E5876" s="6" t="s">
        <v>12050</v>
      </c>
      <c r="F5876" s="9"/>
    </row>
    <row r="5877" ht="33.75" customHeight="1">
      <c r="A5877" s="7">
        <v>206.0</v>
      </c>
      <c r="B5877" s="9" t="s">
        <v>12009</v>
      </c>
      <c r="C5877" s="9" t="s">
        <v>12013</v>
      </c>
      <c r="D5877" s="9" t="s">
        <v>93</v>
      </c>
      <c r="E5877" s="6" t="s">
        <v>12041</v>
      </c>
      <c r="F5877" s="9"/>
    </row>
    <row r="5878" ht="33.75" customHeight="1">
      <c r="A5878" s="7">
        <v>206.0</v>
      </c>
      <c r="B5878" s="9" t="s">
        <v>12009</v>
      </c>
      <c r="C5878" s="9" t="s">
        <v>12013</v>
      </c>
      <c r="D5878" s="9" t="s">
        <v>95</v>
      </c>
      <c r="E5878" s="6" t="s">
        <v>12041</v>
      </c>
      <c r="F5878" s="9"/>
    </row>
    <row r="5879" ht="33.75" customHeight="1">
      <c r="A5879" s="7">
        <v>206.0</v>
      </c>
      <c r="B5879" s="9" t="s">
        <v>12009</v>
      </c>
      <c r="C5879" s="9" t="s">
        <v>12013</v>
      </c>
      <c r="D5879" s="9" t="s">
        <v>98</v>
      </c>
      <c r="E5879" s="6" t="s">
        <v>12055</v>
      </c>
      <c r="F5879" s="9"/>
    </row>
    <row r="5880" ht="33.75" customHeight="1">
      <c r="A5880" s="7">
        <v>206.0</v>
      </c>
      <c r="B5880" s="9" t="s">
        <v>12009</v>
      </c>
      <c r="C5880" s="9" t="s">
        <v>12013</v>
      </c>
      <c r="D5880" s="9" t="s">
        <v>99</v>
      </c>
      <c r="E5880" s="6" t="s">
        <v>12055</v>
      </c>
      <c r="F5880" s="9"/>
    </row>
    <row r="5881" ht="33.75" customHeight="1">
      <c r="A5881" s="7">
        <v>206.0</v>
      </c>
      <c r="B5881" s="9" t="s">
        <v>12009</v>
      </c>
      <c r="C5881" s="9" t="s">
        <v>12013</v>
      </c>
      <c r="D5881" s="9" t="s">
        <v>101</v>
      </c>
      <c r="E5881" s="6" t="s">
        <v>12047</v>
      </c>
      <c r="F5881" s="9"/>
    </row>
    <row r="5882" ht="33.75" customHeight="1">
      <c r="A5882" s="7">
        <v>206.0</v>
      </c>
      <c r="B5882" s="9" t="s">
        <v>12009</v>
      </c>
      <c r="C5882" s="9" t="s">
        <v>12013</v>
      </c>
      <c r="D5882" s="9" t="s">
        <v>105</v>
      </c>
      <c r="E5882" s="6" t="s">
        <v>12041</v>
      </c>
      <c r="F5882" s="9"/>
    </row>
    <row r="5883" ht="33.75" customHeight="1">
      <c r="A5883" s="7">
        <v>206.0</v>
      </c>
      <c r="B5883" s="9" t="s">
        <v>12009</v>
      </c>
      <c r="C5883" s="9" t="s">
        <v>12013</v>
      </c>
      <c r="D5883" s="9" t="s">
        <v>107</v>
      </c>
      <c r="E5883" s="6" t="s">
        <v>12062</v>
      </c>
      <c r="F5883" s="9"/>
    </row>
    <row r="5884" ht="33.75" customHeight="1">
      <c r="A5884" s="7">
        <v>206.0</v>
      </c>
      <c r="B5884" s="9" t="s">
        <v>12009</v>
      </c>
      <c r="C5884" s="9" t="s">
        <v>12013</v>
      </c>
      <c r="D5884" s="9" t="s">
        <v>109</v>
      </c>
      <c r="E5884" s="6" t="s">
        <v>12062</v>
      </c>
      <c r="F5884" s="9"/>
    </row>
    <row r="5885" ht="33.75" customHeight="1">
      <c r="A5885" s="7">
        <v>206.0</v>
      </c>
      <c r="B5885" s="9" t="s">
        <v>12009</v>
      </c>
      <c r="C5885" s="9" t="s">
        <v>12013</v>
      </c>
      <c r="D5885" s="9" t="s">
        <v>647</v>
      </c>
      <c r="E5885" s="6" t="s">
        <v>12069</v>
      </c>
      <c r="F5885" s="9"/>
    </row>
    <row r="5886" ht="33.75" customHeight="1">
      <c r="A5886" s="7">
        <v>206.0</v>
      </c>
      <c r="B5886" s="9" t="s">
        <v>12009</v>
      </c>
      <c r="C5886" s="9" t="s">
        <v>12013</v>
      </c>
      <c r="D5886" s="9" t="s">
        <v>652</v>
      </c>
      <c r="E5886" s="6" t="s">
        <v>12071</v>
      </c>
      <c r="F5886" s="9"/>
    </row>
    <row r="5887" ht="33.75" customHeight="1">
      <c r="A5887" s="7">
        <v>206.0</v>
      </c>
      <c r="B5887" s="9" t="s">
        <v>12009</v>
      </c>
      <c r="C5887" s="9" t="s">
        <v>12013</v>
      </c>
      <c r="D5887" s="9" t="s">
        <v>114</v>
      </c>
      <c r="E5887" s="6" t="s">
        <v>12074</v>
      </c>
      <c r="F5887" s="9"/>
    </row>
    <row r="5888" ht="33.75" customHeight="1">
      <c r="A5888" s="7">
        <v>206.0</v>
      </c>
      <c r="B5888" s="9" t="s">
        <v>12009</v>
      </c>
      <c r="C5888" s="9" t="s">
        <v>12013</v>
      </c>
      <c r="D5888" s="9" t="s">
        <v>117</v>
      </c>
      <c r="E5888" s="6" t="s">
        <v>12077</v>
      </c>
      <c r="F5888" s="9"/>
    </row>
    <row r="5889" ht="33.75" customHeight="1">
      <c r="A5889" s="7">
        <v>207.0</v>
      </c>
      <c r="B5889" s="9" t="s">
        <v>12079</v>
      </c>
      <c r="C5889" s="9" t="s">
        <v>12080</v>
      </c>
      <c r="D5889" s="9" t="s">
        <v>52</v>
      </c>
      <c r="E5889" s="6" t="s">
        <v>12081</v>
      </c>
      <c r="F5889" t="inlineStr" s="10">
        <is>
          <t xml:space="preserve">Gligar lentää suoraan kohteensa kasvoihin ja painaa sitten kiinni tähystettyyn uhriin ruiskuttaakseen myrkkyä. Se yleensä tarrautuu kallioille. Havaitessaan saaliinsa se levittää siipensä ja liitää alas hyökkäämään. Se rakentaa pesänsä jyrkälle kalliolle. Kun se on lopettanut liitämisen, se hyppää maata pitkin takaisin pesälleen. GLIGAR liitää ilmassa äänettömästi aivan kuin se liukuisi. Tämä POKéMON roikkuu vihollisensa kasvoissa kynsillään takajaloillaan ja eturaajojensa suurilla pihdeillä ja pistää sitten saaliiseensa myrkkypiikin. Se liitää äänettömästi. Se tarttuu vihollisensa kasvoihin taka- ja suurilla etukynsillään ja iskee sitten myrkkypiikillään. Se lentää suoraan kohteensa kasvoihin ja puristaa sitten säikähtäneen uhrin kiinni ruiskuttaakseen myrkkyä. Se liitää tuulessa raajat ojennettuina iskeäkseen taivaalta. Se tähtää saaliinsa kasvoihin. Se liukuu kuin liukuen. Se säikäyttää viholliset tarttumalla heidän kasvoihinsa ja sitten iskee myrkkypistimellään. Se tarraa kiinni valitsemaansa saaliiseen ja iskee sitten pyrstössään olevalla pistimellä saalistaan ​​hämmästyneenä. Tämä Pokémon roikkuu vihollisensa kasvoissa kynsillään takajaloillaan ja eturaajojensa suurilla pihdeillä ja pistää sitten saaliiseensa myrkkypiiskansa. Sen pyrstöä varjostaa paksu, hirvittävä pistin. Saaliin kaatamiseksi se ensin peittää niiden näön peittämällä niiden kasvot ruumiillaan ja sitten käyttää pistintä pistääkseen niihin myrkkyä.</t>
        </is>
      </c>
    </row>
    <row r="5890" ht="33.75" customHeight="1">
      <c r="A5890" s="7">
        <v>207.0</v>
      </c>
      <c r="B5890" s="9" t="s">
        <v>12079</v>
      </c>
      <c r="C5890" s="9" t="s">
        <v>12080</v>
      </c>
      <c r="D5890" s="9" t="s">
        <v>59</v>
      </c>
      <c r="E5890" s="6" t="s">
        <v>12084</v>
      </c>
      <c r="F5890" s="9"/>
    </row>
    <row r="5891" ht="33.75" customHeight="1">
      <c r="A5891" s="7">
        <v>207.0</v>
      </c>
      <c r="B5891" s="9" t="s">
        <v>12079</v>
      </c>
      <c r="C5891" s="9" t="s">
        <v>12080</v>
      </c>
      <c r="D5891" s="9" t="s">
        <v>64</v>
      </c>
      <c r="E5891" s="6" t="s">
        <v>12086</v>
      </c>
      <c r="F5891" s="9"/>
    </row>
    <row r="5892" ht="33.75" customHeight="1">
      <c r="A5892" s="7">
        <v>207.0</v>
      </c>
      <c r="B5892" s="9" t="s">
        <v>12079</v>
      </c>
      <c r="C5892" s="9" t="s">
        <v>12080</v>
      </c>
      <c r="D5892" s="9" t="s">
        <v>67</v>
      </c>
      <c r="E5892" s="6" t="s">
        <v>12088</v>
      </c>
      <c r="F5892" s="9"/>
    </row>
    <row r="5893" ht="33.75" customHeight="1">
      <c r="A5893" s="7">
        <v>207.0</v>
      </c>
      <c r="B5893" s="9" t="s">
        <v>12079</v>
      </c>
      <c r="C5893" s="9" t="s">
        <v>12080</v>
      </c>
      <c r="D5893" s="9" t="s">
        <v>71</v>
      </c>
      <c r="E5893" s="6" t="s">
        <v>12088</v>
      </c>
      <c r="F5893" s="9"/>
    </row>
    <row r="5894" ht="33.75" customHeight="1">
      <c r="A5894" s="7">
        <v>207.0</v>
      </c>
      <c r="B5894" s="9" t="s">
        <v>12079</v>
      </c>
      <c r="C5894" s="9" t="s">
        <v>12080</v>
      </c>
      <c r="D5894" s="9" t="s">
        <v>73</v>
      </c>
      <c r="E5894" s="6" t="s">
        <v>12091</v>
      </c>
      <c r="F5894" s="9"/>
    </row>
    <row r="5895" ht="33.75" customHeight="1">
      <c r="A5895" s="7">
        <v>207.0</v>
      </c>
      <c r="B5895" s="9" t="s">
        <v>12079</v>
      </c>
      <c r="C5895" s="9" t="s">
        <v>12080</v>
      </c>
      <c r="D5895" s="9" t="s">
        <v>75</v>
      </c>
      <c r="E5895" s="6" t="s">
        <v>12084</v>
      </c>
      <c r="F5895" s="9"/>
    </row>
    <row r="5896" ht="33.75" customHeight="1">
      <c r="A5896" s="7">
        <v>207.0</v>
      </c>
      <c r="B5896" s="9" t="s">
        <v>12079</v>
      </c>
      <c r="C5896" s="9" t="s">
        <v>12080</v>
      </c>
      <c r="D5896" s="9" t="s">
        <v>79</v>
      </c>
      <c r="E5896" s="6" t="s">
        <v>12095</v>
      </c>
      <c r="F5896" s="9"/>
    </row>
    <row r="5897" ht="33.75" customHeight="1">
      <c r="A5897" s="7">
        <v>207.0</v>
      </c>
      <c r="B5897" s="9" t="s">
        <v>12079</v>
      </c>
      <c r="C5897" s="9" t="s">
        <v>12080</v>
      </c>
      <c r="D5897" s="9" t="s">
        <v>81</v>
      </c>
      <c r="E5897" s="6" t="s">
        <v>12098</v>
      </c>
      <c r="F5897" s="9"/>
    </row>
    <row r="5898" ht="33.75" customHeight="1">
      <c r="A5898" s="7">
        <v>207.0</v>
      </c>
      <c r="B5898" s="9" t="s">
        <v>12079</v>
      </c>
      <c r="C5898" s="9" t="s">
        <v>12080</v>
      </c>
      <c r="D5898" s="9" t="s">
        <v>84</v>
      </c>
      <c r="E5898" s="6" t="s">
        <v>12098</v>
      </c>
      <c r="F5898" s="9"/>
    </row>
    <row r="5899" ht="33.75" customHeight="1">
      <c r="A5899" s="7">
        <v>207.0</v>
      </c>
      <c r="B5899" s="9" t="s">
        <v>12079</v>
      </c>
      <c r="C5899" s="9" t="s">
        <v>12080</v>
      </c>
      <c r="D5899" s="9" t="s">
        <v>87</v>
      </c>
      <c r="E5899" s="6" t="s">
        <v>12100</v>
      </c>
      <c r="F5899" s="9"/>
    </row>
    <row r="5900" ht="33.75" customHeight="1">
      <c r="A5900" s="7">
        <v>207.0</v>
      </c>
      <c r="B5900" s="9" t="s">
        <v>12079</v>
      </c>
      <c r="C5900" s="9" t="s">
        <v>12080</v>
      </c>
      <c r="D5900" s="9" t="s">
        <v>89</v>
      </c>
      <c r="E5900" s="6" t="s">
        <v>12095</v>
      </c>
      <c r="F5900" s="9"/>
    </row>
    <row r="5901" ht="33.75" customHeight="1">
      <c r="A5901" s="7">
        <v>207.0</v>
      </c>
      <c r="B5901" s="9" t="s">
        <v>12079</v>
      </c>
      <c r="C5901" s="9" t="s">
        <v>12080</v>
      </c>
      <c r="D5901" s="9" t="s">
        <v>91</v>
      </c>
      <c r="E5901" s="6" t="s">
        <v>12084</v>
      </c>
      <c r="F5901" s="9"/>
    </row>
    <row r="5902" ht="33.75" customHeight="1">
      <c r="A5902" s="7">
        <v>207.0</v>
      </c>
      <c r="B5902" s="9" t="s">
        <v>12079</v>
      </c>
      <c r="C5902" s="9" t="s">
        <v>12080</v>
      </c>
      <c r="D5902" s="9" t="s">
        <v>93</v>
      </c>
      <c r="E5902" s="6" t="s">
        <v>12100</v>
      </c>
      <c r="F5902" s="9"/>
    </row>
    <row r="5903" ht="33.75" customHeight="1">
      <c r="A5903" s="7">
        <v>207.0</v>
      </c>
      <c r="B5903" s="9" t="s">
        <v>12079</v>
      </c>
      <c r="C5903" s="9" t="s">
        <v>12080</v>
      </c>
      <c r="D5903" s="9" t="s">
        <v>95</v>
      </c>
      <c r="E5903" s="6" t="s">
        <v>12100</v>
      </c>
      <c r="F5903" s="9"/>
    </row>
    <row r="5904" ht="33.75" customHeight="1">
      <c r="A5904" s="7">
        <v>207.0</v>
      </c>
      <c r="B5904" s="9" t="s">
        <v>12079</v>
      </c>
      <c r="C5904" s="9" t="s">
        <v>12080</v>
      </c>
      <c r="D5904" s="9" t="s">
        <v>98</v>
      </c>
      <c r="E5904" s="6" t="s">
        <v>12109</v>
      </c>
      <c r="F5904" s="9"/>
    </row>
    <row r="5905" ht="33.75" customHeight="1">
      <c r="A5905" s="7">
        <v>207.0</v>
      </c>
      <c r="B5905" s="9" t="s">
        <v>12079</v>
      </c>
      <c r="C5905" s="9" t="s">
        <v>12080</v>
      </c>
      <c r="D5905" s="9" t="s">
        <v>99</v>
      </c>
      <c r="E5905" s="6" t="s">
        <v>12109</v>
      </c>
      <c r="F5905" s="9"/>
    </row>
    <row r="5906" ht="33.75" customHeight="1">
      <c r="A5906" s="7">
        <v>207.0</v>
      </c>
      <c r="B5906" s="9" t="s">
        <v>12079</v>
      </c>
      <c r="C5906" s="9" t="s">
        <v>12080</v>
      </c>
      <c r="D5906" s="9" t="s">
        <v>101</v>
      </c>
      <c r="E5906" s="6" t="s">
        <v>12084</v>
      </c>
      <c r="F5906" s="9"/>
    </row>
    <row r="5907" ht="33.75" customHeight="1">
      <c r="A5907" s="7">
        <v>207.0</v>
      </c>
      <c r="B5907" s="9" t="s">
        <v>12079</v>
      </c>
      <c r="C5907" s="9" t="s">
        <v>12080</v>
      </c>
      <c r="D5907" s="9" t="s">
        <v>105</v>
      </c>
      <c r="E5907" s="6" t="s">
        <v>12095</v>
      </c>
      <c r="F5907" s="9"/>
    </row>
    <row r="5908" ht="33.75" customHeight="1">
      <c r="A5908" s="7">
        <v>207.0</v>
      </c>
      <c r="B5908" s="9" t="s">
        <v>12079</v>
      </c>
      <c r="C5908" s="9" t="s">
        <v>12080</v>
      </c>
      <c r="D5908" s="9" t="s">
        <v>107</v>
      </c>
      <c r="E5908" s="6" t="s">
        <v>12118</v>
      </c>
      <c r="F5908" s="9"/>
    </row>
    <row r="5909" ht="33.75" customHeight="1">
      <c r="A5909" s="7">
        <v>207.0</v>
      </c>
      <c r="B5909" s="9" t="s">
        <v>12079</v>
      </c>
      <c r="C5909" s="9" t="s">
        <v>12080</v>
      </c>
      <c r="D5909" s="9" t="s">
        <v>109</v>
      </c>
      <c r="E5909" s="6" t="s">
        <v>12118</v>
      </c>
      <c r="F5909" s="9"/>
    </row>
    <row r="5910" ht="33.75" customHeight="1">
      <c r="A5910" s="7">
        <v>207.0</v>
      </c>
      <c r="B5910" s="9" t="s">
        <v>12079</v>
      </c>
      <c r="C5910" s="9" t="s">
        <v>12080</v>
      </c>
      <c r="D5910" s="9" t="s">
        <v>1577</v>
      </c>
      <c r="E5910" s="6" t="s">
        <v>12123</v>
      </c>
      <c r="F5910" s="9"/>
    </row>
    <row r="5911" ht="33.75" customHeight="1">
      <c r="A5911" s="7">
        <v>208.0</v>
      </c>
      <c r="B5911" s="9" t="s">
        <v>12125</v>
      </c>
      <c r="C5911" s="9" t="s">
        <v>12126</v>
      </c>
      <c r="D5911" s="9" t="s">
        <v>52</v>
      </c>
      <c r="E5911" s="6" t="s">
        <v>12128</v>
      </c>
      <c r="F5911" t="inlineStr" s="10">
        <is>
          <t xml:space="preserve">Steelixin runko on puristettu syvälle maan alle. Tämän seurauksena se on jopa timanttia kovempi. Sanotaan, että jos ONIX elää yli 100 vuotta, sen koostumus muuttuu timantin kaltaiseksi. Tämän POKéMONin vartaloa peittävät monet pienet metallihiukkaset heijastavat kirkasta valoa hyvin. STEELIX elää vielä syvemmällä maan alla kuin ONIX. Tämän POKéMONin tiedetään kaivavan kohti maan ydintä. On olemassa tietoja siitä, että tämä POKéMON on saavuttanut yli 200 kilometrin syvyyden maan alla. STEELIXIT elävät vielä syvemmällä maan alla kuin ONIXIT. Tämän POKéMONin tiedetään kaivavan maan ytimeen ja ulottuvan yli 200 kilometrin syvyyteen. Maan alla korkeassa paineessa ja kuumuudessa karkaistuna sen runko on kovempi kuin mikään metalli. Se pureskelee tiensä lohkareiden läpi tukevilla leuoillaan. Sen silmät näkevät pimeydessä maan alla. Sen ruumiin uskotaan muuttuneen maaperän nielemisestä kertyneen sisäisesti raudan seurauksena. Sanotaan, että jos ONIX elää 100 vuotta, sen koostumus muuttuu timantin kaltaiseksi sen kehittyessä STEELIXiksi. Nielemän maaperän mukana nauttima rauta muutti sen ruumiin ja teki siitä kovemman kuin timantit. On olemassa tietoja tästä Pokémonista, joka on saavuttanut yli 2,5 kilometrin syvyyden maan alla. Sanotaan, että jos oniksi elää yli sata vuotta, sen koostumus muuttuu timantin kaltaiseksi. Tämä Pokémon kehittyi oudon esineen käytön ansiosta. Sen ruumis on päällystetty teräsjauheella ja huomattavan kova – edes timantti ei voi jättää naarmuakaan.</t>
        </is>
      </c>
    </row>
    <row r="5912" ht="33.75" customHeight="1">
      <c r="A5912" s="7">
        <v>208.0</v>
      </c>
      <c r="B5912" s="9" t="s">
        <v>12125</v>
      </c>
      <c r="C5912" s="9" t="s">
        <v>12126</v>
      </c>
      <c r="D5912" s="9" t="s">
        <v>59</v>
      </c>
      <c r="E5912" s="6" t="s">
        <v>12131</v>
      </c>
      <c r="F5912" s="9"/>
    </row>
    <row r="5913" ht="33.75" customHeight="1">
      <c r="A5913" s="7">
        <v>208.0</v>
      </c>
      <c r="B5913" s="9" t="s">
        <v>12125</v>
      </c>
      <c r="C5913" s="9" t="s">
        <v>12126</v>
      </c>
      <c r="D5913" s="9" t="s">
        <v>64</v>
      </c>
      <c r="E5913" s="6" t="s">
        <v>12132</v>
      </c>
      <c r="F5913" s="9"/>
    </row>
    <row r="5914" ht="33.75" customHeight="1">
      <c r="A5914" s="7">
        <v>208.0</v>
      </c>
      <c r="B5914" s="9" t="s">
        <v>12125</v>
      </c>
      <c r="C5914" s="9" t="s">
        <v>12126</v>
      </c>
      <c r="D5914" s="9" t="s">
        <v>67</v>
      </c>
      <c r="E5914" s="6" t="s">
        <v>12135</v>
      </c>
      <c r="F5914" s="9"/>
    </row>
    <row r="5915" ht="33.75" customHeight="1">
      <c r="A5915" s="7">
        <v>208.0</v>
      </c>
      <c r="B5915" s="9" t="s">
        <v>12125</v>
      </c>
      <c r="C5915" s="9" t="s">
        <v>12126</v>
      </c>
      <c r="D5915" s="9" t="s">
        <v>71</v>
      </c>
      <c r="E5915" s="6" t="s">
        <v>12135</v>
      </c>
      <c r="F5915" s="9"/>
    </row>
    <row r="5916" ht="33.75" customHeight="1">
      <c r="A5916" s="7">
        <v>208.0</v>
      </c>
      <c r="B5916" s="9" t="s">
        <v>12125</v>
      </c>
      <c r="C5916" s="9" t="s">
        <v>12126</v>
      </c>
      <c r="D5916" s="9" t="s">
        <v>73</v>
      </c>
      <c r="E5916" s="6" t="s">
        <v>12138</v>
      </c>
      <c r="F5916" s="9"/>
    </row>
    <row r="5917" ht="33.75" customHeight="1">
      <c r="A5917" s="7">
        <v>208.0</v>
      </c>
      <c r="B5917" s="9" t="s">
        <v>12125</v>
      </c>
      <c r="C5917" s="9" t="s">
        <v>12126</v>
      </c>
      <c r="D5917" s="9" t="s">
        <v>75</v>
      </c>
      <c r="E5917" s="6" t="s">
        <v>12131</v>
      </c>
      <c r="F5917" s="9"/>
    </row>
    <row r="5918" ht="33.75" customHeight="1">
      <c r="A5918" s="7">
        <v>208.0</v>
      </c>
      <c r="B5918" s="9" t="s">
        <v>12125</v>
      </c>
      <c r="C5918" s="9" t="s">
        <v>12126</v>
      </c>
      <c r="D5918" s="9" t="s">
        <v>79</v>
      </c>
      <c r="E5918" s="6" t="s">
        <v>12128</v>
      </c>
      <c r="F5918" s="9"/>
    </row>
    <row r="5919" ht="33.75" customHeight="1">
      <c r="A5919" s="7">
        <v>208.0</v>
      </c>
      <c r="B5919" s="9" t="s">
        <v>12125</v>
      </c>
      <c r="C5919" s="9" t="s">
        <v>12126</v>
      </c>
      <c r="D5919" s="9" t="s">
        <v>81</v>
      </c>
      <c r="E5919" s="6" t="s">
        <v>12143</v>
      </c>
      <c r="F5919" s="9"/>
    </row>
    <row r="5920" ht="33.75" customHeight="1">
      <c r="A5920" s="7">
        <v>208.0</v>
      </c>
      <c r="B5920" s="9" t="s">
        <v>12125</v>
      </c>
      <c r="C5920" s="9" t="s">
        <v>12126</v>
      </c>
      <c r="D5920" s="9" t="s">
        <v>84</v>
      </c>
      <c r="E5920" s="6" t="s">
        <v>12145</v>
      </c>
      <c r="F5920" s="9"/>
    </row>
    <row r="5921" ht="33.75" customHeight="1">
      <c r="A5921" s="7">
        <v>208.0</v>
      </c>
      <c r="B5921" s="9" t="s">
        <v>12125</v>
      </c>
      <c r="C5921" s="9" t="s">
        <v>12126</v>
      </c>
      <c r="D5921" s="9" t="s">
        <v>87</v>
      </c>
      <c r="E5921" s="6" t="s">
        <v>12148</v>
      </c>
      <c r="F5921" s="9"/>
    </row>
    <row r="5922" ht="33.75" customHeight="1">
      <c r="A5922" s="7">
        <v>208.0</v>
      </c>
      <c r="B5922" s="9" t="s">
        <v>12125</v>
      </c>
      <c r="C5922" s="9" t="s">
        <v>12126</v>
      </c>
      <c r="D5922" s="9" t="s">
        <v>89</v>
      </c>
      <c r="E5922" s="6" t="s">
        <v>12128</v>
      </c>
      <c r="F5922" s="9"/>
    </row>
    <row r="5923" ht="33.75" customHeight="1">
      <c r="A5923" s="7">
        <v>208.0</v>
      </c>
      <c r="B5923" s="9" t="s">
        <v>12125</v>
      </c>
      <c r="C5923" s="9" t="s">
        <v>12126</v>
      </c>
      <c r="D5923" s="9" t="s">
        <v>91</v>
      </c>
      <c r="E5923" s="6" t="s">
        <v>12152</v>
      </c>
      <c r="F5923" s="9"/>
    </row>
    <row r="5924" ht="33.75" customHeight="1">
      <c r="A5924" s="7">
        <v>208.0</v>
      </c>
      <c r="B5924" s="9" t="s">
        <v>12125</v>
      </c>
      <c r="C5924" s="9" t="s">
        <v>12126</v>
      </c>
      <c r="D5924" s="9" t="s">
        <v>93</v>
      </c>
      <c r="E5924" s="6" t="s">
        <v>12148</v>
      </c>
      <c r="F5924" s="9"/>
    </row>
    <row r="5925" ht="33.75" customHeight="1">
      <c r="A5925" s="7">
        <v>208.0</v>
      </c>
      <c r="B5925" s="9" t="s">
        <v>12125</v>
      </c>
      <c r="C5925" s="9" t="s">
        <v>12126</v>
      </c>
      <c r="D5925" s="9" t="s">
        <v>95</v>
      </c>
      <c r="E5925" s="6" t="s">
        <v>12148</v>
      </c>
      <c r="F5925" s="9"/>
    </row>
    <row r="5926" ht="33.75" customHeight="1">
      <c r="A5926" s="7">
        <v>208.0</v>
      </c>
      <c r="B5926" s="9" t="s">
        <v>12125</v>
      </c>
      <c r="C5926" s="9" t="s">
        <v>12126</v>
      </c>
      <c r="D5926" s="9" t="s">
        <v>98</v>
      </c>
      <c r="E5926" s="6" t="s">
        <v>12157</v>
      </c>
      <c r="F5926" s="9"/>
    </row>
    <row r="5927" ht="33.75" customHeight="1">
      <c r="A5927" s="7">
        <v>208.0</v>
      </c>
      <c r="B5927" s="9" t="s">
        <v>12125</v>
      </c>
      <c r="C5927" s="9" t="s">
        <v>12126</v>
      </c>
      <c r="D5927" s="9" t="s">
        <v>99</v>
      </c>
      <c r="E5927" s="6" t="s">
        <v>12157</v>
      </c>
      <c r="F5927" s="9"/>
    </row>
    <row r="5928" ht="33.75" customHeight="1">
      <c r="A5928" s="7">
        <v>208.0</v>
      </c>
      <c r="B5928" s="9" t="s">
        <v>12125</v>
      </c>
      <c r="C5928" s="9" t="s">
        <v>12126</v>
      </c>
      <c r="D5928" s="9" t="s">
        <v>101</v>
      </c>
      <c r="E5928" s="6" t="s">
        <v>12143</v>
      </c>
      <c r="F5928" s="9"/>
    </row>
    <row r="5929" ht="33.75" customHeight="1">
      <c r="A5929" s="7">
        <v>208.0</v>
      </c>
      <c r="B5929" s="9" t="s">
        <v>12125</v>
      </c>
      <c r="C5929" s="9" t="s">
        <v>12126</v>
      </c>
      <c r="D5929" s="9" t="s">
        <v>105</v>
      </c>
      <c r="E5929" s="6" t="s">
        <v>12145</v>
      </c>
      <c r="F5929" s="9"/>
    </row>
    <row r="5930" ht="33.75" customHeight="1">
      <c r="A5930" s="7">
        <v>208.0</v>
      </c>
      <c r="B5930" s="9" t="s">
        <v>12125</v>
      </c>
      <c r="C5930" s="9" t="s">
        <v>12126</v>
      </c>
      <c r="D5930" s="9" t="s">
        <v>107</v>
      </c>
      <c r="E5930" s="6" t="s">
        <v>12166</v>
      </c>
      <c r="F5930" s="9"/>
    </row>
    <row r="5931" ht="33.75" customHeight="1">
      <c r="A5931" s="7">
        <v>208.0</v>
      </c>
      <c r="B5931" s="9" t="s">
        <v>12125</v>
      </c>
      <c r="C5931" s="9" t="s">
        <v>12126</v>
      </c>
      <c r="D5931" s="9" t="s">
        <v>109</v>
      </c>
      <c r="E5931" s="6" t="s">
        <v>12166</v>
      </c>
      <c r="F5931" s="9"/>
    </row>
    <row r="5932" ht="33.75" customHeight="1">
      <c r="A5932" s="7">
        <v>208.0</v>
      </c>
      <c r="B5932" s="9" t="s">
        <v>12125</v>
      </c>
      <c r="C5932" s="9" t="s">
        <v>12126</v>
      </c>
      <c r="D5932" s="9" t="s">
        <v>114</v>
      </c>
      <c r="E5932" s="6" t="s">
        <v>12170</v>
      </c>
      <c r="F5932" s="9"/>
    </row>
    <row r="5933" ht="33.75" customHeight="1">
      <c r="A5933" s="7">
        <v>208.0</v>
      </c>
      <c r="B5933" s="9" t="s">
        <v>12125</v>
      </c>
      <c r="C5933" s="9" t="s">
        <v>12126</v>
      </c>
      <c r="D5933" s="9" t="s">
        <v>117</v>
      </c>
      <c r="E5933" s="6" t="s">
        <v>12148</v>
      </c>
      <c r="F5933" s="9"/>
    </row>
    <row r="5934" ht="33.75" customHeight="1">
      <c r="A5934" s="7">
        <v>208.0</v>
      </c>
      <c r="B5934" s="9" t="s">
        <v>12125</v>
      </c>
      <c r="C5934" s="9" t="s">
        <v>12126</v>
      </c>
      <c r="D5934" s="9" t="s">
        <v>1577</v>
      </c>
      <c r="E5934" s="6" t="s">
        <v>12175</v>
      </c>
      <c r="F5934" s="9"/>
    </row>
    <row r="5935" ht="33.75" customHeight="1">
      <c r="A5935" s="7">
        <v>209.0</v>
      </c>
      <c r="B5935" s="9" t="s">
        <v>12177</v>
      </c>
      <c r="C5935" s="9" t="s">
        <v>2127</v>
      </c>
      <c r="D5935" s="9" t="s">
        <v>52</v>
      </c>
      <c r="E5935" s="6" t="s">
        <v>12179</v>
      </c>
      <c r="F5935" t="inlineStr" s="10">
        <is>
          <t xml:space="preserve">Vaikka se näyttää pelottavalta, se on itse asiassa kiltti ja hellä. Se on erittäin suosittu naisten keskuudessa. Sillä on aktiivinen ja leikkisä luonne. Monet naiset tykkäävät leikkiä sen kanssa sen hellän luonteen vuoksi. Todellisuudessa se on pelkurimainen POKéMON. Se muurii innokkaasti peittääkseen pelkonsa vastustajaltaan. Paljastamalla kulmahampaansa ja tekemällä pelottavan ilmeen SNUBBULL lähettää pienempiä POKéMONeja kauhuissaan karkuun. Tämä POKéMON vaikuttaa kuitenkin hieman surulliselta vihollistensa pakenemisesta. Paljastamalla kulmahampaansa ja tekemällä pelottavan ilmeen se lähettää pienempiä POKéMONEJA kauhuissaan juoksemaan. SNUBBULL vaikuttaa kyllä ​​hieman surulliselta vihollistensa pakenemisesta. Pienet Pokémonit pakenevat sen pelottavaa naamaa. Naiset kuitenkin pitävät sitä söpönä. Uhkaavasta ulkonäöstään huolimatta se on melko pelkurimainen. Sen epätoivoiset yritykset näyttää uhkaavalta tekevät siitä suositun ihmisten keskuudessa. Sen murinat levottomuutta herättävät vastustajat. Tämä rento Pokémon nukkuu yleensä puolet päivästä. Se viihtyy helposti muiden lähellä ja on myös helppo pilata. Sen kasvojen ja tekojen välinen ero tekee monista nuorista siitä villiintyneitä. Ulkonäköönsä nähden se on melko arka. Leikkiessään muiden pentu-Pokémonien kanssa sitä joskus kiusataan.</t>
        </is>
      </c>
    </row>
    <row r="5936" ht="33.75" customHeight="1">
      <c r="A5936" s="7">
        <v>209.0</v>
      </c>
      <c r="B5936" s="9" t="s">
        <v>12177</v>
      </c>
      <c r="C5936" s="9" t="s">
        <v>2127</v>
      </c>
      <c r="D5936" s="9" t="s">
        <v>59</v>
      </c>
      <c r="E5936" s="6" t="s">
        <v>12181</v>
      </c>
      <c r="F5936" s="9"/>
    </row>
    <row r="5937" ht="33.75" customHeight="1">
      <c r="A5937" s="7">
        <v>209.0</v>
      </c>
      <c r="B5937" s="9" t="s">
        <v>12177</v>
      </c>
      <c r="C5937" s="9" t="s">
        <v>2127</v>
      </c>
      <c r="D5937" s="9" t="s">
        <v>64</v>
      </c>
      <c r="E5937" s="6" t="s">
        <v>12184</v>
      </c>
      <c r="F5937" s="9"/>
    </row>
    <row r="5938" ht="33.75" customHeight="1">
      <c r="A5938" s="7">
        <v>209.0</v>
      </c>
      <c r="B5938" s="9" t="s">
        <v>12177</v>
      </c>
      <c r="C5938" s="9" t="s">
        <v>2127</v>
      </c>
      <c r="D5938" s="9" t="s">
        <v>67</v>
      </c>
      <c r="E5938" s="6" t="s">
        <v>12187</v>
      </c>
      <c r="F5938" s="9"/>
    </row>
    <row r="5939" ht="33.75" customHeight="1">
      <c r="A5939" s="7">
        <v>209.0</v>
      </c>
      <c r="B5939" s="9" t="s">
        <v>12177</v>
      </c>
      <c r="C5939" s="9" t="s">
        <v>2127</v>
      </c>
      <c r="D5939" s="9" t="s">
        <v>71</v>
      </c>
      <c r="E5939" s="6" t="s">
        <v>12187</v>
      </c>
      <c r="F5939" s="9"/>
    </row>
    <row r="5940" ht="33.75" customHeight="1">
      <c r="A5940" s="7">
        <v>209.0</v>
      </c>
      <c r="B5940" s="9" t="s">
        <v>12177</v>
      </c>
      <c r="C5940" s="9" t="s">
        <v>2127</v>
      </c>
      <c r="D5940" s="9" t="s">
        <v>73</v>
      </c>
      <c r="E5940" s="6" t="s">
        <v>12193</v>
      </c>
      <c r="F5940" s="9"/>
    </row>
    <row r="5941" ht="33.75" customHeight="1">
      <c r="A5941" s="7">
        <v>209.0</v>
      </c>
      <c r="B5941" s="9" t="s">
        <v>12177</v>
      </c>
      <c r="C5941" s="9" t="s">
        <v>2127</v>
      </c>
      <c r="D5941" s="9" t="s">
        <v>75</v>
      </c>
      <c r="E5941" s="6" t="s">
        <v>12181</v>
      </c>
      <c r="F5941" s="9"/>
    </row>
    <row r="5942" ht="33.75" customHeight="1">
      <c r="A5942" s="7">
        <v>209.0</v>
      </c>
      <c r="B5942" s="9" t="s">
        <v>12177</v>
      </c>
      <c r="C5942" s="9" t="s">
        <v>2127</v>
      </c>
      <c r="D5942" s="9" t="s">
        <v>79</v>
      </c>
      <c r="E5942" s="6" t="s">
        <v>12179</v>
      </c>
      <c r="F5942" s="9"/>
    </row>
    <row r="5943" ht="33.75" customHeight="1">
      <c r="A5943" s="7">
        <v>209.0</v>
      </c>
      <c r="B5943" s="9" t="s">
        <v>12177</v>
      </c>
      <c r="C5943" s="9" t="s">
        <v>2127</v>
      </c>
      <c r="D5943" s="9" t="s">
        <v>81</v>
      </c>
      <c r="E5943" s="6" t="s">
        <v>12200</v>
      </c>
      <c r="F5943" s="9"/>
    </row>
    <row r="5944" ht="33.75" customHeight="1">
      <c r="A5944" s="7">
        <v>209.0</v>
      </c>
      <c r="B5944" s="9" t="s">
        <v>12177</v>
      </c>
      <c r="C5944" s="9" t="s">
        <v>2127</v>
      </c>
      <c r="D5944" s="9" t="s">
        <v>84</v>
      </c>
      <c r="E5944" s="6" t="s">
        <v>12200</v>
      </c>
      <c r="F5944" s="9"/>
    </row>
    <row r="5945" ht="33.75" customHeight="1">
      <c r="A5945" s="7">
        <v>209.0</v>
      </c>
      <c r="B5945" s="9" t="s">
        <v>12177</v>
      </c>
      <c r="C5945" s="9" t="s">
        <v>2127</v>
      </c>
      <c r="D5945" s="9" t="s">
        <v>87</v>
      </c>
      <c r="E5945" s="6" t="s">
        <v>12200</v>
      </c>
      <c r="F5945" s="9"/>
    </row>
    <row r="5946" ht="33.75" customHeight="1">
      <c r="A5946" s="7">
        <v>209.0</v>
      </c>
      <c r="B5946" s="9" t="s">
        <v>12177</v>
      </c>
      <c r="C5946" s="9" t="s">
        <v>2127</v>
      </c>
      <c r="D5946" s="9" t="s">
        <v>89</v>
      </c>
      <c r="E5946" s="6" t="s">
        <v>12179</v>
      </c>
      <c r="F5946" s="9"/>
    </row>
    <row r="5947" ht="33.75" customHeight="1">
      <c r="A5947" s="7">
        <v>209.0</v>
      </c>
      <c r="B5947" s="9" t="s">
        <v>12177</v>
      </c>
      <c r="C5947" s="9" t="s">
        <v>2127</v>
      </c>
      <c r="D5947" s="9" t="s">
        <v>91</v>
      </c>
      <c r="E5947" s="6" t="s">
        <v>12181</v>
      </c>
      <c r="F5947" s="9"/>
    </row>
    <row r="5948" ht="33.75" customHeight="1">
      <c r="A5948" s="7">
        <v>209.0</v>
      </c>
      <c r="B5948" s="9" t="s">
        <v>12177</v>
      </c>
      <c r="C5948" s="9" t="s">
        <v>2127</v>
      </c>
      <c r="D5948" s="9" t="s">
        <v>93</v>
      </c>
      <c r="E5948" s="6" t="s">
        <v>12200</v>
      </c>
      <c r="F5948" s="9"/>
    </row>
    <row r="5949" ht="33.75" customHeight="1">
      <c r="A5949" s="7">
        <v>209.0</v>
      </c>
      <c r="B5949" s="9" t="s">
        <v>12177</v>
      </c>
      <c r="C5949" s="9" t="s">
        <v>2127</v>
      </c>
      <c r="D5949" s="9" t="s">
        <v>95</v>
      </c>
      <c r="E5949" s="6" t="s">
        <v>12200</v>
      </c>
      <c r="F5949" s="9"/>
    </row>
    <row r="5950" ht="33.75" customHeight="1">
      <c r="A5950" s="7">
        <v>209.0</v>
      </c>
      <c r="B5950" s="9" t="s">
        <v>12177</v>
      </c>
      <c r="C5950" s="9" t="s">
        <v>2127</v>
      </c>
      <c r="D5950" s="9" t="s">
        <v>98</v>
      </c>
      <c r="E5950" s="6" t="s">
        <v>12200</v>
      </c>
      <c r="F5950" s="9"/>
    </row>
    <row r="5951" ht="33.75" customHeight="1">
      <c r="A5951" s="7">
        <v>209.0</v>
      </c>
      <c r="B5951" s="9" t="s">
        <v>12177</v>
      </c>
      <c r="C5951" s="9" t="s">
        <v>2127</v>
      </c>
      <c r="D5951" s="9" t="s">
        <v>99</v>
      </c>
      <c r="E5951" s="6" t="s">
        <v>12200</v>
      </c>
      <c r="F5951" s="9"/>
    </row>
    <row r="5952" ht="33.75" customHeight="1">
      <c r="A5952" s="7">
        <v>209.0</v>
      </c>
      <c r="B5952" s="9" t="s">
        <v>12177</v>
      </c>
      <c r="C5952" s="9" t="s">
        <v>2127</v>
      </c>
      <c r="D5952" s="9" t="s">
        <v>101</v>
      </c>
      <c r="E5952" s="6" t="s">
        <v>12181</v>
      </c>
      <c r="F5952" s="9"/>
    </row>
    <row r="5953" ht="33.75" customHeight="1">
      <c r="A5953" s="7">
        <v>209.0</v>
      </c>
      <c r="B5953" s="9" t="s">
        <v>12177</v>
      </c>
      <c r="C5953" s="9" t="s">
        <v>2127</v>
      </c>
      <c r="D5953" s="9" t="s">
        <v>105</v>
      </c>
      <c r="E5953" s="6" t="s">
        <v>12200</v>
      </c>
      <c r="F5953" s="9"/>
    </row>
    <row r="5954" ht="33.75" customHeight="1">
      <c r="A5954" s="7">
        <v>209.0</v>
      </c>
      <c r="B5954" s="9" t="s">
        <v>12177</v>
      </c>
      <c r="C5954" s="9" t="s">
        <v>2127</v>
      </c>
      <c r="D5954" s="9" t="s">
        <v>107</v>
      </c>
      <c r="E5954" s="6" t="s">
        <v>12222</v>
      </c>
      <c r="F5954" s="9"/>
    </row>
    <row r="5955" ht="33.75" customHeight="1">
      <c r="A5955" s="7">
        <v>209.0</v>
      </c>
      <c r="B5955" s="9" t="s">
        <v>12177</v>
      </c>
      <c r="C5955" s="9" t="s">
        <v>2127</v>
      </c>
      <c r="D5955" s="9" t="s">
        <v>109</v>
      </c>
      <c r="E5955" s="6" t="s">
        <v>12222</v>
      </c>
      <c r="F5955" s="9"/>
    </row>
    <row r="5956" ht="33.75" customHeight="1">
      <c r="A5956" s="7">
        <v>209.0</v>
      </c>
      <c r="B5956" s="9" t="s">
        <v>12177</v>
      </c>
      <c r="C5956" s="9" t="s">
        <v>2127</v>
      </c>
      <c r="D5956" s="9" t="s">
        <v>637</v>
      </c>
      <c r="E5956" s="6" t="s">
        <v>12227</v>
      </c>
      <c r="F5956" s="9"/>
    </row>
    <row r="5957" ht="33.75" customHeight="1">
      <c r="A5957" s="7">
        <v>209.0</v>
      </c>
      <c r="B5957" s="9" t="s">
        <v>12177</v>
      </c>
      <c r="C5957" s="9" t="s">
        <v>2127</v>
      </c>
      <c r="D5957" s="9" t="s">
        <v>642</v>
      </c>
      <c r="E5957" s="6" t="s">
        <v>12229</v>
      </c>
      <c r="F5957" s="9"/>
    </row>
    <row r="5958" ht="33.75" customHeight="1">
      <c r="A5958" s="7">
        <v>209.0</v>
      </c>
      <c r="B5958" s="9" t="s">
        <v>12177</v>
      </c>
      <c r="C5958" s="9" t="s">
        <v>2127</v>
      </c>
      <c r="D5958" s="9" t="s">
        <v>647</v>
      </c>
      <c r="E5958" s="6" t="s">
        <v>12233</v>
      </c>
      <c r="F5958" s="9"/>
    </row>
    <row r="5959" ht="33.75" customHeight="1">
      <c r="A5959" s="7">
        <v>209.0</v>
      </c>
      <c r="B5959" s="9" t="s">
        <v>12177</v>
      </c>
      <c r="C5959" s="9" t="s">
        <v>2127</v>
      </c>
      <c r="D5959" s="9" t="s">
        <v>652</v>
      </c>
      <c r="E5959" s="6" t="s">
        <v>12236</v>
      </c>
      <c r="F5959" s="9"/>
    </row>
    <row r="5960" ht="33.75" customHeight="1">
      <c r="A5960" s="7">
        <v>210.0</v>
      </c>
      <c r="B5960" s="9" t="s">
        <v>12239</v>
      </c>
      <c r="C5960" s="9" t="s">
        <v>2127</v>
      </c>
      <c r="D5960" s="9" t="s">
        <v>52</v>
      </c>
      <c r="E5960" s="6" t="s">
        <v>12241</v>
      </c>
      <c r="F5960" t="inlineStr" s="10">
        <is>
          <t xml:space="preserve">Granbull on itse asiassa arka ja helposti säikähtävä. Jos sitä vastaan ​​hyökätään, se räpyttelee ympäriinsä torjuakseen hyökkääjänsä. Koska sen kulmahampaat ovat liian raskaat, se pitää päänsä aina kallistettuna alaspäin. Sen PURENTA on kuitenkin voimakas. Se voi saada useimmat POKéMONit karkuun yksinkertaisesti avaamalla suunsa ammolleen paljastaen suuret kulmahampaansa. GRANBULLilla on erityisen hyvin kehittynyt alaleuka. Valtavat kulmahampaat ovat painavat, minkä vuoksi POKéMON kallistaa päätään taaksepäin tasapainon säilyttämiseksi. Ellei se säikähdä, se ei yritä purra umpimähkään. Sillä on erityisen hyvin kehittynyt alaleuka. Valtavat kulmahampaat ovat painavat, minkä vuoksi se kallistaa päätään. Ellei se säikähdä, se ei yritä purra. Jos sitä hyökätään, se räpyttelee ympäriinsä torjuakseen hyökkääjänsä. Se on ulkonäöstään huolimatta arka. Jos se kuitenkin raivostuu, se iskee valtavilla hampaillaan. Sen purema on kuitenkin voimakas. Se voi saada useimmat Pokémonit karkuun yksinkertaisesti avaamalla suunsa leveälle paljastaen suuret kulmahampaansa. Sen hyvin kehittynyt alaleuka ja raskaat kulmahampaat ovat sen aseita. Niin kauan kuin sitä ei provosoida, se puree harvoin. Tämä Snubbullia arempi Pokémon on nuorten ihailema, sillä nuoret ovat huvittuneita sen ulkonäön ja asenteen välisestä kontrastista. Vaikka sillä on voimakkaat leuat, se ei välitä riidoista, joten sillä on harvoin tilaisuus näyttää voimaansa. Vaikka Granbull on suosittu nuorten keskuudessa, se on ujo ja herkkä, joten se on täysin epäpätevä vahtikoiraksi.</t>
        </is>
      </c>
    </row>
    <row r="5961" ht="33.75" customHeight="1">
      <c r="A5961" s="7">
        <v>210.0</v>
      </c>
      <c r="B5961" s="9" t="s">
        <v>12239</v>
      </c>
      <c r="C5961" s="9" t="s">
        <v>2127</v>
      </c>
      <c r="D5961" s="9" t="s">
        <v>59</v>
      </c>
      <c r="E5961" s="6" t="s">
        <v>12244</v>
      </c>
      <c r="F5961" s="9"/>
    </row>
    <row r="5962" ht="33.75" customHeight="1">
      <c r="A5962" s="7">
        <v>210.0</v>
      </c>
      <c r="B5962" s="9" t="s">
        <v>12239</v>
      </c>
      <c r="C5962" s="9" t="s">
        <v>2127</v>
      </c>
      <c r="D5962" s="9" t="s">
        <v>64</v>
      </c>
      <c r="E5962" s="6" t="s">
        <v>12247</v>
      </c>
      <c r="F5962" s="9"/>
    </row>
    <row r="5963" ht="33.75" customHeight="1">
      <c r="A5963" s="7">
        <v>210.0</v>
      </c>
      <c r="B5963" s="9" t="s">
        <v>12239</v>
      </c>
      <c r="C5963" s="9" t="s">
        <v>2127</v>
      </c>
      <c r="D5963" s="9" t="s">
        <v>67</v>
      </c>
      <c r="E5963" s="6" t="s">
        <v>12249</v>
      </c>
      <c r="F5963" s="9"/>
    </row>
    <row r="5964" ht="33.75" customHeight="1">
      <c r="A5964" s="7">
        <v>210.0</v>
      </c>
      <c r="B5964" s="9" t="s">
        <v>12239</v>
      </c>
      <c r="C5964" s="9" t="s">
        <v>2127</v>
      </c>
      <c r="D5964" s="9" t="s">
        <v>71</v>
      </c>
      <c r="E5964" s="6" t="s">
        <v>12249</v>
      </c>
      <c r="F5964" s="9"/>
    </row>
    <row r="5965" ht="33.75" customHeight="1">
      <c r="A5965" s="7">
        <v>210.0</v>
      </c>
      <c r="B5965" s="9" t="s">
        <v>12239</v>
      </c>
      <c r="C5965" s="9" t="s">
        <v>2127</v>
      </c>
      <c r="D5965" s="9" t="s">
        <v>73</v>
      </c>
      <c r="E5965" s="6" t="s">
        <v>12254</v>
      </c>
      <c r="F5965" s="9"/>
    </row>
    <row r="5966" ht="33.75" customHeight="1">
      <c r="A5966" s="7">
        <v>210.0</v>
      </c>
      <c r="B5966" s="9" t="s">
        <v>12239</v>
      </c>
      <c r="C5966" s="9" t="s">
        <v>2127</v>
      </c>
      <c r="D5966" s="9" t="s">
        <v>75</v>
      </c>
      <c r="E5966" s="6" t="s">
        <v>12244</v>
      </c>
      <c r="F5966" s="9"/>
    </row>
    <row r="5967" ht="33.75" customHeight="1">
      <c r="A5967" s="7">
        <v>210.0</v>
      </c>
      <c r="B5967" s="9" t="s">
        <v>12239</v>
      </c>
      <c r="C5967" s="9" t="s">
        <v>2127</v>
      </c>
      <c r="D5967" s="9" t="s">
        <v>79</v>
      </c>
      <c r="E5967" s="6" t="s">
        <v>12259</v>
      </c>
      <c r="F5967" s="9"/>
    </row>
    <row r="5968" ht="33.75" customHeight="1">
      <c r="A5968" s="7">
        <v>210.0</v>
      </c>
      <c r="B5968" s="9" t="s">
        <v>12239</v>
      </c>
      <c r="C5968" s="9" t="s">
        <v>2127</v>
      </c>
      <c r="D5968" s="9" t="s">
        <v>81</v>
      </c>
      <c r="E5968" s="6" t="s">
        <v>12261</v>
      </c>
      <c r="F5968" s="9"/>
    </row>
    <row r="5969" ht="33.75" customHeight="1">
      <c r="A5969" s="7">
        <v>210.0</v>
      </c>
      <c r="B5969" s="9" t="s">
        <v>12239</v>
      </c>
      <c r="C5969" s="9" t="s">
        <v>2127</v>
      </c>
      <c r="D5969" s="9" t="s">
        <v>84</v>
      </c>
      <c r="E5969" s="6" t="s">
        <v>12261</v>
      </c>
      <c r="F5969" s="9"/>
    </row>
    <row r="5970" ht="33.75" customHeight="1">
      <c r="A5970" s="7">
        <v>210.0</v>
      </c>
      <c r="B5970" s="9" t="s">
        <v>12239</v>
      </c>
      <c r="C5970" s="9" t="s">
        <v>2127</v>
      </c>
      <c r="D5970" s="9" t="s">
        <v>87</v>
      </c>
      <c r="E5970" s="6" t="s">
        <v>12261</v>
      </c>
      <c r="F5970" s="9"/>
    </row>
    <row r="5971" ht="33.75" customHeight="1">
      <c r="A5971" s="7">
        <v>210.0</v>
      </c>
      <c r="B5971" s="9" t="s">
        <v>12239</v>
      </c>
      <c r="C5971" s="9" t="s">
        <v>2127</v>
      </c>
      <c r="D5971" s="9" t="s">
        <v>89</v>
      </c>
      <c r="E5971" s="6" t="s">
        <v>12259</v>
      </c>
      <c r="F5971" s="9"/>
    </row>
    <row r="5972" ht="33.75" customHeight="1">
      <c r="A5972" s="7">
        <v>210.0</v>
      </c>
      <c r="B5972" s="9" t="s">
        <v>12239</v>
      </c>
      <c r="C5972" s="9" t="s">
        <v>2127</v>
      </c>
      <c r="D5972" s="9" t="s">
        <v>91</v>
      </c>
      <c r="E5972" s="6" t="s">
        <v>12270</v>
      </c>
      <c r="F5972" s="9"/>
    </row>
    <row r="5973" ht="33.75" customHeight="1">
      <c r="A5973" s="7">
        <v>210.0</v>
      </c>
      <c r="B5973" s="9" t="s">
        <v>12239</v>
      </c>
      <c r="C5973" s="9" t="s">
        <v>2127</v>
      </c>
      <c r="D5973" s="9" t="s">
        <v>93</v>
      </c>
      <c r="E5973" s="6" t="s">
        <v>12261</v>
      </c>
      <c r="F5973" s="9"/>
    </row>
    <row r="5974" ht="33.75" customHeight="1">
      <c r="A5974" s="7">
        <v>210.0</v>
      </c>
      <c r="B5974" s="9" t="s">
        <v>12239</v>
      </c>
      <c r="C5974" s="9" t="s">
        <v>2127</v>
      </c>
      <c r="D5974" s="9" t="s">
        <v>95</v>
      </c>
      <c r="E5974" s="6" t="s">
        <v>12261</v>
      </c>
      <c r="F5974" s="9"/>
    </row>
    <row r="5975" ht="33.75" customHeight="1">
      <c r="A5975" s="7">
        <v>210.0</v>
      </c>
      <c r="B5975" s="9" t="s">
        <v>12239</v>
      </c>
      <c r="C5975" s="9" t="s">
        <v>2127</v>
      </c>
      <c r="D5975" s="9" t="s">
        <v>98</v>
      </c>
      <c r="E5975" s="6" t="s">
        <v>12261</v>
      </c>
      <c r="F5975" s="9"/>
    </row>
    <row r="5976" ht="33.75" customHeight="1">
      <c r="A5976" s="7">
        <v>210.0</v>
      </c>
      <c r="B5976" s="9" t="s">
        <v>12239</v>
      </c>
      <c r="C5976" s="9" t="s">
        <v>2127</v>
      </c>
      <c r="D5976" s="9" t="s">
        <v>99</v>
      </c>
      <c r="E5976" s="6" t="s">
        <v>12261</v>
      </c>
      <c r="F5976" s="9"/>
    </row>
    <row r="5977" ht="33.75" customHeight="1">
      <c r="A5977" s="7">
        <v>210.0</v>
      </c>
      <c r="B5977" s="9" t="s">
        <v>12239</v>
      </c>
      <c r="C5977" s="9" t="s">
        <v>2127</v>
      </c>
      <c r="D5977" s="9" t="s">
        <v>101</v>
      </c>
      <c r="E5977" s="6" t="s">
        <v>12261</v>
      </c>
      <c r="F5977" s="9"/>
    </row>
    <row r="5978" ht="33.75" customHeight="1">
      <c r="A5978" s="7">
        <v>210.0</v>
      </c>
      <c r="B5978" s="9" t="s">
        <v>12239</v>
      </c>
      <c r="C5978" s="9" t="s">
        <v>2127</v>
      </c>
      <c r="D5978" s="9" t="s">
        <v>105</v>
      </c>
      <c r="E5978" s="6" t="s">
        <v>12281</v>
      </c>
      <c r="F5978" s="9"/>
    </row>
    <row r="5979" ht="33.75" customHeight="1">
      <c r="A5979" s="7">
        <v>210.0</v>
      </c>
      <c r="B5979" s="9" t="s">
        <v>12239</v>
      </c>
      <c r="C5979" s="9" t="s">
        <v>2127</v>
      </c>
      <c r="D5979" s="9" t="s">
        <v>107</v>
      </c>
      <c r="E5979" s="6" t="s">
        <v>12283</v>
      </c>
      <c r="F5979" s="9"/>
    </row>
    <row r="5980" ht="33.75" customHeight="1">
      <c r="A5980" s="7">
        <v>210.0</v>
      </c>
      <c r="B5980" s="9" t="s">
        <v>12239</v>
      </c>
      <c r="C5980" s="9" t="s">
        <v>2127</v>
      </c>
      <c r="D5980" s="9" t="s">
        <v>109</v>
      </c>
      <c r="E5980" s="6" t="s">
        <v>12283</v>
      </c>
      <c r="F5980" s="9"/>
    </row>
    <row r="5981" ht="33.75" customHeight="1">
      <c r="A5981" s="7">
        <v>210.0</v>
      </c>
      <c r="B5981" s="9" t="s">
        <v>12239</v>
      </c>
      <c r="C5981" s="9" t="s">
        <v>2127</v>
      </c>
      <c r="D5981" s="9" t="s">
        <v>637</v>
      </c>
      <c r="E5981" s="6" t="s">
        <v>12288</v>
      </c>
      <c r="F5981" s="9"/>
    </row>
    <row r="5982" ht="33.75" customHeight="1">
      <c r="A5982" s="7">
        <v>210.0</v>
      </c>
      <c r="B5982" s="9" t="s">
        <v>12239</v>
      </c>
      <c r="C5982" s="9" t="s">
        <v>2127</v>
      </c>
      <c r="D5982" s="9" t="s">
        <v>642</v>
      </c>
      <c r="E5982" s="6" t="s">
        <v>12290</v>
      </c>
      <c r="F5982" s="9"/>
    </row>
    <row r="5983" ht="33.75" customHeight="1">
      <c r="A5983" s="7">
        <v>210.0</v>
      </c>
      <c r="B5983" s="9" t="s">
        <v>12239</v>
      </c>
      <c r="C5983" s="9" t="s">
        <v>2127</v>
      </c>
      <c r="D5983" s="9" t="s">
        <v>647</v>
      </c>
      <c r="E5983" s="6" t="s">
        <v>12291</v>
      </c>
      <c r="F5983" s="9"/>
    </row>
    <row r="5984" ht="33.75" customHeight="1">
      <c r="A5984" s="7">
        <v>210.0</v>
      </c>
      <c r="B5984" s="9" t="s">
        <v>12239</v>
      </c>
      <c r="C5984" s="9" t="s">
        <v>2127</v>
      </c>
      <c r="D5984" s="9" t="s">
        <v>652</v>
      </c>
      <c r="E5984" s="6" t="s">
        <v>12292</v>
      </c>
      <c r="F5984" s="9"/>
    </row>
    <row r="5985" ht="33.75" customHeight="1">
      <c r="A5985" s="7">
        <v>211.0</v>
      </c>
      <c r="B5985" s="9" t="s">
        <v>12293</v>
      </c>
      <c r="C5985" s="9" t="s">
        <v>2368</v>
      </c>
      <c r="D5985" s="9" t="s">
        <v>52</v>
      </c>
      <c r="E5985" s="6" t="s">
        <v>12294</v>
      </c>
      <c r="F5985" t="inlineStr" s="10">
        <is>
          <t xml:space="preserve">Myrkkypiikkien laukaisemiseksi Qwilfishin on täytettävä kehonsa juomalla yli 2,6 gallonaa vettä kerralla. Sen kehoa peittävät pienet piikit kehittyivät suomuista. Ne ruiskuttavat myrkkyä, joka aiheuttaa pyörtymisen. Kohdatessaan suuremman vihollisen, se nielee niin paljon vettä kuin pystyy vastaamaan vastustajan kokoa. QWILFISH imee vettä ja täyttää itsensä. Tämä POKéMON käyttää nielemänsä veden painetta ampuakseen myrkyllisiä piikkejä kerralla kaikkialta kehostaan. Uiminen on sen mielestä hieman haastavaa. QWILFISH käyttää nielemänsä veden painetta ampuakseen myrkyllisiä piikkien kärkiä kerralla kaikkialta kehostaan. Uiminen on sille jonkin verran haastavaa. Se ampuu myrkkypiikkejään joka suuntaan. Pyöreän muotonsa ansiosta se on huono uimari. Qwilfish imee vettä ja täyttää itsensä ilmalla. Kohdatessaan suuremman vihollisen se nielee niin paljon vettä kuin pystyy vastaamaan vastustajan kokoa. Kalastajat inhoavat tätä hankalaa Pokémonia, koska se suihkuttaa myrkkyä piikillään ja levittää sitä kaikkialle. Erilainen Qwilfish-muoto elää muilla alueilla.</t>
        </is>
      </c>
    </row>
    <row r="5986" ht="33.75" customHeight="1">
      <c r="A5986" s="7">
        <v>211.0</v>
      </c>
      <c r="B5986" s="9" t="s">
        <v>12293</v>
      </c>
      <c r="C5986" s="9" t="s">
        <v>2368</v>
      </c>
      <c r="D5986" s="9" t="s">
        <v>59</v>
      </c>
      <c r="E5986" s="6" t="s">
        <v>12295</v>
      </c>
      <c r="F5986" s="9"/>
    </row>
    <row r="5987" ht="33.75" customHeight="1">
      <c r="A5987" s="7">
        <v>211.0</v>
      </c>
      <c r="B5987" s="9" t="s">
        <v>12293</v>
      </c>
      <c r="C5987" s="9" t="s">
        <v>2368</v>
      </c>
      <c r="D5987" s="9" t="s">
        <v>64</v>
      </c>
      <c r="E5987" s="6" t="s">
        <v>12297</v>
      </c>
      <c r="F5987" s="9"/>
    </row>
    <row r="5988" ht="33.75" customHeight="1">
      <c r="A5988" s="7">
        <v>211.0</v>
      </c>
      <c r="B5988" s="9" t="s">
        <v>12293</v>
      </c>
      <c r="C5988" s="9" t="s">
        <v>2368</v>
      </c>
      <c r="D5988" s="9" t="s">
        <v>67</v>
      </c>
      <c r="E5988" s="6" t="s">
        <v>12299</v>
      </c>
      <c r="F5988" s="9"/>
    </row>
    <row r="5989" ht="33.75" customHeight="1">
      <c r="A5989" s="7">
        <v>211.0</v>
      </c>
      <c r="B5989" s="9" t="s">
        <v>12293</v>
      </c>
      <c r="C5989" s="9" t="s">
        <v>2368</v>
      </c>
      <c r="D5989" s="9" t="s">
        <v>71</v>
      </c>
      <c r="E5989" s="6" t="s">
        <v>12299</v>
      </c>
      <c r="F5989" s="9"/>
    </row>
    <row r="5990" ht="33.75" customHeight="1">
      <c r="A5990" s="7">
        <v>211.0</v>
      </c>
      <c r="B5990" s="9" t="s">
        <v>12293</v>
      </c>
      <c r="C5990" s="9" t="s">
        <v>2368</v>
      </c>
      <c r="D5990" s="9" t="s">
        <v>73</v>
      </c>
      <c r="E5990" s="6" t="s">
        <v>12303</v>
      </c>
      <c r="F5990" s="9"/>
    </row>
    <row r="5991" ht="33.75" customHeight="1">
      <c r="A5991" s="7">
        <v>211.0</v>
      </c>
      <c r="B5991" s="9" t="s">
        <v>12293</v>
      </c>
      <c r="C5991" s="9" t="s">
        <v>2368</v>
      </c>
      <c r="D5991" s="9" t="s">
        <v>75</v>
      </c>
      <c r="E5991" s="6" t="s">
        <v>12295</v>
      </c>
      <c r="F5991" s="9"/>
    </row>
    <row r="5992" ht="33.75" customHeight="1">
      <c r="A5992" s="7">
        <v>211.0</v>
      </c>
      <c r="B5992" s="9" t="s">
        <v>12293</v>
      </c>
      <c r="C5992" s="9" t="s">
        <v>2368</v>
      </c>
      <c r="D5992" s="9" t="s">
        <v>79</v>
      </c>
      <c r="E5992" s="6" t="s">
        <v>12294</v>
      </c>
      <c r="F5992" s="9"/>
    </row>
    <row r="5993" ht="33.75" customHeight="1">
      <c r="A5993" s="7">
        <v>211.0</v>
      </c>
      <c r="B5993" s="9" t="s">
        <v>12293</v>
      </c>
      <c r="C5993" s="9" t="s">
        <v>2368</v>
      </c>
      <c r="D5993" s="9" t="s">
        <v>81</v>
      </c>
      <c r="E5993" s="6" t="s">
        <v>12308</v>
      </c>
      <c r="F5993" s="9"/>
    </row>
    <row r="5994" ht="33.75" customHeight="1">
      <c r="A5994" s="7">
        <v>211.0</v>
      </c>
      <c r="B5994" s="9" t="s">
        <v>12293</v>
      </c>
      <c r="C5994" s="9" t="s">
        <v>2368</v>
      </c>
      <c r="D5994" s="9" t="s">
        <v>84</v>
      </c>
      <c r="E5994" s="6" t="s">
        <v>12308</v>
      </c>
      <c r="F5994" s="9"/>
    </row>
    <row r="5995" ht="33.75" customHeight="1">
      <c r="A5995" s="7">
        <v>211.0</v>
      </c>
      <c r="B5995" s="9" t="s">
        <v>12293</v>
      </c>
      <c r="C5995" s="9" t="s">
        <v>2368</v>
      </c>
      <c r="D5995" s="9" t="s">
        <v>87</v>
      </c>
      <c r="E5995" s="6" t="s">
        <v>12308</v>
      </c>
      <c r="F5995" s="9"/>
    </row>
    <row r="5996" ht="33.75" customHeight="1">
      <c r="A5996" s="7">
        <v>211.0</v>
      </c>
      <c r="B5996" s="9" t="s">
        <v>12293</v>
      </c>
      <c r="C5996" s="9" t="s">
        <v>2368</v>
      </c>
      <c r="D5996" s="9" t="s">
        <v>89</v>
      </c>
      <c r="E5996" s="6" t="s">
        <v>12294</v>
      </c>
      <c r="F5996" s="9"/>
    </row>
    <row r="5997" ht="33.75" customHeight="1">
      <c r="A5997" s="7">
        <v>211.0</v>
      </c>
      <c r="B5997" s="9" t="s">
        <v>12293</v>
      </c>
      <c r="C5997" s="9" t="s">
        <v>2368</v>
      </c>
      <c r="D5997" s="9" t="s">
        <v>91</v>
      </c>
      <c r="E5997" s="6" t="s">
        <v>12295</v>
      </c>
      <c r="F5997" s="9"/>
    </row>
    <row r="5998" ht="33.75" customHeight="1">
      <c r="A5998" s="7">
        <v>211.0</v>
      </c>
      <c r="B5998" s="9" t="s">
        <v>12293</v>
      </c>
      <c r="C5998" s="9" t="s">
        <v>2368</v>
      </c>
      <c r="D5998" s="9" t="s">
        <v>93</v>
      </c>
      <c r="E5998" s="6" t="s">
        <v>12308</v>
      </c>
      <c r="F5998" s="9"/>
    </row>
    <row r="5999" ht="33.75" customHeight="1">
      <c r="A5999" s="7">
        <v>211.0</v>
      </c>
      <c r="B5999" s="9" t="s">
        <v>12293</v>
      </c>
      <c r="C5999" s="9" t="s">
        <v>2368</v>
      </c>
      <c r="D5999" s="9" t="s">
        <v>95</v>
      </c>
      <c r="E5999" s="6" t="s">
        <v>12308</v>
      </c>
      <c r="F5999" s="9"/>
    </row>
    <row r="6000" ht="33.75" customHeight="1">
      <c r="A6000" s="7">
        <v>211.0</v>
      </c>
      <c r="B6000" s="9" t="s">
        <v>12293</v>
      </c>
      <c r="C6000" s="9" t="s">
        <v>2368</v>
      </c>
      <c r="D6000" s="9" t="s">
        <v>98</v>
      </c>
      <c r="E6000" s="6" t="s">
        <v>12308</v>
      </c>
      <c r="F6000" s="9"/>
    </row>
    <row r="6001" ht="33.75" customHeight="1">
      <c r="A6001" s="7">
        <v>211.0</v>
      </c>
      <c r="B6001" s="9" t="s">
        <v>12293</v>
      </c>
      <c r="C6001" s="9" t="s">
        <v>2368</v>
      </c>
      <c r="D6001" s="9" t="s">
        <v>99</v>
      </c>
      <c r="E6001" s="6" t="s">
        <v>12308</v>
      </c>
      <c r="F6001" s="9"/>
    </row>
    <row r="6002" ht="33.75" customHeight="1">
      <c r="A6002" s="7">
        <v>211.0</v>
      </c>
      <c r="B6002" s="9" t="s">
        <v>12293</v>
      </c>
      <c r="C6002" s="9" t="s">
        <v>2368</v>
      </c>
      <c r="D6002" s="9" t="s">
        <v>101</v>
      </c>
      <c r="E6002" s="6" t="s">
        <v>12294</v>
      </c>
      <c r="F6002" s="9"/>
    </row>
    <row r="6003" ht="33.75" customHeight="1">
      <c r="A6003" s="7">
        <v>211.0</v>
      </c>
      <c r="B6003" s="9" t="s">
        <v>12293</v>
      </c>
      <c r="C6003" s="9" t="s">
        <v>2368</v>
      </c>
      <c r="D6003" s="9" t="s">
        <v>105</v>
      </c>
      <c r="E6003" s="6" t="s">
        <v>12295</v>
      </c>
      <c r="F6003" s="9"/>
    </row>
    <row r="6004" ht="33.75" customHeight="1">
      <c r="A6004" s="7">
        <v>211.0</v>
      </c>
      <c r="B6004" s="9" t="s">
        <v>12293</v>
      </c>
      <c r="C6004" s="9" t="s">
        <v>2368</v>
      </c>
      <c r="D6004" s="9" t="s">
        <v>107</v>
      </c>
      <c r="E6004" s="6" t="s">
        <v>12325</v>
      </c>
      <c r="F6004" s="9"/>
    </row>
    <row r="6005" ht="33.75" customHeight="1">
      <c r="A6005" s="7">
        <v>211.0</v>
      </c>
      <c r="B6005" s="9" t="s">
        <v>12293</v>
      </c>
      <c r="C6005" s="9" t="s">
        <v>2368</v>
      </c>
      <c r="D6005" s="9" t="s">
        <v>109</v>
      </c>
      <c r="E6005" s="6" t="s">
        <v>12325</v>
      </c>
      <c r="F6005" s="9"/>
    </row>
    <row r="6006" ht="33.75" customHeight="1">
      <c r="A6006" s="7">
        <v>211.0</v>
      </c>
      <c r="B6006" s="9" t="s">
        <v>12293</v>
      </c>
      <c r="C6006" s="9" t="s">
        <v>2368</v>
      </c>
      <c r="D6006" s="9" t="s">
        <v>114</v>
      </c>
      <c r="E6006" s="6" t="s">
        <v>12329</v>
      </c>
      <c r="F6006" s="9"/>
    </row>
    <row r="6007" ht="33.75" customHeight="1">
      <c r="A6007" s="7">
        <v>211.0</v>
      </c>
      <c r="B6007" s="9" t="s">
        <v>12293</v>
      </c>
      <c r="C6007" s="9" t="s">
        <v>2368</v>
      </c>
      <c r="D6007" s="9" t="s">
        <v>117</v>
      </c>
      <c r="E6007" s="6" t="s">
        <v>12295</v>
      </c>
      <c r="F6007" s="9"/>
    </row>
    <row r="6008" ht="33.75" customHeight="1">
      <c r="A6008" s="7">
        <v>211.0</v>
      </c>
      <c r="B6008" s="9" t="s">
        <v>12293</v>
      </c>
      <c r="C6008" s="9" t="s">
        <v>2368</v>
      </c>
      <c r="D6008" s="9" t="s">
        <v>1577</v>
      </c>
      <c r="E6008" s="6" t="s">
        <v>12335</v>
      </c>
      <c r="F6008" s="9"/>
    </row>
    <row r="6009" ht="33.75" customHeight="1">
      <c r="A6009" s="7">
        <v>212.0</v>
      </c>
      <c r="B6009" s="9" t="s">
        <v>12337</v>
      </c>
      <c r="C6009" s="9" t="s">
        <v>6234</v>
      </c>
      <c r="D6009" s="9" t="s">
        <v>52</v>
      </c>
      <c r="E6009" s="6" t="s">
        <v>12338</v>
      </c>
      <c r="F6009" t="inlineStr" s="10">
        <is>
          <t xml:space="preserve">Scizor heilauttaa silmäkuvioisia pihtiään pelotellakseen vihollisiaan. Tämä saa sen näyttämään siltä kuin sillä olisi kolme päätä. Sen siipiä ei käytetä lentämiseen. Niitä räpytellään suurella nopeudella ruumiinlämpötilan säätämiseksi. Tämän POKéMONin terästä sisältävät pihdit voivat murskata minkä tahansa kovan esineen, johon se saa tarttua. SCIZORilla on teräksenkova vartalo. Tavanomaiset hyökkäykset eivät helposti säikäytä sitä. Tämä POKéMON läpäyttää siipiään säädelläkseen ruumiinlämpöään. SCIZORilla on teräksenkova ruumis. Se läpsyttää siipiään säädelläkseen ruumiinlämpöään. Sillä on teräskova ruumis. Se pelottelee vihollisia nostamalla silmäkuvioiset pihtinsä. Se nostaa silmänmuotoisine kuvioin varustettuja pihtiään pelotellakseen. Se myös heilauttaa niitä alas vaarallisesti. Tämän Pokémonin pihdit, jotka sisältävät terästä, voivat murskata minkä tahansa kovan esineen, johon se tarttuu, palasiksi. Se käyttää siipiään ruumiinlämpötilansa säätelyyn. Muuten sen metallinen ruumis kuumenisi liikaa ja sulaisi taistelun tuoksinassa. Kun Pokémon on tunnistanut vihollisen, se murskaa sen armottomasti teräskovilla pihdeillä. Sen runko on kuin terästä. Sen kovat ja raskaat pihdit sopivat paremmin vihollisten murskaamiseen kuin heidän nappaamiseensa. Kun se on tunnistanut jonkin viholliseksi, se jatkaa sen pieksemistä teräskovilla pihdeillään, kunnes jäljellä ei ole enää muuta kuin murusia. Jättimäiset pihdit muodostavat kolmanneksen Scizorin painosta. Yksikin näiden pihtien heilautus murskaa lohkareen kokonaan. Vaikka Scizorin vartalo on hoikka, sillä on valtava hyökkäysvoima. Jopa Scizorin lihakset ovat metallia. Kehittynyt erikoisen esineen avulla. Sen runkoa peittävän kuoren on osoitettu olevan vahvempi kuin taottu teräs.</t>
        </is>
      </c>
    </row>
    <row r="6010" ht="33.75" customHeight="1">
      <c r="A6010" s="7">
        <v>212.0</v>
      </c>
      <c r="B6010" s="9" t="s">
        <v>12337</v>
      </c>
      <c r="C6010" s="9" t="s">
        <v>6234</v>
      </c>
      <c r="D6010" s="9" t="s">
        <v>59</v>
      </c>
      <c r="E6010" s="6" t="s">
        <v>12340</v>
      </c>
      <c r="F6010" s="9"/>
    </row>
    <row r="6011" ht="33.75" customHeight="1">
      <c r="A6011" s="7">
        <v>212.0</v>
      </c>
      <c r="B6011" s="9" t="s">
        <v>12337</v>
      </c>
      <c r="C6011" s="9" t="s">
        <v>6234</v>
      </c>
      <c r="D6011" s="9" t="s">
        <v>64</v>
      </c>
      <c r="E6011" s="6" t="s">
        <v>12342</v>
      </c>
      <c r="F6011" s="9"/>
    </row>
    <row r="6012" ht="33.75" customHeight="1">
      <c r="A6012" s="7">
        <v>212.0</v>
      </c>
      <c r="B6012" s="9" t="s">
        <v>12337</v>
      </c>
      <c r="C6012" s="9" t="s">
        <v>6234</v>
      </c>
      <c r="D6012" s="9" t="s">
        <v>67</v>
      </c>
      <c r="E6012" s="6" t="s">
        <v>12344</v>
      </c>
      <c r="F6012" s="9"/>
    </row>
    <row r="6013" ht="33.75" customHeight="1">
      <c r="A6013" s="7">
        <v>212.0</v>
      </c>
      <c r="B6013" s="9" t="s">
        <v>12337</v>
      </c>
      <c r="C6013" s="9" t="s">
        <v>6234</v>
      </c>
      <c r="D6013" s="9" t="s">
        <v>71</v>
      </c>
      <c r="E6013" s="6" t="s">
        <v>12344</v>
      </c>
      <c r="F6013" s="9"/>
    </row>
    <row r="6014" ht="33.75" customHeight="1">
      <c r="A6014" s="7">
        <v>212.0</v>
      </c>
      <c r="B6014" s="9" t="s">
        <v>12337</v>
      </c>
      <c r="C6014" s="9" t="s">
        <v>6234</v>
      </c>
      <c r="D6014" s="9" t="s">
        <v>73</v>
      </c>
      <c r="E6014" s="6" t="s">
        <v>12346</v>
      </c>
      <c r="F6014" s="9"/>
    </row>
    <row r="6015" ht="33.75" customHeight="1">
      <c r="A6015" s="7">
        <v>212.0</v>
      </c>
      <c r="B6015" s="9" t="s">
        <v>12337</v>
      </c>
      <c r="C6015" s="9" t="s">
        <v>6234</v>
      </c>
      <c r="D6015" s="9" t="s">
        <v>75</v>
      </c>
      <c r="E6015" s="6" t="s">
        <v>12340</v>
      </c>
      <c r="F6015" s="9"/>
    </row>
    <row r="6016" ht="33.75" customHeight="1">
      <c r="A6016" s="7">
        <v>212.0</v>
      </c>
      <c r="B6016" s="9" t="s">
        <v>12337</v>
      </c>
      <c r="C6016" s="9" t="s">
        <v>6234</v>
      </c>
      <c r="D6016" s="9" t="s">
        <v>79</v>
      </c>
      <c r="E6016" s="6" t="s">
        <v>12338</v>
      </c>
      <c r="F6016" s="9"/>
    </row>
    <row r="6017" ht="33.75" customHeight="1">
      <c r="A6017" s="7">
        <v>212.0</v>
      </c>
      <c r="B6017" s="9" t="s">
        <v>12337</v>
      </c>
      <c r="C6017" s="9" t="s">
        <v>6234</v>
      </c>
      <c r="D6017" s="9" t="s">
        <v>81</v>
      </c>
      <c r="E6017" s="6" t="s">
        <v>12351</v>
      </c>
      <c r="F6017" s="9"/>
    </row>
    <row r="6018" ht="33.75" customHeight="1">
      <c r="A6018" s="7">
        <v>212.0</v>
      </c>
      <c r="B6018" s="9" t="s">
        <v>12337</v>
      </c>
      <c r="C6018" s="9" t="s">
        <v>6234</v>
      </c>
      <c r="D6018" s="9" t="s">
        <v>84</v>
      </c>
      <c r="E6018" s="6" t="s">
        <v>12351</v>
      </c>
      <c r="F6018" s="9"/>
    </row>
    <row r="6019" ht="33.75" customHeight="1">
      <c r="A6019" s="7">
        <v>212.0</v>
      </c>
      <c r="B6019" s="9" t="s">
        <v>12337</v>
      </c>
      <c r="C6019" s="9" t="s">
        <v>6234</v>
      </c>
      <c r="D6019" s="9" t="s">
        <v>87</v>
      </c>
      <c r="E6019" s="6" t="s">
        <v>12355</v>
      </c>
      <c r="F6019" s="9"/>
    </row>
    <row r="6020" ht="33.75" customHeight="1">
      <c r="A6020" s="7">
        <v>212.0</v>
      </c>
      <c r="B6020" s="9" t="s">
        <v>12337</v>
      </c>
      <c r="C6020" s="9" t="s">
        <v>6234</v>
      </c>
      <c r="D6020" s="9" t="s">
        <v>89</v>
      </c>
      <c r="E6020" s="6" t="s">
        <v>12338</v>
      </c>
      <c r="F6020" s="9"/>
    </row>
    <row r="6021" ht="33.75" customHeight="1">
      <c r="A6021" s="7">
        <v>212.0</v>
      </c>
      <c r="B6021" s="9" t="s">
        <v>12337</v>
      </c>
      <c r="C6021" s="9" t="s">
        <v>6234</v>
      </c>
      <c r="D6021" s="9" t="s">
        <v>91</v>
      </c>
      <c r="E6021" s="6" t="s">
        <v>12340</v>
      </c>
      <c r="F6021" s="9"/>
    </row>
    <row r="6022" ht="33.75" customHeight="1">
      <c r="A6022" s="7">
        <v>212.0</v>
      </c>
      <c r="B6022" s="9" t="s">
        <v>12337</v>
      </c>
      <c r="C6022" s="9" t="s">
        <v>6234</v>
      </c>
      <c r="D6022" s="9" t="s">
        <v>93</v>
      </c>
      <c r="E6022" s="6" t="s">
        <v>12355</v>
      </c>
      <c r="F6022" s="9"/>
    </row>
    <row r="6023" ht="33.75" customHeight="1">
      <c r="A6023" s="7">
        <v>212.0</v>
      </c>
      <c r="B6023" s="9" t="s">
        <v>12337</v>
      </c>
      <c r="C6023" s="9" t="s">
        <v>6234</v>
      </c>
      <c r="D6023" s="9" t="s">
        <v>95</v>
      </c>
      <c r="E6023" s="6" t="s">
        <v>12355</v>
      </c>
      <c r="F6023" s="9"/>
    </row>
    <row r="6024" ht="33.75" customHeight="1">
      <c r="A6024" s="7">
        <v>212.0</v>
      </c>
      <c r="B6024" s="9" t="s">
        <v>12337</v>
      </c>
      <c r="C6024" s="9" t="s">
        <v>6234</v>
      </c>
      <c r="D6024" s="9" t="s">
        <v>98</v>
      </c>
      <c r="E6024" s="6" t="s">
        <v>12355</v>
      </c>
      <c r="F6024" s="9"/>
    </row>
    <row r="6025" ht="33.75" customHeight="1">
      <c r="A6025" s="7">
        <v>212.0</v>
      </c>
      <c r="B6025" s="9" t="s">
        <v>12337</v>
      </c>
      <c r="C6025" s="9" t="s">
        <v>6234</v>
      </c>
      <c r="D6025" s="9" t="s">
        <v>99</v>
      </c>
      <c r="E6025" s="6" t="s">
        <v>12355</v>
      </c>
      <c r="F6025" s="9"/>
    </row>
    <row r="6026" ht="33.75" customHeight="1">
      <c r="A6026" s="7">
        <v>212.0</v>
      </c>
      <c r="B6026" s="9" t="s">
        <v>12337</v>
      </c>
      <c r="C6026" s="9" t="s">
        <v>6234</v>
      </c>
      <c r="D6026" s="9" t="s">
        <v>101</v>
      </c>
      <c r="E6026" s="6" t="s">
        <v>12367</v>
      </c>
      <c r="F6026" s="9"/>
    </row>
    <row r="6027" ht="33.75" customHeight="1">
      <c r="A6027" s="7">
        <v>212.0</v>
      </c>
      <c r="B6027" s="9" t="s">
        <v>12337</v>
      </c>
      <c r="C6027" s="9" t="s">
        <v>6234</v>
      </c>
      <c r="D6027" s="9" t="s">
        <v>105</v>
      </c>
      <c r="E6027" s="6" t="s">
        <v>12351</v>
      </c>
      <c r="F6027" s="9"/>
    </row>
    <row r="6028" ht="33.75" customHeight="1">
      <c r="A6028" s="7">
        <v>212.0</v>
      </c>
      <c r="B6028" s="9" t="s">
        <v>12337</v>
      </c>
      <c r="C6028" s="9" t="s">
        <v>6234</v>
      </c>
      <c r="D6028" s="9" t="s">
        <v>107</v>
      </c>
      <c r="E6028" s="6" t="s">
        <v>12370</v>
      </c>
      <c r="F6028" s="9"/>
    </row>
    <row r="6029" ht="33.75" customHeight="1">
      <c r="A6029" s="7">
        <v>212.0</v>
      </c>
      <c r="B6029" s="9" t="s">
        <v>12337</v>
      </c>
      <c r="C6029" s="9" t="s">
        <v>6234</v>
      </c>
      <c r="D6029" s="9" t="s">
        <v>109</v>
      </c>
      <c r="E6029" s="6" t="s">
        <v>12370</v>
      </c>
      <c r="F6029" s="9"/>
    </row>
    <row r="6030" ht="33.75" customHeight="1">
      <c r="A6030" s="7">
        <v>212.0</v>
      </c>
      <c r="B6030" s="9" t="s">
        <v>12337</v>
      </c>
      <c r="C6030" s="9" t="s">
        <v>6234</v>
      </c>
      <c r="D6030" s="9" t="s">
        <v>637</v>
      </c>
      <c r="E6030" s="6" t="s">
        <v>12374</v>
      </c>
      <c r="F6030" s="9"/>
    </row>
    <row r="6031" ht="33.75" customHeight="1">
      <c r="A6031" s="7">
        <v>212.0</v>
      </c>
      <c r="B6031" s="9" t="s">
        <v>12337</v>
      </c>
      <c r="C6031" s="9" t="s">
        <v>6234</v>
      </c>
      <c r="D6031" s="9" t="s">
        <v>642</v>
      </c>
      <c r="E6031" s="6" t="s">
        <v>12376</v>
      </c>
      <c r="F6031" s="9"/>
    </row>
    <row r="6032" ht="33.75" customHeight="1">
      <c r="A6032" s="7">
        <v>212.0</v>
      </c>
      <c r="B6032" s="9" t="s">
        <v>12337</v>
      </c>
      <c r="C6032" s="9" t="s">
        <v>6234</v>
      </c>
      <c r="D6032" s="9" t="s">
        <v>647</v>
      </c>
      <c r="E6032" s="6" t="s">
        <v>12378</v>
      </c>
      <c r="F6032" s="9"/>
    </row>
    <row r="6033" ht="33.75" customHeight="1">
      <c r="A6033" s="7">
        <v>212.0</v>
      </c>
      <c r="B6033" s="9" t="s">
        <v>12337</v>
      </c>
      <c r="C6033" s="9" t="s">
        <v>6234</v>
      </c>
      <c r="D6033" s="9" t="s">
        <v>652</v>
      </c>
      <c r="E6033" s="6" t="s">
        <v>12381</v>
      </c>
      <c r="F6033" s="9"/>
    </row>
    <row r="6034" ht="33.75" customHeight="1">
      <c r="A6034" s="7">
        <v>212.0</v>
      </c>
      <c r="B6034" s="9" t="s">
        <v>12337</v>
      </c>
      <c r="C6034" s="9" t="s">
        <v>6234</v>
      </c>
      <c r="D6034" s="9" t="s">
        <v>114</v>
      </c>
      <c r="E6034" s="6" t="s">
        <v>12383</v>
      </c>
      <c r="F6034" s="9"/>
    </row>
    <row r="6035" ht="33.75" customHeight="1">
      <c r="A6035" s="7">
        <v>212.0</v>
      </c>
      <c r="B6035" s="9" t="s">
        <v>12337</v>
      </c>
      <c r="C6035" s="9" t="s">
        <v>6234</v>
      </c>
      <c r="D6035" s="9" t="s">
        <v>117</v>
      </c>
      <c r="E6035" s="6" t="s">
        <v>12385</v>
      </c>
      <c r="F6035" s="9"/>
    </row>
    <row r="6036" ht="33.75" customHeight="1">
      <c r="A6036" s="7">
        <v>212.0</v>
      </c>
      <c r="B6036" s="9" t="s">
        <v>12337</v>
      </c>
      <c r="C6036" s="9" t="s">
        <v>6234</v>
      </c>
      <c r="D6036" s="9" t="s">
        <v>1577</v>
      </c>
      <c r="E6036" s="6" t="s">
        <v>12386</v>
      </c>
      <c r="F6036" s="9"/>
    </row>
    <row r="6037" ht="33.75" customHeight="1">
      <c r="A6037" s="7">
        <v>213.0</v>
      </c>
      <c r="B6037" s="9" t="s">
        <v>12388</v>
      </c>
      <c r="C6037" s="9" t="s">
        <v>12389</v>
      </c>
      <c r="D6037" s="9" t="s">
        <v>52</v>
      </c>
      <c r="E6037" s="6" t="s">
        <v>12390</v>
      </c>
      <c r="F6037" t="inlineStr" s="10">
        <is>
          <t xml:space="preserve">Maljakkomaisessa kuoressaan säilyttämänsä MARJAT hajoavat ja muuttuvat tahmeaksi nesteeksi. Se varastoi MARJOJA kuorensa sisällä. Välttääkseen hyökkäyksiä se piiloutuu kivien alle ja pysyy täysin paikallaan. Sen varpaiden erittämä neste kaivertaa reikiä kiviin pesimistä varten ja sitä voidaan sekoittaa MARJOIHIN juoman valmistamiseksi. SHUCKLE piiloutuu hiljaa kivien alle pitäen ruumiinsa kovan kuorensa sisällä syödessään samalla varastoimiaan marjoja. Marjat sekoittuvat sen ruumiinnesteisiin muodostaen mehuksi. SHUCKLE piiloutuu kivien alle ja pitää ruumiinsa kuorensa sisällä syödessään varastoituja marjoja. Marjat sekoittuvat sen ruumiinnesteisiin ja muodostavat mehua. Maljakkomaisessa kuoressaan säilyttämänsä MARJAT hajoavat ja niistä tulee tahmeaa nestettä. Se säilyttää marjoja kuoressaan. Marjat käyvät lopulta herkullisiksi mehuiksi. Sen maljakkomaisessa kuoressa säilyttämät marjat hajoavat ja niistä tulee tahmeaa nestettä. Maljakkomaisessa kuoressa säilytetyistä marjoista tulee lopulta paksua, mehevää mehua. Purkkimaisessa kuoressa säilytetyistä marjoista tulee lopulta paksua, mehevää mehua.</t>
        </is>
      </c>
    </row>
    <row r="6038" ht="33.75" customHeight="1">
      <c r="A6038" s="7">
        <v>213.0</v>
      </c>
      <c r="B6038" s="9" t="s">
        <v>12388</v>
      </c>
      <c r="C6038" s="9" t="s">
        <v>12389</v>
      </c>
      <c r="D6038" s="9" t="s">
        <v>59</v>
      </c>
      <c r="E6038" s="6" t="s">
        <v>12392</v>
      </c>
      <c r="F6038" s="9"/>
    </row>
    <row r="6039" ht="33.75" customHeight="1">
      <c r="A6039" s="7">
        <v>213.0</v>
      </c>
      <c r="B6039" s="9" t="s">
        <v>12388</v>
      </c>
      <c r="C6039" s="9" t="s">
        <v>12389</v>
      </c>
      <c r="D6039" s="9" t="s">
        <v>64</v>
      </c>
      <c r="E6039" s="6" t="s">
        <v>12394</v>
      </c>
      <c r="F6039" s="9"/>
    </row>
    <row r="6040" ht="33.75" customHeight="1">
      <c r="A6040" s="7">
        <v>213.0</v>
      </c>
      <c r="B6040" s="9" t="s">
        <v>12388</v>
      </c>
      <c r="C6040" s="9" t="s">
        <v>12389</v>
      </c>
      <c r="D6040" s="9" t="s">
        <v>67</v>
      </c>
      <c r="E6040" s="6" t="s">
        <v>12396</v>
      </c>
      <c r="F6040" s="9"/>
    </row>
    <row r="6041" ht="33.75" customHeight="1">
      <c r="A6041" s="7">
        <v>213.0</v>
      </c>
      <c r="B6041" s="9" t="s">
        <v>12388</v>
      </c>
      <c r="C6041" s="9" t="s">
        <v>12389</v>
      </c>
      <c r="D6041" s="9" t="s">
        <v>71</v>
      </c>
      <c r="E6041" s="6" t="s">
        <v>12396</v>
      </c>
      <c r="F6041" s="9"/>
    </row>
    <row r="6042" ht="33.75" customHeight="1">
      <c r="A6042" s="7">
        <v>213.0</v>
      </c>
      <c r="B6042" s="9" t="s">
        <v>12388</v>
      </c>
      <c r="C6042" s="9" t="s">
        <v>12389</v>
      </c>
      <c r="D6042" s="9" t="s">
        <v>73</v>
      </c>
      <c r="E6042" s="6" t="s">
        <v>12399</v>
      </c>
      <c r="F6042" s="9"/>
    </row>
    <row r="6043" ht="33.75" customHeight="1">
      <c r="A6043" s="7">
        <v>213.0</v>
      </c>
      <c r="B6043" s="9" t="s">
        <v>12388</v>
      </c>
      <c r="C6043" s="9" t="s">
        <v>12389</v>
      </c>
      <c r="D6043" s="9" t="s">
        <v>75</v>
      </c>
      <c r="E6043" s="6" t="s">
        <v>12392</v>
      </c>
      <c r="F6043" s="9"/>
    </row>
    <row r="6044" ht="33.75" customHeight="1">
      <c r="A6044" s="7">
        <v>213.0</v>
      </c>
      <c r="B6044" s="9" t="s">
        <v>12388</v>
      </c>
      <c r="C6044" s="9" t="s">
        <v>12389</v>
      </c>
      <c r="D6044" s="9" t="s">
        <v>79</v>
      </c>
      <c r="E6044" s="6" t="s">
        <v>12401</v>
      </c>
      <c r="F6044" s="9"/>
    </row>
    <row r="6045" ht="33.75" customHeight="1">
      <c r="A6045" s="7">
        <v>213.0</v>
      </c>
      <c r="B6045" s="9" t="s">
        <v>12388</v>
      </c>
      <c r="C6045" s="9" t="s">
        <v>12389</v>
      </c>
      <c r="D6045" s="9" t="s">
        <v>81</v>
      </c>
      <c r="E6045" s="6" t="s">
        <v>12403</v>
      </c>
      <c r="F6045" s="9"/>
    </row>
    <row r="6046" ht="33.75" customHeight="1">
      <c r="A6046" s="7">
        <v>213.0</v>
      </c>
      <c r="B6046" s="9" t="s">
        <v>12388</v>
      </c>
      <c r="C6046" s="9" t="s">
        <v>12389</v>
      </c>
      <c r="D6046" s="9" t="s">
        <v>84</v>
      </c>
      <c r="E6046" s="6" t="s">
        <v>12403</v>
      </c>
      <c r="F6046" s="9"/>
    </row>
    <row r="6047" ht="33.75" customHeight="1">
      <c r="A6047" s="7">
        <v>213.0</v>
      </c>
      <c r="B6047" s="9" t="s">
        <v>12388</v>
      </c>
      <c r="C6047" s="9" t="s">
        <v>12389</v>
      </c>
      <c r="D6047" s="9" t="s">
        <v>87</v>
      </c>
      <c r="E6047" s="6" t="s">
        <v>12403</v>
      </c>
      <c r="F6047" s="9"/>
    </row>
    <row r="6048" ht="33.75" customHeight="1">
      <c r="A6048" s="7">
        <v>213.0</v>
      </c>
      <c r="B6048" s="9" t="s">
        <v>12388</v>
      </c>
      <c r="C6048" s="9" t="s">
        <v>12389</v>
      </c>
      <c r="D6048" s="9" t="s">
        <v>89</v>
      </c>
      <c r="E6048" s="6" t="s">
        <v>12407</v>
      </c>
      <c r="F6048" s="9"/>
    </row>
    <row r="6049" ht="33.75" customHeight="1">
      <c r="A6049" s="7">
        <v>213.0</v>
      </c>
      <c r="B6049" s="9" t="s">
        <v>12388</v>
      </c>
      <c r="C6049" s="9" t="s">
        <v>12389</v>
      </c>
      <c r="D6049" s="9" t="s">
        <v>91</v>
      </c>
      <c r="E6049" s="6" t="s">
        <v>12409</v>
      </c>
      <c r="F6049" s="9"/>
    </row>
    <row r="6050" ht="33.75" customHeight="1">
      <c r="A6050" s="7">
        <v>213.0</v>
      </c>
      <c r="B6050" s="9" t="s">
        <v>12388</v>
      </c>
      <c r="C6050" s="9" t="s">
        <v>12389</v>
      </c>
      <c r="D6050" s="9" t="s">
        <v>93</v>
      </c>
      <c r="E6050" s="6" t="s">
        <v>12403</v>
      </c>
      <c r="F6050" s="9"/>
    </row>
    <row r="6051" ht="33.75" customHeight="1">
      <c r="A6051" s="7">
        <v>213.0</v>
      </c>
      <c r="B6051" s="9" t="s">
        <v>12388</v>
      </c>
      <c r="C6051" s="9" t="s">
        <v>12389</v>
      </c>
      <c r="D6051" s="9" t="s">
        <v>95</v>
      </c>
      <c r="E6051" s="6" t="s">
        <v>12403</v>
      </c>
      <c r="F6051" s="9"/>
    </row>
    <row r="6052" ht="33.75" customHeight="1">
      <c r="A6052" s="7">
        <v>213.0</v>
      </c>
      <c r="B6052" s="9" t="s">
        <v>12388</v>
      </c>
      <c r="C6052" s="9" t="s">
        <v>12389</v>
      </c>
      <c r="D6052" s="9" t="s">
        <v>98</v>
      </c>
      <c r="E6052" s="6" t="s">
        <v>12412</v>
      </c>
      <c r="F6052" s="9"/>
    </row>
    <row r="6053" ht="33.75" customHeight="1">
      <c r="A6053" s="7">
        <v>213.0</v>
      </c>
      <c r="B6053" s="9" t="s">
        <v>12388</v>
      </c>
      <c r="C6053" s="9" t="s">
        <v>12389</v>
      </c>
      <c r="D6053" s="9" t="s">
        <v>99</v>
      </c>
      <c r="E6053" s="6" t="s">
        <v>12412</v>
      </c>
      <c r="F6053" s="9"/>
    </row>
    <row r="6054" ht="33.75" customHeight="1">
      <c r="A6054" s="7">
        <v>213.0</v>
      </c>
      <c r="B6054" s="9" t="s">
        <v>12388</v>
      </c>
      <c r="C6054" s="9" t="s">
        <v>12389</v>
      </c>
      <c r="D6054" s="9" t="s">
        <v>101</v>
      </c>
      <c r="E6054" s="6" t="s">
        <v>12415</v>
      </c>
      <c r="F6054" s="9"/>
    </row>
    <row r="6055" ht="33.75" customHeight="1">
      <c r="A6055" s="7">
        <v>213.0</v>
      </c>
      <c r="B6055" s="9" t="s">
        <v>12388</v>
      </c>
      <c r="C6055" s="9" t="s">
        <v>12389</v>
      </c>
      <c r="D6055" s="9" t="s">
        <v>105</v>
      </c>
      <c r="E6055" s="6" t="s">
        <v>12409</v>
      </c>
      <c r="F6055" s="9"/>
    </row>
    <row r="6056" ht="33.75" customHeight="1">
      <c r="A6056" s="7">
        <v>213.0</v>
      </c>
      <c r="B6056" s="9" t="s">
        <v>12388</v>
      </c>
      <c r="C6056" s="9" t="s">
        <v>12389</v>
      </c>
      <c r="D6056" s="9" t="s">
        <v>107</v>
      </c>
      <c r="E6056" s="6" t="s">
        <v>12418</v>
      </c>
      <c r="F6056" s="9"/>
    </row>
    <row r="6057" ht="33.75" customHeight="1">
      <c r="A6057" s="7">
        <v>213.0</v>
      </c>
      <c r="B6057" s="9" t="s">
        <v>12388</v>
      </c>
      <c r="C6057" s="9" t="s">
        <v>12389</v>
      </c>
      <c r="D6057" s="9" t="s">
        <v>109</v>
      </c>
      <c r="E6057" s="6" t="s">
        <v>12418</v>
      </c>
      <c r="F6057" s="9"/>
    </row>
    <row r="6058" ht="33.75" customHeight="1">
      <c r="A6058" s="7">
        <v>213.0</v>
      </c>
      <c r="B6058" s="9" t="s">
        <v>12388</v>
      </c>
      <c r="C6058" s="9" t="s">
        <v>12389</v>
      </c>
      <c r="D6058" s="9" t="s">
        <v>114</v>
      </c>
      <c r="E6058" s="6" t="s">
        <v>12409</v>
      </c>
      <c r="F6058" s="9"/>
    </row>
    <row r="6059" ht="33.75" customHeight="1">
      <c r="A6059" s="7">
        <v>213.0</v>
      </c>
      <c r="B6059" s="9" t="s">
        <v>12388</v>
      </c>
      <c r="C6059" s="9" t="s">
        <v>12389</v>
      </c>
      <c r="D6059" s="9" t="s">
        <v>117</v>
      </c>
      <c r="E6059" s="6" t="s">
        <v>12412</v>
      </c>
      <c r="F6059" s="9"/>
    </row>
    <row r="6060" ht="33.75" customHeight="1">
      <c r="A6060" s="7">
        <v>214.0</v>
      </c>
      <c r="B6060" s="9" t="s">
        <v>12421</v>
      </c>
      <c r="C6060" s="9" t="s">
        <v>12422</v>
      </c>
      <c r="D6060" s="9" t="s">
        <v>52</v>
      </c>
      <c r="E6060" s="6" t="s">
        <v>12423</v>
      </c>
      <c r="F6060" t="inlineStr" s="10">
        <is>
          <t xml:space="preserve">Tämä voimakas POKéMON työntää arvokkaan sarvensa vihollistensa vatsan alle, nostaa Heracrossin ja heittää ne sitten. Yleensä säyseä, mutta jos sitä häiritään hunajaa siemaillessaan, se ajaa tunkeilijan pois sarvellaan. Herkuleen voimillaan se voi helposti heitellä ympäriinsä esineen, joka on 100 kertaa sen oma paino. HERACROSS hyökkää suorassa linjassa vihollistaan ​​kohti, livahtaa vihollisen otteen alta ja nostaa tämän ilmaan mahtavalla sarvellaan. Tällä POKéMONilla on jopa tarpeeksi voimaa kaataakseen valtavan puun. HERACROSSilla on terävät kynnet jaloissaan. Ne on isketty tiukasti maahan tai puun kuoreen, mikä antaa POKéMONille turvallisen ja vakaan jalansijan paiskoa vihollisia voimakkaasti ylpeällä sarvellaan. Ne kokoontuvat metsiin etsimään puiden makeaa mahlaa. Se on kokonaan verhoutunut teräskovaan kuoreen. Se on ylpeä sarvestaan, jota se käyttää vihollisten paiskomiseen. Tämä voimakas POKéMON työntää arvokkaan sarvensa vihollistensa vatsan alle, nostaa ja heittää heidät. Se kerääntyy metsiin etsimään puunmahlaa, lempiravintoaan. Se on tarpeeksi vahva paiskomaan vihollisia. Voimakkaiden jalkojen ja kynsien ansiosta se tuottaa tarpeeksi voimaa sinkoamaan vihollisia pitkien matkojen päähän. Se rakastaa makeaa hunajaa. Pitääkseen kaiken hunajan itsellään se heittää kilpailijat pois arvokkaalla sarvellaan. Tämä voimakas Pokémon työntää arvokkaan sarvensa vihollistensa vatsan alle, nostaa ja heittää ne sitten. Se on yleensä säyseä, mutta jos sitä häiritään hunajaa siemaillessaan, se ajaa tunkeilijan pois sarvellaan. Olivatpa sen vastustajat kuinka raskaita tahansa, se heittää heidät kauas pois arvokkaalla sarvellaan. Ne on isketty tiukasti maahan tai puun kuoreen, mikä antaa Pokémonille turvallisen ja vakaan jalansijan paiskoa vihollisia pois ylpeällä sarvellaan. Se on ylpeä paksusta sarvestaan. Alolassa sen suurin kilpailija on Vikavolt, jota vastaan ​​se aina taistelee. Se vaeltelee metsissä etsien makeaa mettä. Vaikka sillä on fantastinen fyysinen vahvuus, se ei ole kovin hyvä lentämään. Heracross rakastaa makeaa mahlaa ja etsii sitä metsistä. Pokémon käyttää kahta tuntosarviaan tuoksujen poimimiseen etsiessään. Tämä Pokémon on ylpeä voimastaan, jonka ansiosta se voi nostaa 100 kertaa itseään painavampia esineitä ilman vaikeuksia. Tällä Pokémonilla on vertaansa vailla oleva sarvi. Heracross itsessään osoittaa valtavaa voimaa – se pystyy heittämään useita perinteisiä sodankäynnin taitoja hallitsevia ihmisiä kerralla.</t>
        </is>
      </c>
    </row>
    <row r="6061" ht="33.75" customHeight="1">
      <c r="A6061" s="7">
        <v>214.0</v>
      </c>
      <c r="B6061" s="9" t="s">
        <v>12421</v>
      </c>
      <c r="C6061" s="9" t="s">
        <v>12422</v>
      </c>
      <c r="D6061" s="9" t="s">
        <v>59</v>
      </c>
      <c r="E6061" s="6" t="s">
        <v>12426</v>
      </c>
      <c r="F6061" s="9"/>
    </row>
    <row r="6062" ht="33.75" customHeight="1">
      <c r="A6062" s="7">
        <v>214.0</v>
      </c>
      <c r="B6062" s="9" t="s">
        <v>12421</v>
      </c>
      <c r="C6062" s="9" t="s">
        <v>12422</v>
      </c>
      <c r="D6062" s="9" t="s">
        <v>64</v>
      </c>
      <c r="E6062" s="6" t="s">
        <v>12428</v>
      </c>
      <c r="F6062" s="9"/>
    </row>
    <row r="6063" ht="33.75" customHeight="1">
      <c r="A6063" s="7">
        <v>214.0</v>
      </c>
      <c r="B6063" s="9" t="s">
        <v>12421</v>
      </c>
      <c r="C6063" s="9" t="s">
        <v>12422</v>
      </c>
      <c r="D6063" s="9" t="s">
        <v>67</v>
      </c>
      <c r="E6063" s="6" t="s">
        <v>12430</v>
      </c>
      <c r="F6063" s="9"/>
    </row>
    <row r="6064" ht="33.75" customHeight="1">
      <c r="A6064" s="7">
        <v>214.0</v>
      </c>
      <c r="B6064" s="9" t="s">
        <v>12421</v>
      </c>
      <c r="C6064" s="9" t="s">
        <v>12422</v>
      </c>
      <c r="D6064" s="9" t="s">
        <v>71</v>
      </c>
      <c r="E6064" s="6" t="s">
        <v>12432</v>
      </c>
      <c r="F6064" s="9"/>
    </row>
    <row r="6065" ht="33.75" customHeight="1">
      <c r="A6065" s="7">
        <v>214.0</v>
      </c>
      <c r="B6065" s="9" t="s">
        <v>12421</v>
      </c>
      <c r="C6065" s="9" t="s">
        <v>12422</v>
      </c>
      <c r="D6065" s="9" t="s">
        <v>73</v>
      </c>
      <c r="E6065" s="6" t="s">
        <v>12434</v>
      </c>
      <c r="F6065" s="9"/>
    </row>
    <row r="6066" ht="33.75" customHeight="1">
      <c r="A6066" s="7">
        <v>214.0</v>
      </c>
      <c r="B6066" s="9" t="s">
        <v>12421</v>
      </c>
      <c r="C6066" s="9" t="s">
        <v>12422</v>
      </c>
      <c r="D6066" s="9" t="s">
        <v>75</v>
      </c>
      <c r="E6066" s="6" t="s">
        <v>12426</v>
      </c>
      <c r="F6066" s="9"/>
    </row>
    <row r="6067" ht="33.75" customHeight="1">
      <c r="A6067" s="7">
        <v>214.0</v>
      </c>
      <c r="B6067" s="9" t="s">
        <v>12421</v>
      </c>
      <c r="C6067" s="9" t="s">
        <v>12422</v>
      </c>
      <c r="D6067" s="9" t="s">
        <v>79</v>
      </c>
      <c r="E6067" s="6" t="s">
        <v>12437</v>
      </c>
      <c r="F6067" s="9"/>
    </row>
    <row r="6068" ht="33.75" customHeight="1">
      <c r="A6068" s="7">
        <v>214.0</v>
      </c>
      <c r="B6068" s="9" t="s">
        <v>12421</v>
      </c>
      <c r="C6068" s="9" t="s">
        <v>12422</v>
      </c>
      <c r="D6068" s="9" t="s">
        <v>81</v>
      </c>
      <c r="E6068" s="6" t="s">
        <v>12438</v>
      </c>
      <c r="F6068" s="9"/>
    </row>
    <row r="6069" ht="33.75" customHeight="1">
      <c r="A6069" s="7">
        <v>214.0</v>
      </c>
      <c r="B6069" s="9" t="s">
        <v>12421</v>
      </c>
      <c r="C6069" s="9" t="s">
        <v>12422</v>
      </c>
      <c r="D6069" s="9" t="s">
        <v>84</v>
      </c>
      <c r="E6069" s="6" t="s">
        <v>12439</v>
      </c>
      <c r="F6069" s="9"/>
    </row>
    <row r="6070" ht="33.75" customHeight="1">
      <c r="A6070" s="7">
        <v>214.0</v>
      </c>
      <c r="B6070" s="9" t="s">
        <v>12421</v>
      </c>
      <c r="C6070" s="9" t="s">
        <v>12422</v>
      </c>
      <c r="D6070" s="9" t="s">
        <v>87</v>
      </c>
      <c r="E6070" s="6" t="s">
        <v>12441</v>
      </c>
      <c r="F6070" s="9"/>
    </row>
    <row r="6071" ht="33.75" customHeight="1">
      <c r="A6071" s="7">
        <v>214.0</v>
      </c>
      <c r="B6071" s="9" t="s">
        <v>12421</v>
      </c>
      <c r="C6071" s="9" t="s">
        <v>12422</v>
      </c>
      <c r="D6071" s="9" t="s">
        <v>89</v>
      </c>
      <c r="E6071" s="6" t="s">
        <v>12443</v>
      </c>
      <c r="F6071" s="9"/>
    </row>
    <row r="6072" ht="33.75" customHeight="1">
      <c r="A6072" s="7">
        <v>214.0</v>
      </c>
      <c r="B6072" s="9" t="s">
        <v>12421</v>
      </c>
      <c r="C6072" s="9" t="s">
        <v>12422</v>
      </c>
      <c r="D6072" s="9" t="s">
        <v>91</v>
      </c>
      <c r="E6072" s="6" t="s">
        <v>12445</v>
      </c>
      <c r="F6072" s="9"/>
    </row>
    <row r="6073" ht="33.75" customHeight="1">
      <c r="A6073" s="7">
        <v>214.0</v>
      </c>
      <c r="B6073" s="9" t="s">
        <v>12421</v>
      </c>
      <c r="C6073" s="9" t="s">
        <v>12422</v>
      </c>
      <c r="D6073" s="9" t="s">
        <v>93</v>
      </c>
      <c r="E6073" s="6" t="s">
        <v>12441</v>
      </c>
      <c r="F6073" s="9"/>
    </row>
    <row r="6074" ht="33.75" customHeight="1">
      <c r="A6074" s="7">
        <v>214.0</v>
      </c>
      <c r="B6074" s="9" t="s">
        <v>12421</v>
      </c>
      <c r="C6074" s="9" t="s">
        <v>12422</v>
      </c>
      <c r="D6074" s="9" t="s">
        <v>95</v>
      </c>
      <c r="E6074" s="6" t="s">
        <v>12441</v>
      </c>
      <c r="F6074" s="9"/>
    </row>
    <row r="6075" ht="33.75" customHeight="1">
      <c r="A6075" s="7">
        <v>214.0</v>
      </c>
      <c r="B6075" s="9" t="s">
        <v>12421</v>
      </c>
      <c r="C6075" s="9" t="s">
        <v>12422</v>
      </c>
      <c r="D6075" s="9" t="s">
        <v>98</v>
      </c>
      <c r="E6075" s="6" t="s">
        <v>12454</v>
      </c>
      <c r="F6075" s="9"/>
    </row>
    <row r="6076" ht="33.75" customHeight="1">
      <c r="A6076" s="7">
        <v>214.0</v>
      </c>
      <c r="B6076" s="9" t="s">
        <v>12421</v>
      </c>
      <c r="C6076" s="9" t="s">
        <v>12422</v>
      </c>
      <c r="D6076" s="9" t="s">
        <v>99</v>
      </c>
      <c r="E6076" s="6" t="s">
        <v>12454</v>
      </c>
      <c r="F6076" s="9"/>
    </row>
    <row r="6077" ht="33.75" customHeight="1">
      <c r="A6077" s="7">
        <v>214.0</v>
      </c>
      <c r="B6077" s="9" t="s">
        <v>12421</v>
      </c>
      <c r="C6077" s="9" t="s">
        <v>12422</v>
      </c>
      <c r="D6077" s="9" t="s">
        <v>101</v>
      </c>
      <c r="E6077" s="6" t="s">
        <v>12443</v>
      </c>
      <c r="F6077" s="9"/>
    </row>
    <row r="6078" ht="33.75" customHeight="1">
      <c r="A6078" s="7">
        <v>214.0</v>
      </c>
      <c r="B6078" s="9" t="s">
        <v>12421</v>
      </c>
      <c r="C6078" s="9" t="s">
        <v>12422</v>
      </c>
      <c r="D6078" s="9" t="s">
        <v>105</v>
      </c>
      <c r="E6078" s="6" t="s">
        <v>12428</v>
      </c>
      <c r="F6078" s="9"/>
    </row>
    <row r="6079" ht="33.75" customHeight="1">
      <c r="A6079" s="7">
        <v>214.0</v>
      </c>
      <c r="B6079" s="9" t="s">
        <v>12421</v>
      </c>
      <c r="C6079" s="9" t="s">
        <v>12422</v>
      </c>
      <c r="D6079" s="9" t="s">
        <v>107</v>
      </c>
      <c r="E6079" s="6" t="s">
        <v>12459</v>
      </c>
      <c r="F6079" s="9"/>
    </row>
    <row r="6080" ht="33.75" customHeight="1">
      <c r="A6080" s="7">
        <v>214.0</v>
      </c>
      <c r="B6080" s="9" t="s">
        <v>12421</v>
      </c>
      <c r="C6080" s="9" t="s">
        <v>12422</v>
      </c>
      <c r="D6080" s="9" t="s">
        <v>109</v>
      </c>
      <c r="E6080" s="6" t="s">
        <v>12461</v>
      </c>
      <c r="F6080" s="9"/>
    </row>
    <row r="6081" ht="33.75" customHeight="1">
      <c r="A6081" s="7">
        <v>214.0</v>
      </c>
      <c r="B6081" s="9" t="s">
        <v>12421</v>
      </c>
      <c r="C6081" s="9" t="s">
        <v>12422</v>
      </c>
      <c r="D6081" s="9" t="s">
        <v>647</v>
      </c>
      <c r="E6081" s="6" t="s">
        <v>12463</v>
      </c>
      <c r="F6081" s="9"/>
    </row>
    <row r="6082" ht="33.75" customHeight="1">
      <c r="A6082" s="7">
        <v>214.0</v>
      </c>
      <c r="B6082" s="9" t="s">
        <v>12421</v>
      </c>
      <c r="C6082" s="9" t="s">
        <v>12422</v>
      </c>
      <c r="D6082" s="9" t="s">
        <v>652</v>
      </c>
      <c r="E6082" s="6" t="s">
        <v>12464</v>
      </c>
      <c r="F6082" s="9"/>
    </row>
    <row r="6083" ht="33.75" customHeight="1">
      <c r="A6083" s="7">
        <v>214.0</v>
      </c>
      <c r="B6083" s="9" t="s">
        <v>12421</v>
      </c>
      <c r="C6083" s="9" t="s">
        <v>12422</v>
      </c>
      <c r="D6083" s="9" t="s">
        <v>114</v>
      </c>
      <c r="E6083" s="6" t="s">
        <v>12466</v>
      </c>
      <c r="F6083" s="9"/>
    </row>
    <row r="6084" ht="33.75" customHeight="1">
      <c r="A6084" s="7">
        <v>214.0</v>
      </c>
      <c r="B6084" s="9" t="s">
        <v>12421</v>
      </c>
      <c r="C6084" s="9" t="s">
        <v>12422</v>
      </c>
      <c r="D6084" s="9" t="s">
        <v>117</v>
      </c>
      <c r="E6084" s="6" t="s">
        <v>12468</v>
      </c>
      <c r="F6084" s="9"/>
    </row>
    <row r="6085" ht="33.75" customHeight="1">
      <c r="A6085" s="7">
        <v>214.0</v>
      </c>
      <c r="B6085" s="9" t="s">
        <v>12421</v>
      </c>
      <c r="C6085" s="9" t="s">
        <v>12422</v>
      </c>
      <c r="D6085" s="9" t="s">
        <v>1577</v>
      </c>
      <c r="E6085" s="6" t="s">
        <v>12470</v>
      </c>
      <c r="F6085" s="9"/>
    </row>
    <row r="6086" ht="33.75" customHeight="1">
      <c r="A6086" s="7">
        <v>215.0</v>
      </c>
      <c r="B6086" s="9" t="s">
        <v>12471</v>
      </c>
      <c r="C6086" s="9" t="s">
        <v>12472</v>
      </c>
      <c r="D6086" s="9" t="s">
        <v>52</v>
      </c>
      <c r="E6086" s="6" t="s">
        <v>12474</v>
      </c>
      <c r="F6086" t="inlineStr" s="10">
        <is>
          <t xml:space="preserve">Sneaselin käpälät kätkevät terävät kynnet. Hyökkäyksen sattuessa se ojentaa kynnet äkillisesti ja säikäyttää vihollisensa. Luonteeltaan ilkeämielinen se ajaa pidgey-kakarat pesistään ja herkuttelee jäljelle jääneillä munilla. Tämä ovela POKéMON piileskelee pimeyden turvin odottaen saaliinsa hyökkäystä. SNEASEL kiipeää puiden läpi iskemällä koukkukyntensä kaarnaan. Tämä POKéMON etsii vartioimattomia pesiä ja varastaa munia ravinnokseen vanhempien ollessa poissa. KIERTOLAINEN kiipeilee puiden seassa iskemällä koukkukyntensä kaarnaan. Se etsii vartioimattomia pesiä ja varastaa munia ravinnokseen vanhempien ollessa poissa. Se syö pesistä varastettuja munia. Sen terävät, koukkuiset kynnet repivät saaliin haavoittuvaisia ​​kohtia. Se on äärimmäisen vihainen eikä lopeta hyökkäystä ennen kuin vihollinen on liikkumiskyvytön. Älykäs ja salakavala Pokémon. Pari voi työskennellä yhdessä varastaakseen munia houkuttelemalla vanhemmat pois. Luonteeltaan ilkeämielinen se ajaa pidgey-kakarat pesistään ja raapii kaikki löytämänsä tähteet. Älykäs ja ovela Pokémon, se saa vastustajansa säpsähtämään näyttämällä yhtäkkiä tassujensa piilossa olevat kynnet. Sillä on viekas mutta raa'a luonne. Se odottaa vanhempien lähtevän pesistään ja sitten hiipii sisään varastamaan niiden munat. Se käyttää kynsiään reikien tekemiseen muniin, jotta se voi syöksyä niiden sisukset ulos. Kasvattajat pitävät sitä vitsauksena ja ajavat sen pois tai hävittävät sen kokonaan. Ne tekevät yhteistyötä varastaakseen munia lintu-Pokémonien pesistä, mutta taistelut puhkeavat siitä, kuka saa syödä munat. Se sulautuu yön pimeyteen väijyttääkseen saalistaan. Sneasel hyökkää Sandshrewin kimppuun, mutta sen kova iho voi saada Sneaselin kynnet katkeamaan. Sen tukevat, kaarevat kynnet ovat ihanteelliset jyrkkien kallioiden ylittämiseen. Kynsien kärjistä tippuu myrkkyä, joka tunkeutuu minkä tahansa Sneaselin otteeseen jäävän saaliin hermoihin.</t>
        </is>
      </c>
    </row>
    <row r="6087" ht="33.75" customHeight="1">
      <c r="A6087" s="7">
        <v>215.0</v>
      </c>
      <c r="B6087" s="9" t="s">
        <v>12471</v>
      </c>
      <c r="C6087" s="9" t="s">
        <v>12472</v>
      </c>
      <c r="D6087" s="9" t="s">
        <v>59</v>
      </c>
      <c r="E6087" s="6" t="s">
        <v>12476</v>
      </c>
      <c r="F6087" s="9"/>
    </row>
    <row r="6088" ht="33.75" customHeight="1">
      <c r="A6088" s="7">
        <v>215.0</v>
      </c>
      <c r="B6088" s="9" t="s">
        <v>12471</v>
      </c>
      <c r="C6088" s="9" t="s">
        <v>12472</v>
      </c>
      <c r="D6088" s="9" t="s">
        <v>64</v>
      </c>
      <c r="E6088" s="6" t="s">
        <v>12478</v>
      </c>
      <c r="F6088" s="9"/>
    </row>
    <row r="6089" ht="33.75" customHeight="1">
      <c r="A6089" s="7">
        <v>215.0</v>
      </c>
      <c r="B6089" s="9" t="s">
        <v>12471</v>
      </c>
      <c r="C6089" s="9" t="s">
        <v>12472</v>
      </c>
      <c r="D6089" s="9" t="s">
        <v>67</v>
      </c>
      <c r="E6089" s="6" t="s">
        <v>12482</v>
      </c>
      <c r="F6089" s="9"/>
    </row>
    <row r="6090" ht="33.75" customHeight="1">
      <c r="A6090" s="7">
        <v>215.0</v>
      </c>
      <c r="B6090" s="9" t="s">
        <v>12471</v>
      </c>
      <c r="C6090" s="9" t="s">
        <v>12472</v>
      </c>
      <c r="D6090" s="9" t="s">
        <v>71</v>
      </c>
      <c r="E6090" s="6" t="s">
        <v>12482</v>
      </c>
      <c r="F6090" s="9"/>
    </row>
    <row r="6091" ht="33.75" customHeight="1">
      <c r="A6091" s="7">
        <v>215.0</v>
      </c>
      <c r="B6091" s="9" t="s">
        <v>12471</v>
      </c>
      <c r="C6091" s="9" t="s">
        <v>12472</v>
      </c>
      <c r="D6091" s="9" t="s">
        <v>73</v>
      </c>
      <c r="E6091" s="6" t="s">
        <v>12486</v>
      </c>
      <c r="F6091" s="9"/>
    </row>
    <row r="6092" ht="33.75" customHeight="1">
      <c r="A6092" s="7">
        <v>215.0</v>
      </c>
      <c r="B6092" s="9" t="s">
        <v>12471</v>
      </c>
      <c r="C6092" s="9" t="s">
        <v>12472</v>
      </c>
      <c r="D6092" s="9" t="s">
        <v>75</v>
      </c>
      <c r="E6092" s="6" t="s">
        <v>12476</v>
      </c>
      <c r="F6092" s="9"/>
    </row>
    <row r="6093" ht="33.75" customHeight="1">
      <c r="A6093" s="7">
        <v>215.0</v>
      </c>
      <c r="B6093" s="9" t="s">
        <v>12471</v>
      </c>
      <c r="C6093" s="9" t="s">
        <v>12472</v>
      </c>
      <c r="D6093" s="9" t="s">
        <v>79</v>
      </c>
      <c r="E6093" s="6" t="s">
        <v>12474</v>
      </c>
      <c r="F6093" s="9"/>
    </row>
    <row r="6094" ht="33.75" customHeight="1">
      <c r="A6094" s="7">
        <v>215.0</v>
      </c>
      <c r="B6094" s="9" t="s">
        <v>12471</v>
      </c>
      <c r="C6094" s="9" t="s">
        <v>12472</v>
      </c>
      <c r="D6094" s="9" t="s">
        <v>81</v>
      </c>
      <c r="E6094" s="6" t="s">
        <v>12492</v>
      </c>
      <c r="F6094" s="9"/>
    </row>
    <row r="6095" ht="33.75" customHeight="1">
      <c r="A6095" s="7">
        <v>215.0</v>
      </c>
      <c r="B6095" s="9" t="s">
        <v>12471</v>
      </c>
      <c r="C6095" s="9" t="s">
        <v>12472</v>
      </c>
      <c r="D6095" s="9" t="s">
        <v>84</v>
      </c>
      <c r="E6095" s="6" t="s">
        <v>12495</v>
      </c>
      <c r="F6095" s="9"/>
    </row>
    <row r="6096" ht="33.75" customHeight="1">
      <c r="A6096" s="7">
        <v>215.0</v>
      </c>
      <c r="B6096" s="9" t="s">
        <v>12471</v>
      </c>
      <c r="C6096" s="9" t="s">
        <v>12472</v>
      </c>
      <c r="D6096" s="9" t="s">
        <v>87</v>
      </c>
      <c r="E6096" s="6" t="s">
        <v>12497</v>
      </c>
      <c r="F6096" s="9"/>
    </row>
    <row r="6097" ht="33.75" customHeight="1">
      <c r="A6097" s="7">
        <v>215.0</v>
      </c>
      <c r="B6097" s="9" t="s">
        <v>12471</v>
      </c>
      <c r="C6097" s="9" t="s">
        <v>12472</v>
      </c>
      <c r="D6097" s="9" t="s">
        <v>89</v>
      </c>
      <c r="E6097" s="6" t="s">
        <v>12474</v>
      </c>
      <c r="F6097" s="9"/>
    </row>
    <row r="6098" ht="33.75" customHeight="1">
      <c r="A6098" s="7">
        <v>215.0</v>
      </c>
      <c r="B6098" s="9" t="s">
        <v>12471</v>
      </c>
      <c r="C6098" s="9" t="s">
        <v>12472</v>
      </c>
      <c r="D6098" s="9" t="s">
        <v>91</v>
      </c>
      <c r="E6098" s="6" t="s">
        <v>12501</v>
      </c>
      <c r="F6098" s="9"/>
    </row>
    <row r="6099" ht="33.75" customHeight="1">
      <c r="A6099" s="7">
        <v>215.0</v>
      </c>
      <c r="B6099" s="9" t="s">
        <v>12471</v>
      </c>
      <c r="C6099" s="9" t="s">
        <v>12472</v>
      </c>
      <c r="D6099" s="9" t="s">
        <v>93</v>
      </c>
      <c r="E6099" s="6" t="s">
        <v>12497</v>
      </c>
      <c r="F6099" s="9"/>
    </row>
    <row r="6100" ht="33.75" customHeight="1">
      <c r="A6100" s="7">
        <v>215.0</v>
      </c>
      <c r="B6100" s="9" t="s">
        <v>12471</v>
      </c>
      <c r="C6100" s="9" t="s">
        <v>12472</v>
      </c>
      <c r="D6100" s="9" t="s">
        <v>95</v>
      </c>
      <c r="E6100" s="6" t="s">
        <v>12497</v>
      </c>
      <c r="F6100" s="9"/>
    </row>
    <row r="6101" ht="33.75" customHeight="1">
      <c r="A6101" s="7">
        <v>215.0</v>
      </c>
      <c r="B6101" s="9" t="s">
        <v>12471</v>
      </c>
      <c r="C6101" s="9" t="s">
        <v>12472</v>
      </c>
      <c r="D6101" s="9" t="s">
        <v>98</v>
      </c>
      <c r="E6101" s="6" t="s">
        <v>12504</v>
      </c>
      <c r="F6101" s="9"/>
    </row>
    <row r="6102" ht="33.75" customHeight="1">
      <c r="A6102" s="7">
        <v>215.0</v>
      </c>
      <c r="B6102" s="9" t="s">
        <v>12471</v>
      </c>
      <c r="C6102" s="9" t="s">
        <v>12472</v>
      </c>
      <c r="D6102" s="9" t="s">
        <v>99</v>
      </c>
      <c r="E6102" s="6" t="s">
        <v>12504</v>
      </c>
      <c r="F6102" s="9"/>
    </row>
    <row r="6103" ht="33.75" customHeight="1">
      <c r="A6103" s="7">
        <v>215.0</v>
      </c>
      <c r="B6103" s="9" t="s">
        <v>12471</v>
      </c>
      <c r="C6103" s="9" t="s">
        <v>12472</v>
      </c>
      <c r="D6103" s="9" t="s">
        <v>101</v>
      </c>
      <c r="E6103" s="6" t="s">
        <v>12492</v>
      </c>
      <c r="F6103" s="9"/>
    </row>
    <row r="6104" ht="33.75" customHeight="1">
      <c r="A6104" s="7">
        <v>215.0</v>
      </c>
      <c r="B6104" s="9" t="s">
        <v>12471</v>
      </c>
      <c r="C6104" s="9" t="s">
        <v>12472</v>
      </c>
      <c r="D6104" s="9" t="s">
        <v>105</v>
      </c>
      <c r="E6104" s="6" t="s">
        <v>12474</v>
      </c>
      <c r="F6104" s="9"/>
    </row>
    <row r="6105" ht="33.75" customHeight="1">
      <c r="A6105" s="7">
        <v>215.0</v>
      </c>
      <c r="B6105" s="9" t="s">
        <v>12471</v>
      </c>
      <c r="C6105" s="9" t="s">
        <v>12472</v>
      </c>
      <c r="D6105" s="9" t="s">
        <v>107</v>
      </c>
      <c r="E6105" s="6" t="s">
        <v>12510</v>
      </c>
      <c r="F6105" s="9"/>
    </row>
    <row r="6106" ht="33.75" customHeight="1">
      <c r="A6106" s="7">
        <v>215.0</v>
      </c>
      <c r="B6106" s="9" t="s">
        <v>12471</v>
      </c>
      <c r="C6106" s="9" t="s">
        <v>12472</v>
      </c>
      <c r="D6106" s="9" t="s">
        <v>109</v>
      </c>
      <c r="E6106" s="6" t="s">
        <v>12510</v>
      </c>
      <c r="F6106" s="9"/>
    </row>
    <row r="6107" ht="33.75" customHeight="1">
      <c r="A6107" s="7">
        <v>215.0</v>
      </c>
      <c r="B6107" s="9" t="s">
        <v>12471</v>
      </c>
      <c r="C6107" s="9" t="s">
        <v>12472</v>
      </c>
      <c r="D6107" s="9" t="s">
        <v>637</v>
      </c>
      <c r="E6107" s="6" t="s">
        <v>12513</v>
      </c>
      <c r="F6107" s="9"/>
    </row>
    <row r="6108" ht="33.75" customHeight="1">
      <c r="A6108" s="7">
        <v>215.0</v>
      </c>
      <c r="B6108" s="9" t="s">
        <v>12471</v>
      </c>
      <c r="C6108" s="9" t="s">
        <v>12472</v>
      </c>
      <c r="D6108" s="9" t="s">
        <v>642</v>
      </c>
      <c r="E6108" s="6" t="s">
        <v>12516</v>
      </c>
      <c r="F6108" s="9"/>
    </row>
    <row r="6109" ht="33.75" customHeight="1">
      <c r="A6109" s="7">
        <v>215.0</v>
      </c>
      <c r="B6109" s="9" t="s">
        <v>12471</v>
      </c>
      <c r="C6109" s="9" t="s">
        <v>12472</v>
      </c>
      <c r="D6109" s="9" t="s">
        <v>647</v>
      </c>
      <c r="E6109" s="6" t="s">
        <v>12518</v>
      </c>
      <c r="F6109" s="9"/>
    </row>
    <row r="6110" ht="33.75" customHeight="1">
      <c r="A6110" s="7">
        <v>215.0</v>
      </c>
      <c r="B6110" s="9" t="s">
        <v>12471</v>
      </c>
      <c r="C6110" s="9" t="s">
        <v>12472</v>
      </c>
      <c r="D6110" s="9" t="s">
        <v>652</v>
      </c>
      <c r="E6110" s="6" t="s">
        <v>12521</v>
      </c>
      <c r="F6110" s="9"/>
    </row>
    <row r="6111" ht="33.75" customHeight="1">
      <c r="A6111" s="7">
        <v>215.0</v>
      </c>
      <c r="B6111" s="9" t="s">
        <v>12471</v>
      </c>
      <c r="C6111" s="9" t="s">
        <v>12472</v>
      </c>
      <c r="D6111" s="9" t="s">
        <v>114</v>
      </c>
      <c r="E6111" s="6" t="s">
        <v>12474</v>
      </c>
      <c r="F6111" s="9"/>
    </row>
    <row r="6112" ht="33.75" customHeight="1">
      <c r="A6112" s="7">
        <v>215.0</v>
      </c>
      <c r="B6112" s="9" t="s">
        <v>12471</v>
      </c>
      <c r="C6112" s="9" t="s">
        <v>12472</v>
      </c>
      <c r="D6112" s="9" t="s">
        <v>117</v>
      </c>
      <c r="E6112" s="6" t="s">
        <v>12513</v>
      </c>
      <c r="F6112" s="9"/>
    </row>
    <row r="6113" ht="33.75" customHeight="1">
      <c r="A6113" s="7">
        <v>215.0</v>
      </c>
      <c r="B6113" s="9" t="s">
        <v>12471</v>
      </c>
      <c r="C6113" s="9" t="s">
        <v>12472</v>
      </c>
      <c r="D6113" s="9" t="s">
        <v>1577</v>
      </c>
      <c r="E6113" s="6" t="s">
        <v>12526</v>
      </c>
      <c r="F6113" s="9"/>
    </row>
    <row r="6114" ht="33.75" customHeight="1">
      <c r="A6114" s="7">
        <v>216.0</v>
      </c>
      <c r="B6114" s="9" t="s">
        <v>12527</v>
      </c>
      <c r="C6114" s="9" t="s">
        <v>12529</v>
      </c>
      <c r="D6114" s="9" t="s">
        <v>52</v>
      </c>
      <c r="E6114" s="6" t="s">
        <v>12530</v>
      </c>
      <c r="F6114" t="inlineStr" s="10">
        <is>
          <t xml:space="preserve">Jos se löytää hunajaa, Teddiursan puolikuu hohtaa. Se nuolee aina tassujaan, koska ne ovat hunajasta läpimärät. Ennen kuin ruoasta tulee talvella niukkaa, sillä on tapana hamstrata ruokaa moniin piilopaikkoihin. Se nuolee aina hunajaa. Sen kämmen maistuu makealta kaiken sen hunajan vuoksi, jota se on imenyt. Tämä POKéMON nuolee mielellään hunajasta makeutettuja kämmeniään. TEDDIURSA valmistaa omaa hunajaansa sekoittamalla BEEDRILLin keräämiä hedelmiä ja siitepölyä. Se nuolee kämmeniään, jotka ovat makeutuneet liottamalla niitä hunajassa. Ennen kuin ruoasta tulee niukkaa talvella, sillä on tapana hamstrata ruokaa moniin piilopaikkoihin. Se antaa hunajan imeytyä tassuihinsa, jotta se voi nuolla niitä koko ajan. Jokainen tassu maistuu ainutlaatuiselta. Tämä Pokémon nuolee mielellään hunajaan kastettuja kämmeniään, jotka ovat makeuttaneet ne. Se nuolee tassujaan niihin imeytyneen makean hunajan vuoksi. Se on ovela, hiipii Combeen pesiin ja ottaa itselleen Combeen keräämän hunajan.</t>
        </is>
      </c>
    </row>
    <row r="6115" ht="33.75" customHeight="1">
      <c r="A6115" s="7">
        <v>216.0</v>
      </c>
      <c r="B6115" s="9" t="s">
        <v>12527</v>
      </c>
      <c r="C6115" s="9" t="s">
        <v>12529</v>
      </c>
      <c r="D6115" s="9" t="s">
        <v>59</v>
      </c>
      <c r="E6115" s="6" t="s">
        <v>12532</v>
      </c>
      <c r="F6115" s="9"/>
    </row>
    <row r="6116" ht="33.75" customHeight="1">
      <c r="A6116" s="7">
        <v>216.0</v>
      </c>
      <c r="B6116" s="9" t="s">
        <v>12527</v>
      </c>
      <c r="C6116" s="9" t="s">
        <v>12529</v>
      </c>
      <c r="D6116" s="9" t="s">
        <v>64</v>
      </c>
      <c r="E6116" s="6" t="s">
        <v>12533</v>
      </c>
      <c r="F6116" s="9"/>
    </row>
    <row r="6117" ht="33.75" customHeight="1">
      <c r="A6117" s="7">
        <v>216.0</v>
      </c>
      <c r="B6117" s="9" t="s">
        <v>12527</v>
      </c>
      <c r="C6117" s="9" t="s">
        <v>12529</v>
      </c>
      <c r="D6117" s="9" t="s">
        <v>67</v>
      </c>
      <c r="E6117" s="6" t="s">
        <v>12535</v>
      </c>
      <c r="F6117" s="9"/>
    </row>
    <row r="6118" ht="33.75" customHeight="1">
      <c r="A6118" s="7">
        <v>216.0</v>
      </c>
      <c r="B6118" s="9" t="s">
        <v>12527</v>
      </c>
      <c r="C6118" s="9" t="s">
        <v>12529</v>
      </c>
      <c r="D6118" s="9" t="s">
        <v>71</v>
      </c>
      <c r="E6118" s="6" t="s">
        <v>12535</v>
      </c>
      <c r="F6118" s="9"/>
    </row>
    <row r="6119" ht="33.75" customHeight="1">
      <c r="A6119" s="7">
        <v>216.0</v>
      </c>
      <c r="B6119" s="9" t="s">
        <v>12527</v>
      </c>
      <c r="C6119" s="9" t="s">
        <v>12529</v>
      </c>
      <c r="D6119" s="9" t="s">
        <v>73</v>
      </c>
      <c r="E6119" s="6" t="s">
        <v>12540</v>
      </c>
      <c r="F6119" s="9"/>
    </row>
    <row r="6120" ht="33.75" customHeight="1">
      <c r="A6120" s="7">
        <v>216.0</v>
      </c>
      <c r="B6120" s="9" t="s">
        <v>12527</v>
      </c>
      <c r="C6120" s="9" t="s">
        <v>12529</v>
      </c>
      <c r="D6120" s="9" t="s">
        <v>75</v>
      </c>
      <c r="E6120" s="6" t="s">
        <v>12543</v>
      </c>
      <c r="F6120" s="9"/>
    </row>
    <row r="6121" ht="33.75" customHeight="1">
      <c r="A6121" s="7">
        <v>216.0</v>
      </c>
      <c r="B6121" s="9" t="s">
        <v>12527</v>
      </c>
      <c r="C6121" s="9" t="s">
        <v>12529</v>
      </c>
      <c r="D6121" s="9" t="s">
        <v>79</v>
      </c>
      <c r="E6121" s="6" t="s">
        <v>12530</v>
      </c>
      <c r="F6121" s="9"/>
    </row>
    <row r="6122" ht="33.75" customHeight="1">
      <c r="A6122" s="7">
        <v>216.0</v>
      </c>
      <c r="B6122" s="9" t="s">
        <v>12527</v>
      </c>
      <c r="C6122" s="9" t="s">
        <v>12529</v>
      </c>
      <c r="D6122" s="9" t="s">
        <v>81</v>
      </c>
      <c r="E6122" s="6" t="s">
        <v>12547</v>
      </c>
      <c r="F6122" s="9"/>
    </row>
    <row r="6123" ht="33.75" customHeight="1">
      <c r="A6123" s="7">
        <v>216.0</v>
      </c>
      <c r="B6123" s="9" t="s">
        <v>12527</v>
      </c>
      <c r="C6123" s="9" t="s">
        <v>12529</v>
      </c>
      <c r="D6123" s="9" t="s">
        <v>84</v>
      </c>
      <c r="E6123" s="6" t="s">
        <v>12547</v>
      </c>
      <c r="F6123" s="9"/>
    </row>
    <row r="6124" ht="33.75" customHeight="1">
      <c r="A6124" s="7">
        <v>216.0</v>
      </c>
      <c r="B6124" s="9" t="s">
        <v>12527</v>
      </c>
      <c r="C6124" s="9" t="s">
        <v>12529</v>
      </c>
      <c r="D6124" s="9" t="s">
        <v>87</v>
      </c>
      <c r="E6124" s="6" t="s">
        <v>12547</v>
      </c>
      <c r="F6124" s="9"/>
    </row>
    <row r="6125" ht="33.75" customHeight="1">
      <c r="A6125" s="7">
        <v>216.0</v>
      </c>
      <c r="B6125" s="9" t="s">
        <v>12527</v>
      </c>
      <c r="C6125" s="9" t="s">
        <v>12529</v>
      </c>
      <c r="D6125" s="9" t="s">
        <v>89</v>
      </c>
      <c r="E6125" s="6" t="s">
        <v>12530</v>
      </c>
      <c r="F6125" s="9"/>
    </row>
    <row r="6126" ht="33.75" customHeight="1">
      <c r="A6126" s="7">
        <v>216.0</v>
      </c>
      <c r="B6126" s="9" t="s">
        <v>12527</v>
      </c>
      <c r="C6126" s="9" t="s">
        <v>12529</v>
      </c>
      <c r="D6126" s="9" t="s">
        <v>91</v>
      </c>
      <c r="E6126" s="6" t="s">
        <v>12543</v>
      </c>
      <c r="F6126" s="9"/>
    </row>
    <row r="6127" ht="33.75" customHeight="1">
      <c r="A6127" s="7">
        <v>216.0</v>
      </c>
      <c r="B6127" s="9" t="s">
        <v>12527</v>
      </c>
      <c r="C6127" s="9" t="s">
        <v>12529</v>
      </c>
      <c r="D6127" s="9" t="s">
        <v>93</v>
      </c>
      <c r="E6127" s="6" t="s">
        <v>12547</v>
      </c>
      <c r="F6127" s="9"/>
    </row>
    <row r="6128" ht="33.75" customHeight="1">
      <c r="A6128" s="7">
        <v>216.0</v>
      </c>
      <c r="B6128" s="9" t="s">
        <v>12527</v>
      </c>
      <c r="C6128" s="9" t="s">
        <v>12529</v>
      </c>
      <c r="D6128" s="9" t="s">
        <v>95</v>
      </c>
      <c r="E6128" s="6" t="s">
        <v>12547</v>
      </c>
      <c r="F6128" s="9"/>
    </row>
    <row r="6129" ht="33.75" customHeight="1">
      <c r="A6129" s="7">
        <v>216.0</v>
      </c>
      <c r="B6129" s="9" t="s">
        <v>12527</v>
      </c>
      <c r="C6129" s="9" t="s">
        <v>12529</v>
      </c>
      <c r="D6129" s="9" t="s">
        <v>98</v>
      </c>
      <c r="E6129" s="6" t="s">
        <v>12547</v>
      </c>
      <c r="F6129" s="9"/>
    </row>
    <row r="6130" ht="33.75" customHeight="1">
      <c r="A6130" s="7">
        <v>216.0</v>
      </c>
      <c r="B6130" s="9" t="s">
        <v>12527</v>
      </c>
      <c r="C6130" s="9" t="s">
        <v>12529</v>
      </c>
      <c r="D6130" s="9" t="s">
        <v>99</v>
      </c>
      <c r="E6130" s="6" t="s">
        <v>12547</v>
      </c>
      <c r="F6130" s="9"/>
    </row>
    <row r="6131" ht="33.75" customHeight="1">
      <c r="A6131" s="7">
        <v>216.0</v>
      </c>
      <c r="B6131" s="9" t="s">
        <v>12527</v>
      </c>
      <c r="C6131" s="9" t="s">
        <v>12529</v>
      </c>
      <c r="D6131" s="9" t="s">
        <v>101</v>
      </c>
      <c r="E6131" s="6" t="s">
        <v>12530</v>
      </c>
      <c r="F6131" s="9"/>
    </row>
    <row r="6132" ht="33.75" customHeight="1">
      <c r="A6132" s="7">
        <v>216.0</v>
      </c>
      <c r="B6132" s="9" t="s">
        <v>12527</v>
      </c>
      <c r="C6132" s="9" t="s">
        <v>12529</v>
      </c>
      <c r="D6132" s="9" t="s">
        <v>105</v>
      </c>
      <c r="E6132" s="6" t="s">
        <v>12543</v>
      </c>
      <c r="F6132" s="9"/>
    </row>
    <row r="6133" ht="33.75" customHeight="1">
      <c r="A6133" s="7">
        <v>216.0</v>
      </c>
      <c r="B6133" s="9" t="s">
        <v>12527</v>
      </c>
      <c r="C6133" s="9" t="s">
        <v>12529</v>
      </c>
      <c r="D6133" s="9" t="s">
        <v>107</v>
      </c>
      <c r="E6133" s="6" t="s">
        <v>12560</v>
      </c>
      <c r="F6133" s="9"/>
    </row>
    <row r="6134" ht="33.75" customHeight="1">
      <c r="A6134" s="7">
        <v>216.0</v>
      </c>
      <c r="B6134" s="9" t="s">
        <v>12527</v>
      </c>
      <c r="C6134" s="9" t="s">
        <v>12529</v>
      </c>
      <c r="D6134" s="9" t="s">
        <v>109</v>
      </c>
      <c r="E6134" s="6" t="s">
        <v>12560</v>
      </c>
      <c r="F6134" s="9"/>
    </row>
    <row r="6135" ht="33.75" customHeight="1">
      <c r="A6135" s="7">
        <v>216.0</v>
      </c>
      <c r="B6135" s="9" t="s">
        <v>12527</v>
      </c>
      <c r="C6135" s="9" t="s">
        <v>12529</v>
      </c>
      <c r="D6135" s="9" t="s">
        <v>1577</v>
      </c>
      <c r="E6135" s="6" t="s">
        <v>12563</v>
      </c>
      <c r="F6135" s="9"/>
    </row>
    <row r="6136" ht="33.75" customHeight="1">
      <c r="A6136" s="7">
        <v>217.0</v>
      </c>
      <c r="B6136" s="9" t="s">
        <v>12564</v>
      </c>
      <c r="C6136" s="9" t="s">
        <v>12565</v>
      </c>
      <c r="D6136" s="9" t="s">
        <v>52</v>
      </c>
      <c r="E6136" s="6" t="s">
        <v>12567</v>
      </c>
      <c r="F6136" t="inlineStr" s="10">
        <is>
          <t xml:space="preserve">Vaikka se on hyvä kiipeilijä, se mieluiten napsailee puita etujaloillaan ja syö pudonneita MARJOJA. Kykynsä erottaa minkä tahansa aromin ansiosta se löytää erehtymättä kaiken syvällä maan alla olevan ruoan. Vaikka sillä on suuri ruumis, se on melko taitava kiipeilemään puissa. Se syö ja nukkuu puiden latvoissa. URSARINGien asuttamissa metsissä sanotaan olevan monia puroja ja korkeita puita, joista ne keräävät ruokaa. Tämä POKéMON kävelee metsänsä läpi keräämässä ruokaa joka päivä. Metsissä sanotaan olevan paljon puroja ja korkeita puita, joista ursaari kerää ravintoa. Se vaeltaa metsässään keräämässä ravintoa joka päivä. Kykynsä erottaa minkä tahansa hajun ansiosta se löytää erehtymättä kaiken syvällä maan alla olevan ruoan. Vaikka se on hyvä kiipeilijä, se mieluiten katkaisee paksuja puita etujaloillaan ja syö pudonneita MARJOJA. Se jättää alueellaan naarmuja puihin, jotka tuottavat herkullisia marjoja tai hedelmiä. Ursaringin asuttamissa metsissä sanotaan olevan monia puroja ja korkeita puita, joista ne keräävät ruokaa. Kun kylmä vuodenaika saapuu Hisuihin, tämä Pokémon vaeltaa pelloilla ja vuorilla etsien lempimarjojaan. Ursaringin nälkä tänä aikana tekee siitä raivokkaan vaaran.</t>
        </is>
      </c>
    </row>
    <row r="6137" ht="33.75" customHeight="1">
      <c r="A6137" s="7">
        <v>217.0</v>
      </c>
      <c r="B6137" s="9" t="s">
        <v>12564</v>
      </c>
      <c r="C6137" s="9" t="s">
        <v>12565</v>
      </c>
      <c r="D6137" s="9" t="s">
        <v>59</v>
      </c>
      <c r="E6137" s="6" t="s">
        <v>12568</v>
      </c>
      <c r="F6137" s="9"/>
    </row>
    <row r="6138" ht="33.75" customHeight="1">
      <c r="A6138" s="7">
        <v>217.0</v>
      </c>
      <c r="B6138" s="9" t="s">
        <v>12564</v>
      </c>
      <c r="C6138" s="9" t="s">
        <v>12565</v>
      </c>
      <c r="D6138" s="9" t="s">
        <v>64</v>
      </c>
      <c r="E6138" s="6" t="s">
        <v>12570</v>
      </c>
      <c r="F6138" s="9"/>
    </row>
    <row r="6139" ht="33.75" customHeight="1">
      <c r="A6139" s="7">
        <v>217.0</v>
      </c>
      <c r="B6139" s="9" t="s">
        <v>12564</v>
      </c>
      <c r="C6139" s="9" t="s">
        <v>12565</v>
      </c>
      <c r="D6139" s="9" t="s">
        <v>67</v>
      </c>
      <c r="E6139" s="6" t="s">
        <v>12572</v>
      </c>
      <c r="F6139" s="9"/>
    </row>
    <row r="6140" ht="33.75" customHeight="1">
      <c r="A6140" s="7">
        <v>217.0</v>
      </c>
      <c r="B6140" s="9" t="s">
        <v>12564</v>
      </c>
      <c r="C6140" s="9" t="s">
        <v>12565</v>
      </c>
      <c r="D6140" s="9" t="s">
        <v>71</v>
      </c>
      <c r="E6140" s="6" t="s">
        <v>12572</v>
      </c>
      <c r="F6140" s="9"/>
    </row>
    <row r="6141" ht="33.75" customHeight="1">
      <c r="A6141" s="7">
        <v>217.0</v>
      </c>
      <c r="B6141" s="9" t="s">
        <v>12564</v>
      </c>
      <c r="C6141" s="9" t="s">
        <v>12565</v>
      </c>
      <c r="D6141" s="9" t="s">
        <v>73</v>
      </c>
      <c r="E6141" s="6" t="s">
        <v>12576</v>
      </c>
      <c r="F6141" s="9"/>
    </row>
    <row r="6142" ht="33.75" customHeight="1">
      <c r="A6142" s="7">
        <v>217.0</v>
      </c>
      <c r="B6142" s="9" t="s">
        <v>12564</v>
      </c>
      <c r="C6142" s="9" t="s">
        <v>12565</v>
      </c>
      <c r="D6142" s="9" t="s">
        <v>75</v>
      </c>
      <c r="E6142" s="6" t="s">
        <v>12578</v>
      </c>
      <c r="F6142" s="9"/>
    </row>
    <row r="6143" ht="33.75" customHeight="1">
      <c r="A6143" s="7">
        <v>217.0</v>
      </c>
      <c r="B6143" s="9" t="s">
        <v>12564</v>
      </c>
      <c r="C6143" s="9" t="s">
        <v>12565</v>
      </c>
      <c r="D6143" s="9" t="s">
        <v>79</v>
      </c>
      <c r="E6143" s="6" t="s">
        <v>12580</v>
      </c>
      <c r="F6143" s="9"/>
    </row>
    <row r="6144" ht="33.75" customHeight="1">
      <c r="A6144" s="7">
        <v>217.0</v>
      </c>
      <c r="B6144" s="9" t="s">
        <v>12564</v>
      </c>
      <c r="C6144" s="9" t="s">
        <v>12565</v>
      </c>
      <c r="D6144" s="9" t="s">
        <v>81</v>
      </c>
      <c r="E6144" s="6" t="s">
        <v>12582</v>
      </c>
      <c r="F6144" s="9"/>
    </row>
    <row r="6145" ht="33.75" customHeight="1">
      <c r="A6145" s="7">
        <v>217.0</v>
      </c>
      <c r="B6145" s="9" t="s">
        <v>12564</v>
      </c>
      <c r="C6145" s="9" t="s">
        <v>12565</v>
      </c>
      <c r="D6145" s="9" t="s">
        <v>84</v>
      </c>
      <c r="E6145" s="6" t="s">
        <v>12582</v>
      </c>
      <c r="F6145" s="9"/>
    </row>
    <row r="6146" ht="33.75" customHeight="1">
      <c r="A6146" s="7">
        <v>217.0</v>
      </c>
      <c r="B6146" s="9" t="s">
        <v>12564</v>
      </c>
      <c r="C6146" s="9" t="s">
        <v>12565</v>
      </c>
      <c r="D6146" s="9" t="s">
        <v>87</v>
      </c>
      <c r="E6146" s="6" t="s">
        <v>12582</v>
      </c>
      <c r="F6146" s="9"/>
    </row>
    <row r="6147" ht="33.75" customHeight="1">
      <c r="A6147" s="7">
        <v>217.0</v>
      </c>
      <c r="B6147" s="9" t="s">
        <v>12564</v>
      </c>
      <c r="C6147" s="9" t="s">
        <v>12565</v>
      </c>
      <c r="D6147" s="9" t="s">
        <v>89</v>
      </c>
      <c r="E6147" s="6" t="s">
        <v>12586</v>
      </c>
      <c r="F6147" s="9"/>
    </row>
    <row r="6148" ht="33.75" customHeight="1">
      <c r="A6148" s="7">
        <v>217.0</v>
      </c>
      <c r="B6148" s="9" t="s">
        <v>12564</v>
      </c>
      <c r="C6148" s="9" t="s">
        <v>12565</v>
      </c>
      <c r="D6148" s="9" t="s">
        <v>91</v>
      </c>
      <c r="E6148" s="6" t="s">
        <v>12568</v>
      </c>
      <c r="F6148" s="9"/>
    </row>
    <row r="6149" ht="33.75" customHeight="1">
      <c r="A6149" s="7">
        <v>217.0</v>
      </c>
      <c r="B6149" s="9" t="s">
        <v>12564</v>
      </c>
      <c r="C6149" s="9" t="s">
        <v>12565</v>
      </c>
      <c r="D6149" s="9" t="s">
        <v>93</v>
      </c>
      <c r="E6149" s="6" t="s">
        <v>12582</v>
      </c>
      <c r="F6149" s="9"/>
    </row>
    <row r="6150" ht="33.75" customHeight="1">
      <c r="A6150" s="7">
        <v>217.0</v>
      </c>
      <c r="B6150" s="9" t="s">
        <v>12564</v>
      </c>
      <c r="C6150" s="9" t="s">
        <v>12565</v>
      </c>
      <c r="D6150" s="9" t="s">
        <v>95</v>
      </c>
      <c r="E6150" s="6" t="s">
        <v>12582</v>
      </c>
      <c r="F6150" s="9"/>
    </row>
    <row r="6151" ht="33.75" customHeight="1">
      <c r="A6151" s="7">
        <v>217.0</v>
      </c>
      <c r="B6151" s="9" t="s">
        <v>12564</v>
      </c>
      <c r="C6151" s="9" t="s">
        <v>12565</v>
      </c>
      <c r="D6151" s="9" t="s">
        <v>98</v>
      </c>
      <c r="E6151" s="6" t="s">
        <v>12582</v>
      </c>
      <c r="F6151" s="9"/>
    </row>
    <row r="6152" ht="33.75" customHeight="1">
      <c r="A6152" s="7">
        <v>217.0</v>
      </c>
      <c r="B6152" s="9" t="s">
        <v>12564</v>
      </c>
      <c r="C6152" s="9" t="s">
        <v>12565</v>
      </c>
      <c r="D6152" s="9" t="s">
        <v>99</v>
      </c>
      <c r="E6152" s="6" t="s">
        <v>12582</v>
      </c>
      <c r="F6152" s="9"/>
    </row>
    <row r="6153" ht="33.75" customHeight="1">
      <c r="A6153" s="7">
        <v>217.0</v>
      </c>
      <c r="B6153" s="9" t="s">
        <v>12564</v>
      </c>
      <c r="C6153" s="9" t="s">
        <v>12565</v>
      </c>
      <c r="D6153" s="9" t="s">
        <v>101</v>
      </c>
      <c r="E6153" s="6" t="s">
        <v>12568</v>
      </c>
      <c r="F6153" s="9"/>
    </row>
    <row r="6154" ht="33.75" customHeight="1">
      <c r="A6154" s="7">
        <v>217.0</v>
      </c>
      <c r="B6154" s="9" t="s">
        <v>12564</v>
      </c>
      <c r="C6154" s="9" t="s">
        <v>12565</v>
      </c>
      <c r="D6154" s="9" t="s">
        <v>105</v>
      </c>
      <c r="E6154" s="6" t="s">
        <v>12570</v>
      </c>
      <c r="F6154" s="9"/>
    </row>
    <row r="6155" ht="33.75" customHeight="1">
      <c r="A6155" s="7">
        <v>217.0</v>
      </c>
      <c r="B6155" s="9" t="s">
        <v>12564</v>
      </c>
      <c r="C6155" s="9" t="s">
        <v>12565</v>
      </c>
      <c r="D6155" s="9" t="s">
        <v>107</v>
      </c>
      <c r="E6155" s="6" t="s">
        <v>12594</v>
      </c>
      <c r="F6155" s="9"/>
    </row>
    <row r="6156" ht="33.75" customHeight="1">
      <c r="A6156" s="7">
        <v>217.0</v>
      </c>
      <c r="B6156" s="9" t="s">
        <v>12564</v>
      </c>
      <c r="C6156" s="9" t="s">
        <v>12565</v>
      </c>
      <c r="D6156" s="9" t="s">
        <v>109</v>
      </c>
      <c r="E6156" s="6" t="s">
        <v>12594</v>
      </c>
      <c r="F6156" s="9"/>
    </row>
    <row r="6157" ht="33.75" customHeight="1">
      <c r="A6157" s="7">
        <v>217.0</v>
      </c>
      <c r="B6157" s="9" t="s">
        <v>12564</v>
      </c>
      <c r="C6157" s="9" t="s">
        <v>12565</v>
      </c>
      <c r="D6157" s="9" t="s">
        <v>1577</v>
      </c>
      <c r="E6157" s="6" t="s">
        <v>12596</v>
      </c>
      <c r="F6157" s="9"/>
    </row>
    <row r="6158" ht="33.75" customHeight="1">
      <c r="A6158" s="7">
        <v>218.0</v>
      </c>
      <c r="B6158" s="9" t="s">
        <v>12597</v>
      </c>
      <c r="C6158" s="9" t="s">
        <v>12598</v>
      </c>
      <c r="D6158" s="9" t="s">
        <v>52</v>
      </c>
      <c r="E6158" s="6" t="s">
        <v>12599</v>
      </c>
      <c r="F6158" t="inlineStr" s="10">
        <is>
          <t xml:space="preserve">Slugma ei koskaan nuku. Sen on jatkuvasti liikkeessä, koska jos se pysähtyisi, sen magmamassa jäähtyisi ja kovettuisi. Se on yleinen näky tulivuorialueilla, ja se luikertelee hitaasti ympäriinsä etsien jatkuvasti lämpimiä paikkoja. Nämä ryhmittyvät tavallista kuumemmille alueille. Jos se jäähtyy, sen kuori kovettuu. Sula magma virtaa SLUGMAn verenkiertoelimistössä. Jos tämä POKéMON jäähdytetään, magma jäähtyy ja kovettuu. Sen runko muuttuu hauraaksi ja siitä putoaa paloja, mikä pienentää sen kokoa. SLUGMAlla ei ole verta kehossaan. Sen sijaan erittäin kuuma magma kiertää tämän POKéMONin kehossa kuljettaen välttämättömiä ravinteita ja happea sen elimiin. Se on tulivuorialueilla elävä POKéMON-laji. Jos sen ruumis jäähtyy, sen iho kovettuu ja tekee siitä liikkumattoman. Tämän välttämiseksi se nukkuu magman lähellä. Yleinen näky tulivuorialueilla, se luikertelee hitaasti ympäriinsä etsien jatkuvasti lämpimiä paikkoja. Sen runko on tehty magmasta. Jos se ei pysy liikkeessä, se jäähtyy ja kovettuu. Sen ruumis muuttuu hauraaksi ja siitä putoaa paloja, mikä pienentää sen kokoa.</t>
        </is>
      </c>
    </row>
    <row r="6159" ht="33.75" customHeight="1">
      <c r="A6159" s="7">
        <v>218.0</v>
      </c>
      <c r="B6159" s="9" t="s">
        <v>12597</v>
      </c>
      <c r="C6159" s="9" t="s">
        <v>12598</v>
      </c>
      <c r="D6159" s="9" t="s">
        <v>59</v>
      </c>
      <c r="E6159" s="6" t="s">
        <v>12601</v>
      </c>
      <c r="F6159" s="9"/>
    </row>
    <row r="6160" ht="33.75" customHeight="1">
      <c r="A6160" s="7">
        <v>218.0</v>
      </c>
      <c r="B6160" s="9" t="s">
        <v>12597</v>
      </c>
      <c r="C6160" s="9" t="s">
        <v>12598</v>
      </c>
      <c r="D6160" s="9" t="s">
        <v>64</v>
      </c>
      <c r="E6160" s="6" t="s">
        <v>12604</v>
      </c>
      <c r="F6160" s="9"/>
    </row>
    <row r="6161" ht="33.75" customHeight="1">
      <c r="A6161" s="7">
        <v>218.0</v>
      </c>
      <c r="B6161" s="9" t="s">
        <v>12597</v>
      </c>
      <c r="C6161" s="9" t="s">
        <v>12598</v>
      </c>
      <c r="D6161" s="9" t="s">
        <v>67</v>
      </c>
      <c r="E6161" s="6" t="s">
        <v>12606</v>
      </c>
      <c r="F6161" s="9"/>
    </row>
    <row r="6162" ht="33.75" customHeight="1">
      <c r="A6162" s="7">
        <v>218.0</v>
      </c>
      <c r="B6162" s="9" t="s">
        <v>12597</v>
      </c>
      <c r="C6162" s="9" t="s">
        <v>12598</v>
      </c>
      <c r="D6162" s="9" t="s">
        <v>71</v>
      </c>
      <c r="E6162" s="6" t="s">
        <v>12609</v>
      </c>
      <c r="F6162" s="9"/>
    </row>
    <row r="6163" ht="33.75" customHeight="1">
      <c r="A6163" s="7">
        <v>218.0</v>
      </c>
      <c r="B6163" s="9" t="s">
        <v>12597</v>
      </c>
      <c r="C6163" s="9" t="s">
        <v>12598</v>
      </c>
      <c r="D6163" s="9" t="s">
        <v>73</v>
      </c>
      <c r="E6163" s="6" t="s">
        <v>12611</v>
      </c>
      <c r="F6163" s="9"/>
    </row>
    <row r="6164" ht="33.75" customHeight="1">
      <c r="A6164" s="7">
        <v>218.0</v>
      </c>
      <c r="B6164" s="9" t="s">
        <v>12597</v>
      </c>
      <c r="C6164" s="9" t="s">
        <v>12598</v>
      </c>
      <c r="D6164" s="9" t="s">
        <v>75</v>
      </c>
      <c r="E6164" s="6" t="s">
        <v>12614</v>
      </c>
      <c r="F6164" s="9"/>
    </row>
    <row r="6165" ht="33.75" customHeight="1">
      <c r="A6165" s="7">
        <v>218.0</v>
      </c>
      <c r="B6165" s="9" t="s">
        <v>12597</v>
      </c>
      <c r="C6165" s="9" t="s">
        <v>12598</v>
      </c>
      <c r="D6165" s="9" t="s">
        <v>79</v>
      </c>
      <c r="E6165" s="6" t="s">
        <v>12599</v>
      </c>
      <c r="F6165" s="9"/>
    </row>
    <row r="6166" ht="33.75" customHeight="1">
      <c r="A6166" s="7">
        <v>218.0</v>
      </c>
      <c r="B6166" s="9" t="s">
        <v>12597</v>
      </c>
      <c r="C6166" s="9" t="s">
        <v>12598</v>
      </c>
      <c r="D6166" s="9" t="s">
        <v>81</v>
      </c>
      <c r="E6166" s="6" t="s">
        <v>12617</v>
      </c>
      <c r="F6166" s="9"/>
    </row>
    <row r="6167" ht="33.75" customHeight="1">
      <c r="A6167" s="7">
        <v>218.0</v>
      </c>
      <c r="B6167" s="9" t="s">
        <v>12597</v>
      </c>
      <c r="C6167" s="9" t="s">
        <v>12598</v>
      </c>
      <c r="D6167" s="9" t="s">
        <v>84</v>
      </c>
      <c r="E6167" s="6" t="s">
        <v>12617</v>
      </c>
      <c r="F6167" s="9"/>
    </row>
    <row r="6168" ht="33.75" customHeight="1">
      <c r="A6168" s="7">
        <v>218.0</v>
      </c>
      <c r="B6168" s="9" t="s">
        <v>12597</v>
      </c>
      <c r="C6168" s="9" t="s">
        <v>12598</v>
      </c>
      <c r="D6168" s="9" t="s">
        <v>87</v>
      </c>
      <c r="E6168" s="6" t="s">
        <v>12617</v>
      </c>
      <c r="F6168" s="9"/>
    </row>
    <row r="6169" ht="33.75" customHeight="1">
      <c r="A6169" s="7">
        <v>218.0</v>
      </c>
      <c r="B6169" s="9" t="s">
        <v>12597</v>
      </c>
      <c r="C6169" s="9" t="s">
        <v>12598</v>
      </c>
      <c r="D6169" s="9" t="s">
        <v>89</v>
      </c>
      <c r="E6169" s="6" t="s">
        <v>12599</v>
      </c>
      <c r="F6169" s="9"/>
    </row>
    <row r="6170" ht="33.75" customHeight="1">
      <c r="A6170" s="7">
        <v>218.0</v>
      </c>
      <c r="B6170" s="9" t="s">
        <v>12597</v>
      </c>
      <c r="C6170" s="9" t="s">
        <v>12598</v>
      </c>
      <c r="D6170" s="9" t="s">
        <v>91</v>
      </c>
      <c r="E6170" s="6" t="s">
        <v>12614</v>
      </c>
      <c r="F6170" s="9"/>
    </row>
    <row r="6171" ht="33.75" customHeight="1">
      <c r="A6171" s="7">
        <v>218.0</v>
      </c>
      <c r="B6171" s="9" t="s">
        <v>12597</v>
      </c>
      <c r="C6171" s="9" t="s">
        <v>12598</v>
      </c>
      <c r="D6171" s="9" t="s">
        <v>93</v>
      </c>
      <c r="E6171" s="6" t="s">
        <v>12617</v>
      </c>
      <c r="F6171" s="9"/>
    </row>
    <row r="6172" ht="33.75" customHeight="1">
      <c r="A6172" s="7">
        <v>218.0</v>
      </c>
      <c r="B6172" s="9" t="s">
        <v>12597</v>
      </c>
      <c r="C6172" s="9" t="s">
        <v>12598</v>
      </c>
      <c r="D6172" s="9" t="s">
        <v>95</v>
      </c>
      <c r="E6172" s="6" t="s">
        <v>12617</v>
      </c>
      <c r="F6172" s="9"/>
    </row>
    <row r="6173" ht="33.75" customHeight="1">
      <c r="A6173" s="7">
        <v>218.0</v>
      </c>
      <c r="B6173" s="9" t="s">
        <v>12597</v>
      </c>
      <c r="C6173" s="9" t="s">
        <v>12598</v>
      </c>
      <c r="D6173" s="9" t="s">
        <v>98</v>
      </c>
      <c r="E6173" s="6" t="s">
        <v>12617</v>
      </c>
      <c r="F6173" s="9"/>
    </row>
    <row r="6174" ht="33.75" customHeight="1">
      <c r="A6174" s="7">
        <v>218.0</v>
      </c>
      <c r="B6174" s="9" t="s">
        <v>12597</v>
      </c>
      <c r="C6174" s="9" t="s">
        <v>12598</v>
      </c>
      <c r="D6174" s="9" t="s">
        <v>99</v>
      </c>
      <c r="E6174" s="6" t="s">
        <v>12617</v>
      </c>
      <c r="F6174" s="9"/>
    </row>
    <row r="6175" ht="33.75" customHeight="1">
      <c r="A6175" s="7">
        <v>218.0</v>
      </c>
      <c r="B6175" s="9" t="s">
        <v>12597</v>
      </c>
      <c r="C6175" s="9" t="s">
        <v>12598</v>
      </c>
      <c r="D6175" s="9" t="s">
        <v>101</v>
      </c>
      <c r="E6175" s="6" t="s">
        <v>12614</v>
      </c>
      <c r="F6175" s="9"/>
    </row>
    <row r="6176" ht="33.75" customHeight="1">
      <c r="A6176" s="7">
        <v>218.0</v>
      </c>
      <c r="B6176" s="9" t="s">
        <v>12597</v>
      </c>
      <c r="C6176" s="9" t="s">
        <v>12598</v>
      </c>
      <c r="D6176" s="9" t="s">
        <v>105</v>
      </c>
      <c r="E6176" s="6" t="s">
        <v>12617</v>
      </c>
      <c r="F6176" s="9"/>
    </row>
    <row r="6177" ht="33.75" customHeight="1">
      <c r="A6177" s="7">
        <v>218.0</v>
      </c>
      <c r="B6177" s="9" t="s">
        <v>12597</v>
      </c>
      <c r="C6177" s="9" t="s">
        <v>12598</v>
      </c>
      <c r="D6177" s="9" t="s">
        <v>107</v>
      </c>
      <c r="E6177" s="6" t="s">
        <v>12632</v>
      </c>
      <c r="F6177" s="9"/>
    </row>
    <row r="6178" ht="33.75" customHeight="1">
      <c r="A6178" s="7">
        <v>218.0</v>
      </c>
      <c r="B6178" s="9" t="s">
        <v>12597</v>
      </c>
      <c r="C6178" s="9" t="s">
        <v>12598</v>
      </c>
      <c r="D6178" s="9" t="s">
        <v>109</v>
      </c>
      <c r="E6178" s="6" t="s">
        <v>12635</v>
      </c>
      <c r="F6178" s="9"/>
    </row>
    <row r="6179" ht="33.75" customHeight="1">
      <c r="A6179" s="7">
        <v>219.0</v>
      </c>
      <c r="B6179" s="9" t="s">
        <v>12637</v>
      </c>
      <c r="C6179" s="9" t="s">
        <v>12598</v>
      </c>
      <c r="D6179" s="9" t="s">
        <v>52</v>
      </c>
      <c r="E6179" s="6" t="s">
        <v>12639</v>
      </c>
      <c r="F6179" t="inlineStr" s="10">
        <is>
          <t xml:space="preserve">Magcargon selkäpuolella oleva kuori on vain jäähtynyttä ja kovettunutta ihoa. Se rikkoutuu helposti pienestä kosketuksesta. Sen hauras kuori suihkuttaa ajoittain voimakkaita liekkejä, jotka kiertävät koko sen ruumiissa. Sen ruumis on kuuma kuin laava ja se paisuu jatkuvasti. Liekit purkautuvat ajoittain sen kuoresta. MAGCARGOn kuori on itse asiassa sen jäähtymisen kovettama iho. Sen kuori on hyvin hauras ja herkkä – jo pelkkä sen koskettaminen saa sen murenemaan. Tämä POKéMON palaa alkuperäiseen kokoonsa upottamalla itsensä magmaan. MAGCARGOn ruumiinlämpötila on noin 18 000 Fahrenheit-astetta. Vesi höyrystyy kosketuksessa sen kanssa. Jos tämä POKéMON joutuu sateeseen, sadepisarat muuttuvat välittömästi höyryksi ja peittävät alueen paksuun sumuun. Sen selkäpuolella oleva kuori on tehty kovettuneesta magmasta. Kymmenien tuhansien vuosien aikana tulivuoren kraattereissa eläminen on muuttanut MAGCARGOn ruumiit magmaksi. Sen hauras kuori suihkuttaa ajoittain voimakkaita liekkejä, jotka kiertävät koko kehossa. Sen ruumiinlämpötila on noin 18 000 Fahrenheit-astetta. Liekit purkautuvat sen kovettuneessa kuoressa olevista raoista. Magcargon kuori on itse asiassa sen iho, joka kovettuu jäähtymisen seurauksena. Sen kuori on hyvin hauras ja hauras – jo pelkkä sen koskettaminen saa sen murenemaan. Magcargon ruumiinlämpö on noin 18 000 Fahrenheit-astetta. Vesi höyrystyy kosketuksessa.</t>
        </is>
      </c>
    </row>
    <row r="6180" ht="33.75" customHeight="1">
      <c r="A6180" s="7">
        <v>219.0</v>
      </c>
      <c r="B6180" s="9" t="s">
        <v>12637</v>
      </c>
      <c r="C6180" s="9" t="s">
        <v>12598</v>
      </c>
      <c r="D6180" s="9" t="s">
        <v>59</v>
      </c>
      <c r="E6180" s="6" t="s">
        <v>12643</v>
      </c>
      <c r="F6180" s="9"/>
    </row>
    <row r="6181" ht="33.75" customHeight="1">
      <c r="A6181" s="7">
        <v>219.0</v>
      </c>
      <c r="B6181" s="9" t="s">
        <v>12637</v>
      </c>
      <c r="C6181" s="9" t="s">
        <v>12598</v>
      </c>
      <c r="D6181" s="9" t="s">
        <v>64</v>
      </c>
      <c r="E6181" s="6" t="s">
        <v>12647</v>
      </c>
      <c r="F6181" s="9"/>
    </row>
    <row r="6182" ht="33.75" customHeight="1">
      <c r="A6182" s="7">
        <v>219.0</v>
      </c>
      <c r="B6182" s="9" t="s">
        <v>12637</v>
      </c>
      <c r="C6182" s="9" t="s">
        <v>12598</v>
      </c>
      <c r="D6182" s="9" t="s">
        <v>67</v>
      </c>
      <c r="E6182" s="6" t="s">
        <v>12651</v>
      </c>
      <c r="F6182" s="9"/>
    </row>
    <row r="6183" ht="33.75" customHeight="1">
      <c r="A6183" s="7">
        <v>219.0</v>
      </c>
      <c r="B6183" s="9" t="s">
        <v>12637</v>
      </c>
      <c r="C6183" s="9" t="s">
        <v>12598</v>
      </c>
      <c r="D6183" s="9" t="s">
        <v>71</v>
      </c>
      <c r="E6183" s="6" t="s">
        <v>12654</v>
      </c>
      <c r="F6183" s="9"/>
    </row>
    <row r="6184" ht="33.75" customHeight="1">
      <c r="A6184" s="7">
        <v>219.0</v>
      </c>
      <c r="B6184" s="9" t="s">
        <v>12637</v>
      </c>
      <c r="C6184" s="9" t="s">
        <v>12598</v>
      </c>
      <c r="D6184" s="9" t="s">
        <v>73</v>
      </c>
      <c r="E6184" s="6" t="s">
        <v>12657</v>
      </c>
      <c r="F6184" s="9"/>
    </row>
    <row r="6185" ht="33.75" customHeight="1">
      <c r="A6185" s="7">
        <v>219.0</v>
      </c>
      <c r="B6185" s="9" t="s">
        <v>12637</v>
      </c>
      <c r="C6185" s="9" t="s">
        <v>12598</v>
      </c>
      <c r="D6185" s="9" t="s">
        <v>75</v>
      </c>
      <c r="E6185" s="6" t="s">
        <v>12659</v>
      </c>
      <c r="F6185" s="9"/>
    </row>
    <row r="6186" ht="33.75" customHeight="1">
      <c r="A6186" s="7">
        <v>219.0</v>
      </c>
      <c r="B6186" s="9" t="s">
        <v>12637</v>
      </c>
      <c r="C6186" s="9" t="s">
        <v>12598</v>
      </c>
      <c r="D6186" s="9" t="s">
        <v>79</v>
      </c>
      <c r="E6186" s="6" t="s">
        <v>12639</v>
      </c>
      <c r="F6186" s="9"/>
    </row>
    <row r="6187" ht="33.75" customHeight="1">
      <c r="A6187" s="7">
        <v>219.0</v>
      </c>
      <c r="B6187" s="9" t="s">
        <v>12637</v>
      </c>
      <c r="C6187" s="9" t="s">
        <v>12598</v>
      </c>
      <c r="D6187" s="9" t="s">
        <v>81</v>
      </c>
      <c r="E6187" s="6" t="s">
        <v>12662</v>
      </c>
      <c r="F6187" s="9"/>
    </row>
    <row r="6188" ht="33.75" customHeight="1">
      <c r="A6188" s="7">
        <v>219.0</v>
      </c>
      <c r="B6188" s="9" t="s">
        <v>12637</v>
      </c>
      <c r="C6188" s="9" t="s">
        <v>12598</v>
      </c>
      <c r="D6188" s="9" t="s">
        <v>84</v>
      </c>
      <c r="E6188" s="6" t="s">
        <v>12662</v>
      </c>
      <c r="F6188" s="9"/>
    </row>
    <row r="6189" ht="33.75" customHeight="1">
      <c r="A6189" s="7">
        <v>219.0</v>
      </c>
      <c r="B6189" s="9" t="s">
        <v>12637</v>
      </c>
      <c r="C6189" s="9" t="s">
        <v>12598</v>
      </c>
      <c r="D6189" s="9" t="s">
        <v>87</v>
      </c>
      <c r="E6189" s="6" t="s">
        <v>12662</v>
      </c>
      <c r="F6189" s="9"/>
    </row>
    <row r="6190" ht="33.75" customHeight="1">
      <c r="A6190" s="7">
        <v>219.0</v>
      </c>
      <c r="B6190" s="9" t="s">
        <v>12637</v>
      </c>
      <c r="C6190" s="9" t="s">
        <v>12598</v>
      </c>
      <c r="D6190" s="9" t="s">
        <v>89</v>
      </c>
      <c r="E6190" s="6" t="s">
        <v>12639</v>
      </c>
      <c r="F6190" s="9"/>
    </row>
    <row r="6191" ht="33.75" customHeight="1">
      <c r="A6191" s="7">
        <v>219.0</v>
      </c>
      <c r="B6191" s="9" t="s">
        <v>12637</v>
      </c>
      <c r="C6191" s="9" t="s">
        <v>12598</v>
      </c>
      <c r="D6191" s="9" t="s">
        <v>91</v>
      </c>
      <c r="E6191" s="6" t="s">
        <v>12659</v>
      </c>
      <c r="F6191" s="9"/>
    </row>
    <row r="6192" ht="33.75" customHeight="1">
      <c r="A6192" s="7">
        <v>219.0</v>
      </c>
      <c r="B6192" s="9" t="s">
        <v>12637</v>
      </c>
      <c r="C6192" s="9" t="s">
        <v>12598</v>
      </c>
      <c r="D6192" s="9" t="s">
        <v>93</v>
      </c>
      <c r="E6192" s="6" t="s">
        <v>12662</v>
      </c>
      <c r="F6192" s="9"/>
    </row>
    <row r="6193" ht="33.75" customHeight="1">
      <c r="A6193" s="7">
        <v>219.0</v>
      </c>
      <c r="B6193" s="9" t="s">
        <v>12637</v>
      </c>
      <c r="C6193" s="9" t="s">
        <v>12598</v>
      </c>
      <c r="D6193" s="9" t="s">
        <v>95</v>
      </c>
      <c r="E6193" s="6" t="s">
        <v>12662</v>
      </c>
      <c r="F6193" s="9"/>
    </row>
    <row r="6194" ht="33.75" customHeight="1">
      <c r="A6194" s="7">
        <v>219.0</v>
      </c>
      <c r="B6194" s="9" t="s">
        <v>12637</v>
      </c>
      <c r="C6194" s="9" t="s">
        <v>12598</v>
      </c>
      <c r="D6194" s="9" t="s">
        <v>98</v>
      </c>
      <c r="E6194" s="6" t="s">
        <v>12662</v>
      </c>
      <c r="F6194" s="9"/>
    </row>
    <row r="6195" ht="33.75" customHeight="1">
      <c r="A6195" s="7">
        <v>219.0</v>
      </c>
      <c r="B6195" s="9" t="s">
        <v>12637</v>
      </c>
      <c r="C6195" s="9" t="s">
        <v>12598</v>
      </c>
      <c r="D6195" s="9" t="s">
        <v>99</v>
      </c>
      <c r="E6195" s="6" t="s">
        <v>12662</v>
      </c>
      <c r="F6195" s="9"/>
    </row>
    <row r="6196" ht="33.75" customHeight="1">
      <c r="A6196" s="7">
        <v>219.0</v>
      </c>
      <c r="B6196" s="9" t="s">
        <v>12637</v>
      </c>
      <c r="C6196" s="9" t="s">
        <v>12598</v>
      </c>
      <c r="D6196" s="9" t="s">
        <v>101</v>
      </c>
      <c r="E6196" s="6" t="s">
        <v>12659</v>
      </c>
      <c r="F6196" s="9"/>
    </row>
    <row r="6197" ht="33.75" customHeight="1">
      <c r="A6197" s="7">
        <v>219.0</v>
      </c>
      <c r="B6197" s="9" t="s">
        <v>12637</v>
      </c>
      <c r="C6197" s="9" t="s">
        <v>12598</v>
      </c>
      <c r="D6197" s="9" t="s">
        <v>105</v>
      </c>
      <c r="E6197" s="6" t="s">
        <v>12647</v>
      </c>
      <c r="F6197" s="9"/>
    </row>
    <row r="6198" ht="33.75" customHeight="1">
      <c r="A6198" s="7">
        <v>219.0</v>
      </c>
      <c r="B6198" s="9" t="s">
        <v>12637</v>
      </c>
      <c r="C6198" s="9" t="s">
        <v>12598</v>
      </c>
      <c r="D6198" s="9" t="s">
        <v>107</v>
      </c>
      <c r="E6198" s="6" t="s">
        <v>12671</v>
      </c>
      <c r="F6198" s="9"/>
    </row>
    <row r="6199" ht="33.75" customHeight="1">
      <c r="A6199" s="7">
        <v>219.0</v>
      </c>
      <c r="B6199" s="9" t="s">
        <v>12637</v>
      </c>
      <c r="C6199" s="9" t="s">
        <v>12598</v>
      </c>
      <c r="D6199" s="9" t="s">
        <v>109</v>
      </c>
      <c r="E6199" s="6" t="s">
        <v>12673</v>
      </c>
      <c r="F6199" s="9"/>
    </row>
    <row r="6200" ht="33.75" customHeight="1">
      <c r="A6200" s="7">
        <v>220.0</v>
      </c>
      <c r="B6200" s="9" t="s">
        <v>12675</v>
      </c>
      <c r="C6200" s="9" t="s">
        <v>12676</v>
      </c>
      <c r="D6200" s="9" t="s">
        <v>52</v>
      </c>
      <c r="E6200" s="6" t="s">
        <v>12678</v>
      </c>
      <c r="F6200" t="inlineStr" s="10">
        <is>
          <t xml:space="preserve">Swinub hieroo kuonoaan maahan löytääkseen ja kaivaakseen esiin ruokaa. Joskus se löytää kuumia lähteitä. Jos se haistaa jotain houkuttelevaa, se syöksyy suin päin etsimään tuoksun lähdettä. Se käyttää kuononsa kärkeä ruoan kaivamiseen. Sen kuono on niin sitkeä, että edes jäätynyt maa ei ole ongelma. SWINUB juurruttaa ruokaa hieromalla kuonoaan maata vasten. Sen lempiruoka on sieni, joka kasvaa kuolleen ruohon alla. Tämä POKéMON juurruttaa toisinaan kuumia lähteitä. Se etsii ravintoa hieromalla kuonoaan maata vasten. Sen lempiruoka on sieni, joka kasvaa kuivan ruohon alla. Toisinaan se juurineen kaivaa esiin kuumia lähteitä. Se rakastaa syödä kuolleen ruohon alla kasvavia sieniä. Se löytää myös kuumia lähteitä etsiessään ruokaa. Sillä on erittäin herkkä nenä. Se pystyy paikantamaan sieniä, marjoja ja jopa jään alla olevia kuumia lähteitä. Se työntää kuononsa pään maahan etsien ruokaa. Joskus se jopa kaivaa kuuman lähteen. Swinub on erinomainen nuuhkimaan ruohon tai lumen alle hautautuneet sienet. Muinaisista ajoista lähtien Hisuin kansa on usein luottanut tähän taitoon.</t>
        </is>
      </c>
    </row>
    <row r="6201" ht="33.75" customHeight="1">
      <c r="A6201" s="7">
        <v>220.0</v>
      </c>
      <c r="B6201" s="9" t="s">
        <v>12675</v>
      </c>
      <c r="C6201" s="9" t="s">
        <v>12676</v>
      </c>
      <c r="D6201" s="9" t="s">
        <v>59</v>
      </c>
      <c r="E6201" s="6" t="s">
        <v>12680</v>
      </c>
      <c r="F6201" s="9"/>
    </row>
    <row r="6202" ht="33.75" customHeight="1">
      <c r="A6202" s="7">
        <v>220.0</v>
      </c>
      <c r="B6202" s="9" t="s">
        <v>12675</v>
      </c>
      <c r="C6202" s="9" t="s">
        <v>12676</v>
      </c>
      <c r="D6202" s="9" t="s">
        <v>64</v>
      </c>
      <c r="E6202" s="6" t="s">
        <v>12683</v>
      </c>
      <c r="F6202" s="9"/>
    </row>
    <row r="6203" ht="33.75" customHeight="1">
      <c r="A6203" s="7">
        <v>220.0</v>
      </c>
      <c r="B6203" s="9" t="s">
        <v>12675</v>
      </c>
      <c r="C6203" s="9" t="s">
        <v>12676</v>
      </c>
      <c r="D6203" s="9" t="s">
        <v>67</v>
      </c>
      <c r="E6203" s="6" t="s">
        <v>12685</v>
      </c>
      <c r="F6203" s="9"/>
    </row>
    <row r="6204" ht="33.75" customHeight="1">
      <c r="A6204" s="7">
        <v>220.0</v>
      </c>
      <c r="B6204" s="9" t="s">
        <v>12675</v>
      </c>
      <c r="C6204" s="9" t="s">
        <v>12676</v>
      </c>
      <c r="D6204" s="9" t="s">
        <v>71</v>
      </c>
      <c r="E6204" s="6" t="s">
        <v>12685</v>
      </c>
      <c r="F6204" s="9"/>
    </row>
    <row r="6205" ht="33.75" customHeight="1">
      <c r="A6205" s="7">
        <v>220.0</v>
      </c>
      <c r="B6205" s="9" t="s">
        <v>12675</v>
      </c>
      <c r="C6205" s="9" t="s">
        <v>12676</v>
      </c>
      <c r="D6205" s="9" t="s">
        <v>73</v>
      </c>
      <c r="E6205" s="6" t="s">
        <v>12690</v>
      </c>
      <c r="F6205" s="9"/>
    </row>
    <row r="6206" ht="33.75" customHeight="1">
      <c r="A6206" s="7">
        <v>220.0</v>
      </c>
      <c r="B6206" s="9" t="s">
        <v>12675</v>
      </c>
      <c r="C6206" s="9" t="s">
        <v>12676</v>
      </c>
      <c r="D6206" s="9" t="s">
        <v>75</v>
      </c>
      <c r="E6206" s="6" t="s">
        <v>12680</v>
      </c>
      <c r="F6206" s="9"/>
    </row>
    <row r="6207" ht="33.75" customHeight="1">
      <c r="A6207" s="7">
        <v>220.0</v>
      </c>
      <c r="B6207" s="9" t="s">
        <v>12675</v>
      </c>
      <c r="C6207" s="9" t="s">
        <v>12676</v>
      </c>
      <c r="D6207" s="9" t="s">
        <v>79</v>
      </c>
      <c r="E6207" s="6" t="s">
        <v>12678</v>
      </c>
      <c r="F6207" s="9"/>
    </row>
    <row r="6208" ht="33.75" customHeight="1">
      <c r="A6208" s="7">
        <v>220.0</v>
      </c>
      <c r="B6208" s="9" t="s">
        <v>12675</v>
      </c>
      <c r="C6208" s="9" t="s">
        <v>12676</v>
      </c>
      <c r="D6208" s="9" t="s">
        <v>81</v>
      </c>
      <c r="E6208" s="6" t="s">
        <v>12699</v>
      </c>
      <c r="F6208" s="9"/>
    </row>
    <row r="6209" ht="33.75" customHeight="1">
      <c r="A6209" s="7">
        <v>220.0</v>
      </c>
      <c r="B6209" s="9" t="s">
        <v>12675</v>
      </c>
      <c r="C6209" s="9" t="s">
        <v>12676</v>
      </c>
      <c r="D6209" s="9" t="s">
        <v>84</v>
      </c>
      <c r="E6209" s="6" t="s">
        <v>12699</v>
      </c>
      <c r="F6209" s="9"/>
    </row>
    <row r="6210" ht="33.75" customHeight="1">
      <c r="A6210" s="7">
        <v>220.0</v>
      </c>
      <c r="B6210" s="9" t="s">
        <v>12675</v>
      </c>
      <c r="C6210" s="9" t="s">
        <v>12676</v>
      </c>
      <c r="D6210" s="9" t="s">
        <v>87</v>
      </c>
      <c r="E6210" s="6" t="s">
        <v>12705</v>
      </c>
      <c r="F6210" s="9"/>
    </row>
    <row r="6211" ht="33.75" customHeight="1">
      <c r="A6211" s="7">
        <v>220.0</v>
      </c>
      <c r="B6211" s="9" t="s">
        <v>12675</v>
      </c>
      <c r="C6211" s="9" t="s">
        <v>12676</v>
      </c>
      <c r="D6211" s="9" t="s">
        <v>89</v>
      </c>
      <c r="E6211" s="6" t="s">
        <v>12678</v>
      </c>
      <c r="F6211" s="9"/>
    </row>
    <row r="6212" ht="33.75" customHeight="1">
      <c r="A6212" s="7">
        <v>220.0</v>
      </c>
      <c r="B6212" s="9" t="s">
        <v>12675</v>
      </c>
      <c r="C6212" s="9" t="s">
        <v>12676</v>
      </c>
      <c r="D6212" s="9" t="s">
        <v>91</v>
      </c>
      <c r="E6212" s="6" t="s">
        <v>12680</v>
      </c>
      <c r="F6212" s="9"/>
    </row>
    <row r="6213" ht="33.75" customHeight="1">
      <c r="A6213" s="7">
        <v>220.0</v>
      </c>
      <c r="B6213" s="9" t="s">
        <v>12675</v>
      </c>
      <c r="C6213" s="9" t="s">
        <v>12676</v>
      </c>
      <c r="D6213" s="9" t="s">
        <v>93</v>
      </c>
      <c r="E6213" s="6" t="s">
        <v>12705</v>
      </c>
      <c r="F6213" s="9"/>
    </row>
    <row r="6214" ht="33.75" customHeight="1">
      <c r="A6214" s="7">
        <v>220.0</v>
      </c>
      <c r="B6214" s="9" t="s">
        <v>12675</v>
      </c>
      <c r="C6214" s="9" t="s">
        <v>12676</v>
      </c>
      <c r="D6214" s="9" t="s">
        <v>95</v>
      </c>
      <c r="E6214" s="6" t="s">
        <v>12705</v>
      </c>
      <c r="F6214" s="9"/>
    </row>
    <row r="6215" ht="33.75" customHeight="1">
      <c r="A6215" s="7">
        <v>220.0</v>
      </c>
      <c r="B6215" s="9" t="s">
        <v>12675</v>
      </c>
      <c r="C6215" s="9" t="s">
        <v>12676</v>
      </c>
      <c r="D6215" s="9" t="s">
        <v>98</v>
      </c>
      <c r="E6215" s="6" t="s">
        <v>12715</v>
      </c>
      <c r="F6215" s="9"/>
    </row>
    <row r="6216" ht="33.75" customHeight="1">
      <c r="A6216" s="7">
        <v>220.0</v>
      </c>
      <c r="B6216" s="9" t="s">
        <v>12675</v>
      </c>
      <c r="C6216" s="9" t="s">
        <v>12676</v>
      </c>
      <c r="D6216" s="9" t="s">
        <v>99</v>
      </c>
      <c r="E6216" s="6" t="s">
        <v>12715</v>
      </c>
      <c r="F6216" s="9"/>
    </row>
    <row r="6217" ht="33.75" customHeight="1">
      <c r="A6217" s="7">
        <v>220.0</v>
      </c>
      <c r="B6217" s="9" t="s">
        <v>12675</v>
      </c>
      <c r="C6217" s="9" t="s">
        <v>12676</v>
      </c>
      <c r="D6217" s="9" t="s">
        <v>101</v>
      </c>
      <c r="E6217" s="6" t="s">
        <v>12678</v>
      </c>
      <c r="F6217" s="9"/>
    </row>
    <row r="6218" ht="33.75" customHeight="1">
      <c r="A6218" s="7">
        <v>220.0</v>
      </c>
      <c r="B6218" s="9" t="s">
        <v>12675</v>
      </c>
      <c r="C6218" s="9" t="s">
        <v>12676</v>
      </c>
      <c r="D6218" s="9" t="s">
        <v>105</v>
      </c>
      <c r="E6218" s="6" t="s">
        <v>12680</v>
      </c>
      <c r="F6218" s="9"/>
    </row>
    <row r="6219" ht="33.75" customHeight="1">
      <c r="A6219" s="7">
        <v>220.0</v>
      </c>
      <c r="B6219" s="9" t="s">
        <v>12675</v>
      </c>
      <c r="C6219" s="9" t="s">
        <v>12676</v>
      </c>
      <c r="D6219" s="9" t="s">
        <v>107</v>
      </c>
      <c r="E6219" s="6" t="s">
        <v>12721</v>
      </c>
      <c r="F6219" s="9"/>
    </row>
    <row r="6220" ht="33.75" customHeight="1">
      <c r="A6220" s="7">
        <v>220.0</v>
      </c>
      <c r="B6220" s="9" t="s">
        <v>12675</v>
      </c>
      <c r="C6220" s="9" t="s">
        <v>12676</v>
      </c>
      <c r="D6220" s="9" t="s">
        <v>109</v>
      </c>
      <c r="E6220" s="6" t="s">
        <v>12721</v>
      </c>
      <c r="F6220" s="9"/>
    </row>
    <row r="6221" ht="33.75" customHeight="1">
      <c r="A6221" s="7">
        <v>220.0</v>
      </c>
      <c r="B6221" s="9" t="s">
        <v>12675</v>
      </c>
      <c r="C6221" s="9" t="s">
        <v>12676</v>
      </c>
      <c r="D6221" s="9" t="s">
        <v>114</v>
      </c>
      <c r="E6221" s="6" t="s">
        <v>12678</v>
      </c>
      <c r="F6221" s="9"/>
    </row>
    <row r="6222" ht="33.75" customHeight="1">
      <c r="A6222" s="7">
        <v>220.0</v>
      </c>
      <c r="B6222" s="9" t="s">
        <v>12675</v>
      </c>
      <c r="C6222" s="9" t="s">
        <v>12676</v>
      </c>
      <c r="D6222" s="9" t="s">
        <v>117</v>
      </c>
      <c r="E6222" s="6" t="s">
        <v>12680</v>
      </c>
      <c r="F6222" s="9"/>
    </row>
    <row r="6223" ht="33.75" customHeight="1">
      <c r="A6223" s="7">
        <v>220.0</v>
      </c>
      <c r="B6223" s="9" t="s">
        <v>12675</v>
      </c>
      <c r="C6223" s="9" t="s">
        <v>12676</v>
      </c>
      <c r="D6223" s="9" t="s">
        <v>1577</v>
      </c>
      <c r="E6223" s="6" t="s">
        <v>12728</v>
      </c>
      <c r="F6223" s="9"/>
    </row>
    <row r="6224" ht="33.75" customHeight="1">
      <c r="A6224" s="7">
        <v>221.0</v>
      </c>
      <c r="B6224" s="9" t="s">
        <v>12730</v>
      </c>
      <c r="C6224" s="9" t="s">
        <v>12731</v>
      </c>
      <c r="D6224" s="9" t="s">
        <v>52</v>
      </c>
      <c r="E6224" s="6" t="s">
        <v>12732</v>
      </c>
      <c r="F6224" t="inlineStr" s="10">
        <is>
          <t xml:space="preserve">Koska Piloswinen pitkät karvat peittävät näkökentän, se vain rynnii jatkuvasti. Jos se hyökkää vihollista kohti, sen selkäkarvat pystyvät. Se on erittäin herkkä äänelle. Vaikka sen jalat ovat lyhyet, sen karkeat kaviot estävät sitä liukastumasta edes jäisellä alustalla. PILOSWINEa peittää paksu ja pitkä karvapeite, jonka ansiosta se kestää hyytävän kylmyyttä. Tämä POKéMON käyttää syöksyhampaitaan kaivaakseen esiin jään alle hautautunutta ruokaa. Piloswine-karvaa peittää paksu ja pitkä karvapeite, jotta se kestää hyytävän kylmyyttä. Se käyttää syöksyhampaitaan kaivaakseen esiin jään alle hautautunutta ruokaa. Sen pörröinen turkki tekee siitä näkökyvyttömän. Sen sijaan se tarkkailee ympäristöään herkällä nenällään. Pörröisen turkin peittämänä se kestää kylmää. Sen jäähampaat paksuuntuvat lumen sateessa. Erinomaisen hajuaistinsa ansiosta se löytää jopa jäätyneen maan alta löytyviä sieniä. Piloswinea peittää paksu ja pitkä karvapeite, jonka ansiosta se kestää hyytävän kylmyyden. Tämän Pokémonin pitkä turkki peittää sen silmät, korvat ja jopa raajat, minkä ansiosta Piloswine kestää ankaran kylmyyden. Pokémonin valkoisia syöksyhampaita voidaan käyttää vihollisten voittamiseen.</t>
        </is>
      </c>
    </row>
    <row r="6225" ht="33.75" customHeight="1">
      <c r="A6225" s="7">
        <v>221.0</v>
      </c>
      <c r="B6225" s="9" t="s">
        <v>12730</v>
      </c>
      <c r="C6225" s="9" t="s">
        <v>12731</v>
      </c>
      <c r="D6225" s="9" t="s">
        <v>59</v>
      </c>
      <c r="E6225" s="6" t="s">
        <v>12735</v>
      </c>
      <c r="F6225" s="9"/>
    </row>
    <row r="6226" ht="33.75" customHeight="1">
      <c r="A6226" s="7">
        <v>221.0</v>
      </c>
      <c r="B6226" s="9" t="s">
        <v>12730</v>
      </c>
      <c r="C6226" s="9" t="s">
        <v>12731</v>
      </c>
      <c r="D6226" s="9" t="s">
        <v>64</v>
      </c>
      <c r="E6226" s="6" t="s">
        <v>12739</v>
      </c>
      <c r="F6226" s="9"/>
    </row>
    <row r="6227" ht="33.75" customHeight="1">
      <c r="A6227" s="7">
        <v>221.0</v>
      </c>
      <c r="B6227" s="9" t="s">
        <v>12730</v>
      </c>
      <c r="C6227" s="9" t="s">
        <v>12731</v>
      </c>
      <c r="D6227" s="9" t="s">
        <v>67</v>
      </c>
      <c r="E6227" s="6" t="s">
        <v>12742</v>
      </c>
      <c r="F6227" s="9"/>
    </row>
    <row r="6228" ht="33.75" customHeight="1">
      <c r="A6228" s="7">
        <v>221.0</v>
      </c>
      <c r="B6228" s="9" t="s">
        <v>12730</v>
      </c>
      <c r="C6228" s="9" t="s">
        <v>12731</v>
      </c>
      <c r="D6228" s="9" t="s">
        <v>71</v>
      </c>
      <c r="E6228" s="6" t="s">
        <v>12742</v>
      </c>
      <c r="F6228" s="9"/>
    </row>
    <row r="6229" ht="33.75" customHeight="1">
      <c r="A6229" s="7">
        <v>221.0</v>
      </c>
      <c r="B6229" s="9" t="s">
        <v>12730</v>
      </c>
      <c r="C6229" s="9" t="s">
        <v>12731</v>
      </c>
      <c r="D6229" s="9" t="s">
        <v>73</v>
      </c>
      <c r="E6229" s="6" t="s">
        <v>12748</v>
      </c>
      <c r="F6229" s="9"/>
    </row>
    <row r="6230" ht="33.75" customHeight="1">
      <c r="A6230" s="7">
        <v>221.0</v>
      </c>
      <c r="B6230" s="9" t="s">
        <v>12730</v>
      </c>
      <c r="C6230" s="9" t="s">
        <v>12731</v>
      </c>
      <c r="D6230" s="9" t="s">
        <v>75</v>
      </c>
      <c r="E6230" s="6" t="s">
        <v>12735</v>
      </c>
      <c r="F6230" s="9"/>
    </row>
    <row r="6231" ht="33.75" customHeight="1">
      <c r="A6231" s="7">
        <v>221.0</v>
      </c>
      <c r="B6231" s="9" t="s">
        <v>12730</v>
      </c>
      <c r="C6231" s="9" t="s">
        <v>12731</v>
      </c>
      <c r="D6231" s="9" t="s">
        <v>79</v>
      </c>
      <c r="E6231" s="6" t="s">
        <v>12732</v>
      </c>
      <c r="F6231" s="9"/>
    </row>
    <row r="6232" ht="33.75" customHeight="1">
      <c r="A6232" s="7">
        <v>221.0</v>
      </c>
      <c r="B6232" s="9" t="s">
        <v>12730</v>
      </c>
      <c r="C6232" s="9" t="s">
        <v>12731</v>
      </c>
      <c r="D6232" s="9" t="s">
        <v>81</v>
      </c>
      <c r="E6232" s="6" t="s">
        <v>12757</v>
      </c>
      <c r="F6232" s="9"/>
    </row>
    <row r="6233" ht="33.75" customHeight="1">
      <c r="A6233" s="7">
        <v>221.0</v>
      </c>
      <c r="B6233" s="9" t="s">
        <v>12730</v>
      </c>
      <c r="C6233" s="9" t="s">
        <v>12731</v>
      </c>
      <c r="D6233" s="9" t="s">
        <v>84</v>
      </c>
      <c r="E6233" s="6" t="s">
        <v>12757</v>
      </c>
      <c r="F6233" s="9"/>
    </row>
    <row r="6234" ht="33.75" customHeight="1">
      <c r="A6234" s="7">
        <v>221.0</v>
      </c>
      <c r="B6234" s="9" t="s">
        <v>12730</v>
      </c>
      <c r="C6234" s="9" t="s">
        <v>12731</v>
      </c>
      <c r="D6234" s="9" t="s">
        <v>87</v>
      </c>
      <c r="E6234" s="6" t="s">
        <v>12761</v>
      </c>
      <c r="F6234" s="9"/>
    </row>
    <row r="6235" ht="33.75" customHeight="1">
      <c r="A6235" s="7">
        <v>221.0</v>
      </c>
      <c r="B6235" s="9" t="s">
        <v>12730</v>
      </c>
      <c r="C6235" s="9" t="s">
        <v>12731</v>
      </c>
      <c r="D6235" s="9" t="s">
        <v>89</v>
      </c>
      <c r="E6235" s="6" t="s">
        <v>12732</v>
      </c>
      <c r="F6235" s="9"/>
    </row>
    <row r="6236" ht="33.75" customHeight="1">
      <c r="A6236" s="7">
        <v>221.0</v>
      </c>
      <c r="B6236" s="9" t="s">
        <v>12730</v>
      </c>
      <c r="C6236" s="9" t="s">
        <v>12731</v>
      </c>
      <c r="D6236" s="9" t="s">
        <v>91</v>
      </c>
      <c r="E6236" s="6" t="s">
        <v>12735</v>
      </c>
      <c r="F6236" s="9"/>
    </row>
    <row r="6237" ht="33.75" customHeight="1">
      <c r="A6237" s="7">
        <v>221.0</v>
      </c>
      <c r="B6237" s="9" t="s">
        <v>12730</v>
      </c>
      <c r="C6237" s="9" t="s">
        <v>12731</v>
      </c>
      <c r="D6237" s="9" t="s">
        <v>93</v>
      </c>
      <c r="E6237" s="6" t="s">
        <v>12761</v>
      </c>
      <c r="F6237" s="9"/>
    </row>
    <row r="6238" ht="33.75" customHeight="1">
      <c r="A6238" s="7">
        <v>221.0</v>
      </c>
      <c r="B6238" s="9" t="s">
        <v>12730</v>
      </c>
      <c r="C6238" s="9" t="s">
        <v>12731</v>
      </c>
      <c r="D6238" s="9" t="s">
        <v>95</v>
      </c>
      <c r="E6238" s="6" t="s">
        <v>12761</v>
      </c>
      <c r="F6238" s="9"/>
    </row>
    <row r="6239" ht="33.75" customHeight="1">
      <c r="A6239" s="7">
        <v>221.0</v>
      </c>
      <c r="B6239" s="9" t="s">
        <v>12730</v>
      </c>
      <c r="C6239" s="9" t="s">
        <v>12731</v>
      </c>
      <c r="D6239" s="9" t="s">
        <v>98</v>
      </c>
      <c r="E6239" s="6" t="s">
        <v>12769</v>
      </c>
      <c r="F6239" s="9"/>
    </row>
    <row r="6240" ht="33.75" customHeight="1">
      <c r="A6240" s="7">
        <v>221.0</v>
      </c>
      <c r="B6240" s="9" t="s">
        <v>12730</v>
      </c>
      <c r="C6240" s="9" t="s">
        <v>12731</v>
      </c>
      <c r="D6240" s="9" t="s">
        <v>99</v>
      </c>
      <c r="E6240" s="6" t="s">
        <v>12769</v>
      </c>
      <c r="F6240" s="9"/>
    </row>
    <row r="6241" ht="33.75" customHeight="1">
      <c r="A6241" s="7">
        <v>221.0</v>
      </c>
      <c r="B6241" s="9" t="s">
        <v>12730</v>
      </c>
      <c r="C6241" s="9" t="s">
        <v>12731</v>
      </c>
      <c r="D6241" s="9" t="s">
        <v>101</v>
      </c>
      <c r="E6241" s="6" t="s">
        <v>12739</v>
      </c>
      <c r="F6241" s="9"/>
    </row>
    <row r="6242" ht="33.75" customHeight="1">
      <c r="A6242" s="7">
        <v>221.0</v>
      </c>
      <c r="B6242" s="9" t="s">
        <v>12730</v>
      </c>
      <c r="C6242" s="9" t="s">
        <v>12731</v>
      </c>
      <c r="D6242" s="9" t="s">
        <v>105</v>
      </c>
      <c r="E6242" s="6" t="s">
        <v>12732</v>
      </c>
      <c r="F6242" s="9"/>
    </row>
    <row r="6243" ht="33.75" customHeight="1">
      <c r="A6243" s="7">
        <v>221.0</v>
      </c>
      <c r="B6243" s="9" t="s">
        <v>12730</v>
      </c>
      <c r="C6243" s="9" t="s">
        <v>12731</v>
      </c>
      <c r="D6243" s="9" t="s">
        <v>107</v>
      </c>
      <c r="E6243" s="6" t="s">
        <v>12777</v>
      </c>
      <c r="F6243" s="9"/>
    </row>
    <row r="6244" ht="33.75" customHeight="1">
      <c r="A6244" s="7">
        <v>221.0</v>
      </c>
      <c r="B6244" s="9" t="s">
        <v>12730</v>
      </c>
      <c r="C6244" s="9" t="s">
        <v>12731</v>
      </c>
      <c r="D6244" s="9" t="s">
        <v>109</v>
      </c>
      <c r="E6244" s="6" t="s">
        <v>12777</v>
      </c>
      <c r="F6244" s="9"/>
    </row>
    <row r="6245" ht="33.75" customHeight="1">
      <c r="A6245" s="7">
        <v>221.0</v>
      </c>
      <c r="B6245" s="9" t="s">
        <v>12730</v>
      </c>
      <c r="C6245" s="9" t="s">
        <v>12731</v>
      </c>
      <c r="D6245" s="9" t="s">
        <v>114</v>
      </c>
      <c r="E6245" s="6" t="s">
        <v>12735</v>
      </c>
      <c r="F6245" s="9"/>
    </row>
    <row r="6246" ht="33.75" customHeight="1">
      <c r="A6246" s="7">
        <v>221.0</v>
      </c>
      <c r="B6246" s="9" t="s">
        <v>12730</v>
      </c>
      <c r="C6246" s="9" t="s">
        <v>12731</v>
      </c>
      <c r="D6246" s="9" t="s">
        <v>117</v>
      </c>
      <c r="E6246" s="6" t="s">
        <v>12739</v>
      </c>
      <c r="F6246" s="9"/>
    </row>
    <row r="6247" ht="33.75" customHeight="1">
      <c r="A6247" s="7">
        <v>221.0</v>
      </c>
      <c r="B6247" s="9" t="s">
        <v>12730</v>
      </c>
      <c r="C6247" s="9" t="s">
        <v>12731</v>
      </c>
      <c r="D6247" s="9" t="s">
        <v>1577</v>
      </c>
      <c r="E6247" s="6" t="s">
        <v>12785</v>
      </c>
      <c r="F6247" s="9"/>
    </row>
    <row r="6248" ht="33.75" customHeight="1">
      <c r="A6248" s="7">
        <v>222.0</v>
      </c>
      <c r="B6248" s="9" t="s">
        <v>12787</v>
      </c>
      <c r="C6248" s="9" t="s">
        <v>12788</v>
      </c>
      <c r="D6248" s="9" t="s">
        <v>52</v>
      </c>
      <c r="E6248" s="6" t="s">
        <v>12789</v>
      </c>
      <c r="F6248" t="inlineStr" s="10">
        <is>
          <t xml:space="preserve">Corsola karvaa ja kasvaa jatkuvasti. Sen päänpäätä arvostetaan kauneutensa vuoksi. Etelämeren valtiossa ihmiset asuvat yhteisöissä, jotka ovat rakentuneet näiden POKéMONien ryhmien varaan. Sen pään kärjet imevät ravinteita puhtaasta vedestä. Ne eivät selviä saastuneessa vedessä. CORSOLAn oksat kimaltelevat kauniisti seitsemässä värissä auringonvalossa. Jos jokin oksa katkeaa, tämä POKéMON kasvattaa sen takaisin vain yhdessä yössä. CORSOLA-ryppäitä kerääntyy lämpimiin meriin, missä ne toimivat ihanteellisina piilopaikkoina pienemmille POKéMONeille. Kun veden lämpötila laskee, nämä POKéMONit vaeltavat eteläisille merille. KORALLIT elävät lämpimissä eteläisissä merissä. Jos meri saastuu, kauniit korallien varret värjäytyvät ja murenevat palasiksi. Monet elävät etelän puhtaissa merissä. Ne eivät ilmeisesti voi elää saastuneissa vesissä. Sen päänpäätä arvostetaan aarteena sen kauneuden vuoksi. Ne suosivat saastumattomia eteläisiä meriä. Niiden korallioksat menettävät värinsä ja rappeutuvat likaisessa vedessä. Corsola-parvet kerääntyvät lämpimiin meriin, missä ne toimivat ihanteellisina piilopaikkoina pienemmille Pokémoneille. Kun veden lämpötila laskee, tämä Pokémon vaeltaa eteläisiin meriin. Korallinoksia kasvaa sen päästä. Ne katkeavat melko helposti, mutta kasvavat takaisin noin kolmessa päivässä. Mareanien jahdatessa tätä Pokémonia sen päässä olevien oksien vuoksi, se joskus napsahtaa omat oksansa irti harhautuksena paetessaan. Alolassa elävien Corsolan kukintojen vaaleanpunainen väri on syvä ja eloisa ravinteita täynnä olevien merien ansiosta. Alolassa, missä niiden luonnollisia vihollisia Mareanie-heiniä on runsaasti, monilla Corsolan heinillä on tynkäoksia päässään. Se kasvattaa takaisin kaikki sen päästä katkeavat oksat. Ihmiset säilyttävät erityisen kauniita Corsolan oksia amuletteina edistääkseen turvallista synnytystä. Nämä Pokémonit elävät lämpimissä merissä. Esihistoriallisina aikoina monet niistä elivät myös Galarin alueen valtamerissä.</t>
        </is>
      </c>
    </row>
    <row r="6249" ht="33.75" customHeight="1">
      <c r="A6249" s="7">
        <v>222.0</v>
      </c>
      <c r="B6249" s="9" t="s">
        <v>12787</v>
      </c>
      <c r="C6249" s="9" t="s">
        <v>12788</v>
      </c>
      <c r="D6249" s="9" t="s">
        <v>59</v>
      </c>
      <c r="E6249" s="6" t="s">
        <v>12792</v>
      </c>
      <c r="F6249" s="9"/>
    </row>
    <row r="6250" ht="33.75" customHeight="1">
      <c r="A6250" s="7">
        <v>222.0</v>
      </c>
      <c r="B6250" s="9" t="s">
        <v>12787</v>
      </c>
      <c r="C6250" s="9" t="s">
        <v>12788</v>
      </c>
      <c r="D6250" s="9" t="s">
        <v>64</v>
      </c>
      <c r="E6250" s="6" t="s">
        <v>12795</v>
      </c>
      <c r="F6250" s="9"/>
    </row>
    <row r="6251" ht="33.75" customHeight="1">
      <c r="A6251" s="7">
        <v>222.0</v>
      </c>
      <c r="B6251" s="9" t="s">
        <v>12787</v>
      </c>
      <c r="C6251" s="9" t="s">
        <v>12788</v>
      </c>
      <c r="D6251" s="9" t="s">
        <v>67</v>
      </c>
      <c r="E6251" s="6" t="s">
        <v>12796</v>
      </c>
      <c r="F6251" s="9"/>
    </row>
    <row r="6252" ht="33.75" customHeight="1">
      <c r="A6252" s="7">
        <v>222.0</v>
      </c>
      <c r="B6252" s="9" t="s">
        <v>12787</v>
      </c>
      <c r="C6252" s="9" t="s">
        <v>12788</v>
      </c>
      <c r="D6252" s="9" t="s">
        <v>71</v>
      </c>
      <c r="E6252" s="6" t="s">
        <v>12797</v>
      </c>
      <c r="F6252" s="9"/>
    </row>
    <row r="6253" ht="33.75" customHeight="1">
      <c r="A6253" s="7">
        <v>222.0</v>
      </c>
      <c r="B6253" s="9" t="s">
        <v>12787</v>
      </c>
      <c r="C6253" s="9" t="s">
        <v>12788</v>
      </c>
      <c r="D6253" s="9" t="s">
        <v>73</v>
      </c>
      <c r="E6253" s="6" t="s">
        <v>12799</v>
      </c>
      <c r="F6253" s="9"/>
    </row>
    <row r="6254" ht="33.75" customHeight="1">
      <c r="A6254" s="7">
        <v>222.0</v>
      </c>
      <c r="B6254" s="9" t="s">
        <v>12787</v>
      </c>
      <c r="C6254" s="9" t="s">
        <v>12788</v>
      </c>
      <c r="D6254" s="9" t="s">
        <v>75</v>
      </c>
      <c r="E6254" s="6" t="s">
        <v>12792</v>
      </c>
      <c r="F6254" s="9"/>
    </row>
    <row r="6255" ht="33.75" customHeight="1">
      <c r="A6255" s="7">
        <v>222.0</v>
      </c>
      <c r="B6255" s="9" t="s">
        <v>12787</v>
      </c>
      <c r="C6255" s="9" t="s">
        <v>12788</v>
      </c>
      <c r="D6255" s="9" t="s">
        <v>79</v>
      </c>
      <c r="E6255" s="6" t="s">
        <v>12789</v>
      </c>
      <c r="F6255" s="9"/>
    </row>
    <row r="6256" ht="33.75" customHeight="1">
      <c r="A6256" s="7">
        <v>222.0</v>
      </c>
      <c r="B6256" s="9" t="s">
        <v>12787</v>
      </c>
      <c r="C6256" s="9" t="s">
        <v>12788</v>
      </c>
      <c r="D6256" s="9" t="s">
        <v>81</v>
      </c>
      <c r="E6256" s="6" t="s">
        <v>12805</v>
      </c>
      <c r="F6256" s="9"/>
    </row>
    <row r="6257" ht="33.75" customHeight="1">
      <c r="A6257" s="7">
        <v>222.0</v>
      </c>
      <c r="B6257" s="9" t="s">
        <v>12787</v>
      </c>
      <c r="C6257" s="9" t="s">
        <v>12788</v>
      </c>
      <c r="D6257" s="9" t="s">
        <v>84</v>
      </c>
      <c r="E6257" s="6" t="s">
        <v>12805</v>
      </c>
      <c r="F6257" s="9"/>
    </row>
    <row r="6258" ht="33.75" customHeight="1">
      <c r="A6258" s="7">
        <v>222.0</v>
      </c>
      <c r="B6258" s="9" t="s">
        <v>12787</v>
      </c>
      <c r="C6258" s="9" t="s">
        <v>12788</v>
      </c>
      <c r="D6258" s="9" t="s">
        <v>87</v>
      </c>
      <c r="E6258" s="6" t="s">
        <v>12805</v>
      </c>
      <c r="F6258" s="9"/>
    </row>
    <row r="6259" ht="33.75" customHeight="1">
      <c r="A6259" s="7">
        <v>222.0</v>
      </c>
      <c r="B6259" s="9" t="s">
        <v>12787</v>
      </c>
      <c r="C6259" s="9" t="s">
        <v>12788</v>
      </c>
      <c r="D6259" s="9" t="s">
        <v>89</v>
      </c>
      <c r="E6259" s="6" t="s">
        <v>12811</v>
      </c>
      <c r="F6259" s="9"/>
    </row>
    <row r="6260" ht="33.75" customHeight="1">
      <c r="A6260" s="7">
        <v>222.0</v>
      </c>
      <c r="B6260" s="9" t="s">
        <v>12787</v>
      </c>
      <c r="C6260" s="9" t="s">
        <v>12788</v>
      </c>
      <c r="D6260" s="9" t="s">
        <v>91</v>
      </c>
      <c r="E6260" s="6" t="s">
        <v>12813</v>
      </c>
      <c r="F6260" s="9"/>
    </row>
    <row r="6261" ht="33.75" customHeight="1">
      <c r="A6261" s="7">
        <v>222.0</v>
      </c>
      <c r="B6261" s="9" t="s">
        <v>12787</v>
      </c>
      <c r="C6261" s="9" t="s">
        <v>12788</v>
      </c>
      <c r="D6261" s="9" t="s">
        <v>93</v>
      </c>
      <c r="E6261" s="6" t="s">
        <v>12805</v>
      </c>
      <c r="F6261" s="9"/>
    </row>
    <row r="6262" ht="33.75" customHeight="1">
      <c r="A6262" s="7">
        <v>222.0</v>
      </c>
      <c r="B6262" s="9" t="s">
        <v>12787</v>
      </c>
      <c r="C6262" s="9" t="s">
        <v>12788</v>
      </c>
      <c r="D6262" s="9" t="s">
        <v>95</v>
      </c>
      <c r="E6262" s="6" t="s">
        <v>12805</v>
      </c>
      <c r="F6262" s="9"/>
    </row>
    <row r="6263" ht="33.75" customHeight="1">
      <c r="A6263" s="7">
        <v>222.0</v>
      </c>
      <c r="B6263" s="9" t="s">
        <v>12787</v>
      </c>
      <c r="C6263" s="9" t="s">
        <v>12788</v>
      </c>
      <c r="D6263" s="9" t="s">
        <v>98</v>
      </c>
      <c r="E6263" s="6" t="s">
        <v>12819</v>
      </c>
      <c r="F6263" s="9"/>
    </row>
    <row r="6264" ht="33.75" customHeight="1">
      <c r="A6264" s="7">
        <v>222.0</v>
      </c>
      <c r="B6264" s="9" t="s">
        <v>12787</v>
      </c>
      <c r="C6264" s="9" t="s">
        <v>12788</v>
      </c>
      <c r="D6264" s="9" t="s">
        <v>99</v>
      </c>
      <c r="E6264" s="6" t="s">
        <v>12819</v>
      </c>
      <c r="F6264" s="9"/>
    </row>
    <row r="6265" ht="33.75" customHeight="1">
      <c r="A6265" s="7">
        <v>222.0</v>
      </c>
      <c r="B6265" s="9" t="s">
        <v>12787</v>
      </c>
      <c r="C6265" s="9" t="s">
        <v>12788</v>
      </c>
      <c r="D6265" s="9" t="s">
        <v>101</v>
      </c>
      <c r="E6265" s="6" t="s">
        <v>12811</v>
      </c>
      <c r="F6265" s="9"/>
    </row>
    <row r="6266" ht="33.75" customHeight="1">
      <c r="A6266" s="7">
        <v>222.0</v>
      </c>
      <c r="B6266" s="9" t="s">
        <v>12787</v>
      </c>
      <c r="C6266" s="9" t="s">
        <v>12788</v>
      </c>
      <c r="D6266" s="9" t="s">
        <v>105</v>
      </c>
      <c r="E6266" s="6" t="s">
        <v>12819</v>
      </c>
      <c r="F6266" s="9"/>
    </row>
    <row r="6267" ht="33.75" customHeight="1">
      <c r="A6267" s="7">
        <v>222.0</v>
      </c>
      <c r="B6267" s="9" t="s">
        <v>12787</v>
      </c>
      <c r="C6267" s="9" t="s">
        <v>12788</v>
      </c>
      <c r="D6267" s="9" t="s">
        <v>107</v>
      </c>
      <c r="E6267" s="6" t="s">
        <v>12823</v>
      </c>
      <c r="F6267" s="9"/>
    </row>
    <row r="6268" ht="33.75" customHeight="1">
      <c r="A6268" s="7">
        <v>222.0</v>
      </c>
      <c r="B6268" s="9" t="s">
        <v>12787</v>
      </c>
      <c r="C6268" s="9" t="s">
        <v>12788</v>
      </c>
      <c r="D6268" s="9" t="s">
        <v>109</v>
      </c>
      <c r="E6268" s="6" t="s">
        <v>12826</v>
      </c>
      <c r="F6268" s="9"/>
    </row>
    <row r="6269" ht="33.75" customHeight="1">
      <c r="A6269" s="7">
        <v>222.0</v>
      </c>
      <c r="B6269" s="9" t="s">
        <v>12787</v>
      </c>
      <c r="C6269" s="9" t="s">
        <v>12788</v>
      </c>
      <c r="D6269" s="9" t="s">
        <v>637</v>
      </c>
      <c r="E6269" s="6" t="s">
        <v>12828</v>
      </c>
      <c r="F6269" s="9"/>
    </row>
    <row r="6270" ht="33.75" customHeight="1">
      <c r="A6270" s="7">
        <v>222.0</v>
      </c>
      <c r="B6270" s="9" t="s">
        <v>12787</v>
      </c>
      <c r="C6270" s="9" t="s">
        <v>12788</v>
      </c>
      <c r="D6270" s="9" t="s">
        <v>642</v>
      </c>
      <c r="E6270" s="6" t="s">
        <v>12831</v>
      </c>
      <c r="F6270" s="9"/>
    </row>
    <row r="6271" ht="33.75" customHeight="1">
      <c r="A6271" s="7">
        <v>222.0</v>
      </c>
      <c r="B6271" s="9" t="s">
        <v>12787</v>
      </c>
      <c r="C6271" s="9" t="s">
        <v>12788</v>
      </c>
      <c r="D6271" s="9" t="s">
        <v>647</v>
      </c>
      <c r="E6271" s="6" t="s">
        <v>12834</v>
      </c>
      <c r="F6271" s="9"/>
    </row>
    <row r="6272" ht="33.75" customHeight="1">
      <c r="A6272" s="7">
        <v>222.0</v>
      </c>
      <c r="B6272" s="9" t="s">
        <v>12787</v>
      </c>
      <c r="C6272" s="9" t="s">
        <v>12788</v>
      </c>
      <c r="D6272" s="9" t="s">
        <v>652</v>
      </c>
      <c r="E6272" s="6" t="s">
        <v>12836</v>
      </c>
      <c r="F6272" s="9"/>
    </row>
    <row r="6273" ht="33.75" customHeight="1">
      <c r="A6273" s="7">
        <v>222.0</v>
      </c>
      <c r="B6273" s="9" t="s">
        <v>12787</v>
      </c>
      <c r="C6273" s="9" t="s">
        <v>12788</v>
      </c>
      <c r="D6273" s="9" t="s">
        <v>114</v>
      </c>
      <c r="E6273" s="6" t="s">
        <v>12839</v>
      </c>
      <c r="F6273" s="9"/>
    </row>
    <row r="6274" ht="33.75" customHeight="1">
      <c r="A6274" s="7">
        <v>222.0</v>
      </c>
      <c r="B6274" s="9" t="s">
        <v>12787</v>
      </c>
      <c r="C6274" s="9" t="s">
        <v>12788</v>
      </c>
      <c r="D6274" s="9" t="s">
        <v>117</v>
      </c>
      <c r="E6274" s="6" t="s">
        <v>12841</v>
      </c>
      <c r="F6274" s="9"/>
    </row>
    <row r="6275" ht="33.75" customHeight="1">
      <c r="A6275" s="7">
        <v>223.0</v>
      </c>
      <c r="B6275" s="9" t="s">
        <v>12843</v>
      </c>
      <c r="C6275" s="9" t="s">
        <v>12844</v>
      </c>
      <c r="D6275" s="9" t="s">
        <v>52</v>
      </c>
      <c r="E6275" s="6" t="s">
        <v>12846</v>
      </c>
      <c r="F6275" t="inlineStr" s="10">
        <is>
          <t xml:space="preserve">Remoraidin tarkkuus on erinomainen. Sen ampuma vesi voi iskeä jopa liikkuvaan saaliiseen yli 90 metrin etäisyydeltä. Käyttäen selkäevää imukuppina, se tarttuu MANTINE:n alapuolelle kerätäkseen ruokajäämiä. Paetakseen hyökkääjää se voi ampua vettä suustaan ​​ja käyttää sitten tätä voimaa uidakseen taaksepäin. REMORAID imee vettä ja työntää sen sitten ulos suurella nopeudella ampumalla alas lentävää saalista vatsalihaksillaan. Kun evoluutio lähestyy, tämä POKéMON kulkee jokien alavirtaan. REMORAID käyttää vatsalihaksiaan työntääkseen nieltyä vettä voimakkaasti ulos ja ampua sitten lentävän saaliin alas. Kun evoluutio lähestyy, se kulkee jokia pitkin. Käyttäen selkäevää imukuppina, se tarttuu MANTINE-apinan alapuolelle kerätäkseen ruoantähteitä. Sen ampuma vesi voi iskeä jopa liikkuvaan saaliiseen yli 90 metrin päästä. Se suihkuttaa vettä voimakkaasti suustaan ​​ampuakseen alas lentävän saaliinsa. Se takertuu MANTINEen syödäkseen ison Pokémonin palasia. Tämä on sopeutuminen vihollisten välttämiseksi. Se suihkuttaa vettä voimakkaasti. Vesisuihku ei koskaan osu saaliiseen, vaikka REMORAID olisi syvällä meressä. Sen ampuma vesi voi iskeä liikkuvaan saaliiseen yli 90 metrin päästä. Vesisuihku ei koskaan osu saaliiseen ohi, vaikka Remoraid olisi syvällä meressä. Suustaan ​​ampuma vesi voi osua liikkuvaan saaliiseen yli 300 jalan päästä. Käyttäen selkäevää imukuppina, se tarttuu mantinen alapinnalle kerätäkseen ruokajäämiä. Kun evoluutio lähestyy, tämä Pokémon matkustaa jokien alavirtaan. Tämä Pokémon takertuu Mantineen ja jakaa sen vaurauden. Kun sen Mantinea hyökätään, Remoraid taistelee sen rinnalla! Tunnetaan myös nimellä "merten tarkka-ampuja", sen vesipyssy voi osua saaliiseen erehtymättä yli 300 jalan päästä. Sylkee vettä suustaan ​​uskomattoman tarkasti. Se vangitsee Burmyn ampumalla ne alas oksilta, joista ne roikkuvat.</t>
        </is>
      </c>
    </row>
    <row r="6276" ht="33.75" customHeight="1">
      <c r="A6276" s="7">
        <v>223.0</v>
      </c>
      <c r="B6276" s="9" t="s">
        <v>12843</v>
      </c>
      <c r="C6276" s="9" t="s">
        <v>12844</v>
      </c>
      <c r="D6276" s="9" t="s">
        <v>59</v>
      </c>
      <c r="E6276" s="6" t="s">
        <v>12849</v>
      </c>
      <c r="F6276" s="9"/>
    </row>
    <row r="6277" ht="33.75" customHeight="1">
      <c r="A6277" s="7">
        <v>223.0</v>
      </c>
      <c r="B6277" s="9" t="s">
        <v>12843</v>
      </c>
      <c r="C6277" s="9" t="s">
        <v>12844</v>
      </c>
      <c r="D6277" s="9" t="s">
        <v>64</v>
      </c>
      <c r="E6277" s="6" t="s">
        <v>12852</v>
      </c>
      <c r="F6277" s="9"/>
    </row>
    <row r="6278" ht="33.75" customHeight="1">
      <c r="A6278" s="7">
        <v>223.0</v>
      </c>
      <c r="B6278" s="9" t="s">
        <v>12843</v>
      </c>
      <c r="C6278" s="9" t="s">
        <v>12844</v>
      </c>
      <c r="D6278" s="9" t="s">
        <v>67</v>
      </c>
      <c r="E6278" s="6" t="s">
        <v>12854</v>
      </c>
      <c r="F6278" s="9"/>
    </row>
    <row r="6279" ht="33.75" customHeight="1">
      <c r="A6279" s="7">
        <v>223.0</v>
      </c>
      <c r="B6279" s="9" t="s">
        <v>12843</v>
      </c>
      <c r="C6279" s="9" t="s">
        <v>12844</v>
      </c>
      <c r="D6279" s="9" t="s">
        <v>71</v>
      </c>
      <c r="E6279" s="6" t="s">
        <v>12854</v>
      </c>
      <c r="F6279" s="9"/>
    </row>
    <row r="6280" ht="33.75" customHeight="1">
      <c r="A6280" s="7">
        <v>223.0</v>
      </c>
      <c r="B6280" s="9" t="s">
        <v>12843</v>
      </c>
      <c r="C6280" s="9" t="s">
        <v>12844</v>
      </c>
      <c r="D6280" s="9" t="s">
        <v>73</v>
      </c>
      <c r="E6280" s="6" t="s">
        <v>12857</v>
      </c>
      <c r="F6280" s="9"/>
    </row>
    <row r="6281" ht="33.75" customHeight="1">
      <c r="A6281" s="7">
        <v>223.0</v>
      </c>
      <c r="B6281" s="9" t="s">
        <v>12843</v>
      </c>
      <c r="C6281" s="9" t="s">
        <v>12844</v>
      </c>
      <c r="D6281" s="9" t="s">
        <v>75</v>
      </c>
      <c r="E6281" s="6" t="s">
        <v>12859</v>
      </c>
      <c r="F6281" s="9"/>
    </row>
    <row r="6282" ht="33.75" customHeight="1">
      <c r="A6282" s="7">
        <v>223.0</v>
      </c>
      <c r="B6282" s="9" t="s">
        <v>12843</v>
      </c>
      <c r="C6282" s="9" t="s">
        <v>12844</v>
      </c>
      <c r="D6282" s="9" t="s">
        <v>79</v>
      </c>
      <c r="E6282" s="6" t="s">
        <v>12861</v>
      </c>
      <c r="F6282" s="9"/>
    </row>
    <row r="6283" ht="33.75" customHeight="1">
      <c r="A6283" s="7">
        <v>223.0</v>
      </c>
      <c r="B6283" s="9" t="s">
        <v>12843</v>
      </c>
      <c r="C6283" s="9" t="s">
        <v>12844</v>
      </c>
      <c r="D6283" s="9" t="s">
        <v>81</v>
      </c>
      <c r="E6283" s="6" t="s">
        <v>12863</v>
      </c>
      <c r="F6283" s="9"/>
    </row>
    <row r="6284" ht="33.75" customHeight="1">
      <c r="A6284" s="7">
        <v>223.0</v>
      </c>
      <c r="B6284" s="9" t="s">
        <v>12843</v>
      </c>
      <c r="C6284" s="9" t="s">
        <v>12844</v>
      </c>
      <c r="D6284" s="9" t="s">
        <v>84</v>
      </c>
      <c r="E6284" s="6" t="s">
        <v>12865</v>
      </c>
      <c r="F6284" s="9"/>
    </row>
    <row r="6285" ht="33.75" customHeight="1">
      <c r="A6285" s="7">
        <v>223.0</v>
      </c>
      <c r="B6285" s="9" t="s">
        <v>12843</v>
      </c>
      <c r="C6285" s="9" t="s">
        <v>12844</v>
      </c>
      <c r="D6285" s="9" t="s">
        <v>87</v>
      </c>
      <c r="E6285" s="6" t="s">
        <v>12867</v>
      </c>
      <c r="F6285" s="9"/>
    </row>
    <row r="6286" ht="33.75" customHeight="1">
      <c r="A6286" s="7">
        <v>223.0</v>
      </c>
      <c r="B6286" s="9" t="s">
        <v>12843</v>
      </c>
      <c r="C6286" s="9" t="s">
        <v>12844</v>
      </c>
      <c r="D6286" s="9" t="s">
        <v>89</v>
      </c>
      <c r="E6286" s="6" t="s">
        <v>12869</v>
      </c>
      <c r="F6286" s="9"/>
    </row>
    <row r="6287" ht="33.75" customHeight="1">
      <c r="A6287" s="7">
        <v>223.0</v>
      </c>
      <c r="B6287" s="9" t="s">
        <v>12843</v>
      </c>
      <c r="C6287" s="9" t="s">
        <v>12844</v>
      </c>
      <c r="D6287" s="9" t="s">
        <v>91</v>
      </c>
      <c r="E6287" s="6" t="s">
        <v>12859</v>
      </c>
      <c r="F6287" s="9"/>
    </row>
    <row r="6288" ht="33.75" customHeight="1">
      <c r="A6288" s="7">
        <v>223.0</v>
      </c>
      <c r="B6288" s="9" t="s">
        <v>12843</v>
      </c>
      <c r="C6288" s="9" t="s">
        <v>12844</v>
      </c>
      <c r="D6288" s="9" t="s">
        <v>93</v>
      </c>
      <c r="E6288" s="6" t="s">
        <v>12873</v>
      </c>
      <c r="F6288" s="9"/>
    </row>
    <row r="6289" ht="33.75" customHeight="1">
      <c r="A6289" s="7">
        <v>223.0</v>
      </c>
      <c r="B6289" s="9" t="s">
        <v>12843</v>
      </c>
      <c r="C6289" s="9" t="s">
        <v>12844</v>
      </c>
      <c r="D6289" s="9" t="s">
        <v>95</v>
      </c>
      <c r="E6289" s="6" t="s">
        <v>12873</v>
      </c>
      <c r="F6289" s="9"/>
    </row>
    <row r="6290" ht="33.75" customHeight="1">
      <c r="A6290" s="7">
        <v>223.0</v>
      </c>
      <c r="B6290" s="9" t="s">
        <v>12843</v>
      </c>
      <c r="C6290" s="9" t="s">
        <v>12844</v>
      </c>
      <c r="D6290" s="9" t="s">
        <v>98</v>
      </c>
      <c r="E6290" s="6" t="s">
        <v>12877</v>
      </c>
      <c r="F6290" s="9"/>
    </row>
    <row r="6291" ht="33.75" customHeight="1">
      <c r="A6291" s="7">
        <v>223.0</v>
      </c>
      <c r="B6291" s="9" t="s">
        <v>12843</v>
      </c>
      <c r="C6291" s="9" t="s">
        <v>12844</v>
      </c>
      <c r="D6291" s="9" t="s">
        <v>99</v>
      </c>
      <c r="E6291" s="6" t="s">
        <v>12877</v>
      </c>
      <c r="F6291" s="9"/>
    </row>
    <row r="6292" ht="33.75" customHeight="1">
      <c r="A6292" s="7">
        <v>223.0</v>
      </c>
      <c r="B6292" s="9" t="s">
        <v>12843</v>
      </c>
      <c r="C6292" s="9" t="s">
        <v>12844</v>
      </c>
      <c r="D6292" s="9" t="s">
        <v>101</v>
      </c>
      <c r="E6292" s="6" t="s">
        <v>12869</v>
      </c>
      <c r="F6292" s="9"/>
    </row>
    <row r="6293" ht="33.75" customHeight="1">
      <c r="A6293" s="7">
        <v>223.0</v>
      </c>
      <c r="B6293" s="9" t="s">
        <v>12843</v>
      </c>
      <c r="C6293" s="9" t="s">
        <v>12844</v>
      </c>
      <c r="D6293" s="9" t="s">
        <v>105</v>
      </c>
      <c r="E6293" s="6" t="s">
        <v>12881</v>
      </c>
      <c r="F6293" s="9"/>
    </row>
    <row r="6294" ht="33.75" customHeight="1">
      <c r="A6294" s="7">
        <v>223.0</v>
      </c>
      <c r="B6294" s="9" t="s">
        <v>12843</v>
      </c>
      <c r="C6294" s="9" t="s">
        <v>12844</v>
      </c>
      <c r="D6294" s="9" t="s">
        <v>107</v>
      </c>
      <c r="E6294" s="6" t="s">
        <v>12883</v>
      </c>
      <c r="F6294" s="9"/>
    </row>
    <row r="6295" ht="33.75" customHeight="1">
      <c r="A6295" s="7">
        <v>223.0</v>
      </c>
      <c r="B6295" s="9" t="s">
        <v>12843</v>
      </c>
      <c r="C6295" s="9" t="s">
        <v>12844</v>
      </c>
      <c r="D6295" s="9" t="s">
        <v>109</v>
      </c>
      <c r="E6295" s="6" t="s">
        <v>12883</v>
      </c>
      <c r="F6295" s="9"/>
    </row>
    <row r="6296" ht="33.75" customHeight="1">
      <c r="A6296" s="7">
        <v>223.0</v>
      </c>
      <c r="B6296" s="9" t="s">
        <v>12843</v>
      </c>
      <c r="C6296" s="9" t="s">
        <v>12844</v>
      </c>
      <c r="D6296" s="9" t="s">
        <v>647</v>
      </c>
      <c r="E6296" s="6" t="s">
        <v>12886</v>
      </c>
      <c r="F6296" s="9"/>
    </row>
    <row r="6297" ht="33.75" customHeight="1">
      <c r="A6297" s="7">
        <v>223.0</v>
      </c>
      <c r="B6297" s="9" t="s">
        <v>12843</v>
      </c>
      <c r="C6297" s="9" t="s">
        <v>12844</v>
      </c>
      <c r="D6297" s="9" t="s">
        <v>652</v>
      </c>
      <c r="E6297" s="6" t="s">
        <v>12889</v>
      </c>
      <c r="F6297" s="9"/>
    </row>
    <row r="6298" ht="33.75" customHeight="1">
      <c r="A6298" s="7">
        <v>223.0</v>
      </c>
      <c r="B6298" s="9" t="s">
        <v>12843</v>
      </c>
      <c r="C6298" s="9" t="s">
        <v>12844</v>
      </c>
      <c r="D6298" s="9" t="s">
        <v>114</v>
      </c>
      <c r="E6298" s="6" t="s">
        <v>12877</v>
      </c>
      <c r="F6298" s="9"/>
    </row>
    <row r="6299" ht="33.75" customHeight="1">
      <c r="A6299" s="7">
        <v>223.0</v>
      </c>
      <c r="B6299" s="9" t="s">
        <v>12843</v>
      </c>
      <c r="C6299" s="9" t="s">
        <v>12844</v>
      </c>
      <c r="D6299" s="9" t="s">
        <v>117</v>
      </c>
      <c r="E6299" s="6" t="s">
        <v>12881</v>
      </c>
      <c r="F6299" s="9"/>
    </row>
    <row r="6300" ht="33.75" customHeight="1">
      <c r="A6300" s="7">
        <v>223.0</v>
      </c>
      <c r="B6300" s="9" t="s">
        <v>12843</v>
      </c>
      <c r="C6300" s="9" t="s">
        <v>12844</v>
      </c>
      <c r="D6300" s="9" t="s">
        <v>1577</v>
      </c>
      <c r="E6300" s="6" t="s">
        <v>12892</v>
      </c>
      <c r="F6300" s="9"/>
    </row>
    <row r="6301" ht="33.75" customHeight="1">
      <c r="A6301" s="7">
        <v>224.0</v>
      </c>
      <c r="B6301" s="9" t="s">
        <v>12896</v>
      </c>
      <c r="C6301" s="9" t="s">
        <v>12844</v>
      </c>
      <c r="D6301" s="9" t="s">
        <v>52</v>
      </c>
      <c r="E6301" s="6" t="s">
        <v>12898</v>
      </c>
      <c r="F6301" t="inlineStr" s="10">
        <is>
          <t xml:space="preserve">Octillery vangitsee viholliset imukuppimaisilla lonkeroillaan ja murskaa ne sitten kivikovalla päällään. Se livahtaa vaistomaisesti kivisiin koloihin. Jos se tulee uneliaaksi, se varastaa toisen OCTILLERYn pesän. Sen vaisto on kaivautua koloihin. Se varastaa usein muiden pesäkolot nukkuakseen niissä. OCTILLERY tarttuu viholliseensa lonkeroillaan. Tämä POKéMON yrittää lamauttaa sen ennen viimeistelyiskua. Jos vihollinen osoittautuu liian vahvaksi, OCTILLERY sylkee mustetta paetakseen. Se kietoo vihollisensa imukuppimaisten lonkeroidensa ympärille ennen kuin antaa viimeisen iskun. Jos vihollinen osoittautuu liian voimakkaaksi, se sylkee mustetta paetakseen. Jos se tulee uneliaaksi, se varastaa toiselta OCTILLERYltä pesän. Se nappaa viholliset imukuppimaisilla lonkeroillaan ja murskaa ne sitten kivikovalla päällään. Se elää lohkareiden raoissa ja merenpohjan koloissa. Sen imukupit tarttuvat saaliiseen tiukasti. Se peittää vihollisensa näkökentän sylkemällä samean mustepilven. Se tekee pesänsä lohkareiden sekaan. Se rakastaa lymyillä kivien koloissa. Joskus se suihkuttaa mustetta saaliinsa päälle työntämällä ulos vain suunsa. Se nappaa viholliset lonkeroissaan olevilla imukupeilla ja murskaa ne sitten kivikovalla päällään. Sillä on taipumus haluta olla koloissa. Se viihtyy mieluummin kivien jyrkänteissä tai ruukuissa ja suihkuttaa niistä mustetta ennen hyökkäystä. Sen paetessaan sylkemä muste on erityistä. Se sisältää ainetta, joka tylsyttää hajuaistia, joten tarkkanäkiset Pokémonit eksyvät. Se yleensä nukkuu luolissa. Octilleryn sylkemää pikimustaa mustetta käytetään myös ruoanlaittoon. Vaikka Octillery edelleen ampuu vettä suustaan, sen ja Remoraidin välinen dramaattinen anatominen ero tarkoitti, että kukaan ei pitkään aikaan uskonut edellisen kehittyneen jälkimmäisestä.</t>
        </is>
      </c>
    </row>
    <row r="6302" ht="33.75" customHeight="1">
      <c r="A6302" s="7">
        <v>224.0</v>
      </c>
      <c r="B6302" s="9" t="s">
        <v>12896</v>
      </c>
      <c r="C6302" s="9" t="s">
        <v>12844</v>
      </c>
      <c r="D6302" s="9" t="s">
        <v>59</v>
      </c>
      <c r="E6302" s="6" t="s">
        <v>12900</v>
      </c>
      <c r="F6302" s="9"/>
    </row>
    <row r="6303" ht="33.75" customHeight="1">
      <c r="A6303" s="7">
        <v>224.0</v>
      </c>
      <c r="B6303" s="9" t="s">
        <v>12896</v>
      </c>
      <c r="C6303" s="9" t="s">
        <v>12844</v>
      </c>
      <c r="D6303" s="9" t="s">
        <v>64</v>
      </c>
      <c r="E6303" s="6" t="s">
        <v>12902</v>
      </c>
      <c r="F6303" s="9"/>
    </row>
    <row r="6304" ht="33.75" customHeight="1">
      <c r="A6304" s="7">
        <v>224.0</v>
      </c>
      <c r="B6304" s="9" t="s">
        <v>12896</v>
      </c>
      <c r="C6304" s="9" t="s">
        <v>12844</v>
      </c>
      <c r="D6304" s="9" t="s">
        <v>67</v>
      </c>
      <c r="E6304" s="6" t="s">
        <v>12904</v>
      </c>
      <c r="F6304" s="9"/>
    </row>
    <row r="6305" ht="33.75" customHeight="1">
      <c r="A6305" s="7">
        <v>224.0</v>
      </c>
      <c r="B6305" s="9" t="s">
        <v>12896</v>
      </c>
      <c r="C6305" s="9" t="s">
        <v>12844</v>
      </c>
      <c r="D6305" s="9" t="s">
        <v>71</v>
      </c>
      <c r="E6305" s="6" t="s">
        <v>12904</v>
      </c>
      <c r="F6305" s="9"/>
    </row>
    <row r="6306" ht="33.75" customHeight="1">
      <c r="A6306" s="7">
        <v>224.0</v>
      </c>
      <c r="B6306" s="9" t="s">
        <v>12896</v>
      </c>
      <c r="C6306" s="9" t="s">
        <v>12844</v>
      </c>
      <c r="D6306" s="9" t="s">
        <v>73</v>
      </c>
      <c r="E6306" s="6" t="s">
        <v>12907</v>
      </c>
      <c r="F6306" s="9"/>
    </row>
    <row r="6307" ht="33.75" customHeight="1">
      <c r="A6307" s="7">
        <v>224.0</v>
      </c>
      <c r="B6307" s="9" t="s">
        <v>12896</v>
      </c>
      <c r="C6307" s="9" t="s">
        <v>12844</v>
      </c>
      <c r="D6307" s="9" t="s">
        <v>75</v>
      </c>
      <c r="E6307" s="6" t="s">
        <v>12908</v>
      </c>
      <c r="F6307" s="9"/>
    </row>
    <row r="6308" ht="33.75" customHeight="1">
      <c r="A6308" s="7">
        <v>224.0</v>
      </c>
      <c r="B6308" s="9" t="s">
        <v>12896</v>
      </c>
      <c r="C6308" s="9" t="s">
        <v>12844</v>
      </c>
      <c r="D6308" s="9" t="s">
        <v>79</v>
      </c>
      <c r="E6308" s="6" t="s">
        <v>12910</v>
      </c>
      <c r="F6308" s="9"/>
    </row>
    <row r="6309" ht="33.75" customHeight="1">
      <c r="A6309" s="7">
        <v>224.0</v>
      </c>
      <c r="B6309" s="9" t="s">
        <v>12896</v>
      </c>
      <c r="C6309" s="9" t="s">
        <v>12844</v>
      </c>
      <c r="D6309" s="9" t="s">
        <v>81</v>
      </c>
      <c r="E6309" s="6" t="s">
        <v>12912</v>
      </c>
      <c r="F6309" s="9"/>
    </row>
    <row r="6310" ht="33.75" customHeight="1">
      <c r="A6310" s="7">
        <v>224.0</v>
      </c>
      <c r="B6310" s="9" t="s">
        <v>12896</v>
      </c>
      <c r="C6310" s="9" t="s">
        <v>12844</v>
      </c>
      <c r="D6310" s="9" t="s">
        <v>84</v>
      </c>
      <c r="E6310" s="6" t="s">
        <v>12914</v>
      </c>
      <c r="F6310" s="9"/>
    </row>
    <row r="6311" ht="33.75" customHeight="1">
      <c r="A6311" s="7">
        <v>224.0</v>
      </c>
      <c r="B6311" s="9" t="s">
        <v>12896</v>
      </c>
      <c r="C6311" s="9" t="s">
        <v>12844</v>
      </c>
      <c r="D6311" s="9" t="s">
        <v>87</v>
      </c>
      <c r="E6311" s="6" t="s">
        <v>12915</v>
      </c>
      <c r="F6311" s="9"/>
    </row>
    <row r="6312" ht="33.75" customHeight="1">
      <c r="A6312" s="7">
        <v>224.0</v>
      </c>
      <c r="B6312" s="9" t="s">
        <v>12896</v>
      </c>
      <c r="C6312" s="9" t="s">
        <v>12844</v>
      </c>
      <c r="D6312" s="9" t="s">
        <v>89</v>
      </c>
      <c r="E6312" s="6" t="s">
        <v>12917</v>
      </c>
      <c r="F6312" s="9"/>
    </row>
    <row r="6313" ht="33.75" customHeight="1">
      <c r="A6313" s="7">
        <v>224.0</v>
      </c>
      <c r="B6313" s="9" t="s">
        <v>12896</v>
      </c>
      <c r="C6313" s="9" t="s">
        <v>12844</v>
      </c>
      <c r="D6313" s="9" t="s">
        <v>91</v>
      </c>
      <c r="E6313" s="6" t="s">
        <v>12908</v>
      </c>
      <c r="F6313" s="9"/>
    </row>
    <row r="6314" ht="33.75" customHeight="1">
      <c r="A6314" s="7">
        <v>224.0</v>
      </c>
      <c r="B6314" s="9" t="s">
        <v>12896</v>
      </c>
      <c r="C6314" s="9" t="s">
        <v>12844</v>
      </c>
      <c r="D6314" s="9" t="s">
        <v>93</v>
      </c>
      <c r="E6314" s="6" t="s">
        <v>12915</v>
      </c>
      <c r="F6314" s="9"/>
    </row>
    <row r="6315" ht="33.75" customHeight="1">
      <c r="A6315" s="7">
        <v>224.0</v>
      </c>
      <c r="B6315" s="9" t="s">
        <v>12896</v>
      </c>
      <c r="C6315" s="9" t="s">
        <v>12844</v>
      </c>
      <c r="D6315" s="9" t="s">
        <v>95</v>
      </c>
      <c r="E6315" s="6" t="s">
        <v>12915</v>
      </c>
      <c r="F6315" s="9"/>
    </row>
    <row r="6316" ht="33.75" customHeight="1">
      <c r="A6316" s="7">
        <v>224.0</v>
      </c>
      <c r="B6316" s="9" t="s">
        <v>12896</v>
      </c>
      <c r="C6316" s="9" t="s">
        <v>12844</v>
      </c>
      <c r="D6316" s="9" t="s">
        <v>98</v>
      </c>
      <c r="E6316" s="6" t="s">
        <v>12922</v>
      </c>
      <c r="F6316" s="9"/>
    </row>
    <row r="6317" ht="33.75" customHeight="1">
      <c r="A6317" s="7">
        <v>224.0</v>
      </c>
      <c r="B6317" s="9" t="s">
        <v>12896</v>
      </c>
      <c r="C6317" s="9" t="s">
        <v>12844</v>
      </c>
      <c r="D6317" s="9" t="s">
        <v>99</v>
      </c>
      <c r="E6317" s="6" t="s">
        <v>12922</v>
      </c>
      <c r="F6317" s="9"/>
    </row>
    <row r="6318" ht="33.75" customHeight="1">
      <c r="A6318" s="7">
        <v>224.0</v>
      </c>
      <c r="B6318" s="9" t="s">
        <v>12896</v>
      </c>
      <c r="C6318" s="9" t="s">
        <v>12844</v>
      </c>
      <c r="D6318" s="9" t="s">
        <v>101</v>
      </c>
      <c r="E6318" s="6" t="s">
        <v>12922</v>
      </c>
      <c r="F6318" s="9"/>
    </row>
    <row r="6319" ht="33.75" customHeight="1">
      <c r="A6319" s="7">
        <v>224.0</v>
      </c>
      <c r="B6319" s="9" t="s">
        <v>12896</v>
      </c>
      <c r="C6319" s="9" t="s">
        <v>12844</v>
      </c>
      <c r="D6319" s="9" t="s">
        <v>105</v>
      </c>
      <c r="E6319" s="6" t="s">
        <v>12917</v>
      </c>
      <c r="F6319" s="9"/>
    </row>
    <row r="6320" ht="33.75" customHeight="1">
      <c r="A6320" s="7">
        <v>224.0</v>
      </c>
      <c r="B6320" s="9" t="s">
        <v>12896</v>
      </c>
      <c r="C6320" s="9" t="s">
        <v>12844</v>
      </c>
      <c r="D6320" s="9" t="s">
        <v>107</v>
      </c>
      <c r="E6320" s="6" t="s">
        <v>12926</v>
      </c>
      <c r="F6320" s="9"/>
    </row>
    <row r="6321" ht="33.75" customHeight="1">
      <c r="A6321" s="7">
        <v>224.0</v>
      </c>
      <c r="B6321" s="9" t="s">
        <v>12896</v>
      </c>
      <c r="C6321" s="9" t="s">
        <v>12844</v>
      </c>
      <c r="D6321" s="9" t="s">
        <v>109</v>
      </c>
      <c r="E6321" s="6" t="s">
        <v>12926</v>
      </c>
      <c r="F6321" s="9"/>
    </row>
    <row r="6322" ht="33.75" customHeight="1">
      <c r="A6322" s="7">
        <v>224.0</v>
      </c>
      <c r="B6322" s="9" t="s">
        <v>12896</v>
      </c>
      <c r="C6322" s="9" t="s">
        <v>12844</v>
      </c>
      <c r="D6322" s="9" t="s">
        <v>647</v>
      </c>
      <c r="E6322" s="6" t="s">
        <v>12929</v>
      </c>
      <c r="F6322" s="9"/>
    </row>
    <row r="6323" ht="33.75" customHeight="1">
      <c r="A6323" s="7">
        <v>224.0</v>
      </c>
      <c r="B6323" s="9" t="s">
        <v>12896</v>
      </c>
      <c r="C6323" s="9" t="s">
        <v>12844</v>
      </c>
      <c r="D6323" s="9" t="s">
        <v>652</v>
      </c>
      <c r="E6323" s="6" t="s">
        <v>12931</v>
      </c>
      <c r="F6323" s="9"/>
    </row>
    <row r="6324" ht="33.75" customHeight="1">
      <c r="A6324" s="7">
        <v>224.0</v>
      </c>
      <c r="B6324" s="9" t="s">
        <v>12896</v>
      </c>
      <c r="C6324" s="9" t="s">
        <v>12844</v>
      </c>
      <c r="D6324" s="9" t="s">
        <v>114</v>
      </c>
      <c r="E6324" s="6" t="s">
        <v>12922</v>
      </c>
      <c r="F6324" s="9"/>
    </row>
    <row r="6325" ht="33.75" customHeight="1">
      <c r="A6325" s="7">
        <v>224.0</v>
      </c>
      <c r="B6325" s="9" t="s">
        <v>12896</v>
      </c>
      <c r="C6325" s="9" t="s">
        <v>12844</v>
      </c>
      <c r="D6325" s="9" t="s">
        <v>117</v>
      </c>
      <c r="E6325" s="6" t="s">
        <v>12910</v>
      </c>
      <c r="F6325" s="9"/>
    </row>
    <row r="6326" ht="33.75" customHeight="1">
      <c r="A6326" s="7">
        <v>224.0</v>
      </c>
      <c r="B6326" s="9" t="s">
        <v>12896</v>
      </c>
      <c r="C6326" s="9" t="s">
        <v>12844</v>
      </c>
      <c r="D6326" s="9" t="s">
        <v>1577</v>
      </c>
      <c r="E6326" s="6" t="s">
        <v>12935</v>
      </c>
      <c r="F6326" s="9"/>
    </row>
    <row r="6327" ht="33.75" customHeight="1">
      <c r="A6327" s="7">
        <v>225.0</v>
      </c>
      <c r="B6327" s="9" t="s">
        <v>12936</v>
      </c>
      <c r="C6327" s="9" t="s">
        <v>12937</v>
      </c>
      <c r="D6327" s="9" t="s">
        <v>52</v>
      </c>
      <c r="E6327" s="6" t="s">
        <v>12939</v>
      </c>
      <c r="F6327" t="inlineStr" s="10">
        <is>
          <t xml:space="preserve">Delibird kantaa ruokaa koko päivän. On tarinoita kadonneista ihmisistä, jotka pelastuivat sen ruoan ansiosta. Se pesii terävien kallioiden reunalla. Se viettää koko päivän kantaen ruokaa odottaville poikasilleen. Se kantaa aina ruokansa mukanaan, minne ikinä se meneekin. Jos sitä hyökätään, se heittää ruokansa vastustajan päälle. DELIBIRD kantaa ruokansa pyrstössään. Olipa kerran kuuluisa tutkimusmatkailija, joka onnistui saavuttamaan Mount Everestin huipun yhden näistä POKéMONeista jaettua ruokansa. Se kantaa ruokaa pyrstössään. Kuuluisa tutkimusmatkailija onnistui kiipeämään Mount Everestille Delibirdin ansiosta, joka jakoi sen ruokaa. Se kantaa ruokaa käärittynä pyrstössään. Sillä on tapana jakaa ruokaa vuorilla eksyneiden ihmisten kanssa. On tarinoita kadonneista ihmisistä, jotka pelastuivat sen varastoidun ruoan ansiosta. Kun joku eksyy vuorille, se jakaa sen ruoan. Olipa kerran kuuluisa tutkimusmatkailija, joka onnistui saavuttamaan maailman korkeimman vuoren huipun yhden näistä Pokémoneista jakaman ruokansa ansiosta. Vaikka se luonnostaan ​​viihtyy kylmemmässä paikassa, Alolassa sijaitseva Delibird näyttää kestävän kuumuutta jossain määrin. Sillä on antelias tapa jakaa ruokansa ihmisten ja Pokémonien kanssa, joten se etsii aina lisää ruokaa. Se jakaa ruokansa ihmisten kanssa, jotka ovat jääneet pulaan. Koska Delibird on kaikkiruokainen, se antaa näille ihmisille joskus Bug-Pokémoneja. Se kietoo ruokaa pyrstönsä ympärille kantaakseen sitä mukanaan. Suurihäntäinen Delibird on parven pomo!</t>
        </is>
      </c>
    </row>
    <row r="6328" ht="33.75" customHeight="1">
      <c r="A6328" s="7">
        <v>225.0</v>
      </c>
      <c r="B6328" s="9" t="s">
        <v>12936</v>
      </c>
      <c r="C6328" s="9" t="s">
        <v>12937</v>
      </c>
      <c r="D6328" s="9" t="s">
        <v>59</v>
      </c>
      <c r="E6328" s="6" t="s">
        <v>12940</v>
      </c>
      <c r="F6328" s="9"/>
    </row>
    <row r="6329" ht="33.75" customHeight="1">
      <c r="A6329" s="7">
        <v>225.0</v>
      </c>
      <c r="B6329" s="9" t="s">
        <v>12936</v>
      </c>
      <c r="C6329" s="9" t="s">
        <v>12937</v>
      </c>
      <c r="D6329" s="9" t="s">
        <v>64</v>
      </c>
      <c r="E6329" s="6" t="s">
        <v>12942</v>
      </c>
      <c r="F6329" s="9"/>
    </row>
    <row r="6330" ht="33.75" customHeight="1">
      <c r="A6330" s="7">
        <v>225.0</v>
      </c>
      <c r="B6330" s="9" t="s">
        <v>12936</v>
      </c>
      <c r="C6330" s="9" t="s">
        <v>12937</v>
      </c>
      <c r="D6330" s="9" t="s">
        <v>67</v>
      </c>
      <c r="E6330" s="6" t="s">
        <v>12944</v>
      </c>
      <c r="F6330" s="9"/>
    </row>
    <row r="6331" ht="33.75" customHeight="1">
      <c r="A6331" s="7">
        <v>225.0</v>
      </c>
      <c r="B6331" s="9" t="s">
        <v>12936</v>
      </c>
      <c r="C6331" s="9" t="s">
        <v>12937</v>
      </c>
      <c r="D6331" s="9" t="s">
        <v>71</v>
      </c>
      <c r="E6331" s="6" t="s">
        <v>12944</v>
      </c>
      <c r="F6331" s="9"/>
    </row>
    <row r="6332" ht="33.75" customHeight="1">
      <c r="A6332" s="7">
        <v>225.0</v>
      </c>
      <c r="B6332" s="9" t="s">
        <v>12936</v>
      </c>
      <c r="C6332" s="9" t="s">
        <v>12937</v>
      </c>
      <c r="D6332" s="9" t="s">
        <v>73</v>
      </c>
      <c r="E6332" s="6" t="s">
        <v>12948</v>
      </c>
      <c r="F6332" s="9"/>
    </row>
    <row r="6333" ht="33.75" customHeight="1">
      <c r="A6333" s="7">
        <v>225.0</v>
      </c>
      <c r="B6333" s="9" t="s">
        <v>12936</v>
      </c>
      <c r="C6333" s="9" t="s">
        <v>12937</v>
      </c>
      <c r="D6333" s="9" t="s">
        <v>75</v>
      </c>
      <c r="E6333" s="6" t="s">
        <v>12940</v>
      </c>
      <c r="F6333" s="9"/>
    </row>
    <row r="6334" ht="33.75" customHeight="1">
      <c r="A6334" s="7">
        <v>225.0</v>
      </c>
      <c r="B6334" s="9" t="s">
        <v>12936</v>
      </c>
      <c r="C6334" s="9" t="s">
        <v>12937</v>
      </c>
      <c r="D6334" s="9" t="s">
        <v>79</v>
      </c>
      <c r="E6334" s="6" t="s">
        <v>12939</v>
      </c>
      <c r="F6334" s="9"/>
    </row>
    <row r="6335" ht="33.75" customHeight="1">
      <c r="A6335" s="7">
        <v>225.0</v>
      </c>
      <c r="B6335" s="9" t="s">
        <v>12936</v>
      </c>
      <c r="C6335" s="9" t="s">
        <v>12937</v>
      </c>
      <c r="D6335" s="9" t="s">
        <v>81</v>
      </c>
      <c r="E6335" s="6" t="s">
        <v>12953</v>
      </c>
      <c r="F6335" s="9"/>
    </row>
    <row r="6336" ht="33.75" customHeight="1">
      <c r="A6336" s="7">
        <v>225.0</v>
      </c>
      <c r="B6336" s="9" t="s">
        <v>12936</v>
      </c>
      <c r="C6336" s="9" t="s">
        <v>12937</v>
      </c>
      <c r="D6336" s="9" t="s">
        <v>84</v>
      </c>
      <c r="E6336" s="6" t="s">
        <v>12953</v>
      </c>
      <c r="F6336" s="9"/>
    </row>
    <row r="6337" ht="33.75" customHeight="1">
      <c r="A6337" s="7">
        <v>225.0</v>
      </c>
      <c r="B6337" s="9" t="s">
        <v>12936</v>
      </c>
      <c r="C6337" s="9" t="s">
        <v>12937</v>
      </c>
      <c r="D6337" s="9" t="s">
        <v>87</v>
      </c>
      <c r="E6337" s="6" t="s">
        <v>12953</v>
      </c>
      <c r="F6337" s="9"/>
    </row>
    <row r="6338" ht="33.75" customHeight="1">
      <c r="A6338" s="7">
        <v>225.0</v>
      </c>
      <c r="B6338" s="9" t="s">
        <v>12936</v>
      </c>
      <c r="C6338" s="9" t="s">
        <v>12937</v>
      </c>
      <c r="D6338" s="9" t="s">
        <v>89</v>
      </c>
      <c r="E6338" s="6" t="s">
        <v>12956</v>
      </c>
      <c r="F6338" s="9"/>
    </row>
    <row r="6339" ht="33.75" customHeight="1">
      <c r="A6339" s="7">
        <v>225.0</v>
      </c>
      <c r="B6339" s="9" t="s">
        <v>12936</v>
      </c>
      <c r="C6339" s="9" t="s">
        <v>12937</v>
      </c>
      <c r="D6339" s="9" t="s">
        <v>91</v>
      </c>
      <c r="E6339" s="6" t="s">
        <v>12940</v>
      </c>
      <c r="F6339" s="9"/>
    </row>
    <row r="6340" ht="33.75" customHeight="1">
      <c r="A6340" s="7">
        <v>225.0</v>
      </c>
      <c r="B6340" s="9" t="s">
        <v>12936</v>
      </c>
      <c r="C6340" s="9" t="s">
        <v>12937</v>
      </c>
      <c r="D6340" s="9" t="s">
        <v>93</v>
      </c>
      <c r="E6340" s="6" t="s">
        <v>12953</v>
      </c>
      <c r="F6340" s="9"/>
    </row>
    <row r="6341" ht="33.75" customHeight="1">
      <c r="A6341" s="7">
        <v>225.0</v>
      </c>
      <c r="B6341" s="9" t="s">
        <v>12936</v>
      </c>
      <c r="C6341" s="9" t="s">
        <v>12937</v>
      </c>
      <c r="D6341" s="9" t="s">
        <v>95</v>
      </c>
      <c r="E6341" s="6" t="s">
        <v>12953</v>
      </c>
      <c r="F6341" s="9"/>
    </row>
    <row r="6342" ht="33.75" customHeight="1">
      <c r="A6342" s="7">
        <v>225.0</v>
      </c>
      <c r="B6342" s="9" t="s">
        <v>12936</v>
      </c>
      <c r="C6342" s="9" t="s">
        <v>12937</v>
      </c>
      <c r="D6342" s="9" t="s">
        <v>98</v>
      </c>
      <c r="E6342" s="6" t="s">
        <v>12962</v>
      </c>
      <c r="F6342" s="9"/>
    </row>
    <row r="6343" ht="33.75" customHeight="1">
      <c r="A6343" s="7">
        <v>225.0</v>
      </c>
      <c r="B6343" s="9" t="s">
        <v>12936</v>
      </c>
      <c r="C6343" s="9" t="s">
        <v>12937</v>
      </c>
      <c r="D6343" s="9" t="s">
        <v>99</v>
      </c>
      <c r="E6343" s="6" t="s">
        <v>12962</v>
      </c>
      <c r="F6343" s="9"/>
    </row>
    <row r="6344" ht="33.75" customHeight="1">
      <c r="A6344" s="7">
        <v>225.0</v>
      </c>
      <c r="B6344" s="9" t="s">
        <v>12936</v>
      </c>
      <c r="C6344" s="9" t="s">
        <v>12937</v>
      </c>
      <c r="D6344" s="9" t="s">
        <v>101</v>
      </c>
      <c r="E6344" s="6" t="s">
        <v>12953</v>
      </c>
      <c r="F6344" s="9"/>
    </row>
    <row r="6345" ht="33.75" customHeight="1">
      <c r="A6345" s="7">
        <v>225.0</v>
      </c>
      <c r="B6345" s="9" t="s">
        <v>12936</v>
      </c>
      <c r="C6345" s="9" t="s">
        <v>12937</v>
      </c>
      <c r="D6345" s="9" t="s">
        <v>105</v>
      </c>
      <c r="E6345" s="6" t="s">
        <v>12962</v>
      </c>
      <c r="F6345" s="9"/>
    </row>
    <row r="6346" ht="33.75" customHeight="1">
      <c r="A6346" s="7">
        <v>225.0</v>
      </c>
      <c r="B6346" s="9" t="s">
        <v>12936</v>
      </c>
      <c r="C6346" s="9" t="s">
        <v>12937</v>
      </c>
      <c r="D6346" s="9" t="s">
        <v>107</v>
      </c>
      <c r="E6346" s="6" t="s">
        <v>12967</v>
      </c>
      <c r="F6346" s="9"/>
    </row>
    <row r="6347" ht="33.75" customHeight="1">
      <c r="A6347" s="7">
        <v>225.0</v>
      </c>
      <c r="B6347" s="9" t="s">
        <v>12936</v>
      </c>
      <c r="C6347" s="9" t="s">
        <v>12937</v>
      </c>
      <c r="D6347" s="9" t="s">
        <v>109</v>
      </c>
      <c r="E6347" s="6" t="s">
        <v>12967</v>
      </c>
      <c r="F6347" s="9"/>
    </row>
    <row r="6348" ht="33.75" customHeight="1">
      <c r="A6348" s="7">
        <v>225.0</v>
      </c>
      <c r="B6348" s="9" t="s">
        <v>12936</v>
      </c>
      <c r="C6348" s="9" t="s">
        <v>12937</v>
      </c>
      <c r="D6348" s="9" t="s">
        <v>637</v>
      </c>
      <c r="E6348" s="6" t="s">
        <v>12970</v>
      </c>
      <c r="F6348" s="9"/>
    </row>
    <row r="6349" ht="33.75" customHeight="1">
      <c r="A6349" s="7">
        <v>225.0</v>
      </c>
      <c r="B6349" s="9" t="s">
        <v>12936</v>
      </c>
      <c r="C6349" s="9" t="s">
        <v>12937</v>
      </c>
      <c r="D6349" s="9" t="s">
        <v>642</v>
      </c>
      <c r="E6349" s="6" t="s">
        <v>12972</v>
      </c>
      <c r="F6349" s="9"/>
    </row>
    <row r="6350" ht="33.75" customHeight="1">
      <c r="A6350" s="7">
        <v>225.0</v>
      </c>
      <c r="B6350" s="9" t="s">
        <v>12936</v>
      </c>
      <c r="C6350" s="9" t="s">
        <v>12937</v>
      </c>
      <c r="D6350" s="9" t="s">
        <v>647</v>
      </c>
      <c r="E6350" s="6" t="s">
        <v>12973</v>
      </c>
      <c r="F6350" s="9"/>
    </row>
    <row r="6351" ht="33.75" customHeight="1">
      <c r="A6351" s="7">
        <v>225.0</v>
      </c>
      <c r="B6351" s="9" t="s">
        <v>12936</v>
      </c>
      <c r="C6351" s="9" t="s">
        <v>12937</v>
      </c>
      <c r="D6351" s="9" t="s">
        <v>652</v>
      </c>
      <c r="E6351" s="6" t="s">
        <v>12975</v>
      </c>
      <c r="F6351" s="9"/>
    </row>
    <row r="6352" ht="33.75" customHeight="1">
      <c r="A6352" s="7">
        <v>225.0</v>
      </c>
      <c r="B6352" s="9" t="s">
        <v>12936</v>
      </c>
      <c r="C6352" s="9" t="s">
        <v>12937</v>
      </c>
      <c r="D6352" s="9" t="s">
        <v>114</v>
      </c>
      <c r="E6352" s="6" t="s">
        <v>12939</v>
      </c>
      <c r="F6352" s="9"/>
    </row>
    <row r="6353" ht="33.75" customHeight="1">
      <c r="A6353" s="7">
        <v>225.0</v>
      </c>
      <c r="B6353" s="9" t="s">
        <v>12936</v>
      </c>
      <c r="C6353" s="9" t="s">
        <v>12937</v>
      </c>
      <c r="D6353" s="9" t="s">
        <v>117</v>
      </c>
      <c r="E6353" s="6" t="s">
        <v>12972</v>
      </c>
      <c r="F6353" s="9"/>
    </row>
    <row r="6354" ht="33.75" customHeight="1">
      <c r="A6354" s="7">
        <v>226.0</v>
      </c>
      <c r="B6354" s="9" t="s">
        <v>12978</v>
      </c>
      <c r="C6354" s="9" t="s">
        <v>12980</v>
      </c>
      <c r="D6354" s="9" t="s">
        <v>52</v>
      </c>
      <c r="E6354" s="6" t="s">
        <v>12981</v>
      </c>
      <c r="F6354" t="inlineStr" s="10">
        <is>
          <t xml:space="preserve">Majesteettisesti uiessaan se ei välitä kiinnittyvistä REMORAID-eläimistä, jotka keräävät Mantinen jätteitä. Vapaasti uidessaan avomerellä se voi lentää vedestä aaltojen yli, jos se kiihtyy riittävästi. Se ui vapaasti ja syö suuhunsa uintia. Koko sen ruumis on hyvin karkea. Aurinkoisina päivinä MANTINE-parvien voi nähdä hyppivän tyylikkäästi meren aaltojen yli. Tätä POKéMONIA ei häiritse liftaava REMORAID. Aurinkoisina päivinä MANTINE-parvien voi nähdä hyppivän tyylikkäästi aaltojen yli. Niitä ei häiritse liftaava REMORAID. Majesteettisesti uiessaan se ei välitä kiinnittyvistä REMORAID-eläimistä kerätäkseen sen tähteitä. Kun aallot ovat tyyniä, voi kohdata parven mantiineja, jotka uivat aivan kuin ne olisivat lennossa. Se ui tyylikkäästi, välittämättä REMORAID-kalojen tarttumisesta leveisiin eviinsä. Sillä on säyseä luonne. Uidessaan tyylikkäästi meressä se jättää huomiotta REMORAID-kalat, jotka takertuvat sen eviin etsiessään ruokajäämiä. Uidessaan tyylikkäästi meressä se jättää huomiotta remoraidit, jotka takertuvat sen eviin etsiessään ruokajäämiä. Jos se ui tarpeeksi nopeasti, se voi lentää yli 90 metrin korkeuteen merenpinnasta. Postikortit ja julisteet, joissa Mantine hyppää tyylikkäästi aaltojen ylle, ovat suosittuja Alolan matkamuistoja. Monet ihmiset ovat alkaneet surffata, koska he ihailevat Mantinen upeaa uimista. Jos se ui tarpeeksi nopeasti, se voi hypätä aaltojen yläpuolelle ja liitää yli 90 metriä. Majesteettisesti uiessaan se ei välitä, kiinnittyvätkö Remoraidit siihen kerätäkseen sen tähteitä. Tämä rauhallinen ja lempeä Pokémon ui sulavasti meren halki. Nopeuden kasvattua se voi hypätä vedestä. Tämän käytöksen vuoksi se usein luullaan virheellisesti lintu-Pokémoniksi.</t>
        </is>
      </c>
    </row>
    <row r="6355" ht="33.75" customHeight="1">
      <c r="A6355" s="7">
        <v>226.0</v>
      </c>
      <c r="B6355" s="9" t="s">
        <v>12978</v>
      </c>
      <c r="C6355" s="9" t="s">
        <v>12980</v>
      </c>
      <c r="D6355" s="9" t="s">
        <v>59</v>
      </c>
      <c r="E6355" s="6" t="s">
        <v>12985</v>
      </c>
      <c r="F6355" s="9"/>
    </row>
    <row r="6356" ht="33.75" customHeight="1">
      <c r="A6356" s="7">
        <v>226.0</v>
      </c>
      <c r="B6356" s="9" t="s">
        <v>12978</v>
      </c>
      <c r="C6356" s="9" t="s">
        <v>12980</v>
      </c>
      <c r="D6356" s="9" t="s">
        <v>64</v>
      </c>
      <c r="E6356" s="6" t="s">
        <v>12987</v>
      </c>
      <c r="F6356" s="9"/>
    </row>
    <row r="6357" ht="33.75" customHeight="1">
      <c r="A6357" s="7">
        <v>226.0</v>
      </c>
      <c r="B6357" s="9" t="s">
        <v>12978</v>
      </c>
      <c r="C6357" s="9" t="s">
        <v>12980</v>
      </c>
      <c r="D6357" s="9" t="s">
        <v>67</v>
      </c>
      <c r="E6357" s="6" t="s">
        <v>12990</v>
      </c>
      <c r="F6357" s="9"/>
    </row>
    <row r="6358" ht="33.75" customHeight="1">
      <c r="A6358" s="7">
        <v>226.0</v>
      </c>
      <c r="B6358" s="9" t="s">
        <v>12978</v>
      </c>
      <c r="C6358" s="9" t="s">
        <v>12980</v>
      </c>
      <c r="D6358" s="9" t="s">
        <v>71</v>
      </c>
      <c r="E6358" s="6" t="s">
        <v>12990</v>
      </c>
      <c r="F6358" s="9"/>
    </row>
    <row r="6359" ht="33.75" customHeight="1">
      <c r="A6359" s="7">
        <v>226.0</v>
      </c>
      <c r="B6359" s="9" t="s">
        <v>12978</v>
      </c>
      <c r="C6359" s="9" t="s">
        <v>12980</v>
      </c>
      <c r="D6359" s="9" t="s">
        <v>73</v>
      </c>
      <c r="E6359" s="6" t="s">
        <v>12994</v>
      </c>
      <c r="F6359" s="9"/>
    </row>
    <row r="6360" ht="33.75" customHeight="1">
      <c r="A6360" s="7">
        <v>226.0</v>
      </c>
      <c r="B6360" s="9" t="s">
        <v>12978</v>
      </c>
      <c r="C6360" s="9" t="s">
        <v>12980</v>
      </c>
      <c r="D6360" s="9" t="s">
        <v>75</v>
      </c>
      <c r="E6360" s="6" t="s">
        <v>12985</v>
      </c>
      <c r="F6360" s="9"/>
    </row>
    <row r="6361" ht="33.75" customHeight="1">
      <c r="A6361" s="7">
        <v>226.0</v>
      </c>
      <c r="B6361" s="9" t="s">
        <v>12978</v>
      </c>
      <c r="C6361" s="9" t="s">
        <v>12980</v>
      </c>
      <c r="D6361" s="9" t="s">
        <v>79</v>
      </c>
      <c r="E6361" s="6" t="s">
        <v>12998</v>
      </c>
      <c r="F6361" s="9"/>
    </row>
    <row r="6362" ht="33.75" customHeight="1">
      <c r="A6362" s="7">
        <v>226.0</v>
      </c>
      <c r="B6362" s="9" t="s">
        <v>12978</v>
      </c>
      <c r="C6362" s="9" t="s">
        <v>12980</v>
      </c>
      <c r="D6362" s="9" t="s">
        <v>81</v>
      </c>
      <c r="E6362" s="6" t="s">
        <v>13002</v>
      </c>
      <c r="F6362" s="9"/>
    </row>
    <row r="6363" ht="33.75" customHeight="1">
      <c r="A6363" s="7">
        <v>226.0</v>
      </c>
      <c r="B6363" s="9" t="s">
        <v>12978</v>
      </c>
      <c r="C6363" s="9" t="s">
        <v>12980</v>
      </c>
      <c r="D6363" s="9" t="s">
        <v>84</v>
      </c>
      <c r="E6363" s="6" t="s">
        <v>13006</v>
      </c>
      <c r="F6363" s="9"/>
    </row>
    <row r="6364" ht="33.75" customHeight="1">
      <c r="A6364" s="7">
        <v>226.0</v>
      </c>
      <c r="B6364" s="9" t="s">
        <v>12978</v>
      </c>
      <c r="C6364" s="9" t="s">
        <v>12980</v>
      </c>
      <c r="D6364" s="9" t="s">
        <v>87</v>
      </c>
      <c r="E6364" s="6" t="s">
        <v>13010</v>
      </c>
      <c r="F6364" s="9"/>
    </row>
    <row r="6365" ht="33.75" customHeight="1">
      <c r="A6365" s="7">
        <v>226.0</v>
      </c>
      <c r="B6365" s="9" t="s">
        <v>12978</v>
      </c>
      <c r="C6365" s="9" t="s">
        <v>12980</v>
      </c>
      <c r="D6365" s="9" t="s">
        <v>89</v>
      </c>
      <c r="E6365" s="6" t="s">
        <v>12981</v>
      </c>
      <c r="F6365" s="9"/>
    </row>
    <row r="6366" ht="33.75" customHeight="1">
      <c r="A6366" s="7">
        <v>226.0</v>
      </c>
      <c r="B6366" s="9" t="s">
        <v>12978</v>
      </c>
      <c r="C6366" s="9" t="s">
        <v>12980</v>
      </c>
      <c r="D6366" s="9" t="s">
        <v>91</v>
      </c>
      <c r="E6366" s="6" t="s">
        <v>12985</v>
      </c>
      <c r="F6366" s="9"/>
    </row>
    <row r="6367" ht="33.75" customHeight="1">
      <c r="A6367" s="7">
        <v>226.0</v>
      </c>
      <c r="B6367" s="9" t="s">
        <v>12978</v>
      </c>
      <c r="C6367" s="9" t="s">
        <v>12980</v>
      </c>
      <c r="D6367" s="9" t="s">
        <v>93</v>
      </c>
      <c r="E6367" s="6" t="s">
        <v>13015</v>
      </c>
      <c r="F6367" s="9"/>
    </row>
    <row r="6368" ht="33.75" customHeight="1">
      <c r="A6368" s="7">
        <v>226.0</v>
      </c>
      <c r="B6368" s="9" t="s">
        <v>12978</v>
      </c>
      <c r="C6368" s="9" t="s">
        <v>12980</v>
      </c>
      <c r="D6368" s="9" t="s">
        <v>95</v>
      </c>
      <c r="E6368" s="6" t="s">
        <v>13015</v>
      </c>
      <c r="F6368" s="9"/>
    </row>
    <row r="6369" ht="33.75" customHeight="1">
      <c r="A6369" s="7">
        <v>226.0</v>
      </c>
      <c r="B6369" s="9" t="s">
        <v>12978</v>
      </c>
      <c r="C6369" s="9" t="s">
        <v>12980</v>
      </c>
      <c r="D6369" s="9" t="s">
        <v>98</v>
      </c>
      <c r="E6369" s="6" t="s">
        <v>13019</v>
      </c>
      <c r="F6369" s="9"/>
    </row>
    <row r="6370" ht="33.75" customHeight="1">
      <c r="A6370" s="7">
        <v>226.0</v>
      </c>
      <c r="B6370" s="9" t="s">
        <v>12978</v>
      </c>
      <c r="C6370" s="9" t="s">
        <v>12980</v>
      </c>
      <c r="D6370" s="9" t="s">
        <v>99</v>
      </c>
      <c r="E6370" s="6" t="s">
        <v>13019</v>
      </c>
      <c r="F6370" s="9"/>
    </row>
    <row r="6371" ht="33.75" customHeight="1">
      <c r="A6371" s="7">
        <v>226.0</v>
      </c>
      <c r="B6371" s="9" t="s">
        <v>12978</v>
      </c>
      <c r="C6371" s="9" t="s">
        <v>12980</v>
      </c>
      <c r="D6371" s="9" t="s">
        <v>101</v>
      </c>
      <c r="E6371" s="6" t="s">
        <v>13019</v>
      </c>
      <c r="F6371" s="9"/>
    </row>
    <row r="6372" ht="33.75" customHeight="1">
      <c r="A6372" s="7">
        <v>226.0</v>
      </c>
      <c r="B6372" s="9" t="s">
        <v>12978</v>
      </c>
      <c r="C6372" s="9" t="s">
        <v>12980</v>
      </c>
      <c r="D6372" s="9" t="s">
        <v>105</v>
      </c>
      <c r="E6372" s="6" t="s">
        <v>13015</v>
      </c>
      <c r="F6372" s="9"/>
    </row>
    <row r="6373" ht="33.75" customHeight="1">
      <c r="A6373" s="7">
        <v>226.0</v>
      </c>
      <c r="B6373" s="9" t="s">
        <v>12978</v>
      </c>
      <c r="C6373" s="9" t="s">
        <v>12980</v>
      </c>
      <c r="D6373" s="9" t="s">
        <v>107</v>
      </c>
      <c r="E6373" s="6" t="s">
        <v>13026</v>
      </c>
      <c r="F6373" s="9"/>
    </row>
    <row r="6374" ht="33.75" customHeight="1">
      <c r="A6374" s="7">
        <v>226.0</v>
      </c>
      <c r="B6374" s="9" t="s">
        <v>12978</v>
      </c>
      <c r="C6374" s="9" t="s">
        <v>12980</v>
      </c>
      <c r="D6374" s="9" t="s">
        <v>109</v>
      </c>
      <c r="E6374" s="6" t="s">
        <v>13026</v>
      </c>
      <c r="F6374" s="9"/>
    </row>
    <row r="6375" ht="33.75" customHeight="1">
      <c r="A6375" s="7">
        <v>226.0</v>
      </c>
      <c r="B6375" s="9" t="s">
        <v>12978</v>
      </c>
      <c r="C6375" s="9" t="s">
        <v>12980</v>
      </c>
      <c r="D6375" s="9" t="s">
        <v>647</v>
      </c>
      <c r="E6375" s="6" t="s">
        <v>13030</v>
      </c>
      <c r="F6375" s="9"/>
    </row>
    <row r="6376" ht="33.75" customHeight="1">
      <c r="A6376" s="7">
        <v>226.0</v>
      </c>
      <c r="B6376" s="9" t="s">
        <v>12978</v>
      </c>
      <c r="C6376" s="9" t="s">
        <v>12980</v>
      </c>
      <c r="D6376" s="9" t="s">
        <v>652</v>
      </c>
      <c r="E6376" s="6" t="s">
        <v>13032</v>
      </c>
      <c r="F6376" s="9"/>
    </row>
    <row r="6377" ht="33.75" customHeight="1">
      <c r="A6377" s="7">
        <v>226.0</v>
      </c>
      <c r="B6377" s="9" t="s">
        <v>12978</v>
      </c>
      <c r="C6377" s="9" t="s">
        <v>12980</v>
      </c>
      <c r="D6377" s="9" t="s">
        <v>114</v>
      </c>
      <c r="E6377" s="6" t="s">
        <v>13035</v>
      </c>
      <c r="F6377" s="9"/>
    </row>
    <row r="6378" ht="33.75" customHeight="1">
      <c r="A6378" s="7">
        <v>226.0</v>
      </c>
      <c r="B6378" s="9" t="s">
        <v>12978</v>
      </c>
      <c r="C6378" s="9" t="s">
        <v>12980</v>
      </c>
      <c r="D6378" s="9" t="s">
        <v>117</v>
      </c>
      <c r="E6378" s="6" t="s">
        <v>13036</v>
      </c>
      <c r="F6378" s="9"/>
    </row>
    <row r="6379" ht="33.75" customHeight="1">
      <c r="A6379" s="7">
        <v>226.0</v>
      </c>
      <c r="B6379" s="9" t="s">
        <v>12978</v>
      </c>
      <c r="C6379" s="9" t="s">
        <v>12980</v>
      </c>
      <c r="D6379" s="9" t="s">
        <v>1577</v>
      </c>
      <c r="E6379" s="6" t="s">
        <v>13038</v>
      </c>
      <c r="F6379" s="9"/>
    </row>
    <row r="6380" ht="33.75" customHeight="1">
      <c r="A6380" s="7">
        <v>227.0</v>
      </c>
      <c r="B6380" s="9" t="s">
        <v>13040</v>
      </c>
      <c r="C6380" s="9" t="s">
        <v>13041</v>
      </c>
      <c r="D6380" s="9" t="s">
        <v>52</v>
      </c>
      <c r="E6380" s="6" t="s">
        <v>13042</v>
      </c>
      <c r="F6380" t="inlineStr" s="10">
        <is>
          <t xml:space="preserve">Skarmoryn tukevat siivet näyttävät raskailta, mutta ne ovat itse asiassa onttoja ja kevyitä, minkä ansiosta se voi lentää vapaasti taivaalla. Pesittyään karhunvatukkapensaissa sen poikasten siivet kovettuvat piikkien naarmuista. Sen pudottamat höyhenet ovat erittäin teräviä. Kerrotaan, että ihmiset käyttivät höyheniä aikoinaan miekkoina. SKARMORY on kokonaan kovan, suojaavan haarniskan peitossa. Tämä POKéMON lentää lähes 305 km/h nopeudella. Se viiltää vihollisia miekan kaltaisilla terävillä siivillään. SKARMORYn terässiivet repaleistuvat ja kolhiintuvat toistuvissa taisteluissa. Kerran vuodessa kolhiintuneet siivet kasvavat kokonaan takaisin, jolloin leikkaavat reunat palautuvat alkuperäiseen tilaansa. POKéMON, jolla on teräsvartalo ja -siivet. Ihmiset käyttivät ennen SKARMORYsta pudonneita höyheniä miekkojen ja veitsien valmistukseen. Sen tukevat siivet näyttävät raskailta, mutta sen luut ovat onttoja ja kevyitä, minkä ansiosta se voi lentää vapaasti taivaalla. Vaikka se on kokonaan raudankovan haarniskan peitossa, se lentää yli 290 km/h nopeudella. Sen raskaan näköinen rautarunko on itse asiassa ohut ja kevyt, joten se voi lentää yli 290 km/h nopeudella. Skarmory on kokonaan kovan, suojaavan haarniskan peittämä. Sen höyhenet, jotka putoavat sen kasvaessa, ovat ohuet ja terävät. Kauan sitten soturit käyttivät niitä miekkoina. Sen metallinen runko on tukeva, mutta se ruostuu melko helposti. Joten sateisina päivinä tämä Pokémon pysyy mieluummin pesässään. Sen pudottamat siipisulkat voidaan käsitellä ja niistä voidaan tehdä veitsiä, joiden terävyyden parhaat kokit tunnustavat. Sen vartalo on verhottu teräspanssariin. Se näyttää raskaalta, mutta se voi lentää jopa 300 kilometrin tuntinopeudella! Näiden Pokémonien terävät höyhenet ovat terävämmät kuin miekat. Skarmory ja Corviknight taistelevat raivokkaasti alueesta. Ihmiset valmistavat miekkoja Skarmoryn pudonneista höyhenistä, joten tämä Pokémon on suosittu elementti heraldisissa kuvioissa.</t>
        </is>
      </c>
    </row>
    <row r="6381" ht="33.75" customHeight="1">
      <c r="A6381" s="7">
        <v>227.0</v>
      </c>
      <c r="B6381" s="9" t="s">
        <v>13040</v>
      </c>
      <c r="C6381" s="9" t="s">
        <v>13041</v>
      </c>
      <c r="D6381" s="9" t="s">
        <v>59</v>
      </c>
      <c r="E6381" s="6" t="s">
        <v>13044</v>
      </c>
      <c r="F6381" s="9"/>
    </row>
    <row r="6382" ht="33.75" customHeight="1">
      <c r="A6382" s="7">
        <v>227.0</v>
      </c>
      <c r="B6382" s="9" t="s">
        <v>13040</v>
      </c>
      <c r="C6382" s="9" t="s">
        <v>13041</v>
      </c>
      <c r="D6382" s="9" t="s">
        <v>64</v>
      </c>
      <c r="E6382" s="6" t="s">
        <v>13046</v>
      </c>
      <c r="F6382" s="9"/>
    </row>
    <row r="6383" ht="33.75" customHeight="1">
      <c r="A6383" s="7">
        <v>227.0</v>
      </c>
      <c r="B6383" s="9" t="s">
        <v>13040</v>
      </c>
      <c r="C6383" s="9" t="s">
        <v>13041</v>
      </c>
      <c r="D6383" s="9" t="s">
        <v>67</v>
      </c>
      <c r="E6383" s="6" t="s">
        <v>13048</v>
      </c>
      <c r="F6383" s="9"/>
    </row>
    <row r="6384" ht="33.75" customHeight="1">
      <c r="A6384" s="7">
        <v>227.0</v>
      </c>
      <c r="B6384" s="9" t="s">
        <v>13040</v>
      </c>
      <c r="C6384" s="9" t="s">
        <v>13041</v>
      </c>
      <c r="D6384" s="9" t="s">
        <v>71</v>
      </c>
      <c r="E6384" s="6" t="s">
        <v>13050</v>
      </c>
      <c r="F6384" s="9"/>
    </row>
    <row r="6385" ht="33.75" customHeight="1">
      <c r="A6385" s="7">
        <v>227.0</v>
      </c>
      <c r="B6385" s="9" t="s">
        <v>13040</v>
      </c>
      <c r="C6385" s="9" t="s">
        <v>13041</v>
      </c>
      <c r="D6385" s="9" t="s">
        <v>73</v>
      </c>
      <c r="E6385" s="6" t="s">
        <v>13051</v>
      </c>
      <c r="F6385" s="9"/>
    </row>
    <row r="6386" ht="33.75" customHeight="1">
      <c r="A6386" s="7">
        <v>227.0</v>
      </c>
      <c r="B6386" s="9" t="s">
        <v>13040</v>
      </c>
      <c r="C6386" s="9" t="s">
        <v>13041</v>
      </c>
      <c r="D6386" s="9" t="s">
        <v>75</v>
      </c>
      <c r="E6386" s="6" t="s">
        <v>13044</v>
      </c>
      <c r="F6386" s="9"/>
    </row>
    <row r="6387" ht="33.75" customHeight="1">
      <c r="A6387" s="7">
        <v>227.0</v>
      </c>
      <c r="B6387" s="9" t="s">
        <v>13040</v>
      </c>
      <c r="C6387" s="9" t="s">
        <v>13041</v>
      </c>
      <c r="D6387" s="9" t="s">
        <v>79</v>
      </c>
      <c r="E6387" s="6" t="s">
        <v>13054</v>
      </c>
      <c r="F6387" s="9"/>
    </row>
    <row r="6388" ht="33.75" customHeight="1">
      <c r="A6388" s="7">
        <v>227.0</v>
      </c>
      <c r="B6388" s="9" t="s">
        <v>13040</v>
      </c>
      <c r="C6388" s="9" t="s">
        <v>13041</v>
      </c>
      <c r="D6388" s="9" t="s">
        <v>81</v>
      </c>
      <c r="E6388" s="6" t="s">
        <v>13056</v>
      </c>
      <c r="F6388" s="9"/>
    </row>
    <row r="6389" ht="33.75" customHeight="1">
      <c r="A6389" s="7">
        <v>227.0</v>
      </c>
      <c r="B6389" s="9" t="s">
        <v>13040</v>
      </c>
      <c r="C6389" s="9" t="s">
        <v>13041</v>
      </c>
      <c r="D6389" s="9" t="s">
        <v>84</v>
      </c>
      <c r="E6389" s="6" t="s">
        <v>13056</v>
      </c>
      <c r="F6389" s="9"/>
    </row>
    <row r="6390" ht="33.75" customHeight="1">
      <c r="A6390" s="7">
        <v>227.0</v>
      </c>
      <c r="B6390" s="9" t="s">
        <v>13040</v>
      </c>
      <c r="C6390" s="9" t="s">
        <v>13041</v>
      </c>
      <c r="D6390" s="9" t="s">
        <v>87</v>
      </c>
      <c r="E6390" s="6" t="s">
        <v>13056</v>
      </c>
      <c r="F6390" s="9"/>
    </row>
    <row r="6391" ht="33.75" customHeight="1">
      <c r="A6391" s="7">
        <v>227.0</v>
      </c>
      <c r="B6391" s="9" t="s">
        <v>13040</v>
      </c>
      <c r="C6391" s="9" t="s">
        <v>13041</v>
      </c>
      <c r="D6391" s="9" t="s">
        <v>89</v>
      </c>
      <c r="E6391" s="6" t="s">
        <v>13042</v>
      </c>
      <c r="F6391" s="9"/>
    </row>
    <row r="6392" ht="33.75" customHeight="1">
      <c r="A6392" s="7">
        <v>227.0</v>
      </c>
      <c r="B6392" s="9" t="s">
        <v>13040</v>
      </c>
      <c r="C6392" s="9" t="s">
        <v>13041</v>
      </c>
      <c r="D6392" s="9" t="s">
        <v>91</v>
      </c>
      <c r="E6392" s="6" t="s">
        <v>13044</v>
      </c>
      <c r="F6392" s="9"/>
    </row>
    <row r="6393" ht="33.75" customHeight="1">
      <c r="A6393" s="7">
        <v>227.0</v>
      </c>
      <c r="B6393" s="9" t="s">
        <v>13040</v>
      </c>
      <c r="C6393" s="9" t="s">
        <v>13041</v>
      </c>
      <c r="D6393" s="9" t="s">
        <v>93</v>
      </c>
      <c r="E6393" s="6" t="s">
        <v>13056</v>
      </c>
      <c r="F6393" s="9"/>
    </row>
    <row r="6394" ht="33.75" customHeight="1">
      <c r="A6394" s="7">
        <v>227.0</v>
      </c>
      <c r="B6394" s="9" t="s">
        <v>13040</v>
      </c>
      <c r="C6394" s="9" t="s">
        <v>13041</v>
      </c>
      <c r="D6394" s="9" t="s">
        <v>95</v>
      </c>
      <c r="E6394" s="6" t="s">
        <v>13056</v>
      </c>
      <c r="F6394" s="9"/>
    </row>
    <row r="6395" ht="33.75" customHeight="1">
      <c r="A6395" s="7">
        <v>227.0</v>
      </c>
      <c r="B6395" s="9" t="s">
        <v>13040</v>
      </c>
      <c r="C6395" s="9" t="s">
        <v>13041</v>
      </c>
      <c r="D6395" s="9" t="s">
        <v>98</v>
      </c>
      <c r="E6395" s="6" t="s">
        <v>13063</v>
      </c>
      <c r="F6395" s="9"/>
    </row>
    <row r="6396" ht="33.75" customHeight="1">
      <c r="A6396" s="7">
        <v>227.0</v>
      </c>
      <c r="B6396" s="9" t="s">
        <v>13040</v>
      </c>
      <c r="C6396" s="9" t="s">
        <v>13041</v>
      </c>
      <c r="D6396" s="9" t="s">
        <v>99</v>
      </c>
      <c r="E6396" s="6" t="s">
        <v>13063</v>
      </c>
      <c r="F6396" s="9"/>
    </row>
    <row r="6397" ht="33.75" customHeight="1">
      <c r="A6397" s="7">
        <v>227.0</v>
      </c>
      <c r="B6397" s="9" t="s">
        <v>13040</v>
      </c>
      <c r="C6397" s="9" t="s">
        <v>13041</v>
      </c>
      <c r="D6397" s="9" t="s">
        <v>101</v>
      </c>
      <c r="E6397" s="6" t="s">
        <v>13044</v>
      </c>
      <c r="F6397" s="9"/>
    </row>
    <row r="6398" ht="33.75" customHeight="1">
      <c r="A6398" s="7">
        <v>227.0</v>
      </c>
      <c r="B6398" s="9" t="s">
        <v>13040</v>
      </c>
      <c r="C6398" s="9" t="s">
        <v>13041</v>
      </c>
      <c r="D6398" s="9" t="s">
        <v>105</v>
      </c>
      <c r="E6398" s="6" t="s">
        <v>13056</v>
      </c>
      <c r="F6398" s="9"/>
    </row>
    <row r="6399" ht="33.75" customHeight="1">
      <c r="A6399" s="7">
        <v>227.0</v>
      </c>
      <c r="B6399" s="9" t="s">
        <v>13040</v>
      </c>
      <c r="C6399" s="9" t="s">
        <v>13041</v>
      </c>
      <c r="D6399" s="9" t="s">
        <v>107</v>
      </c>
      <c r="E6399" s="6" t="s">
        <v>13069</v>
      </c>
      <c r="F6399" s="9"/>
    </row>
    <row r="6400" ht="33.75" customHeight="1">
      <c r="A6400" s="7">
        <v>227.0</v>
      </c>
      <c r="B6400" s="9" t="s">
        <v>13040</v>
      </c>
      <c r="C6400" s="9" t="s">
        <v>13041</v>
      </c>
      <c r="D6400" s="9" t="s">
        <v>109</v>
      </c>
      <c r="E6400" s="6" t="s">
        <v>13071</v>
      </c>
      <c r="F6400" s="9"/>
    </row>
    <row r="6401" ht="33.75" customHeight="1">
      <c r="A6401" s="7">
        <v>227.0</v>
      </c>
      <c r="B6401" s="9" t="s">
        <v>13040</v>
      </c>
      <c r="C6401" s="9" t="s">
        <v>13041</v>
      </c>
      <c r="D6401" s="9" t="s">
        <v>637</v>
      </c>
      <c r="E6401" s="6" t="s">
        <v>13073</v>
      </c>
      <c r="F6401" s="9"/>
    </row>
    <row r="6402" ht="33.75" customHeight="1">
      <c r="A6402" s="7">
        <v>227.0</v>
      </c>
      <c r="B6402" s="9" t="s">
        <v>13040</v>
      </c>
      <c r="C6402" s="9" t="s">
        <v>13041</v>
      </c>
      <c r="D6402" s="9" t="s">
        <v>642</v>
      </c>
      <c r="E6402" s="6" t="s">
        <v>13074</v>
      </c>
      <c r="F6402" s="9"/>
    </row>
    <row r="6403" ht="33.75" customHeight="1">
      <c r="A6403" s="7">
        <v>227.0</v>
      </c>
      <c r="B6403" s="9" t="s">
        <v>13040</v>
      </c>
      <c r="C6403" s="9" t="s">
        <v>13041</v>
      </c>
      <c r="D6403" s="9" t="s">
        <v>647</v>
      </c>
      <c r="E6403" s="6" t="s">
        <v>13076</v>
      </c>
      <c r="F6403" s="9"/>
    </row>
    <row r="6404" ht="33.75" customHeight="1">
      <c r="A6404" s="7">
        <v>227.0</v>
      </c>
      <c r="B6404" s="9" t="s">
        <v>13040</v>
      </c>
      <c r="C6404" s="9" t="s">
        <v>13041</v>
      </c>
      <c r="D6404" s="9" t="s">
        <v>652</v>
      </c>
      <c r="E6404" s="6" t="s">
        <v>13078</v>
      </c>
      <c r="F6404" s="9"/>
    </row>
    <row r="6405" ht="33.75" customHeight="1">
      <c r="A6405" s="7">
        <v>227.0</v>
      </c>
      <c r="B6405" s="9" t="s">
        <v>13040</v>
      </c>
      <c r="C6405" s="9" t="s">
        <v>13041</v>
      </c>
      <c r="D6405" s="9" t="s">
        <v>114</v>
      </c>
      <c r="E6405" s="6" t="s">
        <v>13080</v>
      </c>
      <c r="F6405" s="9"/>
    </row>
    <row r="6406" ht="33.75" customHeight="1">
      <c r="A6406" s="7">
        <v>227.0</v>
      </c>
      <c r="B6406" s="9" t="s">
        <v>13040</v>
      </c>
      <c r="C6406" s="9" t="s">
        <v>13041</v>
      </c>
      <c r="D6406" s="9" t="s">
        <v>117</v>
      </c>
      <c r="E6406" s="6" t="s">
        <v>13082</v>
      </c>
      <c r="F6406" s="9"/>
    </row>
    <row r="6407" ht="33.75" customHeight="1">
      <c r="A6407" s="7">
        <v>228.0</v>
      </c>
      <c r="B6407" s="9" t="s">
        <v>13083</v>
      </c>
      <c r="C6407" s="9" t="s">
        <v>13084</v>
      </c>
      <c r="D6407" s="9" t="s">
        <v>52</v>
      </c>
      <c r="E6407" s="6" t="s">
        <v>13085</v>
      </c>
      <c r="F6407" t="inlineStr" s="10">
        <is>
          <t xml:space="preserve">Houndour käyttää erilaisia ​​huutoja kommunikoidakseen muiden lajitovereidensa kanssa ja jahdatakseen saalistaan. Ajaakseen saaliinsa nurkkaan ne tarkistavat toistensa sijainnin haukkumalla, jonka vain ne ymmärtävät. Aamunkoiton tienoilla sen pahaenteinen ulvonta kaikuu alueen läpi ilmoittaen, että tämä on sen aluetta. HOUNDOUR saalistaa koordinoituna laumana. Ne kommunikoivat keskenään käyttämällä erilaisia ​​huutoja saaliinsa nurkkaan ajamiseksi. Tämän POKéMONin merkittävä tiimityö on vertaansa vailla. HOUNDOUR kommunikoivat keskenään käyttämällä erilaisia ​​huutoja ajellakseen saaliinsa nurkkaan. Tämän POKéMONin merkittävä tiimityö on yksinkertaisesti vertaansa vailla. Se käyttää erilaisia ​​huutoja kommunikoidakseen muiden lajitovereidensa kanssa ja jahdatakseen saalista. Se ilmaisee tunteitaan erilaisilla huudoilla. Se toimii laumassa napatakseen saaliinsa ovelasti. Se on tarpeeksi älykäs metsästämään laumoissa. Se käyttää erilaisia ​​huutoja kommunikoidakseen muiden kanssa. Houndourit metsästävät koordinoituna laumana. Ne kommunikoivat keskenään käyttämällä erilaisia ​​huutoja ahdistaakseen saaliinsa. Tämän Pokémonin merkittävä tiimityöskentely on vertaansa vailla. Se tekee taitavaa yhteistyötä muiden kanssa. Kun siitä tulee kumppanisi, se on erittäin uskollinen sinulle kouluttajanaan ja tottelee käskyjäsi. Ne ulvovat toistuvasti ennen aamunkoittoa kiinnittääkseen huomion laumaansa.</t>
        </is>
      </c>
    </row>
    <row r="6408" ht="33.75" customHeight="1">
      <c r="A6408" s="7">
        <v>228.0</v>
      </c>
      <c r="B6408" s="9" t="s">
        <v>13083</v>
      </c>
      <c r="C6408" s="9" t="s">
        <v>13084</v>
      </c>
      <c r="D6408" s="9" t="s">
        <v>59</v>
      </c>
      <c r="E6408" s="6" t="s">
        <v>13087</v>
      </c>
      <c r="F6408" s="9"/>
    </row>
    <row r="6409" ht="33.75" customHeight="1">
      <c r="A6409" s="7">
        <v>228.0</v>
      </c>
      <c r="B6409" s="9" t="s">
        <v>13083</v>
      </c>
      <c r="C6409" s="9" t="s">
        <v>13084</v>
      </c>
      <c r="D6409" s="9" t="s">
        <v>64</v>
      </c>
      <c r="E6409" s="6" t="s">
        <v>13089</v>
      </c>
      <c r="F6409" s="9"/>
    </row>
    <row r="6410" ht="33.75" customHeight="1">
      <c r="A6410" s="7">
        <v>228.0</v>
      </c>
      <c r="B6410" s="9" t="s">
        <v>13083</v>
      </c>
      <c r="C6410" s="9" t="s">
        <v>13084</v>
      </c>
      <c r="D6410" s="9" t="s">
        <v>67</v>
      </c>
      <c r="E6410" s="6" t="s">
        <v>13091</v>
      </c>
      <c r="F6410" s="9"/>
    </row>
    <row r="6411" ht="33.75" customHeight="1">
      <c r="A6411" s="7">
        <v>228.0</v>
      </c>
      <c r="B6411" s="9" t="s">
        <v>13083</v>
      </c>
      <c r="C6411" s="9" t="s">
        <v>13084</v>
      </c>
      <c r="D6411" s="9" t="s">
        <v>71</v>
      </c>
      <c r="E6411" s="6" t="s">
        <v>13091</v>
      </c>
      <c r="F6411" s="9"/>
    </row>
    <row r="6412" ht="33.75" customHeight="1">
      <c r="A6412" s="7">
        <v>228.0</v>
      </c>
      <c r="B6412" s="9" t="s">
        <v>13083</v>
      </c>
      <c r="C6412" s="9" t="s">
        <v>13084</v>
      </c>
      <c r="D6412" s="9" t="s">
        <v>73</v>
      </c>
      <c r="E6412" s="6" t="s">
        <v>13094</v>
      </c>
      <c r="F6412" s="9"/>
    </row>
    <row r="6413" ht="33.75" customHeight="1">
      <c r="A6413" s="7">
        <v>228.0</v>
      </c>
      <c r="B6413" s="9" t="s">
        <v>13083</v>
      </c>
      <c r="C6413" s="9" t="s">
        <v>13084</v>
      </c>
      <c r="D6413" s="9" t="s">
        <v>75</v>
      </c>
      <c r="E6413" s="6" t="s">
        <v>13087</v>
      </c>
      <c r="F6413" s="9"/>
    </row>
    <row r="6414" ht="33.75" customHeight="1">
      <c r="A6414" s="7">
        <v>228.0</v>
      </c>
      <c r="B6414" s="9" t="s">
        <v>13083</v>
      </c>
      <c r="C6414" s="9" t="s">
        <v>13084</v>
      </c>
      <c r="D6414" s="9" t="s">
        <v>79</v>
      </c>
      <c r="E6414" s="6" t="s">
        <v>13096</v>
      </c>
      <c r="F6414" s="9"/>
    </row>
    <row r="6415" ht="33.75" customHeight="1">
      <c r="A6415" s="7">
        <v>228.0</v>
      </c>
      <c r="B6415" s="9" t="s">
        <v>13083</v>
      </c>
      <c r="C6415" s="9" t="s">
        <v>13084</v>
      </c>
      <c r="D6415" s="9" t="s">
        <v>81</v>
      </c>
      <c r="E6415" s="6" t="s">
        <v>13098</v>
      </c>
      <c r="F6415" s="9"/>
    </row>
    <row r="6416" ht="33.75" customHeight="1">
      <c r="A6416" s="7">
        <v>228.0</v>
      </c>
      <c r="B6416" s="9" t="s">
        <v>13083</v>
      </c>
      <c r="C6416" s="9" t="s">
        <v>13084</v>
      </c>
      <c r="D6416" s="9" t="s">
        <v>84</v>
      </c>
      <c r="E6416" s="6" t="s">
        <v>13098</v>
      </c>
      <c r="F6416" s="9"/>
    </row>
    <row r="6417" ht="33.75" customHeight="1">
      <c r="A6417" s="7">
        <v>228.0</v>
      </c>
      <c r="B6417" s="9" t="s">
        <v>13083</v>
      </c>
      <c r="C6417" s="9" t="s">
        <v>13084</v>
      </c>
      <c r="D6417" s="9" t="s">
        <v>87</v>
      </c>
      <c r="E6417" s="6" t="s">
        <v>13100</v>
      </c>
      <c r="F6417" s="9"/>
    </row>
    <row r="6418" ht="33.75" customHeight="1">
      <c r="A6418" s="7">
        <v>228.0</v>
      </c>
      <c r="B6418" s="9" t="s">
        <v>13083</v>
      </c>
      <c r="C6418" s="9" t="s">
        <v>13084</v>
      </c>
      <c r="D6418" s="9" t="s">
        <v>89</v>
      </c>
      <c r="E6418" s="6" t="s">
        <v>13085</v>
      </c>
      <c r="F6418" s="9"/>
    </row>
    <row r="6419" ht="33.75" customHeight="1">
      <c r="A6419" s="7">
        <v>228.0</v>
      </c>
      <c r="B6419" s="9" t="s">
        <v>13083</v>
      </c>
      <c r="C6419" s="9" t="s">
        <v>13084</v>
      </c>
      <c r="D6419" s="9" t="s">
        <v>91</v>
      </c>
      <c r="E6419" s="6" t="s">
        <v>13087</v>
      </c>
      <c r="F6419" s="9"/>
    </row>
    <row r="6420" ht="33.75" customHeight="1">
      <c r="A6420" s="7">
        <v>228.0</v>
      </c>
      <c r="B6420" s="9" t="s">
        <v>13083</v>
      </c>
      <c r="C6420" s="9" t="s">
        <v>13084</v>
      </c>
      <c r="D6420" s="9" t="s">
        <v>93</v>
      </c>
      <c r="E6420" s="6" t="s">
        <v>13100</v>
      </c>
      <c r="F6420" s="9"/>
    </row>
    <row r="6421" ht="33.75" customHeight="1">
      <c r="A6421" s="7">
        <v>228.0</v>
      </c>
      <c r="B6421" s="9" t="s">
        <v>13083</v>
      </c>
      <c r="C6421" s="9" t="s">
        <v>13084</v>
      </c>
      <c r="D6421" s="9" t="s">
        <v>95</v>
      </c>
      <c r="E6421" s="6" t="s">
        <v>13100</v>
      </c>
      <c r="F6421" s="9"/>
    </row>
    <row r="6422" ht="33.75" customHeight="1">
      <c r="A6422" s="7">
        <v>228.0</v>
      </c>
      <c r="B6422" s="9" t="s">
        <v>13083</v>
      </c>
      <c r="C6422" s="9" t="s">
        <v>13084</v>
      </c>
      <c r="D6422" s="9" t="s">
        <v>98</v>
      </c>
      <c r="E6422" s="6" t="s">
        <v>13100</v>
      </c>
      <c r="F6422" s="9"/>
    </row>
    <row r="6423" ht="33.75" customHeight="1">
      <c r="A6423" s="7">
        <v>228.0</v>
      </c>
      <c r="B6423" s="9" t="s">
        <v>13083</v>
      </c>
      <c r="C6423" s="9" t="s">
        <v>13084</v>
      </c>
      <c r="D6423" s="9" t="s">
        <v>99</v>
      </c>
      <c r="E6423" s="6" t="s">
        <v>13100</v>
      </c>
      <c r="F6423" s="9"/>
    </row>
    <row r="6424" ht="33.75" customHeight="1">
      <c r="A6424" s="7">
        <v>228.0</v>
      </c>
      <c r="B6424" s="9" t="s">
        <v>13083</v>
      </c>
      <c r="C6424" s="9" t="s">
        <v>13084</v>
      </c>
      <c r="D6424" s="9" t="s">
        <v>101</v>
      </c>
      <c r="E6424" s="6" t="s">
        <v>13089</v>
      </c>
      <c r="F6424" s="9"/>
    </row>
    <row r="6425" ht="33.75" customHeight="1">
      <c r="A6425" s="7">
        <v>228.0</v>
      </c>
      <c r="B6425" s="9" t="s">
        <v>13083</v>
      </c>
      <c r="C6425" s="9" t="s">
        <v>13084</v>
      </c>
      <c r="D6425" s="9" t="s">
        <v>105</v>
      </c>
      <c r="E6425" s="6" t="s">
        <v>13087</v>
      </c>
      <c r="F6425" s="9"/>
    </row>
    <row r="6426" ht="33.75" customHeight="1">
      <c r="A6426" s="7">
        <v>228.0</v>
      </c>
      <c r="B6426" s="9" t="s">
        <v>13083</v>
      </c>
      <c r="C6426" s="9" t="s">
        <v>13084</v>
      </c>
      <c r="D6426" s="9" t="s">
        <v>107</v>
      </c>
      <c r="E6426" s="6" t="s">
        <v>13112</v>
      </c>
      <c r="F6426" s="9"/>
    </row>
    <row r="6427" ht="33.75" customHeight="1">
      <c r="A6427" s="7">
        <v>228.0</v>
      </c>
      <c r="B6427" s="9" t="s">
        <v>13083</v>
      </c>
      <c r="C6427" s="9" t="s">
        <v>13084</v>
      </c>
      <c r="D6427" s="9" t="s">
        <v>109</v>
      </c>
      <c r="E6427" s="6" t="s">
        <v>13112</v>
      </c>
      <c r="F6427" s="9"/>
    </row>
    <row r="6428" ht="33.75" customHeight="1">
      <c r="A6428" s="7">
        <v>228.0</v>
      </c>
      <c r="B6428" s="9" t="s">
        <v>13083</v>
      </c>
      <c r="C6428" s="9" t="s">
        <v>13084</v>
      </c>
      <c r="D6428" s="9" t="s">
        <v>647</v>
      </c>
      <c r="E6428" s="6" t="s">
        <v>13116</v>
      </c>
      <c r="F6428" s="9"/>
    </row>
    <row r="6429" ht="33.75" customHeight="1">
      <c r="A6429" s="7">
        <v>228.0</v>
      </c>
      <c r="B6429" s="9" t="s">
        <v>13083</v>
      </c>
      <c r="C6429" s="9" t="s">
        <v>13084</v>
      </c>
      <c r="D6429" s="9" t="s">
        <v>652</v>
      </c>
      <c r="E6429" s="6" t="s">
        <v>13118</v>
      </c>
      <c r="F6429" s="9"/>
    </row>
    <row r="6430" ht="33.75" customHeight="1">
      <c r="A6430" s="7">
        <v>229.0</v>
      </c>
      <c r="B6430" s="9" t="s">
        <v>13119</v>
      </c>
      <c r="C6430" s="9" t="s">
        <v>13084</v>
      </c>
      <c r="D6430" s="9" t="s">
        <v>52</v>
      </c>
      <c r="E6430" s="6" t="s">
        <v>13121</v>
      </c>
      <c r="F6430" t="inlineStr" s="10">
        <is>
          <t xml:space="preserve">Jos Houndoomin suusta ampuvat liekit polttavat sinua, kipu ei koskaan katoa. Kuultuaan sen aavemaisen ulvonnan muut POKéMONit saavat kylmiä väreitä ja suuntaavat suoraan takaisin pesiinsä. Sen suusta purkautuva pistävänhajuinen liekki on peräisin sen kehossa palavista myrkkyistä. HOUNDOOM-laumassa se, jonka sarvet ovat terävästi taaksepäin, toimii johtajana. Nämä POKéMONit valitsevat johtajansa taistelemalla keskenään. Ne valitsevat johtajansa taistelemalla keskenään. Kauan sitten ihmiset kuvittelivat sen aavemaisen ulvonnan olevan viikatemiehen kutsu. Sen suuttuessa hengittämät liekit sisältävät myrkkyjä. Jos ne aiheuttavat palovamman, se sattuu ikuisesti. Houndoom-laumassa se Pokémon, jonka sarvet ovat terävästi taaksepäin, toimii johtajana. Ne sylkevät myrkkyyn sekoitettuja liekkejä vihollistensa loppuun saattamiseksi. Ne jakavat saaliinsa tasan laumansa jäsenten kesken. Sen aavemaisen ulvonnan perusteella tunnistettavissa olevaa eläintä pidettiin kauan sitten synkkänä viikatemiehenä ja pelkäsivät sitä.</t>
        </is>
      </c>
    </row>
    <row r="6431" ht="33.75" customHeight="1">
      <c r="A6431" s="7">
        <v>229.0</v>
      </c>
      <c r="B6431" s="9" t="s">
        <v>13119</v>
      </c>
      <c r="C6431" s="9" t="s">
        <v>13084</v>
      </c>
      <c r="D6431" s="9" t="s">
        <v>59</v>
      </c>
      <c r="E6431" s="6" t="s">
        <v>13123</v>
      </c>
      <c r="F6431" s="9"/>
    </row>
    <row r="6432" ht="33.75" customHeight="1">
      <c r="A6432" s="7">
        <v>229.0</v>
      </c>
      <c r="B6432" s="9" t="s">
        <v>13119</v>
      </c>
      <c r="C6432" s="9" t="s">
        <v>13084</v>
      </c>
      <c r="D6432" s="9" t="s">
        <v>64</v>
      </c>
      <c r="E6432" s="6" t="s">
        <v>13125</v>
      </c>
      <c r="F6432" s="9"/>
    </row>
    <row r="6433" ht="33.75" customHeight="1">
      <c r="A6433" s="7">
        <v>229.0</v>
      </c>
      <c r="B6433" s="9" t="s">
        <v>13119</v>
      </c>
      <c r="C6433" s="9" t="s">
        <v>13084</v>
      </c>
      <c r="D6433" s="9" t="s">
        <v>67</v>
      </c>
      <c r="E6433" s="6" t="s">
        <v>13127</v>
      </c>
      <c r="F6433" s="9"/>
    </row>
    <row r="6434" ht="33.75" customHeight="1">
      <c r="A6434" s="7">
        <v>229.0</v>
      </c>
      <c r="B6434" s="9" t="s">
        <v>13119</v>
      </c>
      <c r="C6434" s="9" t="s">
        <v>13084</v>
      </c>
      <c r="D6434" s="9" t="s">
        <v>71</v>
      </c>
      <c r="E6434" s="6" t="s">
        <v>13127</v>
      </c>
      <c r="F6434" s="9"/>
    </row>
    <row r="6435" ht="33.75" customHeight="1">
      <c r="A6435" s="7">
        <v>229.0</v>
      </c>
      <c r="B6435" s="9" t="s">
        <v>13119</v>
      </c>
      <c r="C6435" s="9" t="s">
        <v>13084</v>
      </c>
      <c r="D6435" s="9" t="s">
        <v>73</v>
      </c>
      <c r="E6435" s="6" t="s">
        <v>13130</v>
      </c>
      <c r="F6435" s="9"/>
    </row>
    <row r="6436" ht="33.75" customHeight="1">
      <c r="A6436" s="7">
        <v>229.0</v>
      </c>
      <c r="B6436" s="9" t="s">
        <v>13119</v>
      </c>
      <c r="C6436" s="9" t="s">
        <v>13084</v>
      </c>
      <c r="D6436" s="9" t="s">
        <v>75</v>
      </c>
      <c r="E6436" s="6" t="s">
        <v>13123</v>
      </c>
      <c r="F6436" s="9"/>
    </row>
    <row r="6437" ht="33.75" customHeight="1">
      <c r="A6437" s="7">
        <v>229.0</v>
      </c>
      <c r="B6437" s="9" t="s">
        <v>13119</v>
      </c>
      <c r="C6437" s="9" t="s">
        <v>13084</v>
      </c>
      <c r="D6437" s="9" t="s">
        <v>79</v>
      </c>
      <c r="E6437" s="6" t="s">
        <v>13121</v>
      </c>
      <c r="F6437" s="9"/>
    </row>
    <row r="6438" ht="33.75" customHeight="1">
      <c r="A6438" s="7">
        <v>229.0</v>
      </c>
      <c r="B6438" s="9" t="s">
        <v>13119</v>
      </c>
      <c r="C6438" s="9" t="s">
        <v>13084</v>
      </c>
      <c r="D6438" s="9" t="s">
        <v>81</v>
      </c>
      <c r="E6438" s="6" t="s">
        <v>13133</v>
      </c>
      <c r="F6438" s="9"/>
    </row>
    <row r="6439" ht="33.75" customHeight="1">
      <c r="A6439" s="7">
        <v>229.0</v>
      </c>
      <c r="B6439" s="9" t="s">
        <v>13119</v>
      </c>
      <c r="C6439" s="9" t="s">
        <v>13084</v>
      </c>
      <c r="D6439" s="9" t="s">
        <v>84</v>
      </c>
      <c r="E6439" s="6" t="s">
        <v>13133</v>
      </c>
      <c r="F6439" s="9"/>
    </row>
    <row r="6440" ht="33.75" customHeight="1">
      <c r="A6440" s="7">
        <v>229.0</v>
      </c>
      <c r="B6440" s="9" t="s">
        <v>13119</v>
      </c>
      <c r="C6440" s="9" t="s">
        <v>13084</v>
      </c>
      <c r="D6440" s="9" t="s">
        <v>87</v>
      </c>
      <c r="E6440" s="6" t="s">
        <v>13137</v>
      </c>
      <c r="F6440" s="9"/>
    </row>
    <row r="6441" ht="33.75" customHeight="1">
      <c r="A6441" s="7">
        <v>229.0</v>
      </c>
      <c r="B6441" s="9" t="s">
        <v>13119</v>
      </c>
      <c r="C6441" s="9" t="s">
        <v>13084</v>
      </c>
      <c r="D6441" s="9" t="s">
        <v>89</v>
      </c>
      <c r="E6441" s="6" t="s">
        <v>13121</v>
      </c>
      <c r="F6441" s="9"/>
    </row>
    <row r="6442" ht="33.75" customHeight="1">
      <c r="A6442" s="7">
        <v>229.0</v>
      </c>
      <c r="B6442" s="9" t="s">
        <v>13119</v>
      </c>
      <c r="C6442" s="9" t="s">
        <v>13084</v>
      </c>
      <c r="D6442" s="9" t="s">
        <v>91</v>
      </c>
      <c r="E6442" s="6" t="s">
        <v>13140</v>
      </c>
      <c r="F6442" s="9"/>
    </row>
    <row r="6443" ht="33.75" customHeight="1">
      <c r="A6443" s="7">
        <v>229.0</v>
      </c>
      <c r="B6443" s="9" t="s">
        <v>13119</v>
      </c>
      <c r="C6443" s="9" t="s">
        <v>13084</v>
      </c>
      <c r="D6443" s="9" t="s">
        <v>93</v>
      </c>
      <c r="E6443" s="6" t="s">
        <v>13137</v>
      </c>
      <c r="F6443" s="9"/>
    </row>
    <row r="6444" ht="33.75" customHeight="1">
      <c r="A6444" s="7">
        <v>229.0</v>
      </c>
      <c r="B6444" s="9" t="s">
        <v>13119</v>
      </c>
      <c r="C6444" s="9" t="s">
        <v>13084</v>
      </c>
      <c r="D6444" s="9" t="s">
        <v>95</v>
      </c>
      <c r="E6444" s="6" t="s">
        <v>13137</v>
      </c>
      <c r="F6444" s="9"/>
    </row>
    <row r="6445" ht="33.75" customHeight="1">
      <c r="A6445" s="7">
        <v>229.0</v>
      </c>
      <c r="B6445" s="9" t="s">
        <v>13119</v>
      </c>
      <c r="C6445" s="9" t="s">
        <v>13084</v>
      </c>
      <c r="D6445" s="9" t="s">
        <v>98</v>
      </c>
      <c r="E6445" s="6" t="s">
        <v>13137</v>
      </c>
      <c r="F6445" s="9"/>
    </row>
    <row r="6446" ht="33.75" customHeight="1">
      <c r="A6446" s="7">
        <v>229.0</v>
      </c>
      <c r="B6446" s="9" t="s">
        <v>13119</v>
      </c>
      <c r="C6446" s="9" t="s">
        <v>13084</v>
      </c>
      <c r="D6446" s="9" t="s">
        <v>99</v>
      </c>
      <c r="E6446" s="6" t="s">
        <v>13137</v>
      </c>
      <c r="F6446" s="9"/>
    </row>
    <row r="6447" ht="33.75" customHeight="1">
      <c r="A6447" s="7">
        <v>229.0</v>
      </c>
      <c r="B6447" s="9" t="s">
        <v>13119</v>
      </c>
      <c r="C6447" s="9" t="s">
        <v>13084</v>
      </c>
      <c r="D6447" s="9" t="s">
        <v>101</v>
      </c>
      <c r="E6447" s="6" t="s">
        <v>13133</v>
      </c>
      <c r="F6447" s="9"/>
    </row>
    <row r="6448" ht="33.75" customHeight="1">
      <c r="A6448" s="7">
        <v>229.0</v>
      </c>
      <c r="B6448" s="9" t="s">
        <v>13119</v>
      </c>
      <c r="C6448" s="9" t="s">
        <v>13084</v>
      </c>
      <c r="D6448" s="9" t="s">
        <v>105</v>
      </c>
      <c r="E6448" s="6" t="s">
        <v>13137</v>
      </c>
      <c r="F6448" s="9"/>
    </row>
    <row r="6449" ht="33.75" customHeight="1">
      <c r="A6449" s="7">
        <v>229.0</v>
      </c>
      <c r="B6449" s="9" t="s">
        <v>13119</v>
      </c>
      <c r="C6449" s="9" t="s">
        <v>13084</v>
      </c>
      <c r="D6449" s="9" t="s">
        <v>107</v>
      </c>
      <c r="E6449" s="6" t="s">
        <v>13149</v>
      </c>
      <c r="F6449" s="9"/>
    </row>
    <row r="6450" ht="33.75" customHeight="1">
      <c r="A6450" s="7">
        <v>229.0</v>
      </c>
      <c r="B6450" s="9" t="s">
        <v>13119</v>
      </c>
      <c r="C6450" s="9" t="s">
        <v>13084</v>
      </c>
      <c r="D6450" s="9" t="s">
        <v>109</v>
      </c>
      <c r="E6450" s="6" t="s">
        <v>13149</v>
      </c>
      <c r="F6450" s="9"/>
    </row>
    <row r="6451" ht="33.75" customHeight="1">
      <c r="A6451" s="7">
        <v>229.0</v>
      </c>
      <c r="B6451" s="9" t="s">
        <v>13119</v>
      </c>
      <c r="C6451" s="9" t="s">
        <v>13084</v>
      </c>
      <c r="D6451" s="9" t="s">
        <v>647</v>
      </c>
      <c r="E6451" s="6" t="s">
        <v>13152</v>
      </c>
      <c r="F6451" s="9"/>
    </row>
    <row r="6452" ht="33.75" customHeight="1">
      <c r="A6452" s="7">
        <v>229.0</v>
      </c>
      <c r="B6452" s="9" t="s">
        <v>13119</v>
      </c>
      <c r="C6452" s="9" t="s">
        <v>13084</v>
      </c>
      <c r="D6452" s="9" t="s">
        <v>652</v>
      </c>
      <c r="E6452" s="6" t="s">
        <v>13154</v>
      </c>
      <c r="F6452" s="9"/>
    </row>
    <row r="6453" ht="33.75" customHeight="1">
      <c r="A6453" s="7">
        <v>230.0</v>
      </c>
      <c r="B6453" s="9" t="s">
        <v>13155</v>
      </c>
      <c r="C6453" s="9" t="s">
        <v>7342</v>
      </c>
      <c r="D6453" s="9" t="s">
        <v>52</v>
      </c>
      <c r="E6453" s="6" t="s">
        <v>13157</v>
      </c>
      <c r="F6453" t="inlineStr" s="10">
        <is>
          <t xml:space="preserve">Sanotaan, että se yleensä piiloutuu vedenalaisiin luoliin. Se voi luoda porealtaita haukottelemalla. Se nukkuu syvällä merenpohjassa kerätäkseen energiaansa. Sen sanotaan aiheuttavan tornadoja herätessään. Se varastoi energiaa nukkumalla vedenalaisissa syvyyksissä, joissa mikään muu elämänmuoto ei voi selviytyä. KINGDRA elää äärimmäisissä meren syvyyksissä, jotka ovat muuten asumattomia. On pitkään uskottu, että tämän POKéMONin haukottelu luo spiraalimaisia ​​merivirtoja. KINGDRA nukkuu merenpohjassa, missä se muuten olisi eloton. Myrskyn saapuessa POKéMONien sanotaan heräävän ja vaeltelevan etsimässä saalista. Se nukkuu hiljaa syvällä merenpohjassa. Pintaan noustessaan se luo valtavan pyörteen, joka voi nielaista jopa laivat. Se elää merenpohjan luolissa ja luo valtavia pyörteitä joka kerta liikkuessaan. Myrskyn saapuessa Pokémonin sanotaan heräävän ja vaeltelevan etsimässä saalista. Myrskyn saapuessa merelle tämä Pokémon näyttäytyy pinnalla. Kun Kingdra ja Dragonite kohtaavat, syttyy raivokas taistelu. Tämän Pokémonin pudottamat suomut kiiltävät niin loistavasti, että niitä on annettu lahjaksi kuninkaallisille.</t>
        </is>
      </c>
    </row>
    <row r="6454" ht="33.75" customHeight="1">
      <c r="A6454" s="7">
        <v>230.0</v>
      </c>
      <c r="B6454" s="9" t="s">
        <v>13155</v>
      </c>
      <c r="C6454" s="9" t="s">
        <v>7342</v>
      </c>
      <c r="D6454" s="9" t="s">
        <v>59</v>
      </c>
      <c r="E6454" s="6" t="s">
        <v>13160</v>
      </c>
      <c r="F6454" s="9"/>
    </row>
    <row r="6455" ht="33.75" customHeight="1">
      <c r="A6455" s="7">
        <v>230.0</v>
      </c>
      <c r="B6455" s="9" t="s">
        <v>13155</v>
      </c>
      <c r="C6455" s="9" t="s">
        <v>7342</v>
      </c>
      <c r="D6455" s="9" t="s">
        <v>64</v>
      </c>
      <c r="E6455" s="6" t="s">
        <v>13162</v>
      </c>
      <c r="F6455" s="9"/>
    </row>
    <row r="6456" ht="33.75" customHeight="1">
      <c r="A6456" s="7">
        <v>230.0</v>
      </c>
      <c r="B6456" s="9" t="s">
        <v>13155</v>
      </c>
      <c r="C6456" s="9" t="s">
        <v>7342</v>
      </c>
      <c r="D6456" s="9" t="s">
        <v>67</v>
      </c>
      <c r="E6456" s="6" t="s">
        <v>13164</v>
      </c>
      <c r="F6456" s="9"/>
    </row>
    <row r="6457" ht="33.75" customHeight="1">
      <c r="A6457" s="7">
        <v>230.0</v>
      </c>
      <c r="B6457" s="9" t="s">
        <v>13155</v>
      </c>
      <c r="C6457" s="9" t="s">
        <v>7342</v>
      </c>
      <c r="D6457" s="9" t="s">
        <v>71</v>
      </c>
      <c r="E6457" s="6" t="s">
        <v>13166</v>
      </c>
      <c r="F6457" s="9"/>
    </row>
    <row r="6458" ht="33.75" customHeight="1">
      <c r="A6458" s="7">
        <v>230.0</v>
      </c>
      <c r="B6458" s="9" t="s">
        <v>13155</v>
      </c>
      <c r="C6458" s="9" t="s">
        <v>7342</v>
      </c>
      <c r="D6458" s="9" t="s">
        <v>73</v>
      </c>
      <c r="E6458" s="6" t="s">
        <v>13169</v>
      </c>
      <c r="F6458" s="9"/>
    </row>
    <row r="6459" ht="33.75" customHeight="1">
      <c r="A6459" s="7">
        <v>230.0</v>
      </c>
      <c r="B6459" s="9" t="s">
        <v>13155</v>
      </c>
      <c r="C6459" s="9" t="s">
        <v>7342</v>
      </c>
      <c r="D6459" s="9" t="s">
        <v>75</v>
      </c>
      <c r="E6459" s="6" t="s">
        <v>13160</v>
      </c>
      <c r="F6459" s="9"/>
    </row>
    <row r="6460" ht="33.75" customHeight="1">
      <c r="A6460" s="7">
        <v>230.0</v>
      </c>
      <c r="B6460" s="9" t="s">
        <v>13155</v>
      </c>
      <c r="C6460" s="9" t="s">
        <v>7342</v>
      </c>
      <c r="D6460" s="9" t="s">
        <v>79</v>
      </c>
      <c r="E6460" s="6" t="s">
        <v>13157</v>
      </c>
      <c r="F6460" s="9"/>
    </row>
    <row r="6461" ht="33.75" customHeight="1">
      <c r="A6461" s="7">
        <v>230.0</v>
      </c>
      <c r="B6461" s="9" t="s">
        <v>13155</v>
      </c>
      <c r="C6461" s="9" t="s">
        <v>7342</v>
      </c>
      <c r="D6461" s="9" t="s">
        <v>81</v>
      </c>
      <c r="E6461" s="6" t="s">
        <v>13173</v>
      </c>
      <c r="F6461" s="9"/>
    </row>
    <row r="6462" ht="33.75" customHeight="1">
      <c r="A6462" s="7">
        <v>230.0</v>
      </c>
      <c r="B6462" s="9" t="s">
        <v>13155</v>
      </c>
      <c r="C6462" s="9" t="s">
        <v>7342</v>
      </c>
      <c r="D6462" s="9" t="s">
        <v>84</v>
      </c>
      <c r="E6462" s="6" t="s">
        <v>13173</v>
      </c>
      <c r="F6462" s="9"/>
    </row>
    <row r="6463" ht="33.75" customHeight="1">
      <c r="A6463" s="7">
        <v>230.0</v>
      </c>
      <c r="B6463" s="9" t="s">
        <v>13155</v>
      </c>
      <c r="C6463" s="9" t="s">
        <v>7342</v>
      </c>
      <c r="D6463" s="9" t="s">
        <v>87</v>
      </c>
      <c r="E6463" s="6" t="s">
        <v>13173</v>
      </c>
      <c r="F6463" s="9"/>
    </row>
    <row r="6464" ht="33.75" customHeight="1">
      <c r="A6464" s="7">
        <v>230.0</v>
      </c>
      <c r="B6464" s="9" t="s">
        <v>13155</v>
      </c>
      <c r="C6464" s="9" t="s">
        <v>7342</v>
      </c>
      <c r="D6464" s="9" t="s">
        <v>89</v>
      </c>
      <c r="E6464" s="6" t="s">
        <v>13157</v>
      </c>
      <c r="F6464" s="9"/>
    </row>
    <row r="6465" ht="33.75" customHeight="1">
      <c r="A6465" s="7">
        <v>230.0</v>
      </c>
      <c r="B6465" s="9" t="s">
        <v>13155</v>
      </c>
      <c r="C6465" s="9" t="s">
        <v>7342</v>
      </c>
      <c r="D6465" s="9" t="s">
        <v>91</v>
      </c>
      <c r="E6465" s="6" t="s">
        <v>13160</v>
      </c>
      <c r="F6465" s="9"/>
    </row>
    <row r="6466" ht="33.75" customHeight="1">
      <c r="A6466" s="7">
        <v>230.0</v>
      </c>
      <c r="B6466" s="9" t="s">
        <v>13155</v>
      </c>
      <c r="C6466" s="9" t="s">
        <v>7342</v>
      </c>
      <c r="D6466" s="9" t="s">
        <v>93</v>
      </c>
      <c r="E6466" s="6" t="s">
        <v>13173</v>
      </c>
      <c r="F6466" s="9"/>
    </row>
    <row r="6467" ht="33.75" customHeight="1">
      <c r="A6467" s="7">
        <v>230.0</v>
      </c>
      <c r="B6467" s="9" t="s">
        <v>13155</v>
      </c>
      <c r="C6467" s="9" t="s">
        <v>7342</v>
      </c>
      <c r="D6467" s="9" t="s">
        <v>95</v>
      </c>
      <c r="E6467" s="6" t="s">
        <v>13173</v>
      </c>
      <c r="F6467" s="9"/>
    </row>
    <row r="6468" ht="33.75" customHeight="1">
      <c r="A6468" s="7">
        <v>230.0</v>
      </c>
      <c r="B6468" s="9" t="s">
        <v>13155</v>
      </c>
      <c r="C6468" s="9" t="s">
        <v>7342</v>
      </c>
      <c r="D6468" s="9" t="s">
        <v>98</v>
      </c>
      <c r="E6468" s="6" t="s">
        <v>13173</v>
      </c>
      <c r="F6468" s="9"/>
    </row>
    <row r="6469" ht="33.75" customHeight="1">
      <c r="A6469" s="7">
        <v>230.0</v>
      </c>
      <c r="B6469" s="9" t="s">
        <v>13155</v>
      </c>
      <c r="C6469" s="9" t="s">
        <v>7342</v>
      </c>
      <c r="D6469" s="9" t="s">
        <v>99</v>
      </c>
      <c r="E6469" s="6" t="s">
        <v>13173</v>
      </c>
      <c r="F6469" s="9"/>
    </row>
    <row r="6470" ht="33.75" customHeight="1">
      <c r="A6470" s="7">
        <v>230.0</v>
      </c>
      <c r="B6470" s="9" t="s">
        <v>13155</v>
      </c>
      <c r="C6470" s="9" t="s">
        <v>7342</v>
      </c>
      <c r="D6470" s="9" t="s">
        <v>101</v>
      </c>
      <c r="E6470" s="6" t="s">
        <v>13157</v>
      </c>
      <c r="F6470" s="9"/>
    </row>
    <row r="6471" ht="33.75" customHeight="1">
      <c r="A6471" s="7">
        <v>230.0</v>
      </c>
      <c r="B6471" s="9" t="s">
        <v>13155</v>
      </c>
      <c r="C6471" s="9" t="s">
        <v>7342</v>
      </c>
      <c r="D6471" s="9" t="s">
        <v>105</v>
      </c>
      <c r="E6471" s="6" t="s">
        <v>13162</v>
      </c>
      <c r="F6471" s="9"/>
    </row>
    <row r="6472" ht="33.75" customHeight="1">
      <c r="A6472" s="7">
        <v>230.0</v>
      </c>
      <c r="B6472" s="9" t="s">
        <v>13155</v>
      </c>
      <c r="C6472" s="9" t="s">
        <v>7342</v>
      </c>
      <c r="D6472" s="9" t="s">
        <v>107</v>
      </c>
      <c r="E6472" s="6" t="s">
        <v>13180</v>
      </c>
      <c r="F6472" s="9"/>
    </row>
    <row r="6473" ht="33.75" customHeight="1">
      <c r="A6473" s="7">
        <v>230.0</v>
      </c>
      <c r="B6473" s="9" t="s">
        <v>13155</v>
      </c>
      <c r="C6473" s="9" t="s">
        <v>7342</v>
      </c>
      <c r="D6473" s="9" t="s">
        <v>109</v>
      </c>
      <c r="E6473" s="6" t="s">
        <v>13182</v>
      </c>
      <c r="F6473" s="9"/>
    </row>
    <row r="6474" ht="33.75" customHeight="1">
      <c r="A6474" s="7">
        <v>230.0</v>
      </c>
      <c r="B6474" s="9" t="s">
        <v>13155</v>
      </c>
      <c r="C6474" s="9" t="s">
        <v>7342</v>
      </c>
      <c r="D6474" s="9" t="s">
        <v>114</v>
      </c>
      <c r="E6474" s="6" t="s">
        <v>13184</v>
      </c>
      <c r="F6474" s="9"/>
    </row>
    <row r="6475" ht="33.75" customHeight="1">
      <c r="A6475" s="7">
        <v>230.0</v>
      </c>
      <c r="B6475" s="9" t="s">
        <v>13155</v>
      </c>
      <c r="C6475" s="9" t="s">
        <v>7342</v>
      </c>
      <c r="D6475" s="9" t="s">
        <v>117</v>
      </c>
      <c r="E6475" s="6" t="s">
        <v>13186</v>
      </c>
      <c r="F6475" s="9"/>
    </row>
    <row r="6476" ht="33.75" customHeight="1">
      <c r="A6476" s="7">
        <v>231.0</v>
      </c>
      <c r="B6476" s="9" t="s">
        <v>13187</v>
      </c>
      <c r="C6476" s="9" t="s">
        <v>13188</v>
      </c>
      <c r="D6476" s="9" t="s">
        <v>52</v>
      </c>
      <c r="E6476" s="6" t="s">
        <v>13191</v>
      </c>
      <c r="F6476" t="inlineStr" s="10">
        <is>
          <t xml:space="preserve">Phanpy heiluttelee pitkää kuonoaan leikkiessään vapaasti, mutta koska se on niin vahva, se voi olla vaarallista. Kiintymyksen merkkinä se tömiskelee kuonollaan. Se on kuitenkin niin vahva, että se voi lennättää sinut lentoon. Aavikon aamun tunteina se nousee maihin ja käyttää taitavasti kärsäänsä suihkussa. Pesäänsä varten PHANPY kaivaa pystysuoran kuopan maahan joen reunaan. Se merkitsee pesänsä ympäristön rungollaan kertoakseen muille, että alue on vallattu. PHANPY käyttää pitkää kuonoaan suihkutteluun. Kun muut kerääntyvät ympärille, he kastelevat toisensa perusteellisesti vedellä. Nämä POKéMONit voi nähdä kuivaamassa litimärkiä ruumiitaan veden reunalla. PHANPYn suuret korvat toimivat leveinä viuhkoina. Kuuman sään noustessa se viilentää korviaan ahkerasti läpsyttäen niitä. Jopa poikaset ovat erittäin vahvoja. Hellyydenosoituksena se tömistelee kuonollaan. Se on kuitenkin niin vahva, että se voi lennättää sinut ilmaan. Se heiluttelee pitkää kuonoaan leikkisästi, mutta koska se on niin vahva, se voi olla vaarallista. Se on vahva kompaktista koostaan ​​huolimatta. Se voi helposti nostaa ja kantaa aikuisen ihmisen selässään.</t>
        </is>
      </c>
    </row>
    <row r="6477" ht="33.75" customHeight="1">
      <c r="A6477" s="7">
        <v>231.0</v>
      </c>
      <c r="B6477" s="9" t="s">
        <v>13187</v>
      </c>
      <c r="C6477" s="9" t="s">
        <v>13188</v>
      </c>
      <c r="D6477" s="9" t="s">
        <v>59</v>
      </c>
      <c r="E6477" s="6" t="s">
        <v>13194</v>
      </c>
      <c r="F6477" s="9"/>
    </row>
    <row r="6478" ht="33.75" customHeight="1">
      <c r="A6478" s="7">
        <v>231.0</v>
      </c>
      <c r="B6478" s="9" t="s">
        <v>13187</v>
      </c>
      <c r="C6478" s="9" t="s">
        <v>13188</v>
      </c>
      <c r="D6478" s="9" t="s">
        <v>64</v>
      </c>
      <c r="E6478" s="6" t="s">
        <v>13196</v>
      </c>
      <c r="F6478" s="9"/>
    </row>
    <row r="6479" ht="33.75" customHeight="1">
      <c r="A6479" s="7">
        <v>231.0</v>
      </c>
      <c r="B6479" s="9" t="s">
        <v>13187</v>
      </c>
      <c r="C6479" s="9" t="s">
        <v>13188</v>
      </c>
      <c r="D6479" s="9" t="s">
        <v>67</v>
      </c>
      <c r="E6479" s="6" t="s">
        <v>13199</v>
      </c>
      <c r="F6479" s="9"/>
    </row>
    <row r="6480" ht="33.75" customHeight="1">
      <c r="A6480" s="7">
        <v>231.0</v>
      </c>
      <c r="B6480" s="9" t="s">
        <v>13187</v>
      </c>
      <c r="C6480" s="9" t="s">
        <v>13188</v>
      </c>
      <c r="D6480" s="9" t="s">
        <v>71</v>
      </c>
      <c r="E6480" s="6" t="s">
        <v>13201</v>
      </c>
      <c r="F6480" s="9"/>
    </row>
    <row r="6481" ht="33.75" customHeight="1">
      <c r="A6481" s="7">
        <v>231.0</v>
      </c>
      <c r="B6481" s="9" t="s">
        <v>13187</v>
      </c>
      <c r="C6481" s="9" t="s">
        <v>13188</v>
      </c>
      <c r="D6481" s="9" t="s">
        <v>73</v>
      </c>
      <c r="E6481" s="6" t="s">
        <v>13204</v>
      </c>
      <c r="F6481" s="9"/>
    </row>
    <row r="6482" ht="33.75" customHeight="1">
      <c r="A6482" s="7">
        <v>231.0</v>
      </c>
      <c r="B6482" s="9" t="s">
        <v>13187</v>
      </c>
      <c r="C6482" s="9" t="s">
        <v>13188</v>
      </c>
      <c r="D6482" s="9" t="s">
        <v>75</v>
      </c>
      <c r="E6482" s="6" t="s">
        <v>13207</v>
      </c>
      <c r="F6482" s="9"/>
    </row>
    <row r="6483" ht="33.75" customHeight="1">
      <c r="A6483" s="7">
        <v>231.0</v>
      </c>
      <c r="B6483" s="9" t="s">
        <v>13187</v>
      </c>
      <c r="C6483" s="9" t="s">
        <v>13188</v>
      </c>
      <c r="D6483" s="9" t="s">
        <v>79</v>
      </c>
      <c r="E6483" s="6" t="s">
        <v>13211</v>
      </c>
      <c r="F6483" s="9"/>
    </row>
    <row r="6484" ht="33.75" customHeight="1">
      <c r="A6484" s="7">
        <v>231.0</v>
      </c>
      <c r="B6484" s="9" t="s">
        <v>13187</v>
      </c>
      <c r="C6484" s="9" t="s">
        <v>13188</v>
      </c>
      <c r="D6484" s="9" t="s">
        <v>81</v>
      </c>
      <c r="E6484" s="6" t="s">
        <v>13214</v>
      </c>
      <c r="F6484" s="9"/>
    </row>
    <row r="6485" ht="33.75" customHeight="1">
      <c r="A6485" s="7">
        <v>231.0</v>
      </c>
      <c r="B6485" s="9" t="s">
        <v>13187</v>
      </c>
      <c r="C6485" s="9" t="s">
        <v>13188</v>
      </c>
      <c r="D6485" s="9" t="s">
        <v>84</v>
      </c>
      <c r="E6485" s="6" t="s">
        <v>13214</v>
      </c>
      <c r="F6485" s="9"/>
    </row>
    <row r="6486" ht="33.75" customHeight="1">
      <c r="A6486" s="7">
        <v>231.0</v>
      </c>
      <c r="B6486" s="9" t="s">
        <v>13187</v>
      </c>
      <c r="C6486" s="9" t="s">
        <v>13188</v>
      </c>
      <c r="D6486" s="9" t="s">
        <v>87</v>
      </c>
      <c r="E6486" s="6" t="s">
        <v>13214</v>
      </c>
      <c r="F6486" s="9"/>
    </row>
    <row r="6487" ht="33.75" customHeight="1">
      <c r="A6487" s="7">
        <v>231.0</v>
      </c>
      <c r="B6487" s="9" t="s">
        <v>13187</v>
      </c>
      <c r="C6487" s="9" t="s">
        <v>13188</v>
      </c>
      <c r="D6487" s="9" t="s">
        <v>89</v>
      </c>
      <c r="E6487" s="6" t="s">
        <v>13211</v>
      </c>
      <c r="F6487" s="9"/>
    </row>
    <row r="6488" ht="33.75" customHeight="1">
      <c r="A6488" s="7">
        <v>231.0</v>
      </c>
      <c r="B6488" s="9" t="s">
        <v>13187</v>
      </c>
      <c r="C6488" s="9" t="s">
        <v>13188</v>
      </c>
      <c r="D6488" s="9" t="s">
        <v>91</v>
      </c>
      <c r="E6488" s="6" t="s">
        <v>13207</v>
      </c>
      <c r="F6488" s="9"/>
    </row>
    <row r="6489" ht="33.75" customHeight="1">
      <c r="A6489" s="7">
        <v>231.0</v>
      </c>
      <c r="B6489" s="9" t="s">
        <v>13187</v>
      </c>
      <c r="C6489" s="9" t="s">
        <v>13188</v>
      </c>
      <c r="D6489" s="9" t="s">
        <v>93</v>
      </c>
      <c r="E6489" s="6" t="s">
        <v>13214</v>
      </c>
      <c r="F6489" s="9"/>
    </row>
    <row r="6490" ht="33.75" customHeight="1">
      <c r="A6490" s="7">
        <v>231.0</v>
      </c>
      <c r="B6490" s="9" t="s">
        <v>13187</v>
      </c>
      <c r="C6490" s="9" t="s">
        <v>13188</v>
      </c>
      <c r="D6490" s="9" t="s">
        <v>95</v>
      </c>
      <c r="E6490" s="6" t="s">
        <v>13214</v>
      </c>
      <c r="F6490" s="9"/>
    </row>
    <row r="6491" ht="33.75" customHeight="1">
      <c r="A6491" s="7">
        <v>231.0</v>
      </c>
      <c r="B6491" s="9" t="s">
        <v>13187</v>
      </c>
      <c r="C6491" s="9" t="s">
        <v>13188</v>
      </c>
      <c r="D6491" s="9" t="s">
        <v>98</v>
      </c>
      <c r="E6491" s="6" t="s">
        <v>13214</v>
      </c>
      <c r="F6491" s="9"/>
    </row>
    <row r="6492" ht="33.75" customHeight="1">
      <c r="A6492" s="7">
        <v>231.0</v>
      </c>
      <c r="B6492" s="9" t="s">
        <v>13187</v>
      </c>
      <c r="C6492" s="9" t="s">
        <v>13188</v>
      </c>
      <c r="D6492" s="9" t="s">
        <v>99</v>
      </c>
      <c r="E6492" s="6" t="s">
        <v>13214</v>
      </c>
      <c r="F6492" s="9"/>
    </row>
    <row r="6493" ht="33.75" customHeight="1">
      <c r="A6493" s="7">
        <v>231.0</v>
      </c>
      <c r="B6493" s="9" t="s">
        <v>13187</v>
      </c>
      <c r="C6493" s="9" t="s">
        <v>13188</v>
      </c>
      <c r="D6493" s="9" t="s">
        <v>101</v>
      </c>
      <c r="E6493" s="6" t="s">
        <v>13207</v>
      </c>
      <c r="F6493" s="9"/>
    </row>
    <row r="6494" ht="33.75" customHeight="1">
      <c r="A6494" s="7">
        <v>231.0</v>
      </c>
      <c r="B6494" s="9" t="s">
        <v>13187</v>
      </c>
      <c r="C6494" s="9" t="s">
        <v>13188</v>
      </c>
      <c r="D6494" s="9" t="s">
        <v>105</v>
      </c>
      <c r="E6494" s="6" t="s">
        <v>13214</v>
      </c>
      <c r="F6494" s="9"/>
    </row>
    <row r="6495" ht="33.75" customHeight="1">
      <c r="A6495" s="7">
        <v>231.0</v>
      </c>
      <c r="B6495" s="9" t="s">
        <v>13187</v>
      </c>
      <c r="C6495" s="9" t="s">
        <v>13188</v>
      </c>
      <c r="D6495" s="9" t="s">
        <v>107</v>
      </c>
      <c r="E6495" s="6" t="s">
        <v>13237</v>
      </c>
      <c r="F6495" s="9"/>
    </row>
    <row r="6496" ht="33.75" customHeight="1">
      <c r="A6496" s="7">
        <v>231.0</v>
      </c>
      <c r="B6496" s="9" t="s">
        <v>13187</v>
      </c>
      <c r="C6496" s="9" t="s">
        <v>13188</v>
      </c>
      <c r="D6496" s="9" t="s">
        <v>109</v>
      </c>
      <c r="E6496" s="6" t="s">
        <v>13241</v>
      </c>
      <c r="F6496" s="9"/>
    </row>
    <row r="6497" ht="33.75" customHeight="1">
      <c r="A6497" s="7">
        <v>232.0</v>
      </c>
      <c r="B6497" s="9" t="s">
        <v>13243</v>
      </c>
      <c r="C6497" s="9" t="s">
        <v>13245</v>
      </c>
      <c r="D6497" s="9" t="s">
        <v>52</v>
      </c>
      <c r="E6497" s="6" t="s">
        <v>13247</v>
      </c>
      <c r="F6497" t="inlineStr" s="10">
        <is>
          <t xml:space="preserve">Sillä on terävät, kovat hampaat ja karu nahka. Sen VARUSTUS on niin vahva, että se voi romuttaa talon. Mitä pidemmät ja suuremmat sen syöksyhampaat ovat, sitä korkeammalle se sijoittuu laumassaan. Syöksyhampaiden kasvu kestää kauan. Koska tämän POKéMONin iho on niin kestävä, tavallinen hyökkäys ei jätä siihen naarmuakaan. DONPHANin lempihyökkäys on käpertyä palloksi ja sitten rynnätä vihollisen kimppuun vieriessä kovaa vauhtia. Kun tämä POKéMON alkaa pyöriä, se ei pysty pysähtymään kovin helposti. Jos DONPHAN tarttuisi kovalla ruumiillaan, jopa talo voisi tuhoutua. Massiivisen voimansa avulla POKéMON auttaa raivaamaan vuoristopolkuja tukkivia kivi- ja mutavyörymiä. DONPHAN on niin vahva, että se voi helposti vetää kippiauton. Sen nahka on karkaistu kivikovaksi. Tavallinen hyökkäys ei jätä edes naarmua. Se hyökkää käpertymällä ja sitten vierimällä vihollisen päälle. Se voi räjäyttää talon yhdellä iskulla. Sillä on terävät, kovat hampaat ja karhea nahka. Sen taktiikka on niin vahva, että se voi kaataa talon. Sen välineet ovat riittävän vahvat kaatamaan talon. Kun se alkaa pyöriä, tämä Pokémon ei pysty pysähtymään kovin helposti.</t>
        </is>
      </c>
    </row>
    <row r="6498" ht="33.75" customHeight="1">
      <c r="A6498" s="7">
        <v>232.0</v>
      </c>
      <c r="B6498" s="9" t="s">
        <v>13243</v>
      </c>
      <c r="C6498" s="9" t="s">
        <v>13245</v>
      </c>
      <c r="D6498" s="9" t="s">
        <v>59</v>
      </c>
      <c r="E6498" s="6" t="s">
        <v>13251</v>
      </c>
      <c r="F6498" s="9"/>
    </row>
    <row r="6499" ht="33.75" customHeight="1">
      <c r="A6499" s="7">
        <v>232.0</v>
      </c>
      <c r="B6499" s="9" t="s">
        <v>13243</v>
      </c>
      <c r="C6499" s="9" t="s">
        <v>13245</v>
      </c>
      <c r="D6499" s="9" t="s">
        <v>64</v>
      </c>
      <c r="E6499" s="6" t="s">
        <v>13255</v>
      </c>
      <c r="F6499" s="9"/>
    </row>
    <row r="6500" ht="33.75" customHeight="1">
      <c r="A6500" s="7">
        <v>232.0</v>
      </c>
      <c r="B6500" s="9" t="s">
        <v>13243</v>
      </c>
      <c r="C6500" s="9" t="s">
        <v>13245</v>
      </c>
      <c r="D6500" s="9" t="s">
        <v>67</v>
      </c>
      <c r="E6500" s="6" t="s">
        <v>13258</v>
      </c>
      <c r="F6500" s="9"/>
    </row>
    <row r="6501" ht="33.75" customHeight="1">
      <c r="A6501" s="7">
        <v>232.0</v>
      </c>
      <c r="B6501" s="9" t="s">
        <v>13243</v>
      </c>
      <c r="C6501" s="9" t="s">
        <v>13245</v>
      </c>
      <c r="D6501" s="9" t="s">
        <v>71</v>
      </c>
      <c r="E6501" s="6" t="s">
        <v>13262</v>
      </c>
      <c r="F6501" s="9"/>
    </row>
    <row r="6502" ht="33.75" customHeight="1">
      <c r="A6502" s="7">
        <v>232.0</v>
      </c>
      <c r="B6502" s="9" t="s">
        <v>13243</v>
      </c>
      <c r="C6502" s="9" t="s">
        <v>13245</v>
      </c>
      <c r="D6502" s="9" t="s">
        <v>73</v>
      </c>
      <c r="E6502" s="6" t="s">
        <v>13265</v>
      </c>
      <c r="F6502" s="9"/>
    </row>
    <row r="6503" ht="33.75" customHeight="1">
      <c r="A6503" s="7">
        <v>232.0</v>
      </c>
      <c r="B6503" s="9" t="s">
        <v>13243</v>
      </c>
      <c r="C6503" s="9" t="s">
        <v>13245</v>
      </c>
      <c r="D6503" s="9" t="s">
        <v>75</v>
      </c>
      <c r="E6503" s="6" t="s">
        <v>13251</v>
      </c>
      <c r="F6503" s="9"/>
    </row>
    <row r="6504" ht="33.75" customHeight="1">
      <c r="A6504" s="7">
        <v>232.0</v>
      </c>
      <c r="B6504" s="9" t="s">
        <v>13243</v>
      </c>
      <c r="C6504" s="9" t="s">
        <v>13245</v>
      </c>
      <c r="D6504" s="9" t="s">
        <v>79</v>
      </c>
      <c r="E6504" s="6" t="s">
        <v>13247</v>
      </c>
      <c r="F6504" s="9"/>
    </row>
    <row r="6505" ht="33.75" customHeight="1">
      <c r="A6505" s="7">
        <v>232.0</v>
      </c>
      <c r="B6505" s="9" t="s">
        <v>13243</v>
      </c>
      <c r="C6505" s="9" t="s">
        <v>13245</v>
      </c>
      <c r="D6505" s="9" t="s">
        <v>81</v>
      </c>
      <c r="E6505" s="6" t="s">
        <v>13276</v>
      </c>
      <c r="F6505" s="9"/>
    </row>
    <row r="6506" ht="33.75" customHeight="1">
      <c r="A6506" s="7">
        <v>232.0</v>
      </c>
      <c r="B6506" s="9" t="s">
        <v>13243</v>
      </c>
      <c r="C6506" s="9" t="s">
        <v>13245</v>
      </c>
      <c r="D6506" s="9" t="s">
        <v>84</v>
      </c>
      <c r="E6506" s="6" t="s">
        <v>13276</v>
      </c>
      <c r="F6506" s="9"/>
    </row>
    <row r="6507" ht="33.75" customHeight="1">
      <c r="A6507" s="7">
        <v>232.0</v>
      </c>
      <c r="B6507" s="9" t="s">
        <v>13243</v>
      </c>
      <c r="C6507" s="9" t="s">
        <v>13245</v>
      </c>
      <c r="D6507" s="9" t="s">
        <v>87</v>
      </c>
      <c r="E6507" s="6" t="s">
        <v>13276</v>
      </c>
      <c r="F6507" s="9"/>
    </row>
    <row r="6508" ht="33.75" customHeight="1">
      <c r="A6508" s="7">
        <v>232.0</v>
      </c>
      <c r="B6508" s="9" t="s">
        <v>13243</v>
      </c>
      <c r="C6508" s="9" t="s">
        <v>13245</v>
      </c>
      <c r="D6508" s="9" t="s">
        <v>89</v>
      </c>
      <c r="E6508" s="6" t="s">
        <v>13282</v>
      </c>
      <c r="F6508" s="9"/>
    </row>
    <row r="6509" ht="33.75" customHeight="1">
      <c r="A6509" s="7">
        <v>232.0</v>
      </c>
      <c r="B6509" s="9" t="s">
        <v>13243</v>
      </c>
      <c r="C6509" s="9" t="s">
        <v>13245</v>
      </c>
      <c r="D6509" s="9" t="s">
        <v>91</v>
      </c>
      <c r="E6509" s="6" t="s">
        <v>13251</v>
      </c>
      <c r="F6509" s="9"/>
    </row>
    <row r="6510" ht="33.75" customHeight="1">
      <c r="A6510" s="7">
        <v>232.0</v>
      </c>
      <c r="B6510" s="9" t="s">
        <v>13243</v>
      </c>
      <c r="C6510" s="9" t="s">
        <v>13245</v>
      </c>
      <c r="D6510" s="9" t="s">
        <v>93</v>
      </c>
      <c r="E6510" s="6" t="s">
        <v>13276</v>
      </c>
      <c r="F6510" s="9"/>
    </row>
    <row r="6511" ht="33.75" customHeight="1">
      <c r="A6511" s="7">
        <v>232.0</v>
      </c>
      <c r="B6511" s="9" t="s">
        <v>13243</v>
      </c>
      <c r="C6511" s="9" t="s">
        <v>13245</v>
      </c>
      <c r="D6511" s="9" t="s">
        <v>95</v>
      </c>
      <c r="E6511" s="6" t="s">
        <v>13276</v>
      </c>
      <c r="F6511" s="9"/>
    </row>
    <row r="6512" ht="33.75" customHeight="1">
      <c r="A6512" s="7">
        <v>232.0</v>
      </c>
      <c r="B6512" s="9" t="s">
        <v>13243</v>
      </c>
      <c r="C6512" s="9" t="s">
        <v>13245</v>
      </c>
      <c r="D6512" s="9" t="s">
        <v>98</v>
      </c>
      <c r="E6512" s="6" t="s">
        <v>13276</v>
      </c>
      <c r="F6512" s="9"/>
    </row>
    <row r="6513" ht="33.75" customHeight="1">
      <c r="A6513" s="7">
        <v>232.0</v>
      </c>
      <c r="B6513" s="9" t="s">
        <v>13243</v>
      </c>
      <c r="C6513" s="9" t="s">
        <v>13245</v>
      </c>
      <c r="D6513" s="9" t="s">
        <v>99</v>
      </c>
      <c r="E6513" s="6" t="s">
        <v>13276</v>
      </c>
      <c r="F6513" s="9"/>
    </row>
    <row r="6514" ht="33.75" customHeight="1">
      <c r="A6514" s="7">
        <v>232.0</v>
      </c>
      <c r="B6514" s="9" t="s">
        <v>13243</v>
      </c>
      <c r="C6514" s="9" t="s">
        <v>13245</v>
      </c>
      <c r="D6514" s="9" t="s">
        <v>101</v>
      </c>
      <c r="E6514" s="6" t="s">
        <v>13290</v>
      </c>
      <c r="F6514" s="9"/>
    </row>
    <row r="6515" ht="33.75" customHeight="1">
      <c r="A6515" s="7">
        <v>232.0</v>
      </c>
      <c r="B6515" s="9" t="s">
        <v>13243</v>
      </c>
      <c r="C6515" s="9" t="s">
        <v>13245</v>
      </c>
      <c r="D6515" s="9" t="s">
        <v>105</v>
      </c>
      <c r="E6515" s="6" t="s">
        <v>13251</v>
      </c>
      <c r="F6515" s="9"/>
    </row>
    <row r="6516" ht="33.75" customHeight="1">
      <c r="A6516" s="7">
        <v>232.0</v>
      </c>
      <c r="B6516" s="9" t="s">
        <v>13243</v>
      </c>
      <c r="C6516" s="9" t="s">
        <v>13245</v>
      </c>
      <c r="D6516" s="9" t="s">
        <v>107</v>
      </c>
      <c r="E6516" s="6" t="s">
        <v>13293</v>
      </c>
      <c r="F6516" s="9"/>
    </row>
    <row r="6517" ht="33.75" customHeight="1">
      <c r="A6517" s="7">
        <v>232.0</v>
      </c>
      <c r="B6517" s="9" t="s">
        <v>13243</v>
      </c>
      <c r="C6517" s="9" t="s">
        <v>13245</v>
      </c>
      <c r="D6517" s="9" t="s">
        <v>109</v>
      </c>
      <c r="E6517" s="6" t="s">
        <v>13295</v>
      </c>
      <c r="F6517" s="9"/>
    </row>
    <row r="6518" ht="33.75" customHeight="1">
      <c r="A6518" s="7">
        <v>233.0</v>
      </c>
      <c r="B6518" s="9" t="s">
        <v>13296</v>
      </c>
      <c r="C6518" s="9" t="s">
        <v>8648</v>
      </c>
      <c r="D6518" s="9" t="s">
        <v>52</v>
      </c>
      <c r="E6518" s="6" t="s">
        <v>13298</v>
      </c>
      <c r="F6518" t="inlineStr" s="10">
        <is>
          <t xml:space="preserve">Tämä PORYGONin päivitetty versio on suunniteltu avaruustutkimukseen. Se ei kuitenkaan voi lentää. Jatkotutkimukset paransivat sen kykyjä. Joskus se saattaa suorittaa liikkeitä, joita ei ole ohjelmoitu. Tämä ihmisen tekemä POKéMON on kehittynyt uusimman teknologian avulla. Sillä voi olla ohjelmoimattomia reaktioita. Ihmiset loivat PORYGON2:n tieteen voimalla. Keinotekoinen POKéMON on varustettu tekoälyllä, jonka avulla se pystyy oppimaan uusia eleitä ja tunteita itsenäisesti. Ihmiset loivat sen tieteen voimalla. Sille on annettu tekoäly, jonka avulla se pystyy oppimaan uusia eleitä ja tunteita itsenäisesti. Lisätutkimukset paransivat sen kykyjä. Se ei kuitenkaan pysty edes lentämään. Planeettakehitysohjelmiston asentamisen myötä siitä tuli kyky toimia avaruudessa. Sitä päivitettiin mahdollistamaan muiden planeettojen tutkiminen, mutta se ei kuitenkaan täyttänyt odotuksia. Planeetankehitystä varten Porygon päivitettiin uusimmalla saatavilla olevalla teknologialla. Porygon päivitettiin uuteen versioon planeettojen kehittämistä varten. Mutta tuo unelma on edelleen toteutumatta. Siihen on asennettu tekoäly. Se oppii erilaisia ​​asioita aivan itse, mutta muistaa jopa asioita, joita sen ei tarvitse tietää. Vaikka se ei kuole avaruuden tyhjiössä, se ei voi liikkua kovin hyvin painottomassa tilassa. Tämä on Porygon, jota on päivitetty erityistiedoilla. Porygon2 kehittää itseään oppimalla monista eri aiheista aivan itsenäisesti. Kun tekoäly otettiin käyttöön Porygon2:ssa, Pokémonit alkoivat käyttää outoa kieltä, jota vain muut Porygon2:n jäsenet ymmärsivät. Outo esine sai tämän Pokémonin kehittymään. Vaikka se esittelee nyt monia uusia eleitä ja ilmeitä, sen biologia on edelleen tutkimaton.</t>
        </is>
      </c>
    </row>
    <row r="6519" ht="33.75" customHeight="1">
      <c r="A6519" s="7">
        <v>233.0</v>
      </c>
      <c r="B6519" s="9" t="s">
        <v>13296</v>
      </c>
      <c r="C6519" s="9" t="s">
        <v>8648</v>
      </c>
      <c r="D6519" s="9" t="s">
        <v>59</v>
      </c>
      <c r="E6519" s="6" t="s">
        <v>13299</v>
      </c>
      <c r="F6519" s="9"/>
    </row>
    <row r="6520" ht="33.75" customHeight="1">
      <c r="A6520" s="7">
        <v>233.0</v>
      </c>
      <c r="B6520" s="9" t="s">
        <v>13296</v>
      </c>
      <c r="C6520" s="9" t="s">
        <v>8648</v>
      </c>
      <c r="D6520" s="9" t="s">
        <v>64</v>
      </c>
      <c r="E6520" s="6" t="s">
        <v>13301</v>
      </c>
      <c r="F6520" s="9"/>
    </row>
    <row r="6521" ht="33.75" customHeight="1">
      <c r="A6521" s="7">
        <v>233.0</v>
      </c>
      <c r="B6521" s="9" t="s">
        <v>13296</v>
      </c>
      <c r="C6521" s="9" t="s">
        <v>8648</v>
      </c>
      <c r="D6521" s="9" t="s">
        <v>67</v>
      </c>
      <c r="E6521" s="6" t="s">
        <v>13303</v>
      </c>
      <c r="F6521" s="9"/>
    </row>
    <row r="6522" ht="33.75" customHeight="1">
      <c r="A6522" s="7">
        <v>233.0</v>
      </c>
      <c r="B6522" s="9" t="s">
        <v>13296</v>
      </c>
      <c r="C6522" s="9" t="s">
        <v>8648</v>
      </c>
      <c r="D6522" s="9" t="s">
        <v>71</v>
      </c>
      <c r="E6522" s="6" t="s">
        <v>13303</v>
      </c>
      <c r="F6522" s="9"/>
    </row>
    <row r="6523" ht="33.75" customHeight="1">
      <c r="A6523" s="7">
        <v>233.0</v>
      </c>
      <c r="B6523" s="9" t="s">
        <v>13296</v>
      </c>
      <c r="C6523" s="9" t="s">
        <v>8648</v>
      </c>
      <c r="D6523" s="9" t="s">
        <v>73</v>
      </c>
      <c r="E6523" s="6" t="s">
        <v>13306</v>
      </c>
      <c r="F6523" s="9"/>
    </row>
    <row r="6524" ht="33.75" customHeight="1">
      <c r="A6524" s="7">
        <v>233.0</v>
      </c>
      <c r="B6524" s="9" t="s">
        <v>13296</v>
      </c>
      <c r="C6524" s="9" t="s">
        <v>8648</v>
      </c>
      <c r="D6524" s="9" t="s">
        <v>75</v>
      </c>
      <c r="E6524" s="6" t="s">
        <v>13308</v>
      </c>
      <c r="F6524" s="9"/>
    </row>
    <row r="6525" ht="33.75" customHeight="1">
      <c r="A6525" s="7">
        <v>233.0</v>
      </c>
      <c r="B6525" s="9" t="s">
        <v>13296</v>
      </c>
      <c r="C6525" s="9" t="s">
        <v>8648</v>
      </c>
      <c r="D6525" s="9" t="s">
        <v>79</v>
      </c>
      <c r="E6525" s="6" t="s">
        <v>13310</v>
      </c>
      <c r="F6525" s="9"/>
    </row>
    <row r="6526" ht="33.75" customHeight="1">
      <c r="A6526" s="7">
        <v>233.0</v>
      </c>
      <c r="B6526" s="9" t="s">
        <v>13296</v>
      </c>
      <c r="C6526" s="9" t="s">
        <v>8648</v>
      </c>
      <c r="D6526" s="9" t="s">
        <v>81</v>
      </c>
      <c r="E6526" s="6" t="s">
        <v>13312</v>
      </c>
      <c r="F6526" s="9"/>
    </row>
    <row r="6527" ht="33.75" customHeight="1">
      <c r="A6527" s="7">
        <v>233.0</v>
      </c>
      <c r="B6527" s="9" t="s">
        <v>13296</v>
      </c>
      <c r="C6527" s="9" t="s">
        <v>8648</v>
      </c>
      <c r="D6527" s="9" t="s">
        <v>84</v>
      </c>
      <c r="E6527" s="6" t="s">
        <v>13312</v>
      </c>
      <c r="F6527" s="9"/>
    </row>
    <row r="6528" ht="33.75" customHeight="1">
      <c r="A6528" s="7">
        <v>233.0</v>
      </c>
      <c r="B6528" s="9" t="s">
        <v>13296</v>
      </c>
      <c r="C6528" s="9" t="s">
        <v>8648</v>
      </c>
      <c r="D6528" s="9" t="s">
        <v>87</v>
      </c>
      <c r="E6528" s="6" t="s">
        <v>13314</v>
      </c>
      <c r="F6528" s="9"/>
    </row>
    <row r="6529" ht="33.75" customHeight="1">
      <c r="A6529" s="7">
        <v>233.0</v>
      </c>
      <c r="B6529" s="9" t="s">
        <v>13296</v>
      </c>
      <c r="C6529" s="9" t="s">
        <v>8648</v>
      </c>
      <c r="D6529" s="9" t="s">
        <v>89</v>
      </c>
      <c r="E6529" s="6" t="s">
        <v>13298</v>
      </c>
      <c r="F6529" s="9"/>
    </row>
    <row r="6530" ht="33.75" customHeight="1">
      <c r="A6530" s="7">
        <v>233.0</v>
      </c>
      <c r="B6530" s="9" t="s">
        <v>13296</v>
      </c>
      <c r="C6530" s="9" t="s">
        <v>8648</v>
      </c>
      <c r="D6530" s="9" t="s">
        <v>91</v>
      </c>
      <c r="E6530" s="6" t="s">
        <v>13308</v>
      </c>
      <c r="F6530" s="9"/>
    </row>
    <row r="6531" ht="33.75" customHeight="1">
      <c r="A6531" s="7">
        <v>233.0</v>
      </c>
      <c r="B6531" s="9" t="s">
        <v>13296</v>
      </c>
      <c r="C6531" s="9" t="s">
        <v>8648</v>
      </c>
      <c r="D6531" s="9" t="s">
        <v>93</v>
      </c>
      <c r="E6531" s="6" t="s">
        <v>13314</v>
      </c>
      <c r="F6531" s="9"/>
    </row>
    <row r="6532" ht="33.75" customHeight="1">
      <c r="A6532" s="7">
        <v>233.0</v>
      </c>
      <c r="B6532" s="9" t="s">
        <v>13296</v>
      </c>
      <c r="C6532" s="9" t="s">
        <v>8648</v>
      </c>
      <c r="D6532" s="9" t="s">
        <v>95</v>
      </c>
      <c r="E6532" s="6" t="s">
        <v>13314</v>
      </c>
      <c r="F6532" s="9"/>
    </row>
    <row r="6533" ht="33.75" customHeight="1">
      <c r="A6533" s="7">
        <v>233.0</v>
      </c>
      <c r="B6533" s="9" t="s">
        <v>13296</v>
      </c>
      <c r="C6533" s="9" t="s">
        <v>8648</v>
      </c>
      <c r="D6533" s="9" t="s">
        <v>98</v>
      </c>
      <c r="E6533" s="6" t="s">
        <v>13314</v>
      </c>
      <c r="F6533" s="9"/>
    </row>
    <row r="6534" ht="33.75" customHeight="1">
      <c r="A6534" s="7">
        <v>233.0</v>
      </c>
      <c r="B6534" s="9" t="s">
        <v>13296</v>
      </c>
      <c r="C6534" s="9" t="s">
        <v>8648</v>
      </c>
      <c r="D6534" s="9" t="s">
        <v>99</v>
      </c>
      <c r="E6534" s="6" t="s">
        <v>13314</v>
      </c>
      <c r="F6534" s="9"/>
    </row>
    <row r="6535" ht="33.75" customHeight="1">
      <c r="A6535" s="7">
        <v>233.0</v>
      </c>
      <c r="B6535" s="9" t="s">
        <v>13296</v>
      </c>
      <c r="C6535" s="9" t="s">
        <v>8648</v>
      </c>
      <c r="D6535" s="9" t="s">
        <v>101</v>
      </c>
      <c r="E6535" s="6" t="s">
        <v>13308</v>
      </c>
      <c r="F6535" s="9"/>
    </row>
    <row r="6536" ht="33.75" customHeight="1">
      <c r="A6536" s="7">
        <v>233.0</v>
      </c>
      <c r="B6536" s="9" t="s">
        <v>13296</v>
      </c>
      <c r="C6536" s="9" t="s">
        <v>8648</v>
      </c>
      <c r="D6536" s="9" t="s">
        <v>105</v>
      </c>
      <c r="E6536" s="6" t="s">
        <v>13312</v>
      </c>
      <c r="F6536" s="9"/>
    </row>
    <row r="6537" ht="33.75" customHeight="1">
      <c r="A6537" s="7">
        <v>233.0</v>
      </c>
      <c r="B6537" s="9" t="s">
        <v>13296</v>
      </c>
      <c r="C6537" s="9" t="s">
        <v>8648</v>
      </c>
      <c r="D6537" s="9" t="s">
        <v>107</v>
      </c>
      <c r="E6537" s="6" t="s">
        <v>13326</v>
      </c>
      <c r="F6537" s="9"/>
    </row>
    <row r="6538" ht="33.75" customHeight="1">
      <c r="A6538" s="7">
        <v>233.0</v>
      </c>
      <c r="B6538" s="9" t="s">
        <v>13296</v>
      </c>
      <c r="C6538" s="9" t="s">
        <v>8648</v>
      </c>
      <c r="D6538" s="9" t="s">
        <v>109</v>
      </c>
      <c r="E6538" s="6" t="s">
        <v>13326</v>
      </c>
      <c r="F6538" s="9"/>
    </row>
    <row r="6539" ht="33.75" customHeight="1">
      <c r="A6539" s="7">
        <v>233.0</v>
      </c>
      <c r="B6539" s="9" t="s">
        <v>13296</v>
      </c>
      <c r="C6539" s="9" t="s">
        <v>8648</v>
      </c>
      <c r="D6539" s="9" t="s">
        <v>637</v>
      </c>
      <c r="E6539" s="6" t="s">
        <v>13329</v>
      </c>
      <c r="F6539" s="9"/>
    </row>
    <row r="6540" ht="33.75" customHeight="1">
      <c r="A6540" s="7">
        <v>233.0</v>
      </c>
      <c r="B6540" s="9" t="s">
        <v>13296</v>
      </c>
      <c r="C6540" s="9" t="s">
        <v>8648</v>
      </c>
      <c r="D6540" s="9" t="s">
        <v>642</v>
      </c>
      <c r="E6540" s="6" t="s">
        <v>13334</v>
      </c>
      <c r="F6540" s="9"/>
    </row>
    <row r="6541" ht="33.75" customHeight="1">
      <c r="A6541" s="7">
        <v>233.0</v>
      </c>
      <c r="B6541" s="9" t="s">
        <v>13296</v>
      </c>
      <c r="C6541" s="9" t="s">
        <v>8648</v>
      </c>
      <c r="D6541" s="9" t="s">
        <v>647</v>
      </c>
      <c r="E6541" s="6" t="s">
        <v>13336</v>
      </c>
      <c r="F6541" s="9"/>
    </row>
    <row r="6542" ht="33.75" customHeight="1">
      <c r="A6542" s="7">
        <v>233.0</v>
      </c>
      <c r="B6542" s="9" t="s">
        <v>13296</v>
      </c>
      <c r="C6542" s="9" t="s">
        <v>8648</v>
      </c>
      <c r="D6542" s="9" t="s">
        <v>652</v>
      </c>
      <c r="E6542" s="6" t="s">
        <v>13339</v>
      </c>
      <c r="F6542" s="9"/>
    </row>
    <row r="6543" ht="33.75" customHeight="1">
      <c r="A6543" s="7">
        <v>233.0</v>
      </c>
      <c r="B6543" s="9" t="s">
        <v>13296</v>
      </c>
      <c r="C6543" s="9" t="s">
        <v>8648</v>
      </c>
      <c r="D6543" s="9" t="s">
        <v>114</v>
      </c>
      <c r="E6543" s="6" t="s">
        <v>13342</v>
      </c>
      <c r="F6543" s="9"/>
    </row>
    <row r="6544" ht="33.75" customHeight="1">
      <c r="A6544" s="7">
        <v>233.0</v>
      </c>
      <c r="B6544" s="9" t="s">
        <v>13296</v>
      </c>
      <c r="C6544" s="9" t="s">
        <v>8648</v>
      </c>
      <c r="D6544" s="9" t="s">
        <v>117</v>
      </c>
      <c r="E6544" s="6" t="s">
        <v>13345</v>
      </c>
      <c r="F6544" s="9"/>
    </row>
    <row r="6545" ht="33.75" customHeight="1">
      <c r="A6545" s="7">
        <v>233.0</v>
      </c>
      <c r="B6545" s="9" t="s">
        <v>13296</v>
      </c>
      <c r="C6545" s="9" t="s">
        <v>8648</v>
      </c>
      <c r="D6545" s="9" t="s">
        <v>1577</v>
      </c>
      <c r="E6545" s="6" t="s">
        <v>13348</v>
      </c>
      <c r="F6545" s="9"/>
    </row>
    <row r="6546" ht="33.75" customHeight="1">
      <c r="A6546" s="7">
        <v>234.0</v>
      </c>
      <c r="B6546" s="9" t="s">
        <v>13350</v>
      </c>
      <c r="C6546" s="9" t="s">
        <v>13351</v>
      </c>
      <c r="D6546" s="9" t="s">
        <v>52</v>
      </c>
      <c r="E6546" s="6" t="s">
        <v>13353</v>
      </c>
      <c r="F6546" t="inlineStr" s="10">
        <is>
          <t xml:space="preserve">Kaarevat sarvet muuttavat hienovaraisesti ilman virtausta luoden oudon tilan, jossa todellisuus vääristyy. Sen sarvia tuijottavat menettävät vähitellen aistiensa hallinnan eivätkä pysty seisomaan. Pudonneista sarvista löytyvät pyöreät pallot voidaan jauhaa jauheeksi, joka auttaa unessa. STANTLERin upeita sarvia myytiin korkeaan hintaan taideteoksina. Tämän seurauksena tätä POKéMONia metsästettiin sukupuuton partaalle niiden toimesta, jotka jahtasivat korvaamattomia sarvia. STANTLERin upeita sarvia myytiin aikoinaan korkeaan hintaan taideteoksina. Tämän seurauksena tätä POKéMONia metsästettiin sukupuuton partaalle. Sen kaarevat sarvet muuttavat hienovaraisesti ilman virtausta luoden oudon tilan, jossa todellisuus vääristyy. Sen sarvien tuijottaminen luo oudon tunteen, aivan kuin niiden keskustaan ​​vedettäisiin jotakin. Sen oudonmuotoiset sarvet voivat lumota ne, jotka ne näkevät. Lääke, joka valmistetaan jauhamalla pudonneiden sarvien mustia palloja, on tehokas hoito unettomuuteen.</t>
        </is>
      </c>
    </row>
    <row r="6547" ht="33.75" customHeight="1">
      <c r="A6547" s="7">
        <v>234.0</v>
      </c>
      <c r="B6547" s="9" t="s">
        <v>13350</v>
      </c>
      <c r="C6547" s="9" t="s">
        <v>13351</v>
      </c>
      <c r="D6547" s="9" t="s">
        <v>59</v>
      </c>
      <c r="E6547" s="6" t="s">
        <v>13355</v>
      </c>
      <c r="F6547" s="9"/>
    </row>
    <row r="6548" ht="33.75" customHeight="1">
      <c r="A6548" s="7">
        <v>234.0</v>
      </c>
      <c r="B6548" s="9" t="s">
        <v>13350</v>
      </c>
      <c r="C6548" s="9" t="s">
        <v>13351</v>
      </c>
      <c r="D6548" s="9" t="s">
        <v>64</v>
      </c>
      <c r="E6548" s="6" t="s">
        <v>13358</v>
      </c>
      <c r="F6548" s="9"/>
    </row>
    <row r="6549" ht="33.75" customHeight="1">
      <c r="A6549" s="7">
        <v>234.0</v>
      </c>
      <c r="B6549" s="9" t="s">
        <v>13350</v>
      </c>
      <c r="C6549" s="9" t="s">
        <v>13351</v>
      </c>
      <c r="D6549" s="9" t="s">
        <v>67</v>
      </c>
      <c r="E6549" s="6" t="s">
        <v>13360</v>
      </c>
      <c r="F6549" s="9"/>
    </row>
    <row r="6550" ht="33.75" customHeight="1">
      <c r="A6550" s="7">
        <v>234.0</v>
      </c>
      <c r="B6550" s="9" t="s">
        <v>13350</v>
      </c>
      <c r="C6550" s="9" t="s">
        <v>13351</v>
      </c>
      <c r="D6550" s="9" t="s">
        <v>71</v>
      </c>
      <c r="E6550" s="6" t="s">
        <v>13360</v>
      </c>
      <c r="F6550" s="9"/>
    </row>
    <row r="6551" ht="33.75" customHeight="1">
      <c r="A6551" s="7">
        <v>234.0</v>
      </c>
      <c r="B6551" s="9" t="s">
        <v>13350</v>
      </c>
      <c r="C6551" s="9" t="s">
        <v>13351</v>
      </c>
      <c r="D6551" s="9" t="s">
        <v>73</v>
      </c>
      <c r="E6551" s="6" t="s">
        <v>13365</v>
      </c>
      <c r="F6551" s="9"/>
    </row>
    <row r="6552" ht="33.75" customHeight="1">
      <c r="A6552" s="7">
        <v>234.0</v>
      </c>
      <c r="B6552" s="9" t="s">
        <v>13350</v>
      </c>
      <c r="C6552" s="9" t="s">
        <v>13351</v>
      </c>
      <c r="D6552" s="9" t="s">
        <v>75</v>
      </c>
      <c r="E6552" s="6" t="s">
        <v>13355</v>
      </c>
      <c r="F6552" s="9"/>
    </row>
    <row r="6553" ht="33.75" customHeight="1">
      <c r="A6553" s="7">
        <v>234.0</v>
      </c>
      <c r="B6553" s="9" t="s">
        <v>13350</v>
      </c>
      <c r="C6553" s="9" t="s">
        <v>13351</v>
      </c>
      <c r="D6553" s="9" t="s">
        <v>79</v>
      </c>
      <c r="E6553" s="6" t="s">
        <v>13370</v>
      </c>
      <c r="F6553" s="9"/>
    </row>
    <row r="6554" ht="33.75" customHeight="1">
      <c r="A6554" s="7">
        <v>234.0</v>
      </c>
      <c r="B6554" s="9" t="s">
        <v>13350</v>
      </c>
      <c r="C6554" s="9" t="s">
        <v>13351</v>
      </c>
      <c r="D6554" s="9" t="s">
        <v>81</v>
      </c>
      <c r="E6554" s="6" t="s">
        <v>13372</v>
      </c>
      <c r="F6554" s="9"/>
    </row>
    <row r="6555" ht="33.75" customHeight="1">
      <c r="A6555" s="7">
        <v>234.0</v>
      </c>
      <c r="B6555" s="9" t="s">
        <v>13350</v>
      </c>
      <c r="C6555" s="9" t="s">
        <v>13351</v>
      </c>
      <c r="D6555" s="9" t="s">
        <v>84</v>
      </c>
      <c r="E6555" s="6" t="s">
        <v>13372</v>
      </c>
      <c r="F6555" s="9"/>
    </row>
    <row r="6556" ht="33.75" customHeight="1">
      <c r="A6556" s="7">
        <v>234.0</v>
      </c>
      <c r="B6556" s="9" t="s">
        <v>13350</v>
      </c>
      <c r="C6556" s="9" t="s">
        <v>13351</v>
      </c>
      <c r="D6556" s="9" t="s">
        <v>87</v>
      </c>
      <c r="E6556" s="6" t="s">
        <v>13372</v>
      </c>
      <c r="F6556" s="9"/>
    </row>
    <row r="6557" ht="33.75" customHeight="1">
      <c r="A6557" s="7">
        <v>234.0</v>
      </c>
      <c r="B6557" s="9" t="s">
        <v>13350</v>
      </c>
      <c r="C6557" s="9" t="s">
        <v>13351</v>
      </c>
      <c r="D6557" s="9" t="s">
        <v>89</v>
      </c>
      <c r="E6557" s="6" t="s">
        <v>13353</v>
      </c>
      <c r="F6557" s="9"/>
    </row>
    <row r="6558" ht="33.75" customHeight="1">
      <c r="A6558" s="7">
        <v>234.0</v>
      </c>
      <c r="B6558" s="9" t="s">
        <v>13350</v>
      </c>
      <c r="C6558" s="9" t="s">
        <v>13351</v>
      </c>
      <c r="D6558" s="9" t="s">
        <v>91</v>
      </c>
      <c r="E6558" s="6" t="s">
        <v>13355</v>
      </c>
      <c r="F6558" s="9"/>
    </row>
    <row r="6559" ht="33.75" customHeight="1">
      <c r="A6559" s="7">
        <v>234.0</v>
      </c>
      <c r="B6559" s="9" t="s">
        <v>13350</v>
      </c>
      <c r="C6559" s="9" t="s">
        <v>13351</v>
      </c>
      <c r="D6559" s="9" t="s">
        <v>93</v>
      </c>
      <c r="E6559" s="6" t="s">
        <v>13372</v>
      </c>
      <c r="F6559" s="9"/>
    </row>
    <row r="6560" ht="33.75" customHeight="1">
      <c r="A6560" s="7">
        <v>234.0</v>
      </c>
      <c r="B6560" s="9" t="s">
        <v>13350</v>
      </c>
      <c r="C6560" s="9" t="s">
        <v>13351</v>
      </c>
      <c r="D6560" s="9" t="s">
        <v>95</v>
      </c>
      <c r="E6560" s="6" t="s">
        <v>13372</v>
      </c>
      <c r="F6560" s="9"/>
    </row>
    <row r="6561" ht="33.75" customHeight="1">
      <c r="A6561" s="7">
        <v>234.0</v>
      </c>
      <c r="B6561" s="9" t="s">
        <v>13350</v>
      </c>
      <c r="C6561" s="9" t="s">
        <v>13351</v>
      </c>
      <c r="D6561" s="9" t="s">
        <v>98</v>
      </c>
      <c r="E6561" s="6" t="s">
        <v>13372</v>
      </c>
      <c r="F6561" s="9"/>
    </row>
    <row r="6562" ht="33.75" customHeight="1">
      <c r="A6562" s="7">
        <v>234.0</v>
      </c>
      <c r="B6562" s="9" t="s">
        <v>13350</v>
      </c>
      <c r="C6562" s="9" t="s">
        <v>13351</v>
      </c>
      <c r="D6562" s="9" t="s">
        <v>99</v>
      </c>
      <c r="E6562" s="6" t="s">
        <v>13372</v>
      </c>
      <c r="F6562" s="9"/>
    </row>
    <row r="6563" ht="33.75" customHeight="1">
      <c r="A6563" s="7">
        <v>234.0</v>
      </c>
      <c r="B6563" s="9" t="s">
        <v>13350</v>
      </c>
      <c r="C6563" s="9" t="s">
        <v>13351</v>
      </c>
      <c r="D6563" s="9" t="s">
        <v>101</v>
      </c>
      <c r="E6563" s="6" t="s">
        <v>13372</v>
      </c>
      <c r="F6563" s="9"/>
    </row>
    <row r="6564" ht="33.75" customHeight="1">
      <c r="A6564" s="7">
        <v>234.0</v>
      </c>
      <c r="B6564" s="9" t="s">
        <v>13350</v>
      </c>
      <c r="C6564" s="9" t="s">
        <v>13351</v>
      </c>
      <c r="D6564" s="9" t="s">
        <v>105</v>
      </c>
      <c r="E6564" s="6" t="s">
        <v>13353</v>
      </c>
      <c r="F6564" s="9"/>
    </row>
    <row r="6565" ht="33.75" customHeight="1">
      <c r="A6565" s="7">
        <v>234.0</v>
      </c>
      <c r="B6565" s="9" t="s">
        <v>13350</v>
      </c>
      <c r="C6565" s="9" t="s">
        <v>13351</v>
      </c>
      <c r="D6565" s="9" t="s">
        <v>107</v>
      </c>
      <c r="E6565" s="6" t="s">
        <v>13395</v>
      </c>
      <c r="F6565" s="9"/>
    </row>
    <row r="6566" ht="33.75" customHeight="1">
      <c r="A6566" s="7">
        <v>234.0</v>
      </c>
      <c r="B6566" s="9" t="s">
        <v>13350</v>
      </c>
      <c r="C6566" s="9" t="s">
        <v>13351</v>
      </c>
      <c r="D6566" s="9" t="s">
        <v>109</v>
      </c>
      <c r="E6566" s="6" t="s">
        <v>13395</v>
      </c>
      <c r="F6566" s="9"/>
    </row>
    <row r="6567" ht="33.75" customHeight="1">
      <c r="A6567" s="7">
        <v>234.0</v>
      </c>
      <c r="B6567" s="9" t="s">
        <v>13350</v>
      </c>
      <c r="C6567" s="9" t="s">
        <v>13351</v>
      </c>
      <c r="D6567" s="9" t="s">
        <v>1577</v>
      </c>
      <c r="E6567" s="6" t="s">
        <v>13402</v>
      </c>
      <c r="F6567" s="9"/>
    </row>
    <row r="6568" ht="33.75" customHeight="1">
      <c r="A6568" s="7">
        <v>235.0</v>
      </c>
      <c r="B6568" s="9" t="s">
        <v>13403</v>
      </c>
      <c r="C6568" s="9" t="s">
        <v>13404</v>
      </c>
      <c r="D6568" s="9" t="s">
        <v>52</v>
      </c>
      <c r="E6568" s="6" t="s">
        <v>13406</v>
      </c>
      <c r="F6568" t="inlineStr" s="10">
        <is>
          <t xml:space="preserve">Smearglen pyrstön päästä tihkuu erityistä nestettä. Se maalaa nesteen kaikkialle merkitäkseen reviiriään. Kun siitä tulee aikuinen, sillä on taipumus antaa tovereidensa jättää jalanjälkiä selkäänsä. Sen hännästä erittyvän salaperäisen nesteen väri on ennalta määrätty jokaiselle SMEARGLEL-jäljelle. SMEARGLE merkitsee reviirinsä rajat käyttämällä ruumiinnestettä, joka vuotaa sen hännänpäästä. Tämän POKéMONin jättämiä jälkiä on löydetty yli 5 000. SMEARGLE merkitsee reviiriään nesteellä, joka vuotaa sen hännänpäästä. Tämän POKéMONin jättämiä jälkiä on löydetty noin 5 000. Se merkitsee reviiriään käyttämällä häntäänsä kuin sivellintä. Merkkejä on yli 5 000 erilaista. Kunkin Smearglen ainutlaatuiset luomukset maalataan sen pyrstöstä tihkuvalla nesteellä. Näin se merkitsee reviiriään. Se piirtää symboleja kaikkialle merkiksi alueensa merkiksi. Kaupungeissa, joissa on paljon Smeargleja, seinät ovat täynnä graffiteja. Smearglen hännän eritteiden värisävy muuttuu Pokémonin tunteiden muuttuessa. Se piirtää symboleja nesteellä, joka pursuaa sen hännän päästä. Symbolista riippuen Smearglen fanaatikot maksavat niistä maltaita.</t>
        </is>
      </c>
    </row>
    <row r="6569" ht="33.75" customHeight="1">
      <c r="A6569" s="7">
        <v>235.0</v>
      </c>
      <c r="B6569" s="9" t="s">
        <v>13403</v>
      </c>
      <c r="C6569" s="9" t="s">
        <v>13404</v>
      </c>
      <c r="D6569" s="9" t="s">
        <v>59</v>
      </c>
      <c r="E6569" s="6" t="s">
        <v>13409</v>
      </c>
      <c r="F6569" s="9"/>
    </row>
    <row r="6570" ht="33.75" customHeight="1">
      <c r="A6570" s="7">
        <v>235.0</v>
      </c>
      <c r="B6570" s="9" t="s">
        <v>13403</v>
      </c>
      <c r="C6570" s="9" t="s">
        <v>13404</v>
      </c>
      <c r="D6570" s="9" t="s">
        <v>64</v>
      </c>
      <c r="E6570" s="6" t="s">
        <v>13412</v>
      </c>
      <c r="F6570" s="9"/>
    </row>
    <row r="6571" ht="33.75" customHeight="1">
      <c r="A6571" s="7">
        <v>235.0</v>
      </c>
      <c r="B6571" s="9" t="s">
        <v>13403</v>
      </c>
      <c r="C6571" s="9" t="s">
        <v>13404</v>
      </c>
      <c r="D6571" s="9" t="s">
        <v>67</v>
      </c>
      <c r="E6571" s="6" t="s">
        <v>13414</v>
      </c>
      <c r="F6571" s="9"/>
    </row>
    <row r="6572" ht="33.75" customHeight="1">
      <c r="A6572" s="7">
        <v>235.0</v>
      </c>
      <c r="B6572" s="9" t="s">
        <v>13403</v>
      </c>
      <c r="C6572" s="9" t="s">
        <v>13404</v>
      </c>
      <c r="D6572" s="9" t="s">
        <v>71</v>
      </c>
      <c r="E6572" s="6" t="s">
        <v>13414</v>
      </c>
      <c r="F6572" s="9"/>
    </row>
    <row r="6573" ht="33.75" customHeight="1">
      <c r="A6573" s="7">
        <v>235.0</v>
      </c>
      <c r="B6573" s="9" t="s">
        <v>13403</v>
      </c>
      <c r="C6573" s="9" t="s">
        <v>13404</v>
      </c>
      <c r="D6573" s="9" t="s">
        <v>73</v>
      </c>
      <c r="E6573" s="6" t="s">
        <v>13417</v>
      </c>
      <c r="F6573" s="9"/>
    </row>
    <row r="6574" ht="33.75" customHeight="1">
      <c r="A6574" s="7">
        <v>235.0</v>
      </c>
      <c r="B6574" s="9" t="s">
        <v>13403</v>
      </c>
      <c r="C6574" s="9" t="s">
        <v>13404</v>
      </c>
      <c r="D6574" s="9" t="s">
        <v>75</v>
      </c>
      <c r="E6574" s="6" t="s">
        <v>13409</v>
      </c>
      <c r="F6574" s="9"/>
    </row>
    <row r="6575" ht="33.75" customHeight="1">
      <c r="A6575" s="7">
        <v>235.0</v>
      </c>
      <c r="B6575" s="9" t="s">
        <v>13403</v>
      </c>
      <c r="C6575" s="9" t="s">
        <v>13404</v>
      </c>
      <c r="D6575" s="9" t="s">
        <v>79</v>
      </c>
      <c r="E6575" s="6" t="s">
        <v>13406</v>
      </c>
      <c r="F6575" s="9"/>
    </row>
    <row r="6576" ht="33.75" customHeight="1">
      <c r="A6576" s="7">
        <v>235.0</v>
      </c>
      <c r="B6576" s="9" t="s">
        <v>13403</v>
      </c>
      <c r="C6576" s="9" t="s">
        <v>13404</v>
      </c>
      <c r="D6576" s="9" t="s">
        <v>81</v>
      </c>
      <c r="E6576" s="6" t="s">
        <v>13425</v>
      </c>
      <c r="F6576" s="9"/>
    </row>
    <row r="6577" ht="33.75" customHeight="1">
      <c r="A6577" s="7">
        <v>235.0</v>
      </c>
      <c r="B6577" s="9" t="s">
        <v>13403</v>
      </c>
      <c r="C6577" s="9" t="s">
        <v>13404</v>
      </c>
      <c r="D6577" s="9" t="s">
        <v>84</v>
      </c>
      <c r="E6577" s="6" t="s">
        <v>13425</v>
      </c>
      <c r="F6577" s="9"/>
    </row>
    <row r="6578" ht="33.75" customHeight="1">
      <c r="A6578" s="7">
        <v>235.0</v>
      </c>
      <c r="B6578" s="9" t="s">
        <v>13403</v>
      </c>
      <c r="C6578" s="9" t="s">
        <v>13404</v>
      </c>
      <c r="D6578" s="9" t="s">
        <v>87</v>
      </c>
      <c r="E6578" s="6" t="s">
        <v>13425</v>
      </c>
      <c r="F6578" s="9"/>
    </row>
    <row r="6579" ht="33.75" customHeight="1">
      <c r="A6579" s="7">
        <v>235.0</v>
      </c>
      <c r="B6579" s="9" t="s">
        <v>13403</v>
      </c>
      <c r="C6579" s="9" t="s">
        <v>13404</v>
      </c>
      <c r="D6579" s="9" t="s">
        <v>89</v>
      </c>
      <c r="E6579" s="6" t="s">
        <v>13406</v>
      </c>
      <c r="F6579" s="9"/>
    </row>
    <row r="6580" ht="33.75" customHeight="1">
      <c r="A6580" s="7">
        <v>235.0</v>
      </c>
      <c r="B6580" s="9" t="s">
        <v>13403</v>
      </c>
      <c r="C6580" s="9" t="s">
        <v>13404</v>
      </c>
      <c r="D6580" s="9" t="s">
        <v>91</v>
      </c>
      <c r="E6580" s="6" t="s">
        <v>13409</v>
      </c>
      <c r="F6580" s="9"/>
    </row>
    <row r="6581" ht="33.75" customHeight="1">
      <c r="A6581" s="7">
        <v>235.0</v>
      </c>
      <c r="B6581" s="9" t="s">
        <v>13403</v>
      </c>
      <c r="C6581" s="9" t="s">
        <v>13404</v>
      </c>
      <c r="D6581" s="9" t="s">
        <v>93</v>
      </c>
      <c r="E6581" s="6" t="s">
        <v>13425</v>
      </c>
      <c r="F6581" s="9"/>
    </row>
    <row r="6582" ht="33.75" customHeight="1">
      <c r="A6582" s="7">
        <v>235.0</v>
      </c>
      <c r="B6582" s="9" t="s">
        <v>13403</v>
      </c>
      <c r="C6582" s="9" t="s">
        <v>13404</v>
      </c>
      <c r="D6582" s="9" t="s">
        <v>95</v>
      </c>
      <c r="E6582" s="6" t="s">
        <v>13425</v>
      </c>
      <c r="F6582" s="9"/>
    </row>
    <row r="6583" ht="33.75" customHeight="1">
      <c r="A6583" s="7">
        <v>235.0</v>
      </c>
      <c r="B6583" s="9" t="s">
        <v>13403</v>
      </c>
      <c r="C6583" s="9" t="s">
        <v>13404</v>
      </c>
      <c r="D6583" s="9" t="s">
        <v>98</v>
      </c>
      <c r="E6583" s="6" t="s">
        <v>13425</v>
      </c>
      <c r="F6583" s="9"/>
    </row>
    <row r="6584" ht="33.75" customHeight="1">
      <c r="A6584" s="7">
        <v>235.0</v>
      </c>
      <c r="B6584" s="9" t="s">
        <v>13403</v>
      </c>
      <c r="C6584" s="9" t="s">
        <v>13404</v>
      </c>
      <c r="D6584" s="9" t="s">
        <v>99</v>
      </c>
      <c r="E6584" s="6" t="s">
        <v>13425</v>
      </c>
      <c r="F6584" s="9"/>
    </row>
    <row r="6585" ht="33.75" customHeight="1">
      <c r="A6585" s="7">
        <v>235.0</v>
      </c>
      <c r="B6585" s="9" t="s">
        <v>13403</v>
      </c>
      <c r="C6585" s="9" t="s">
        <v>13404</v>
      </c>
      <c r="D6585" s="9" t="s">
        <v>101</v>
      </c>
      <c r="E6585" s="6" t="s">
        <v>13425</v>
      </c>
      <c r="F6585" s="9"/>
    </row>
    <row r="6586" ht="33.75" customHeight="1">
      <c r="A6586" s="7">
        <v>235.0</v>
      </c>
      <c r="B6586" s="9" t="s">
        <v>13403</v>
      </c>
      <c r="C6586" s="9" t="s">
        <v>13404</v>
      </c>
      <c r="D6586" s="9" t="s">
        <v>105</v>
      </c>
      <c r="E6586" s="6" t="s">
        <v>13409</v>
      </c>
      <c r="F6586" s="9"/>
    </row>
    <row r="6587" ht="33.75" customHeight="1">
      <c r="A6587" s="7">
        <v>235.0</v>
      </c>
      <c r="B6587" s="9" t="s">
        <v>13403</v>
      </c>
      <c r="C6587" s="9" t="s">
        <v>13404</v>
      </c>
      <c r="D6587" s="9" t="s">
        <v>107</v>
      </c>
      <c r="E6587" s="6" t="s">
        <v>13440</v>
      </c>
      <c r="F6587" s="9"/>
    </row>
    <row r="6588" ht="33.75" customHeight="1">
      <c r="A6588" s="7">
        <v>235.0</v>
      </c>
      <c r="B6588" s="9" t="s">
        <v>13403</v>
      </c>
      <c r="C6588" s="9" t="s">
        <v>13404</v>
      </c>
      <c r="D6588" s="9" t="s">
        <v>109</v>
      </c>
      <c r="E6588" s="6" t="s">
        <v>13440</v>
      </c>
      <c r="F6588" s="9"/>
    </row>
    <row r="6589" ht="33.75" customHeight="1">
      <c r="A6589" s="7">
        <v>235.0</v>
      </c>
      <c r="B6589" s="9" t="s">
        <v>13403</v>
      </c>
      <c r="C6589" s="9" t="s">
        <v>13404</v>
      </c>
      <c r="D6589" s="9" t="s">
        <v>637</v>
      </c>
      <c r="E6589" s="6" t="s">
        <v>13444</v>
      </c>
      <c r="F6589" s="9"/>
    </row>
    <row r="6590" ht="33.75" customHeight="1">
      <c r="A6590" s="7">
        <v>235.0</v>
      </c>
      <c r="B6590" s="9" t="s">
        <v>13403</v>
      </c>
      <c r="C6590" s="9" t="s">
        <v>13404</v>
      </c>
      <c r="D6590" s="9" t="s">
        <v>642</v>
      </c>
      <c r="E6590" s="6" t="s">
        <v>13446</v>
      </c>
      <c r="F6590" s="9"/>
    </row>
    <row r="6591" ht="33.75" customHeight="1">
      <c r="A6591" s="7">
        <v>235.0</v>
      </c>
      <c r="B6591" s="9" t="s">
        <v>13403</v>
      </c>
      <c r="C6591" s="9" t="s">
        <v>13404</v>
      </c>
      <c r="D6591" s="9" t="s">
        <v>647</v>
      </c>
      <c r="E6591" s="6" t="s">
        <v>13449</v>
      </c>
      <c r="F6591" s="9"/>
    </row>
    <row r="6592" ht="33.75" customHeight="1">
      <c r="A6592" s="7">
        <v>235.0</v>
      </c>
      <c r="B6592" s="9" t="s">
        <v>13403</v>
      </c>
      <c r="C6592" s="9" t="s">
        <v>13404</v>
      </c>
      <c r="D6592" s="9" t="s">
        <v>652</v>
      </c>
      <c r="E6592" s="6" t="s">
        <v>13450</v>
      </c>
      <c r="F6592" s="9"/>
    </row>
    <row r="6593" ht="33.75" customHeight="1">
      <c r="A6593" s="7">
        <v>236.0</v>
      </c>
      <c r="B6593" s="9" t="s">
        <v>13452</v>
      </c>
      <c r="C6593" s="9" t="s">
        <v>13453</v>
      </c>
      <c r="D6593" s="9" t="s">
        <v>52</v>
      </c>
      <c r="E6593" s="6" t="s">
        <v>13455</v>
      </c>
      <c r="F6593" t="inlineStr" s="10">
        <is>
          <t xml:space="preserve">Tyrogue on aina täynnä energiaa. Vahvistaakseen itseään se jatkaa taistelua, vaikka häviäisikin. Vaikka se on pieni, sitä ei voi sivuuttaa, koska se iskee mihin tahansa kätevään kohteeseen varoittamatta. Se haastaa kenet tahansa parantaakseen taistelutaitojaan. Sillä on erittäin vahva kilpailuhenki. TYROGUE stressaantuu, jos se ei pääse harjoittelemaan joka päivä. Tätä POKéMONIA kasvattaessaan KOULUTTAJAN on otettava käyttöön ja ylläpidettävä erilaisia ​​harjoitusmenetelmiä. TYROGUE stressaantuu, jos he eivät pääse harjoittelemaan joka päivä. Tätä POKéMONIA kasvatettaessa KOULUTTAJAN on laadittava säännöllinen harjoitusaikataulu. Se on kuuluisa taistelunhalustaan ​​ja hoitaa aina suurempien vihollisten aiheuttamia vammoja.</t>
        </is>
      </c>
    </row>
    <row r="6594" ht="33.75" customHeight="1">
      <c r="A6594" s="7">
        <v>236.0</v>
      </c>
      <c r="B6594" s="9" t="s">
        <v>13452</v>
      </c>
      <c r="C6594" s="9" t="s">
        <v>13453</v>
      </c>
      <c r="D6594" s="9" t="s">
        <v>59</v>
      </c>
      <c r="E6594" s="6" t="s">
        <v>13457</v>
      </c>
      <c r="F6594" s="9"/>
    </row>
    <row r="6595" ht="33.75" customHeight="1">
      <c r="A6595" s="7">
        <v>236.0</v>
      </c>
      <c r="B6595" s="9" t="s">
        <v>13452</v>
      </c>
      <c r="C6595" s="9" t="s">
        <v>13453</v>
      </c>
      <c r="D6595" s="9" t="s">
        <v>64</v>
      </c>
      <c r="E6595" s="6" t="s">
        <v>13459</v>
      </c>
      <c r="F6595" s="9"/>
    </row>
    <row r="6596" ht="33.75" customHeight="1">
      <c r="A6596" s="7">
        <v>236.0</v>
      </c>
      <c r="B6596" s="9" t="s">
        <v>13452</v>
      </c>
      <c r="C6596" s="9" t="s">
        <v>13453</v>
      </c>
      <c r="D6596" s="9" t="s">
        <v>67</v>
      </c>
      <c r="E6596" s="6" t="s">
        <v>13460</v>
      </c>
      <c r="F6596" s="9"/>
    </row>
    <row r="6597" ht="33.75" customHeight="1">
      <c r="A6597" s="7">
        <v>236.0</v>
      </c>
      <c r="B6597" s="9" t="s">
        <v>13452</v>
      </c>
      <c r="C6597" s="9" t="s">
        <v>13453</v>
      </c>
      <c r="D6597" s="9" t="s">
        <v>71</v>
      </c>
      <c r="E6597" s="6" t="s">
        <v>13460</v>
      </c>
      <c r="F6597" s="9"/>
    </row>
    <row r="6598" ht="33.75" customHeight="1">
      <c r="A6598" s="7">
        <v>236.0</v>
      </c>
      <c r="B6598" s="9" t="s">
        <v>13452</v>
      </c>
      <c r="C6598" s="9" t="s">
        <v>13453</v>
      </c>
      <c r="D6598" s="9" t="s">
        <v>73</v>
      </c>
      <c r="E6598" s="6" t="s">
        <v>13463</v>
      </c>
      <c r="F6598" s="9"/>
    </row>
    <row r="6599" ht="33.75" customHeight="1">
      <c r="A6599" s="7">
        <v>236.0</v>
      </c>
      <c r="B6599" s="9" t="s">
        <v>13452</v>
      </c>
      <c r="C6599" s="9" t="s">
        <v>13453</v>
      </c>
      <c r="D6599" s="9" t="s">
        <v>75</v>
      </c>
      <c r="E6599" s="6" t="s">
        <v>13457</v>
      </c>
      <c r="F6599" s="9"/>
    </row>
    <row r="6600" ht="33.75" customHeight="1">
      <c r="A6600" s="7">
        <v>236.0</v>
      </c>
      <c r="B6600" s="9" t="s">
        <v>13452</v>
      </c>
      <c r="C6600" s="9" t="s">
        <v>13453</v>
      </c>
      <c r="D6600" s="9" t="s">
        <v>79</v>
      </c>
      <c r="E6600" s="6" t="s">
        <v>13455</v>
      </c>
      <c r="F6600" s="9"/>
    </row>
    <row r="6601" ht="33.75" customHeight="1">
      <c r="A6601" s="7">
        <v>236.0</v>
      </c>
      <c r="B6601" s="9" t="s">
        <v>13452</v>
      </c>
      <c r="C6601" s="9" t="s">
        <v>13453</v>
      </c>
      <c r="D6601" s="9" t="s">
        <v>81</v>
      </c>
      <c r="E6601" s="6" t="s">
        <v>13467</v>
      </c>
      <c r="F6601" s="9"/>
    </row>
    <row r="6602" ht="33.75" customHeight="1">
      <c r="A6602" s="7">
        <v>236.0</v>
      </c>
      <c r="B6602" s="9" t="s">
        <v>13452</v>
      </c>
      <c r="C6602" s="9" t="s">
        <v>13453</v>
      </c>
      <c r="D6602" s="9" t="s">
        <v>84</v>
      </c>
      <c r="E6602" s="6" t="s">
        <v>13467</v>
      </c>
      <c r="F6602" s="9"/>
    </row>
    <row r="6603" ht="33.75" customHeight="1">
      <c r="A6603" s="7">
        <v>236.0</v>
      </c>
      <c r="B6603" s="9" t="s">
        <v>13452</v>
      </c>
      <c r="C6603" s="9" t="s">
        <v>13453</v>
      </c>
      <c r="D6603" s="9" t="s">
        <v>87</v>
      </c>
      <c r="E6603" s="6" t="s">
        <v>13467</v>
      </c>
      <c r="F6603" s="9"/>
    </row>
    <row r="6604" ht="33.75" customHeight="1">
      <c r="A6604" s="7">
        <v>236.0</v>
      </c>
      <c r="B6604" s="9" t="s">
        <v>13452</v>
      </c>
      <c r="C6604" s="9" t="s">
        <v>13453</v>
      </c>
      <c r="D6604" s="9" t="s">
        <v>89</v>
      </c>
      <c r="E6604" s="6" t="s">
        <v>13455</v>
      </c>
      <c r="F6604" s="9"/>
    </row>
    <row r="6605" ht="33.75" customHeight="1">
      <c r="A6605" s="7">
        <v>236.0</v>
      </c>
      <c r="B6605" s="9" t="s">
        <v>13452</v>
      </c>
      <c r="C6605" s="9" t="s">
        <v>13453</v>
      </c>
      <c r="D6605" s="9" t="s">
        <v>91</v>
      </c>
      <c r="E6605" s="6" t="s">
        <v>13457</v>
      </c>
      <c r="F6605" s="9"/>
    </row>
    <row r="6606" ht="33.75" customHeight="1">
      <c r="A6606" s="7">
        <v>236.0</v>
      </c>
      <c r="B6606" s="9" t="s">
        <v>13452</v>
      </c>
      <c r="C6606" s="9" t="s">
        <v>13453</v>
      </c>
      <c r="D6606" s="9" t="s">
        <v>93</v>
      </c>
      <c r="E6606" s="6" t="s">
        <v>13467</v>
      </c>
      <c r="F6606" s="9"/>
    </row>
    <row r="6607" ht="33.75" customHeight="1">
      <c r="A6607" s="7">
        <v>236.0</v>
      </c>
      <c r="B6607" s="9" t="s">
        <v>13452</v>
      </c>
      <c r="C6607" s="9" t="s">
        <v>13453</v>
      </c>
      <c r="D6607" s="9" t="s">
        <v>95</v>
      </c>
      <c r="E6607" s="6" t="s">
        <v>13467</v>
      </c>
      <c r="F6607" s="9"/>
    </row>
    <row r="6608" ht="33.75" customHeight="1">
      <c r="A6608" s="7">
        <v>236.0</v>
      </c>
      <c r="B6608" s="9" t="s">
        <v>13452</v>
      </c>
      <c r="C6608" s="9" t="s">
        <v>13453</v>
      </c>
      <c r="D6608" s="9" t="s">
        <v>98</v>
      </c>
      <c r="E6608" s="6" t="s">
        <v>13467</v>
      </c>
      <c r="F6608" s="9"/>
    </row>
    <row r="6609" ht="33.75" customHeight="1">
      <c r="A6609" s="7">
        <v>236.0</v>
      </c>
      <c r="B6609" s="9" t="s">
        <v>13452</v>
      </c>
      <c r="C6609" s="9" t="s">
        <v>13453</v>
      </c>
      <c r="D6609" s="9" t="s">
        <v>99</v>
      </c>
      <c r="E6609" s="6" t="s">
        <v>13467</v>
      </c>
      <c r="F6609" s="9"/>
    </row>
    <row r="6610" ht="33.75" customHeight="1">
      <c r="A6610" s="7">
        <v>236.0</v>
      </c>
      <c r="B6610" s="9" t="s">
        <v>13452</v>
      </c>
      <c r="C6610" s="9" t="s">
        <v>13453</v>
      </c>
      <c r="D6610" s="9" t="s">
        <v>101</v>
      </c>
      <c r="E6610" s="6" t="s">
        <v>13455</v>
      </c>
      <c r="F6610" s="9"/>
    </row>
    <row r="6611" ht="33.75" customHeight="1">
      <c r="A6611" s="7">
        <v>236.0</v>
      </c>
      <c r="B6611" s="9" t="s">
        <v>13452</v>
      </c>
      <c r="C6611" s="9" t="s">
        <v>13453</v>
      </c>
      <c r="D6611" s="9" t="s">
        <v>105</v>
      </c>
      <c r="E6611" s="6" t="s">
        <v>13459</v>
      </c>
      <c r="F6611" s="9"/>
    </row>
    <row r="6612" ht="33.75" customHeight="1">
      <c r="A6612" s="7">
        <v>236.0</v>
      </c>
      <c r="B6612" s="9" t="s">
        <v>13452</v>
      </c>
      <c r="C6612" s="9" t="s">
        <v>13453</v>
      </c>
      <c r="D6612" s="9" t="s">
        <v>107</v>
      </c>
      <c r="E6612" s="6" t="s">
        <v>13481</v>
      </c>
      <c r="F6612" s="9"/>
    </row>
    <row r="6613" ht="33.75" customHeight="1">
      <c r="A6613" s="7">
        <v>236.0</v>
      </c>
      <c r="B6613" s="9" t="s">
        <v>13452</v>
      </c>
      <c r="C6613" s="9" t="s">
        <v>13453</v>
      </c>
      <c r="D6613" s="9" t="s">
        <v>109</v>
      </c>
      <c r="E6613" s="6" t="s">
        <v>13481</v>
      </c>
      <c r="F6613" s="9"/>
    </row>
    <row r="6614" ht="33.75" customHeight="1">
      <c r="A6614" s="7">
        <v>236.0</v>
      </c>
      <c r="B6614" s="9" t="s">
        <v>13452</v>
      </c>
      <c r="C6614" s="9" t="s">
        <v>13453</v>
      </c>
      <c r="D6614" s="9" t="s">
        <v>114</v>
      </c>
      <c r="E6614" s="6" t="s">
        <v>13455</v>
      </c>
      <c r="F6614" s="9"/>
    </row>
    <row r="6615" ht="33.75" customHeight="1">
      <c r="A6615" s="7">
        <v>236.0</v>
      </c>
      <c r="B6615" s="9" t="s">
        <v>13452</v>
      </c>
      <c r="C6615" s="9" t="s">
        <v>13453</v>
      </c>
      <c r="D6615" s="9" t="s">
        <v>117</v>
      </c>
      <c r="E6615" s="6" t="s">
        <v>13457</v>
      </c>
      <c r="F6615" s="9"/>
    </row>
    <row r="6616" ht="33.75" customHeight="1">
      <c r="A6616" s="7">
        <v>237.0</v>
      </c>
      <c r="B6616" s="9" t="s">
        <v>13485</v>
      </c>
      <c r="C6616" s="9" t="s">
        <v>13486</v>
      </c>
      <c r="D6616" s="9" t="s">
        <v>52</v>
      </c>
      <c r="E6616" s="6" t="s">
        <v>13488</v>
      </c>
      <c r="F6616" t="inlineStr" s="10">
        <is>
          <t xml:space="preserve">Jos Hitmontopin pehmeät, elegantit ja tanssimaiset potkut lumoavat sinut, saatat saada kovaa potkua. Se antaa potkuja pyöriessään. Jos se pyörii suurella nopeudella, se voi porautua maahan. Tehtyään käsilläseisonnan vastustajan ajoituksen sekoittamiseksi, se esittelee hienoja potkuliikkeitään. HITMONTOP pyörii päänsä päällä kovaa vauhtia antaen samalla potkuja. Tämä tekniikka on huomattava yhdistelmä sekä hyökkäystä että puolustusta samanaikaisesti. POKéMON liikkuu nopeammin pyörien kuin kävellen. Sen tekniikka potkia samalla kun ne pyörivät, on huomattava yhdistelmä hyökkäystä ja puolustusta. HITMONTOPit liikkuvat nopeammin pyöriessään kuin kävellessään. Se taistelee pyörien samalla kuin kärki. Keskipakoisvoima kymmenkertaistaa sen tuhovoiman. Jos sen pehmeät, tanssimaiset potkut lumoavat sinut, saatat saada siitä läheisemmän kokemuksen kuin haluaisit. Se taistelee pyöriessään kuin kärki. Keskipakoisvoima lisää sen tuhovoimaa kymmenellä. Tämä tekniikka on huomattava sekoitus sekä hyökkäystä että puolustusta samanaikaisesti. Tehtyään käsilläseisonnan vastustajan ajoituksen muuttamiseksi, se esittelee hienoja potkuliikkeitään.</t>
        </is>
      </c>
    </row>
    <row r="6617" ht="33.75" customHeight="1">
      <c r="A6617" s="7">
        <v>237.0</v>
      </c>
      <c r="B6617" s="9" t="s">
        <v>13485</v>
      </c>
      <c r="C6617" s="9" t="s">
        <v>13486</v>
      </c>
      <c r="D6617" s="9" t="s">
        <v>59</v>
      </c>
      <c r="E6617" s="6" t="s">
        <v>13491</v>
      </c>
      <c r="F6617" s="9"/>
    </row>
    <row r="6618" ht="33.75" customHeight="1">
      <c r="A6618" s="7">
        <v>237.0</v>
      </c>
      <c r="B6618" s="9" t="s">
        <v>13485</v>
      </c>
      <c r="C6618" s="9" t="s">
        <v>13486</v>
      </c>
      <c r="D6618" s="9" t="s">
        <v>64</v>
      </c>
      <c r="E6618" s="6" t="s">
        <v>13492</v>
      </c>
      <c r="F6618" s="9"/>
    </row>
    <row r="6619" ht="33.75" customHeight="1">
      <c r="A6619" s="7">
        <v>237.0</v>
      </c>
      <c r="B6619" s="9" t="s">
        <v>13485</v>
      </c>
      <c r="C6619" s="9" t="s">
        <v>13486</v>
      </c>
      <c r="D6619" s="9" t="s">
        <v>67</v>
      </c>
      <c r="E6619" s="6" t="s">
        <v>13494</v>
      </c>
      <c r="F6619" s="9"/>
    </row>
    <row r="6620" ht="33.75" customHeight="1">
      <c r="A6620" s="7">
        <v>237.0</v>
      </c>
      <c r="B6620" s="9" t="s">
        <v>13485</v>
      </c>
      <c r="C6620" s="9" t="s">
        <v>13486</v>
      </c>
      <c r="D6620" s="9" t="s">
        <v>71</v>
      </c>
      <c r="E6620" s="6" t="s">
        <v>13494</v>
      </c>
      <c r="F6620" s="9"/>
    </row>
    <row r="6621" ht="33.75" customHeight="1">
      <c r="A6621" s="7">
        <v>237.0</v>
      </c>
      <c r="B6621" s="9" t="s">
        <v>13485</v>
      </c>
      <c r="C6621" s="9" t="s">
        <v>13486</v>
      </c>
      <c r="D6621" s="9" t="s">
        <v>73</v>
      </c>
      <c r="E6621" s="6" t="s">
        <v>13497</v>
      </c>
      <c r="F6621" s="9"/>
    </row>
    <row r="6622" ht="33.75" customHeight="1">
      <c r="A6622" s="7">
        <v>237.0</v>
      </c>
      <c r="B6622" s="9" t="s">
        <v>13485</v>
      </c>
      <c r="C6622" s="9" t="s">
        <v>13486</v>
      </c>
      <c r="D6622" s="9" t="s">
        <v>75</v>
      </c>
      <c r="E6622" s="6" t="s">
        <v>13491</v>
      </c>
      <c r="F6622" s="9"/>
    </row>
    <row r="6623" ht="33.75" customHeight="1">
      <c r="A6623" s="7">
        <v>237.0</v>
      </c>
      <c r="B6623" s="9" t="s">
        <v>13485</v>
      </c>
      <c r="C6623" s="9" t="s">
        <v>13486</v>
      </c>
      <c r="D6623" s="9" t="s">
        <v>79</v>
      </c>
      <c r="E6623" s="6" t="s">
        <v>13488</v>
      </c>
      <c r="F6623" s="9"/>
    </row>
    <row r="6624" ht="33.75" customHeight="1">
      <c r="A6624" s="7">
        <v>237.0</v>
      </c>
      <c r="B6624" s="9" t="s">
        <v>13485</v>
      </c>
      <c r="C6624" s="9" t="s">
        <v>13486</v>
      </c>
      <c r="D6624" s="9" t="s">
        <v>81</v>
      </c>
      <c r="E6624" s="6" t="s">
        <v>13499</v>
      </c>
      <c r="F6624" s="9"/>
    </row>
    <row r="6625" ht="33.75" customHeight="1">
      <c r="A6625" s="7">
        <v>237.0</v>
      </c>
      <c r="B6625" s="9" t="s">
        <v>13485</v>
      </c>
      <c r="C6625" s="9" t="s">
        <v>13486</v>
      </c>
      <c r="D6625" s="9" t="s">
        <v>84</v>
      </c>
      <c r="E6625" s="6" t="s">
        <v>13499</v>
      </c>
      <c r="F6625" s="9"/>
    </row>
    <row r="6626" ht="33.75" customHeight="1">
      <c r="A6626" s="7">
        <v>237.0</v>
      </c>
      <c r="B6626" s="9" t="s">
        <v>13485</v>
      </c>
      <c r="C6626" s="9" t="s">
        <v>13486</v>
      </c>
      <c r="D6626" s="9" t="s">
        <v>87</v>
      </c>
      <c r="E6626" s="6" t="s">
        <v>13499</v>
      </c>
      <c r="F6626" s="9"/>
    </row>
    <row r="6627" ht="33.75" customHeight="1">
      <c r="A6627" s="7">
        <v>237.0</v>
      </c>
      <c r="B6627" s="9" t="s">
        <v>13485</v>
      </c>
      <c r="C6627" s="9" t="s">
        <v>13486</v>
      </c>
      <c r="D6627" s="9" t="s">
        <v>89</v>
      </c>
      <c r="E6627" s="6" t="s">
        <v>13504</v>
      </c>
      <c r="F6627" s="9"/>
    </row>
    <row r="6628" ht="33.75" customHeight="1">
      <c r="A6628" s="7">
        <v>237.0</v>
      </c>
      <c r="B6628" s="9" t="s">
        <v>13485</v>
      </c>
      <c r="C6628" s="9" t="s">
        <v>13486</v>
      </c>
      <c r="D6628" s="9" t="s">
        <v>91</v>
      </c>
      <c r="E6628" s="6" t="s">
        <v>13491</v>
      </c>
      <c r="F6628" s="9"/>
    </row>
    <row r="6629" ht="33.75" customHeight="1">
      <c r="A6629" s="7">
        <v>237.0</v>
      </c>
      <c r="B6629" s="9" t="s">
        <v>13485</v>
      </c>
      <c r="C6629" s="9" t="s">
        <v>13486</v>
      </c>
      <c r="D6629" s="9" t="s">
        <v>93</v>
      </c>
      <c r="E6629" s="6" t="s">
        <v>13499</v>
      </c>
      <c r="F6629" s="9"/>
    </row>
    <row r="6630" ht="33.75" customHeight="1">
      <c r="A6630" s="7">
        <v>237.0</v>
      </c>
      <c r="B6630" s="9" t="s">
        <v>13485</v>
      </c>
      <c r="C6630" s="9" t="s">
        <v>13486</v>
      </c>
      <c r="D6630" s="9" t="s">
        <v>95</v>
      </c>
      <c r="E6630" s="6" t="s">
        <v>13499</v>
      </c>
      <c r="F6630" s="9"/>
    </row>
    <row r="6631" ht="33.75" customHeight="1">
      <c r="A6631" s="7">
        <v>237.0</v>
      </c>
      <c r="B6631" s="9" t="s">
        <v>13485</v>
      </c>
      <c r="C6631" s="9" t="s">
        <v>13486</v>
      </c>
      <c r="D6631" s="9" t="s">
        <v>98</v>
      </c>
      <c r="E6631" s="6" t="s">
        <v>13512</v>
      </c>
      <c r="F6631" s="9"/>
    </row>
    <row r="6632" ht="33.75" customHeight="1">
      <c r="A6632" s="7">
        <v>237.0</v>
      </c>
      <c r="B6632" s="9" t="s">
        <v>13485</v>
      </c>
      <c r="C6632" s="9" t="s">
        <v>13486</v>
      </c>
      <c r="D6632" s="9" t="s">
        <v>99</v>
      </c>
      <c r="E6632" s="6" t="s">
        <v>13512</v>
      </c>
      <c r="F6632" s="9"/>
    </row>
    <row r="6633" ht="33.75" customHeight="1">
      <c r="A6633" s="7">
        <v>237.0</v>
      </c>
      <c r="B6633" s="9" t="s">
        <v>13485</v>
      </c>
      <c r="C6633" s="9" t="s">
        <v>13486</v>
      </c>
      <c r="D6633" s="9" t="s">
        <v>101</v>
      </c>
      <c r="E6633" s="6" t="s">
        <v>13512</v>
      </c>
      <c r="F6633" s="9"/>
    </row>
    <row r="6634" ht="33.75" customHeight="1">
      <c r="A6634" s="7">
        <v>237.0</v>
      </c>
      <c r="B6634" s="9" t="s">
        <v>13485</v>
      </c>
      <c r="C6634" s="9" t="s">
        <v>13486</v>
      </c>
      <c r="D6634" s="9" t="s">
        <v>105</v>
      </c>
      <c r="E6634" s="6" t="s">
        <v>13504</v>
      </c>
      <c r="F6634" s="9"/>
    </row>
    <row r="6635" ht="33.75" customHeight="1">
      <c r="A6635" s="7">
        <v>237.0</v>
      </c>
      <c r="B6635" s="9" t="s">
        <v>13485</v>
      </c>
      <c r="C6635" s="9" t="s">
        <v>13486</v>
      </c>
      <c r="D6635" s="9" t="s">
        <v>107</v>
      </c>
      <c r="E6635" s="6" t="s">
        <v>13519</v>
      </c>
      <c r="F6635" s="9"/>
    </row>
    <row r="6636" ht="33.75" customHeight="1">
      <c r="A6636" s="7">
        <v>237.0</v>
      </c>
      <c r="B6636" s="9" t="s">
        <v>13485</v>
      </c>
      <c r="C6636" s="9" t="s">
        <v>13486</v>
      </c>
      <c r="D6636" s="9" t="s">
        <v>109</v>
      </c>
      <c r="E6636" s="6" t="s">
        <v>13519</v>
      </c>
      <c r="F6636" s="9"/>
    </row>
    <row r="6637" ht="33.75" customHeight="1">
      <c r="A6637" s="7">
        <v>237.0</v>
      </c>
      <c r="B6637" s="9" t="s">
        <v>13485</v>
      </c>
      <c r="C6637" s="9" t="s">
        <v>13486</v>
      </c>
      <c r="D6637" s="9" t="s">
        <v>114</v>
      </c>
      <c r="E6637" s="6" t="s">
        <v>13491</v>
      </c>
      <c r="F6637" s="9"/>
    </row>
    <row r="6638" ht="33.75" customHeight="1">
      <c r="A6638" s="7">
        <v>237.0</v>
      </c>
      <c r="B6638" s="9" t="s">
        <v>13485</v>
      </c>
      <c r="C6638" s="9" t="s">
        <v>13486</v>
      </c>
      <c r="D6638" s="9" t="s">
        <v>117</v>
      </c>
      <c r="E6638" s="6" t="s">
        <v>13525</v>
      </c>
      <c r="F6638" s="9"/>
    </row>
    <row r="6639" ht="33.75" customHeight="1">
      <c r="A6639" s="7">
        <v>238.0</v>
      </c>
      <c r="B6639" s="9" t="s">
        <v>13527</v>
      </c>
      <c r="C6639" s="9" t="s">
        <v>13528</v>
      </c>
      <c r="D6639" s="9" t="s">
        <v>52</v>
      </c>
      <c r="E6639" s="6" t="s">
        <v>13530</v>
      </c>
      <c r="F6639" t="inlineStr" s="10">
        <is>
          <t xml:space="preserve">Smoochumin huulet ovat sen kehon herkimmät osat. Se tutkii asioita aina ensin huulillaan. Se keinuttelee aina päätään hitaasti eteen- ja taaksepäin, ikään kuin yrittäisi suudella jotakuta. Sen huulten herkkyys kehittyy nopeimmin. Se käyttää niitä yrittäessään tunnistaa tuntemattomia esineitä. SMOOCHUM juoksee aktiivisesti ympäriinsä, mutta kaatuu myös melko usein. Aina kun tilaisuus koittaa, se etsii heijastustaan ​​varmistaakseen, etteivät sen kasvot ole likaantuneet. Se juoksee aktiivisesti ympäriinsä, mutta kaatuu myös usein. Kaatuessaan se tarkistaa heijastustaan ​​järven pinnasta varmistaakseen, ettei sen pinta ole likaantunut. Se keinuttelee päätään hitaasti edestakaisin, ikään kuin yrittäisi suudella jotakuta. Se testaa kaiken koskettamalla huulillaan, jotka muistavat, mistä se pitää ja mistä ei. Sen huulet ovat sen kehon herkin osa. Se tutkii aina ensin huuliaan. Aina kun tilaisuus koittaa, se etsii peilikuvaansa varmistaakseen, ettei sen kasvot ole likaantuneet. Kun se tutkii esineitä, se koskettaa niitä ensin huulillaan ennen kuin koskettaa niitä käsillään ja nuolee sitten ahkerasti kaiken lian huuliltaan. Smoochumin erittäin herkät aistimet pitävät huulet kosteina käyttämällä niille päivittäin puunmahlaa. Jos sen kasvot likaantuvat vähänkään, Smoochum kylpee välittömästi. Mutta jos sen ruumis likaantuu, Smoochum ei oikein näytä välittävän. Tämä on hyvin utelias Pokémon. Smoochum päättää, mistä se pitää ja mistä ei, koskettamalla esineitä huulillaan.</t>
        </is>
      </c>
    </row>
    <row r="6640" ht="33.75" customHeight="1">
      <c r="A6640" s="7">
        <v>238.0</v>
      </c>
      <c r="B6640" s="9" t="s">
        <v>13527</v>
      </c>
      <c r="C6640" s="9" t="s">
        <v>13528</v>
      </c>
      <c r="D6640" s="9" t="s">
        <v>59</v>
      </c>
      <c r="E6640" s="6" t="s">
        <v>13533</v>
      </c>
      <c r="F6640" s="9"/>
    </row>
    <row r="6641" ht="33.75" customHeight="1">
      <c r="A6641" s="7">
        <v>238.0</v>
      </c>
      <c r="B6641" s="9" t="s">
        <v>13527</v>
      </c>
      <c r="C6641" s="9" t="s">
        <v>13528</v>
      </c>
      <c r="D6641" s="9" t="s">
        <v>64</v>
      </c>
      <c r="E6641" s="6" t="s">
        <v>13537</v>
      </c>
      <c r="F6641" s="9"/>
    </row>
    <row r="6642" ht="33.75" customHeight="1">
      <c r="A6642" s="7">
        <v>238.0</v>
      </c>
      <c r="B6642" s="9" t="s">
        <v>13527</v>
      </c>
      <c r="C6642" s="9" t="s">
        <v>13528</v>
      </c>
      <c r="D6642" s="9" t="s">
        <v>67</v>
      </c>
      <c r="E6642" s="6" t="s">
        <v>13541</v>
      </c>
      <c r="F6642" s="9"/>
    </row>
    <row r="6643" ht="33.75" customHeight="1">
      <c r="A6643" s="7">
        <v>238.0</v>
      </c>
      <c r="B6643" s="9" t="s">
        <v>13527</v>
      </c>
      <c r="C6643" s="9" t="s">
        <v>13528</v>
      </c>
      <c r="D6643" s="9" t="s">
        <v>71</v>
      </c>
      <c r="E6643" s="6" t="s">
        <v>13541</v>
      </c>
      <c r="F6643" s="9"/>
    </row>
    <row r="6644" ht="33.75" customHeight="1">
      <c r="A6644" s="7">
        <v>238.0</v>
      </c>
      <c r="B6644" s="9" t="s">
        <v>13527</v>
      </c>
      <c r="C6644" s="9" t="s">
        <v>13528</v>
      </c>
      <c r="D6644" s="9" t="s">
        <v>73</v>
      </c>
      <c r="E6644" s="6" t="s">
        <v>13548</v>
      </c>
      <c r="F6644" s="9"/>
    </row>
    <row r="6645" ht="33.75" customHeight="1">
      <c r="A6645" s="7">
        <v>238.0</v>
      </c>
      <c r="B6645" s="9" t="s">
        <v>13527</v>
      </c>
      <c r="C6645" s="9" t="s">
        <v>13528</v>
      </c>
      <c r="D6645" s="9" t="s">
        <v>75</v>
      </c>
      <c r="E6645" s="6" t="s">
        <v>13550</v>
      </c>
      <c r="F6645" s="9"/>
    </row>
    <row r="6646" ht="33.75" customHeight="1">
      <c r="A6646" s="7">
        <v>238.0</v>
      </c>
      <c r="B6646" s="9" t="s">
        <v>13527</v>
      </c>
      <c r="C6646" s="9" t="s">
        <v>13528</v>
      </c>
      <c r="D6646" s="9" t="s">
        <v>79</v>
      </c>
      <c r="E6646" s="6" t="s">
        <v>13530</v>
      </c>
      <c r="F6646" s="9"/>
    </row>
    <row r="6647" ht="33.75" customHeight="1">
      <c r="A6647" s="7">
        <v>238.0</v>
      </c>
      <c r="B6647" s="9" t="s">
        <v>13527</v>
      </c>
      <c r="C6647" s="9" t="s">
        <v>13528</v>
      </c>
      <c r="D6647" s="9" t="s">
        <v>81</v>
      </c>
      <c r="E6647" s="6" t="s">
        <v>13553</v>
      </c>
      <c r="F6647" s="9"/>
    </row>
    <row r="6648" ht="33.75" customHeight="1">
      <c r="A6648" s="7">
        <v>238.0</v>
      </c>
      <c r="B6648" s="9" t="s">
        <v>13527</v>
      </c>
      <c r="C6648" s="9" t="s">
        <v>13528</v>
      </c>
      <c r="D6648" s="9" t="s">
        <v>84</v>
      </c>
      <c r="E6648" s="6" t="s">
        <v>13553</v>
      </c>
      <c r="F6648" s="9"/>
    </row>
    <row r="6649" ht="33.75" customHeight="1">
      <c r="A6649" s="7">
        <v>238.0</v>
      </c>
      <c r="B6649" s="9" t="s">
        <v>13527</v>
      </c>
      <c r="C6649" s="9" t="s">
        <v>13528</v>
      </c>
      <c r="D6649" s="9" t="s">
        <v>87</v>
      </c>
      <c r="E6649" s="6" t="s">
        <v>13553</v>
      </c>
      <c r="F6649" s="9"/>
    </row>
    <row r="6650" ht="33.75" customHeight="1">
      <c r="A6650" s="7">
        <v>238.0</v>
      </c>
      <c r="B6650" s="9" t="s">
        <v>13527</v>
      </c>
      <c r="C6650" s="9" t="s">
        <v>13528</v>
      </c>
      <c r="D6650" s="9" t="s">
        <v>89</v>
      </c>
      <c r="E6650" s="6" t="s">
        <v>13558</v>
      </c>
      <c r="F6650" s="9"/>
    </row>
    <row r="6651" ht="33.75" customHeight="1">
      <c r="A6651" s="7">
        <v>238.0</v>
      </c>
      <c r="B6651" s="9" t="s">
        <v>13527</v>
      </c>
      <c r="C6651" s="9" t="s">
        <v>13528</v>
      </c>
      <c r="D6651" s="9" t="s">
        <v>91</v>
      </c>
      <c r="E6651" s="6" t="s">
        <v>13550</v>
      </c>
      <c r="F6651" s="9"/>
    </row>
    <row r="6652" ht="33.75" customHeight="1">
      <c r="A6652" s="7">
        <v>238.0</v>
      </c>
      <c r="B6652" s="9" t="s">
        <v>13527</v>
      </c>
      <c r="C6652" s="9" t="s">
        <v>13528</v>
      </c>
      <c r="D6652" s="9" t="s">
        <v>93</v>
      </c>
      <c r="E6652" s="6" t="s">
        <v>13553</v>
      </c>
      <c r="F6652" s="9"/>
    </row>
    <row r="6653" ht="33.75" customHeight="1">
      <c r="A6653" s="7">
        <v>238.0</v>
      </c>
      <c r="B6653" s="9" t="s">
        <v>13527</v>
      </c>
      <c r="C6653" s="9" t="s">
        <v>13528</v>
      </c>
      <c r="D6653" s="9" t="s">
        <v>95</v>
      </c>
      <c r="E6653" s="6" t="s">
        <v>13553</v>
      </c>
      <c r="F6653" s="9"/>
    </row>
    <row r="6654" ht="33.75" customHeight="1">
      <c r="A6654" s="7">
        <v>238.0</v>
      </c>
      <c r="B6654" s="9" t="s">
        <v>13527</v>
      </c>
      <c r="C6654" s="9" t="s">
        <v>13528</v>
      </c>
      <c r="D6654" s="9" t="s">
        <v>98</v>
      </c>
      <c r="E6654" s="6" t="s">
        <v>13553</v>
      </c>
      <c r="F6654" s="9"/>
    </row>
    <row r="6655" ht="33.75" customHeight="1">
      <c r="A6655" s="7">
        <v>238.0</v>
      </c>
      <c r="B6655" s="9" t="s">
        <v>13527</v>
      </c>
      <c r="C6655" s="9" t="s">
        <v>13528</v>
      </c>
      <c r="D6655" s="9" t="s">
        <v>99</v>
      </c>
      <c r="E6655" s="6" t="s">
        <v>13553</v>
      </c>
      <c r="F6655" s="9"/>
    </row>
    <row r="6656" ht="33.75" customHeight="1">
      <c r="A6656" s="7">
        <v>238.0</v>
      </c>
      <c r="B6656" s="9" t="s">
        <v>13527</v>
      </c>
      <c r="C6656" s="9" t="s">
        <v>13528</v>
      </c>
      <c r="D6656" s="9" t="s">
        <v>101</v>
      </c>
      <c r="E6656" s="6" t="s">
        <v>13558</v>
      </c>
      <c r="F6656" s="9"/>
    </row>
    <row r="6657" ht="33.75" customHeight="1">
      <c r="A6657" s="7">
        <v>238.0</v>
      </c>
      <c r="B6657" s="9" t="s">
        <v>13527</v>
      </c>
      <c r="C6657" s="9" t="s">
        <v>13528</v>
      </c>
      <c r="D6657" s="9" t="s">
        <v>105</v>
      </c>
      <c r="E6657" s="6" t="s">
        <v>13553</v>
      </c>
      <c r="F6657" s="9"/>
    </row>
    <row r="6658" ht="33.75" customHeight="1">
      <c r="A6658" s="7">
        <v>238.0</v>
      </c>
      <c r="B6658" s="9" t="s">
        <v>13527</v>
      </c>
      <c r="C6658" s="9" t="s">
        <v>13528</v>
      </c>
      <c r="D6658" s="9" t="s">
        <v>107</v>
      </c>
      <c r="E6658" s="6" t="s">
        <v>13562</v>
      </c>
      <c r="F6658" s="9"/>
    </row>
    <row r="6659" ht="33.75" customHeight="1">
      <c r="A6659" s="7">
        <v>238.0</v>
      </c>
      <c r="B6659" s="9" t="s">
        <v>13527</v>
      </c>
      <c r="C6659" s="9" t="s">
        <v>13528</v>
      </c>
      <c r="D6659" s="9" t="s">
        <v>109</v>
      </c>
      <c r="E6659" s="6" t="s">
        <v>13562</v>
      </c>
      <c r="F6659" s="9"/>
    </row>
    <row r="6660" ht="33.75" customHeight="1">
      <c r="A6660" s="7">
        <v>238.0</v>
      </c>
      <c r="B6660" s="9" t="s">
        <v>13527</v>
      </c>
      <c r="C6660" s="9" t="s">
        <v>13528</v>
      </c>
      <c r="D6660" s="9" t="s">
        <v>647</v>
      </c>
      <c r="E6660" s="6" t="s">
        <v>13563</v>
      </c>
      <c r="F6660" s="9"/>
    </row>
    <row r="6661" ht="33.75" customHeight="1">
      <c r="A6661" s="7">
        <v>238.0</v>
      </c>
      <c r="B6661" s="9" t="s">
        <v>13527</v>
      </c>
      <c r="C6661" s="9" t="s">
        <v>13528</v>
      </c>
      <c r="D6661" s="9" t="s">
        <v>652</v>
      </c>
      <c r="E6661" s="6" t="s">
        <v>13564</v>
      </c>
      <c r="F6661" s="9"/>
    </row>
    <row r="6662" ht="33.75" customHeight="1">
      <c r="A6662" s="7">
        <v>238.0</v>
      </c>
      <c r="B6662" s="9" t="s">
        <v>13527</v>
      </c>
      <c r="C6662" s="9" t="s">
        <v>13528</v>
      </c>
      <c r="D6662" s="9" t="s">
        <v>114</v>
      </c>
      <c r="E6662" s="6" t="s">
        <v>13565</v>
      </c>
      <c r="F6662" s="9"/>
    </row>
    <row r="6663" ht="33.75" customHeight="1">
      <c r="A6663" s="7">
        <v>238.0</v>
      </c>
      <c r="B6663" s="9" t="s">
        <v>13527</v>
      </c>
      <c r="C6663" s="9" t="s">
        <v>13528</v>
      </c>
      <c r="D6663" s="9" t="s">
        <v>117</v>
      </c>
      <c r="E6663" s="6" t="s">
        <v>13566</v>
      </c>
      <c r="F6663" s="9"/>
    </row>
    <row r="6664" ht="33.75" customHeight="1">
      <c r="A6664" s="7">
        <v>239.0</v>
      </c>
      <c r="B6664" s="9" t="s">
        <v>13567</v>
      </c>
      <c r="C6664" s="9" t="s">
        <v>7866</v>
      </c>
      <c r="D6664" s="9" t="s">
        <v>52</v>
      </c>
      <c r="E6664" s="6" t="s">
        <v>13568</v>
      </c>
      <c r="F6664" t="inlineStr" s="10">
        <is>
          <t xml:space="preserve">Elekid pyörittää käsivarsiaan tuottaakseen sähköä, mutta väsyy helposti, joten se latautuu vain vähän. Tämä POKéMON pelaa iloisesti jopa rajuimmassa myrskyssä, jos ukkonen jylisee taivaalla. Se rakastaa rajua ukkosta. Sen sarvien välinen tila välkkyy sinertävänvalkoisena, kun se latautuu energialla. ELEKID varastoi sähköä kehoonsa. Jos se koskettaa metallia ja vahingossa purkaa kaiken kertyneen sähkövarauksensa, tämä POKéMON alkaa heilutella käsiään ympyrää latautuakseen. Jos se koskettaa metallia ja purkaa kehoonsa varastoiman sähkön, ELEKID alkaa heilutella käsiään ympyrää latautuakseen. Se tuottaa sähköä pyörittämällä käsivarsiaan. Se ei kuitenkaan pysty varastoimaan tuottamaansa energiaa. Heikko sähkövirta kulkee sen sarvien välissä. Käden työntäminen sinne sähköiskuttaa varomatonta. Se pyörittää käsivarsiaan sähkön tuottamiseksi, mutta väsyy helposti, joten se latautuu vain vähän. Tämä Pokémon leikkii iloisesti jopa ankarimmassa myrskyssä, jos ukkonen jylisee taivaalla. Käsien pyörittäminen sähkön tuottamiseksi saa sen sarvien välisen alueen hohtamaan vaaleansinisenä. Kun se on talossa, pistorasiat toimivat sen tuttipulloina. Se imee sähköä. Tämä Pokémon taistelee jatkuvasti Togedemarua vastaan, joka yrittää varastaa sen sähkön. Ottelu on melko tasainen. Kun Elekid kuulee ukkosen jyrinän, sen mieliala paranee. Äänen tallentamisesta ja sen soittamisesta voi olla hyötyä, kun Elekid on alakuloinen. Kun sen sarvet loistavat sinertävän valkoisina, se on merkki siitä, että se on täysin latautunut. Saat järkyttävän tärinän, jos kosket sitä! Myrskyn lähestyessä tämä Pokémon levottomaksi muuttuu. Kuultuaan ukkosen jylinän Elekidistä tulee täysi riehakas. Se ei ole vielä hyvä varastoimaan sähköä. Tämä Pokémon hiipii ihmisten koteihin etsien pistorasioita, joista syödä sähköä. Ne tuottavat sähköä pyörittämällä käsiään. Jos ukkosmyrskyn aikana kuulee erämaassa lasten eloisia ääniä, kuulee itse asiassa Elekidin ääniä.</t>
        </is>
      </c>
    </row>
    <row r="6665" ht="33.75" customHeight="1">
      <c r="A6665" s="7">
        <v>239.0</v>
      </c>
      <c r="B6665" s="9" t="s">
        <v>13567</v>
      </c>
      <c r="C6665" s="9" t="s">
        <v>7866</v>
      </c>
      <c r="D6665" s="9" t="s">
        <v>59</v>
      </c>
      <c r="E6665" s="6" t="s">
        <v>13569</v>
      </c>
      <c r="F6665" s="9"/>
    </row>
    <row r="6666" ht="33.75" customHeight="1">
      <c r="A6666" s="7">
        <v>239.0</v>
      </c>
      <c r="B6666" s="9" t="s">
        <v>13567</v>
      </c>
      <c r="C6666" s="9" t="s">
        <v>7866</v>
      </c>
      <c r="D6666" s="9" t="s">
        <v>64</v>
      </c>
      <c r="E6666" s="6" t="s">
        <v>13570</v>
      </c>
      <c r="F6666" s="9"/>
    </row>
    <row r="6667" ht="33.75" customHeight="1">
      <c r="A6667" s="7">
        <v>239.0</v>
      </c>
      <c r="B6667" s="9" t="s">
        <v>13567</v>
      </c>
      <c r="C6667" s="9" t="s">
        <v>7866</v>
      </c>
      <c r="D6667" s="9" t="s">
        <v>67</v>
      </c>
      <c r="E6667" s="6" t="s">
        <v>13571</v>
      </c>
      <c r="F6667" s="9"/>
    </row>
    <row r="6668" ht="33.75" customHeight="1">
      <c r="A6668" s="7">
        <v>239.0</v>
      </c>
      <c r="B6668" s="9" t="s">
        <v>13567</v>
      </c>
      <c r="C6668" s="9" t="s">
        <v>7866</v>
      </c>
      <c r="D6668" s="9" t="s">
        <v>71</v>
      </c>
      <c r="E6668" s="6" t="s">
        <v>13571</v>
      </c>
      <c r="F6668" s="9"/>
    </row>
    <row r="6669" ht="33.75" customHeight="1">
      <c r="A6669" s="7">
        <v>239.0</v>
      </c>
      <c r="B6669" s="9" t="s">
        <v>13567</v>
      </c>
      <c r="C6669" s="9" t="s">
        <v>7866</v>
      </c>
      <c r="D6669" s="9" t="s">
        <v>73</v>
      </c>
      <c r="E6669" s="6" t="s">
        <v>13572</v>
      </c>
      <c r="F6669" s="9"/>
    </row>
    <row r="6670" ht="33.75" customHeight="1">
      <c r="A6670" s="7">
        <v>239.0</v>
      </c>
      <c r="B6670" s="9" t="s">
        <v>13567</v>
      </c>
      <c r="C6670" s="9" t="s">
        <v>7866</v>
      </c>
      <c r="D6670" s="9" t="s">
        <v>75</v>
      </c>
      <c r="E6670" s="6" t="s">
        <v>13569</v>
      </c>
      <c r="F6670" s="9"/>
    </row>
    <row r="6671" ht="33.75" customHeight="1">
      <c r="A6671" s="7">
        <v>239.0</v>
      </c>
      <c r="B6671" s="9" t="s">
        <v>13567</v>
      </c>
      <c r="C6671" s="9" t="s">
        <v>7866</v>
      </c>
      <c r="D6671" s="9" t="s">
        <v>79</v>
      </c>
      <c r="E6671" s="6" t="s">
        <v>13568</v>
      </c>
      <c r="F6671" s="9"/>
    </row>
    <row r="6672" ht="33.75" customHeight="1">
      <c r="A6672" s="7">
        <v>239.0</v>
      </c>
      <c r="B6672" s="9" t="s">
        <v>13567</v>
      </c>
      <c r="C6672" s="9" t="s">
        <v>7866</v>
      </c>
      <c r="D6672" s="9" t="s">
        <v>81</v>
      </c>
      <c r="E6672" s="6" t="s">
        <v>13573</v>
      </c>
      <c r="F6672" s="9"/>
    </row>
    <row r="6673" ht="33.75" customHeight="1">
      <c r="A6673" s="7">
        <v>239.0</v>
      </c>
      <c r="B6673" s="9" t="s">
        <v>13567</v>
      </c>
      <c r="C6673" s="9" t="s">
        <v>7866</v>
      </c>
      <c r="D6673" s="9" t="s">
        <v>84</v>
      </c>
      <c r="E6673" s="6" t="s">
        <v>13573</v>
      </c>
      <c r="F6673" s="9"/>
    </row>
    <row r="6674" ht="33.75" customHeight="1">
      <c r="A6674" s="7">
        <v>239.0</v>
      </c>
      <c r="B6674" s="9" t="s">
        <v>13567</v>
      </c>
      <c r="C6674" s="9" t="s">
        <v>7866</v>
      </c>
      <c r="D6674" s="9" t="s">
        <v>87</v>
      </c>
      <c r="E6674" s="6" t="s">
        <v>13574</v>
      </c>
      <c r="F6674" s="9"/>
    </row>
    <row r="6675" ht="33.75" customHeight="1">
      <c r="A6675" s="7">
        <v>239.0</v>
      </c>
      <c r="B6675" s="9" t="s">
        <v>13567</v>
      </c>
      <c r="C6675" s="9" t="s">
        <v>7866</v>
      </c>
      <c r="D6675" s="9" t="s">
        <v>89</v>
      </c>
      <c r="E6675" s="6" t="s">
        <v>13575</v>
      </c>
      <c r="F6675" s="9"/>
    </row>
    <row r="6676" ht="33.75" customHeight="1">
      <c r="A6676" s="7">
        <v>239.0</v>
      </c>
      <c r="B6676" s="9" t="s">
        <v>13567</v>
      </c>
      <c r="C6676" s="9" t="s">
        <v>7866</v>
      </c>
      <c r="D6676" s="9" t="s">
        <v>91</v>
      </c>
      <c r="E6676" s="6" t="s">
        <v>13576</v>
      </c>
      <c r="F6676" s="9"/>
    </row>
    <row r="6677" ht="33.75" customHeight="1">
      <c r="A6677" s="7">
        <v>239.0</v>
      </c>
      <c r="B6677" s="9" t="s">
        <v>13567</v>
      </c>
      <c r="C6677" s="9" t="s">
        <v>7866</v>
      </c>
      <c r="D6677" s="9" t="s">
        <v>93</v>
      </c>
      <c r="E6677" s="6" t="s">
        <v>13574</v>
      </c>
      <c r="F6677" s="9"/>
    </row>
    <row r="6678" ht="33.75" customHeight="1">
      <c r="A6678" s="7">
        <v>239.0</v>
      </c>
      <c r="B6678" s="9" t="s">
        <v>13567</v>
      </c>
      <c r="C6678" s="9" t="s">
        <v>7866</v>
      </c>
      <c r="D6678" s="9" t="s">
        <v>95</v>
      </c>
      <c r="E6678" s="6" t="s">
        <v>13574</v>
      </c>
      <c r="F6678" s="9"/>
    </row>
    <row r="6679" ht="33.75" customHeight="1">
      <c r="A6679" s="7">
        <v>239.0</v>
      </c>
      <c r="B6679" s="9" t="s">
        <v>13567</v>
      </c>
      <c r="C6679" s="9" t="s">
        <v>7866</v>
      </c>
      <c r="D6679" s="9" t="s">
        <v>98</v>
      </c>
      <c r="E6679" s="6" t="s">
        <v>13578</v>
      </c>
      <c r="F6679" s="9"/>
    </row>
    <row r="6680" ht="33.75" customHeight="1">
      <c r="A6680" s="7">
        <v>239.0</v>
      </c>
      <c r="B6680" s="9" t="s">
        <v>13567</v>
      </c>
      <c r="C6680" s="9" t="s">
        <v>7866</v>
      </c>
      <c r="D6680" s="9" t="s">
        <v>99</v>
      </c>
      <c r="E6680" s="6" t="s">
        <v>13578</v>
      </c>
      <c r="F6680" s="9"/>
    </row>
    <row r="6681" ht="33.75" customHeight="1">
      <c r="A6681" s="7">
        <v>239.0</v>
      </c>
      <c r="B6681" s="9" t="s">
        <v>13567</v>
      </c>
      <c r="C6681" s="9" t="s">
        <v>7866</v>
      </c>
      <c r="D6681" s="9" t="s">
        <v>101</v>
      </c>
      <c r="E6681" s="6" t="s">
        <v>13573</v>
      </c>
      <c r="F6681" s="9"/>
    </row>
    <row r="6682" ht="33.75" customHeight="1">
      <c r="A6682" s="7">
        <v>239.0</v>
      </c>
      <c r="B6682" s="9" t="s">
        <v>13567</v>
      </c>
      <c r="C6682" s="9" t="s">
        <v>7866</v>
      </c>
      <c r="D6682" s="9" t="s">
        <v>105</v>
      </c>
      <c r="E6682" s="6" t="s">
        <v>13578</v>
      </c>
      <c r="F6682" s="9"/>
    </row>
    <row r="6683" ht="33.75" customHeight="1">
      <c r="A6683" s="7">
        <v>239.0</v>
      </c>
      <c r="B6683" s="9" t="s">
        <v>13567</v>
      </c>
      <c r="C6683" s="9" t="s">
        <v>7866</v>
      </c>
      <c r="D6683" s="9" t="s">
        <v>107</v>
      </c>
      <c r="E6683" s="6" t="s">
        <v>13579</v>
      </c>
      <c r="F6683" s="9"/>
    </row>
    <row r="6684" ht="33.75" customHeight="1">
      <c r="A6684" s="7">
        <v>239.0</v>
      </c>
      <c r="B6684" s="9" t="s">
        <v>13567</v>
      </c>
      <c r="C6684" s="9" t="s">
        <v>7866</v>
      </c>
      <c r="D6684" s="9" t="s">
        <v>109</v>
      </c>
      <c r="E6684" s="6" t="s">
        <v>13579</v>
      </c>
      <c r="F6684" s="9"/>
    </row>
    <row r="6685" ht="33.75" customHeight="1">
      <c r="A6685" s="7">
        <v>239.0</v>
      </c>
      <c r="B6685" s="9" t="s">
        <v>13567</v>
      </c>
      <c r="C6685" s="9" t="s">
        <v>7866</v>
      </c>
      <c r="D6685" s="9" t="s">
        <v>637</v>
      </c>
      <c r="E6685" s="6" t="s">
        <v>13580</v>
      </c>
      <c r="F6685" s="9"/>
    </row>
    <row r="6686" ht="33.75" customHeight="1">
      <c r="A6686" s="7">
        <v>239.0</v>
      </c>
      <c r="B6686" s="9" t="s">
        <v>13567</v>
      </c>
      <c r="C6686" s="9" t="s">
        <v>7866</v>
      </c>
      <c r="D6686" s="9" t="s">
        <v>642</v>
      </c>
      <c r="E6686" s="6" t="s">
        <v>13581</v>
      </c>
      <c r="F6686" s="9"/>
    </row>
    <row r="6687" ht="33.75" customHeight="1">
      <c r="A6687" s="7">
        <v>239.0</v>
      </c>
      <c r="B6687" s="9" t="s">
        <v>13567</v>
      </c>
      <c r="C6687" s="9" t="s">
        <v>7866</v>
      </c>
      <c r="D6687" s="9" t="s">
        <v>647</v>
      </c>
      <c r="E6687" s="6" t="s">
        <v>13582</v>
      </c>
      <c r="F6687" s="9"/>
    </row>
    <row r="6688" ht="33.75" customHeight="1">
      <c r="A6688" s="7">
        <v>239.0</v>
      </c>
      <c r="B6688" s="9" t="s">
        <v>13567</v>
      </c>
      <c r="C6688" s="9" t="s">
        <v>7866</v>
      </c>
      <c r="D6688" s="9" t="s">
        <v>652</v>
      </c>
      <c r="E6688" s="6" t="s">
        <v>13583</v>
      </c>
      <c r="F6688" s="9"/>
    </row>
    <row r="6689" ht="33.75" customHeight="1">
      <c r="A6689" s="7">
        <v>239.0</v>
      </c>
      <c r="B6689" s="9" t="s">
        <v>13567</v>
      </c>
      <c r="C6689" s="9" t="s">
        <v>7866</v>
      </c>
      <c r="D6689" s="9" t="s">
        <v>114</v>
      </c>
      <c r="E6689" s="6" t="s">
        <v>13584</v>
      </c>
      <c r="F6689" s="9"/>
    </row>
    <row r="6690" ht="33.75" customHeight="1">
      <c r="A6690" s="7">
        <v>239.0</v>
      </c>
      <c r="B6690" s="9" t="s">
        <v>13567</v>
      </c>
      <c r="C6690" s="9" t="s">
        <v>7866</v>
      </c>
      <c r="D6690" s="9" t="s">
        <v>117</v>
      </c>
      <c r="E6690" s="6" t="s">
        <v>13585</v>
      </c>
      <c r="F6690" s="9"/>
    </row>
    <row r="6691" ht="33.75" customHeight="1">
      <c r="A6691" s="7">
        <v>239.0</v>
      </c>
      <c r="B6691" s="9" t="s">
        <v>13567</v>
      </c>
      <c r="C6691" s="9" t="s">
        <v>7866</v>
      </c>
      <c r="D6691" s="9" t="s">
        <v>1577</v>
      </c>
      <c r="E6691" s="6" t="s">
        <v>13586</v>
      </c>
      <c r="F6691" s="9"/>
    </row>
    <row r="6692" ht="33.75" customHeight="1">
      <c r="A6692" s="7">
        <v>240.0</v>
      </c>
      <c r="B6692" s="9" t="s">
        <v>13587</v>
      </c>
      <c r="C6692" s="9" t="s">
        <v>13588</v>
      </c>
      <c r="D6692" s="9" t="s">
        <v>52</v>
      </c>
      <c r="E6692" s="6" t="s">
        <v>13589</v>
      </c>
      <c r="F6692" t="inlineStr" s="10">
        <is>
          <t xml:space="preserve">Joka kerta sisään- ja uloshengittäessään Magbyn suusta ja sieraimista valuu kuumia hiiliä. Sitä tavataan tulivuoren kraattereissa. Sen ruumiinlämpötila on yli 1100 astetta, joten älä aliarvioi sitä. Se sylkee luonnostaan ​​1100-asteisen liekin. Sanotaan, että kun niitä ilmestyy paljon, se enteilee tulivuorenpurkausta. MAGBY:n terveydentila määritetään tarkkailemalla sen hengittämää tulta. Jos POKéMON syöksee suustaan ​​keltaisia ​​liekkejä, se on hyvässä kunnossa. Kun se on väsynyt, liekkeihin sekoittuu mustaa savua. Jos MAGBY syöksee suustaan ​​keltaisia ​​liekkejä, se on hyvässä kunnossa. Sen ruumiinlämpö ylittää 450 celsiusastetta, joten älä aliarvioi sitä. Sen ruumiinlämpö on noin 500 celsiusastetta. Se on terve, jos se hengittää keltaisia ​​liekkejä. Sen magmamainen veri kiertää koko kehossa. Sen ruumiinlämpö voi nousta yli 500 celsiusasteen. Sen ruumiinlämpö on yli 450 celsiusastetta, joten älä aliarvioi sitä. Se on pieni, mutta sen ruumiinlämpö on yli 500 celsiusastetta. Hiillos pääsee sen suusta ja nenästä hengittäessä. Hiillos pääsee sen suusta ja sieraimesta hengittäessä. Sen ruumiinlämpö voi nousta yli 500 celsiusasteeseen. Magbyn terveydentila määritetään tarkkailemalla sen hengittämää tulta. Monet näistä Pokémoneista näkyvät alueilla, joilla on vulkaanista toimintaa. Ruokinta voi saada ne niin innostumaan, että ne puhaltavat 1 100 Fahrenheit-asteen liekkejä. Kuuluisa savenvalaja asuu Magbyn kanssa. Ilmeisesti sen pehmeät liekit tuottavat hienoja teoksia. Kun sen nenästä tippuu liekkejä, se tarkoittaa, että sillä on flunssa. Anna sen levätä mukavasti magmassa. Sen ruumiinlämpö on aina noin 500 celsiusastetta. Jos Magby putoaa riittävän pieneen lampeen, koko lampi kuivuu. Tämä Pokémon on vielä pieni ja arka. Aina kun Magby innostuu tai yllättyy, sen suusta ja nenästä purkautuu liekkejä. Tämä Pokémon asuu tulivuorten lähellä. Päivän päätteeksi Magby nauttii magmasta leväten ja toipuen päivän väsymyksestä. Tämä Pokémon elää tulivuorialueilla. Jokaisella hengityksellä sen suusta ja nenästä sinkoutuu kipinöitä. Kun Magby on hyvässä kunnossa, sen liekit saavat keltaisen sävyn.</t>
        </is>
      </c>
    </row>
    <row r="6693" ht="33.75" customHeight="1">
      <c r="A6693" s="7">
        <v>240.0</v>
      </c>
      <c r="B6693" s="9" t="s">
        <v>13587</v>
      </c>
      <c r="C6693" s="9" t="s">
        <v>13588</v>
      </c>
      <c r="D6693" s="9" t="s">
        <v>59</v>
      </c>
      <c r="E6693" s="6" t="s">
        <v>13590</v>
      </c>
      <c r="F6693" s="9"/>
    </row>
    <row r="6694" ht="33.75" customHeight="1">
      <c r="A6694" s="7">
        <v>240.0</v>
      </c>
      <c r="B6694" s="9" t="s">
        <v>13587</v>
      </c>
      <c r="C6694" s="9" t="s">
        <v>13588</v>
      </c>
      <c r="D6694" s="9" t="s">
        <v>64</v>
      </c>
      <c r="E6694" s="6" t="s">
        <v>13591</v>
      </c>
      <c r="F6694" s="9"/>
    </row>
    <row r="6695" ht="33.75" customHeight="1">
      <c r="A6695" s="7">
        <v>240.0</v>
      </c>
      <c r="B6695" s="9" t="s">
        <v>13587</v>
      </c>
      <c r="C6695" s="9" t="s">
        <v>13588</v>
      </c>
      <c r="D6695" s="9" t="s">
        <v>67</v>
      </c>
      <c r="E6695" s="6" t="s">
        <v>13592</v>
      </c>
      <c r="F6695" s="9"/>
    </row>
    <row r="6696" ht="33.75" customHeight="1">
      <c r="A6696" s="7">
        <v>240.0</v>
      </c>
      <c r="B6696" s="9" t="s">
        <v>13587</v>
      </c>
      <c r="C6696" s="9" t="s">
        <v>13588</v>
      </c>
      <c r="D6696" s="9" t="s">
        <v>71</v>
      </c>
      <c r="E6696" s="6" t="s">
        <v>13592</v>
      </c>
      <c r="F6696" s="9"/>
    </row>
    <row r="6697" ht="33.75" customHeight="1">
      <c r="A6697" s="7">
        <v>240.0</v>
      </c>
      <c r="B6697" s="9" t="s">
        <v>13587</v>
      </c>
      <c r="C6697" s="9" t="s">
        <v>13588</v>
      </c>
      <c r="D6697" s="9" t="s">
        <v>73</v>
      </c>
      <c r="E6697" s="6" t="s">
        <v>13594</v>
      </c>
      <c r="F6697" s="9"/>
    </row>
    <row r="6698" ht="33.75" customHeight="1">
      <c r="A6698" s="7">
        <v>240.0</v>
      </c>
      <c r="B6698" s="9" t="s">
        <v>13587</v>
      </c>
      <c r="C6698" s="9" t="s">
        <v>13588</v>
      </c>
      <c r="D6698" s="9" t="s">
        <v>75</v>
      </c>
      <c r="E6698" s="6" t="s">
        <v>13595</v>
      </c>
      <c r="F6698" s="9"/>
    </row>
    <row r="6699" ht="33.75" customHeight="1">
      <c r="A6699" s="7">
        <v>240.0</v>
      </c>
      <c r="B6699" s="9" t="s">
        <v>13587</v>
      </c>
      <c r="C6699" s="9" t="s">
        <v>13588</v>
      </c>
      <c r="D6699" s="9" t="s">
        <v>79</v>
      </c>
      <c r="E6699" s="6" t="s">
        <v>13589</v>
      </c>
      <c r="F6699" s="9"/>
    </row>
    <row r="6700" ht="33.75" customHeight="1">
      <c r="A6700" s="7">
        <v>240.0</v>
      </c>
      <c r="B6700" s="9" t="s">
        <v>13587</v>
      </c>
      <c r="C6700" s="9" t="s">
        <v>13588</v>
      </c>
      <c r="D6700" s="9" t="s">
        <v>81</v>
      </c>
      <c r="E6700" s="6" t="s">
        <v>13596</v>
      </c>
      <c r="F6700" s="9"/>
    </row>
    <row r="6701" ht="33.75" customHeight="1">
      <c r="A6701" s="7">
        <v>240.0</v>
      </c>
      <c r="B6701" s="9" t="s">
        <v>13587</v>
      </c>
      <c r="C6701" s="9" t="s">
        <v>13588</v>
      </c>
      <c r="D6701" s="9" t="s">
        <v>84</v>
      </c>
      <c r="E6701" s="6" t="s">
        <v>13596</v>
      </c>
      <c r="F6701" s="9"/>
    </row>
    <row r="6702" ht="33.75" customHeight="1">
      <c r="A6702" s="7">
        <v>240.0</v>
      </c>
      <c r="B6702" s="9" t="s">
        <v>13587</v>
      </c>
      <c r="C6702" s="9" t="s">
        <v>13588</v>
      </c>
      <c r="D6702" s="9" t="s">
        <v>87</v>
      </c>
      <c r="E6702" s="6" t="s">
        <v>13597</v>
      </c>
      <c r="F6702" s="9"/>
    </row>
    <row r="6703" ht="33.75" customHeight="1">
      <c r="A6703" s="7">
        <v>240.0</v>
      </c>
      <c r="B6703" s="9" t="s">
        <v>13587</v>
      </c>
      <c r="C6703" s="9" t="s">
        <v>13588</v>
      </c>
      <c r="D6703" s="9" t="s">
        <v>89</v>
      </c>
      <c r="E6703" s="6" t="s">
        <v>13589</v>
      </c>
      <c r="F6703" s="9"/>
    </row>
    <row r="6704" ht="33.75" customHeight="1">
      <c r="A6704" s="7">
        <v>240.0</v>
      </c>
      <c r="B6704" s="9" t="s">
        <v>13587</v>
      </c>
      <c r="C6704" s="9" t="s">
        <v>13588</v>
      </c>
      <c r="D6704" s="9" t="s">
        <v>91</v>
      </c>
      <c r="E6704" s="6" t="s">
        <v>13598</v>
      </c>
      <c r="F6704" s="9"/>
    </row>
    <row r="6705" ht="33.75" customHeight="1">
      <c r="A6705" s="7">
        <v>240.0</v>
      </c>
      <c r="B6705" s="9" t="s">
        <v>13587</v>
      </c>
      <c r="C6705" s="9" t="s">
        <v>13588</v>
      </c>
      <c r="D6705" s="9" t="s">
        <v>93</v>
      </c>
      <c r="E6705" s="6" t="s">
        <v>13597</v>
      </c>
      <c r="F6705" s="9"/>
    </row>
    <row r="6706" ht="33.75" customHeight="1">
      <c r="A6706" s="7">
        <v>240.0</v>
      </c>
      <c r="B6706" s="9" t="s">
        <v>13587</v>
      </c>
      <c r="C6706" s="9" t="s">
        <v>13588</v>
      </c>
      <c r="D6706" s="9" t="s">
        <v>95</v>
      </c>
      <c r="E6706" s="6" t="s">
        <v>13597</v>
      </c>
      <c r="F6706" s="9"/>
    </row>
    <row r="6707" ht="33.75" customHeight="1">
      <c r="A6707" s="7">
        <v>240.0</v>
      </c>
      <c r="B6707" s="9" t="s">
        <v>13587</v>
      </c>
      <c r="C6707" s="9" t="s">
        <v>13588</v>
      </c>
      <c r="D6707" s="9" t="s">
        <v>98</v>
      </c>
      <c r="E6707" s="6" t="s">
        <v>13599</v>
      </c>
      <c r="F6707" s="9"/>
    </row>
    <row r="6708" ht="33.75" customHeight="1">
      <c r="A6708" s="7">
        <v>240.0</v>
      </c>
      <c r="B6708" s="9" t="s">
        <v>13587</v>
      </c>
      <c r="C6708" s="9" t="s">
        <v>13588</v>
      </c>
      <c r="D6708" s="9" t="s">
        <v>99</v>
      </c>
      <c r="E6708" s="6" t="s">
        <v>13599</v>
      </c>
      <c r="F6708" s="9"/>
    </row>
    <row r="6709" ht="33.75" customHeight="1">
      <c r="A6709" s="7">
        <v>240.0</v>
      </c>
      <c r="B6709" s="9" t="s">
        <v>13587</v>
      </c>
      <c r="C6709" s="9" t="s">
        <v>13588</v>
      </c>
      <c r="D6709" s="9" t="s">
        <v>101</v>
      </c>
      <c r="E6709" s="6" t="s">
        <v>13600</v>
      </c>
      <c r="F6709" s="9"/>
    </row>
    <row r="6710" ht="33.75" customHeight="1">
      <c r="A6710" s="7">
        <v>240.0</v>
      </c>
      <c r="B6710" s="9" t="s">
        <v>13587</v>
      </c>
      <c r="C6710" s="9" t="s">
        <v>13588</v>
      </c>
      <c r="D6710" s="9" t="s">
        <v>105</v>
      </c>
      <c r="E6710" s="6" t="s">
        <v>13602</v>
      </c>
      <c r="F6710" s="9"/>
    </row>
    <row r="6711" ht="33.75" customHeight="1">
      <c r="A6711" s="7">
        <v>240.0</v>
      </c>
      <c r="B6711" s="9" t="s">
        <v>13587</v>
      </c>
      <c r="C6711" s="9" t="s">
        <v>13588</v>
      </c>
      <c r="D6711" s="9" t="s">
        <v>107</v>
      </c>
      <c r="E6711" s="6" t="s">
        <v>13603</v>
      </c>
      <c r="F6711" s="9"/>
    </row>
    <row r="6712" ht="33.75" customHeight="1">
      <c r="A6712" s="7">
        <v>240.0</v>
      </c>
      <c r="B6712" s="9" t="s">
        <v>13587</v>
      </c>
      <c r="C6712" s="9" t="s">
        <v>13588</v>
      </c>
      <c r="D6712" s="9" t="s">
        <v>109</v>
      </c>
      <c r="E6712" s="6" t="s">
        <v>13603</v>
      </c>
      <c r="F6712" s="9"/>
    </row>
    <row r="6713" ht="33.75" customHeight="1">
      <c r="A6713" s="7">
        <v>240.0</v>
      </c>
      <c r="B6713" s="9" t="s">
        <v>13587</v>
      </c>
      <c r="C6713" s="9" t="s">
        <v>13588</v>
      </c>
      <c r="D6713" s="9" t="s">
        <v>637</v>
      </c>
      <c r="E6713" s="6" t="s">
        <v>13604</v>
      </c>
      <c r="F6713" s="9"/>
    </row>
    <row r="6714" ht="33.75" customHeight="1">
      <c r="A6714" s="7">
        <v>240.0</v>
      </c>
      <c r="B6714" s="9" t="s">
        <v>13587</v>
      </c>
      <c r="C6714" s="9" t="s">
        <v>13588</v>
      </c>
      <c r="D6714" s="9" t="s">
        <v>642</v>
      </c>
      <c r="E6714" s="6" t="s">
        <v>13605</v>
      </c>
      <c r="F6714" s="9"/>
    </row>
    <row r="6715" ht="33.75" customHeight="1">
      <c r="A6715" s="7">
        <v>240.0</v>
      </c>
      <c r="B6715" s="9" t="s">
        <v>13587</v>
      </c>
      <c r="C6715" s="9" t="s">
        <v>13588</v>
      </c>
      <c r="D6715" s="9" t="s">
        <v>647</v>
      </c>
      <c r="E6715" s="6" t="s">
        <v>13606</v>
      </c>
      <c r="F6715" s="9"/>
    </row>
    <row r="6716" ht="33.75" customHeight="1">
      <c r="A6716" s="7">
        <v>240.0</v>
      </c>
      <c r="B6716" s="9" t="s">
        <v>13587</v>
      </c>
      <c r="C6716" s="9" t="s">
        <v>13588</v>
      </c>
      <c r="D6716" s="9" t="s">
        <v>652</v>
      </c>
      <c r="E6716" s="6" t="s">
        <v>13607</v>
      </c>
      <c r="F6716" s="9"/>
    </row>
    <row r="6717" ht="33.75" customHeight="1">
      <c r="A6717" s="7">
        <v>240.0</v>
      </c>
      <c r="B6717" s="9" t="s">
        <v>13587</v>
      </c>
      <c r="C6717" s="9" t="s">
        <v>13588</v>
      </c>
      <c r="D6717" s="9" t="s">
        <v>114</v>
      </c>
      <c r="E6717" s="6" t="s">
        <v>13608</v>
      </c>
      <c r="F6717" s="9"/>
    </row>
    <row r="6718" ht="33.75" customHeight="1">
      <c r="A6718" s="7">
        <v>240.0</v>
      </c>
      <c r="B6718" s="9" t="s">
        <v>13587</v>
      </c>
      <c r="C6718" s="9" t="s">
        <v>13588</v>
      </c>
      <c r="D6718" s="9" t="s">
        <v>117</v>
      </c>
      <c r="E6718" s="6" t="s">
        <v>13609</v>
      </c>
      <c r="F6718" s="9"/>
    </row>
    <row r="6719" ht="33.75" customHeight="1">
      <c r="A6719" s="7">
        <v>240.0</v>
      </c>
      <c r="B6719" s="9" t="s">
        <v>13587</v>
      </c>
      <c r="C6719" s="9" t="s">
        <v>13588</v>
      </c>
      <c r="D6719" s="9" t="s">
        <v>1577</v>
      </c>
      <c r="E6719" s="6" t="s">
        <v>13610</v>
      </c>
      <c r="F6719" s="9"/>
    </row>
    <row r="6720" ht="33.75" customHeight="1">
      <c r="A6720" s="7">
        <v>241.0</v>
      </c>
      <c r="B6720" s="9" t="s">
        <v>13611</v>
      </c>
      <c r="C6720" s="9" t="s">
        <v>13612</v>
      </c>
      <c r="D6720" s="9" t="s">
        <v>52</v>
      </c>
      <c r="E6720" s="6" t="s">
        <v>13613</v>
      </c>
      <c r="F6720" t="inlineStr" s="10">
        <is>
          <t xml:space="preserve">Miltankin maito on täynnä ravintoa, mikä tekee siitä parhaan juoman sairaille tai väsyneille. Jos se on juuri synnyttänyt, sen tuottama maito sisältää paljon enemmän ravintoaineita kuin tavallisesti. MILTANK-lehmän lypsämiseksi täytyy olla taito vetää sen utareita rytmikkäästi ylös ja alas. MILTANK tuottaa päivittäin yli viisi gallonaa maitoa. Sen makeasta maidosta nauttivat niin lapset kuin aikuisetkin. Ihmiset, jotka eivät voi juoda maitoa, tekevät siitä jogurttia ja syövät sitä. Se antaa yli viisi gallonaa maitoa päivittäin. Jos vauva on juuri synnyttänyt, sen tuottama maito sisältää paljon enemmän ravintoaineita kuin tavallisesti. Sanotaan, että MILTANKin maitoa juovista lapsista kasvaa reippaita ja terveitä aikuisia. Jos se on vauvojen lähellä, sen tuottama maito sisältää paljon enemmän ravintoaineita kuin tavallisesti. Sanotaan, että Miltankin maitoa juovista lapsista kasvaa reiluja ja terveitä aikuisia. Miltank antaa päivittäin yli viisi gallonaa maitoa. Sen maito on kaloripitoinen ja täynnä ravintoaineita. Siksi, jos juot sitä liikaa, sinulla voi olla Miltankin kaltainen vartalo. Useimmat ihmiset kasvattavat sitä maidon vuoksi, mutta se on melko sitkeä ja vahva, joten se soveltuu hyvin myös taisteluun. Se tuottaa yli viisi gallonaa maitoa päivässä. Mitä laadukkaampia laidunmaat ovat, sitä rikkaampaa ja maukkaampaa sen maito on. Sen maito on herkullista ja ravinteikasta. Jos kuitenkin juot sitä liikaa, se voi aiheuttaa vatsavaivoja, joten ole varovainen. Miltank tuottaa erittäin ravitsevaa maitoa, joten se on tukenut ihmisten ja muiden Pokémonien elämää muinaisista ajoista lähtien. Tätä Pokémonia täytyy lypsä joka päivä, tai muuten se sairastuu. Miltank-maidon maku vaihtelee vuodenaikojen mukaan.</t>
        </is>
      </c>
    </row>
    <row r="6721" ht="33.75" customHeight="1">
      <c r="A6721" s="7">
        <v>241.0</v>
      </c>
      <c r="B6721" s="9" t="s">
        <v>13611</v>
      </c>
      <c r="C6721" s="9" t="s">
        <v>13612</v>
      </c>
      <c r="D6721" s="9" t="s">
        <v>59</v>
      </c>
      <c r="E6721" s="6" t="s">
        <v>13615</v>
      </c>
      <c r="F6721" s="9"/>
    </row>
    <row r="6722" ht="33.75" customHeight="1">
      <c r="A6722" s="7">
        <v>241.0</v>
      </c>
      <c r="B6722" s="9" t="s">
        <v>13611</v>
      </c>
      <c r="C6722" s="9" t="s">
        <v>13612</v>
      </c>
      <c r="D6722" s="9" t="s">
        <v>64</v>
      </c>
      <c r="E6722" s="6" t="s">
        <v>13616</v>
      </c>
      <c r="F6722" s="9"/>
    </row>
    <row r="6723" ht="33.75" customHeight="1">
      <c r="A6723" s="7">
        <v>241.0</v>
      </c>
      <c r="B6723" s="9" t="s">
        <v>13611</v>
      </c>
      <c r="C6723" s="9" t="s">
        <v>13612</v>
      </c>
      <c r="D6723" s="9" t="s">
        <v>67</v>
      </c>
      <c r="E6723" s="6" t="s">
        <v>13617</v>
      </c>
      <c r="F6723" s="9"/>
    </row>
    <row r="6724" ht="33.75" customHeight="1">
      <c r="A6724" s="7">
        <v>241.0</v>
      </c>
      <c r="B6724" s="9" t="s">
        <v>13611</v>
      </c>
      <c r="C6724" s="9" t="s">
        <v>13612</v>
      </c>
      <c r="D6724" s="9" t="s">
        <v>71</v>
      </c>
      <c r="E6724" s="6" t="s">
        <v>13617</v>
      </c>
      <c r="F6724" s="9"/>
    </row>
    <row r="6725" ht="33.75" customHeight="1">
      <c r="A6725" s="7">
        <v>241.0</v>
      </c>
      <c r="B6725" s="9" t="s">
        <v>13611</v>
      </c>
      <c r="C6725" s="9" t="s">
        <v>13612</v>
      </c>
      <c r="D6725" s="9" t="s">
        <v>73</v>
      </c>
      <c r="E6725" s="6" t="s">
        <v>13618</v>
      </c>
      <c r="F6725" s="9"/>
    </row>
    <row r="6726" ht="33.75" customHeight="1">
      <c r="A6726" s="7">
        <v>241.0</v>
      </c>
      <c r="B6726" s="9" t="s">
        <v>13611</v>
      </c>
      <c r="C6726" s="9" t="s">
        <v>13612</v>
      </c>
      <c r="D6726" s="9" t="s">
        <v>75</v>
      </c>
      <c r="E6726" s="6" t="s">
        <v>13619</v>
      </c>
      <c r="F6726" s="9"/>
    </row>
    <row r="6727" ht="33.75" customHeight="1">
      <c r="A6727" s="7">
        <v>241.0</v>
      </c>
      <c r="B6727" s="9" t="s">
        <v>13611</v>
      </c>
      <c r="C6727" s="9" t="s">
        <v>13612</v>
      </c>
      <c r="D6727" s="9" t="s">
        <v>79</v>
      </c>
      <c r="E6727" s="6" t="s">
        <v>13613</v>
      </c>
      <c r="F6727" s="9"/>
    </row>
    <row r="6728" ht="33.75" customHeight="1">
      <c r="A6728" s="7">
        <v>241.0</v>
      </c>
      <c r="B6728" s="9" t="s">
        <v>13611</v>
      </c>
      <c r="C6728" s="9" t="s">
        <v>13612</v>
      </c>
      <c r="D6728" s="9" t="s">
        <v>81</v>
      </c>
      <c r="E6728" s="6" t="s">
        <v>13620</v>
      </c>
      <c r="F6728" s="9"/>
    </row>
    <row r="6729" ht="33.75" customHeight="1">
      <c r="A6729" s="7">
        <v>241.0</v>
      </c>
      <c r="B6729" s="9" t="s">
        <v>13611</v>
      </c>
      <c r="C6729" s="9" t="s">
        <v>13612</v>
      </c>
      <c r="D6729" s="9" t="s">
        <v>84</v>
      </c>
      <c r="E6729" s="6" t="s">
        <v>13620</v>
      </c>
      <c r="F6729" s="9"/>
    </row>
    <row r="6730" ht="33.75" customHeight="1">
      <c r="A6730" s="7">
        <v>241.0</v>
      </c>
      <c r="B6730" s="9" t="s">
        <v>13611</v>
      </c>
      <c r="C6730" s="9" t="s">
        <v>13612</v>
      </c>
      <c r="D6730" s="9" t="s">
        <v>87</v>
      </c>
      <c r="E6730" s="6" t="s">
        <v>13620</v>
      </c>
      <c r="F6730" s="9"/>
    </row>
    <row r="6731" ht="33.75" customHeight="1">
      <c r="A6731" s="7">
        <v>241.0</v>
      </c>
      <c r="B6731" s="9" t="s">
        <v>13611</v>
      </c>
      <c r="C6731" s="9" t="s">
        <v>13612</v>
      </c>
      <c r="D6731" s="9" t="s">
        <v>89</v>
      </c>
      <c r="E6731" s="6" t="s">
        <v>13613</v>
      </c>
      <c r="F6731" s="9"/>
    </row>
    <row r="6732" ht="33.75" customHeight="1">
      <c r="A6732" s="7">
        <v>241.0</v>
      </c>
      <c r="B6732" s="9" t="s">
        <v>13611</v>
      </c>
      <c r="C6732" s="9" t="s">
        <v>13612</v>
      </c>
      <c r="D6732" s="9" t="s">
        <v>91</v>
      </c>
      <c r="E6732" s="6" t="s">
        <v>13621</v>
      </c>
      <c r="F6732" s="9"/>
    </row>
    <row r="6733" ht="33.75" customHeight="1">
      <c r="A6733" s="7">
        <v>241.0</v>
      </c>
      <c r="B6733" s="9" t="s">
        <v>13611</v>
      </c>
      <c r="C6733" s="9" t="s">
        <v>13612</v>
      </c>
      <c r="D6733" s="9" t="s">
        <v>93</v>
      </c>
      <c r="E6733" s="6" t="s">
        <v>13622</v>
      </c>
      <c r="F6733" s="9"/>
    </row>
    <row r="6734" ht="33.75" customHeight="1">
      <c r="A6734" s="7">
        <v>241.0</v>
      </c>
      <c r="B6734" s="9" t="s">
        <v>13611</v>
      </c>
      <c r="C6734" s="9" t="s">
        <v>13612</v>
      </c>
      <c r="D6734" s="9" t="s">
        <v>95</v>
      </c>
      <c r="E6734" s="6" t="s">
        <v>13622</v>
      </c>
      <c r="F6734" s="9"/>
    </row>
    <row r="6735" ht="33.75" customHeight="1">
      <c r="A6735" s="7">
        <v>241.0</v>
      </c>
      <c r="B6735" s="9" t="s">
        <v>13611</v>
      </c>
      <c r="C6735" s="9" t="s">
        <v>13612</v>
      </c>
      <c r="D6735" s="9" t="s">
        <v>98</v>
      </c>
      <c r="E6735" s="6" t="s">
        <v>13622</v>
      </c>
      <c r="F6735" s="9"/>
    </row>
    <row r="6736" ht="33.75" customHeight="1">
      <c r="A6736" s="7">
        <v>241.0</v>
      </c>
      <c r="B6736" s="9" t="s">
        <v>13611</v>
      </c>
      <c r="C6736" s="9" t="s">
        <v>13612</v>
      </c>
      <c r="D6736" s="9" t="s">
        <v>99</v>
      </c>
      <c r="E6736" s="6" t="s">
        <v>13622</v>
      </c>
      <c r="F6736" s="9"/>
    </row>
    <row r="6737" ht="33.75" customHeight="1">
      <c r="A6737" s="7">
        <v>241.0</v>
      </c>
      <c r="B6737" s="9" t="s">
        <v>13611</v>
      </c>
      <c r="C6737" s="9" t="s">
        <v>13612</v>
      </c>
      <c r="D6737" s="9" t="s">
        <v>101</v>
      </c>
      <c r="E6737" s="6" t="s">
        <v>13621</v>
      </c>
      <c r="F6737" s="9"/>
    </row>
    <row r="6738" ht="33.75" customHeight="1">
      <c r="A6738" s="7">
        <v>241.0</v>
      </c>
      <c r="B6738" s="9" t="s">
        <v>13611</v>
      </c>
      <c r="C6738" s="9" t="s">
        <v>13612</v>
      </c>
      <c r="D6738" s="9" t="s">
        <v>105</v>
      </c>
      <c r="E6738" s="6" t="s">
        <v>13613</v>
      </c>
      <c r="F6738" s="9"/>
    </row>
    <row r="6739" ht="33.75" customHeight="1">
      <c r="A6739" s="7">
        <v>241.0</v>
      </c>
      <c r="B6739" s="9" t="s">
        <v>13611</v>
      </c>
      <c r="C6739" s="9" t="s">
        <v>13612</v>
      </c>
      <c r="D6739" s="9" t="s">
        <v>107</v>
      </c>
      <c r="E6739" s="6" t="s">
        <v>13624</v>
      </c>
      <c r="F6739" s="9"/>
    </row>
    <row r="6740" ht="33.75" customHeight="1">
      <c r="A6740" s="7">
        <v>241.0</v>
      </c>
      <c r="B6740" s="9" t="s">
        <v>13611</v>
      </c>
      <c r="C6740" s="9" t="s">
        <v>13612</v>
      </c>
      <c r="D6740" s="9" t="s">
        <v>109</v>
      </c>
      <c r="E6740" s="6" t="s">
        <v>13624</v>
      </c>
      <c r="F6740" s="9"/>
    </row>
    <row r="6741" ht="33.75" customHeight="1">
      <c r="A6741" s="7">
        <v>241.0</v>
      </c>
      <c r="B6741" s="9" t="s">
        <v>13611</v>
      </c>
      <c r="C6741" s="9" t="s">
        <v>13612</v>
      </c>
      <c r="D6741" s="9" t="s">
        <v>637</v>
      </c>
      <c r="E6741" s="6" t="s">
        <v>13625</v>
      </c>
      <c r="F6741" s="9"/>
    </row>
    <row r="6742" ht="33.75" customHeight="1">
      <c r="A6742" s="7">
        <v>241.0</v>
      </c>
      <c r="B6742" s="9" t="s">
        <v>13611</v>
      </c>
      <c r="C6742" s="9" t="s">
        <v>13612</v>
      </c>
      <c r="D6742" s="9" t="s">
        <v>642</v>
      </c>
      <c r="E6742" s="6" t="s">
        <v>13626</v>
      </c>
      <c r="F6742" s="9"/>
    </row>
    <row r="6743" ht="33.75" customHeight="1">
      <c r="A6743" s="7">
        <v>241.0</v>
      </c>
      <c r="B6743" s="9" t="s">
        <v>13611</v>
      </c>
      <c r="C6743" s="9" t="s">
        <v>13612</v>
      </c>
      <c r="D6743" s="9" t="s">
        <v>647</v>
      </c>
      <c r="E6743" s="6" t="s">
        <v>13627</v>
      </c>
      <c r="F6743" s="9"/>
    </row>
    <row r="6744" ht="33.75" customHeight="1">
      <c r="A6744" s="7">
        <v>241.0</v>
      </c>
      <c r="B6744" s="9" t="s">
        <v>13611</v>
      </c>
      <c r="C6744" s="9" t="s">
        <v>13612</v>
      </c>
      <c r="D6744" s="9" t="s">
        <v>652</v>
      </c>
      <c r="E6744" s="6" t="s">
        <v>13628</v>
      </c>
      <c r="F6744" s="9"/>
    </row>
    <row r="6745" ht="33.75" customHeight="1">
      <c r="A6745" s="7">
        <v>241.0</v>
      </c>
      <c r="B6745" s="9" t="s">
        <v>13611</v>
      </c>
      <c r="C6745" s="9" t="s">
        <v>13612</v>
      </c>
      <c r="D6745" s="9" t="s">
        <v>114</v>
      </c>
      <c r="E6745" s="6" t="s">
        <v>13629</v>
      </c>
      <c r="F6745" s="9"/>
    </row>
    <row r="6746" ht="33.75" customHeight="1">
      <c r="A6746" s="7">
        <v>241.0</v>
      </c>
      <c r="B6746" s="9" t="s">
        <v>13611</v>
      </c>
      <c r="C6746" s="9" t="s">
        <v>13612</v>
      </c>
      <c r="D6746" s="9" t="s">
        <v>117</v>
      </c>
      <c r="E6746" s="6" t="s">
        <v>13630</v>
      </c>
      <c r="F6746" s="9"/>
    </row>
    <row r="6747" ht="33.75" customHeight="1">
      <c r="A6747" s="7">
        <v>242.0</v>
      </c>
      <c r="B6747" s="9" t="s">
        <v>13631</v>
      </c>
      <c r="C6747" s="9" t="s">
        <v>10523</v>
      </c>
      <c r="D6747" s="9" t="s">
        <v>52</v>
      </c>
      <c r="E6747" s="6" t="s">
        <v>13632</v>
      </c>
      <c r="F6747" t="inlineStr" s="10">
        <is>
          <t xml:space="preserve">Jokainen, joka ottaa edes yhden palan BLISSEYn munakoisoa, on poikkeuksetta huolehtivainen ja miellyttävä kaikille. Sillä on hyvin myötätuntoinen ja intohimoinen luonne. Jos se näkee sairaan POKéMONin, se hoitaa tämän takaisin terveeksi. Yhden BLISSEYn tarjoamien herkullisten munien puraiseminen saa kaikki ympärillä olevat hymyilemään ilosta. BLISSEY aistii surun pörröisellä turkillaan. Jos se havaitsee niin, tämä POKéMON kiiruhtaa surullisen ihmisen luokse, olipa tämä kuinka kaukana tahansa, jakamaan onnellisuuden munan, joka tuo hymyn kenen tahansa kasvoille. Jos se aistii surua pörröisellä turkillaan, BLISSEY kiiruhtaa surevan ihmisen luokse, olipa tämä kuinka kaukana tahansa, jakamaan onnellisuuden munan, joka tuo hymyn kenen tahansa kasvoille. Sillä on hyvin myötätuntoinen luonne. Jokainen, joka ottaa edes yhden palan BLISSEYn munaa, muuttuu poikkeuksetta huolehtivaiseksi ja miellyttäväksi kaikkia kohtaan. Tämä hyväsydäminen Pokémon hoitaa sairaita Pokémoneja terveiksi. Se aistii surun tunteita. Se on Pokémon, joka tuo onnellisuutta. Sen munan syömisen sanotaan tekevän samanlaisen kaikille. Sen munimat munat ovat täynnä onnellisuutta. Jopa yhden suupalan syöminen tuo hymyn kenelle tahansa. Jokainen, joka maistaa BLISSEYn munaa kerrankin, muuttuu poikkeuksetta kaikkien huomioivaksi ja miellyttäväksi. Jos se näkee sairaan Pokémonin, se hoitaa kärsivän takaisin terveeksi. Jos se havaitsee niin, tämä Pokémon kiiruhtaa surullisen henkilön luokse, olipa tämä kuinka kaukana tahansa, jakamaan onnenmunan, joka tuo hymyn kenen tahansa kasvoille. Raivokkaimmatkin Pokémonit rauhoittuvat syödessään Blisseyn munan, jonka sanotaan olevan täynnä onnellisuutta. Sen pörröinen turkki toimii anturina, jonka avulla se pystyy lukemaan ihmisten ja Pokémonien tunteita. Niiden munat ovat niin herkullinen, että jotkut sanovat niiden syömisen tuovan onnea. Näistä munista saa markkinoiden korkeimmat hinnat. Tämä Pokémon on täynnä rakkautta. Vain Chansey, jolla on vahva side kouluttajaansa, voi kehittyä, niin sanotaan. Aina kun Blissey löytää heikentyneen Pokémonin, se jakaa munansa ja tarjoaa hoitoaan, kunnes toinen Pokémon on täysin parantunut. Blissey munii salaperäisiä munia, jotka ovat täynnä onnellisuutta. Sanotaan, että jokainen, joka syö Blissey-munan, alkaa käyttäytyä ystävällisesti kaikkia muita kohtaan. Hyväsydäminen Pokémon, joka huolehtii kaikista sairaista ihmisistä ja Pokémoneista, kunnes heidän terveytensä paranee. Sen munimat munat ovat herkullisia ja tuovat onnea niitä syöville.</t>
        </is>
      </c>
    </row>
    <row r="6748" ht="33.75" customHeight="1">
      <c r="A6748" s="7">
        <v>242.0</v>
      </c>
      <c r="B6748" s="9" t="s">
        <v>13631</v>
      </c>
      <c r="C6748" s="9" t="s">
        <v>10523</v>
      </c>
      <c r="D6748" s="9" t="s">
        <v>59</v>
      </c>
      <c r="E6748" s="6" t="s">
        <v>13633</v>
      </c>
      <c r="F6748" s="9"/>
    </row>
    <row r="6749" ht="33.75" customHeight="1">
      <c r="A6749" s="7">
        <v>242.0</v>
      </c>
      <c r="B6749" s="9" t="s">
        <v>13631</v>
      </c>
      <c r="C6749" s="9" t="s">
        <v>10523</v>
      </c>
      <c r="D6749" s="9" t="s">
        <v>64</v>
      </c>
      <c r="E6749" s="6" t="s">
        <v>13634</v>
      </c>
      <c r="F6749" s="9"/>
    </row>
    <row r="6750" ht="33.75" customHeight="1">
      <c r="A6750" s="7">
        <v>242.0</v>
      </c>
      <c r="B6750" s="9" t="s">
        <v>13631</v>
      </c>
      <c r="C6750" s="9" t="s">
        <v>10523</v>
      </c>
      <c r="D6750" s="9" t="s">
        <v>67</v>
      </c>
      <c r="E6750" s="6" t="s">
        <v>13635</v>
      </c>
      <c r="F6750" s="9"/>
    </row>
    <row r="6751" ht="33.75" customHeight="1">
      <c r="A6751" s="7">
        <v>242.0</v>
      </c>
      <c r="B6751" s="9" t="s">
        <v>13631</v>
      </c>
      <c r="C6751" s="9" t="s">
        <v>10523</v>
      </c>
      <c r="D6751" s="9" t="s">
        <v>71</v>
      </c>
      <c r="E6751" s="6" t="s">
        <v>13635</v>
      </c>
      <c r="F6751" s="9"/>
    </row>
    <row r="6752" ht="33.75" customHeight="1">
      <c r="A6752" s="7">
        <v>242.0</v>
      </c>
      <c r="B6752" s="9" t="s">
        <v>13631</v>
      </c>
      <c r="C6752" s="9" t="s">
        <v>10523</v>
      </c>
      <c r="D6752" s="9" t="s">
        <v>73</v>
      </c>
      <c r="E6752" s="6" t="s">
        <v>13636</v>
      </c>
      <c r="F6752" s="9"/>
    </row>
    <row r="6753" ht="33.75" customHeight="1">
      <c r="A6753" s="7">
        <v>242.0</v>
      </c>
      <c r="B6753" s="9" t="s">
        <v>13631</v>
      </c>
      <c r="C6753" s="9" t="s">
        <v>10523</v>
      </c>
      <c r="D6753" s="9" t="s">
        <v>75</v>
      </c>
      <c r="E6753" s="6" t="s">
        <v>13637</v>
      </c>
      <c r="F6753" s="9"/>
    </row>
    <row r="6754" ht="33.75" customHeight="1">
      <c r="A6754" s="7">
        <v>242.0</v>
      </c>
      <c r="B6754" s="9" t="s">
        <v>13631</v>
      </c>
      <c r="C6754" s="9" t="s">
        <v>10523</v>
      </c>
      <c r="D6754" s="9" t="s">
        <v>79</v>
      </c>
      <c r="E6754" s="6" t="s">
        <v>13638</v>
      </c>
      <c r="F6754" s="9"/>
    </row>
    <row r="6755" ht="33.75" customHeight="1">
      <c r="A6755" s="7">
        <v>242.0</v>
      </c>
      <c r="B6755" s="9" t="s">
        <v>13631</v>
      </c>
      <c r="C6755" s="9" t="s">
        <v>10523</v>
      </c>
      <c r="D6755" s="9" t="s">
        <v>81</v>
      </c>
      <c r="E6755" s="6" t="s">
        <v>13639</v>
      </c>
      <c r="F6755" s="9"/>
    </row>
    <row r="6756" ht="33.75" customHeight="1">
      <c r="A6756" s="7">
        <v>242.0</v>
      </c>
      <c r="B6756" s="9" t="s">
        <v>13631</v>
      </c>
      <c r="C6756" s="9" t="s">
        <v>10523</v>
      </c>
      <c r="D6756" s="9" t="s">
        <v>84</v>
      </c>
      <c r="E6756" s="6" t="s">
        <v>13640</v>
      </c>
      <c r="F6756" s="9"/>
    </row>
    <row r="6757" ht="33.75" customHeight="1">
      <c r="A6757" s="7">
        <v>242.0</v>
      </c>
      <c r="B6757" s="9" t="s">
        <v>13631</v>
      </c>
      <c r="C6757" s="9" t="s">
        <v>10523</v>
      </c>
      <c r="D6757" s="9" t="s">
        <v>87</v>
      </c>
      <c r="E6757" s="6" t="s">
        <v>13641</v>
      </c>
      <c r="F6757" s="9"/>
    </row>
    <row r="6758" ht="33.75" customHeight="1">
      <c r="A6758" s="7">
        <v>242.0</v>
      </c>
      <c r="B6758" s="9" t="s">
        <v>13631</v>
      </c>
      <c r="C6758" s="9" t="s">
        <v>10523</v>
      </c>
      <c r="D6758" s="9" t="s">
        <v>89</v>
      </c>
      <c r="E6758" s="6" t="s">
        <v>13643</v>
      </c>
      <c r="F6758" s="9"/>
    </row>
    <row r="6759" ht="33.75" customHeight="1">
      <c r="A6759" s="7">
        <v>242.0</v>
      </c>
      <c r="B6759" s="9" t="s">
        <v>13631</v>
      </c>
      <c r="C6759" s="9" t="s">
        <v>10523</v>
      </c>
      <c r="D6759" s="9" t="s">
        <v>91</v>
      </c>
      <c r="E6759" s="6" t="s">
        <v>13644</v>
      </c>
      <c r="F6759" s="9"/>
    </row>
    <row r="6760" ht="33.75" customHeight="1">
      <c r="A6760" s="7">
        <v>242.0</v>
      </c>
      <c r="B6760" s="9" t="s">
        <v>13631</v>
      </c>
      <c r="C6760" s="9" t="s">
        <v>10523</v>
      </c>
      <c r="D6760" s="9" t="s">
        <v>93</v>
      </c>
      <c r="E6760" s="6" t="s">
        <v>13641</v>
      </c>
      <c r="F6760" s="9"/>
    </row>
    <row r="6761" ht="33.75" customHeight="1">
      <c r="A6761" s="7">
        <v>242.0</v>
      </c>
      <c r="B6761" s="9" t="s">
        <v>13631</v>
      </c>
      <c r="C6761" s="9" t="s">
        <v>10523</v>
      </c>
      <c r="D6761" s="9" t="s">
        <v>95</v>
      </c>
      <c r="E6761" s="6" t="s">
        <v>13641</v>
      </c>
      <c r="F6761" s="9"/>
    </row>
    <row r="6762" ht="33.75" customHeight="1">
      <c r="A6762" s="7">
        <v>242.0</v>
      </c>
      <c r="B6762" s="9" t="s">
        <v>13631</v>
      </c>
      <c r="C6762" s="9" t="s">
        <v>10523</v>
      </c>
      <c r="D6762" s="9" t="s">
        <v>98</v>
      </c>
      <c r="E6762" s="6" t="s">
        <v>13641</v>
      </c>
      <c r="F6762" s="9"/>
    </row>
    <row r="6763" ht="33.75" customHeight="1">
      <c r="A6763" s="7">
        <v>242.0</v>
      </c>
      <c r="B6763" s="9" t="s">
        <v>13631</v>
      </c>
      <c r="C6763" s="9" t="s">
        <v>10523</v>
      </c>
      <c r="D6763" s="9" t="s">
        <v>99</v>
      </c>
      <c r="E6763" s="6" t="s">
        <v>13641</v>
      </c>
      <c r="F6763" s="9"/>
    </row>
    <row r="6764" ht="33.75" customHeight="1">
      <c r="A6764" s="7">
        <v>242.0</v>
      </c>
      <c r="B6764" s="9" t="s">
        <v>13631</v>
      </c>
      <c r="C6764" s="9" t="s">
        <v>10523</v>
      </c>
      <c r="D6764" s="9" t="s">
        <v>101</v>
      </c>
      <c r="E6764" s="6" t="s">
        <v>13641</v>
      </c>
      <c r="F6764" s="9"/>
    </row>
    <row r="6765" ht="33.75" customHeight="1">
      <c r="A6765" s="7">
        <v>242.0</v>
      </c>
      <c r="B6765" s="9" t="s">
        <v>13631</v>
      </c>
      <c r="C6765" s="9" t="s">
        <v>10523</v>
      </c>
      <c r="D6765" s="9" t="s">
        <v>105</v>
      </c>
      <c r="E6765" s="6" t="s">
        <v>13639</v>
      </c>
      <c r="F6765" s="9"/>
    </row>
    <row r="6766" ht="33.75" customHeight="1">
      <c r="A6766" s="7">
        <v>242.0</v>
      </c>
      <c r="B6766" s="9" t="s">
        <v>13631</v>
      </c>
      <c r="C6766" s="9" t="s">
        <v>10523</v>
      </c>
      <c r="D6766" s="9" t="s">
        <v>107</v>
      </c>
      <c r="E6766" s="6" t="s">
        <v>13645</v>
      </c>
      <c r="F6766" s="9"/>
    </row>
    <row r="6767" ht="33.75" customHeight="1">
      <c r="A6767" s="7">
        <v>242.0</v>
      </c>
      <c r="B6767" s="9" t="s">
        <v>13631</v>
      </c>
      <c r="C6767" s="9" t="s">
        <v>10523</v>
      </c>
      <c r="D6767" s="9" t="s">
        <v>109</v>
      </c>
      <c r="E6767" s="6" t="s">
        <v>13645</v>
      </c>
      <c r="F6767" s="9"/>
    </row>
    <row r="6768" ht="33.75" customHeight="1">
      <c r="A6768" s="7">
        <v>242.0</v>
      </c>
      <c r="B6768" s="9" t="s">
        <v>13631</v>
      </c>
      <c r="C6768" s="9" t="s">
        <v>10523</v>
      </c>
      <c r="D6768" s="9" t="s">
        <v>637</v>
      </c>
      <c r="E6768" s="6" t="s">
        <v>13646</v>
      </c>
      <c r="F6768" s="9"/>
    </row>
    <row r="6769" ht="33.75" customHeight="1">
      <c r="A6769" s="7">
        <v>242.0</v>
      </c>
      <c r="B6769" s="9" t="s">
        <v>13631</v>
      </c>
      <c r="C6769" s="9" t="s">
        <v>10523</v>
      </c>
      <c r="D6769" s="9" t="s">
        <v>642</v>
      </c>
      <c r="E6769" s="6" t="s">
        <v>13647</v>
      </c>
      <c r="F6769" s="9"/>
    </row>
    <row r="6770" ht="33.75" customHeight="1">
      <c r="A6770" s="7">
        <v>242.0</v>
      </c>
      <c r="B6770" s="9" t="s">
        <v>13631</v>
      </c>
      <c r="C6770" s="9" t="s">
        <v>10523</v>
      </c>
      <c r="D6770" s="9" t="s">
        <v>647</v>
      </c>
      <c r="E6770" s="6" t="s">
        <v>13648</v>
      </c>
      <c r="F6770" s="9"/>
    </row>
    <row r="6771" ht="33.75" customHeight="1">
      <c r="A6771" s="7">
        <v>242.0</v>
      </c>
      <c r="B6771" s="9" t="s">
        <v>13631</v>
      </c>
      <c r="C6771" s="9" t="s">
        <v>10523</v>
      </c>
      <c r="D6771" s="9" t="s">
        <v>652</v>
      </c>
      <c r="E6771" s="6" t="s">
        <v>13649</v>
      </c>
      <c r="F6771" s="9"/>
    </row>
    <row r="6772" ht="33.75" customHeight="1">
      <c r="A6772" s="7">
        <v>242.0</v>
      </c>
      <c r="B6772" s="9" t="s">
        <v>13631</v>
      </c>
      <c r="C6772" s="9" t="s">
        <v>10523</v>
      </c>
      <c r="D6772" s="9" t="s">
        <v>114</v>
      </c>
      <c r="E6772" s="6" t="s">
        <v>13650</v>
      </c>
      <c r="F6772" s="9"/>
    </row>
    <row r="6773" ht="33.75" customHeight="1">
      <c r="A6773" s="7">
        <v>242.0</v>
      </c>
      <c r="B6773" s="9" t="s">
        <v>13631</v>
      </c>
      <c r="C6773" s="9" t="s">
        <v>10523</v>
      </c>
      <c r="D6773" s="9" t="s">
        <v>117</v>
      </c>
      <c r="E6773" s="6" t="s">
        <v>13651</v>
      </c>
      <c r="F6773" s="9"/>
    </row>
    <row r="6774" ht="33.75" customHeight="1">
      <c r="A6774" s="7">
        <v>242.0</v>
      </c>
      <c r="B6774" s="9" t="s">
        <v>13631</v>
      </c>
      <c r="C6774" s="9" t="s">
        <v>10523</v>
      </c>
      <c r="D6774" s="9" t="s">
        <v>1577</v>
      </c>
      <c r="E6774" s="6" t="s">
        <v>13653</v>
      </c>
      <c r="F6774" s="9"/>
    </row>
    <row r="6775" ht="33.75" customHeight="1">
      <c r="A6775" s="7">
        <v>243.0</v>
      </c>
      <c r="B6775" s="9" t="s">
        <v>13654</v>
      </c>
      <c r="C6775" s="9" t="s">
        <v>13655</v>
      </c>
      <c r="D6775" s="9" t="s">
        <v>52</v>
      </c>
      <c r="E6775" s="6" t="s">
        <v>13656</v>
      </c>
      <c r="F6775" t="inlineStr" s="10">
        <is>
          <t xml:space="preserve">Raikoun kantamat sadepilvet antavat sen ampua ukkosen salamoja mielensä mukaan. Sanotaan, että se laskeutui salamoinnin mukana. POKéMON, joka kiitää halki maan ja haukkuu ukkosen jylinää muistuttavaa huutoa. Tämä karkealaatuinen POKéMON varastoi energiaa kehoonsa ja pyyhkäisee sitten maan halki lähettäen sähköä. RAIKOU ilmentää salaman nopeutta. Tämän POKéMONin karjunnat lähettävät iskuaaltoja ilmaan ja ravistelevat maata aivan kuin salamat olisivat iskeneet. Sen jylinät lähettävät iskuaaltoja, jotka värähtelevät ilmassa ja maassa aivan kuin salamat iskeisivät maahan. Tämä POKéMON kiitää maan halki ja päästää samalla huudon, joka kuulostaa ukkosen jylinältä. Sen sanotaan pudonneen salaman mukana. Se voi ampua salamoja selässään olevista sadepilvistä. Pokémon, joka kiitää maan halki haukkuen ukkosen jylinää muistuttavaa huutoa. Tämä karkea Pokémon varastoi energiaa kehoonsa ja pyyhkäisee sitten maan halki ampuen sähköä. Tämän Pokémonin karjunnat lähettävät iskuaaltoja ilmaan ja ravistelevat maata aivan kuin salamat olisivat iskeneet alas.</t>
        </is>
      </c>
    </row>
    <row r="6776" ht="33.75" customHeight="1">
      <c r="A6776" s="7">
        <v>243.0</v>
      </c>
      <c r="B6776" s="9" t="s">
        <v>13654</v>
      </c>
      <c r="C6776" s="9" t="s">
        <v>13655</v>
      </c>
      <c r="D6776" s="9" t="s">
        <v>59</v>
      </c>
      <c r="E6776" s="6" t="s">
        <v>13657</v>
      </c>
      <c r="F6776" s="9"/>
    </row>
    <row r="6777" ht="33.75" customHeight="1">
      <c r="A6777" s="7">
        <v>243.0</v>
      </c>
      <c r="B6777" s="9" t="s">
        <v>13654</v>
      </c>
      <c r="C6777" s="9" t="s">
        <v>13655</v>
      </c>
      <c r="D6777" s="9" t="s">
        <v>64</v>
      </c>
      <c r="E6777" s="6" t="s">
        <v>13658</v>
      </c>
      <c r="F6777" s="9"/>
    </row>
    <row r="6778" ht="33.75" customHeight="1">
      <c r="A6778" s="7">
        <v>243.0</v>
      </c>
      <c r="B6778" s="9" t="s">
        <v>13654</v>
      </c>
      <c r="C6778" s="9" t="s">
        <v>13655</v>
      </c>
      <c r="D6778" s="9" t="s">
        <v>67</v>
      </c>
      <c r="E6778" s="6" t="s">
        <v>13659</v>
      </c>
      <c r="F6778" s="9"/>
    </row>
    <row r="6779" ht="33.75" customHeight="1">
      <c r="A6779" s="7">
        <v>243.0</v>
      </c>
      <c r="B6779" s="9" t="s">
        <v>13654</v>
      </c>
      <c r="C6779" s="9" t="s">
        <v>13655</v>
      </c>
      <c r="D6779" s="9" t="s">
        <v>71</v>
      </c>
      <c r="E6779" s="6" t="s">
        <v>13659</v>
      </c>
      <c r="F6779" s="9"/>
    </row>
    <row r="6780" ht="33.75" customHeight="1">
      <c r="A6780" s="7">
        <v>243.0</v>
      </c>
      <c r="B6780" s="9" t="s">
        <v>13654</v>
      </c>
      <c r="C6780" s="9" t="s">
        <v>13655</v>
      </c>
      <c r="D6780" s="9" t="s">
        <v>73</v>
      </c>
      <c r="E6780" s="6" t="s">
        <v>13660</v>
      </c>
      <c r="F6780" s="9"/>
    </row>
    <row r="6781" ht="33.75" customHeight="1">
      <c r="A6781" s="7">
        <v>243.0</v>
      </c>
      <c r="B6781" s="9" t="s">
        <v>13654</v>
      </c>
      <c r="C6781" s="9" t="s">
        <v>13655</v>
      </c>
      <c r="D6781" s="9" t="s">
        <v>75</v>
      </c>
      <c r="E6781" s="6" t="s">
        <v>13661</v>
      </c>
      <c r="F6781" s="9"/>
    </row>
    <row r="6782" ht="33.75" customHeight="1">
      <c r="A6782" s="7">
        <v>243.0</v>
      </c>
      <c r="B6782" s="9" t="s">
        <v>13654</v>
      </c>
      <c r="C6782" s="9" t="s">
        <v>13655</v>
      </c>
      <c r="D6782" s="9" t="s">
        <v>79</v>
      </c>
      <c r="E6782" s="6" t="s">
        <v>13656</v>
      </c>
      <c r="F6782" s="9"/>
    </row>
    <row r="6783" ht="33.75" customHeight="1">
      <c r="A6783" s="7">
        <v>243.0</v>
      </c>
      <c r="B6783" s="9" t="s">
        <v>13654</v>
      </c>
      <c r="C6783" s="9" t="s">
        <v>13655</v>
      </c>
      <c r="D6783" s="9" t="s">
        <v>81</v>
      </c>
      <c r="E6783" s="6" t="s">
        <v>13662</v>
      </c>
      <c r="F6783" s="9"/>
    </row>
    <row r="6784" ht="33.75" customHeight="1">
      <c r="A6784" s="7">
        <v>243.0</v>
      </c>
      <c r="B6784" s="9" t="s">
        <v>13654</v>
      </c>
      <c r="C6784" s="9" t="s">
        <v>13655</v>
      </c>
      <c r="D6784" s="9" t="s">
        <v>84</v>
      </c>
      <c r="E6784" s="6" t="s">
        <v>13662</v>
      </c>
      <c r="F6784" s="9"/>
    </row>
    <row r="6785" ht="33.75" customHeight="1">
      <c r="A6785" s="7">
        <v>243.0</v>
      </c>
      <c r="B6785" s="9" t="s">
        <v>13654</v>
      </c>
      <c r="C6785" s="9" t="s">
        <v>13655</v>
      </c>
      <c r="D6785" s="9" t="s">
        <v>87</v>
      </c>
      <c r="E6785" s="6" t="s">
        <v>13662</v>
      </c>
      <c r="F6785" s="9"/>
    </row>
    <row r="6786" ht="33.75" customHeight="1">
      <c r="A6786" s="7">
        <v>243.0</v>
      </c>
      <c r="B6786" s="9" t="s">
        <v>13654</v>
      </c>
      <c r="C6786" s="9" t="s">
        <v>13655</v>
      </c>
      <c r="D6786" s="9" t="s">
        <v>89</v>
      </c>
      <c r="E6786" s="6" t="s">
        <v>13656</v>
      </c>
      <c r="F6786" s="9"/>
    </row>
    <row r="6787" ht="33.75" customHeight="1">
      <c r="A6787" s="7">
        <v>243.0</v>
      </c>
      <c r="B6787" s="9" t="s">
        <v>13654</v>
      </c>
      <c r="C6787" s="9" t="s">
        <v>13655</v>
      </c>
      <c r="D6787" s="9" t="s">
        <v>91</v>
      </c>
      <c r="E6787" s="6" t="s">
        <v>13663</v>
      </c>
      <c r="F6787" s="9"/>
    </row>
    <row r="6788" ht="33.75" customHeight="1">
      <c r="A6788" s="7">
        <v>243.0</v>
      </c>
      <c r="B6788" s="9" t="s">
        <v>13654</v>
      </c>
      <c r="C6788" s="9" t="s">
        <v>13655</v>
      </c>
      <c r="D6788" s="9" t="s">
        <v>93</v>
      </c>
      <c r="E6788" s="6" t="s">
        <v>13662</v>
      </c>
      <c r="F6788" s="9"/>
    </row>
    <row r="6789" ht="33.75" customHeight="1">
      <c r="A6789" s="7">
        <v>243.0</v>
      </c>
      <c r="B6789" s="9" t="s">
        <v>13654</v>
      </c>
      <c r="C6789" s="9" t="s">
        <v>13655</v>
      </c>
      <c r="D6789" s="9" t="s">
        <v>95</v>
      </c>
      <c r="E6789" s="6" t="s">
        <v>13662</v>
      </c>
      <c r="F6789" s="9"/>
    </row>
    <row r="6790" ht="33.75" customHeight="1">
      <c r="A6790" s="7">
        <v>243.0</v>
      </c>
      <c r="B6790" s="9" t="s">
        <v>13654</v>
      </c>
      <c r="C6790" s="9" t="s">
        <v>13655</v>
      </c>
      <c r="D6790" s="9" t="s">
        <v>98</v>
      </c>
      <c r="E6790" s="6" t="s">
        <v>13662</v>
      </c>
      <c r="F6790" s="9"/>
    </row>
    <row r="6791" ht="33.75" customHeight="1">
      <c r="A6791" s="7">
        <v>243.0</v>
      </c>
      <c r="B6791" s="9" t="s">
        <v>13654</v>
      </c>
      <c r="C6791" s="9" t="s">
        <v>13655</v>
      </c>
      <c r="D6791" s="9" t="s">
        <v>99</v>
      </c>
      <c r="E6791" s="6" t="s">
        <v>13662</v>
      </c>
      <c r="F6791" s="9"/>
    </row>
    <row r="6792" ht="33.75" customHeight="1">
      <c r="A6792" s="7">
        <v>243.0</v>
      </c>
      <c r="B6792" s="9" t="s">
        <v>13654</v>
      </c>
      <c r="C6792" s="9" t="s">
        <v>13655</v>
      </c>
      <c r="D6792" s="9" t="s">
        <v>101</v>
      </c>
      <c r="E6792" s="6" t="s">
        <v>13656</v>
      </c>
      <c r="F6792" s="9"/>
    </row>
    <row r="6793" ht="33.75" customHeight="1">
      <c r="A6793" s="7">
        <v>243.0</v>
      </c>
      <c r="B6793" s="9" t="s">
        <v>13654</v>
      </c>
      <c r="C6793" s="9" t="s">
        <v>13655</v>
      </c>
      <c r="D6793" s="9" t="s">
        <v>105</v>
      </c>
      <c r="E6793" s="6" t="s">
        <v>13664</v>
      </c>
      <c r="F6793" s="9"/>
    </row>
    <row r="6794" ht="33.75" customHeight="1">
      <c r="A6794" s="7">
        <v>243.0</v>
      </c>
      <c r="B6794" s="9" t="s">
        <v>13654</v>
      </c>
      <c r="C6794" s="9" t="s">
        <v>13655</v>
      </c>
      <c r="D6794" s="9" t="s">
        <v>107</v>
      </c>
      <c r="E6794" s="6" t="s">
        <v>13665</v>
      </c>
      <c r="F6794" s="9"/>
    </row>
    <row r="6795" ht="33.75" customHeight="1">
      <c r="A6795" s="7">
        <v>243.0</v>
      </c>
      <c r="B6795" s="9" t="s">
        <v>13654</v>
      </c>
      <c r="C6795" s="9" t="s">
        <v>13655</v>
      </c>
      <c r="D6795" s="9" t="s">
        <v>109</v>
      </c>
      <c r="E6795" s="6" t="s">
        <v>13665</v>
      </c>
      <c r="F6795" s="9"/>
    </row>
    <row r="6796" ht="33.75" customHeight="1">
      <c r="A6796" s="7">
        <v>244.0</v>
      </c>
      <c r="B6796" s="9" t="s">
        <v>13666</v>
      </c>
      <c r="C6796" s="9" t="s">
        <v>9654</v>
      </c>
      <c r="D6796" s="9" t="s">
        <v>52</v>
      </c>
      <c r="E6796" s="6" t="s">
        <v>13667</v>
      </c>
      <c r="F6796" t="inlineStr" s="10">
        <is>
          <t xml:space="preserve">Tulivuoret purkautuvat Entein haukkuessa. Kykenemättä hillitsemään äärimmäistä voimaansa se juoksee suin päin ympäri maata. Pokémon, joka kiitää halki maan. Sanotaan, että sellainen syntyy joka kerta, kun uusi tulivuori ilmestyy. Tämä voimakas POKéMON kiitää maapallon ympäri ja syöksee liekkejä, jotka ovat kuumempia kuin tulivuoren magma. ENTEI ilmentää magman intohimoa. Tämän POKéMONin uskotaan syntyneen tulivuoren purkauksessa. Se lähettää massiivisia tulipurkauksia, jotka kuluttavat täysin kaiken, mihin ne koskevat. Sen uskotaan syntyneen tulivuorenpurkauksessa. Se räjäyttää tulta, joka kuluttaa kaiken, mihin se koskee. Sanotaan, että kun se jylisee, tulivuori purkautuu jossain päin maapalloa. Kykenemättä hillitsemään silkkaa voimaansa se kiitää suin päin ympäri maata. Pokémon, joka kilpailee halki maan. Sanotaan, että yksi syntyy joka kerta, kun uusi tulivuori ilmestyy. Se lähettää massiivisia tulipurkauksia, jotka kuluttavat täysin kaiken, mihin se koskee.</t>
        </is>
      </c>
    </row>
    <row r="6797" ht="33.75" customHeight="1">
      <c r="A6797" s="7">
        <v>244.0</v>
      </c>
      <c r="B6797" s="9" t="s">
        <v>13666</v>
      </c>
      <c r="C6797" s="9" t="s">
        <v>9654</v>
      </c>
      <c r="D6797" s="9" t="s">
        <v>59</v>
      </c>
      <c r="E6797" s="6" t="s">
        <v>13668</v>
      </c>
      <c r="F6797" s="9"/>
    </row>
    <row r="6798" ht="33.75" customHeight="1">
      <c r="A6798" s="7">
        <v>244.0</v>
      </c>
      <c r="B6798" s="9" t="s">
        <v>13666</v>
      </c>
      <c r="C6798" s="9" t="s">
        <v>9654</v>
      </c>
      <c r="D6798" s="9" t="s">
        <v>64</v>
      </c>
      <c r="E6798" s="6" t="s">
        <v>13669</v>
      </c>
      <c r="F6798" s="9"/>
    </row>
    <row r="6799" ht="33.75" customHeight="1">
      <c r="A6799" s="7">
        <v>244.0</v>
      </c>
      <c r="B6799" s="9" t="s">
        <v>13666</v>
      </c>
      <c r="C6799" s="9" t="s">
        <v>9654</v>
      </c>
      <c r="D6799" s="9" t="s">
        <v>67</v>
      </c>
      <c r="E6799" s="6" t="s">
        <v>13670</v>
      </c>
      <c r="F6799" s="9"/>
    </row>
    <row r="6800" ht="33.75" customHeight="1">
      <c r="A6800" s="7">
        <v>244.0</v>
      </c>
      <c r="B6800" s="9" t="s">
        <v>13666</v>
      </c>
      <c r="C6800" s="9" t="s">
        <v>9654</v>
      </c>
      <c r="D6800" s="9" t="s">
        <v>71</v>
      </c>
      <c r="E6800" s="6" t="s">
        <v>13670</v>
      </c>
      <c r="F6800" s="9"/>
    </row>
    <row r="6801" ht="33.75" customHeight="1">
      <c r="A6801" s="7">
        <v>244.0</v>
      </c>
      <c r="B6801" s="9" t="s">
        <v>13666</v>
      </c>
      <c r="C6801" s="9" t="s">
        <v>9654</v>
      </c>
      <c r="D6801" s="9" t="s">
        <v>73</v>
      </c>
      <c r="E6801" s="6" t="s">
        <v>13671</v>
      </c>
      <c r="F6801" s="9"/>
    </row>
    <row r="6802" ht="33.75" customHeight="1">
      <c r="A6802" s="7">
        <v>244.0</v>
      </c>
      <c r="B6802" s="9" t="s">
        <v>13666</v>
      </c>
      <c r="C6802" s="9" t="s">
        <v>9654</v>
      </c>
      <c r="D6802" s="9" t="s">
        <v>75</v>
      </c>
      <c r="E6802" s="6" t="s">
        <v>13668</v>
      </c>
      <c r="F6802" s="9"/>
    </row>
    <row r="6803" ht="33.75" customHeight="1">
      <c r="A6803" s="7">
        <v>244.0</v>
      </c>
      <c r="B6803" s="9" t="s">
        <v>13666</v>
      </c>
      <c r="C6803" s="9" t="s">
        <v>9654</v>
      </c>
      <c r="D6803" s="9" t="s">
        <v>79</v>
      </c>
      <c r="E6803" s="6" t="s">
        <v>13667</v>
      </c>
      <c r="F6803" s="9"/>
    </row>
    <row r="6804" ht="33.75" customHeight="1">
      <c r="A6804" s="7">
        <v>244.0</v>
      </c>
      <c r="B6804" s="9" t="s">
        <v>13666</v>
      </c>
      <c r="C6804" s="9" t="s">
        <v>9654</v>
      </c>
      <c r="D6804" s="9" t="s">
        <v>81</v>
      </c>
      <c r="E6804" s="6" t="s">
        <v>13673</v>
      </c>
      <c r="F6804" s="9"/>
    </row>
    <row r="6805" ht="33.75" customHeight="1">
      <c r="A6805" s="7">
        <v>244.0</v>
      </c>
      <c r="B6805" s="9" t="s">
        <v>13666</v>
      </c>
      <c r="C6805" s="9" t="s">
        <v>9654</v>
      </c>
      <c r="D6805" s="9" t="s">
        <v>84</v>
      </c>
      <c r="E6805" s="6" t="s">
        <v>13673</v>
      </c>
      <c r="F6805" s="9"/>
    </row>
    <row r="6806" ht="33.75" customHeight="1">
      <c r="A6806" s="7">
        <v>244.0</v>
      </c>
      <c r="B6806" s="9" t="s">
        <v>13666</v>
      </c>
      <c r="C6806" s="9" t="s">
        <v>9654</v>
      </c>
      <c r="D6806" s="9" t="s">
        <v>87</v>
      </c>
      <c r="E6806" s="6" t="s">
        <v>13673</v>
      </c>
      <c r="F6806" s="9"/>
    </row>
    <row r="6807" ht="33.75" customHeight="1">
      <c r="A6807" s="7">
        <v>244.0</v>
      </c>
      <c r="B6807" s="9" t="s">
        <v>13666</v>
      </c>
      <c r="C6807" s="9" t="s">
        <v>9654</v>
      </c>
      <c r="D6807" s="9" t="s">
        <v>89</v>
      </c>
      <c r="E6807" s="6" t="s">
        <v>13674</v>
      </c>
      <c r="F6807" s="9"/>
    </row>
    <row r="6808" ht="33.75" customHeight="1">
      <c r="A6808" s="7">
        <v>244.0</v>
      </c>
      <c r="B6808" s="9" t="s">
        <v>13666</v>
      </c>
      <c r="C6808" s="9" t="s">
        <v>9654</v>
      </c>
      <c r="D6808" s="9" t="s">
        <v>91</v>
      </c>
      <c r="E6808" s="6" t="s">
        <v>13675</v>
      </c>
      <c r="F6808" s="9"/>
    </row>
    <row r="6809" ht="33.75" customHeight="1">
      <c r="A6809" s="7">
        <v>244.0</v>
      </c>
      <c r="B6809" s="9" t="s">
        <v>13666</v>
      </c>
      <c r="C6809" s="9" t="s">
        <v>9654</v>
      </c>
      <c r="D6809" s="9" t="s">
        <v>93</v>
      </c>
      <c r="E6809" s="6" t="s">
        <v>13673</v>
      </c>
      <c r="F6809" s="9"/>
    </row>
    <row r="6810" ht="33.75" customHeight="1">
      <c r="A6810" s="7">
        <v>244.0</v>
      </c>
      <c r="B6810" s="9" t="s">
        <v>13666</v>
      </c>
      <c r="C6810" s="9" t="s">
        <v>9654</v>
      </c>
      <c r="D6810" s="9" t="s">
        <v>95</v>
      </c>
      <c r="E6810" s="6" t="s">
        <v>13673</v>
      </c>
      <c r="F6810" s="9"/>
    </row>
    <row r="6811" ht="33.75" customHeight="1">
      <c r="A6811" s="7">
        <v>244.0</v>
      </c>
      <c r="B6811" s="9" t="s">
        <v>13666</v>
      </c>
      <c r="C6811" s="9" t="s">
        <v>9654</v>
      </c>
      <c r="D6811" s="9" t="s">
        <v>98</v>
      </c>
      <c r="E6811" s="6" t="s">
        <v>13673</v>
      </c>
      <c r="F6811" s="9"/>
    </row>
    <row r="6812" ht="33.75" customHeight="1">
      <c r="A6812" s="7">
        <v>244.0</v>
      </c>
      <c r="B6812" s="9" t="s">
        <v>13666</v>
      </c>
      <c r="C6812" s="9" t="s">
        <v>9654</v>
      </c>
      <c r="D6812" s="9" t="s">
        <v>99</v>
      </c>
      <c r="E6812" s="6" t="s">
        <v>13673</v>
      </c>
      <c r="F6812" s="9"/>
    </row>
    <row r="6813" ht="33.75" customHeight="1">
      <c r="A6813" s="7">
        <v>244.0</v>
      </c>
      <c r="B6813" s="9" t="s">
        <v>13666</v>
      </c>
      <c r="C6813" s="9" t="s">
        <v>9654</v>
      </c>
      <c r="D6813" s="9" t="s">
        <v>101</v>
      </c>
      <c r="E6813" s="6" t="s">
        <v>13675</v>
      </c>
      <c r="F6813" s="9"/>
    </row>
    <row r="6814" ht="33.75" customHeight="1">
      <c r="A6814" s="7">
        <v>244.0</v>
      </c>
      <c r="B6814" s="9" t="s">
        <v>13666</v>
      </c>
      <c r="C6814" s="9" t="s">
        <v>9654</v>
      </c>
      <c r="D6814" s="9" t="s">
        <v>105</v>
      </c>
      <c r="E6814" s="6" t="s">
        <v>13673</v>
      </c>
      <c r="F6814" s="9"/>
    </row>
    <row r="6815" ht="33.75" customHeight="1">
      <c r="A6815" s="7">
        <v>244.0</v>
      </c>
      <c r="B6815" s="9" t="s">
        <v>13666</v>
      </c>
      <c r="C6815" s="9" t="s">
        <v>9654</v>
      </c>
      <c r="D6815" s="9" t="s">
        <v>107</v>
      </c>
      <c r="E6815" s="6" t="s">
        <v>13676</v>
      </c>
      <c r="F6815" s="9"/>
    </row>
    <row r="6816" ht="33.75" customHeight="1">
      <c r="A6816" s="7">
        <v>244.0</v>
      </c>
      <c r="B6816" s="9" t="s">
        <v>13666</v>
      </c>
      <c r="C6816" s="9" t="s">
        <v>9654</v>
      </c>
      <c r="D6816" s="9" t="s">
        <v>109</v>
      </c>
      <c r="E6816" s="6" t="s">
        <v>13676</v>
      </c>
      <c r="F6816" s="9"/>
    </row>
    <row r="6817" ht="33.75" customHeight="1">
      <c r="A6817" s="7">
        <v>245.0</v>
      </c>
      <c r="B6817" s="9" t="s">
        <v>13677</v>
      </c>
      <c r="C6817" s="9" t="s">
        <v>13678</v>
      </c>
      <c r="D6817" s="9" t="s">
        <v>52</v>
      </c>
      <c r="E6817" s="6" t="s">
        <v>13679</v>
      </c>
      <c r="F6817" t="inlineStr" s="10">
        <is>
          <t xml:space="preserve">Suicunen sanotaan olevan pohjoistuulten jälleensyntyminen, ja se voi puhdistaa likaisen, samean veden välittömästi. Tämä POKéMON kiitää halki maan. Sanotaan, että pohjoistuulet jotenkin puhaltavat aina kun ne ilmestyvät. Tämä jumalainen POKéMON puhaltaa ympäri maailmaa etsien aina puhdasta lähdettään. SUICUNE ilmentää puhtaan vesilähteen myötätuntoa. Se virtaa maan halki sulavasti. Tällä POKéMONilla on kyky puhdistaa likaista vettä. Se virtaa maan halki liukuvan eleganssin lailla. Sillä on voima puhdistaa likainen vesi. Sanotaan, että pohjoistuulet puhaltavat jotenkin aina kun se ilmestyy. Se kiitää ympäri maailmaa puhdistaakseen saastunutta vettä. Se kiitää pois pohjoistuulen mukana. Sen sanotaan olevan pohjoistuulten ruumiillistuma, ja se voi puhdistaa likaisen, samean veden välittömästi. Tämä Pokémon kilpailee halki maan.</t>
        </is>
      </c>
    </row>
    <row r="6818" ht="33.75" customHeight="1">
      <c r="A6818" s="7">
        <v>245.0</v>
      </c>
      <c r="B6818" s="9" t="s">
        <v>13677</v>
      </c>
      <c r="C6818" s="9" t="s">
        <v>13678</v>
      </c>
      <c r="D6818" s="9" t="s">
        <v>59</v>
      </c>
      <c r="E6818" s="6" t="s">
        <v>13680</v>
      </c>
      <c r="F6818" s="9"/>
    </row>
    <row r="6819" ht="33.75" customHeight="1">
      <c r="A6819" s="7">
        <v>245.0</v>
      </c>
      <c r="B6819" s="9" t="s">
        <v>13677</v>
      </c>
      <c r="C6819" s="9" t="s">
        <v>13678</v>
      </c>
      <c r="D6819" s="9" t="s">
        <v>64</v>
      </c>
      <c r="E6819" s="6" t="s">
        <v>13681</v>
      </c>
      <c r="F6819" s="9"/>
    </row>
    <row r="6820" ht="33.75" customHeight="1">
      <c r="A6820" s="7">
        <v>245.0</v>
      </c>
      <c r="B6820" s="9" t="s">
        <v>13677</v>
      </c>
      <c r="C6820" s="9" t="s">
        <v>13678</v>
      </c>
      <c r="D6820" s="9" t="s">
        <v>67</v>
      </c>
      <c r="E6820" s="6" t="s">
        <v>13682</v>
      </c>
      <c r="F6820" s="9"/>
    </row>
    <row r="6821" ht="33.75" customHeight="1">
      <c r="A6821" s="7">
        <v>245.0</v>
      </c>
      <c r="B6821" s="9" t="s">
        <v>13677</v>
      </c>
      <c r="C6821" s="9" t="s">
        <v>13678</v>
      </c>
      <c r="D6821" s="9" t="s">
        <v>71</v>
      </c>
      <c r="E6821" s="6" t="s">
        <v>13682</v>
      </c>
      <c r="F6821" s="9"/>
    </row>
    <row r="6822" ht="33.75" customHeight="1">
      <c r="A6822" s="7">
        <v>245.0</v>
      </c>
      <c r="B6822" s="9" t="s">
        <v>13677</v>
      </c>
      <c r="C6822" s="9" t="s">
        <v>13678</v>
      </c>
      <c r="D6822" s="9" t="s">
        <v>73</v>
      </c>
      <c r="E6822" s="6" t="s">
        <v>13683</v>
      </c>
      <c r="F6822" s="9"/>
    </row>
    <row r="6823" ht="33.75" customHeight="1">
      <c r="A6823" s="7">
        <v>245.0</v>
      </c>
      <c r="B6823" s="9" t="s">
        <v>13677</v>
      </c>
      <c r="C6823" s="9" t="s">
        <v>13678</v>
      </c>
      <c r="D6823" s="9" t="s">
        <v>75</v>
      </c>
      <c r="E6823" s="6" t="s">
        <v>13684</v>
      </c>
      <c r="F6823" s="9"/>
    </row>
    <row r="6824" ht="33.75" customHeight="1">
      <c r="A6824" s="7">
        <v>245.0</v>
      </c>
      <c r="B6824" s="9" t="s">
        <v>13677</v>
      </c>
      <c r="C6824" s="9" t="s">
        <v>13678</v>
      </c>
      <c r="D6824" s="9" t="s">
        <v>79</v>
      </c>
      <c r="E6824" s="6" t="s">
        <v>13679</v>
      </c>
      <c r="F6824" s="9"/>
    </row>
    <row r="6825" ht="33.75" customHeight="1">
      <c r="A6825" s="7">
        <v>245.0</v>
      </c>
      <c r="B6825" s="9" t="s">
        <v>13677</v>
      </c>
      <c r="C6825" s="9" t="s">
        <v>13678</v>
      </c>
      <c r="D6825" s="9" t="s">
        <v>81</v>
      </c>
      <c r="E6825" s="6" t="s">
        <v>13685</v>
      </c>
      <c r="F6825" s="9"/>
    </row>
    <row r="6826" ht="33.75" customHeight="1">
      <c r="A6826" s="7">
        <v>245.0</v>
      </c>
      <c r="B6826" s="9" t="s">
        <v>13677</v>
      </c>
      <c r="C6826" s="9" t="s">
        <v>13678</v>
      </c>
      <c r="D6826" s="9" t="s">
        <v>84</v>
      </c>
      <c r="E6826" s="6" t="s">
        <v>13685</v>
      </c>
      <c r="F6826" s="9"/>
    </row>
    <row r="6827" ht="33.75" customHeight="1">
      <c r="A6827" s="7">
        <v>245.0</v>
      </c>
      <c r="B6827" s="9" t="s">
        <v>13677</v>
      </c>
      <c r="C6827" s="9" t="s">
        <v>13678</v>
      </c>
      <c r="D6827" s="9" t="s">
        <v>87</v>
      </c>
      <c r="E6827" s="6" t="s">
        <v>13685</v>
      </c>
      <c r="F6827" s="9"/>
    </row>
    <row r="6828" ht="33.75" customHeight="1">
      <c r="A6828" s="7">
        <v>245.0</v>
      </c>
      <c r="B6828" s="9" t="s">
        <v>13677</v>
      </c>
      <c r="C6828" s="9" t="s">
        <v>13678</v>
      </c>
      <c r="D6828" s="9" t="s">
        <v>89</v>
      </c>
      <c r="E6828" s="6" t="s">
        <v>13687</v>
      </c>
      <c r="F6828" s="9"/>
    </row>
    <row r="6829" ht="33.75" customHeight="1">
      <c r="A6829" s="7">
        <v>245.0</v>
      </c>
      <c r="B6829" s="9" t="s">
        <v>13677</v>
      </c>
      <c r="C6829" s="9" t="s">
        <v>13678</v>
      </c>
      <c r="D6829" s="9" t="s">
        <v>91</v>
      </c>
      <c r="E6829" s="6" t="s">
        <v>13688</v>
      </c>
      <c r="F6829" s="9"/>
    </row>
    <row r="6830" ht="33.75" customHeight="1">
      <c r="A6830" s="7">
        <v>245.0</v>
      </c>
      <c r="B6830" s="9" t="s">
        <v>13677</v>
      </c>
      <c r="C6830" s="9" t="s">
        <v>13678</v>
      </c>
      <c r="D6830" s="9" t="s">
        <v>93</v>
      </c>
      <c r="E6830" s="6" t="s">
        <v>13685</v>
      </c>
      <c r="F6830" s="9"/>
    </row>
    <row r="6831" ht="33.75" customHeight="1">
      <c r="A6831" s="7">
        <v>245.0</v>
      </c>
      <c r="B6831" s="9" t="s">
        <v>13677</v>
      </c>
      <c r="C6831" s="9" t="s">
        <v>13678</v>
      </c>
      <c r="D6831" s="9" t="s">
        <v>95</v>
      </c>
      <c r="E6831" s="6" t="s">
        <v>13685</v>
      </c>
      <c r="F6831" s="9"/>
    </row>
    <row r="6832" ht="33.75" customHeight="1">
      <c r="A6832" s="7">
        <v>245.0</v>
      </c>
      <c r="B6832" s="9" t="s">
        <v>13677</v>
      </c>
      <c r="C6832" s="9" t="s">
        <v>13678</v>
      </c>
      <c r="D6832" s="9" t="s">
        <v>98</v>
      </c>
      <c r="E6832" s="6" t="s">
        <v>13685</v>
      </c>
      <c r="F6832" s="9"/>
    </row>
    <row r="6833" ht="33.75" customHeight="1">
      <c r="A6833" s="7">
        <v>245.0</v>
      </c>
      <c r="B6833" s="9" t="s">
        <v>13677</v>
      </c>
      <c r="C6833" s="9" t="s">
        <v>13678</v>
      </c>
      <c r="D6833" s="9" t="s">
        <v>99</v>
      </c>
      <c r="E6833" s="6" t="s">
        <v>13685</v>
      </c>
      <c r="F6833" s="9"/>
    </row>
    <row r="6834" ht="33.75" customHeight="1">
      <c r="A6834" s="7">
        <v>245.0</v>
      </c>
      <c r="B6834" s="9" t="s">
        <v>13677</v>
      </c>
      <c r="C6834" s="9" t="s">
        <v>13678</v>
      </c>
      <c r="D6834" s="9" t="s">
        <v>101</v>
      </c>
      <c r="E6834" s="6" t="s">
        <v>13685</v>
      </c>
      <c r="F6834" s="9"/>
    </row>
    <row r="6835" ht="33.75" customHeight="1">
      <c r="A6835" s="7">
        <v>245.0</v>
      </c>
      <c r="B6835" s="9" t="s">
        <v>13677</v>
      </c>
      <c r="C6835" s="9" t="s">
        <v>13678</v>
      </c>
      <c r="D6835" s="9" t="s">
        <v>105</v>
      </c>
      <c r="E6835" s="6" t="s">
        <v>13687</v>
      </c>
      <c r="F6835" s="9"/>
    </row>
    <row r="6836" ht="33.75" customHeight="1">
      <c r="A6836" s="7">
        <v>245.0</v>
      </c>
      <c r="B6836" s="9" t="s">
        <v>13677</v>
      </c>
      <c r="C6836" s="9" t="s">
        <v>13678</v>
      </c>
      <c r="D6836" s="9" t="s">
        <v>107</v>
      </c>
      <c r="E6836" s="6" t="s">
        <v>13689</v>
      </c>
      <c r="F6836" s="9"/>
    </row>
    <row r="6837" ht="33.75" customHeight="1">
      <c r="A6837" s="7">
        <v>245.0</v>
      </c>
      <c r="B6837" s="9" t="s">
        <v>13677</v>
      </c>
      <c r="C6837" s="9" t="s">
        <v>13678</v>
      </c>
      <c r="D6837" s="9" t="s">
        <v>109</v>
      </c>
      <c r="E6837" s="6" t="s">
        <v>13689</v>
      </c>
      <c r="F6837" s="9"/>
    </row>
    <row r="6838" ht="33.75" customHeight="1">
      <c r="A6838" s="7">
        <v>246.0</v>
      </c>
      <c r="B6838" s="9" t="s">
        <v>13690</v>
      </c>
      <c r="C6838" s="9" t="s">
        <v>13691</v>
      </c>
      <c r="D6838" s="9" t="s">
        <v>52</v>
      </c>
      <c r="E6838" s="6" t="s">
        <v>13692</v>
      </c>
      <c r="F6838" t="inlineStr" s="10">
        <is>
          <t xml:space="preserve">Larvitar syö maata. Syötyään suuren vuoren se nukahtaa, jotta se voi kasvaa. Se syntyy syvällä maan alla. Se ei voi nousta esiin ennen kuin se on syönyt kokonaan ympäröivän maaperän. Syvällä maan alla syntynyt POKéMON koteloituu syötyään tarpeeksi multaa vuoren rakentamiseksi. LARVITAR syntyy syvällä maan alla. Päästäkseen pintaan tämän POKéMONin täytyy syödä tiensä maanpinnan läpi. Ennen kuin se tekee niin, LARVITAR ei voi nähdä vanhempiensa kasvoja. LAUKKU syntyy syvällä maan alla. Sen täytyy syöpyä tiensä läpi maanpinnan yläpuolelta nähdäkseen vanhempiensa kasvot. Maaperää syövä Pokémon. Syötyään suuren vuoren se menee nukkumaan, jotta se voi kasvaa. Syvällä maan alla syntynyt se nousee pinnalle ja koteloituu syötyään ympäröivän maaperän. Ennen kuin se tekee niin, Larvitar ei voi nähdä vanhempiaan. Maan alla syntynyt se syö tiensä maan läpi pintaan, missä sen vanhemmat ovat. Se ei siedä siellä kohtaamaansa kirkasta valoa. Se kasvaa maasta löytämillään ravinteilla ja syö suunnilleen vuoren verran maata ennen kuin siitä tulee kotelo.</t>
        </is>
      </c>
    </row>
    <row r="6839" ht="33.75" customHeight="1">
      <c r="A6839" s="7">
        <v>246.0</v>
      </c>
      <c r="B6839" s="9" t="s">
        <v>13690</v>
      </c>
      <c r="C6839" s="9" t="s">
        <v>13691</v>
      </c>
      <c r="D6839" s="9" t="s">
        <v>59</v>
      </c>
      <c r="E6839" s="6" t="s">
        <v>13693</v>
      </c>
      <c r="F6839" s="9"/>
    </row>
    <row r="6840" ht="33.75" customHeight="1">
      <c r="A6840" s="7">
        <v>246.0</v>
      </c>
      <c r="B6840" s="9" t="s">
        <v>13690</v>
      </c>
      <c r="C6840" s="9" t="s">
        <v>13691</v>
      </c>
      <c r="D6840" s="9" t="s">
        <v>64</v>
      </c>
      <c r="E6840" s="6" t="s">
        <v>13694</v>
      </c>
      <c r="F6840" s="9"/>
    </row>
    <row r="6841" ht="33.75" customHeight="1">
      <c r="A6841" s="7">
        <v>246.0</v>
      </c>
      <c r="B6841" s="9" t="s">
        <v>13690</v>
      </c>
      <c r="C6841" s="9" t="s">
        <v>13691</v>
      </c>
      <c r="D6841" s="9" t="s">
        <v>67</v>
      </c>
      <c r="E6841" s="6" t="s">
        <v>13695</v>
      </c>
      <c r="F6841" s="9"/>
    </row>
    <row r="6842" ht="33.75" customHeight="1">
      <c r="A6842" s="7">
        <v>246.0</v>
      </c>
      <c r="B6842" s="9" t="s">
        <v>13690</v>
      </c>
      <c r="C6842" s="9" t="s">
        <v>13691</v>
      </c>
      <c r="D6842" s="9" t="s">
        <v>71</v>
      </c>
      <c r="E6842" s="6" t="s">
        <v>13695</v>
      </c>
      <c r="F6842" s="9"/>
    </row>
    <row r="6843" ht="33.75" customHeight="1">
      <c r="A6843" s="7">
        <v>246.0</v>
      </c>
      <c r="B6843" s="9" t="s">
        <v>13690</v>
      </c>
      <c r="C6843" s="9" t="s">
        <v>13691</v>
      </c>
      <c r="D6843" s="9" t="s">
        <v>73</v>
      </c>
      <c r="E6843" s="6" t="s">
        <v>13696</v>
      </c>
      <c r="F6843" s="9"/>
    </row>
    <row r="6844" ht="33.75" customHeight="1">
      <c r="A6844" s="7">
        <v>246.0</v>
      </c>
      <c r="B6844" s="9" t="s">
        <v>13690</v>
      </c>
      <c r="C6844" s="9" t="s">
        <v>13691</v>
      </c>
      <c r="D6844" s="9" t="s">
        <v>75</v>
      </c>
      <c r="E6844" s="6" t="s">
        <v>13693</v>
      </c>
      <c r="F6844" s="9"/>
    </row>
    <row r="6845" ht="33.75" customHeight="1">
      <c r="A6845" s="7">
        <v>246.0</v>
      </c>
      <c r="B6845" s="9" t="s">
        <v>13690</v>
      </c>
      <c r="C6845" s="9" t="s">
        <v>13691</v>
      </c>
      <c r="D6845" s="9" t="s">
        <v>79</v>
      </c>
      <c r="E6845" s="6" t="s">
        <v>13692</v>
      </c>
      <c r="F6845" s="9"/>
    </row>
    <row r="6846" ht="33.75" customHeight="1">
      <c r="A6846" s="7">
        <v>246.0</v>
      </c>
      <c r="B6846" s="9" t="s">
        <v>13690</v>
      </c>
      <c r="C6846" s="9" t="s">
        <v>13691</v>
      </c>
      <c r="D6846" s="9" t="s">
        <v>81</v>
      </c>
      <c r="E6846" s="6" t="s">
        <v>13697</v>
      </c>
      <c r="F6846" s="9"/>
    </row>
    <row r="6847" ht="33.75" customHeight="1">
      <c r="A6847" s="7">
        <v>246.0</v>
      </c>
      <c r="B6847" s="9" t="s">
        <v>13690</v>
      </c>
      <c r="C6847" s="9" t="s">
        <v>13691</v>
      </c>
      <c r="D6847" s="9" t="s">
        <v>84</v>
      </c>
      <c r="E6847" s="6" t="s">
        <v>13697</v>
      </c>
      <c r="F6847" s="9"/>
    </row>
    <row r="6848" ht="33.75" customHeight="1">
      <c r="A6848" s="7">
        <v>246.0</v>
      </c>
      <c r="B6848" s="9" t="s">
        <v>13690</v>
      </c>
      <c r="C6848" s="9" t="s">
        <v>13691</v>
      </c>
      <c r="D6848" s="9" t="s">
        <v>87</v>
      </c>
      <c r="E6848" s="6" t="s">
        <v>13697</v>
      </c>
      <c r="F6848" s="9"/>
    </row>
    <row r="6849" ht="33.75" customHeight="1">
      <c r="A6849" s="7">
        <v>246.0</v>
      </c>
      <c r="B6849" s="9" t="s">
        <v>13690</v>
      </c>
      <c r="C6849" s="9" t="s">
        <v>13691</v>
      </c>
      <c r="D6849" s="9" t="s">
        <v>89</v>
      </c>
      <c r="E6849" s="6" t="s">
        <v>13692</v>
      </c>
      <c r="F6849" s="9"/>
    </row>
    <row r="6850" ht="33.75" customHeight="1">
      <c r="A6850" s="7">
        <v>246.0</v>
      </c>
      <c r="B6850" s="9" t="s">
        <v>13690</v>
      </c>
      <c r="C6850" s="9" t="s">
        <v>13691</v>
      </c>
      <c r="D6850" s="9" t="s">
        <v>91</v>
      </c>
      <c r="E6850" s="6" t="s">
        <v>13693</v>
      </c>
      <c r="F6850" s="9"/>
    </row>
    <row r="6851" ht="33.75" customHeight="1">
      <c r="A6851" s="7">
        <v>246.0</v>
      </c>
      <c r="B6851" s="9" t="s">
        <v>13690</v>
      </c>
      <c r="C6851" s="9" t="s">
        <v>13691</v>
      </c>
      <c r="D6851" s="9" t="s">
        <v>93</v>
      </c>
      <c r="E6851" s="6" t="s">
        <v>13697</v>
      </c>
      <c r="F6851" s="9"/>
    </row>
    <row r="6852" ht="33.75" customHeight="1">
      <c r="A6852" s="7">
        <v>246.0</v>
      </c>
      <c r="B6852" s="9" t="s">
        <v>13690</v>
      </c>
      <c r="C6852" s="9" t="s">
        <v>13691</v>
      </c>
      <c r="D6852" s="9" t="s">
        <v>95</v>
      </c>
      <c r="E6852" s="6" t="s">
        <v>13697</v>
      </c>
      <c r="F6852" s="9"/>
    </row>
    <row r="6853" ht="33.75" customHeight="1">
      <c r="A6853" s="7">
        <v>246.0</v>
      </c>
      <c r="B6853" s="9" t="s">
        <v>13690</v>
      </c>
      <c r="C6853" s="9" t="s">
        <v>13691</v>
      </c>
      <c r="D6853" s="9" t="s">
        <v>98</v>
      </c>
      <c r="E6853" s="6" t="s">
        <v>13699</v>
      </c>
      <c r="F6853" s="9"/>
    </row>
    <row r="6854" ht="33.75" customHeight="1">
      <c r="A6854" s="7">
        <v>246.0</v>
      </c>
      <c r="B6854" s="9" t="s">
        <v>13690</v>
      </c>
      <c r="C6854" s="9" t="s">
        <v>13691</v>
      </c>
      <c r="D6854" s="9" t="s">
        <v>99</v>
      </c>
      <c r="E6854" s="6" t="s">
        <v>13699</v>
      </c>
      <c r="F6854" s="9"/>
    </row>
    <row r="6855" ht="33.75" customHeight="1">
      <c r="A6855" s="7">
        <v>246.0</v>
      </c>
      <c r="B6855" s="9" t="s">
        <v>13690</v>
      </c>
      <c r="C6855" s="9" t="s">
        <v>13691</v>
      </c>
      <c r="D6855" s="9" t="s">
        <v>101</v>
      </c>
      <c r="E6855" s="6" t="s">
        <v>13692</v>
      </c>
      <c r="F6855" s="9"/>
    </row>
    <row r="6856" ht="33.75" customHeight="1">
      <c r="A6856" s="7">
        <v>246.0</v>
      </c>
      <c r="B6856" s="9" t="s">
        <v>13690</v>
      </c>
      <c r="C6856" s="9" t="s">
        <v>13691</v>
      </c>
      <c r="D6856" s="9" t="s">
        <v>105</v>
      </c>
      <c r="E6856" s="6" t="s">
        <v>13699</v>
      </c>
      <c r="F6856" s="9"/>
    </row>
    <row r="6857" ht="33.75" customHeight="1">
      <c r="A6857" s="7">
        <v>246.0</v>
      </c>
      <c r="B6857" s="9" t="s">
        <v>13690</v>
      </c>
      <c r="C6857" s="9" t="s">
        <v>13691</v>
      </c>
      <c r="D6857" s="9" t="s">
        <v>107</v>
      </c>
      <c r="E6857" s="6" t="s">
        <v>13700</v>
      </c>
      <c r="F6857" s="9"/>
    </row>
    <row r="6858" ht="33.75" customHeight="1">
      <c r="A6858" s="7">
        <v>246.0</v>
      </c>
      <c r="B6858" s="9" t="s">
        <v>13690</v>
      </c>
      <c r="C6858" s="9" t="s">
        <v>13691</v>
      </c>
      <c r="D6858" s="9" t="s">
        <v>109</v>
      </c>
      <c r="E6858" s="6" t="s">
        <v>13700</v>
      </c>
      <c r="F6858" s="9"/>
    </row>
    <row r="6859" ht="33.75" customHeight="1">
      <c r="A6859" s="7">
        <v>246.0</v>
      </c>
      <c r="B6859" s="9" t="s">
        <v>13690</v>
      </c>
      <c r="C6859" s="9" t="s">
        <v>13691</v>
      </c>
      <c r="D6859" s="9" t="s">
        <v>647</v>
      </c>
      <c r="E6859" s="6" t="s">
        <v>13701</v>
      </c>
      <c r="F6859" s="9"/>
    </row>
    <row r="6860" ht="33.75" customHeight="1">
      <c r="A6860" s="7">
        <v>246.0</v>
      </c>
      <c r="B6860" s="9" t="s">
        <v>13690</v>
      </c>
      <c r="C6860" s="9" t="s">
        <v>13691</v>
      </c>
      <c r="D6860" s="9" t="s">
        <v>652</v>
      </c>
      <c r="E6860" s="6" t="s">
        <v>13702</v>
      </c>
      <c r="F6860" s="9"/>
    </row>
    <row r="6861" ht="33.75" customHeight="1">
      <c r="A6861" s="7">
        <v>246.0</v>
      </c>
      <c r="B6861" s="9" t="s">
        <v>13690</v>
      </c>
      <c r="C6861" s="9" t="s">
        <v>13691</v>
      </c>
      <c r="D6861" s="9" t="s">
        <v>114</v>
      </c>
      <c r="E6861" s="6" t="s">
        <v>13699</v>
      </c>
      <c r="F6861" s="9"/>
    </row>
    <row r="6862" ht="33.75" customHeight="1">
      <c r="A6862" s="7">
        <v>246.0</v>
      </c>
      <c r="B6862" s="9" t="s">
        <v>13690</v>
      </c>
      <c r="C6862" s="9" t="s">
        <v>13691</v>
      </c>
      <c r="D6862" s="9" t="s">
        <v>117</v>
      </c>
      <c r="E6862" s="6" t="s">
        <v>13692</v>
      </c>
      <c r="F6862" s="9"/>
    </row>
    <row r="6863" ht="33.75" customHeight="1">
      <c r="A6863" s="7">
        <v>247.0</v>
      </c>
      <c r="B6863" s="9" t="s">
        <v>13703</v>
      </c>
      <c r="C6863" s="9" t="s">
        <v>13704</v>
      </c>
      <c r="D6863" s="9" t="s">
        <v>52</v>
      </c>
      <c r="E6863" s="6" t="s">
        <v>13705</v>
      </c>
      <c r="F6863" t="inlineStr" s="10">
        <is>
          <t xml:space="preserve">Pupitarin kuori on kova kuin kipsilevy, ja se on myös erittäin vahva. Sen SEISONTA voi kaataa vuoren. Vaikka se on suljettu kuoreensa, se voi liikkua vapaasti. Kova ja nopea, sillä on huomattava tuhovoima. Se ei pysy paikallaan, edes koteloaikanaan. Sillä on jo kädet ja jalat kiinteän kuoren alla. PUPITAR luo ruumiinsa sisään kaasua, jonka se puristaa kokoon ja purkaa voimakkaasti liikuttaakseen itseään kuin suihkukone. Runko on erittäin kestävä – se ei vaurioidu, vaikka se osuisi kiinteään teräkseen. PUPITAR luo ruumiinsa sisään kaasua, jota se purkaa puristuksen alaisena liikuttaakseen itseään kuin suihkukonetta. Sen ruumis kestää törmäyksen kiinteään teräkseen. Sen runko on kova kuin peruskallio. Päästämällä paineistettua kaasua se voi laukaista itsensä kuin raketti. Sen selkäsauna voi kaataa vuoren. Tämä kotelo lentää villisti ympäriinsä päästämällä voimakkaasti ruumiinsa sisällä paineistettua kaasua. Ruumis on erittäin kestävä – se välttää vaurioita, vaikka se osuisi kiinteään teräkseen. Tämä hankala Pokémon odottaa innolla kehitystään, joten se lievittää stressiään sinkoilemalla villisti ympäriinsä paineistetun kaasun avulla. Tämä vaarallinen kotelo rimpuilee ympäriinsä. Sen kuori on kova kuin peruskallio, ja sen sisällä on sen vähitellen muodostuva uusi ruumis. Sillä on jo kädet ja jalat kiinteän kuorensa alla.</t>
        </is>
      </c>
    </row>
    <row r="6864" ht="33.75" customHeight="1">
      <c r="A6864" s="7">
        <v>247.0</v>
      </c>
      <c r="B6864" s="9" t="s">
        <v>13703</v>
      </c>
      <c r="C6864" s="9" t="s">
        <v>13704</v>
      </c>
      <c r="D6864" s="9" t="s">
        <v>59</v>
      </c>
      <c r="E6864" s="6" t="s">
        <v>13706</v>
      </c>
      <c r="F6864" s="9"/>
    </row>
    <row r="6865" ht="33.75" customHeight="1">
      <c r="A6865" s="7">
        <v>247.0</v>
      </c>
      <c r="B6865" s="9" t="s">
        <v>13703</v>
      </c>
      <c r="C6865" s="9" t="s">
        <v>13704</v>
      </c>
      <c r="D6865" s="9" t="s">
        <v>64</v>
      </c>
      <c r="E6865" s="6" t="s">
        <v>13707</v>
      </c>
      <c r="F6865" s="9"/>
    </row>
    <row r="6866" ht="33.75" customHeight="1">
      <c r="A6866" s="7">
        <v>247.0</v>
      </c>
      <c r="B6866" s="9" t="s">
        <v>13703</v>
      </c>
      <c r="C6866" s="9" t="s">
        <v>13704</v>
      </c>
      <c r="D6866" s="9" t="s">
        <v>67</v>
      </c>
      <c r="E6866" s="6" t="s">
        <v>13708</v>
      </c>
      <c r="F6866" s="9"/>
    </row>
    <row r="6867" ht="33.75" customHeight="1">
      <c r="A6867" s="7">
        <v>247.0</v>
      </c>
      <c r="B6867" s="9" t="s">
        <v>13703</v>
      </c>
      <c r="C6867" s="9" t="s">
        <v>13704</v>
      </c>
      <c r="D6867" s="9" t="s">
        <v>71</v>
      </c>
      <c r="E6867" s="6" t="s">
        <v>13708</v>
      </c>
      <c r="F6867" s="9"/>
    </row>
    <row r="6868" ht="33.75" customHeight="1">
      <c r="A6868" s="7">
        <v>247.0</v>
      </c>
      <c r="B6868" s="9" t="s">
        <v>13703</v>
      </c>
      <c r="C6868" s="9" t="s">
        <v>13704</v>
      </c>
      <c r="D6868" s="9" t="s">
        <v>73</v>
      </c>
      <c r="E6868" s="6" t="s">
        <v>13709</v>
      </c>
      <c r="F6868" s="9"/>
    </row>
    <row r="6869" ht="33.75" customHeight="1">
      <c r="A6869" s="7">
        <v>247.0</v>
      </c>
      <c r="B6869" s="9" t="s">
        <v>13703</v>
      </c>
      <c r="C6869" s="9" t="s">
        <v>13704</v>
      </c>
      <c r="D6869" s="9" t="s">
        <v>75</v>
      </c>
      <c r="E6869" s="6" t="s">
        <v>13706</v>
      </c>
      <c r="F6869" s="9"/>
    </row>
    <row r="6870" ht="33.75" customHeight="1">
      <c r="A6870" s="7">
        <v>247.0</v>
      </c>
      <c r="B6870" s="9" t="s">
        <v>13703</v>
      </c>
      <c r="C6870" s="9" t="s">
        <v>13704</v>
      </c>
      <c r="D6870" s="9" t="s">
        <v>79</v>
      </c>
      <c r="E6870" s="6" t="s">
        <v>13705</v>
      </c>
      <c r="F6870" s="9"/>
    </row>
    <row r="6871" ht="33.75" customHeight="1">
      <c r="A6871" s="7">
        <v>247.0</v>
      </c>
      <c r="B6871" s="9" t="s">
        <v>13703</v>
      </c>
      <c r="C6871" s="9" t="s">
        <v>13704</v>
      </c>
      <c r="D6871" s="9" t="s">
        <v>81</v>
      </c>
      <c r="E6871" s="6" t="s">
        <v>13711</v>
      </c>
      <c r="F6871" s="9"/>
    </row>
    <row r="6872" ht="33.75" customHeight="1">
      <c r="A6872" s="7">
        <v>247.0</v>
      </c>
      <c r="B6872" s="9" t="s">
        <v>13703</v>
      </c>
      <c r="C6872" s="9" t="s">
        <v>13704</v>
      </c>
      <c r="D6872" s="9" t="s">
        <v>84</v>
      </c>
      <c r="E6872" s="6" t="s">
        <v>13711</v>
      </c>
      <c r="F6872" s="9"/>
    </row>
    <row r="6873" ht="33.75" customHeight="1">
      <c r="A6873" s="7">
        <v>247.0</v>
      </c>
      <c r="B6873" s="9" t="s">
        <v>13703</v>
      </c>
      <c r="C6873" s="9" t="s">
        <v>13704</v>
      </c>
      <c r="D6873" s="9" t="s">
        <v>87</v>
      </c>
      <c r="E6873" s="6" t="s">
        <v>13711</v>
      </c>
      <c r="F6873" s="9"/>
    </row>
    <row r="6874" ht="33.75" customHeight="1">
      <c r="A6874" s="7">
        <v>247.0</v>
      </c>
      <c r="B6874" s="9" t="s">
        <v>13703</v>
      </c>
      <c r="C6874" s="9" t="s">
        <v>13704</v>
      </c>
      <c r="D6874" s="9" t="s">
        <v>89</v>
      </c>
      <c r="E6874" s="6" t="s">
        <v>13712</v>
      </c>
      <c r="F6874" s="9"/>
    </row>
    <row r="6875" ht="33.75" customHeight="1">
      <c r="A6875" s="7">
        <v>247.0</v>
      </c>
      <c r="B6875" s="9" t="s">
        <v>13703</v>
      </c>
      <c r="C6875" s="9" t="s">
        <v>13704</v>
      </c>
      <c r="D6875" s="9" t="s">
        <v>91</v>
      </c>
      <c r="E6875" s="6" t="s">
        <v>13706</v>
      </c>
      <c r="F6875" s="9"/>
    </row>
    <row r="6876" ht="33.75" customHeight="1">
      <c r="A6876" s="7">
        <v>247.0</v>
      </c>
      <c r="B6876" s="9" t="s">
        <v>13703</v>
      </c>
      <c r="C6876" s="9" t="s">
        <v>13704</v>
      </c>
      <c r="D6876" s="9" t="s">
        <v>93</v>
      </c>
      <c r="E6876" s="6" t="s">
        <v>13711</v>
      </c>
      <c r="F6876" s="9"/>
    </row>
    <row r="6877" ht="33.75" customHeight="1">
      <c r="A6877" s="7">
        <v>247.0</v>
      </c>
      <c r="B6877" s="9" t="s">
        <v>13703</v>
      </c>
      <c r="C6877" s="9" t="s">
        <v>13704</v>
      </c>
      <c r="D6877" s="9" t="s">
        <v>95</v>
      </c>
      <c r="E6877" s="6" t="s">
        <v>13711</v>
      </c>
      <c r="F6877" s="9"/>
    </row>
    <row r="6878" ht="33.75" customHeight="1">
      <c r="A6878" s="7">
        <v>247.0</v>
      </c>
      <c r="B6878" s="9" t="s">
        <v>13703</v>
      </c>
      <c r="C6878" s="9" t="s">
        <v>13704</v>
      </c>
      <c r="D6878" s="9" t="s">
        <v>98</v>
      </c>
      <c r="E6878" s="6" t="s">
        <v>13713</v>
      </c>
      <c r="F6878" s="9"/>
    </row>
    <row r="6879" ht="33.75" customHeight="1">
      <c r="A6879" s="7">
        <v>247.0</v>
      </c>
      <c r="B6879" s="9" t="s">
        <v>13703</v>
      </c>
      <c r="C6879" s="9" t="s">
        <v>13704</v>
      </c>
      <c r="D6879" s="9" t="s">
        <v>99</v>
      </c>
      <c r="E6879" s="6" t="s">
        <v>13713</v>
      </c>
      <c r="F6879" s="9"/>
    </row>
    <row r="6880" ht="33.75" customHeight="1">
      <c r="A6880" s="7">
        <v>247.0</v>
      </c>
      <c r="B6880" s="9" t="s">
        <v>13703</v>
      </c>
      <c r="C6880" s="9" t="s">
        <v>13704</v>
      </c>
      <c r="D6880" s="9" t="s">
        <v>101</v>
      </c>
      <c r="E6880" s="6" t="s">
        <v>13711</v>
      </c>
      <c r="F6880" s="9"/>
    </row>
    <row r="6881" ht="33.75" customHeight="1">
      <c r="A6881" s="7">
        <v>247.0</v>
      </c>
      <c r="B6881" s="9" t="s">
        <v>13703</v>
      </c>
      <c r="C6881" s="9" t="s">
        <v>13704</v>
      </c>
      <c r="D6881" s="9" t="s">
        <v>105</v>
      </c>
      <c r="E6881" s="6" t="s">
        <v>13712</v>
      </c>
      <c r="F6881" s="9"/>
    </row>
    <row r="6882" ht="33.75" customHeight="1">
      <c r="A6882" s="7">
        <v>247.0</v>
      </c>
      <c r="B6882" s="9" t="s">
        <v>13703</v>
      </c>
      <c r="C6882" s="9" t="s">
        <v>13704</v>
      </c>
      <c r="D6882" s="9" t="s">
        <v>107</v>
      </c>
      <c r="E6882" s="6" t="s">
        <v>13714</v>
      </c>
      <c r="F6882" s="9"/>
    </row>
    <row r="6883" ht="33.75" customHeight="1">
      <c r="A6883" s="7">
        <v>247.0</v>
      </c>
      <c r="B6883" s="9" t="s">
        <v>13703</v>
      </c>
      <c r="C6883" s="9" t="s">
        <v>13704</v>
      </c>
      <c r="D6883" s="9" t="s">
        <v>109</v>
      </c>
      <c r="E6883" s="6" t="s">
        <v>13714</v>
      </c>
      <c r="F6883" s="9"/>
    </row>
    <row r="6884" ht="33.75" customHeight="1">
      <c r="A6884" s="7">
        <v>247.0</v>
      </c>
      <c r="B6884" s="9" t="s">
        <v>13703</v>
      </c>
      <c r="C6884" s="9" t="s">
        <v>13704</v>
      </c>
      <c r="D6884" s="9" t="s">
        <v>647</v>
      </c>
      <c r="E6884" s="6" t="s">
        <v>13715</v>
      </c>
      <c r="F6884" s="9"/>
    </row>
    <row r="6885" ht="33.75" customHeight="1">
      <c r="A6885" s="7">
        <v>247.0</v>
      </c>
      <c r="B6885" s="9" t="s">
        <v>13703</v>
      </c>
      <c r="C6885" s="9" t="s">
        <v>13704</v>
      </c>
      <c r="D6885" s="9" t="s">
        <v>652</v>
      </c>
      <c r="E6885" s="6" t="s">
        <v>13716</v>
      </c>
      <c r="F6885" s="9"/>
    </row>
    <row r="6886" ht="33.75" customHeight="1">
      <c r="A6886" s="7">
        <v>247.0</v>
      </c>
      <c r="B6886" s="9" t="s">
        <v>13703</v>
      </c>
      <c r="C6886" s="9" t="s">
        <v>13704</v>
      </c>
      <c r="D6886" s="9" t="s">
        <v>114</v>
      </c>
      <c r="E6886" s="6" t="s">
        <v>13706</v>
      </c>
      <c r="F6886" s="9"/>
    </row>
    <row r="6887" ht="33.75" customHeight="1">
      <c r="A6887" s="7">
        <v>247.0</v>
      </c>
      <c r="B6887" s="9" t="s">
        <v>13703</v>
      </c>
      <c r="C6887" s="9" t="s">
        <v>13704</v>
      </c>
      <c r="D6887" s="9" t="s">
        <v>117</v>
      </c>
      <c r="E6887" s="6" t="s">
        <v>13717</v>
      </c>
      <c r="F6887" s="9"/>
    </row>
    <row r="6888" ht="33.75" customHeight="1">
      <c r="A6888" s="7">
        <v>248.0</v>
      </c>
      <c r="B6888" s="9" t="s">
        <v>13718</v>
      </c>
      <c r="C6888" s="9" t="s">
        <v>13245</v>
      </c>
      <c r="D6888" s="9" t="s">
        <v>52</v>
      </c>
      <c r="E6888" s="6" t="s">
        <v>13719</v>
      </c>
      <c r="F6888" t="inlineStr" s="10">
        <is>
          <t xml:space="preserve">Tyranitarin kehoon ei voi kohdistua minkäänlaisia ​​hyökkäyksiä, joten se on erittäin innokas haastamaan vihollisia. Äärimmäisen vahva, se voi muuttaa maisemaa. Sillä on röyhkeä luonne, joka tekee siitä välinpitämättömän muista. Jo yhdessä mahtavassa kädessään sillä on voima saada maa järisemään ja vuoret murenemaan. TYRANITAR on niin ylivoimaisen voimakas, että se voi kaataa kokonaisen vuoren pesänsä rakentamiseksi. Tämä POKéMON vaeltelee vuorilla etsien uusia vastustajia taisteltavaksi. TYRANITAARI on niin ylivoimaisen voimakas, että se voi kaataa kokonaisen vuoren pesänsä rakentamiseksi. Se vaeltelee vuorilla etsien uusia vastustajia taisteltavaksi. Jos se riehuu, se kaataa vuoria ja hautaa jokia. Kartat on piirrettävä uudelleen jälkikäteen. Sen kävelyn aiheuttamat maanjäristykset murentavat jopa suuria vuoria ja muuttavat ympäröivää maastoa. Tyranitar on niin ylivoimaisen voimakas, että se voi kaataa kokonaisen vuoren pesäänsä varten. Tämä Pokémon vaeltaa vuorilla etsien uusia vastustajia taisteltavaksi. Se vaeltaa vuorilla etsien vastustajia taisteltavaksi. Jos se löytää vastustajan, joka ei ole sen arvoinen, Tyranitar jättää sen huomiotta ja vaeltaa eteenpäin. Tämä Pokémon on liikkuva katastrofi, joka murentaa vuoria ja tuhoaa taloja jälkeensä.</t>
        </is>
      </c>
    </row>
    <row r="6889" ht="33.75" customHeight="1">
      <c r="A6889" s="7">
        <v>248.0</v>
      </c>
      <c r="B6889" s="9" t="s">
        <v>13718</v>
      </c>
      <c r="C6889" s="9" t="s">
        <v>13245</v>
      </c>
      <c r="D6889" s="9" t="s">
        <v>59</v>
      </c>
      <c r="E6889" s="6" t="s">
        <v>13720</v>
      </c>
      <c r="F6889" s="9"/>
    </row>
    <row r="6890" ht="33.75" customHeight="1">
      <c r="A6890" s="7">
        <v>248.0</v>
      </c>
      <c r="B6890" s="9" t="s">
        <v>13718</v>
      </c>
      <c r="C6890" s="9" t="s">
        <v>13245</v>
      </c>
      <c r="D6890" s="9" t="s">
        <v>64</v>
      </c>
      <c r="E6890" s="6" t="s">
        <v>13721</v>
      </c>
      <c r="F6890" s="9"/>
    </row>
    <row r="6891" ht="33.75" customHeight="1">
      <c r="A6891" s="7">
        <v>248.0</v>
      </c>
      <c r="B6891" s="9" t="s">
        <v>13718</v>
      </c>
      <c r="C6891" s="9" t="s">
        <v>13245</v>
      </c>
      <c r="D6891" s="9" t="s">
        <v>67</v>
      </c>
      <c r="E6891" s="6" t="s">
        <v>13722</v>
      </c>
      <c r="F6891" s="9"/>
    </row>
    <row r="6892" ht="33.75" customHeight="1">
      <c r="A6892" s="7">
        <v>248.0</v>
      </c>
      <c r="B6892" s="9" t="s">
        <v>13718</v>
      </c>
      <c r="C6892" s="9" t="s">
        <v>13245</v>
      </c>
      <c r="D6892" s="9" t="s">
        <v>71</v>
      </c>
      <c r="E6892" s="6" t="s">
        <v>13722</v>
      </c>
      <c r="F6892" s="9"/>
    </row>
    <row r="6893" ht="33.75" customHeight="1">
      <c r="A6893" s="7">
        <v>248.0</v>
      </c>
      <c r="B6893" s="9" t="s">
        <v>13718</v>
      </c>
      <c r="C6893" s="9" t="s">
        <v>13245</v>
      </c>
      <c r="D6893" s="9" t="s">
        <v>73</v>
      </c>
      <c r="E6893" s="6" t="s">
        <v>13723</v>
      </c>
      <c r="F6893" s="9"/>
    </row>
    <row r="6894" ht="33.75" customHeight="1">
      <c r="A6894" s="7">
        <v>248.0</v>
      </c>
      <c r="B6894" s="9" t="s">
        <v>13718</v>
      </c>
      <c r="C6894" s="9" t="s">
        <v>13245</v>
      </c>
      <c r="D6894" s="9" t="s">
        <v>75</v>
      </c>
      <c r="E6894" s="6" t="s">
        <v>13719</v>
      </c>
      <c r="F6894" s="9"/>
    </row>
    <row r="6895" ht="33.75" customHeight="1">
      <c r="A6895" s="7">
        <v>248.0</v>
      </c>
      <c r="B6895" s="9" t="s">
        <v>13718</v>
      </c>
      <c r="C6895" s="9" t="s">
        <v>13245</v>
      </c>
      <c r="D6895" s="9" t="s">
        <v>79</v>
      </c>
      <c r="E6895" s="6" t="s">
        <v>13719</v>
      </c>
      <c r="F6895" s="9"/>
    </row>
    <row r="6896" ht="33.75" customHeight="1">
      <c r="A6896" s="7">
        <v>248.0</v>
      </c>
      <c r="B6896" s="9" t="s">
        <v>13718</v>
      </c>
      <c r="C6896" s="9" t="s">
        <v>13245</v>
      </c>
      <c r="D6896" s="9" t="s">
        <v>81</v>
      </c>
      <c r="E6896" s="6" t="s">
        <v>13724</v>
      </c>
      <c r="F6896" s="9"/>
    </row>
    <row r="6897" ht="33.75" customHeight="1">
      <c r="A6897" s="7">
        <v>248.0</v>
      </c>
      <c r="B6897" s="9" t="s">
        <v>13718</v>
      </c>
      <c r="C6897" s="9" t="s">
        <v>13245</v>
      </c>
      <c r="D6897" s="9" t="s">
        <v>84</v>
      </c>
      <c r="E6897" s="6" t="s">
        <v>13724</v>
      </c>
      <c r="F6897" s="9"/>
    </row>
    <row r="6898" ht="33.75" customHeight="1">
      <c r="A6898" s="7">
        <v>248.0</v>
      </c>
      <c r="B6898" s="9" t="s">
        <v>13718</v>
      </c>
      <c r="C6898" s="9" t="s">
        <v>13245</v>
      </c>
      <c r="D6898" s="9" t="s">
        <v>87</v>
      </c>
      <c r="E6898" s="6" t="s">
        <v>13724</v>
      </c>
      <c r="F6898" s="9"/>
    </row>
    <row r="6899" ht="33.75" customHeight="1">
      <c r="A6899" s="7">
        <v>248.0</v>
      </c>
      <c r="B6899" s="9" t="s">
        <v>13718</v>
      </c>
      <c r="C6899" s="9" t="s">
        <v>13245</v>
      </c>
      <c r="D6899" s="9" t="s">
        <v>89</v>
      </c>
      <c r="E6899" s="6" t="s">
        <v>13719</v>
      </c>
      <c r="F6899" s="9"/>
    </row>
    <row r="6900" ht="33.75" customHeight="1">
      <c r="A6900" s="7">
        <v>248.0</v>
      </c>
      <c r="B6900" s="9" t="s">
        <v>13718</v>
      </c>
      <c r="C6900" s="9" t="s">
        <v>13245</v>
      </c>
      <c r="D6900" s="9" t="s">
        <v>91</v>
      </c>
      <c r="E6900" s="6" t="s">
        <v>13720</v>
      </c>
      <c r="F6900" s="9"/>
    </row>
    <row r="6901" ht="33.75" customHeight="1">
      <c r="A6901" s="7">
        <v>248.0</v>
      </c>
      <c r="B6901" s="9" t="s">
        <v>13718</v>
      </c>
      <c r="C6901" s="9" t="s">
        <v>13245</v>
      </c>
      <c r="D6901" s="9" t="s">
        <v>93</v>
      </c>
      <c r="E6901" s="6" t="s">
        <v>13724</v>
      </c>
      <c r="F6901" s="9"/>
    </row>
    <row r="6902" ht="33.75" customHeight="1">
      <c r="A6902" s="7">
        <v>248.0</v>
      </c>
      <c r="B6902" s="9" t="s">
        <v>13718</v>
      </c>
      <c r="C6902" s="9" t="s">
        <v>13245</v>
      </c>
      <c r="D6902" s="9" t="s">
        <v>95</v>
      </c>
      <c r="E6902" s="6" t="s">
        <v>13724</v>
      </c>
      <c r="F6902" s="9"/>
    </row>
    <row r="6903" ht="33.75" customHeight="1">
      <c r="A6903" s="7">
        <v>248.0</v>
      </c>
      <c r="B6903" s="9" t="s">
        <v>13718</v>
      </c>
      <c r="C6903" s="9" t="s">
        <v>13245</v>
      </c>
      <c r="D6903" s="9" t="s">
        <v>98</v>
      </c>
      <c r="E6903" s="6" t="s">
        <v>13726</v>
      </c>
      <c r="F6903" s="9"/>
    </row>
    <row r="6904" ht="33.75" customHeight="1">
      <c r="A6904" s="7">
        <v>248.0</v>
      </c>
      <c r="B6904" s="9" t="s">
        <v>13718</v>
      </c>
      <c r="C6904" s="9" t="s">
        <v>13245</v>
      </c>
      <c r="D6904" s="9" t="s">
        <v>99</v>
      </c>
      <c r="E6904" s="6" t="s">
        <v>13726</v>
      </c>
      <c r="F6904" s="9"/>
    </row>
    <row r="6905" ht="33.75" customHeight="1">
      <c r="A6905" s="7">
        <v>248.0</v>
      </c>
      <c r="B6905" s="9" t="s">
        <v>13718</v>
      </c>
      <c r="C6905" s="9" t="s">
        <v>13245</v>
      </c>
      <c r="D6905" s="9" t="s">
        <v>101</v>
      </c>
      <c r="E6905" s="6" t="s">
        <v>13721</v>
      </c>
      <c r="F6905" s="9"/>
    </row>
    <row r="6906" ht="33.75" customHeight="1">
      <c r="A6906" s="7">
        <v>248.0</v>
      </c>
      <c r="B6906" s="9" t="s">
        <v>13718</v>
      </c>
      <c r="C6906" s="9" t="s">
        <v>13245</v>
      </c>
      <c r="D6906" s="9" t="s">
        <v>105</v>
      </c>
      <c r="E6906" s="6" t="s">
        <v>13724</v>
      </c>
      <c r="F6906" s="9"/>
    </row>
    <row r="6907" ht="33.75" customHeight="1">
      <c r="A6907" s="7">
        <v>248.0</v>
      </c>
      <c r="B6907" s="9" t="s">
        <v>13718</v>
      </c>
      <c r="C6907" s="9" t="s">
        <v>13245</v>
      </c>
      <c r="D6907" s="9" t="s">
        <v>107</v>
      </c>
      <c r="E6907" s="6" t="s">
        <v>13727</v>
      </c>
      <c r="F6907" s="9"/>
    </row>
    <row r="6908" ht="33.75" customHeight="1">
      <c r="A6908" s="7">
        <v>248.0</v>
      </c>
      <c r="B6908" s="9" t="s">
        <v>13718</v>
      </c>
      <c r="C6908" s="9" t="s">
        <v>13245</v>
      </c>
      <c r="D6908" s="9" t="s">
        <v>109</v>
      </c>
      <c r="E6908" s="6" t="s">
        <v>13727</v>
      </c>
      <c r="F6908" s="9"/>
    </row>
    <row r="6909" ht="33.75" customHeight="1">
      <c r="A6909" s="7">
        <v>248.0</v>
      </c>
      <c r="B6909" s="9" t="s">
        <v>13718</v>
      </c>
      <c r="C6909" s="9" t="s">
        <v>13245</v>
      </c>
      <c r="D6909" s="9" t="s">
        <v>647</v>
      </c>
      <c r="E6909" s="6" t="s">
        <v>13728</v>
      </c>
      <c r="F6909" s="9"/>
    </row>
    <row r="6910" ht="33.75" customHeight="1">
      <c r="A6910" s="7">
        <v>248.0</v>
      </c>
      <c r="B6910" s="9" t="s">
        <v>13718</v>
      </c>
      <c r="C6910" s="9" t="s">
        <v>13245</v>
      </c>
      <c r="D6910" s="9" t="s">
        <v>652</v>
      </c>
      <c r="E6910" s="6" t="s">
        <v>13729</v>
      </c>
      <c r="F6910" s="9"/>
    </row>
    <row r="6911" ht="33.75" customHeight="1">
      <c r="A6911" s="7">
        <v>248.0</v>
      </c>
      <c r="B6911" s="9" t="s">
        <v>13718</v>
      </c>
      <c r="C6911" s="9" t="s">
        <v>13245</v>
      </c>
      <c r="D6911" s="9" t="s">
        <v>114</v>
      </c>
      <c r="E6911" s="6" t="s">
        <v>13719</v>
      </c>
      <c r="F6911" s="9"/>
    </row>
    <row r="6912" ht="33.75" customHeight="1">
      <c r="A6912" s="7">
        <v>248.0</v>
      </c>
      <c r="B6912" s="9" t="s">
        <v>13718</v>
      </c>
      <c r="C6912" s="9" t="s">
        <v>13245</v>
      </c>
      <c r="D6912" s="9" t="s">
        <v>117</v>
      </c>
      <c r="E6912" s="6" t="s">
        <v>13726</v>
      </c>
      <c r="F6912" s="9"/>
    </row>
    <row r="6913" ht="33.75" customHeight="1">
      <c r="A6913" s="7">
        <v>249.0</v>
      </c>
      <c r="B6913" s="9" t="s">
        <v>13730</v>
      </c>
      <c r="C6913" s="9" t="s">
        <v>13731</v>
      </c>
      <c r="D6913" s="9" t="s">
        <v>52</v>
      </c>
      <c r="E6913" s="6" t="s">
        <v>13732</v>
      </c>
      <c r="F6913" t="inlineStr" s="10">
        <is>
          <t xml:space="preserve">Sanotaan, että se viettää hiljaa aikansa syvällä meren pohjassa, koska Lugian voimat ovat liian voimakkaat. Sen sanotaan olevan merten vartija. Huhutaan, että se on nähty myrskyyönä. Sillä on uskomaton kyky tyynnyttää raivoavia myrskyjä. Sanotaan, että LUGIA ilmestyy myrskyjen alkaessa. LUGIAN siivet ovat tuhoisa voima – kevyt siipien räpyttely voi räjäyttää tavallisia taloja. Tämän seurauksena tämä POKéMON päättää asua piilossa syvällä meren alla. LUGIA on niin voimakas, että jo sen siipien kevyt räpyttely voi räjäyttää taloja. Siksi se päättää elää piilossa syvällä meren alla. Se nukkuu syvänmeren juoksuhaudassa. Jos se räpyttelee siipiään, sen sanotaan aiheuttavan 40 päivän myrskyn. Tämän seurauksena tämä Pokémon päättää elää piilossa syvällä meren alla.</t>
        </is>
      </c>
    </row>
    <row r="6914" ht="33.75" customHeight="1">
      <c r="A6914" s="7">
        <v>249.0</v>
      </c>
      <c r="B6914" s="9" t="s">
        <v>13730</v>
      </c>
      <c r="C6914" s="9" t="s">
        <v>13731</v>
      </c>
      <c r="D6914" s="9" t="s">
        <v>59</v>
      </c>
      <c r="E6914" s="6" t="s">
        <v>13734</v>
      </c>
      <c r="F6914" s="9"/>
    </row>
    <row r="6915" ht="33.75" customHeight="1">
      <c r="A6915" s="7">
        <v>249.0</v>
      </c>
      <c r="B6915" s="9" t="s">
        <v>13730</v>
      </c>
      <c r="C6915" s="9" t="s">
        <v>13731</v>
      </c>
      <c r="D6915" s="9" t="s">
        <v>64</v>
      </c>
      <c r="E6915" s="6" t="s">
        <v>13735</v>
      </c>
      <c r="F6915" s="9"/>
    </row>
    <row r="6916" ht="33.75" customHeight="1">
      <c r="A6916" s="7">
        <v>249.0</v>
      </c>
      <c r="B6916" s="9" t="s">
        <v>13730</v>
      </c>
      <c r="C6916" s="9" t="s">
        <v>13731</v>
      </c>
      <c r="D6916" s="9" t="s">
        <v>67</v>
      </c>
      <c r="E6916" s="6" t="s">
        <v>13736</v>
      </c>
      <c r="F6916" s="9"/>
    </row>
    <row r="6917" ht="33.75" customHeight="1">
      <c r="A6917" s="7">
        <v>249.0</v>
      </c>
      <c r="B6917" s="9" t="s">
        <v>13730</v>
      </c>
      <c r="C6917" s="9" t="s">
        <v>13731</v>
      </c>
      <c r="D6917" s="9" t="s">
        <v>71</v>
      </c>
      <c r="E6917" s="6" t="s">
        <v>13736</v>
      </c>
      <c r="F6917" s="9"/>
    </row>
    <row r="6918" ht="33.75" customHeight="1">
      <c r="A6918" s="7">
        <v>249.0</v>
      </c>
      <c r="B6918" s="9" t="s">
        <v>13730</v>
      </c>
      <c r="C6918" s="9" t="s">
        <v>13731</v>
      </c>
      <c r="D6918" s="9" t="s">
        <v>73</v>
      </c>
      <c r="E6918" s="6" t="s">
        <v>13737</v>
      </c>
      <c r="F6918" s="9"/>
    </row>
    <row r="6919" ht="33.75" customHeight="1">
      <c r="A6919" s="7">
        <v>249.0</v>
      </c>
      <c r="B6919" s="9" t="s">
        <v>13730</v>
      </c>
      <c r="C6919" s="9" t="s">
        <v>13731</v>
      </c>
      <c r="D6919" s="9" t="s">
        <v>75</v>
      </c>
      <c r="E6919" s="6" t="s">
        <v>13734</v>
      </c>
      <c r="F6919" s="9"/>
    </row>
    <row r="6920" ht="33.75" customHeight="1">
      <c r="A6920" s="7">
        <v>249.0</v>
      </c>
      <c r="B6920" s="9" t="s">
        <v>13730</v>
      </c>
      <c r="C6920" s="9" t="s">
        <v>13731</v>
      </c>
      <c r="D6920" s="9" t="s">
        <v>79</v>
      </c>
      <c r="E6920" s="6" t="s">
        <v>13732</v>
      </c>
      <c r="F6920" s="9"/>
    </row>
    <row r="6921" ht="33.75" customHeight="1">
      <c r="A6921" s="7">
        <v>249.0</v>
      </c>
      <c r="B6921" s="9" t="s">
        <v>13730</v>
      </c>
      <c r="C6921" s="9" t="s">
        <v>13731</v>
      </c>
      <c r="D6921" s="9" t="s">
        <v>81</v>
      </c>
      <c r="E6921" s="6" t="s">
        <v>13738</v>
      </c>
      <c r="F6921" s="9"/>
    </row>
    <row r="6922" ht="33.75" customHeight="1">
      <c r="A6922" s="7">
        <v>249.0</v>
      </c>
      <c r="B6922" s="9" t="s">
        <v>13730</v>
      </c>
      <c r="C6922" s="9" t="s">
        <v>13731</v>
      </c>
      <c r="D6922" s="9" t="s">
        <v>84</v>
      </c>
      <c r="E6922" s="6" t="s">
        <v>13738</v>
      </c>
      <c r="F6922" s="9"/>
    </row>
    <row r="6923" ht="33.75" customHeight="1">
      <c r="A6923" s="7">
        <v>249.0</v>
      </c>
      <c r="B6923" s="9" t="s">
        <v>13730</v>
      </c>
      <c r="C6923" s="9" t="s">
        <v>13731</v>
      </c>
      <c r="D6923" s="9" t="s">
        <v>87</v>
      </c>
      <c r="E6923" s="6" t="s">
        <v>13738</v>
      </c>
      <c r="F6923" s="9"/>
    </row>
    <row r="6924" ht="33.75" customHeight="1">
      <c r="A6924" s="7">
        <v>249.0</v>
      </c>
      <c r="B6924" s="9" t="s">
        <v>13730</v>
      </c>
      <c r="C6924" s="9" t="s">
        <v>13731</v>
      </c>
      <c r="D6924" s="9" t="s">
        <v>89</v>
      </c>
      <c r="E6924" s="6" t="s">
        <v>13732</v>
      </c>
      <c r="F6924" s="9"/>
    </row>
    <row r="6925" ht="33.75" customHeight="1">
      <c r="A6925" s="7">
        <v>249.0</v>
      </c>
      <c r="B6925" s="9" t="s">
        <v>13730</v>
      </c>
      <c r="C6925" s="9" t="s">
        <v>13731</v>
      </c>
      <c r="D6925" s="9" t="s">
        <v>91</v>
      </c>
      <c r="E6925" s="6" t="s">
        <v>13734</v>
      </c>
      <c r="F6925" s="9"/>
    </row>
    <row r="6926" ht="33.75" customHeight="1">
      <c r="A6926" s="7">
        <v>249.0</v>
      </c>
      <c r="B6926" s="9" t="s">
        <v>13730</v>
      </c>
      <c r="C6926" s="9" t="s">
        <v>13731</v>
      </c>
      <c r="D6926" s="9" t="s">
        <v>93</v>
      </c>
      <c r="E6926" s="6" t="s">
        <v>13738</v>
      </c>
      <c r="F6926" s="9"/>
    </row>
    <row r="6927" ht="33.75" customHeight="1">
      <c r="A6927" s="7">
        <v>249.0</v>
      </c>
      <c r="B6927" s="9" t="s">
        <v>13730</v>
      </c>
      <c r="C6927" s="9" t="s">
        <v>13731</v>
      </c>
      <c r="D6927" s="9" t="s">
        <v>95</v>
      </c>
      <c r="E6927" s="6" t="s">
        <v>13738</v>
      </c>
      <c r="F6927" s="9"/>
    </row>
    <row r="6928" ht="33.75" customHeight="1">
      <c r="A6928" s="7">
        <v>249.0</v>
      </c>
      <c r="B6928" s="9" t="s">
        <v>13730</v>
      </c>
      <c r="C6928" s="9" t="s">
        <v>13731</v>
      </c>
      <c r="D6928" s="9" t="s">
        <v>98</v>
      </c>
      <c r="E6928" s="6" t="s">
        <v>13738</v>
      </c>
      <c r="F6928" s="9"/>
    </row>
    <row r="6929" ht="33.75" customHeight="1">
      <c r="A6929" s="7">
        <v>249.0</v>
      </c>
      <c r="B6929" s="9" t="s">
        <v>13730</v>
      </c>
      <c r="C6929" s="9" t="s">
        <v>13731</v>
      </c>
      <c r="D6929" s="9" t="s">
        <v>99</v>
      </c>
      <c r="E6929" s="6" t="s">
        <v>13738</v>
      </c>
      <c r="F6929" s="9"/>
    </row>
    <row r="6930" ht="33.75" customHeight="1">
      <c r="A6930" s="7">
        <v>249.0</v>
      </c>
      <c r="B6930" s="9" t="s">
        <v>13730</v>
      </c>
      <c r="C6930" s="9" t="s">
        <v>13731</v>
      </c>
      <c r="D6930" s="9" t="s">
        <v>101</v>
      </c>
      <c r="E6930" s="6" t="s">
        <v>13738</v>
      </c>
      <c r="F6930" s="9"/>
    </row>
    <row r="6931" ht="33.75" customHeight="1">
      <c r="A6931" s="7">
        <v>249.0</v>
      </c>
      <c r="B6931" s="9" t="s">
        <v>13730</v>
      </c>
      <c r="C6931" s="9" t="s">
        <v>13731</v>
      </c>
      <c r="D6931" s="9" t="s">
        <v>105</v>
      </c>
      <c r="E6931" s="6" t="s">
        <v>13734</v>
      </c>
      <c r="F6931" s="9"/>
    </row>
    <row r="6932" ht="33.75" customHeight="1">
      <c r="A6932" s="7">
        <v>249.0</v>
      </c>
      <c r="B6932" s="9" t="s">
        <v>13730</v>
      </c>
      <c r="C6932" s="9" t="s">
        <v>13731</v>
      </c>
      <c r="D6932" s="9" t="s">
        <v>107</v>
      </c>
      <c r="E6932" s="6" t="s">
        <v>13739</v>
      </c>
      <c r="F6932" s="9"/>
    </row>
    <row r="6933" ht="33.75" customHeight="1">
      <c r="A6933" s="7">
        <v>249.0</v>
      </c>
      <c r="B6933" s="9" t="s">
        <v>13730</v>
      </c>
      <c r="C6933" s="9" t="s">
        <v>13731</v>
      </c>
      <c r="D6933" s="9" t="s">
        <v>109</v>
      </c>
      <c r="E6933" s="6" t="s">
        <v>13739</v>
      </c>
      <c r="F6933" s="9"/>
    </row>
    <row r="6934" ht="33.75" customHeight="1">
      <c r="A6934" s="7">
        <v>250.0</v>
      </c>
      <c r="B6934" s="9" t="s">
        <v>13741</v>
      </c>
      <c r="C6934" s="9" t="s">
        <v>13742</v>
      </c>
      <c r="D6934" s="9" t="s">
        <v>52</v>
      </c>
      <c r="E6934" s="6" t="s">
        <v>13743</v>
      </c>
      <c r="F6934" t="inlineStr" s="10">
        <is>
          <t xml:space="preserve">Legendojen mukaan tämä POKéMON lentää jatkuvasti maailman taivailla upeilla seitsemänvärisillä siivillään. Legendan mukaan sen ruumis hehkuu seitsemässä värissä. Sen taakse muodostuu sateenkaari, kun se lentää. Se paljastaa itsensä puhdassydämiselle kouluttajalle loihtimalla kirkkaan sateenkaarenväriset siipensä. HO-OH:n höyhenet hohtavat seitsemässä värissä riippuen siitä, mistä kulmasta valo osuu niihin. Näiden höyhenten sanotaan tuovan onnea kantajilleen. Tämän POKéMONin sanotaan asuvan sateenkaaren juurella. Sen höyhenten – jotka hohtavat seitsemässä värissä riippuen siitä, mistä kulmasta valo osuu niihin – uskotaan tuovan iloa. Sen sanotaan elävän sateenkaaren juurella. Sen höyhenet ovat seitsemänvärisiä. Sanotaan, että jokaiselle, joka näkee sen, luvataan ikuinen onni. Legendojen mukaan tämä Pokémon lentää jatkuvasti maailman taivailla upeilla, seitsemänvärisillä siivillään. Se paljastaa itsensä puhdassydämiselle kouluttajalle loihtimalla kirkkaat, sateenkaarenväriset siipensä. Ho-Ohin höyhenet hohtavat seitsemässä värissä riippuen siitä, mistä kulmasta valo osuu niihin.</t>
        </is>
      </c>
    </row>
    <row r="6935" ht="33.75" customHeight="1">
      <c r="A6935" s="7">
        <v>250.0</v>
      </c>
      <c r="B6935" s="9" t="s">
        <v>13741</v>
      </c>
      <c r="C6935" s="9" t="s">
        <v>13742</v>
      </c>
      <c r="D6935" s="9" t="s">
        <v>59</v>
      </c>
      <c r="E6935" s="6" t="s">
        <v>13744</v>
      </c>
      <c r="F6935" s="9"/>
    </row>
    <row r="6936" ht="33.75" customHeight="1">
      <c r="A6936" s="7">
        <v>250.0</v>
      </c>
      <c r="B6936" s="9" t="s">
        <v>13741</v>
      </c>
      <c r="C6936" s="9" t="s">
        <v>13742</v>
      </c>
      <c r="D6936" s="9" t="s">
        <v>64</v>
      </c>
      <c r="E6936" s="6" t="s">
        <v>13745</v>
      </c>
      <c r="F6936" s="9"/>
    </row>
    <row r="6937" ht="33.75" customHeight="1">
      <c r="A6937" s="7">
        <v>250.0</v>
      </c>
      <c r="B6937" s="9" t="s">
        <v>13741</v>
      </c>
      <c r="C6937" s="9" t="s">
        <v>13742</v>
      </c>
      <c r="D6937" s="9" t="s">
        <v>67</v>
      </c>
      <c r="E6937" s="6" t="s">
        <v>13746</v>
      </c>
      <c r="F6937" s="9"/>
    </row>
    <row r="6938" ht="33.75" customHeight="1">
      <c r="A6938" s="7">
        <v>250.0</v>
      </c>
      <c r="B6938" s="9" t="s">
        <v>13741</v>
      </c>
      <c r="C6938" s="9" t="s">
        <v>13742</v>
      </c>
      <c r="D6938" s="9" t="s">
        <v>71</v>
      </c>
      <c r="E6938" s="6" t="s">
        <v>13746</v>
      </c>
      <c r="F6938" s="9"/>
    </row>
    <row r="6939" ht="33.75" customHeight="1">
      <c r="A6939" s="7">
        <v>250.0</v>
      </c>
      <c r="B6939" s="9" t="s">
        <v>13741</v>
      </c>
      <c r="C6939" s="9" t="s">
        <v>13742</v>
      </c>
      <c r="D6939" s="9" t="s">
        <v>73</v>
      </c>
      <c r="E6939" s="6" t="s">
        <v>13747</v>
      </c>
      <c r="F6939" s="9"/>
    </row>
    <row r="6940" ht="33.75" customHeight="1">
      <c r="A6940" s="7">
        <v>250.0</v>
      </c>
      <c r="B6940" s="9" t="s">
        <v>13741</v>
      </c>
      <c r="C6940" s="9" t="s">
        <v>13742</v>
      </c>
      <c r="D6940" s="9" t="s">
        <v>75</v>
      </c>
      <c r="E6940" s="6" t="s">
        <v>13744</v>
      </c>
      <c r="F6940" s="9"/>
    </row>
    <row r="6941" ht="33.75" customHeight="1">
      <c r="A6941" s="7">
        <v>250.0</v>
      </c>
      <c r="B6941" s="9" t="s">
        <v>13741</v>
      </c>
      <c r="C6941" s="9" t="s">
        <v>13742</v>
      </c>
      <c r="D6941" s="9" t="s">
        <v>79</v>
      </c>
      <c r="E6941" s="6" t="s">
        <v>13743</v>
      </c>
      <c r="F6941" s="9"/>
    </row>
    <row r="6942" ht="33.75" customHeight="1">
      <c r="A6942" s="7">
        <v>250.0</v>
      </c>
      <c r="B6942" s="9" t="s">
        <v>13741</v>
      </c>
      <c r="C6942" s="9" t="s">
        <v>13742</v>
      </c>
      <c r="D6942" s="9" t="s">
        <v>81</v>
      </c>
      <c r="E6942" s="6" t="s">
        <v>13748</v>
      </c>
      <c r="F6942" s="9"/>
    </row>
    <row r="6943" ht="33.75" customHeight="1">
      <c r="A6943" s="7">
        <v>250.0</v>
      </c>
      <c r="B6943" s="9" t="s">
        <v>13741</v>
      </c>
      <c r="C6943" s="9" t="s">
        <v>13742</v>
      </c>
      <c r="D6943" s="9" t="s">
        <v>84</v>
      </c>
      <c r="E6943" s="6" t="s">
        <v>13748</v>
      </c>
      <c r="F6943" s="9"/>
    </row>
    <row r="6944" ht="33.75" customHeight="1">
      <c r="A6944" s="7">
        <v>250.0</v>
      </c>
      <c r="B6944" s="9" t="s">
        <v>13741</v>
      </c>
      <c r="C6944" s="9" t="s">
        <v>13742</v>
      </c>
      <c r="D6944" s="9" t="s">
        <v>87</v>
      </c>
      <c r="E6944" s="6" t="s">
        <v>13748</v>
      </c>
      <c r="F6944" s="9"/>
    </row>
    <row r="6945" ht="33.75" customHeight="1">
      <c r="A6945" s="7">
        <v>250.0</v>
      </c>
      <c r="B6945" s="9" t="s">
        <v>13741</v>
      </c>
      <c r="C6945" s="9" t="s">
        <v>13742</v>
      </c>
      <c r="D6945" s="9" t="s">
        <v>89</v>
      </c>
      <c r="E6945" s="6" t="s">
        <v>13749</v>
      </c>
      <c r="F6945" s="9"/>
    </row>
    <row r="6946" ht="33.75" customHeight="1">
      <c r="A6946" s="7">
        <v>250.0</v>
      </c>
      <c r="B6946" s="9" t="s">
        <v>13741</v>
      </c>
      <c r="C6946" s="9" t="s">
        <v>13742</v>
      </c>
      <c r="D6946" s="9" t="s">
        <v>91</v>
      </c>
      <c r="E6946" s="6" t="s">
        <v>13744</v>
      </c>
      <c r="F6946" s="9"/>
    </row>
    <row r="6947" ht="33.75" customHeight="1">
      <c r="A6947" s="7">
        <v>250.0</v>
      </c>
      <c r="B6947" s="9" t="s">
        <v>13741</v>
      </c>
      <c r="C6947" s="9" t="s">
        <v>13742</v>
      </c>
      <c r="D6947" s="9" t="s">
        <v>93</v>
      </c>
      <c r="E6947" s="6" t="s">
        <v>13748</v>
      </c>
      <c r="F6947" s="9"/>
    </row>
    <row r="6948" ht="33.75" customHeight="1">
      <c r="A6948" s="7">
        <v>250.0</v>
      </c>
      <c r="B6948" s="9" t="s">
        <v>13741</v>
      </c>
      <c r="C6948" s="9" t="s">
        <v>13742</v>
      </c>
      <c r="D6948" s="9" t="s">
        <v>95</v>
      </c>
      <c r="E6948" s="6" t="s">
        <v>13748</v>
      </c>
      <c r="F6948" s="9"/>
    </row>
    <row r="6949" ht="33.75" customHeight="1">
      <c r="A6949" s="7">
        <v>250.0</v>
      </c>
      <c r="B6949" s="9" t="s">
        <v>13741</v>
      </c>
      <c r="C6949" s="9" t="s">
        <v>13742</v>
      </c>
      <c r="D6949" s="9" t="s">
        <v>98</v>
      </c>
      <c r="E6949" s="6" t="s">
        <v>13748</v>
      </c>
      <c r="F6949" s="9"/>
    </row>
    <row r="6950" ht="33.75" customHeight="1">
      <c r="A6950" s="7">
        <v>250.0</v>
      </c>
      <c r="B6950" s="9" t="s">
        <v>13741</v>
      </c>
      <c r="C6950" s="9" t="s">
        <v>13742</v>
      </c>
      <c r="D6950" s="9" t="s">
        <v>99</v>
      </c>
      <c r="E6950" s="6" t="s">
        <v>13748</v>
      </c>
      <c r="F6950" s="9"/>
    </row>
    <row r="6951" ht="33.75" customHeight="1">
      <c r="A6951" s="7">
        <v>250.0</v>
      </c>
      <c r="B6951" s="9" t="s">
        <v>13741</v>
      </c>
      <c r="C6951" s="9" t="s">
        <v>13742</v>
      </c>
      <c r="D6951" s="9" t="s">
        <v>101</v>
      </c>
      <c r="E6951" s="6" t="s">
        <v>13744</v>
      </c>
      <c r="F6951" s="9"/>
    </row>
    <row r="6952" ht="33.75" customHeight="1">
      <c r="A6952" s="7">
        <v>250.0</v>
      </c>
      <c r="B6952" s="9" t="s">
        <v>13741</v>
      </c>
      <c r="C6952" s="9" t="s">
        <v>13742</v>
      </c>
      <c r="D6952" s="9" t="s">
        <v>105</v>
      </c>
      <c r="E6952" s="6" t="s">
        <v>13750</v>
      </c>
      <c r="F6952" s="9"/>
    </row>
    <row r="6953" ht="33.75" customHeight="1">
      <c r="A6953" s="7">
        <v>250.0</v>
      </c>
      <c r="B6953" s="9" t="s">
        <v>13741</v>
      </c>
      <c r="C6953" s="9" t="s">
        <v>13742</v>
      </c>
      <c r="D6953" s="9" t="s">
        <v>107</v>
      </c>
      <c r="E6953" s="6" t="s">
        <v>13752</v>
      </c>
      <c r="F6953" s="9"/>
    </row>
    <row r="6954" ht="33.75" customHeight="1">
      <c r="A6954" s="7">
        <v>250.0</v>
      </c>
      <c r="B6954" s="9" t="s">
        <v>13741</v>
      </c>
      <c r="C6954" s="9" t="s">
        <v>13742</v>
      </c>
      <c r="D6954" s="9" t="s">
        <v>109</v>
      </c>
      <c r="E6954" s="6" t="s">
        <v>13752</v>
      </c>
      <c r="F6954" s="9"/>
    </row>
    <row r="6955" ht="33.75" customHeight="1">
      <c r="A6955" s="7">
        <v>251.0</v>
      </c>
      <c r="B6955" s="9" t="s">
        <v>13753</v>
      </c>
      <c r="C6955" s="9" t="s">
        <v>13754</v>
      </c>
      <c r="D6955" s="9" t="s">
        <v>52</v>
      </c>
      <c r="E6955" s="6" t="s">
        <v>13755</v>
      </c>
      <c r="F6955" t="inlineStr" s="10">
        <is>
          <t xml:space="preserve">Tämä POKéMON vaeltaa ajassa. Ruoho ja puut kukoistavat metsissä, joissa se on esiintynyt. Kun CELEBI katoaa syvälle metsään, sen sanotaan jättävän jälkeensä tulevaisuudesta tuomansa munan. Metsän vartijana kunnioitettu CELEBI ilmestyy kaikkialle, missä on kauniita metsiä. Tämä POKéMON tuli tulevaisuudesta ajan ylityksen kautta. Uskotaan, että niin kauan kuin CELEBI ilmestyy, meitä odottaa kirkas ja loistava tulevaisuus. Ruoho ja puut kukoistavat metsissä, joissa se on ilmestynyt. Sillä on kyky matkustaa ajassa, mutta sen sanotaan ilmestyvän vain rauhallisina aikoina. Tällä Pokémonilla on kyky liikkua ajassa. Sitä metsäjumaluutena kuvailevia tietoja löytyy monilta eri aikakausilta. Tämä Pokémon matkusti ajan halki tullakseen tulevaisuudesta. Se tukee ruohoa ja puita omilla voimillaan ja se voi myös parantaa haavoja.</t>
        </is>
      </c>
    </row>
    <row r="6956" ht="33.75" customHeight="1">
      <c r="A6956" s="7">
        <v>251.0</v>
      </c>
      <c r="B6956" s="9" t="s">
        <v>13753</v>
      </c>
      <c r="C6956" s="9" t="s">
        <v>13754</v>
      </c>
      <c r="D6956" s="9" t="s">
        <v>59</v>
      </c>
      <c r="E6956" s="6" t="s">
        <v>13756</v>
      </c>
      <c r="F6956" s="9"/>
    </row>
    <row r="6957" ht="33.75" customHeight="1">
      <c r="A6957" s="7">
        <v>251.0</v>
      </c>
      <c r="B6957" s="9" t="s">
        <v>13753</v>
      </c>
      <c r="C6957" s="9" t="s">
        <v>13754</v>
      </c>
      <c r="D6957" s="9" t="s">
        <v>64</v>
      </c>
      <c r="E6957" s="6" t="s">
        <v>13757</v>
      </c>
      <c r="F6957" s="9"/>
    </row>
    <row r="6958" ht="33.75" customHeight="1">
      <c r="A6958" s="7">
        <v>251.0</v>
      </c>
      <c r="B6958" s="9" t="s">
        <v>13753</v>
      </c>
      <c r="C6958" s="9" t="s">
        <v>13754</v>
      </c>
      <c r="D6958" s="9" t="s">
        <v>67</v>
      </c>
      <c r="E6958" s="6" t="s">
        <v>13758</v>
      </c>
      <c r="F6958" s="9"/>
    </row>
    <row r="6959" ht="33.75" customHeight="1">
      <c r="A6959" s="7">
        <v>251.0</v>
      </c>
      <c r="B6959" s="9" t="s">
        <v>13753</v>
      </c>
      <c r="C6959" s="9" t="s">
        <v>13754</v>
      </c>
      <c r="D6959" s="9" t="s">
        <v>71</v>
      </c>
      <c r="E6959" s="6" t="s">
        <v>13758</v>
      </c>
      <c r="F6959" s="9"/>
    </row>
    <row r="6960" ht="33.75" customHeight="1">
      <c r="A6960" s="7">
        <v>251.0</v>
      </c>
      <c r="B6960" s="9" t="s">
        <v>13753</v>
      </c>
      <c r="C6960" s="9" t="s">
        <v>13754</v>
      </c>
      <c r="D6960" s="9" t="s">
        <v>73</v>
      </c>
      <c r="E6960" s="6" t="s">
        <v>13758</v>
      </c>
      <c r="F6960" s="9"/>
    </row>
    <row r="6961" ht="33.75" customHeight="1">
      <c r="A6961" s="7">
        <v>251.0</v>
      </c>
      <c r="B6961" s="9" t="s">
        <v>13753</v>
      </c>
      <c r="C6961" s="9" t="s">
        <v>13754</v>
      </c>
      <c r="D6961" s="9" t="s">
        <v>75</v>
      </c>
      <c r="E6961" s="6" t="s">
        <v>13756</v>
      </c>
      <c r="F6961" s="9"/>
    </row>
    <row r="6962" ht="33.75" customHeight="1">
      <c r="A6962" s="7">
        <v>251.0</v>
      </c>
      <c r="B6962" s="9" t="s">
        <v>13753</v>
      </c>
      <c r="C6962" s="9" t="s">
        <v>13754</v>
      </c>
      <c r="D6962" s="9" t="s">
        <v>79</v>
      </c>
      <c r="E6962" s="6" t="s">
        <v>13759</v>
      </c>
      <c r="F6962" s="9"/>
    </row>
    <row r="6963" ht="33.75" customHeight="1">
      <c r="A6963" s="7">
        <v>251.0</v>
      </c>
      <c r="B6963" s="9" t="s">
        <v>13753</v>
      </c>
      <c r="C6963" s="9" t="s">
        <v>13754</v>
      </c>
      <c r="D6963" s="9" t="s">
        <v>81</v>
      </c>
      <c r="E6963" s="6" t="s">
        <v>13760</v>
      </c>
      <c r="F6963" s="9"/>
    </row>
    <row r="6964" ht="33.75" customHeight="1">
      <c r="A6964" s="7">
        <v>251.0</v>
      </c>
      <c r="B6964" s="9" t="s">
        <v>13753</v>
      </c>
      <c r="C6964" s="9" t="s">
        <v>13754</v>
      </c>
      <c r="D6964" s="9" t="s">
        <v>84</v>
      </c>
      <c r="E6964" s="6" t="s">
        <v>13760</v>
      </c>
      <c r="F6964" s="9"/>
    </row>
    <row r="6965" ht="33.75" customHeight="1">
      <c r="A6965" s="7">
        <v>251.0</v>
      </c>
      <c r="B6965" s="9" t="s">
        <v>13753</v>
      </c>
      <c r="C6965" s="9" t="s">
        <v>13754</v>
      </c>
      <c r="D6965" s="9" t="s">
        <v>87</v>
      </c>
      <c r="E6965" s="6" t="s">
        <v>13760</v>
      </c>
      <c r="F6965" s="9"/>
    </row>
    <row r="6966" ht="33.75" customHeight="1">
      <c r="A6966" s="7">
        <v>251.0</v>
      </c>
      <c r="B6966" s="9" t="s">
        <v>13753</v>
      </c>
      <c r="C6966" s="9" t="s">
        <v>13754</v>
      </c>
      <c r="D6966" s="9" t="s">
        <v>89</v>
      </c>
      <c r="E6966" s="6" t="s">
        <v>13761</v>
      </c>
      <c r="F6966" s="9"/>
    </row>
    <row r="6967" ht="33.75" customHeight="1">
      <c r="A6967" s="7">
        <v>251.0</v>
      </c>
      <c r="B6967" s="9" t="s">
        <v>13753</v>
      </c>
      <c r="C6967" s="9" t="s">
        <v>13754</v>
      </c>
      <c r="D6967" s="9" t="s">
        <v>91</v>
      </c>
      <c r="E6967" s="6" t="s">
        <v>13756</v>
      </c>
      <c r="F6967" s="9"/>
    </row>
    <row r="6968" ht="33.75" customHeight="1">
      <c r="A6968" s="7">
        <v>251.0</v>
      </c>
      <c r="B6968" s="9" t="s">
        <v>13753</v>
      </c>
      <c r="C6968" s="9" t="s">
        <v>13754</v>
      </c>
      <c r="D6968" s="9" t="s">
        <v>93</v>
      </c>
      <c r="E6968" s="6" t="s">
        <v>13760</v>
      </c>
      <c r="F6968" s="9"/>
    </row>
    <row r="6969" ht="33.75" customHeight="1">
      <c r="A6969" s="7">
        <v>251.0</v>
      </c>
      <c r="B6969" s="9" t="s">
        <v>13753</v>
      </c>
      <c r="C6969" s="9" t="s">
        <v>13754</v>
      </c>
      <c r="D6969" s="9" t="s">
        <v>95</v>
      </c>
      <c r="E6969" s="6" t="s">
        <v>13760</v>
      </c>
      <c r="F6969" s="9"/>
    </row>
    <row r="6970" ht="33.75" customHeight="1">
      <c r="A6970" s="7">
        <v>251.0</v>
      </c>
      <c r="B6970" s="9" t="s">
        <v>13753</v>
      </c>
      <c r="C6970" s="9" t="s">
        <v>13754</v>
      </c>
      <c r="D6970" s="9" t="s">
        <v>98</v>
      </c>
      <c r="E6970" s="6" t="s">
        <v>13760</v>
      </c>
      <c r="F6970" s="9"/>
    </row>
    <row r="6971" ht="33.75" customHeight="1">
      <c r="A6971" s="7">
        <v>251.0</v>
      </c>
      <c r="B6971" s="9" t="s">
        <v>13753</v>
      </c>
      <c r="C6971" s="9" t="s">
        <v>13754</v>
      </c>
      <c r="D6971" s="9" t="s">
        <v>99</v>
      </c>
      <c r="E6971" s="6" t="s">
        <v>13760</v>
      </c>
      <c r="F6971" s="9"/>
    </row>
    <row r="6972" ht="33.75" customHeight="1">
      <c r="A6972" s="7">
        <v>251.0</v>
      </c>
      <c r="B6972" s="9" t="s">
        <v>13753</v>
      </c>
      <c r="C6972" s="9" t="s">
        <v>13754</v>
      </c>
      <c r="D6972" s="9" t="s">
        <v>101</v>
      </c>
      <c r="E6972" s="6" t="s">
        <v>13761</v>
      </c>
      <c r="F6972" s="9"/>
    </row>
    <row r="6973" ht="33.75" customHeight="1">
      <c r="A6973" s="7">
        <v>251.0</v>
      </c>
      <c r="B6973" s="9" t="s">
        <v>13753</v>
      </c>
      <c r="C6973" s="9" t="s">
        <v>13754</v>
      </c>
      <c r="D6973" s="9" t="s">
        <v>105</v>
      </c>
      <c r="E6973" s="6" t="s">
        <v>13760</v>
      </c>
      <c r="F6973" s="9"/>
    </row>
    <row r="6974" ht="33.75" customHeight="1">
      <c r="A6974" s="7">
        <v>251.0</v>
      </c>
      <c r="B6974" s="9" t="s">
        <v>13753</v>
      </c>
      <c r="C6974" s="9" t="s">
        <v>13754</v>
      </c>
      <c r="D6974" s="9" t="s">
        <v>107</v>
      </c>
      <c r="E6974" s="6" t="s">
        <v>13763</v>
      </c>
      <c r="F6974" s="9"/>
    </row>
    <row r="6975" ht="33.75" customHeight="1">
      <c r="A6975" s="7">
        <v>251.0</v>
      </c>
      <c r="B6975" s="9" t="s">
        <v>13753</v>
      </c>
      <c r="C6975" s="9" t="s">
        <v>13754</v>
      </c>
      <c r="D6975" s="9" t="s">
        <v>109</v>
      </c>
      <c r="E6975" s="6" t="s">
        <v>13763</v>
      </c>
      <c r="F6975" s="9"/>
    </row>
    <row r="6976" ht="33.75" customHeight="1">
      <c r="A6976" s="7">
        <v>251.0</v>
      </c>
      <c r="B6976" s="9" t="s">
        <v>13753</v>
      </c>
      <c r="C6976" s="9" t="s">
        <v>13754</v>
      </c>
      <c r="D6976" s="9" t="s">
        <v>114</v>
      </c>
      <c r="E6976" s="6" t="s">
        <v>13764</v>
      </c>
      <c r="F6976" s="9"/>
    </row>
    <row r="6977" ht="33.75" customHeight="1">
      <c r="A6977" s="7">
        <v>251.0</v>
      </c>
      <c r="B6977" s="9" t="s">
        <v>13753</v>
      </c>
      <c r="C6977" s="9" t="s">
        <v>13754</v>
      </c>
      <c r="D6977" s="9" t="s">
        <v>117</v>
      </c>
      <c r="E6977" s="6" t="s">
        <v>13765</v>
      </c>
      <c r="F6977" s="9"/>
    </row>
    <row r="6978" ht="33.75" customHeight="1">
      <c r="A6978" s="7">
        <v>252.0</v>
      </c>
      <c r="B6978" s="9" t="s">
        <v>13766</v>
      </c>
      <c r="C6978" s="9" t="s">
        <v>13767</v>
      </c>
      <c r="D6978" s="9" t="s">
        <v>67</v>
      </c>
      <c r="E6978" s="6" t="s">
        <v>13768</v>
      </c>
      <c r="F6978" t="inlineStr" s="10">
        <is>
          <t xml:space="preserve">TREECKOlla on pienet koukut jalkojensa pohjassa, joiden avulla se voi kiivetä pystysuoria seiniä pitkin. Tämä POKéMON hyökkää iskemällä vihollisia paksulla hännällään. TREECKO on viileä, rauhallinen ja rauhallinen – se ei koskaan panikoi missään tilanteessa. Jos suurempi vihollinen tuijottaisi tätä POKéMONIA, se tuijottaisi takaisin päästämättä senttiäkään maata. Se tekee pesänsä jättimäiseen puuhun metsässä. Se suojelee raivokkaasti kaikkea, mikä lähestyy sen reviiriä. Sen sanotaan olevan metsän puiden suojelija. Se kiipeää nopeasti jopa pystysuorien seinien yli. Se aistii kosteuden pyrstöllään ennustaakseen seuraavan päivän sään. Sen jalkapohjia peittävät lukemattomat pienet piikit, joiden avulla se voi kävellä seinillä ja katoilla. Sen jalkojen pohjassa olevat pienet koukut tarttuvat seiniin ja kattoihin. Näin se voi roikkua ylhäältä.</t>
        </is>
      </c>
    </row>
    <row r="6979" ht="33.75" customHeight="1">
      <c r="A6979" s="7">
        <v>252.0</v>
      </c>
      <c r="B6979" s="9" t="s">
        <v>13766</v>
      </c>
      <c r="C6979" s="9" t="s">
        <v>13767</v>
      </c>
      <c r="D6979" s="9" t="s">
        <v>71</v>
      </c>
      <c r="E6979" s="6" t="s">
        <v>13769</v>
      </c>
      <c r="F6979" s="9"/>
    </row>
    <row r="6980" ht="33.75" customHeight="1">
      <c r="A6980" s="7">
        <v>252.0</v>
      </c>
      <c r="B6980" s="9" t="s">
        <v>13766</v>
      </c>
      <c r="C6980" s="9" t="s">
        <v>13767</v>
      </c>
      <c r="D6980" s="9" t="s">
        <v>73</v>
      </c>
      <c r="E6980" s="6" t="s">
        <v>13770</v>
      </c>
      <c r="F6980" s="9"/>
    </row>
    <row r="6981" ht="33.75" customHeight="1">
      <c r="A6981" s="7">
        <v>252.0</v>
      </c>
      <c r="B6981" s="9" t="s">
        <v>13766</v>
      </c>
      <c r="C6981" s="9" t="s">
        <v>13767</v>
      </c>
      <c r="D6981" s="9" t="s">
        <v>75</v>
      </c>
      <c r="E6981" s="6" t="s">
        <v>13771</v>
      </c>
      <c r="F6981" s="9"/>
    </row>
    <row r="6982" ht="33.75" customHeight="1">
      <c r="A6982" s="7">
        <v>252.0</v>
      </c>
      <c r="B6982" s="9" t="s">
        <v>13766</v>
      </c>
      <c r="C6982" s="9" t="s">
        <v>13767</v>
      </c>
      <c r="D6982" s="9" t="s">
        <v>79</v>
      </c>
      <c r="E6982" s="6" t="s">
        <v>13771</v>
      </c>
      <c r="F6982" s="9"/>
    </row>
    <row r="6983" ht="33.75" customHeight="1">
      <c r="A6983" s="7">
        <v>252.0</v>
      </c>
      <c r="B6983" s="9" t="s">
        <v>13766</v>
      </c>
      <c r="C6983" s="9" t="s">
        <v>13767</v>
      </c>
      <c r="D6983" s="9" t="s">
        <v>81</v>
      </c>
      <c r="E6983" s="6" t="s">
        <v>13772</v>
      </c>
      <c r="F6983" s="9"/>
    </row>
    <row r="6984" ht="33.75" customHeight="1">
      <c r="A6984" s="7">
        <v>252.0</v>
      </c>
      <c r="B6984" s="9" t="s">
        <v>13766</v>
      </c>
      <c r="C6984" s="9" t="s">
        <v>13767</v>
      </c>
      <c r="D6984" s="9" t="s">
        <v>84</v>
      </c>
      <c r="E6984" s="6" t="s">
        <v>13772</v>
      </c>
      <c r="F6984" s="9"/>
    </row>
    <row r="6985" ht="33.75" customHeight="1">
      <c r="A6985" s="7">
        <v>252.0</v>
      </c>
      <c r="B6985" s="9" t="s">
        <v>13766</v>
      </c>
      <c r="C6985" s="9" t="s">
        <v>13767</v>
      </c>
      <c r="D6985" s="9" t="s">
        <v>87</v>
      </c>
      <c r="E6985" s="6" t="s">
        <v>13772</v>
      </c>
      <c r="F6985" s="9"/>
    </row>
    <row r="6986" ht="33.75" customHeight="1">
      <c r="A6986" s="7">
        <v>252.0</v>
      </c>
      <c r="B6986" s="9" t="s">
        <v>13766</v>
      </c>
      <c r="C6986" s="9" t="s">
        <v>13767</v>
      </c>
      <c r="D6986" s="9" t="s">
        <v>89</v>
      </c>
      <c r="E6986" s="6" t="s">
        <v>13774</v>
      </c>
      <c r="F6986" s="9"/>
    </row>
    <row r="6987" ht="33.75" customHeight="1">
      <c r="A6987" s="7">
        <v>252.0</v>
      </c>
      <c r="B6987" s="9" t="s">
        <v>13766</v>
      </c>
      <c r="C6987" s="9" t="s">
        <v>13767</v>
      </c>
      <c r="D6987" s="9" t="s">
        <v>91</v>
      </c>
      <c r="E6987" s="6" t="s">
        <v>13774</v>
      </c>
      <c r="F6987" s="9"/>
    </row>
    <row r="6988" ht="33.75" customHeight="1">
      <c r="A6988" s="7">
        <v>252.0</v>
      </c>
      <c r="B6988" s="9" t="s">
        <v>13766</v>
      </c>
      <c r="C6988" s="9" t="s">
        <v>13767</v>
      </c>
      <c r="D6988" s="9" t="s">
        <v>93</v>
      </c>
      <c r="E6988" s="6" t="s">
        <v>13772</v>
      </c>
      <c r="F6988" s="9"/>
    </row>
    <row r="6989" ht="33.75" customHeight="1">
      <c r="A6989" s="7">
        <v>252.0</v>
      </c>
      <c r="B6989" s="9" t="s">
        <v>13766</v>
      </c>
      <c r="C6989" s="9" t="s">
        <v>13767</v>
      </c>
      <c r="D6989" s="9" t="s">
        <v>95</v>
      </c>
      <c r="E6989" s="6" t="s">
        <v>13772</v>
      </c>
      <c r="F6989" s="9"/>
    </row>
    <row r="6990" ht="33.75" customHeight="1">
      <c r="A6990" s="7">
        <v>252.0</v>
      </c>
      <c r="B6990" s="9" t="s">
        <v>13766</v>
      </c>
      <c r="C6990" s="9" t="s">
        <v>13767</v>
      </c>
      <c r="D6990" s="9" t="s">
        <v>98</v>
      </c>
      <c r="E6990" s="6" t="s">
        <v>13772</v>
      </c>
      <c r="F6990" s="9"/>
    </row>
    <row r="6991" ht="33.75" customHeight="1">
      <c r="A6991" s="7">
        <v>252.0</v>
      </c>
      <c r="B6991" s="9" t="s">
        <v>13766</v>
      </c>
      <c r="C6991" s="9" t="s">
        <v>13767</v>
      </c>
      <c r="D6991" s="9" t="s">
        <v>99</v>
      </c>
      <c r="E6991" s="6" t="s">
        <v>13772</v>
      </c>
      <c r="F6991" s="9"/>
    </row>
    <row r="6992" ht="33.75" customHeight="1">
      <c r="A6992" s="7">
        <v>252.0</v>
      </c>
      <c r="B6992" s="9" t="s">
        <v>13766</v>
      </c>
      <c r="C6992" s="9" t="s">
        <v>13767</v>
      </c>
      <c r="D6992" s="9" t="s">
        <v>101</v>
      </c>
      <c r="E6992" s="6" t="s">
        <v>13771</v>
      </c>
      <c r="F6992" s="9"/>
    </row>
    <row r="6993" ht="33.75" customHeight="1">
      <c r="A6993" s="7">
        <v>252.0</v>
      </c>
      <c r="B6993" s="9" t="s">
        <v>13766</v>
      </c>
      <c r="C6993" s="9" t="s">
        <v>13767</v>
      </c>
      <c r="D6993" s="9" t="s">
        <v>105</v>
      </c>
      <c r="E6993" s="6" t="s">
        <v>13774</v>
      </c>
      <c r="F6993" s="9"/>
    </row>
    <row r="6994" ht="33.75" customHeight="1">
      <c r="A6994" s="7">
        <v>252.0</v>
      </c>
      <c r="B6994" s="9" t="s">
        <v>13766</v>
      </c>
      <c r="C6994" s="9" t="s">
        <v>13767</v>
      </c>
      <c r="D6994" s="9" t="s">
        <v>107</v>
      </c>
      <c r="E6994" s="6" t="s">
        <v>13775</v>
      </c>
      <c r="F6994" s="9"/>
    </row>
    <row r="6995" ht="33.75" customHeight="1">
      <c r="A6995" s="7">
        <v>252.0</v>
      </c>
      <c r="B6995" s="9" t="s">
        <v>13766</v>
      </c>
      <c r="C6995" s="9" t="s">
        <v>13767</v>
      </c>
      <c r="D6995" s="9" t="s">
        <v>109</v>
      </c>
      <c r="E6995" s="6" t="s">
        <v>13776</v>
      </c>
      <c r="F6995" s="9"/>
    </row>
    <row r="6996" ht="33.75" customHeight="1">
      <c r="A6996" s="7">
        <v>253.0</v>
      </c>
      <c r="B6996" s="9" t="s">
        <v>13777</v>
      </c>
      <c r="C6996" s="9" t="s">
        <v>13767</v>
      </c>
      <c r="D6996" s="9" t="s">
        <v>67</v>
      </c>
      <c r="E6996" s="6" t="s">
        <v>13778</v>
      </c>
      <c r="F6996" t="inlineStr" s="10">
        <is>
          <t xml:space="preserve">GROVYLEn ruumiista kasvavat lehdet ovat käteviä Grovylen naamiointiin vihollisilta metsässä. Tämä POKéMON on mestari kiipeilemään puissa viidakoissa. Tämä POKéMON lentää taitavasti puissa oksalta oksalle. Metsässä yksikään POKéMON ei voi koskaan toivoa saavansa kiinni pakenevaa GROVYLEa, olipa se kuinka nopea tahansa. Lehdet kasvavat tämän POKéMONin ruumiista. Ne auttavat peittämään GROVYLEn vihollisten katseilta sen ollessa tiheässä, umpeenkasvaneessa metsässä. Sen vahvasti kehittyneet reisilihakset antavat sille hämmästyttävän ketteryyden ja hyppytehon. Se elää tiheissä viidakoissa. Lähestyessään saalistaan ​​se hyppii oksalta oksalle. Se hyppää puun oksalta toiselle melko nopeasti. Se osoittaa hämmästyttävää ketteryyttä. Grovylen ruumiista kasvavat lehdet ovat käteviä sen naamioimiseen vihollisilta metsässä.</t>
        </is>
      </c>
    </row>
    <row r="6997" ht="33.75" customHeight="1">
      <c r="A6997" s="7">
        <v>253.0</v>
      </c>
      <c r="B6997" s="9" t="s">
        <v>13777</v>
      </c>
      <c r="C6997" s="9" t="s">
        <v>13767</v>
      </c>
      <c r="D6997" s="9" t="s">
        <v>71</v>
      </c>
      <c r="E6997" s="6" t="s">
        <v>13779</v>
      </c>
      <c r="F6997" s="9"/>
    </row>
    <row r="6998" ht="33.75" customHeight="1">
      <c r="A6998" s="7">
        <v>253.0</v>
      </c>
      <c r="B6998" s="9" t="s">
        <v>13777</v>
      </c>
      <c r="C6998" s="9" t="s">
        <v>13767</v>
      </c>
      <c r="D6998" s="9" t="s">
        <v>73</v>
      </c>
      <c r="E6998" s="6" t="s">
        <v>13780</v>
      </c>
      <c r="F6998" s="9"/>
    </row>
    <row r="6999" ht="33.75" customHeight="1">
      <c r="A6999" s="7">
        <v>253.0</v>
      </c>
      <c r="B6999" s="9" t="s">
        <v>13777</v>
      </c>
      <c r="C6999" s="9" t="s">
        <v>13767</v>
      </c>
      <c r="D6999" s="9" t="s">
        <v>75</v>
      </c>
      <c r="E6999" s="6" t="s">
        <v>13781</v>
      </c>
      <c r="F6999" s="9"/>
    </row>
    <row r="7000" ht="33.75" customHeight="1">
      <c r="A7000" s="7">
        <v>253.0</v>
      </c>
      <c r="B7000" s="9" t="s">
        <v>13777</v>
      </c>
      <c r="C7000" s="9" t="s">
        <v>13767</v>
      </c>
      <c r="D7000" s="9" t="s">
        <v>79</v>
      </c>
      <c r="E7000" s="6" t="s">
        <v>13781</v>
      </c>
      <c r="F7000" s="9"/>
    </row>
    <row r="7001" ht="33.75" customHeight="1">
      <c r="A7001" s="7">
        <v>253.0</v>
      </c>
      <c r="B7001" s="9" t="s">
        <v>13777</v>
      </c>
      <c r="C7001" s="9" t="s">
        <v>13767</v>
      </c>
      <c r="D7001" s="9" t="s">
        <v>81</v>
      </c>
      <c r="E7001" s="6" t="s">
        <v>13782</v>
      </c>
      <c r="F7001" s="9"/>
    </row>
    <row r="7002" ht="33.75" customHeight="1">
      <c r="A7002" s="7">
        <v>253.0</v>
      </c>
      <c r="B7002" s="9" t="s">
        <v>13777</v>
      </c>
      <c r="C7002" s="9" t="s">
        <v>13767</v>
      </c>
      <c r="D7002" s="9" t="s">
        <v>84</v>
      </c>
      <c r="E7002" s="6" t="s">
        <v>13782</v>
      </c>
      <c r="F7002" s="9"/>
    </row>
    <row r="7003" ht="33.75" customHeight="1">
      <c r="A7003" s="7">
        <v>253.0</v>
      </c>
      <c r="B7003" s="9" t="s">
        <v>13777</v>
      </c>
      <c r="C7003" s="9" t="s">
        <v>13767</v>
      </c>
      <c r="D7003" s="9" t="s">
        <v>87</v>
      </c>
      <c r="E7003" s="6" t="s">
        <v>13782</v>
      </c>
      <c r="F7003" s="9"/>
    </row>
    <row r="7004" ht="33.75" customHeight="1">
      <c r="A7004" s="7">
        <v>253.0</v>
      </c>
      <c r="B7004" s="9" t="s">
        <v>13777</v>
      </c>
      <c r="C7004" s="9" t="s">
        <v>13767</v>
      </c>
      <c r="D7004" s="9" t="s">
        <v>89</v>
      </c>
      <c r="E7004" s="6" t="s">
        <v>13783</v>
      </c>
      <c r="F7004" s="9"/>
    </row>
    <row r="7005" ht="33.75" customHeight="1">
      <c r="A7005" s="7">
        <v>253.0</v>
      </c>
      <c r="B7005" s="9" t="s">
        <v>13777</v>
      </c>
      <c r="C7005" s="9" t="s">
        <v>13767</v>
      </c>
      <c r="D7005" s="9" t="s">
        <v>91</v>
      </c>
      <c r="E7005" s="6" t="s">
        <v>13783</v>
      </c>
      <c r="F7005" s="9"/>
    </row>
    <row r="7006" ht="33.75" customHeight="1">
      <c r="A7006" s="7">
        <v>253.0</v>
      </c>
      <c r="B7006" s="9" t="s">
        <v>13777</v>
      </c>
      <c r="C7006" s="9" t="s">
        <v>13767</v>
      </c>
      <c r="D7006" s="9" t="s">
        <v>93</v>
      </c>
      <c r="E7006" s="6" t="s">
        <v>13782</v>
      </c>
      <c r="F7006" s="9"/>
    </row>
    <row r="7007" ht="33.75" customHeight="1">
      <c r="A7007" s="7">
        <v>253.0</v>
      </c>
      <c r="B7007" s="9" t="s">
        <v>13777</v>
      </c>
      <c r="C7007" s="9" t="s">
        <v>13767</v>
      </c>
      <c r="D7007" s="9" t="s">
        <v>95</v>
      </c>
      <c r="E7007" s="6" t="s">
        <v>13782</v>
      </c>
      <c r="F7007" s="9"/>
    </row>
    <row r="7008" ht="33.75" customHeight="1">
      <c r="A7008" s="7">
        <v>253.0</v>
      </c>
      <c r="B7008" s="9" t="s">
        <v>13777</v>
      </c>
      <c r="C7008" s="9" t="s">
        <v>13767</v>
      </c>
      <c r="D7008" s="9" t="s">
        <v>98</v>
      </c>
      <c r="E7008" s="6" t="s">
        <v>13782</v>
      </c>
      <c r="F7008" s="9"/>
    </row>
    <row r="7009" ht="33.75" customHeight="1">
      <c r="A7009" s="7">
        <v>253.0</v>
      </c>
      <c r="B7009" s="9" t="s">
        <v>13777</v>
      </c>
      <c r="C7009" s="9" t="s">
        <v>13767</v>
      </c>
      <c r="D7009" s="9" t="s">
        <v>99</v>
      </c>
      <c r="E7009" s="6" t="s">
        <v>13782</v>
      </c>
      <c r="F7009" s="9"/>
    </row>
    <row r="7010" ht="33.75" customHeight="1">
      <c r="A7010" s="7">
        <v>253.0</v>
      </c>
      <c r="B7010" s="9" t="s">
        <v>13777</v>
      </c>
      <c r="C7010" s="9" t="s">
        <v>13767</v>
      </c>
      <c r="D7010" s="9" t="s">
        <v>101</v>
      </c>
      <c r="E7010" s="6" t="s">
        <v>13781</v>
      </c>
      <c r="F7010" s="9"/>
    </row>
    <row r="7011" ht="33.75" customHeight="1">
      <c r="A7011" s="7">
        <v>253.0</v>
      </c>
      <c r="B7011" s="9" t="s">
        <v>13777</v>
      </c>
      <c r="C7011" s="9" t="s">
        <v>13767</v>
      </c>
      <c r="D7011" s="9" t="s">
        <v>105</v>
      </c>
      <c r="E7011" s="6" t="s">
        <v>13782</v>
      </c>
      <c r="F7011" s="9"/>
    </row>
    <row r="7012" ht="33.75" customHeight="1">
      <c r="A7012" s="7">
        <v>253.0</v>
      </c>
      <c r="B7012" s="9" t="s">
        <v>13777</v>
      </c>
      <c r="C7012" s="9" t="s">
        <v>13767</v>
      </c>
      <c r="D7012" s="9" t="s">
        <v>107</v>
      </c>
      <c r="E7012" s="6" t="s">
        <v>13785</v>
      </c>
      <c r="F7012" s="9"/>
    </row>
    <row r="7013" ht="33.75" customHeight="1">
      <c r="A7013" s="7">
        <v>253.0</v>
      </c>
      <c r="B7013" s="9" t="s">
        <v>13777</v>
      </c>
      <c r="C7013" s="9" t="s">
        <v>13767</v>
      </c>
      <c r="D7013" s="9" t="s">
        <v>109</v>
      </c>
      <c r="E7013" s="6" t="s">
        <v>13786</v>
      </c>
      <c r="F7013" s="9"/>
    </row>
    <row r="7014" ht="33.75" customHeight="1">
      <c r="A7014" s="7">
        <v>254.0</v>
      </c>
      <c r="B7014" s="9" t="s">
        <v>13787</v>
      </c>
      <c r="C7014" s="9" t="s">
        <v>13788</v>
      </c>
      <c r="D7014" s="9" t="s">
        <v>67</v>
      </c>
      <c r="E7014" s="6" t="s">
        <v>13789</v>
      </c>
      <c r="F7014" t="inlineStr" s="10">
        <is>
          <t xml:space="preserve">SCEPTILEn kehossa kasvavat lehdet ovat erittäin teräväreunaiset. Tämä POKéMON on erittäin ketterä – se hyppii puiden oksilla ja vihollisensa päälle ylhäältä tai takaa. SCEPTILEn selässä kasvaa siemeniä. Niiden sanotaan olevan täynnä ravinteita, jotka elvyttävät puita. Tämä POKéMON kasvattaa puita metsässä rakastavalla huolenpidolla. Viidakossa sen voima on vertaansa vailla. Tämä POKéMON kasvattaa puita ja kasveja huolellisesti. Se säätelee ruumiinlämpöään paistattelemalla auringonvalossa. Sen eturaajojen lehdet ovat terävät kuin miekat. Se hyppii ketterästi puiden oksilla iskeäkseen. Sen käsivarsissa kasvavat lehdet voivat kaataa paksuja puita. Sillä ei ole vertaistaan ​​viidakkotaisteluissa. Se hyppii ketterästi viidakossa ja käyttää käsivarsiensa teräviä lehtiä iskeäkseen saaliiseensa. Sceptilen ruumiissa kasvavat lehdet ovat hyvin teräväreunaisia.</t>
        </is>
      </c>
    </row>
    <row r="7015" ht="33.75" customHeight="1">
      <c r="A7015" s="7">
        <v>254.0</v>
      </c>
      <c r="B7015" s="9" t="s">
        <v>13787</v>
      </c>
      <c r="C7015" s="9" t="s">
        <v>13788</v>
      </c>
      <c r="D7015" s="9" t="s">
        <v>71</v>
      </c>
      <c r="E7015" s="6" t="s">
        <v>13790</v>
      </c>
      <c r="F7015" s="9"/>
    </row>
    <row r="7016" ht="33.75" customHeight="1">
      <c r="A7016" s="7">
        <v>254.0</v>
      </c>
      <c r="B7016" s="9" t="s">
        <v>13787</v>
      </c>
      <c r="C7016" s="9" t="s">
        <v>13788</v>
      </c>
      <c r="D7016" s="9" t="s">
        <v>73</v>
      </c>
      <c r="E7016" s="6" t="s">
        <v>13791</v>
      </c>
      <c r="F7016" s="9"/>
    </row>
    <row r="7017" ht="33.75" customHeight="1">
      <c r="A7017" s="7">
        <v>254.0</v>
      </c>
      <c r="B7017" s="9" t="s">
        <v>13787</v>
      </c>
      <c r="C7017" s="9" t="s">
        <v>13788</v>
      </c>
      <c r="D7017" s="9" t="s">
        <v>75</v>
      </c>
      <c r="E7017" s="6" t="s">
        <v>13792</v>
      </c>
      <c r="F7017" s="9"/>
    </row>
    <row r="7018" ht="33.75" customHeight="1">
      <c r="A7018" s="7">
        <v>254.0</v>
      </c>
      <c r="B7018" s="9" t="s">
        <v>13787</v>
      </c>
      <c r="C7018" s="9" t="s">
        <v>13788</v>
      </c>
      <c r="D7018" s="9" t="s">
        <v>79</v>
      </c>
      <c r="E7018" s="6" t="s">
        <v>13792</v>
      </c>
      <c r="F7018" s="9"/>
    </row>
    <row r="7019" ht="33.75" customHeight="1">
      <c r="A7019" s="7">
        <v>254.0</v>
      </c>
      <c r="B7019" s="9" t="s">
        <v>13787</v>
      </c>
      <c r="C7019" s="9" t="s">
        <v>13788</v>
      </c>
      <c r="D7019" s="9" t="s">
        <v>81</v>
      </c>
      <c r="E7019" s="6" t="s">
        <v>13793</v>
      </c>
      <c r="F7019" s="9"/>
    </row>
    <row r="7020" ht="33.75" customHeight="1">
      <c r="A7020" s="7">
        <v>254.0</v>
      </c>
      <c r="B7020" s="9" t="s">
        <v>13787</v>
      </c>
      <c r="C7020" s="9" t="s">
        <v>13788</v>
      </c>
      <c r="D7020" s="9" t="s">
        <v>84</v>
      </c>
      <c r="E7020" s="6" t="s">
        <v>13793</v>
      </c>
      <c r="F7020" s="9"/>
    </row>
    <row r="7021" ht="33.75" customHeight="1">
      <c r="A7021" s="7">
        <v>254.0</v>
      </c>
      <c r="B7021" s="9" t="s">
        <v>13787</v>
      </c>
      <c r="C7021" s="9" t="s">
        <v>13788</v>
      </c>
      <c r="D7021" s="9" t="s">
        <v>87</v>
      </c>
      <c r="E7021" s="6" t="s">
        <v>13793</v>
      </c>
      <c r="F7021" s="9"/>
    </row>
    <row r="7022" ht="33.75" customHeight="1">
      <c r="A7022" s="7">
        <v>254.0</v>
      </c>
      <c r="B7022" s="9" t="s">
        <v>13787</v>
      </c>
      <c r="C7022" s="9" t="s">
        <v>13788</v>
      </c>
      <c r="D7022" s="9" t="s">
        <v>89</v>
      </c>
      <c r="E7022" s="6" t="s">
        <v>13794</v>
      </c>
      <c r="F7022" s="9"/>
    </row>
    <row r="7023" ht="33.75" customHeight="1">
      <c r="A7023" s="7">
        <v>254.0</v>
      </c>
      <c r="B7023" s="9" t="s">
        <v>13787</v>
      </c>
      <c r="C7023" s="9" t="s">
        <v>13788</v>
      </c>
      <c r="D7023" s="9" t="s">
        <v>91</v>
      </c>
      <c r="E7023" s="6" t="s">
        <v>13794</v>
      </c>
      <c r="F7023" s="9"/>
    </row>
    <row r="7024" ht="33.75" customHeight="1">
      <c r="A7024" s="7">
        <v>254.0</v>
      </c>
      <c r="B7024" s="9" t="s">
        <v>13787</v>
      </c>
      <c r="C7024" s="9" t="s">
        <v>13788</v>
      </c>
      <c r="D7024" s="9" t="s">
        <v>93</v>
      </c>
      <c r="E7024" s="6" t="s">
        <v>13793</v>
      </c>
      <c r="F7024" s="9"/>
    </row>
    <row r="7025" ht="33.75" customHeight="1">
      <c r="A7025" s="7">
        <v>254.0</v>
      </c>
      <c r="B7025" s="9" t="s">
        <v>13787</v>
      </c>
      <c r="C7025" s="9" t="s">
        <v>13788</v>
      </c>
      <c r="D7025" s="9" t="s">
        <v>95</v>
      </c>
      <c r="E7025" s="6" t="s">
        <v>13793</v>
      </c>
      <c r="F7025" s="9"/>
    </row>
    <row r="7026" ht="33.75" customHeight="1">
      <c r="A7026" s="7">
        <v>254.0</v>
      </c>
      <c r="B7026" s="9" t="s">
        <v>13787</v>
      </c>
      <c r="C7026" s="9" t="s">
        <v>13788</v>
      </c>
      <c r="D7026" s="9" t="s">
        <v>98</v>
      </c>
      <c r="E7026" s="6" t="s">
        <v>13793</v>
      </c>
      <c r="F7026" s="9"/>
    </row>
    <row r="7027" ht="33.75" customHeight="1">
      <c r="A7027" s="7">
        <v>254.0</v>
      </c>
      <c r="B7027" s="9" t="s">
        <v>13787</v>
      </c>
      <c r="C7027" s="9" t="s">
        <v>13788</v>
      </c>
      <c r="D7027" s="9" t="s">
        <v>99</v>
      </c>
      <c r="E7027" s="6" t="s">
        <v>13793</v>
      </c>
      <c r="F7027" s="9"/>
    </row>
    <row r="7028" ht="33.75" customHeight="1">
      <c r="A7028" s="7">
        <v>254.0</v>
      </c>
      <c r="B7028" s="9" t="s">
        <v>13787</v>
      </c>
      <c r="C7028" s="9" t="s">
        <v>13788</v>
      </c>
      <c r="D7028" s="9" t="s">
        <v>101</v>
      </c>
      <c r="E7028" s="6" t="s">
        <v>13793</v>
      </c>
      <c r="F7028" s="9"/>
    </row>
    <row r="7029" ht="33.75" customHeight="1">
      <c r="A7029" s="7">
        <v>254.0</v>
      </c>
      <c r="B7029" s="9" t="s">
        <v>13787</v>
      </c>
      <c r="C7029" s="9" t="s">
        <v>13788</v>
      </c>
      <c r="D7029" s="9" t="s">
        <v>105</v>
      </c>
      <c r="E7029" s="6" t="s">
        <v>13794</v>
      </c>
      <c r="F7029" s="9"/>
    </row>
    <row r="7030" ht="33.75" customHeight="1">
      <c r="A7030" s="7">
        <v>254.0</v>
      </c>
      <c r="B7030" s="9" t="s">
        <v>13787</v>
      </c>
      <c r="C7030" s="9" t="s">
        <v>13788</v>
      </c>
      <c r="D7030" s="9" t="s">
        <v>107</v>
      </c>
      <c r="E7030" s="6" t="s">
        <v>13796</v>
      </c>
      <c r="F7030" s="9"/>
    </row>
    <row r="7031" ht="33.75" customHeight="1">
      <c r="A7031" s="7">
        <v>254.0</v>
      </c>
      <c r="B7031" s="9" t="s">
        <v>13787</v>
      </c>
      <c r="C7031" s="9" t="s">
        <v>13788</v>
      </c>
      <c r="D7031" s="9" t="s">
        <v>109</v>
      </c>
      <c r="E7031" s="6" t="s">
        <v>13797</v>
      </c>
      <c r="F7031" s="9"/>
    </row>
    <row r="7032" ht="33.75" customHeight="1">
      <c r="A7032" s="7">
        <v>255.0</v>
      </c>
      <c r="B7032" s="9" t="s">
        <v>13798</v>
      </c>
      <c r="C7032" s="9" t="s">
        <v>13799</v>
      </c>
      <c r="D7032" s="9" t="s">
        <v>67</v>
      </c>
      <c r="E7032" s="6" t="s">
        <v>13800</v>
      </c>
      <c r="F7032" t="inlineStr" s="10">
        <is>
          <t xml:space="preserve">TORCHIC pysyy KOULUTTAJANSA mukana ja seuraa perässä horjuvin askelin. Tämä POKéMON hengittää yli 800 celsiusasteen tulta, mukaan lukien tulipalloja, jotka polttavat vihollisen mustaksi. TORCHICilla on kehossaan paikka, jossa se pitää liekkinsä. Halaa sitä – se hehkuu lämmöstä. Tämä POKéMON on kauttaaltaan peittynyt pörröiseen untuvapeitteeseen. Jos sitä hyökätään, se iskee takaisin sylkemällä vatsaansa muodostamiaan tulipalloja. TORCHIC ei pidä pimeydestä, koska se ei näe ympäristöään. Sen vatsassa on liekkipussi, joka palaa jatkuvasti. Se tuntuu lämpimältä, jos sitä halaa. Sisällä palaa tuli, joten se tuntuu erittäin lämpimältä halata. Se laukaisee 800 celsiusasteen tulipalloja. Sen ruumiin sisällä on paikka, jossa se pitää pientä liekkiä. Halaa sitä! Se on yhtä lämmin kuin kuumavesipullo. Torchic pysyy kouluttajansa mukana ja seuraa tätä horjuvin askelin.</t>
        </is>
      </c>
    </row>
    <row r="7033" ht="33.75" customHeight="1">
      <c r="A7033" s="7">
        <v>255.0</v>
      </c>
      <c r="B7033" s="9" t="s">
        <v>13798</v>
      </c>
      <c r="C7033" s="9" t="s">
        <v>13799</v>
      </c>
      <c r="D7033" s="9" t="s">
        <v>71</v>
      </c>
      <c r="E7033" s="6" t="s">
        <v>13801</v>
      </c>
      <c r="F7033" s="9"/>
    </row>
    <row r="7034" ht="33.75" customHeight="1">
      <c r="A7034" s="7">
        <v>255.0</v>
      </c>
      <c r="B7034" s="9" t="s">
        <v>13798</v>
      </c>
      <c r="C7034" s="9" t="s">
        <v>13799</v>
      </c>
      <c r="D7034" s="9" t="s">
        <v>73</v>
      </c>
      <c r="E7034" s="6" t="s">
        <v>13802</v>
      </c>
      <c r="F7034" s="9"/>
    </row>
    <row r="7035" ht="33.75" customHeight="1">
      <c r="A7035" s="7">
        <v>255.0</v>
      </c>
      <c r="B7035" s="9" t="s">
        <v>13798</v>
      </c>
      <c r="C7035" s="9" t="s">
        <v>13799</v>
      </c>
      <c r="D7035" s="9" t="s">
        <v>75</v>
      </c>
      <c r="E7035" s="6" t="s">
        <v>13803</v>
      </c>
      <c r="F7035" s="9"/>
    </row>
    <row r="7036" ht="33.75" customHeight="1">
      <c r="A7036" s="7">
        <v>255.0</v>
      </c>
      <c r="B7036" s="9" t="s">
        <v>13798</v>
      </c>
      <c r="C7036" s="9" t="s">
        <v>13799</v>
      </c>
      <c r="D7036" s="9" t="s">
        <v>79</v>
      </c>
      <c r="E7036" s="6" t="s">
        <v>13803</v>
      </c>
      <c r="F7036" s="9"/>
    </row>
    <row r="7037" ht="33.75" customHeight="1">
      <c r="A7037" s="7">
        <v>255.0</v>
      </c>
      <c r="B7037" s="9" t="s">
        <v>13798</v>
      </c>
      <c r="C7037" s="9" t="s">
        <v>13799</v>
      </c>
      <c r="D7037" s="9" t="s">
        <v>81</v>
      </c>
      <c r="E7037" s="6" t="s">
        <v>13804</v>
      </c>
      <c r="F7037" s="9"/>
    </row>
    <row r="7038" ht="33.75" customHeight="1">
      <c r="A7038" s="7">
        <v>255.0</v>
      </c>
      <c r="B7038" s="9" t="s">
        <v>13798</v>
      </c>
      <c r="C7038" s="9" t="s">
        <v>13799</v>
      </c>
      <c r="D7038" s="9" t="s">
        <v>84</v>
      </c>
      <c r="E7038" s="6" t="s">
        <v>13804</v>
      </c>
      <c r="F7038" s="9"/>
    </row>
    <row r="7039" ht="33.75" customHeight="1">
      <c r="A7039" s="7">
        <v>255.0</v>
      </c>
      <c r="B7039" s="9" t="s">
        <v>13798</v>
      </c>
      <c r="C7039" s="9" t="s">
        <v>13799</v>
      </c>
      <c r="D7039" s="9" t="s">
        <v>87</v>
      </c>
      <c r="E7039" s="6" t="s">
        <v>13804</v>
      </c>
      <c r="F7039" s="9"/>
    </row>
    <row r="7040" ht="33.75" customHeight="1">
      <c r="A7040" s="7">
        <v>255.0</v>
      </c>
      <c r="B7040" s="9" t="s">
        <v>13798</v>
      </c>
      <c r="C7040" s="9" t="s">
        <v>13799</v>
      </c>
      <c r="D7040" s="9" t="s">
        <v>89</v>
      </c>
      <c r="E7040" s="6" t="s">
        <v>13805</v>
      </c>
      <c r="F7040" s="9"/>
    </row>
    <row r="7041" ht="33.75" customHeight="1">
      <c r="A7041" s="7">
        <v>255.0</v>
      </c>
      <c r="B7041" s="9" t="s">
        <v>13798</v>
      </c>
      <c r="C7041" s="9" t="s">
        <v>13799</v>
      </c>
      <c r="D7041" s="9" t="s">
        <v>91</v>
      </c>
      <c r="E7041" s="6" t="s">
        <v>13805</v>
      </c>
      <c r="F7041" s="9"/>
    </row>
    <row r="7042" ht="33.75" customHeight="1">
      <c r="A7042" s="7">
        <v>255.0</v>
      </c>
      <c r="B7042" s="9" t="s">
        <v>13798</v>
      </c>
      <c r="C7042" s="9" t="s">
        <v>13799</v>
      </c>
      <c r="D7042" s="9" t="s">
        <v>93</v>
      </c>
      <c r="E7042" s="6" t="s">
        <v>13804</v>
      </c>
      <c r="F7042" s="9"/>
    </row>
    <row r="7043" ht="33.75" customHeight="1">
      <c r="A7043" s="7">
        <v>255.0</v>
      </c>
      <c r="B7043" s="9" t="s">
        <v>13798</v>
      </c>
      <c r="C7043" s="9" t="s">
        <v>13799</v>
      </c>
      <c r="D7043" s="9" t="s">
        <v>95</v>
      </c>
      <c r="E7043" s="6" t="s">
        <v>13804</v>
      </c>
      <c r="F7043" s="9"/>
    </row>
    <row r="7044" ht="33.75" customHeight="1">
      <c r="A7044" s="7">
        <v>255.0</v>
      </c>
      <c r="B7044" s="9" t="s">
        <v>13798</v>
      </c>
      <c r="C7044" s="9" t="s">
        <v>13799</v>
      </c>
      <c r="D7044" s="9" t="s">
        <v>98</v>
      </c>
      <c r="E7044" s="6" t="s">
        <v>13804</v>
      </c>
      <c r="F7044" s="9"/>
    </row>
    <row r="7045" ht="33.75" customHeight="1">
      <c r="A7045" s="7">
        <v>255.0</v>
      </c>
      <c r="B7045" s="9" t="s">
        <v>13798</v>
      </c>
      <c r="C7045" s="9" t="s">
        <v>13799</v>
      </c>
      <c r="D7045" s="9" t="s">
        <v>99</v>
      </c>
      <c r="E7045" s="6" t="s">
        <v>13804</v>
      </c>
      <c r="F7045" s="9"/>
    </row>
    <row r="7046" ht="33.75" customHeight="1">
      <c r="A7046" s="7">
        <v>255.0</v>
      </c>
      <c r="B7046" s="9" t="s">
        <v>13798</v>
      </c>
      <c r="C7046" s="9" t="s">
        <v>13799</v>
      </c>
      <c r="D7046" s="9" t="s">
        <v>101</v>
      </c>
      <c r="E7046" s="6" t="s">
        <v>13803</v>
      </c>
      <c r="F7046" s="9"/>
    </row>
    <row r="7047" ht="33.75" customHeight="1">
      <c r="A7047" s="7">
        <v>255.0</v>
      </c>
      <c r="B7047" s="9" t="s">
        <v>13798</v>
      </c>
      <c r="C7047" s="9" t="s">
        <v>13799</v>
      </c>
      <c r="D7047" s="9" t="s">
        <v>105</v>
      </c>
      <c r="E7047" s="6" t="s">
        <v>13804</v>
      </c>
      <c r="F7047" s="9"/>
    </row>
    <row r="7048" ht="33.75" customHeight="1">
      <c r="A7048" s="7">
        <v>255.0</v>
      </c>
      <c r="B7048" s="9" t="s">
        <v>13798</v>
      </c>
      <c r="C7048" s="9" t="s">
        <v>13799</v>
      </c>
      <c r="D7048" s="9" t="s">
        <v>107</v>
      </c>
      <c r="E7048" s="6" t="s">
        <v>13807</v>
      </c>
      <c r="F7048" s="9"/>
    </row>
    <row r="7049" ht="33.75" customHeight="1">
      <c r="A7049" s="7">
        <v>255.0</v>
      </c>
      <c r="B7049" s="9" t="s">
        <v>13798</v>
      </c>
      <c r="C7049" s="9" t="s">
        <v>13799</v>
      </c>
      <c r="D7049" s="9" t="s">
        <v>109</v>
      </c>
      <c r="E7049" s="6" t="s">
        <v>13808</v>
      </c>
      <c r="F7049" s="9"/>
    </row>
    <row r="7050" ht="33.75" customHeight="1">
      <c r="A7050" s="7">
        <v>256.0</v>
      </c>
      <c r="B7050" s="9" t="s">
        <v>13809</v>
      </c>
      <c r="C7050" s="9" t="s">
        <v>13810</v>
      </c>
      <c r="D7050" s="9" t="s">
        <v>67</v>
      </c>
      <c r="E7050" s="6" t="s">
        <v>13811</v>
      </c>
      <c r="F7050" t="inlineStr" s="10">
        <is>
          <t xml:space="preserve">COMBUSKEN vahvistaa jalkojaan ja reisiään juoksemalla peltojen ja vuorten halki. Tämän POKéMONin jalat ovat sekä nopeita että voimakkaita, minkä ansiosta se pystyy antamaan kymmenen potkua sekunnissa. COMBUSKEN taistelee nokastaan ​​sylkemiään kuumia liekkejä ja poikkeuksellisen tuhoisia potkuja vastaan. Tämän POKéMONin huuto on erittäin kova ja häiritsevä. Se iskee 10 potkua sekunnissa. Sen vahva taisteluvaisto pakottaa sen jatkamaan hyökkäystään, kunnes vastustaja luovuttaa. Se tehostaa keskittymiskykyään päästämällä karkeita huutoja. Sen potkuilla on huomattava tuhovoima. Sen potkutaito antaa sille 10 potkua sekunnissa. Se päästää teräviä huutoja pelotellakseen vihollisia. Taistelun aikana sen ruumiin kuuma liekki voimistuu. Tämän Pokémonin jalat ovat sekä nopeita että voimakkaita, minkä ansiosta se pystyy antamaan 10 potkua sekunnissa.</t>
        </is>
      </c>
    </row>
    <row r="7051" ht="33.75" customHeight="1">
      <c r="A7051" s="7">
        <v>256.0</v>
      </c>
      <c r="B7051" s="9" t="s">
        <v>13809</v>
      </c>
      <c r="C7051" s="9" t="s">
        <v>13810</v>
      </c>
      <c r="D7051" s="9" t="s">
        <v>71</v>
      </c>
      <c r="E7051" s="6" t="s">
        <v>13812</v>
      </c>
      <c r="F7051" s="9"/>
    </row>
    <row r="7052" ht="33.75" customHeight="1">
      <c r="A7052" s="7">
        <v>256.0</v>
      </c>
      <c r="B7052" s="9" t="s">
        <v>13809</v>
      </c>
      <c r="C7052" s="9" t="s">
        <v>13810</v>
      </c>
      <c r="D7052" s="9" t="s">
        <v>73</v>
      </c>
      <c r="E7052" s="6" t="s">
        <v>13813</v>
      </c>
      <c r="F7052" s="9"/>
    </row>
    <row r="7053" ht="33.75" customHeight="1">
      <c r="A7053" s="7">
        <v>256.0</v>
      </c>
      <c r="B7053" s="9" t="s">
        <v>13809</v>
      </c>
      <c r="C7053" s="9" t="s">
        <v>13810</v>
      </c>
      <c r="D7053" s="9" t="s">
        <v>75</v>
      </c>
      <c r="E7053" s="6" t="s">
        <v>13814</v>
      </c>
      <c r="F7053" s="9"/>
    </row>
    <row r="7054" ht="33.75" customHeight="1">
      <c r="A7054" s="7">
        <v>256.0</v>
      </c>
      <c r="B7054" s="9" t="s">
        <v>13809</v>
      </c>
      <c r="C7054" s="9" t="s">
        <v>13810</v>
      </c>
      <c r="D7054" s="9" t="s">
        <v>79</v>
      </c>
      <c r="E7054" s="6" t="s">
        <v>13814</v>
      </c>
      <c r="F7054" s="9"/>
    </row>
    <row r="7055" ht="33.75" customHeight="1">
      <c r="A7055" s="7">
        <v>256.0</v>
      </c>
      <c r="B7055" s="9" t="s">
        <v>13809</v>
      </c>
      <c r="C7055" s="9" t="s">
        <v>13810</v>
      </c>
      <c r="D7055" s="9" t="s">
        <v>81</v>
      </c>
      <c r="E7055" s="6" t="s">
        <v>13815</v>
      </c>
      <c r="F7055" s="9"/>
    </row>
    <row r="7056" ht="33.75" customHeight="1">
      <c r="A7056" s="7">
        <v>256.0</v>
      </c>
      <c r="B7056" s="9" t="s">
        <v>13809</v>
      </c>
      <c r="C7056" s="9" t="s">
        <v>13810</v>
      </c>
      <c r="D7056" s="9" t="s">
        <v>84</v>
      </c>
      <c r="E7056" s="6" t="s">
        <v>13815</v>
      </c>
      <c r="F7056" s="9"/>
    </row>
    <row r="7057" ht="33.75" customHeight="1">
      <c r="A7057" s="7">
        <v>256.0</v>
      </c>
      <c r="B7057" s="9" t="s">
        <v>13809</v>
      </c>
      <c r="C7057" s="9" t="s">
        <v>13810</v>
      </c>
      <c r="D7057" s="9" t="s">
        <v>87</v>
      </c>
      <c r="E7057" s="6" t="s">
        <v>13815</v>
      </c>
      <c r="F7057" s="9"/>
    </row>
    <row r="7058" ht="33.75" customHeight="1">
      <c r="A7058" s="7">
        <v>256.0</v>
      </c>
      <c r="B7058" s="9" t="s">
        <v>13809</v>
      </c>
      <c r="C7058" s="9" t="s">
        <v>13810</v>
      </c>
      <c r="D7058" s="9" t="s">
        <v>89</v>
      </c>
      <c r="E7058" s="6" t="s">
        <v>13816</v>
      </c>
      <c r="F7058" s="9"/>
    </row>
    <row r="7059" ht="33.75" customHeight="1">
      <c r="A7059" s="7">
        <v>256.0</v>
      </c>
      <c r="B7059" s="9" t="s">
        <v>13809</v>
      </c>
      <c r="C7059" s="9" t="s">
        <v>13810</v>
      </c>
      <c r="D7059" s="9" t="s">
        <v>91</v>
      </c>
      <c r="E7059" s="6" t="s">
        <v>13816</v>
      </c>
      <c r="F7059" s="9"/>
    </row>
    <row r="7060" ht="33.75" customHeight="1">
      <c r="A7060" s="7">
        <v>256.0</v>
      </c>
      <c r="B7060" s="9" t="s">
        <v>13809</v>
      </c>
      <c r="C7060" s="9" t="s">
        <v>13810</v>
      </c>
      <c r="D7060" s="9" t="s">
        <v>93</v>
      </c>
      <c r="E7060" s="6" t="s">
        <v>13815</v>
      </c>
      <c r="F7060" s="9"/>
    </row>
    <row r="7061" ht="33.75" customHeight="1">
      <c r="A7061" s="7">
        <v>256.0</v>
      </c>
      <c r="B7061" s="9" t="s">
        <v>13809</v>
      </c>
      <c r="C7061" s="9" t="s">
        <v>13810</v>
      </c>
      <c r="D7061" s="9" t="s">
        <v>95</v>
      </c>
      <c r="E7061" s="6" t="s">
        <v>13815</v>
      </c>
      <c r="F7061" s="9"/>
    </row>
    <row r="7062" ht="33.75" customHeight="1">
      <c r="A7062" s="7">
        <v>256.0</v>
      </c>
      <c r="B7062" s="9" t="s">
        <v>13809</v>
      </c>
      <c r="C7062" s="9" t="s">
        <v>13810</v>
      </c>
      <c r="D7062" s="9" t="s">
        <v>98</v>
      </c>
      <c r="E7062" s="6" t="s">
        <v>13815</v>
      </c>
      <c r="F7062" s="9"/>
    </row>
    <row r="7063" ht="33.75" customHeight="1">
      <c r="A7063" s="7">
        <v>256.0</v>
      </c>
      <c r="B7063" s="9" t="s">
        <v>13809</v>
      </c>
      <c r="C7063" s="9" t="s">
        <v>13810</v>
      </c>
      <c r="D7063" s="9" t="s">
        <v>99</v>
      </c>
      <c r="E7063" s="6" t="s">
        <v>13815</v>
      </c>
      <c r="F7063" s="9"/>
    </row>
    <row r="7064" ht="33.75" customHeight="1">
      <c r="A7064" s="7">
        <v>256.0</v>
      </c>
      <c r="B7064" s="9" t="s">
        <v>13809</v>
      </c>
      <c r="C7064" s="9" t="s">
        <v>13810</v>
      </c>
      <c r="D7064" s="9" t="s">
        <v>101</v>
      </c>
      <c r="E7064" s="6" t="s">
        <v>13815</v>
      </c>
      <c r="F7064" s="9"/>
    </row>
    <row r="7065" ht="33.75" customHeight="1">
      <c r="A7065" s="7">
        <v>256.0</v>
      </c>
      <c r="B7065" s="9" t="s">
        <v>13809</v>
      </c>
      <c r="C7065" s="9" t="s">
        <v>13810</v>
      </c>
      <c r="D7065" s="9" t="s">
        <v>105</v>
      </c>
      <c r="E7065" s="6" t="s">
        <v>13816</v>
      </c>
      <c r="F7065" s="9"/>
    </row>
    <row r="7066" ht="33.75" customHeight="1">
      <c r="A7066" s="7">
        <v>256.0</v>
      </c>
      <c r="B7066" s="9" t="s">
        <v>13809</v>
      </c>
      <c r="C7066" s="9" t="s">
        <v>13810</v>
      </c>
      <c r="D7066" s="9" t="s">
        <v>107</v>
      </c>
      <c r="E7066" s="6" t="s">
        <v>13817</v>
      </c>
      <c r="F7066" s="9"/>
    </row>
    <row r="7067" ht="33.75" customHeight="1">
      <c r="A7067" s="7">
        <v>256.0</v>
      </c>
      <c r="B7067" s="9" t="s">
        <v>13809</v>
      </c>
      <c r="C7067" s="9" t="s">
        <v>13810</v>
      </c>
      <c r="D7067" s="9" t="s">
        <v>109</v>
      </c>
      <c r="E7067" s="6" t="s">
        <v>13818</v>
      </c>
      <c r="F7067" s="9"/>
    </row>
    <row r="7068" ht="33.75" customHeight="1">
      <c r="A7068" s="7">
        <v>257.0</v>
      </c>
      <c r="B7068" s="9" t="s">
        <v>13819</v>
      </c>
      <c r="C7068" s="9" t="s">
        <v>13820</v>
      </c>
      <c r="D7068" s="9" t="s">
        <v>67</v>
      </c>
      <c r="E7068" s="6" t="s">
        <v>13821</v>
      </c>
      <c r="F7068" t="inlineStr" s="10">
        <is>
          <t xml:space="preserve">Taistelussa BLAZIKEN puhaltaa ranteistaan ​​voimakkaita liekkejä ja hyökkää vihollisten kimppuun rohkeasti. Mitä vahvempi vihollinen, sitä voimakkaammin tämän POKéMONin ranteet polttavat. BLAZIKENillä on uskomattoman vahvat jalat – se voi helposti raivata 30-kerroksisen rakennuksen yhdellä loikalla. Tämän POKéMONin raivokkaat iskut jättävät sen viholliset poltetuiksi ja mustuneiksi. Se oppii kamppailulajeja, joissa käytetään lyöntejä ja potkuja. Muutaman vuoden välein sen vanhat höyhenet palavat pois, ja tilalle kasvaa uusia, notkeita höyheniä. Kohdatessaan kovan vihollisen se päästää liekkejä ranteistaan. Sen voimakkaat jalat antavat sen hypätä rakennusten yli. Liekit purkautuvat sen ranteista ja peittävät sen rystyset. Sen lyönnit polttavat sen vihollisia. Se voi raivata 30-kerroksisen rakennuksen yhdellä loikalla. Sen tulisia iskuja polttaa viholliset. Taistelussa Blaziken puhaltaa voimakkaita liekkejä ranteistaan ​​ja hyökkää vihollisten kimppuun rohkeasti. Blazikenilla on uskomattoman vahvat jalat – se voi helposti raivata 30-kerroksisen rakennuksen yhdellä loikalla. Tämän Pokémonin tulisieluiset iskut polttavat ja mustuvat vihollisiin.</t>
        </is>
      </c>
    </row>
    <row r="7069" ht="33.75" customHeight="1">
      <c r="A7069" s="7">
        <v>257.0</v>
      </c>
      <c r="B7069" s="9" t="s">
        <v>13819</v>
      </c>
      <c r="C7069" s="9" t="s">
        <v>13820</v>
      </c>
      <c r="D7069" s="9" t="s">
        <v>71</v>
      </c>
      <c r="E7069" s="6" t="s">
        <v>13822</v>
      </c>
      <c r="F7069" s="9"/>
    </row>
    <row r="7070" ht="33.75" customHeight="1">
      <c r="A7070" s="7">
        <v>257.0</v>
      </c>
      <c r="B7070" s="9" t="s">
        <v>13819</v>
      </c>
      <c r="C7070" s="9" t="s">
        <v>13820</v>
      </c>
      <c r="D7070" s="9" t="s">
        <v>73</v>
      </c>
      <c r="E7070" s="6" t="s">
        <v>13823</v>
      </c>
      <c r="F7070" s="9"/>
    </row>
    <row r="7071" ht="33.75" customHeight="1">
      <c r="A7071" s="7">
        <v>257.0</v>
      </c>
      <c r="B7071" s="9" t="s">
        <v>13819</v>
      </c>
      <c r="C7071" s="9" t="s">
        <v>13820</v>
      </c>
      <c r="D7071" s="9" t="s">
        <v>75</v>
      </c>
      <c r="E7071" s="6" t="s">
        <v>13824</v>
      </c>
      <c r="F7071" s="9"/>
    </row>
    <row r="7072" ht="33.75" customHeight="1">
      <c r="A7072" s="7">
        <v>257.0</v>
      </c>
      <c r="B7072" s="9" t="s">
        <v>13819</v>
      </c>
      <c r="C7072" s="9" t="s">
        <v>13820</v>
      </c>
      <c r="D7072" s="9" t="s">
        <v>79</v>
      </c>
      <c r="E7072" s="6" t="s">
        <v>13824</v>
      </c>
      <c r="F7072" s="9"/>
    </row>
    <row r="7073" ht="33.75" customHeight="1">
      <c r="A7073" s="7">
        <v>257.0</v>
      </c>
      <c r="B7073" s="9" t="s">
        <v>13819</v>
      </c>
      <c r="C7073" s="9" t="s">
        <v>13820</v>
      </c>
      <c r="D7073" s="9" t="s">
        <v>81</v>
      </c>
      <c r="E7073" s="6" t="s">
        <v>13825</v>
      </c>
      <c r="F7073" s="9"/>
    </row>
    <row r="7074" ht="33.75" customHeight="1">
      <c r="A7074" s="7">
        <v>257.0</v>
      </c>
      <c r="B7074" s="9" t="s">
        <v>13819</v>
      </c>
      <c r="C7074" s="9" t="s">
        <v>13820</v>
      </c>
      <c r="D7074" s="9" t="s">
        <v>84</v>
      </c>
      <c r="E7074" s="6" t="s">
        <v>13825</v>
      </c>
      <c r="F7074" s="9"/>
    </row>
    <row r="7075" ht="33.75" customHeight="1">
      <c r="A7075" s="7">
        <v>257.0</v>
      </c>
      <c r="B7075" s="9" t="s">
        <v>13819</v>
      </c>
      <c r="C7075" s="9" t="s">
        <v>13820</v>
      </c>
      <c r="D7075" s="9" t="s">
        <v>87</v>
      </c>
      <c r="E7075" s="6" t="s">
        <v>13825</v>
      </c>
      <c r="F7075" s="9"/>
    </row>
    <row r="7076" ht="33.75" customHeight="1">
      <c r="A7076" s="7">
        <v>257.0</v>
      </c>
      <c r="B7076" s="9" t="s">
        <v>13819</v>
      </c>
      <c r="C7076" s="9" t="s">
        <v>13820</v>
      </c>
      <c r="D7076" s="9" t="s">
        <v>89</v>
      </c>
      <c r="E7076" s="6" t="s">
        <v>13827</v>
      </c>
      <c r="F7076" s="9"/>
    </row>
    <row r="7077" ht="33.75" customHeight="1">
      <c r="A7077" s="7">
        <v>257.0</v>
      </c>
      <c r="B7077" s="9" t="s">
        <v>13819</v>
      </c>
      <c r="C7077" s="9" t="s">
        <v>13820</v>
      </c>
      <c r="D7077" s="9" t="s">
        <v>91</v>
      </c>
      <c r="E7077" s="6" t="s">
        <v>13827</v>
      </c>
      <c r="F7077" s="9"/>
    </row>
    <row r="7078" ht="33.75" customHeight="1">
      <c r="A7078" s="7">
        <v>257.0</v>
      </c>
      <c r="B7078" s="9" t="s">
        <v>13819</v>
      </c>
      <c r="C7078" s="9" t="s">
        <v>13820</v>
      </c>
      <c r="D7078" s="9" t="s">
        <v>93</v>
      </c>
      <c r="E7078" s="6" t="s">
        <v>13825</v>
      </c>
      <c r="F7078" s="9"/>
    </row>
    <row r="7079" ht="33.75" customHeight="1">
      <c r="A7079" s="7">
        <v>257.0</v>
      </c>
      <c r="B7079" s="9" t="s">
        <v>13819</v>
      </c>
      <c r="C7079" s="9" t="s">
        <v>13820</v>
      </c>
      <c r="D7079" s="9" t="s">
        <v>95</v>
      </c>
      <c r="E7079" s="6" t="s">
        <v>13825</v>
      </c>
      <c r="F7079" s="9"/>
    </row>
    <row r="7080" ht="33.75" customHeight="1">
      <c r="A7080" s="7">
        <v>257.0</v>
      </c>
      <c r="B7080" s="9" t="s">
        <v>13819</v>
      </c>
      <c r="C7080" s="9" t="s">
        <v>13820</v>
      </c>
      <c r="D7080" s="9" t="s">
        <v>98</v>
      </c>
      <c r="E7080" s="6" t="s">
        <v>13825</v>
      </c>
      <c r="F7080" s="9"/>
    </row>
    <row r="7081" ht="33.75" customHeight="1">
      <c r="A7081" s="7">
        <v>257.0</v>
      </c>
      <c r="B7081" s="9" t="s">
        <v>13819</v>
      </c>
      <c r="C7081" s="9" t="s">
        <v>13820</v>
      </c>
      <c r="D7081" s="9" t="s">
        <v>99</v>
      </c>
      <c r="E7081" s="6" t="s">
        <v>13825</v>
      </c>
      <c r="F7081" s="9"/>
    </row>
    <row r="7082" ht="33.75" customHeight="1">
      <c r="A7082" s="7">
        <v>257.0</v>
      </c>
      <c r="B7082" s="9" t="s">
        <v>13819</v>
      </c>
      <c r="C7082" s="9" t="s">
        <v>13820</v>
      </c>
      <c r="D7082" s="9" t="s">
        <v>101</v>
      </c>
      <c r="E7082" s="6" t="s">
        <v>13827</v>
      </c>
      <c r="F7082" s="9"/>
    </row>
    <row r="7083" ht="33.75" customHeight="1">
      <c r="A7083" s="7">
        <v>257.0</v>
      </c>
      <c r="B7083" s="9" t="s">
        <v>13819</v>
      </c>
      <c r="C7083" s="9" t="s">
        <v>13820</v>
      </c>
      <c r="D7083" s="9" t="s">
        <v>105</v>
      </c>
      <c r="E7083" s="6" t="s">
        <v>13824</v>
      </c>
      <c r="F7083" s="9"/>
    </row>
    <row r="7084" ht="33.75" customHeight="1">
      <c r="A7084" s="7">
        <v>257.0</v>
      </c>
      <c r="B7084" s="9" t="s">
        <v>13819</v>
      </c>
      <c r="C7084" s="9" t="s">
        <v>13820</v>
      </c>
      <c r="D7084" s="9" t="s">
        <v>107</v>
      </c>
      <c r="E7084" s="6" t="s">
        <v>13828</v>
      </c>
      <c r="F7084" s="9"/>
    </row>
    <row r="7085" ht="33.75" customHeight="1">
      <c r="A7085" s="7">
        <v>257.0</v>
      </c>
      <c r="B7085" s="9" t="s">
        <v>13819</v>
      </c>
      <c r="C7085" s="9" t="s">
        <v>13820</v>
      </c>
      <c r="D7085" s="9" t="s">
        <v>109</v>
      </c>
      <c r="E7085" s="6" t="s">
        <v>13829</v>
      </c>
      <c r="F7085" s="9"/>
    </row>
    <row r="7086" ht="33.75" customHeight="1">
      <c r="A7086" s="7">
        <v>258.0</v>
      </c>
      <c r="B7086" s="9" t="s">
        <v>13830</v>
      </c>
      <c r="C7086" s="9" t="s">
        <v>13831</v>
      </c>
      <c r="D7086" s="9" t="s">
        <v>67</v>
      </c>
      <c r="E7086" s="6" t="s">
        <v>13832</v>
      </c>
      <c r="F7086" t="inlineStr" s="10">
        <is>
          <t xml:space="preserve">MUDKIPin päässä oleva evä toimii erittäin herkkänä tutkana. Käyttämällä evää veden ja ilman liikkeiden havaitsemiseen tämä POKéMON voi määrittää ympärillään tapahtuvaa ilman silmiään. Vedessä MUDKIP hengittää poskissaan olevien kidusten avulla. Jos se kohtaa tiukan taistelutilanteen, tämä POKéMON vapauttaa uskomattoman voimansa – se voi murskata itseään suurempia kiviä. Maalla se voi nostaa voimakkaasti suuria lohkareita istuutumalla neljälle jalalleen ja hyppimällä. Se nukkuu hautautumalla maahan veden reunalla. Sen suuri pyrstöevä kuljettaa sitä vedessä voimakkaalla kiihtyvyydellä. Se on vahva koostaan ​​huolimatta. Sen hälyttämiseksi sen päässä oleva evä aistii veden virtauksen. Sillä on voimaa nostaa lohkareita. Sen voima voi murskata lohkareita. Se lepää peittämällä itsensä mudalla joen pohjassa. Käyttämällä evää veden ja ilman liikkeiden havaitsemiseen tämä Pokémon voi määrittää ympärillään tapahtuvan ilman silmiään.</t>
        </is>
      </c>
    </row>
    <row r="7087" ht="33.75" customHeight="1">
      <c r="A7087" s="7">
        <v>258.0</v>
      </c>
      <c r="B7087" s="9" t="s">
        <v>13830</v>
      </c>
      <c r="C7087" s="9" t="s">
        <v>13831</v>
      </c>
      <c r="D7087" s="9" t="s">
        <v>71</v>
      </c>
      <c r="E7087" s="6" t="s">
        <v>13833</v>
      </c>
      <c r="F7087" s="9"/>
    </row>
    <row r="7088" ht="33.75" customHeight="1">
      <c r="A7088" s="7">
        <v>258.0</v>
      </c>
      <c r="B7088" s="9" t="s">
        <v>13830</v>
      </c>
      <c r="C7088" s="9" t="s">
        <v>13831</v>
      </c>
      <c r="D7088" s="9" t="s">
        <v>73</v>
      </c>
      <c r="E7088" s="6" t="s">
        <v>13834</v>
      </c>
      <c r="F7088" s="9"/>
    </row>
    <row r="7089" ht="33.75" customHeight="1">
      <c r="A7089" s="7">
        <v>258.0</v>
      </c>
      <c r="B7089" s="9" t="s">
        <v>13830</v>
      </c>
      <c r="C7089" s="9" t="s">
        <v>13831</v>
      </c>
      <c r="D7089" s="9" t="s">
        <v>75</v>
      </c>
      <c r="E7089" s="6" t="s">
        <v>13835</v>
      </c>
      <c r="F7089" s="9"/>
    </row>
    <row r="7090" ht="33.75" customHeight="1">
      <c r="A7090" s="7">
        <v>258.0</v>
      </c>
      <c r="B7090" s="9" t="s">
        <v>13830</v>
      </c>
      <c r="C7090" s="9" t="s">
        <v>13831</v>
      </c>
      <c r="D7090" s="9" t="s">
        <v>79</v>
      </c>
      <c r="E7090" s="6" t="s">
        <v>13835</v>
      </c>
      <c r="F7090" s="9"/>
    </row>
    <row r="7091" ht="33.75" customHeight="1">
      <c r="A7091" s="7">
        <v>258.0</v>
      </c>
      <c r="B7091" s="9" t="s">
        <v>13830</v>
      </c>
      <c r="C7091" s="9" t="s">
        <v>13831</v>
      </c>
      <c r="D7091" s="9" t="s">
        <v>81</v>
      </c>
      <c r="E7091" s="6" t="s">
        <v>13836</v>
      </c>
      <c r="F7091" s="9"/>
    </row>
    <row r="7092" ht="33.75" customHeight="1">
      <c r="A7092" s="7">
        <v>258.0</v>
      </c>
      <c r="B7092" s="9" t="s">
        <v>13830</v>
      </c>
      <c r="C7092" s="9" t="s">
        <v>13831</v>
      </c>
      <c r="D7092" s="9" t="s">
        <v>84</v>
      </c>
      <c r="E7092" s="6" t="s">
        <v>13836</v>
      </c>
      <c r="F7092" s="9"/>
    </row>
    <row r="7093" ht="33.75" customHeight="1">
      <c r="A7093" s="7">
        <v>258.0</v>
      </c>
      <c r="B7093" s="9" t="s">
        <v>13830</v>
      </c>
      <c r="C7093" s="9" t="s">
        <v>13831</v>
      </c>
      <c r="D7093" s="9" t="s">
        <v>87</v>
      </c>
      <c r="E7093" s="6" t="s">
        <v>13836</v>
      </c>
      <c r="F7093" s="9"/>
    </row>
    <row r="7094" ht="33.75" customHeight="1">
      <c r="A7094" s="7">
        <v>258.0</v>
      </c>
      <c r="B7094" s="9" t="s">
        <v>13830</v>
      </c>
      <c r="C7094" s="9" t="s">
        <v>13831</v>
      </c>
      <c r="D7094" s="9" t="s">
        <v>89</v>
      </c>
      <c r="E7094" s="6" t="s">
        <v>13837</v>
      </c>
      <c r="F7094" s="9"/>
    </row>
    <row r="7095" ht="33.75" customHeight="1">
      <c r="A7095" s="7">
        <v>258.0</v>
      </c>
      <c r="B7095" s="9" t="s">
        <v>13830</v>
      </c>
      <c r="C7095" s="9" t="s">
        <v>13831</v>
      </c>
      <c r="D7095" s="9" t="s">
        <v>91</v>
      </c>
      <c r="E7095" s="6" t="s">
        <v>13837</v>
      </c>
      <c r="F7095" s="9"/>
    </row>
    <row r="7096" ht="33.75" customHeight="1">
      <c r="A7096" s="7">
        <v>258.0</v>
      </c>
      <c r="B7096" s="9" t="s">
        <v>13830</v>
      </c>
      <c r="C7096" s="9" t="s">
        <v>13831</v>
      </c>
      <c r="D7096" s="9" t="s">
        <v>93</v>
      </c>
      <c r="E7096" s="6" t="s">
        <v>13836</v>
      </c>
      <c r="F7096" s="9"/>
    </row>
    <row r="7097" ht="33.75" customHeight="1">
      <c r="A7097" s="7">
        <v>258.0</v>
      </c>
      <c r="B7097" s="9" t="s">
        <v>13830</v>
      </c>
      <c r="C7097" s="9" t="s">
        <v>13831</v>
      </c>
      <c r="D7097" s="9" t="s">
        <v>95</v>
      </c>
      <c r="E7097" s="6" t="s">
        <v>13836</v>
      </c>
      <c r="F7097" s="9"/>
    </row>
    <row r="7098" ht="33.75" customHeight="1">
      <c r="A7098" s="7">
        <v>258.0</v>
      </c>
      <c r="B7098" s="9" t="s">
        <v>13830</v>
      </c>
      <c r="C7098" s="9" t="s">
        <v>13831</v>
      </c>
      <c r="D7098" s="9" t="s">
        <v>98</v>
      </c>
      <c r="E7098" s="6" t="s">
        <v>13836</v>
      </c>
      <c r="F7098" s="9"/>
    </row>
    <row r="7099" ht="33.75" customHeight="1">
      <c r="A7099" s="7">
        <v>258.0</v>
      </c>
      <c r="B7099" s="9" t="s">
        <v>13830</v>
      </c>
      <c r="C7099" s="9" t="s">
        <v>13831</v>
      </c>
      <c r="D7099" s="9" t="s">
        <v>99</v>
      </c>
      <c r="E7099" s="6" t="s">
        <v>13836</v>
      </c>
      <c r="F7099" s="9"/>
    </row>
    <row r="7100" ht="33.75" customHeight="1">
      <c r="A7100" s="7">
        <v>258.0</v>
      </c>
      <c r="B7100" s="9" t="s">
        <v>13830</v>
      </c>
      <c r="C7100" s="9" t="s">
        <v>13831</v>
      </c>
      <c r="D7100" s="9" t="s">
        <v>101</v>
      </c>
      <c r="E7100" s="6" t="s">
        <v>13835</v>
      </c>
      <c r="F7100" s="9"/>
    </row>
    <row r="7101" ht="33.75" customHeight="1">
      <c r="A7101" s="7">
        <v>258.0</v>
      </c>
      <c r="B7101" s="9" t="s">
        <v>13830</v>
      </c>
      <c r="C7101" s="9" t="s">
        <v>13831</v>
      </c>
      <c r="D7101" s="9" t="s">
        <v>105</v>
      </c>
      <c r="E7101" s="6" t="s">
        <v>13836</v>
      </c>
      <c r="F7101" s="9"/>
    </row>
    <row r="7102" ht="33.75" customHeight="1">
      <c r="A7102" s="7">
        <v>258.0</v>
      </c>
      <c r="B7102" s="9" t="s">
        <v>13830</v>
      </c>
      <c r="C7102" s="9" t="s">
        <v>13831</v>
      </c>
      <c r="D7102" s="9" t="s">
        <v>107</v>
      </c>
      <c r="E7102" s="6" t="s">
        <v>13839</v>
      </c>
      <c r="F7102" s="9"/>
    </row>
    <row r="7103" ht="33.75" customHeight="1">
      <c r="A7103" s="7">
        <v>258.0</v>
      </c>
      <c r="B7103" s="9" t="s">
        <v>13830</v>
      </c>
      <c r="C7103" s="9" t="s">
        <v>13831</v>
      </c>
      <c r="D7103" s="9" t="s">
        <v>109</v>
      </c>
      <c r="E7103" s="6" t="s">
        <v>13840</v>
      </c>
      <c r="F7103" s="9"/>
    </row>
    <row r="7104" ht="33.75" customHeight="1">
      <c r="A7104" s="7">
        <v>259.0</v>
      </c>
      <c r="B7104" s="9" t="s">
        <v>13841</v>
      </c>
      <c r="C7104" s="9" t="s">
        <v>13831</v>
      </c>
      <c r="D7104" s="9" t="s">
        <v>67</v>
      </c>
      <c r="E7104" s="6" t="s">
        <v>13842</v>
      </c>
      <c r="F7104" t="inlineStr" s="10">
        <is>
          <t xml:space="preserve">MARSHTOMPin kehon pintaa peittää ohut, tahmea kalvo, jonka ansiosta se voi elää maalla. Tämä POKéMON leikkii mudassa rannoilla, kun merenpinta on matalalla. MARSHTOMP on paljon nopeampi liikkumaan mudassa kuin uimaan. Tämän POKéMONin takaosa on selvästi kehittynyt, minkä ansiosta se pystyy kävelemään pelkillä takajaloillaan. Sen karaistuneet takajalat mahdollistavat sen pystyssä seisomisen. Koska se heikkenee, jos sen iho kuivuu, se täydentää nesteitä leikkimällä mudassa. Se on parhaimmillaan mutaisella alustalla ja huonolla pohjalla. Se peittoaa nopeasti mudassa painivat viholliset. Sen tukevat jalat antavat sille tukevan jalansijan jopa mudassa. Se kaivautuu maahan nukkuakseen. Mutaisella ja huonosti jalansijaa tarjoavalla maalla eläminen on tehnyt sen jaloista tukevat. Marshtomp on paljon nopeampi liikkumaan mudassa kuin uinnissa.</t>
        </is>
      </c>
    </row>
    <row r="7105" ht="33.75" customHeight="1">
      <c r="A7105" s="7">
        <v>259.0</v>
      </c>
      <c r="B7105" s="9" t="s">
        <v>13841</v>
      </c>
      <c r="C7105" s="9" t="s">
        <v>13831</v>
      </c>
      <c r="D7105" s="9" t="s">
        <v>71</v>
      </c>
      <c r="E7105" s="6" t="s">
        <v>13843</v>
      </c>
      <c r="F7105" s="9"/>
    </row>
    <row r="7106" ht="33.75" customHeight="1">
      <c r="A7106" s="7">
        <v>259.0</v>
      </c>
      <c r="B7106" s="9" t="s">
        <v>13841</v>
      </c>
      <c r="C7106" s="9" t="s">
        <v>13831</v>
      </c>
      <c r="D7106" s="9" t="s">
        <v>73</v>
      </c>
      <c r="E7106" s="6" t="s">
        <v>13844</v>
      </c>
      <c r="F7106" s="9"/>
    </row>
    <row r="7107" ht="33.75" customHeight="1">
      <c r="A7107" s="7">
        <v>259.0</v>
      </c>
      <c r="B7107" s="9" t="s">
        <v>13841</v>
      </c>
      <c r="C7107" s="9" t="s">
        <v>13831</v>
      </c>
      <c r="D7107" s="9" t="s">
        <v>75</v>
      </c>
      <c r="E7107" s="6" t="s">
        <v>13845</v>
      </c>
      <c r="F7107" s="9"/>
    </row>
    <row r="7108" ht="33.75" customHeight="1">
      <c r="A7108" s="7">
        <v>259.0</v>
      </c>
      <c r="B7108" s="9" t="s">
        <v>13841</v>
      </c>
      <c r="C7108" s="9" t="s">
        <v>13831</v>
      </c>
      <c r="D7108" s="9" t="s">
        <v>79</v>
      </c>
      <c r="E7108" s="6" t="s">
        <v>13845</v>
      </c>
      <c r="F7108" s="9"/>
    </row>
    <row r="7109" ht="33.75" customHeight="1">
      <c r="A7109" s="7">
        <v>259.0</v>
      </c>
      <c r="B7109" s="9" t="s">
        <v>13841</v>
      </c>
      <c r="C7109" s="9" t="s">
        <v>13831</v>
      </c>
      <c r="D7109" s="9" t="s">
        <v>81</v>
      </c>
      <c r="E7109" s="6" t="s">
        <v>13846</v>
      </c>
      <c r="F7109" s="9"/>
    </row>
    <row r="7110" ht="33.75" customHeight="1">
      <c r="A7110" s="7">
        <v>259.0</v>
      </c>
      <c r="B7110" s="9" t="s">
        <v>13841</v>
      </c>
      <c r="C7110" s="9" t="s">
        <v>13831</v>
      </c>
      <c r="D7110" s="9" t="s">
        <v>84</v>
      </c>
      <c r="E7110" s="6" t="s">
        <v>13846</v>
      </c>
      <c r="F7110" s="9"/>
    </row>
    <row r="7111" ht="33.75" customHeight="1">
      <c r="A7111" s="7">
        <v>259.0</v>
      </c>
      <c r="B7111" s="9" t="s">
        <v>13841</v>
      </c>
      <c r="C7111" s="9" t="s">
        <v>13831</v>
      </c>
      <c r="D7111" s="9" t="s">
        <v>87</v>
      </c>
      <c r="E7111" s="6" t="s">
        <v>13846</v>
      </c>
      <c r="F7111" s="9"/>
    </row>
    <row r="7112" ht="33.75" customHeight="1">
      <c r="A7112" s="7">
        <v>259.0</v>
      </c>
      <c r="B7112" s="9" t="s">
        <v>13841</v>
      </c>
      <c r="C7112" s="9" t="s">
        <v>13831</v>
      </c>
      <c r="D7112" s="9" t="s">
        <v>89</v>
      </c>
      <c r="E7112" s="6" t="s">
        <v>13847</v>
      </c>
      <c r="F7112" s="9"/>
    </row>
    <row r="7113" ht="33.75" customHeight="1">
      <c r="A7113" s="7">
        <v>259.0</v>
      </c>
      <c r="B7113" s="9" t="s">
        <v>13841</v>
      </c>
      <c r="C7113" s="9" t="s">
        <v>13831</v>
      </c>
      <c r="D7113" s="9" t="s">
        <v>91</v>
      </c>
      <c r="E7113" s="6" t="s">
        <v>13847</v>
      </c>
      <c r="F7113" s="9"/>
    </row>
    <row r="7114" ht="33.75" customHeight="1">
      <c r="A7114" s="7">
        <v>259.0</v>
      </c>
      <c r="B7114" s="9" t="s">
        <v>13841</v>
      </c>
      <c r="C7114" s="9" t="s">
        <v>13831</v>
      </c>
      <c r="D7114" s="9" t="s">
        <v>93</v>
      </c>
      <c r="E7114" s="6" t="s">
        <v>13846</v>
      </c>
      <c r="F7114" s="9"/>
    </row>
    <row r="7115" ht="33.75" customHeight="1">
      <c r="A7115" s="7">
        <v>259.0</v>
      </c>
      <c r="B7115" s="9" t="s">
        <v>13841</v>
      </c>
      <c r="C7115" s="9" t="s">
        <v>13831</v>
      </c>
      <c r="D7115" s="9" t="s">
        <v>95</v>
      </c>
      <c r="E7115" s="6" t="s">
        <v>13846</v>
      </c>
      <c r="F7115" s="9"/>
    </row>
    <row r="7116" ht="33.75" customHeight="1">
      <c r="A7116" s="7">
        <v>259.0</v>
      </c>
      <c r="B7116" s="9" t="s">
        <v>13841</v>
      </c>
      <c r="C7116" s="9" t="s">
        <v>13831</v>
      </c>
      <c r="D7116" s="9" t="s">
        <v>98</v>
      </c>
      <c r="E7116" s="6" t="s">
        <v>13846</v>
      </c>
      <c r="F7116" s="9"/>
    </row>
    <row r="7117" ht="33.75" customHeight="1">
      <c r="A7117" s="7">
        <v>259.0</v>
      </c>
      <c r="B7117" s="9" t="s">
        <v>13841</v>
      </c>
      <c r="C7117" s="9" t="s">
        <v>13831</v>
      </c>
      <c r="D7117" s="9" t="s">
        <v>99</v>
      </c>
      <c r="E7117" s="6" t="s">
        <v>13846</v>
      </c>
      <c r="F7117" s="9"/>
    </row>
    <row r="7118" ht="33.75" customHeight="1">
      <c r="A7118" s="7">
        <v>259.0</v>
      </c>
      <c r="B7118" s="9" t="s">
        <v>13841</v>
      </c>
      <c r="C7118" s="9" t="s">
        <v>13831</v>
      </c>
      <c r="D7118" s="9" t="s">
        <v>101</v>
      </c>
      <c r="E7118" s="6" t="s">
        <v>13846</v>
      </c>
      <c r="F7118" s="9"/>
    </row>
    <row r="7119" ht="33.75" customHeight="1">
      <c r="A7119" s="7">
        <v>259.0</v>
      </c>
      <c r="B7119" s="9" t="s">
        <v>13841</v>
      </c>
      <c r="C7119" s="9" t="s">
        <v>13831</v>
      </c>
      <c r="D7119" s="9" t="s">
        <v>105</v>
      </c>
      <c r="E7119" s="6" t="s">
        <v>13847</v>
      </c>
      <c r="F7119" s="9"/>
    </row>
    <row r="7120" ht="33.75" customHeight="1">
      <c r="A7120" s="7">
        <v>259.0</v>
      </c>
      <c r="B7120" s="9" t="s">
        <v>13841</v>
      </c>
      <c r="C7120" s="9" t="s">
        <v>13831</v>
      </c>
      <c r="D7120" s="9" t="s">
        <v>107</v>
      </c>
      <c r="E7120" s="6" t="s">
        <v>13849</v>
      </c>
      <c r="F7120" s="9"/>
    </row>
    <row r="7121" ht="33.75" customHeight="1">
      <c r="A7121" s="7">
        <v>259.0</v>
      </c>
      <c r="B7121" s="9" t="s">
        <v>13841</v>
      </c>
      <c r="C7121" s="9" t="s">
        <v>13831</v>
      </c>
      <c r="D7121" s="9" t="s">
        <v>109</v>
      </c>
      <c r="E7121" s="6" t="s">
        <v>13850</v>
      </c>
      <c r="F7121" s="9"/>
    </row>
    <row r="7122" ht="33.75" customHeight="1">
      <c r="A7122" s="7">
        <v>260.0</v>
      </c>
      <c r="B7122" s="9" t="s">
        <v>13851</v>
      </c>
      <c r="C7122" s="9" t="s">
        <v>13831</v>
      </c>
      <c r="D7122" s="9" t="s">
        <v>67</v>
      </c>
      <c r="E7122" s="6" t="s">
        <v>13852</v>
      </c>
      <c r="F7122" t="inlineStr" s="10">
        <is>
          <t xml:space="preserve">SWAMPERT on erittäin vahva. Sillä on tarpeeksi voimaa vetää helposti yli tonnin painava lohkare. Tällä POKéMONilla on myös voimakas näkö, jonka ansiosta se näkee jopa sameassa vedessä. SWAMPERT ennustaa myrskyjä aistimalla aaltojen ja vuorovesituulien äänissä hienovaraisia ​​eroja evillään. Jos myrsky lähestyy, se kasaa lohkareita suojautuakseen. Jos se aistii myrskyn ja hyökyaallon lähestyvän, se suojelee rantapesäänsä kasaamalla kiviä. Se ui yhtä nopeasti kuin vesiskootteri. Sen käsivarret ovat kivikovat. Yhdellä iskulla ne voivat murskata vihollisen. Se tekee pesänsä kauniille rannoille. Se voi uida hinatessaan suurta laivaa. Se iskee vihollisia alas paksujen käsivarsiensa heilautuksella. Sen käsivarret ovat kovat kuin kivi. Yhdellä iskulla se voi rikkoa lohkareen palasiksi. Swampert ennustaa myrskyjä aistimalla aaltojen ja vuorovesituulien äänien hienovaraisia ​​eroja evillään.</t>
        </is>
      </c>
    </row>
    <row r="7123" ht="33.75" customHeight="1">
      <c r="A7123" s="7">
        <v>260.0</v>
      </c>
      <c r="B7123" s="9" t="s">
        <v>13851</v>
      </c>
      <c r="C7123" s="9" t="s">
        <v>13831</v>
      </c>
      <c r="D7123" s="9" t="s">
        <v>71</v>
      </c>
      <c r="E7123" s="6" t="s">
        <v>13853</v>
      </c>
      <c r="F7123" s="9"/>
    </row>
    <row r="7124" ht="33.75" customHeight="1">
      <c r="A7124" s="7">
        <v>260.0</v>
      </c>
      <c r="B7124" s="9" t="s">
        <v>13851</v>
      </c>
      <c r="C7124" s="9" t="s">
        <v>13831</v>
      </c>
      <c r="D7124" s="9" t="s">
        <v>73</v>
      </c>
      <c r="E7124" s="6" t="s">
        <v>13854</v>
      </c>
      <c r="F7124" s="9"/>
    </row>
    <row r="7125" ht="33.75" customHeight="1">
      <c r="A7125" s="7">
        <v>260.0</v>
      </c>
      <c r="B7125" s="9" t="s">
        <v>13851</v>
      </c>
      <c r="C7125" s="9" t="s">
        <v>13831</v>
      </c>
      <c r="D7125" s="9" t="s">
        <v>75</v>
      </c>
      <c r="E7125" s="6" t="s">
        <v>13855</v>
      </c>
      <c r="F7125" s="9"/>
    </row>
    <row r="7126" ht="33.75" customHeight="1">
      <c r="A7126" s="7">
        <v>260.0</v>
      </c>
      <c r="B7126" s="9" t="s">
        <v>13851</v>
      </c>
      <c r="C7126" s="9" t="s">
        <v>13831</v>
      </c>
      <c r="D7126" s="9" t="s">
        <v>79</v>
      </c>
      <c r="E7126" s="6" t="s">
        <v>13855</v>
      </c>
      <c r="F7126" s="9"/>
    </row>
    <row r="7127" ht="33.75" customHeight="1">
      <c r="A7127" s="7">
        <v>260.0</v>
      </c>
      <c r="B7127" s="9" t="s">
        <v>13851</v>
      </c>
      <c r="C7127" s="9" t="s">
        <v>13831</v>
      </c>
      <c r="D7127" s="9" t="s">
        <v>81</v>
      </c>
      <c r="E7127" s="6" t="s">
        <v>13856</v>
      </c>
      <c r="F7127" s="9"/>
    </row>
    <row r="7128" ht="33.75" customHeight="1">
      <c r="A7128" s="7">
        <v>260.0</v>
      </c>
      <c r="B7128" s="9" t="s">
        <v>13851</v>
      </c>
      <c r="C7128" s="9" t="s">
        <v>13831</v>
      </c>
      <c r="D7128" s="9" t="s">
        <v>84</v>
      </c>
      <c r="E7128" s="6" t="s">
        <v>13856</v>
      </c>
      <c r="F7128" s="9"/>
    </row>
    <row r="7129" ht="33.75" customHeight="1">
      <c r="A7129" s="7">
        <v>260.0</v>
      </c>
      <c r="B7129" s="9" t="s">
        <v>13851</v>
      </c>
      <c r="C7129" s="9" t="s">
        <v>13831</v>
      </c>
      <c r="D7129" s="9" t="s">
        <v>87</v>
      </c>
      <c r="E7129" s="6" t="s">
        <v>13856</v>
      </c>
      <c r="F7129" s="9"/>
    </row>
    <row r="7130" ht="33.75" customHeight="1">
      <c r="A7130" s="7">
        <v>260.0</v>
      </c>
      <c r="B7130" s="9" t="s">
        <v>13851</v>
      </c>
      <c r="C7130" s="9" t="s">
        <v>13831</v>
      </c>
      <c r="D7130" s="9" t="s">
        <v>89</v>
      </c>
      <c r="E7130" s="6" t="s">
        <v>13857</v>
      </c>
      <c r="F7130" s="9"/>
    </row>
    <row r="7131" ht="33.75" customHeight="1">
      <c r="A7131" s="7">
        <v>260.0</v>
      </c>
      <c r="B7131" s="9" t="s">
        <v>13851</v>
      </c>
      <c r="C7131" s="9" t="s">
        <v>13831</v>
      </c>
      <c r="D7131" s="9" t="s">
        <v>91</v>
      </c>
      <c r="E7131" s="6" t="s">
        <v>13857</v>
      </c>
      <c r="F7131" s="9"/>
    </row>
    <row r="7132" ht="33.75" customHeight="1">
      <c r="A7132" s="7">
        <v>260.0</v>
      </c>
      <c r="B7132" s="9" t="s">
        <v>13851</v>
      </c>
      <c r="C7132" s="9" t="s">
        <v>13831</v>
      </c>
      <c r="D7132" s="9" t="s">
        <v>93</v>
      </c>
      <c r="E7132" s="6" t="s">
        <v>13856</v>
      </c>
      <c r="F7132" s="9"/>
    </row>
    <row r="7133" ht="33.75" customHeight="1">
      <c r="A7133" s="7">
        <v>260.0</v>
      </c>
      <c r="B7133" s="9" t="s">
        <v>13851</v>
      </c>
      <c r="C7133" s="9" t="s">
        <v>13831</v>
      </c>
      <c r="D7133" s="9" t="s">
        <v>95</v>
      </c>
      <c r="E7133" s="6" t="s">
        <v>13856</v>
      </c>
      <c r="F7133" s="9"/>
    </row>
    <row r="7134" ht="33.75" customHeight="1">
      <c r="A7134" s="7">
        <v>260.0</v>
      </c>
      <c r="B7134" s="9" t="s">
        <v>13851</v>
      </c>
      <c r="C7134" s="9" t="s">
        <v>13831</v>
      </c>
      <c r="D7134" s="9" t="s">
        <v>98</v>
      </c>
      <c r="E7134" s="6" t="s">
        <v>13856</v>
      </c>
      <c r="F7134" s="9"/>
    </row>
    <row r="7135" ht="33.75" customHeight="1">
      <c r="A7135" s="7">
        <v>260.0</v>
      </c>
      <c r="B7135" s="9" t="s">
        <v>13851</v>
      </c>
      <c r="C7135" s="9" t="s">
        <v>13831</v>
      </c>
      <c r="D7135" s="9" t="s">
        <v>99</v>
      </c>
      <c r="E7135" s="6" t="s">
        <v>13856</v>
      </c>
      <c r="F7135" s="9"/>
    </row>
    <row r="7136" ht="33.75" customHeight="1">
      <c r="A7136" s="7">
        <v>260.0</v>
      </c>
      <c r="B7136" s="9" t="s">
        <v>13851</v>
      </c>
      <c r="C7136" s="9" t="s">
        <v>13831</v>
      </c>
      <c r="D7136" s="9" t="s">
        <v>101</v>
      </c>
      <c r="E7136" s="6" t="s">
        <v>13857</v>
      </c>
      <c r="F7136" s="9"/>
    </row>
    <row r="7137" ht="33.75" customHeight="1">
      <c r="A7137" s="7">
        <v>260.0</v>
      </c>
      <c r="B7137" s="9" t="s">
        <v>13851</v>
      </c>
      <c r="C7137" s="9" t="s">
        <v>13831</v>
      </c>
      <c r="D7137" s="9" t="s">
        <v>105</v>
      </c>
      <c r="E7137" s="6" t="s">
        <v>13856</v>
      </c>
      <c r="F7137" s="9"/>
    </row>
    <row r="7138" ht="33.75" customHeight="1">
      <c r="A7138" s="7">
        <v>260.0</v>
      </c>
      <c r="B7138" s="9" t="s">
        <v>13851</v>
      </c>
      <c r="C7138" s="9" t="s">
        <v>13831</v>
      </c>
      <c r="D7138" s="9" t="s">
        <v>107</v>
      </c>
      <c r="E7138" s="6" t="s">
        <v>13858</v>
      </c>
      <c r="F7138" s="9"/>
    </row>
    <row r="7139" ht="33.75" customHeight="1">
      <c r="A7139" s="7">
        <v>260.0</v>
      </c>
      <c r="B7139" s="9" t="s">
        <v>13851</v>
      </c>
      <c r="C7139" s="9" t="s">
        <v>13831</v>
      </c>
      <c r="D7139" s="9" t="s">
        <v>109</v>
      </c>
      <c r="E7139" s="6" t="s">
        <v>13859</v>
      </c>
      <c r="F7139" s="9"/>
    </row>
    <row r="7140" ht="33.75" customHeight="1">
      <c r="A7140" s="7">
        <v>261.0</v>
      </c>
      <c r="B7140" s="9" t="s">
        <v>13860</v>
      </c>
      <c r="C7140" s="9" t="s">
        <v>13861</v>
      </c>
      <c r="D7140" s="9" t="s">
        <v>67</v>
      </c>
      <c r="E7140" s="6" t="s">
        <v>13862</v>
      </c>
      <c r="F7140" t="inlineStr" s="10">
        <is>
          <t xml:space="preserve">Ensi silmäyksellä POOCHYENA puree kaikkea liikkuvaa. Tämä POKéMON jahtaa saalista, kunnes se uuptuu. Se saattaa kuitenkin kääntyä ympäri, jos saalis iskee takaisin. POOCHYENA on kaikkiruokainen – se syö mitä tahansa. Sen erottava piirre on sen kulmahampaiden koko suhteessa vartaloon. Tämä POKéMON yrittää pelotella vihollisiaan nostamalla häntäkarvansa pystyyn. Se uhkaa vihollisia raa'asti paljastavilla hampailla. Se jahtaa pakenevia kohteitaan sitkeästi. Se kuitenkin kääntää pyrstönsä ja juoksee pakoon, jos vihollinen iskee takaisin. Sillä on hyvin sitkeä luonne. Sen tarkka hajuaisti antaa sen jahdata valitsemaansa saalista menettämättä koskaan jälkeään. Luonteeltaan sinnikäs Pokémon jahtaa valitsemaansa saalista, kunnes se uupuu. Se jahtaa saalistaan, kunnes tämä uupuu. Se kuitenkin kääntää selkänsä, jos saalis iskee takaisin. Tämä Pokémon jahtaa saalista, kunnes se uupuu.</t>
        </is>
      </c>
    </row>
    <row r="7141" ht="33.75" customHeight="1">
      <c r="A7141" s="7">
        <v>261.0</v>
      </c>
      <c r="B7141" s="9" t="s">
        <v>13860</v>
      </c>
      <c r="C7141" s="9" t="s">
        <v>13861</v>
      </c>
      <c r="D7141" s="9" t="s">
        <v>71</v>
      </c>
      <c r="E7141" s="6" t="s">
        <v>13863</v>
      </c>
      <c r="F7141" s="9"/>
    </row>
    <row r="7142" ht="33.75" customHeight="1">
      <c r="A7142" s="7">
        <v>261.0</v>
      </c>
      <c r="B7142" s="9" t="s">
        <v>13860</v>
      </c>
      <c r="C7142" s="9" t="s">
        <v>13861</v>
      </c>
      <c r="D7142" s="9" t="s">
        <v>73</v>
      </c>
      <c r="E7142" s="6" t="s">
        <v>13864</v>
      </c>
      <c r="F7142" s="9"/>
    </row>
    <row r="7143" ht="33.75" customHeight="1">
      <c r="A7143" s="7">
        <v>261.0</v>
      </c>
      <c r="B7143" s="9" t="s">
        <v>13860</v>
      </c>
      <c r="C7143" s="9" t="s">
        <v>13861</v>
      </c>
      <c r="D7143" s="9" t="s">
        <v>75</v>
      </c>
      <c r="E7143" s="6" t="s">
        <v>13865</v>
      </c>
      <c r="F7143" s="9"/>
    </row>
    <row r="7144" ht="33.75" customHeight="1">
      <c r="A7144" s="7">
        <v>261.0</v>
      </c>
      <c r="B7144" s="9" t="s">
        <v>13860</v>
      </c>
      <c r="C7144" s="9" t="s">
        <v>13861</v>
      </c>
      <c r="D7144" s="9" t="s">
        <v>79</v>
      </c>
      <c r="E7144" s="6" t="s">
        <v>13865</v>
      </c>
      <c r="F7144" s="9"/>
    </row>
    <row r="7145" ht="33.75" customHeight="1">
      <c r="A7145" s="7">
        <v>261.0</v>
      </c>
      <c r="B7145" s="9" t="s">
        <v>13860</v>
      </c>
      <c r="C7145" s="9" t="s">
        <v>13861</v>
      </c>
      <c r="D7145" s="9" t="s">
        <v>81</v>
      </c>
      <c r="E7145" s="6" t="s">
        <v>13866</v>
      </c>
      <c r="F7145" s="9"/>
    </row>
    <row r="7146" ht="33.75" customHeight="1">
      <c r="A7146" s="7">
        <v>261.0</v>
      </c>
      <c r="B7146" s="9" t="s">
        <v>13860</v>
      </c>
      <c r="C7146" s="9" t="s">
        <v>13861</v>
      </c>
      <c r="D7146" s="9" t="s">
        <v>84</v>
      </c>
      <c r="E7146" s="6" t="s">
        <v>13866</v>
      </c>
      <c r="F7146" s="9"/>
    </row>
    <row r="7147" ht="33.75" customHeight="1">
      <c r="A7147" s="7">
        <v>261.0</v>
      </c>
      <c r="B7147" s="9" t="s">
        <v>13860</v>
      </c>
      <c r="C7147" s="9" t="s">
        <v>13861</v>
      </c>
      <c r="D7147" s="9" t="s">
        <v>87</v>
      </c>
      <c r="E7147" s="6" t="s">
        <v>13866</v>
      </c>
      <c r="F7147" s="9"/>
    </row>
    <row r="7148" ht="33.75" customHeight="1">
      <c r="A7148" s="7">
        <v>261.0</v>
      </c>
      <c r="B7148" s="9" t="s">
        <v>13860</v>
      </c>
      <c r="C7148" s="9" t="s">
        <v>13861</v>
      </c>
      <c r="D7148" s="9" t="s">
        <v>89</v>
      </c>
      <c r="E7148" s="6" t="s">
        <v>13868</v>
      </c>
      <c r="F7148" s="9"/>
    </row>
    <row r="7149" ht="33.75" customHeight="1">
      <c r="A7149" s="7">
        <v>261.0</v>
      </c>
      <c r="B7149" s="9" t="s">
        <v>13860</v>
      </c>
      <c r="C7149" s="9" t="s">
        <v>13861</v>
      </c>
      <c r="D7149" s="9" t="s">
        <v>91</v>
      </c>
      <c r="E7149" s="6" t="s">
        <v>13868</v>
      </c>
      <c r="F7149" s="9"/>
    </row>
    <row r="7150" ht="33.75" customHeight="1">
      <c r="A7150" s="7">
        <v>261.0</v>
      </c>
      <c r="B7150" s="9" t="s">
        <v>13860</v>
      </c>
      <c r="C7150" s="9" t="s">
        <v>13861</v>
      </c>
      <c r="D7150" s="9" t="s">
        <v>93</v>
      </c>
      <c r="E7150" s="6" t="s">
        <v>13866</v>
      </c>
      <c r="F7150" s="9"/>
    </row>
    <row r="7151" ht="33.75" customHeight="1">
      <c r="A7151" s="7">
        <v>261.0</v>
      </c>
      <c r="B7151" s="9" t="s">
        <v>13860</v>
      </c>
      <c r="C7151" s="9" t="s">
        <v>13861</v>
      </c>
      <c r="D7151" s="9" t="s">
        <v>95</v>
      </c>
      <c r="E7151" s="6" t="s">
        <v>13866</v>
      </c>
      <c r="F7151" s="9"/>
    </row>
    <row r="7152" ht="33.75" customHeight="1">
      <c r="A7152" s="7">
        <v>261.0</v>
      </c>
      <c r="B7152" s="9" t="s">
        <v>13860</v>
      </c>
      <c r="C7152" s="9" t="s">
        <v>13861</v>
      </c>
      <c r="D7152" s="9" t="s">
        <v>98</v>
      </c>
      <c r="E7152" s="6" t="s">
        <v>13866</v>
      </c>
      <c r="F7152" s="9"/>
    </row>
    <row r="7153" ht="33.75" customHeight="1">
      <c r="A7153" s="7">
        <v>261.0</v>
      </c>
      <c r="B7153" s="9" t="s">
        <v>13860</v>
      </c>
      <c r="C7153" s="9" t="s">
        <v>13861</v>
      </c>
      <c r="D7153" s="9" t="s">
        <v>99</v>
      </c>
      <c r="E7153" s="6" t="s">
        <v>13866</v>
      </c>
      <c r="F7153" s="9"/>
    </row>
    <row r="7154" ht="33.75" customHeight="1">
      <c r="A7154" s="7">
        <v>261.0</v>
      </c>
      <c r="B7154" s="9" t="s">
        <v>13860</v>
      </c>
      <c r="C7154" s="9" t="s">
        <v>13861</v>
      </c>
      <c r="D7154" s="9" t="s">
        <v>101</v>
      </c>
      <c r="E7154" s="6" t="s">
        <v>13866</v>
      </c>
      <c r="F7154" s="9"/>
    </row>
    <row r="7155" ht="33.75" customHeight="1">
      <c r="A7155" s="7">
        <v>261.0</v>
      </c>
      <c r="B7155" s="9" t="s">
        <v>13860</v>
      </c>
      <c r="C7155" s="9" t="s">
        <v>13861</v>
      </c>
      <c r="D7155" s="9" t="s">
        <v>105</v>
      </c>
      <c r="E7155" s="6" t="s">
        <v>13865</v>
      </c>
      <c r="F7155" s="9"/>
    </row>
    <row r="7156" ht="33.75" customHeight="1">
      <c r="A7156" s="7">
        <v>261.0</v>
      </c>
      <c r="B7156" s="9" t="s">
        <v>13860</v>
      </c>
      <c r="C7156" s="9" t="s">
        <v>13861</v>
      </c>
      <c r="D7156" s="9" t="s">
        <v>107</v>
      </c>
      <c r="E7156" s="6" t="s">
        <v>13869</v>
      </c>
      <c r="F7156" s="9"/>
    </row>
    <row r="7157" ht="33.75" customHeight="1">
      <c r="A7157" s="7">
        <v>261.0</v>
      </c>
      <c r="B7157" s="9" t="s">
        <v>13860</v>
      </c>
      <c r="C7157" s="9" t="s">
        <v>13861</v>
      </c>
      <c r="D7157" s="9" t="s">
        <v>109</v>
      </c>
      <c r="E7157" s="6" t="s">
        <v>13870</v>
      </c>
      <c r="F7157" s="9"/>
    </row>
    <row r="7158" ht="33.75" customHeight="1">
      <c r="A7158" s="7">
        <v>262.0</v>
      </c>
      <c r="B7158" s="9" t="s">
        <v>13871</v>
      </c>
      <c r="C7158" s="9" t="s">
        <v>13861</v>
      </c>
      <c r="D7158" s="9" t="s">
        <v>67</v>
      </c>
      <c r="E7158" s="6" t="s">
        <v>13872</v>
      </c>
      <c r="F7158" t="inlineStr" s="10">
        <is>
          <t xml:space="preserve">MIGHTYENA antaa selviä merkkejä valmistautuessaan hyökkäämään. Se alkaa murina syvään ja litistää sitten ruumiinsa. Tämä POKéMON puree raa'asti teräväkärkisillä hampaillaan. MIGHTYENA matkustaa ja toimii laumana luonnossa. Muisto sen elämästä luonnossa pakottaa POKéMONin tottelemaan vain niitä KOULUTTAJIA, joilla se tunnistaa olevan ylivoimaisia ​​taitoja. Luonnossa MIGHTYENA-hirviöt elävät laumassa. Ne eivät koskaan uhmaa johtajansa käskyjä. Ne kukistavat viholliset täydellisesti koordinoidulla tiimityöllä. Se tottelee aina taitavan KOULUTTAJAN käskyjä. Sen käytös juontaa juurensa siitä, että se eli laumoissa muinaisilla ajoilla. Se jahtaa saalista laumassa. Se ei koskaan riko taitavan kouluttajan käskyjä. Se jahtaa saalista noin kymmenen yksilön laumassa. Muisto luonnossa vietetystä elämästä pakottaa Pokémonin tottelemaan vain niitä kouluttajia, joilla se tunnistaa olevan ylivoimaisia ​​taitoja.</t>
        </is>
      </c>
    </row>
    <row r="7159" ht="33.75" customHeight="1">
      <c r="A7159" s="7">
        <v>262.0</v>
      </c>
      <c r="B7159" s="9" t="s">
        <v>13871</v>
      </c>
      <c r="C7159" s="9" t="s">
        <v>13861</v>
      </c>
      <c r="D7159" s="9" t="s">
        <v>71</v>
      </c>
      <c r="E7159" s="6" t="s">
        <v>13873</v>
      </c>
      <c r="F7159" s="9"/>
    </row>
    <row r="7160" ht="33.75" customHeight="1">
      <c r="A7160" s="7">
        <v>262.0</v>
      </c>
      <c r="B7160" s="9" t="s">
        <v>13871</v>
      </c>
      <c r="C7160" s="9" t="s">
        <v>13861</v>
      </c>
      <c r="D7160" s="9" t="s">
        <v>73</v>
      </c>
      <c r="E7160" s="6" t="s">
        <v>13874</v>
      </c>
      <c r="F7160" s="9"/>
    </row>
    <row r="7161" ht="33.75" customHeight="1">
      <c r="A7161" s="7">
        <v>262.0</v>
      </c>
      <c r="B7161" s="9" t="s">
        <v>13871</v>
      </c>
      <c r="C7161" s="9" t="s">
        <v>13861</v>
      </c>
      <c r="D7161" s="9" t="s">
        <v>75</v>
      </c>
      <c r="E7161" s="6" t="s">
        <v>13875</v>
      </c>
      <c r="F7161" s="9"/>
    </row>
    <row r="7162" ht="33.75" customHeight="1">
      <c r="A7162" s="7">
        <v>262.0</v>
      </c>
      <c r="B7162" s="9" t="s">
        <v>13871</v>
      </c>
      <c r="C7162" s="9" t="s">
        <v>13861</v>
      </c>
      <c r="D7162" s="9" t="s">
        <v>79</v>
      </c>
      <c r="E7162" s="6" t="s">
        <v>13875</v>
      </c>
      <c r="F7162" s="9"/>
    </row>
    <row r="7163" ht="33.75" customHeight="1">
      <c r="A7163" s="7">
        <v>262.0</v>
      </c>
      <c r="B7163" s="9" t="s">
        <v>13871</v>
      </c>
      <c r="C7163" s="9" t="s">
        <v>13861</v>
      </c>
      <c r="D7163" s="9" t="s">
        <v>81</v>
      </c>
      <c r="E7163" s="6" t="s">
        <v>13876</v>
      </c>
      <c r="F7163" s="9"/>
    </row>
    <row r="7164" ht="33.75" customHeight="1">
      <c r="A7164" s="7">
        <v>262.0</v>
      </c>
      <c r="B7164" s="9" t="s">
        <v>13871</v>
      </c>
      <c r="C7164" s="9" t="s">
        <v>13861</v>
      </c>
      <c r="D7164" s="9" t="s">
        <v>84</v>
      </c>
      <c r="E7164" s="6" t="s">
        <v>13876</v>
      </c>
      <c r="F7164" s="9"/>
    </row>
    <row r="7165" ht="33.75" customHeight="1">
      <c r="A7165" s="7">
        <v>262.0</v>
      </c>
      <c r="B7165" s="9" t="s">
        <v>13871</v>
      </c>
      <c r="C7165" s="9" t="s">
        <v>13861</v>
      </c>
      <c r="D7165" s="9" t="s">
        <v>87</v>
      </c>
      <c r="E7165" s="6" t="s">
        <v>13876</v>
      </c>
      <c r="F7165" s="9"/>
    </row>
    <row r="7166" ht="33.75" customHeight="1">
      <c r="A7166" s="7">
        <v>262.0</v>
      </c>
      <c r="B7166" s="9" t="s">
        <v>13871</v>
      </c>
      <c r="C7166" s="9" t="s">
        <v>13861</v>
      </c>
      <c r="D7166" s="9" t="s">
        <v>89</v>
      </c>
      <c r="E7166" s="6" t="s">
        <v>13878</v>
      </c>
      <c r="F7166" s="9"/>
    </row>
    <row r="7167" ht="33.75" customHeight="1">
      <c r="A7167" s="7">
        <v>262.0</v>
      </c>
      <c r="B7167" s="9" t="s">
        <v>13871</v>
      </c>
      <c r="C7167" s="9" t="s">
        <v>13861</v>
      </c>
      <c r="D7167" s="9" t="s">
        <v>91</v>
      </c>
      <c r="E7167" s="6" t="s">
        <v>13878</v>
      </c>
      <c r="F7167" s="9"/>
    </row>
    <row r="7168" ht="33.75" customHeight="1">
      <c r="A7168" s="7">
        <v>262.0</v>
      </c>
      <c r="B7168" s="9" t="s">
        <v>13871</v>
      </c>
      <c r="C7168" s="9" t="s">
        <v>13861</v>
      </c>
      <c r="D7168" s="9" t="s">
        <v>93</v>
      </c>
      <c r="E7168" s="6" t="s">
        <v>13876</v>
      </c>
      <c r="F7168" s="9"/>
    </row>
    <row r="7169" ht="33.75" customHeight="1">
      <c r="A7169" s="7">
        <v>262.0</v>
      </c>
      <c r="B7169" s="9" t="s">
        <v>13871</v>
      </c>
      <c r="C7169" s="9" t="s">
        <v>13861</v>
      </c>
      <c r="D7169" s="9" t="s">
        <v>95</v>
      </c>
      <c r="E7169" s="6" t="s">
        <v>13876</v>
      </c>
      <c r="F7169" s="9"/>
    </row>
    <row r="7170" ht="33.75" customHeight="1">
      <c r="A7170" s="7">
        <v>262.0</v>
      </c>
      <c r="B7170" s="9" t="s">
        <v>13871</v>
      </c>
      <c r="C7170" s="9" t="s">
        <v>13861</v>
      </c>
      <c r="D7170" s="9" t="s">
        <v>98</v>
      </c>
      <c r="E7170" s="6" t="s">
        <v>13876</v>
      </c>
      <c r="F7170" s="9"/>
    </row>
    <row r="7171" ht="33.75" customHeight="1">
      <c r="A7171" s="7">
        <v>262.0</v>
      </c>
      <c r="B7171" s="9" t="s">
        <v>13871</v>
      </c>
      <c r="C7171" s="9" t="s">
        <v>13861</v>
      </c>
      <c r="D7171" s="9" t="s">
        <v>99</v>
      </c>
      <c r="E7171" s="6" t="s">
        <v>13876</v>
      </c>
      <c r="F7171" s="9"/>
    </row>
    <row r="7172" ht="33.75" customHeight="1">
      <c r="A7172" s="7">
        <v>262.0</v>
      </c>
      <c r="B7172" s="9" t="s">
        <v>13871</v>
      </c>
      <c r="C7172" s="9" t="s">
        <v>13861</v>
      </c>
      <c r="D7172" s="9" t="s">
        <v>101</v>
      </c>
      <c r="E7172" s="6" t="s">
        <v>13879</v>
      </c>
      <c r="F7172" s="9"/>
    </row>
    <row r="7173" ht="33.75" customHeight="1">
      <c r="A7173" s="7">
        <v>262.0</v>
      </c>
      <c r="B7173" s="9" t="s">
        <v>13871</v>
      </c>
      <c r="C7173" s="9" t="s">
        <v>13861</v>
      </c>
      <c r="D7173" s="9" t="s">
        <v>105</v>
      </c>
      <c r="E7173" s="6" t="s">
        <v>13878</v>
      </c>
      <c r="F7173" s="9"/>
    </row>
    <row r="7174" ht="33.75" customHeight="1">
      <c r="A7174" s="7">
        <v>262.0</v>
      </c>
      <c r="B7174" s="9" t="s">
        <v>13871</v>
      </c>
      <c r="C7174" s="9" t="s">
        <v>13861</v>
      </c>
      <c r="D7174" s="9" t="s">
        <v>107</v>
      </c>
      <c r="E7174" s="6" t="s">
        <v>13880</v>
      </c>
      <c r="F7174" s="9"/>
    </row>
    <row r="7175" ht="33.75" customHeight="1">
      <c r="A7175" s="7">
        <v>262.0</v>
      </c>
      <c r="B7175" s="9" t="s">
        <v>13871</v>
      </c>
      <c r="C7175" s="9" t="s">
        <v>13861</v>
      </c>
      <c r="D7175" s="9" t="s">
        <v>109</v>
      </c>
      <c r="E7175" s="6" t="s">
        <v>13881</v>
      </c>
      <c r="F7175" s="9"/>
    </row>
    <row r="7176" ht="33.75" customHeight="1">
      <c r="A7176" s="7">
        <v>263.0</v>
      </c>
      <c r="B7176" s="9" t="s">
        <v>13882</v>
      </c>
      <c r="C7176" s="9" t="s">
        <v>13883</v>
      </c>
      <c r="D7176" s="9" t="s">
        <v>67</v>
      </c>
      <c r="E7176" s="6" t="s">
        <v>13884</v>
      </c>
      <c r="F7176" t="inlineStr" s="10">
        <is>
          <t xml:space="preserve">ZIGZAGOON vaeltelee levottomasti kaikkialla, koko ajan. Tämä POKéMON tekee niin, koska se on hyvin utelias. Se kiinnostuu kaikesta, mitä se sattuu näkemään. ZIGZAGOONin selän karvat ovat harjakset. Se hieroo kovaa selkäkarvaa puita vasten jättääkseen reviirimerkintöjä. Tämä POKéMON saattaa teeskennellä kuollutta huijatakseen vihollisia taistelussa. Se hieroo kuonoaan maata vasten ja vaeltelee aina edestakaisin etsien jotakin. Sen tunnistaa jättämistään siksak-jäljistä. Utelias POKéMON. Se osoittaa kiinnostusta kaikkeen, joten se aina siksak-pomppii. Se kävelee siksak-maisesti. Se on hyvä löytämään esineitä ruohikosta ja jopa maasta. Se kiinnostuu kaikesta, minkä vuoksi se etenee siksakissa. Se on hyvä löytämään esineitä. Pokémon, jolla on runsaasti uteliaisuutta. Se osoittaa kiinnostusta kaikkeen, joten se aina siksak-kuvioita. Zigzagoon vaeltelee levottomasti kaikkialla koko ajan. Zigzagoonin selän karvat ovat harjasmaiset. Se merkitsee reviiriään hieromalla harjaskarvaansa puihin. Tämä Zigzagoon-muunnos on ystävällisempi ja rauhallisempi kuin Galarille kotoisin oleva laji. Galarin ulkopuolisille alueille sopeutunut Zigzagoon sai tämän ulkonäön. Jos olet kadottanut jotain, tämä Pokémon voi todennäköisesti löytää sen.</t>
        </is>
      </c>
    </row>
    <row r="7177" ht="33.75" customHeight="1">
      <c r="A7177" s="7">
        <v>263.0</v>
      </c>
      <c r="B7177" s="9" t="s">
        <v>13882</v>
      </c>
      <c r="C7177" s="9" t="s">
        <v>13883</v>
      </c>
      <c r="D7177" s="9" t="s">
        <v>71</v>
      </c>
      <c r="E7177" s="6" t="s">
        <v>13885</v>
      </c>
      <c r="F7177" s="9"/>
    </row>
    <row r="7178" ht="33.75" customHeight="1">
      <c r="A7178" s="7">
        <v>263.0</v>
      </c>
      <c r="B7178" s="9" t="s">
        <v>13882</v>
      </c>
      <c r="C7178" s="9" t="s">
        <v>13883</v>
      </c>
      <c r="D7178" s="9" t="s">
        <v>73</v>
      </c>
      <c r="E7178" s="6" t="s">
        <v>13886</v>
      </c>
      <c r="F7178" s="9"/>
    </row>
    <row r="7179" ht="33.75" customHeight="1">
      <c r="A7179" s="7">
        <v>263.0</v>
      </c>
      <c r="B7179" s="9" t="s">
        <v>13882</v>
      </c>
      <c r="C7179" s="9" t="s">
        <v>13883</v>
      </c>
      <c r="D7179" s="9" t="s">
        <v>75</v>
      </c>
      <c r="E7179" s="6" t="s">
        <v>13887</v>
      </c>
      <c r="F7179" s="9"/>
    </row>
    <row r="7180" ht="33.75" customHeight="1">
      <c r="A7180" s="7">
        <v>263.0</v>
      </c>
      <c r="B7180" s="9" t="s">
        <v>13882</v>
      </c>
      <c r="C7180" s="9" t="s">
        <v>13883</v>
      </c>
      <c r="D7180" s="9" t="s">
        <v>79</v>
      </c>
      <c r="E7180" s="6" t="s">
        <v>13887</v>
      </c>
      <c r="F7180" s="9"/>
    </row>
    <row r="7181" ht="33.75" customHeight="1">
      <c r="A7181" s="7">
        <v>263.0</v>
      </c>
      <c r="B7181" s="9" t="s">
        <v>13882</v>
      </c>
      <c r="C7181" s="9" t="s">
        <v>13883</v>
      </c>
      <c r="D7181" s="9" t="s">
        <v>81</v>
      </c>
      <c r="E7181" s="6" t="s">
        <v>13888</v>
      </c>
      <c r="F7181" s="9"/>
    </row>
    <row r="7182" ht="33.75" customHeight="1">
      <c r="A7182" s="7">
        <v>263.0</v>
      </c>
      <c r="B7182" s="9" t="s">
        <v>13882</v>
      </c>
      <c r="C7182" s="9" t="s">
        <v>13883</v>
      </c>
      <c r="D7182" s="9" t="s">
        <v>84</v>
      </c>
      <c r="E7182" s="6" t="s">
        <v>13888</v>
      </c>
      <c r="F7182" s="9"/>
    </row>
    <row r="7183" ht="33.75" customHeight="1">
      <c r="A7183" s="7">
        <v>263.0</v>
      </c>
      <c r="B7183" s="9" t="s">
        <v>13882</v>
      </c>
      <c r="C7183" s="9" t="s">
        <v>13883</v>
      </c>
      <c r="D7183" s="9" t="s">
        <v>87</v>
      </c>
      <c r="E7183" s="6" t="s">
        <v>13888</v>
      </c>
      <c r="F7183" s="9"/>
    </row>
    <row r="7184" ht="33.75" customHeight="1">
      <c r="A7184" s="7">
        <v>263.0</v>
      </c>
      <c r="B7184" s="9" t="s">
        <v>13882</v>
      </c>
      <c r="C7184" s="9" t="s">
        <v>13883</v>
      </c>
      <c r="D7184" s="9" t="s">
        <v>89</v>
      </c>
      <c r="E7184" s="6" t="s">
        <v>13889</v>
      </c>
      <c r="F7184" s="9"/>
    </row>
    <row r="7185" ht="33.75" customHeight="1">
      <c r="A7185" s="7">
        <v>263.0</v>
      </c>
      <c r="B7185" s="9" t="s">
        <v>13882</v>
      </c>
      <c r="C7185" s="9" t="s">
        <v>13883</v>
      </c>
      <c r="D7185" s="9" t="s">
        <v>91</v>
      </c>
      <c r="E7185" s="6" t="s">
        <v>13889</v>
      </c>
      <c r="F7185" s="9"/>
    </row>
    <row r="7186" ht="33.75" customHeight="1">
      <c r="A7186" s="7">
        <v>263.0</v>
      </c>
      <c r="B7186" s="9" t="s">
        <v>13882</v>
      </c>
      <c r="C7186" s="9" t="s">
        <v>13883</v>
      </c>
      <c r="D7186" s="9" t="s">
        <v>93</v>
      </c>
      <c r="E7186" s="6" t="s">
        <v>13888</v>
      </c>
      <c r="F7186" s="9"/>
    </row>
    <row r="7187" ht="33.75" customHeight="1">
      <c r="A7187" s="7">
        <v>263.0</v>
      </c>
      <c r="B7187" s="9" t="s">
        <v>13882</v>
      </c>
      <c r="C7187" s="9" t="s">
        <v>13883</v>
      </c>
      <c r="D7187" s="9" t="s">
        <v>95</v>
      </c>
      <c r="E7187" s="6" t="s">
        <v>13888</v>
      </c>
      <c r="F7187" s="9"/>
    </row>
    <row r="7188" ht="33.75" customHeight="1">
      <c r="A7188" s="7">
        <v>263.0</v>
      </c>
      <c r="B7188" s="9" t="s">
        <v>13882</v>
      </c>
      <c r="C7188" s="9" t="s">
        <v>13883</v>
      </c>
      <c r="D7188" s="9" t="s">
        <v>98</v>
      </c>
      <c r="E7188" s="6" t="s">
        <v>13888</v>
      </c>
      <c r="F7188" s="9"/>
    </row>
    <row r="7189" ht="33.75" customHeight="1">
      <c r="A7189" s="7">
        <v>263.0</v>
      </c>
      <c r="B7189" s="9" t="s">
        <v>13882</v>
      </c>
      <c r="C7189" s="9" t="s">
        <v>13883</v>
      </c>
      <c r="D7189" s="9" t="s">
        <v>99</v>
      </c>
      <c r="E7189" s="6" t="s">
        <v>13888</v>
      </c>
      <c r="F7189" s="9"/>
    </row>
    <row r="7190" ht="33.75" customHeight="1">
      <c r="A7190" s="7">
        <v>263.0</v>
      </c>
      <c r="B7190" s="9" t="s">
        <v>13882</v>
      </c>
      <c r="C7190" s="9" t="s">
        <v>13883</v>
      </c>
      <c r="D7190" s="9" t="s">
        <v>101</v>
      </c>
      <c r="E7190" s="6" t="s">
        <v>13888</v>
      </c>
      <c r="F7190" s="9"/>
    </row>
    <row r="7191" ht="33.75" customHeight="1">
      <c r="A7191" s="7">
        <v>263.0</v>
      </c>
      <c r="B7191" s="9" t="s">
        <v>13882</v>
      </c>
      <c r="C7191" s="9" t="s">
        <v>13883</v>
      </c>
      <c r="D7191" s="9" t="s">
        <v>105</v>
      </c>
      <c r="E7191" s="6" t="s">
        <v>13890</v>
      </c>
      <c r="F7191" s="9"/>
    </row>
    <row r="7192" ht="33.75" customHeight="1">
      <c r="A7192" s="7">
        <v>263.0</v>
      </c>
      <c r="B7192" s="9" t="s">
        <v>13882</v>
      </c>
      <c r="C7192" s="9" t="s">
        <v>13883</v>
      </c>
      <c r="D7192" s="9" t="s">
        <v>107</v>
      </c>
      <c r="E7192" s="6" t="s">
        <v>13892</v>
      </c>
      <c r="F7192" s="9"/>
    </row>
    <row r="7193" ht="33.75" customHeight="1">
      <c r="A7193" s="7">
        <v>263.0</v>
      </c>
      <c r="B7193" s="9" t="s">
        <v>13882</v>
      </c>
      <c r="C7193" s="9" t="s">
        <v>13883</v>
      </c>
      <c r="D7193" s="9" t="s">
        <v>109</v>
      </c>
      <c r="E7193" s="6" t="s">
        <v>13893</v>
      </c>
      <c r="F7193" s="9"/>
    </row>
    <row r="7194" ht="33.75" customHeight="1">
      <c r="A7194" s="7">
        <v>263.0</v>
      </c>
      <c r="B7194" s="9" t="s">
        <v>13882</v>
      </c>
      <c r="C7194" s="9" t="s">
        <v>13883</v>
      </c>
      <c r="D7194" s="9" t="s">
        <v>114</v>
      </c>
      <c r="E7194" s="6" t="s">
        <v>13894</v>
      </c>
      <c r="F7194" s="9"/>
    </row>
    <row r="7195" ht="33.75" customHeight="1">
      <c r="A7195" s="7">
        <v>263.0</v>
      </c>
      <c r="B7195" s="9" t="s">
        <v>13882</v>
      </c>
      <c r="C7195" s="9" t="s">
        <v>13883</v>
      </c>
      <c r="D7195" s="9" t="s">
        <v>117</v>
      </c>
      <c r="E7195" s="6" t="s">
        <v>13895</v>
      </c>
      <c r="F7195" s="9"/>
    </row>
    <row r="7196" ht="33.75" customHeight="1">
      <c r="A7196" s="7">
        <v>264.0</v>
      </c>
      <c r="B7196" s="9" t="s">
        <v>13896</v>
      </c>
      <c r="C7196" s="9" t="s">
        <v>13897</v>
      </c>
      <c r="D7196" s="9" t="s">
        <v>67</v>
      </c>
      <c r="E7196" s="6" t="s">
        <v>13898</v>
      </c>
      <c r="F7196" t="inlineStr" s="10">
        <is>
          <t xml:space="preserve">LINOONE juoksee aina täydellä nopeudella ja ainoastaan ​​suorin linjoin. Jos se kohtaa esteen, se tekee suoran käännöksen väistääkseen sen. Loivasti mutkittelevat tiet ovat erittäin haastavia tälle POKéMONille. Metsästäessään LINOONE lähtee täyttä vauhtia syöksyllä suoraan saalista kohti. Vaikka tämä POKéMON pystyy kulkemaan yli 95 km/h nopeudella, sen on pysähdyttävä kirskuen ennen kuin se voi kääntyä. Se on erittäin nopea, jos sen tarvitsee vain juosta suoraan. Havaitessaan lammikossa asuvan saaliin veden alla, se hyppää nopeasti lähelle ja nappaa sen terävillä kynsillään. Suoraan juostessa se voi saavuttaa yli 95 kilometrin tuntinopeuden. Mutkaisilla teillä sillä on kuitenkin vaikeuksia. Se hyökkää saaliin kimppuun yli 95 km/h nopeudella. Koska se voi kuitenkin juosta vain suoraan, se usein epäonnistuu. Suoraan juostessa se voi helposti ylittää 95 kilometriä tunnissa. Mutkaisilla teillä sillä on vaikeuksia. Linoone juoksee aina täydellä nopeudella ja vain suorin linjoin. Tämä Pokémon on erittäin haastava loivasti mutkittelevilla teillä. Metsästäessään Linoone juoksee suoraan saalista kohti täydellä vauhdilla. Vaikka tämä Pokémon pystyy ylittämään 95 km/h nopeuden, sen on pysähdyttävä kirskuen ennen kuin se voi kääntyä. Sen turkki on vahva ja joustava. Irronneista linoonekarvoista tehdyt partasudit ovat erittäin arvostettuja. Se käyttää räjähtävää nopeuttaan ja teräviä kynsiään saaliinsa kaatamiseen. Mutkittelevia polkuja pitkin juokseminen ei ole sen vahvin puolensa.</t>
        </is>
      </c>
    </row>
    <row r="7197" ht="33.75" customHeight="1">
      <c r="A7197" s="7">
        <v>264.0</v>
      </c>
      <c r="B7197" s="9" t="s">
        <v>13896</v>
      </c>
      <c r="C7197" s="9" t="s">
        <v>13897</v>
      </c>
      <c r="D7197" s="9" t="s">
        <v>71</v>
      </c>
      <c r="E7197" s="6" t="s">
        <v>13899</v>
      </c>
      <c r="F7197" s="9"/>
    </row>
    <row r="7198" ht="33.75" customHeight="1">
      <c r="A7198" s="7">
        <v>264.0</v>
      </c>
      <c r="B7198" s="9" t="s">
        <v>13896</v>
      </c>
      <c r="C7198" s="9" t="s">
        <v>13897</v>
      </c>
      <c r="D7198" s="9" t="s">
        <v>73</v>
      </c>
      <c r="E7198" s="6" t="s">
        <v>13900</v>
      </c>
      <c r="F7198" s="9"/>
    </row>
    <row r="7199" ht="33.75" customHeight="1">
      <c r="A7199" s="7">
        <v>264.0</v>
      </c>
      <c r="B7199" s="9" t="s">
        <v>13896</v>
      </c>
      <c r="C7199" s="9" t="s">
        <v>13897</v>
      </c>
      <c r="D7199" s="9" t="s">
        <v>75</v>
      </c>
      <c r="E7199" s="6" t="s">
        <v>13901</v>
      </c>
      <c r="F7199" s="9"/>
    </row>
    <row r="7200" ht="33.75" customHeight="1">
      <c r="A7200" s="7">
        <v>264.0</v>
      </c>
      <c r="B7200" s="9" t="s">
        <v>13896</v>
      </c>
      <c r="C7200" s="9" t="s">
        <v>13897</v>
      </c>
      <c r="D7200" s="9" t="s">
        <v>79</v>
      </c>
      <c r="E7200" s="6" t="s">
        <v>13901</v>
      </c>
      <c r="F7200" s="9"/>
    </row>
    <row r="7201" ht="33.75" customHeight="1">
      <c r="A7201" s="7">
        <v>264.0</v>
      </c>
      <c r="B7201" s="9" t="s">
        <v>13896</v>
      </c>
      <c r="C7201" s="9" t="s">
        <v>13897</v>
      </c>
      <c r="D7201" s="9" t="s">
        <v>81</v>
      </c>
      <c r="E7201" s="6" t="s">
        <v>13902</v>
      </c>
      <c r="F7201" s="9"/>
    </row>
    <row r="7202" ht="33.75" customHeight="1">
      <c r="A7202" s="7">
        <v>264.0</v>
      </c>
      <c r="B7202" s="9" t="s">
        <v>13896</v>
      </c>
      <c r="C7202" s="9" t="s">
        <v>13897</v>
      </c>
      <c r="D7202" s="9" t="s">
        <v>84</v>
      </c>
      <c r="E7202" s="6" t="s">
        <v>13902</v>
      </c>
      <c r="F7202" s="9"/>
    </row>
    <row r="7203" ht="33.75" customHeight="1">
      <c r="A7203" s="7">
        <v>264.0</v>
      </c>
      <c r="B7203" s="9" t="s">
        <v>13896</v>
      </c>
      <c r="C7203" s="9" t="s">
        <v>13897</v>
      </c>
      <c r="D7203" s="9" t="s">
        <v>87</v>
      </c>
      <c r="E7203" s="6" t="s">
        <v>13902</v>
      </c>
      <c r="F7203" s="9"/>
    </row>
    <row r="7204" ht="33.75" customHeight="1">
      <c r="A7204" s="7">
        <v>264.0</v>
      </c>
      <c r="B7204" s="9" t="s">
        <v>13896</v>
      </c>
      <c r="C7204" s="9" t="s">
        <v>13897</v>
      </c>
      <c r="D7204" s="9" t="s">
        <v>89</v>
      </c>
      <c r="E7204" s="6" t="s">
        <v>13903</v>
      </c>
      <c r="F7204" s="9"/>
    </row>
    <row r="7205" ht="33.75" customHeight="1">
      <c r="A7205" s="7">
        <v>264.0</v>
      </c>
      <c r="B7205" s="9" t="s">
        <v>13896</v>
      </c>
      <c r="C7205" s="9" t="s">
        <v>13897</v>
      </c>
      <c r="D7205" s="9" t="s">
        <v>91</v>
      </c>
      <c r="E7205" s="6" t="s">
        <v>13903</v>
      </c>
      <c r="F7205" s="9"/>
    </row>
    <row r="7206" ht="33.75" customHeight="1">
      <c r="A7206" s="7">
        <v>264.0</v>
      </c>
      <c r="B7206" s="9" t="s">
        <v>13896</v>
      </c>
      <c r="C7206" s="9" t="s">
        <v>13897</v>
      </c>
      <c r="D7206" s="9" t="s">
        <v>93</v>
      </c>
      <c r="E7206" s="6" t="s">
        <v>13902</v>
      </c>
      <c r="F7206" s="9"/>
    </row>
    <row r="7207" ht="33.75" customHeight="1">
      <c r="A7207" s="7">
        <v>264.0</v>
      </c>
      <c r="B7207" s="9" t="s">
        <v>13896</v>
      </c>
      <c r="C7207" s="9" t="s">
        <v>13897</v>
      </c>
      <c r="D7207" s="9" t="s">
        <v>95</v>
      </c>
      <c r="E7207" s="6" t="s">
        <v>13902</v>
      </c>
      <c r="F7207" s="9"/>
    </row>
    <row r="7208" ht="33.75" customHeight="1">
      <c r="A7208" s="7">
        <v>264.0</v>
      </c>
      <c r="B7208" s="9" t="s">
        <v>13896</v>
      </c>
      <c r="C7208" s="9" t="s">
        <v>13897</v>
      </c>
      <c r="D7208" s="9" t="s">
        <v>98</v>
      </c>
      <c r="E7208" s="6" t="s">
        <v>13902</v>
      </c>
      <c r="F7208" s="9"/>
    </row>
    <row r="7209" ht="33.75" customHeight="1">
      <c r="A7209" s="7">
        <v>264.0</v>
      </c>
      <c r="B7209" s="9" t="s">
        <v>13896</v>
      </c>
      <c r="C7209" s="9" t="s">
        <v>13897</v>
      </c>
      <c r="D7209" s="9" t="s">
        <v>99</v>
      </c>
      <c r="E7209" s="6" t="s">
        <v>13902</v>
      </c>
      <c r="F7209" s="9"/>
    </row>
    <row r="7210" ht="33.75" customHeight="1">
      <c r="A7210" s="7">
        <v>264.0</v>
      </c>
      <c r="B7210" s="9" t="s">
        <v>13896</v>
      </c>
      <c r="C7210" s="9" t="s">
        <v>13897</v>
      </c>
      <c r="D7210" s="9" t="s">
        <v>101</v>
      </c>
      <c r="E7210" s="6" t="s">
        <v>13903</v>
      </c>
      <c r="F7210" s="9"/>
    </row>
    <row r="7211" ht="33.75" customHeight="1">
      <c r="A7211" s="7">
        <v>264.0</v>
      </c>
      <c r="B7211" s="9" t="s">
        <v>13896</v>
      </c>
      <c r="C7211" s="9" t="s">
        <v>13897</v>
      </c>
      <c r="D7211" s="9" t="s">
        <v>105</v>
      </c>
      <c r="E7211" s="6" t="s">
        <v>13902</v>
      </c>
      <c r="F7211" s="9"/>
    </row>
    <row r="7212" ht="33.75" customHeight="1">
      <c r="A7212" s="7">
        <v>264.0</v>
      </c>
      <c r="B7212" s="9" t="s">
        <v>13896</v>
      </c>
      <c r="C7212" s="9" t="s">
        <v>13897</v>
      </c>
      <c r="D7212" s="9" t="s">
        <v>107</v>
      </c>
      <c r="E7212" s="6" t="s">
        <v>13904</v>
      </c>
      <c r="F7212" s="9"/>
    </row>
    <row r="7213" ht="33.75" customHeight="1">
      <c r="A7213" s="7">
        <v>264.0</v>
      </c>
      <c r="B7213" s="9" t="s">
        <v>13896</v>
      </c>
      <c r="C7213" s="9" t="s">
        <v>13897</v>
      </c>
      <c r="D7213" s="9" t="s">
        <v>109</v>
      </c>
      <c r="E7213" s="6" t="s">
        <v>13905</v>
      </c>
      <c r="F7213" s="9"/>
    </row>
    <row r="7214" ht="33.75" customHeight="1">
      <c r="A7214" s="7">
        <v>264.0</v>
      </c>
      <c r="B7214" s="9" t="s">
        <v>13896</v>
      </c>
      <c r="C7214" s="9" t="s">
        <v>13897</v>
      </c>
      <c r="D7214" s="9" t="s">
        <v>114</v>
      </c>
      <c r="E7214" s="6" t="s">
        <v>13906</v>
      </c>
      <c r="F7214" s="9"/>
    </row>
    <row r="7215" ht="33.75" customHeight="1">
      <c r="A7215" s="7">
        <v>264.0</v>
      </c>
      <c r="B7215" s="9" t="s">
        <v>13896</v>
      </c>
      <c r="C7215" s="9" t="s">
        <v>13897</v>
      </c>
      <c r="D7215" s="9" t="s">
        <v>117</v>
      </c>
      <c r="E7215" s="6" t="s">
        <v>13907</v>
      </c>
      <c r="F7215" s="9"/>
    </row>
    <row r="7216" ht="33.75" customHeight="1">
      <c r="A7216" s="7">
        <v>265.0</v>
      </c>
      <c r="B7216" s="9" t="s">
        <v>13908</v>
      </c>
      <c r="C7216" s="9" t="s">
        <v>579</v>
      </c>
      <c r="D7216" s="9" t="s">
        <v>67</v>
      </c>
      <c r="E7216" s="6" t="s">
        <v>13909</v>
      </c>
      <c r="F7216" t="inlineStr" s="10">
        <is>
          <t xml:space="preserve">Takapäässään olevien piikkien avulla WURMPLE kuorii puiden kuorta ja syö niistä pursuavaa mahlaa. Tämän POKéMONin jaloissa on imukupit, joiden avulla se tarttuu lasiin liukumatta. SWELLOW kohdistaa WURMPLEn saaliikseen. Tämä POKéMON yrittää vastustaa sitä osoittamalla hyökkäävää saalistajaa takaosassaan olevilla piikeillä. Se heikentää vihollista vuotamalla piikkien kautta myrkkyä. Se tarttuu puiden oksiin ja syö lehtiä. Suustaan ​​sylkemä lanka, josta tulee tahmaista sen koskettaessa ilmaa, hidastaa vihollistensa liikkeitä. Se elää korkean ruohon keskellä ja metsissä. Hyökkäyksen sattuessa se vastustaa suuntaamalla myrkylliset piikkinsä vihollista kohti. Se rakastaa lehtien syömistä. Jos sitä hyökkää tähti, se puolustaa itseään piikkisellä takamuksellaan. Se sylkee valkoista silkkiä, joka muuttuu tahmeaksi joutuessaan kosketuksiin ilman kanssa. Sitä käytetään vihollisten lamauttamaan. Lintu-Pokémonien usein kohteeksi joutuessaan se vastustaa epätoivoisesti vapauttamalla myrkkyä pyrstöpiikeistään. Se elää korkeassa ruohossa ja metsissä. Se torjuu hyökkäykset nostamalla takamuksessaan olevat piikit ilmaan. Jos tähtitiainen hyökkää sen kimppuun, se puolustaa itseään piikkisellä takamuksellaan. Tämän Pokémonin jaloissa on imukupit, joiden avulla se voi tarttua lasiin liukumatta. Tämä Pokémon yrittää vastustaa sitä osoittamalla takamuksessaan olevilla piikeillä hyökkäävää saalistajaa kohti. Se heikentää vihollista vuotamalla myrkkyä piikeistä. Tykkää mahlasta ja on runsas luonnossa. Miksi se kehittyy erilaisiin muotoihin, ei tiedetä. Ulkonäöstä ei voida sanoa, minkä muodon se ottaa kehittyessään.</t>
        </is>
      </c>
    </row>
    <row r="7217" ht="33.75" customHeight="1">
      <c r="A7217" s="7">
        <v>265.0</v>
      </c>
      <c r="B7217" s="9" t="s">
        <v>13908</v>
      </c>
      <c r="C7217" s="9" t="s">
        <v>579</v>
      </c>
      <c r="D7217" s="9" t="s">
        <v>71</v>
      </c>
      <c r="E7217" s="6" t="s">
        <v>13910</v>
      </c>
      <c r="F7217" s="9"/>
    </row>
    <row r="7218" ht="33.75" customHeight="1">
      <c r="A7218" s="7">
        <v>265.0</v>
      </c>
      <c r="B7218" s="9" t="s">
        <v>13908</v>
      </c>
      <c r="C7218" s="9" t="s">
        <v>579</v>
      </c>
      <c r="D7218" s="9" t="s">
        <v>73</v>
      </c>
      <c r="E7218" s="6" t="s">
        <v>13911</v>
      </c>
      <c r="F7218" s="9"/>
    </row>
    <row r="7219" ht="33.75" customHeight="1">
      <c r="A7219" s="7">
        <v>265.0</v>
      </c>
      <c r="B7219" s="9" t="s">
        <v>13908</v>
      </c>
      <c r="C7219" s="9" t="s">
        <v>579</v>
      </c>
      <c r="D7219" s="9" t="s">
        <v>75</v>
      </c>
      <c r="E7219" s="6" t="s">
        <v>13912</v>
      </c>
      <c r="F7219" s="9"/>
    </row>
    <row r="7220" ht="33.75" customHeight="1">
      <c r="A7220" s="7">
        <v>265.0</v>
      </c>
      <c r="B7220" s="9" t="s">
        <v>13908</v>
      </c>
      <c r="C7220" s="9" t="s">
        <v>579</v>
      </c>
      <c r="D7220" s="9" t="s">
        <v>79</v>
      </c>
      <c r="E7220" s="6" t="s">
        <v>13912</v>
      </c>
      <c r="F7220" s="9"/>
    </row>
    <row r="7221" ht="33.75" customHeight="1">
      <c r="A7221" s="7">
        <v>265.0</v>
      </c>
      <c r="B7221" s="9" t="s">
        <v>13908</v>
      </c>
      <c r="C7221" s="9" t="s">
        <v>579</v>
      </c>
      <c r="D7221" s="9" t="s">
        <v>81</v>
      </c>
      <c r="E7221" s="6" t="s">
        <v>13913</v>
      </c>
      <c r="F7221" s="9"/>
    </row>
    <row r="7222" ht="33.75" customHeight="1">
      <c r="A7222" s="7">
        <v>265.0</v>
      </c>
      <c r="B7222" s="9" t="s">
        <v>13908</v>
      </c>
      <c r="C7222" s="9" t="s">
        <v>579</v>
      </c>
      <c r="D7222" s="9" t="s">
        <v>84</v>
      </c>
      <c r="E7222" s="6" t="s">
        <v>13914</v>
      </c>
      <c r="F7222" s="9"/>
    </row>
    <row r="7223" ht="33.75" customHeight="1">
      <c r="A7223" s="7">
        <v>265.0</v>
      </c>
      <c r="B7223" s="9" t="s">
        <v>13908</v>
      </c>
      <c r="C7223" s="9" t="s">
        <v>579</v>
      </c>
      <c r="D7223" s="9" t="s">
        <v>87</v>
      </c>
      <c r="E7223" s="6" t="s">
        <v>13915</v>
      </c>
      <c r="F7223" s="9"/>
    </row>
    <row r="7224" ht="33.75" customHeight="1">
      <c r="A7224" s="7">
        <v>265.0</v>
      </c>
      <c r="B7224" s="9" t="s">
        <v>13908</v>
      </c>
      <c r="C7224" s="9" t="s">
        <v>579</v>
      </c>
      <c r="D7224" s="9" t="s">
        <v>89</v>
      </c>
      <c r="E7224" s="6" t="s">
        <v>13916</v>
      </c>
      <c r="F7224" s="9"/>
    </row>
    <row r="7225" ht="33.75" customHeight="1">
      <c r="A7225" s="7">
        <v>265.0</v>
      </c>
      <c r="B7225" s="9" t="s">
        <v>13908</v>
      </c>
      <c r="C7225" s="9" t="s">
        <v>579</v>
      </c>
      <c r="D7225" s="9" t="s">
        <v>91</v>
      </c>
      <c r="E7225" s="6" t="s">
        <v>13916</v>
      </c>
      <c r="F7225" s="9"/>
    </row>
    <row r="7226" ht="33.75" customHeight="1">
      <c r="A7226" s="7">
        <v>265.0</v>
      </c>
      <c r="B7226" s="9" t="s">
        <v>13908</v>
      </c>
      <c r="C7226" s="9" t="s">
        <v>579</v>
      </c>
      <c r="D7226" s="9" t="s">
        <v>93</v>
      </c>
      <c r="E7226" s="6" t="s">
        <v>13915</v>
      </c>
      <c r="F7226" s="9"/>
    </row>
    <row r="7227" ht="33.75" customHeight="1">
      <c r="A7227" s="7">
        <v>265.0</v>
      </c>
      <c r="B7227" s="9" t="s">
        <v>13908</v>
      </c>
      <c r="C7227" s="9" t="s">
        <v>579</v>
      </c>
      <c r="D7227" s="9" t="s">
        <v>95</v>
      </c>
      <c r="E7227" s="6" t="s">
        <v>13915</v>
      </c>
      <c r="F7227" s="9"/>
    </row>
    <row r="7228" ht="33.75" customHeight="1">
      <c r="A7228" s="7">
        <v>265.0</v>
      </c>
      <c r="B7228" s="9" t="s">
        <v>13908</v>
      </c>
      <c r="C7228" s="9" t="s">
        <v>579</v>
      </c>
      <c r="D7228" s="9" t="s">
        <v>98</v>
      </c>
      <c r="E7228" s="6" t="s">
        <v>13915</v>
      </c>
      <c r="F7228" s="9"/>
    </row>
    <row r="7229" ht="33.75" customHeight="1">
      <c r="A7229" s="7">
        <v>265.0</v>
      </c>
      <c r="B7229" s="9" t="s">
        <v>13908</v>
      </c>
      <c r="C7229" s="9" t="s">
        <v>579</v>
      </c>
      <c r="D7229" s="9" t="s">
        <v>99</v>
      </c>
      <c r="E7229" s="6" t="s">
        <v>13915</v>
      </c>
      <c r="F7229" s="9"/>
    </row>
    <row r="7230" ht="33.75" customHeight="1">
      <c r="A7230" s="7">
        <v>265.0</v>
      </c>
      <c r="B7230" s="9" t="s">
        <v>13908</v>
      </c>
      <c r="C7230" s="9" t="s">
        <v>579</v>
      </c>
      <c r="D7230" s="9" t="s">
        <v>101</v>
      </c>
      <c r="E7230" s="6" t="s">
        <v>13918</v>
      </c>
      <c r="F7230" s="9"/>
    </row>
    <row r="7231" ht="33.75" customHeight="1">
      <c r="A7231" s="7">
        <v>265.0</v>
      </c>
      <c r="B7231" s="9" t="s">
        <v>13908</v>
      </c>
      <c r="C7231" s="9" t="s">
        <v>579</v>
      </c>
      <c r="D7231" s="9" t="s">
        <v>105</v>
      </c>
      <c r="E7231" s="6" t="s">
        <v>13916</v>
      </c>
      <c r="F7231" s="9"/>
    </row>
    <row r="7232" ht="33.75" customHeight="1">
      <c r="A7232" s="7">
        <v>265.0</v>
      </c>
      <c r="B7232" s="9" t="s">
        <v>13908</v>
      </c>
      <c r="C7232" s="9" t="s">
        <v>579</v>
      </c>
      <c r="D7232" s="9" t="s">
        <v>107</v>
      </c>
      <c r="E7232" s="6" t="s">
        <v>13919</v>
      </c>
      <c r="F7232" s="9"/>
    </row>
    <row r="7233" ht="33.75" customHeight="1">
      <c r="A7233" s="7">
        <v>265.0</v>
      </c>
      <c r="B7233" s="9" t="s">
        <v>13908</v>
      </c>
      <c r="C7233" s="9" t="s">
        <v>579</v>
      </c>
      <c r="D7233" s="9" t="s">
        <v>109</v>
      </c>
      <c r="E7233" s="6" t="s">
        <v>13920</v>
      </c>
      <c r="F7233" s="9"/>
    </row>
    <row r="7234" ht="33.75" customHeight="1">
      <c r="A7234" s="7">
        <v>265.0</v>
      </c>
      <c r="B7234" s="9" t="s">
        <v>13908</v>
      </c>
      <c r="C7234" s="9" t="s">
        <v>579</v>
      </c>
      <c r="D7234" s="9" t="s">
        <v>1577</v>
      </c>
      <c r="E7234" s="6" t="s">
        <v>13921</v>
      </c>
      <c r="F7234" s="9"/>
    </row>
    <row r="7235" ht="33.75" customHeight="1">
      <c r="A7235" s="7">
        <v>266.0</v>
      </c>
      <c r="B7235" s="9" t="s">
        <v>13922</v>
      </c>
      <c r="C7235" s="9" t="s">
        <v>667</v>
      </c>
      <c r="D7235" s="9" t="s">
        <v>67</v>
      </c>
      <c r="E7235" s="6" t="s">
        <v>13923</v>
      </c>
      <c r="F7235" t="inlineStr" s="10">
        <is>
          <t xml:space="preserve">SILCOON kiinnittää itsensä silkillä puun oksaan estääkseen itseään putoamasta. Siellä tämä POKéMON roikkuu hiljaa odottaessaan evoluutiota. Se kurkistaa esiin silkkikotelosta pienen reiän läpi. Ennen kehitystään Silcoonin ajateltiin kestävän nälkää eikä syövän mitään. Nykyään kuitenkin uskotaan, että tämä Pokémon sammuttaa janonsa juomalla sen silkkiin kerääntyvää sadevettä. Se valmistautuu evoluutioon käyttämällä energiaa, jonka se varastoi ollessaan WURMPLE. Se tarkkailee ympäristöään kahdella silmällään. Se säästää energiaansa liikkumalla mahdollisimman vähän. Se odottaa evoluutiota juoden samalla vain vähän sadevettä. Se ankkuroi itsensä kietomalla oksia kehonsa silkkiin. Se odottaa liikkumatta evoluutiota. Se juo silkkiinsä kerääntyvää kastetta ja odottaa kehitystä. Sen kova kotelo torjuu hyökkäykset. Se kietoo silkkiä puun oksien ympärille. Se juo sadevettä silkkinsä päälle odottaessaan evoluutiota. Käärittyään silkkiä puun oksien ympärille se odottaa levollisesti evoluutiota. Silkkisolmu kiinnittää itsensä puun oksaan silkin avulla estääkseen putoamisen. Nykyään kuitenkin uskotaan, että tämä Pokémon sammuttaa janonsa juomalla silkkiinsä kerääntyvää sadevettä. Kääriytyy ohuisiin silkkinauhoihin samalla kun se varastoi energiaa evoluutiota varten. Se ei pysty ojentamaan raajojaan ja sen liikkeet ovat hitaita, mutta sen silmät pitävät tarkkaa huolta – Silcoon on aina varuillaan.</t>
        </is>
      </c>
    </row>
    <row r="7236" ht="33.75" customHeight="1">
      <c r="A7236" s="7">
        <v>266.0</v>
      </c>
      <c r="B7236" s="9" t="s">
        <v>13922</v>
      </c>
      <c r="C7236" s="9" t="s">
        <v>667</v>
      </c>
      <c r="D7236" s="9" t="s">
        <v>71</v>
      </c>
      <c r="E7236" s="6" t="s">
        <v>13924</v>
      </c>
      <c r="F7236" s="9"/>
    </row>
    <row r="7237" ht="33.75" customHeight="1">
      <c r="A7237" s="7">
        <v>266.0</v>
      </c>
      <c r="B7237" s="9" t="s">
        <v>13922</v>
      </c>
      <c r="C7237" s="9" t="s">
        <v>667</v>
      </c>
      <c r="D7237" s="9" t="s">
        <v>73</v>
      </c>
      <c r="E7237" s="6" t="s">
        <v>13925</v>
      </c>
      <c r="F7237" s="9"/>
    </row>
    <row r="7238" ht="33.75" customHeight="1">
      <c r="A7238" s="7">
        <v>266.0</v>
      </c>
      <c r="B7238" s="9" t="s">
        <v>13922</v>
      </c>
      <c r="C7238" s="9" t="s">
        <v>667</v>
      </c>
      <c r="D7238" s="9" t="s">
        <v>75</v>
      </c>
      <c r="E7238" s="6" t="s">
        <v>13926</v>
      </c>
      <c r="F7238" s="9"/>
    </row>
    <row r="7239" ht="33.75" customHeight="1">
      <c r="A7239" s="7">
        <v>266.0</v>
      </c>
      <c r="B7239" s="9" t="s">
        <v>13922</v>
      </c>
      <c r="C7239" s="9" t="s">
        <v>667</v>
      </c>
      <c r="D7239" s="9" t="s">
        <v>79</v>
      </c>
      <c r="E7239" s="6" t="s">
        <v>13926</v>
      </c>
      <c r="F7239" s="9"/>
    </row>
    <row r="7240" ht="33.75" customHeight="1">
      <c r="A7240" s="7">
        <v>266.0</v>
      </c>
      <c r="B7240" s="9" t="s">
        <v>13922</v>
      </c>
      <c r="C7240" s="9" t="s">
        <v>667</v>
      </c>
      <c r="D7240" s="9" t="s">
        <v>81</v>
      </c>
      <c r="E7240" s="6" t="s">
        <v>13927</v>
      </c>
      <c r="F7240" s="9"/>
    </row>
    <row r="7241" ht="33.75" customHeight="1">
      <c r="A7241" s="7">
        <v>266.0</v>
      </c>
      <c r="B7241" s="9" t="s">
        <v>13922</v>
      </c>
      <c r="C7241" s="9" t="s">
        <v>667</v>
      </c>
      <c r="D7241" s="9" t="s">
        <v>84</v>
      </c>
      <c r="E7241" s="6" t="s">
        <v>13928</v>
      </c>
      <c r="F7241" s="9"/>
    </row>
    <row r="7242" ht="33.75" customHeight="1">
      <c r="A7242" s="7">
        <v>266.0</v>
      </c>
      <c r="B7242" s="9" t="s">
        <v>13922</v>
      </c>
      <c r="C7242" s="9" t="s">
        <v>667</v>
      </c>
      <c r="D7242" s="9" t="s">
        <v>87</v>
      </c>
      <c r="E7242" s="6" t="s">
        <v>13929</v>
      </c>
      <c r="F7242" s="9"/>
    </row>
    <row r="7243" ht="33.75" customHeight="1">
      <c r="A7243" s="7">
        <v>266.0</v>
      </c>
      <c r="B7243" s="9" t="s">
        <v>13922</v>
      </c>
      <c r="C7243" s="9" t="s">
        <v>667</v>
      </c>
      <c r="D7243" s="9" t="s">
        <v>89</v>
      </c>
      <c r="E7243" s="6" t="s">
        <v>13930</v>
      </c>
      <c r="F7243" s="9"/>
    </row>
    <row r="7244" ht="33.75" customHeight="1">
      <c r="A7244" s="7">
        <v>266.0</v>
      </c>
      <c r="B7244" s="9" t="s">
        <v>13922</v>
      </c>
      <c r="C7244" s="9" t="s">
        <v>667</v>
      </c>
      <c r="D7244" s="9" t="s">
        <v>91</v>
      </c>
      <c r="E7244" s="6" t="s">
        <v>13930</v>
      </c>
      <c r="F7244" s="9"/>
    </row>
    <row r="7245" ht="33.75" customHeight="1">
      <c r="A7245" s="7">
        <v>266.0</v>
      </c>
      <c r="B7245" s="9" t="s">
        <v>13922</v>
      </c>
      <c r="C7245" s="9" t="s">
        <v>667</v>
      </c>
      <c r="D7245" s="9" t="s">
        <v>93</v>
      </c>
      <c r="E7245" s="6" t="s">
        <v>13929</v>
      </c>
      <c r="F7245" s="9"/>
    </row>
    <row r="7246" ht="33.75" customHeight="1">
      <c r="A7246" s="7">
        <v>266.0</v>
      </c>
      <c r="B7246" s="9" t="s">
        <v>13922</v>
      </c>
      <c r="C7246" s="9" t="s">
        <v>667</v>
      </c>
      <c r="D7246" s="9" t="s">
        <v>95</v>
      </c>
      <c r="E7246" s="6" t="s">
        <v>13929</v>
      </c>
      <c r="F7246" s="9"/>
    </row>
    <row r="7247" ht="33.75" customHeight="1">
      <c r="A7247" s="7">
        <v>266.0</v>
      </c>
      <c r="B7247" s="9" t="s">
        <v>13922</v>
      </c>
      <c r="C7247" s="9" t="s">
        <v>667</v>
      </c>
      <c r="D7247" s="9" t="s">
        <v>98</v>
      </c>
      <c r="E7247" s="6" t="s">
        <v>13929</v>
      </c>
      <c r="F7247" s="9"/>
    </row>
    <row r="7248" ht="33.75" customHeight="1">
      <c r="A7248" s="7">
        <v>266.0</v>
      </c>
      <c r="B7248" s="9" t="s">
        <v>13922</v>
      </c>
      <c r="C7248" s="9" t="s">
        <v>667</v>
      </c>
      <c r="D7248" s="9" t="s">
        <v>99</v>
      </c>
      <c r="E7248" s="6" t="s">
        <v>13929</v>
      </c>
      <c r="F7248" s="9"/>
    </row>
    <row r="7249" ht="33.75" customHeight="1">
      <c r="A7249" s="7">
        <v>266.0</v>
      </c>
      <c r="B7249" s="9" t="s">
        <v>13922</v>
      </c>
      <c r="C7249" s="9" t="s">
        <v>667</v>
      </c>
      <c r="D7249" s="9" t="s">
        <v>101</v>
      </c>
      <c r="E7249" s="6" t="s">
        <v>13929</v>
      </c>
      <c r="F7249" s="9"/>
    </row>
    <row r="7250" ht="33.75" customHeight="1">
      <c r="A7250" s="7">
        <v>266.0</v>
      </c>
      <c r="B7250" s="9" t="s">
        <v>13922</v>
      </c>
      <c r="C7250" s="9" t="s">
        <v>667</v>
      </c>
      <c r="D7250" s="9" t="s">
        <v>105</v>
      </c>
      <c r="E7250" s="6" t="s">
        <v>13928</v>
      </c>
      <c r="F7250" s="9"/>
    </row>
    <row r="7251" ht="33.75" customHeight="1">
      <c r="A7251" s="7">
        <v>266.0</v>
      </c>
      <c r="B7251" s="9" t="s">
        <v>13922</v>
      </c>
      <c r="C7251" s="9" t="s">
        <v>667</v>
      </c>
      <c r="D7251" s="9" t="s">
        <v>107</v>
      </c>
      <c r="E7251" s="6" t="s">
        <v>13931</v>
      </c>
      <c r="F7251" s="9"/>
    </row>
    <row r="7252" ht="33.75" customHeight="1">
      <c r="A7252" s="7">
        <v>266.0</v>
      </c>
      <c r="B7252" s="9" t="s">
        <v>13922</v>
      </c>
      <c r="C7252" s="9" t="s">
        <v>667</v>
      </c>
      <c r="D7252" s="9" t="s">
        <v>109</v>
      </c>
      <c r="E7252" s="6" t="s">
        <v>13932</v>
      </c>
      <c r="F7252" s="9"/>
    </row>
    <row r="7253" ht="33.75" customHeight="1">
      <c r="A7253" s="7">
        <v>266.0</v>
      </c>
      <c r="B7253" s="9" t="s">
        <v>13922</v>
      </c>
      <c r="C7253" s="9" t="s">
        <v>667</v>
      </c>
      <c r="D7253" s="9" t="s">
        <v>1577</v>
      </c>
      <c r="E7253" s="6" t="s">
        <v>13933</v>
      </c>
      <c r="F7253" s="9"/>
    </row>
    <row r="7254" ht="33.75" customHeight="1">
      <c r="A7254" s="7">
        <v>267.0</v>
      </c>
      <c r="B7254" s="9" t="s">
        <v>13934</v>
      </c>
      <c r="C7254" s="9" t="s">
        <v>741</v>
      </c>
      <c r="D7254" s="9" t="s">
        <v>67</v>
      </c>
      <c r="E7254" s="6" t="s">
        <v>13935</v>
      </c>
      <c r="F7254" t="inlineStr" s="10">
        <is>
          <t xml:space="preserve">BEAUTIFLYn lempiruoka on kukkien makea siitepöly. Jos haluat nähdä tämän POKéMONin, jätä vain ruukkukukka avoimen ikkunan viereen. BEAUTIFLY tulee varmasti etsimään siitepölyä. BEAUTIFLYllä on pitkä, kierteisen neulan kaltainen suu, mikä on erittäin kätevä siitepölyn keräämiseen kukista. Tämä POKéMON ratsastaa kevättuulien mukana lentäessään ympäriinsä keräämässä siitepölyä. Sen värikkäästi kuvioidut siivet ovat sen huomattavin piirre. Se lentää kukkien peittämien peltojen läpi kerääen siitepölyä. Suututtuaan se hyökkää raivokkaasti. Ulkonäöstään huolimatta sillä on aggressiivinen luonne. Se hyökkää tökkimällä pitkällä, ohuella suullaan. Sillä on aggressiivinen luonne. Se iskee saalista pitkällä, kapealla suullaan imeäkseen sen nesteet pois. Kun kukkapellot kukkivat, se lentää ympäriinsä keräämässä siitepölyä. Ulkonäöstään huolimatta se on villi. Ulkonäöstään huolimatta se on aggressiivinen. Se tökii pitkällä, ohuella suullaan, jos sitä häiritään siitepölyä kerätessään. Sen huomiota herättävin piirre on eloisasti kuvioidut siivet. Se imee makeaa kukkamettä pitkällä suullaan. Beautiflylla on pitkä, kierteisen neulan kaltainen suu, mikä on erittäin kätevä siitepölyn keräämiseen kukista. Värikäs ja uskomattoman kaunis, mutta myös ahne Pokémon. Yrittäessään pitää lempiruokansa itsellään se ajaa Combeen pois, kun he yrittävät kerätä mettä.</t>
        </is>
      </c>
    </row>
    <row r="7255" ht="33.75" customHeight="1">
      <c r="A7255" s="7">
        <v>267.0</v>
      </c>
      <c r="B7255" s="9" t="s">
        <v>13934</v>
      </c>
      <c r="C7255" s="9" t="s">
        <v>741</v>
      </c>
      <c r="D7255" s="9" t="s">
        <v>71</v>
      </c>
      <c r="E7255" s="6" t="s">
        <v>13936</v>
      </c>
      <c r="F7255" s="9"/>
    </row>
    <row r="7256" ht="33.75" customHeight="1">
      <c r="A7256" s="7">
        <v>267.0</v>
      </c>
      <c r="B7256" s="9" t="s">
        <v>13934</v>
      </c>
      <c r="C7256" s="9" t="s">
        <v>741</v>
      </c>
      <c r="D7256" s="9" t="s">
        <v>73</v>
      </c>
      <c r="E7256" s="6" t="s">
        <v>13938</v>
      </c>
      <c r="F7256" s="9"/>
    </row>
    <row r="7257" ht="33.75" customHeight="1">
      <c r="A7257" s="7">
        <v>267.0</v>
      </c>
      <c r="B7257" s="9" t="s">
        <v>13934</v>
      </c>
      <c r="C7257" s="9" t="s">
        <v>741</v>
      </c>
      <c r="D7257" s="9" t="s">
        <v>75</v>
      </c>
      <c r="E7257" s="6" t="s">
        <v>13939</v>
      </c>
      <c r="F7257" s="9"/>
    </row>
    <row r="7258" ht="33.75" customHeight="1">
      <c r="A7258" s="7">
        <v>267.0</v>
      </c>
      <c r="B7258" s="9" t="s">
        <v>13934</v>
      </c>
      <c r="C7258" s="9" t="s">
        <v>741</v>
      </c>
      <c r="D7258" s="9" t="s">
        <v>79</v>
      </c>
      <c r="E7258" s="6" t="s">
        <v>13939</v>
      </c>
      <c r="F7258" s="9"/>
    </row>
    <row r="7259" ht="33.75" customHeight="1">
      <c r="A7259" s="7">
        <v>267.0</v>
      </c>
      <c r="B7259" s="9" t="s">
        <v>13934</v>
      </c>
      <c r="C7259" s="9" t="s">
        <v>741</v>
      </c>
      <c r="D7259" s="9" t="s">
        <v>81</v>
      </c>
      <c r="E7259" s="6" t="s">
        <v>13940</v>
      </c>
      <c r="F7259" s="9"/>
    </row>
    <row r="7260" ht="33.75" customHeight="1">
      <c r="A7260" s="7">
        <v>267.0</v>
      </c>
      <c r="B7260" s="9" t="s">
        <v>13934</v>
      </c>
      <c r="C7260" s="9" t="s">
        <v>741</v>
      </c>
      <c r="D7260" s="9" t="s">
        <v>84</v>
      </c>
      <c r="E7260" s="6" t="s">
        <v>13941</v>
      </c>
      <c r="F7260" s="9"/>
    </row>
    <row r="7261" ht="33.75" customHeight="1">
      <c r="A7261" s="7">
        <v>267.0</v>
      </c>
      <c r="B7261" s="9" t="s">
        <v>13934</v>
      </c>
      <c r="C7261" s="9" t="s">
        <v>741</v>
      </c>
      <c r="D7261" s="9" t="s">
        <v>87</v>
      </c>
      <c r="E7261" s="6" t="s">
        <v>13942</v>
      </c>
      <c r="F7261" s="9"/>
    </row>
    <row r="7262" ht="33.75" customHeight="1">
      <c r="A7262" s="7">
        <v>267.0</v>
      </c>
      <c r="B7262" s="9" t="s">
        <v>13934</v>
      </c>
      <c r="C7262" s="9" t="s">
        <v>741</v>
      </c>
      <c r="D7262" s="9" t="s">
        <v>89</v>
      </c>
      <c r="E7262" s="6" t="s">
        <v>13943</v>
      </c>
      <c r="F7262" s="9"/>
    </row>
    <row r="7263" ht="33.75" customHeight="1">
      <c r="A7263" s="7">
        <v>267.0</v>
      </c>
      <c r="B7263" s="9" t="s">
        <v>13934</v>
      </c>
      <c r="C7263" s="9" t="s">
        <v>741</v>
      </c>
      <c r="D7263" s="9" t="s">
        <v>91</v>
      </c>
      <c r="E7263" s="6" t="s">
        <v>13943</v>
      </c>
      <c r="F7263" s="9"/>
    </row>
    <row r="7264" ht="33.75" customHeight="1">
      <c r="A7264" s="7">
        <v>267.0</v>
      </c>
      <c r="B7264" s="9" t="s">
        <v>13934</v>
      </c>
      <c r="C7264" s="9" t="s">
        <v>741</v>
      </c>
      <c r="D7264" s="9" t="s">
        <v>93</v>
      </c>
      <c r="E7264" s="6" t="s">
        <v>13942</v>
      </c>
      <c r="F7264" s="9"/>
    </row>
    <row r="7265" ht="33.75" customHeight="1">
      <c r="A7265" s="7">
        <v>267.0</v>
      </c>
      <c r="B7265" s="9" t="s">
        <v>13934</v>
      </c>
      <c r="C7265" s="9" t="s">
        <v>741</v>
      </c>
      <c r="D7265" s="9" t="s">
        <v>95</v>
      </c>
      <c r="E7265" s="6" t="s">
        <v>13942</v>
      </c>
      <c r="F7265" s="9"/>
    </row>
    <row r="7266" ht="33.75" customHeight="1">
      <c r="A7266" s="7">
        <v>267.0</v>
      </c>
      <c r="B7266" s="9" t="s">
        <v>13934</v>
      </c>
      <c r="C7266" s="9" t="s">
        <v>741</v>
      </c>
      <c r="D7266" s="9" t="s">
        <v>98</v>
      </c>
      <c r="E7266" s="6" t="s">
        <v>13942</v>
      </c>
      <c r="F7266" s="9"/>
    </row>
    <row r="7267" ht="33.75" customHeight="1">
      <c r="A7267" s="7">
        <v>267.0</v>
      </c>
      <c r="B7267" s="9" t="s">
        <v>13934</v>
      </c>
      <c r="C7267" s="9" t="s">
        <v>741</v>
      </c>
      <c r="D7267" s="9" t="s">
        <v>99</v>
      </c>
      <c r="E7267" s="6" t="s">
        <v>13942</v>
      </c>
      <c r="F7267" s="9"/>
    </row>
    <row r="7268" ht="33.75" customHeight="1">
      <c r="A7268" s="7">
        <v>267.0</v>
      </c>
      <c r="B7268" s="9" t="s">
        <v>13934</v>
      </c>
      <c r="C7268" s="9" t="s">
        <v>741</v>
      </c>
      <c r="D7268" s="9" t="s">
        <v>101</v>
      </c>
      <c r="E7268" s="6" t="s">
        <v>13943</v>
      </c>
      <c r="F7268" s="9"/>
    </row>
    <row r="7269" ht="33.75" customHeight="1">
      <c r="A7269" s="7">
        <v>267.0</v>
      </c>
      <c r="B7269" s="9" t="s">
        <v>13934</v>
      </c>
      <c r="C7269" s="9" t="s">
        <v>741</v>
      </c>
      <c r="D7269" s="9" t="s">
        <v>105</v>
      </c>
      <c r="E7269" s="6" t="s">
        <v>13940</v>
      </c>
      <c r="F7269" s="9"/>
    </row>
    <row r="7270" ht="33.75" customHeight="1">
      <c r="A7270" s="7">
        <v>267.0</v>
      </c>
      <c r="B7270" s="9" t="s">
        <v>13934</v>
      </c>
      <c r="C7270" s="9" t="s">
        <v>741</v>
      </c>
      <c r="D7270" s="9" t="s">
        <v>107</v>
      </c>
      <c r="E7270" s="6" t="s">
        <v>13944</v>
      </c>
      <c r="F7270" s="9"/>
    </row>
    <row r="7271" ht="33.75" customHeight="1">
      <c r="A7271" s="7">
        <v>267.0</v>
      </c>
      <c r="B7271" s="9" t="s">
        <v>13934</v>
      </c>
      <c r="C7271" s="9" t="s">
        <v>741</v>
      </c>
      <c r="D7271" s="9" t="s">
        <v>109</v>
      </c>
      <c r="E7271" s="6" t="s">
        <v>13945</v>
      </c>
      <c r="F7271" s="9"/>
    </row>
    <row r="7272" ht="33.75" customHeight="1">
      <c r="A7272" s="7">
        <v>267.0</v>
      </c>
      <c r="B7272" s="9" t="s">
        <v>13934</v>
      </c>
      <c r="C7272" s="9" t="s">
        <v>741</v>
      </c>
      <c r="D7272" s="9" t="s">
        <v>1577</v>
      </c>
      <c r="E7272" s="6" t="s">
        <v>13946</v>
      </c>
      <c r="F7272" s="9"/>
    </row>
    <row r="7273" ht="33.75" customHeight="1">
      <c r="A7273" s="7">
        <v>268.0</v>
      </c>
      <c r="B7273" s="9" t="s">
        <v>13947</v>
      </c>
      <c r="C7273" s="9" t="s">
        <v>667</v>
      </c>
      <c r="D7273" s="9" t="s">
        <v>67</v>
      </c>
      <c r="E7273" s="6" t="s">
        <v>13948</v>
      </c>
      <c r="F7273" t="inlineStr" s="10">
        <is>
          <t xml:space="preserve">CASCOON valmistaa suojaavan kotelonsa käärimällä kehonsa kokonaan hienoon silkkiin, joka kulkee Cascoonin suulla. Kun silkki kiertää sen kehon, se kovettuu. Tämä POKéMON valmistautuu kehitykseensä kotelon sisällä. Jos sitä hyökätään, CASCOON pysyy liikkumattomana, olipa se kuinka pahasti tahansa loukkaantunut. Se tekee niin, koska jos se liikkuisi, sen keho olisi heikko evoluution aikana. Tämä POKéMON ei myöskään unohda kestämäänsä kipua. Välttääkseen vihollistensa havaitsemisen se piiloutuu liikkumatta suurten lehtien alle ja oksien rakoihin. Se myös kiinnittää kuolleita lehtiä kehoonsa naamioituakseen. Sen pehmeästä silkistä valmistettu runko kovettuu ajan myötä. Kun halkeamia ilmestyy, evoluutio on lähellä. Se on kuuma kotelossaan. Kaikki sen kehon solut tuottavat energian, jota se tarvitsee kehitykseensä. Kovaan koteloonsa kääriytyneenä se kestää hyökkäykset. Se ei koskaan unohda vihollistensa ulkonäköä. Se ei koskaan unohda yhtäkään hyökkäystä, jonka se koki kotelossa ollessaan. Evoluution jälkeen se hakee kostoa. Se kestää hyökkäykset kärsivällisesti, sillä mitä enemmän tuskaa ennen evoluutiota, sitä vankemmaksi siitä tulee. Cascoon tekee suojaavan kotelonsa käärimällä kehonsa kokonaan hienoon silkkiin, joka kulkee sen suulla. Sen vartaloa peittävä silkki on ohutta mutta riittävän vahvaa. Cascoonin silkillä on parempi kiilto ja rakenne kuin Silcoonin silkillä, ja Cascoonin silkistä valmistettuja vaatteita pidetään huippuluokkaisina.</t>
        </is>
      </c>
    </row>
    <row r="7274" ht="33.75" customHeight="1">
      <c r="A7274" s="7">
        <v>268.0</v>
      </c>
      <c r="B7274" s="9" t="s">
        <v>13947</v>
      </c>
      <c r="C7274" s="9" t="s">
        <v>667</v>
      </c>
      <c r="D7274" s="9" t="s">
        <v>71</v>
      </c>
      <c r="E7274" s="6" t="s">
        <v>13949</v>
      </c>
      <c r="F7274" s="9"/>
    </row>
    <row r="7275" ht="33.75" customHeight="1">
      <c r="A7275" s="7">
        <v>268.0</v>
      </c>
      <c r="B7275" s="9" t="s">
        <v>13947</v>
      </c>
      <c r="C7275" s="9" t="s">
        <v>667</v>
      </c>
      <c r="D7275" s="9" t="s">
        <v>73</v>
      </c>
      <c r="E7275" s="6" t="s">
        <v>13950</v>
      </c>
      <c r="F7275" s="9"/>
    </row>
    <row r="7276" ht="33.75" customHeight="1">
      <c r="A7276" s="7">
        <v>268.0</v>
      </c>
      <c r="B7276" s="9" t="s">
        <v>13947</v>
      </c>
      <c r="C7276" s="9" t="s">
        <v>667</v>
      </c>
      <c r="D7276" s="9" t="s">
        <v>75</v>
      </c>
      <c r="E7276" s="6" t="s">
        <v>13951</v>
      </c>
      <c r="F7276" s="9"/>
    </row>
    <row r="7277" ht="33.75" customHeight="1">
      <c r="A7277" s="7">
        <v>268.0</v>
      </c>
      <c r="B7277" s="9" t="s">
        <v>13947</v>
      </c>
      <c r="C7277" s="9" t="s">
        <v>667</v>
      </c>
      <c r="D7277" s="9" t="s">
        <v>79</v>
      </c>
      <c r="E7277" s="6" t="s">
        <v>13951</v>
      </c>
      <c r="F7277" s="9"/>
    </row>
    <row r="7278" ht="33.75" customHeight="1">
      <c r="A7278" s="7">
        <v>268.0</v>
      </c>
      <c r="B7278" s="9" t="s">
        <v>13947</v>
      </c>
      <c r="C7278" s="9" t="s">
        <v>667</v>
      </c>
      <c r="D7278" s="9" t="s">
        <v>81</v>
      </c>
      <c r="E7278" s="6" t="s">
        <v>13952</v>
      </c>
      <c r="F7278" s="9"/>
    </row>
    <row r="7279" ht="33.75" customHeight="1">
      <c r="A7279" s="7">
        <v>268.0</v>
      </c>
      <c r="B7279" s="9" t="s">
        <v>13947</v>
      </c>
      <c r="C7279" s="9" t="s">
        <v>667</v>
      </c>
      <c r="D7279" s="9" t="s">
        <v>84</v>
      </c>
      <c r="E7279" s="6" t="s">
        <v>13953</v>
      </c>
      <c r="F7279" s="9"/>
    </row>
    <row r="7280" ht="33.75" customHeight="1">
      <c r="A7280" s="7">
        <v>268.0</v>
      </c>
      <c r="B7280" s="9" t="s">
        <v>13947</v>
      </c>
      <c r="C7280" s="9" t="s">
        <v>667</v>
      </c>
      <c r="D7280" s="9" t="s">
        <v>87</v>
      </c>
      <c r="E7280" s="6" t="s">
        <v>13954</v>
      </c>
      <c r="F7280" s="9"/>
    </row>
    <row r="7281" ht="33.75" customHeight="1">
      <c r="A7281" s="7">
        <v>268.0</v>
      </c>
      <c r="B7281" s="9" t="s">
        <v>13947</v>
      </c>
      <c r="C7281" s="9" t="s">
        <v>667</v>
      </c>
      <c r="D7281" s="9" t="s">
        <v>89</v>
      </c>
      <c r="E7281" s="6" t="s">
        <v>13955</v>
      </c>
      <c r="F7281" s="9"/>
    </row>
    <row r="7282" ht="33.75" customHeight="1">
      <c r="A7282" s="7">
        <v>268.0</v>
      </c>
      <c r="B7282" s="9" t="s">
        <v>13947</v>
      </c>
      <c r="C7282" s="9" t="s">
        <v>667</v>
      </c>
      <c r="D7282" s="9" t="s">
        <v>91</v>
      </c>
      <c r="E7282" s="6" t="s">
        <v>13955</v>
      </c>
      <c r="F7282" s="9"/>
    </row>
    <row r="7283" ht="33.75" customHeight="1">
      <c r="A7283" s="7">
        <v>268.0</v>
      </c>
      <c r="B7283" s="9" t="s">
        <v>13947</v>
      </c>
      <c r="C7283" s="9" t="s">
        <v>667</v>
      </c>
      <c r="D7283" s="9" t="s">
        <v>93</v>
      </c>
      <c r="E7283" s="6" t="s">
        <v>13954</v>
      </c>
      <c r="F7283" s="9"/>
    </row>
    <row r="7284" ht="33.75" customHeight="1">
      <c r="A7284" s="7">
        <v>268.0</v>
      </c>
      <c r="B7284" s="9" t="s">
        <v>13947</v>
      </c>
      <c r="C7284" s="9" t="s">
        <v>667</v>
      </c>
      <c r="D7284" s="9" t="s">
        <v>95</v>
      </c>
      <c r="E7284" s="6" t="s">
        <v>13954</v>
      </c>
      <c r="F7284" s="9"/>
    </row>
    <row r="7285" ht="33.75" customHeight="1">
      <c r="A7285" s="7">
        <v>268.0</v>
      </c>
      <c r="B7285" s="9" t="s">
        <v>13947</v>
      </c>
      <c r="C7285" s="9" t="s">
        <v>667</v>
      </c>
      <c r="D7285" s="9" t="s">
        <v>98</v>
      </c>
      <c r="E7285" s="6" t="s">
        <v>13954</v>
      </c>
      <c r="F7285" s="9"/>
    </row>
    <row r="7286" ht="33.75" customHeight="1">
      <c r="A7286" s="7">
        <v>268.0</v>
      </c>
      <c r="B7286" s="9" t="s">
        <v>13947</v>
      </c>
      <c r="C7286" s="9" t="s">
        <v>667</v>
      </c>
      <c r="D7286" s="9" t="s">
        <v>99</v>
      </c>
      <c r="E7286" s="6" t="s">
        <v>13954</v>
      </c>
      <c r="F7286" s="9"/>
    </row>
    <row r="7287" ht="33.75" customHeight="1">
      <c r="A7287" s="7">
        <v>268.0</v>
      </c>
      <c r="B7287" s="9" t="s">
        <v>13947</v>
      </c>
      <c r="C7287" s="9" t="s">
        <v>667</v>
      </c>
      <c r="D7287" s="9" t="s">
        <v>101</v>
      </c>
      <c r="E7287" s="6" t="s">
        <v>13951</v>
      </c>
      <c r="F7287" s="9"/>
    </row>
    <row r="7288" ht="33.75" customHeight="1">
      <c r="A7288" s="7">
        <v>268.0</v>
      </c>
      <c r="B7288" s="9" t="s">
        <v>13947</v>
      </c>
      <c r="C7288" s="9" t="s">
        <v>667</v>
      </c>
      <c r="D7288" s="9" t="s">
        <v>105</v>
      </c>
      <c r="E7288" s="6" t="s">
        <v>13954</v>
      </c>
      <c r="F7288" s="9"/>
    </row>
    <row r="7289" ht="33.75" customHeight="1">
      <c r="A7289" s="7">
        <v>268.0</v>
      </c>
      <c r="B7289" s="9" t="s">
        <v>13947</v>
      </c>
      <c r="C7289" s="9" t="s">
        <v>667</v>
      </c>
      <c r="D7289" s="9" t="s">
        <v>107</v>
      </c>
      <c r="E7289" s="6" t="s">
        <v>13957</v>
      </c>
      <c r="F7289" s="9"/>
    </row>
    <row r="7290" ht="33.75" customHeight="1">
      <c r="A7290" s="7">
        <v>268.0</v>
      </c>
      <c r="B7290" s="9" t="s">
        <v>13947</v>
      </c>
      <c r="C7290" s="9" t="s">
        <v>667</v>
      </c>
      <c r="D7290" s="9" t="s">
        <v>109</v>
      </c>
      <c r="E7290" s="6" t="s">
        <v>13958</v>
      </c>
      <c r="F7290" s="9"/>
    </row>
    <row r="7291" ht="33.75" customHeight="1">
      <c r="A7291" s="7">
        <v>268.0</v>
      </c>
      <c r="B7291" s="9" t="s">
        <v>13947</v>
      </c>
      <c r="C7291" s="9" t="s">
        <v>667</v>
      </c>
      <c r="D7291" s="9" t="s">
        <v>1577</v>
      </c>
      <c r="E7291" s="6" t="s">
        <v>13959</v>
      </c>
      <c r="F7291" s="9"/>
    </row>
    <row r="7292" ht="33.75" customHeight="1">
      <c r="A7292" s="7">
        <v>269.0</v>
      </c>
      <c r="B7292" s="9" t="s">
        <v>13960</v>
      </c>
      <c r="C7292" s="9" t="s">
        <v>2914</v>
      </c>
      <c r="D7292" s="9" t="s">
        <v>67</v>
      </c>
      <c r="E7292" s="6" t="s">
        <v>13961</v>
      </c>
      <c r="F7292" t="inlineStr" s="10">
        <is>
          <t xml:space="preserve">DUSTOX tuntee vaistomaisesti vetoa valoon. Tämän PokéMONin parvet vetävät puoleensa kaupunkien kirkkaita valoja, joissa ne aiheuttavat tuhoa repimällä tienvarsipuiden lehtiä ravinnoksi. Kun DUSTOX räpyttelee siipiään, hienoa pölyä leijailee kaikkialle. Tämä pöly on itse asiassa voimakasta myrkkyä, joka voi sairastuttaa jopa ammattipainijan. Tämä POKéMON etsii ruokaa tutkan kaltaisten antenniensa avulla. Se on yöllinen POKéMON, joka lentää pelloilta ja vuorilta katulamppujen lähelle yöllä. Se irrottaa siivistään erittäin myrkyllistä jauhetta. Se levittää hirvittävän myrkyllistä pölyä aistiessaan vaaran. Ne kerääntyvät usein katulamppujen loisteessa yöllä. Yöllinen Pokémon. Katuvalojen houkuttelemina ne syövät sotkuisesti bulevardien reunustamien puiden lehtiä. Se räpyttelee siipiään rajusti levittääkseen myrkyllistä pölyä hyökkäyksen aikana. Se aktivoituu auringonlaskun jälkeen. Myrkyllistä jauhetta sirotellaan jokaisen läpän mukana. Yöllä sen tiedetään repivän lehtiä bulevardeja reunustavista puista. Se levittää hienoa pölyään kaikkialle hyökkäyksen kohteeksi joutuessaan. Se on yöllinen Pokémon. Dustoxia vetää vaistomaisesti valo puoleensa. Tämän Pokémonin parvet vetävät puoleensa kaupunkien kirkkaita valoja, joissa ne aiheuttavat tuhoa riisumalla tienvarsipuiden lehtiä ravinnoksi. Pimeinä öinä sitä vetää puoleensa nuotiot. Sitä on vaikea ajaa pois asutuksista, koska se levittää erittäin myrkyllisiä suomuja.</t>
        </is>
      </c>
    </row>
    <row r="7293" ht="33.75" customHeight="1">
      <c r="A7293" s="7">
        <v>269.0</v>
      </c>
      <c r="B7293" s="9" t="s">
        <v>13960</v>
      </c>
      <c r="C7293" s="9" t="s">
        <v>2914</v>
      </c>
      <c r="D7293" s="9" t="s">
        <v>71</v>
      </c>
      <c r="E7293" s="6" t="s">
        <v>13962</v>
      </c>
      <c r="F7293" s="9"/>
    </row>
    <row r="7294" ht="33.75" customHeight="1">
      <c r="A7294" s="7">
        <v>269.0</v>
      </c>
      <c r="B7294" s="9" t="s">
        <v>13960</v>
      </c>
      <c r="C7294" s="9" t="s">
        <v>2914</v>
      </c>
      <c r="D7294" s="9" t="s">
        <v>73</v>
      </c>
      <c r="E7294" s="6" t="s">
        <v>13963</v>
      </c>
      <c r="F7294" s="9"/>
    </row>
    <row r="7295" ht="33.75" customHeight="1">
      <c r="A7295" s="7">
        <v>269.0</v>
      </c>
      <c r="B7295" s="9" t="s">
        <v>13960</v>
      </c>
      <c r="C7295" s="9" t="s">
        <v>2914</v>
      </c>
      <c r="D7295" s="9" t="s">
        <v>75</v>
      </c>
      <c r="E7295" s="6" t="s">
        <v>13964</v>
      </c>
      <c r="F7295" s="9"/>
    </row>
    <row r="7296" ht="33.75" customHeight="1">
      <c r="A7296" s="7">
        <v>269.0</v>
      </c>
      <c r="B7296" s="9" t="s">
        <v>13960</v>
      </c>
      <c r="C7296" s="9" t="s">
        <v>2914</v>
      </c>
      <c r="D7296" s="9" t="s">
        <v>79</v>
      </c>
      <c r="E7296" s="6" t="s">
        <v>13964</v>
      </c>
      <c r="F7296" s="9"/>
    </row>
    <row r="7297" ht="33.75" customHeight="1">
      <c r="A7297" s="7">
        <v>269.0</v>
      </c>
      <c r="B7297" s="9" t="s">
        <v>13960</v>
      </c>
      <c r="C7297" s="9" t="s">
        <v>2914</v>
      </c>
      <c r="D7297" s="9" t="s">
        <v>81</v>
      </c>
      <c r="E7297" s="6" t="s">
        <v>13965</v>
      </c>
      <c r="F7297" s="9"/>
    </row>
    <row r="7298" ht="33.75" customHeight="1">
      <c r="A7298" s="7">
        <v>269.0</v>
      </c>
      <c r="B7298" s="9" t="s">
        <v>13960</v>
      </c>
      <c r="C7298" s="9" t="s">
        <v>2914</v>
      </c>
      <c r="D7298" s="9" t="s">
        <v>84</v>
      </c>
      <c r="E7298" s="6" t="s">
        <v>13966</v>
      </c>
      <c r="F7298" s="9"/>
    </row>
    <row r="7299" ht="33.75" customHeight="1">
      <c r="A7299" s="7">
        <v>269.0</v>
      </c>
      <c r="B7299" s="9" t="s">
        <v>13960</v>
      </c>
      <c r="C7299" s="9" t="s">
        <v>2914</v>
      </c>
      <c r="D7299" s="9" t="s">
        <v>87</v>
      </c>
      <c r="E7299" s="6" t="s">
        <v>13967</v>
      </c>
      <c r="F7299" s="9"/>
    </row>
    <row r="7300" ht="33.75" customHeight="1">
      <c r="A7300" s="7">
        <v>269.0</v>
      </c>
      <c r="B7300" s="9" t="s">
        <v>13960</v>
      </c>
      <c r="C7300" s="9" t="s">
        <v>2914</v>
      </c>
      <c r="D7300" s="9" t="s">
        <v>89</v>
      </c>
      <c r="E7300" s="6" t="s">
        <v>13968</v>
      </c>
      <c r="F7300" s="9"/>
    </row>
    <row r="7301" ht="33.75" customHeight="1">
      <c r="A7301" s="7">
        <v>269.0</v>
      </c>
      <c r="B7301" s="9" t="s">
        <v>13960</v>
      </c>
      <c r="C7301" s="9" t="s">
        <v>2914</v>
      </c>
      <c r="D7301" s="9" t="s">
        <v>91</v>
      </c>
      <c r="E7301" s="6" t="s">
        <v>13968</v>
      </c>
      <c r="F7301" s="9"/>
    </row>
    <row r="7302" ht="33.75" customHeight="1">
      <c r="A7302" s="7">
        <v>269.0</v>
      </c>
      <c r="B7302" s="9" t="s">
        <v>13960</v>
      </c>
      <c r="C7302" s="9" t="s">
        <v>2914</v>
      </c>
      <c r="D7302" s="9" t="s">
        <v>93</v>
      </c>
      <c r="E7302" s="6" t="s">
        <v>13967</v>
      </c>
      <c r="F7302" s="9"/>
    </row>
    <row r="7303" ht="33.75" customHeight="1">
      <c r="A7303" s="7">
        <v>269.0</v>
      </c>
      <c r="B7303" s="9" t="s">
        <v>13960</v>
      </c>
      <c r="C7303" s="9" t="s">
        <v>2914</v>
      </c>
      <c r="D7303" s="9" t="s">
        <v>95</v>
      </c>
      <c r="E7303" s="6" t="s">
        <v>13967</v>
      </c>
      <c r="F7303" s="9"/>
    </row>
    <row r="7304" ht="33.75" customHeight="1">
      <c r="A7304" s="7">
        <v>269.0</v>
      </c>
      <c r="B7304" s="9" t="s">
        <v>13960</v>
      </c>
      <c r="C7304" s="9" t="s">
        <v>2914</v>
      </c>
      <c r="D7304" s="9" t="s">
        <v>98</v>
      </c>
      <c r="E7304" s="6" t="s">
        <v>13967</v>
      </c>
      <c r="F7304" s="9"/>
    </row>
    <row r="7305" ht="33.75" customHeight="1">
      <c r="A7305" s="7">
        <v>269.0</v>
      </c>
      <c r="B7305" s="9" t="s">
        <v>13960</v>
      </c>
      <c r="C7305" s="9" t="s">
        <v>2914</v>
      </c>
      <c r="D7305" s="9" t="s">
        <v>99</v>
      </c>
      <c r="E7305" s="6" t="s">
        <v>13967</v>
      </c>
      <c r="F7305" s="9"/>
    </row>
    <row r="7306" ht="33.75" customHeight="1">
      <c r="A7306" s="7">
        <v>269.0</v>
      </c>
      <c r="B7306" s="9" t="s">
        <v>13960</v>
      </c>
      <c r="C7306" s="9" t="s">
        <v>2914</v>
      </c>
      <c r="D7306" s="9" t="s">
        <v>101</v>
      </c>
      <c r="E7306" s="6" t="s">
        <v>13965</v>
      </c>
      <c r="F7306" s="9"/>
    </row>
    <row r="7307" ht="33.75" customHeight="1">
      <c r="A7307" s="7">
        <v>269.0</v>
      </c>
      <c r="B7307" s="9" t="s">
        <v>13960</v>
      </c>
      <c r="C7307" s="9" t="s">
        <v>2914</v>
      </c>
      <c r="D7307" s="9" t="s">
        <v>105</v>
      </c>
      <c r="E7307" s="6" t="s">
        <v>13966</v>
      </c>
      <c r="F7307" s="9"/>
    </row>
    <row r="7308" ht="33.75" customHeight="1">
      <c r="A7308" s="7">
        <v>269.0</v>
      </c>
      <c r="B7308" s="9" t="s">
        <v>13960</v>
      </c>
      <c r="C7308" s="9" t="s">
        <v>2914</v>
      </c>
      <c r="D7308" s="9" t="s">
        <v>107</v>
      </c>
      <c r="E7308" s="6" t="s">
        <v>13969</v>
      </c>
      <c r="F7308" s="9"/>
    </row>
    <row r="7309" ht="33.75" customHeight="1">
      <c r="A7309" s="7">
        <v>269.0</v>
      </c>
      <c r="B7309" s="9" t="s">
        <v>13960</v>
      </c>
      <c r="C7309" s="9" t="s">
        <v>2914</v>
      </c>
      <c r="D7309" s="9" t="s">
        <v>109</v>
      </c>
      <c r="E7309" s="6" t="s">
        <v>13970</v>
      </c>
      <c r="F7309" s="9"/>
    </row>
    <row r="7310" ht="33.75" customHeight="1">
      <c r="A7310" s="7">
        <v>269.0</v>
      </c>
      <c r="B7310" s="9" t="s">
        <v>13960</v>
      </c>
      <c r="C7310" s="9" t="s">
        <v>2914</v>
      </c>
      <c r="D7310" s="9" t="s">
        <v>1577</v>
      </c>
      <c r="E7310" s="6" t="s">
        <v>13972</v>
      </c>
      <c r="F7310" s="9"/>
    </row>
    <row r="7311" ht="33.75" customHeight="1">
      <c r="A7311" s="7">
        <v>270.0</v>
      </c>
      <c r="B7311" s="9" t="s">
        <v>13973</v>
      </c>
      <c r="C7311" s="9" t="s">
        <v>13974</v>
      </c>
      <c r="D7311" s="9" t="s">
        <v>67</v>
      </c>
      <c r="E7311" s="6" t="s">
        <v>13975</v>
      </c>
      <c r="F7311" t="inlineStr" s="10">
        <is>
          <t xml:space="preserve">LOTADit elävät lammissa ja järvissä, joissa ne kelluvat pinnalla. Ne heikkenevät, jos niiden leveät lehtensä kuolevat. Harvinaisissa tapauksissa nämä POKéMONit matkustavat maalla etsimässä puhdasta vettä. LOTADin sanotaan asuneen aiemmin maalla. Tämän POKéMONin uskotaan kuitenkin palanneen veteen, koska sen päässä oleva lehti kasvoi suureksi ja painavaksi. Nykyään se elää kellumalla veden pinnalla. Tämä POKéMON elää puhdasvetisissä lammikoissa. Sen tiedetään kuljettavan pieniä POKéMONEJA lampien yli kantamalla niitä päänsä leveässä lehdessä. Se etsii puhdasta vettä. Jos se ei juo vettä liian pitkään, sen päässä oleva lehti nuutuu. Se näyttää vesikasvilta ja toimii lautana uintitaitoisten Pokémonien luo. Sen lehti kasvoi liian suureksi elääkseen maalla. Niin se alkoi elää vedessä kelluen. Harvinaisissa tapauksissa tämä Pokémon matkustaa maalla etsimässä puhdasta vettä.</t>
        </is>
      </c>
    </row>
    <row r="7312" ht="33.75" customHeight="1">
      <c r="A7312" s="7">
        <v>270.0</v>
      </c>
      <c r="B7312" s="9" t="s">
        <v>13973</v>
      </c>
      <c r="C7312" s="9" t="s">
        <v>13974</v>
      </c>
      <c r="D7312" s="9" t="s">
        <v>71</v>
      </c>
      <c r="E7312" s="6" t="s">
        <v>13976</v>
      </c>
      <c r="F7312" s="9"/>
    </row>
    <row r="7313" ht="33.75" customHeight="1">
      <c r="A7313" s="7">
        <v>270.0</v>
      </c>
      <c r="B7313" s="9" t="s">
        <v>13973</v>
      </c>
      <c r="C7313" s="9" t="s">
        <v>13974</v>
      </c>
      <c r="D7313" s="9" t="s">
        <v>73</v>
      </c>
      <c r="E7313" s="6" t="s">
        <v>13977</v>
      </c>
      <c r="F7313" s="9"/>
    </row>
    <row r="7314" ht="33.75" customHeight="1">
      <c r="A7314" s="7">
        <v>270.0</v>
      </c>
      <c r="B7314" s="9" t="s">
        <v>13973</v>
      </c>
      <c r="C7314" s="9" t="s">
        <v>13974</v>
      </c>
      <c r="D7314" s="9" t="s">
        <v>75</v>
      </c>
      <c r="E7314" s="6" t="s">
        <v>13978</v>
      </c>
      <c r="F7314" s="9"/>
    </row>
    <row r="7315" ht="33.75" customHeight="1">
      <c r="A7315" s="7">
        <v>270.0</v>
      </c>
      <c r="B7315" s="9" t="s">
        <v>13973</v>
      </c>
      <c r="C7315" s="9" t="s">
        <v>13974</v>
      </c>
      <c r="D7315" s="9" t="s">
        <v>79</v>
      </c>
      <c r="E7315" s="6" t="s">
        <v>13978</v>
      </c>
      <c r="F7315" s="9"/>
    </row>
    <row r="7316" ht="33.75" customHeight="1">
      <c r="A7316" s="7">
        <v>270.0</v>
      </c>
      <c r="B7316" s="9" t="s">
        <v>13973</v>
      </c>
      <c r="C7316" s="9" t="s">
        <v>13974</v>
      </c>
      <c r="D7316" s="9" t="s">
        <v>81</v>
      </c>
      <c r="E7316" s="6" t="s">
        <v>13979</v>
      </c>
      <c r="F7316" s="9"/>
    </row>
    <row r="7317" ht="33.75" customHeight="1">
      <c r="A7317" s="7">
        <v>270.0</v>
      </c>
      <c r="B7317" s="9" t="s">
        <v>13973</v>
      </c>
      <c r="C7317" s="9" t="s">
        <v>13974</v>
      </c>
      <c r="D7317" s="9" t="s">
        <v>84</v>
      </c>
      <c r="E7317" s="6" t="s">
        <v>13979</v>
      </c>
      <c r="F7317" s="9"/>
    </row>
    <row r="7318" ht="33.75" customHeight="1">
      <c r="A7318" s="7">
        <v>270.0</v>
      </c>
      <c r="B7318" s="9" t="s">
        <v>13973</v>
      </c>
      <c r="C7318" s="9" t="s">
        <v>13974</v>
      </c>
      <c r="D7318" s="9" t="s">
        <v>87</v>
      </c>
      <c r="E7318" s="6" t="s">
        <v>13979</v>
      </c>
      <c r="F7318" s="9"/>
    </row>
    <row r="7319" ht="33.75" customHeight="1">
      <c r="A7319" s="7">
        <v>270.0</v>
      </c>
      <c r="B7319" s="9" t="s">
        <v>13973</v>
      </c>
      <c r="C7319" s="9" t="s">
        <v>13974</v>
      </c>
      <c r="D7319" s="9" t="s">
        <v>89</v>
      </c>
      <c r="E7319" s="6" t="s">
        <v>13980</v>
      </c>
      <c r="F7319" s="9"/>
    </row>
    <row r="7320" ht="33.75" customHeight="1">
      <c r="A7320" s="7">
        <v>270.0</v>
      </c>
      <c r="B7320" s="9" t="s">
        <v>13973</v>
      </c>
      <c r="C7320" s="9" t="s">
        <v>13974</v>
      </c>
      <c r="D7320" s="9" t="s">
        <v>91</v>
      </c>
      <c r="E7320" s="6" t="s">
        <v>13980</v>
      </c>
      <c r="F7320" s="9"/>
    </row>
    <row r="7321" ht="33.75" customHeight="1">
      <c r="A7321" s="7">
        <v>270.0</v>
      </c>
      <c r="B7321" s="9" t="s">
        <v>13973</v>
      </c>
      <c r="C7321" s="9" t="s">
        <v>13974</v>
      </c>
      <c r="D7321" s="9" t="s">
        <v>93</v>
      </c>
      <c r="E7321" s="6" t="s">
        <v>13979</v>
      </c>
      <c r="F7321" s="9"/>
    </row>
    <row r="7322" ht="33.75" customHeight="1">
      <c r="A7322" s="7">
        <v>270.0</v>
      </c>
      <c r="B7322" s="9" t="s">
        <v>13973</v>
      </c>
      <c r="C7322" s="9" t="s">
        <v>13974</v>
      </c>
      <c r="D7322" s="9" t="s">
        <v>95</v>
      </c>
      <c r="E7322" s="6" t="s">
        <v>13979</v>
      </c>
      <c r="F7322" s="9"/>
    </row>
    <row r="7323" ht="33.75" customHeight="1">
      <c r="A7323" s="7">
        <v>270.0</v>
      </c>
      <c r="B7323" s="9" t="s">
        <v>13973</v>
      </c>
      <c r="C7323" s="9" t="s">
        <v>13974</v>
      </c>
      <c r="D7323" s="9" t="s">
        <v>98</v>
      </c>
      <c r="E7323" s="6" t="s">
        <v>13979</v>
      </c>
      <c r="F7323" s="9"/>
    </row>
    <row r="7324" ht="33.75" customHeight="1">
      <c r="A7324" s="7">
        <v>270.0</v>
      </c>
      <c r="B7324" s="9" t="s">
        <v>13973</v>
      </c>
      <c r="C7324" s="9" t="s">
        <v>13974</v>
      </c>
      <c r="D7324" s="9" t="s">
        <v>99</v>
      </c>
      <c r="E7324" s="6" t="s">
        <v>13979</v>
      </c>
      <c r="F7324" s="9"/>
    </row>
    <row r="7325" ht="33.75" customHeight="1">
      <c r="A7325" s="7">
        <v>270.0</v>
      </c>
      <c r="B7325" s="9" t="s">
        <v>13973</v>
      </c>
      <c r="C7325" s="9" t="s">
        <v>13974</v>
      </c>
      <c r="D7325" s="9" t="s">
        <v>101</v>
      </c>
      <c r="E7325" s="6" t="s">
        <v>13979</v>
      </c>
      <c r="F7325" s="9"/>
    </row>
    <row r="7326" ht="33.75" customHeight="1">
      <c r="A7326" s="7">
        <v>270.0</v>
      </c>
      <c r="B7326" s="9" t="s">
        <v>13973</v>
      </c>
      <c r="C7326" s="9" t="s">
        <v>13974</v>
      </c>
      <c r="D7326" s="9" t="s">
        <v>105</v>
      </c>
      <c r="E7326" s="6" t="s">
        <v>13978</v>
      </c>
      <c r="F7326" s="9"/>
    </row>
    <row r="7327" ht="33.75" customHeight="1">
      <c r="A7327" s="7">
        <v>270.0</v>
      </c>
      <c r="B7327" s="9" t="s">
        <v>13973</v>
      </c>
      <c r="C7327" s="9" t="s">
        <v>13974</v>
      </c>
      <c r="D7327" s="9" t="s">
        <v>107</v>
      </c>
      <c r="E7327" s="6" t="s">
        <v>13981</v>
      </c>
      <c r="F7327" s="9"/>
    </row>
    <row r="7328" ht="33.75" customHeight="1">
      <c r="A7328" s="7">
        <v>270.0</v>
      </c>
      <c r="B7328" s="9" t="s">
        <v>13973</v>
      </c>
      <c r="C7328" s="9" t="s">
        <v>13974</v>
      </c>
      <c r="D7328" s="9" t="s">
        <v>109</v>
      </c>
      <c r="E7328" s="6" t="s">
        <v>13982</v>
      </c>
      <c r="F7328" s="9"/>
    </row>
    <row r="7329" ht="33.75" customHeight="1">
      <c r="A7329" s="7">
        <v>270.0</v>
      </c>
      <c r="B7329" s="9" t="s">
        <v>13973</v>
      </c>
      <c r="C7329" s="9" t="s">
        <v>13974</v>
      </c>
      <c r="D7329" s="9" t="s">
        <v>114</v>
      </c>
      <c r="E7329" s="6" t="s">
        <v>13978</v>
      </c>
      <c r="F7329" s="9"/>
    </row>
    <row r="7330" ht="33.75" customHeight="1">
      <c r="A7330" s="7">
        <v>270.0</v>
      </c>
      <c r="B7330" s="9" t="s">
        <v>13973</v>
      </c>
      <c r="C7330" s="9" t="s">
        <v>13974</v>
      </c>
      <c r="D7330" s="9" t="s">
        <v>117</v>
      </c>
      <c r="E7330" s="6" t="s">
        <v>13980</v>
      </c>
      <c r="F7330" s="9"/>
    </row>
    <row r="7331" ht="33.75" customHeight="1">
      <c r="A7331" s="7">
        <v>271.0</v>
      </c>
      <c r="B7331" s="9" t="s">
        <v>13983</v>
      </c>
      <c r="C7331" s="9" t="s">
        <v>13984</v>
      </c>
      <c r="D7331" s="9" t="s">
        <v>67</v>
      </c>
      <c r="E7331" s="6" t="s">
        <v>13985</v>
      </c>
      <c r="F7331" t="inlineStr" s="10">
        <is>
          <t xml:space="preserve">LOMBRE on yöeläin – se aktivoituu hämärän jälkeen. Se on myös ilkikurinen. Kun tämä POKéMON havaitsee kalastajia, se nykäisee heidän siimojaan pinnan alta ja nauttii heidän kauhistuksestaan. LOMBREN koko vartalo on peittynyt liukkaaseen, limaiseen kalvoon. Tuntuu kamalan epämiellyttävältä, kun tämän POKéMONin kädet koskettavat häntä. LOMBREA ​​sekoitetaan usein ihmislapseen. Illalla se nauttii pulpahtaessaan esiin joista ja säikäyttäessään ihmisiä. Se syö vesisammalta, joka kasvaa joenpohjan kivillä. Se elää veden äärellä, missä paistaa aurinko. Se nukkuu vesiheinän peitossa päivisin ja aktivoituu yöllä. Sillä on ilkikurinen luonne. Jos se havaitsee kalastajan, se vetää siimaa estääkseen sen. Se on yöeläin ja aktivoituu illan hämärtyessä. Se syö joenuomassa kasvavia vesisammalia. Lombre on yöeläin – se aktivoituu hämärän laskeuduttua. Kun tämä Pokémon havaitsee kalastajia, se nykii heidän siimojaan pinnan alta ja nauttii heidän hämmennyksestään. Lombrea erehdytään usein luulemaan ihmislapseksi.</t>
        </is>
      </c>
    </row>
    <row r="7332" ht="33.75" customHeight="1">
      <c r="A7332" s="7">
        <v>271.0</v>
      </c>
      <c r="B7332" s="9" t="s">
        <v>13983</v>
      </c>
      <c r="C7332" s="9" t="s">
        <v>13984</v>
      </c>
      <c r="D7332" s="9" t="s">
        <v>71</v>
      </c>
      <c r="E7332" s="6" t="s">
        <v>13986</v>
      </c>
      <c r="F7332" s="9"/>
    </row>
    <row r="7333" ht="33.75" customHeight="1">
      <c r="A7333" s="7">
        <v>271.0</v>
      </c>
      <c r="B7333" s="9" t="s">
        <v>13983</v>
      </c>
      <c r="C7333" s="9" t="s">
        <v>13984</v>
      </c>
      <c r="D7333" s="9" t="s">
        <v>73</v>
      </c>
      <c r="E7333" s="6" t="s">
        <v>13987</v>
      </c>
      <c r="F7333" s="9"/>
    </row>
    <row r="7334" ht="33.75" customHeight="1">
      <c r="A7334" s="7">
        <v>271.0</v>
      </c>
      <c r="B7334" s="9" t="s">
        <v>13983</v>
      </c>
      <c r="C7334" s="9" t="s">
        <v>13984</v>
      </c>
      <c r="D7334" s="9" t="s">
        <v>75</v>
      </c>
      <c r="E7334" s="6" t="s">
        <v>13988</v>
      </c>
      <c r="F7334" s="9"/>
    </row>
    <row r="7335" ht="33.75" customHeight="1">
      <c r="A7335" s="7">
        <v>271.0</v>
      </c>
      <c r="B7335" s="9" t="s">
        <v>13983</v>
      </c>
      <c r="C7335" s="9" t="s">
        <v>13984</v>
      </c>
      <c r="D7335" s="9" t="s">
        <v>79</v>
      </c>
      <c r="E7335" s="6" t="s">
        <v>13988</v>
      </c>
      <c r="F7335" s="9"/>
    </row>
    <row r="7336" ht="33.75" customHeight="1">
      <c r="A7336" s="7">
        <v>271.0</v>
      </c>
      <c r="B7336" s="9" t="s">
        <v>13983</v>
      </c>
      <c r="C7336" s="9" t="s">
        <v>13984</v>
      </c>
      <c r="D7336" s="9" t="s">
        <v>81</v>
      </c>
      <c r="E7336" s="6" t="s">
        <v>13990</v>
      </c>
      <c r="F7336" s="9"/>
    </row>
    <row r="7337" ht="33.75" customHeight="1">
      <c r="A7337" s="7">
        <v>271.0</v>
      </c>
      <c r="B7337" s="9" t="s">
        <v>13983</v>
      </c>
      <c r="C7337" s="9" t="s">
        <v>13984</v>
      </c>
      <c r="D7337" s="9" t="s">
        <v>84</v>
      </c>
      <c r="E7337" s="6" t="s">
        <v>13990</v>
      </c>
      <c r="F7337" s="9"/>
    </row>
    <row r="7338" ht="33.75" customHeight="1">
      <c r="A7338" s="7">
        <v>271.0</v>
      </c>
      <c r="B7338" s="9" t="s">
        <v>13983</v>
      </c>
      <c r="C7338" s="9" t="s">
        <v>13984</v>
      </c>
      <c r="D7338" s="9" t="s">
        <v>87</v>
      </c>
      <c r="E7338" s="6" t="s">
        <v>13990</v>
      </c>
      <c r="F7338" s="9"/>
    </row>
    <row r="7339" ht="33.75" customHeight="1">
      <c r="A7339" s="7">
        <v>271.0</v>
      </c>
      <c r="B7339" s="9" t="s">
        <v>13983</v>
      </c>
      <c r="C7339" s="9" t="s">
        <v>13984</v>
      </c>
      <c r="D7339" s="9" t="s">
        <v>89</v>
      </c>
      <c r="E7339" s="6" t="s">
        <v>13991</v>
      </c>
      <c r="F7339" s="9"/>
    </row>
    <row r="7340" ht="33.75" customHeight="1">
      <c r="A7340" s="7">
        <v>271.0</v>
      </c>
      <c r="B7340" s="9" t="s">
        <v>13983</v>
      </c>
      <c r="C7340" s="9" t="s">
        <v>13984</v>
      </c>
      <c r="D7340" s="9" t="s">
        <v>91</v>
      </c>
      <c r="E7340" s="6" t="s">
        <v>13991</v>
      </c>
      <c r="F7340" s="9"/>
    </row>
    <row r="7341" ht="33.75" customHeight="1">
      <c r="A7341" s="7">
        <v>271.0</v>
      </c>
      <c r="B7341" s="9" t="s">
        <v>13983</v>
      </c>
      <c r="C7341" s="9" t="s">
        <v>13984</v>
      </c>
      <c r="D7341" s="9" t="s">
        <v>93</v>
      </c>
      <c r="E7341" s="6" t="s">
        <v>13990</v>
      </c>
      <c r="F7341" s="9"/>
    </row>
    <row r="7342" ht="33.75" customHeight="1">
      <c r="A7342" s="7">
        <v>271.0</v>
      </c>
      <c r="B7342" s="9" t="s">
        <v>13983</v>
      </c>
      <c r="C7342" s="9" t="s">
        <v>13984</v>
      </c>
      <c r="D7342" s="9" t="s">
        <v>95</v>
      </c>
      <c r="E7342" s="6" t="s">
        <v>13990</v>
      </c>
      <c r="F7342" s="9"/>
    </row>
    <row r="7343" ht="33.75" customHeight="1">
      <c r="A7343" s="7">
        <v>271.0</v>
      </c>
      <c r="B7343" s="9" t="s">
        <v>13983</v>
      </c>
      <c r="C7343" s="9" t="s">
        <v>13984</v>
      </c>
      <c r="D7343" s="9" t="s">
        <v>98</v>
      </c>
      <c r="E7343" s="6" t="s">
        <v>13990</v>
      </c>
      <c r="F7343" s="9"/>
    </row>
    <row r="7344" ht="33.75" customHeight="1">
      <c r="A7344" s="7">
        <v>271.0</v>
      </c>
      <c r="B7344" s="9" t="s">
        <v>13983</v>
      </c>
      <c r="C7344" s="9" t="s">
        <v>13984</v>
      </c>
      <c r="D7344" s="9" t="s">
        <v>99</v>
      </c>
      <c r="E7344" s="6" t="s">
        <v>13990</v>
      </c>
      <c r="F7344" s="9"/>
    </row>
    <row r="7345" ht="33.75" customHeight="1">
      <c r="A7345" s="7">
        <v>271.0</v>
      </c>
      <c r="B7345" s="9" t="s">
        <v>13983</v>
      </c>
      <c r="C7345" s="9" t="s">
        <v>13984</v>
      </c>
      <c r="D7345" s="9" t="s">
        <v>101</v>
      </c>
      <c r="E7345" s="6" t="s">
        <v>13988</v>
      </c>
      <c r="F7345" s="9"/>
    </row>
    <row r="7346" ht="33.75" customHeight="1">
      <c r="A7346" s="7">
        <v>271.0</v>
      </c>
      <c r="B7346" s="9" t="s">
        <v>13983</v>
      </c>
      <c r="C7346" s="9" t="s">
        <v>13984</v>
      </c>
      <c r="D7346" s="9" t="s">
        <v>105</v>
      </c>
      <c r="E7346" s="6" t="s">
        <v>13990</v>
      </c>
      <c r="F7346" s="9"/>
    </row>
    <row r="7347" ht="33.75" customHeight="1">
      <c r="A7347" s="7">
        <v>271.0</v>
      </c>
      <c r="B7347" s="9" t="s">
        <v>13983</v>
      </c>
      <c r="C7347" s="9" t="s">
        <v>13984</v>
      </c>
      <c r="D7347" s="9" t="s">
        <v>107</v>
      </c>
      <c r="E7347" s="6" t="s">
        <v>13992</v>
      </c>
      <c r="F7347" s="9"/>
    </row>
    <row r="7348" ht="33.75" customHeight="1">
      <c r="A7348" s="7">
        <v>271.0</v>
      </c>
      <c r="B7348" s="9" t="s">
        <v>13983</v>
      </c>
      <c r="C7348" s="9" t="s">
        <v>13984</v>
      </c>
      <c r="D7348" s="9" t="s">
        <v>109</v>
      </c>
      <c r="E7348" s="6" t="s">
        <v>13993</v>
      </c>
      <c r="F7348" s="9"/>
    </row>
    <row r="7349" ht="33.75" customHeight="1">
      <c r="A7349" s="7">
        <v>271.0</v>
      </c>
      <c r="B7349" s="9" t="s">
        <v>13983</v>
      </c>
      <c r="C7349" s="9" t="s">
        <v>13984</v>
      </c>
      <c r="D7349" s="9" t="s">
        <v>114</v>
      </c>
      <c r="E7349" s="6" t="s">
        <v>13991</v>
      </c>
      <c r="F7349" s="9"/>
    </row>
    <row r="7350" ht="33.75" customHeight="1">
      <c r="A7350" s="7">
        <v>271.0</v>
      </c>
      <c r="B7350" s="9" t="s">
        <v>13983</v>
      </c>
      <c r="C7350" s="9" t="s">
        <v>13984</v>
      </c>
      <c r="D7350" s="9" t="s">
        <v>117</v>
      </c>
      <c r="E7350" s="6" t="s">
        <v>13988</v>
      </c>
      <c r="F7350" s="9"/>
    </row>
    <row r="7351" ht="33.75" customHeight="1">
      <c r="A7351" s="7">
        <v>272.0</v>
      </c>
      <c r="B7351" s="9" t="s">
        <v>13994</v>
      </c>
      <c r="C7351" s="9" t="s">
        <v>13995</v>
      </c>
      <c r="D7351" s="9" t="s">
        <v>67</v>
      </c>
      <c r="E7351" s="6" t="s">
        <v>13996</v>
      </c>
      <c r="F7351" t="inlineStr" s="10">
        <is>
          <t xml:space="preserve">LUDICOLO alkaa tanssia heti kuultuaan iloista, juhlavaa musiikkia. Tämän POKéMONin sanotaan ilmestyvän kuullessaan lasten laulua vaellusretkillä. Kuullessaan iloisen ja pirteän rytmin, LUDICOLOn kehon solut muuttuvat erittäin energisiksi ja aktiivisiksi. Jopa taistelussa tämä POKéMON osoittaa uskomattoman paljon voimaa. Kun se kuulee juhlavaa musiikkia, kaikki sen kehon solut aktivoituvat ja se alkaa liikkua rytmissä. Se ei vapise, vaikka se kohtaisi kovan vastustajan. Kirkkaan, juhlavan musiikin rytmi aktivoi LUDICOLOn soluja ja tekee siitä voimakkaamman. Jos se kuulee juhlavaa musiikkia, kaikki sen lihakset täyttyvät energiasta. Se ei voi vastustaa kiusausta tanssia. Jos se kuulee juhlavaa musiikkia, se alkaa liikkua rytmissä vahvistaakseen voimaansa. Tämän Pokémonin sanotaan ilmestyvän, kun se kuulee lasten laulua vaellusretkillä. Kuullessaan iloisen ja pirteän rytmin Ludicolon kehon solut muuttuvat erittäin energisiksi ja aktiivisiksi.</t>
        </is>
      </c>
    </row>
    <row r="7352" ht="33.75" customHeight="1">
      <c r="A7352" s="7">
        <v>272.0</v>
      </c>
      <c r="B7352" s="9" t="s">
        <v>13994</v>
      </c>
      <c r="C7352" s="9" t="s">
        <v>13995</v>
      </c>
      <c r="D7352" s="9" t="s">
        <v>71</v>
      </c>
      <c r="E7352" s="6" t="s">
        <v>13997</v>
      </c>
      <c r="F7352" s="9"/>
    </row>
    <row r="7353" ht="33.75" customHeight="1">
      <c r="A7353" s="7">
        <v>272.0</v>
      </c>
      <c r="B7353" s="9" t="s">
        <v>13994</v>
      </c>
      <c r="C7353" s="9" t="s">
        <v>13995</v>
      </c>
      <c r="D7353" s="9" t="s">
        <v>73</v>
      </c>
      <c r="E7353" s="6" t="s">
        <v>13998</v>
      </c>
      <c r="F7353" s="9"/>
    </row>
    <row r="7354" ht="33.75" customHeight="1">
      <c r="A7354" s="7">
        <v>272.0</v>
      </c>
      <c r="B7354" s="9" t="s">
        <v>13994</v>
      </c>
      <c r="C7354" s="9" t="s">
        <v>13995</v>
      </c>
      <c r="D7354" s="9" t="s">
        <v>75</v>
      </c>
      <c r="E7354" s="6" t="s">
        <v>13999</v>
      </c>
      <c r="F7354" s="9"/>
    </row>
    <row r="7355" ht="33.75" customHeight="1">
      <c r="A7355" s="7">
        <v>272.0</v>
      </c>
      <c r="B7355" s="9" t="s">
        <v>13994</v>
      </c>
      <c r="C7355" s="9" t="s">
        <v>13995</v>
      </c>
      <c r="D7355" s="9" t="s">
        <v>79</v>
      </c>
      <c r="E7355" s="6" t="s">
        <v>13999</v>
      </c>
      <c r="F7355" s="9"/>
    </row>
    <row r="7356" ht="33.75" customHeight="1">
      <c r="A7356" s="7">
        <v>272.0</v>
      </c>
      <c r="B7356" s="9" t="s">
        <v>13994</v>
      </c>
      <c r="C7356" s="9" t="s">
        <v>13995</v>
      </c>
      <c r="D7356" s="9" t="s">
        <v>81</v>
      </c>
      <c r="E7356" s="6" t="s">
        <v>14000</v>
      </c>
      <c r="F7356" s="9"/>
    </row>
    <row r="7357" ht="33.75" customHeight="1">
      <c r="A7357" s="7">
        <v>272.0</v>
      </c>
      <c r="B7357" s="9" t="s">
        <v>13994</v>
      </c>
      <c r="C7357" s="9" t="s">
        <v>13995</v>
      </c>
      <c r="D7357" s="9" t="s">
        <v>84</v>
      </c>
      <c r="E7357" s="6" t="s">
        <v>14000</v>
      </c>
      <c r="F7357" s="9"/>
    </row>
    <row r="7358" ht="33.75" customHeight="1">
      <c r="A7358" s="7">
        <v>272.0</v>
      </c>
      <c r="B7358" s="9" t="s">
        <v>13994</v>
      </c>
      <c r="C7358" s="9" t="s">
        <v>13995</v>
      </c>
      <c r="D7358" s="9" t="s">
        <v>87</v>
      </c>
      <c r="E7358" s="6" t="s">
        <v>14000</v>
      </c>
      <c r="F7358" s="9"/>
    </row>
    <row r="7359" ht="33.75" customHeight="1">
      <c r="A7359" s="7">
        <v>272.0</v>
      </c>
      <c r="B7359" s="9" t="s">
        <v>13994</v>
      </c>
      <c r="C7359" s="9" t="s">
        <v>13995</v>
      </c>
      <c r="D7359" s="9" t="s">
        <v>89</v>
      </c>
      <c r="E7359" s="6" t="s">
        <v>14001</v>
      </c>
      <c r="F7359" s="9"/>
    </row>
    <row r="7360" ht="33.75" customHeight="1">
      <c r="A7360" s="7">
        <v>272.0</v>
      </c>
      <c r="B7360" s="9" t="s">
        <v>13994</v>
      </c>
      <c r="C7360" s="9" t="s">
        <v>13995</v>
      </c>
      <c r="D7360" s="9" t="s">
        <v>91</v>
      </c>
      <c r="E7360" s="6" t="s">
        <v>14001</v>
      </c>
      <c r="F7360" s="9"/>
    </row>
    <row r="7361" ht="33.75" customHeight="1">
      <c r="A7361" s="7">
        <v>272.0</v>
      </c>
      <c r="B7361" s="9" t="s">
        <v>13994</v>
      </c>
      <c r="C7361" s="9" t="s">
        <v>13995</v>
      </c>
      <c r="D7361" s="9" t="s">
        <v>93</v>
      </c>
      <c r="E7361" s="6" t="s">
        <v>14000</v>
      </c>
      <c r="F7361" s="9"/>
    </row>
    <row r="7362" ht="33.75" customHeight="1">
      <c r="A7362" s="7">
        <v>272.0</v>
      </c>
      <c r="B7362" s="9" t="s">
        <v>13994</v>
      </c>
      <c r="C7362" s="9" t="s">
        <v>13995</v>
      </c>
      <c r="D7362" s="9" t="s">
        <v>95</v>
      </c>
      <c r="E7362" s="6" t="s">
        <v>14000</v>
      </c>
      <c r="F7362" s="9"/>
    </row>
    <row r="7363" ht="33.75" customHeight="1">
      <c r="A7363" s="7">
        <v>272.0</v>
      </c>
      <c r="B7363" s="9" t="s">
        <v>13994</v>
      </c>
      <c r="C7363" s="9" t="s">
        <v>13995</v>
      </c>
      <c r="D7363" s="9" t="s">
        <v>98</v>
      </c>
      <c r="E7363" s="6" t="s">
        <v>14000</v>
      </c>
      <c r="F7363" s="9"/>
    </row>
    <row r="7364" ht="33.75" customHeight="1">
      <c r="A7364" s="7">
        <v>272.0</v>
      </c>
      <c r="B7364" s="9" t="s">
        <v>13994</v>
      </c>
      <c r="C7364" s="9" t="s">
        <v>13995</v>
      </c>
      <c r="D7364" s="9" t="s">
        <v>99</v>
      </c>
      <c r="E7364" s="6" t="s">
        <v>14000</v>
      </c>
      <c r="F7364" s="9"/>
    </row>
    <row r="7365" ht="33.75" customHeight="1">
      <c r="A7365" s="7">
        <v>272.0</v>
      </c>
      <c r="B7365" s="9" t="s">
        <v>13994</v>
      </c>
      <c r="C7365" s="9" t="s">
        <v>13995</v>
      </c>
      <c r="D7365" s="9" t="s">
        <v>101</v>
      </c>
      <c r="E7365" s="6" t="s">
        <v>14000</v>
      </c>
      <c r="F7365" s="9"/>
    </row>
    <row r="7366" ht="33.75" customHeight="1">
      <c r="A7366" s="7">
        <v>272.0</v>
      </c>
      <c r="B7366" s="9" t="s">
        <v>13994</v>
      </c>
      <c r="C7366" s="9" t="s">
        <v>13995</v>
      </c>
      <c r="D7366" s="9" t="s">
        <v>105</v>
      </c>
      <c r="E7366" s="6" t="s">
        <v>14002</v>
      </c>
      <c r="F7366" s="9"/>
    </row>
    <row r="7367" ht="33.75" customHeight="1">
      <c r="A7367" s="7">
        <v>272.0</v>
      </c>
      <c r="B7367" s="9" t="s">
        <v>13994</v>
      </c>
      <c r="C7367" s="9" t="s">
        <v>13995</v>
      </c>
      <c r="D7367" s="9" t="s">
        <v>107</v>
      </c>
      <c r="E7367" s="6" t="s">
        <v>14003</v>
      </c>
      <c r="F7367" s="9"/>
    </row>
    <row r="7368" ht="33.75" customHeight="1">
      <c r="A7368" s="7">
        <v>272.0</v>
      </c>
      <c r="B7368" s="9" t="s">
        <v>13994</v>
      </c>
      <c r="C7368" s="9" t="s">
        <v>13995</v>
      </c>
      <c r="D7368" s="9" t="s">
        <v>109</v>
      </c>
      <c r="E7368" s="6" t="s">
        <v>14004</v>
      </c>
      <c r="F7368" s="9"/>
    </row>
    <row r="7369" ht="33.75" customHeight="1">
      <c r="A7369" s="7">
        <v>272.0</v>
      </c>
      <c r="B7369" s="9" t="s">
        <v>13994</v>
      </c>
      <c r="C7369" s="9" t="s">
        <v>13995</v>
      </c>
      <c r="D7369" s="9" t="s">
        <v>114</v>
      </c>
      <c r="E7369" s="6" t="s">
        <v>14002</v>
      </c>
      <c r="F7369" s="9"/>
    </row>
    <row r="7370" ht="33.75" customHeight="1">
      <c r="A7370" s="7">
        <v>272.0</v>
      </c>
      <c r="B7370" s="9" t="s">
        <v>13994</v>
      </c>
      <c r="C7370" s="9" t="s">
        <v>13995</v>
      </c>
      <c r="D7370" s="9" t="s">
        <v>117</v>
      </c>
      <c r="E7370" s="6" t="s">
        <v>14001</v>
      </c>
      <c r="F7370" s="9"/>
    </row>
    <row r="7371" ht="33.75" customHeight="1">
      <c r="A7371" s="7">
        <v>273.0</v>
      </c>
      <c r="B7371" s="9" t="s">
        <v>14006</v>
      </c>
      <c r="C7371" s="9" t="s">
        <v>14007</v>
      </c>
      <c r="D7371" s="9" t="s">
        <v>67</v>
      </c>
      <c r="E7371" s="6" t="s">
        <v>14008</v>
      </c>
      <c r="F7371" t="inlineStr" s="10">
        <is>
          <t xml:space="preserve">SEEDOT kiinnittyy puun oksaan päänsä päällä. Se imee kosteutta puusta roikkuessaan oksalla. Mitä enemmän vettä se juo, sitä kiiltävämmäksi tämän POKéMONin keho muuttuu. SEEDOT näyttää täsmälleen tammenterholta roikkuessaan puun oksalla. Se säikäyttää muita POKéMONEJA liikkumalla äkillisesti. Tämä POKéMON kiillottaa kehoaan kerran päivässä lehtien avulla. Se roikkuu oksilla ja imee ravinteita. Syötyään sen ruumis painaa niin paljon, että se putoaa maahan tömähdyksen saattelemana. Jos se pysyy paikallaan, sitä on mahdotonta erottaa oikeista pähkinöistä. Se nauttii yllättävistä ruokailuhetkistä. Kun se roikkuu puun oksalla, se näyttää aivan tammenterholta. Se nauttii muiden Pokémonien pelottelemisesta. Se kiinnittyy puun oksaan päänsä päällä. Voimakkaat tuulet voivat joskus kaataa sen. Jos se pysyy paikallaan, se näyttää aivan oikealta pähkinältä. Se nauttii yllättävistä ruokailua etsivistä Pokémoneista.</t>
        </is>
      </c>
    </row>
    <row r="7372" ht="33.75" customHeight="1">
      <c r="A7372" s="7">
        <v>273.0</v>
      </c>
      <c r="B7372" s="9" t="s">
        <v>14006</v>
      </c>
      <c r="C7372" s="9" t="s">
        <v>14007</v>
      </c>
      <c r="D7372" s="9" t="s">
        <v>71</v>
      </c>
      <c r="E7372" s="6" t="s">
        <v>14009</v>
      </c>
      <c r="F7372" s="9"/>
    </row>
    <row r="7373" ht="33.75" customHeight="1">
      <c r="A7373" s="7">
        <v>273.0</v>
      </c>
      <c r="B7373" s="9" t="s">
        <v>14006</v>
      </c>
      <c r="C7373" s="9" t="s">
        <v>14007</v>
      </c>
      <c r="D7373" s="9" t="s">
        <v>73</v>
      </c>
      <c r="E7373" s="6" t="s">
        <v>14010</v>
      </c>
      <c r="F7373" s="9"/>
    </row>
    <row r="7374" ht="33.75" customHeight="1">
      <c r="A7374" s="7">
        <v>273.0</v>
      </c>
      <c r="B7374" s="9" t="s">
        <v>14006</v>
      </c>
      <c r="C7374" s="9" t="s">
        <v>14007</v>
      </c>
      <c r="D7374" s="9" t="s">
        <v>75</v>
      </c>
      <c r="E7374" s="6" t="s">
        <v>14011</v>
      </c>
      <c r="F7374" s="9"/>
    </row>
    <row r="7375" ht="33.75" customHeight="1">
      <c r="A7375" s="7">
        <v>273.0</v>
      </c>
      <c r="B7375" s="9" t="s">
        <v>14006</v>
      </c>
      <c r="C7375" s="9" t="s">
        <v>14007</v>
      </c>
      <c r="D7375" s="9" t="s">
        <v>79</v>
      </c>
      <c r="E7375" s="6" t="s">
        <v>14011</v>
      </c>
      <c r="F7375" s="9"/>
    </row>
    <row r="7376" ht="33.75" customHeight="1">
      <c r="A7376" s="7">
        <v>273.0</v>
      </c>
      <c r="B7376" s="9" t="s">
        <v>14006</v>
      </c>
      <c r="C7376" s="9" t="s">
        <v>14007</v>
      </c>
      <c r="D7376" s="9" t="s">
        <v>81</v>
      </c>
      <c r="E7376" s="6" t="s">
        <v>14012</v>
      </c>
      <c r="F7376" s="9"/>
    </row>
    <row r="7377" ht="33.75" customHeight="1">
      <c r="A7377" s="7">
        <v>273.0</v>
      </c>
      <c r="B7377" s="9" t="s">
        <v>14006</v>
      </c>
      <c r="C7377" s="9" t="s">
        <v>14007</v>
      </c>
      <c r="D7377" s="9" t="s">
        <v>84</v>
      </c>
      <c r="E7377" s="6" t="s">
        <v>14012</v>
      </c>
      <c r="F7377" s="9"/>
    </row>
    <row r="7378" ht="33.75" customHeight="1">
      <c r="A7378" s="7">
        <v>273.0</v>
      </c>
      <c r="B7378" s="9" t="s">
        <v>14006</v>
      </c>
      <c r="C7378" s="9" t="s">
        <v>14007</v>
      </c>
      <c r="D7378" s="9" t="s">
        <v>87</v>
      </c>
      <c r="E7378" s="6" t="s">
        <v>14012</v>
      </c>
      <c r="F7378" s="9"/>
    </row>
    <row r="7379" ht="33.75" customHeight="1">
      <c r="A7379" s="7">
        <v>273.0</v>
      </c>
      <c r="B7379" s="9" t="s">
        <v>14006</v>
      </c>
      <c r="C7379" s="9" t="s">
        <v>14007</v>
      </c>
      <c r="D7379" s="9" t="s">
        <v>89</v>
      </c>
      <c r="E7379" s="6" t="s">
        <v>14013</v>
      </c>
      <c r="F7379" s="9"/>
    </row>
    <row r="7380" ht="33.75" customHeight="1">
      <c r="A7380" s="7">
        <v>273.0</v>
      </c>
      <c r="B7380" s="9" t="s">
        <v>14006</v>
      </c>
      <c r="C7380" s="9" t="s">
        <v>14007</v>
      </c>
      <c r="D7380" s="9" t="s">
        <v>91</v>
      </c>
      <c r="E7380" s="6" t="s">
        <v>14013</v>
      </c>
      <c r="F7380" s="9"/>
    </row>
    <row r="7381" ht="33.75" customHeight="1">
      <c r="A7381" s="7">
        <v>273.0</v>
      </c>
      <c r="B7381" s="9" t="s">
        <v>14006</v>
      </c>
      <c r="C7381" s="9" t="s">
        <v>14007</v>
      </c>
      <c r="D7381" s="9" t="s">
        <v>93</v>
      </c>
      <c r="E7381" s="6" t="s">
        <v>14012</v>
      </c>
      <c r="F7381" s="9"/>
    </row>
    <row r="7382" ht="33.75" customHeight="1">
      <c r="A7382" s="7">
        <v>273.0</v>
      </c>
      <c r="B7382" s="9" t="s">
        <v>14006</v>
      </c>
      <c r="C7382" s="9" t="s">
        <v>14007</v>
      </c>
      <c r="D7382" s="9" t="s">
        <v>95</v>
      </c>
      <c r="E7382" s="6" t="s">
        <v>14012</v>
      </c>
      <c r="F7382" s="9"/>
    </row>
    <row r="7383" ht="33.75" customHeight="1">
      <c r="A7383" s="7">
        <v>273.0</v>
      </c>
      <c r="B7383" s="9" t="s">
        <v>14006</v>
      </c>
      <c r="C7383" s="9" t="s">
        <v>14007</v>
      </c>
      <c r="D7383" s="9" t="s">
        <v>98</v>
      </c>
      <c r="E7383" s="6" t="s">
        <v>14012</v>
      </c>
      <c r="F7383" s="9"/>
    </row>
    <row r="7384" ht="33.75" customHeight="1">
      <c r="A7384" s="7">
        <v>273.0</v>
      </c>
      <c r="B7384" s="9" t="s">
        <v>14006</v>
      </c>
      <c r="C7384" s="9" t="s">
        <v>14007</v>
      </c>
      <c r="D7384" s="9" t="s">
        <v>99</v>
      </c>
      <c r="E7384" s="6" t="s">
        <v>14012</v>
      </c>
      <c r="F7384" s="9"/>
    </row>
    <row r="7385" ht="33.75" customHeight="1">
      <c r="A7385" s="7">
        <v>273.0</v>
      </c>
      <c r="B7385" s="9" t="s">
        <v>14006</v>
      </c>
      <c r="C7385" s="9" t="s">
        <v>14007</v>
      </c>
      <c r="D7385" s="9" t="s">
        <v>101</v>
      </c>
      <c r="E7385" s="6" t="s">
        <v>14013</v>
      </c>
      <c r="F7385" s="9"/>
    </row>
    <row r="7386" ht="33.75" customHeight="1">
      <c r="A7386" s="7">
        <v>273.0</v>
      </c>
      <c r="B7386" s="9" t="s">
        <v>14006</v>
      </c>
      <c r="C7386" s="9" t="s">
        <v>14007</v>
      </c>
      <c r="D7386" s="9" t="s">
        <v>105</v>
      </c>
      <c r="E7386" s="6" t="s">
        <v>14012</v>
      </c>
      <c r="F7386" s="9"/>
    </row>
    <row r="7387" ht="33.75" customHeight="1">
      <c r="A7387" s="7">
        <v>273.0</v>
      </c>
      <c r="B7387" s="9" t="s">
        <v>14006</v>
      </c>
      <c r="C7387" s="9" t="s">
        <v>14007</v>
      </c>
      <c r="D7387" s="9" t="s">
        <v>107</v>
      </c>
      <c r="E7387" s="6" t="s">
        <v>14014</v>
      </c>
      <c r="F7387" s="9"/>
    </row>
    <row r="7388" ht="33.75" customHeight="1">
      <c r="A7388" s="7">
        <v>273.0</v>
      </c>
      <c r="B7388" s="9" t="s">
        <v>14006</v>
      </c>
      <c r="C7388" s="9" t="s">
        <v>14007</v>
      </c>
      <c r="D7388" s="9" t="s">
        <v>109</v>
      </c>
      <c r="E7388" s="6" t="s">
        <v>14015</v>
      </c>
      <c r="F7388" s="9"/>
    </row>
    <row r="7389" ht="33.75" customHeight="1">
      <c r="A7389" s="7">
        <v>273.0</v>
      </c>
      <c r="B7389" s="9" t="s">
        <v>14006</v>
      </c>
      <c r="C7389" s="9" t="s">
        <v>14007</v>
      </c>
      <c r="D7389" s="9" t="s">
        <v>114</v>
      </c>
      <c r="E7389" s="6" t="s">
        <v>14016</v>
      </c>
      <c r="F7389" s="9"/>
    </row>
    <row r="7390" ht="33.75" customHeight="1">
      <c r="A7390" s="7">
        <v>273.0</v>
      </c>
      <c r="B7390" s="9" t="s">
        <v>14006</v>
      </c>
      <c r="C7390" s="9" t="s">
        <v>14007</v>
      </c>
      <c r="D7390" s="9" t="s">
        <v>117</v>
      </c>
      <c r="E7390" s="6" t="s">
        <v>14013</v>
      </c>
      <c r="F7390" s="9"/>
    </row>
    <row r="7391" ht="33.75" customHeight="1">
      <c r="A7391" s="7">
        <v>274.0</v>
      </c>
      <c r="B7391" s="9" t="s">
        <v>14017</v>
      </c>
      <c r="C7391" s="9" t="s">
        <v>14018</v>
      </c>
      <c r="D7391" s="9" t="s">
        <v>67</v>
      </c>
      <c r="E7391" s="6" t="s">
        <v>14019</v>
      </c>
      <c r="F7391" t="inlineStr" s="10">
        <is>
          <t xml:space="preserve">NUZLEAFit elävät tiheästi umpeenkasvaneissa metsissä. Ne uskaltautuvat toisinaan ulos metsästä säikäyttääkseen ihmisiä. Tämä POKéMON ei pidä siitä, että sen pitkää kuonoa puristetaan. Tämä POKéMON vetää irti päästään olevan lehden ja tekee siitä huilun. NUZLEAFin huilun ääni herättää pelkoa ja epävarmuutta metsään eksyneiden ihmisten sydämissä. Metsässä asuva POKéMON, joka on taitava kiipeämään puihin. Sen pitkä ja terävä nenä on sen heikko kohta. Se menettää voimansa, jos nenästä tarttuu kiinni. Ne elävät suurten puiden koloissa. NUZLEAFin ruohohuilun ääni täyttää kuulijat kauhulla. Sen ruohohuilun ääni tekee kuulijansa levottomaksi. Se asuu metsien siimeksessä. Se elää metsien syvissä uumenissa. Päässään oleva lehti tekee siitä huilun, jonka laulu tekee kuulijat levottomiksi. Nuzleaf elää tiheästi umpeenkasvaneissa metsissä.</t>
        </is>
      </c>
    </row>
    <row r="7392" ht="33.75" customHeight="1">
      <c r="A7392" s="7">
        <v>274.0</v>
      </c>
      <c r="B7392" s="9" t="s">
        <v>14017</v>
      </c>
      <c r="C7392" s="9" t="s">
        <v>14018</v>
      </c>
      <c r="D7392" s="9" t="s">
        <v>71</v>
      </c>
      <c r="E7392" s="6" t="s">
        <v>14020</v>
      </c>
      <c r="F7392" s="9"/>
    </row>
    <row r="7393" ht="33.75" customHeight="1">
      <c r="A7393" s="7">
        <v>274.0</v>
      </c>
      <c r="B7393" s="9" t="s">
        <v>14017</v>
      </c>
      <c r="C7393" s="9" t="s">
        <v>14018</v>
      </c>
      <c r="D7393" s="9" t="s">
        <v>73</v>
      </c>
      <c r="E7393" s="6" t="s">
        <v>14021</v>
      </c>
      <c r="F7393" s="9"/>
    </row>
    <row r="7394" ht="33.75" customHeight="1">
      <c r="A7394" s="7">
        <v>274.0</v>
      </c>
      <c r="B7394" s="9" t="s">
        <v>14017</v>
      </c>
      <c r="C7394" s="9" t="s">
        <v>14018</v>
      </c>
      <c r="D7394" s="9" t="s">
        <v>75</v>
      </c>
      <c r="E7394" s="6" t="s">
        <v>14022</v>
      </c>
      <c r="F7394" s="9"/>
    </row>
    <row r="7395" ht="33.75" customHeight="1">
      <c r="A7395" s="7">
        <v>274.0</v>
      </c>
      <c r="B7395" s="9" t="s">
        <v>14017</v>
      </c>
      <c r="C7395" s="9" t="s">
        <v>14018</v>
      </c>
      <c r="D7395" s="9" t="s">
        <v>79</v>
      </c>
      <c r="E7395" s="6" t="s">
        <v>14022</v>
      </c>
      <c r="F7395" s="9"/>
    </row>
    <row r="7396" ht="33.75" customHeight="1">
      <c r="A7396" s="7">
        <v>274.0</v>
      </c>
      <c r="B7396" s="9" t="s">
        <v>14017</v>
      </c>
      <c r="C7396" s="9" t="s">
        <v>14018</v>
      </c>
      <c r="D7396" s="9" t="s">
        <v>81</v>
      </c>
      <c r="E7396" s="6" t="s">
        <v>14023</v>
      </c>
      <c r="F7396" s="9"/>
    </row>
    <row r="7397" ht="33.75" customHeight="1">
      <c r="A7397" s="7">
        <v>274.0</v>
      </c>
      <c r="B7397" s="9" t="s">
        <v>14017</v>
      </c>
      <c r="C7397" s="9" t="s">
        <v>14018</v>
      </c>
      <c r="D7397" s="9" t="s">
        <v>84</v>
      </c>
      <c r="E7397" s="6" t="s">
        <v>14023</v>
      </c>
      <c r="F7397" s="9"/>
    </row>
    <row r="7398" ht="33.75" customHeight="1">
      <c r="A7398" s="7">
        <v>274.0</v>
      </c>
      <c r="B7398" s="9" t="s">
        <v>14017</v>
      </c>
      <c r="C7398" s="9" t="s">
        <v>14018</v>
      </c>
      <c r="D7398" s="9" t="s">
        <v>87</v>
      </c>
      <c r="E7398" s="6" t="s">
        <v>14023</v>
      </c>
      <c r="F7398" s="9"/>
    </row>
    <row r="7399" ht="33.75" customHeight="1">
      <c r="A7399" s="7">
        <v>274.0</v>
      </c>
      <c r="B7399" s="9" t="s">
        <v>14017</v>
      </c>
      <c r="C7399" s="9" t="s">
        <v>14018</v>
      </c>
      <c r="D7399" s="9" t="s">
        <v>89</v>
      </c>
      <c r="E7399" s="6" t="s">
        <v>14024</v>
      </c>
      <c r="F7399" s="9"/>
    </row>
    <row r="7400" ht="33.75" customHeight="1">
      <c r="A7400" s="7">
        <v>274.0</v>
      </c>
      <c r="B7400" s="9" t="s">
        <v>14017</v>
      </c>
      <c r="C7400" s="9" t="s">
        <v>14018</v>
      </c>
      <c r="D7400" s="9" t="s">
        <v>91</v>
      </c>
      <c r="E7400" s="6" t="s">
        <v>14024</v>
      </c>
      <c r="F7400" s="9"/>
    </row>
    <row r="7401" ht="33.75" customHeight="1">
      <c r="A7401" s="7">
        <v>274.0</v>
      </c>
      <c r="B7401" s="9" t="s">
        <v>14017</v>
      </c>
      <c r="C7401" s="9" t="s">
        <v>14018</v>
      </c>
      <c r="D7401" s="9" t="s">
        <v>93</v>
      </c>
      <c r="E7401" s="6" t="s">
        <v>14023</v>
      </c>
      <c r="F7401" s="9"/>
    </row>
    <row r="7402" ht="33.75" customHeight="1">
      <c r="A7402" s="7">
        <v>274.0</v>
      </c>
      <c r="B7402" s="9" t="s">
        <v>14017</v>
      </c>
      <c r="C7402" s="9" t="s">
        <v>14018</v>
      </c>
      <c r="D7402" s="9" t="s">
        <v>95</v>
      </c>
      <c r="E7402" s="6" t="s">
        <v>14023</v>
      </c>
      <c r="F7402" s="9"/>
    </row>
    <row r="7403" ht="33.75" customHeight="1">
      <c r="A7403" s="7">
        <v>274.0</v>
      </c>
      <c r="B7403" s="9" t="s">
        <v>14017</v>
      </c>
      <c r="C7403" s="9" t="s">
        <v>14018</v>
      </c>
      <c r="D7403" s="9" t="s">
        <v>98</v>
      </c>
      <c r="E7403" s="6" t="s">
        <v>14023</v>
      </c>
      <c r="F7403" s="9"/>
    </row>
    <row r="7404" ht="33.75" customHeight="1">
      <c r="A7404" s="7">
        <v>274.0</v>
      </c>
      <c r="B7404" s="9" t="s">
        <v>14017</v>
      </c>
      <c r="C7404" s="9" t="s">
        <v>14018</v>
      </c>
      <c r="D7404" s="9" t="s">
        <v>99</v>
      </c>
      <c r="E7404" s="6" t="s">
        <v>14023</v>
      </c>
      <c r="F7404" s="9"/>
    </row>
    <row r="7405" ht="33.75" customHeight="1">
      <c r="A7405" s="7">
        <v>274.0</v>
      </c>
      <c r="B7405" s="9" t="s">
        <v>14017</v>
      </c>
      <c r="C7405" s="9" t="s">
        <v>14018</v>
      </c>
      <c r="D7405" s="9" t="s">
        <v>101</v>
      </c>
      <c r="E7405" s="6" t="s">
        <v>14023</v>
      </c>
      <c r="F7405" s="9"/>
    </row>
    <row r="7406" ht="33.75" customHeight="1">
      <c r="A7406" s="7">
        <v>274.0</v>
      </c>
      <c r="B7406" s="9" t="s">
        <v>14017</v>
      </c>
      <c r="C7406" s="9" t="s">
        <v>14018</v>
      </c>
      <c r="D7406" s="9" t="s">
        <v>105</v>
      </c>
      <c r="E7406" s="6" t="s">
        <v>14024</v>
      </c>
      <c r="F7406" s="9"/>
    </row>
    <row r="7407" ht="33.75" customHeight="1">
      <c r="A7407" s="7">
        <v>274.0</v>
      </c>
      <c r="B7407" s="9" t="s">
        <v>14017</v>
      </c>
      <c r="C7407" s="9" t="s">
        <v>14018</v>
      </c>
      <c r="D7407" s="9" t="s">
        <v>107</v>
      </c>
      <c r="E7407" s="6" t="s">
        <v>14025</v>
      </c>
      <c r="F7407" s="9"/>
    </row>
    <row r="7408" ht="33.75" customHeight="1">
      <c r="A7408" s="7">
        <v>274.0</v>
      </c>
      <c r="B7408" s="9" t="s">
        <v>14017</v>
      </c>
      <c r="C7408" s="9" t="s">
        <v>14018</v>
      </c>
      <c r="D7408" s="9" t="s">
        <v>109</v>
      </c>
      <c r="E7408" s="6" t="s">
        <v>14027</v>
      </c>
      <c r="F7408" s="9"/>
    </row>
    <row r="7409" ht="33.75" customHeight="1">
      <c r="A7409" s="7">
        <v>274.0</v>
      </c>
      <c r="B7409" s="9" t="s">
        <v>14017</v>
      </c>
      <c r="C7409" s="9" t="s">
        <v>14018</v>
      </c>
      <c r="D7409" s="9" t="s">
        <v>114</v>
      </c>
      <c r="E7409" s="6" t="s">
        <v>14024</v>
      </c>
      <c r="F7409" s="9"/>
    </row>
    <row r="7410" ht="33.75" customHeight="1">
      <c r="A7410" s="7">
        <v>274.0</v>
      </c>
      <c r="B7410" s="9" t="s">
        <v>14017</v>
      </c>
      <c r="C7410" s="9" t="s">
        <v>14018</v>
      </c>
      <c r="D7410" s="9" t="s">
        <v>117</v>
      </c>
      <c r="E7410" s="6" t="s">
        <v>14028</v>
      </c>
      <c r="F7410" s="9"/>
    </row>
    <row r="7411" ht="33.75" customHeight="1">
      <c r="A7411" s="7">
        <v>275.0</v>
      </c>
      <c r="B7411" s="9" t="s">
        <v>14029</v>
      </c>
      <c r="C7411" s="9" t="s">
        <v>14030</v>
      </c>
      <c r="D7411" s="9" t="s">
        <v>67</v>
      </c>
      <c r="E7411" s="6" t="s">
        <v>14031</v>
      </c>
      <c r="F7411" t="inlineStr" s="10">
        <is>
          <t xml:space="preserve">SHIFTRY on mystinen POKéMON, jonka sanotaan elävän yli tuhat vuotta vanhojen korkeiden puiden latvoissa. Se luo mahtavia myrskyjä kantamiensa viuhkojen avulla. SHIFTRYn suuret tuulettimet tuottavat mahtavia tuulenpuuskia, joiden nopeus on lähes 30 metriä sekunnissa. Nouseva tuuli puhaltaa kaiken pois. Tämä POKéMON haluaa elää hiljaa metsien syvimmässä rauhassa. Sen sanotaan saapuvan kylmien, talvisten tuulien mukana. Tätä metsien suojelijana pelättyä POKéMONia on muinoin pidetty syvässä metsässä, jonne ihmiset eivät uskaltaudu. POKéMON, jota pelättiin metsänvartijana. Se pystyy lukemaan vihollisen ajatukset ja ryhtymään ennaltaehkäiseviin toimiin. Läpyttelemällä lehtiviuhkaansa se voi nostattaa 30 metrin sekuntivauhtia olevia tuulenpuuskia, jotka voivat maan tasalle kaataa taloja. Se elää hiljaa syvässä metsässä. Sen sanotaan luovan viileitä talvituulia pitämillään viuhkoilla. Läpyttelemällä lehtiviuhkaansa se voi nostattaa 30 metrin tuulenpuuskia sekunnissa, jotka voivat tasoittaa taloja. Shiftry on salaperäinen Pokémon, jonka sanotaan elävän yli tuhat vuotta vanhojen korkeiden puiden latvoissa. Se luo mahtavia myrskyjä pitelemillään viuhkoilla. Shiftryn suuret viuhkat tuottavat mahtavia tuulenpuuskia, joiden nopeus on lähes 30 metriä sekunnissa.</t>
        </is>
      </c>
    </row>
    <row r="7412" ht="33.75" customHeight="1">
      <c r="A7412" s="7">
        <v>275.0</v>
      </c>
      <c r="B7412" s="9" t="s">
        <v>14029</v>
      </c>
      <c r="C7412" s="9" t="s">
        <v>14030</v>
      </c>
      <c r="D7412" s="9" t="s">
        <v>71</v>
      </c>
      <c r="E7412" s="6" t="s">
        <v>14032</v>
      </c>
      <c r="F7412" s="9"/>
    </row>
    <row r="7413" ht="33.75" customHeight="1">
      <c r="A7413" s="7">
        <v>275.0</v>
      </c>
      <c r="B7413" s="9" t="s">
        <v>14029</v>
      </c>
      <c r="C7413" s="9" t="s">
        <v>14030</v>
      </c>
      <c r="D7413" s="9" t="s">
        <v>73</v>
      </c>
      <c r="E7413" s="6" t="s">
        <v>14033</v>
      </c>
      <c r="F7413" s="9"/>
    </row>
    <row r="7414" ht="33.75" customHeight="1">
      <c r="A7414" s="7">
        <v>275.0</v>
      </c>
      <c r="B7414" s="9" t="s">
        <v>14029</v>
      </c>
      <c r="C7414" s="9" t="s">
        <v>14030</v>
      </c>
      <c r="D7414" s="9" t="s">
        <v>75</v>
      </c>
      <c r="E7414" s="6" t="s">
        <v>14034</v>
      </c>
      <c r="F7414" s="9"/>
    </row>
    <row r="7415" ht="33.75" customHeight="1">
      <c r="A7415" s="7">
        <v>275.0</v>
      </c>
      <c r="B7415" s="9" t="s">
        <v>14029</v>
      </c>
      <c r="C7415" s="9" t="s">
        <v>14030</v>
      </c>
      <c r="D7415" s="9" t="s">
        <v>79</v>
      </c>
      <c r="E7415" s="6" t="s">
        <v>14034</v>
      </c>
      <c r="F7415" s="9"/>
    </row>
    <row r="7416" ht="33.75" customHeight="1">
      <c r="A7416" s="7">
        <v>275.0</v>
      </c>
      <c r="B7416" s="9" t="s">
        <v>14029</v>
      </c>
      <c r="C7416" s="9" t="s">
        <v>14030</v>
      </c>
      <c r="D7416" s="9" t="s">
        <v>81</v>
      </c>
      <c r="E7416" s="6" t="s">
        <v>14035</v>
      </c>
      <c r="F7416" s="9"/>
    </row>
    <row r="7417" ht="33.75" customHeight="1">
      <c r="A7417" s="7">
        <v>275.0</v>
      </c>
      <c r="B7417" s="9" t="s">
        <v>14029</v>
      </c>
      <c r="C7417" s="9" t="s">
        <v>14030</v>
      </c>
      <c r="D7417" s="9" t="s">
        <v>84</v>
      </c>
      <c r="E7417" s="6" t="s">
        <v>14035</v>
      </c>
      <c r="F7417" s="9"/>
    </row>
    <row r="7418" ht="33.75" customHeight="1">
      <c r="A7418" s="7">
        <v>275.0</v>
      </c>
      <c r="B7418" s="9" t="s">
        <v>14029</v>
      </c>
      <c r="C7418" s="9" t="s">
        <v>14030</v>
      </c>
      <c r="D7418" s="9" t="s">
        <v>87</v>
      </c>
      <c r="E7418" s="6" t="s">
        <v>14035</v>
      </c>
      <c r="F7418" s="9"/>
    </row>
    <row r="7419" ht="33.75" customHeight="1">
      <c r="A7419" s="7">
        <v>275.0</v>
      </c>
      <c r="B7419" s="9" t="s">
        <v>14029</v>
      </c>
      <c r="C7419" s="9" t="s">
        <v>14030</v>
      </c>
      <c r="D7419" s="9" t="s">
        <v>89</v>
      </c>
      <c r="E7419" s="6" t="s">
        <v>14036</v>
      </c>
      <c r="F7419" s="9"/>
    </row>
    <row r="7420" ht="33.75" customHeight="1">
      <c r="A7420" s="7">
        <v>275.0</v>
      </c>
      <c r="B7420" s="9" t="s">
        <v>14029</v>
      </c>
      <c r="C7420" s="9" t="s">
        <v>14030</v>
      </c>
      <c r="D7420" s="9" t="s">
        <v>91</v>
      </c>
      <c r="E7420" s="6" t="s">
        <v>14036</v>
      </c>
      <c r="F7420" s="9"/>
    </row>
    <row r="7421" ht="33.75" customHeight="1">
      <c r="A7421" s="7">
        <v>275.0</v>
      </c>
      <c r="B7421" s="9" t="s">
        <v>14029</v>
      </c>
      <c r="C7421" s="9" t="s">
        <v>14030</v>
      </c>
      <c r="D7421" s="9" t="s">
        <v>93</v>
      </c>
      <c r="E7421" s="6" t="s">
        <v>14035</v>
      </c>
      <c r="F7421" s="9"/>
    </row>
    <row r="7422" ht="33.75" customHeight="1">
      <c r="A7422" s="7">
        <v>275.0</v>
      </c>
      <c r="B7422" s="9" t="s">
        <v>14029</v>
      </c>
      <c r="C7422" s="9" t="s">
        <v>14030</v>
      </c>
      <c r="D7422" s="9" t="s">
        <v>95</v>
      </c>
      <c r="E7422" s="6" t="s">
        <v>14035</v>
      </c>
      <c r="F7422" s="9"/>
    </row>
    <row r="7423" ht="33.75" customHeight="1">
      <c r="A7423" s="7">
        <v>275.0</v>
      </c>
      <c r="B7423" s="9" t="s">
        <v>14029</v>
      </c>
      <c r="C7423" s="9" t="s">
        <v>14030</v>
      </c>
      <c r="D7423" s="9" t="s">
        <v>98</v>
      </c>
      <c r="E7423" s="6" t="s">
        <v>14035</v>
      </c>
      <c r="F7423" s="9"/>
    </row>
    <row r="7424" ht="33.75" customHeight="1">
      <c r="A7424" s="7">
        <v>275.0</v>
      </c>
      <c r="B7424" s="9" t="s">
        <v>14029</v>
      </c>
      <c r="C7424" s="9" t="s">
        <v>14030</v>
      </c>
      <c r="D7424" s="9" t="s">
        <v>99</v>
      </c>
      <c r="E7424" s="6" t="s">
        <v>14035</v>
      </c>
      <c r="F7424" s="9"/>
    </row>
    <row r="7425" ht="33.75" customHeight="1">
      <c r="A7425" s="7">
        <v>275.0</v>
      </c>
      <c r="B7425" s="9" t="s">
        <v>14029</v>
      </c>
      <c r="C7425" s="9" t="s">
        <v>14030</v>
      </c>
      <c r="D7425" s="9" t="s">
        <v>101</v>
      </c>
      <c r="E7425" s="6" t="s">
        <v>14037</v>
      </c>
      <c r="F7425" s="9"/>
    </row>
    <row r="7426" ht="33.75" customHeight="1">
      <c r="A7426" s="7">
        <v>275.0</v>
      </c>
      <c r="B7426" s="9" t="s">
        <v>14029</v>
      </c>
      <c r="C7426" s="9" t="s">
        <v>14030</v>
      </c>
      <c r="D7426" s="9" t="s">
        <v>105</v>
      </c>
      <c r="E7426" s="6" t="s">
        <v>14038</v>
      </c>
      <c r="F7426" s="9"/>
    </row>
    <row r="7427" ht="33.75" customHeight="1">
      <c r="A7427" s="7">
        <v>275.0</v>
      </c>
      <c r="B7427" s="9" t="s">
        <v>14029</v>
      </c>
      <c r="C7427" s="9" t="s">
        <v>14030</v>
      </c>
      <c r="D7427" s="9" t="s">
        <v>107</v>
      </c>
      <c r="E7427" s="6" t="s">
        <v>14039</v>
      </c>
      <c r="F7427" s="9"/>
    </row>
    <row r="7428" ht="33.75" customHeight="1">
      <c r="A7428" s="7">
        <v>275.0</v>
      </c>
      <c r="B7428" s="9" t="s">
        <v>14029</v>
      </c>
      <c r="C7428" s="9" t="s">
        <v>14030</v>
      </c>
      <c r="D7428" s="9" t="s">
        <v>109</v>
      </c>
      <c r="E7428" s="6" t="s">
        <v>14040</v>
      </c>
      <c r="F7428" s="9"/>
    </row>
    <row r="7429" ht="33.75" customHeight="1">
      <c r="A7429" s="7">
        <v>275.0</v>
      </c>
      <c r="B7429" s="9" t="s">
        <v>14029</v>
      </c>
      <c r="C7429" s="9" t="s">
        <v>14030</v>
      </c>
      <c r="D7429" s="9" t="s">
        <v>114</v>
      </c>
      <c r="E7429" s="6" t="s">
        <v>14037</v>
      </c>
      <c r="F7429" s="9"/>
    </row>
    <row r="7430" ht="33.75" customHeight="1">
      <c r="A7430" s="7">
        <v>275.0</v>
      </c>
      <c r="B7430" s="9" t="s">
        <v>14029</v>
      </c>
      <c r="C7430" s="9" t="s">
        <v>14030</v>
      </c>
      <c r="D7430" s="9" t="s">
        <v>117</v>
      </c>
      <c r="E7430" s="6" t="s">
        <v>14036</v>
      </c>
      <c r="F7430" s="9"/>
    </row>
    <row r="7431" ht="33.75" customHeight="1">
      <c r="A7431" s="7">
        <v>276.0</v>
      </c>
      <c r="B7431" s="9" t="s">
        <v>14041</v>
      </c>
      <c r="C7431" s="9" t="s">
        <v>14042</v>
      </c>
      <c r="D7431" s="9" t="s">
        <v>67</v>
      </c>
      <c r="E7431" s="6" t="s">
        <v>14043</v>
      </c>
      <c r="F7431" t="inlineStr" s="10">
        <is>
          <t xml:space="preserve">TAILLOW puolustaa rohkeasti vihollisia vastaan, olivatpa ne kuinka vahvoja tahansa. Tämä urhea POKéMON pysyy uhmakkaana jopa tappion jälkeen. Toisaalta se itkee äänekkäästi, jos sillä on nälkä. HÄNTÄ on nuori – se on juuri lähtenyt pesästään. Tämän seurauksena siitä tulee joskus yksinäinen ja se itkee öisin. Tämä POKéMON syö metsissä eläviä WURMPLE-hyönteisiä. Vaikka se on pieni, se on erittäin rohkea. Se ottaa yhteen suuremman SKARMORYn kanssa tasavertaisin joukoin. Sen tahto kuitenkin heikkenee, jos se tulee nälkäiseksi. Se ei pidä kylmistä vuodenajoista. Ne muuttavat muille maille etsimään lämpöä ja lentävät yli 290 kilometriä päivässä. Sillä on rohkea luonne, jonka ansiosta se uskaltaa ottaa yhteen kovien vihollisten kanssa. Se lentää etsien lämpimiä ilmastoja. Kun ilma kylmenee, ne muuttavat ja lentävät yli 290 kilometriä päivässä. Ne metsästävät maukasta saalista. Toisaalta se itkee äänekkäästi, jos se tulee nälkäiseksi. Taillow on nuori – se on juuri lähtenyt pesästään. Tämä Pokémon syö metsissä eläviä wurmpleja.</t>
        </is>
      </c>
    </row>
    <row r="7432" ht="33.75" customHeight="1">
      <c r="A7432" s="7">
        <v>276.0</v>
      </c>
      <c r="B7432" s="9" t="s">
        <v>14041</v>
      </c>
      <c r="C7432" s="9" t="s">
        <v>14042</v>
      </c>
      <c r="D7432" s="9" t="s">
        <v>71</v>
      </c>
      <c r="E7432" s="6" t="s">
        <v>14044</v>
      </c>
      <c r="F7432" s="9"/>
    </row>
    <row r="7433" ht="33.75" customHeight="1">
      <c r="A7433" s="7">
        <v>276.0</v>
      </c>
      <c r="B7433" s="9" t="s">
        <v>14041</v>
      </c>
      <c r="C7433" s="9" t="s">
        <v>14042</v>
      </c>
      <c r="D7433" s="9" t="s">
        <v>73</v>
      </c>
      <c r="E7433" s="6" t="s">
        <v>14045</v>
      </c>
      <c r="F7433" s="9"/>
    </row>
    <row r="7434" ht="33.75" customHeight="1">
      <c r="A7434" s="7">
        <v>276.0</v>
      </c>
      <c r="B7434" s="9" t="s">
        <v>14041</v>
      </c>
      <c r="C7434" s="9" t="s">
        <v>14042</v>
      </c>
      <c r="D7434" s="9" t="s">
        <v>75</v>
      </c>
      <c r="E7434" s="6" t="s">
        <v>14046</v>
      </c>
      <c r="F7434" s="9"/>
    </row>
    <row r="7435" ht="33.75" customHeight="1">
      <c r="A7435" s="7">
        <v>276.0</v>
      </c>
      <c r="B7435" s="9" t="s">
        <v>14041</v>
      </c>
      <c r="C7435" s="9" t="s">
        <v>14042</v>
      </c>
      <c r="D7435" s="9" t="s">
        <v>79</v>
      </c>
      <c r="E7435" s="6" t="s">
        <v>14046</v>
      </c>
      <c r="F7435" s="9"/>
    </row>
    <row r="7436" ht="33.75" customHeight="1">
      <c r="A7436" s="7">
        <v>276.0</v>
      </c>
      <c r="B7436" s="9" t="s">
        <v>14041</v>
      </c>
      <c r="C7436" s="9" t="s">
        <v>14042</v>
      </c>
      <c r="D7436" s="9" t="s">
        <v>81</v>
      </c>
      <c r="E7436" s="6" t="s">
        <v>14047</v>
      </c>
      <c r="F7436" s="9"/>
    </row>
    <row r="7437" ht="33.75" customHeight="1">
      <c r="A7437" s="7">
        <v>276.0</v>
      </c>
      <c r="B7437" s="9" t="s">
        <v>14041</v>
      </c>
      <c r="C7437" s="9" t="s">
        <v>14042</v>
      </c>
      <c r="D7437" s="9" t="s">
        <v>84</v>
      </c>
      <c r="E7437" s="6" t="s">
        <v>14047</v>
      </c>
      <c r="F7437" s="9"/>
    </row>
    <row r="7438" ht="33.75" customHeight="1">
      <c r="A7438" s="7">
        <v>276.0</v>
      </c>
      <c r="B7438" s="9" t="s">
        <v>14041</v>
      </c>
      <c r="C7438" s="9" t="s">
        <v>14042</v>
      </c>
      <c r="D7438" s="9" t="s">
        <v>87</v>
      </c>
      <c r="E7438" s="6" t="s">
        <v>14047</v>
      </c>
      <c r="F7438" s="9"/>
    </row>
    <row r="7439" ht="33.75" customHeight="1">
      <c r="A7439" s="7">
        <v>276.0</v>
      </c>
      <c r="B7439" s="9" t="s">
        <v>14041</v>
      </c>
      <c r="C7439" s="9" t="s">
        <v>14042</v>
      </c>
      <c r="D7439" s="9" t="s">
        <v>89</v>
      </c>
      <c r="E7439" s="6" t="s">
        <v>14048</v>
      </c>
      <c r="F7439" s="9"/>
    </row>
    <row r="7440" ht="33.75" customHeight="1">
      <c r="A7440" s="7">
        <v>276.0</v>
      </c>
      <c r="B7440" s="9" t="s">
        <v>14041</v>
      </c>
      <c r="C7440" s="9" t="s">
        <v>14042</v>
      </c>
      <c r="D7440" s="9" t="s">
        <v>91</v>
      </c>
      <c r="E7440" s="6" t="s">
        <v>14048</v>
      </c>
      <c r="F7440" s="9"/>
    </row>
    <row r="7441" ht="33.75" customHeight="1">
      <c r="A7441" s="7">
        <v>276.0</v>
      </c>
      <c r="B7441" s="9" t="s">
        <v>14041</v>
      </c>
      <c r="C7441" s="9" t="s">
        <v>14042</v>
      </c>
      <c r="D7441" s="9" t="s">
        <v>93</v>
      </c>
      <c r="E7441" s="6" t="s">
        <v>14047</v>
      </c>
      <c r="F7441" s="9"/>
    </row>
    <row r="7442" ht="33.75" customHeight="1">
      <c r="A7442" s="7">
        <v>276.0</v>
      </c>
      <c r="B7442" s="9" t="s">
        <v>14041</v>
      </c>
      <c r="C7442" s="9" t="s">
        <v>14042</v>
      </c>
      <c r="D7442" s="9" t="s">
        <v>95</v>
      </c>
      <c r="E7442" s="6" t="s">
        <v>14047</v>
      </c>
      <c r="F7442" s="9"/>
    </row>
    <row r="7443" ht="33.75" customHeight="1">
      <c r="A7443" s="7">
        <v>276.0</v>
      </c>
      <c r="B7443" s="9" t="s">
        <v>14041</v>
      </c>
      <c r="C7443" s="9" t="s">
        <v>14042</v>
      </c>
      <c r="D7443" s="9" t="s">
        <v>98</v>
      </c>
      <c r="E7443" s="6" t="s">
        <v>14047</v>
      </c>
      <c r="F7443" s="9"/>
    </row>
    <row r="7444" ht="33.75" customHeight="1">
      <c r="A7444" s="7">
        <v>276.0</v>
      </c>
      <c r="B7444" s="9" t="s">
        <v>14041</v>
      </c>
      <c r="C7444" s="9" t="s">
        <v>14042</v>
      </c>
      <c r="D7444" s="9" t="s">
        <v>99</v>
      </c>
      <c r="E7444" s="6" t="s">
        <v>14047</v>
      </c>
      <c r="F7444" s="9"/>
    </row>
    <row r="7445" ht="33.75" customHeight="1">
      <c r="A7445" s="7">
        <v>276.0</v>
      </c>
      <c r="B7445" s="9" t="s">
        <v>14041</v>
      </c>
      <c r="C7445" s="9" t="s">
        <v>14042</v>
      </c>
      <c r="D7445" s="9" t="s">
        <v>101</v>
      </c>
      <c r="E7445" s="6" t="s">
        <v>14047</v>
      </c>
      <c r="F7445" s="9"/>
    </row>
    <row r="7446" ht="33.75" customHeight="1">
      <c r="A7446" s="7">
        <v>276.0</v>
      </c>
      <c r="B7446" s="9" t="s">
        <v>14041</v>
      </c>
      <c r="C7446" s="9" t="s">
        <v>14042</v>
      </c>
      <c r="D7446" s="9" t="s">
        <v>105</v>
      </c>
      <c r="E7446" s="6" t="s">
        <v>14046</v>
      </c>
      <c r="F7446" s="9"/>
    </row>
    <row r="7447" ht="33.75" customHeight="1">
      <c r="A7447" s="7">
        <v>276.0</v>
      </c>
      <c r="B7447" s="9" t="s">
        <v>14041</v>
      </c>
      <c r="C7447" s="9" t="s">
        <v>14042</v>
      </c>
      <c r="D7447" s="9" t="s">
        <v>107</v>
      </c>
      <c r="E7447" s="6" t="s">
        <v>14049</v>
      </c>
      <c r="F7447" s="9"/>
    </row>
    <row r="7448" ht="33.75" customHeight="1">
      <c r="A7448" s="7">
        <v>276.0</v>
      </c>
      <c r="B7448" s="9" t="s">
        <v>14041</v>
      </c>
      <c r="C7448" s="9" t="s">
        <v>14042</v>
      </c>
      <c r="D7448" s="9" t="s">
        <v>109</v>
      </c>
      <c r="E7448" s="6" t="s">
        <v>14050</v>
      </c>
      <c r="F7448" s="9"/>
    </row>
    <row r="7449" ht="33.75" customHeight="1">
      <c r="A7449" s="7">
        <v>277.0</v>
      </c>
      <c r="B7449" s="9" t="s">
        <v>14051</v>
      </c>
      <c r="C7449" s="9" t="s">
        <v>14052</v>
      </c>
      <c r="D7449" s="9" t="s">
        <v>67</v>
      </c>
      <c r="E7449" s="6" t="s">
        <v>14053</v>
      </c>
      <c r="F7449" t="inlineStr" s="10">
        <is>
          <t xml:space="preserve">SWELLOW lentää korkealla päämme yläpuolella ja tekee siroja kaaria taivaalla. Tämä POKéMON syöksyy jyrkässä kulmassa heti nähtyään saaliinsa. SWELLOW'n kynnelliset jalat pitävät onnetonta saalista tiukasti otteessaan estäen sitä pakenemasta. SWELLOW on erittäin tunnollinen kiiltävien siipiensä hoidossa. Kun kaksi SWELLOW'ta on koottu yhteen, ne huolehtivat ahkerasti toistensa siipien puhdistamisesta. SWELLOW syöksyy saaliin kimppuun kaukaa. Se ei koskaan osu kohteisiinsa ohi. Se nousee taivaalle etsimään lämpimän ilmaston maita. Jos sen kaksi pyrstösulkaa ovat asennossa, se on osoitus hyvästä terveydestä. Se liitää tyylikkäästi taivaalla. Se kiertää taivasta etsien saalista. Havaittuaan sellaisen se sukeltaa jyrkästi saalista nappaamaan. Se sukeltaa jyrkässä kulmassa heti nähtyään saaliinsa. Se pyydystää saaliinsa terävillä kynsillään. Swellow lentää korkealla päämme yläpuolella tehden siroja kaaria taivaalla. Swallow on erittäin tunnollinen kiiltävien siipiensä hoidossa. Kun kaksi Swallow'ta on kerätty yhteen, ne huolehtivat ahkerasti toistensa siipien puhdistamisesta.</t>
        </is>
      </c>
    </row>
    <row r="7450" ht="33.75" customHeight="1">
      <c r="A7450" s="7">
        <v>277.0</v>
      </c>
      <c r="B7450" s="9" t="s">
        <v>14051</v>
      </c>
      <c r="C7450" s="9" t="s">
        <v>14052</v>
      </c>
      <c r="D7450" s="9" t="s">
        <v>71</v>
      </c>
      <c r="E7450" s="6" t="s">
        <v>14054</v>
      </c>
      <c r="F7450" s="9"/>
    </row>
    <row r="7451" ht="33.75" customHeight="1">
      <c r="A7451" s="7">
        <v>277.0</v>
      </c>
      <c r="B7451" s="9" t="s">
        <v>14051</v>
      </c>
      <c r="C7451" s="9" t="s">
        <v>14052</v>
      </c>
      <c r="D7451" s="9" t="s">
        <v>73</v>
      </c>
      <c r="E7451" s="6" t="s">
        <v>14055</v>
      </c>
      <c r="F7451" s="9"/>
    </row>
    <row r="7452" ht="33.75" customHeight="1">
      <c r="A7452" s="7">
        <v>277.0</v>
      </c>
      <c r="B7452" s="9" t="s">
        <v>14051</v>
      </c>
      <c r="C7452" s="9" t="s">
        <v>14052</v>
      </c>
      <c r="D7452" s="9" t="s">
        <v>75</v>
      </c>
      <c r="E7452" s="6" t="s">
        <v>14056</v>
      </c>
      <c r="F7452" s="9"/>
    </row>
    <row r="7453" ht="33.75" customHeight="1">
      <c r="A7453" s="7">
        <v>277.0</v>
      </c>
      <c r="B7453" s="9" t="s">
        <v>14051</v>
      </c>
      <c r="C7453" s="9" t="s">
        <v>14052</v>
      </c>
      <c r="D7453" s="9" t="s">
        <v>79</v>
      </c>
      <c r="E7453" s="6" t="s">
        <v>14056</v>
      </c>
      <c r="F7453" s="9"/>
    </row>
    <row r="7454" ht="33.75" customHeight="1">
      <c r="A7454" s="7">
        <v>277.0</v>
      </c>
      <c r="B7454" s="9" t="s">
        <v>14051</v>
      </c>
      <c r="C7454" s="9" t="s">
        <v>14052</v>
      </c>
      <c r="D7454" s="9" t="s">
        <v>81</v>
      </c>
      <c r="E7454" s="6" t="s">
        <v>14057</v>
      </c>
      <c r="F7454" s="9"/>
    </row>
    <row r="7455" ht="33.75" customHeight="1">
      <c r="A7455" s="7">
        <v>277.0</v>
      </c>
      <c r="B7455" s="9" t="s">
        <v>14051</v>
      </c>
      <c r="C7455" s="9" t="s">
        <v>14052</v>
      </c>
      <c r="D7455" s="9" t="s">
        <v>84</v>
      </c>
      <c r="E7455" s="6" t="s">
        <v>14057</v>
      </c>
      <c r="F7455" s="9"/>
    </row>
    <row r="7456" ht="33.75" customHeight="1">
      <c r="A7456" s="7">
        <v>277.0</v>
      </c>
      <c r="B7456" s="9" t="s">
        <v>14051</v>
      </c>
      <c r="C7456" s="9" t="s">
        <v>14052</v>
      </c>
      <c r="D7456" s="9" t="s">
        <v>87</v>
      </c>
      <c r="E7456" s="6" t="s">
        <v>14057</v>
      </c>
      <c r="F7456" s="9"/>
    </row>
    <row r="7457" ht="33.75" customHeight="1">
      <c r="A7457" s="7">
        <v>277.0</v>
      </c>
      <c r="B7457" s="9" t="s">
        <v>14051</v>
      </c>
      <c r="C7457" s="9" t="s">
        <v>14052</v>
      </c>
      <c r="D7457" s="9" t="s">
        <v>89</v>
      </c>
      <c r="E7457" s="6" t="s">
        <v>14059</v>
      </c>
      <c r="F7457" s="9"/>
    </row>
    <row r="7458" ht="33.75" customHeight="1">
      <c r="A7458" s="7">
        <v>277.0</v>
      </c>
      <c r="B7458" s="9" t="s">
        <v>14051</v>
      </c>
      <c r="C7458" s="9" t="s">
        <v>14052</v>
      </c>
      <c r="D7458" s="9" t="s">
        <v>91</v>
      </c>
      <c r="E7458" s="6" t="s">
        <v>14059</v>
      </c>
      <c r="F7458" s="9"/>
    </row>
    <row r="7459" ht="33.75" customHeight="1">
      <c r="A7459" s="7">
        <v>277.0</v>
      </c>
      <c r="B7459" s="9" t="s">
        <v>14051</v>
      </c>
      <c r="C7459" s="9" t="s">
        <v>14052</v>
      </c>
      <c r="D7459" s="9" t="s">
        <v>93</v>
      </c>
      <c r="E7459" s="6" t="s">
        <v>14057</v>
      </c>
      <c r="F7459" s="9"/>
    </row>
    <row r="7460" ht="33.75" customHeight="1">
      <c r="A7460" s="7">
        <v>277.0</v>
      </c>
      <c r="B7460" s="9" t="s">
        <v>14051</v>
      </c>
      <c r="C7460" s="9" t="s">
        <v>14052</v>
      </c>
      <c r="D7460" s="9" t="s">
        <v>95</v>
      </c>
      <c r="E7460" s="6" t="s">
        <v>14057</v>
      </c>
      <c r="F7460" s="9"/>
    </row>
    <row r="7461" ht="33.75" customHeight="1">
      <c r="A7461" s="7">
        <v>277.0</v>
      </c>
      <c r="B7461" s="9" t="s">
        <v>14051</v>
      </c>
      <c r="C7461" s="9" t="s">
        <v>14052</v>
      </c>
      <c r="D7461" s="9" t="s">
        <v>98</v>
      </c>
      <c r="E7461" s="6" t="s">
        <v>14057</v>
      </c>
      <c r="F7461" s="9"/>
    </row>
    <row r="7462" ht="33.75" customHeight="1">
      <c r="A7462" s="7">
        <v>277.0</v>
      </c>
      <c r="B7462" s="9" t="s">
        <v>14051</v>
      </c>
      <c r="C7462" s="9" t="s">
        <v>14052</v>
      </c>
      <c r="D7462" s="9" t="s">
        <v>99</v>
      </c>
      <c r="E7462" s="6" t="s">
        <v>14057</v>
      </c>
      <c r="F7462" s="9"/>
    </row>
    <row r="7463" ht="33.75" customHeight="1">
      <c r="A7463" s="7">
        <v>277.0</v>
      </c>
      <c r="B7463" s="9" t="s">
        <v>14051</v>
      </c>
      <c r="C7463" s="9" t="s">
        <v>14052</v>
      </c>
      <c r="D7463" s="9" t="s">
        <v>101</v>
      </c>
      <c r="E7463" s="6" t="s">
        <v>14056</v>
      </c>
      <c r="F7463" s="9"/>
    </row>
    <row r="7464" ht="33.75" customHeight="1">
      <c r="A7464" s="7">
        <v>277.0</v>
      </c>
      <c r="B7464" s="9" t="s">
        <v>14051</v>
      </c>
      <c r="C7464" s="9" t="s">
        <v>14052</v>
      </c>
      <c r="D7464" s="9" t="s">
        <v>105</v>
      </c>
      <c r="E7464" s="6" t="s">
        <v>14059</v>
      </c>
      <c r="F7464" s="9"/>
    </row>
    <row r="7465" ht="33.75" customHeight="1">
      <c r="A7465" s="7">
        <v>277.0</v>
      </c>
      <c r="B7465" s="9" t="s">
        <v>14051</v>
      </c>
      <c r="C7465" s="9" t="s">
        <v>14052</v>
      </c>
      <c r="D7465" s="9" t="s">
        <v>107</v>
      </c>
      <c r="E7465" s="6" t="s">
        <v>14060</v>
      </c>
      <c r="F7465" s="9"/>
    </row>
    <row r="7466" ht="33.75" customHeight="1">
      <c r="A7466" s="7">
        <v>277.0</v>
      </c>
      <c r="B7466" s="9" t="s">
        <v>14051</v>
      </c>
      <c r="C7466" s="9" t="s">
        <v>14052</v>
      </c>
      <c r="D7466" s="9" t="s">
        <v>109</v>
      </c>
      <c r="E7466" s="6" t="s">
        <v>14061</v>
      </c>
      <c r="F7466" s="9"/>
    </row>
    <row r="7467" ht="33.75" customHeight="1">
      <c r="A7467" s="7">
        <v>278.0</v>
      </c>
      <c r="B7467" s="9" t="s">
        <v>14062</v>
      </c>
      <c r="C7467" s="9" t="s">
        <v>14063</v>
      </c>
      <c r="D7467" s="9" t="s">
        <v>67</v>
      </c>
      <c r="E7467" s="6" t="s">
        <v>14064</v>
      </c>
      <c r="F7467" t="inlineStr" s="10">
        <is>
          <t xml:space="preserve">WINGULLilla on tapana kantaa saalista ja arvoesineitä nokassaan ja piilottaa niitä kaikenlaisiin paikkoihin. Tämä POKéMON ratsastaa tuulessa ja lentää kuin se luistelisi taivaalla. WINGULL ratsastaa merestä nousevien ilmavirtausten päällä ojentamalla pitkiä ja kapeita siipiään liitääkseen. Tämän POKéMONin pitkä nokka on hyödyllinen saaliin pyydystämiseen. Se tekee pesänsä jyrkänteelle meren reunalla. Sillä on vaikeuksia pitää siipensä räpytellen lennon aikana. Sen sijaan se nousee ilmaan ylävirtausten mukana. Se ratsastaa merituulien päällä kuin liitokone. Talvella se piilottaa ruokaa pesänsä ympärille. Se tekee pesänsä jyrkille merenrantakallioille. Nousuvirtausten ratsastamana se kohoaa suuriin korkeuksiin. Se pyydystää merituulia pitkillä siivillään ja liitää kuin liitokone. Se taittaa siipensä levätäkseen. Se liitää korkealla taivaalla nousevien ilmavirtojen varassa kuin liitokone. Se kantaa ruokaa nokassaan. Se liitää ylävirtauksissa räpyttelemättä siipiään. Se tekee pesän jyrkille kallioille meren reunalla. Se tekee pesänsä jyrkille kallioille. Merituulen ratsastaessa se liitää avarille taivaille. Sen ontot luut lisäävät sen keveyttä. Se levittää siipensä tuuleen ja kohoaa taivaalle. Kalastajat pitävät silmällä Wingullia taivaalla, sillä missä tahansa he liikkuvatkin, valtameri kuhisee varmasti kala-Pokémoneja. Pitkillä, ohuilla siivillään se nappaa yläilmavirtauksia ja lentää liitokoneen tavoin korkealle taivaalle. Se rakentaa pesiä merenrantakallioille. Se kiertää valtameren yllä taivaita etsien lempiruokaansa – wishiwashia.</t>
        </is>
      </c>
    </row>
    <row r="7468" ht="33.75" customHeight="1">
      <c r="A7468" s="7">
        <v>278.0</v>
      </c>
      <c r="B7468" s="9" t="s">
        <v>14062</v>
      </c>
      <c r="C7468" s="9" t="s">
        <v>14063</v>
      </c>
      <c r="D7468" s="9" t="s">
        <v>71</v>
      </c>
      <c r="E7468" s="6" t="s">
        <v>14065</v>
      </c>
      <c r="F7468" s="9"/>
    </row>
    <row r="7469" ht="33.75" customHeight="1">
      <c r="A7469" s="7">
        <v>278.0</v>
      </c>
      <c r="B7469" s="9" t="s">
        <v>14062</v>
      </c>
      <c r="C7469" s="9" t="s">
        <v>14063</v>
      </c>
      <c r="D7469" s="9" t="s">
        <v>73</v>
      </c>
      <c r="E7469" s="6" t="s">
        <v>14066</v>
      </c>
      <c r="F7469" s="9"/>
    </row>
    <row r="7470" ht="33.75" customHeight="1">
      <c r="A7470" s="7">
        <v>278.0</v>
      </c>
      <c r="B7470" s="9" t="s">
        <v>14062</v>
      </c>
      <c r="C7470" s="9" t="s">
        <v>14063</v>
      </c>
      <c r="D7470" s="9" t="s">
        <v>75</v>
      </c>
      <c r="E7470" s="6" t="s">
        <v>14067</v>
      </c>
      <c r="F7470" s="9"/>
    </row>
    <row r="7471" ht="33.75" customHeight="1">
      <c r="A7471" s="7">
        <v>278.0</v>
      </c>
      <c r="B7471" s="9" t="s">
        <v>14062</v>
      </c>
      <c r="C7471" s="9" t="s">
        <v>14063</v>
      </c>
      <c r="D7471" s="9" t="s">
        <v>79</v>
      </c>
      <c r="E7471" s="6" t="s">
        <v>14067</v>
      </c>
      <c r="F7471" s="9"/>
    </row>
    <row r="7472" ht="33.75" customHeight="1">
      <c r="A7472" s="7">
        <v>278.0</v>
      </c>
      <c r="B7472" s="9" t="s">
        <v>14062</v>
      </c>
      <c r="C7472" s="9" t="s">
        <v>14063</v>
      </c>
      <c r="D7472" s="9" t="s">
        <v>81</v>
      </c>
      <c r="E7472" s="6" t="s">
        <v>14068</v>
      </c>
      <c r="F7472" s="9"/>
    </row>
    <row r="7473" ht="33.75" customHeight="1">
      <c r="A7473" s="7">
        <v>278.0</v>
      </c>
      <c r="B7473" s="9" t="s">
        <v>14062</v>
      </c>
      <c r="C7473" s="9" t="s">
        <v>14063</v>
      </c>
      <c r="D7473" s="9" t="s">
        <v>84</v>
      </c>
      <c r="E7473" s="6" t="s">
        <v>14069</v>
      </c>
      <c r="F7473" s="9"/>
    </row>
    <row r="7474" ht="33.75" customHeight="1">
      <c r="A7474" s="7">
        <v>278.0</v>
      </c>
      <c r="B7474" s="9" t="s">
        <v>14062</v>
      </c>
      <c r="C7474" s="9" t="s">
        <v>14063</v>
      </c>
      <c r="D7474" s="9" t="s">
        <v>87</v>
      </c>
      <c r="E7474" s="6" t="s">
        <v>14070</v>
      </c>
      <c r="F7474" s="9"/>
    </row>
    <row r="7475" ht="33.75" customHeight="1">
      <c r="A7475" s="7">
        <v>278.0</v>
      </c>
      <c r="B7475" s="9" t="s">
        <v>14062</v>
      </c>
      <c r="C7475" s="9" t="s">
        <v>14063</v>
      </c>
      <c r="D7475" s="9" t="s">
        <v>89</v>
      </c>
      <c r="E7475" s="6" t="s">
        <v>14071</v>
      </c>
      <c r="F7475" s="9"/>
    </row>
    <row r="7476" ht="33.75" customHeight="1">
      <c r="A7476" s="7">
        <v>278.0</v>
      </c>
      <c r="B7476" s="9" t="s">
        <v>14062</v>
      </c>
      <c r="C7476" s="9" t="s">
        <v>14063</v>
      </c>
      <c r="D7476" s="9" t="s">
        <v>91</v>
      </c>
      <c r="E7476" s="6" t="s">
        <v>14071</v>
      </c>
      <c r="F7476" s="9"/>
    </row>
    <row r="7477" ht="33.75" customHeight="1">
      <c r="A7477" s="7">
        <v>278.0</v>
      </c>
      <c r="B7477" s="9" t="s">
        <v>14062</v>
      </c>
      <c r="C7477" s="9" t="s">
        <v>14063</v>
      </c>
      <c r="D7477" s="9" t="s">
        <v>93</v>
      </c>
      <c r="E7477" s="6" t="s">
        <v>14070</v>
      </c>
      <c r="F7477" s="9"/>
    </row>
    <row r="7478" ht="33.75" customHeight="1">
      <c r="A7478" s="7">
        <v>278.0</v>
      </c>
      <c r="B7478" s="9" t="s">
        <v>14062</v>
      </c>
      <c r="C7478" s="9" t="s">
        <v>14063</v>
      </c>
      <c r="D7478" s="9" t="s">
        <v>95</v>
      </c>
      <c r="E7478" s="6" t="s">
        <v>14070</v>
      </c>
      <c r="F7478" s="9"/>
    </row>
    <row r="7479" ht="33.75" customHeight="1">
      <c r="A7479" s="7">
        <v>278.0</v>
      </c>
      <c r="B7479" s="9" t="s">
        <v>14062</v>
      </c>
      <c r="C7479" s="9" t="s">
        <v>14063</v>
      </c>
      <c r="D7479" s="9" t="s">
        <v>98</v>
      </c>
      <c r="E7479" s="6" t="s">
        <v>14072</v>
      </c>
      <c r="F7479" s="9"/>
    </row>
    <row r="7480" ht="33.75" customHeight="1">
      <c r="A7480" s="7">
        <v>278.0</v>
      </c>
      <c r="B7480" s="9" t="s">
        <v>14062</v>
      </c>
      <c r="C7480" s="9" t="s">
        <v>14063</v>
      </c>
      <c r="D7480" s="9" t="s">
        <v>99</v>
      </c>
      <c r="E7480" s="6" t="s">
        <v>14072</v>
      </c>
      <c r="F7480" s="9"/>
    </row>
    <row r="7481" ht="33.75" customHeight="1">
      <c r="A7481" s="7">
        <v>278.0</v>
      </c>
      <c r="B7481" s="9" t="s">
        <v>14062</v>
      </c>
      <c r="C7481" s="9" t="s">
        <v>14063</v>
      </c>
      <c r="D7481" s="9" t="s">
        <v>101</v>
      </c>
      <c r="E7481" s="6" t="s">
        <v>14069</v>
      </c>
      <c r="F7481" s="9"/>
    </row>
    <row r="7482" ht="33.75" customHeight="1">
      <c r="A7482" s="7">
        <v>278.0</v>
      </c>
      <c r="B7482" s="9" t="s">
        <v>14062</v>
      </c>
      <c r="C7482" s="9" t="s">
        <v>14063</v>
      </c>
      <c r="D7482" s="9" t="s">
        <v>105</v>
      </c>
      <c r="E7482" s="6" t="s">
        <v>14068</v>
      </c>
      <c r="F7482" s="9"/>
    </row>
    <row r="7483" ht="33.75" customHeight="1">
      <c r="A7483" s="7">
        <v>278.0</v>
      </c>
      <c r="B7483" s="9" t="s">
        <v>14062</v>
      </c>
      <c r="C7483" s="9" t="s">
        <v>14063</v>
      </c>
      <c r="D7483" s="9" t="s">
        <v>107</v>
      </c>
      <c r="E7483" s="6" t="s">
        <v>14073</v>
      </c>
      <c r="F7483" s="9"/>
    </row>
    <row r="7484" ht="33.75" customHeight="1">
      <c r="A7484" s="7">
        <v>278.0</v>
      </c>
      <c r="B7484" s="9" t="s">
        <v>14062</v>
      </c>
      <c r="C7484" s="9" t="s">
        <v>14063</v>
      </c>
      <c r="D7484" s="9" t="s">
        <v>109</v>
      </c>
      <c r="E7484" s="6" t="s">
        <v>14075</v>
      </c>
      <c r="F7484" s="9"/>
    </row>
    <row r="7485" ht="33.75" customHeight="1">
      <c r="A7485" s="7">
        <v>278.0</v>
      </c>
      <c r="B7485" s="9" t="s">
        <v>14062</v>
      </c>
      <c r="C7485" s="9" t="s">
        <v>14063</v>
      </c>
      <c r="D7485" s="9" t="s">
        <v>637</v>
      </c>
      <c r="E7485" s="6" t="s">
        <v>14076</v>
      </c>
      <c r="F7485" s="9"/>
    </row>
    <row r="7486" ht="33.75" customHeight="1">
      <c r="A7486" s="7">
        <v>278.0</v>
      </c>
      <c r="B7486" s="9" t="s">
        <v>14062</v>
      </c>
      <c r="C7486" s="9" t="s">
        <v>14063</v>
      </c>
      <c r="D7486" s="9" t="s">
        <v>642</v>
      </c>
      <c r="E7486" s="6" t="s">
        <v>14077</v>
      </c>
      <c r="F7486" s="9"/>
    </row>
    <row r="7487" ht="33.75" customHeight="1">
      <c r="A7487" s="7">
        <v>278.0</v>
      </c>
      <c r="B7487" s="9" t="s">
        <v>14062</v>
      </c>
      <c r="C7487" s="9" t="s">
        <v>14063</v>
      </c>
      <c r="D7487" s="9" t="s">
        <v>647</v>
      </c>
      <c r="E7487" s="6" t="s">
        <v>14078</v>
      </c>
      <c r="F7487" s="9"/>
    </row>
    <row r="7488" ht="33.75" customHeight="1">
      <c r="A7488" s="7">
        <v>278.0</v>
      </c>
      <c r="B7488" s="9" t="s">
        <v>14062</v>
      </c>
      <c r="C7488" s="9" t="s">
        <v>14063</v>
      </c>
      <c r="D7488" s="9" t="s">
        <v>652</v>
      </c>
      <c r="E7488" s="6" t="s">
        <v>14079</v>
      </c>
      <c r="F7488" s="9"/>
    </row>
    <row r="7489" ht="33.75" customHeight="1">
      <c r="A7489" s="7">
        <v>278.0</v>
      </c>
      <c r="B7489" s="9" t="s">
        <v>14062</v>
      </c>
      <c r="C7489" s="9" t="s">
        <v>14063</v>
      </c>
      <c r="D7489" s="9" t="s">
        <v>114</v>
      </c>
      <c r="E7489" s="6" t="s">
        <v>14072</v>
      </c>
      <c r="F7489" s="9"/>
    </row>
    <row r="7490" ht="33.75" customHeight="1">
      <c r="A7490" s="7">
        <v>278.0</v>
      </c>
      <c r="B7490" s="9" t="s">
        <v>14062</v>
      </c>
      <c r="C7490" s="9" t="s">
        <v>14063</v>
      </c>
      <c r="D7490" s="9" t="s">
        <v>117</v>
      </c>
      <c r="E7490" s="6" t="s">
        <v>14071</v>
      </c>
      <c r="F7490" s="9"/>
    </row>
    <row r="7491" ht="33.75" customHeight="1">
      <c r="A7491" s="7">
        <v>279.0</v>
      </c>
      <c r="B7491" s="9" t="s">
        <v>14080</v>
      </c>
      <c r="C7491" s="9" t="s">
        <v>14081</v>
      </c>
      <c r="D7491" s="9" t="s">
        <v>67</v>
      </c>
      <c r="E7491" s="6" t="s">
        <v>14082</v>
      </c>
      <c r="F7491" t="inlineStr" s="10">
        <is>
          <t xml:space="preserve">PELIPPER on lentävä kuljetusalus, joka kuljettaa pieniä POKéMONeja ja munia valtavan nokkansa sisällä. Tämä POKéMON rakentaa pesänsä jyrkille kallioille, jotka ovat meren rannalla. PELIPPER etsii ruokaa lennon aikana liitämällä aaltojen harjoja. Tämä POKéMON upottaa suuren nokkansa mereen kerätäkseen ruokaa ja nielee sitten kaiken yhdellä isolla kulauksella. Se liitää aaltojen harjoja lentäessään. Havaitessaan saaliin se käyttää suurta nokkaansa nostaakseen sen vedellä. Se suojaa muniaan nokassaan. Se on lentävä kuljetusalus, joka kuljettaa pieniä POKéMONEJA nokassaan. Se kelluu aalloilla lepuuttaakseen siipiään. Se upottaa suuren nokkansa mereen ja kauhoaa sitten mukanaan lukuisia saaliseläimiä veden mukana. Se toimii lähettipalveluna kantamalla pieniä Pokémoneja nokassaan. Se kelluu aalloilla levätäkseen. Se on taivaan sanansaattaja, joka kuljettaa pieniä Pokémoneja ja munia turvaan nokassaan. Se suojelee poikasiaan nokassaan. Se kelluu aalloilla ja lepää niillä tyyninä päivinä. Se kahlaa veden pintaa pitkin, upottaa suuren nokkansa mereen, ahmii mukaansa ruokaa ja vettä ja kantaa niitä. Sen tilava nokka on niin suuri, että pieni lapsi mahtuu sisään. Ruuan kerääminen on nuorten koiraiden työtä. Ne varastoivat ruokaa tilaviin nokkiinsa ja kantavat sen takaisin muille pesässä odottaville. Se asettaa pieniä Pokémoneja tilavaan nokkaansa ja kantaa niitä mukanaan. Kukaan ei tiedä, minne se ne vie. Se kauhoaa wishiwashin valtavaan nokkaansa ja nielee ne kokonaisina. Se voi ahmia yli 30 kerralla!</t>
        </is>
      </c>
    </row>
    <row r="7492" ht="33.75" customHeight="1">
      <c r="A7492" s="7">
        <v>279.0</v>
      </c>
      <c r="B7492" s="9" t="s">
        <v>14080</v>
      </c>
      <c r="C7492" s="9" t="s">
        <v>14081</v>
      </c>
      <c r="D7492" s="9" t="s">
        <v>71</v>
      </c>
      <c r="E7492" s="6" t="s">
        <v>14083</v>
      </c>
      <c r="F7492" s="9"/>
    </row>
    <row r="7493" ht="33.75" customHeight="1">
      <c r="A7493" s="7">
        <v>279.0</v>
      </c>
      <c r="B7493" s="9" t="s">
        <v>14080</v>
      </c>
      <c r="C7493" s="9" t="s">
        <v>14081</v>
      </c>
      <c r="D7493" s="9" t="s">
        <v>73</v>
      </c>
      <c r="E7493" s="6" t="s">
        <v>14084</v>
      </c>
      <c r="F7493" s="9"/>
    </row>
    <row r="7494" ht="33.75" customHeight="1">
      <c r="A7494" s="7">
        <v>279.0</v>
      </c>
      <c r="B7494" s="9" t="s">
        <v>14080</v>
      </c>
      <c r="C7494" s="9" t="s">
        <v>14081</v>
      </c>
      <c r="D7494" s="9" t="s">
        <v>75</v>
      </c>
      <c r="E7494" s="6" t="s">
        <v>14085</v>
      </c>
      <c r="F7494" s="9"/>
    </row>
    <row r="7495" ht="33.75" customHeight="1">
      <c r="A7495" s="7">
        <v>279.0</v>
      </c>
      <c r="B7495" s="9" t="s">
        <v>14080</v>
      </c>
      <c r="C7495" s="9" t="s">
        <v>14081</v>
      </c>
      <c r="D7495" s="9" t="s">
        <v>79</v>
      </c>
      <c r="E7495" s="6" t="s">
        <v>14085</v>
      </c>
      <c r="F7495" s="9"/>
    </row>
    <row r="7496" ht="33.75" customHeight="1">
      <c r="A7496" s="7">
        <v>279.0</v>
      </c>
      <c r="B7496" s="9" t="s">
        <v>14080</v>
      </c>
      <c r="C7496" s="9" t="s">
        <v>14081</v>
      </c>
      <c r="D7496" s="9" t="s">
        <v>81</v>
      </c>
      <c r="E7496" s="6" t="s">
        <v>14086</v>
      </c>
      <c r="F7496" s="9"/>
    </row>
    <row r="7497" ht="33.75" customHeight="1">
      <c r="A7497" s="7">
        <v>279.0</v>
      </c>
      <c r="B7497" s="9" t="s">
        <v>14080</v>
      </c>
      <c r="C7497" s="9" t="s">
        <v>14081</v>
      </c>
      <c r="D7497" s="9" t="s">
        <v>84</v>
      </c>
      <c r="E7497" s="6" t="s">
        <v>14087</v>
      </c>
      <c r="F7497" s="9"/>
    </row>
    <row r="7498" ht="33.75" customHeight="1">
      <c r="A7498" s="7">
        <v>279.0</v>
      </c>
      <c r="B7498" s="9" t="s">
        <v>14080</v>
      </c>
      <c r="C7498" s="9" t="s">
        <v>14081</v>
      </c>
      <c r="D7498" s="9" t="s">
        <v>87</v>
      </c>
      <c r="E7498" s="6" t="s">
        <v>14088</v>
      </c>
      <c r="F7498" s="9"/>
    </row>
    <row r="7499" ht="33.75" customHeight="1">
      <c r="A7499" s="7">
        <v>279.0</v>
      </c>
      <c r="B7499" s="9" t="s">
        <v>14080</v>
      </c>
      <c r="C7499" s="9" t="s">
        <v>14081</v>
      </c>
      <c r="D7499" s="9" t="s">
        <v>89</v>
      </c>
      <c r="E7499" s="6" t="s">
        <v>14089</v>
      </c>
      <c r="F7499" s="9"/>
    </row>
    <row r="7500" ht="33.75" customHeight="1">
      <c r="A7500" s="7">
        <v>279.0</v>
      </c>
      <c r="B7500" s="9" t="s">
        <v>14080</v>
      </c>
      <c r="C7500" s="9" t="s">
        <v>14081</v>
      </c>
      <c r="D7500" s="9" t="s">
        <v>91</v>
      </c>
      <c r="E7500" s="6" t="s">
        <v>14089</v>
      </c>
      <c r="F7500" s="9"/>
    </row>
    <row r="7501" ht="33.75" customHeight="1">
      <c r="A7501" s="7">
        <v>279.0</v>
      </c>
      <c r="B7501" s="9" t="s">
        <v>14080</v>
      </c>
      <c r="C7501" s="9" t="s">
        <v>14081</v>
      </c>
      <c r="D7501" s="9" t="s">
        <v>93</v>
      </c>
      <c r="E7501" s="6" t="s">
        <v>14088</v>
      </c>
      <c r="F7501" s="9"/>
    </row>
    <row r="7502" ht="33.75" customHeight="1">
      <c r="A7502" s="7">
        <v>279.0</v>
      </c>
      <c r="B7502" s="9" t="s">
        <v>14080</v>
      </c>
      <c r="C7502" s="9" t="s">
        <v>14081</v>
      </c>
      <c r="D7502" s="9" t="s">
        <v>95</v>
      </c>
      <c r="E7502" s="6" t="s">
        <v>14088</v>
      </c>
      <c r="F7502" s="9"/>
    </row>
    <row r="7503" ht="33.75" customHeight="1">
      <c r="A7503" s="7">
        <v>279.0</v>
      </c>
      <c r="B7503" s="9" t="s">
        <v>14080</v>
      </c>
      <c r="C7503" s="9" t="s">
        <v>14081</v>
      </c>
      <c r="D7503" s="9" t="s">
        <v>98</v>
      </c>
      <c r="E7503" s="6" t="s">
        <v>14090</v>
      </c>
      <c r="F7503" s="9"/>
    </row>
    <row r="7504" ht="33.75" customHeight="1">
      <c r="A7504" s="7">
        <v>279.0</v>
      </c>
      <c r="B7504" s="9" t="s">
        <v>14080</v>
      </c>
      <c r="C7504" s="9" t="s">
        <v>14081</v>
      </c>
      <c r="D7504" s="9" t="s">
        <v>99</v>
      </c>
      <c r="E7504" s="6" t="s">
        <v>14090</v>
      </c>
      <c r="F7504" s="9"/>
    </row>
    <row r="7505" ht="33.75" customHeight="1">
      <c r="A7505" s="7">
        <v>279.0</v>
      </c>
      <c r="B7505" s="9" t="s">
        <v>14080</v>
      </c>
      <c r="C7505" s="9" t="s">
        <v>14081</v>
      </c>
      <c r="D7505" s="9" t="s">
        <v>101</v>
      </c>
      <c r="E7505" s="6" t="s">
        <v>14086</v>
      </c>
      <c r="F7505" s="9"/>
    </row>
    <row r="7506" ht="33.75" customHeight="1">
      <c r="A7506" s="7">
        <v>279.0</v>
      </c>
      <c r="B7506" s="9" t="s">
        <v>14080</v>
      </c>
      <c r="C7506" s="9" t="s">
        <v>14081</v>
      </c>
      <c r="D7506" s="9" t="s">
        <v>105</v>
      </c>
      <c r="E7506" s="6" t="s">
        <v>14088</v>
      </c>
      <c r="F7506" s="9"/>
    </row>
    <row r="7507" ht="33.75" customHeight="1">
      <c r="A7507" s="7">
        <v>279.0</v>
      </c>
      <c r="B7507" s="9" t="s">
        <v>14080</v>
      </c>
      <c r="C7507" s="9" t="s">
        <v>14081</v>
      </c>
      <c r="D7507" s="9" t="s">
        <v>107</v>
      </c>
      <c r="E7507" s="6" t="s">
        <v>14091</v>
      </c>
      <c r="F7507" s="9"/>
    </row>
    <row r="7508" ht="33.75" customHeight="1">
      <c r="A7508" s="7">
        <v>279.0</v>
      </c>
      <c r="B7508" s="9" t="s">
        <v>14080</v>
      </c>
      <c r="C7508" s="9" t="s">
        <v>14081</v>
      </c>
      <c r="D7508" s="9" t="s">
        <v>109</v>
      </c>
      <c r="E7508" s="6" t="s">
        <v>14093</v>
      </c>
      <c r="F7508" s="9"/>
    </row>
    <row r="7509" ht="33.75" customHeight="1">
      <c r="A7509" s="7">
        <v>279.0</v>
      </c>
      <c r="B7509" s="9" t="s">
        <v>14080</v>
      </c>
      <c r="C7509" s="9" t="s">
        <v>14081</v>
      </c>
      <c r="D7509" s="9" t="s">
        <v>637</v>
      </c>
      <c r="E7509" s="6" t="s">
        <v>14094</v>
      </c>
      <c r="F7509" s="9"/>
    </row>
    <row r="7510" ht="33.75" customHeight="1">
      <c r="A7510" s="7">
        <v>279.0</v>
      </c>
      <c r="B7510" s="9" t="s">
        <v>14080</v>
      </c>
      <c r="C7510" s="9" t="s">
        <v>14081</v>
      </c>
      <c r="D7510" s="9" t="s">
        <v>642</v>
      </c>
      <c r="E7510" s="6" t="s">
        <v>14095</v>
      </c>
      <c r="F7510" s="9"/>
    </row>
    <row r="7511" ht="33.75" customHeight="1">
      <c r="A7511" s="7">
        <v>279.0</v>
      </c>
      <c r="B7511" s="9" t="s">
        <v>14080</v>
      </c>
      <c r="C7511" s="9" t="s">
        <v>14081</v>
      </c>
      <c r="D7511" s="9" t="s">
        <v>647</v>
      </c>
      <c r="E7511" s="6" t="s">
        <v>14096</v>
      </c>
      <c r="F7511" s="9"/>
    </row>
    <row r="7512" ht="33.75" customHeight="1">
      <c r="A7512" s="7">
        <v>279.0</v>
      </c>
      <c r="B7512" s="9" t="s">
        <v>14080</v>
      </c>
      <c r="C7512" s="9" t="s">
        <v>14081</v>
      </c>
      <c r="D7512" s="9" t="s">
        <v>652</v>
      </c>
      <c r="E7512" s="6" t="s">
        <v>14097</v>
      </c>
      <c r="F7512" s="9"/>
    </row>
    <row r="7513" ht="33.75" customHeight="1">
      <c r="A7513" s="7">
        <v>279.0</v>
      </c>
      <c r="B7513" s="9" t="s">
        <v>14080</v>
      </c>
      <c r="C7513" s="9" t="s">
        <v>14081</v>
      </c>
      <c r="D7513" s="9" t="s">
        <v>114</v>
      </c>
      <c r="E7513" s="6" t="s">
        <v>14088</v>
      </c>
      <c r="F7513" s="9"/>
    </row>
    <row r="7514" ht="33.75" customHeight="1">
      <c r="A7514" s="7">
        <v>279.0</v>
      </c>
      <c r="B7514" s="9" t="s">
        <v>14080</v>
      </c>
      <c r="C7514" s="9" t="s">
        <v>14081</v>
      </c>
      <c r="D7514" s="9" t="s">
        <v>117</v>
      </c>
      <c r="E7514" s="6" t="s">
        <v>14090</v>
      </c>
      <c r="F7514" s="9"/>
    </row>
    <row r="7515" ht="33.75" customHeight="1">
      <c r="A7515" s="7">
        <v>280.0</v>
      </c>
      <c r="B7515" s="9" t="s">
        <v>14098</v>
      </c>
      <c r="C7515" s="9" t="s">
        <v>14099</v>
      </c>
      <c r="D7515" s="9" t="s">
        <v>67</v>
      </c>
      <c r="E7515" s="6" t="s">
        <v>14100</v>
      </c>
      <c r="F7515" t="inlineStr" s="10">
        <is>
          <t xml:space="preserve">RALTS aistii ihmisten tunteita päässään olevien sarvien avulla. Tämä POKéMON esiintyy harvoin ihmisten edessä. Mutta kun se ilmestyy, se lähestyy, jos se aistii henkilön olevan positiivisesti luonteeltaan. RALTSilla on kyky aistia ihmisten tunteita. Jos sen KOULUTTAJA on iloisella tuulella, tämä POKéMON kasvaa iloiseksi ja riemukkaaksi samalla tavalla. RALTSilla on kyky aistia ihmisten ja päässään olevien POKéMONIEN tunteita. Se suojaa, jos se aistii vihamielisyyttä. Se on erittäin herkkä ihmisten ja POKéMONien tunteille. Se piiloutuu, jos se aistii vihamielisyyttä. Se käyttää päässään olevia sarvia aistiakseen ihmisten tunteita. Sen sanotaan ilmestyvän iloisten ihmisten eteen. Jos sen sarvet vangitsevat ihmisten tai Pokémonien lämpimät tunteet, sen keho lämpenee hieman. Sen päässä olevat sarvet antavat sille voimakkaan voiman aistia ihmisten tunteita. Ralts aistii ihmisten tunteet päässään olevien sarvien avulla. Mutta kun se ilmestyy, se lähestyy, jos se aistii henkilön olevan positiivinen. Taipumus suosia pirteäluonteisia ihmisiä synkkien sijaan, mutta iän tai sukupuolen perusteella ei ole havaittu eroa. Tarvitsee lisätutkimusta.</t>
        </is>
      </c>
    </row>
    <row r="7516" ht="33.75" customHeight="1">
      <c r="A7516" s="7">
        <v>280.0</v>
      </c>
      <c r="B7516" s="9" t="s">
        <v>14098</v>
      </c>
      <c r="C7516" s="9" t="s">
        <v>14099</v>
      </c>
      <c r="D7516" s="9" t="s">
        <v>71</v>
      </c>
      <c r="E7516" s="6" t="s">
        <v>14101</v>
      </c>
      <c r="F7516" s="9"/>
    </row>
    <row r="7517" ht="33.75" customHeight="1">
      <c r="A7517" s="7">
        <v>280.0</v>
      </c>
      <c r="B7517" s="9" t="s">
        <v>14098</v>
      </c>
      <c r="C7517" s="9" t="s">
        <v>14099</v>
      </c>
      <c r="D7517" s="9" t="s">
        <v>73</v>
      </c>
      <c r="E7517" s="6" t="s">
        <v>14102</v>
      </c>
      <c r="F7517" s="9"/>
    </row>
    <row r="7518" ht="33.75" customHeight="1">
      <c r="A7518" s="7">
        <v>280.0</v>
      </c>
      <c r="B7518" s="9" t="s">
        <v>14098</v>
      </c>
      <c r="C7518" s="9" t="s">
        <v>14099</v>
      </c>
      <c r="D7518" s="9" t="s">
        <v>75</v>
      </c>
      <c r="E7518" s="6" t="s">
        <v>14103</v>
      </c>
      <c r="F7518" s="9"/>
    </row>
    <row r="7519" ht="33.75" customHeight="1">
      <c r="A7519" s="7">
        <v>280.0</v>
      </c>
      <c r="B7519" s="9" t="s">
        <v>14098</v>
      </c>
      <c r="C7519" s="9" t="s">
        <v>14099</v>
      </c>
      <c r="D7519" s="9" t="s">
        <v>79</v>
      </c>
      <c r="E7519" s="6" t="s">
        <v>14103</v>
      </c>
      <c r="F7519" s="9"/>
    </row>
    <row r="7520" ht="33.75" customHeight="1">
      <c r="A7520" s="7">
        <v>280.0</v>
      </c>
      <c r="B7520" s="9" t="s">
        <v>14098</v>
      </c>
      <c r="C7520" s="9" t="s">
        <v>14099</v>
      </c>
      <c r="D7520" s="9" t="s">
        <v>81</v>
      </c>
      <c r="E7520" s="6" t="s">
        <v>14104</v>
      </c>
      <c r="F7520" s="9"/>
    </row>
    <row r="7521" ht="33.75" customHeight="1">
      <c r="A7521" s="7">
        <v>280.0</v>
      </c>
      <c r="B7521" s="9" t="s">
        <v>14098</v>
      </c>
      <c r="C7521" s="9" t="s">
        <v>14099</v>
      </c>
      <c r="D7521" s="9" t="s">
        <v>84</v>
      </c>
      <c r="E7521" s="6" t="s">
        <v>14104</v>
      </c>
      <c r="F7521" s="9"/>
    </row>
    <row r="7522" ht="33.75" customHeight="1">
      <c r="A7522" s="7">
        <v>280.0</v>
      </c>
      <c r="B7522" s="9" t="s">
        <v>14098</v>
      </c>
      <c r="C7522" s="9" t="s">
        <v>14099</v>
      </c>
      <c r="D7522" s="9" t="s">
        <v>87</v>
      </c>
      <c r="E7522" s="6" t="s">
        <v>14105</v>
      </c>
      <c r="F7522" s="9"/>
    </row>
    <row r="7523" ht="33.75" customHeight="1">
      <c r="A7523" s="7">
        <v>280.0</v>
      </c>
      <c r="B7523" s="9" t="s">
        <v>14098</v>
      </c>
      <c r="C7523" s="9" t="s">
        <v>14099</v>
      </c>
      <c r="D7523" s="9" t="s">
        <v>89</v>
      </c>
      <c r="E7523" s="6" t="s">
        <v>14106</v>
      </c>
      <c r="F7523" s="9"/>
    </row>
    <row r="7524" ht="33.75" customHeight="1">
      <c r="A7524" s="7">
        <v>280.0</v>
      </c>
      <c r="B7524" s="9" t="s">
        <v>14098</v>
      </c>
      <c r="C7524" s="9" t="s">
        <v>14099</v>
      </c>
      <c r="D7524" s="9" t="s">
        <v>91</v>
      </c>
      <c r="E7524" s="6" t="s">
        <v>14106</v>
      </c>
      <c r="F7524" s="9"/>
    </row>
    <row r="7525" ht="33.75" customHeight="1">
      <c r="A7525" s="7">
        <v>280.0</v>
      </c>
      <c r="B7525" s="9" t="s">
        <v>14098</v>
      </c>
      <c r="C7525" s="9" t="s">
        <v>14099</v>
      </c>
      <c r="D7525" s="9" t="s">
        <v>93</v>
      </c>
      <c r="E7525" s="6" t="s">
        <v>14105</v>
      </c>
      <c r="F7525" s="9"/>
    </row>
    <row r="7526" ht="33.75" customHeight="1">
      <c r="A7526" s="7">
        <v>280.0</v>
      </c>
      <c r="B7526" s="9" t="s">
        <v>14098</v>
      </c>
      <c r="C7526" s="9" t="s">
        <v>14099</v>
      </c>
      <c r="D7526" s="9" t="s">
        <v>95</v>
      </c>
      <c r="E7526" s="6" t="s">
        <v>14105</v>
      </c>
      <c r="F7526" s="9"/>
    </row>
    <row r="7527" ht="33.75" customHeight="1">
      <c r="A7527" s="7">
        <v>280.0</v>
      </c>
      <c r="B7527" s="9" t="s">
        <v>14098</v>
      </c>
      <c r="C7527" s="9" t="s">
        <v>14099</v>
      </c>
      <c r="D7527" s="9" t="s">
        <v>98</v>
      </c>
      <c r="E7527" s="6" t="s">
        <v>14105</v>
      </c>
      <c r="F7527" s="9"/>
    </row>
    <row r="7528" ht="33.75" customHeight="1">
      <c r="A7528" s="7">
        <v>280.0</v>
      </c>
      <c r="B7528" s="9" t="s">
        <v>14098</v>
      </c>
      <c r="C7528" s="9" t="s">
        <v>14099</v>
      </c>
      <c r="D7528" s="9" t="s">
        <v>99</v>
      </c>
      <c r="E7528" s="6" t="s">
        <v>14105</v>
      </c>
      <c r="F7528" s="9"/>
    </row>
    <row r="7529" ht="33.75" customHeight="1">
      <c r="A7529" s="7">
        <v>280.0</v>
      </c>
      <c r="B7529" s="9" t="s">
        <v>14098</v>
      </c>
      <c r="C7529" s="9" t="s">
        <v>14099</v>
      </c>
      <c r="D7529" s="9" t="s">
        <v>101</v>
      </c>
      <c r="E7529" s="6" t="s">
        <v>14105</v>
      </c>
      <c r="F7529" s="9"/>
    </row>
    <row r="7530" ht="33.75" customHeight="1">
      <c r="A7530" s="7">
        <v>280.0</v>
      </c>
      <c r="B7530" s="9" t="s">
        <v>14098</v>
      </c>
      <c r="C7530" s="9" t="s">
        <v>14099</v>
      </c>
      <c r="D7530" s="9" t="s">
        <v>105</v>
      </c>
      <c r="E7530" s="6" t="s">
        <v>14107</v>
      </c>
      <c r="F7530" s="9"/>
    </row>
    <row r="7531" ht="33.75" customHeight="1">
      <c r="A7531" s="7">
        <v>280.0</v>
      </c>
      <c r="B7531" s="9" t="s">
        <v>14098</v>
      </c>
      <c r="C7531" s="9" t="s">
        <v>14099</v>
      </c>
      <c r="D7531" s="9" t="s">
        <v>107</v>
      </c>
      <c r="E7531" s="6" t="s">
        <v>14108</v>
      </c>
      <c r="F7531" s="9"/>
    </row>
    <row r="7532" ht="33.75" customHeight="1">
      <c r="A7532" s="7">
        <v>280.0</v>
      </c>
      <c r="B7532" s="9" t="s">
        <v>14098</v>
      </c>
      <c r="C7532" s="9" t="s">
        <v>14099</v>
      </c>
      <c r="D7532" s="9" t="s">
        <v>109</v>
      </c>
      <c r="E7532" s="6" t="s">
        <v>14109</v>
      </c>
      <c r="F7532" s="9"/>
    </row>
    <row r="7533" ht="33.75" customHeight="1">
      <c r="A7533" s="7">
        <v>280.0</v>
      </c>
      <c r="B7533" s="9" t="s">
        <v>14098</v>
      </c>
      <c r="C7533" s="9" t="s">
        <v>14099</v>
      </c>
      <c r="D7533" s="9" t="s">
        <v>114</v>
      </c>
      <c r="E7533" s="6" t="s">
        <v>14107</v>
      </c>
      <c r="F7533" s="9"/>
    </row>
    <row r="7534" ht="33.75" customHeight="1">
      <c r="A7534" s="7">
        <v>280.0</v>
      </c>
      <c r="B7534" s="9" t="s">
        <v>14098</v>
      </c>
      <c r="C7534" s="9" t="s">
        <v>14099</v>
      </c>
      <c r="D7534" s="9" t="s">
        <v>117</v>
      </c>
      <c r="E7534" s="6" t="s">
        <v>14105</v>
      </c>
      <c r="F7534" s="9"/>
    </row>
    <row r="7535" ht="33.75" customHeight="1">
      <c r="A7535" s="7">
        <v>280.0</v>
      </c>
      <c r="B7535" s="9" t="s">
        <v>14098</v>
      </c>
      <c r="C7535" s="9" t="s">
        <v>14099</v>
      </c>
      <c r="D7535" s="9" t="s">
        <v>1577</v>
      </c>
      <c r="E7535" s="6" t="s">
        <v>14110</v>
      </c>
      <c r="F7535" s="9"/>
    </row>
    <row r="7536" ht="33.75" customHeight="1">
      <c r="A7536" s="7">
        <v>281.0</v>
      </c>
      <c r="B7536" s="9" t="s">
        <v>14111</v>
      </c>
      <c r="C7536" s="9" t="s">
        <v>14112</v>
      </c>
      <c r="D7536" s="9" t="s">
        <v>67</v>
      </c>
      <c r="E7536" s="6" t="s">
        <v>14113</v>
      </c>
      <c r="F7536" t="inlineStr" s="10">
        <is>
          <t xml:space="preserve">Sanotaan, että KIRLIA, joka altistuu KOULUTTAJANSA positiivisille tunteille, kasvaa kauniiksi. Tämä POKéMON hallitsee psykokineettisiä voimia pitkälle kehittyneellä aivollaan. KIRLIA käyttää päässään olevia sarvia vahvistaakseen psykokineettisiä voimiaan. Kun POKéMON käyttää voimaansa, sen ympärillä oleva ilma vääristyy luoden kangastuksia olemattomista maisemista. KIRLIAlla on psyykkinen voima luoda repeämä ulottuvuuksiin ja nähdä tulevaisuuteen. Sen sanotaan tanssivan nautinnosta aurinkoisina aamuina. Sen KOULUTTAJAN iloinen henki antaa sille energiaa sen psykokineettiselle voimalle. Se pyörii ja tanssii ollessaan onnellinen. Se on erittäin herkkä kouluttajansa tunteille. Se tanssii, kun se on onnellinen. Jos sen kouluttaja tulee iloiseksi, se pursuaa energiaa ja tanssii iloisesti pyöriessään ympäriinsä. Sillä on psyykkinen voima, jonka avulla se voi vääristää ympäröivää tilaa ja nähdä tulevaisuuteen. Tämä Pokémon hallitsee psykokineettisiä voimia erittäin kehittyneellä aivollaan. Kirlia käyttää päänsä sarvia vahvistaakseen psykokineettisiä voimiaan. Se muistuttaa ulkonäöltään neitoa, mutta sillä on outoja voimia heijastaa näkyjä paratiisista. Epäilen, että sen päässä olevat karmiininpunaiset koristeet ovat avain sen kykyihin.</t>
        </is>
      </c>
    </row>
    <row r="7537" ht="33.75" customHeight="1">
      <c r="A7537" s="7">
        <v>281.0</v>
      </c>
      <c r="B7537" s="9" t="s">
        <v>14111</v>
      </c>
      <c r="C7537" s="9" t="s">
        <v>14112</v>
      </c>
      <c r="D7537" s="9" t="s">
        <v>71</v>
      </c>
      <c r="E7537" s="6" t="s">
        <v>14115</v>
      </c>
      <c r="F7537" s="9"/>
    </row>
    <row r="7538" ht="33.75" customHeight="1">
      <c r="A7538" s="7">
        <v>281.0</v>
      </c>
      <c r="B7538" s="9" t="s">
        <v>14111</v>
      </c>
      <c r="C7538" s="9" t="s">
        <v>14112</v>
      </c>
      <c r="D7538" s="9" t="s">
        <v>73</v>
      </c>
      <c r="E7538" s="6" t="s">
        <v>14116</v>
      </c>
      <c r="F7538" s="9"/>
    </row>
    <row r="7539" ht="33.75" customHeight="1">
      <c r="A7539" s="7">
        <v>281.0</v>
      </c>
      <c r="B7539" s="9" t="s">
        <v>14111</v>
      </c>
      <c r="C7539" s="9" t="s">
        <v>14112</v>
      </c>
      <c r="D7539" s="9" t="s">
        <v>75</v>
      </c>
      <c r="E7539" s="6" t="s">
        <v>14117</v>
      </c>
      <c r="F7539" s="9"/>
    </row>
    <row r="7540" ht="33.75" customHeight="1">
      <c r="A7540" s="7">
        <v>281.0</v>
      </c>
      <c r="B7540" s="9" t="s">
        <v>14111</v>
      </c>
      <c r="C7540" s="9" t="s">
        <v>14112</v>
      </c>
      <c r="D7540" s="9" t="s">
        <v>79</v>
      </c>
      <c r="E7540" s="6" t="s">
        <v>14117</v>
      </c>
      <c r="F7540" s="9"/>
    </row>
    <row r="7541" ht="33.75" customHeight="1">
      <c r="A7541" s="7">
        <v>281.0</v>
      </c>
      <c r="B7541" s="9" t="s">
        <v>14111</v>
      </c>
      <c r="C7541" s="9" t="s">
        <v>14112</v>
      </c>
      <c r="D7541" s="9" t="s">
        <v>81</v>
      </c>
      <c r="E7541" s="6" t="s">
        <v>14118</v>
      </c>
      <c r="F7541" s="9"/>
    </row>
    <row r="7542" ht="33.75" customHeight="1">
      <c r="A7542" s="7">
        <v>281.0</v>
      </c>
      <c r="B7542" s="9" t="s">
        <v>14111</v>
      </c>
      <c r="C7542" s="9" t="s">
        <v>14112</v>
      </c>
      <c r="D7542" s="9" t="s">
        <v>84</v>
      </c>
      <c r="E7542" s="6" t="s">
        <v>14118</v>
      </c>
      <c r="F7542" s="9"/>
    </row>
    <row r="7543" ht="33.75" customHeight="1">
      <c r="A7543" s="7">
        <v>281.0</v>
      </c>
      <c r="B7543" s="9" t="s">
        <v>14111</v>
      </c>
      <c r="C7543" s="9" t="s">
        <v>14112</v>
      </c>
      <c r="D7543" s="9" t="s">
        <v>87</v>
      </c>
      <c r="E7543" s="6" t="s">
        <v>14119</v>
      </c>
      <c r="F7543" s="9"/>
    </row>
    <row r="7544" ht="33.75" customHeight="1">
      <c r="A7544" s="7">
        <v>281.0</v>
      </c>
      <c r="B7544" s="9" t="s">
        <v>14111</v>
      </c>
      <c r="C7544" s="9" t="s">
        <v>14112</v>
      </c>
      <c r="D7544" s="9" t="s">
        <v>89</v>
      </c>
      <c r="E7544" s="6" t="s">
        <v>14120</v>
      </c>
      <c r="F7544" s="9"/>
    </row>
    <row r="7545" ht="33.75" customHeight="1">
      <c r="A7545" s="7">
        <v>281.0</v>
      </c>
      <c r="B7545" s="9" t="s">
        <v>14111</v>
      </c>
      <c r="C7545" s="9" t="s">
        <v>14112</v>
      </c>
      <c r="D7545" s="9" t="s">
        <v>91</v>
      </c>
      <c r="E7545" s="6" t="s">
        <v>14120</v>
      </c>
      <c r="F7545" s="9"/>
    </row>
    <row r="7546" ht="33.75" customHeight="1">
      <c r="A7546" s="7">
        <v>281.0</v>
      </c>
      <c r="B7546" s="9" t="s">
        <v>14111</v>
      </c>
      <c r="C7546" s="9" t="s">
        <v>14112</v>
      </c>
      <c r="D7546" s="9" t="s">
        <v>93</v>
      </c>
      <c r="E7546" s="6" t="s">
        <v>14119</v>
      </c>
      <c r="F7546" s="9"/>
    </row>
    <row r="7547" ht="33.75" customHeight="1">
      <c r="A7547" s="7">
        <v>281.0</v>
      </c>
      <c r="B7547" s="9" t="s">
        <v>14111</v>
      </c>
      <c r="C7547" s="9" t="s">
        <v>14112</v>
      </c>
      <c r="D7547" s="9" t="s">
        <v>95</v>
      </c>
      <c r="E7547" s="6" t="s">
        <v>14119</v>
      </c>
      <c r="F7547" s="9"/>
    </row>
    <row r="7548" ht="33.75" customHeight="1">
      <c r="A7548" s="7">
        <v>281.0</v>
      </c>
      <c r="B7548" s="9" t="s">
        <v>14111</v>
      </c>
      <c r="C7548" s="9" t="s">
        <v>14112</v>
      </c>
      <c r="D7548" s="9" t="s">
        <v>98</v>
      </c>
      <c r="E7548" s="6" t="s">
        <v>14119</v>
      </c>
      <c r="F7548" s="9"/>
    </row>
    <row r="7549" ht="33.75" customHeight="1">
      <c r="A7549" s="7">
        <v>281.0</v>
      </c>
      <c r="B7549" s="9" t="s">
        <v>14111</v>
      </c>
      <c r="C7549" s="9" t="s">
        <v>14112</v>
      </c>
      <c r="D7549" s="9" t="s">
        <v>99</v>
      </c>
      <c r="E7549" s="6" t="s">
        <v>14119</v>
      </c>
      <c r="F7549" s="9"/>
    </row>
    <row r="7550" ht="33.75" customHeight="1">
      <c r="A7550" s="7">
        <v>281.0</v>
      </c>
      <c r="B7550" s="9" t="s">
        <v>14111</v>
      </c>
      <c r="C7550" s="9" t="s">
        <v>14112</v>
      </c>
      <c r="D7550" s="9" t="s">
        <v>101</v>
      </c>
      <c r="E7550" s="6" t="s">
        <v>14121</v>
      </c>
      <c r="F7550" s="9"/>
    </row>
    <row r="7551" ht="33.75" customHeight="1">
      <c r="A7551" s="7">
        <v>281.0</v>
      </c>
      <c r="B7551" s="9" t="s">
        <v>14111</v>
      </c>
      <c r="C7551" s="9" t="s">
        <v>14112</v>
      </c>
      <c r="D7551" s="9" t="s">
        <v>105</v>
      </c>
      <c r="E7551" s="6" t="s">
        <v>14120</v>
      </c>
      <c r="F7551" s="9"/>
    </row>
    <row r="7552" ht="33.75" customHeight="1">
      <c r="A7552" s="7">
        <v>281.0</v>
      </c>
      <c r="B7552" s="9" t="s">
        <v>14111</v>
      </c>
      <c r="C7552" s="9" t="s">
        <v>14112</v>
      </c>
      <c r="D7552" s="9" t="s">
        <v>107</v>
      </c>
      <c r="E7552" s="6" t="s">
        <v>14122</v>
      </c>
      <c r="F7552" s="9"/>
    </row>
    <row r="7553" ht="33.75" customHeight="1">
      <c r="A7553" s="7">
        <v>281.0</v>
      </c>
      <c r="B7553" s="9" t="s">
        <v>14111</v>
      </c>
      <c r="C7553" s="9" t="s">
        <v>14112</v>
      </c>
      <c r="D7553" s="9" t="s">
        <v>109</v>
      </c>
      <c r="E7553" s="6" t="s">
        <v>14123</v>
      </c>
      <c r="F7553" s="9"/>
    </row>
    <row r="7554" ht="33.75" customHeight="1">
      <c r="A7554" s="7">
        <v>281.0</v>
      </c>
      <c r="B7554" s="9" t="s">
        <v>14111</v>
      </c>
      <c r="C7554" s="9" t="s">
        <v>14112</v>
      </c>
      <c r="D7554" s="9" t="s">
        <v>114</v>
      </c>
      <c r="E7554" s="6" t="s">
        <v>14119</v>
      </c>
      <c r="F7554" s="9"/>
    </row>
    <row r="7555" ht="33.75" customHeight="1">
      <c r="A7555" s="7">
        <v>281.0</v>
      </c>
      <c r="B7555" s="9" t="s">
        <v>14111</v>
      </c>
      <c r="C7555" s="9" t="s">
        <v>14112</v>
      </c>
      <c r="D7555" s="9" t="s">
        <v>117</v>
      </c>
      <c r="E7555" s="6" t="s">
        <v>14120</v>
      </c>
      <c r="F7555" s="9"/>
    </row>
    <row r="7556" ht="33.75" customHeight="1">
      <c r="A7556" s="7">
        <v>281.0</v>
      </c>
      <c r="B7556" s="9" t="s">
        <v>14111</v>
      </c>
      <c r="C7556" s="9" t="s">
        <v>14112</v>
      </c>
      <c r="D7556" s="9" t="s">
        <v>1577</v>
      </c>
      <c r="E7556" s="6" t="s">
        <v>14124</v>
      </c>
      <c r="F7556" s="9"/>
    </row>
    <row r="7557" ht="33.75" customHeight="1">
      <c r="A7557" s="7">
        <v>282.0</v>
      </c>
      <c r="B7557" s="9" t="s">
        <v>14125</v>
      </c>
      <c r="C7557" s="9" t="s">
        <v>14126</v>
      </c>
      <c r="D7557" s="9" t="s">
        <v>67</v>
      </c>
      <c r="E7557" s="6" t="s">
        <v>14127</v>
      </c>
      <c r="F7557" t="inlineStr" s="10">
        <is>
          <t xml:space="preserve">GARDEVOIRilla on kyky lukea tulevaisuutta. Jos se aistii uhkaavan vaaran KOULUTTAJAANSA kohtaan, tämän POKéMONin sanotaan vapauttavan psykokineettisen energiansa täydellä teholla. GARDEVOIRilla on psykokineettinen kyky vääristää ulottuvuuksia ja luoda pieni musta aukko. Tämä POKéMON yrittää suojella KOULUTTAJAANSA jopa oman henkensä uhalla. Se ei ilmeisesti tunne painovoiman vetovoimaa, koska se tukee itseään psyykkisellä voimalla. Se antaa henkensä suojellakseen KOULUTTAJAANSA. Sillä on kyky ennustaa tulevaisuutta. Sen voima on huipussaan, kun se suojelee KOULUTTAJAANSA. Se yrittää suojella luotettavaa kouluttajaansa hengellään. Sillä on kyky nähdä tulevaisuuteen. Suojellakseen kouluttajaansa se käyttää kaikki psyykkiset voimansa luodakseen pienen mustan aukon. Se vapauttaa psykokineettistä energiaa täydellä teholla suojellessaan kouluttajaa, johon se on luonut läheisen siteen. Jos se aistii kouluttajaansa uhkaavan vaaran, tämän Pokémonin sanotaan vapauttavan psykokineettisen energiansa täydellä teholla. Se omistautuu puolustamaan mestaria, jota se on tullut palvomaan. Sen puhtaanvalkoinen puku, joka muistuttaa aatelisten naisten pukua, on sellaisen puku, joka on valmis vaarantamaan henkensä.</t>
        </is>
      </c>
    </row>
    <row r="7558" ht="33.75" customHeight="1">
      <c r="A7558" s="7">
        <v>282.0</v>
      </c>
      <c r="B7558" s="9" t="s">
        <v>14125</v>
      </c>
      <c r="C7558" s="9" t="s">
        <v>14126</v>
      </c>
      <c r="D7558" s="9" t="s">
        <v>71</v>
      </c>
      <c r="E7558" s="6" t="s">
        <v>14128</v>
      </c>
      <c r="F7558" s="9"/>
    </row>
    <row r="7559" ht="33.75" customHeight="1">
      <c r="A7559" s="7">
        <v>282.0</v>
      </c>
      <c r="B7559" s="9" t="s">
        <v>14125</v>
      </c>
      <c r="C7559" s="9" t="s">
        <v>14126</v>
      </c>
      <c r="D7559" s="9" t="s">
        <v>73</v>
      </c>
      <c r="E7559" s="6" t="s">
        <v>14129</v>
      </c>
      <c r="F7559" s="9"/>
    </row>
    <row r="7560" ht="33.75" customHeight="1">
      <c r="A7560" s="7">
        <v>282.0</v>
      </c>
      <c r="B7560" s="9" t="s">
        <v>14125</v>
      </c>
      <c r="C7560" s="9" t="s">
        <v>14126</v>
      </c>
      <c r="D7560" s="9" t="s">
        <v>75</v>
      </c>
      <c r="E7560" s="6" t="s">
        <v>14130</v>
      </c>
      <c r="F7560" s="9"/>
    </row>
    <row r="7561" ht="33.75" customHeight="1">
      <c r="A7561" s="7">
        <v>282.0</v>
      </c>
      <c r="B7561" s="9" t="s">
        <v>14125</v>
      </c>
      <c r="C7561" s="9" t="s">
        <v>14126</v>
      </c>
      <c r="D7561" s="9" t="s">
        <v>79</v>
      </c>
      <c r="E7561" s="6" t="s">
        <v>14130</v>
      </c>
      <c r="F7561" s="9"/>
    </row>
    <row r="7562" ht="33.75" customHeight="1">
      <c r="A7562" s="7">
        <v>282.0</v>
      </c>
      <c r="B7562" s="9" t="s">
        <v>14125</v>
      </c>
      <c r="C7562" s="9" t="s">
        <v>14126</v>
      </c>
      <c r="D7562" s="9" t="s">
        <v>81</v>
      </c>
      <c r="E7562" s="6" t="s">
        <v>14132</v>
      </c>
      <c r="F7562" s="9"/>
    </row>
    <row r="7563" ht="33.75" customHeight="1">
      <c r="A7563" s="7">
        <v>282.0</v>
      </c>
      <c r="B7563" s="9" t="s">
        <v>14125</v>
      </c>
      <c r="C7563" s="9" t="s">
        <v>14126</v>
      </c>
      <c r="D7563" s="9" t="s">
        <v>84</v>
      </c>
      <c r="E7563" s="6" t="s">
        <v>14132</v>
      </c>
      <c r="F7563" s="9"/>
    </row>
    <row r="7564" ht="33.75" customHeight="1">
      <c r="A7564" s="7">
        <v>282.0</v>
      </c>
      <c r="B7564" s="9" t="s">
        <v>14125</v>
      </c>
      <c r="C7564" s="9" t="s">
        <v>14126</v>
      </c>
      <c r="D7564" s="9" t="s">
        <v>87</v>
      </c>
      <c r="E7564" s="6" t="s">
        <v>14133</v>
      </c>
      <c r="F7564" s="9"/>
    </row>
    <row r="7565" ht="33.75" customHeight="1">
      <c r="A7565" s="7">
        <v>282.0</v>
      </c>
      <c r="B7565" s="9" t="s">
        <v>14125</v>
      </c>
      <c r="C7565" s="9" t="s">
        <v>14126</v>
      </c>
      <c r="D7565" s="9" t="s">
        <v>89</v>
      </c>
      <c r="E7565" s="6" t="s">
        <v>14134</v>
      </c>
      <c r="F7565" s="9"/>
    </row>
    <row r="7566" ht="33.75" customHeight="1">
      <c r="A7566" s="7">
        <v>282.0</v>
      </c>
      <c r="B7566" s="9" t="s">
        <v>14125</v>
      </c>
      <c r="C7566" s="9" t="s">
        <v>14126</v>
      </c>
      <c r="D7566" s="9" t="s">
        <v>91</v>
      </c>
      <c r="E7566" s="6" t="s">
        <v>14134</v>
      </c>
      <c r="F7566" s="9"/>
    </row>
    <row r="7567" ht="33.75" customHeight="1">
      <c r="A7567" s="7">
        <v>282.0</v>
      </c>
      <c r="B7567" s="9" t="s">
        <v>14125</v>
      </c>
      <c r="C7567" s="9" t="s">
        <v>14126</v>
      </c>
      <c r="D7567" s="9" t="s">
        <v>93</v>
      </c>
      <c r="E7567" s="6" t="s">
        <v>14133</v>
      </c>
      <c r="F7567" s="9"/>
    </row>
    <row r="7568" ht="33.75" customHeight="1">
      <c r="A7568" s="7">
        <v>282.0</v>
      </c>
      <c r="B7568" s="9" t="s">
        <v>14125</v>
      </c>
      <c r="C7568" s="9" t="s">
        <v>14126</v>
      </c>
      <c r="D7568" s="9" t="s">
        <v>95</v>
      </c>
      <c r="E7568" s="6" t="s">
        <v>14133</v>
      </c>
      <c r="F7568" s="9"/>
    </row>
    <row r="7569" ht="33.75" customHeight="1">
      <c r="A7569" s="7">
        <v>282.0</v>
      </c>
      <c r="B7569" s="9" t="s">
        <v>14125</v>
      </c>
      <c r="C7569" s="9" t="s">
        <v>14126</v>
      </c>
      <c r="D7569" s="9" t="s">
        <v>98</v>
      </c>
      <c r="E7569" s="6" t="s">
        <v>14133</v>
      </c>
      <c r="F7569" s="9"/>
    </row>
    <row r="7570" ht="33.75" customHeight="1">
      <c r="A7570" s="7">
        <v>282.0</v>
      </c>
      <c r="B7570" s="9" t="s">
        <v>14125</v>
      </c>
      <c r="C7570" s="9" t="s">
        <v>14126</v>
      </c>
      <c r="D7570" s="9" t="s">
        <v>99</v>
      </c>
      <c r="E7570" s="6" t="s">
        <v>14133</v>
      </c>
      <c r="F7570" s="9"/>
    </row>
    <row r="7571" ht="33.75" customHeight="1">
      <c r="A7571" s="7">
        <v>282.0</v>
      </c>
      <c r="B7571" s="9" t="s">
        <v>14125</v>
      </c>
      <c r="C7571" s="9" t="s">
        <v>14126</v>
      </c>
      <c r="D7571" s="9" t="s">
        <v>101</v>
      </c>
      <c r="E7571" s="6" t="s">
        <v>14133</v>
      </c>
      <c r="F7571" s="9"/>
    </row>
    <row r="7572" ht="33.75" customHeight="1">
      <c r="A7572" s="7">
        <v>282.0</v>
      </c>
      <c r="B7572" s="9" t="s">
        <v>14125</v>
      </c>
      <c r="C7572" s="9" t="s">
        <v>14126</v>
      </c>
      <c r="D7572" s="9" t="s">
        <v>105</v>
      </c>
      <c r="E7572" s="6" t="s">
        <v>14135</v>
      </c>
      <c r="F7572" s="9"/>
    </row>
    <row r="7573" ht="33.75" customHeight="1">
      <c r="A7573" s="7">
        <v>282.0</v>
      </c>
      <c r="B7573" s="9" t="s">
        <v>14125</v>
      </c>
      <c r="C7573" s="9" t="s">
        <v>14126</v>
      </c>
      <c r="D7573" s="9" t="s">
        <v>107</v>
      </c>
      <c r="E7573" s="6" t="s">
        <v>14136</v>
      </c>
      <c r="F7573" s="9"/>
    </row>
    <row r="7574" ht="33.75" customHeight="1">
      <c r="A7574" s="7">
        <v>282.0</v>
      </c>
      <c r="B7574" s="9" t="s">
        <v>14125</v>
      </c>
      <c r="C7574" s="9" t="s">
        <v>14126</v>
      </c>
      <c r="D7574" s="9" t="s">
        <v>109</v>
      </c>
      <c r="E7574" s="6" t="s">
        <v>14137</v>
      </c>
      <c r="F7574" s="9"/>
    </row>
    <row r="7575" ht="33.75" customHeight="1">
      <c r="A7575" s="7">
        <v>282.0</v>
      </c>
      <c r="B7575" s="9" t="s">
        <v>14125</v>
      </c>
      <c r="C7575" s="9" t="s">
        <v>14126</v>
      </c>
      <c r="D7575" s="9" t="s">
        <v>114</v>
      </c>
      <c r="E7575" s="6" t="s">
        <v>14135</v>
      </c>
      <c r="F7575" s="9"/>
    </row>
    <row r="7576" ht="33.75" customHeight="1">
      <c r="A7576" s="7">
        <v>282.0</v>
      </c>
      <c r="B7576" s="9" t="s">
        <v>14125</v>
      </c>
      <c r="C7576" s="9" t="s">
        <v>14126</v>
      </c>
      <c r="D7576" s="9" t="s">
        <v>117</v>
      </c>
      <c r="E7576" s="6" t="s">
        <v>14133</v>
      </c>
      <c r="F7576" s="9"/>
    </row>
    <row r="7577" ht="33.75" customHeight="1">
      <c r="A7577" s="7">
        <v>282.0</v>
      </c>
      <c r="B7577" s="9" t="s">
        <v>14125</v>
      </c>
      <c r="C7577" s="9" t="s">
        <v>14126</v>
      </c>
      <c r="D7577" s="9" t="s">
        <v>1577</v>
      </c>
      <c r="E7577" s="6" t="s">
        <v>14138</v>
      </c>
      <c r="F7577" s="9"/>
    </row>
    <row r="7578" ht="33.75" customHeight="1">
      <c r="A7578" s="7">
        <v>283.0</v>
      </c>
      <c r="B7578" s="9" t="s">
        <v>14139</v>
      </c>
      <c r="C7578" s="9" t="s">
        <v>14140</v>
      </c>
      <c r="D7578" s="9" t="s">
        <v>67</v>
      </c>
      <c r="E7578" s="6" t="s">
        <v>14141</v>
      </c>
      <c r="F7578" t="inlineStr" s="10">
        <is>
          <t xml:space="preserve">Jalkojensa kärjistä SURSKIT erittää öljyä, jonka avulla se voi kävellä veden päällä aivan kuin se luistelisi. Tämä POKéMON syö lammikoissa ja järvissä eläviä mikroskooppisia organismeja. Jos SURSKIT aistii vaaran, se erittää päänsä päästä paksua, sokerista siirappia. Jotkut POKéMONIT rakastavat syödä tätä siirappia. Ne kerääntyvät lätäköille iltaisten rankkasateiden jälkeen ja liukuvat veden pinnalla kuin liukuen. Se erittää päästään makean tuoksuista hunajaa. Ne elävät yleensä lammikoissa, mutta iltasateen jälkeen ne saattavat ilmestyä kaupunkien lätäköille. Se näyttää siltä kuin luistelisi veden päällä. Se houkuttelee saalista päänsä päästä leviävällä makealla tuoksulla. Se erittää päänsä kärjestä paksua, makeantuoksuista siirappia. Se elää rikkaruohojen tukemissa lammissa. Se liikkuu ikään kuin luistelisi veden pinnalla. Se usein tappelee Kastehämähäkin kanssa ruoasta. Kun tämä Pokémon aistii vaaran, sen pään päästä tihkuu makeaa nestettä. Sen maku inhottaa lintu-Pokémoneja. Hädässä se erittää päänsä päästä makeaa nestettä. Tästä nesteestä tehty siirappi maistuu leivän päällä. Se elää lammikoissa ja soilla, joissa on runsas kasvillisuus. Se usein taistelee kastikehämähäkkien kanssa, joiden elinympäristö ja ruokavalio ovat samankaltaisia.</t>
        </is>
      </c>
    </row>
    <row r="7579" ht="33.75" customHeight="1">
      <c r="A7579" s="7">
        <v>283.0</v>
      </c>
      <c r="B7579" s="9" t="s">
        <v>14139</v>
      </c>
      <c r="C7579" s="9" t="s">
        <v>14140</v>
      </c>
      <c r="D7579" s="9" t="s">
        <v>71</v>
      </c>
      <c r="E7579" s="6" t="s">
        <v>14142</v>
      </c>
      <c r="F7579" s="9"/>
    </row>
    <row r="7580" ht="33.75" customHeight="1">
      <c r="A7580" s="7">
        <v>283.0</v>
      </c>
      <c r="B7580" s="9" t="s">
        <v>14139</v>
      </c>
      <c r="C7580" s="9" t="s">
        <v>14140</v>
      </c>
      <c r="D7580" s="9" t="s">
        <v>73</v>
      </c>
      <c r="E7580" s="6" t="s">
        <v>14143</v>
      </c>
      <c r="F7580" s="9"/>
    </row>
    <row r="7581" ht="33.75" customHeight="1">
      <c r="A7581" s="7">
        <v>283.0</v>
      </c>
      <c r="B7581" s="9" t="s">
        <v>14139</v>
      </c>
      <c r="C7581" s="9" t="s">
        <v>14140</v>
      </c>
      <c r="D7581" s="9" t="s">
        <v>75</v>
      </c>
      <c r="E7581" s="6" t="s">
        <v>14144</v>
      </c>
      <c r="F7581" s="9"/>
    </row>
    <row r="7582" ht="33.75" customHeight="1">
      <c r="A7582" s="7">
        <v>283.0</v>
      </c>
      <c r="B7582" s="9" t="s">
        <v>14139</v>
      </c>
      <c r="C7582" s="9" t="s">
        <v>14140</v>
      </c>
      <c r="D7582" s="9" t="s">
        <v>79</v>
      </c>
      <c r="E7582" s="6" t="s">
        <v>14144</v>
      </c>
      <c r="F7582" s="9"/>
    </row>
    <row r="7583" ht="33.75" customHeight="1">
      <c r="A7583" s="7">
        <v>283.0</v>
      </c>
      <c r="B7583" s="9" t="s">
        <v>14139</v>
      </c>
      <c r="C7583" s="9" t="s">
        <v>14140</v>
      </c>
      <c r="D7583" s="9" t="s">
        <v>81</v>
      </c>
      <c r="E7583" s="6" t="s">
        <v>14145</v>
      </c>
      <c r="F7583" s="9"/>
    </row>
    <row r="7584" ht="33.75" customHeight="1">
      <c r="A7584" s="7">
        <v>283.0</v>
      </c>
      <c r="B7584" s="9" t="s">
        <v>14139</v>
      </c>
      <c r="C7584" s="9" t="s">
        <v>14140</v>
      </c>
      <c r="D7584" s="9" t="s">
        <v>84</v>
      </c>
      <c r="E7584" s="6" t="s">
        <v>14145</v>
      </c>
      <c r="F7584" s="9"/>
    </row>
    <row r="7585" ht="33.75" customHeight="1">
      <c r="A7585" s="7">
        <v>283.0</v>
      </c>
      <c r="B7585" s="9" t="s">
        <v>14139</v>
      </c>
      <c r="C7585" s="9" t="s">
        <v>14140</v>
      </c>
      <c r="D7585" s="9" t="s">
        <v>87</v>
      </c>
      <c r="E7585" s="6" t="s">
        <v>14145</v>
      </c>
      <c r="F7585" s="9"/>
    </row>
    <row r="7586" ht="33.75" customHeight="1">
      <c r="A7586" s="7">
        <v>283.0</v>
      </c>
      <c r="B7586" s="9" t="s">
        <v>14139</v>
      </c>
      <c r="C7586" s="9" t="s">
        <v>14140</v>
      </c>
      <c r="D7586" s="9" t="s">
        <v>89</v>
      </c>
      <c r="E7586" s="6" t="s">
        <v>14146</v>
      </c>
      <c r="F7586" s="9"/>
    </row>
    <row r="7587" ht="33.75" customHeight="1">
      <c r="A7587" s="7">
        <v>283.0</v>
      </c>
      <c r="B7587" s="9" t="s">
        <v>14139</v>
      </c>
      <c r="C7587" s="9" t="s">
        <v>14140</v>
      </c>
      <c r="D7587" s="9" t="s">
        <v>91</v>
      </c>
      <c r="E7587" s="6" t="s">
        <v>14146</v>
      </c>
      <c r="F7587" s="9"/>
    </row>
    <row r="7588" ht="33.75" customHeight="1">
      <c r="A7588" s="7">
        <v>283.0</v>
      </c>
      <c r="B7588" s="9" t="s">
        <v>14139</v>
      </c>
      <c r="C7588" s="9" t="s">
        <v>14140</v>
      </c>
      <c r="D7588" s="9" t="s">
        <v>93</v>
      </c>
      <c r="E7588" s="6" t="s">
        <v>14145</v>
      </c>
      <c r="F7588" s="9"/>
    </row>
    <row r="7589" ht="33.75" customHeight="1">
      <c r="A7589" s="7">
        <v>283.0</v>
      </c>
      <c r="B7589" s="9" t="s">
        <v>14139</v>
      </c>
      <c r="C7589" s="9" t="s">
        <v>14140</v>
      </c>
      <c r="D7589" s="9" t="s">
        <v>95</v>
      </c>
      <c r="E7589" s="6" t="s">
        <v>14145</v>
      </c>
      <c r="F7589" s="9"/>
    </row>
    <row r="7590" ht="33.75" customHeight="1">
      <c r="A7590" s="7">
        <v>283.0</v>
      </c>
      <c r="B7590" s="9" t="s">
        <v>14139</v>
      </c>
      <c r="C7590" s="9" t="s">
        <v>14140</v>
      </c>
      <c r="D7590" s="9" t="s">
        <v>98</v>
      </c>
      <c r="E7590" s="6" t="s">
        <v>14145</v>
      </c>
      <c r="F7590" s="9"/>
    </row>
    <row r="7591" ht="33.75" customHeight="1">
      <c r="A7591" s="7">
        <v>283.0</v>
      </c>
      <c r="B7591" s="9" t="s">
        <v>14139</v>
      </c>
      <c r="C7591" s="9" t="s">
        <v>14140</v>
      </c>
      <c r="D7591" s="9" t="s">
        <v>99</v>
      </c>
      <c r="E7591" s="6" t="s">
        <v>14145</v>
      </c>
      <c r="F7591" s="9"/>
    </row>
    <row r="7592" ht="33.75" customHeight="1">
      <c r="A7592" s="7">
        <v>283.0</v>
      </c>
      <c r="B7592" s="9" t="s">
        <v>14139</v>
      </c>
      <c r="C7592" s="9" t="s">
        <v>14140</v>
      </c>
      <c r="D7592" s="9" t="s">
        <v>101</v>
      </c>
      <c r="E7592" s="6" t="s">
        <v>14144</v>
      </c>
      <c r="F7592" s="9"/>
    </row>
    <row r="7593" ht="33.75" customHeight="1">
      <c r="A7593" s="7">
        <v>283.0</v>
      </c>
      <c r="B7593" s="9" t="s">
        <v>14139</v>
      </c>
      <c r="C7593" s="9" t="s">
        <v>14140</v>
      </c>
      <c r="D7593" s="9" t="s">
        <v>105</v>
      </c>
      <c r="E7593" s="6" t="s">
        <v>14145</v>
      </c>
      <c r="F7593" s="9"/>
    </row>
    <row r="7594" ht="33.75" customHeight="1">
      <c r="A7594" s="7">
        <v>283.0</v>
      </c>
      <c r="B7594" s="9" t="s">
        <v>14139</v>
      </c>
      <c r="C7594" s="9" t="s">
        <v>14140</v>
      </c>
      <c r="D7594" s="9" t="s">
        <v>107</v>
      </c>
      <c r="E7594" s="6" t="s">
        <v>14147</v>
      </c>
      <c r="F7594" s="9"/>
    </row>
    <row r="7595" ht="33.75" customHeight="1">
      <c r="A7595" s="7">
        <v>283.0</v>
      </c>
      <c r="B7595" s="9" t="s">
        <v>14139</v>
      </c>
      <c r="C7595" s="9" t="s">
        <v>14140</v>
      </c>
      <c r="D7595" s="9" t="s">
        <v>109</v>
      </c>
      <c r="E7595" s="6" t="s">
        <v>14149</v>
      </c>
      <c r="F7595" s="9"/>
    </row>
    <row r="7596" ht="33.75" customHeight="1">
      <c r="A7596" s="7">
        <v>283.0</v>
      </c>
      <c r="B7596" s="9" t="s">
        <v>14139</v>
      </c>
      <c r="C7596" s="9" t="s">
        <v>14140</v>
      </c>
      <c r="D7596" s="9" t="s">
        <v>637</v>
      </c>
      <c r="E7596" s="6" t="s">
        <v>14150</v>
      </c>
      <c r="F7596" s="9"/>
    </row>
    <row r="7597" ht="33.75" customHeight="1">
      <c r="A7597" s="7">
        <v>283.0</v>
      </c>
      <c r="B7597" s="9" t="s">
        <v>14139</v>
      </c>
      <c r="C7597" s="9" t="s">
        <v>14140</v>
      </c>
      <c r="D7597" s="9" t="s">
        <v>642</v>
      </c>
      <c r="E7597" s="6" t="s">
        <v>14151</v>
      </c>
      <c r="F7597" s="9"/>
    </row>
    <row r="7598" ht="33.75" customHeight="1">
      <c r="A7598" s="7">
        <v>283.0</v>
      </c>
      <c r="B7598" s="9" t="s">
        <v>14139</v>
      </c>
      <c r="C7598" s="9" t="s">
        <v>14140</v>
      </c>
      <c r="D7598" s="9" t="s">
        <v>647</v>
      </c>
      <c r="E7598" s="6" t="s">
        <v>14152</v>
      </c>
      <c r="F7598" s="9"/>
    </row>
    <row r="7599" ht="33.75" customHeight="1">
      <c r="A7599" s="7">
        <v>283.0</v>
      </c>
      <c r="B7599" s="9" t="s">
        <v>14139</v>
      </c>
      <c r="C7599" s="9" t="s">
        <v>14140</v>
      </c>
      <c r="D7599" s="9" t="s">
        <v>652</v>
      </c>
      <c r="E7599" s="6" t="s">
        <v>14153</v>
      </c>
      <c r="F7599" s="9"/>
    </row>
    <row r="7600" ht="33.75" customHeight="1">
      <c r="A7600" s="7">
        <v>284.0</v>
      </c>
      <c r="B7600" s="9" t="s">
        <v>14154</v>
      </c>
      <c r="C7600" s="9" t="s">
        <v>14155</v>
      </c>
      <c r="D7600" s="9" t="s">
        <v>67</v>
      </c>
      <c r="E7600" s="6" t="s">
        <v>14156</v>
      </c>
      <c r="F7600" t="inlineStr" s="10">
        <is>
          <t xml:space="preserve">MASQUERAIN pelottelee vihollisia antenniensa silmänmuotoisilla kuvioilla. Tämä POKéMON räpyttelee neljää siipeään lentääkseen vapaasti mihin tahansa suuntaan – jopa sivuttain ja taaksepäin – aivan kuin se olisi helikopteri. MASQUERAINin tuntosarvissa on silmän kaltaisia ​​kuvioita, jotka yleensä antavat sille vihaisen ilmeen. Jos "silmät" ovat roikkuneet ja näyttävät surullisilta, sen sanotaan olevan merkki lähestyvästä rankkasateesta. Se pelottelee vihollisia tuntosarviensa suurilla, silmän kaltaisilla kuvioilla. Koska se ei voi lentää, jos sen siivet kastuvat, se suojaa itseään sateelta suurten puiden ja räystäiden alle. Tuntosarvien kuviot muistuttavat silmiä. Sateella ne painavat, mikä tekee lentämisestä mahdotonta. Sen tuntosarvissa on silmäkuviot. Sen neljä siipeä mahdollistavat sen leijumisen ja lentämisen mihin tahansa suuntaan. Se räpyttelee neljää siipeään leijuakseen ja lentääkseen vapaasti mihin tahansa suuntaan – edestakaisin ja sivuille. Se pelottelee vihollisia tuntosarviensa silmän kaltaisilla kuvioilla. Sen neljä siipeä mahdollistavat lennon mihin tahansa suuntaan. Sen siivet ja tuntosarvet eivät kestä hyvin kosteutta. Sateen jälkeen se kääntyy aurinkoon kuivuakseen. Naamioitunut pelottelee vihollisia silmätäpliensä silmänkaltaisilla kuvioilla. Jos se ei auta, se pakenee taitavasti neljällä siivellään. Sen ohuet, siipimäiset tuntosarvet vaimentavat ääntä tehokkaasti. Se odottaa sateisia päiviä puiden koloissa.</t>
        </is>
      </c>
    </row>
    <row r="7601" ht="33.75" customHeight="1">
      <c r="A7601" s="7">
        <v>284.0</v>
      </c>
      <c r="B7601" s="9" t="s">
        <v>14154</v>
      </c>
      <c r="C7601" s="9" t="s">
        <v>14155</v>
      </c>
      <c r="D7601" s="9" t="s">
        <v>71</v>
      </c>
      <c r="E7601" s="6" t="s">
        <v>14157</v>
      </c>
      <c r="F7601" s="9"/>
    </row>
    <row r="7602" ht="33.75" customHeight="1">
      <c r="A7602" s="7">
        <v>284.0</v>
      </c>
      <c r="B7602" s="9" t="s">
        <v>14154</v>
      </c>
      <c r="C7602" s="9" t="s">
        <v>14155</v>
      </c>
      <c r="D7602" s="9" t="s">
        <v>73</v>
      </c>
      <c r="E7602" s="6" t="s">
        <v>14158</v>
      </c>
      <c r="F7602" s="9"/>
    </row>
    <row r="7603" ht="33.75" customHeight="1">
      <c r="A7603" s="7">
        <v>284.0</v>
      </c>
      <c r="B7603" s="9" t="s">
        <v>14154</v>
      </c>
      <c r="C7603" s="9" t="s">
        <v>14155</v>
      </c>
      <c r="D7603" s="9" t="s">
        <v>75</v>
      </c>
      <c r="E7603" s="6" t="s">
        <v>14159</v>
      </c>
      <c r="F7603" s="9"/>
    </row>
    <row r="7604" ht="33.75" customHeight="1">
      <c r="A7604" s="7">
        <v>284.0</v>
      </c>
      <c r="B7604" s="9" t="s">
        <v>14154</v>
      </c>
      <c r="C7604" s="9" t="s">
        <v>14155</v>
      </c>
      <c r="D7604" s="9" t="s">
        <v>79</v>
      </c>
      <c r="E7604" s="6" t="s">
        <v>14159</v>
      </c>
      <c r="F7604" s="9"/>
    </row>
    <row r="7605" ht="33.75" customHeight="1">
      <c r="A7605" s="7">
        <v>284.0</v>
      </c>
      <c r="B7605" s="9" t="s">
        <v>14154</v>
      </c>
      <c r="C7605" s="9" t="s">
        <v>14155</v>
      </c>
      <c r="D7605" s="9" t="s">
        <v>81</v>
      </c>
      <c r="E7605" s="6" t="s">
        <v>14160</v>
      </c>
      <c r="F7605" s="9"/>
    </row>
    <row r="7606" ht="33.75" customHeight="1">
      <c r="A7606" s="7">
        <v>284.0</v>
      </c>
      <c r="B7606" s="9" t="s">
        <v>14154</v>
      </c>
      <c r="C7606" s="9" t="s">
        <v>14155</v>
      </c>
      <c r="D7606" s="9" t="s">
        <v>84</v>
      </c>
      <c r="E7606" s="6" t="s">
        <v>14160</v>
      </c>
      <c r="F7606" s="9"/>
    </row>
    <row r="7607" ht="33.75" customHeight="1">
      <c r="A7607" s="7">
        <v>284.0</v>
      </c>
      <c r="B7607" s="9" t="s">
        <v>14154</v>
      </c>
      <c r="C7607" s="9" t="s">
        <v>14155</v>
      </c>
      <c r="D7607" s="9" t="s">
        <v>87</v>
      </c>
      <c r="E7607" s="6" t="s">
        <v>14160</v>
      </c>
      <c r="F7607" s="9"/>
    </row>
    <row r="7608" ht="33.75" customHeight="1">
      <c r="A7608" s="7">
        <v>284.0</v>
      </c>
      <c r="B7608" s="9" t="s">
        <v>14154</v>
      </c>
      <c r="C7608" s="9" t="s">
        <v>14155</v>
      </c>
      <c r="D7608" s="9" t="s">
        <v>89</v>
      </c>
      <c r="E7608" s="6" t="s">
        <v>14161</v>
      </c>
      <c r="F7608" s="9"/>
    </row>
    <row r="7609" ht="33.75" customHeight="1">
      <c r="A7609" s="7">
        <v>284.0</v>
      </c>
      <c r="B7609" s="9" t="s">
        <v>14154</v>
      </c>
      <c r="C7609" s="9" t="s">
        <v>14155</v>
      </c>
      <c r="D7609" s="9" t="s">
        <v>91</v>
      </c>
      <c r="E7609" s="6" t="s">
        <v>14161</v>
      </c>
      <c r="F7609" s="9"/>
    </row>
    <row r="7610" ht="33.75" customHeight="1">
      <c r="A7610" s="7">
        <v>284.0</v>
      </c>
      <c r="B7610" s="9" t="s">
        <v>14154</v>
      </c>
      <c r="C7610" s="9" t="s">
        <v>14155</v>
      </c>
      <c r="D7610" s="9" t="s">
        <v>93</v>
      </c>
      <c r="E7610" s="6" t="s">
        <v>14160</v>
      </c>
      <c r="F7610" s="9"/>
    </row>
    <row r="7611" ht="33.75" customHeight="1">
      <c r="A7611" s="7">
        <v>284.0</v>
      </c>
      <c r="B7611" s="9" t="s">
        <v>14154</v>
      </c>
      <c r="C7611" s="9" t="s">
        <v>14155</v>
      </c>
      <c r="D7611" s="9" t="s">
        <v>95</v>
      </c>
      <c r="E7611" s="6" t="s">
        <v>14160</v>
      </c>
      <c r="F7611" s="9"/>
    </row>
    <row r="7612" ht="33.75" customHeight="1">
      <c r="A7612" s="7">
        <v>284.0</v>
      </c>
      <c r="B7612" s="9" t="s">
        <v>14154</v>
      </c>
      <c r="C7612" s="9" t="s">
        <v>14155</v>
      </c>
      <c r="D7612" s="9" t="s">
        <v>98</v>
      </c>
      <c r="E7612" s="6" t="s">
        <v>14160</v>
      </c>
      <c r="F7612" s="9"/>
    </row>
    <row r="7613" ht="33.75" customHeight="1">
      <c r="A7613" s="7">
        <v>284.0</v>
      </c>
      <c r="B7613" s="9" t="s">
        <v>14154</v>
      </c>
      <c r="C7613" s="9" t="s">
        <v>14155</v>
      </c>
      <c r="D7613" s="9" t="s">
        <v>99</v>
      </c>
      <c r="E7613" s="6" t="s">
        <v>14160</v>
      </c>
      <c r="F7613" s="9"/>
    </row>
    <row r="7614" ht="33.75" customHeight="1">
      <c r="A7614" s="7">
        <v>284.0</v>
      </c>
      <c r="B7614" s="9" t="s">
        <v>14154</v>
      </c>
      <c r="C7614" s="9" t="s">
        <v>14155</v>
      </c>
      <c r="D7614" s="9" t="s">
        <v>101</v>
      </c>
      <c r="E7614" s="6" t="s">
        <v>14160</v>
      </c>
      <c r="F7614" s="9"/>
    </row>
    <row r="7615" ht="33.75" customHeight="1">
      <c r="A7615" s="7">
        <v>284.0</v>
      </c>
      <c r="B7615" s="9" t="s">
        <v>14154</v>
      </c>
      <c r="C7615" s="9" t="s">
        <v>14155</v>
      </c>
      <c r="D7615" s="9" t="s">
        <v>105</v>
      </c>
      <c r="E7615" s="6" t="s">
        <v>14161</v>
      </c>
      <c r="F7615" s="9"/>
    </row>
    <row r="7616" ht="33.75" customHeight="1">
      <c r="A7616" s="7">
        <v>284.0</v>
      </c>
      <c r="B7616" s="9" t="s">
        <v>14154</v>
      </c>
      <c r="C7616" s="9" t="s">
        <v>14155</v>
      </c>
      <c r="D7616" s="9" t="s">
        <v>107</v>
      </c>
      <c r="E7616" s="6" t="s">
        <v>14162</v>
      </c>
      <c r="F7616" s="9"/>
    </row>
    <row r="7617" ht="33.75" customHeight="1">
      <c r="A7617" s="7">
        <v>284.0</v>
      </c>
      <c r="B7617" s="9" t="s">
        <v>14154</v>
      </c>
      <c r="C7617" s="9" t="s">
        <v>14155</v>
      </c>
      <c r="D7617" s="9" t="s">
        <v>109</v>
      </c>
      <c r="E7617" s="6" t="s">
        <v>14163</v>
      </c>
      <c r="F7617" s="9"/>
    </row>
    <row r="7618" ht="33.75" customHeight="1">
      <c r="A7618" s="7">
        <v>284.0</v>
      </c>
      <c r="B7618" s="9" t="s">
        <v>14154</v>
      </c>
      <c r="C7618" s="9" t="s">
        <v>14155</v>
      </c>
      <c r="D7618" s="9" t="s">
        <v>637</v>
      </c>
      <c r="E7618" s="6" t="s">
        <v>14164</v>
      </c>
      <c r="F7618" s="9"/>
    </row>
    <row r="7619" ht="33.75" customHeight="1">
      <c r="A7619" s="7">
        <v>284.0</v>
      </c>
      <c r="B7619" s="9" t="s">
        <v>14154</v>
      </c>
      <c r="C7619" s="9" t="s">
        <v>14155</v>
      </c>
      <c r="D7619" s="9" t="s">
        <v>642</v>
      </c>
      <c r="E7619" s="6" t="s">
        <v>14165</v>
      </c>
      <c r="F7619" s="9"/>
    </row>
    <row r="7620" ht="33.75" customHeight="1">
      <c r="A7620" s="7">
        <v>284.0</v>
      </c>
      <c r="B7620" s="9" t="s">
        <v>14154</v>
      </c>
      <c r="C7620" s="9" t="s">
        <v>14155</v>
      </c>
      <c r="D7620" s="9" t="s">
        <v>647</v>
      </c>
      <c r="E7620" s="6" t="s">
        <v>14166</v>
      </c>
      <c r="F7620" s="9"/>
    </row>
    <row r="7621" ht="33.75" customHeight="1">
      <c r="A7621" s="7">
        <v>284.0</v>
      </c>
      <c r="B7621" s="9" t="s">
        <v>14154</v>
      </c>
      <c r="C7621" s="9" t="s">
        <v>14155</v>
      </c>
      <c r="D7621" s="9" t="s">
        <v>652</v>
      </c>
      <c r="E7621" s="6" t="s">
        <v>14167</v>
      </c>
      <c r="F7621" s="9"/>
    </row>
    <row r="7622" ht="33.75" customHeight="1">
      <c r="A7622" s="7">
        <v>285.0</v>
      </c>
      <c r="B7622" s="9" t="s">
        <v>14168</v>
      </c>
      <c r="C7622" s="9" t="s">
        <v>2749</v>
      </c>
      <c r="D7622" s="9" t="s">
        <v>67</v>
      </c>
      <c r="E7622" s="6" t="s">
        <v>14169</v>
      </c>
      <c r="F7622" t="inlineStr" s="10">
        <is>
          <t xml:space="preserve">KUKKIASET elävät kosteassa maaperässä metsien pimeissä syvyyksissä. Ne nähdään usein liikkumatta pudonneiden lehtien alla. Tämä POKéMON syö kompostia, joka koostuu pudonneista, lahonneista lehdistä. Jos SHROOMISH aistii vaaran, se ravistelee ruumistaan ​​ja levittää itiöitä päälaeltaan. Tämän POKéMONin itiöt ovat niin myrkyllisiä, että ne saavat puut ja rikkaruohot kuihtumaan. Se rakastaa syödä kosteaa, kompostoitua maata metsissä. Jos menet metsään pitkän sateen jälkeen, voit nähdä monia PERUNOITA herkuttelemassa kompostimullalla. Se viihtyy kosteissa paikoissa. Päivällä se pysyy paikallaan metsän varjossa. Se vapauttaa päästään myrkyllistä jauhetta. Se suihkuttaa myrkkyitiöitä päänsä päältä. Nämä itiöt aiheuttavat kipua kaikkialle iholle hengitettynä. Jos se aistii vaaran, se levittää itiöitä päänsä päältä suojellakseen itseään. Shroomish-pokémonit elävät kosteassa maaperässä metsien pimeissä syvyyksissä.</t>
        </is>
      </c>
    </row>
    <row r="7623" ht="33.75" customHeight="1">
      <c r="A7623" s="7">
        <v>285.0</v>
      </c>
      <c r="B7623" s="9" t="s">
        <v>14168</v>
      </c>
      <c r="C7623" s="9" t="s">
        <v>2749</v>
      </c>
      <c r="D7623" s="9" t="s">
        <v>71</v>
      </c>
      <c r="E7623" s="6" t="s">
        <v>14170</v>
      </c>
      <c r="F7623" s="9"/>
    </row>
    <row r="7624" ht="33.75" customHeight="1">
      <c r="A7624" s="7">
        <v>285.0</v>
      </c>
      <c r="B7624" s="9" t="s">
        <v>14168</v>
      </c>
      <c r="C7624" s="9" t="s">
        <v>2749</v>
      </c>
      <c r="D7624" s="9" t="s">
        <v>73</v>
      </c>
      <c r="E7624" s="6" t="s">
        <v>14171</v>
      </c>
      <c r="F7624" s="9"/>
    </row>
    <row r="7625" ht="33.75" customHeight="1">
      <c r="A7625" s="7">
        <v>285.0</v>
      </c>
      <c r="B7625" s="9" t="s">
        <v>14168</v>
      </c>
      <c r="C7625" s="9" t="s">
        <v>2749</v>
      </c>
      <c r="D7625" s="9" t="s">
        <v>75</v>
      </c>
      <c r="E7625" s="6" t="s">
        <v>14172</v>
      </c>
      <c r="F7625" s="9"/>
    </row>
    <row r="7626" ht="33.75" customHeight="1">
      <c r="A7626" s="7">
        <v>285.0</v>
      </c>
      <c r="B7626" s="9" t="s">
        <v>14168</v>
      </c>
      <c r="C7626" s="9" t="s">
        <v>2749</v>
      </c>
      <c r="D7626" s="9" t="s">
        <v>79</v>
      </c>
      <c r="E7626" s="6" t="s">
        <v>14172</v>
      </c>
      <c r="F7626" s="9"/>
    </row>
    <row r="7627" ht="33.75" customHeight="1">
      <c r="A7627" s="7">
        <v>285.0</v>
      </c>
      <c r="B7627" s="9" t="s">
        <v>14168</v>
      </c>
      <c r="C7627" s="9" t="s">
        <v>2749</v>
      </c>
      <c r="D7627" s="9" t="s">
        <v>81</v>
      </c>
      <c r="E7627" s="6" t="s">
        <v>14173</v>
      </c>
      <c r="F7627" s="9"/>
    </row>
    <row r="7628" ht="33.75" customHeight="1">
      <c r="A7628" s="7">
        <v>285.0</v>
      </c>
      <c r="B7628" s="9" t="s">
        <v>14168</v>
      </c>
      <c r="C7628" s="9" t="s">
        <v>2749</v>
      </c>
      <c r="D7628" s="9" t="s">
        <v>84</v>
      </c>
      <c r="E7628" s="6" t="s">
        <v>14173</v>
      </c>
      <c r="F7628" s="9"/>
    </row>
    <row r="7629" ht="33.75" customHeight="1">
      <c r="A7629" s="7">
        <v>285.0</v>
      </c>
      <c r="B7629" s="9" t="s">
        <v>14168</v>
      </c>
      <c r="C7629" s="9" t="s">
        <v>2749</v>
      </c>
      <c r="D7629" s="9" t="s">
        <v>87</v>
      </c>
      <c r="E7629" s="6" t="s">
        <v>14173</v>
      </c>
      <c r="F7629" s="9"/>
    </row>
    <row r="7630" ht="33.75" customHeight="1">
      <c r="A7630" s="7">
        <v>285.0</v>
      </c>
      <c r="B7630" s="9" t="s">
        <v>14168</v>
      </c>
      <c r="C7630" s="9" t="s">
        <v>2749</v>
      </c>
      <c r="D7630" s="9" t="s">
        <v>89</v>
      </c>
      <c r="E7630" s="6" t="s">
        <v>14175</v>
      </c>
      <c r="F7630" s="9"/>
    </row>
    <row r="7631" ht="33.75" customHeight="1">
      <c r="A7631" s="7">
        <v>285.0</v>
      </c>
      <c r="B7631" s="9" t="s">
        <v>14168</v>
      </c>
      <c r="C7631" s="9" t="s">
        <v>2749</v>
      </c>
      <c r="D7631" s="9" t="s">
        <v>91</v>
      </c>
      <c r="E7631" s="6" t="s">
        <v>14175</v>
      </c>
      <c r="F7631" s="9"/>
    </row>
    <row r="7632" ht="33.75" customHeight="1">
      <c r="A7632" s="7">
        <v>285.0</v>
      </c>
      <c r="B7632" s="9" t="s">
        <v>14168</v>
      </c>
      <c r="C7632" s="9" t="s">
        <v>2749</v>
      </c>
      <c r="D7632" s="9" t="s">
        <v>93</v>
      </c>
      <c r="E7632" s="6" t="s">
        <v>14173</v>
      </c>
      <c r="F7632" s="9"/>
    </row>
    <row r="7633" ht="33.75" customHeight="1">
      <c r="A7633" s="7">
        <v>285.0</v>
      </c>
      <c r="B7633" s="9" t="s">
        <v>14168</v>
      </c>
      <c r="C7633" s="9" t="s">
        <v>2749</v>
      </c>
      <c r="D7633" s="9" t="s">
        <v>95</v>
      </c>
      <c r="E7633" s="6" t="s">
        <v>14173</v>
      </c>
      <c r="F7633" s="9"/>
    </row>
    <row r="7634" ht="33.75" customHeight="1">
      <c r="A7634" s="7">
        <v>285.0</v>
      </c>
      <c r="B7634" s="9" t="s">
        <v>14168</v>
      </c>
      <c r="C7634" s="9" t="s">
        <v>2749</v>
      </c>
      <c r="D7634" s="9" t="s">
        <v>98</v>
      </c>
      <c r="E7634" s="6" t="s">
        <v>14173</v>
      </c>
      <c r="F7634" s="9"/>
    </row>
    <row r="7635" ht="33.75" customHeight="1">
      <c r="A7635" s="7">
        <v>285.0</v>
      </c>
      <c r="B7635" s="9" t="s">
        <v>14168</v>
      </c>
      <c r="C7635" s="9" t="s">
        <v>2749</v>
      </c>
      <c r="D7635" s="9" t="s">
        <v>99</v>
      </c>
      <c r="E7635" s="6" t="s">
        <v>14173</v>
      </c>
      <c r="F7635" s="9"/>
    </row>
    <row r="7636" ht="33.75" customHeight="1">
      <c r="A7636" s="7">
        <v>285.0</v>
      </c>
      <c r="B7636" s="9" t="s">
        <v>14168</v>
      </c>
      <c r="C7636" s="9" t="s">
        <v>2749</v>
      </c>
      <c r="D7636" s="9" t="s">
        <v>101</v>
      </c>
      <c r="E7636" s="6" t="s">
        <v>14172</v>
      </c>
      <c r="F7636" s="9"/>
    </row>
    <row r="7637" ht="33.75" customHeight="1">
      <c r="A7637" s="7">
        <v>285.0</v>
      </c>
      <c r="B7637" s="9" t="s">
        <v>14168</v>
      </c>
      <c r="C7637" s="9" t="s">
        <v>2749</v>
      </c>
      <c r="D7637" s="9" t="s">
        <v>105</v>
      </c>
      <c r="E7637" s="6" t="s">
        <v>14173</v>
      </c>
      <c r="F7637" s="9"/>
    </row>
    <row r="7638" ht="33.75" customHeight="1">
      <c r="A7638" s="7">
        <v>285.0</v>
      </c>
      <c r="B7638" s="9" t="s">
        <v>14168</v>
      </c>
      <c r="C7638" s="9" t="s">
        <v>2749</v>
      </c>
      <c r="D7638" s="9" t="s">
        <v>107</v>
      </c>
      <c r="E7638" s="6" t="s">
        <v>14176</v>
      </c>
      <c r="F7638" s="9"/>
    </row>
    <row r="7639" ht="33.75" customHeight="1">
      <c r="A7639" s="7">
        <v>285.0</v>
      </c>
      <c r="B7639" s="9" t="s">
        <v>14168</v>
      </c>
      <c r="C7639" s="9" t="s">
        <v>2749</v>
      </c>
      <c r="D7639" s="9" t="s">
        <v>109</v>
      </c>
      <c r="E7639" s="6" t="s">
        <v>14177</v>
      </c>
      <c r="F7639" s="9"/>
    </row>
    <row r="7640" ht="33.75" customHeight="1">
      <c r="A7640" s="7">
        <v>286.0</v>
      </c>
      <c r="B7640" s="9" t="s">
        <v>14178</v>
      </c>
      <c r="C7640" s="9" t="s">
        <v>2749</v>
      </c>
      <c r="D7640" s="9" t="s">
        <v>67</v>
      </c>
      <c r="E7640" s="6" t="s">
        <v>14179</v>
      </c>
      <c r="F7640" t="inlineStr" s="10">
        <is>
          <t xml:space="preserve">BRELOOM lähestyy vihollistaan ​​kevyellä ja reippaalla jalkatyöllä ja lyö tätä sitten venytetyillä käsillään. Tämän POKéMONin taistelutekniikka saattaa nyrkkeilijät häpeään. BRELOOMin pyrstöä kiertävät siemenet koostuvat kovettuneista myrkyllisistä itiöistä. Siementen syöminen on kamalaa. Jo pelkkä puraisu tämän POKéMONin siemenestä saa vatsasi kurnimaan. Se levittää itiöitä päälaen rei'istä. Se viihtyy lämpimissä ja kosteissa ilmastoissa. Se syö puita ja kasveja pelloilla ja metsissä. Sen pyrstön siemenet koostuvat myrkyllisistä itiöistä. Se tyrmää viholliset nopeilla, käytännössä näkymättömillä iskuilla. Sen lyhyet kädet venyvät lyödessään. Sen tekniikka on ammattinyrkkeilijöiden veroinen. Se levittää myrkyllisiä itiöitä ja heittää voimakkaita iskuja, kun taas vihollista haittaavat hengitetyt itiöt. Breloomin pyrstöä ympäröivät siemenet koostuvat kovettuneista myrkyllisistä itiöistä.</t>
        </is>
      </c>
    </row>
    <row r="7641" ht="33.75" customHeight="1">
      <c r="A7641" s="7">
        <v>286.0</v>
      </c>
      <c r="B7641" s="9" t="s">
        <v>14178</v>
      </c>
      <c r="C7641" s="9" t="s">
        <v>2749</v>
      </c>
      <c r="D7641" s="9" t="s">
        <v>71</v>
      </c>
      <c r="E7641" s="6" t="s">
        <v>14180</v>
      </c>
      <c r="F7641" s="9"/>
    </row>
    <row r="7642" ht="33.75" customHeight="1">
      <c r="A7642" s="7">
        <v>286.0</v>
      </c>
      <c r="B7642" s="9" t="s">
        <v>14178</v>
      </c>
      <c r="C7642" s="9" t="s">
        <v>2749</v>
      </c>
      <c r="D7642" s="9" t="s">
        <v>73</v>
      </c>
      <c r="E7642" s="6" t="s">
        <v>14181</v>
      </c>
      <c r="F7642" s="9"/>
    </row>
    <row r="7643" ht="33.75" customHeight="1">
      <c r="A7643" s="7">
        <v>286.0</v>
      </c>
      <c r="B7643" s="9" t="s">
        <v>14178</v>
      </c>
      <c r="C7643" s="9" t="s">
        <v>2749</v>
      </c>
      <c r="D7643" s="9" t="s">
        <v>75</v>
      </c>
      <c r="E7643" s="6" t="s">
        <v>14182</v>
      </c>
      <c r="F7643" s="9"/>
    </row>
    <row r="7644" ht="33.75" customHeight="1">
      <c r="A7644" s="7">
        <v>286.0</v>
      </c>
      <c r="B7644" s="9" t="s">
        <v>14178</v>
      </c>
      <c r="C7644" s="9" t="s">
        <v>2749</v>
      </c>
      <c r="D7644" s="9" t="s">
        <v>79</v>
      </c>
      <c r="E7644" s="6" t="s">
        <v>14182</v>
      </c>
      <c r="F7644" s="9"/>
    </row>
    <row r="7645" ht="33.75" customHeight="1">
      <c r="A7645" s="7">
        <v>286.0</v>
      </c>
      <c r="B7645" s="9" t="s">
        <v>14178</v>
      </c>
      <c r="C7645" s="9" t="s">
        <v>2749</v>
      </c>
      <c r="D7645" s="9" t="s">
        <v>81</v>
      </c>
      <c r="E7645" s="6" t="s">
        <v>14183</v>
      </c>
      <c r="F7645" s="9"/>
    </row>
    <row r="7646" ht="33.75" customHeight="1">
      <c r="A7646" s="7">
        <v>286.0</v>
      </c>
      <c r="B7646" s="9" t="s">
        <v>14178</v>
      </c>
      <c r="C7646" s="9" t="s">
        <v>2749</v>
      </c>
      <c r="D7646" s="9" t="s">
        <v>84</v>
      </c>
      <c r="E7646" s="6" t="s">
        <v>14183</v>
      </c>
      <c r="F7646" s="9"/>
    </row>
    <row r="7647" ht="33.75" customHeight="1">
      <c r="A7647" s="7">
        <v>286.0</v>
      </c>
      <c r="B7647" s="9" t="s">
        <v>14178</v>
      </c>
      <c r="C7647" s="9" t="s">
        <v>2749</v>
      </c>
      <c r="D7647" s="9" t="s">
        <v>87</v>
      </c>
      <c r="E7647" s="6" t="s">
        <v>14183</v>
      </c>
      <c r="F7647" s="9"/>
    </row>
    <row r="7648" ht="33.75" customHeight="1">
      <c r="A7648" s="7">
        <v>286.0</v>
      </c>
      <c r="B7648" s="9" t="s">
        <v>14178</v>
      </c>
      <c r="C7648" s="9" t="s">
        <v>2749</v>
      </c>
      <c r="D7648" s="9" t="s">
        <v>89</v>
      </c>
      <c r="E7648" s="6" t="s">
        <v>14184</v>
      </c>
      <c r="F7648" s="9"/>
    </row>
    <row r="7649" ht="33.75" customHeight="1">
      <c r="A7649" s="7">
        <v>286.0</v>
      </c>
      <c r="B7649" s="9" t="s">
        <v>14178</v>
      </c>
      <c r="C7649" s="9" t="s">
        <v>2749</v>
      </c>
      <c r="D7649" s="9" t="s">
        <v>91</v>
      </c>
      <c r="E7649" s="6" t="s">
        <v>14184</v>
      </c>
      <c r="F7649" s="9"/>
    </row>
    <row r="7650" ht="33.75" customHeight="1">
      <c r="A7650" s="7">
        <v>286.0</v>
      </c>
      <c r="B7650" s="9" t="s">
        <v>14178</v>
      </c>
      <c r="C7650" s="9" t="s">
        <v>2749</v>
      </c>
      <c r="D7650" s="9" t="s">
        <v>93</v>
      </c>
      <c r="E7650" s="6" t="s">
        <v>14183</v>
      </c>
      <c r="F7650" s="9"/>
    </row>
    <row r="7651" ht="33.75" customHeight="1">
      <c r="A7651" s="7">
        <v>286.0</v>
      </c>
      <c r="B7651" s="9" t="s">
        <v>14178</v>
      </c>
      <c r="C7651" s="9" t="s">
        <v>2749</v>
      </c>
      <c r="D7651" s="9" t="s">
        <v>95</v>
      </c>
      <c r="E7651" s="6" t="s">
        <v>14183</v>
      </c>
      <c r="F7651" s="9"/>
    </row>
    <row r="7652" ht="33.75" customHeight="1">
      <c r="A7652" s="7">
        <v>286.0</v>
      </c>
      <c r="B7652" s="9" t="s">
        <v>14178</v>
      </c>
      <c r="C7652" s="9" t="s">
        <v>2749</v>
      </c>
      <c r="D7652" s="9" t="s">
        <v>98</v>
      </c>
      <c r="E7652" s="6" t="s">
        <v>14183</v>
      </c>
      <c r="F7652" s="9"/>
    </row>
    <row r="7653" ht="33.75" customHeight="1">
      <c r="A7653" s="7">
        <v>286.0</v>
      </c>
      <c r="B7653" s="9" t="s">
        <v>14178</v>
      </c>
      <c r="C7653" s="9" t="s">
        <v>2749</v>
      </c>
      <c r="D7653" s="9" t="s">
        <v>99</v>
      </c>
      <c r="E7653" s="6" t="s">
        <v>14183</v>
      </c>
      <c r="F7653" s="9"/>
    </row>
    <row r="7654" ht="33.75" customHeight="1">
      <c r="A7654" s="7">
        <v>286.0</v>
      </c>
      <c r="B7654" s="9" t="s">
        <v>14178</v>
      </c>
      <c r="C7654" s="9" t="s">
        <v>2749</v>
      </c>
      <c r="D7654" s="9" t="s">
        <v>101</v>
      </c>
      <c r="E7654" s="6" t="s">
        <v>14183</v>
      </c>
      <c r="F7654" s="9"/>
    </row>
    <row r="7655" ht="33.75" customHeight="1">
      <c r="A7655" s="7">
        <v>286.0</v>
      </c>
      <c r="B7655" s="9" t="s">
        <v>14178</v>
      </c>
      <c r="C7655" s="9" t="s">
        <v>2749</v>
      </c>
      <c r="D7655" s="9" t="s">
        <v>105</v>
      </c>
      <c r="E7655" s="6" t="s">
        <v>14184</v>
      </c>
      <c r="F7655" s="9"/>
    </row>
    <row r="7656" ht="33.75" customHeight="1">
      <c r="A7656" s="7">
        <v>286.0</v>
      </c>
      <c r="B7656" s="9" t="s">
        <v>14178</v>
      </c>
      <c r="C7656" s="9" t="s">
        <v>2749</v>
      </c>
      <c r="D7656" s="9" t="s">
        <v>107</v>
      </c>
      <c r="E7656" s="6" t="s">
        <v>14185</v>
      </c>
      <c r="F7656" s="9"/>
    </row>
    <row r="7657" ht="33.75" customHeight="1">
      <c r="A7657" s="7">
        <v>286.0</v>
      </c>
      <c r="B7657" s="9" t="s">
        <v>14178</v>
      </c>
      <c r="C7657" s="9" t="s">
        <v>2749</v>
      </c>
      <c r="D7657" s="9" t="s">
        <v>109</v>
      </c>
      <c r="E7657" s="6" t="s">
        <v>14186</v>
      </c>
      <c r="F7657" s="9"/>
    </row>
    <row r="7658" ht="33.75" customHeight="1">
      <c r="A7658" s="7">
        <v>287.0</v>
      </c>
      <c r="B7658" s="9" t="s">
        <v>14187</v>
      </c>
      <c r="C7658" s="9" t="s">
        <v>14188</v>
      </c>
      <c r="D7658" s="9" t="s">
        <v>67</v>
      </c>
      <c r="E7658" s="6" t="s">
        <v>14189</v>
      </c>
      <c r="F7658" t="inlineStr" s="10">
        <is>
          <t xml:space="preserve">SLAKOTH lekottelee ympäriinsä yli kaksikymmentä tuntia joka päivä. Koska se liikkuu niin vähän, se ei tarvitse paljon ruokaa. Tämän POKéMONin ainoa päivittäinen ateria koostuu vain kolmesta lehdestä. SLAKOTHin sydän lyö vain kerran minuutissa. Mitä tahansa tapahtuukin, se tyytyy makoilemaan liikkumatta. On harvinaista nähdä tätä POKéMONia liikkeessä. Se nukkuu käytännössä koko päivän ja yön. Se ei vaihda pesäänsä koko elämänsä aikana, mutta joskus se matkustaa pitkiäkin matkoja uimalla joissa. Se nukkuu 20 tuntia päivässä. Yksi sen kyvyistä on tehdä uneliaaksi ne, jotka sen näkevät. Se viettää lähes kaiken päivänsä levittäytyneenä. Jo pelkkä sen näkeminen tekee uneliaaksi. SLAKOTHin loikoilu saa jokaisen sitä katsovan haluamaan tehdä samoin. Jos se syö vain kolme lehteä päivässä, se on kylläinen. Muuten se nukkuu 20 tuntia päivässä. Slakothin loikoilu saa jokaisen sitä katsovan tuntemaan halua tehdä samoin. Slakoth lekottelee ympäriinsä yli 20 tuntia joka päivä.</t>
        </is>
      </c>
    </row>
    <row r="7659" ht="33.75" customHeight="1">
      <c r="A7659" s="7">
        <v>287.0</v>
      </c>
      <c r="B7659" s="9" t="s">
        <v>14187</v>
      </c>
      <c r="C7659" s="9" t="s">
        <v>14188</v>
      </c>
      <c r="D7659" s="9" t="s">
        <v>71</v>
      </c>
      <c r="E7659" s="6" t="s">
        <v>14190</v>
      </c>
      <c r="F7659" s="9"/>
    </row>
    <row r="7660" ht="33.75" customHeight="1">
      <c r="A7660" s="7">
        <v>287.0</v>
      </c>
      <c r="B7660" s="9" t="s">
        <v>14187</v>
      </c>
      <c r="C7660" s="9" t="s">
        <v>14188</v>
      </c>
      <c r="D7660" s="9" t="s">
        <v>73</v>
      </c>
      <c r="E7660" s="6" t="s">
        <v>14191</v>
      </c>
      <c r="F7660" s="9"/>
    </row>
    <row r="7661" ht="33.75" customHeight="1">
      <c r="A7661" s="7">
        <v>287.0</v>
      </c>
      <c r="B7661" s="9" t="s">
        <v>14187</v>
      </c>
      <c r="C7661" s="9" t="s">
        <v>14188</v>
      </c>
      <c r="D7661" s="9" t="s">
        <v>75</v>
      </c>
      <c r="E7661" s="6" t="s">
        <v>14192</v>
      </c>
      <c r="F7661" s="9"/>
    </row>
    <row r="7662" ht="33.75" customHeight="1">
      <c r="A7662" s="7">
        <v>287.0</v>
      </c>
      <c r="B7662" s="9" t="s">
        <v>14187</v>
      </c>
      <c r="C7662" s="9" t="s">
        <v>14188</v>
      </c>
      <c r="D7662" s="9" t="s">
        <v>79</v>
      </c>
      <c r="E7662" s="6" t="s">
        <v>14192</v>
      </c>
      <c r="F7662" s="9"/>
    </row>
    <row r="7663" ht="33.75" customHeight="1">
      <c r="A7663" s="7">
        <v>287.0</v>
      </c>
      <c r="B7663" s="9" t="s">
        <v>14187</v>
      </c>
      <c r="C7663" s="9" t="s">
        <v>14188</v>
      </c>
      <c r="D7663" s="9" t="s">
        <v>81</v>
      </c>
      <c r="E7663" s="6" t="s">
        <v>14193</v>
      </c>
      <c r="F7663" s="9"/>
    </row>
    <row r="7664" ht="33.75" customHeight="1">
      <c r="A7664" s="7">
        <v>287.0</v>
      </c>
      <c r="B7664" s="9" t="s">
        <v>14187</v>
      </c>
      <c r="C7664" s="9" t="s">
        <v>14188</v>
      </c>
      <c r="D7664" s="9" t="s">
        <v>84</v>
      </c>
      <c r="E7664" s="6" t="s">
        <v>14193</v>
      </c>
      <c r="F7664" s="9"/>
    </row>
    <row r="7665" ht="33.75" customHeight="1">
      <c r="A7665" s="7">
        <v>287.0</v>
      </c>
      <c r="B7665" s="9" t="s">
        <v>14187</v>
      </c>
      <c r="C7665" s="9" t="s">
        <v>14188</v>
      </c>
      <c r="D7665" s="9" t="s">
        <v>87</v>
      </c>
      <c r="E7665" s="6" t="s">
        <v>14193</v>
      </c>
      <c r="F7665" s="9"/>
    </row>
    <row r="7666" ht="33.75" customHeight="1">
      <c r="A7666" s="7">
        <v>287.0</v>
      </c>
      <c r="B7666" s="9" t="s">
        <v>14187</v>
      </c>
      <c r="C7666" s="9" t="s">
        <v>14188</v>
      </c>
      <c r="D7666" s="9" t="s">
        <v>89</v>
      </c>
      <c r="E7666" s="6" t="s">
        <v>14195</v>
      </c>
      <c r="F7666" s="9"/>
    </row>
    <row r="7667" ht="33.75" customHeight="1">
      <c r="A7667" s="7">
        <v>287.0</v>
      </c>
      <c r="B7667" s="9" t="s">
        <v>14187</v>
      </c>
      <c r="C7667" s="9" t="s">
        <v>14188</v>
      </c>
      <c r="D7667" s="9" t="s">
        <v>91</v>
      </c>
      <c r="E7667" s="6" t="s">
        <v>14195</v>
      </c>
      <c r="F7667" s="9"/>
    </row>
    <row r="7668" ht="33.75" customHeight="1">
      <c r="A7668" s="7">
        <v>287.0</v>
      </c>
      <c r="B7668" s="9" t="s">
        <v>14187</v>
      </c>
      <c r="C7668" s="9" t="s">
        <v>14188</v>
      </c>
      <c r="D7668" s="9" t="s">
        <v>93</v>
      </c>
      <c r="E7668" s="6" t="s">
        <v>14193</v>
      </c>
      <c r="F7668" s="9"/>
    </row>
    <row r="7669" ht="33.75" customHeight="1">
      <c r="A7669" s="7">
        <v>287.0</v>
      </c>
      <c r="B7669" s="9" t="s">
        <v>14187</v>
      </c>
      <c r="C7669" s="9" t="s">
        <v>14188</v>
      </c>
      <c r="D7669" s="9" t="s">
        <v>95</v>
      </c>
      <c r="E7669" s="6" t="s">
        <v>14193</v>
      </c>
      <c r="F7669" s="9"/>
    </row>
    <row r="7670" ht="33.75" customHeight="1">
      <c r="A7670" s="7">
        <v>287.0</v>
      </c>
      <c r="B7670" s="9" t="s">
        <v>14187</v>
      </c>
      <c r="C7670" s="9" t="s">
        <v>14188</v>
      </c>
      <c r="D7670" s="9" t="s">
        <v>98</v>
      </c>
      <c r="E7670" s="6" t="s">
        <v>14196</v>
      </c>
      <c r="F7670" s="9"/>
    </row>
    <row r="7671" ht="33.75" customHeight="1">
      <c r="A7671" s="7">
        <v>287.0</v>
      </c>
      <c r="B7671" s="9" t="s">
        <v>14187</v>
      </c>
      <c r="C7671" s="9" t="s">
        <v>14188</v>
      </c>
      <c r="D7671" s="9" t="s">
        <v>99</v>
      </c>
      <c r="E7671" s="6" t="s">
        <v>14196</v>
      </c>
      <c r="F7671" s="9"/>
    </row>
    <row r="7672" ht="33.75" customHeight="1">
      <c r="A7672" s="7">
        <v>287.0</v>
      </c>
      <c r="B7672" s="9" t="s">
        <v>14187</v>
      </c>
      <c r="C7672" s="9" t="s">
        <v>14188</v>
      </c>
      <c r="D7672" s="9" t="s">
        <v>101</v>
      </c>
      <c r="E7672" s="6" t="s">
        <v>14197</v>
      </c>
      <c r="F7672" s="9"/>
    </row>
    <row r="7673" ht="33.75" customHeight="1">
      <c r="A7673" s="7">
        <v>287.0</v>
      </c>
      <c r="B7673" s="9" t="s">
        <v>14187</v>
      </c>
      <c r="C7673" s="9" t="s">
        <v>14188</v>
      </c>
      <c r="D7673" s="9" t="s">
        <v>105</v>
      </c>
      <c r="E7673" s="6" t="s">
        <v>14196</v>
      </c>
      <c r="F7673" s="9"/>
    </row>
    <row r="7674" ht="33.75" customHeight="1">
      <c r="A7674" s="7">
        <v>287.0</v>
      </c>
      <c r="B7674" s="9" t="s">
        <v>14187</v>
      </c>
      <c r="C7674" s="9" t="s">
        <v>14188</v>
      </c>
      <c r="D7674" s="9" t="s">
        <v>107</v>
      </c>
      <c r="E7674" s="6" t="s">
        <v>14198</v>
      </c>
      <c r="F7674" s="9"/>
    </row>
    <row r="7675" ht="33.75" customHeight="1">
      <c r="A7675" s="7">
        <v>287.0</v>
      </c>
      <c r="B7675" s="9" t="s">
        <v>14187</v>
      </c>
      <c r="C7675" s="9" t="s">
        <v>14188</v>
      </c>
      <c r="D7675" s="9" t="s">
        <v>109</v>
      </c>
      <c r="E7675" s="6" t="s">
        <v>14199</v>
      </c>
      <c r="F7675" s="9"/>
    </row>
    <row r="7676" ht="33.75" customHeight="1">
      <c r="A7676" s="7">
        <v>288.0</v>
      </c>
      <c r="B7676" s="9" t="s">
        <v>14200</v>
      </c>
      <c r="C7676" s="9" t="s">
        <v>14201</v>
      </c>
      <c r="D7676" s="9" t="s">
        <v>67</v>
      </c>
      <c r="E7676" s="6" t="s">
        <v>14202</v>
      </c>
      <c r="F7676" t="inlineStr" s="10">
        <is>
          <t xml:space="preserve">VIGOROTHilla on aina halu päästä riehaan. Se ei yksinkertaisesti kestä istua paikallaan minuuttiakaan. Tämän POKéMONin stressitaso nousee, jos se ei voi liikkua jatkuvasti. VIGOROTH ei yksinkertaisesti pysty pysymään paikallaan. Jopa yrittäessään nukkua, veri sen suonissa kiihtyy, mikä pakottaa tämän POKéMONin juoksemaan villisti viidakossa ennen kuin se ehtii rauhoittua. Se ei pysty pysymään paikallaan, koska sen veri kiehuu energiasta. Se juoksee peltojen ja vuorten halki koko päivän rauhoittaakseen itseään. Jos se ei pysty, se ei voi nukkua yöllä. Se on aina nälkäinen, koska se ei lakkaa riehumasta. Vaikka se syö, se ei pysy paikallaan. Sen sydän lyö kymmenkertaisella tahdilla, joten se ei pysty istumaan paikallaan hetkeäkään. Sen stressitaso nousee, jos se ei pysty pysymään liikkeessä jatkuvasti. Liika stressi saa sen voimaan sairaasti. Sen sydämenlyönti on nopeaa ja veri niin kiihkeää, ettei se pysty istumaan paikallaan sekuntiakaan. Vigorothilla on aina halu lähteä villiin riehumiseen ja hän on levoton. Se ei yksinkertaisesti kestä istua paikallaan edes minuuttia.</t>
        </is>
      </c>
    </row>
    <row r="7677" ht="33.75" customHeight="1">
      <c r="A7677" s="7">
        <v>288.0</v>
      </c>
      <c r="B7677" s="9" t="s">
        <v>14200</v>
      </c>
      <c r="C7677" s="9" t="s">
        <v>14201</v>
      </c>
      <c r="D7677" s="9" t="s">
        <v>71</v>
      </c>
      <c r="E7677" s="6" t="s">
        <v>14203</v>
      </c>
      <c r="F7677" s="9"/>
    </row>
    <row r="7678" ht="33.75" customHeight="1">
      <c r="A7678" s="7">
        <v>288.0</v>
      </c>
      <c r="B7678" s="9" t="s">
        <v>14200</v>
      </c>
      <c r="C7678" s="9" t="s">
        <v>14201</v>
      </c>
      <c r="D7678" s="9" t="s">
        <v>73</v>
      </c>
      <c r="E7678" s="6" t="s">
        <v>14204</v>
      </c>
      <c r="F7678" s="9"/>
    </row>
    <row r="7679" ht="33.75" customHeight="1">
      <c r="A7679" s="7">
        <v>288.0</v>
      </c>
      <c r="B7679" s="9" t="s">
        <v>14200</v>
      </c>
      <c r="C7679" s="9" t="s">
        <v>14201</v>
      </c>
      <c r="D7679" s="9" t="s">
        <v>75</v>
      </c>
      <c r="E7679" s="6" t="s">
        <v>14205</v>
      </c>
      <c r="F7679" s="9"/>
    </row>
    <row r="7680" ht="33.75" customHeight="1">
      <c r="A7680" s="7">
        <v>288.0</v>
      </c>
      <c r="B7680" s="9" t="s">
        <v>14200</v>
      </c>
      <c r="C7680" s="9" t="s">
        <v>14201</v>
      </c>
      <c r="D7680" s="9" t="s">
        <v>79</v>
      </c>
      <c r="E7680" s="6" t="s">
        <v>14205</v>
      </c>
      <c r="F7680" s="9"/>
    </row>
    <row r="7681" ht="33.75" customHeight="1">
      <c r="A7681" s="7">
        <v>288.0</v>
      </c>
      <c r="B7681" s="9" t="s">
        <v>14200</v>
      </c>
      <c r="C7681" s="9" t="s">
        <v>14201</v>
      </c>
      <c r="D7681" s="9" t="s">
        <v>81</v>
      </c>
      <c r="E7681" s="6" t="s">
        <v>14206</v>
      </c>
      <c r="F7681" s="9"/>
    </row>
    <row r="7682" ht="33.75" customHeight="1">
      <c r="A7682" s="7">
        <v>288.0</v>
      </c>
      <c r="B7682" s="9" t="s">
        <v>14200</v>
      </c>
      <c r="C7682" s="9" t="s">
        <v>14201</v>
      </c>
      <c r="D7682" s="9" t="s">
        <v>84</v>
      </c>
      <c r="E7682" s="6" t="s">
        <v>14206</v>
      </c>
      <c r="F7682" s="9"/>
    </row>
    <row r="7683" ht="33.75" customHeight="1">
      <c r="A7683" s="7">
        <v>288.0</v>
      </c>
      <c r="B7683" s="9" t="s">
        <v>14200</v>
      </c>
      <c r="C7683" s="9" t="s">
        <v>14201</v>
      </c>
      <c r="D7683" s="9" t="s">
        <v>87</v>
      </c>
      <c r="E7683" s="6" t="s">
        <v>14206</v>
      </c>
      <c r="F7683" s="9"/>
    </row>
    <row r="7684" ht="33.75" customHeight="1">
      <c r="A7684" s="7">
        <v>288.0</v>
      </c>
      <c r="B7684" s="9" t="s">
        <v>14200</v>
      </c>
      <c r="C7684" s="9" t="s">
        <v>14201</v>
      </c>
      <c r="D7684" s="9" t="s">
        <v>89</v>
      </c>
      <c r="E7684" s="6" t="s">
        <v>14207</v>
      </c>
      <c r="F7684" s="9"/>
    </row>
    <row r="7685" ht="33.75" customHeight="1">
      <c r="A7685" s="7">
        <v>288.0</v>
      </c>
      <c r="B7685" s="9" t="s">
        <v>14200</v>
      </c>
      <c r="C7685" s="9" t="s">
        <v>14201</v>
      </c>
      <c r="D7685" s="9" t="s">
        <v>91</v>
      </c>
      <c r="E7685" s="6" t="s">
        <v>14207</v>
      </c>
      <c r="F7685" s="9"/>
    </row>
    <row r="7686" ht="33.75" customHeight="1">
      <c r="A7686" s="7">
        <v>288.0</v>
      </c>
      <c r="B7686" s="9" t="s">
        <v>14200</v>
      </c>
      <c r="C7686" s="9" t="s">
        <v>14201</v>
      </c>
      <c r="D7686" s="9" t="s">
        <v>93</v>
      </c>
      <c r="E7686" s="6" t="s">
        <v>14206</v>
      </c>
      <c r="F7686" s="9"/>
    </row>
    <row r="7687" ht="33.75" customHeight="1">
      <c r="A7687" s="7">
        <v>288.0</v>
      </c>
      <c r="B7687" s="9" t="s">
        <v>14200</v>
      </c>
      <c r="C7687" s="9" t="s">
        <v>14201</v>
      </c>
      <c r="D7687" s="9" t="s">
        <v>95</v>
      </c>
      <c r="E7687" s="6" t="s">
        <v>14206</v>
      </c>
      <c r="F7687" s="9"/>
    </row>
    <row r="7688" ht="33.75" customHeight="1">
      <c r="A7688" s="7">
        <v>288.0</v>
      </c>
      <c r="B7688" s="9" t="s">
        <v>14200</v>
      </c>
      <c r="C7688" s="9" t="s">
        <v>14201</v>
      </c>
      <c r="D7688" s="9" t="s">
        <v>98</v>
      </c>
      <c r="E7688" s="6" t="s">
        <v>14208</v>
      </c>
      <c r="F7688" s="9"/>
    </row>
    <row r="7689" ht="33.75" customHeight="1">
      <c r="A7689" s="7">
        <v>288.0</v>
      </c>
      <c r="B7689" s="9" t="s">
        <v>14200</v>
      </c>
      <c r="C7689" s="9" t="s">
        <v>14201</v>
      </c>
      <c r="D7689" s="9" t="s">
        <v>99</v>
      </c>
      <c r="E7689" s="6" t="s">
        <v>14208</v>
      </c>
      <c r="F7689" s="9"/>
    </row>
    <row r="7690" ht="33.75" customHeight="1">
      <c r="A7690" s="7">
        <v>288.0</v>
      </c>
      <c r="B7690" s="9" t="s">
        <v>14200</v>
      </c>
      <c r="C7690" s="9" t="s">
        <v>14201</v>
      </c>
      <c r="D7690" s="9" t="s">
        <v>101</v>
      </c>
      <c r="E7690" s="6" t="s">
        <v>14208</v>
      </c>
      <c r="F7690" s="9"/>
    </row>
    <row r="7691" ht="33.75" customHeight="1">
      <c r="A7691" s="7">
        <v>288.0</v>
      </c>
      <c r="B7691" s="9" t="s">
        <v>14200</v>
      </c>
      <c r="C7691" s="9" t="s">
        <v>14201</v>
      </c>
      <c r="D7691" s="9" t="s">
        <v>105</v>
      </c>
      <c r="E7691" s="6" t="s">
        <v>14207</v>
      </c>
      <c r="F7691" s="9"/>
    </row>
    <row r="7692" ht="33.75" customHeight="1">
      <c r="A7692" s="7">
        <v>288.0</v>
      </c>
      <c r="B7692" s="9" t="s">
        <v>14200</v>
      </c>
      <c r="C7692" s="9" t="s">
        <v>14201</v>
      </c>
      <c r="D7692" s="9" t="s">
        <v>107</v>
      </c>
      <c r="E7692" s="6" t="s">
        <v>14209</v>
      </c>
      <c r="F7692" s="9"/>
    </row>
    <row r="7693" ht="33.75" customHeight="1">
      <c r="A7693" s="7">
        <v>288.0</v>
      </c>
      <c r="B7693" s="9" t="s">
        <v>14200</v>
      </c>
      <c r="C7693" s="9" t="s">
        <v>14201</v>
      </c>
      <c r="D7693" s="9" t="s">
        <v>109</v>
      </c>
      <c r="E7693" s="6" t="s">
        <v>14210</v>
      </c>
      <c r="F7693" s="9"/>
    </row>
    <row r="7694" ht="33.75" customHeight="1">
      <c r="A7694" s="7">
        <v>289.0</v>
      </c>
      <c r="B7694" s="9" t="s">
        <v>14211</v>
      </c>
      <c r="C7694" s="9" t="s">
        <v>14212</v>
      </c>
      <c r="D7694" s="9" t="s">
        <v>67</v>
      </c>
      <c r="E7694" s="6" t="s">
        <v>14213</v>
      </c>
      <c r="F7694" t="inlineStr" s="10">
        <is>
          <t xml:space="preserve">SLAKING viettää koko päivän makuulla ja löhöillen. Se syö ulottuvillaan kasvavaa ruohoa. Jos se syö kaiken ulottuvilleen yltävän ruohon, tämä POKéMON siirtyy vastahakoisesti uuteen paikkaan. Missä tahansa SYLPYJÄT elävätkin, ruohoisille pelloille ilmestyy yli jaardin halkaisijaltaan olevia renkaita. Pokémon tekee niitä syödessään kaiken ulottuvilleen jäävän ruohon maatessaan maassa. SAMMUTTAVIEN laumojen kerääntyy puiden ympärille, kun hedelmät tulevat sesongin puolelle. He odottavat kärsivällisesti kypsyneiden hedelmien putoamista puista. Se on maailman laiskin POKéMON. Se voi kuitenkin käyttää kauhistuttavaa voimaa vapauttamalla patoutunutta energiaa kerralla. Maailman laisin Pokémon. Lekoillessaan se itse asiassa säästää energiaa kostoiskuja varten. Maailman laiskin Pokémon. Se siirtyy uuteen paikkaan, kun sen ulottuvilla ei ole enää ruokaa. Tämä Pokémon makaa kyljellään. Se pyörii ja liikkuu vain, kun syötävää ruohoa ei ole enää jäljellä. Se voi kuitenkin käyttää kauhistuttavaa voimaa vapauttamalla patoutunutta energiaansa kerralla. Slaking viettää koko päivän makuullaan ja löhöillen. Missä tahansa Slakingit elävätkin, ruohoisille pelloille ilmestyy yli metrin läpimittaisia ​​renkaita. Pokémonit tekevät niitä syödessään kaiken ulottuvillaan olevan ruohon maatessaan maassa.</t>
        </is>
      </c>
    </row>
    <row r="7695" ht="33.75" customHeight="1">
      <c r="A7695" s="7">
        <v>289.0</v>
      </c>
      <c r="B7695" s="9" t="s">
        <v>14211</v>
      </c>
      <c r="C7695" s="9" t="s">
        <v>14212</v>
      </c>
      <c r="D7695" s="9" t="s">
        <v>71</v>
      </c>
      <c r="E7695" s="6" t="s">
        <v>14214</v>
      </c>
      <c r="F7695" s="9"/>
    </row>
    <row r="7696" ht="33.75" customHeight="1">
      <c r="A7696" s="7">
        <v>289.0</v>
      </c>
      <c r="B7696" s="9" t="s">
        <v>14211</v>
      </c>
      <c r="C7696" s="9" t="s">
        <v>14212</v>
      </c>
      <c r="D7696" s="9" t="s">
        <v>73</v>
      </c>
      <c r="E7696" s="6" t="s">
        <v>14215</v>
      </c>
      <c r="F7696" s="9"/>
    </row>
    <row r="7697" ht="33.75" customHeight="1">
      <c r="A7697" s="7">
        <v>289.0</v>
      </c>
      <c r="B7697" s="9" t="s">
        <v>14211</v>
      </c>
      <c r="C7697" s="9" t="s">
        <v>14212</v>
      </c>
      <c r="D7697" s="9" t="s">
        <v>75</v>
      </c>
      <c r="E7697" s="6" t="s">
        <v>14216</v>
      </c>
      <c r="F7697" s="9"/>
    </row>
    <row r="7698" ht="33.75" customHeight="1">
      <c r="A7698" s="7">
        <v>289.0</v>
      </c>
      <c r="B7698" s="9" t="s">
        <v>14211</v>
      </c>
      <c r="C7698" s="9" t="s">
        <v>14212</v>
      </c>
      <c r="D7698" s="9" t="s">
        <v>79</v>
      </c>
      <c r="E7698" s="6" t="s">
        <v>14216</v>
      </c>
      <c r="F7698" s="9"/>
    </row>
    <row r="7699" ht="33.75" customHeight="1">
      <c r="A7699" s="7">
        <v>289.0</v>
      </c>
      <c r="B7699" s="9" t="s">
        <v>14211</v>
      </c>
      <c r="C7699" s="9" t="s">
        <v>14212</v>
      </c>
      <c r="D7699" s="9" t="s">
        <v>81</v>
      </c>
      <c r="E7699" s="6" t="s">
        <v>14217</v>
      </c>
      <c r="F7699" s="9"/>
    </row>
    <row r="7700" ht="33.75" customHeight="1">
      <c r="A7700" s="7">
        <v>289.0</v>
      </c>
      <c r="B7700" s="9" t="s">
        <v>14211</v>
      </c>
      <c r="C7700" s="9" t="s">
        <v>14212</v>
      </c>
      <c r="D7700" s="9" t="s">
        <v>84</v>
      </c>
      <c r="E7700" s="6" t="s">
        <v>14217</v>
      </c>
      <c r="F7700" s="9"/>
    </row>
    <row r="7701" ht="33.75" customHeight="1">
      <c r="A7701" s="7">
        <v>289.0</v>
      </c>
      <c r="B7701" s="9" t="s">
        <v>14211</v>
      </c>
      <c r="C7701" s="9" t="s">
        <v>14212</v>
      </c>
      <c r="D7701" s="9" t="s">
        <v>87</v>
      </c>
      <c r="E7701" s="6" t="s">
        <v>14217</v>
      </c>
      <c r="F7701" s="9"/>
    </row>
    <row r="7702" ht="33.75" customHeight="1">
      <c r="A7702" s="7">
        <v>289.0</v>
      </c>
      <c r="B7702" s="9" t="s">
        <v>14211</v>
      </c>
      <c r="C7702" s="9" t="s">
        <v>14212</v>
      </c>
      <c r="D7702" s="9" t="s">
        <v>89</v>
      </c>
      <c r="E7702" s="6" t="s">
        <v>14218</v>
      </c>
      <c r="F7702" s="9"/>
    </row>
    <row r="7703" ht="33.75" customHeight="1">
      <c r="A7703" s="7">
        <v>289.0</v>
      </c>
      <c r="B7703" s="9" t="s">
        <v>14211</v>
      </c>
      <c r="C7703" s="9" t="s">
        <v>14212</v>
      </c>
      <c r="D7703" s="9" t="s">
        <v>91</v>
      </c>
      <c r="E7703" s="6" t="s">
        <v>14218</v>
      </c>
      <c r="F7703" s="9"/>
    </row>
    <row r="7704" ht="33.75" customHeight="1">
      <c r="A7704" s="7">
        <v>289.0</v>
      </c>
      <c r="B7704" s="9" t="s">
        <v>14211</v>
      </c>
      <c r="C7704" s="9" t="s">
        <v>14212</v>
      </c>
      <c r="D7704" s="9" t="s">
        <v>93</v>
      </c>
      <c r="E7704" s="6" t="s">
        <v>14217</v>
      </c>
      <c r="F7704" s="9"/>
    </row>
    <row r="7705" ht="33.75" customHeight="1">
      <c r="A7705" s="7">
        <v>289.0</v>
      </c>
      <c r="B7705" s="9" t="s">
        <v>14211</v>
      </c>
      <c r="C7705" s="9" t="s">
        <v>14212</v>
      </c>
      <c r="D7705" s="9" t="s">
        <v>95</v>
      </c>
      <c r="E7705" s="6" t="s">
        <v>14217</v>
      </c>
      <c r="F7705" s="9"/>
    </row>
    <row r="7706" ht="33.75" customHeight="1">
      <c r="A7706" s="7">
        <v>289.0</v>
      </c>
      <c r="B7706" s="9" t="s">
        <v>14211</v>
      </c>
      <c r="C7706" s="9" t="s">
        <v>14212</v>
      </c>
      <c r="D7706" s="9" t="s">
        <v>98</v>
      </c>
      <c r="E7706" s="6" t="s">
        <v>14220</v>
      </c>
      <c r="F7706" s="9"/>
    </row>
    <row r="7707" ht="33.75" customHeight="1">
      <c r="A7707" s="7">
        <v>289.0</v>
      </c>
      <c r="B7707" s="9" t="s">
        <v>14211</v>
      </c>
      <c r="C7707" s="9" t="s">
        <v>14212</v>
      </c>
      <c r="D7707" s="9" t="s">
        <v>99</v>
      </c>
      <c r="E7707" s="6" t="s">
        <v>14220</v>
      </c>
      <c r="F7707" s="9"/>
    </row>
    <row r="7708" ht="33.75" customHeight="1">
      <c r="A7708" s="7">
        <v>289.0</v>
      </c>
      <c r="B7708" s="9" t="s">
        <v>14211</v>
      </c>
      <c r="C7708" s="9" t="s">
        <v>14212</v>
      </c>
      <c r="D7708" s="9" t="s">
        <v>101</v>
      </c>
      <c r="E7708" s="6" t="s">
        <v>14218</v>
      </c>
      <c r="F7708" s="9"/>
    </row>
    <row r="7709" ht="33.75" customHeight="1">
      <c r="A7709" s="7">
        <v>289.0</v>
      </c>
      <c r="B7709" s="9" t="s">
        <v>14211</v>
      </c>
      <c r="C7709" s="9" t="s">
        <v>14212</v>
      </c>
      <c r="D7709" s="9" t="s">
        <v>105</v>
      </c>
      <c r="E7709" s="6" t="s">
        <v>14221</v>
      </c>
      <c r="F7709" s="9"/>
    </row>
    <row r="7710" ht="33.75" customHeight="1">
      <c r="A7710" s="7">
        <v>289.0</v>
      </c>
      <c r="B7710" s="9" t="s">
        <v>14211</v>
      </c>
      <c r="C7710" s="9" t="s">
        <v>14212</v>
      </c>
      <c r="D7710" s="9" t="s">
        <v>107</v>
      </c>
      <c r="E7710" s="6" t="s">
        <v>14222</v>
      </c>
      <c r="F7710" s="9"/>
    </row>
    <row r="7711" ht="33.75" customHeight="1">
      <c r="A7711" s="7">
        <v>289.0</v>
      </c>
      <c r="B7711" s="9" t="s">
        <v>14211</v>
      </c>
      <c r="C7711" s="9" t="s">
        <v>14212</v>
      </c>
      <c r="D7711" s="9" t="s">
        <v>109</v>
      </c>
      <c r="E7711" s="6" t="s">
        <v>14223</v>
      </c>
      <c r="F7711" s="9"/>
    </row>
    <row r="7712" ht="33.75" customHeight="1">
      <c r="A7712" s="7">
        <v>290.0</v>
      </c>
      <c r="B7712" s="9" t="s">
        <v>14224</v>
      </c>
      <c r="C7712" s="9" t="s">
        <v>14225</v>
      </c>
      <c r="D7712" s="9" t="s">
        <v>67</v>
      </c>
      <c r="E7712" s="6" t="s">
        <v>14226</v>
      </c>
      <c r="F7712" t="inlineStr" s="10">
        <is>
          <t xml:space="preserve">NINCADA elää maan alla monta vuotta täydellisessä pimeydessä. Tämä POKéMON imee ravinteita puiden juurista. Se pysyy liikkumattomana odottaessaan evoluutiota. NINCADA elää maan alla. Se käyttää teräviä kynsiään kaivertaakseen puiden juuria ja imeäkseen kosteutta ja ravinteita. Tämä POKéMON ei kestä kirkasta auringonvaloa, joten se välttelee sitä. Se tekee pesänsä mahtavan puun juurille. Viiksimäisten tuntosarviensa avulla se luotaa ympäristöään maaperän pikimustassa pimeydessä. Koska se eli lähes kokonaan maan alla, se on lähes sokea. Se käyttää sen sijaan tuntosarviaan. Se kasvaa maan alla ja aistii ympäristönsä tuntosarvien avulla käytännössä sokeiden silmiensä sijaan. Se voi joskus elää maan alla yli 10 vuotta. Se imee ravinteita puiden juurista.</t>
        </is>
      </c>
    </row>
    <row r="7713" ht="33.75" customHeight="1">
      <c r="A7713" s="7">
        <v>290.0</v>
      </c>
      <c r="B7713" s="9" t="s">
        <v>14224</v>
      </c>
      <c r="C7713" s="9" t="s">
        <v>14225</v>
      </c>
      <c r="D7713" s="9" t="s">
        <v>71</v>
      </c>
      <c r="E7713" s="6" t="s">
        <v>14227</v>
      </c>
      <c r="F7713" s="9"/>
    </row>
    <row r="7714" ht="33.75" customHeight="1">
      <c r="A7714" s="7">
        <v>290.0</v>
      </c>
      <c r="B7714" s="9" t="s">
        <v>14224</v>
      </c>
      <c r="C7714" s="9" t="s">
        <v>14225</v>
      </c>
      <c r="D7714" s="9" t="s">
        <v>73</v>
      </c>
      <c r="E7714" s="6" t="s">
        <v>14228</v>
      </c>
      <c r="F7714" s="9"/>
    </row>
    <row r="7715" ht="33.75" customHeight="1">
      <c r="A7715" s="7">
        <v>290.0</v>
      </c>
      <c r="B7715" s="9" t="s">
        <v>14224</v>
      </c>
      <c r="C7715" s="9" t="s">
        <v>14225</v>
      </c>
      <c r="D7715" s="9" t="s">
        <v>75</v>
      </c>
      <c r="E7715" s="6" t="s">
        <v>14229</v>
      </c>
      <c r="F7715" s="9"/>
    </row>
    <row r="7716" ht="33.75" customHeight="1">
      <c r="A7716" s="7">
        <v>290.0</v>
      </c>
      <c r="B7716" s="9" t="s">
        <v>14224</v>
      </c>
      <c r="C7716" s="9" t="s">
        <v>14225</v>
      </c>
      <c r="D7716" s="9" t="s">
        <v>79</v>
      </c>
      <c r="E7716" s="6" t="s">
        <v>14229</v>
      </c>
      <c r="F7716" s="9"/>
    </row>
    <row r="7717" ht="33.75" customHeight="1">
      <c r="A7717" s="7">
        <v>290.0</v>
      </c>
      <c r="B7717" s="9" t="s">
        <v>14224</v>
      </c>
      <c r="C7717" s="9" t="s">
        <v>14225</v>
      </c>
      <c r="D7717" s="9" t="s">
        <v>81</v>
      </c>
      <c r="E7717" s="6" t="s">
        <v>14230</v>
      </c>
      <c r="F7717" s="9"/>
    </row>
    <row r="7718" ht="33.75" customHeight="1">
      <c r="A7718" s="7">
        <v>290.0</v>
      </c>
      <c r="B7718" s="9" t="s">
        <v>14224</v>
      </c>
      <c r="C7718" s="9" t="s">
        <v>14225</v>
      </c>
      <c r="D7718" s="9" t="s">
        <v>84</v>
      </c>
      <c r="E7718" s="6" t="s">
        <v>14230</v>
      </c>
      <c r="F7718" s="9"/>
    </row>
    <row r="7719" ht="33.75" customHeight="1">
      <c r="A7719" s="7">
        <v>290.0</v>
      </c>
      <c r="B7719" s="9" t="s">
        <v>14224</v>
      </c>
      <c r="C7719" s="9" t="s">
        <v>14225</v>
      </c>
      <c r="D7719" s="9" t="s">
        <v>87</v>
      </c>
      <c r="E7719" s="6" t="s">
        <v>14230</v>
      </c>
      <c r="F7719" s="9"/>
    </row>
    <row r="7720" ht="33.75" customHeight="1">
      <c r="A7720" s="7">
        <v>290.0</v>
      </c>
      <c r="B7720" s="9" t="s">
        <v>14224</v>
      </c>
      <c r="C7720" s="9" t="s">
        <v>14225</v>
      </c>
      <c r="D7720" s="9" t="s">
        <v>89</v>
      </c>
      <c r="E7720" s="6" t="s">
        <v>14231</v>
      </c>
      <c r="F7720" s="9"/>
    </row>
    <row r="7721" ht="33.75" customHeight="1">
      <c r="A7721" s="7">
        <v>290.0</v>
      </c>
      <c r="B7721" s="9" t="s">
        <v>14224</v>
      </c>
      <c r="C7721" s="9" t="s">
        <v>14225</v>
      </c>
      <c r="D7721" s="9" t="s">
        <v>91</v>
      </c>
      <c r="E7721" s="6" t="s">
        <v>14231</v>
      </c>
      <c r="F7721" s="9"/>
    </row>
    <row r="7722" ht="33.75" customHeight="1">
      <c r="A7722" s="7">
        <v>290.0</v>
      </c>
      <c r="B7722" s="9" t="s">
        <v>14224</v>
      </c>
      <c r="C7722" s="9" t="s">
        <v>14225</v>
      </c>
      <c r="D7722" s="9" t="s">
        <v>93</v>
      </c>
      <c r="E7722" s="6" t="s">
        <v>14230</v>
      </c>
      <c r="F7722" s="9"/>
    </row>
    <row r="7723" ht="33.75" customHeight="1">
      <c r="A7723" s="7">
        <v>290.0</v>
      </c>
      <c r="B7723" s="9" t="s">
        <v>14224</v>
      </c>
      <c r="C7723" s="9" t="s">
        <v>14225</v>
      </c>
      <c r="D7723" s="9" t="s">
        <v>95</v>
      </c>
      <c r="E7723" s="6" t="s">
        <v>14230</v>
      </c>
      <c r="F7723" s="9"/>
    </row>
    <row r="7724" ht="33.75" customHeight="1">
      <c r="A7724" s="7">
        <v>290.0</v>
      </c>
      <c r="B7724" s="9" t="s">
        <v>14224</v>
      </c>
      <c r="C7724" s="9" t="s">
        <v>14225</v>
      </c>
      <c r="D7724" s="9" t="s">
        <v>98</v>
      </c>
      <c r="E7724" s="6" t="s">
        <v>14230</v>
      </c>
      <c r="F7724" s="9"/>
    </row>
    <row r="7725" ht="33.75" customHeight="1">
      <c r="A7725" s="7">
        <v>290.0</v>
      </c>
      <c r="B7725" s="9" t="s">
        <v>14224</v>
      </c>
      <c r="C7725" s="9" t="s">
        <v>14225</v>
      </c>
      <c r="D7725" s="9" t="s">
        <v>99</v>
      </c>
      <c r="E7725" s="6" t="s">
        <v>14230</v>
      </c>
      <c r="F7725" s="9"/>
    </row>
    <row r="7726" ht="33.75" customHeight="1">
      <c r="A7726" s="7">
        <v>290.0</v>
      </c>
      <c r="B7726" s="9" t="s">
        <v>14224</v>
      </c>
      <c r="C7726" s="9" t="s">
        <v>14225</v>
      </c>
      <c r="D7726" s="9" t="s">
        <v>101</v>
      </c>
      <c r="E7726" s="6" t="s">
        <v>14229</v>
      </c>
      <c r="F7726" s="9"/>
    </row>
    <row r="7727" ht="33.75" customHeight="1">
      <c r="A7727" s="7">
        <v>290.0</v>
      </c>
      <c r="B7727" s="9" t="s">
        <v>14224</v>
      </c>
      <c r="C7727" s="9" t="s">
        <v>14225</v>
      </c>
      <c r="D7727" s="9" t="s">
        <v>105</v>
      </c>
      <c r="E7727" s="6" t="s">
        <v>14231</v>
      </c>
      <c r="F7727" s="9"/>
    </row>
    <row r="7728" ht="33.75" customHeight="1">
      <c r="A7728" s="7">
        <v>290.0</v>
      </c>
      <c r="B7728" s="9" t="s">
        <v>14224</v>
      </c>
      <c r="C7728" s="9" t="s">
        <v>14225</v>
      </c>
      <c r="D7728" s="9" t="s">
        <v>107</v>
      </c>
      <c r="E7728" s="6" t="s">
        <v>14232</v>
      </c>
      <c r="F7728" s="9"/>
    </row>
    <row r="7729" ht="33.75" customHeight="1">
      <c r="A7729" s="7">
        <v>290.0</v>
      </c>
      <c r="B7729" s="9" t="s">
        <v>14224</v>
      </c>
      <c r="C7729" s="9" t="s">
        <v>14225</v>
      </c>
      <c r="D7729" s="9" t="s">
        <v>109</v>
      </c>
      <c r="E7729" s="6" t="s">
        <v>14233</v>
      </c>
      <c r="F7729" s="9"/>
    </row>
    <row r="7730" ht="33.75" customHeight="1">
      <c r="A7730" s="7">
        <v>290.0</v>
      </c>
      <c r="B7730" s="9" t="s">
        <v>14224</v>
      </c>
      <c r="C7730" s="9" t="s">
        <v>14225</v>
      </c>
      <c r="D7730" s="9" t="s">
        <v>114</v>
      </c>
      <c r="E7730" s="6" t="s">
        <v>14229</v>
      </c>
      <c r="F7730" s="9"/>
    </row>
    <row r="7731" ht="33.75" customHeight="1">
      <c r="A7731" s="7">
        <v>290.0</v>
      </c>
      <c r="B7731" s="9" t="s">
        <v>14224</v>
      </c>
      <c r="C7731" s="9" t="s">
        <v>14225</v>
      </c>
      <c r="D7731" s="9" t="s">
        <v>117</v>
      </c>
      <c r="E7731" s="6" t="s">
        <v>14231</v>
      </c>
      <c r="F7731" s="9"/>
    </row>
    <row r="7732" ht="33.75" customHeight="1">
      <c r="A7732" s="7">
        <v>291.0</v>
      </c>
      <c r="B7732" s="9" t="s">
        <v>14234</v>
      </c>
      <c r="C7732" s="9" t="s">
        <v>14235</v>
      </c>
      <c r="D7732" s="9" t="s">
        <v>67</v>
      </c>
      <c r="E7732" s="6" t="s">
        <v>14236</v>
      </c>
      <c r="F7732" t="inlineStr" s="10">
        <is>
          <t xml:space="preserve">NINJASK liikkuu niin nopeasti, ettei sitä voida nähdä, vaikka Ninjaskin itku kuuluu selvästi. Tästä syystä tämän POKéMONin uskottiin pitkään olevan näkymätön. Jos NINJASKIA ei ole koulutettu kunnolla, se kieltäytyy tottelemasta KOULUTTAJAA ja itkee kovaa jatkuvasti. Tämän ominaisuuden vuoksi tämän POKéMONin sanotaan koettelevan KOULUTTAJAN kykyjä. Koska se syöksyy reippaasti ja kovalla nopeudella, sitä on hyvin vaikea nähdä. Sen tunnusomaisen huudon kuuleminen liian pitkään aiheuttaa päänsärkyä. Tämä POKéMON on niin nopea, että sen sanotaan pystyvän välttämään minkä tahansa hyökkäyksen. Se rakastaa puunmahlan syömistä. Koska se liikkuu niin nopeasti, siitä tulee joskus näkymätön. Se kerääntyy puunmahlan ympärille. Sen huuto aiheuttaa pitkäkestoisen päänsäryn, jos sitä kuulee liian kauan. Se liikkuu niin nopeasti, että on lähes näkymätön. Tästä syystä tätä Pokémonia pidettiin pitkään näkymättömänä. Jos Ninjaskia ei ole koulutettu kunnolla, se kieltäytyy tottelemasta kouluttajaa ja itkee jatkuvasti kovaa.</t>
        </is>
      </c>
    </row>
    <row r="7733" ht="33.75" customHeight="1">
      <c r="A7733" s="7">
        <v>291.0</v>
      </c>
      <c r="B7733" s="9" t="s">
        <v>14234</v>
      </c>
      <c r="C7733" s="9" t="s">
        <v>14235</v>
      </c>
      <c r="D7733" s="9" t="s">
        <v>71</v>
      </c>
      <c r="E7733" s="6" t="s">
        <v>14238</v>
      </c>
      <c r="F7733" s="9"/>
    </row>
    <row r="7734" ht="33.75" customHeight="1">
      <c r="A7734" s="7">
        <v>291.0</v>
      </c>
      <c r="B7734" s="9" t="s">
        <v>14234</v>
      </c>
      <c r="C7734" s="9" t="s">
        <v>14235</v>
      </c>
      <c r="D7734" s="9" t="s">
        <v>73</v>
      </c>
      <c r="E7734" s="6" t="s">
        <v>14239</v>
      </c>
      <c r="F7734" s="9"/>
    </row>
    <row r="7735" ht="33.75" customHeight="1">
      <c r="A7735" s="7">
        <v>291.0</v>
      </c>
      <c r="B7735" s="9" t="s">
        <v>14234</v>
      </c>
      <c r="C7735" s="9" t="s">
        <v>14235</v>
      </c>
      <c r="D7735" s="9" t="s">
        <v>75</v>
      </c>
      <c r="E7735" s="6" t="s">
        <v>14240</v>
      </c>
      <c r="F7735" s="9"/>
    </row>
    <row r="7736" ht="33.75" customHeight="1">
      <c r="A7736" s="7">
        <v>291.0</v>
      </c>
      <c r="B7736" s="9" t="s">
        <v>14234</v>
      </c>
      <c r="C7736" s="9" t="s">
        <v>14235</v>
      </c>
      <c r="D7736" s="9" t="s">
        <v>79</v>
      </c>
      <c r="E7736" s="6" t="s">
        <v>14240</v>
      </c>
      <c r="F7736" s="9"/>
    </row>
    <row r="7737" ht="33.75" customHeight="1">
      <c r="A7737" s="7">
        <v>291.0</v>
      </c>
      <c r="B7737" s="9" t="s">
        <v>14234</v>
      </c>
      <c r="C7737" s="9" t="s">
        <v>14235</v>
      </c>
      <c r="D7737" s="9" t="s">
        <v>81</v>
      </c>
      <c r="E7737" s="6" t="s">
        <v>14241</v>
      </c>
      <c r="F7737" s="9"/>
    </row>
    <row r="7738" ht="33.75" customHeight="1">
      <c r="A7738" s="7">
        <v>291.0</v>
      </c>
      <c r="B7738" s="9" t="s">
        <v>14234</v>
      </c>
      <c r="C7738" s="9" t="s">
        <v>14235</v>
      </c>
      <c r="D7738" s="9" t="s">
        <v>84</v>
      </c>
      <c r="E7738" s="6" t="s">
        <v>14241</v>
      </c>
      <c r="F7738" s="9"/>
    </row>
    <row r="7739" ht="33.75" customHeight="1">
      <c r="A7739" s="7">
        <v>291.0</v>
      </c>
      <c r="B7739" s="9" t="s">
        <v>14234</v>
      </c>
      <c r="C7739" s="9" t="s">
        <v>14235</v>
      </c>
      <c r="D7739" s="9" t="s">
        <v>87</v>
      </c>
      <c r="E7739" s="6" t="s">
        <v>14241</v>
      </c>
      <c r="F7739" s="9"/>
    </row>
    <row r="7740" ht="33.75" customHeight="1">
      <c r="A7740" s="7">
        <v>291.0</v>
      </c>
      <c r="B7740" s="9" t="s">
        <v>14234</v>
      </c>
      <c r="C7740" s="9" t="s">
        <v>14235</v>
      </c>
      <c r="D7740" s="9" t="s">
        <v>89</v>
      </c>
      <c r="E7740" s="6" t="s">
        <v>14242</v>
      </c>
      <c r="F7740" s="9"/>
    </row>
    <row r="7741" ht="33.75" customHeight="1">
      <c r="A7741" s="7">
        <v>291.0</v>
      </c>
      <c r="B7741" s="9" t="s">
        <v>14234</v>
      </c>
      <c r="C7741" s="9" t="s">
        <v>14235</v>
      </c>
      <c r="D7741" s="9" t="s">
        <v>91</v>
      </c>
      <c r="E7741" s="6" t="s">
        <v>14242</v>
      </c>
      <c r="F7741" s="9"/>
    </row>
    <row r="7742" ht="33.75" customHeight="1">
      <c r="A7742" s="7">
        <v>291.0</v>
      </c>
      <c r="B7742" s="9" t="s">
        <v>14234</v>
      </c>
      <c r="C7742" s="9" t="s">
        <v>14235</v>
      </c>
      <c r="D7742" s="9" t="s">
        <v>93</v>
      </c>
      <c r="E7742" s="6" t="s">
        <v>14241</v>
      </c>
      <c r="F7742" s="9"/>
    </row>
    <row r="7743" ht="33.75" customHeight="1">
      <c r="A7743" s="7">
        <v>291.0</v>
      </c>
      <c r="B7743" s="9" t="s">
        <v>14234</v>
      </c>
      <c r="C7743" s="9" t="s">
        <v>14235</v>
      </c>
      <c r="D7743" s="9" t="s">
        <v>95</v>
      </c>
      <c r="E7743" s="6" t="s">
        <v>14241</v>
      </c>
      <c r="F7743" s="9"/>
    </row>
    <row r="7744" ht="33.75" customHeight="1">
      <c r="A7744" s="7">
        <v>291.0</v>
      </c>
      <c r="B7744" s="9" t="s">
        <v>14234</v>
      </c>
      <c r="C7744" s="9" t="s">
        <v>14235</v>
      </c>
      <c r="D7744" s="9" t="s">
        <v>98</v>
      </c>
      <c r="E7744" s="6" t="s">
        <v>14241</v>
      </c>
      <c r="F7744" s="9"/>
    </row>
    <row r="7745" ht="33.75" customHeight="1">
      <c r="A7745" s="7">
        <v>291.0</v>
      </c>
      <c r="B7745" s="9" t="s">
        <v>14234</v>
      </c>
      <c r="C7745" s="9" t="s">
        <v>14235</v>
      </c>
      <c r="D7745" s="9" t="s">
        <v>99</v>
      </c>
      <c r="E7745" s="6" t="s">
        <v>14241</v>
      </c>
      <c r="F7745" s="9"/>
    </row>
    <row r="7746" ht="33.75" customHeight="1">
      <c r="A7746" s="7">
        <v>291.0</v>
      </c>
      <c r="B7746" s="9" t="s">
        <v>14234</v>
      </c>
      <c r="C7746" s="9" t="s">
        <v>14235</v>
      </c>
      <c r="D7746" s="9" t="s">
        <v>101</v>
      </c>
      <c r="E7746" s="6" t="s">
        <v>14242</v>
      </c>
      <c r="F7746" s="9"/>
    </row>
    <row r="7747" ht="33.75" customHeight="1">
      <c r="A7747" s="7">
        <v>291.0</v>
      </c>
      <c r="B7747" s="9" t="s">
        <v>14234</v>
      </c>
      <c r="C7747" s="9" t="s">
        <v>14235</v>
      </c>
      <c r="D7747" s="9" t="s">
        <v>105</v>
      </c>
      <c r="E7747" s="6" t="s">
        <v>14241</v>
      </c>
      <c r="F7747" s="9"/>
    </row>
    <row r="7748" ht="33.75" customHeight="1">
      <c r="A7748" s="7">
        <v>291.0</v>
      </c>
      <c r="B7748" s="9" t="s">
        <v>14234</v>
      </c>
      <c r="C7748" s="9" t="s">
        <v>14235</v>
      </c>
      <c r="D7748" s="9" t="s">
        <v>107</v>
      </c>
      <c r="E7748" s="6" t="s">
        <v>14243</v>
      </c>
      <c r="F7748" s="9"/>
    </row>
    <row r="7749" ht="33.75" customHeight="1">
      <c r="A7749" s="7">
        <v>291.0</v>
      </c>
      <c r="B7749" s="9" t="s">
        <v>14234</v>
      </c>
      <c r="C7749" s="9" t="s">
        <v>14235</v>
      </c>
      <c r="D7749" s="9" t="s">
        <v>109</v>
      </c>
      <c r="E7749" s="6" t="s">
        <v>14244</v>
      </c>
      <c r="F7749" s="9"/>
    </row>
    <row r="7750" ht="33.75" customHeight="1">
      <c r="A7750" s="7">
        <v>291.0</v>
      </c>
      <c r="B7750" s="9" t="s">
        <v>14234</v>
      </c>
      <c r="C7750" s="9" t="s">
        <v>14235</v>
      </c>
      <c r="D7750" s="9" t="s">
        <v>114</v>
      </c>
      <c r="E7750" s="6" t="s">
        <v>14242</v>
      </c>
      <c r="F7750" s="9"/>
    </row>
    <row r="7751" ht="33.75" customHeight="1">
      <c r="A7751" s="7">
        <v>291.0</v>
      </c>
      <c r="B7751" s="9" t="s">
        <v>14234</v>
      </c>
      <c r="C7751" s="9" t="s">
        <v>14235</v>
      </c>
      <c r="D7751" s="9" t="s">
        <v>117</v>
      </c>
      <c r="E7751" s="6" t="s">
        <v>14245</v>
      </c>
      <c r="F7751" s="9"/>
    </row>
    <row r="7752" ht="33.75" customHeight="1">
      <c r="A7752" s="7">
        <v>292.0</v>
      </c>
      <c r="B7752" s="9" t="s">
        <v>14246</v>
      </c>
      <c r="C7752" s="9" t="s">
        <v>14247</v>
      </c>
      <c r="D7752" s="9" t="s">
        <v>67</v>
      </c>
      <c r="E7752" s="6" t="s">
        <v>14248</v>
      </c>
      <c r="F7752" t="inlineStr" s="10">
        <is>
          <t xml:space="preserve">SHEDINJAN kova ruumis ei liiku – ei edes nykäise. Itse asiassa sen ruumis näyttää vain ontolta kuorelta. Uskotaan, että tämä POKéMON varastaa hengen jokaiselta, joka kurkistaa sen onttoon ruumiiseen selästä. SHEDINJA on erikoinen POKéMON. Se näyttää ilmestyvän etsimättömänä POKé-PALLOSSA NINCADAN kehittymisen jälkeen. Tämä erikoinen POKéMON on täysin liikkumaton – se ei edes hengitä. Erikoinen POKéMON, joka leijuu ilmassa, vaikka sen siivet pysyvät täysin paikallaan. Sen ruumiin sisäpuoli on ontto ja täysin pimeä. Hyvin erikoinen POKéMON, joka ilmestyy jotenkin POKé-PALLOON, kun NINCADA kehittyy. Hylätty ötökänkuori, joka heräsi eloon. Sen selässä olevaan halkeamaan kurkistamisen sanotaan varastavan hengen. Outo Pokémon – se lentää liikuttamatta siipiään, sillä on ontto kuori ruumiinaan eikä se hengitä. Hyvin erikoinen Pokémon, joka ilmestyy jotenkin Poképalloon Nincadan kehittyessä. Se näyttää olevan etsimätön Poképallossa Nincadan kehittyttyä. Outo Pokémon – se lentää liikuttamatta siipiään, sillä on ontto kuori vartalonaan eikä se hengitä.</t>
        </is>
      </c>
    </row>
    <row r="7753" ht="33.75" customHeight="1">
      <c r="A7753" s="7">
        <v>292.0</v>
      </c>
      <c r="B7753" s="9" t="s">
        <v>14246</v>
      </c>
      <c r="C7753" s="9" t="s">
        <v>14247</v>
      </c>
      <c r="D7753" s="9" t="s">
        <v>71</v>
      </c>
      <c r="E7753" s="6" t="s">
        <v>14249</v>
      </c>
      <c r="F7753" s="9"/>
    </row>
    <row r="7754" ht="33.75" customHeight="1">
      <c r="A7754" s="7">
        <v>292.0</v>
      </c>
      <c r="B7754" s="9" t="s">
        <v>14246</v>
      </c>
      <c r="C7754" s="9" t="s">
        <v>14247</v>
      </c>
      <c r="D7754" s="9" t="s">
        <v>73</v>
      </c>
      <c r="E7754" s="6" t="s">
        <v>14250</v>
      </c>
      <c r="F7754" s="9"/>
    </row>
    <row r="7755" ht="33.75" customHeight="1">
      <c r="A7755" s="7">
        <v>292.0</v>
      </c>
      <c r="B7755" s="9" t="s">
        <v>14246</v>
      </c>
      <c r="C7755" s="9" t="s">
        <v>14247</v>
      </c>
      <c r="D7755" s="9" t="s">
        <v>75</v>
      </c>
      <c r="E7755" s="6" t="s">
        <v>14251</v>
      </c>
      <c r="F7755" s="9"/>
    </row>
    <row r="7756" ht="33.75" customHeight="1">
      <c r="A7756" s="7">
        <v>292.0</v>
      </c>
      <c r="B7756" s="9" t="s">
        <v>14246</v>
      </c>
      <c r="C7756" s="9" t="s">
        <v>14247</v>
      </c>
      <c r="D7756" s="9" t="s">
        <v>79</v>
      </c>
      <c r="E7756" s="6" t="s">
        <v>14251</v>
      </c>
      <c r="F7756" s="9"/>
    </row>
    <row r="7757" ht="33.75" customHeight="1">
      <c r="A7757" s="7">
        <v>292.0</v>
      </c>
      <c r="B7757" s="9" t="s">
        <v>14246</v>
      </c>
      <c r="C7757" s="9" t="s">
        <v>14247</v>
      </c>
      <c r="D7757" s="9" t="s">
        <v>81</v>
      </c>
      <c r="E7757" s="6" t="s">
        <v>14253</v>
      </c>
      <c r="F7757" s="9"/>
    </row>
    <row r="7758" ht="33.75" customHeight="1">
      <c r="A7758" s="7">
        <v>292.0</v>
      </c>
      <c r="B7758" s="9" t="s">
        <v>14246</v>
      </c>
      <c r="C7758" s="9" t="s">
        <v>14247</v>
      </c>
      <c r="D7758" s="9" t="s">
        <v>84</v>
      </c>
      <c r="E7758" s="6" t="s">
        <v>14253</v>
      </c>
      <c r="F7758" s="9"/>
    </row>
    <row r="7759" ht="33.75" customHeight="1">
      <c r="A7759" s="7">
        <v>292.0</v>
      </c>
      <c r="B7759" s="9" t="s">
        <v>14246</v>
      </c>
      <c r="C7759" s="9" t="s">
        <v>14247</v>
      </c>
      <c r="D7759" s="9" t="s">
        <v>87</v>
      </c>
      <c r="E7759" s="6" t="s">
        <v>14253</v>
      </c>
      <c r="F7759" s="9"/>
    </row>
    <row r="7760" ht="33.75" customHeight="1">
      <c r="A7760" s="7">
        <v>292.0</v>
      </c>
      <c r="B7760" s="9" t="s">
        <v>14246</v>
      </c>
      <c r="C7760" s="9" t="s">
        <v>14247</v>
      </c>
      <c r="D7760" s="9" t="s">
        <v>89</v>
      </c>
      <c r="E7760" s="6" t="s">
        <v>14254</v>
      </c>
      <c r="F7760" s="9"/>
    </row>
    <row r="7761" ht="33.75" customHeight="1">
      <c r="A7761" s="7">
        <v>292.0</v>
      </c>
      <c r="B7761" s="9" t="s">
        <v>14246</v>
      </c>
      <c r="C7761" s="9" t="s">
        <v>14247</v>
      </c>
      <c r="D7761" s="9" t="s">
        <v>91</v>
      </c>
      <c r="E7761" s="6" t="s">
        <v>14254</v>
      </c>
      <c r="F7761" s="9"/>
    </row>
    <row r="7762" ht="33.75" customHeight="1">
      <c r="A7762" s="7">
        <v>292.0</v>
      </c>
      <c r="B7762" s="9" t="s">
        <v>14246</v>
      </c>
      <c r="C7762" s="9" t="s">
        <v>14247</v>
      </c>
      <c r="D7762" s="9" t="s">
        <v>93</v>
      </c>
      <c r="E7762" s="6" t="s">
        <v>14253</v>
      </c>
      <c r="F7762" s="9"/>
    </row>
    <row r="7763" ht="33.75" customHeight="1">
      <c r="A7763" s="7">
        <v>292.0</v>
      </c>
      <c r="B7763" s="9" t="s">
        <v>14246</v>
      </c>
      <c r="C7763" s="9" t="s">
        <v>14247</v>
      </c>
      <c r="D7763" s="9" t="s">
        <v>95</v>
      </c>
      <c r="E7763" s="6" t="s">
        <v>14253</v>
      </c>
      <c r="F7763" s="9"/>
    </row>
    <row r="7764" ht="33.75" customHeight="1">
      <c r="A7764" s="7">
        <v>292.0</v>
      </c>
      <c r="B7764" s="9" t="s">
        <v>14246</v>
      </c>
      <c r="C7764" s="9" t="s">
        <v>14247</v>
      </c>
      <c r="D7764" s="9" t="s">
        <v>98</v>
      </c>
      <c r="E7764" s="6" t="s">
        <v>14253</v>
      </c>
      <c r="F7764" s="9"/>
    </row>
    <row r="7765" ht="33.75" customHeight="1">
      <c r="A7765" s="7">
        <v>292.0</v>
      </c>
      <c r="B7765" s="9" t="s">
        <v>14246</v>
      </c>
      <c r="C7765" s="9" t="s">
        <v>14247</v>
      </c>
      <c r="D7765" s="9" t="s">
        <v>99</v>
      </c>
      <c r="E7765" s="6" t="s">
        <v>14253</v>
      </c>
      <c r="F7765" s="9"/>
    </row>
    <row r="7766" ht="33.75" customHeight="1">
      <c r="A7766" s="7">
        <v>292.0</v>
      </c>
      <c r="B7766" s="9" t="s">
        <v>14246</v>
      </c>
      <c r="C7766" s="9" t="s">
        <v>14247</v>
      </c>
      <c r="D7766" s="9" t="s">
        <v>101</v>
      </c>
      <c r="E7766" s="6" t="s">
        <v>14253</v>
      </c>
      <c r="F7766" s="9"/>
    </row>
    <row r="7767" ht="33.75" customHeight="1">
      <c r="A7767" s="7">
        <v>292.0</v>
      </c>
      <c r="B7767" s="9" t="s">
        <v>14246</v>
      </c>
      <c r="C7767" s="9" t="s">
        <v>14247</v>
      </c>
      <c r="D7767" s="9" t="s">
        <v>105</v>
      </c>
      <c r="E7767" s="6" t="s">
        <v>14255</v>
      </c>
      <c r="F7767" s="9"/>
    </row>
    <row r="7768" ht="33.75" customHeight="1">
      <c r="A7768" s="7">
        <v>292.0</v>
      </c>
      <c r="B7768" s="9" t="s">
        <v>14246</v>
      </c>
      <c r="C7768" s="9" t="s">
        <v>14247</v>
      </c>
      <c r="D7768" s="9" t="s">
        <v>107</v>
      </c>
      <c r="E7768" s="6" t="s">
        <v>14256</v>
      </c>
      <c r="F7768" s="9"/>
    </row>
    <row r="7769" ht="33.75" customHeight="1">
      <c r="A7769" s="7">
        <v>292.0</v>
      </c>
      <c r="B7769" s="9" t="s">
        <v>14246</v>
      </c>
      <c r="C7769" s="9" t="s">
        <v>14247</v>
      </c>
      <c r="D7769" s="9" t="s">
        <v>109</v>
      </c>
      <c r="E7769" s="6" t="s">
        <v>14257</v>
      </c>
      <c r="F7769" s="9"/>
    </row>
    <row r="7770" ht="33.75" customHeight="1">
      <c r="A7770" s="7">
        <v>292.0</v>
      </c>
      <c r="B7770" s="9" t="s">
        <v>14246</v>
      </c>
      <c r="C7770" s="9" t="s">
        <v>14247</v>
      </c>
      <c r="D7770" s="9" t="s">
        <v>114</v>
      </c>
      <c r="E7770" s="6" t="s">
        <v>14255</v>
      </c>
      <c r="F7770" s="9"/>
    </row>
    <row r="7771" ht="33.75" customHeight="1">
      <c r="A7771" s="7">
        <v>292.0</v>
      </c>
      <c r="B7771" s="9" t="s">
        <v>14246</v>
      </c>
      <c r="C7771" s="9" t="s">
        <v>14247</v>
      </c>
      <c r="D7771" s="9" t="s">
        <v>117</v>
      </c>
      <c r="E7771" s="6" t="s">
        <v>14258</v>
      </c>
      <c r="F7771" s="9"/>
    </row>
    <row r="7772" ht="33.75" customHeight="1">
      <c r="A7772" s="7">
        <v>293.0</v>
      </c>
      <c r="B7772" s="9" t="s">
        <v>14259</v>
      </c>
      <c r="C7772" s="9" t="s">
        <v>14260</v>
      </c>
      <c r="D7772" s="9" t="s">
        <v>67</v>
      </c>
      <c r="E7772" s="6" t="s">
        <v>14261</v>
      </c>
      <c r="F7772" t="inlineStr" s="10">
        <is>
          <t xml:space="preserve">Normaalisti WHISMURin ääni on hyvin hiljainen – sitä tuskin kuulee, vaikka tarkkailisi tarkasti. Jos tämä POKéMON kuitenkin aistii vaaran, se alkaa itkeä korviahuumaavalla äänenvoimakkuudella. WHISMUR on hyvin arka. Jos se alkaa itkeä kovaa, se säpsähtää omaan itkuunsa ja itkee entistä kovemmin. Kun se lopulta lakkaa itkemästä, POKéMON nukahtaa väsyneenä. Sen huuto vastaa voimakkuudeltaan suihkukoneen ääntä. Se hengittää sisään korvakäytäviensä kautta. Tämän järjestelmän ansiosta se voi itkeä jatkuvasti ilman, että sen tarvitsee vetää henkeä. Se yleensä mumisee, mutta alkaa itkeä kovaa, jos se aistii vaaran. Se pysähtyy, kun sen korvakupit sulkeutuvat. Yleensä sen huudot ovat kuin hiljaista kuiskausta. Jos se pelästyy, se kirkuu samalla äänenvoimakkuudella kuin suihkukone. Jos se aistii vaaran, se pelottaa vihollisen huutamalla suihkukoneen moottorin äänenvoimakkuudella. Kun se lopulta lakkaa itkemästä, Pokémon menee nukkumaan väsyneenä. Whismurin huuto on yli 100 desibeliä. Jos olet lähellä Whismuria sen päästessä huudon, päänsärky jatkuu koko päivän. Kun Whismur itkee, sen oma ääni säikäyttää sen, jolloin Pokémon itkee entistä kovempaa. Se itkee, kunnes on uupunut, ja sitten se nukahtaa.</t>
        </is>
      </c>
    </row>
    <row r="7773" ht="33.75" customHeight="1">
      <c r="A7773" s="7">
        <v>293.0</v>
      </c>
      <c r="B7773" s="9" t="s">
        <v>14259</v>
      </c>
      <c r="C7773" s="9" t="s">
        <v>14260</v>
      </c>
      <c r="D7773" s="9" t="s">
        <v>71</v>
      </c>
      <c r="E7773" s="6" t="s">
        <v>14262</v>
      </c>
      <c r="F7773" s="9"/>
    </row>
    <row r="7774" ht="33.75" customHeight="1">
      <c r="A7774" s="7">
        <v>293.0</v>
      </c>
      <c r="B7774" s="9" t="s">
        <v>14259</v>
      </c>
      <c r="C7774" s="9" t="s">
        <v>14260</v>
      </c>
      <c r="D7774" s="9" t="s">
        <v>73</v>
      </c>
      <c r="E7774" s="6" t="s">
        <v>14263</v>
      </c>
      <c r="F7774" s="9"/>
    </row>
    <row r="7775" ht="33.75" customHeight="1">
      <c r="A7775" s="7">
        <v>293.0</v>
      </c>
      <c r="B7775" s="9" t="s">
        <v>14259</v>
      </c>
      <c r="C7775" s="9" t="s">
        <v>14260</v>
      </c>
      <c r="D7775" s="9" t="s">
        <v>75</v>
      </c>
      <c r="E7775" s="6" t="s">
        <v>14264</v>
      </c>
      <c r="F7775" s="9"/>
    </row>
    <row r="7776" ht="33.75" customHeight="1">
      <c r="A7776" s="7">
        <v>293.0</v>
      </c>
      <c r="B7776" s="9" t="s">
        <v>14259</v>
      </c>
      <c r="C7776" s="9" t="s">
        <v>14260</v>
      </c>
      <c r="D7776" s="9" t="s">
        <v>79</v>
      </c>
      <c r="E7776" s="6" t="s">
        <v>14264</v>
      </c>
      <c r="F7776" s="9"/>
    </row>
    <row r="7777" ht="33.75" customHeight="1">
      <c r="A7777" s="7">
        <v>293.0</v>
      </c>
      <c r="B7777" s="9" t="s">
        <v>14259</v>
      </c>
      <c r="C7777" s="9" t="s">
        <v>14260</v>
      </c>
      <c r="D7777" s="9" t="s">
        <v>81</v>
      </c>
      <c r="E7777" s="6" t="s">
        <v>14265</v>
      </c>
      <c r="F7777" s="9"/>
    </row>
    <row r="7778" ht="33.75" customHeight="1">
      <c r="A7778" s="7">
        <v>293.0</v>
      </c>
      <c r="B7778" s="9" t="s">
        <v>14259</v>
      </c>
      <c r="C7778" s="9" t="s">
        <v>14260</v>
      </c>
      <c r="D7778" s="9" t="s">
        <v>84</v>
      </c>
      <c r="E7778" s="6" t="s">
        <v>14265</v>
      </c>
      <c r="F7778" s="9"/>
    </row>
    <row r="7779" ht="33.75" customHeight="1">
      <c r="A7779" s="7">
        <v>293.0</v>
      </c>
      <c r="B7779" s="9" t="s">
        <v>14259</v>
      </c>
      <c r="C7779" s="9" t="s">
        <v>14260</v>
      </c>
      <c r="D7779" s="9" t="s">
        <v>87</v>
      </c>
      <c r="E7779" s="6" t="s">
        <v>14265</v>
      </c>
      <c r="F7779" s="9"/>
    </row>
    <row r="7780" ht="33.75" customHeight="1">
      <c r="A7780" s="7">
        <v>293.0</v>
      </c>
      <c r="B7780" s="9" t="s">
        <v>14259</v>
      </c>
      <c r="C7780" s="9" t="s">
        <v>14260</v>
      </c>
      <c r="D7780" s="9" t="s">
        <v>89</v>
      </c>
      <c r="E7780" s="6" t="s">
        <v>14266</v>
      </c>
      <c r="F7780" s="9"/>
    </row>
    <row r="7781" ht="33.75" customHeight="1">
      <c r="A7781" s="7">
        <v>293.0</v>
      </c>
      <c r="B7781" s="9" t="s">
        <v>14259</v>
      </c>
      <c r="C7781" s="9" t="s">
        <v>14260</v>
      </c>
      <c r="D7781" s="9" t="s">
        <v>91</v>
      </c>
      <c r="E7781" s="6" t="s">
        <v>14266</v>
      </c>
      <c r="F7781" s="9"/>
    </row>
    <row r="7782" ht="33.75" customHeight="1">
      <c r="A7782" s="7">
        <v>293.0</v>
      </c>
      <c r="B7782" s="9" t="s">
        <v>14259</v>
      </c>
      <c r="C7782" s="9" t="s">
        <v>14260</v>
      </c>
      <c r="D7782" s="9" t="s">
        <v>93</v>
      </c>
      <c r="E7782" s="6" t="s">
        <v>14265</v>
      </c>
      <c r="F7782" s="9"/>
    </row>
    <row r="7783" ht="33.75" customHeight="1">
      <c r="A7783" s="7">
        <v>293.0</v>
      </c>
      <c r="B7783" s="9" t="s">
        <v>14259</v>
      </c>
      <c r="C7783" s="9" t="s">
        <v>14260</v>
      </c>
      <c r="D7783" s="9" t="s">
        <v>95</v>
      </c>
      <c r="E7783" s="6" t="s">
        <v>14265</v>
      </c>
      <c r="F7783" s="9"/>
    </row>
    <row r="7784" ht="33.75" customHeight="1">
      <c r="A7784" s="7">
        <v>293.0</v>
      </c>
      <c r="B7784" s="9" t="s">
        <v>14259</v>
      </c>
      <c r="C7784" s="9" t="s">
        <v>14260</v>
      </c>
      <c r="D7784" s="9" t="s">
        <v>98</v>
      </c>
      <c r="E7784" s="6" t="s">
        <v>14265</v>
      </c>
      <c r="F7784" s="9"/>
    </row>
    <row r="7785" ht="33.75" customHeight="1">
      <c r="A7785" s="7">
        <v>293.0</v>
      </c>
      <c r="B7785" s="9" t="s">
        <v>14259</v>
      </c>
      <c r="C7785" s="9" t="s">
        <v>14260</v>
      </c>
      <c r="D7785" s="9" t="s">
        <v>99</v>
      </c>
      <c r="E7785" s="6" t="s">
        <v>14265</v>
      </c>
      <c r="F7785" s="9"/>
    </row>
    <row r="7786" ht="33.75" customHeight="1">
      <c r="A7786" s="7">
        <v>293.0</v>
      </c>
      <c r="B7786" s="9" t="s">
        <v>14259</v>
      </c>
      <c r="C7786" s="9" t="s">
        <v>14260</v>
      </c>
      <c r="D7786" s="9" t="s">
        <v>101</v>
      </c>
      <c r="E7786" s="6" t="s">
        <v>14264</v>
      </c>
      <c r="F7786" s="9"/>
    </row>
    <row r="7787" ht="33.75" customHeight="1">
      <c r="A7787" s="7">
        <v>293.0</v>
      </c>
      <c r="B7787" s="9" t="s">
        <v>14259</v>
      </c>
      <c r="C7787" s="9" t="s">
        <v>14260</v>
      </c>
      <c r="D7787" s="9" t="s">
        <v>105</v>
      </c>
      <c r="E7787" s="6" t="s">
        <v>14266</v>
      </c>
      <c r="F7787" s="9"/>
    </row>
    <row r="7788" ht="33.75" customHeight="1">
      <c r="A7788" s="7">
        <v>293.0</v>
      </c>
      <c r="B7788" s="9" t="s">
        <v>14259</v>
      </c>
      <c r="C7788" s="9" t="s">
        <v>14260</v>
      </c>
      <c r="D7788" s="9" t="s">
        <v>107</v>
      </c>
      <c r="E7788" s="6" t="s">
        <v>14268</v>
      </c>
      <c r="F7788" s="9"/>
    </row>
    <row r="7789" ht="33.75" customHeight="1">
      <c r="A7789" s="7">
        <v>293.0</v>
      </c>
      <c r="B7789" s="9" t="s">
        <v>14259</v>
      </c>
      <c r="C7789" s="9" t="s">
        <v>14260</v>
      </c>
      <c r="D7789" s="9" t="s">
        <v>109</v>
      </c>
      <c r="E7789" s="6" t="s">
        <v>14269</v>
      </c>
      <c r="F7789" s="9"/>
    </row>
    <row r="7790" ht="33.75" customHeight="1">
      <c r="A7790" s="7">
        <v>293.0</v>
      </c>
      <c r="B7790" s="9" t="s">
        <v>14259</v>
      </c>
      <c r="C7790" s="9" t="s">
        <v>14260</v>
      </c>
      <c r="D7790" s="9" t="s">
        <v>114</v>
      </c>
      <c r="E7790" s="6" t="s">
        <v>14270</v>
      </c>
      <c r="F7790" s="9"/>
    </row>
    <row r="7791" ht="33.75" customHeight="1">
      <c r="A7791" s="7">
        <v>293.0</v>
      </c>
      <c r="B7791" s="9" t="s">
        <v>14259</v>
      </c>
      <c r="C7791" s="9" t="s">
        <v>14260</v>
      </c>
      <c r="D7791" s="9" t="s">
        <v>117</v>
      </c>
      <c r="E7791" s="6" t="s">
        <v>14271</v>
      </c>
      <c r="F7791" s="9"/>
    </row>
    <row r="7792" ht="33.75" customHeight="1">
      <c r="A7792" s="7">
        <v>294.0</v>
      </c>
      <c r="B7792" s="9" t="s">
        <v>14272</v>
      </c>
      <c r="C7792" s="9" t="s">
        <v>14273</v>
      </c>
      <c r="D7792" s="9" t="s">
        <v>67</v>
      </c>
      <c r="E7792" s="6" t="s">
        <v>14274</v>
      </c>
      <c r="F7792" t="inlineStr" s="10">
        <is>
          <t xml:space="preserve">LOUDREDin karjunta voi tuhota puurakenteisen talon täysin. Se käyttää ääntään vihollistensa rankaisemiseen. Tämän POKéMONin pyöreät korvat toimivat kaiuttimina. LOUDRED huutaa polkien jalkojaan. Huutamisen jälkeen tämä POKéMON ei kuule mitään hetkeen. Tätä pidetään heikkona kohtana. Se asettaa pyöreät kaiuttimet päähänsä hyökätäkseen vihollisten kimppuun valtavalla äänenvoimakkuudella toimivilla ultraääniaalloilla. Se rakentaa tehoa polkemalla maata. Kun se tömistää jalkojaan ja palkeitaan, se tuottaa ultraääniaaltoja, jotka voivat räjäyttää talon. Sen huutojen aiheuttamat paineaallot voivat kaataa kuorma-autoja. Se tömistelee jalkojaan saadakseen virtaa. Se huutaa kovaa ääntä hengittämällä ilmaa ja käyttää sitten hyvin kehittyneitä vatsalihaksiaan uloshengitykseen. Loudredin mölinä voi tuhota puurakenteisen talon täysin. Se käyttää ääntään rankaisemaan vihollisiaan. Kovaääninen huuto polkien samalla jalkojaan. Huutamisen jälkeen Pokémon ei kykene hetkeen kuulemaan mitään. Tätä pidetään heikkona kohtanaan. Loudredin korvat toimivat kaiuttimina, ja ne voivat tuottaa niin voimakkaita ääniaaltoja, että ne voisivat puhaltaa pois koko talon. Tämän Pokémonin kovan äänen voima ei ole pelkästään ääni – se on myös ilmanpaineaalto, joka puhaltaa vastustajat pois ja vahingoittaa heitä.</t>
        </is>
      </c>
    </row>
    <row r="7793" ht="33.75" customHeight="1">
      <c r="A7793" s="7">
        <v>294.0</v>
      </c>
      <c r="B7793" s="9" t="s">
        <v>14272</v>
      </c>
      <c r="C7793" s="9" t="s">
        <v>14273</v>
      </c>
      <c r="D7793" s="9" t="s">
        <v>71</v>
      </c>
      <c r="E7793" s="6" t="s">
        <v>14275</v>
      </c>
      <c r="F7793" s="9"/>
    </row>
    <row r="7794" ht="33.75" customHeight="1">
      <c r="A7794" s="7">
        <v>294.0</v>
      </c>
      <c r="B7794" s="9" t="s">
        <v>14272</v>
      </c>
      <c r="C7794" s="9" t="s">
        <v>14273</v>
      </c>
      <c r="D7794" s="9" t="s">
        <v>73</v>
      </c>
      <c r="E7794" s="6" t="s">
        <v>14276</v>
      </c>
      <c r="F7794" s="9"/>
    </row>
    <row r="7795" ht="33.75" customHeight="1">
      <c r="A7795" s="7">
        <v>294.0</v>
      </c>
      <c r="B7795" s="9" t="s">
        <v>14272</v>
      </c>
      <c r="C7795" s="9" t="s">
        <v>14273</v>
      </c>
      <c r="D7795" s="9" t="s">
        <v>75</v>
      </c>
      <c r="E7795" s="6" t="s">
        <v>14277</v>
      </c>
      <c r="F7795" s="9"/>
    </row>
    <row r="7796" ht="33.75" customHeight="1">
      <c r="A7796" s="7">
        <v>294.0</v>
      </c>
      <c r="B7796" s="9" t="s">
        <v>14272</v>
      </c>
      <c r="C7796" s="9" t="s">
        <v>14273</v>
      </c>
      <c r="D7796" s="9" t="s">
        <v>79</v>
      </c>
      <c r="E7796" s="6" t="s">
        <v>14277</v>
      </c>
      <c r="F7796" s="9"/>
    </row>
    <row r="7797" ht="33.75" customHeight="1">
      <c r="A7797" s="7">
        <v>294.0</v>
      </c>
      <c r="B7797" s="9" t="s">
        <v>14272</v>
      </c>
      <c r="C7797" s="9" t="s">
        <v>14273</v>
      </c>
      <c r="D7797" s="9" t="s">
        <v>81</v>
      </c>
      <c r="E7797" s="6" t="s">
        <v>14278</v>
      </c>
      <c r="F7797" s="9"/>
    </row>
    <row r="7798" ht="33.75" customHeight="1">
      <c r="A7798" s="7">
        <v>294.0</v>
      </c>
      <c r="B7798" s="9" t="s">
        <v>14272</v>
      </c>
      <c r="C7798" s="9" t="s">
        <v>14273</v>
      </c>
      <c r="D7798" s="9" t="s">
        <v>84</v>
      </c>
      <c r="E7798" s="6" t="s">
        <v>14278</v>
      </c>
      <c r="F7798" s="9"/>
    </row>
    <row r="7799" ht="33.75" customHeight="1">
      <c r="A7799" s="7">
        <v>294.0</v>
      </c>
      <c r="B7799" s="9" t="s">
        <v>14272</v>
      </c>
      <c r="C7799" s="9" t="s">
        <v>14273</v>
      </c>
      <c r="D7799" s="9" t="s">
        <v>87</v>
      </c>
      <c r="E7799" s="6" t="s">
        <v>14278</v>
      </c>
      <c r="F7799" s="9"/>
    </row>
    <row r="7800" ht="33.75" customHeight="1">
      <c r="A7800" s="7">
        <v>294.0</v>
      </c>
      <c r="B7800" s="9" t="s">
        <v>14272</v>
      </c>
      <c r="C7800" s="9" t="s">
        <v>14273</v>
      </c>
      <c r="D7800" s="9" t="s">
        <v>89</v>
      </c>
      <c r="E7800" s="6" t="s">
        <v>14279</v>
      </c>
      <c r="F7800" s="9"/>
    </row>
    <row r="7801" ht="33.75" customHeight="1">
      <c r="A7801" s="7">
        <v>294.0</v>
      </c>
      <c r="B7801" s="9" t="s">
        <v>14272</v>
      </c>
      <c r="C7801" s="9" t="s">
        <v>14273</v>
      </c>
      <c r="D7801" s="9" t="s">
        <v>91</v>
      </c>
      <c r="E7801" s="6" t="s">
        <v>14279</v>
      </c>
      <c r="F7801" s="9"/>
    </row>
    <row r="7802" ht="33.75" customHeight="1">
      <c r="A7802" s="7">
        <v>294.0</v>
      </c>
      <c r="B7802" s="9" t="s">
        <v>14272</v>
      </c>
      <c r="C7802" s="9" t="s">
        <v>14273</v>
      </c>
      <c r="D7802" s="9" t="s">
        <v>93</v>
      </c>
      <c r="E7802" s="6" t="s">
        <v>14278</v>
      </c>
      <c r="F7802" s="9"/>
    </row>
    <row r="7803" ht="33.75" customHeight="1">
      <c r="A7803" s="7">
        <v>294.0</v>
      </c>
      <c r="B7803" s="9" t="s">
        <v>14272</v>
      </c>
      <c r="C7803" s="9" t="s">
        <v>14273</v>
      </c>
      <c r="D7803" s="9" t="s">
        <v>95</v>
      </c>
      <c r="E7803" s="6" t="s">
        <v>14278</v>
      </c>
      <c r="F7803" s="9"/>
    </row>
    <row r="7804" ht="33.75" customHeight="1">
      <c r="A7804" s="7">
        <v>294.0</v>
      </c>
      <c r="B7804" s="9" t="s">
        <v>14272</v>
      </c>
      <c r="C7804" s="9" t="s">
        <v>14273</v>
      </c>
      <c r="D7804" s="9" t="s">
        <v>98</v>
      </c>
      <c r="E7804" s="6" t="s">
        <v>14278</v>
      </c>
      <c r="F7804" s="9"/>
    </row>
    <row r="7805" ht="33.75" customHeight="1">
      <c r="A7805" s="7">
        <v>294.0</v>
      </c>
      <c r="B7805" s="9" t="s">
        <v>14272</v>
      </c>
      <c r="C7805" s="9" t="s">
        <v>14273</v>
      </c>
      <c r="D7805" s="9" t="s">
        <v>99</v>
      </c>
      <c r="E7805" s="6" t="s">
        <v>14278</v>
      </c>
      <c r="F7805" s="9"/>
    </row>
    <row r="7806" ht="33.75" customHeight="1">
      <c r="A7806" s="7">
        <v>294.0</v>
      </c>
      <c r="B7806" s="9" t="s">
        <v>14272</v>
      </c>
      <c r="C7806" s="9" t="s">
        <v>14273</v>
      </c>
      <c r="D7806" s="9" t="s">
        <v>101</v>
      </c>
      <c r="E7806" s="6" t="s">
        <v>14279</v>
      </c>
      <c r="F7806" s="9"/>
    </row>
    <row r="7807" ht="33.75" customHeight="1">
      <c r="A7807" s="7">
        <v>294.0</v>
      </c>
      <c r="B7807" s="9" t="s">
        <v>14272</v>
      </c>
      <c r="C7807" s="9" t="s">
        <v>14273</v>
      </c>
      <c r="D7807" s="9" t="s">
        <v>105</v>
      </c>
      <c r="E7807" s="6" t="s">
        <v>14278</v>
      </c>
      <c r="F7807" s="9"/>
    </row>
    <row r="7808" ht="33.75" customHeight="1">
      <c r="A7808" s="7">
        <v>294.0</v>
      </c>
      <c r="B7808" s="9" t="s">
        <v>14272</v>
      </c>
      <c r="C7808" s="9" t="s">
        <v>14273</v>
      </c>
      <c r="D7808" s="9" t="s">
        <v>107</v>
      </c>
      <c r="E7808" s="6" t="s">
        <v>14280</v>
      </c>
      <c r="F7808" s="9"/>
    </row>
    <row r="7809" ht="33.75" customHeight="1">
      <c r="A7809" s="7">
        <v>294.0</v>
      </c>
      <c r="B7809" s="9" t="s">
        <v>14272</v>
      </c>
      <c r="C7809" s="9" t="s">
        <v>14273</v>
      </c>
      <c r="D7809" s="9" t="s">
        <v>109</v>
      </c>
      <c r="E7809" s="6" t="s">
        <v>14281</v>
      </c>
      <c r="F7809" s="9"/>
    </row>
    <row r="7810" ht="33.75" customHeight="1">
      <c r="A7810" s="7">
        <v>294.0</v>
      </c>
      <c r="B7810" s="9" t="s">
        <v>14272</v>
      </c>
      <c r="C7810" s="9" t="s">
        <v>14273</v>
      </c>
      <c r="D7810" s="9" t="s">
        <v>114</v>
      </c>
      <c r="E7810" s="6" t="s">
        <v>14282</v>
      </c>
      <c r="F7810" s="9"/>
    </row>
    <row r="7811" ht="33.75" customHeight="1">
      <c r="A7811" s="7">
        <v>294.0</v>
      </c>
      <c r="B7811" s="9" t="s">
        <v>14272</v>
      </c>
      <c r="C7811" s="9" t="s">
        <v>14273</v>
      </c>
      <c r="D7811" s="9" t="s">
        <v>117</v>
      </c>
      <c r="E7811" s="6" t="s">
        <v>14283</v>
      </c>
      <c r="F7811" s="9"/>
    </row>
    <row r="7812" ht="33.75" customHeight="1">
      <c r="A7812" s="7">
        <v>295.0</v>
      </c>
      <c r="B7812" s="9" t="s">
        <v>14285</v>
      </c>
      <c r="C7812" s="9" t="s">
        <v>14286</v>
      </c>
      <c r="D7812" s="9" t="s">
        <v>67</v>
      </c>
      <c r="E7812" s="6" t="s">
        <v>14287</v>
      </c>
      <c r="F7812" t="inlineStr" s="10">
        <is>
          <t xml:space="preserve">RÄJÄHDYS laukaisee maanjäristyksiä möliessään. Jos tämä POKéMON hengittää voimakkaasti sisään kehonsa aukoista, se on merkki siitä, että se valmistautuu päästämään valtavan mölyn. EKSPLOD viestii tunteistaan ​​muille lähettämällä vihellyksen kaltaisia ​​ääniä kehossaan olevista putkista. Tämä POKéMON korottaa ääntään vain taistelussa. Sillä on ääntä tuottavia elimiä kaikkialla kehossaan. Se kommunikoi muiden kanssa säätämällä huutojensa sävyä ja voimakkuutta. Se päästää erilaisia ​​ääniä rei'istään kaikkialle kehoonsa. Sen kovaääniset huudot voidaan kuulla yli kuuden mailin päähän. Sen ulvonta kuuluu yli kuuden mailin päähän. Se päästää kaikenlaisia ​​ääniä ruumiinsa aukoista. Sen taistelun jylinä järisyttää maata kuin järistys – tai kuin maanjäristys olisi iskenyt. Räjähdys laukaisee maanjäristyksiä mölinällään luomillaan värähtelyillä. Jos tämä Pokémon hengittää rajusti sisään kehonsa suuaukoista, se on merkki siitä, että se valmistautuu päästämään valtavan mölyn. Exploud viestii tunteistaan ​​muille Pokémoneille päästämällä vihellyksen kaltaisia ​​ääniä kehossaan olevista putkista. Ennen vanhaan ihmiset käyttivät näiden Pokémonien kovia ääniä kommunikointikeinona kaukaisten kaupunkien välillä. Tämä Pokémon osaa muutakin kuin vain huutaa. Kommunikoidakseen muiden lajitovereidensa kanssa se päästää kaikenlaisia ​​ääniä ruumiinsa rei'istä.</t>
        </is>
      </c>
    </row>
    <row r="7813" ht="33.75" customHeight="1">
      <c r="A7813" s="7">
        <v>295.0</v>
      </c>
      <c r="B7813" s="9" t="s">
        <v>14285</v>
      </c>
      <c r="C7813" s="9" t="s">
        <v>14286</v>
      </c>
      <c r="D7813" s="9" t="s">
        <v>71</v>
      </c>
      <c r="E7813" s="6" t="s">
        <v>14288</v>
      </c>
      <c r="F7813" s="9"/>
    </row>
    <row r="7814" ht="33.75" customHeight="1">
      <c r="A7814" s="7">
        <v>295.0</v>
      </c>
      <c r="B7814" s="9" t="s">
        <v>14285</v>
      </c>
      <c r="C7814" s="9" t="s">
        <v>14286</v>
      </c>
      <c r="D7814" s="9" t="s">
        <v>73</v>
      </c>
      <c r="E7814" s="6" t="s">
        <v>14289</v>
      </c>
      <c r="F7814" s="9"/>
    </row>
    <row r="7815" ht="33.75" customHeight="1">
      <c r="A7815" s="7">
        <v>295.0</v>
      </c>
      <c r="B7815" s="9" t="s">
        <v>14285</v>
      </c>
      <c r="C7815" s="9" t="s">
        <v>14286</v>
      </c>
      <c r="D7815" s="9" t="s">
        <v>75</v>
      </c>
      <c r="E7815" s="6" t="s">
        <v>14290</v>
      </c>
      <c r="F7815" s="9"/>
    </row>
    <row r="7816" ht="33.75" customHeight="1">
      <c r="A7816" s="7">
        <v>295.0</v>
      </c>
      <c r="B7816" s="9" t="s">
        <v>14285</v>
      </c>
      <c r="C7816" s="9" t="s">
        <v>14286</v>
      </c>
      <c r="D7816" s="9" t="s">
        <v>79</v>
      </c>
      <c r="E7816" s="6" t="s">
        <v>14290</v>
      </c>
      <c r="F7816" s="9"/>
    </row>
    <row r="7817" ht="33.75" customHeight="1">
      <c r="A7817" s="7">
        <v>295.0</v>
      </c>
      <c r="B7817" s="9" t="s">
        <v>14285</v>
      </c>
      <c r="C7817" s="9" t="s">
        <v>14286</v>
      </c>
      <c r="D7817" s="9" t="s">
        <v>81</v>
      </c>
      <c r="E7817" s="6" t="s">
        <v>14291</v>
      </c>
      <c r="F7817" s="9"/>
    </row>
    <row r="7818" ht="33.75" customHeight="1">
      <c r="A7818" s="7">
        <v>295.0</v>
      </c>
      <c r="B7818" s="9" t="s">
        <v>14285</v>
      </c>
      <c r="C7818" s="9" t="s">
        <v>14286</v>
      </c>
      <c r="D7818" s="9" t="s">
        <v>84</v>
      </c>
      <c r="E7818" s="6" t="s">
        <v>14291</v>
      </c>
      <c r="F7818" s="9"/>
    </row>
    <row r="7819" ht="33.75" customHeight="1">
      <c r="A7819" s="7">
        <v>295.0</v>
      </c>
      <c r="B7819" s="9" t="s">
        <v>14285</v>
      </c>
      <c r="C7819" s="9" t="s">
        <v>14286</v>
      </c>
      <c r="D7819" s="9" t="s">
        <v>87</v>
      </c>
      <c r="E7819" s="6" t="s">
        <v>14291</v>
      </c>
      <c r="F7819" s="9"/>
    </row>
    <row r="7820" ht="33.75" customHeight="1">
      <c r="A7820" s="7">
        <v>295.0</v>
      </c>
      <c r="B7820" s="9" t="s">
        <v>14285</v>
      </c>
      <c r="C7820" s="9" t="s">
        <v>14286</v>
      </c>
      <c r="D7820" s="9" t="s">
        <v>89</v>
      </c>
      <c r="E7820" s="6" t="s">
        <v>14292</v>
      </c>
      <c r="F7820" s="9"/>
    </row>
    <row r="7821" ht="33.75" customHeight="1">
      <c r="A7821" s="7">
        <v>295.0</v>
      </c>
      <c r="B7821" s="9" t="s">
        <v>14285</v>
      </c>
      <c r="C7821" s="9" t="s">
        <v>14286</v>
      </c>
      <c r="D7821" s="9" t="s">
        <v>91</v>
      </c>
      <c r="E7821" s="6" t="s">
        <v>14292</v>
      </c>
      <c r="F7821" s="9"/>
    </row>
    <row r="7822" ht="33.75" customHeight="1">
      <c r="A7822" s="7">
        <v>295.0</v>
      </c>
      <c r="B7822" s="9" t="s">
        <v>14285</v>
      </c>
      <c r="C7822" s="9" t="s">
        <v>14286</v>
      </c>
      <c r="D7822" s="9" t="s">
        <v>93</v>
      </c>
      <c r="E7822" s="6" t="s">
        <v>14291</v>
      </c>
      <c r="F7822" s="9"/>
    </row>
    <row r="7823" ht="33.75" customHeight="1">
      <c r="A7823" s="7">
        <v>295.0</v>
      </c>
      <c r="B7823" s="9" t="s">
        <v>14285</v>
      </c>
      <c r="C7823" s="9" t="s">
        <v>14286</v>
      </c>
      <c r="D7823" s="9" t="s">
        <v>95</v>
      </c>
      <c r="E7823" s="6" t="s">
        <v>14291</v>
      </c>
      <c r="F7823" s="9"/>
    </row>
    <row r="7824" ht="33.75" customHeight="1">
      <c r="A7824" s="7">
        <v>295.0</v>
      </c>
      <c r="B7824" s="9" t="s">
        <v>14285</v>
      </c>
      <c r="C7824" s="9" t="s">
        <v>14286</v>
      </c>
      <c r="D7824" s="9" t="s">
        <v>98</v>
      </c>
      <c r="E7824" s="6" t="s">
        <v>14291</v>
      </c>
      <c r="F7824" s="9"/>
    </row>
    <row r="7825" ht="33.75" customHeight="1">
      <c r="A7825" s="7">
        <v>295.0</v>
      </c>
      <c r="B7825" s="9" t="s">
        <v>14285</v>
      </c>
      <c r="C7825" s="9" t="s">
        <v>14286</v>
      </c>
      <c r="D7825" s="9" t="s">
        <v>99</v>
      </c>
      <c r="E7825" s="6" t="s">
        <v>14291</v>
      </c>
      <c r="F7825" s="9"/>
    </row>
    <row r="7826" ht="33.75" customHeight="1">
      <c r="A7826" s="7">
        <v>295.0</v>
      </c>
      <c r="B7826" s="9" t="s">
        <v>14285</v>
      </c>
      <c r="C7826" s="9" t="s">
        <v>14286</v>
      </c>
      <c r="D7826" s="9" t="s">
        <v>101</v>
      </c>
      <c r="E7826" s="6" t="s">
        <v>14291</v>
      </c>
      <c r="F7826" s="9"/>
    </row>
    <row r="7827" ht="33.75" customHeight="1">
      <c r="A7827" s="7">
        <v>295.0</v>
      </c>
      <c r="B7827" s="9" t="s">
        <v>14285</v>
      </c>
      <c r="C7827" s="9" t="s">
        <v>14286</v>
      </c>
      <c r="D7827" s="9" t="s">
        <v>105</v>
      </c>
      <c r="E7827" s="6" t="s">
        <v>14292</v>
      </c>
      <c r="F7827" s="9"/>
    </row>
    <row r="7828" ht="33.75" customHeight="1">
      <c r="A7828" s="7">
        <v>295.0</v>
      </c>
      <c r="B7828" s="9" t="s">
        <v>14285</v>
      </c>
      <c r="C7828" s="9" t="s">
        <v>14286</v>
      </c>
      <c r="D7828" s="9" t="s">
        <v>107</v>
      </c>
      <c r="E7828" s="6" t="s">
        <v>14293</v>
      </c>
      <c r="F7828" s="9"/>
    </row>
    <row r="7829" ht="33.75" customHeight="1">
      <c r="A7829" s="7">
        <v>295.0</v>
      </c>
      <c r="B7829" s="9" t="s">
        <v>14285</v>
      </c>
      <c r="C7829" s="9" t="s">
        <v>14286</v>
      </c>
      <c r="D7829" s="9" t="s">
        <v>109</v>
      </c>
      <c r="E7829" s="6" t="s">
        <v>14294</v>
      </c>
      <c r="F7829" s="9"/>
    </row>
    <row r="7830" ht="33.75" customHeight="1">
      <c r="A7830" s="7">
        <v>295.0</v>
      </c>
      <c r="B7830" s="9" t="s">
        <v>14285</v>
      </c>
      <c r="C7830" s="9" t="s">
        <v>14286</v>
      </c>
      <c r="D7830" s="9" t="s">
        <v>114</v>
      </c>
      <c r="E7830" s="6" t="s">
        <v>14295</v>
      </c>
      <c r="F7830" s="9"/>
    </row>
    <row r="7831" ht="33.75" customHeight="1">
      <c r="A7831" s="7">
        <v>295.0</v>
      </c>
      <c r="B7831" s="9" t="s">
        <v>14285</v>
      </c>
      <c r="C7831" s="9" t="s">
        <v>14286</v>
      </c>
      <c r="D7831" s="9" t="s">
        <v>117</v>
      </c>
      <c r="E7831" s="6" t="s">
        <v>14296</v>
      </c>
      <c r="F7831" s="9"/>
    </row>
    <row r="7832" ht="33.75" customHeight="1">
      <c r="A7832" s="7">
        <v>296.0</v>
      </c>
      <c r="B7832" s="9" t="s">
        <v>14297</v>
      </c>
      <c r="C7832" s="9" t="s">
        <v>14298</v>
      </c>
      <c r="D7832" s="9" t="s">
        <v>67</v>
      </c>
      <c r="E7832" s="6" t="s">
        <v>14299</v>
      </c>
      <c r="F7832" t="inlineStr" s="10">
        <is>
          <t xml:space="preserve">MAKUHITA on sitkeä – se nousee ylös ja hyökkää vihollista vastaan ​​riippumatta siitä, kuinka monta kertaa se kaatuu. Joka kerta kun se nousee ylös, tämä POKéMON varastoi kehoonsa lisää energiaa kehittymistä varten. MAKUHITAlla on väsymätön sielu – se ei koskaan menetä toivoaan. Se syö paljon, nukkuu runsaasti ja harjoittelee erittäin ahkerasti. Elämällä tällä tavalla tämä POKéMON täyttää kehonsa energialla. Se rakastaa yli kaiken kehonsa karaistumista. Jos kuulet luolassa tärisevää jyrinää, se on MAKUHITAn rankan harjoittelun ääni. Se vahvistuu kestämällä ankaraa harjoittelua. Se on rohkea POKéMON, joka kestää minkä tahansa hyökkäyksen. Se karaisee ruumistaan ​​paiskautumalla paksuihin puihin. Pesänsä läheltä löytyy monia katkonneita puita. Se karkaistuu törmäämällä yhä uudelleen paksuihin puihin. Se saa vankan vartalon ja pelottoman hengen. Se vahvistuu kestämällä ankaraa koulutusta. Makuhita on sitkeä – se nousee ylös ja hyökkää vihollisen kimppuun kuinka monta kertaa tahansa, kaatuu se maahan. Makuhitalla on väsymätön sielu – se ei koskaan luovu toivosta. Se syö paljon, nukkuu runsaasti ja harjoittelee erittäin tinkimättömästi. Se tuotiin alun perin toiselta alueelta, mutta nykyään Alolasta kotoisin olevat Makuhitat ovat kuuluisampia. Heidän päivärutiiniinsa kuuluu yhteinen harjoittelu aamulla, ruokailu ja päiväunet iltapäivällä ja sen jälkeen lisää harjoittelua. Se harjoittelee läimäytyksiään läimäyttämällä puunrunkoja toistuvasti. Sen tiedetään läimäyttäneen Exeggutoria ja sinkoutuneen pois. Huhutaan perinteisestä muhennosreseptistä, jota kouluttajat voivat käyttää vahvan Makuhitan kasvattamiseen.</t>
        </is>
      </c>
    </row>
    <row r="7833" ht="33.75" customHeight="1">
      <c r="A7833" s="7">
        <v>296.0</v>
      </c>
      <c r="B7833" s="9" t="s">
        <v>14297</v>
      </c>
      <c r="C7833" s="9" t="s">
        <v>14298</v>
      </c>
      <c r="D7833" s="9" t="s">
        <v>71</v>
      </c>
      <c r="E7833" s="6" t="s">
        <v>14300</v>
      </c>
      <c r="F7833" s="9"/>
    </row>
    <row r="7834" ht="33.75" customHeight="1">
      <c r="A7834" s="7">
        <v>296.0</v>
      </c>
      <c r="B7834" s="9" t="s">
        <v>14297</v>
      </c>
      <c r="C7834" s="9" t="s">
        <v>14298</v>
      </c>
      <c r="D7834" s="9" t="s">
        <v>73</v>
      </c>
      <c r="E7834" s="6" t="s">
        <v>14301</v>
      </c>
      <c r="F7834" s="9"/>
    </row>
    <row r="7835" ht="33.75" customHeight="1">
      <c r="A7835" s="7">
        <v>296.0</v>
      </c>
      <c r="B7835" s="9" t="s">
        <v>14297</v>
      </c>
      <c r="C7835" s="9" t="s">
        <v>14298</v>
      </c>
      <c r="D7835" s="9" t="s">
        <v>75</v>
      </c>
      <c r="E7835" s="6" t="s">
        <v>14302</v>
      </c>
      <c r="F7835" s="9"/>
    </row>
    <row r="7836" ht="33.75" customHeight="1">
      <c r="A7836" s="7">
        <v>296.0</v>
      </c>
      <c r="B7836" s="9" t="s">
        <v>14297</v>
      </c>
      <c r="C7836" s="9" t="s">
        <v>14298</v>
      </c>
      <c r="D7836" s="9" t="s">
        <v>79</v>
      </c>
      <c r="E7836" s="6" t="s">
        <v>14302</v>
      </c>
      <c r="F7836" s="9"/>
    </row>
    <row r="7837" ht="33.75" customHeight="1">
      <c r="A7837" s="7">
        <v>296.0</v>
      </c>
      <c r="B7837" s="9" t="s">
        <v>14297</v>
      </c>
      <c r="C7837" s="9" t="s">
        <v>14298</v>
      </c>
      <c r="D7837" s="9" t="s">
        <v>81</v>
      </c>
      <c r="E7837" s="6" t="s">
        <v>14303</v>
      </c>
      <c r="F7837" s="9"/>
    </row>
    <row r="7838" ht="33.75" customHeight="1">
      <c r="A7838" s="7">
        <v>296.0</v>
      </c>
      <c r="B7838" s="9" t="s">
        <v>14297</v>
      </c>
      <c r="C7838" s="9" t="s">
        <v>14298</v>
      </c>
      <c r="D7838" s="9" t="s">
        <v>84</v>
      </c>
      <c r="E7838" s="6" t="s">
        <v>14303</v>
      </c>
      <c r="F7838" s="9"/>
    </row>
    <row r="7839" ht="33.75" customHeight="1">
      <c r="A7839" s="7">
        <v>296.0</v>
      </c>
      <c r="B7839" s="9" t="s">
        <v>14297</v>
      </c>
      <c r="C7839" s="9" t="s">
        <v>14298</v>
      </c>
      <c r="D7839" s="9" t="s">
        <v>87</v>
      </c>
      <c r="E7839" s="6" t="s">
        <v>14303</v>
      </c>
      <c r="F7839" s="9"/>
    </row>
    <row r="7840" ht="33.75" customHeight="1">
      <c r="A7840" s="7">
        <v>296.0</v>
      </c>
      <c r="B7840" s="9" t="s">
        <v>14297</v>
      </c>
      <c r="C7840" s="9" t="s">
        <v>14298</v>
      </c>
      <c r="D7840" s="9" t="s">
        <v>89</v>
      </c>
      <c r="E7840" s="6" t="s">
        <v>14305</v>
      </c>
      <c r="F7840" s="9"/>
    </row>
    <row r="7841" ht="33.75" customHeight="1">
      <c r="A7841" s="7">
        <v>296.0</v>
      </c>
      <c r="B7841" s="9" t="s">
        <v>14297</v>
      </c>
      <c r="C7841" s="9" t="s">
        <v>14298</v>
      </c>
      <c r="D7841" s="9" t="s">
        <v>91</v>
      </c>
      <c r="E7841" s="6" t="s">
        <v>14305</v>
      </c>
      <c r="F7841" s="9"/>
    </row>
    <row r="7842" ht="33.75" customHeight="1">
      <c r="A7842" s="7">
        <v>296.0</v>
      </c>
      <c r="B7842" s="9" t="s">
        <v>14297</v>
      </c>
      <c r="C7842" s="9" t="s">
        <v>14298</v>
      </c>
      <c r="D7842" s="9" t="s">
        <v>93</v>
      </c>
      <c r="E7842" s="6" t="s">
        <v>14303</v>
      </c>
      <c r="F7842" s="9"/>
    </row>
    <row r="7843" ht="33.75" customHeight="1">
      <c r="A7843" s="7">
        <v>296.0</v>
      </c>
      <c r="B7843" s="9" t="s">
        <v>14297</v>
      </c>
      <c r="C7843" s="9" t="s">
        <v>14298</v>
      </c>
      <c r="D7843" s="9" t="s">
        <v>95</v>
      </c>
      <c r="E7843" s="6" t="s">
        <v>14303</v>
      </c>
      <c r="F7843" s="9"/>
    </row>
    <row r="7844" ht="33.75" customHeight="1">
      <c r="A7844" s="7">
        <v>296.0</v>
      </c>
      <c r="B7844" s="9" t="s">
        <v>14297</v>
      </c>
      <c r="C7844" s="9" t="s">
        <v>14298</v>
      </c>
      <c r="D7844" s="9" t="s">
        <v>98</v>
      </c>
      <c r="E7844" s="6" t="s">
        <v>14303</v>
      </c>
      <c r="F7844" s="9"/>
    </row>
    <row r="7845" ht="33.75" customHeight="1">
      <c r="A7845" s="7">
        <v>296.0</v>
      </c>
      <c r="B7845" s="9" t="s">
        <v>14297</v>
      </c>
      <c r="C7845" s="9" t="s">
        <v>14298</v>
      </c>
      <c r="D7845" s="9" t="s">
        <v>99</v>
      </c>
      <c r="E7845" s="6" t="s">
        <v>14303</v>
      </c>
      <c r="F7845" s="9"/>
    </row>
    <row r="7846" ht="33.75" customHeight="1">
      <c r="A7846" s="7">
        <v>296.0</v>
      </c>
      <c r="B7846" s="9" t="s">
        <v>14297</v>
      </c>
      <c r="C7846" s="9" t="s">
        <v>14298</v>
      </c>
      <c r="D7846" s="9" t="s">
        <v>101</v>
      </c>
      <c r="E7846" s="6" t="s">
        <v>14305</v>
      </c>
      <c r="F7846" s="9"/>
    </row>
    <row r="7847" ht="33.75" customHeight="1">
      <c r="A7847" s="7">
        <v>296.0</v>
      </c>
      <c r="B7847" s="9" t="s">
        <v>14297</v>
      </c>
      <c r="C7847" s="9" t="s">
        <v>14298</v>
      </c>
      <c r="D7847" s="9" t="s">
        <v>105</v>
      </c>
      <c r="E7847" s="6" t="s">
        <v>14306</v>
      </c>
      <c r="F7847" s="9"/>
    </row>
    <row r="7848" ht="33.75" customHeight="1">
      <c r="A7848" s="7">
        <v>296.0</v>
      </c>
      <c r="B7848" s="9" t="s">
        <v>14297</v>
      </c>
      <c r="C7848" s="9" t="s">
        <v>14298</v>
      </c>
      <c r="D7848" s="9" t="s">
        <v>107</v>
      </c>
      <c r="E7848" s="6" t="s">
        <v>14307</v>
      </c>
      <c r="F7848" s="9"/>
    </row>
    <row r="7849" ht="33.75" customHeight="1">
      <c r="A7849" s="7">
        <v>296.0</v>
      </c>
      <c r="B7849" s="9" t="s">
        <v>14297</v>
      </c>
      <c r="C7849" s="9" t="s">
        <v>14298</v>
      </c>
      <c r="D7849" s="9" t="s">
        <v>109</v>
      </c>
      <c r="E7849" s="6" t="s">
        <v>14308</v>
      </c>
      <c r="F7849" s="9"/>
    </row>
    <row r="7850" ht="33.75" customHeight="1">
      <c r="A7850" s="7">
        <v>296.0</v>
      </c>
      <c r="B7850" s="9" t="s">
        <v>14297</v>
      </c>
      <c r="C7850" s="9" t="s">
        <v>14298</v>
      </c>
      <c r="D7850" s="9" t="s">
        <v>637</v>
      </c>
      <c r="E7850" s="6" t="s">
        <v>14309</v>
      </c>
      <c r="F7850" s="9"/>
    </row>
    <row r="7851" ht="33.75" customHeight="1">
      <c r="A7851" s="7">
        <v>296.0</v>
      </c>
      <c r="B7851" s="9" t="s">
        <v>14297</v>
      </c>
      <c r="C7851" s="9" t="s">
        <v>14298</v>
      </c>
      <c r="D7851" s="9" t="s">
        <v>642</v>
      </c>
      <c r="E7851" s="6" t="s">
        <v>14310</v>
      </c>
      <c r="F7851" s="9"/>
    </row>
    <row r="7852" ht="33.75" customHeight="1">
      <c r="A7852" s="7">
        <v>296.0</v>
      </c>
      <c r="B7852" s="9" t="s">
        <v>14297</v>
      </c>
      <c r="C7852" s="9" t="s">
        <v>14298</v>
      </c>
      <c r="D7852" s="9" t="s">
        <v>647</v>
      </c>
      <c r="E7852" s="6" t="s">
        <v>14311</v>
      </c>
      <c r="F7852" s="9"/>
    </row>
    <row r="7853" ht="33.75" customHeight="1">
      <c r="A7853" s="7">
        <v>296.0</v>
      </c>
      <c r="B7853" s="9" t="s">
        <v>14297</v>
      </c>
      <c r="C7853" s="9" t="s">
        <v>14298</v>
      </c>
      <c r="D7853" s="9" t="s">
        <v>652</v>
      </c>
      <c r="E7853" s="6" t="s">
        <v>14312</v>
      </c>
      <c r="F7853" s="9"/>
    </row>
    <row r="7854" ht="33.75" customHeight="1">
      <c r="A7854" s="7">
        <v>297.0</v>
      </c>
      <c r="B7854" s="9" t="s">
        <v>14313</v>
      </c>
      <c r="C7854" s="9" t="s">
        <v>14314</v>
      </c>
      <c r="D7854" s="9" t="s">
        <v>67</v>
      </c>
      <c r="E7854" s="6" t="s">
        <v>14315</v>
      </c>
      <c r="F7854" t="inlineStr" s="10">
        <is>
          <t xml:space="preserve">HARIYAMA harjoittelee suorilla käsivarsilla tehtäviä läimäytyksiään lukuisissa eri paikoissa. Yksi tämän POKéMONin voimakas, avokätinen suorilla käsivarsilla tehtävä isku voisi katkaista puhelinpylvään kahtia. HARIYAMAn paksu vartalo saattaa näyttää lihavalta, mutta se on itse asiassa massiivinen lihasmassa. Jos tämä POKéMON iskee alas ja jännittää kaikki lihaksensa, sen vartalosta tulee kivikova. Sillä on tapana haastaa muita epäröimättä voimakokeisiin. Sen tiedetään seisovan junaraiteilla ja pysäyttävän junia kyynärvarsiliikkeillä. Se polkee maata kerätäkseen voimaa. Se voi lähettää 10 tonnin kuorma-auton ilmaan suoralla kädeniskulla. Se rakastaa kilpailla voimakkaiden Pokémonien kanssa. Se voi lyödä kuorma-auton ilmaan käsivarsillaan. Se rakastaa haastaa muita voimakokeisiin. Sillä on kyky pysäyttää juna läimäyksellä. Hariyaman paksu vartalo saattaa näyttää lihavalta, mutta se on itse asiassa jäykkä lihaskasa. Jos tämä Pokémon painaa päätään ja jännittää kaikki lihaksensa, sen vartalosta tulee kivikova. Se tunnetaan fantastisesta voimastaan, mutta vanhetessaan se keskittyy enemmän Makuhitan kouluttamiseen. He rakastavat vertailla omituista voimaansa – niin voimakasta, että se saisi kuorma-auton lentoon yhdellä läimäyksellä. Vaikka he nauttivat voimiensa vertailusta, he ovat myös ystävällisiä. He arvostavat etikettiä ja ylistävät vastustajia, joita vastaan ​​he taistelevat. Isot ja lihavat Hariyamat eivät välttämättä ole vahvoja. On myös pieniä, jotka liikkuvat ketterästi ja käyttävät liikkeitään taitavasti.</t>
        </is>
      </c>
    </row>
    <row r="7855" ht="33.75" customHeight="1">
      <c r="A7855" s="7">
        <v>297.0</v>
      </c>
      <c r="B7855" s="9" t="s">
        <v>14313</v>
      </c>
      <c r="C7855" s="9" t="s">
        <v>14314</v>
      </c>
      <c r="D7855" s="9" t="s">
        <v>71</v>
      </c>
      <c r="E7855" s="6" t="s">
        <v>14316</v>
      </c>
      <c r="F7855" s="9"/>
    </row>
    <row r="7856" ht="33.75" customHeight="1">
      <c r="A7856" s="7">
        <v>297.0</v>
      </c>
      <c r="B7856" s="9" t="s">
        <v>14313</v>
      </c>
      <c r="C7856" s="9" t="s">
        <v>14314</v>
      </c>
      <c r="D7856" s="9" t="s">
        <v>73</v>
      </c>
      <c r="E7856" s="6" t="s">
        <v>14317</v>
      </c>
      <c r="F7856" s="9"/>
    </row>
    <row r="7857" ht="33.75" customHeight="1">
      <c r="A7857" s="7">
        <v>297.0</v>
      </c>
      <c r="B7857" s="9" t="s">
        <v>14313</v>
      </c>
      <c r="C7857" s="9" t="s">
        <v>14314</v>
      </c>
      <c r="D7857" s="9" t="s">
        <v>75</v>
      </c>
      <c r="E7857" s="6" t="s">
        <v>14318</v>
      </c>
      <c r="F7857" s="9"/>
    </row>
    <row r="7858" ht="33.75" customHeight="1">
      <c r="A7858" s="7">
        <v>297.0</v>
      </c>
      <c r="B7858" s="9" t="s">
        <v>14313</v>
      </c>
      <c r="C7858" s="9" t="s">
        <v>14314</v>
      </c>
      <c r="D7858" s="9" t="s">
        <v>79</v>
      </c>
      <c r="E7858" s="6" t="s">
        <v>14318</v>
      </c>
      <c r="F7858" s="9"/>
    </row>
    <row r="7859" ht="33.75" customHeight="1">
      <c r="A7859" s="7">
        <v>297.0</v>
      </c>
      <c r="B7859" s="9" t="s">
        <v>14313</v>
      </c>
      <c r="C7859" s="9" t="s">
        <v>14314</v>
      </c>
      <c r="D7859" s="9" t="s">
        <v>81</v>
      </c>
      <c r="E7859" s="6" t="s">
        <v>14319</v>
      </c>
      <c r="F7859" s="9"/>
    </row>
    <row r="7860" ht="33.75" customHeight="1">
      <c r="A7860" s="7">
        <v>297.0</v>
      </c>
      <c r="B7860" s="9" t="s">
        <v>14313</v>
      </c>
      <c r="C7860" s="9" t="s">
        <v>14314</v>
      </c>
      <c r="D7860" s="9" t="s">
        <v>84</v>
      </c>
      <c r="E7860" s="6" t="s">
        <v>14319</v>
      </c>
      <c r="F7860" s="9"/>
    </row>
    <row r="7861" ht="33.75" customHeight="1">
      <c r="A7861" s="7">
        <v>297.0</v>
      </c>
      <c r="B7861" s="9" t="s">
        <v>14313</v>
      </c>
      <c r="C7861" s="9" t="s">
        <v>14314</v>
      </c>
      <c r="D7861" s="9" t="s">
        <v>87</v>
      </c>
      <c r="E7861" s="6" t="s">
        <v>14319</v>
      </c>
      <c r="F7861" s="9"/>
    </row>
    <row r="7862" ht="33.75" customHeight="1">
      <c r="A7862" s="7">
        <v>297.0</v>
      </c>
      <c r="B7862" s="9" t="s">
        <v>14313</v>
      </c>
      <c r="C7862" s="9" t="s">
        <v>14314</v>
      </c>
      <c r="D7862" s="9" t="s">
        <v>89</v>
      </c>
      <c r="E7862" s="6" t="s">
        <v>14321</v>
      </c>
      <c r="F7862" s="9"/>
    </row>
    <row r="7863" ht="33.75" customHeight="1">
      <c r="A7863" s="7">
        <v>297.0</v>
      </c>
      <c r="B7863" s="9" t="s">
        <v>14313</v>
      </c>
      <c r="C7863" s="9" t="s">
        <v>14314</v>
      </c>
      <c r="D7863" s="9" t="s">
        <v>91</v>
      </c>
      <c r="E7863" s="6" t="s">
        <v>14321</v>
      </c>
      <c r="F7863" s="9"/>
    </row>
    <row r="7864" ht="33.75" customHeight="1">
      <c r="A7864" s="7">
        <v>297.0</v>
      </c>
      <c r="B7864" s="9" t="s">
        <v>14313</v>
      </c>
      <c r="C7864" s="9" t="s">
        <v>14314</v>
      </c>
      <c r="D7864" s="9" t="s">
        <v>93</v>
      </c>
      <c r="E7864" s="6" t="s">
        <v>14319</v>
      </c>
      <c r="F7864" s="9"/>
    </row>
    <row r="7865" ht="33.75" customHeight="1">
      <c r="A7865" s="7">
        <v>297.0</v>
      </c>
      <c r="B7865" s="9" t="s">
        <v>14313</v>
      </c>
      <c r="C7865" s="9" t="s">
        <v>14314</v>
      </c>
      <c r="D7865" s="9" t="s">
        <v>95</v>
      </c>
      <c r="E7865" s="6" t="s">
        <v>14319</v>
      </c>
      <c r="F7865" s="9"/>
    </row>
    <row r="7866" ht="33.75" customHeight="1">
      <c r="A7866" s="7">
        <v>297.0</v>
      </c>
      <c r="B7866" s="9" t="s">
        <v>14313</v>
      </c>
      <c r="C7866" s="9" t="s">
        <v>14314</v>
      </c>
      <c r="D7866" s="9" t="s">
        <v>98</v>
      </c>
      <c r="E7866" s="6" t="s">
        <v>14319</v>
      </c>
      <c r="F7866" s="9"/>
    </row>
    <row r="7867" ht="33.75" customHeight="1">
      <c r="A7867" s="7">
        <v>297.0</v>
      </c>
      <c r="B7867" s="9" t="s">
        <v>14313</v>
      </c>
      <c r="C7867" s="9" t="s">
        <v>14314</v>
      </c>
      <c r="D7867" s="9" t="s">
        <v>99</v>
      </c>
      <c r="E7867" s="6" t="s">
        <v>14319</v>
      </c>
      <c r="F7867" s="9"/>
    </row>
    <row r="7868" ht="33.75" customHeight="1">
      <c r="A7868" s="7">
        <v>297.0</v>
      </c>
      <c r="B7868" s="9" t="s">
        <v>14313</v>
      </c>
      <c r="C7868" s="9" t="s">
        <v>14314</v>
      </c>
      <c r="D7868" s="9" t="s">
        <v>101</v>
      </c>
      <c r="E7868" s="6" t="s">
        <v>14318</v>
      </c>
      <c r="F7868" s="9"/>
    </row>
    <row r="7869" ht="33.75" customHeight="1">
      <c r="A7869" s="7">
        <v>297.0</v>
      </c>
      <c r="B7869" s="9" t="s">
        <v>14313</v>
      </c>
      <c r="C7869" s="9" t="s">
        <v>14314</v>
      </c>
      <c r="D7869" s="9" t="s">
        <v>105</v>
      </c>
      <c r="E7869" s="6" t="s">
        <v>14319</v>
      </c>
      <c r="F7869" s="9"/>
    </row>
    <row r="7870" ht="33.75" customHeight="1">
      <c r="A7870" s="7">
        <v>297.0</v>
      </c>
      <c r="B7870" s="9" t="s">
        <v>14313</v>
      </c>
      <c r="C7870" s="9" t="s">
        <v>14314</v>
      </c>
      <c r="D7870" s="9" t="s">
        <v>107</v>
      </c>
      <c r="E7870" s="6" t="s">
        <v>14322</v>
      </c>
      <c r="F7870" s="9"/>
    </row>
    <row r="7871" ht="33.75" customHeight="1">
      <c r="A7871" s="7">
        <v>297.0</v>
      </c>
      <c r="B7871" s="9" t="s">
        <v>14313</v>
      </c>
      <c r="C7871" s="9" t="s">
        <v>14314</v>
      </c>
      <c r="D7871" s="9" t="s">
        <v>109</v>
      </c>
      <c r="E7871" s="6" t="s">
        <v>14323</v>
      </c>
      <c r="F7871" s="9"/>
    </row>
    <row r="7872" ht="33.75" customHeight="1">
      <c r="A7872" s="7">
        <v>297.0</v>
      </c>
      <c r="B7872" s="9" t="s">
        <v>14313</v>
      </c>
      <c r="C7872" s="9" t="s">
        <v>14314</v>
      </c>
      <c r="D7872" s="9" t="s">
        <v>637</v>
      </c>
      <c r="E7872" s="6" t="s">
        <v>14324</v>
      </c>
      <c r="F7872" s="9"/>
    </row>
    <row r="7873" ht="33.75" customHeight="1">
      <c r="A7873" s="7">
        <v>297.0</v>
      </c>
      <c r="B7873" s="9" t="s">
        <v>14313</v>
      </c>
      <c r="C7873" s="9" t="s">
        <v>14314</v>
      </c>
      <c r="D7873" s="9" t="s">
        <v>642</v>
      </c>
      <c r="E7873" s="6" t="s">
        <v>14325</v>
      </c>
      <c r="F7873" s="9"/>
    </row>
    <row r="7874" ht="33.75" customHeight="1">
      <c r="A7874" s="7">
        <v>297.0</v>
      </c>
      <c r="B7874" s="9" t="s">
        <v>14313</v>
      </c>
      <c r="C7874" s="9" t="s">
        <v>14314</v>
      </c>
      <c r="D7874" s="9" t="s">
        <v>647</v>
      </c>
      <c r="E7874" s="6" t="s">
        <v>14326</v>
      </c>
      <c r="F7874" s="9"/>
    </row>
    <row r="7875" ht="33.75" customHeight="1">
      <c r="A7875" s="7">
        <v>297.0</v>
      </c>
      <c r="B7875" s="9" t="s">
        <v>14313</v>
      </c>
      <c r="C7875" s="9" t="s">
        <v>14314</v>
      </c>
      <c r="D7875" s="9" t="s">
        <v>652</v>
      </c>
      <c r="E7875" s="6" t="s">
        <v>14327</v>
      </c>
      <c r="F7875" s="9"/>
    </row>
    <row r="7876" ht="33.75" customHeight="1">
      <c r="A7876" s="7">
        <v>298.0</v>
      </c>
      <c r="B7876" s="9" t="s">
        <v>14328</v>
      </c>
      <c r="C7876" s="9" t="s">
        <v>14329</v>
      </c>
      <c r="D7876" s="9" t="s">
        <v>67</v>
      </c>
      <c r="E7876" s="6" t="s">
        <v>14330</v>
      </c>
      <c r="F7876" t="inlineStr" s="10">
        <is>
          <t xml:space="preserve">AZURILL pyörittää häntäänsä kuin lassona ja heittää Azurillin sitten kauas. Heiton vauhti lennättää myös sen ruumiin. Tämän ainutlaatuisen toiminnon avulla yksi näistä POKéMONeista onnistui heittäytymään ennätykselliset 10 metriä. AZURILLin häntä on suuri ja kimmoisa. Se on täynnä ravinteita, joita tämä POKéMON tarvitsee kasvaakseen. AZURILLin voi nähdä pomppivan ja leikkivän isolla, kumimaisella hännällään. Sen ravinteita täynnä oleva häntä on hyvin kimmoisa kuin kumipallo. Aurinkoisina päivinä ne kerääntyvät veden reunalle ja polskuvat hauskaa. Se taistelee heittelemällä pyrstöään, joka on sen vartaloa suurempi. Pyrstö toimii kelluntavälineenä vedessä. Veden äärellä elävä Pokémon. Se liikkuu nopeasti maalla pomppimalla isolla hännällään. Sen häntä on täynnä kasvulle välttämättömiä ravinteita. Se leikkii pomppimalla hännällään. Sen häntä pomppii kuin kumipallo. Se heittelee häntäänsä taistellakseen itseään suurempia vastustajia vastaan. Sen häntä on täynnä ravinteita, joita se tarvitsee kasvaakseen. Se heilauttaa suurta, ravinteita täynnä olevaa häntäänsä taistellakseen itseään suurempia vastustajia vastaan. Azurill pyörittää häntäänsä kuin se olisi lassonso ja heittää sen sitten kauas. Tällä ainutlaatuisella toiminnolla yksi näistä Pokémoneista onnistui heittäytymään ennätykselliset 10 metriä. Azurillin hännässä oleva pallo pomppii kuin kumipallo ja se on täynnä ravinteita, joita Pokémon tarvitsee kasvaakseen. Vaikka Azurillit ovat normaalisti säyseitä, vihainen yksilö pyörii ison pallon ympärillä hännällään ja yrittää murskata vastustajansa.</t>
        </is>
      </c>
    </row>
    <row r="7877" ht="33.75" customHeight="1">
      <c r="A7877" s="7">
        <v>298.0</v>
      </c>
      <c r="B7877" s="9" t="s">
        <v>14328</v>
      </c>
      <c r="C7877" s="9" t="s">
        <v>14329</v>
      </c>
      <c r="D7877" s="9" t="s">
        <v>71</v>
      </c>
      <c r="E7877" s="6" t="s">
        <v>14331</v>
      </c>
      <c r="F7877" s="9"/>
    </row>
    <row r="7878" ht="33.75" customHeight="1">
      <c r="A7878" s="7">
        <v>298.0</v>
      </c>
      <c r="B7878" s="9" t="s">
        <v>14328</v>
      </c>
      <c r="C7878" s="9" t="s">
        <v>14329</v>
      </c>
      <c r="D7878" s="9" t="s">
        <v>73</v>
      </c>
      <c r="E7878" s="6" t="s">
        <v>14332</v>
      </c>
      <c r="F7878" s="9"/>
    </row>
    <row r="7879" ht="33.75" customHeight="1">
      <c r="A7879" s="7">
        <v>298.0</v>
      </c>
      <c r="B7879" s="9" t="s">
        <v>14328</v>
      </c>
      <c r="C7879" s="9" t="s">
        <v>14329</v>
      </c>
      <c r="D7879" s="9" t="s">
        <v>75</v>
      </c>
      <c r="E7879" s="6" t="s">
        <v>14333</v>
      </c>
      <c r="F7879" s="9"/>
    </row>
    <row r="7880" ht="33.75" customHeight="1">
      <c r="A7880" s="7">
        <v>298.0</v>
      </c>
      <c r="B7880" s="9" t="s">
        <v>14328</v>
      </c>
      <c r="C7880" s="9" t="s">
        <v>14329</v>
      </c>
      <c r="D7880" s="9" t="s">
        <v>79</v>
      </c>
      <c r="E7880" s="6" t="s">
        <v>14333</v>
      </c>
      <c r="F7880" s="9"/>
    </row>
    <row r="7881" ht="33.75" customHeight="1">
      <c r="A7881" s="7">
        <v>298.0</v>
      </c>
      <c r="B7881" s="9" t="s">
        <v>14328</v>
      </c>
      <c r="C7881" s="9" t="s">
        <v>14329</v>
      </c>
      <c r="D7881" s="9" t="s">
        <v>81</v>
      </c>
      <c r="E7881" s="6" t="s">
        <v>14335</v>
      </c>
      <c r="F7881" s="9"/>
    </row>
    <row r="7882" ht="33.75" customHeight="1">
      <c r="A7882" s="7">
        <v>298.0</v>
      </c>
      <c r="B7882" s="9" t="s">
        <v>14328</v>
      </c>
      <c r="C7882" s="9" t="s">
        <v>14329</v>
      </c>
      <c r="D7882" s="9" t="s">
        <v>84</v>
      </c>
      <c r="E7882" s="6" t="s">
        <v>14336</v>
      </c>
      <c r="F7882" s="9"/>
    </row>
    <row r="7883" ht="33.75" customHeight="1">
      <c r="A7883" s="7">
        <v>298.0</v>
      </c>
      <c r="B7883" s="9" t="s">
        <v>14328</v>
      </c>
      <c r="C7883" s="9" t="s">
        <v>14329</v>
      </c>
      <c r="D7883" s="9" t="s">
        <v>87</v>
      </c>
      <c r="E7883" s="6" t="s">
        <v>14337</v>
      </c>
      <c r="F7883" s="9"/>
    </row>
    <row r="7884" ht="33.75" customHeight="1">
      <c r="A7884" s="7">
        <v>298.0</v>
      </c>
      <c r="B7884" s="9" t="s">
        <v>14328</v>
      </c>
      <c r="C7884" s="9" t="s">
        <v>14329</v>
      </c>
      <c r="D7884" s="9" t="s">
        <v>89</v>
      </c>
      <c r="E7884" s="6" t="s">
        <v>14338</v>
      </c>
      <c r="F7884" s="9"/>
    </row>
    <row r="7885" ht="33.75" customHeight="1">
      <c r="A7885" s="7">
        <v>298.0</v>
      </c>
      <c r="B7885" s="9" t="s">
        <v>14328</v>
      </c>
      <c r="C7885" s="9" t="s">
        <v>14329</v>
      </c>
      <c r="D7885" s="9" t="s">
        <v>91</v>
      </c>
      <c r="E7885" s="6" t="s">
        <v>14338</v>
      </c>
      <c r="F7885" s="9"/>
    </row>
    <row r="7886" ht="33.75" customHeight="1">
      <c r="A7886" s="7">
        <v>298.0</v>
      </c>
      <c r="B7886" s="9" t="s">
        <v>14328</v>
      </c>
      <c r="C7886" s="9" t="s">
        <v>14329</v>
      </c>
      <c r="D7886" s="9" t="s">
        <v>93</v>
      </c>
      <c r="E7886" s="6" t="s">
        <v>14337</v>
      </c>
      <c r="F7886" s="9"/>
    </row>
    <row r="7887" ht="33.75" customHeight="1">
      <c r="A7887" s="7">
        <v>298.0</v>
      </c>
      <c r="B7887" s="9" t="s">
        <v>14328</v>
      </c>
      <c r="C7887" s="9" t="s">
        <v>14329</v>
      </c>
      <c r="D7887" s="9" t="s">
        <v>95</v>
      </c>
      <c r="E7887" s="6" t="s">
        <v>14337</v>
      </c>
      <c r="F7887" s="9"/>
    </row>
    <row r="7888" ht="33.75" customHeight="1">
      <c r="A7888" s="7">
        <v>298.0</v>
      </c>
      <c r="B7888" s="9" t="s">
        <v>14328</v>
      </c>
      <c r="C7888" s="9" t="s">
        <v>14329</v>
      </c>
      <c r="D7888" s="9" t="s">
        <v>98</v>
      </c>
      <c r="E7888" s="6" t="s">
        <v>14339</v>
      </c>
      <c r="F7888" s="9"/>
    </row>
    <row r="7889" ht="33.75" customHeight="1">
      <c r="A7889" s="7">
        <v>298.0</v>
      </c>
      <c r="B7889" s="9" t="s">
        <v>14328</v>
      </c>
      <c r="C7889" s="9" t="s">
        <v>14329</v>
      </c>
      <c r="D7889" s="9" t="s">
        <v>99</v>
      </c>
      <c r="E7889" s="6" t="s">
        <v>14339</v>
      </c>
      <c r="F7889" s="9"/>
    </row>
    <row r="7890" ht="33.75" customHeight="1">
      <c r="A7890" s="7">
        <v>298.0</v>
      </c>
      <c r="B7890" s="9" t="s">
        <v>14328</v>
      </c>
      <c r="C7890" s="9" t="s">
        <v>14329</v>
      </c>
      <c r="D7890" s="9" t="s">
        <v>101</v>
      </c>
      <c r="E7890" s="6" t="s">
        <v>14335</v>
      </c>
      <c r="F7890" s="9"/>
    </row>
    <row r="7891" ht="33.75" customHeight="1">
      <c r="A7891" s="7">
        <v>298.0</v>
      </c>
      <c r="B7891" s="9" t="s">
        <v>14328</v>
      </c>
      <c r="C7891" s="9" t="s">
        <v>14329</v>
      </c>
      <c r="D7891" s="9" t="s">
        <v>105</v>
      </c>
      <c r="E7891" s="6" t="s">
        <v>14339</v>
      </c>
      <c r="F7891" s="9"/>
    </row>
    <row r="7892" ht="33.75" customHeight="1">
      <c r="A7892" s="7">
        <v>298.0</v>
      </c>
      <c r="B7892" s="9" t="s">
        <v>14328</v>
      </c>
      <c r="C7892" s="9" t="s">
        <v>14329</v>
      </c>
      <c r="D7892" s="9" t="s">
        <v>107</v>
      </c>
      <c r="E7892" s="6" t="s">
        <v>14340</v>
      </c>
      <c r="F7892" s="9"/>
    </row>
    <row r="7893" ht="33.75" customHeight="1">
      <c r="A7893" s="7">
        <v>298.0</v>
      </c>
      <c r="B7893" s="9" t="s">
        <v>14328</v>
      </c>
      <c r="C7893" s="9" t="s">
        <v>14329</v>
      </c>
      <c r="D7893" s="9" t="s">
        <v>109</v>
      </c>
      <c r="E7893" s="6" t="s">
        <v>14341</v>
      </c>
      <c r="F7893" s="9"/>
    </row>
    <row r="7894" ht="33.75" customHeight="1">
      <c r="A7894" s="7">
        <v>298.0</v>
      </c>
      <c r="B7894" s="9" t="s">
        <v>14328</v>
      </c>
      <c r="C7894" s="9" t="s">
        <v>14329</v>
      </c>
      <c r="D7894" s="9" t="s">
        <v>114</v>
      </c>
      <c r="E7894" s="6" t="s">
        <v>14342</v>
      </c>
      <c r="F7894" s="9"/>
    </row>
    <row r="7895" ht="33.75" customHeight="1">
      <c r="A7895" s="7">
        <v>298.0</v>
      </c>
      <c r="B7895" s="9" t="s">
        <v>14328</v>
      </c>
      <c r="C7895" s="9" t="s">
        <v>14329</v>
      </c>
      <c r="D7895" s="9" t="s">
        <v>117</v>
      </c>
      <c r="E7895" s="6" t="s">
        <v>14343</v>
      </c>
      <c r="F7895" s="9"/>
    </row>
    <row r="7896" ht="33.75" customHeight="1">
      <c r="A7896" s="7">
        <v>299.0</v>
      </c>
      <c r="B7896" s="9" t="s">
        <v>14344</v>
      </c>
      <c r="C7896" s="9" t="s">
        <v>14345</v>
      </c>
      <c r="D7896" s="9" t="s">
        <v>67</v>
      </c>
      <c r="E7896" s="6" t="s">
        <v>14346</v>
      </c>
      <c r="F7896" t="inlineStr" s="10">
        <is>
          <t xml:space="preserve">NOSEPASSin magneettinen nenä osoittaa aina pohjoiseen. Jos kaksi tällaista POKéMONia kohtaa, ne eivät voi kääntää kasvojaan toisiaan kohti ollessaan lähellä toisiaan, koska niiden magneettiset nenät hylkivät toisiaan. NOSEPASSin aiemmin sanottiin olevan täysin liikkumaton ja sen magneettinen nenä osoittaa suoraan pohjoiseen. Lähemmät havainnot ovat kuitenkin paljastaneet, että POKéMON todellisuudessa liikkuu hieman yli 1 cm vuodessa. Sen ruumis säteilee voimakasta magnetismia. Se syö saalista, jota voima vetää puoleensa. Sen magnetismi on voimakkaampaa kylminä vuodenaikoina. Sen magneettinen nenä osoittaa jatkuvasti pohjoiseen. Matkustajat tarkistavat NOSEPASSin avulla suuntimansa. Sen nenä on kuin magneetti. Tämän seurauksena tämä Pokémon pitää kasvonsa aina pohjoiseen päin. Uhanalaisena se voi suojella itseään lisäämällä magnetismiaan ja vetämällä rautaesineitä puoleensa. Jos kaksi näistä kohtaa, ne eivät pääse liian lähelle toisiaan, koska niiden nenät hylkivät toisiaan. Sen magneettinen nenä osoittaa aina pohjoiseen ja vetää rautaesineitä puoleensa suojatakseen itseään paremmin. Matkailijat tarkistavat Nosepassin avulla suuntimansa. Jos kaksi näistä Pokémoneista kohtaa, ne eivät voi kääntää kasvojaan toisiaan kohti ollessaan lähellä toisiaan, koska niiden magneettiset nenät hylkivät toisiaan. Nosepassin sanottiin olevan täysin liikkumaton, ja sen magneettinen nenä osoittaa suoraan pohjoiseen. Lähemmät havainnot ovat kuitenkin paljastaneet, että Pokémon itse asiassa liikkuu hieman yli 1,25 senttimetriä vuodessa. Nosepassin nenässä oleva magneetti tarjoaa erehtymättömän kompassin, mikä tekee siitä erinomaisen kumppanin matkalle lähdössä oleville kouluttajille. Se käyttää voimakasta magnetismia vetääkseen saaliinsa itseään kohti. Sen tiedetään myös vetävän puoleensa metallia, jota se kerää ja käyttää suojellakseen itseään. Se liikkuu alle tuuman vuodessa, mutta tukossa ollessaan se pyörähtää ja porautuu maahan sekunnin murto-osassa. Se metsästää nykäisemättä lihaksiaan vetämällä saalistaan ​​puoleensa voimakkaalla magnetismilla. Mutta joskus se vetää luonnolliset viholliset lähelleen. Kun Hisuin asukkaat huomasivat, että sen punainen nenä osoittaa aina pohjoiseen, he alkoivat luottaa siihen suuresti matkustaessaan kaukaa. Nenä näyttää toimivan samalla tavalla kuin muinaiset kompassit.</t>
        </is>
      </c>
    </row>
    <row r="7897" ht="33.75" customHeight="1">
      <c r="A7897" s="7">
        <v>299.0</v>
      </c>
      <c r="B7897" s="9" t="s">
        <v>14344</v>
      </c>
      <c r="C7897" s="9" t="s">
        <v>14345</v>
      </c>
      <c r="D7897" s="9" t="s">
        <v>71</v>
      </c>
      <c r="E7897" s="6" t="s">
        <v>14347</v>
      </c>
      <c r="F7897" s="9"/>
    </row>
    <row r="7898" ht="33.75" customHeight="1">
      <c r="A7898" s="7">
        <v>299.0</v>
      </c>
      <c r="B7898" s="9" t="s">
        <v>14344</v>
      </c>
      <c r="C7898" s="9" t="s">
        <v>14345</v>
      </c>
      <c r="D7898" s="9" t="s">
        <v>73</v>
      </c>
      <c r="E7898" s="6" t="s">
        <v>14348</v>
      </c>
      <c r="F7898" s="9"/>
    </row>
    <row r="7899" ht="33.75" customHeight="1">
      <c r="A7899" s="7">
        <v>299.0</v>
      </c>
      <c r="B7899" s="9" t="s">
        <v>14344</v>
      </c>
      <c r="C7899" s="9" t="s">
        <v>14345</v>
      </c>
      <c r="D7899" s="9" t="s">
        <v>75</v>
      </c>
      <c r="E7899" s="6" t="s">
        <v>14349</v>
      </c>
      <c r="F7899" s="9"/>
    </row>
    <row r="7900" ht="33.75" customHeight="1">
      <c r="A7900" s="7">
        <v>299.0</v>
      </c>
      <c r="B7900" s="9" t="s">
        <v>14344</v>
      </c>
      <c r="C7900" s="9" t="s">
        <v>14345</v>
      </c>
      <c r="D7900" s="9" t="s">
        <v>79</v>
      </c>
      <c r="E7900" s="6" t="s">
        <v>14349</v>
      </c>
      <c r="F7900" s="9"/>
    </row>
    <row r="7901" ht="33.75" customHeight="1">
      <c r="A7901" s="7">
        <v>299.0</v>
      </c>
      <c r="B7901" s="9" t="s">
        <v>14344</v>
      </c>
      <c r="C7901" s="9" t="s">
        <v>14345</v>
      </c>
      <c r="D7901" s="9" t="s">
        <v>81</v>
      </c>
      <c r="E7901" s="6" t="s">
        <v>14350</v>
      </c>
      <c r="F7901" s="9"/>
    </row>
    <row r="7902" ht="33.75" customHeight="1">
      <c r="A7902" s="7">
        <v>299.0</v>
      </c>
      <c r="B7902" s="9" t="s">
        <v>14344</v>
      </c>
      <c r="C7902" s="9" t="s">
        <v>14345</v>
      </c>
      <c r="D7902" s="9" t="s">
        <v>84</v>
      </c>
      <c r="E7902" s="6" t="s">
        <v>14350</v>
      </c>
      <c r="F7902" s="9"/>
    </row>
    <row r="7903" ht="33.75" customHeight="1">
      <c r="A7903" s="7">
        <v>299.0</v>
      </c>
      <c r="B7903" s="9" t="s">
        <v>14344</v>
      </c>
      <c r="C7903" s="9" t="s">
        <v>14345</v>
      </c>
      <c r="D7903" s="9" t="s">
        <v>87</v>
      </c>
      <c r="E7903" s="6" t="s">
        <v>14352</v>
      </c>
      <c r="F7903" s="9"/>
    </row>
    <row r="7904" ht="33.75" customHeight="1">
      <c r="A7904" s="7">
        <v>299.0</v>
      </c>
      <c r="B7904" s="9" t="s">
        <v>14344</v>
      </c>
      <c r="C7904" s="9" t="s">
        <v>14345</v>
      </c>
      <c r="D7904" s="9" t="s">
        <v>89</v>
      </c>
      <c r="E7904" s="6" t="s">
        <v>14353</v>
      </c>
      <c r="F7904" s="9"/>
    </row>
    <row r="7905" ht="33.75" customHeight="1">
      <c r="A7905" s="7">
        <v>299.0</v>
      </c>
      <c r="B7905" s="9" t="s">
        <v>14344</v>
      </c>
      <c r="C7905" s="9" t="s">
        <v>14345</v>
      </c>
      <c r="D7905" s="9" t="s">
        <v>91</v>
      </c>
      <c r="E7905" s="6" t="s">
        <v>14353</v>
      </c>
      <c r="F7905" s="9"/>
    </row>
    <row r="7906" ht="33.75" customHeight="1">
      <c r="A7906" s="7">
        <v>299.0</v>
      </c>
      <c r="B7906" s="9" t="s">
        <v>14344</v>
      </c>
      <c r="C7906" s="9" t="s">
        <v>14345</v>
      </c>
      <c r="D7906" s="9" t="s">
        <v>93</v>
      </c>
      <c r="E7906" s="6" t="s">
        <v>14352</v>
      </c>
      <c r="F7906" s="9"/>
    </row>
    <row r="7907" ht="33.75" customHeight="1">
      <c r="A7907" s="7">
        <v>299.0</v>
      </c>
      <c r="B7907" s="9" t="s">
        <v>14344</v>
      </c>
      <c r="C7907" s="9" t="s">
        <v>14345</v>
      </c>
      <c r="D7907" s="9" t="s">
        <v>95</v>
      </c>
      <c r="E7907" s="6" t="s">
        <v>14352</v>
      </c>
      <c r="F7907" s="9"/>
    </row>
    <row r="7908" ht="33.75" customHeight="1">
      <c r="A7908" s="7">
        <v>299.0</v>
      </c>
      <c r="B7908" s="9" t="s">
        <v>14344</v>
      </c>
      <c r="C7908" s="9" t="s">
        <v>14345</v>
      </c>
      <c r="D7908" s="9" t="s">
        <v>98</v>
      </c>
      <c r="E7908" s="6" t="s">
        <v>14354</v>
      </c>
      <c r="F7908" s="9"/>
    </row>
    <row r="7909" ht="33.75" customHeight="1">
      <c r="A7909" s="7">
        <v>299.0</v>
      </c>
      <c r="B7909" s="9" t="s">
        <v>14344</v>
      </c>
      <c r="C7909" s="9" t="s">
        <v>14345</v>
      </c>
      <c r="D7909" s="9" t="s">
        <v>99</v>
      </c>
      <c r="E7909" s="6" t="s">
        <v>14354</v>
      </c>
      <c r="F7909" s="9"/>
    </row>
    <row r="7910" ht="33.75" customHeight="1">
      <c r="A7910" s="7">
        <v>299.0</v>
      </c>
      <c r="B7910" s="9" t="s">
        <v>14344</v>
      </c>
      <c r="C7910" s="9" t="s">
        <v>14345</v>
      </c>
      <c r="D7910" s="9" t="s">
        <v>101</v>
      </c>
      <c r="E7910" s="6" t="s">
        <v>14354</v>
      </c>
      <c r="F7910" s="9"/>
    </row>
    <row r="7911" ht="33.75" customHeight="1">
      <c r="A7911" s="7">
        <v>299.0</v>
      </c>
      <c r="B7911" s="9" t="s">
        <v>14344</v>
      </c>
      <c r="C7911" s="9" t="s">
        <v>14345</v>
      </c>
      <c r="D7911" s="9" t="s">
        <v>105</v>
      </c>
      <c r="E7911" s="6" t="s">
        <v>14355</v>
      </c>
      <c r="F7911" s="9"/>
    </row>
    <row r="7912" ht="33.75" customHeight="1">
      <c r="A7912" s="7">
        <v>299.0</v>
      </c>
      <c r="B7912" s="9" t="s">
        <v>14344</v>
      </c>
      <c r="C7912" s="9" t="s">
        <v>14345</v>
      </c>
      <c r="D7912" s="9" t="s">
        <v>107</v>
      </c>
      <c r="E7912" s="6" t="s">
        <v>14356</v>
      </c>
      <c r="F7912" s="9"/>
    </row>
    <row r="7913" ht="33.75" customHeight="1">
      <c r="A7913" s="7">
        <v>299.0</v>
      </c>
      <c r="B7913" s="9" t="s">
        <v>14344</v>
      </c>
      <c r="C7913" s="9" t="s">
        <v>14345</v>
      </c>
      <c r="D7913" s="9" t="s">
        <v>109</v>
      </c>
      <c r="E7913" s="6" t="s">
        <v>14357</v>
      </c>
      <c r="F7913" s="9"/>
    </row>
    <row r="7914" ht="33.75" customHeight="1">
      <c r="A7914" s="7">
        <v>299.0</v>
      </c>
      <c r="B7914" s="9" t="s">
        <v>14344</v>
      </c>
      <c r="C7914" s="9" t="s">
        <v>14345</v>
      </c>
      <c r="D7914" s="9" t="s">
        <v>637</v>
      </c>
      <c r="E7914" s="6" t="s">
        <v>14358</v>
      </c>
      <c r="F7914" s="9"/>
    </row>
    <row r="7915" ht="33.75" customHeight="1">
      <c r="A7915" s="7">
        <v>299.0</v>
      </c>
      <c r="B7915" s="9" t="s">
        <v>14344</v>
      </c>
      <c r="C7915" s="9" t="s">
        <v>14345</v>
      </c>
      <c r="D7915" s="9" t="s">
        <v>642</v>
      </c>
      <c r="E7915" s="6" t="s">
        <v>14359</v>
      </c>
      <c r="F7915" s="9"/>
    </row>
    <row r="7916" ht="33.75" customHeight="1">
      <c r="A7916" s="7">
        <v>299.0</v>
      </c>
      <c r="B7916" s="9" t="s">
        <v>14344</v>
      </c>
      <c r="C7916" s="9" t="s">
        <v>14345</v>
      </c>
      <c r="D7916" s="9" t="s">
        <v>647</v>
      </c>
      <c r="E7916" s="6" t="s">
        <v>14360</v>
      </c>
      <c r="F7916" s="9"/>
    </row>
    <row r="7917" ht="33.75" customHeight="1">
      <c r="A7917" s="7">
        <v>299.0</v>
      </c>
      <c r="B7917" s="9" t="s">
        <v>14344</v>
      </c>
      <c r="C7917" s="9" t="s">
        <v>14345</v>
      </c>
      <c r="D7917" s="9" t="s">
        <v>652</v>
      </c>
      <c r="E7917" s="6" t="s">
        <v>14361</v>
      </c>
      <c r="F7917" s="9"/>
    </row>
    <row r="7918" ht="33.75" customHeight="1">
      <c r="A7918" s="7">
        <v>299.0</v>
      </c>
      <c r="B7918" s="9" t="s">
        <v>14344</v>
      </c>
      <c r="C7918" s="9" t="s">
        <v>14345</v>
      </c>
      <c r="D7918" s="9" t="s">
        <v>1577</v>
      </c>
      <c r="E7918" s="6" t="s">
        <v>14362</v>
      </c>
      <c r="F7918" s="9"/>
    </row>
    <row r="7919" ht="33.75" customHeight="1">
      <c r="A7919" s="7">
        <v>300.0</v>
      </c>
      <c r="B7919" s="9" t="s">
        <v>14363</v>
      </c>
      <c r="C7919" s="9" t="s">
        <v>14364</v>
      </c>
      <c r="D7919" s="9" t="s">
        <v>67</v>
      </c>
      <c r="E7919" s="6" t="s">
        <v>14365</v>
      </c>
      <c r="F7919" t="inlineStr" s="10">
        <is>
          <t xml:space="preserve">SKITTYllä on tapana kiehtoutua liikuteltavista esineistä ja jahdata niitä. Tämä POKéMON tunnetaan siitä, että se jahtaa omaa häntäänsä ja saa huimausta. SKITTY tunnetaan leikkisästä omasta häntäänsä jahtaamisesta. Luonnossa tämä POKéMON elää metsien puiden koloissa. Se on erittäin suosittu lemmikki suloisen ulkonäkönsä ansiosta. SKITTYn ihastuttavan söpö käytös tekee siitä erittäin suositun. Taistelussa se pöyhii häntäänsä. Se uhkaa vihollisia terävällä murahduksella. Sen luottamuksen sanotaan olevan vaikea ansaita. Se on kuitenkin erittäin suosittu söpön ulkonäkönsä ja käytöksensä vuoksi. Se ei voi estää itseään jahtaamasta liikkuvia asioita, ja se juoksee ympyrää jahdaten omaa häntäänsä. Se on suloinen jahdatessaan omaa häntäänsä. Sen luottamuksen ansaitseminen on vaikeaa. Se näyttää söpön puolensa jahtaamalla omaa häntäänsä, kunnes sitä alkaa huimata. Tämän Pokémonin tiedetään jahtaavan omaa häntäänsä ja saavan huimausta.</t>
        </is>
      </c>
    </row>
    <row r="7920" ht="33.75" customHeight="1">
      <c r="A7920" s="7">
        <v>300.0</v>
      </c>
      <c r="B7920" s="9" t="s">
        <v>14363</v>
      </c>
      <c r="C7920" s="9" t="s">
        <v>14364</v>
      </c>
      <c r="D7920" s="9" t="s">
        <v>71</v>
      </c>
      <c r="E7920" s="6" t="s">
        <v>14366</v>
      </c>
      <c r="F7920" s="9"/>
    </row>
    <row r="7921" ht="33.75" customHeight="1">
      <c r="A7921" s="7">
        <v>300.0</v>
      </c>
      <c r="B7921" s="9" t="s">
        <v>14363</v>
      </c>
      <c r="C7921" s="9" t="s">
        <v>14364</v>
      </c>
      <c r="D7921" s="9" t="s">
        <v>73</v>
      </c>
      <c r="E7921" s="6" t="s">
        <v>14367</v>
      </c>
      <c r="F7921" s="9"/>
    </row>
    <row r="7922" ht="33.75" customHeight="1">
      <c r="A7922" s="7">
        <v>300.0</v>
      </c>
      <c r="B7922" s="9" t="s">
        <v>14363</v>
      </c>
      <c r="C7922" s="9" t="s">
        <v>14364</v>
      </c>
      <c r="D7922" s="9" t="s">
        <v>75</v>
      </c>
      <c r="E7922" s="6" t="s">
        <v>14368</v>
      </c>
      <c r="F7922" s="9"/>
    </row>
    <row r="7923" ht="33.75" customHeight="1">
      <c r="A7923" s="7">
        <v>300.0</v>
      </c>
      <c r="B7923" s="9" t="s">
        <v>14363</v>
      </c>
      <c r="C7923" s="9" t="s">
        <v>14364</v>
      </c>
      <c r="D7923" s="9" t="s">
        <v>79</v>
      </c>
      <c r="E7923" s="6" t="s">
        <v>14368</v>
      </c>
      <c r="F7923" s="9"/>
    </row>
    <row r="7924" ht="33.75" customHeight="1">
      <c r="A7924" s="7">
        <v>300.0</v>
      </c>
      <c r="B7924" s="9" t="s">
        <v>14363</v>
      </c>
      <c r="C7924" s="9" t="s">
        <v>14364</v>
      </c>
      <c r="D7924" s="9" t="s">
        <v>81</v>
      </c>
      <c r="E7924" s="6" t="s">
        <v>14369</v>
      </c>
      <c r="F7924" s="9"/>
    </row>
    <row r="7925" ht="33.75" customHeight="1">
      <c r="A7925" s="7">
        <v>300.0</v>
      </c>
      <c r="B7925" s="9" t="s">
        <v>14363</v>
      </c>
      <c r="C7925" s="9" t="s">
        <v>14364</v>
      </c>
      <c r="D7925" s="9" t="s">
        <v>84</v>
      </c>
      <c r="E7925" s="6" t="s">
        <v>14369</v>
      </c>
      <c r="F7925" s="9"/>
    </row>
    <row r="7926" ht="33.75" customHeight="1">
      <c r="A7926" s="7">
        <v>300.0</v>
      </c>
      <c r="B7926" s="9" t="s">
        <v>14363</v>
      </c>
      <c r="C7926" s="9" t="s">
        <v>14364</v>
      </c>
      <c r="D7926" s="9" t="s">
        <v>87</v>
      </c>
      <c r="E7926" s="6" t="s">
        <v>14369</v>
      </c>
      <c r="F7926" s="9"/>
    </row>
    <row r="7927" ht="33.75" customHeight="1">
      <c r="A7927" s="7">
        <v>300.0</v>
      </c>
      <c r="B7927" s="9" t="s">
        <v>14363</v>
      </c>
      <c r="C7927" s="9" t="s">
        <v>14364</v>
      </c>
      <c r="D7927" s="9" t="s">
        <v>89</v>
      </c>
      <c r="E7927" s="6" t="s">
        <v>14370</v>
      </c>
      <c r="F7927" s="9"/>
    </row>
    <row r="7928" ht="33.75" customHeight="1">
      <c r="A7928" s="7">
        <v>300.0</v>
      </c>
      <c r="B7928" s="9" t="s">
        <v>14363</v>
      </c>
      <c r="C7928" s="9" t="s">
        <v>14364</v>
      </c>
      <c r="D7928" s="9" t="s">
        <v>91</v>
      </c>
      <c r="E7928" s="6" t="s">
        <v>14370</v>
      </c>
      <c r="F7928" s="9"/>
    </row>
    <row r="7929" ht="33.75" customHeight="1">
      <c r="A7929" s="7">
        <v>300.0</v>
      </c>
      <c r="B7929" s="9" t="s">
        <v>14363</v>
      </c>
      <c r="C7929" s="9" t="s">
        <v>14364</v>
      </c>
      <c r="D7929" s="9" t="s">
        <v>93</v>
      </c>
      <c r="E7929" s="6" t="s">
        <v>14369</v>
      </c>
      <c r="F7929" s="9"/>
    </row>
    <row r="7930" ht="33.75" customHeight="1">
      <c r="A7930" s="7">
        <v>300.0</v>
      </c>
      <c r="B7930" s="9" t="s">
        <v>14363</v>
      </c>
      <c r="C7930" s="9" t="s">
        <v>14364</v>
      </c>
      <c r="D7930" s="9" t="s">
        <v>95</v>
      </c>
      <c r="E7930" s="6" t="s">
        <v>14369</v>
      </c>
      <c r="F7930" s="9"/>
    </row>
    <row r="7931" ht="33.75" customHeight="1">
      <c r="A7931" s="7">
        <v>300.0</v>
      </c>
      <c r="B7931" s="9" t="s">
        <v>14363</v>
      </c>
      <c r="C7931" s="9" t="s">
        <v>14364</v>
      </c>
      <c r="D7931" s="9" t="s">
        <v>98</v>
      </c>
      <c r="E7931" s="6" t="s">
        <v>14372</v>
      </c>
      <c r="F7931" s="9"/>
    </row>
    <row r="7932" ht="33.75" customHeight="1">
      <c r="A7932" s="7">
        <v>300.0</v>
      </c>
      <c r="B7932" s="9" t="s">
        <v>14363</v>
      </c>
      <c r="C7932" s="9" t="s">
        <v>14364</v>
      </c>
      <c r="D7932" s="9" t="s">
        <v>99</v>
      </c>
      <c r="E7932" s="6" t="s">
        <v>14372</v>
      </c>
      <c r="F7932" s="9"/>
    </row>
    <row r="7933" ht="33.75" customHeight="1">
      <c r="A7933" s="7">
        <v>300.0</v>
      </c>
      <c r="B7933" s="9" t="s">
        <v>14363</v>
      </c>
      <c r="C7933" s="9" t="s">
        <v>14364</v>
      </c>
      <c r="D7933" s="9" t="s">
        <v>101</v>
      </c>
      <c r="E7933" s="6" t="s">
        <v>14369</v>
      </c>
      <c r="F7933" s="9"/>
    </row>
    <row r="7934" ht="33.75" customHeight="1">
      <c r="A7934" s="7">
        <v>300.0</v>
      </c>
      <c r="B7934" s="9" t="s">
        <v>14363</v>
      </c>
      <c r="C7934" s="9" t="s">
        <v>14364</v>
      </c>
      <c r="D7934" s="9" t="s">
        <v>105</v>
      </c>
      <c r="E7934" s="6" t="s">
        <v>14372</v>
      </c>
      <c r="F7934" s="9"/>
    </row>
    <row r="7935" ht="33.75" customHeight="1">
      <c r="A7935" s="7">
        <v>300.0</v>
      </c>
      <c r="B7935" s="9" t="s">
        <v>14363</v>
      </c>
      <c r="C7935" s="9" t="s">
        <v>14364</v>
      </c>
      <c r="D7935" s="9" t="s">
        <v>107</v>
      </c>
      <c r="E7935" s="6" t="s">
        <v>14373</v>
      </c>
      <c r="F7935" s="9"/>
    </row>
    <row r="7936" ht="33.75" customHeight="1">
      <c r="A7936" s="7">
        <v>300.0</v>
      </c>
      <c r="B7936" s="9" t="s">
        <v>14363</v>
      </c>
      <c r="C7936" s="9" t="s">
        <v>14364</v>
      </c>
      <c r="D7936" s="9" t="s">
        <v>109</v>
      </c>
      <c r="E7936" s="6" t="s">
        <v>14374</v>
      </c>
      <c r="F7936" s="9"/>
    </row>
    <row r="7937" ht="33.75" customHeight="1">
      <c r="A7937" s="7">
        <v>301.0</v>
      </c>
      <c r="B7937" s="9" t="s">
        <v>14375</v>
      </c>
      <c r="C7937" s="9" t="s">
        <v>14376</v>
      </c>
      <c r="D7937" s="9" t="s">
        <v>67</v>
      </c>
      <c r="E7937" s="6" t="s">
        <v>14377</v>
      </c>
      <c r="F7937" t="inlineStr" s="10">
        <is>
          <t xml:space="preserve">DELCATTY haluaa elää vapaata elämää, jossa se voi tehdä mitä haluaa omaan tahtiinsa. Koska tämä POKéMON syö ja nukkuu milloin haluaa, sen päivittäiset rutiinit ovat täysin satunnaisia. DELCATTY nukkuu missä haluaa ilman pysyvää pesää. Jos muut POKéMONit lähestyvät sitä sen nukkuessa, tämä POKéMON ei koskaan taistele – se vain siirtyy pois jonnekin muualle. Pysyvän pesän sijaan se etsii yleensä mukavia paikkoja ja nukkuu siellä. Se on yöeläin ja aktivoituu hämärän laskeuduttua. Trenditietoisten naisten lenkkareiden suosikkeja, joita käytetään kilpailuissa tyylinsä ja turkkinsa vuoksi. Se on erittäin suosittu naaraspuolisten kouluttajien keskuudessa sen upean turkin vuoksi. Se ei pidä pesää. Se ei pidä likaisista paikoista. Se etsii usein mukavaa paikkaa, jossa hoitaa itseään. Syy siihen, miksi sillä ei ole pesää, on se, että se yksinkertaisesti etsii puhtaan ja mukavan paikan ja nukkuu siellä.</t>
        </is>
      </c>
    </row>
    <row r="7938" ht="33.75" customHeight="1">
      <c r="A7938" s="7">
        <v>301.0</v>
      </c>
      <c r="B7938" s="9" t="s">
        <v>14375</v>
      </c>
      <c r="C7938" s="9" t="s">
        <v>14376</v>
      </c>
      <c r="D7938" s="9" t="s">
        <v>71</v>
      </c>
      <c r="E7938" s="6" t="s">
        <v>14378</v>
      </c>
      <c r="F7938" s="9"/>
    </row>
    <row r="7939" ht="33.75" customHeight="1">
      <c r="A7939" s="7">
        <v>301.0</v>
      </c>
      <c r="B7939" s="9" t="s">
        <v>14375</v>
      </c>
      <c r="C7939" s="9" t="s">
        <v>14376</v>
      </c>
      <c r="D7939" s="9" t="s">
        <v>73</v>
      </c>
      <c r="E7939" s="6" t="s">
        <v>14379</v>
      </c>
      <c r="F7939" s="9"/>
    </row>
    <row r="7940" ht="33.75" customHeight="1">
      <c r="A7940" s="7">
        <v>301.0</v>
      </c>
      <c r="B7940" s="9" t="s">
        <v>14375</v>
      </c>
      <c r="C7940" s="9" t="s">
        <v>14376</v>
      </c>
      <c r="D7940" s="9" t="s">
        <v>75</v>
      </c>
      <c r="E7940" s="6" t="s">
        <v>14380</v>
      </c>
      <c r="F7940" s="9"/>
    </row>
    <row r="7941" ht="33.75" customHeight="1">
      <c r="A7941" s="7">
        <v>301.0</v>
      </c>
      <c r="B7941" s="9" t="s">
        <v>14375</v>
      </c>
      <c r="C7941" s="9" t="s">
        <v>14376</v>
      </c>
      <c r="D7941" s="9" t="s">
        <v>79</v>
      </c>
      <c r="E7941" s="6" t="s">
        <v>14380</v>
      </c>
      <c r="F7941" s="9"/>
    </row>
    <row r="7942" ht="33.75" customHeight="1">
      <c r="A7942" s="7">
        <v>301.0</v>
      </c>
      <c r="B7942" s="9" t="s">
        <v>14375</v>
      </c>
      <c r="C7942" s="9" t="s">
        <v>14376</v>
      </c>
      <c r="D7942" s="9" t="s">
        <v>81</v>
      </c>
      <c r="E7942" s="6" t="s">
        <v>14381</v>
      </c>
      <c r="F7942" s="9"/>
    </row>
    <row r="7943" ht="33.75" customHeight="1">
      <c r="A7943" s="7">
        <v>301.0</v>
      </c>
      <c r="B7943" s="9" t="s">
        <v>14375</v>
      </c>
      <c r="C7943" s="9" t="s">
        <v>14376</v>
      </c>
      <c r="D7943" s="9" t="s">
        <v>84</v>
      </c>
      <c r="E7943" s="6" t="s">
        <v>14381</v>
      </c>
      <c r="F7943" s="9"/>
    </row>
    <row r="7944" ht="33.75" customHeight="1">
      <c r="A7944" s="7">
        <v>301.0</v>
      </c>
      <c r="B7944" s="9" t="s">
        <v>14375</v>
      </c>
      <c r="C7944" s="9" t="s">
        <v>14376</v>
      </c>
      <c r="D7944" s="9" t="s">
        <v>87</v>
      </c>
      <c r="E7944" s="6" t="s">
        <v>14381</v>
      </c>
      <c r="F7944" s="9"/>
    </row>
    <row r="7945" ht="33.75" customHeight="1">
      <c r="A7945" s="7">
        <v>301.0</v>
      </c>
      <c r="B7945" s="9" t="s">
        <v>14375</v>
      </c>
      <c r="C7945" s="9" t="s">
        <v>14376</v>
      </c>
      <c r="D7945" s="9" t="s">
        <v>89</v>
      </c>
      <c r="E7945" s="6" t="s">
        <v>14382</v>
      </c>
      <c r="F7945" s="9"/>
    </row>
    <row r="7946" ht="33.75" customHeight="1">
      <c r="A7946" s="7">
        <v>301.0</v>
      </c>
      <c r="B7946" s="9" t="s">
        <v>14375</v>
      </c>
      <c r="C7946" s="9" t="s">
        <v>14376</v>
      </c>
      <c r="D7946" s="9" t="s">
        <v>91</v>
      </c>
      <c r="E7946" s="6" t="s">
        <v>14382</v>
      </c>
      <c r="F7946" s="9"/>
    </row>
    <row r="7947" ht="33.75" customHeight="1">
      <c r="A7947" s="7">
        <v>301.0</v>
      </c>
      <c r="B7947" s="9" t="s">
        <v>14375</v>
      </c>
      <c r="C7947" s="9" t="s">
        <v>14376</v>
      </c>
      <c r="D7947" s="9" t="s">
        <v>93</v>
      </c>
      <c r="E7947" s="6" t="s">
        <v>14381</v>
      </c>
      <c r="F7947" s="9"/>
    </row>
    <row r="7948" ht="33.75" customHeight="1">
      <c r="A7948" s="7">
        <v>301.0</v>
      </c>
      <c r="B7948" s="9" t="s">
        <v>14375</v>
      </c>
      <c r="C7948" s="9" t="s">
        <v>14376</v>
      </c>
      <c r="D7948" s="9" t="s">
        <v>95</v>
      </c>
      <c r="E7948" s="6" t="s">
        <v>14381</v>
      </c>
      <c r="F7948" s="9"/>
    </row>
    <row r="7949" ht="33.75" customHeight="1">
      <c r="A7949" s="7">
        <v>301.0</v>
      </c>
      <c r="B7949" s="9" t="s">
        <v>14375</v>
      </c>
      <c r="C7949" s="9" t="s">
        <v>14376</v>
      </c>
      <c r="D7949" s="9" t="s">
        <v>98</v>
      </c>
      <c r="E7949" s="6" t="s">
        <v>14383</v>
      </c>
      <c r="F7949" s="9"/>
    </row>
    <row r="7950" ht="33.75" customHeight="1">
      <c r="A7950" s="7">
        <v>301.0</v>
      </c>
      <c r="B7950" s="9" t="s">
        <v>14375</v>
      </c>
      <c r="C7950" s="9" t="s">
        <v>14376</v>
      </c>
      <c r="D7950" s="9" t="s">
        <v>99</v>
      </c>
      <c r="E7950" s="6" t="s">
        <v>14383</v>
      </c>
      <c r="F7950" s="9"/>
    </row>
    <row r="7951" ht="33.75" customHeight="1">
      <c r="A7951" s="7">
        <v>301.0</v>
      </c>
      <c r="B7951" s="9" t="s">
        <v>14375</v>
      </c>
      <c r="C7951" s="9" t="s">
        <v>14376</v>
      </c>
      <c r="D7951" s="9" t="s">
        <v>101</v>
      </c>
      <c r="E7951" s="6" t="s">
        <v>14382</v>
      </c>
      <c r="F7951" s="9"/>
    </row>
    <row r="7952" ht="33.75" customHeight="1">
      <c r="A7952" s="7">
        <v>301.0</v>
      </c>
      <c r="B7952" s="9" t="s">
        <v>14375</v>
      </c>
      <c r="C7952" s="9" t="s">
        <v>14376</v>
      </c>
      <c r="D7952" s="9" t="s">
        <v>105</v>
      </c>
      <c r="E7952" s="6" t="s">
        <v>14381</v>
      </c>
      <c r="F7952" s="9"/>
    </row>
    <row r="7953" ht="33.75" customHeight="1">
      <c r="A7953" s="7">
        <v>301.0</v>
      </c>
      <c r="B7953" s="9" t="s">
        <v>14375</v>
      </c>
      <c r="C7953" s="9" t="s">
        <v>14376</v>
      </c>
      <c r="D7953" s="9" t="s">
        <v>107</v>
      </c>
      <c r="E7953" s="6" t="s">
        <v>14384</v>
      </c>
      <c r="F7953" s="9"/>
    </row>
    <row r="7954" ht="33.75" customHeight="1">
      <c r="A7954" s="7">
        <v>301.0</v>
      </c>
      <c r="B7954" s="9" t="s">
        <v>14375</v>
      </c>
      <c r="C7954" s="9" t="s">
        <v>14376</v>
      </c>
      <c r="D7954" s="9" t="s">
        <v>109</v>
      </c>
      <c r="E7954" s="6" t="s">
        <v>14385</v>
      </c>
      <c r="F7954" s="9"/>
    </row>
    <row r="7955" ht="33.75" customHeight="1">
      <c r="A7955" s="7">
        <v>302.0</v>
      </c>
      <c r="B7955" s="9" t="s">
        <v>14386</v>
      </c>
      <c r="C7955" s="9" t="s">
        <v>11586</v>
      </c>
      <c r="D7955" s="9" t="s">
        <v>67</v>
      </c>
      <c r="E7955" s="6" t="s">
        <v>14387</v>
      </c>
      <c r="F7955" t="inlineStr" s="10">
        <is>
          <t xml:space="preserve">SABLEYE-pokémonit elävät hiljaista elämää luolien syvyyksissä. Niitä kuitenkin pelätään, koska näiden POKéMONien uskotaan varastavan ihmisten henget, kun heidän silmänsä palavat pahaenteisesti pimeydessä. SABLEYE kaivaa maata teroitetuilla kynsillään löytääkseen syötäviä kiviä. Syötyjen kivien sisältämät aineet kiteytyvät ja nousevat POKéMONin kehon pinnalle. Se kaivaa haaroittuvia reikiä luoliin terävillä kynsillään etsiessään ruokaa – raakoja jalokiviä. SABLEYE väijyy pimeydessä ja sitä nähdään vain harvoin. Se syö jalokivikiteitä. Pimeydessä sen silmät kimaltelevat jalokivien loistoa. Se piileskelee luolien pimeydessä. Sen jalokiviruokavalio on muuttanut sen silmät jalokiviksi. Se asuu luolien pimeydessä. Se käyttää teräviä kynsiään kaivaakseen esiin jalokiviä ravinnokseen. Se on jalokivien ystävä, joten se vaanii Carbinkia. Valitettavasti Gabite nappaa ne melkein aina ensin. Tätä Pokémonia pelätään. Kun sen jalokivisilmät alkavat hehkua pahaenteisesti, uskotaan, että Sableye varastaa ihmisten henget. Se kaivautuu maan läpi kovilla kynsillään ja murskaa jalokiviä paksuilla, terävillä hampaillaan. Hiili on sen lempiruokaa. Sen syömistä jalokivistä peräisin olevat materiaalit kelluvat sen kehon pinnalle ja voivat muodostaa äärettömän määrän kuvioita yksilöiden välille.</t>
        </is>
      </c>
    </row>
    <row r="7956" ht="33.75" customHeight="1">
      <c r="A7956" s="7">
        <v>302.0</v>
      </c>
      <c r="B7956" s="9" t="s">
        <v>14386</v>
      </c>
      <c r="C7956" s="9" t="s">
        <v>11586</v>
      </c>
      <c r="D7956" s="9" t="s">
        <v>71</v>
      </c>
      <c r="E7956" s="6" t="s">
        <v>14389</v>
      </c>
      <c r="F7956" s="9"/>
    </row>
    <row r="7957" ht="33.75" customHeight="1">
      <c r="A7957" s="7">
        <v>302.0</v>
      </c>
      <c r="B7957" s="9" t="s">
        <v>14386</v>
      </c>
      <c r="C7957" s="9" t="s">
        <v>11586</v>
      </c>
      <c r="D7957" s="9" t="s">
        <v>73</v>
      </c>
      <c r="E7957" s="6" t="s">
        <v>14390</v>
      </c>
      <c r="F7957" s="9"/>
    </row>
    <row r="7958" ht="33.75" customHeight="1">
      <c r="A7958" s="7">
        <v>302.0</v>
      </c>
      <c r="B7958" s="9" t="s">
        <v>14386</v>
      </c>
      <c r="C7958" s="9" t="s">
        <v>11586</v>
      </c>
      <c r="D7958" s="9" t="s">
        <v>75</v>
      </c>
      <c r="E7958" s="6" t="s">
        <v>14391</v>
      </c>
      <c r="F7958" s="9"/>
    </row>
    <row r="7959" ht="33.75" customHeight="1">
      <c r="A7959" s="7">
        <v>302.0</v>
      </c>
      <c r="B7959" s="9" t="s">
        <v>14386</v>
      </c>
      <c r="C7959" s="9" t="s">
        <v>11586</v>
      </c>
      <c r="D7959" s="9" t="s">
        <v>79</v>
      </c>
      <c r="E7959" s="6" t="s">
        <v>14391</v>
      </c>
      <c r="F7959" s="9"/>
    </row>
    <row r="7960" ht="33.75" customHeight="1">
      <c r="A7960" s="7">
        <v>302.0</v>
      </c>
      <c r="B7960" s="9" t="s">
        <v>14386</v>
      </c>
      <c r="C7960" s="9" t="s">
        <v>11586</v>
      </c>
      <c r="D7960" s="9" t="s">
        <v>81</v>
      </c>
      <c r="E7960" s="6" t="s">
        <v>14392</v>
      </c>
      <c r="F7960" s="9"/>
    </row>
    <row r="7961" ht="33.75" customHeight="1">
      <c r="A7961" s="7">
        <v>302.0</v>
      </c>
      <c r="B7961" s="9" t="s">
        <v>14386</v>
      </c>
      <c r="C7961" s="9" t="s">
        <v>11586</v>
      </c>
      <c r="D7961" s="9" t="s">
        <v>84</v>
      </c>
      <c r="E7961" s="6" t="s">
        <v>14392</v>
      </c>
      <c r="F7961" s="9"/>
    </row>
    <row r="7962" ht="33.75" customHeight="1">
      <c r="A7962" s="7">
        <v>302.0</v>
      </c>
      <c r="B7962" s="9" t="s">
        <v>14386</v>
      </c>
      <c r="C7962" s="9" t="s">
        <v>11586</v>
      </c>
      <c r="D7962" s="9" t="s">
        <v>87</v>
      </c>
      <c r="E7962" s="6" t="s">
        <v>14392</v>
      </c>
      <c r="F7962" s="9"/>
    </row>
    <row r="7963" ht="33.75" customHeight="1">
      <c r="A7963" s="7">
        <v>302.0</v>
      </c>
      <c r="B7963" s="9" t="s">
        <v>14386</v>
      </c>
      <c r="C7963" s="9" t="s">
        <v>11586</v>
      </c>
      <c r="D7963" s="9" t="s">
        <v>89</v>
      </c>
      <c r="E7963" s="6" t="s">
        <v>14393</v>
      </c>
      <c r="F7963" s="9"/>
    </row>
    <row r="7964" ht="33.75" customHeight="1">
      <c r="A7964" s="7">
        <v>302.0</v>
      </c>
      <c r="B7964" s="9" t="s">
        <v>14386</v>
      </c>
      <c r="C7964" s="9" t="s">
        <v>11586</v>
      </c>
      <c r="D7964" s="9" t="s">
        <v>91</v>
      </c>
      <c r="E7964" s="6" t="s">
        <v>14393</v>
      </c>
      <c r="F7964" s="9"/>
    </row>
    <row r="7965" ht="33.75" customHeight="1">
      <c r="A7965" s="7">
        <v>302.0</v>
      </c>
      <c r="B7965" s="9" t="s">
        <v>14386</v>
      </c>
      <c r="C7965" s="9" t="s">
        <v>11586</v>
      </c>
      <c r="D7965" s="9" t="s">
        <v>93</v>
      </c>
      <c r="E7965" s="6" t="s">
        <v>14392</v>
      </c>
      <c r="F7965" s="9"/>
    </row>
    <row r="7966" ht="33.75" customHeight="1">
      <c r="A7966" s="7">
        <v>302.0</v>
      </c>
      <c r="B7966" s="9" t="s">
        <v>14386</v>
      </c>
      <c r="C7966" s="9" t="s">
        <v>11586</v>
      </c>
      <c r="D7966" s="9" t="s">
        <v>95</v>
      </c>
      <c r="E7966" s="6" t="s">
        <v>14392</v>
      </c>
      <c r="F7966" s="9"/>
    </row>
    <row r="7967" ht="33.75" customHeight="1">
      <c r="A7967" s="7">
        <v>302.0</v>
      </c>
      <c r="B7967" s="9" t="s">
        <v>14386</v>
      </c>
      <c r="C7967" s="9" t="s">
        <v>11586</v>
      </c>
      <c r="D7967" s="9" t="s">
        <v>98</v>
      </c>
      <c r="E7967" s="6" t="s">
        <v>14392</v>
      </c>
      <c r="F7967" s="9"/>
    </row>
    <row r="7968" ht="33.75" customHeight="1">
      <c r="A7968" s="7">
        <v>302.0</v>
      </c>
      <c r="B7968" s="9" t="s">
        <v>14386</v>
      </c>
      <c r="C7968" s="9" t="s">
        <v>11586</v>
      </c>
      <c r="D7968" s="9" t="s">
        <v>99</v>
      </c>
      <c r="E7968" s="6" t="s">
        <v>14392</v>
      </c>
      <c r="F7968" s="9"/>
    </row>
    <row r="7969" ht="33.75" customHeight="1">
      <c r="A7969" s="7">
        <v>302.0</v>
      </c>
      <c r="B7969" s="9" t="s">
        <v>14386</v>
      </c>
      <c r="C7969" s="9" t="s">
        <v>11586</v>
      </c>
      <c r="D7969" s="9" t="s">
        <v>101</v>
      </c>
      <c r="E7969" s="6" t="s">
        <v>14392</v>
      </c>
      <c r="F7969" s="9"/>
    </row>
    <row r="7970" ht="33.75" customHeight="1">
      <c r="A7970" s="7">
        <v>302.0</v>
      </c>
      <c r="B7970" s="9" t="s">
        <v>14386</v>
      </c>
      <c r="C7970" s="9" t="s">
        <v>11586</v>
      </c>
      <c r="D7970" s="9" t="s">
        <v>105</v>
      </c>
      <c r="E7970" s="6" t="s">
        <v>14393</v>
      </c>
      <c r="F7970" s="9"/>
    </row>
    <row r="7971" ht="33.75" customHeight="1">
      <c r="A7971" s="7">
        <v>302.0</v>
      </c>
      <c r="B7971" s="9" t="s">
        <v>14386</v>
      </c>
      <c r="C7971" s="9" t="s">
        <v>11586</v>
      </c>
      <c r="D7971" s="9" t="s">
        <v>107</v>
      </c>
      <c r="E7971" s="6" t="s">
        <v>14394</v>
      </c>
      <c r="F7971" s="9"/>
    </row>
    <row r="7972" ht="33.75" customHeight="1">
      <c r="A7972" s="7">
        <v>302.0</v>
      </c>
      <c r="B7972" s="9" t="s">
        <v>14386</v>
      </c>
      <c r="C7972" s="9" t="s">
        <v>11586</v>
      </c>
      <c r="D7972" s="9" t="s">
        <v>109</v>
      </c>
      <c r="E7972" s="6" t="s">
        <v>14395</v>
      </c>
      <c r="F7972" s="9"/>
    </row>
    <row r="7973" ht="33.75" customHeight="1">
      <c r="A7973" s="7">
        <v>302.0</v>
      </c>
      <c r="B7973" s="9" t="s">
        <v>14386</v>
      </c>
      <c r="C7973" s="9" t="s">
        <v>11586</v>
      </c>
      <c r="D7973" s="9" t="s">
        <v>637</v>
      </c>
      <c r="E7973" s="6" t="s">
        <v>14396</v>
      </c>
      <c r="F7973" s="9"/>
    </row>
    <row r="7974" ht="33.75" customHeight="1">
      <c r="A7974" s="7">
        <v>302.0</v>
      </c>
      <c r="B7974" s="9" t="s">
        <v>14386</v>
      </c>
      <c r="C7974" s="9" t="s">
        <v>11586</v>
      </c>
      <c r="D7974" s="9" t="s">
        <v>642</v>
      </c>
      <c r="E7974" s="6" t="s">
        <v>14397</v>
      </c>
      <c r="F7974" s="9"/>
    </row>
    <row r="7975" ht="33.75" customHeight="1">
      <c r="A7975" s="7">
        <v>302.0</v>
      </c>
      <c r="B7975" s="9" t="s">
        <v>14386</v>
      </c>
      <c r="C7975" s="9" t="s">
        <v>11586</v>
      </c>
      <c r="D7975" s="9" t="s">
        <v>647</v>
      </c>
      <c r="E7975" s="6" t="s">
        <v>14398</v>
      </c>
      <c r="F7975" s="9"/>
    </row>
    <row r="7976" ht="33.75" customHeight="1">
      <c r="A7976" s="7">
        <v>302.0</v>
      </c>
      <c r="B7976" s="9" t="s">
        <v>14386</v>
      </c>
      <c r="C7976" s="9" t="s">
        <v>11586</v>
      </c>
      <c r="D7976" s="9" t="s">
        <v>652</v>
      </c>
      <c r="E7976" s="6" t="s">
        <v>14399</v>
      </c>
      <c r="F7976" s="9"/>
    </row>
    <row r="7977" ht="33.75" customHeight="1">
      <c r="A7977" s="7">
        <v>302.0</v>
      </c>
      <c r="B7977" s="9" t="s">
        <v>14386</v>
      </c>
      <c r="C7977" s="9" t="s">
        <v>11586</v>
      </c>
      <c r="D7977" s="9" t="s">
        <v>114</v>
      </c>
      <c r="E7977" s="6" t="s">
        <v>14397</v>
      </c>
      <c r="F7977" s="9"/>
    </row>
    <row r="7978" ht="33.75" customHeight="1">
      <c r="A7978" s="7">
        <v>302.0</v>
      </c>
      <c r="B7978" s="9" t="s">
        <v>14386</v>
      </c>
      <c r="C7978" s="9" t="s">
        <v>11586</v>
      </c>
      <c r="D7978" s="9" t="s">
        <v>117</v>
      </c>
      <c r="E7978" s="6" t="s">
        <v>14391</v>
      </c>
      <c r="F7978" s="9"/>
    </row>
    <row r="7979" ht="33.75" customHeight="1">
      <c r="A7979" s="7">
        <v>303.0</v>
      </c>
      <c r="B7979" s="9" t="s">
        <v>14400</v>
      </c>
      <c r="C7979" s="9" t="s">
        <v>14401</v>
      </c>
      <c r="D7979" s="9" t="s">
        <v>67</v>
      </c>
      <c r="E7979" s="6" t="s">
        <v>14402</v>
      </c>
      <c r="F7979" t="inlineStr" s="10">
        <is>
          <t xml:space="preserve">MAWHILEn valtavat leuat ovat itse asiassa muuntuneita terässarvia. Sen säyseä ilme tuudittaa vihollisen hellittämään vartijansa. Kun vihollinen sitä vähiten odottaa, MAWHILE jyrää sitä ammottavilla leuoillaan. Älä anna tämän POKéMONin suloisen naaman hämätä sinua – se on erittäin vaarallinen. MAWILE huijaa vihollisen hellittämään vartiotaan ja sitten jyskyttää häntä massiivisilla leuoillaan. Teräksiset leuat ovat oikeasti muuntuneita sarvia. Sen jättimäiset leuat ovat itse asiassa terässarvia, jotka muuttuivat. Se huijaa viholliset tyytyväisyyteen ihastuttavilla eleillään ja sitten jyrää heitä valtavilla leuoillaan. Se käyttää säyseän näköistä naamaansa tuudittaakseen viholliset tyytyväisyyteen ja puree sitten valtavilla, armottomilla leuoillaan. Sen päähän on kiinnitetty valtava sarvien muodostama leukojen sarja. Se voi pureskella rautapalkkien läpi. Se jyrsöi ammottavalla suullaan. Sen valtavat leuat ovat itse asiassa muuttuneita terässarvia. Mawilen valtavat leuat ovat itse asiassa muuttuneita terässarvia. Kun vihollinen sitä vähiten odottaa, Mawile jyrää sitä ammottavilla leuoillaan. Tämä ovela ja pelottava Pokémon on söpöytensä ansiosta pettänyt vastustajat – ja lopulta se nielee heidät kokonaisina valtavilla leuoillaan. Sillä on kaksi suuta. Sen pään takaosassa olevat suuret leuat eivät maista mitään, joten se syö sitä suuta ruokia, joista se ei pidä.</t>
        </is>
      </c>
    </row>
    <row r="7980" ht="33.75" customHeight="1">
      <c r="A7980" s="7">
        <v>303.0</v>
      </c>
      <c r="B7980" s="9" t="s">
        <v>14400</v>
      </c>
      <c r="C7980" s="9" t="s">
        <v>14401</v>
      </c>
      <c r="D7980" s="9" t="s">
        <v>71</v>
      </c>
      <c r="E7980" s="6" t="s">
        <v>14403</v>
      </c>
      <c r="F7980" s="9"/>
    </row>
    <row r="7981" ht="33.75" customHeight="1">
      <c r="A7981" s="7">
        <v>303.0</v>
      </c>
      <c r="B7981" s="9" t="s">
        <v>14400</v>
      </c>
      <c r="C7981" s="9" t="s">
        <v>14401</v>
      </c>
      <c r="D7981" s="9" t="s">
        <v>73</v>
      </c>
      <c r="E7981" s="6" t="s">
        <v>14404</v>
      </c>
      <c r="F7981" s="9"/>
    </row>
    <row r="7982" ht="33.75" customHeight="1">
      <c r="A7982" s="7">
        <v>303.0</v>
      </c>
      <c r="B7982" s="9" t="s">
        <v>14400</v>
      </c>
      <c r="C7982" s="9" t="s">
        <v>14401</v>
      </c>
      <c r="D7982" s="9" t="s">
        <v>75</v>
      </c>
      <c r="E7982" s="6" t="s">
        <v>14405</v>
      </c>
      <c r="F7982" s="9"/>
    </row>
    <row r="7983" ht="33.75" customHeight="1">
      <c r="A7983" s="7">
        <v>303.0</v>
      </c>
      <c r="B7983" s="9" t="s">
        <v>14400</v>
      </c>
      <c r="C7983" s="9" t="s">
        <v>14401</v>
      </c>
      <c r="D7983" s="9" t="s">
        <v>79</v>
      </c>
      <c r="E7983" s="6" t="s">
        <v>14405</v>
      </c>
      <c r="F7983" s="9"/>
    </row>
    <row r="7984" ht="33.75" customHeight="1">
      <c r="A7984" s="7">
        <v>303.0</v>
      </c>
      <c r="B7984" s="9" t="s">
        <v>14400</v>
      </c>
      <c r="C7984" s="9" t="s">
        <v>14401</v>
      </c>
      <c r="D7984" s="9" t="s">
        <v>81</v>
      </c>
      <c r="E7984" s="6" t="s">
        <v>14406</v>
      </c>
      <c r="F7984" s="9"/>
    </row>
    <row r="7985" ht="33.75" customHeight="1">
      <c r="A7985" s="7">
        <v>303.0</v>
      </c>
      <c r="B7985" s="9" t="s">
        <v>14400</v>
      </c>
      <c r="C7985" s="9" t="s">
        <v>14401</v>
      </c>
      <c r="D7985" s="9" t="s">
        <v>84</v>
      </c>
      <c r="E7985" s="6" t="s">
        <v>14406</v>
      </c>
      <c r="F7985" s="9"/>
    </row>
    <row r="7986" ht="33.75" customHeight="1">
      <c r="A7986" s="7">
        <v>303.0</v>
      </c>
      <c r="B7986" s="9" t="s">
        <v>14400</v>
      </c>
      <c r="C7986" s="9" t="s">
        <v>14401</v>
      </c>
      <c r="D7986" s="9" t="s">
        <v>87</v>
      </c>
      <c r="E7986" s="6" t="s">
        <v>14406</v>
      </c>
      <c r="F7986" s="9"/>
    </row>
    <row r="7987" ht="33.75" customHeight="1">
      <c r="A7987" s="7">
        <v>303.0</v>
      </c>
      <c r="B7987" s="9" t="s">
        <v>14400</v>
      </c>
      <c r="C7987" s="9" t="s">
        <v>14401</v>
      </c>
      <c r="D7987" s="9" t="s">
        <v>89</v>
      </c>
      <c r="E7987" s="6" t="s">
        <v>14407</v>
      </c>
      <c r="F7987" s="9"/>
    </row>
    <row r="7988" ht="33.75" customHeight="1">
      <c r="A7988" s="7">
        <v>303.0</v>
      </c>
      <c r="B7988" s="9" t="s">
        <v>14400</v>
      </c>
      <c r="C7988" s="9" t="s">
        <v>14401</v>
      </c>
      <c r="D7988" s="9" t="s">
        <v>91</v>
      </c>
      <c r="E7988" s="6" t="s">
        <v>14407</v>
      </c>
      <c r="F7988" s="9"/>
    </row>
    <row r="7989" ht="33.75" customHeight="1">
      <c r="A7989" s="7">
        <v>303.0</v>
      </c>
      <c r="B7989" s="9" t="s">
        <v>14400</v>
      </c>
      <c r="C7989" s="9" t="s">
        <v>14401</v>
      </c>
      <c r="D7989" s="9" t="s">
        <v>93</v>
      </c>
      <c r="E7989" s="6" t="s">
        <v>14406</v>
      </c>
      <c r="F7989" s="9"/>
    </row>
    <row r="7990" ht="33.75" customHeight="1">
      <c r="A7990" s="7">
        <v>303.0</v>
      </c>
      <c r="B7990" s="9" t="s">
        <v>14400</v>
      </c>
      <c r="C7990" s="9" t="s">
        <v>14401</v>
      </c>
      <c r="D7990" s="9" t="s">
        <v>95</v>
      </c>
      <c r="E7990" s="6" t="s">
        <v>14406</v>
      </c>
      <c r="F7990" s="9"/>
    </row>
    <row r="7991" ht="33.75" customHeight="1">
      <c r="A7991" s="7">
        <v>303.0</v>
      </c>
      <c r="B7991" s="9" t="s">
        <v>14400</v>
      </c>
      <c r="C7991" s="9" t="s">
        <v>14401</v>
      </c>
      <c r="D7991" s="9" t="s">
        <v>98</v>
      </c>
      <c r="E7991" s="6" t="s">
        <v>14406</v>
      </c>
      <c r="F7991" s="9"/>
    </row>
    <row r="7992" ht="33.75" customHeight="1">
      <c r="A7992" s="7">
        <v>303.0</v>
      </c>
      <c r="B7992" s="9" t="s">
        <v>14400</v>
      </c>
      <c r="C7992" s="9" t="s">
        <v>14401</v>
      </c>
      <c r="D7992" s="9" t="s">
        <v>99</v>
      </c>
      <c r="E7992" s="6" t="s">
        <v>14406</v>
      </c>
      <c r="F7992" s="9"/>
    </row>
    <row r="7993" ht="33.75" customHeight="1">
      <c r="A7993" s="7">
        <v>303.0</v>
      </c>
      <c r="B7993" s="9" t="s">
        <v>14400</v>
      </c>
      <c r="C7993" s="9" t="s">
        <v>14401</v>
      </c>
      <c r="D7993" s="9" t="s">
        <v>101</v>
      </c>
      <c r="E7993" s="6" t="s">
        <v>14405</v>
      </c>
      <c r="F7993" s="9"/>
    </row>
    <row r="7994" ht="33.75" customHeight="1">
      <c r="A7994" s="7">
        <v>303.0</v>
      </c>
      <c r="B7994" s="9" t="s">
        <v>14400</v>
      </c>
      <c r="C7994" s="9" t="s">
        <v>14401</v>
      </c>
      <c r="D7994" s="9" t="s">
        <v>105</v>
      </c>
      <c r="E7994" s="6" t="s">
        <v>14406</v>
      </c>
      <c r="F7994" s="9"/>
    </row>
    <row r="7995" ht="33.75" customHeight="1">
      <c r="A7995" s="7">
        <v>303.0</v>
      </c>
      <c r="B7995" s="9" t="s">
        <v>14400</v>
      </c>
      <c r="C7995" s="9" t="s">
        <v>14401</v>
      </c>
      <c r="D7995" s="9" t="s">
        <v>107</v>
      </c>
      <c r="E7995" s="6" t="s">
        <v>14408</v>
      </c>
      <c r="F7995" s="9"/>
    </row>
    <row r="7996" ht="33.75" customHeight="1">
      <c r="A7996" s="7">
        <v>303.0</v>
      </c>
      <c r="B7996" s="9" t="s">
        <v>14400</v>
      </c>
      <c r="C7996" s="9" t="s">
        <v>14401</v>
      </c>
      <c r="D7996" s="9" t="s">
        <v>109</v>
      </c>
      <c r="E7996" s="6" t="s">
        <v>14409</v>
      </c>
      <c r="F7996" s="9"/>
    </row>
    <row r="7997" ht="33.75" customHeight="1">
      <c r="A7997" s="7">
        <v>303.0</v>
      </c>
      <c r="B7997" s="9" t="s">
        <v>14400</v>
      </c>
      <c r="C7997" s="9" t="s">
        <v>14401</v>
      </c>
      <c r="D7997" s="9" t="s">
        <v>647</v>
      </c>
      <c r="E7997" s="6" t="s">
        <v>14410</v>
      </c>
      <c r="F7997" s="9"/>
    </row>
    <row r="7998" ht="33.75" customHeight="1">
      <c r="A7998" s="7">
        <v>303.0</v>
      </c>
      <c r="B7998" s="9" t="s">
        <v>14400</v>
      </c>
      <c r="C7998" s="9" t="s">
        <v>14401</v>
      </c>
      <c r="D7998" s="9" t="s">
        <v>652</v>
      </c>
      <c r="E7998" s="6" t="s">
        <v>14411</v>
      </c>
      <c r="F7998" s="9"/>
    </row>
    <row r="7999" ht="33.75" customHeight="1">
      <c r="A7999" s="7">
        <v>303.0</v>
      </c>
      <c r="B7999" s="9" t="s">
        <v>14400</v>
      </c>
      <c r="C7999" s="9" t="s">
        <v>14401</v>
      </c>
      <c r="D7999" s="9" t="s">
        <v>114</v>
      </c>
      <c r="E7999" s="6" t="s">
        <v>14405</v>
      </c>
      <c r="F7999" s="9"/>
    </row>
    <row r="8000" ht="33.75" customHeight="1">
      <c r="A8000" s="7">
        <v>303.0</v>
      </c>
      <c r="B8000" s="9" t="s">
        <v>14400</v>
      </c>
      <c r="C8000" s="9" t="s">
        <v>14401</v>
      </c>
      <c r="D8000" s="9" t="s">
        <v>117</v>
      </c>
      <c r="E8000" s="6" t="s">
        <v>14407</v>
      </c>
      <c r="F8000" s="9"/>
    </row>
    <row r="8001" ht="33.75" customHeight="1">
      <c r="A8001" s="7">
        <v>304.0</v>
      </c>
      <c r="B8001" s="9" t="s">
        <v>14413</v>
      </c>
      <c r="C8001" s="9" t="s">
        <v>14414</v>
      </c>
      <c r="D8001" s="9" t="s">
        <v>67</v>
      </c>
      <c r="E8001" s="6" t="s">
        <v>14415</v>
      </c>
      <c r="F8001" t="inlineStr" s="10">
        <is>
          <t xml:space="preserve">Tämän POKéMONin ruumis on terästä. ARON käyttää ruumiinsa valmistuksessa vuorista kaivamaansa rautamalmia. Toisinaan se aiheuttaa suuria ongelmia syömällä siltoja ja kiskoja. ARONin runko on terästä. Yhdellä täysillä latauksilla tämä POKéMON voi tuhota jopa raskaan kippiauton. Tuhoutuneesta kippiautosta tulee sitten kätevä ateria POKéMONille. Teräspanssariin puettu POKéMON. Uusi haarniska luodaan sen kehittyessä. Vanha, hylätty haarniska kierrätetään metallina rautatuotteiden valmistamiseksi. Se syö rautaa rakentaakseen teräsrunkonsa. Se on tuholainen, joka laskeutuu vuorilta syömään siltoja ja rautatiekiskoja. Se elää yleensä syvällä vuoristossa. Nälkä voi kuitenkin ajaa sen syömään rautatiekiskoja ja autoja. Kehittyessään se luopuu koko ruumiinsa peittäneestä teräskilvestä ja kehittää uuden. Teräsrunkonsa vahvistamiseksi se syö rautamalmia. Tämä ärsyttävä Pokémon tunnetaan rautatiekiskojen syömisestä. Ruumiinsa Aron syö vuorista kaivamaansa rautamalmia. Aronilla on teräsrunko. Yhdellä täysillä rynnäköllä tämä Pokémon voi tuhota jopa raskaan kippiauton. Tuhotusta kippiautosta tulee sitten kätevä ateria Pokémonille. Se syö rautamalmia – ja joskus rautatiekiskoja – rakentaakseen teräspanssarin, joka suojaa sen kehoa. Kun Aron kehittyy, sen teräspanssari irtoaa. Muinaisina aikoina ihmiset keräsivät Aronin riisuman haarniskan ja käyttivät sitä hyväkseen jokapäiväisessä elämässään.</t>
        </is>
      </c>
    </row>
    <row r="8002" ht="33.75" customHeight="1">
      <c r="A8002" s="7">
        <v>304.0</v>
      </c>
      <c r="B8002" s="9" t="s">
        <v>14413</v>
      </c>
      <c r="C8002" s="9" t="s">
        <v>14414</v>
      </c>
      <c r="D8002" s="9" t="s">
        <v>71</v>
      </c>
      <c r="E8002" s="6" t="s">
        <v>14416</v>
      </c>
      <c r="F8002" s="9"/>
    </row>
    <row r="8003" ht="33.75" customHeight="1">
      <c r="A8003" s="7">
        <v>304.0</v>
      </c>
      <c r="B8003" s="9" t="s">
        <v>14413</v>
      </c>
      <c r="C8003" s="9" t="s">
        <v>14414</v>
      </c>
      <c r="D8003" s="9" t="s">
        <v>73</v>
      </c>
      <c r="E8003" s="6" t="s">
        <v>14417</v>
      </c>
      <c r="F8003" s="9"/>
    </row>
    <row r="8004" ht="33.75" customHeight="1">
      <c r="A8004" s="7">
        <v>304.0</v>
      </c>
      <c r="B8004" s="9" t="s">
        <v>14413</v>
      </c>
      <c r="C8004" s="9" t="s">
        <v>14414</v>
      </c>
      <c r="D8004" s="9" t="s">
        <v>75</v>
      </c>
      <c r="E8004" s="6" t="s">
        <v>14418</v>
      </c>
      <c r="F8004" s="9"/>
    </row>
    <row r="8005" ht="33.75" customHeight="1">
      <c r="A8005" s="7">
        <v>304.0</v>
      </c>
      <c r="B8005" s="9" t="s">
        <v>14413</v>
      </c>
      <c r="C8005" s="9" t="s">
        <v>14414</v>
      </c>
      <c r="D8005" s="9" t="s">
        <v>79</v>
      </c>
      <c r="E8005" s="6" t="s">
        <v>14418</v>
      </c>
      <c r="F8005" s="9"/>
    </row>
    <row r="8006" ht="33.75" customHeight="1">
      <c r="A8006" s="7">
        <v>304.0</v>
      </c>
      <c r="B8006" s="9" t="s">
        <v>14413</v>
      </c>
      <c r="C8006" s="9" t="s">
        <v>14414</v>
      </c>
      <c r="D8006" s="9" t="s">
        <v>81</v>
      </c>
      <c r="E8006" s="6" t="s">
        <v>14419</v>
      </c>
      <c r="F8006" s="9"/>
    </row>
    <row r="8007" ht="33.75" customHeight="1">
      <c r="A8007" s="7">
        <v>304.0</v>
      </c>
      <c r="B8007" s="9" t="s">
        <v>14413</v>
      </c>
      <c r="C8007" s="9" t="s">
        <v>14414</v>
      </c>
      <c r="D8007" s="9" t="s">
        <v>84</v>
      </c>
      <c r="E8007" s="6" t="s">
        <v>14419</v>
      </c>
      <c r="F8007" s="9"/>
    </row>
    <row r="8008" ht="33.75" customHeight="1">
      <c r="A8008" s="7">
        <v>304.0</v>
      </c>
      <c r="B8008" s="9" t="s">
        <v>14413</v>
      </c>
      <c r="C8008" s="9" t="s">
        <v>14414</v>
      </c>
      <c r="D8008" s="9" t="s">
        <v>87</v>
      </c>
      <c r="E8008" s="6" t="s">
        <v>14419</v>
      </c>
      <c r="F8008" s="9"/>
    </row>
    <row r="8009" ht="33.75" customHeight="1">
      <c r="A8009" s="7">
        <v>304.0</v>
      </c>
      <c r="B8009" s="9" t="s">
        <v>14413</v>
      </c>
      <c r="C8009" s="9" t="s">
        <v>14414</v>
      </c>
      <c r="D8009" s="9" t="s">
        <v>89</v>
      </c>
      <c r="E8009" s="6" t="s">
        <v>14420</v>
      </c>
      <c r="F8009" s="9"/>
    </row>
    <row r="8010" ht="33.75" customHeight="1">
      <c r="A8010" s="7">
        <v>304.0</v>
      </c>
      <c r="B8010" s="9" t="s">
        <v>14413</v>
      </c>
      <c r="C8010" s="9" t="s">
        <v>14414</v>
      </c>
      <c r="D8010" s="9" t="s">
        <v>91</v>
      </c>
      <c r="E8010" s="6" t="s">
        <v>14420</v>
      </c>
      <c r="F8010" s="9"/>
    </row>
    <row r="8011" ht="33.75" customHeight="1">
      <c r="A8011" s="7">
        <v>304.0</v>
      </c>
      <c r="B8011" s="9" t="s">
        <v>14413</v>
      </c>
      <c r="C8011" s="9" t="s">
        <v>14414</v>
      </c>
      <c r="D8011" s="9" t="s">
        <v>93</v>
      </c>
      <c r="E8011" s="6" t="s">
        <v>14419</v>
      </c>
      <c r="F8011" s="9"/>
    </row>
    <row r="8012" ht="33.75" customHeight="1">
      <c r="A8012" s="7">
        <v>304.0</v>
      </c>
      <c r="B8012" s="9" t="s">
        <v>14413</v>
      </c>
      <c r="C8012" s="9" t="s">
        <v>14414</v>
      </c>
      <c r="D8012" s="9" t="s">
        <v>95</v>
      </c>
      <c r="E8012" s="6" t="s">
        <v>14419</v>
      </c>
      <c r="F8012" s="9"/>
    </row>
    <row r="8013" ht="33.75" customHeight="1">
      <c r="A8013" s="7">
        <v>304.0</v>
      </c>
      <c r="B8013" s="9" t="s">
        <v>14413</v>
      </c>
      <c r="C8013" s="9" t="s">
        <v>14414</v>
      </c>
      <c r="D8013" s="9" t="s">
        <v>98</v>
      </c>
      <c r="E8013" s="6" t="s">
        <v>14421</v>
      </c>
      <c r="F8013" s="9"/>
    </row>
    <row r="8014" ht="33.75" customHeight="1">
      <c r="A8014" s="7">
        <v>304.0</v>
      </c>
      <c r="B8014" s="9" t="s">
        <v>14413</v>
      </c>
      <c r="C8014" s="9" t="s">
        <v>14414</v>
      </c>
      <c r="D8014" s="9" t="s">
        <v>99</v>
      </c>
      <c r="E8014" s="6" t="s">
        <v>14421</v>
      </c>
      <c r="F8014" s="9"/>
    </row>
    <row r="8015" ht="33.75" customHeight="1">
      <c r="A8015" s="7">
        <v>304.0</v>
      </c>
      <c r="B8015" s="9" t="s">
        <v>14413</v>
      </c>
      <c r="C8015" s="9" t="s">
        <v>14414</v>
      </c>
      <c r="D8015" s="9" t="s">
        <v>101</v>
      </c>
      <c r="E8015" s="6" t="s">
        <v>14419</v>
      </c>
      <c r="F8015" s="9"/>
    </row>
    <row r="8016" ht="33.75" customHeight="1">
      <c r="A8016" s="7">
        <v>304.0</v>
      </c>
      <c r="B8016" s="9" t="s">
        <v>14413</v>
      </c>
      <c r="C8016" s="9" t="s">
        <v>14414</v>
      </c>
      <c r="D8016" s="9" t="s">
        <v>105</v>
      </c>
      <c r="E8016" s="6" t="s">
        <v>14420</v>
      </c>
      <c r="F8016" s="9"/>
    </row>
    <row r="8017" ht="33.75" customHeight="1">
      <c r="A8017" s="7">
        <v>304.0</v>
      </c>
      <c r="B8017" s="9" t="s">
        <v>14413</v>
      </c>
      <c r="C8017" s="9" t="s">
        <v>14414</v>
      </c>
      <c r="D8017" s="9" t="s">
        <v>107</v>
      </c>
      <c r="E8017" s="6" t="s">
        <v>14422</v>
      </c>
      <c r="F8017" s="9"/>
    </row>
    <row r="8018" ht="33.75" customHeight="1">
      <c r="A8018" s="7">
        <v>304.0</v>
      </c>
      <c r="B8018" s="9" t="s">
        <v>14413</v>
      </c>
      <c r="C8018" s="9" t="s">
        <v>14414</v>
      </c>
      <c r="D8018" s="9" t="s">
        <v>109</v>
      </c>
      <c r="E8018" s="6" t="s">
        <v>14423</v>
      </c>
      <c r="F8018" s="9"/>
    </row>
    <row r="8019" ht="33.75" customHeight="1">
      <c r="A8019" s="7">
        <v>304.0</v>
      </c>
      <c r="B8019" s="9" t="s">
        <v>14413</v>
      </c>
      <c r="C8019" s="9" t="s">
        <v>14414</v>
      </c>
      <c r="D8019" s="9" t="s">
        <v>114</v>
      </c>
      <c r="E8019" s="6" t="s">
        <v>14424</v>
      </c>
      <c r="F8019" s="9"/>
    </row>
    <row r="8020" ht="33.75" customHeight="1">
      <c r="A8020" s="7">
        <v>304.0</v>
      </c>
      <c r="B8020" s="9" t="s">
        <v>14413</v>
      </c>
      <c r="C8020" s="9" t="s">
        <v>14414</v>
      </c>
      <c r="D8020" s="9" t="s">
        <v>117</v>
      </c>
      <c r="E8020" s="6" t="s">
        <v>14425</v>
      </c>
      <c r="F8020" s="9"/>
    </row>
    <row r="8021" ht="33.75" customHeight="1">
      <c r="A8021" s="7">
        <v>305.0</v>
      </c>
      <c r="B8021" s="9" t="s">
        <v>14426</v>
      </c>
      <c r="C8021" s="9" t="s">
        <v>14414</v>
      </c>
      <c r="D8021" s="9" t="s">
        <v>67</v>
      </c>
      <c r="E8021" s="6" t="s">
        <v>14427</v>
      </c>
      <c r="F8021" t="inlineStr" s="10">
        <is>
          <t xml:space="preserve">LAIRON karaisee teräskehoaan juomalla erittäin ravitsevaa mineraalilähdevettä, kunnes se turvottaa. Tämä POKéMON tekee pesänsä lähelle herkullisen veden lähteitä. LAIRON syö kivissä ja vedessä olevaa rautaa. Se pesii vuorille, joille on haudattu rautamalmia. Tämän seurauksena POKéMONit ottavat usein yhteen rautamalmia louhivien ihmisten kanssa. Kun kaksi LAIRONIA kohtaavat luonnossa, ne taistelevat reviiristä törmäämällä toisiinsa teräsvartaloillaan. Törmäyksen ääni kantautuu kilometrien päähän. Se tavallisesti esittelee voimaansa kipinöiden koolla, jonka se luo törmäämällä teräsrunkollaan lohkareisiin. Se kaivaa rautamalmia saadakseen ruokaa. Se murskaa teräsrunkoista ruumistaan ​​muita vastaan ​​taistellakseen alueesta. Se rakastaa rautamalmia. Ne taistelevat laumoittain alueesta hakkaamalla toisiaan teräsruumiillaan. Laironit taistelevat alueesta, ja kun heidän teräsruumiinsa törmäävät toisiinsa, kipinät sinkoilevat. Lairon karaisee teräksistä kehoaan juomalla erittäin ravitsevaa mineraalilähdevettä, kunnes se turvottaa itseään. Se tekee pesänsä vuorille, joille on haudattu rautamalmia. Tämän seurauksena Pokémonit usein törmäävät rautamalmia louhivien ihmisten kanssa. Laironit elävät lähdeveden ja rautamalmin pursuamissa vuorissa, joten nämä Pokémonit ovat usein joutuneet konfliktiin ihmisten kanssa menneisyydessä. Aluekiistojen aikana Laironit taistelevat törmäämällä toisiinsa. Heidän teräshaarniskansa tarkka tarkastelu paljastaa naarmuja ja kolhuja.</t>
        </is>
      </c>
    </row>
    <row r="8022" ht="33.75" customHeight="1">
      <c r="A8022" s="7">
        <v>305.0</v>
      </c>
      <c r="B8022" s="9" t="s">
        <v>14426</v>
      </c>
      <c r="C8022" s="9" t="s">
        <v>14414</v>
      </c>
      <c r="D8022" s="9" t="s">
        <v>71</v>
      </c>
      <c r="E8022" s="6" t="s">
        <v>14428</v>
      </c>
      <c r="F8022" s="9"/>
    </row>
    <row r="8023" ht="33.75" customHeight="1">
      <c r="A8023" s="7">
        <v>305.0</v>
      </c>
      <c r="B8023" s="9" t="s">
        <v>14426</v>
      </c>
      <c r="C8023" s="9" t="s">
        <v>14414</v>
      </c>
      <c r="D8023" s="9" t="s">
        <v>73</v>
      </c>
      <c r="E8023" s="6" t="s">
        <v>14429</v>
      </c>
      <c r="F8023" s="9"/>
    </row>
    <row r="8024" ht="33.75" customHeight="1">
      <c r="A8024" s="7">
        <v>305.0</v>
      </c>
      <c r="B8024" s="9" t="s">
        <v>14426</v>
      </c>
      <c r="C8024" s="9" t="s">
        <v>14414</v>
      </c>
      <c r="D8024" s="9" t="s">
        <v>75</v>
      </c>
      <c r="E8024" s="6" t="s">
        <v>14430</v>
      </c>
      <c r="F8024" s="9"/>
    </row>
    <row r="8025" ht="33.75" customHeight="1">
      <c r="A8025" s="7">
        <v>305.0</v>
      </c>
      <c r="B8025" s="9" t="s">
        <v>14426</v>
      </c>
      <c r="C8025" s="9" t="s">
        <v>14414</v>
      </c>
      <c r="D8025" s="9" t="s">
        <v>79</v>
      </c>
      <c r="E8025" s="6" t="s">
        <v>14430</v>
      </c>
      <c r="F8025" s="9"/>
    </row>
    <row r="8026" ht="33.75" customHeight="1">
      <c r="A8026" s="7">
        <v>305.0</v>
      </c>
      <c r="B8026" s="9" t="s">
        <v>14426</v>
      </c>
      <c r="C8026" s="9" t="s">
        <v>14414</v>
      </c>
      <c r="D8026" s="9" t="s">
        <v>81</v>
      </c>
      <c r="E8026" s="6" t="s">
        <v>14431</v>
      </c>
      <c r="F8026" s="9"/>
    </row>
    <row r="8027" ht="33.75" customHeight="1">
      <c r="A8027" s="7">
        <v>305.0</v>
      </c>
      <c r="B8027" s="9" t="s">
        <v>14426</v>
      </c>
      <c r="C8027" s="9" t="s">
        <v>14414</v>
      </c>
      <c r="D8027" s="9" t="s">
        <v>84</v>
      </c>
      <c r="E8027" s="6" t="s">
        <v>14431</v>
      </c>
      <c r="F8027" s="9"/>
    </row>
    <row r="8028" ht="33.75" customHeight="1">
      <c r="A8028" s="7">
        <v>305.0</v>
      </c>
      <c r="B8028" s="9" t="s">
        <v>14426</v>
      </c>
      <c r="C8028" s="9" t="s">
        <v>14414</v>
      </c>
      <c r="D8028" s="9" t="s">
        <v>87</v>
      </c>
      <c r="E8028" s="6" t="s">
        <v>14431</v>
      </c>
      <c r="F8028" s="9"/>
    </row>
    <row r="8029" ht="33.75" customHeight="1">
      <c r="A8029" s="7">
        <v>305.0</v>
      </c>
      <c r="B8029" s="9" t="s">
        <v>14426</v>
      </c>
      <c r="C8029" s="9" t="s">
        <v>14414</v>
      </c>
      <c r="D8029" s="9" t="s">
        <v>89</v>
      </c>
      <c r="E8029" s="6" t="s">
        <v>14433</v>
      </c>
      <c r="F8029" s="9"/>
    </row>
    <row r="8030" ht="33.75" customHeight="1">
      <c r="A8030" s="7">
        <v>305.0</v>
      </c>
      <c r="B8030" s="9" t="s">
        <v>14426</v>
      </c>
      <c r="C8030" s="9" t="s">
        <v>14414</v>
      </c>
      <c r="D8030" s="9" t="s">
        <v>91</v>
      </c>
      <c r="E8030" s="6" t="s">
        <v>14433</v>
      </c>
      <c r="F8030" s="9"/>
    </row>
    <row r="8031" ht="33.75" customHeight="1">
      <c r="A8031" s="7">
        <v>305.0</v>
      </c>
      <c r="B8031" s="9" t="s">
        <v>14426</v>
      </c>
      <c r="C8031" s="9" t="s">
        <v>14414</v>
      </c>
      <c r="D8031" s="9" t="s">
        <v>93</v>
      </c>
      <c r="E8031" s="6" t="s">
        <v>14431</v>
      </c>
      <c r="F8031" s="9"/>
    </row>
    <row r="8032" ht="33.75" customHeight="1">
      <c r="A8032" s="7">
        <v>305.0</v>
      </c>
      <c r="B8032" s="9" t="s">
        <v>14426</v>
      </c>
      <c r="C8032" s="9" t="s">
        <v>14414</v>
      </c>
      <c r="D8032" s="9" t="s">
        <v>95</v>
      </c>
      <c r="E8032" s="6" t="s">
        <v>14431</v>
      </c>
      <c r="F8032" s="9"/>
    </row>
    <row r="8033" ht="33.75" customHeight="1">
      <c r="A8033" s="7">
        <v>305.0</v>
      </c>
      <c r="B8033" s="9" t="s">
        <v>14426</v>
      </c>
      <c r="C8033" s="9" t="s">
        <v>14414</v>
      </c>
      <c r="D8033" s="9" t="s">
        <v>98</v>
      </c>
      <c r="E8033" s="6" t="s">
        <v>14434</v>
      </c>
      <c r="F8033" s="9"/>
    </row>
    <row r="8034" ht="33.75" customHeight="1">
      <c r="A8034" s="7">
        <v>305.0</v>
      </c>
      <c r="B8034" s="9" t="s">
        <v>14426</v>
      </c>
      <c r="C8034" s="9" t="s">
        <v>14414</v>
      </c>
      <c r="D8034" s="9" t="s">
        <v>99</v>
      </c>
      <c r="E8034" s="6" t="s">
        <v>14434</v>
      </c>
      <c r="F8034" s="9"/>
    </row>
    <row r="8035" ht="33.75" customHeight="1">
      <c r="A8035" s="7">
        <v>305.0</v>
      </c>
      <c r="B8035" s="9" t="s">
        <v>14426</v>
      </c>
      <c r="C8035" s="9" t="s">
        <v>14414</v>
      </c>
      <c r="D8035" s="9" t="s">
        <v>101</v>
      </c>
      <c r="E8035" s="6" t="s">
        <v>14433</v>
      </c>
      <c r="F8035" s="9"/>
    </row>
    <row r="8036" ht="33.75" customHeight="1">
      <c r="A8036" s="7">
        <v>305.0</v>
      </c>
      <c r="B8036" s="9" t="s">
        <v>14426</v>
      </c>
      <c r="C8036" s="9" t="s">
        <v>14414</v>
      </c>
      <c r="D8036" s="9" t="s">
        <v>105</v>
      </c>
      <c r="E8036" s="6" t="s">
        <v>14430</v>
      </c>
      <c r="F8036" s="9"/>
    </row>
    <row r="8037" ht="33.75" customHeight="1">
      <c r="A8037" s="7">
        <v>305.0</v>
      </c>
      <c r="B8037" s="9" t="s">
        <v>14426</v>
      </c>
      <c r="C8037" s="9" t="s">
        <v>14414</v>
      </c>
      <c r="D8037" s="9" t="s">
        <v>107</v>
      </c>
      <c r="E8037" s="6" t="s">
        <v>14435</v>
      </c>
      <c r="F8037" s="9"/>
    </row>
    <row r="8038" ht="33.75" customHeight="1">
      <c r="A8038" s="7">
        <v>305.0</v>
      </c>
      <c r="B8038" s="9" t="s">
        <v>14426</v>
      </c>
      <c r="C8038" s="9" t="s">
        <v>14414</v>
      </c>
      <c r="D8038" s="9" t="s">
        <v>109</v>
      </c>
      <c r="E8038" s="6" t="s">
        <v>14436</v>
      </c>
      <c r="F8038" s="9"/>
    </row>
    <row r="8039" ht="33.75" customHeight="1">
      <c r="A8039" s="7">
        <v>305.0</v>
      </c>
      <c r="B8039" s="9" t="s">
        <v>14426</v>
      </c>
      <c r="C8039" s="9" t="s">
        <v>14414</v>
      </c>
      <c r="D8039" s="9" t="s">
        <v>114</v>
      </c>
      <c r="E8039" s="6" t="s">
        <v>14437</v>
      </c>
      <c r="F8039" s="9"/>
    </row>
    <row r="8040" ht="33.75" customHeight="1">
      <c r="A8040" s="7">
        <v>305.0</v>
      </c>
      <c r="B8040" s="9" t="s">
        <v>14426</v>
      </c>
      <c r="C8040" s="9" t="s">
        <v>14414</v>
      </c>
      <c r="D8040" s="9" t="s">
        <v>117</v>
      </c>
      <c r="E8040" s="6" t="s">
        <v>14438</v>
      </c>
      <c r="F8040" s="9"/>
    </row>
    <row r="8041" ht="33.75" customHeight="1">
      <c r="A8041" s="7">
        <v>306.0</v>
      </c>
      <c r="B8041" s="9" t="s">
        <v>14439</v>
      </c>
      <c r="C8041" s="9" t="s">
        <v>14414</v>
      </c>
      <c r="D8041" s="9" t="s">
        <v>67</v>
      </c>
      <c r="E8041" s="6" t="s">
        <v>14440</v>
      </c>
      <c r="F8041" t="inlineStr" s="10">
        <is>
          <t xml:space="preserve">AGGRON pitää kokonaista vuorta omana alueenaan. Se hakkaa armottomasti kaiken, mikä häiritsee sen ympäristöä. Tämä POKéMON partioi valppaasti aluettaan jatkuvasti. AGGRON on yllättävän suojelevainen ympäristöään kohtaan. Jos sen vuori joutuu maanvyörymän tai tulipalon runtelemaksi, tämä POKéMON kuljettaa pintamaata alueelle, istuttaa puita ja ennallistaa kauniisti oman alueensa. Sen rautasarvet pitenevät vähän kerrallaan. Niitä käytetään AGGRONin iän määrittämiseen. Sen haarniskareikiä käytetään ylpeydellä muistoina taisteluista. Se väittää suuren vuoren olevan ainoa alueensa. Se pieksee armottomasti niitä, jotka loukkaavat sen tilaa. Etsiessään rautaa ravinnokseen se kaivaa tunneleita murtautumalla kallioperän läpi terässarveillaan. Sen iän voi päätellä sen rautasarvien pituudesta. Se väittää kokonaisen vuoren olevan sen alue. Se väittää kokonaisen vuoren omakseen. Mitä enemmän sillä on haavoja, sitä enemmän se on taistellut, joten älä ota sitä kevyesti. Aggron suojelee ympäristöään. Jos sen vuori tuhoutuu maanvyörymässä tai tulipalossa, tämä Pokémon kuljettaa pintamaata alueelle, istuttaa puita ja ennallistaa kauniisti oman alueensa. Aggronilla on niin terävä sarvi, että se pystyy lävistämään paksuja rautalevyjä. Se kaataa vastustajansa törmäämällä heihin sarvi edellä. Kauan sitten eli kuningas, jonka kypärän tarkoituksena oli muistuttaa Aggronin päätä. Hän yritti kanavoida Pokémonin voimaa.</t>
        </is>
      </c>
    </row>
    <row r="8042" ht="33.75" customHeight="1">
      <c r="A8042" s="7">
        <v>306.0</v>
      </c>
      <c r="B8042" s="9" t="s">
        <v>14439</v>
      </c>
      <c r="C8042" s="9" t="s">
        <v>14414</v>
      </c>
      <c r="D8042" s="9" t="s">
        <v>71</v>
      </c>
      <c r="E8042" s="6" t="s">
        <v>14441</v>
      </c>
      <c r="F8042" s="9"/>
    </row>
    <row r="8043" ht="33.75" customHeight="1">
      <c r="A8043" s="7">
        <v>306.0</v>
      </c>
      <c r="B8043" s="9" t="s">
        <v>14439</v>
      </c>
      <c r="C8043" s="9" t="s">
        <v>14414</v>
      </c>
      <c r="D8043" s="9" t="s">
        <v>73</v>
      </c>
      <c r="E8043" s="6" t="s">
        <v>14442</v>
      </c>
      <c r="F8043" s="9"/>
    </row>
    <row r="8044" ht="33.75" customHeight="1">
      <c r="A8044" s="7">
        <v>306.0</v>
      </c>
      <c r="B8044" s="9" t="s">
        <v>14439</v>
      </c>
      <c r="C8044" s="9" t="s">
        <v>14414</v>
      </c>
      <c r="D8044" s="9" t="s">
        <v>75</v>
      </c>
      <c r="E8044" s="6" t="s">
        <v>14443</v>
      </c>
      <c r="F8044" s="9"/>
    </row>
    <row r="8045" ht="33.75" customHeight="1">
      <c r="A8045" s="7">
        <v>306.0</v>
      </c>
      <c r="B8045" s="9" t="s">
        <v>14439</v>
      </c>
      <c r="C8045" s="9" t="s">
        <v>14414</v>
      </c>
      <c r="D8045" s="9" t="s">
        <v>79</v>
      </c>
      <c r="E8045" s="6" t="s">
        <v>14443</v>
      </c>
      <c r="F8045" s="9"/>
    </row>
    <row r="8046" ht="33.75" customHeight="1">
      <c r="A8046" s="7">
        <v>306.0</v>
      </c>
      <c r="B8046" s="9" t="s">
        <v>14439</v>
      </c>
      <c r="C8046" s="9" t="s">
        <v>14414</v>
      </c>
      <c r="D8046" s="9" t="s">
        <v>81</v>
      </c>
      <c r="E8046" s="6" t="s">
        <v>14444</v>
      </c>
      <c r="F8046" s="9"/>
    </row>
    <row r="8047" ht="33.75" customHeight="1">
      <c r="A8047" s="7">
        <v>306.0</v>
      </c>
      <c r="B8047" s="9" t="s">
        <v>14439</v>
      </c>
      <c r="C8047" s="9" t="s">
        <v>14414</v>
      </c>
      <c r="D8047" s="9" t="s">
        <v>84</v>
      </c>
      <c r="E8047" s="6" t="s">
        <v>14444</v>
      </c>
      <c r="F8047" s="9"/>
    </row>
    <row r="8048" ht="33.75" customHeight="1">
      <c r="A8048" s="7">
        <v>306.0</v>
      </c>
      <c r="B8048" s="9" t="s">
        <v>14439</v>
      </c>
      <c r="C8048" s="9" t="s">
        <v>14414</v>
      </c>
      <c r="D8048" s="9" t="s">
        <v>87</v>
      </c>
      <c r="E8048" s="6" t="s">
        <v>14444</v>
      </c>
      <c r="F8048" s="9"/>
    </row>
    <row r="8049" ht="33.75" customHeight="1">
      <c r="A8049" s="7">
        <v>306.0</v>
      </c>
      <c r="B8049" s="9" t="s">
        <v>14439</v>
      </c>
      <c r="C8049" s="9" t="s">
        <v>14414</v>
      </c>
      <c r="D8049" s="9" t="s">
        <v>89</v>
      </c>
      <c r="E8049" s="6" t="s">
        <v>14445</v>
      </c>
      <c r="F8049" s="9"/>
    </row>
    <row r="8050" ht="33.75" customHeight="1">
      <c r="A8050" s="7">
        <v>306.0</v>
      </c>
      <c r="B8050" s="9" t="s">
        <v>14439</v>
      </c>
      <c r="C8050" s="9" t="s">
        <v>14414</v>
      </c>
      <c r="D8050" s="9" t="s">
        <v>91</v>
      </c>
      <c r="E8050" s="6" t="s">
        <v>14445</v>
      </c>
      <c r="F8050" s="9"/>
    </row>
    <row r="8051" ht="33.75" customHeight="1">
      <c r="A8051" s="7">
        <v>306.0</v>
      </c>
      <c r="B8051" s="9" t="s">
        <v>14439</v>
      </c>
      <c r="C8051" s="9" t="s">
        <v>14414</v>
      </c>
      <c r="D8051" s="9" t="s">
        <v>93</v>
      </c>
      <c r="E8051" s="6" t="s">
        <v>14444</v>
      </c>
      <c r="F8051" s="9"/>
    </row>
    <row r="8052" ht="33.75" customHeight="1">
      <c r="A8052" s="7">
        <v>306.0</v>
      </c>
      <c r="B8052" s="9" t="s">
        <v>14439</v>
      </c>
      <c r="C8052" s="9" t="s">
        <v>14414</v>
      </c>
      <c r="D8052" s="9" t="s">
        <v>95</v>
      </c>
      <c r="E8052" s="6" t="s">
        <v>14444</v>
      </c>
      <c r="F8052" s="9"/>
    </row>
    <row r="8053" ht="33.75" customHeight="1">
      <c r="A8053" s="7">
        <v>306.0</v>
      </c>
      <c r="B8053" s="9" t="s">
        <v>14439</v>
      </c>
      <c r="C8053" s="9" t="s">
        <v>14414</v>
      </c>
      <c r="D8053" s="9" t="s">
        <v>98</v>
      </c>
      <c r="E8053" s="6" t="s">
        <v>14447</v>
      </c>
      <c r="F8053" s="9"/>
    </row>
    <row r="8054" ht="33.75" customHeight="1">
      <c r="A8054" s="7">
        <v>306.0</v>
      </c>
      <c r="B8054" s="9" t="s">
        <v>14439</v>
      </c>
      <c r="C8054" s="9" t="s">
        <v>14414</v>
      </c>
      <c r="D8054" s="9" t="s">
        <v>99</v>
      </c>
      <c r="E8054" s="6" t="s">
        <v>14447</v>
      </c>
      <c r="F8054" s="9"/>
    </row>
    <row r="8055" ht="33.75" customHeight="1">
      <c r="A8055" s="7">
        <v>306.0</v>
      </c>
      <c r="B8055" s="9" t="s">
        <v>14439</v>
      </c>
      <c r="C8055" s="9" t="s">
        <v>14414</v>
      </c>
      <c r="D8055" s="9" t="s">
        <v>101</v>
      </c>
      <c r="E8055" s="6" t="s">
        <v>14447</v>
      </c>
      <c r="F8055" s="9"/>
    </row>
    <row r="8056" ht="33.75" customHeight="1">
      <c r="A8056" s="7">
        <v>306.0</v>
      </c>
      <c r="B8056" s="9" t="s">
        <v>14439</v>
      </c>
      <c r="C8056" s="9" t="s">
        <v>14414</v>
      </c>
      <c r="D8056" s="9" t="s">
        <v>105</v>
      </c>
      <c r="E8056" s="6" t="s">
        <v>14444</v>
      </c>
      <c r="F8056" s="9"/>
    </row>
    <row r="8057" ht="33.75" customHeight="1">
      <c r="A8057" s="7">
        <v>306.0</v>
      </c>
      <c r="B8057" s="9" t="s">
        <v>14439</v>
      </c>
      <c r="C8057" s="9" t="s">
        <v>14414</v>
      </c>
      <c r="D8057" s="9" t="s">
        <v>107</v>
      </c>
      <c r="E8057" s="6" t="s">
        <v>14448</v>
      </c>
      <c r="F8057" s="9"/>
    </row>
    <row r="8058" ht="33.75" customHeight="1">
      <c r="A8058" s="7">
        <v>306.0</v>
      </c>
      <c r="B8058" s="9" t="s">
        <v>14439</v>
      </c>
      <c r="C8058" s="9" t="s">
        <v>14414</v>
      </c>
      <c r="D8058" s="9" t="s">
        <v>109</v>
      </c>
      <c r="E8058" s="6" t="s">
        <v>14449</v>
      </c>
      <c r="F8058" s="9"/>
    </row>
    <row r="8059" ht="33.75" customHeight="1">
      <c r="A8059" s="7">
        <v>306.0</v>
      </c>
      <c r="B8059" s="9" t="s">
        <v>14439</v>
      </c>
      <c r="C8059" s="9" t="s">
        <v>14414</v>
      </c>
      <c r="D8059" s="9" t="s">
        <v>114</v>
      </c>
      <c r="E8059" s="6" t="s">
        <v>14450</v>
      </c>
      <c r="F8059" s="9"/>
    </row>
    <row r="8060" ht="33.75" customHeight="1">
      <c r="A8060" s="7">
        <v>306.0</v>
      </c>
      <c r="B8060" s="9" t="s">
        <v>14439</v>
      </c>
      <c r="C8060" s="9" t="s">
        <v>14414</v>
      </c>
      <c r="D8060" s="9" t="s">
        <v>117</v>
      </c>
      <c r="E8060" s="6" t="s">
        <v>14451</v>
      </c>
      <c r="F8060" s="9"/>
    </row>
    <row r="8061" ht="33.75" customHeight="1">
      <c r="A8061" s="7">
        <v>307.0</v>
      </c>
      <c r="B8061" s="9" t="s">
        <v>14452</v>
      </c>
      <c r="C8061" s="9" t="s">
        <v>14453</v>
      </c>
      <c r="D8061" s="9" t="s">
        <v>67</v>
      </c>
      <c r="E8061" s="6" t="s">
        <v>14454</v>
      </c>
      <c r="F8061" t="inlineStr" s="10">
        <is>
          <t xml:space="preserve">MEDITITE suorittaa tiukkaa henkistä harjoittelua syvällä vuoristossa. Meditoidessaan tämä POKéMON kuitenkin menettää keskittymiskykynsä ja tarkkaavaisuutensa. Tämän seurauksena sen harjoittelu ei koskaan lopu. MEDITITE lisää sisäistä energiaansa meditaation avulla. Se selviää vain yhdellä marjalla päivässä. Minimaalinen syöminen on toinen osa tätä POKéMONia harjoitellessaan. Se meditoi jatkuvasti tuntikausia joka päivä. Tiukan ja omistautuneen joogaharjoittelun ansiosta se on karaissut henkistä voimaansa niin paljon, että se voi lentää. Se ei koskaan jätä väliin päivittäistä joogaharjoitusta. Se lisää sisäistä voimaansa meditaation avulla. Se syö vain yhden marjan päivässä. Nälkäisyys hillitsee ja terävöittää sen mieltä. Se ei koskaan unohda päivittäisiä joogaharjoituksiaan ja lisää henkistä voimaansa meditaation avulla. Se harjoittelee aina syvällä vuoristossa. Se leijuu, kun se lisää henkistä voimaansa meditaation avulla. Se meditoi lisätäkseen sisäistä energiaansa ja leijuakseen ilmassa. Se syö yhden marjan päivässä. Meditoitunut Pokémon suorittaa tiukkaa henkistä harjoittelua syvällä vuoristossa. Meditoitunut Pokémon lisää sisäistä energiaansa meditaation avulla. Minimaalinen syöminen on toinen osa tämän Pokémonin harjoittelua.</t>
        </is>
      </c>
    </row>
    <row r="8062" ht="33.75" customHeight="1">
      <c r="A8062" s="7">
        <v>307.0</v>
      </c>
      <c r="B8062" s="9" t="s">
        <v>14452</v>
      </c>
      <c r="C8062" s="9" t="s">
        <v>14453</v>
      </c>
      <c r="D8062" s="9" t="s">
        <v>71</v>
      </c>
      <c r="E8062" s="6" t="s">
        <v>14455</v>
      </c>
      <c r="F8062" s="9"/>
    </row>
    <row r="8063" ht="33.75" customHeight="1">
      <c r="A8063" s="7">
        <v>307.0</v>
      </c>
      <c r="B8063" s="9" t="s">
        <v>14452</v>
      </c>
      <c r="C8063" s="9" t="s">
        <v>14453</v>
      </c>
      <c r="D8063" s="9" t="s">
        <v>73</v>
      </c>
      <c r="E8063" s="6" t="s">
        <v>14456</v>
      </c>
      <c r="F8063" s="9"/>
    </row>
    <row r="8064" ht="33.75" customHeight="1">
      <c r="A8064" s="7">
        <v>307.0</v>
      </c>
      <c r="B8064" s="9" t="s">
        <v>14452</v>
      </c>
      <c r="C8064" s="9" t="s">
        <v>14453</v>
      </c>
      <c r="D8064" s="9" t="s">
        <v>75</v>
      </c>
      <c r="E8064" s="6" t="s">
        <v>14457</v>
      </c>
      <c r="F8064" s="9"/>
    </row>
    <row r="8065" ht="33.75" customHeight="1">
      <c r="A8065" s="7">
        <v>307.0</v>
      </c>
      <c r="B8065" s="9" t="s">
        <v>14452</v>
      </c>
      <c r="C8065" s="9" t="s">
        <v>14453</v>
      </c>
      <c r="D8065" s="9" t="s">
        <v>79</v>
      </c>
      <c r="E8065" s="6" t="s">
        <v>14457</v>
      </c>
      <c r="F8065" s="9"/>
    </row>
    <row r="8066" ht="33.75" customHeight="1">
      <c r="A8066" s="7">
        <v>307.0</v>
      </c>
      <c r="B8066" s="9" t="s">
        <v>14452</v>
      </c>
      <c r="C8066" s="9" t="s">
        <v>14453</v>
      </c>
      <c r="D8066" s="9" t="s">
        <v>81</v>
      </c>
      <c r="E8066" s="6" t="s">
        <v>14458</v>
      </c>
      <c r="F8066" s="9"/>
    </row>
    <row r="8067" ht="33.75" customHeight="1">
      <c r="A8067" s="7">
        <v>307.0</v>
      </c>
      <c r="B8067" s="9" t="s">
        <v>14452</v>
      </c>
      <c r="C8067" s="9" t="s">
        <v>14453</v>
      </c>
      <c r="D8067" s="9" t="s">
        <v>84</v>
      </c>
      <c r="E8067" s="6" t="s">
        <v>14459</v>
      </c>
      <c r="F8067" s="9"/>
    </row>
    <row r="8068" ht="33.75" customHeight="1">
      <c r="A8068" s="7">
        <v>307.0</v>
      </c>
      <c r="B8068" s="9" t="s">
        <v>14452</v>
      </c>
      <c r="C8068" s="9" t="s">
        <v>14453</v>
      </c>
      <c r="D8068" s="9" t="s">
        <v>87</v>
      </c>
      <c r="E8068" s="6" t="s">
        <v>14460</v>
      </c>
      <c r="F8068" s="9"/>
    </row>
    <row r="8069" ht="33.75" customHeight="1">
      <c r="A8069" s="7">
        <v>307.0</v>
      </c>
      <c r="B8069" s="9" t="s">
        <v>14452</v>
      </c>
      <c r="C8069" s="9" t="s">
        <v>14453</v>
      </c>
      <c r="D8069" s="9" t="s">
        <v>89</v>
      </c>
      <c r="E8069" s="6" t="s">
        <v>14461</v>
      </c>
      <c r="F8069" s="9"/>
    </row>
    <row r="8070" ht="33.75" customHeight="1">
      <c r="A8070" s="7">
        <v>307.0</v>
      </c>
      <c r="B8070" s="9" t="s">
        <v>14452</v>
      </c>
      <c r="C8070" s="9" t="s">
        <v>14453</v>
      </c>
      <c r="D8070" s="9" t="s">
        <v>91</v>
      </c>
      <c r="E8070" s="6" t="s">
        <v>14461</v>
      </c>
      <c r="F8070" s="9"/>
    </row>
    <row r="8071" ht="33.75" customHeight="1">
      <c r="A8071" s="7">
        <v>307.0</v>
      </c>
      <c r="B8071" s="9" t="s">
        <v>14452</v>
      </c>
      <c r="C8071" s="9" t="s">
        <v>14453</v>
      </c>
      <c r="D8071" s="9" t="s">
        <v>93</v>
      </c>
      <c r="E8071" s="6" t="s">
        <v>14460</v>
      </c>
      <c r="F8071" s="9"/>
    </row>
    <row r="8072" ht="33.75" customHeight="1">
      <c r="A8072" s="7">
        <v>307.0</v>
      </c>
      <c r="B8072" s="9" t="s">
        <v>14452</v>
      </c>
      <c r="C8072" s="9" t="s">
        <v>14453</v>
      </c>
      <c r="D8072" s="9" t="s">
        <v>95</v>
      </c>
      <c r="E8072" s="6" t="s">
        <v>14460</v>
      </c>
      <c r="F8072" s="9"/>
    </row>
    <row r="8073" ht="33.75" customHeight="1">
      <c r="A8073" s="7">
        <v>307.0</v>
      </c>
      <c r="B8073" s="9" t="s">
        <v>14452</v>
      </c>
      <c r="C8073" s="9" t="s">
        <v>14453</v>
      </c>
      <c r="D8073" s="9" t="s">
        <v>98</v>
      </c>
      <c r="E8073" s="6" t="s">
        <v>14460</v>
      </c>
      <c r="F8073" s="9"/>
    </row>
    <row r="8074" ht="33.75" customHeight="1">
      <c r="A8074" s="7">
        <v>307.0</v>
      </c>
      <c r="B8074" s="9" t="s">
        <v>14452</v>
      </c>
      <c r="C8074" s="9" t="s">
        <v>14453</v>
      </c>
      <c r="D8074" s="9" t="s">
        <v>99</v>
      </c>
      <c r="E8074" s="6" t="s">
        <v>14460</v>
      </c>
      <c r="F8074" s="9"/>
    </row>
    <row r="8075" ht="33.75" customHeight="1">
      <c r="A8075" s="7">
        <v>307.0</v>
      </c>
      <c r="B8075" s="9" t="s">
        <v>14452</v>
      </c>
      <c r="C8075" s="9" t="s">
        <v>14453</v>
      </c>
      <c r="D8075" s="9" t="s">
        <v>101</v>
      </c>
      <c r="E8075" s="6" t="s">
        <v>14460</v>
      </c>
      <c r="F8075" s="9"/>
    </row>
    <row r="8076" ht="33.75" customHeight="1">
      <c r="A8076" s="7">
        <v>307.0</v>
      </c>
      <c r="B8076" s="9" t="s">
        <v>14452</v>
      </c>
      <c r="C8076" s="9" t="s">
        <v>14453</v>
      </c>
      <c r="D8076" s="9" t="s">
        <v>105</v>
      </c>
      <c r="E8076" s="6" t="s">
        <v>14458</v>
      </c>
      <c r="F8076" s="9"/>
    </row>
    <row r="8077" ht="33.75" customHeight="1">
      <c r="A8077" s="7">
        <v>307.0</v>
      </c>
      <c r="B8077" s="9" t="s">
        <v>14452</v>
      </c>
      <c r="C8077" s="9" t="s">
        <v>14453</v>
      </c>
      <c r="D8077" s="9" t="s">
        <v>107</v>
      </c>
      <c r="E8077" s="6" t="s">
        <v>14463</v>
      </c>
      <c r="F8077" s="9"/>
    </row>
    <row r="8078" ht="33.75" customHeight="1">
      <c r="A8078" s="7">
        <v>307.0</v>
      </c>
      <c r="B8078" s="9" t="s">
        <v>14452</v>
      </c>
      <c r="C8078" s="9" t="s">
        <v>14453</v>
      </c>
      <c r="D8078" s="9" t="s">
        <v>109</v>
      </c>
      <c r="E8078" s="6" t="s">
        <v>14464</v>
      </c>
      <c r="F8078" s="9"/>
    </row>
    <row r="8079" ht="33.75" customHeight="1">
      <c r="A8079" s="7">
        <v>308.0</v>
      </c>
      <c r="B8079" s="9" t="s">
        <v>14465</v>
      </c>
      <c r="C8079" s="9" t="s">
        <v>14453</v>
      </c>
      <c r="D8079" s="9" t="s">
        <v>67</v>
      </c>
      <c r="E8079" s="6" t="s">
        <v>14466</v>
      </c>
      <c r="F8079" t="inlineStr" s="10">
        <is>
          <t xml:space="preserve">Sanotaan, että meditaation avulla MEDICHAM voimistaa kehonsa energiatasoa ja terävöittää kuudetta aistiaan. Tämä POKéMON kätkee läsnäolonsa sulautumalla peltoihin ja vuoriin. Meditaation voimalla MEDICHAM kehitti kuudennen aistinsa. Se sai kyvyn käyttää psykokineettisiä voimia. Tämän POKéMONin tiedetään meditoivan kokonaisen kuukauden syömättä. Murskaavan ankaran joogaharjoittelun avulla se sai kyvyn ennustaa vihollisensa toimia. Se taistelee elegantilla, tanssimaisella liikkeellä. Se väistää hyökkäykset tyylikkäästi tanssimaisilla askeleilla ja lähettää sitten tuhoisan iskun samalla liikkeellä. Joogaharjoittelun avulla se on hionut kuudetta aistiaan. Sen liikkeet ovat elegantteja. Päivittäisen meditaation avulla se hioo hengellistä voimaansa. Se voi aistia, mitä muut ajattelevat. Se saa kyvyn nähdä vastustajiensa auran hiomalla mieltään nälänhädän avulla. Joogaharjoittelun avulla se sai psyykkisen kyvyn ennustaa vihollisensa seuraavan liikkeen.</t>
        </is>
      </c>
    </row>
    <row r="8080" ht="33.75" customHeight="1">
      <c r="A8080" s="7">
        <v>308.0</v>
      </c>
      <c r="B8080" s="9" t="s">
        <v>14465</v>
      </c>
      <c r="C8080" s="9" t="s">
        <v>14453</v>
      </c>
      <c r="D8080" s="9" t="s">
        <v>71</v>
      </c>
      <c r="E8080" s="6" t="s">
        <v>14467</v>
      </c>
      <c r="F8080" s="9"/>
    </row>
    <row r="8081" ht="33.75" customHeight="1">
      <c r="A8081" s="7">
        <v>308.0</v>
      </c>
      <c r="B8081" s="9" t="s">
        <v>14465</v>
      </c>
      <c r="C8081" s="9" t="s">
        <v>14453</v>
      </c>
      <c r="D8081" s="9" t="s">
        <v>73</v>
      </c>
      <c r="E8081" s="6" t="s">
        <v>14468</v>
      </c>
      <c r="F8081" s="9"/>
    </row>
    <row r="8082" ht="33.75" customHeight="1">
      <c r="A8082" s="7">
        <v>308.0</v>
      </c>
      <c r="B8082" s="9" t="s">
        <v>14465</v>
      </c>
      <c r="C8082" s="9" t="s">
        <v>14453</v>
      </c>
      <c r="D8082" s="9" t="s">
        <v>75</v>
      </c>
      <c r="E8082" s="6" t="s">
        <v>14469</v>
      </c>
      <c r="F8082" s="9"/>
    </row>
    <row r="8083" ht="33.75" customHeight="1">
      <c r="A8083" s="7">
        <v>308.0</v>
      </c>
      <c r="B8083" s="9" t="s">
        <v>14465</v>
      </c>
      <c r="C8083" s="9" t="s">
        <v>14453</v>
      </c>
      <c r="D8083" s="9" t="s">
        <v>79</v>
      </c>
      <c r="E8083" s="6" t="s">
        <v>14469</v>
      </c>
      <c r="F8083" s="9"/>
    </row>
    <row r="8084" ht="33.75" customHeight="1">
      <c r="A8084" s="7">
        <v>308.0</v>
      </c>
      <c r="B8084" s="9" t="s">
        <v>14465</v>
      </c>
      <c r="C8084" s="9" t="s">
        <v>14453</v>
      </c>
      <c r="D8084" s="9" t="s">
        <v>81</v>
      </c>
      <c r="E8084" s="6" t="s">
        <v>14470</v>
      </c>
      <c r="F8084" s="9"/>
    </row>
    <row r="8085" ht="33.75" customHeight="1">
      <c r="A8085" s="7">
        <v>308.0</v>
      </c>
      <c r="B8085" s="9" t="s">
        <v>14465</v>
      </c>
      <c r="C8085" s="9" t="s">
        <v>14453</v>
      </c>
      <c r="D8085" s="9" t="s">
        <v>84</v>
      </c>
      <c r="E8085" s="6" t="s">
        <v>14471</v>
      </c>
      <c r="F8085" s="9"/>
    </row>
    <row r="8086" ht="33.75" customHeight="1">
      <c r="A8086" s="7">
        <v>308.0</v>
      </c>
      <c r="B8086" s="9" t="s">
        <v>14465</v>
      </c>
      <c r="C8086" s="9" t="s">
        <v>14453</v>
      </c>
      <c r="D8086" s="9" t="s">
        <v>87</v>
      </c>
      <c r="E8086" s="6" t="s">
        <v>14472</v>
      </c>
      <c r="F8086" s="9"/>
    </row>
    <row r="8087" ht="33.75" customHeight="1">
      <c r="A8087" s="7">
        <v>308.0</v>
      </c>
      <c r="B8087" s="9" t="s">
        <v>14465</v>
      </c>
      <c r="C8087" s="9" t="s">
        <v>14453</v>
      </c>
      <c r="D8087" s="9" t="s">
        <v>89</v>
      </c>
      <c r="E8087" s="6" t="s">
        <v>14473</v>
      </c>
      <c r="F8087" s="9"/>
    </row>
    <row r="8088" ht="33.75" customHeight="1">
      <c r="A8088" s="7">
        <v>308.0</v>
      </c>
      <c r="B8088" s="9" t="s">
        <v>14465</v>
      </c>
      <c r="C8088" s="9" t="s">
        <v>14453</v>
      </c>
      <c r="D8088" s="9" t="s">
        <v>91</v>
      </c>
      <c r="E8088" s="6" t="s">
        <v>14473</v>
      </c>
      <c r="F8088" s="9"/>
    </row>
    <row r="8089" ht="33.75" customHeight="1">
      <c r="A8089" s="7">
        <v>308.0</v>
      </c>
      <c r="B8089" s="9" t="s">
        <v>14465</v>
      </c>
      <c r="C8089" s="9" t="s">
        <v>14453</v>
      </c>
      <c r="D8089" s="9" t="s">
        <v>93</v>
      </c>
      <c r="E8089" s="6" t="s">
        <v>14472</v>
      </c>
      <c r="F8089" s="9"/>
    </row>
    <row r="8090" ht="33.75" customHeight="1">
      <c r="A8090" s="7">
        <v>308.0</v>
      </c>
      <c r="B8090" s="9" t="s">
        <v>14465</v>
      </c>
      <c r="C8090" s="9" t="s">
        <v>14453</v>
      </c>
      <c r="D8090" s="9" t="s">
        <v>95</v>
      </c>
      <c r="E8090" s="6" t="s">
        <v>14472</v>
      </c>
      <c r="F8090" s="9"/>
    </row>
    <row r="8091" ht="33.75" customHeight="1">
      <c r="A8091" s="7">
        <v>308.0</v>
      </c>
      <c r="B8091" s="9" t="s">
        <v>14465</v>
      </c>
      <c r="C8091" s="9" t="s">
        <v>14453</v>
      </c>
      <c r="D8091" s="9" t="s">
        <v>98</v>
      </c>
      <c r="E8091" s="6" t="s">
        <v>14472</v>
      </c>
      <c r="F8091" s="9"/>
    </row>
    <row r="8092" ht="33.75" customHeight="1">
      <c r="A8092" s="7">
        <v>308.0</v>
      </c>
      <c r="B8092" s="9" t="s">
        <v>14465</v>
      </c>
      <c r="C8092" s="9" t="s">
        <v>14453</v>
      </c>
      <c r="D8092" s="9" t="s">
        <v>99</v>
      </c>
      <c r="E8092" s="6" t="s">
        <v>14472</v>
      </c>
      <c r="F8092" s="9"/>
    </row>
    <row r="8093" ht="33.75" customHeight="1">
      <c r="A8093" s="7">
        <v>308.0</v>
      </c>
      <c r="B8093" s="9" t="s">
        <v>14465</v>
      </c>
      <c r="C8093" s="9" t="s">
        <v>14453</v>
      </c>
      <c r="D8093" s="9" t="s">
        <v>101</v>
      </c>
      <c r="E8093" s="6" t="s">
        <v>14469</v>
      </c>
      <c r="F8093" s="9"/>
    </row>
    <row r="8094" ht="33.75" customHeight="1">
      <c r="A8094" s="7">
        <v>308.0</v>
      </c>
      <c r="B8094" s="9" t="s">
        <v>14465</v>
      </c>
      <c r="C8094" s="9" t="s">
        <v>14453</v>
      </c>
      <c r="D8094" s="9" t="s">
        <v>105</v>
      </c>
      <c r="E8094" s="6" t="s">
        <v>14473</v>
      </c>
      <c r="F8094" s="9"/>
    </row>
    <row r="8095" ht="33.75" customHeight="1">
      <c r="A8095" s="7">
        <v>308.0</v>
      </c>
      <c r="B8095" s="9" t="s">
        <v>14465</v>
      </c>
      <c r="C8095" s="9" t="s">
        <v>14453</v>
      </c>
      <c r="D8095" s="9" t="s">
        <v>107</v>
      </c>
      <c r="E8095" s="6" t="s">
        <v>14475</v>
      </c>
      <c r="F8095" s="9"/>
    </row>
    <row r="8096" ht="33.75" customHeight="1">
      <c r="A8096" s="7">
        <v>308.0</v>
      </c>
      <c r="B8096" s="9" t="s">
        <v>14465</v>
      </c>
      <c r="C8096" s="9" t="s">
        <v>14453</v>
      </c>
      <c r="D8096" s="9" t="s">
        <v>109</v>
      </c>
      <c r="E8096" s="6" t="s">
        <v>14476</v>
      </c>
      <c r="F8096" s="9"/>
    </row>
    <row r="8097" ht="33.75" customHeight="1">
      <c r="A8097" s="7">
        <v>309.0</v>
      </c>
      <c r="B8097" s="9" t="s">
        <v>14477</v>
      </c>
      <c r="C8097" s="9" t="s">
        <v>8487</v>
      </c>
      <c r="D8097" s="9" t="s">
        <v>67</v>
      </c>
      <c r="E8097" s="6" t="s">
        <v>14478</v>
      </c>
      <c r="F8097" t="inlineStr" s="10">
        <is>
          <t xml:space="preserve">ELECTRIKE varastoi sähköä pitkiin vartalon karvoihinsa. Tämä POKéMON stimuloi jalkojensa lihaksia sähkövarauksilla. Nämä voimanpiikit antavat sen jaloille räjähtävän kiihtyvyyden. ELECTRIKE juoksee nopeammin kuin ihmissilmä pystyy seuraamaan. Juoksemisen aiheuttama kitka muuttuu sähköksi, joka sitten varastoituu tämän POKéMONin turkkiin. Se tuottaa sähköä ilmakehän kitkan avulla. Erityisen kuivina vuodenaikoina koko sen ruumis liekehtii rajuja kipinäsateita. Se varastoi staattista sähköä turkkiinsa purkamista varten. Se päästää kipinöitä myrskyn lähestyessä. Se käyttää turkkiinsa varastoitunutta sähköä stimuloidakseen lihaksiaan, mikä lisää reaktionopeuttaan. Se varastoi sähköä turkkiinsa. Se säteilee kipinöitä kaikkialta kehostaan ​​vuodenaikoina, jolloin ilma on kuivaa. Electrice juoksee nopeammin kuin ihmissilmä pystyy seuraamaan. Ilman ja sen karvan välinen kitka tuottaa staattista sähköä. Kun Electrike toimii, se pitää rätinää. Staattinen sähkö kerääntyy kaikkialle sen kehoon, kun sen pitkät turkinsäikeet hankautuvat yhteen. Tämä Pokémon ylpeilee uskomattomalla nopeudella.</t>
        </is>
      </c>
    </row>
    <row r="8098" ht="33.75" customHeight="1">
      <c r="A8098" s="7">
        <v>309.0</v>
      </c>
      <c r="B8098" s="9" t="s">
        <v>14477</v>
      </c>
      <c r="C8098" s="9" t="s">
        <v>8487</v>
      </c>
      <c r="D8098" s="9" t="s">
        <v>71</v>
      </c>
      <c r="E8098" s="6" t="s">
        <v>14479</v>
      </c>
      <c r="F8098" s="9"/>
    </row>
    <row r="8099" ht="33.75" customHeight="1">
      <c r="A8099" s="7">
        <v>309.0</v>
      </c>
      <c r="B8099" s="9" t="s">
        <v>14477</v>
      </c>
      <c r="C8099" s="9" t="s">
        <v>8487</v>
      </c>
      <c r="D8099" s="9" t="s">
        <v>73</v>
      </c>
      <c r="E8099" s="6" t="s">
        <v>14480</v>
      </c>
      <c r="F8099" s="9"/>
    </row>
    <row r="8100" ht="33.75" customHeight="1">
      <c r="A8100" s="7">
        <v>309.0</v>
      </c>
      <c r="B8100" s="9" t="s">
        <v>14477</v>
      </c>
      <c r="C8100" s="9" t="s">
        <v>8487</v>
      </c>
      <c r="D8100" s="9" t="s">
        <v>75</v>
      </c>
      <c r="E8100" s="6" t="s">
        <v>14481</v>
      </c>
      <c r="F8100" s="9"/>
    </row>
    <row r="8101" ht="33.75" customHeight="1">
      <c r="A8101" s="7">
        <v>309.0</v>
      </c>
      <c r="B8101" s="9" t="s">
        <v>14477</v>
      </c>
      <c r="C8101" s="9" t="s">
        <v>8487</v>
      </c>
      <c r="D8101" s="9" t="s">
        <v>79</v>
      </c>
      <c r="E8101" s="6" t="s">
        <v>14481</v>
      </c>
      <c r="F8101" s="9"/>
    </row>
    <row r="8102" ht="33.75" customHeight="1">
      <c r="A8102" s="7">
        <v>309.0</v>
      </c>
      <c r="B8102" s="9" t="s">
        <v>14477</v>
      </c>
      <c r="C8102" s="9" t="s">
        <v>8487</v>
      </c>
      <c r="D8102" s="9" t="s">
        <v>81</v>
      </c>
      <c r="E8102" s="6" t="s">
        <v>14482</v>
      </c>
      <c r="F8102" s="9"/>
    </row>
    <row r="8103" ht="33.75" customHeight="1">
      <c r="A8103" s="7">
        <v>309.0</v>
      </c>
      <c r="B8103" s="9" t="s">
        <v>14477</v>
      </c>
      <c r="C8103" s="9" t="s">
        <v>8487</v>
      </c>
      <c r="D8103" s="9" t="s">
        <v>84</v>
      </c>
      <c r="E8103" s="6" t="s">
        <v>14482</v>
      </c>
      <c r="F8103" s="9"/>
    </row>
    <row r="8104" ht="33.75" customHeight="1">
      <c r="A8104" s="7">
        <v>309.0</v>
      </c>
      <c r="B8104" s="9" t="s">
        <v>14477</v>
      </c>
      <c r="C8104" s="9" t="s">
        <v>8487</v>
      </c>
      <c r="D8104" s="9" t="s">
        <v>87</v>
      </c>
      <c r="E8104" s="6" t="s">
        <v>14482</v>
      </c>
      <c r="F8104" s="9"/>
    </row>
    <row r="8105" ht="33.75" customHeight="1">
      <c r="A8105" s="7">
        <v>309.0</v>
      </c>
      <c r="B8105" s="9" t="s">
        <v>14477</v>
      </c>
      <c r="C8105" s="9" t="s">
        <v>8487</v>
      </c>
      <c r="D8105" s="9" t="s">
        <v>89</v>
      </c>
      <c r="E8105" s="6" t="s">
        <v>14483</v>
      </c>
      <c r="F8105" s="9"/>
    </row>
    <row r="8106" ht="33.75" customHeight="1">
      <c r="A8106" s="7">
        <v>309.0</v>
      </c>
      <c r="B8106" s="9" t="s">
        <v>14477</v>
      </c>
      <c r="C8106" s="9" t="s">
        <v>8487</v>
      </c>
      <c r="D8106" s="9" t="s">
        <v>91</v>
      </c>
      <c r="E8106" s="6" t="s">
        <v>14483</v>
      </c>
      <c r="F8106" s="9"/>
    </row>
    <row r="8107" ht="33.75" customHeight="1">
      <c r="A8107" s="7">
        <v>309.0</v>
      </c>
      <c r="B8107" s="9" t="s">
        <v>14477</v>
      </c>
      <c r="C8107" s="9" t="s">
        <v>8487</v>
      </c>
      <c r="D8107" s="9" t="s">
        <v>93</v>
      </c>
      <c r="E8107" s="6" t="s">
        <v>14482</v>
      </c>
      <c r="F8107" s="9"/>
    </row>
    <row r="8108" ht="33.75" customHeight="1">
      <c r="A8108" s="7">
        <v>309.0</v>
      </c>
      <c r="B8108" s="9" t="s">
        <v>14477</v>
      </c>
      <c r="C8108" s="9" t="s">
        <v>8487</v>
      </c>
      <c r="D8108" s="9" t="s">
        <v>95</v>
      </c>
      <c r="E8108" s="6" t="s">
        <v>14482</v>
      </c>
      <c r="F8108" s="9"/>
    </row>
    <row r="8109" ht="33.75" customHeight="1">
      <c r="A8109" s="7">
        <v>309.0</v>
      </c>
      <c r="B8109" s="9" t="s">
        <v>14477</v>
      </c>
      <c r="C8109" s="9" t="s">
        <v>8487</v>
      </c>
      <c r="D8109" s="9" t="s">
        <v>98</v>
      </c>
      <c r="E8109" s="6" t="s">
        <v>14482</v>
      </c>
      <c r="F8109" s="9"/>
    </row>
    <row r="8110" ht="33.75" customHeight="1">
      <c r="A8110" s="7">
        <v>309.0</v>
      </c>
      <c r="B8110" s="9" t="s">
        <v>14477</v>
      </c>
      <c r="C8110" s="9" t="s">
        <v>8487</v>
      </c>
      <c r="D8110" s="9" t="s">
        <v>99</v>
      </c>
      <c r="E8110" s="6" t="s">
        <v>14482</v>
      </c>
      <c r="F8110" s="9"/>
    </row>
    <row r="8111" ht="33.75" customHeight="1">
      <c r="A8111" s="7">
        <v>309.0</v>
      </c>
      <c r="B8111" s="9" t="s">
        <v>14477</v>
      </c>
      <c r="C8111" s="9" t="s">
        <v>8487</v>
      </c>
      <c r="D8111" s="9" t="s">
        <v>101</v>
      </c>
      <c r="E8111" s="6" t="s">
        <v>14482</v>
      </c>
      <c r="F8111" s="9"/>
    </row>
    <row r="8112" ht="33.75" customHeight="1">
      <c r="A8112" s="7">
        <v>309.0</v>
      </c>
      <c r="B8112" s="9" t="s">
        <v>14477</v>
      </c>
      <c r="C8112" s="9" t="s">
        <v>8487</v>
      </c>
      <c r="D8112" s="9" t="s">
        <v>105</v>
      </c>
      <c r="E8112" s="6" t="s">
        <v>14481</v>
      </c>
      <c r="F8112" s="9"/>
    </row>
    <row r="8113" ht="33.75" customHeight="1">
      <c r="A8113" s="7">
        <v>309.0</v>
      </c>
      <c r="B8113" s="9" t="s">
        <v>14477</v>
      </c>
      <c r="C8113" s="9" t="s">
        <v>8487</v>
      </c>
      <c r="D8113" s="9" t="s">
        <v>107</v>
      </c>
      <c r="E8113" s="6" t="s">
        <v>14485</v>
      </c>
      <c r="F8113" s="9"/>
    </row>
    <row r="8114" ht="33.75" customHeight="1">
      <c r="A8114" s="7">
        <v>309.0</v>
      </c>
      <c r="B8114" s="9" t="s">
        <v>14477</v>
      </c>
      <c r="C8114" s="9" t="s">
        <v>8487</v>
      </c>
      <c r="D8114" s="9" t="s">
        <v>109</v>
      </c>
      <c r="E8114" s="6" t="s">
        <v>14486</v>
      </c>
      <c r="F8114" s="9"/>
    </row>
    <row r="8115" ht="33.75" customHeight="1">
      <c r="A8115" s="7">
        <v>309.0</v>
      </c>
      <c r="B8115" s="9" t="s">
        <v>14477</v>
      </c>
      <c r="C8115" s="9" t="s">
        <v>8487</v>
      </c>
      <c r="D8115" s="9" t="s">
        <v>647</v>
      </c>
      <c r="E8115" s="6" t="s">
        <v>14487</v>
      </c>
      <c r="F8115" s="9"/>
    </row>
    <row r="8116" ht="33.75" customHeight="1">
      <c r="A8116" s="7">
        <v>309.0</v>
      </c>
      <c r="B8116" s="9" t="s">
        <v>14477</v>
      </c>
      <c r="C8116" s="9" t="s">
        <v>8487</v>
      </c>
      <c r="D8116" s="9" t="s">
        <v>652</v>
      </c>
      <c r="E8116" s="6" t="s">
        <v>14488</v>
      </c>
      <c r="F8116" s="9"/>
    </row>
    <row r="8117" ht="33.75" customHeight="1">
      <c r="A8117" s="7">
        <v>309.0</v>
      </c>
      <c r="B8117" s="9" t="s">
        <v>14477</v>
      </c>
      <c r="C8117" s="9" t="s">
        <v>8487</v>
      </c>
      <c r="D8117" s="9" t="s">
        <v>114</v>
      </c>
      <c r="E8117" s="6" t="s">
        <v>14481</v>
      </c>
      <c r="F8117" s="9"/>
    </row>
    <row r="8118" ht="33.75" customHeight="1">
      <c r="A8118" s="7">
        <v>309.0</v>
      </c>
      <c r="B8118" s="9" t="s">
        <v>14477</v>
      </c>
      <c r="C8118" s="9" t="s">
        <v>8487</v>
      </c>
      <c r="D8118" s="9" t="s">
        <v>117</v>
      </c>
      <c r="E8118" s="6" t="s">
        <v>14483</v>
      </c>
      <c r="F8118" s="9"/>
    </row>
    <row r="8119" ht="33.75" customHeight="1">
      <c r="A8119" s="7">
        <v>310.0</v>
      </c>
      <c r="B8119" s="9" t="s">
        <v>14489</v>
      </c>
      <c r="C8119" s="9" t="s">
        <v>14490</v>
      </c>
      <c r="D8119" s="9" t="s">
        <v>67</v>
      </c>
      <c r="E8119" s="6" t="s">
        <v>14491</v>
      </c>
      <c r="F8119" t="inlineStr" s="10">
        <is>
          <t xml:space="preserve">MANECTRIC purkaa jatkuvasti sähköä harjastaan. Kipinät sytyttävät joskus metsäpaloja. Taisteluun astunut POKéMON luo ukkospilviä. MANEKTRIC purkaa voimakasta sähköä harjastaan. Harjaa käytetään sähkön keräämiseen ilmakehästä. Tämä POKéMON luo ukkospilviä päänsä yläpuolelle. Koska salamat osuvat niiden läheisyyteen, MANECTRICien ajateltiin syntyneen salamasta. Taistelussa ne luovat ukkospilviä. Se esiintyy harvoin ihmisten edessä. Sen sanotaan pesivän siellä, missä salama on iskenyt. Se purkaa sähköä harjastaan. Se luo ukkospilven yläpuolelle tihkuakseen salamoita. Sen pesä löytyy ukkosen iskemästä kohdasta. Manektric purkaa harjastaan ​​voimakasta sähköä. Manektriaa löytyy luonnottomien ukkospilvien alta. Ihmisten mukaan se voi liikkua samaa vauhtia kuin salama iskee. Se stimuloi omia lihaksiaan sähköllä, joten se voi liikkua nopeasti. Se myös lievittää kipuaan sähköllä, joten se voi toipua nopeasti.</t>
        </is>
      </c>
    </row>
    <row r="8120" ht="33.75" customHeight="1">
      <c r="A8120" s="7">
        <v>310.0</v>
      </c>
      <c r="B8120" s="9" t="s">
        <v>14489</v>
      </c>
      <c r="C8120" s="9" t="s">
        <v>14490</v>
      </c>
      <c r="D8120" s="9" t="s">
        <v>71</v>
      </c>
      <c r="E8120" s="6" t="s">
        <v>14492</v>
      </c>
      <c r="F8120" s="9"/>
    </row>
    <row r="8121" ht="33.75" customHeight="1">
      <c r="A8121" s="7">
        <v>310.0</v>
      </c>
      <c r="B8121" s="9" t="s">
        <v>14489</v>
      </c>
      <c r="C8121" s="9" t="s">
        <v>14490</v>
      </c>
      <c r="D8121" s="9" t="s">
        <v>73</v>
      </c>
      <c r="E8121" s="6" t="s">
        <v>14493</v>
      </c>
      <c r="F8121" s="9"/>
    </row>
    <row r="8122" ht="33.75" customHeight="1">
      <c r="A8122" s="7">
        <v>310.0</v>
      </c>
      <c r="B8122" s="9" t="s">
        <v>14489</v>
      </c>
      <c r="C8122" s="9" t="s">
        <v>14490</v>
      </c>
      <c r="D8122" s="9" t="s">
        <v>75</v>
      </c>
      <c r="E8122" s="6" t="s">
        <v>14494</v>
      </c>
      <c r="F8122" s="9"/>
    </row>
    <row r="8123" ht="33.75" customHeight="1">
      <c r="A8123" s="7">
        <v>310.0</v>
      </c>
      <c r="B8123" s="9" t="s">
        <v>14489</v>
      </c>
      <c r="C8123" s="9" t="s">
        <v>14490</v>
      </c>
      <c r="D8123" s="9" t="s">
        <v>79</v>
      </c>
      <c r="E8123" s="6" t="s">
        <v>14494</v>
      </c>
      <c r="F8123" s="9"/>
    </row>
    <row r="8124" ht="33.75" customHeight="1">
      <c r="A8124" s="7">
        <v>310.0</v>
      </c>
      <c r="B8124" s="9" t="s">
        <v>14489</v>
      </c>
      <c r="C8124" s="9" t="s">
        <v>14490</v>
      </c>
      <c r="D8124" s="9" t="s">
        <v>81</v>
      </c>
      <c r="E8124" s="6" t="s">
        <v>14495</v>
      </c>
      <c r="F8124" s="9"/>
    </row>
    <row r="8125" ht="33.75" customHeight="1">
      <c r="A8125" s="7">
        <v>310.0</v>
      </c>
      <c r="B8125" s="9" t="s">
        <v>14489</v>
      </c>
      <c r="C8125" s="9" t="s">
        <v>14490</v>
      </c>
      <c r="D8125" s="9" t="s">
        <v>84</v>
      </c>
      <c r="E8125" s="6" t="s">
        <v>14495</v>
      </c>
      <c r="F8125" s="9"/>
    </row>
    <row r="8126" ht="33.75" customHeight="1">
      <c r="A8126" s="7">
        <v>310.0</v>
      </c>
      <c r="B8126" s="9" t="s">
        <v>14489</v>
      </c>
      <c r="C8126" s="9" t="s">
        <v>14490</v>
      </c>
      <c r="D8126" s="9" t="s">
        <v>87</v>
      </c>
      <c r="E8126" s="6" t="s">
        <v>14495</v>
      </c>
      <c r="F8126" s="9"/>
    </row>
    <row r="8127" ht="33.75" customHeight="1">
      <c r="A8127" s="7">
        <v>310.0</v>
      </c>
      <c r="B8127" s="9" t="s">
        <v>14489</v>
      </c>
      <c r="C8127" s="9" t="s">
        <v>14490</v>
      </c>
      <c r="D8127" s="9" t="s">
        <v>89</v>
      </c>
      <c r="E8127" s="6" t="s">
        <v>14497</v>
      </c>
      <c r="F8127" s="9"/>
    </row>
    <row r="8128" ht="33.75" customHeight="1">
      <c r="A8128" s="7">
        <v>310.0</v>
      </c>
      <c r="B8128" s="9" t="s">
        <v>14489</v>
      </c>
      <c r="C8128" s="9" t="s">
        <v>14490</v>
      </c>
      <c r="D8128" s="9" t="s">
        <v>91</v>
      </c>
      <c r="E8128" s="6" t="s">
        <v>14497</v>
      </c>
      <c r="F8128" s="9"/>
    </row>
    <row r="8129" ht="33.75" customHeight="1">
      <c r="A8129" s="7">
        <v>310.0</v>
      </c>
      <c r="B8129" s="9" t="s">
        <v>14489</v>
      </c>
      <c r="C8129" s="9" t="s">
        <v>14490</v>
      </c>
      <c r="D8129" s="9" t="s">
        <v>93</v>
      </c>
      <c r="E8129" s="6" t="s">
        <v>14495</v>
      </c>
      <c r="F8129" s="9"/>
    </row>
    <row r="8130" ht="33.75" customHeight="1">
      <c r="A8130" s="7">
        <v>310.0</v>
      </c>
      <c r="B8130" s="9" t="s">
        <v>14489</v>
      </c>
      <c r="C8130" s="9" t="s">
        <v>14490</v>
      </c>
      <c r="D8130" s="9" t="s">
        <v>95</v>
      </c>
      <c r="E8130" s="6" t="s">
        <v>14495</v>
      </c>
      <c r="F8130" s="9"/>
    </row>
    <row r="8131" ht="33.75" customHeight="1">
      <c r="A8131" s="7">
        <v>310.0</v>
      </c>
      <c r="B8131" s="9" t="s">
        <v>14489</v>
      </c>
      <c r="C8131" s="9" t="s">
        <v>14490</v>
      </c>
      <c r="D8131" s="9" t="s">
        <v>98</v>
      </c>
      <c r="E8131" s="6" t="s">
        <v>14495</v>
      </c>
      <c r="F8131" s="9"/>
    </row>
    <row r="8132" ht="33.75" customHeight="1">
      <c r="A8132" s="7">
        <v>310.0</v>
      </c>
      <c r="B8132" s="9" t="s">
        <v>14489</v>
      </c>
      <c r="C8132" s="9" t="s">
        <v>14490</v>
      </c>
      <c r="D8132" s="9" t="s">
        <v>99</v>
      </c>
      <c r="E8132" s="6" t="s">
        <v>14495</v>
      </c>
      <c r="F8132" s="9"/>
    </row>
    <row r="8133" ht="33.75" customHeight="1">
      <c r="A8133" s="7">
        <v>310.0</v>
      </c>
      <c r="B8133" s="9" t="s">
        <v>14489</v>
      </c>
      <c r="C8133" s="9" t="s">
        <v>14490</v>
      </c>
      <c r="D8133" s="9" t="s">
        <v>101</v>
      </c>
      <c r="E8133" s="6" t="s">
        <v>14494</v>
      </c>
      <c r="F8133" s="9"/>
    </row>
    <row r="8134" ht="33.75" customHeight="1">
      <c r="A8134" s="7">
        <v>310.0</v>
      </c>
      <c r="B8134" s="9" t="s">
        <v>14489</v>
      </c>
      <c r="C8134" s="9" t="s">
        <v>14490</v>
      </c>
      <c r="D8134" s="9" t="s">
        <v>105</v>
      </c>
      <c r="E8134" s="6" t="s">
        <v>14495</v>
      </c>
      <c r="F8134" s="9"/>
    </row>
    <row r="8135" ht="33.75" customHeight="1">
      <c r="A8135" s="7">
        <v>310.0</v>
      </c>
      <c r="B8135" s="9" t="s">
        <v>14489</v>
      </c>
      <c r="C8135" s="9" t="s">
        <v>14490</v>
      </c>
      <c r="D8135" s="9" t="s">
        <v>107</v>
      </c>
      <c r="E8135" s="6" t="s">
        <v>14498</v>
      </c>
      <c r="F8135" s="9"/>
    </row>
    <row r="8136" ht="33.75" customHeight="1">
      <c r="A8136" s="7">
        <v>310.0</v>
      </c>
      <c r="B8136" s="9" t="s">
        <v>14489</v>
      </c>
      <c r="C8136" s="9" t="s">
        <v>14490</v>
      </c>
      <c r="D8136" s="9" t="s">
        <v>109</v>
      </c>
      <c r="E8136" s="6" t="s">
        <v>14499</v>
      </c>
      <c r="F8136" s="9"/>
    </row>
    <row r="8137" ht="33.75" customHeight="1">
      <c r="A8137" s="7">
        <v>310.0</v>
      </c>
      <c r="B8137" s="9" t="s">
        <v>14489</v>
      </c>
      <c r="C8137" s="9" t="s">
        <v>14490</v>
      </c>
      <c r="D8137" s="9" t="s">
        <v>647</v>
      </c>
      <c r="E8137" s="6" t="s">
        <v>14500</v>
      </c>
      <c r="F8137" s="9"/>
    </row>
    <row r="8138" ht="33.75" customHeight="1">
      <c r="A8138" s="7">
        <v>310.0</v>
      </c>
      <c r="B8138" s="9" t="s">
        <v>14489</v>
      </c>
      <c r="C8138" s="9" t="s">
        <v>14490</v>
      </c>
      <c r="D8138" s="9" t="s">
        <v>652</v>
      </c>
      <c r="E8138" s="6" t="s">
        <v>14501</v>
      </c>
      <c r="F8138" s="9"/>
    </row>
    <row r="8139" ht="33.75" customHeight="1">
      <c r="A8139" s="7">
        <v>310.0</v>
      </c>
      <c r="B8139" s="9" t="s">
        <v>14489</v>
      </c>
      <c r="C8139" s="9" t="s">
        <v>14490</v>
      </c>
      <c r="D8139" s="9" t="s">
        <v>114</v>
      </c>
      <c r="E8139" s="6" t="s">
        <v>14501</v>
      </c>
      <c r="F8139" s="9"/>
    </row>
    <row r="8140" ht="33.75" customHeight="1">
      <c r="A8140" s="7">
        <v>310.0</v>
      </c>
      <c r="B8140" s="9" t="s">
        <v>14489</v>
      </c>
      <c r="C8140" s="9" t="s">
        <v>14490</v>
      </c>
      <c r="D8140" s="9" t="s">
        <v>117</v>
      </c>
      <c r="E8140" s="6" t="s">
        <v>14494</v>
      </c>
      <c r="F8140" s="9"/>
    </row>
    <row r="8141" ht="33.75" customHeight="1">
      <c r="A8141" s="7">
        <v>311.0</v>
      </c>
      <c r="B8141" s="9" t="s">
        <v>14502</v>
      </c>
      <c r="C8141" s="9" t="s">
        <v>14503</v>
      </c>
      <c r="D8141" s="9" t="s">
        <v>67</v>
      </c>
      <c r="E8141" s="6" t="s">
        <v>14504</v>
      </c>
      <c r="F8141" t="inlineStr" s="10">
        <is>
          <t xml:space="preserve">PLUSLE toimii aina joukkuetovereidensa kannustajana. Aina kun joukkuetoveri suoriutuu taistelussa hyvin, tämä POKéMON oikosulkee kehonsa ja tuottaa kipinöiden rätinää osoittaakseen ilonsa. Kun PLUSLE kannustaa kumppaniaan, se sinkoaa sähköisiä kipinöitä kaikkialle kehoonsa. Jos kumppani häviää, tämä POKéMON itkee äänekkäästi. Sillä on kyky kannustaa toista POKéMONia. Oikosulkemalla tassuistaan ​​vapauttamansa sähkön se luo pom-pomeja kannustusta varten. Se kannustaa kumppaneitaan samalla kun sinkoaa kipinöitä kehostaan. Se kiipeää puhelinpylväitä pitkin absorboidakseen sähköä. Se kannustaa ystäviä kipinöistä tehdyillä pom-pomeilla. Se imee virtaa puhelinpylväistä. Se imee sähköä puhelinpylväistä. Se oikosulkee ruumiinsa ja tuottaa rätinää. Aina kun joukkuetoveri suoriutuu taistelussa hyvin, tämä Pokémon oikosulkee kehonsa ja tuottaa kipinöiden rätinää osoittaakseen iloaan.</t>
        </is>
      </c>
    </row>
    <row r="8142" ht="33.75" customHeight="1">
      <c r="A8142" s="7">
        <v>311.0</v>
      </c>
      <c r="B8142" s="9" t="s">
        <v>14502</v>
      </c>
      <c r="C8142" s="9" t="s">
        <v>14503</v>
      </c>
      <c r="D8142" s="9" t="s">
        <v>71</v>
      </c>
      <c r="E8142" s="6" t="s">
        <v>14505</v>
      </c>
      <c r="F8142" s="9"/>
    </row>
    <row r="8143" ht="33.75" customHeight="1">
      <c r="A8143" s="7">
        <v>311.0</v>
      </c>
      <c r="B8143" s="9" t="s">
        <v>14502</v>
      </c>
      <c r="C8143" s="9" t="s">
        <v>14503</v>
      </c>
      <c r="D8143" s="9" t="s">
        <v>73</v>
      </c>
      <c r="E8143" s="6" t="s">
        <v>14506</v>
      </c>
      <c r="F8143" s="9"/>
    </row>
    <row r="8144" ht="33.75" customHeight="1">
      <c r="A8144" s="7">
        <v>311.0</v>
      </c>
      <c r="B8144" s="9" t="s">
        <v>14502</v>
      </c>
      <c r="C8144" s="9" t="s">
        <v>14503</v>
      </c>
      <c r="D8144" s="9" t="s">
        <v>75</v>
      </c>
      <c r="E8144" s="6" t="s">
        <v>14507</v>
      </c>
      <c r="F8144" s="9"/>
    </row>
    <row r="8145" ht="33.75" customHeight="1">
      <c r="A8145" s="7">
        <v>311.0</v>
      </c>
      <c r="B8145" s="9" t="s">
        <v>14502</v>
      </c>
      <c r="C8145" s="9" t="s">
        <v>14503</v>
      </c>
      <c r="D8145" s="9" t="s">
        <v>79</v>
      </c>
      <c r="E8145" s="6" t="s">
        <v>14507</v>
      </c>
      <c r="F8145" s="9"/>
    </row>
    <row r="8146" ht="33.75" customHeight="1">
      <c r="A8146" s="7">
        <v>311.0</v>
      </c>
      <c r="B8146" s="9" t="s">
        <v>14502</v>
      </c>
      <c r="C8146" s="9" t="s">
        <v>14503</v>
      </c>
      <c r="D8146" s="9" t="s">
        <v>81</v>
      </c>
      <c r="E8146" s="6" t="s">
        <v>14508</v>
      </c>
      <c r="F8146" s="9"/>
    </row>
    <row r="8147" ht="33.75" customHeight="1">
      <c r="A8147" s="7">
        <v>311.0</v>
      </c>
      <c r="B8147" s="9" t="s">
        <v>14502</v>
      </c>
      <c r="C8147" s="9" t="s">
        <v>14503</v>
      </c>
      <c r="D8147" s="9" t="s">
        <v>84</v>
      </c>
      <c r="E8147" s="6" t="s">
        <v>14508</v>
      </c>
      <c r="F8147" s="9"/>
    </row>
    <row r="8148" ht="33.75" customHeight="1">
      <c r="A8148" s="7">
        <v>311.0</v>
      </c>
      <c r="B8148" s="9" t="s">
        <v>14502</v>
      </c>
      <c r="C8148" s="9" t="s">
        <v>14503</v>
      </c>
      <c r="D8148" s="9" t="s">
        <v>87</v>
      </c>
      <c r="E8148" s="6" t="s">
        <v>14508</v>
      </c>
      <c r="F8148" s="9"/>
    </row>
    <row r="8149" ht="33.75" customHeight="1">
      <c r="A8149" s="7">
        <v>311.0</v>
      </c>
      <c r="B8149" s="9" t="s">
        <v>14502</v>
      </c>
      <c r="C8149" s="9" t="s">
        <v>14503</v>
      </c>
      <c r="D8149" s="9" t="s">
        <v>89</v>
      </c>
      <c r="E8149" s="6" t="s">
        <v>14509</v>
      </c>
      <c r="F8149" s="9"/>
    </row>
    <row r="8150" ht="33.75" customHeight="1">
      <c r="A8150" s="7">
        <v>311.0</v>
      </c>
      <c r="B8150" s="9" t="s">
        <v>14502</v>
      </c>
      <c r="C8150" s="9" t="s">
        <v>14503</v>
      </c>
      <c r="D8150" s="9" t="s">
        <v>91</v>
      </c>
      <c r="E8150" s="6" t="s">
        <v>14509</v>
      </c>
      <c r="F8150" s="9"/>
    </row>
    <row r="8151" ht="33.75" customHeight="1">
      <c r="A8151" s="7">
        <v>311.0</v>
      </c>
      <c r="B8151" s="9" t="s">
        <v>14502</v>
      </c>
      <c r="C8151" s="9" t="s">
        <v>14503</v>
      </c>
      <c r="D8151" s="9" t="s">
        <v>93</v>
      </c>
      <c r="E8151" s="6" t="s">
        <v>14508</v>
      </c>
      <c r="F8151" s="9"/>
    </row>
    <row r="8152" ht="33.75" customHeight="1">
      <c r="A8152" s="7">
        <v>311.0</v>
      </c>
      <c r="B8152" s="9" t="s">
        <v>14502</v>
      </c>
      <c r="C8152" s="9" t="s">
        <v>14503</v>
      </c>
      <c r="D8152" s="9" t="s">
        <v>95</v>
      </c>
      <c r="E8152" s="6" t="s">
        <v>14508</v>
      </c>
      <c r="F8152" s="9"/>
    </row>
    <row r="8153" ht="33.75" customHeight="1">
      <c r="A8153" s="7">
        <v>311.0</v>
      </c>
      <c r="B8153" s="9" t="s">
        <v>14502</v>
      </c>
      <c r="C8153" s="9" t="s">
        <v>14503</v>
      </c>
      <c r="D8153" s="9" t="s">
        <v>98</v>
      </c>
      <c r="E8153" s="6" t="s">
        <v>14508</v>
      </c>
      <c r="F8153" s="9"/>
    </row>
    <row r="8154" ht="33.75" customHeight="1">
      <c r="A8154" s="7">
        <v>311.0</v>
      </c>
      <c r="B8154" s="9" t="s">
        <v>14502</v>
      </c>
      <c r="C8154" s="9" t="s">
        <v>14503</v>
      </c>
      <c r="D8154" s="9" t="s">
        <v>99</v>
      </c>
      <c r="E8154" s="6" t="s">
        <v>14508</v>
      </c>
      <c r="F8154" s="9"/>
    </row>
    <row r="8155" ht="33.75" customHeight="1">
      <c r="A8155" s="7">
        <v>311.0</v>
      </c>
      <c r="B8155" s="9" t="s">
        <v>14502</v>
      </c>
      <c r="C8155" s="9" t="s">
        <v>14503</v>
      </c>
      <c r="D8155" s="9" t="s">
        <v>101</v>
      </c>
      <c r="E8155" s="6" t="s">
        <v>14508</v>
      </c>
      <c r="F8155" s="9"/>
    </row>
    <row r="8156" ht="33.75" customHeight="1">
      <c r="A8156" s="7">
        <v>311.0</v>
      </c>
      <c r="B8156" s="9" t="s">
        <v>14502</v>
      </c>
      <c r="C8156" s="9" t="s">
        <v>14503</v>
      </c>
      <c r="D8156" s="9" t="s">
        <v>105</v>
      </c>
      <c r="E8156" s="6" t="s">
        <v>14509</v>
      </c>
      <c r="F8156" s="9"/>
    </row>
    <row r="8157" ht="33.75" customHeight="1">
      <c r="A8157" s="7">
        <v>311.0</v>
      </c>
      <c r="B8157" s="9" t="s">
        <v>14502</v>
      </c>
      <c r="C8157" s="9" t="s">
        <v>14503</v>
      </c>
      <c r="D8157" s="9" t="s">
        <v>107</v>
      </c>
      <c r="E8157" s="6" t="s">
        <v>14510</v>
      </c>
      <c r="F8157" s="9"/>
    </row>
    <row r="8158" ht="33.75" customHeight="1">
      <c r="A8158" s="7">
        <v>311.0</v>
      </c>
      <c r="B8158" s="9" t="s">
        <v>14502</v>
      </c>
      <c r="C8158" s="9" t="s">
        <v>14503</v>
      </c>
      <c r="D8158" s="9" t="s">
        <v>109</v>
      </c>
      <c r="E8158" s="6" t="s">
        <v>14511</v>
      </c>
      <c r="F8158" s="9"/>
    </row>
    <row r="8159" ht="33.75" customHeight="1">
      <c r="A8159" s="7">
        <v>312.0</v>
      </c>
      <c r="B8159" s="9" t="s">
        <v>14512</v>
      </c>
      <c r="C8159" s="9" t="s">
        <v>14503</v>
      </c>
      <c r="D8159" s="9" t="s">
        <v>67</v>
      </c>
      <c r="E8159" s="6" t="s">
        <v>14513</v>
      </c>
      <c r="F8159" t="inlineStr" s="10">
        <is>
          <t xml:space="preserve">MINUN on enemmän huolissaan kumppaneidensa kannustamisesta kuin omasta turvallisuudestaan. Se oikosulkee kehossaan olevan sähkön luodakseen loistavia kipinäsuihkuja kannustaakseen joukkuetovereitaan. MINUN rakastaa kannustaa taistelukumppaniaan. Se päästää kipinöitä kehostaan ​​samalla. Jos sen kumppani on pulassa, tämä POKéMON päästää yhä enemmän kipinöitä. POKéMON-akateemikkojen kokouksessa ilmoitettiin, että samanaikainen altistuminen PLUSLEn ja MINUNin sähkölle edistää verenkiertoa ja lisää elinvoimaa. Koska se ei pidä vedestä, se hakeutuu suojaan sateella talojen räystäiden alle. Se käyttää kipinöistä tehtyjä pom-pomeja hurraamiseen. Se kannustaa ystäviään. Jos sen ystävät häviävät, sen keho päästää yhä enemmän kipinöitä. MINUNin ja PLUSLEn sähkölle altistuminen edistää verenkiertoa ja rentouttaa lihaksia. Minun on enemmän huolissaan joukkuetovereidensa kannustamisesta kuin omasta turvallisuudestaan. Minun rakastaa kannustaa kumppaniaan taistelussa.</t>
        </is>
      </c>
    </row>
    <row r="8160" ht="33.75" customHeight="1">
      <c r="A8160" s="7">
        <v>312.0</v>
      </c>
      <c r="B8160" s="9" t="s">
        <v>14512</v>
      </c>
      <c r="C8160" s="9" t="s">
        <v>14503</v>
      </c>
      <c r="D8160" s="9" t="s">
        <v>71</v>
      </c>
      <c r="E8160" s="6" t="s">
        <v>14514</v>
      </c>
      <c r="F8160" s="9"/>
    </row>
    <row r="8161" ht="33.75" customHeight="1">
      <c r="A8161" s="7">
        <v>312.0</v>
      </c>
      <c r="B8161" s="9" t="s">
        <v>14512</v>
      </c>
      <c r="C8161" s="9" t="s">
        <v>14503</v>
      </c>
      <c r="D8161" s="9" t="s">
        <v>73</v>
      </c>
      <c r="E8161" s="6" t="s">
        <v>14515</v>
      </c>
      <c r="F8161" s="9"/>
    </row>
    <row r="8162" ht="33.75" customHeight="1">
      <c r="A8162" s="7">
        <v>312.0</v>
      </c>
      <c r="B8162" s="9" t="s">
        <v>14512</v>
      </c>
      <c r="C8162" s="9" t="s">
        <v>14503</v>
      </c>
      <c r="D8162" s="9" t="s">
        <v>75</v>
      </c>
      <c r="E8162" s="6" t="s">
        <v>14516</v>
      </c>
      <c r="F8162" s="9"/>
    </row>
    <row r="8163" ht="33.75" customHeight="1">
      <c r="A8163" s="7">
        <v>312.0</v>
      </c>
      <c r="B8163" s="9" t="s">
        <v>14512</v>
      </c>
      <c r="C8163" s="9" t="s">
        <v>14503</v>
      </c>
      <c r="D8163" s="9" t="s">
        <v>79</v>
      </c>
      <c r="E8163" s="6" t="s">
        <v>14516</v>
      </c>
      <c r="F8163" s="9"/>
    </row>
    <row r="8164" ht="33.75" customHeight="1">
      <c r="A8164" s="7">
        <v>312.0</v>
      </c>
      <c r="B8164" s="9" t="s">
        <v>14512</v>
      </c>
      <c r="C8164" s="9" t="s">
        <v>14503</v>
      </c>
      <c r="D8164" s="9" t="s">
        <v>81</v>
      </c>
      <c r="E8164" s="6" t="s">
        <v>14517</v>
      </c>
      <c r="F8164" s="9"/>
    </row>
    <row r="8165" ht="33.75" customHeight="1">
      <c r="A8165" s="7">
        <v>312.0</v>
      </c>
      <c r="B8165" s="9" t="s">
        <v>14512</v>
      </c>
      <c r="C8165" s="9" t="s">
        <v>14503</v>
      </c>
      <c r="D8165" s="9" t="s">
        <v>84</v>
      </c>
      <c r="E8165" s="6" t="s">
        <v>14517</v>
      </c>
      <c r="F8165" s="9"/>
    </row>
    <row r="8166" ht="33.75" customHeight="1">
      <c r="A8166" s="7">
        <v>312.0</v>
      </c>
      <c r="B8166" s="9" t="s">
        <v>14512</v>
      </c>
      <c r="C8166" s="9" t="s">
        <v>14503</v>
      </c>
      <c r="D8166" s="9" t="s">
        <v>87</v>
      </c>
      <c r="E8166" s="6" t="s">
        <v>14517</v>
      </c>
      <c r="F8166" s="9"/>
    </row>
    <row r="8167" ht="33.75" customHeight="1">
      <c r="A8167" s="7">
        <v>312.0</v>
      </c>
      <c r="B8167" s="9" t="s">
        <v>14512</v>
      </c>
      <c r="C8167" s="9" t="s">
        <v>14503</v>
      </c>
      <c r="D8167" s="9" t="s">
        <v>89</v>
      </c>
      <c r="E8167" s="6" t="s">
        <v>14519</v>
      </c>
      <c r="F8167" s="9"/>
    </row>
    <row r="8168" ht="33.75" customHeight="1">
      <c r="A8168" s="7">
        <v>312.0</v>
      </c>
      <c r="B8168" s="9" t="s">
        <v>14512</v>
      </c>
      <c r="C8168" s="9" t="s">
        <v>14503</v>
      </c>
      <c r="D8168" s="9" t="s">
        <v>91</v>
      </c>
      <c r="E8168" s="6" t="s">
        <v>14519</v>
      </c>
      <c r="F8168" s="9"/>
    </row>
    <row r="8169" ht="33.75" customHeight="1">
      <c r="A8169" s="7">
        <v>312.0</v>
      </c>
      <c r="B8169" s="9" t="s">
        <v>14512</v>
      </c>
      <c r="C8169" s="9" t="s">
        <v>14503</v>
      </c>
      <c r="D8169" s="9" t="s">
        <v>93</v>
      </c>
      <c r="E8169" s="6" t="s">
        <v>14517</v>
      </c>
      <c r="F8169" s="9"/>
    </row>
    <row r="8170" ht="33.75" customHeight="1">
      <c r="A8170" s="7">
        <v>312.0</v>
      </c>
      <c r="B8170" s="9" t="s">
        <v>14512</v>
      </c>
      <c r="C8170" s="9" t="s">
        <v>14503</v>
      </c>
      <c r="D8170" s="9" t="s">
        <v>95</v>
      </c>
      <c r="E8170" s="6" t="s">
        <v>14517</v>
      </c>
      <c r="F8170" s="9"/>
    </row>
    <row r="8171" ht="33.75" customHeight="1">
      <c r="A8171" s="7">
        <v>312.0</v>
      </c>
      <c r="B8171" s="9" t="s">
        <v>14512</v>
      </c>
      <c r="C8171" s="9" t="s">
        <v>14503</v>
      </c>
      <c r="D8171" s="9" t="s">
        <v>98</v>
      </c>
      <c r="E8171" s="6" t="s">
        <v>14517</v>
      </c>
      <c r="F8171" s="9"/>
    </row>
    <row r="8172" ht="33.75" customHeight="1">
      <c r="A8172" s="7">
        <v>312.0</v>
      </c>
      <c r="B8172" s="9" t="s">
        <v>14512</v>
      </c>
      <c r="C8172" s="9" t="s">
        <v>14503</v>
      </c>
      <c r="D8172" s="9" t="s">
        <v>99</v>
      </c>
      <c r="E8172" s="6" t="s">
        <v>14517</v>
      </c>
      <c r="F8172" s="9"/>
    </row>
    <row r="8173" ht="33.75" customHeight="1">
      <c r="A8173" s="7">
        <v>312.0</v>
      </c>
      <c r="B8173" s="9" t="s">
        <v>14512</v>
      </c>
      <c r="C8173" s="9" t="s">
        <v>14503</v>
      </c>
      <c r="D8173" s="9" t="s">
        <v>101</v>
      </c>
      <c r="E8173" s="6" t="s">
        <v>14520</v>
      </c>
      <c r="F8173" s="9"/>
    </row>
    <row r="8174" ht="33.75" customHeight="1">
      <c r="A8174" s="7">
        <v>312.0</v>
      </c>
      <c r="B8174" s="9" t="s">
        <v>14512</v>
      </c>
      <c r="C8174" s="9" t="s">
        <v>14503</v>
      </c>
      <c r="D8174" s="9" t="s">
        <v>105</v>
      </c>
      <c r="E8174" s="6" t="s">
        <v>14517</v>
      </c>
      <c r="F8174" s="9"/>
    </row>
    <row r="8175" ht="33.75" customHeight="1">
      <c r="A8175" s="7">
        <v>312.0</v>
      </c>
      <c r="B8175" s="9" t="s">
        <v>14512</v>
      </c>
      <c r="C8175" s="9" t="s">
        <v>14503</v>
      </c>
      <c r="D8175" s="9" t="s">
        <v>107</v>
      </c>
      <c r="E8175" s="6" t="s">
        <v>14521</v>
      </c>
      <c r="F8175" s="9"/>
    </row>
    <row r="8176" ht="33.75" customHeight="1">
      <c r="A8176" s="7">
        <v>312.0</v>
      </c>
      <c r="B8176" s="9" t="s">
        <v>14512</v>
      </c>
      <c r="C8176" s="9" t="s">
        <v>14503</v>
      </c>
      <c r="D8176" s="9" t="s">
        <v>109</v>
      </c>
      <c r="E8176" s="6" t="s">
        <v>14522</v>
      </c>
      <c r="F8176" s="9"/>
    </row>
    <row r="8177" ht="33.75" customHeight="1">
      <c r="A8177" s="7">
        <v>313.0</v>
      </c>
      <c r="B8177" s="9" t="s">
        <v>14523</v>
      </c>
      <c r="C8177" s="9" t="s">
        <v>14524</v>
      </c>
      <c r="D8177" s="9" t="s">
        <v>67</v>
      </c>
      <c r="E8177" s="6" t="s">
        <v>14525</v>
      </c>
      <c r="F8177" t="inlineStr" s="10">
        <is>
          <t xml:space="preserve">Yön saapuessa VOLBEAT lähettää valoa pyrstöstään. Se kommunikoi muiden kanssa säätämällä valonsa voimakkuutta ja välähdyksiä. Tätä POKéMONIA houkuttelee ILLUMISEn makea tuoksu. VOLBEATin häntä hehkuu kuin hehkulamppu. Muiden VOLBEATien tavoin se käyttää häntäänsä piirtääkseen geometrisia muotoja yötaivaalle. Tämä POKéMON rakastaa ILLUMISEn levittämää makeaa tuoksua. Takavalot sytytettyinä VOLBEAT-linnut lentävät parvessa piirtäen geometrisia kuvioita yötaivaalle. Ne siirtävät pesäänsä, jos niiden lammen vesi likaantuu. Se elää puhtaiden lampien ympärillä. Yöllä sen takaosa valaisee itsensä. Se keskustelee muiden kanssa vilkuttamalla valoaan. Se kommunikoi muiden kanssa valaisemalla takapuolensa yöllä. Se rakastaa ILLUMISEn makeaa tuoksua. Se kommunikoi lähettämällä valoa pyrstöstään. Se rakastaa ILLUMISE-laitteen tuomaa makeaa tuoksua. Muiden Volbeattien kanssa se käyttää häntäänsä piirtääkseen geometrisia muotoja yötaivaalle.</t>
        </is>
      </c>
    </row>
    <row r="8178" ht="33.75" customHeight="1">
      <c r="A8178" s="7">
        <v>313.0</v>
      </c>
      <c r="B8178" s="9" t="s">
        <v>14523</v>
      </c>
      <c r="C8178" s="9" t="s">
        <v>14524</v>
      </c>
      <c r="D8178" s="9" t="s">
        <v>71</v>
      </c>
      <c r="E8178" s="6" t="s">
        <v>14526</v>
      </c>
      <c r="F8178" s="9"/>
    </row>
    <row r="8179" ht="33.75" customHeight="1">
      <c r="A8179" s="7">
        <v>313.0</v>
      </c>
      <c r="B8179" s="9" t="s">
        <v>14523</v>
      </c>
      <c r="C8179" s="9" t="s">
        <v>14524</v>
      </c>
      <c r="D8179" s="9" t="s">
        <v>73</v>
      </c>
      <c r="E8179" s="6" t="s">
        <v>14527</v>
      </c>
      <c r="F8179" s="9"/>
    </row>
    <row r="8180" ht="33.75" customHeight="1">
      <c r="A8180" s="7">
        <v>313.0</v>
      </c>
      <c r="B8180" s="9" t="s">
        <v>14523</v>
      </c>
      <c r="C8180" s="9" t="s">
        <v>14524</v>
      </c>
      <c r="D8180" s="9" t="s">
        <v>75</v>
      </c>
      <c r="E8180" s="6" t="s">
        <v>14528</v>
      </c>
      <c r="F8180" s="9"/>
    </row>
    <row r="8181" ht="33.75" customHeight="1">
      <c r="A8181" s="7">
        <v>313.0</v>
      </c>
      <c r="B8181" s="9" t="s">
        <v>14523</v>
      </c>
      <c r="C8181" s="9" t="s">
        <v>14524</v>
      </c>
      <c r="D8181" s="9" t="s">
        <v>79</v>
      </c>
      <c r="E8181" s="6" t="s">
        <v>14528</v>
      </c>
      <c r="F8181" s="9"/>
    </row>
    <row r="8182" ht="33.75" customHeight="1">
      <c r="A8182" s="7">
        <v>313.0</v>
      </c>
      <c r="B8182" s="9" t="s">
        <v>14523</v>
      </c>
      <c r="C8182" s="9" t="s">
        <v>14524</v>
      </c>
      <c r="D8182" s="9" t="s">
        <v>81</v>
      </c>
      <c r="E8182" s="6" t="s">
        <v>14529</v>
      </c>
      <c r="F8182" s="9"/>
    </row>
    <row r="8183" ht="33.75" customHeight="1">
      <c r="A8183" s="7">
        <v>313.0</v>
      </c>
      <c r="B8183" s="9" t="s">
        <v>14523</v>
      </c>
      <c r="C8183" s="9" t="s">
        <v>14524</v>
      </c>
      <c r="D8183" s="9" t="s">
        <v>84</v>
      </c>
      <c r="E8183" s="6" t="s">
        <v>14529</v>
      </c>
      <c r="F8183" s="9"/>
    </row>
    <row r="8184" ht="33.75" customHeight="1">
      <c r="A8184" s="7">
        <v>313.0</v>
      </c>
      <c r="B8184" s="9" t="s">
        <v>14523</v>
      </c>
      <c r="C8184" s="9" t="s">
        <v>14524</v>
      </c>
      <c r="D8184" s="9" t="s">
        <v>87</v>
      </c>
      <c r="E8184" s="6" t="s">
        <v>14529</v>
      </c>
      <c r="F8184" s="9"/>
    </row>
    <row r="8185" ht="33.75" customHeight="1">
      <c r="A8185" s="7">
        <v>313.0</v>
      </c>
      <c r="B8185" s="9" t="s">
        <v>14523</v>
      </c>
      <c r="C8185" s="9" t="s">
        <v>14524</v>
      </c>
      <c r="D8185" s="9" t="s">
        <v>89</v>
      </c>
      <c r="E8185" s="6" t="s">
        <v>14530</v>
      </c>
      <c r="F8185" s="9"/>
    </row>
    <row r="8186" ht="33.75" customHeight="1">
      <c r="A8186" s="7">
        <v>313.0</v>
      </c>
      <c r="B8186" s="9" t="s">
        <v>14523</v>
      </c>
      <c r="C8186" s="9" t="s">
        <v>14524</v>
      </c>
      <c r="D8186" s="9" t="s">
        <v>91</v>
      </c>
      <c r="E8186" s="6" t="s">
        <v>14530</v>
      </c>
      <c r="F8186" s="9"/>
    </row>
    <row r="8187" ht="33.75" customHeight="1">
      <c r="A8187" s="7">
        <v>313.0</v>
      </c>
      <c r="B8187" s="9" t="s">
        <v>14523</v>
      </c>
      <c r="C8187" s="9" t="s">
        <v>14524</v>
      </c>
      <c r="D8187" s="9" t="s">
        <v>93</v>
      </c>
      <c r="E8187" s="6" t="s">
        <v>14531</v>
      </c>
      <c r="F8187" s="9"/>
    </row>
    <row r="8188" ht="33.75" customHeight="1">
      <c r="A8188" s="7">
        <v>313.0</v>
      </c>
      <c r="B8188" s="9" t="s">
        <v>14523</v>
      </c>
      <c r="C8188" s="9" t="s">
        <v>14524</v>
      </c>
      <c r="D8188" s="9" t="s">
        <v>95</v>
      </c>
      <c r="E8188" s="6" t="s">
        <v>14531</v>
      </c>
      <c r="F8188" s="9"/>
    </row>
    <row r="8189" ht="33.75" customHeight="1">
      <c r="A8189" s="7">
        <v>313.0</v>
      </c>
      <c r="B8189" s="9" t="s">
        <v>14523</v>
      </c>
      <c r="C8189" s="9" t="s">
        <v>14524</v>
      </c>
      <c r="D8189" s="9" t="s">
        <v>98</v>
      </c>
      <c r="E8189" s="6" t="s">
        <v>14531</v>
      </c>
      <c r="F8189" s="9"/>
    </row>
    <row r="8190" ht="33.75" customHeight="1">
      <c r="A8190" s="7">
        <v>313.0</v>
      </c>
      <c r="B8190" s="9" t="s">
        <v>14523</v>
      </c>
      <c r="C8190" s="9" t="s">
        <v>14524</v>
      </c>
      <c r="D8190" s="9" t="s">
        <v>99</v>
      </c>
      <c r="E8190" s="6" t="s">
        <v>14531</v>
      </c>
      <c r="F8190" s="9"/>
    </row>
    <row r="8191" ht="33.75" customHeight="1">
      <c r="A8191" s="7">
        <v>313.0</v>
      </c>
      <c r="B8191" s="9" t="s">
        <v>14523</v>
      </c>
      <c r="C8191" s="9" t="s">
        <v>14524</v>
      </c>
      <c r="D8191" s="9" t="s">
        <v>101</v>
      </c>
      <c r="E8191" s="6" t="s">
        <v>14531</v>
      </c>
      <c r="F8191" s="9"/>
    </row>
    <row r="8192" ht="33.75" customHeight="1">
      <c r="A8192" s="7">
        <v>313.0</v>
      </c>
      <c r="B8192" s="9" t="s">
        <v>14523</v>
      </c>
      <c r="C8192" s="9" t="s">
        <v>14524</v>
      </c>
      <c r="D8192" s="9" t="s">
        <v>105</v>
      </c>
      <c r="E8192" s="6" t="s">
        <v>14528</v>
      </c>
      <c r="F8192" s="9"/>
    </row>
    <row r="8193" ht="33.75" customHeight="1">
      <c r="A8193" s="7">
        <v>313.0</v>
      </c>
      <c r="B8193" s="9" t="s">
        <v>14523</v>
      </c>
      <c r="C8193" s="9" t="s">
        <v>14524</v>
      </c>
      <c r="D8193" s="9" t="s">
        <v>107</v>
      </c>
      <c r="E8193" s="6" t="s">
        <v>14533</v>
      </c>
      <c r="F8193" s="9"/>
    </row>
    <row r="8194" ht="33.75" customHeight="1">
      <c r="A8194" s="7">
        <v>313.0</v>
      </c>
      <c r="B8194" s="9" t="s">
        <v>14523</v>
      </c>
      <c r="C8194" s="9" t="s">
        <v>14524</v>
      </c>
      <c r="D8194" s="9" t="s">
        <v>109</v>
      </c>
      <c r="E8194" s="6" t="s">
        <v>14534</v>
      </c>
      <c r="F8194" s="9"/>
    </row>
    <row r="8195" ht="33.75" customHeight="1">
      <c r="A8195" s="7">
        <v>314.0</v>
      </c>
      <c r="B8195" s="9" t="s">
        <v>14535</v>
      </c>
      <c r="C8195" s="9" t="s">
        <v>14524</v>
      </c>
      <c r="D8195" s="9" t="s">
        <v>67</v>
      </c>
      <c r="E8195" s="6" t="s">
        <v>14536</v>
      </c>
      <c r="F8195" t="inlineStr" s="10">
        <is>
          <t xml:space="preserve">ILLUMISE houkuttelee parven VOLBEAT-olentoja makealla tuoksullaan. Kun VOLBEATit ovat kokoontuneet, tämä POKéMON johdattaa valaistun parven piirtämään geometrisia kuvioita yötaivaan kankaalle. ILLUMISE johtaa valaistujen VOLBEAT-rakettien lentoa piirtääkseen merkkejä yötaivaalle. Tämän POKéMONin sanotaan ansaitsevan suuremman arvostuksen kilpailijoiltaan luomalla monimutkaisempia kuvioita taivaalle. Yöllinen POKéMON, joka aktivoituu pimeän tultua. Se johtaa VOLBEAT-parvea piirtämään kuvioita yötaivaalle. Yli 200 erilaista kuviota on vahvistettu. Se ohjaa VOLBEATia piirtämään merkkejä yötaivaalle. On olemassa tiedemiehiä, jotka tutkivat sen luomia kuvioita. Makealla tuoksullaan se ohjaa VOLBEATia piirtämään merkkejä valolla yötaivaalle. Sen tuoksu houkuttelee parven VOLBEAT-säteilijöitä, joten ne piirtävät yli 200 kuviota yötaivaalle. Makealla tuoksullaan se opastaa Volbeatia piirtämään merkkejä valolla yötaivaalle. Sen tuoksu houkuttelee parven Volbeat-musiikkia, joten ne piirtävät yli 200 kuviota yötaivaalle. Illumise houkuttelee Volbeat-parven makealla tuoksullaan. Kun Volbeatit ovat kokoontuneet, tämä Pokémon johtaa valaistua parvea piirtämään geometrisia kuvioita yötaivaan kankaalle. Illumise johtaa valaistujen Volbeat-hahmojen lentoa piirtääkseen merkkejä yötaivaalle. Tämän Pokémonin sanotaan ansaitsevan enemmän kunnioitusta vertaisiltaan luomalla monimutkaisempia kuvioita taivaalle.</t>
        </is>
      </c>
    </row>
    <row r="8196" ht="33.75" customHeight="1">
      <c r="A8196" s="7">
        <v>314.0</v>
      </c>
      <c r="B8196" s="9" t="s">
        <v>14535</v>
      </c>
      <c r="C8196" s="9" t="s">
        <v>14524</v>
      </c>
      <c r="D8196" s="9" t="s">
        <v>71</v>
      </c>
      <c r="E8196" s="6" t="s">
        <v>14537</v>
      </c>
      <c r="F8196" s="9"/>
    </row>
    <row r="8197" ht="33.75" customHeight="1">
      <c r="A8197" s="7">
        <v>314.0</v>
      </c>
      <c r="B8197" s="9" t="s">
        <v>14535</v>
      </c>
      <c r="C8197" s="9" t="s">
        <v>14524</v>
      </c>
      <c r="D8197" s="9" t="s">
        <v>73</v>
      </c>
      <c r="E8197" s="6" t="s">
        <v>14538</v>
      </c>
      <c r="F8197" s="9"/>
    </row>
    <row r="8198" ht="33.75" customHeight="1">
      <c r="A8198" s="7">
        <v>314.0</v>
      </c>
      <c r="B8198" s="9" t="s">
        <v>14535</v>
      </c>
      <c r="C8198" s="9" t="s">
        <v>14524</v>
      </c>
      <c r="D8198" s="9" t="s">
        <v>75</v>
      </c>
      <c r="E8198" s="6" t="s">
        <v>14539</v>
      </c>
      <c r="F8198" s="9"/>
    </row>
    <row r="8199" ht="33.75" customHeight="1">
      <c r="A8199" s="7">
        <v>314.0</v>
      </c>
      <c r="B8199" s="9" t="s">
        <v>14535</v>
      </c>
      <c r="C8199" s="9" t="s">
        <v>14524</v>
      </c>
      <c r="D8199" s="9" t="s">
        <v>79</v>
      </c>
      <c r="E8199" s="6" t="s">
        <v>14539</v>
      </c>
      <c r="F8199" s="9"/>
    </row>
    <row r="8200" ht="33.75" customHeight="1">
      <c r="A8200" s="7">
        <v>314.0</v>
      </c>
      <c r="B8200" s="9" t="s">
        <v>14535</v>
      </c>
      <c r="C8200" s="9" t="s">
        <v>14524</v>
      </c>
      <c r="D8200" s="9" t="s">
        <v>81</v>
      </c>
      <c r="E8200" s="6" t="s">
        <v>14540</v>
      </c>
      <c r="F8200" s="9"/>
    </row>
    <row r="8201" ht="33.75" customHeight="1">
      <c r="A8201" s="7">
        <v>314.0</v>
      </c>
      <c r="B8201" s="9" t="s">
        <v>14535</v>
      </c>
      <c r="C8201" s="9" t="s">
        <v>14524</v>
      </c>
      <c r="D8201" s="9" t="s">
        <v>84</v>
      </c>
      <c r="E8201" s="6" t="s">
        <v>14540</v>
      </c>
      <c r="F8201" s="9"/>
    </row>
    <row r="8202" ht="33.75" customHeight="1">
      <c r="A8202" s="7">
        <v>314.0</v>
      </c>
      <c r="B8202" s="9" t="s">
        <v>14535</v>
      </c>
      <c r="C8202" s="9" t="s">
        <v>14524</v>
      </c>
      <c r="D8202" s="9" t="s">
        <v>87</v>
      </c>
      <c r="E8202" s="6" t="s">
        <v>14540</v>
      </c>
      <c r="F8202" s="9"/>
    </row>
    <row r="8203" ht="33.75" customHeight="1">
      <c r="A8203" s="7">
        <v>314.0</v>
      </c>
      <c r="B8203" s="9" t="s">
        <v>14535</v>
      </c>
      <c r="C8203" s="9" t="s">
        <v>14524</v>
      </c>
      <c r="D8203" s="9" t="s">
        <v>89</v>
      </c>
      <c r="E8203" s="6" t="s">
        <v>14541</v>
      </c>
      <c r="F8203" s="9"/>
    </row>
    <row r="8204" ht="33.75" customHeight="1">
      <c r="A8204" s="7">
        <v>314.0</v>
      </c>
      <c r="B8204" s="9" t="s">
        <v>14535</v>
      </c>
      <c r="C8204" s="9" t="s">
        <v>14524</v>
      </c>
      <c r="D8204" s="9" t="s">
        <v>91</v>
      </c>
      <c r="E8204" s="6" t="s">
        <v>14541</v>
      </c>
      <c r="F8204" s="9"/>
    </row>
    <row r="8205" ht="33.75" customHeight="1">
      <c r="A8205" s="7">
        <v>314.0</v>
      </c>
      <c r="B8205" s="9" t="s">
        <v>14535</v>
      </c>
      <c r="C8205" s="9" t="s">
        <v>14524</v>
      </c>
      <c r="D8205" s="9" t="s">
        <v>93</v>
      </c>
      <c r="E8205" s="6" t="s">
        <v>14542</v>
      </c>
      <c r="F8205" s="9"/>
    </row>
    <row r="8206" ht="33.75" customHeight="1">
      <c r="A8206" s="7">
        <v>314.0</v>
      </c>
      <c r="B8206" s="9" t="s">
        <v>14535</v>
      </c>
      <c r="C8206" s="9" t="s">
        <v>14524</v>
      </c>
      <c r="D8206" s="9" t="s">
        <v>95</v>
      </c>
      <c r="E8206" s="6" t="s">
        <v>14542</v>
      </c>
      <c r="F8206" s="9"/>
    </row>
    <row r="8207" ht="33.75" customHeight="1">
      <c r="A8207" s="7">
        <v>314.0</v>
      </c>
      <c r="B8207" s="9" t="s">
        <v>14535</v>
      </c>
      <c r="C8207" s="9" t="s">
        <v>14524</v>
      </c>
      <c r="D8207" s="9" t="s">
        <v>98</v>
      </c>
      <c r="E8207" s="6" t="s">
        <v>14542</v>
      </c>
      <c r="F8207" s="9"/>
    </row>
    <row r="8208" ht="33.75" customHeight="1">
      <c r="A8208" s="7">
        <v>314.0</v>
      </c>
      <c r="B8208" s="9" t="s">
        <v>14535</v>
      </c>
      <c r="C8208" s="9" t="s">
        <v>14524</v>
      </c>
      <c r="D8208" s="9" t="s">
        <v>99</v>
      </c>
      <c r="E8208" s="6" t="s">
        <v>14542</v>
      </c>
      <c r="F8208" s="9"/>
    </row>
    <row r="8209" ht="33.75" customHeight="1">
      <c r="A8209" s="7">
        <v>314.0</v>
      </c>
      <c r="B8209" s="9" t="s">
        <v>14535</v>
      </c>
      <c r="C8209" s="9" t="s">
        <v>14524</v>
      </c>
      <c r="D8209" s="9" t="s">
        <v>101</v>
      </c>
      <c r="E8209" s="6" t="s">
        <v>14544</v>
      </c>
      <c r="F8209" s="9"/>
    </row>
    <row r="8210" ht="33.75" customHeight="1">
      <c r="A8210" s="7">
        <v>314.0</v>
      </c>
      <c r="B8210" s="9" t="s">
        <v>14535</v>
      </c>
      <c r="C8210" s="9" t="s">
        <v>14524</v>
      </c>
      <c r="D8210" s="9" t="s">
        <v>105</v>
      </c>
      <c r="E8210" s="6" t="s">
        <v>14542</v>
      </c>
      <c r="F8210" s="9"/>
    </row>
    <row r="8211" ht="33.75" customHeight="1">
      <c r="A8211" s="7">
        <v>314.0</v>
      </c>
      <c r="B8211" s="9" t="s">
        <v>14535</v>
      </c>
      <c r="C8211" s="9" t="s">
        <v>14524</v>
      </c>
      <c r="D8211" s="9" t="s">
        <v>107</v>
      </c>
      <c r="E8211" s="6" t="s">
        <v>14545</v>
      </c>
      <c r="F8211" s="9"/>
    </row>
    <row r="8212" ht="33.75" customHeight="1">
      <c r="A8212" s="7">
        <v>314.0</v>
      </c>
      <c r="B8212" s="9" t="s">
        <v>14535</v>
      </c>
      <c r="C8212" s="9" t="s">
        <v>14524</v>
      </c>
      <c r="D8212" s="9" t="s">
        <v>109</v>
      </c>
      <c r="E8212" s="6" t="s">
        <v>14546</v>
      </c>
      <c r="F8212" s="9"/>
    </row>
    <row r="8213" ht="33.75" customHeight="1">
      <c r="A8213" s="7">
        <v>315.0</v>
      </c>
      <c r="B8213" s="9" t="s">
        <v>14547</v>
      </c>
      <c r="C8213" s="9" t="s">
        <v>14548</v>
      </c>
      <c r="D8213" s="9" t="s">
        <v>67</v>
      </c>
      <c r="E8213" s="6" t="s">
        <v>14549</v>
      </c>
      <c r="F8213" t="inlineStr" s="10">
        <is>
          <t xml:space="preserve">ROSELIA ampuu teräviä piikkejä ammuksina kaikkia vihollisia kohti, jotka yrittävät varastaa Roselian käsivarsilla olevat kukat. Tämän POKéMONin tuoksu tuo tyyneyttä eläviin olentoihin. Erittäin harvinaisissa tapauksissa ROSELIAn sanotaan ilmestyvän epätavallisen värisinä kukina. Tämän POKéMONin päässä olevat piikit sisältävät pahaa myrkkyä. Ravintopitoista lähdevettä juova ROSELIA kukkii ihanilla kukilla. Sen kukkien tuoksu tekee sen vihollisista huolimattomia. Sen kukat tuoksuvat rentouttavasti. Mitä voimakkaampi aromi, sitä terveempi ROSELIA on. Puhtaassa juomavedessä kasvatettujen ROSELIoiden tiedetään kasvattavan kirkkaanvärisiä kukkia. Sen käsivarsien kauniissa kukissa on myrkyllisiä piikkejä. Älä edes ajattele niiden poimimista. Mitä terveellisempi ROSELIA on, sitä miellyttävämpi sen kukkien tuoksu on. Sen tuoksu rentouttaa syvästi. Ravintopitoista lähdevettä juovien ROSELIOIDEN sanotaan paljastavan harvinaisen värin kukintaessaan. Se käyttää kummassakin kädessä olevia eri myrkkyjä erikseen hyökätessään. Mitä voimakkaampi sen tuoksu, sitä terveellisempi se on. Roselia ampuu teräviä piikkejä ammuksina kaikkia vihollisia kohti, jotka yrittävät varastaa kukkia sen käsivarsista. Sen kukat tuoksuvat rentouttavalta. Mitä voimakkaampi tuoksu, sitä terveempi roselia on. Vaikka se on kaunis, siinä on erittäin myrkyllisiä piikkejä. Kotimaassani on vanha perinne, jossa näitä piikkejä lähetetään vastustajalle haastamaan hänet kaksintaisteluun.</t>
        </is>
      </c>
    </row>
    <row r="8214" ht="33.75" customHeight="1">
      <c r="A8214" s="7">
        <v>315.0</v>
      </c>
      <c r="B8214" s="9" t="s">
        <v>14547</v>
      </c>
      <c r="C8214" s="9" t="s">
        <v>14548</v>
      </c>
      <c r="D8214" s="9" t="s">
        <v>71</v>
      </c>
      <c r="E8214" s="6" t="s">
        <v>14550</v>
      </c>
      <c r="F8214" s="9"/>
    </row>
    <row r="8215" ht="33.75" customHeight="1">
      <c r="A8215" s="7">
        <v>315.0</v>
      </c>
      <c r="B8215" s="9" t="s">
        <v>14547</v>
      </c>
      <c r="C8215" s="9" t="s">
        <v>14548</v>
      </c>
      <c r="D8215" s="9" t="s">
        <v>73</v>
      </c>
      <c r="E8215" s="6" t="s">
        <v>14551</v>
      </c>
      <c r="F8215" s="9"/>
    </row>
    <row r="8216" ht="33.75" customHeight="1">
      <c r="A8216" s="7">
        <v>315.0</v>
      </c>
      <c r="B8216" s="9" t="s">
        <v>14547</v>
      </c>
      <c r="C8216" s="9" t="s">
        <v>14548</v>
      </c>
      <c r="D8216" s="9" t="s">
        <v>75</v>
      </c>
      <c r="E8216" s="6" t="s">
        <v>14552</v>
      </c>
      <c r="F8216" s="9"/>
    </row>
    <row r="8217" ht="33.75" customHeight="1">
      <c r="A8217" s="7">
        <v>315.0</v>
      </c>
      <c r="B8217" s="9" t="s">
        <v>14547</v>
      </c>
      <c r="C8217" s="9" t="s">
        <v>14548</v>
      </c>
      <c r="D8217" s="9" t="s">
        <v>79</v>
      </c>
      <c r="E8217" s="6" t="s">
        <v>14552</v>
      </c>
      <c r="F8217" s="9"/>
    </row>
    <row r="8218" ht="33.75" customHeight="1">
      <c r="A8218" s="7">
        <v>315.0</v>
      </c>
      <c r="B8218" s="9" t="s">
        <v>14547</v>
      </c>
      <c r="C8218" s="9" t="s">
        <v>14548</v>
      </c>
      <c r="D8218" s="9" t="s">
        <v>81</v>
      </c>
      <c r="E8218" s="6" t="s">
        <v>14553</v>
      </c>
      <c r="F8218" s="9"/>
    </row>
    <row r="8219" ht="33.75" customHeight="1">
      <c r="A8219" s="7">
        <v>315.0</v>
      </c>
      <c r="B8219" s="9" t="s">
        <v>14547</v>
      </c>
      <c r="C8219" s="9" t="s">
        <v>14548</v>
      </c>
      <c r="D8219" s="9" t="s">
        <v>84</v>
      </c>
      <c r="E8219" s="6" t="s">
        <v>14554</v>
      </c>
      <c r="F8219" s="9"/>
    </row>
    <row r="8220" ht="33.75" customHeight="1">
      <c r="A8220" s="7">
        <v>315.0</v>
      </c>
      <c r="B8220" s="9" t="s">
        <v>14547</v>
      </c>
      <c r="C8220" s="9" t="s">
        <v>14548</v>
      </c>
      <c r="D8220" s="9" t="s">
        <v>87</v>
      </c>
      <c r="E8220" s="6" t="s">
        <v>14555</v>
      </c>
      <c r="F8220" s="9"/>
    </row>
    <row r="8221" ht="33.75" customHeight="1">
      <c r="A8221" s="7">
        <v>315.0</v>
      </c>
      <c r="B8221" s="9" t="s">
        <v>14547</v>
      </c>
      <c r="C8221" s="9" t="s">
        <v>14548</v>
      </c>
      <c r="D8221" s="9" t="s">
        <v>89</v>
      </c>
      <c r="E8221" s="6" t="s">
        <v>14556</v>
      </c>
      <c r="F8221" s="9"/>
    </row>
    <row r="8222" ht="33.75" customHeight="1">
      <c r="A8222" s="7">
        <v>315.0</v>
      </c>
      <c r="B8222" s="9" t="s">
        <v>14547</v>
      </c>
      <c r="C8222" s="9" t="s">
        <v>14548</v>
      </c>
      <c r="D8222" s="9" t="s">
        <v>91</v>
      </c>
      <c r="E8222" s="6" t="s">
        <v>14556</v>
      </c>
      <c r="F8222" s="9"/>
    </row>
    <row r="8223" ht="33.75" customHeight="1">
      <c r="A8223" s="7">
        <v>315.0</v>
      </c>
      <c r="B8223" s="9" t="s">
        <v>14547</v>
      </c>
      <c r="C8223" s="9" t="s">
        <v>14548</v>
      </c>
      <c r="D8223" s="9" t="s">
        <v>93</v>
      </c>
      <c r="E8223" s="6" t="s">
        <v>14557</v>
      </c>
      <c r="F8223" s="9"/>
    </row>
    <row r="8224" ht="33.75" customHeight="1">
      <c r="A8224" s="7">
        <v>315.0</v>
      </c>
      <c r="B8224" s="9" t="s">
        <v>14547</v>
      </c>
      <c r="C8224" s="9" t="s">
        <v>14548</v>
      </c>
      <c r="D8224" s="9" t="s">
        <v>95</v>
      </c>
      <c r="E8224" s="6" t="s">
        <v>14557</v>
      </c>
      <c r="F8224" s="9"/>
    </row>
    <row r="8225" ht="33.75" customHeight="1">
      <c r="A8225" s="7">
        <v>315.0</v>
      </c>
      <c r="B8225" s="9" t="s">
        <v>14547</v>
      </c>
      <c r="C8225" s="9" t="s">
        <v>14548</v>
      </c>
      <c r="D8225" s="9" t="s">
        <v>98</v>
      </c>
      <c r="E8225" s="6" t="s">
        <v>14558</v>
      </c>
      <c r="F8225" s="9"/>
    </row>
    <row r="8226" ht="33.75" customHeight="1">
      <c r="A8226" s="7">
        <v>315.0</v>
      </c>
      <c r="B8226" s="9" t="s">
        <v>14547</v>
      </c>
      <c r="C8226" s="9" t="s">
        <v>14548</v>
      </c>
      <c r="D8226" s="9" t="s">
        <v>99</v>
      </c>
      <c r="E8226" s="6" t="s">
        <v>14558</v>
      </c>
      <c r="F8226" s="9"/>
    </row>
    <row r="8227" ht="33.75" customHeight="1">
      <c r="A8227" s="7">
        <v>315.0</v>
      </c>
      <c r="B8227" s="9" t="s">
        <v>14547</v>
      </c>
      <c r="C8227" s="9" t="s">
        <v>14548</v>
      </c>
      <c r="D8227" s="9" t="s">
        <v>101</v>
      </c>
      <c r="E8227" s="6" t="s">
        <v>14558</v>
      </c>
      <c r="F8227" s="9"/>
    </row>
    <row r="8228" ht="33.75" customHeight="1">
      <c r="A8228" s="7">
        <v>315.0</v>
      </c>
      <c r="B8228" s="9" t="s">
        <v>14547</v>
      </c>
      <c r="C8228" s="9" t="s">
        <v>14548</v>
      </c>
      <c r="D8228" s="9" t="s">
        <v>105</v>
      </c>
      <c r="E8228" s="6" t="s">
        <v>14559</v>
      </c>
      <c r="F8228" s="9"/>
    </row>
    <row r="8229" ht="33.75" customHeight="1">
      <c r="A8229" s="7">
        <v>315.0</v>
      </c>
      <c r="B8229" s="9" t="s">
        <v>14547</v>
      </c>
      <c r="C8229" s="9" t="s">
        <v>14548</v>
      </c>
      <c r="D8229" s="9" t="s">
        <v>107</v>
      </c>
      <c r="E8229" s="6" t="s">
        <v>14560</v>
      </c>
      <c r="F8229" s="9"/>
    </row>
    <row r="8230" ht="33.75" customHeight="1">
      <c r="A8230" s="7">
        <v>315.0</v>
      </c>
      <c r="B8230" s="9" t="s">
        <v>14547</v>
      </c>
      <c r="C8230" s="9" t="s">
        <v>14548</v>
      </c>
      <c r="D8230" s="9" t="s">
        <v>109</v>
      </c>
      <c r="E8230" s="6" t="s">
        <v>14561</v>
      </c>
      <c r="F8230" s="9"/>
    </row>
    <row r="8231" ht="33.75" customHeight="1">
      <c r="A8231" s="7">
        <v>315.0</v>
      </c>
      <c r="B8231" s="9" t="s">
        <v>14547</v>
      </c>
      <c r="C8231" s="9" t="s">
        <v>14548</v>
      </c>
      <c r="D8231" s="9" t="s">
        <v>114</v>
      </c>
      <c r="E8231" s="6" t="s">
        <v>14562</v>
      </c>
      <c r="F8231" s="9"/>
    </row>
    <row r="8232" ht="33.75" customHeight="1">
      <c r="A8232" s="7">
        <v>315.0</v>
      </c>
      <c r="B8232" s="9" t="s">
        <v>14547</v>
      </c>
      <c r="C8232" s="9" t="s">
        <v>14548</v>
      </c>
      <c r="D8232" s="9" t="s">
        <v>117</v>
      </c>
      <c r="E8232" s="6" t="s">
        <v>14558</v>
      </c>
      <c r="F8232" s="9"/>
    </row>
    <row r="8233" ht="33.75" customHeight="1">
      <c r="A8233" s="7">
        <v>315.0</v>
      </c>
      <c r="B8233" s="9" t="s">
        <v>14547</v>
      </c>
      <c r="C8233" s="9" t="s">
        <v>14548</v>
      </c>
      <c r="D8233" s="9" t="s">
        <v>1577</v>
      </c>
      <c r="E8233" s="6" t="s">
        <v>14563</v>
      </c>
      <c r="F8233" s="9"/>
    </row>
    <row r="8234" ht="33.75" customHeight="1">
      <c r="A8234" s="7">
        <v>316.0</v>
      </c>
      <c r="B8234" s="9" t="s">
        <v>14564</v>
      </c>
      <c r="C8234" s="9" t="s">
        <v>14565</v>
      </c>
      <c r="D8234" s="9" t="s">
        <v>67</v>
      </c>
      <c r="E8234" s="6" t="s">
        <v>14566</v>
      </c>
      <c r="F8234" t="inlineStr" s="10">
        <is>
          <t xml:space="preserve">Lähes koko GULPINin ruumis on Gulpinin vatsaa. Tämän seurauksena se voi niellä jotain oman kokoistaan. Tämän POKéMONin vatsassa on erityinen neste, joka sulattaa mitä tahansa. Suurin osa GULPINin kehosta koostuu sen vatsasta – sen sydän ja aivot ovat hyvin pienet verrattuna siihen. Tämän POKéMONin vatsa sisältää erityisiä entsyymejä, jotka liuottavat mitä tahansa. Tämän POKéMONin mahaneste voi sulattaa jopa romurautaa. Yhdellä kulauksella se voi niellä jotain yhtä suurta kuin se itse. Ei ole mitään, mitä sen vatsa ei pystyisi sulattamaan. Ruoansulatuksen aikana siitä purkautuu ulos vastenmielisiä, ylivoimaisia ​​kaasuja. Lähes koko sen ruumis on vatsaa. Sen sitkeät ruoansulatusnesteet liuottavat nopeasti kaiken nielemänsä. Sillä on pieni sydän ja aivot. Sen vatsa muodostaa suurimman osan kehosta, ja siellä on entsyymejä, jotka liuottavat mitä tahansa. Lähes koko Gulpinin keho on sen vatsaa.</t>
        </is>
      </c>
    </row>
    <row r="8235" ht="33.75" customHeight="1">
      <c r="A8235" s="7">
        <v>316.0</v>
      </c>
      <c r="B8235" s="9" t="s">
        <v>14564</v>
      </c>
      <c r="C8235" s="9" t="s">
        <v>14565</v>
      </c>
      <c r="D8235" s="9" t="s">
        <v>71</v>
      </c>
      <c r="E8235" s="6" t="s">
        <v>14568</v>
      </c>
      <c r="F8235" s="9"/>
    </row>
    <row r="8236" ht="33.75" customHeight="1">
      <c r="A8236" s="7">
        <v>316.0</v>
      </c>
      <c r="B8236" s="9" t="s">
        <v>14564</v>
      </c>
      <c r="C8236" s="9" t="s">
        <v>14565</v>
      </c>
      <c r="D8236" s="9" t="s">
        <v>73</v>
      </c>
      <c r="E8236" s="6" t="s">
        <v>14569</v>
      </c>
      <c r="F8236" s="9"/>
    </row>
    <row r="8237" ht="33.75" customHeight="1">
      <c r="A8237" s="7">
        <v>316.0</v>
      </c>
      <c r="B8237" s="9" t="s">
        <v>14564</v>
      </c>
      <c r="C8237" s="9" t="s">
        <v>14565</v>
      </c>
      <c r="D8237" s="9" t="s">
        <v>75</v>
      </c>
      <c r="E8237" s="6" t="s">
        <v>14570</v>
      </c>
      <c r="F8237" s="9"/>
    </row>
    <row r="8238" ht="33.75" customHeight="1">
      <c r="A8238" s="7">
        <v>316.0</v>
      </c>
      <c r="B8238" s="9" t="s">
        <v>14564</v>
      </c>
      <c r="C8238" s="9" t="s">
        <v>14565</v>
      </c>
      <c r="D8238" s="9" t="s">
        <v>79</v>
      </c>
      <c r="E8238" s="6" t="s">
        <v>14570</v>
      </c>
      <c r="F8238" s="9"/>
    </row>
    <row r="8239" ht="33.75" customHeight="1">
      <c r="A8239" s="7">
        <v>316.0</v>
      </c>
      <c r="B8239" s="9" t="s">
        <v>14564</v>
      </c>
      <c r="C8239" s="9" t="s">
        <v>14565</v>
      </c>
      <c r="D8239" s="9" t="s">
        <v>81</v>
      </c>
      <c r="E8239" s="6" t="s">
        <v>14571</v>
      </c>
      <c r="F8239" s="9"/>
    </row>
    <row r="8240" ht="33.75" customHeight="1">
      <c r="A8240" s="7">
        <v>316.0</v>
      </c>
      <c r="B8240" s="9" t="s">
        <v>14564</v>
      </c>
      <c r="C8240" s="9" t="s">
        <v>14565</v>
      </c>
      <c r="D8240" s="9" t="s">
        <v>84</v>
      </c>
      <c r="E8240" s="6" t="s">
        <v>14571</v>
      </c>
      <c r="F8240" s="9"/>
    </row>
    <row r="8241" ht="33.75" customHeight="1">
      <c r="A8241" s="7">
        <v>316.0</v>
      </c>
      <c r="B8241" s="9" t="s">
        <v>14564</v>
      </c>
      <c r="C8241" s="9" t="s">
        <v>14565</v>
      </c>
      <c r="D8241" s="9" t="s">
        <v>87</v>
      </c>
      <c r="E8241" s="6" t="s">
        <v>14571</v>
      </c>
      <c r="F8241" s="9"/>
    </row>
    <row r="8242" ht="33.75" customHeight="1">
      <c r="A8242" s="7">
        <v>316.0</v>
      </c>
      <c r="B8242" s="9" t="s">
        <v>14564</v>
      </c>
      <c r="C8242" s="9" t="s">
        <v>14565</v>
      </c>
      <c r="D8242" s="9" t="s">
        <v>89</v>
      </c>
      <c r="E8242" s="6" t="s">
        <v>14572</v>
      </c>
      <c r="F8242" s="9"/>
    </row>
    <row r="8243" ht="33.75" customHeight="1">
      <c r="A8243" s="7">
        <v>316.0</v>
      </c>
      <c r="B8243" s="9" t="s">
        <v>14564</v>
      </c>
      <c r="C8243" s="9" t="s">
        <v>14565</v>
      </c>
      <c r="D8243" s="9" t="s">
        <v>91</v>
      </c>
      <c r="E8243" s="6" t="s">
        <v>14572</v>
      </c>
      <c r="F8243" s="9"/>
    </row>
    <row r="8244" ht="33.75" customHeight="1">
      <c r="A8244" s="7">
        <v>316.0</v>
      </c>
      <c r="B8244" s="9" t="s">
        <v>14564</v>
      </c>
      <c r="C8244" s="9" t="s">
        <v>14565</v>
      </c>
      <c r="D8244" s="9" t="s">
        <v>93</v>
      </c>
      <c r="E8244" s="6" t="s">
        <v>14571</v>
      </c>
      <c r="F8244" s="9"/>
    </row>
    <row r="8245" ht="33.75" customHeight="1">
      <c r="A8245" s="7">
        <v>316.0</v>
      </c>
      <c r="B8245" s="9" t="s">
        <v>14564</v>
      </c>
      <c r="C8245" s="9" t="s">
        <v>14565</v>
      </c>
      <c r="D8245" s="9" t="s">
        <v>95</v>
      </c>
      <c r="E8245" s="6" t="s">
        <v>14571</v>
      </c>
      <c r="F8245" s="9"/>
    </row>
    <row r="8246" ht="33.75" customHeight="1">
      <c r="A8246" s="7">
        <v>316.0</v>
      </c>
      <c r="B8246" s="9" t="s">
        <v>14564</v>
      </c>
      <c r="C8246" s="9" t="s">
        <v>14565</v>
      </c>
      <c r="D8246" s="9" t="s">
        <v>98</v>
      </c>
      <c r="E8246" s="6" t="s">
        <v>14571</v>
      </c>
      <c r="F8246" s="9"/>
    </row>
    <row r="8247" ht="33.75" customHeight="1">
      <c r="A8247" s="7">
        <v>316.0</v>
      </c>
      <c r="B8247" s="9" t="s">
        <v>14564</v>
      </c>
      <c r="C8247" s="9" t="s">
        <v>14565</v>
      </c>
      <c r="D8247" s="9" t="s">
        <v>99</v>
      </c>
      <c r="E8247" s="6" t="s">
        <v>14571</v>
      </c>
      <c r="F8247" s="9"/>
    </row>
    <row r="8248" ht="33.75" customHeight="1">
      <c r="A8248" s="7">
        <v>316.0</v>
      </c>
      <c r="B8248" s="9" t="s">
        <v>14564</v>
      </c>
      <c r="C8248" s="9" t="s">
        <v>14565</v>
      </c>
      <c r="D8248" s="9" t="s">
        <v>101</v>
      </c>
      <c r="E8248" s="6" t="s">
        <v>14572</v>
      </c>
      <c r="F8248" s="9"/>
    </row>
    <row r="8249" ht="33.75" customHeight="1">
      <c r="A8249" s="7">
        <v>316.0</v>
      </c>
      <c r="B8249" s="9" t="s">
        <v>14564</v>
      </c>
      <c r="C8249" s="9" t="s">
        <v>14565</v>
      </c>
      <c r="D8249" s="9" t="s">
        <v>105</v>
      </c>
      <c r="E8249" s="6" t="s">
        <v>14570</v>
      </c>
      <c r="F8249" s="9"/>
    </row>
    <row r="8250" ht="33.75" customHeight="1">
      <c r="A8250" s="7">
        <v>316.0</v>
      </c>
      <c r="B8250" s="9" t="s">
        <v>14564</v>
      </c>
      <c r="C8250" s="9" t="s">
        <v>14565</v>
      </c>
      <c r="D8250" s="9" t="s">
        <v>107</v>
      </c>
      <c r="E8250" s="6" t="s">
        <v>14573</v>
      </c>
      <c r="F8250" s="9"/>
    </row>
    <row r="8251" ht="33.75" customHeight="1">
      <c r="A8251" s="7">
        <v>316.0</v>
      </c>
      <c r="B8251" s="9" t="s">
        <v>14564</v>
      </c>
      <c r="C8251" s="9" t="s">
        <v>14565</v>
      </c>
      <c r="D8251" s="9" t="s">
        <v>109</v>
      </c>
      <c r="E8251" s="6" t="s">
        <v>14574</v>
      </c>
      <c r="F8251" s="9"/>
    </row>
    <row r="8252" ht="33.75" customHeight="1">
      <c r="A8252" s="7">
        <v>317.0</v>
      </c>
      <c r="B8252" s="9" t="s">
        <v>14576</v>
      </c>
      <c r="C8252" s="9" t="s">
        <v>14577</v>
      </c>
      <c r="D8252" s="9" t="s">
        <v>67</v>
      </c>
      <c r="E8252" s="6" t="s">
        <v>14578</v>
      </c>
      <c r="F8252" t="inlineStr" s="10">
        <is>
          <t xml:space="preserve">Kun SWALOT havaitsee saaliin, se suihkuttaa huokosistaan ​​kammottavan myrkyllistä nestettä ja suihkuttaa sitä kohteeseen. Kun saalis on heikentynyt, tämä POKéMON nielaisee sen kokonaisena luolamaisella suullaan. SWALOTilla ei ole hampaita, joten se nielee kaiken kokonaisena, tapahtuipa mitä tahansa. Sen luolamainen suu ammottaa leveästi. Autonrengas mahtuisi helposti tämän POKéMONin suuhun. Sen voimakas mahahappo pystyy sulattamaan lähes mitä tahansa. Ainoa asia koko maailmassa, jota SWALOT ei pysty sulattamaan, on oma vatsansa. Se voi niellä kokonaisen autonrenkaan yhdellä kulauksella. Se erittää hirvittävän myrkyllistä nestettä ruumiinsa huokosista. Se nielee kaiken kokonaisena. Se hikoilee myrkyllisiä nesteitä follikkeleistaan ​​vihollisten kastelemiseksi. Se nielee kaiken, mikä suuhunsa mahtuu. Sen erityiset entsyymit voivat liuottaa mitä tahansa. Kun saalis on heikentynyt, tämä Pokémon nielee sen kokonaisena luolamaisella suullaan. Swalotilla ei ole hampaita, joten se nielee kaiken kokonaisena syötyään mitä tahansa.</t>
        </is>
      </c>
    </row>
    <row r="8253" ht="33.75" customHeight="1">
      <c r="A8253" s="7">
        <v>317.0</v>
      </c>
      <c r="B8253" s="9" t="s">
        <v>14576</v>
      </c>
      <c r="C8253" s="9" t="s">
        <v>14577</v>
      </c>
      <c r="D8253" s="9" t="s">
        <v>71</v>
      </c>
      <c r="E8253" s="6" t="s">
        <v>14579</v>
      </c>
      <c r="F8253" s="9"/>
    </row>
    <row r="8254" ht="33.75" customHeight="1">
      <c r="A8254" s="7">
        <v>317.0</v>
      </c>
      <c r="B8254" s="9" t="s">
        <v>14576</v>
      </c>
      <c r="C8254" s="9" t="s">
        <v>14577</v>
      </c>
      <c r="D8254" s="9" t="s">
        <v>73</v>
      </c>
      <c r="E8254" s="6" t="s">
        <v>14580</v>
      </c>
      <c r="F8254" s="9"/>
    </row>
    <row r="8255" ht="33.75" customHeight="1">
      <c r="A8255" s="7">
        <v>317.0</v>
      </c>
      <c r="B8255" s="9" t="s">
        <v>14576</v>
      </c>
      <c r="C8255" s="9" t="s">
        <v>14577</v>
      </c>
      <c r="D8255" s="9" t="s">
        <v>75</v>
      </c>
      <c r="E8255" s="6" t="s">
        <v>14581</v>
      </c>
      <c r="F8255" s="9"/>
    </row>
    <row r="8256" ht="33.75" customHeight="1">
      <c r="A8256" s="7">
        <v>317.0</v>
      </c>
      <c r="B8256" s="9" t="s">
        <v>14576</v>
      </c>
      <c r="C8256" s="9" t="s">
        <v>14577</v>
      </c>
      <c r="D8256" s="9" t="s">
        <v>79</v>
      </c>
      <c r="E8256" s="6" t="s">
        <v>14581</v>
      </c>
      <c r="F8256" s="9"/>
    </row>
    <row r="8257" ht="33.75" customHeight="1">
      <c r="A8257" s="7">
        <v>317.0</v>
      </c>
      <c r="B8257" s="9" t="s">
        <v>14576</v>
      </c>
      <c r="C8257" s="9" t="s">
        <v>14577</v>
      </c>
      <c r="D8257" s="9" t="s">
        <v>81</v>
      </c>
      <c r="E8257" s="6" t="s">
        <v>14582</v>
      </c>
      <c r="F8257" s="9"/>
    </row>
    <row r="8258" ht="33.75" customHeight="1">
      <c r="A8258" s="7">
        <v>317.0</v>
      </c>
      <c r="B8258" s="9" t="s">
        <v>14576</v>
      </c>
      <c r="C8258" s="9" t="s">
        <v>14577</v>
      </c>
      <c r="D8258" s="9" t="s">
        <v>84</v>
      </c>
      <c r="E8258" s="6" t="s">
        <v>14582</v>
      </c>
      <c r="F8258" s="9"/>
    </row>
    <row r="8259" ht="33.75" customHeight="1">
      <c r="A8259" s="7">
        <v>317.0</v>
      </c>
      <c r="B8259" s="9" t="s">
        <v>14576</v>
      </c>
      <c r="C8259" s="9" t="s">
        <v>14577</v>
      </c>
      <c r="D8259" s="9" t="s">
        <v>87</v>
      </c>
      <c r="E8259" s="6" t="s">
        <v>14582</v>
      </c>
      <c r="F8259" s="9"/>
    </row>
    <row r="8260" ht="33.75" customHeight="1">
      <c r="A8260" s="7">
        <v>317.0</v>
      </c>
      <c r="B8260" s="9" t="s">
        <v>14576</v>
      </c>
      <c r="C8260" s="9" t="s">
        <v>14577</v>
      </c>
      <c r="D8260" s="9" t="s">
        <v>89</v>
      </c>
      <c r="E8260" s="6" t="s">
        <v>14583</v>
      </c>
      <c r="F8260" s="9"/>
    </row>
    <row r="8261" ht="33.75" customHeight="1">
      <c r="A8261" s="7">
        <v>317.0</v>
      </c>
      <c r="B8261" s="9" t="s">
        <v>14576</v>
      </c>
      <c r="C8261" s="9" t="s">
        <v>14577</v>
      </c>
      <c r="D8261" s="9" t="s">
        <v>91</v>
      </c>
      <c r="E8261" s="6" t="s">
        <v>14583</v>
      </c>
      <c r="F8261" s="9"/>
    </row>
    <row r="8262" ht="33.75" customHeight="1">
      <c r="A8262" s="7">
        <v>317.0</v>
      </c>
      <c r="B8262" s="9" t="s">
        <v>14576</v>
      </c>
      <c r="C8262" s="9" t="s">
        <v>14577</v>
      </c>
      <c r="D8262" s="9" t="s">
        <v>93</v>
      </c>
      <c r="E8262" s="6" t="s">
        <v>14582</v>
      </c>
      <c r="F8262" s="9"/>
    </row>
    <row r="8263" ht="33.75" customHeight="1">
      <c r="A8263" s="7">
        <v>317.0</v>
      </c>
      <c r="B8263" s="9" t="s">
        <v>14576</v>
      </c>
      <c r="C8263" s="9" t="s">
        <v>14577</v>
      </c>
      <c r="D8263" s="9" t="s">
        <v>95</v>
      </c>
      <c r="E8263" s="6" t="s">
        <v>14582</v>
      </c>
      <c r="F8263" s="9"/>
    </row>
    <row r="8264" ht="33.75" customHeight="1">
      <c r="A8264" s="7">
        <v>317.0</v>
      </c>
      <c r="B8264" s="9" t="s">
        <v>14576</v>
      </c>
      <c r="C8264" s="9" t="s">
        <v>14577</v>
      </c>
      <c r="D8264" s="9" t="s">
        <v>98</v>
      </c>
      <c r="E8264" s="6" t="s">
        <v>14582</v>
      </c>
      <c r="F8264" s="9"/>
    </row>
    <row r="8265" ht="33.75" customHeight="1">
      <c r="A8265" s="7">
        <v>317.0</v>
      </c>
      <c r="B8265" s="9" t="s">
        <v>14576</v>
      </c>
      <c r="C8265" s="9" t="s">
        <v>14577</v>
      </c>
      <c r="D8265" s="9" t="s">
        <v>99</v>
      </c>
      <c r="E8265" s="6" t="s">
        <v>14582</v>
      </c>
      <c r="F8265" s="9"/>
    </row>
    <row r="8266" ht="33.75" customHeight="1">
      <c r="A8266" s="7">
        <v>317.0</v>
      </c>
      <c r="B8266" s="9" t="s">
        <v>14576</v>
      </c>
      <c r="C8266" s="9" t="s">
        <v>14577</v>
      </c>
      <c r="D8266" s="9" t="s">
        <v>101</v>
      </c>
      <c r="E8266" s="6" t="s">
        <v>14582</v>
      </c>
      <c r="F8266" s="9"/>
    </row>
    <row r="8267" ht="33.75" customHeight="1">
      <c r="A8267" s="7">
        <v>317.0</v>
      </c>
      <c r="B8267" s="9" t="s">
        <v>14576</v>
      </c>
      <c r="C8267" s="9" t="s">
        <v>14577</v>
      </c>
      <c r="D8267" s="9" t="s">
        <v>105</v>
      </c>
      <c r="E8267" s="6" t="s">
        <v>14583</v>
      </c>
      <c r="F8267" s="9"/>
    </row>
    <row r="8268" ht="33.75" customHeight="1">
      <c r="A8268" s="7">
        <v>317.0</v>
      </c>
      <c r="B8268" s="9" t="s">
        <v>14576</v>
      </c>
      <c r="C8268" s="9" t="s">
        <v>14577</v>
      </c>
      <c r="D8268" s="9" t="s">
        <v>107</v>
      </c>
      <c r="E8268" s="6" t="s">
        <v>14585</v>
      </c>
      <c r="F8268" s="9"/>
    </row>
    <row r="8269" ht="33.75" customHeight="1">
      <c r="A8269" s="7">
        <v>317.0</v>
      </c>
      <c r="B8269" s="9" t="s">
        <v>14576</v>
      </c>
      <c r="C8269" s="9" t="s">
        <v>14577</v>
      </c>
      <c r="D8269" s="9" t="s">
        <v>109</v>
      </c>
      <c r="E8269" s="6" t="s">
        <v>14586</v>
      </c>
      <c r="F8269" s="9"/>
    </row>
    <row r="8270" ht="33.75" customHeight="1">
      <c r="A8270" s="7">
        <v>318.0</v>
      </c>
      <c r="B8270" s="9" t="s">
        <v>14587</v>
      </c>
      <c r="C8270" s="9" t="s">
        <v>14588</v>
      </c>
      <c r="D8270" s="9" t="s">
        <v>67</v>
      </c>
      <c r="E8270" s="6" t="s">
        <v>14589</v>
      </c>
      <c r="F8270" t="inlineStr" s="10">
        <is>
          <t xml:space="preserve">CARVANHAn voimakkaasti kehittyneet leuat ja teräväkärkiset kulmahampaat tarjoavat tuhovoiman repiä veneiden runkoja irti. Tämä POKéMON on hyökännyt monien veneiden kimppuun ja upottanut ne. Jos jokin tunkeutuu CARVANHAn alueelle, se parveilee ja repii tunkeilijaa terävillä hampaillaan. Yksinään tämä POKéMON kuitenkin muuttuu yhtäkkiä araksi. CARVANHA hyökkää laivojen kimppuun parvina ja saa ne uppoamaan. Vaikka sen sanotaan olevan erittäin vihainen POKéMON, se pakenee arasti heti jäätyään yksin. Se elää valtavissa joissa, jotka virtaavat viidakoiden läpi. Se parveilee saalista, joka tunkeutuu sen alueelle. Ne parveilevat minkä tahansa vihollisen kimppuun, joka tunkeutuu niiden alueelle. Niiden terävät torahampaat voivat repiä veneiden runkoja irti. Ne muodostavat laumoja hyökätäkseen veneiden kimppuun ja repiäkseen niiden rungot auki upottaakseen ne. Ne elävät viidakon joissa. Jokaisella koululla on oma alueensa. Tunkeilijoita vastaan ​​hyökätään armottomasti hampaat paljaina. Jos ne haistavat pienimmänkin veren jäljen, ne ryntäävät hyökkäämään joukolla. Yksin ollessaan ne ovat melko pelkurimaisia. Ne ovat niin pelkureita, etteivät ne metsästä yksin. Kun viisi tai pari niitä kokoontuu yhteen, ne muuttuvat yhtäkkiä raivokkaiksi! Vahvojen leukojensa ja kulmahampaidensa ansiosta se voi helposti murskata puiset veneet sirpaleiksi. Se taistelee Basculinin kanssa ruoasta. Se ei hyökkää ollessaan yksin – ei edes silloin, kun se näkee saaliin. Sen sijaan se odottaa, että muut Carvanhat liittyvät siihen, ja sitten ne hyökkäävät ryhmänä. Näillä Pokémoneilla on terävät torahampaat ja voimakkaat leuat. Merimiehet välttävät Carvanhan luolia hinnalla millä hyvänsä.</t>
        </is>
      </c>
    </row>
    <row r="8271" ht="33.75" customHeight="1">
      <c r="A8271" s="7">
        <v>318.0</v>
      </c>
      <c r="B8271" s="9" t="s">
        <v>14587</v>
      </c>
      <c r="C8271" s="9" t="s">
        <v>14588</v>
      </c>
      <c r="D8271" s="9" t="s">
        <v>71</v>
      </c>
      <c r="E8271" s="6" t="s">
        <v>14590</v>
      </c>
      <c r="F8271" s="9"/>
    </row>
    <row r="8272" ht="33.75" customHeight="1">
      <c r="A8272" s="7">
        <v>318.0</v>
      </c>
      <c r="B8272" s="9" t="s">
        <v>14587</v>
      </c>
      <c r="C8272" s="9" t="s">
        <v>14588</v>
      </c>
      <c r="D8272" s="9" t="s">
        <v>73</v>
      </c>
      <c r="E8272" s="6" t="s">
        <v>14591</v>
      </c>
      <c r="F8272" s="9"/>
    </row>
    <row r="8273" ht="33.75" customHeight="1">
      <c r="A8273" s="7">
        <v>318.0</v>
      </c>
      <c r="B8273" s="9" t="s">
        <v>14587</v>
      </c>
      <c r="C8273" s="9" t="s">
        <v>14588</v>
      </c>
      <c r="D8273" s="9" t="s">
        <v>75</v>
      </c>
      <c r="E8273" s="6" t="s">
        <v>14592</v>
      </c>
      <c r="F8273" s="9"/>
    </row>
    <row r="8274" ht="33.75" customHeight="1">
      <c r="A8274" s="7">
        <v>318.0</v>
      </c>
      <c r="B8274" s="9" t="s">
        <v>14587</v>
      </c>
      <c r="C8274" s="9" t="s">
        <v>14588</v>
      </c>
      <c r="D8274" s="9" t="s">
        <v>79</v>
      </c>
      <c r="E8274" s="6" t="s">
        <v>14592</v>
      </c>
      <c r="F8274" s="9"/>
    </row>
    <row r="8275" ht="33.75" customHeight="1">
      <c r="A8275" s="7">
        <v>318.0</v>
      </c>
      <c r="B8275" s="9" t="s">
        <v>14587</v>
      </c>
      <c r="C8275" s="9" t="s">
        <v>14588</v>
      </c>
      <c r="D8275" s="9" t="s">
        <v>81</v>
      </c>
      <c r="E8275" s="6" t="s">
        <v>14593</v>
      </c>
      <c r="F8275" s="9"/>
    </row>
    <row r="8276" ht="33.75" customHeight="1">
      <c r="A8276" s="7">
        <v>318.0</v>
      </c>
      <c r="B8276" s="9" t="s">
        <v>14587</v>
      </c>
      <c r="C8276" s="9" t="s">
        <v>14588</v>
      </c>
      <c r="D8276" s="9" t="s">
        <v>84</v>
      </c>
      <c r="E8276" s="6" t="s">
        <v>14593</v>
      </c>
      <c r="F8276" s="9"/>
    </row>
    <row r="8277" ht="33.75" customHeight="1">
      <c r="A8277" s="7">
        <v>318.0</v>
      </c>
      <c r="B8277" s="9" t="s">
        <v>14587</v>
      </c>
      <c r="C8277" s="9" t="s">
        <v>14588</v>
      </c>
      <c r="D8277" s="9" t="s">
        <v>87</v>
      </c>
      <c r="E8277" s="6" t="s">
        <v>14593</v>
      </c>
      <c r="F8277" s="9"/>
    </row>
    <row r="8278" ht="33.75" customHeight="1">
      <c r="A8278" s="7">
        <v>318.0</v>
      </c>
      <c r="B8278" s="9" t="s">
        <v>14587</v>
      </c>
      <c r="C8278" s="9" t="s">
        <v>14588</v>
      </c>
      <c r="D8278" s="9" t="s">
        <v>89</v>
      </c>
      <c r="E8278" s="6" t="s">
        <v>14594</v>
      </c>
      <c r="F8278" s="9"/>
    </row>
    <row r="8279" ht="33.75" customHeight="1">
      <c r="A8279" s="7">
        <v>318.0</v>
      </c>
      <c r="B8279" s="9" t="s">
        <v>14587</v>
      </c>
      <c r="C8279" s="9" t="s">
        <v>14588</v>
      </c>
      <c r="D8279" s="9" t="s">
        <v>91</v>
      </c>
      <c r="E8279" s="6" t="s">
        <v>14594</v>
      </c>
      <c r="F8279" s="9"/>
    </row>
    <row r="8280" ht="33.75" customHeight="1">
      <c r="A8280" s="7">
        <v>318.0</v>
      </c>
      <c r="B8280" s="9" t="s">
        <v>14587</v>
      </c>
      <c r="C8280" s="9" t="s">
        <v>14588</v>
      </c>
      <c r="D8280" s="9" t="s">
        <v>93</v>
      </c>
      <c r="E8280" s="6" t="s">
        <v>14593</v>
      </c>
      <c r="F8280" s="9"/>
    </row>
    <row r="8281" ht="33.75" customHeight="1">
      <c r="A8281" s="7">
        <v>318.0</v>
      </c>
      <c r="B8281" s="9" t="s">
        <v>14587</v>
      </c>
      <c r="C8281" s="9" t="s">
        <v>14588</v>
      </c>
      <c r="D8281" s="9" t="s">
        <v>95</v>
      </c>
      <c r="E8281" s="6" t="s">
        <v>14593</v>
      </c>
      <c r="F8281" s="9"/>
    </row>
    <row r="8282" ht="33.75" customHeight="1">
      <c r="A8282" s="7">
        <v>318.0</v>
      </c>
      <c r="B8282" s="9" t="s">
        <v>14587</v>
      </c>
      <c r="C8282" s="9" t="s">
        <v>14588</v>
      </c>
      <c r="D8282" s="9" t="s">
        <v>98</v>
      </c>
      <c r="E8282" s="6" t="s">
        <v>14593</v>
      </c>
      <c r="F8282" s="9"/>
    </row>
    <row r="8283" ht="33.75" customHeight="1">
      <c r="A8283" s="7">
        <v>318.0</v>
      </c>
      <c r="B8283" s="9" t="s">
        <v>14587</v>
      </c>
      <c r="C8283" s="9" t="s">
        <v>14588</v>
      </c>
      <c r="D8283" s="9" t="s">
        <v>99</v>
      </c>
      <c r="E8283" s="6" t="s">
        <v>14593</v>
      </c>
      <c r="F8283" s="9"/>
    </row>
    <row r="8284" ht="33.75" customHeight="1">
      <c r="A8284" s="7">
        <v>318.0</v>
      </c>
      <c r="B8284" s="9" t="s">
        <v>14587</v>
      </c>
      <c r="C8284" s="9" t="s">
        <v>14588</v>
      </c>
      <c r="D8284" s="9" t="s">
        <v>101</v>
      </c>
      <c r="E8284" s="6" t="s">
        <v>14594</v>
      </c>
      <c r="F8284" s="9"/>
    </row>
    <row r="8285" ht="33.75" customHeight="1">
      <c r="A8285" s="7">
        <v>318.0</v>
      </c>
      <c r="B8285" s="9" t="s">
        <v>14587</v>
      </c>
      <c r="C8285" s="9" t="s">
        <v>14588</v>
      </c>
      <c r="D8285" s="9" t="s">
        <v>105</v>
      </c>
      <c r="E8285" s="6" t="s">
        <v>14592</v>
      </c>
      <c r="F8285" s="9"/>
    </row>
    <row r="8286" ht="33.75" customHeight="1">
      <c r="A8286" s="7">
        <v>318.0</v>
      </c>
      <c r="B8286" s="9" t="s">
        <v>14587</v>
      </c>
      <c r="C8286" s="9" t="s">
        <v>14588</v>
      </c>
      <c r="D8286" s="9" t="s">
        <v>107</v>
      </c>
      <c r="E8286" s="6" t="s">
        <v>14596</v>
      </c>
      <c r="F8286" s="9"/>
    </row>
    <row r="8287" ht="33.75" customHeight="1">
      <c r="A8287" s="7">
        <v>318.0</v>
      </c>
      <c r="B8287" s="9" t="s">
        <v>14587</v>
      </c>
      <c r="C8287" s="9" t="s">
        <v>14588</v>
      </c>
      <c r="D8287" s="9" t="s">
        <v>109</v>
      </c>
      <c r="E8287" s="6" t="s">
        <v>14597</v>
      </c>
      <c r="F8287" s="9"/>
    </row>
    <row r="8288" ht="33.75" customHeight="1">
      <c r="A8288" s="7">
        <v>318.0</v>
      </c>
      <c r="B8288" s="9" t="s">
        <v>14587</v>
      </c>
      <c r="C8288" s="9" t="s">
        <v>14588</v>
      </c>
      <c r="D8288" s="9" t="s">
        <v>637</v>
      </c>
      <c r="E8288" s="6" t="s">
        <v>14598</v>
      </c>
      <c r="F8288" s="9"/>
    </row>
    <row r="8289" ht="33.75" customHeight="1">
      <c r="A8289" s="7">
        <v>318.0</v>
      </c>
      <c r="B8289" s="9" t="s">
        <v>14587</v>
      </c>
      <c r="C8289" s="9" t="s">
        <v>14588</v>
      </c>
      <c r="D8289" s="9" t="s">
        <v>642</v>
      </c>
      <c r="E8289" s="6" t="s">
        <v>14599</v>
      </c>
      <c r="F8289" s="9"/>
    </row>
    <row r="8290" ht="33.75" customHeight="1">
      <c r="A8290" s="7">
        <v>318.0</v>
      </c>
      <c r="B8290" s="9" t="s">
        <v>14587</v>
      </c>
      <c r="C8290" s="9" t="s">
        <v>14588</v>
      </c>
      <c r="D8290" s="9" t="s">
        <v>647</v>
      </c>
      <c r="E8290" s="6" t="s">
        <v>14600</v>
      </c>
      <c r="F8290" s="9"/>
    </row>
    <row r="8291" ht="33.75" customHeight="1">
      <c r="A8291" s="7">
        <v>318.0</v>
      </c>
      <c r="B8291" s="9" t="s">
        <v>14587</v>
      </c>
      <c r="C8291" s="9" t="s">
        <v>14588</v>
      </c>
      <c r="D8291" s="9" t="s">
        <v>652</v>
      </c>
      <c r="E8291" s="6" t="s">
        <v>14601</v>
      </c>
      <c r="F8291" s="9"/>
    </row>
    <row r="8292" ht="33.75" customHeight="1">
      <c r="A8292" s="7">
        <v>318.0</v>
      </c>
      <c r="B8292" s="9" t="s">
        <v>14587</v>
      </c>
      <c r="C8292" s="9" t="s">
        <v>14588</v>
      </c>
      <c r="D8292" s="9" t="s">
        <v>114</v>
      </c>
      <c r="E8292" s="6" t="s">
        <v>14602</v>
      </c>
      <c r="F8292" s="9"/>
    </row>
    <row r="8293" ht="33.75" customHeight="1">
      <c r="A8293" s="7">
        <v>318.0</v>
      </c>
      <c r="B8293" s="9" t="s">
        <v>14587</v>
      </c>
      <c r="C8293" s="9" t="s">
        <v>14588</v>
      </c>
      <c r="D8293" s="9" t="s">
        <v>117</v>
      </c>
      <c r="E8293" s="6" t="s">
        <v>14603</v>
      </c>
      <c r="F8293" s="9"/>
    </row>
    <row r="8294" ht="33.75" customHeight="1">
      <c r="A8294" s="7">
        <v>319.0</v>
      </c>
      <c r="B8294" s="9" t="s">
        <v>14604</v>
      </c>
      <c r="C8294" s="9" t="s">
        <v>14605</v>
      </c>
      <c r="D8294" s="9" t="s">
        <v>67</v>
      </c>
      <c r="E8294" s="6" t="s">
        <v>14606</v>
      </c>
      <c r="F8294" t="inlineStr" s="10">
        <is>
          <t xml:space="preserve">Lempinimellä "meren kiusaaja" tunnettu SHARPEDO on laajalti pelätty. Sen julmat torahampaat kasvavat takaisin välittömästi, jos ne napsahtavat irti. Jopa yksi näistä POKéMONeista voi repiä supertankkerin perusteellisesti kappaleiksi. SHARPEDO voi uida jopa 120 km/h nopeudella suihkuttamalla merivettä takapuolestaan. Tämän POKéMONin haittapuolena on sen kyvyttömyys uida pitkiä matkoja. Meren ilkeä ja ovela gangsteri. Sen nahka on erityisesti kuvioitu minimoimaan vastuksen vedessä. Sen huippunopeus on yli 120 kilometriä tunnissa. Merten roisto, jolla on rautaa rutistavat torahampaat. Se ui suihkuttamalla vettä takapuolestaan. Sen torahampaat repivät peltiä. Se ui 120 km/h nopeudella ja tunnetaan nimellä "Meren kiusaaja". Se voi uida 120 km/h nopeudella puhaltamalla merivettä kehonsa läpi. Se on meren rosvo. Se jahtaa saalistaan ​​120 km/h nopeudella ja viimeistelee sen rautaa murskaavilla hampailla. Se tunnetaan meren kiusaajana. Sillä on surullinen historia. Menneisyydessä sen selkäevä oli arvostettu ruoka, joten tästä Pokémonista tuli liikakalastuksen uhri. Ihmiset uskovat, että yhden sen hylätyn hampaiden kantaminen estää onnettomuudet merellä, joten hampaista tehdään asusteita. Se juo merivettä ja suihkuttaa sitä takaosastaan ​​liikkuakseen. Se on hyvin herkkä veren hajulle. Heti kun Sharpedo haistaa saaliin, se suihkuttaa merivettä takapuoleltaan ja syöksyy kohti kohdetta hyökätäkseen 120 km/h nopeudella. Tämä Pokémon tunnetaan nimellä Meren Kiusaaja. Jokainen Sharpedon kodiksi kutsumille vesille saapuva alus hyökätään – poikkeuksetta.</t>
        </is>
      </c>
    </row>
    <row r="8295" ht="33.75" customHeight="1">
      <c r="A8295" s="7">
        <v>319.0</v>
      </c>
      <c r="B8295" s="9" t="s">
        <v>14604</v>
      </c>
      <c r="C8295" s="9" t="s">
        <v>14605</v>
      </c>
      <c r="D8295" s="9" t="s">
        <v>71</v>
      </c>
      <c r="E8295" s="6" t="s">
        <v>14607</v>
      </c>
      <c r="F8295" s="9"/>
    </row>
    <row r="8296" ht="33.75" customHeight="1">
      <c r="A8296" s="7">
        <v>319.0</v>
      </c>
      <c r="B8296" s="9" t="s">
        <v>14604</v>
      </c>
      <c r="C8296" s="9" t="s">
        <v>14605</v>
      </c>
      <c r="D8296" s="9" t="s">
        <v>73</v>
      </c>
      <c r="E8296" s="6" t="s">
        <v>14608</v>
      </c>
      <c r="F8296" s="9"/>
    </row>
    <row r="8297" ht="33.75" customHeight="1">
      <c r="A8297" s="7">
        <v>319.0</v>
      </c>
      <c r="B8297" s="9" t="s">
        <v>14604</v>
      </c>
      <c r="C8297" s="9" t="s">
        <v>14605</v>
      </c>
      <c r="D8297" s="9" t="s">
        <v>75</v>
      </c>
      <c r="E8297" s="6" t="s">
        <v>14610</v>
      </c>
      <c r="F8297" s="9"/>
    </row>
    <row r="8298" ht="33.75" customHeight="1">
      <c r="A8298" s="7">
        <v>319.0</v>
      </c>
      <c r="B8298" s="9" t="s">
        <v>14604</v>
      </c>
      <c r="C8298" s="9" t="s">
        <v>14605</v>
      </c>
      <c r="D8298" s="9" t="s">
        <v>79</v>
      </c>
      <c r="E8298" s="6" t="s">
        <v>14610</v>
      </c>
      <c r="F8298" s="9"/>
    </row>
    <row r="8299" ht="33.75" customHeight="1">
      <c r="A8299" s="7">
        <v>319.0</v>
      </c>
      <c r="B8299" s="9" t="s">
        <v>14604</v>
      </c>
      <c r="C8299" s="9" t="s">
        <v>14605</v>
      </c>
      <c r="D8299" s="9" t="s">
        <v>81</v>
      </c>
      <c r="E8299" s="6" t="s">
        <v>14611</v>
      </c>
      <c r="F8299" s="9"/>
    </row>
    <row r="8300" ht="33.75" customHeight="1">
      <c r="A8300" s="7">
        <v>319.0</v>
      </c>
      <c r="B8300" s="9" t="s">
        <v>14604</v>
      </c>
      <c r="C8300" s="9" t="s">
        <v>14605</v>
      </c>
      <c r="D8300" s="9" t="s">
        <v>84</v>
      </c>
      <c r="E8300" s="6" t="s">
        <v>14611</v>
      </c>
      <c r="F8300" s="9"/>
    </row>
    <row r="8301" ht="33.75" customHeight="1">
      <c r="A8301" s="7">
        <v>319.0</v>
      </c>
      <c r="B8301" s="9" t="s">
        <v>14604</v>
      </c>
      <c r="C8301" s="9" t="s">
        <v>14605</v>
      </c>
      <c r="D8301" s="9" t="s">
        <v>87</v>
      </c>
      <c r="E8301" s="6" t="s">
        <v>14611</v>
      </c>
      <c r="F8301" s="9"/>
    </row>
    <row r="8302" ht="33.75" customHeight="1">
      <c r="A8302" s="7">
        <v>319.0</v>
      </c>
      <c r="B8302" s="9" t="s">
        <v>14604</v>
      </c>
      <c r="C8302" s="9" t="s">
        <v>14605</v>
      </c>
      <c r="D8302" s="9" t="s">
        <v>89</v>
      </c>
      <c r="E8302" s="6" t="s">
        <v>14612</v>
      </c>
      <c r="F8302" s="9"/>
    </row>
    <row r="8303" ht="33.75" customHeight="1">
      <c r="A8303" s="7">
        <v>319.0</v>
      </c>
      <c r="B8303" s="9" t="s">
        <v>14604</v>
      </c>
      <c r="C8303" s="9" t="s">
        <v>14605</v>
      </c>
      <c r="D8303" s="9" t="s">
        <v>91</v>
      </c>
      <c r="E8303" s="6" t="s">
        <v>14612</v>
      </c>
      <c r="F8303" s="9"/>
    </row>
    <row r="8304" ht="33.75" customHeight="1">
      <c r="A8304" s="7">
        <v>319.0</v>
      </c>
      <c r="B8304" s="9" t="s">
        <v>14604</v>
      </c>
      <c r="C8304" s="9" t="s">
        <v>14605</v>
      </c>
      <c r="D8304" s="9" t="s">
        <v>93</v>
      </c>
      <c r="E8304" s="6" t="s">
        <v>14611</v>
      </c>
      <c r="F8304" s="9"/>
    </row>
    <row r="8305" ht="33.75" customHeight="1">
      <c r="A8305" s="7">
        <v>319.0</v>
      </c>
      <c r="B8305" s="9" t="s">
        <v>14604</v>
      </c>
      <c r="C8305" s="9" t="s">
        <v>14605</v>
      </c>
      <c r="D8305" s="9" t="s">
        <v>95</v>
      </c>
      <c r="E8305" s="6" t="s">
        <v>14611</v>
      </c>
      <c r="F8305" s="9"/>
    </row>
    <row r="8306" ht="33.75" customHeight="1">
      <c r="A8306" s="7">
        <v>319.0</v>
      </c>
      <c r="B8306" s="9" t="s">
        <v>14604</v>
      </c>
      <c r="C8306" s="9" t="s">
        <v>14605</v>
      </c>
      <c r="D8306" s="9" t="s">
        <v>98</v>
      </c>
      <c r="E8306" s="6" t="s">
        <v>14611</v>
      </c>
      <c r="F8306" s="9"/>
    </row>
    <row r="8307" ht="33.75" customHeight="1">
      <c r="A8307" s="7">
        <v>319.0</v>
      </c>
      <c r="B8307" s="9" t="s">
        <v>14604</v>
      </c>
      <c r="C8307" s="9" t="s">
        <v>14605</v>
      </c>
      <c r="D8307" s="9" t="s">
        <v>99</v>
      </c>
      <c r="E8307" s="6" t="s">
        <v>14611</v>
      </c>
      <c r="F8307" s="9"/>
    </row>
    <row r="8308" ht="33.75" customHeight="1">
      <c r="A8308" s="7">
        <v>319.0</v>
      </c>
      <c r="B8308" s="9" t="s">
        <v>14604</v>
      </c>
      <c r="C8308" s="9" t="s">
        <v>14605</v>
      </c>
      <c r="D8308" s="9" t="s">
        <v>101</v>
      </c>
      <c r="E8308" s="6" t="s">
        <v>14611</v>
      </c>
      <c r="F8308" s="9"/>
    </row>
    <row r="8309" ht="33.75" customHeight="1">
      <c r="A8309" s="7">
        <v>319.0</v>
      </c>
      <c r="B8309" s="9" t="s">
        <v>14604</v>
      </c>
      <c r="C8309" s="9" t="s">
        <v>14605</v>
      </c>
      <c r="D8309" s="9" t="s">
        <v>105</v>
      </c>
      <c r="E8309" s="6" t="s">
        <v>14612</v>
      </c>
      <c r="F8309" s="9"/>
    </row>
    <row r="8310" ht="33.75" customHeight="1">
      <c r="A8310" s="7">
        <v>319.0</v>
      </c>
      <c r="B8310" s="9" t="s">
        <v>14604</v>
      </c>
      <c r="C8310" s="9" t="s">
        <v>14605</v>
      </c>
      <c r="D8310" s="9" t="s">
        <v>107</v>
      </c>
      <c r="E8310" s="6" t="s">
        <v>14614</v>
      </c>
      <c r="F8310" s="9"/>
    </row>
    <row r="8311" ht="33.75" customHeight="1">
      <c r="A8311" s="7">
        <v>319.0</v>
      </c>
      <c r="B8311" s="9" t="s">
        <v>14604</v>
      </c>
      <c r="C8311" s="9" t="s">
        <v>14605</v>
      </c>
      <c r="D8311" s="9" t="s">
        <v>109</v>
      </c>
      <c r="E8311" s="6" t="s">
        <v>14615</v>
      </c>
      <c r="F8311" s="9"/>
    </row>
    <row r="8312" ht="33.75" customHeight="1">
      <c r="A8312" s="7">
        <v>319.0</v>
      </c>
      <c r="B8312" s="9" t="s">
        <v>14604</v>
      </c>
      <c r="C8312" s="9" t="s">
        <v>14605</v>
      </c>
      <c r="D8312" s="9" t="s">
        <v>637</v>
      </c>
      <c r="E8312" s="6" t="s">
        <v>14616</v>
      </c>
      <c r="F8312" s="9"/>
    </row>
    <row r="8313" ht="33.75" customHeight="1">
      <c r="A8313" s="7">
        <v>319.0</v>
      </c>
      <c r="B8313" s="9" t="s">
        <v>14604</v>
      </c>
      <c r="C8313" s="9" t="s">
        <v>14605</v>
      </c>
      <c r="D8313" s="9" t="s">
        <v>642</v>
      </c>
      <c r="E8313" s="6" t="s">
        <v>14617</v>
      </c>
      <c r="F8313" s="9"/>
    </row>
    <row r="8314" ht="33.75" customHeight="1">
      <c r="A8314" s="7">
        <v>319.0</v>
      </c>
      <c r="B8314" s="9" t="s">
        <v>14604</v>
      </c>
      <c r="C8314" s="9" t="s">
        <v>14605</v>
      </c>
      <c r="D8314" s="9" t="s">
        <v>647</v>
      </c>
      <c r="E8314" s="6" t="s">
        <v>14618</v>
      </c>
      <c r="F8314" s="9"/>
    </row>
    <row r="8315" ht="33.75" customHeight="1">
      <c r="A8315" s="7">
        <v>319.0</v>
      </c>
      <c r="B8315" s="9" t="s">
        <v>14604</v>
      </c>
      <c r="C8315" s="9" t="s">
        <v>14605</v>
      </c>
      <c r="D8315" s="9" t="s">
        <v>652</v>
      </c>
      <c r="E8315" s="6" t="s">
        <v>14619</v>
      </c>
      <c r="F8315" s="9"/>
    </row>
    <row r="8316" ht="33.75" customHeight="1">
      <c r="A8316" s="7">
        <v>319.0</v>
      </c>
      <c r="B8316" s="9" t="s">
        <v>14604</v>
      </c>
      <c r="C8316" s="9" t="s">
        <v>14605</v>
      </c>
      <c r="D8316" s="9" t="s">
        <v>114</v>
      </c>
      <c r="E8316" s="6" t="s">
        <v>14620</v>
      </c>
      <c r="F8316" s="9"/>
    </row>
    <row r="8317" ht="33.75" customHeight="1">
      <c r="A8317" s="7">
        <v>319.0</v>
      </c>
      <c r="B8317" s="9" t="s">
        <v>14604</v>
      </c>
      <c r="C8317" s="9" t="s">
        <v>14605</v>
      </c>
      <c r="D8317" s="9" t="s">
        <v>117</v>
      </c>
      <c r="E8317" s="6" t="s">
        <v>14622</v>
      </c>
      <c r="F8317" s="9"/>
    </row>
    <row r="8318" ht="33.75" customHeight="1">
      <c r="A8318" s="7">
        <v>320.0</v>
      </c>
      <c r="B8318" s="9" t="s">
        <v>14623</v>
      </c>
      <c r="C8318" s="9" t="s">
        <v>14624</v>
      </c>
      <c r="D8318" s="9" t="s">
        <v>67</v>
      </c>
      <c r="E8318" s="6" t="s">
        <v>14625</v>
      </c>
      <c r="F8318" t="inlineStr" s="10">
        <is>
          <t xml:space="preserve">WAILMERin sieraimet sijaitsevat silmien yläpuolella. Tämä leikkisä POKéMON rakastaa säikäyttää ihmisiä pursuamalla voimakkaasti sisäänsä varastoimaansa merivettä sieraimistaan. WAILMER voi varastoida vettä kehoonsa muuttuakseen palloksi, joka pomppii maassa. Täyttämällä itsensä vedellä tämä POKéMON voi nostaa pomppujensa korkeutta. Vaikka tämä POKéMON yleensä elää meressä, se voi selviytyä maalla, vaikkakaan ei kovin kauaa. Se menettää elinvoimaansa, jos sen ruumis kuivuu. Kun se imee sisäänsä suuren määrän merivettä, siitä tulee kuin iso, pomppiva pallo. Se syö päivittäin valtavasti ruokaa. Aurinkoisina päivinä se laskeutuu rannoille pomppimaan kuin pallo ja leikkimään. Se pursuaa vettä kuonostaan. Se pomppii leikkisästi kuin pallo. Mitä enemmän merivettä se nielee, sitä korkeammalle se pomppii. Se syö tonnin ruokaa joka päivä. Se leikkii ampumalla varastoitunutta merivettä ulos hengitysaukoistaan ​​suurella voimalla. Wailmarin sieraimet sijaitsevat silmien yläpuolella. Wailmer voi varastoida vettä kehoonsa muuttaakseen itsensä palloksi, jolla se pomppii maassa. Se rakastaa säikäyttää ihmisiä. Se täyttää itsensä merivedellä ja leikkii pomppimalla ympäriinsä kuin pallo. Se pröystäilee suihkuttamalla merivesisuihkuja sieraimistaan ​​silmiensä yläpuolelta. Se syö päivittäin tonneittain wishiwashia. Se ui suu auki ja nielee merivettä ruokansa mukana. Se suihkuttaa ylimääräistä vettä sieraimistaan. Koska ne muistelevat aikoinaan maalla elettyä elämäänsä, niiden parvet huuhtoutuvat hyvin harvoin rannalle.</t>
        </is>
      </c>
    </row>
    <row r="8319" ht="33.75" customHeight="1">
      <c r="A8319" s="7">
        <v>320.0</v>
      </c>
      <c r="B8319" s="9" t="s">
        <v>14623</v>
      </c>
      <c r="C8319" s="9" t="s">
        <v>14624</v>
      </c>
      <c r="D8319" s="9" t="s">
        <v>71</v>
      </c>
      <c r="E8319" s="6" t="s">
        <v>14626</v>
      </c>
      <c r="F8319" s="9"/>
    </row>
    <row r="8320" ht="33.75" customHeight="1">
      <c r="A8320" s="7">
        <v>320.0</v>
      </c>
      <c r="B8320" s="9" t="s">
        <v>14623</v>
      </c>
      <c r="C8320" s="9" t="s">
        <v>14624</v>
      </c>
      <c r="D8320" s="9" t="s">
        <v>73</v>
      </c>
      <c r="E8320" s="6" t="s">
        <v>14627</v>
      </c>
      <c r="F8320" s="9"/>
    </row>
    <row r="8321" ht="33.75" customHeight="1">
      <c r="A8321" s="7">
        <v>320.0</v>
      </c>
      <c r="B8321" s="9" t="s">
        <v>14623</v>
      </c>
      <c r="C8321" s="9" t="s">
        <v>14624</v>
      </c>
      <c r="D8321" s="9" t="s">
        <v>75</v>
      </c>
      <c r="E8321" s="6" t="s">
        <v>14628</v>
      </c>
      <c r="F8321" s="9"/>
    </row>
    <row r="8322" ht="33.75" customHeight="1">
      <c r="A8322" s="7">
        <v>320.0</v>
      </c>
      <c r="B8322" s="9" t="s">
        <v>14623</v>
      </c>
      <c r="C8322" s="9" t="s">
        <v>14624</v>
      </c>
      <c r="D8322" s="9" t="s">
        <v>79</v>
      </c>
      <c r="E8322" s="6" t="s">
        <v>14628</v>
      </c>
      <c r="F8322" s="9"/>
    </row>
    <row r="8323" ht="33.75" customHeight="1">
      <c r="A8323" s="7">
        <v>320.0</v>
      </c>
      <c r="B8323" s="9" t="s">
        <v>14623</v>
      </c>
      <c r="C8323" s="9" t="s">
        <v>14624</v>
      </c>
      <c r="D8323" s="9" t="s">
        <v>81</v>
      </c>
      <c r="E8323" s="6" t="s">
        <v>14629</v>
      </c>
      <c r="F8323" s="9"/>
    </row>
    <row r="8324" ht="33.75" customHeight="1">
      <c r="A8324" s="7">
        <v>320.0</v>
      </c>
      <c r="B8324" s="9" t="s">
        <v>14623</v>
      </c>
      <c r="C8324" s="9" t="s">
        <v>14624</v>
      </c>
      <c r="D8324" s="9" t="s">
        <v>84</v>
      </c>
      <c r="E8324" s="6" t="s">
        <v>14629</v>
      </c>
      <c r="F8324" s="9"/>
    </row>
    <row r="8325" ht="33.75" customHeight="1">
      <c r="A8325" s="7">
        <v>320.0</v>
      </c>
      <c r="B8325" s="9" t="s">
        <v>14623</v>
      </c>
      <c r="C8325" s="9" t="s">
        <v>14624</v>
      </c>
      <c r="D8325" s="9" t="s">
        <v>87</v>
      </c>
      <c r="E8325" s="6" t="s">
        <v>14629</v>
      </c>
      <c r="F8325" s="9"/>
    </row>
    <row r="8326" ht="33.75" customHeight="1">
      <c r="A8326" s="7">
        <v>320.0</v>
      </c>
      <c r="B8326" s="9" t="s">
        <v>14623</v>
      </c>
      <c r="C8326" s="9" t="s">
        <v>14624</v>
      </c>
      <c r="D8326" s="9" t="s">
        <v>89</v>
      </c>
      <c r="E8326" s="6" t="s">
        <v>14630</v>
      </c>
      <c r="F8326" s="9"/>
    </row>
    <row r="8327" ht="33.75" customHeight="1">
      <c r="A8327" s="7">
        <v>320.0</v>
      </c>
      <c r="B8327" s="9" t="s">
        <v>14623</v>
      </c>
      <c r="C8327" s="9" t="s">
        <v>14624</v>
      </c>
      <c r="D8327" s="9" t="s">
        <v>91</v>
      </c>
      <c r="E8327" s="6" t="s">
        <v>14630</v>
      </c>
      <c r="F8327" s="9"/>
    </row>
    <row r="8328" ht="33.75" customHeight="1">
      <c r="A8328" s="7">
        <v>320.0</v>
      </c>
      <c r="B8328" s="9" t="s">
        <v>14623</v>
      </c>
      <c r="C8328" s="9" t="s">
        <v>14624</v>
      </c>
      <c r="D8328" s="9" t="s">
        <v>93</v>
      </c>
      <c r="E8328" s="6" t="s">
        <v>14629</v>
      </c>
      <c r="F8328" s="9"/>
    </row>
    <row r="8329" ht="33.75" customHeight="1">
      <c r="A8329" s="7">
        <v>320.0</v>
      </c>
      <c r="B8329" s="9" t="s">
        <v>14623</v>
      </c>
      <c r="C8329" s="9" t="s">
        <v>14624</v>
      </c>
      <c r="D8329" s="9" t="s">
        <v>95</v>
      </c>
      <c r="E8329" s="6" t="s">
        <v>14629</v>
      </c>
      <c r="F8329" s="9"/>
    </row>
    <row r="8330" ht="33.75" customHeight="1">
      <c r="A8330" s="7">
        <v>320.0</v>
      </c>
      <c r="B8330" s="9" t="s">
        <v>14623</v>
      </c>
      <c r="C8330" s="9" t="s">
        <v>14624</v>
      </c>
      <c r="D8330" s="9" t="s">
        <v>98</v>
      </c>
      <c r="E8330" s="6" t="s">
        <v>14632</v>
      </c>
      <c r="F8330" s="9"/>
    </row>
    <row r="8331" ht="33.75" customHeight="1">
      <c r="A8331" s="7">
        <v>320.0</v>
      </c>
      <c r="B8331" s="9" t="s">
        <v>14623</v>
      </c>
      <c r="C8331" s="9" t="s">
        <v>14624</v>
      </c>
      <c r="D8331" s="9" t="s">
        <v>99</v>
      </c>
      <c r="E8331" s="6" t="s">
        <v>14632</v>
      </c>
      <c r="F8331" s="9"/>
    </row>
    <row r="8332" ht="33.75" customHeight="1">
      <c r="A8332" s="7">
        <v>320.0</v>
      </c>
      <c r="B8332" s="9" t="s">
        <v>14623</v>
      </c>
      <c r="C8332" s="9" t="s">
        <v>14624</v>
      </c>
      <c r="D8332" s="9" t="s">
        <v>101</v>
      </c>
      <c r="E8332" s="6" t="s">
        <v>14630</v>
      </c>
      <c r="F8332" s="9"/>
    </row>
    <row r="8333" ht="33.75" customHeight="1">
      <c r="A8333" s="7">
        <v>320.0</v>
      </c>
      <c r="B8333" s="9" t="s">
        <v>14623</v>
      </c>
      <c r="C8333" s="9" t="s">
        <v>14624</v>
      </c>
      <c r="D8333" s="9" t="s">
        <v>105</v>
      </c>
      <c r="E8333" s="6" t="s">
        <v>14632</v>
      </c>
      <c r="F8333" s="9"/>
    </row>
    <row r="8334" ht="33.75" customHeight="1">
      <c r="A8334" s="7">
        <v>320.0</v>
      </c>
      <c r="B8334" s="9" t="s">
        <v>14623</v>
      </c>
      <c r="C8334" s="9" t="s">
        <v>14624</v>
      </c>
      <c r="D8334" s="9" t="s">
        <v>107</v>
      </c>
      <c r="E8334" s="6" t="s">
        <v>14633</v>
      </c>
      <c r="F8334" s="9"/>
    </row>
    <row r="8335" ht="33.75" customHeight="1">
      <c r="A8335" s="7">
        <v>320.0</v>
      </c>
      <c r="B8335" s="9" t="s">
        <v>14623</v>
      </c>
      <c r="C8335" s="9" t="s">
        <v>14624</v>
      </c>
      <c r="D8335" s="9" t="s">
        <v>109</v>
      </c>
      <c r="E8335" s="6" t="s">
        <v>14634</v>
      </c>
      <c r="F8335" s="9"/>
    </row>
    <row r="8336" ht="33.75" customHeight="1">
      <c r="A8336" s="7">
        <v>320.0</v>
      </c>
      <c r="B8336" s="9" t="s">
        <v>14623</v>
      </c>
      <c r="C8336" s="9" t="s">
        <v>14624</v>
      </c>
      <c r="D8336" s="9" t="s">
        <v>637</v>
      </c>
      <c r="E8336" s="6" t="s">
        <v>14635</v>
      </c>
      <c r="F8336" s="9"/>
    </row>
    <row r="8337" ht="33.75" customHeight="1">
      <c r="A8337" s="7">
        <v>320.0</v>
      </c>
      <c r="B8337" s="9" t="s">
        <v>14623</v>
      </c>
      <c r="C8337" s="9" t="s">
        <v>14624</v>
      </c>
      <c r="D8337" s="9" t="s">
        <v>642</v>
      </c>
      <c r="E8337" s="6" t="s">
        <v>14637</v>
      </c>
      <c r="F8337" s="9"/>
    </row>
    <row r="8338" ht="33.75" customHeight="1">
      <c r="A8338" s="7">
        <v>320.0</v>
      </c>
      <c r="B8338" s="9" t="s">
        <v>14623</v>
      </c>
      <c r="C8338" s="9" t="s">
        <v>14624</v>
      </c>
      <c r="D8338" s="9" t="s">
        <v>647</v>
      </c>
      <c r="E8338" s="6" t="s">
        <v>14638</v>
      </c>
      <c r="F8338" s="9"/>
    </row>
    <row r="8339" ht="33.75" customHeight="1">
      <c r="A8339" s="7">
        <v>320.0</v>
      </c>
      <c r="B8339" s="9" t="s">
        <v>14623</v>
      </c>
      <c r="C8339" s="9" t="s">
        <v>14624</v>
      </c>
      <c r="D8339" s="9" t="s">
        <v>652</v>
      </c>
      <c r="E8339" s="6" t="s">
        <v>14639</v>
      </c>
      <c r="F8339" s="9"/>
    </row>
    <row r="8340" ht="33.75" customHeight="1">
      <c r="A8340" s="7">
        <v>320.0</v>
      </c>
      <c r="B8340" s="9" t="s">
        <v>14623</v>
      </c>
      <c r="C8340" s="9" t="s">
        <v>14624</v>
      </c>
      <c r="D8340" s="9" t="s">
        <v>114</v>
      </c>
      <c r="E8340" s="6" t="s">
        <v>14637</v>
      </c>
      <c r="F8340" s="9"/>
    </row>
    <row r="8341" ht="33.75" customHeight="1">
      <c r="A8341" s="7">
        <v>320.0</v>
      </c>
      <c r="B8341" s="9" t="s">
        <v>14623</v>
      </c>
      <c r="C8341" s="9" t="s">
        <v>14624</v>
      </c>
      <c r="D8341" s="9" t="s">
        <v>117</v>
      </c>
      <c r="E8341" s="6" t="s">
        <v>14628</v>
      </c>
      <c r="F8341" s="9"/>
    </row>
    <row r="8342" ht="33.75" customHeight="1">
      <c r="A8342" s="7">
        <v>321.0</v>
      </c>
      <c r="B8342" s="9" t="s">
        <v>14640</v>
      </c>
      <c r="C8342" s="9" t="s">
        <v>14641</v>
      </c>
      <c r="D8342" s="9" t="s">
        <v>67</v>
      </c>
      <c r="E8342" s="6" t="s">
        <v>14642</v>
      </c>
      <c r="F8342" t="inlineStr" s="10">
        <is>
          <t xml:space="preserve">WAILORD on tähän mennessä tunnistetuista POKéMONeista suurin. Tämä jättiläismäinen POKéMON ui laiskasti avomerellä ja syö valtavia määriä ruokaa kerralla valtavalla suullaan. Jahdatessaan saalista WAILORD paimentaa niitä hyppäämällä vedestä ja tekemällä valtavan loiskahduksen. On henkeäsalpaavaa nähdä tämän POKéMONin hyppäävän merestä muiden pokémonien kanssa. Se hengittää sierainten kautta, jotka se nostaa merenpinnan yläpuolelle. Hengittämällä täydellä tehollaan wailord voi sukeltaa lähes 3 000 metrin syvyyteen aaltojen alle. Se on yksi suurimmista kaikista POKéMONeista. Se paimentaa saalista laumassa ja nielee sitten suuren saaliin yhdellä kulauksella. Suurin kaikista Pokémoneista. Se voi sukeltaa lähes 3 000 metrin syvyyteen yhdellä hengityksellä. Se on suurin kaikista tunnistetuista Pokémoneista. Ne hyppivät laumana paimentaakseen saalistaan. Se voi joskus tyrmätä vastustajat sähköiskulla, jonka se saa rikkoutuessaan ja paiskautuessaan ison ruumiinsa veteen. Tämä jättiläis-Pokémon ui laiskasti avomerellä ja syö valtavia määriä ruokaa kerralla valtavalla suullaan. On henkeäsalpaavaa nähdä tämän Pokémonin hyppäävän merestä muiden pokémonin kanssa. Wailordit jahtaavat saalistaan ​​parvissa. Suurilla suillaan ne voivat nielaista kokonaisia ​​wishiwashi-parvia. Sen valtava koko on syy sen suosioon. Vaunujen tarkkailu on suosittu nähtävyystoiminta eri puolilla maailmaa. Ne syövät niin paljon kala-Pokémoneja, että kun Wailordit runsastuvat liikaa, kalastajien on ajettava ne pois. Kun Sharpedo tai Dhelmise hyökkää pienen Wailmarin kimppuun, koko sen lauma suojelee sitä yhdessä.</t>
        </is>
      </c>
    </row>
    <row r="8343" ht="33.75" customHeight="1">
      <c r="A8343" s="7">
        <v>321.0</v>
      </c>
      <c r="B8343" s="9" t="s">
        <v>14640</v>
      </c>
      <c r="C8343" s="9" t="s">
        <v>14641</v>
      </c>
      <c r="D8343" s="9" t="s">
        <v>71</v>
      </c>
      <c r="E8343" s="6" t="s">
        <v>14643</v>
      </c>
      <c r="F8343" s="9"/>
    </row>
    <row r="8344" ht="33.75" customHeight="1">
      <c r="A8344" s="7">
        <v>321.0</v>
      </c>
      <c r="B8344" s="9" t="s">
        <v>14640</v>
      </c>
      <c r="C8344" s="9" t="s">
        <v>14641</v>
      </c>
      <c r="D8344" s="9" t="s">
        <v>73</v>
      </c>
      <c r="E8344" s="6" t="s">
        <v>14644</v>
      </c>
      <c r="F8344" s="9"/>
    </row>
    <row r="8345" ht="33.75" customHeight="1">
      <c r="A8345" s="7">
        <v>321.0</v>
      </c>
      <c r="B8345" s="9" t="s">
        <v>14640</v>
      </c>
      <c r="C8345" s="9" t="s">
        <v>14641</v>
      </c>
      <c r="D8345" s="9" t="s">
        <v>75</v>
      </c>
      <c r="E8345" s="6" t="s">
        <v>14645</v>
      </c>
      <c r="F8345" s="9"/>
    </row>
    <row r="8346" ht="33.75" customHeight="1">
      <c r="A8346" s="7">
        <v>321.0</v>
      </c>
      <c r="B8346" s="9" t="s">
        <v>14640</v>
      </c>
      <c r="C8346" s="9" t="s">
        <v>14641</v>
      </c>
      <c r="D8346" s="9" t="s">
        <v>79</v>
      </c>
      <c r="E8346" s="6" t="s">
        <v>14645</v>
      </c>
      <c r="F8346" s="9"/>
    </row>
    <row r="8347" ht="33.75" customHeight="1">
      <c r="A8347" s="7">
        <v>321.0</v>
      </c>
      <c r="B8347" s="9" t="s">
        <v>14640</v>
      </c>
      <c r="C8347" s="9" t="s">
        <v>14641</v>
      </c>
      <c r="D8347" s="9" t="s">
        <v>81</v>
      </c>
      <c r="E8347" s="6" t="s">
        <v>14646</v>
      </c>
      <c r="F8347" s="9"/>
    </row>
    <row r="8348" ht="33.75" customHeight="1">
      <c r="A8348" s="7">
        <v>321.0</v>
      </c>
      <c r="B8348" s="9" t="s">
        <v>14640</v>
      </c>
      <c r="C8348" s="9" t="s">
        <v>14641</v>
      </c>
      <c r="D8348" s="9" t="s">
        <v>84</v>
      </c>
      <c r="E8348" s="6" t="s">
        <v>14646</v>
      </c>
      <c r="F8348" s="9"/>
    </row>
    <row r="8349" ht="33.75" customHeight="1">
      <c r="A8349" s="7">
        <v>321.0</v>
      </c>
      <c r="B8349" s="9" t="s">
        <v>14640</v>
      </c>
      <c r="C8349" s="9" t="s">
        <v>14641</v>
      </c>
      <c r="D8349" s="9" t="s">
        <v>87</v>
      </c>
      <c r="E8349" s="6" t="s">
        <v>14646</v>
      </c>
      <c r="F8349" s="9"/>
    </row>
    <row r="8350" ht="33.75" customHeight="1">
      <c r="A8350" s="7">
        <v>321.0</v>
      </c>
      <c r="B8350" s="9" t="s">
        <v>14640</v>
      </c>
      <c r="C8350" s="9" t="s">
        <v>14641</v>
      </c>
      <c r="D8350" s="9" t="s">
        <v>89</v>
      </c>
      <c r="E8350" s="6" t="s">
        <v>14647</v>
      </c>
      <c r="F8350" s="9"/>
    </row>
    <row r="8351" ht="33.75" customHeight="1">
      <c r="A8351" s="7">
        <v>321.0</v>
      </c>
      <c r="B8351" s="9" t="s">
        <v>14640</v>
      </c>
      <c r="C8351" s="9" t="s">
        <v>14641</v>
      </c>
      <c r="D8351" s="9" t="s">
        <v>91</v>
      </c>
      <c r="E8351" s="6" t="s">
        <v>14647</v>
      </c>
      <c r="F8351" s="9"/>
    </row>
    <row r="8352" ht="33.75" customHeight="1">
      <c r="A8352" s="7">
        <v>321.0</v>
      </c>
      <c r="B8352" s="9" t="s">
        <v>14640</v>
      </c>
      <c r="C8352" s="9" t="s">
        <v>14641</v>
      </c>
      <c r="D8352" s="9" t="s">
        <v>93</v>
      </c>
      <c r="E8352" s="6" t="s">
        <v>14646</v>
      </c>
      <c r="F8352" s="9"/>
    </row>
    <row r="8353" ht="33.75" customHeight="1">
      <c r="A8353" s="7">
        <v>321.0</v>
      </c>
      <c r="B8353" s="9" t="s">
        <v>14640</v>
      </c>
      <c r="C8353" s="9" t="s">
        <v>14641</v>
      </c>
      <c r="D8353" s="9" t="s">
        <v>95</v>
      </c>
      <c r="E8353" s="6" t="s">
        <v>14646</v>
      </c>
      <c r="F8353" s="9"/>
    </row>
    <row r="8354" ht="33.75" customHeight="1">
      <c r="A8354" s="7">
        <v>321.0</v>
      </c>
      <c r="B8354" s="9" t="s">
        <v>14640</v>
      </c>
      <c r="C8354" s="9" t="s">
        <v>14641</v>
      </c>
      <c r="D8354" s="9" t="s">
        <v>98</v>
      </c>
      <c r="E8354" s="6" t="s">
        <v>14648</v>
      </c>
      <c r="F8354" s="9"/>
    </row>
    <row r="8355" ht="33.75" customHeight="1">
      <c r="A8355" s="7">
        <v>321.0</v>
      </c>
      <c r="B8355" s="9" t="s">
        <v>14640</v>
      </c>
      <c r="C8355" s="9" t="s">
        <v>14641</v>
      </c>
      <c r="D8355" s="9" t="s">
        <v>99</v>
      </c>
      <c r="E8355" s="6" t="s">
        <v>14648</v>
      </c>
      <c r="F8355" s="9"/>
    </row>
    <row r="8356" ht="33.75" customHeight="1">
      <c r="A8356" s="7">
        <v>321.0</v>
      </c>
      <c r="B8356" s="9" t="s">
        <v>14640</v>
      </c>
      <c r="C8356" s="9" t="s">
        <v>14641</v>
      </c>
      <c r="D8356" s="9" t="s">
        <v>101</v>
      </c>
      <c r="E8356" s="6" t="s">
        <v>14648</v>
      </c>
      <c r="F8356" s="9"/>
    </row>
    <row r="8357" ht="33.75" customHeight="1">
      <c r="A8357" s="7">
        <v>321.0</v>
      </c>
      <c r="B8357" s="9" t="s">
        <v>14640</v>
      </c>
      <c r="C8357" s="9" t="s">
        <v>14641</v>
      </c>
      <c r="D8357" s="9" t="s">
        <v>105</v>
      </c>
      <c r="E8357" s="6" t="s">
        <v>14646</v>
      </c>
      <c r="F8357" s="9"/>
    </row>
    <row r="8358" ht="33.75" customHeight="1">
      <c r="A8358" s="7">
        <v>321.0</v>
      </c>
      <c r="B8358" s="9" t="s">
        <v>14640</v>
      </c>
      <c r="C8358" s="9" t="s">
        <v>14641</v>
      </c>
      <c r="D8358" s="9" t="s">
        <v>107</v>
      </c>
      <c r="E8358" s="6" t="s">
        <v>14650</v>
      </c>
      <c r="F8358" s="9"/>
    </row>
    <row r="8359" ht="33.75" customHeight="1">
      <c r="A8359" s="7">
        <v>321.0</v>
      </c>
      <c r="B8359" s="9" t="s">
        <v>14640</v>
      </c>
      <c r="C8359" s="9" t="s">
        <v>14641</v>
      </c>
      <c r="D8359" s="9" t="s">
        <v>109</v>
      </c>
      <c r="E8359" s="6" t="s">
        <v>14651</v>
      </c>
      <c r="F8359" s="9"/>
    </row>
    <row r="8360" ht="33.75" customHeight="1">
      <c r="A8360" s="7">
        <v>321.0</v>
      </c>
      <c r="B8360" s="9" t="s">
        <v>14640</v>
      </c>
      <c r="C8360" s="9" t="s">
        <v>14641</v>
      </c>
      <c r="D8360" s="9" t="s">
        <v>637</v>
      </c>
      <c r="E8360" s="6" t="s">
        <v>14652</v>
      </c>
      <c r="F8360" s="9"/>
    </row>
    <row r="8361" ht="33.75" customHeight="1">
      <c r="A8361" s="7">
        <v>321.0</v>
      </c>
      <c r="B8361" s="9" t="s">
        <v>14640</v>
      </c>
      <c r="C8361" s="9" t="s">
        <v>14641</v>
      </c>
      <c r="D8361" s="9" t="s">
        <v>642</v>
      </c>
      <c r="E8361" s="6" t="s">
        <v>14653</v>
      </c>
      <c r="F8361" s="9"/>
    </row>
    <row r="8362" ht="33.75" customHeight="1">
      <c r="A8362" s="7">
        <v>321.0</v>
      </c>
      <c r="B8362" s="9" t="s">
        <v>14640</v>
      </c>
      <c r="C8362" s="9" t="s">
        <v>14641</v>
      </c>
      <c r="D8362" s="9" t="s">
        <v>647</v>
      </c>
      <c r="E8362" s="6" t="s">
        <v>14654</v>
      </c>
      <c r="F8362" s="9"/>
    </row>
    <row r="8363" ht="33.75" customHeight="1">
      <c r="A8363" s="7">
        <v>321.0</v>
      </c>
      <c r="B8363" s="9" t="s">
        <v>14640</v>
      </c>
      <c r="C8363" s="9" t="s">
        <v>14641</v>
      </c>
      <c r="D8363" s="9" t="s">
        <v>652</v>
      </c>
      <c r="E8363" s="6" t="s">
        <v>14655</v>
      </c>
      <c r="F8363" s="9"/>
    </row>
    <row r="8364" ht="33.75" customHeight="1">
      <c r="A8364" s="7">
        <v>321.0</v>
      </c>
      <c r="B8364" s="9" t="s">
        <v>14640</v>
      </c>
      <c r="C8364" s="9" t="s">
        <v>14641</v>
      </c>
      <c r="D8364" s="9" t="s">
        <v>114</v>
      </c>
      <c r="E8364" s="6" t="s">
        <v>14648</v>
      </c>
      <c r="F8364" s="9"/>
    </row>
    <row r="8365" ht="33.75" customHeight="1">
      <c r="A8365" s="7">
        <v>321.0</v>
      </c>
      <c r="B8365" s="9" t="s">
        <v>14640</v>
      </c>
      <c r="C8365" s="9" t="s">
        <v>14641</v>
      </c>
      <c r="D8365" s="9" t="s">
        <v>117</v>
      </c>
      <c r="E8365" s="6" t="s">
        <v>14653</v>
      </c>
      <c r="F8365" s="9"/>
    </row>
    <row r="8366" ht="33.75" customHeight="1">
      <c r="A8366" s="7">
        <v>322.0</v>
      </c>
      <c r="B8366" s="9" t="s">
        <v>14656</v>
      </c>
      <c r="C8366" s="9" t="s">
        <v>14657</v>
      </c>
      <c r="D8366" s="9" t="s">
        <v>67</v>
      </c>
      <c r="E8366" s="6" t="s">
        <v>14658</v>
      </c>
      <c r="F8366" t="inlineStr" s="10">
        <is>
          <t xml:space="preserve">NUMEL on äärimmäisen tylsämielinen – se ei huomaa osumaa. Se ei kuitenkaan kestä nälkää sekuntiakaan. Tämän POKéMONin ruumis on kuin kiehuvan magman täyttämä pata. NUMEL varastoi kehoonsa lähes 2 200 Fahrenheit-asteen magmaa. Jos se kastuu, magma jäähtyy ja kovettuu. Tällöin POKéMONin kehosta tulee raskas ja sen liikkeet hidastuvat. NUMEL varastoi kiehuvaa magmaa selässään olevaan kyttyrään. Se on sitkeä POKéMON, joka pystyy kuljettamaan 100 kilon kuorman. Se on palvellut ihmisiä työssä jo kauan sitten. Lähes 2 200 Fahrenheit-asteen magma virtaa sen läpi. Kun se kylmenee, magma kovettuu ja hidastaa sitä. Sen kupera selkä varastoi erittäin kuumaa magmaa. Sateessa magma jäähtyy, mikä hidastaa sen liikettä. Sen selässä olevaan kyttyrään varastoitunut liekehtivä magma on sen valtavan voiman lähde. Sen ruumiin magma saavuttaa 2 200 Fahrenheit-asteen lämpötilan. Sen kyttyrä pienenee, kun se käyttää tulityyppisiä liikkeitä. Sen ruumiissa olevan magman lämpötila saavuttaa 2 200 Fahrenheit-astetta.</t>
        </is>
      </c>
    </row>
    <row r="8367" ht="33.75" customHeight="1">
      <c r="A8367" s="7">
        <v>322.0</v>
      </c>
      <c r="B8367" s="9" t="s">
        <v>14656</v>
      </c>
      <c r="C8367" s="9" t="s">
        <v>14657</v>
      </c>
      <c r="D8367" s="9" t="s">
        <v>71</v>
      </c>
      <c r="E8367" s="6" t="s">
        <v>14659</v>
      </c>
      <c r="F8367" s="9"/>
    </row>
    <row r="8368" ht="33.75" customHeight="1">
      <c r="A8368" s="7">
        <v>322.0</v>
      </c>
      <c r="B8368" s="9" t="s">
        <v>14656</v>
      </c>
      <c r="C8368" s="9" t="s">
        <v>14657</v>
      </c>
      <c r="D8368" s="9" t="s">
        <v>73</v>
      </c>
      <c r="E8368" s="6" t="s">
        <v>14660</v>
      </c>
      <c r="F8368" s="9"/>
    </row>
    <row r="8369" ht="33.75" customHeight="1">
      <c r="A8369" s="7">
        <v>322.0</v>
      </c>
      <c r="B8369" s="9" t="s">
        <v>14656</v>
      </c>
      <c r="C8369" s="9" t="s">
        <v>14657</v>
      </c>
      <c r="D8369" s="9" t="s">
        <v>75</v>
      </c>
      <c r="E8369" s="6" t="s">
        <v>14661</v>
      </c>
      <c r="F8369" s="9"/>
    </row>
    <row r="8370" ht="33.75" customHeight="1">
      <c r="A8370" s="7">
        <v>322.0</v>
      </c>
      <c r="B8370" s="9" t="s">
        <v>14656</v>
      </c>
      <c r="C8370" s="9" t="s">
        <v>14657</v>
      </c>
      <c r="D8370" s="9" t="s">
        <v>79</v>
      </c>
      <c r="E8370" s="6" t="s">
        <v>14661</v>
      </c>
      <c r="F8370" s="9"/>
    </row>
    <row r="8371" ht="33.75" customHeight="1">
      <c r="A8371" s="7">
        <v>322.0</v>
      </c>
      <c r="B8371" s="9" t="s">
        <v>14656</v>
      </c>
      <c r="C8371" s="9" t="s">
        <v>14657</v>
      </c>
      <c r="D8371" s="9" t="s">
        <v>81</v>
      </c>
      <c r="E8371" s="6" t="s">
        <v>14662</v>
      </c>
      <c r="F8371" s="9"/>
    </row>
    <row r="8372" ht="33.75" customHeight="1">
      <c r="A8372" s="7">
        <v>322.0</v>
      </c>
      <c r="B8372" s="9" t="s">
        <v>14656</v>
      </c>
      <c r="C8372" s="9" t="s">
        <v>14657</v>
      </c>
      <c r="D8372" s="9" t="s">
        <v>84</v>
      </c>
      <c r="E8372" s="6" t="s">
        <v>14662</v>
      </c>
      <c r="F8372" s="9"/>
    </row>
    <row r="8373" ht="33.75" customHeight="1">
      <c r="A8373" s="7">
        <v>322.0</v>
      </c>
      <c r="B8373" s="9" t="s">
        <v>14656</v>
      </c>
      <c r="C8373" s="9" t="s">
        <v>14657</v>
      </c>
      <c r="D8373" s="9" t="s">
        <v>87</v>
      </c>
      <c r="E8373" s="6" t="s">
        <v>14662</v>
      </c>
      <c r="F8373" s="9"/>
    </row>
    <row r="8374" ht="33.75" customHeight="1">
      <c r="A8374" s="7">
        <v>322.0</v>
      </c>
      <c r="B8374" s="9" t="s">
        <v>14656</v>
      </c>
      <c r="C8374" s="9" t="s">
        <v>14657</v>
      </c>
      <c r="D8374" s="9" t="s">
        <v>89</v>
      </c>
      <c r="E8374" s="6" t="s">
        <v>14664</v>
      </c>
      <c r="F8374" s="9"/>
    </row>
    <row r="8375" ht="33.75" customHeight="1">
      <c r="A8375" s="7">
        <v>322.0</v>
      </c>
      <c r="B8375" s="9" t="s">
        <v>14656</v>
      </c>
      <c r="C8375" s="9" t="s">
        <v>14657</v>
      </c>
      <c r="D8375" s="9" t="s">
        <v>91</v>
      </c>
      <c r="E8375" s="6" t="s">
        <v>14664</v>
      </c>
      <c r="F8375" s="9"/>
    </row>
    <row r="8376" ht="33.75" customHeight="1">
      <c r="A8376" s="7">
        <v>322.0</v>
      </c>
      <c r="B8376" s="9" t="s">
        <v>14656</v>
      </c>
      <c r="C8376" s="9" t="s">
        <v>14657</v>
      </c>
      <c r="D8376" s="9" t="s">
        <v>93</v>
      </c>
      <c r="E8376" s="6" t="s">
        <v>14662</v>
      </c>
      <c r="F8376" s="9"/>
    </row>
    <row r="8377" ht="33.75" customHeight="1">
      <c r="A8377" s="7">
        <v>322.0</v>
      </c>
      <c r="B8377" s="9" t="s">
        <v>14656</v>
      </c>
      <c r="C8377" s="9" t="s">
        <v>14657</v>
      </c>
      <c r="D8377" s="9" t="s">
        <v>95</v>
      </c>
      <c r="E8377" s="6" t="s">
        <v>14662</v>
      </c>
      <c r="F8377" s="9"/>
    </row>
    <row r="8378" ht="33.75" customHeight="1">
      <c r="A8378" s="7">
        <v>322.0</v>
      </c>
      <c r="B8378" s="9" t="s">
        <v>14656</v>
      </c>
      <c r="C8378" s="9" t="s">
        <v>14657</v>
      </c>
      <c r="D8378" s="9" t="s">
        <v>98</v>
      </c>
      <c r="E8378" s="6" t="s">
        <v>14665</v>
      </c>
      <c r="F8378" s="9"/>
    </row>
    <row r="8379" ht="33.75" customHeight="1">
      <c r="A8379" s="7">
        <v>322.0</v>
      </c>
      <c r="B8379" s="9" t="s">
        <v>14656</v>
      </c>
      <c r="C8379" s="9" t="s">
        <v>14657</v>
      </c>
      <c r="D8379" s="9" t="s">
        <v>99</v>
      </c>
      <c r="E8379" s="6" t="s">
        <v>14665</v>
      </c>
      <c r="F8379" s="9"/>
    </row>
    <row r="8380" ht="33.75" customHeight="1">
      <c r="A8380" s="7">
        <v>322.0</v>
      </c>
      <c r="B8380" s="9" t="s">
        <v>14656</v>
      </c>
      <c r="C8380" s="9" t="s">
        <v>14657</v>
      </c>
      <c r="D8380" s="9" t="s">
        <v>101</v>
      </c>
      <c r="E8380" s="6" t="s">
        <v>14662</v>
      </c>
      <c r="F8380" s="9"/>
    </row>
    <row r="8381" ht="33.75" customHeight="1">
      <c r="A8381" s="7">
        <v>322.0</v>
      </c>
      <c r="B8381" s="9" t="s">
        <v>14656</v>
      </c>
      <c r="C8381" s="9" t="s">
        <v>14657</v>
      </c>
      <c r="D8381" s="9" t="s">
        <v>105</v>
      </c>
      <c r="E8381" s="6" t="s">
        <v>14666</v>
      </c>
      <c r="F8381" s="9"/>
    </row>
    <row r="8382" ht="33.75" customHeight="1">
      <c r="A8382" s="7">
        <v>322.0</v>
      </c>
      <c r="B8382" s="9" t="s">
        <v>14656</v>
      </c>
      <c r="C8382" s="9" t="s">
        <v>14657</v>
      </c>
      <c r="D8382" s="9" t="s">
        <v>107</v>
      </c>
      <c r="E8382" s="6" t="s">
        <v>14667</v>
      </c>
      <c r="F8382" s="9"/>
    </row>
    <row r="8383" ht="33.75" customHeight="1">
      <c r="A8383" s="7">
        <v>322.0</v>
      </c>
      <c r="B8383" s="9" t="s">
        <v>14656</v>
      </c>
      <c r="C8383" s="9" t="s">
        <v>14657</v>
      </c>
      <c r="D8383" s="9" t="s">
        <v>109</v>
      </c>
      <c r="E8383" s="6" t="s">
        <v>14668</v>
      </c>
      <c r="F8383" s="9"/>
    </row>
    <row r="8384" ht="33.75" customHeight="1">
      <c r="A8384" s="7">
        <v>323.0</v>
      </c>
      <c r="B8384" s="9" t="s">
        <v>14669</v>
      </c>
      <c r="C8384" s="9" t="s">
        <v>14670</v>
      </c>
      <c r="D8384" s="9" t="s">
        <v>67</v>
      </c>
      <c r="E8384" s="6" t="s">
        <v>14671</v>
      </c>
      <c r="F8384" t="inlineStr" s="10">
        <is>
          <t xml:space="preserve">CAMERUPTin sisällä on tulivuori. Sen läpi virtaa 18 000 celsiusasteen magma. Ajoittain tämän POKéMONin selän kohoumat purkautuvat ja sylkevät ulos ylikuumentunutta magmaa. CAMERUPTin selän kyttyrät ovat muodostuneet sen luiden muuttuessa. Ne purkavat joskus sulaa magmaa. Tämä POKéMON ilmeisesti purkautuu usein raivostuneena. Tulivuoren kraatterissa asuva POKéMON. Sen selässä olevat tulivuoret purkautuvat rajusti 10 vuoden välein. Purkauksen syytä tutkitaan parhaillaan. Jos se suuttuu, sen selässä olevat kyttyrät purkautuvat sulan laavan suihkuna. Se elää tulivuorten kraattereissa. Sen selässä on tulivuoria. Jos magmaa kertyy sen kehoon, se tärisee ja purkautuu sitten rajusti. Se elää tulivuoren kraatterissa. On tunnettua, että sen selässä olevat kyttyrät purkautuvat 10 vuoden välein. Sen selässä olevat tulivuoret purkautuvat voimakkaasti kymmenen vuoden välein – tai aina kun se suuttuu todella voimakkaasti. Cameruptin kehon sisällä on tulivuori. Sen läpi virtaa 18 000 Fahrenheit-asteen magmaa. Ajoittain tämän Pokémonin selän kyttyrät purkautuvat ja sylkevät kuumaa magmaa. Cameruptin selän kyttyrät muodostuvat sen luiden muuttuessa.</t>
        </is>
      </c>
    </row>
    <row r="8385" ht="33.75" customHeight="1">
      <c r="A8385" s="7">
        <v>323.0</v>
      </c>
      <c r="B8385" s="9" t="s">
        <v>14669</v>
      </c>
      <c r="C8385" s="9" t="s">
        <v>14670</v>
      </c>
      <c r="D8385" s="9" t="s">
        <v>71</v>
      </c>
      <c r="E8385" s="6" t="s">
        <v>14672</v>
      </c>
      <c r="F8385" s="9"/>
    </row>
    <row r="8386" ht="33.75" customHeight="1">
      <c r="A8386" s="7">
        <v>323.0</v>
      </c>
      <c r="B8386" s="9" t="s">
        <v>14669</v>
      </c>
      <c r="C8386" s="9" t="s">
        <v>14670</v>
      </c>
      <c r="D8386" s="9" t="s">
        <v>73</v>
      </c>
      <c r="E8386" s="6" t="s">
        <v>14673</v>
      </c>
      <c r="F8386" s="9"/>
    </row>
    <row r="8387" ht="33.75" customHeight="1">
      <c r="A8387" s="7">
        <v>323.0</v>
      </c>
      <c r="B8387" s="9" t="s">
        <v>14669</v>
      </c>
      <c r="C8387" s="9" t="s">
        <v>14670</v>
      </c>
      <c r="D8387" s="9" t="s">
        <v>75</v>
      </c>
      <c r="E8387" s="6" t="s">
        <v>14674</v>
      </c>
      <c r="F8387" s="9"/>
    </row>
    <row r="8388" ht="33.75" customHeight="1">
      <c r="A8388" s="7">
        <v>323.0</v>
      </c>
      <c r="B8388" s="9" t="s">
        <v>14669</v>
      </c>
      <c r="C8388" s="9" t="s">
        <v>14670</v>
      </c>
      <c r="D8388" s="9" t="s">
        <v>79</v>
      </c>
      <c r="E8388" s="6" t="s">
        <v>14674</v>
      </c>
      <c r="F8388" s="9"/>
    </row>
    <row r="8389" ht="33.75" customHeight="1">
      <c r="A8389" s="7">
        <v>323.0</v>
      </c>
      <c r="B8389" s="9" t="s">
        <v>14669</v>
      </c>
      <c r="C8389" s="9" t="s">
        <v>14670</v>
      </c>
      <c r="D8389" s="9" t="s">
        <v>81</v>
      </c>
      <c r="E8389" s="6" t="s">
        <v>14675</v>
      </c>
      <c r="F8389" s="9"/>
    </row>
    <row r="8390" ht="33.75" customHeight="1">
      <c r="A8390" s="7">
        <v>323.0</v>
      </c>
      <c r="B8390" s="9" t="s">
        <v>14669</v>
      </c>
      <c r="C8390" s="9" t="s">
        <v>14670</v>
      </c>
      <c r="D8390" s="9" t="s">
        <v>84</v>
      </c>
      <c r="E8390" s="6" t="s">
        <v>14675</v>
      </c>
      <c r="F8390" s="9"/>
    </row>
    <row r="8391" ht="33.75" customHeight="1">
      <c r="A8391" s="7">
        <v>323.0</v>
      </c>
      <c r="B8391" s="9" t="s">
        <v>14669</v>
      </c>
      <c r="C8391" s="9" t="s">
        <v>14670</v>
      </c>
      <c r="D8391" s="9" t="s">
        <v>87</v>
      </c>
      <c r="E8391" s="6" t="s">
        <v>14675</v>
      </c>
      <c r="F8391" s="9"/>
    </row>
    <row r="8392" ht="33.75" customHeight="1">
      <c r="A8392" s="7">
        <v>323.0</v>
      </c>
      <c r="B8392" s="9" t="s">
        <v>14669</v>
      </c>
      <c r="C8392" s="9" t="s">
        <v>14670</v>
      </c>
      <c r="D8392" s="9" t="s">
        <v>89</v>
      </c>
      <c r="E8392" s="6" t="s">
        <v>14677</v>
      </c>
      <c r="F8392" s="9"/>
    </row>
    <row r="8393" ht="33.75" customHeight="1">
      <c r="A8393" s="7">
        <v>323.0</v>
      </c>
      <c r="B8393" s="9" t="s">
        <v>14669</v>
      </c>
      <c r="C8393" s="9" t="s">
        <v>14670</v>
      </c>
      <c r="D8393" s="9" t="s">
        <v>91</v>
      </c>
      <c r="E8393" s="6" t="s">
        <v>14677</v>
      </c>
      <c r="F8393" s="9"/>
    </row>
    <row r="8394" ht="33.75" customHeight="1">
      <c r="A8394" s="7">
        <v>323.0</v>
      </c>
      <c r="B8394" s="9" t="s">
        <v>14669</v>
      </c>
      <c r="C8394" s="9" t="s">
        <v>14670</v>
      </c>
      <c r="D8394" s="9" t="s">
        <v>93</v>
      </c>
      <c r="E8394" s="6" t="s">
        <v>14675</v>
      </c>
      <c r="F8394" s="9"/>
    </row>
    <row r="8395" ht="33.75" customHeight="1">
      <c r="A8395" s="7">
        <v>323.0</v>
      </c>
      <c r="B8395" s="9" t="s">
        <v>14669</v>
      </c>
      <c r="C8395" s="9" t="s">
        <v>14670</v>
      </c>
      <c r="D8395" s="9" t="s">
        <v>95</v>
      </c>
      <c r="E8395" s="6" t="s">
        <v>14675</v>
      </c>
      <c r="F8395" s="9"/>
    </row>
    <row r="8396" ht="33.75" customHeight="1">
      <c r="A8396" s="7">
        <v>323.0</v>
      </c>
      <c r="B8396" s="9" t="s">
        <v>14669</v>
      </c>
      <c r="C8396" s="9" t="s">
        <v>14670</v>
      </c>
      <c r="D8396" s="9" t="s">
        <v>98</v>
      </c>
      <c r="E8396" s="6" t="s">
        <v>14678</v>
      </c>
      <c r="F8396" s="9"/>
    </row>
    <row r="8397" ht="33.75" customHeight="1">
      <c r="A8397" s="7">
        <v>323.0</v>
      </c>
      <c r="B8397" s="9" t="s">
        <v>14669</v>
      </c>
      <c r="C8397" s="9" t="s">
        <v>14670</v>
      </c>
      <c r="D8397" s="9" t="s">
        <v>99</v>
      </c>
      <c r="E8397" s="6" t="s">
        <v>14678</v>
      </c>
      <c r="F8397" s="9"/>
    </row>
    <row r="8398" ht="33.75" customHeight="1">
      <c r="A8398" s="7">
        <v>323.0</v>
      </c>
      <c r="B8398" s="9" t="s">
        <v>14669</v>
      </c>
      <c r="C8398" s="9" t="s">
        <v>14670</v>
      </c>
      <c r="D8398" s="9" t="s">
        <v>101</v>
      </c>
      <c r="E8398" s="6" t="s">
        <v>14678</v>
      </c>
      <c r="F8398" s="9"/>
    </row>
    <row r="8399" ht="33.75" customHeight="1">
      <c r="A8399" s="7">
        <v>323.0</v>
      </c>
      <c r="B8399" s="9" t="s">
        <v>14669</v>
      </c>
      <c r="C8399" s="9" t="s">
        <v>14670</v>
      </c>
      <c r="D8399" s="9" t="s">
        <v>105</v>
      </c>
      <c r="E8399" s="6" t="s">
        <v>14674</v>
      </c>
      <c r="F8399" s="9"/>
    </row>
    <row r="8400" ht="33.75" customHeight="1">
      <c r="A8400" s="7">
        <v>323.0</v>
      </c>
      <c r="B8400" s="9" t="s">
        <v>14669</v>
      </c>
      <c r="C8400" s="9" t="s">
        <v>14670</v>
      </c>
      <c r="D8400" s="9" t="s">
        <v>107</v>
      </c>
      <c r="E8400" s="6" t="s">
        <v>14679</v>
      </c>
      <c r="F8400" s="9"/>
    </row>
    <row r="8401" ht="33.75" customHeight="1">
      <c r="A8401" s="7">
        <v>323.0</v>
      </c>
      <c r="B8401" s="9" t="s">
        <v>14669</v>
      </c>
      <c r="C8401" s="9" t="s">
        <v>14670</v>
      </c>
      <c r="D8401" s="9" t="s">
        <v>109</v>
      </c>
      <c r="E8401" s="6" t="s">
        <v>14680</v>
      </c>
      <c r="F8401" s="9"/>
    </row>
    <row r="8402" ht="33.75" customHeight="1">
      <c r="A8402" s="7">
        <v>324.0</v>
      </c>
      <c r="B8402" s="9" t="s">
        <v>14681</v>
      </c>
      <c r="C8402" s="9" t="s">
        <v>14682</v>
      </c>
      <c r="D8402" s="9" t="s">
        <v>67</v>
      </c>
      <c r="E8402" s="6" t="s">
        <v>14683</v>
      </c>
      <c r="F8402" t="inlineStr" s="10">
        <is>
          <t xml:space="preserve">TORKOAL kaivautuu vuorilta etsien hiiltä. Jos se löytää sitä, se täyttää kuorensa ontot kohdat hiilellä ja polttaa ne. Jos sitä hyökätään, tämä POKéMON suihkuttaa paksua mustaa savua välttääkseen perääntymisen. TORKOAL tuottaa energiaa polttamalla hiiltä. Se heikkenee tulen hiipuessa. Taisteluun valmistautuessaan tämä POKéMON polttaa enemmän hiiltä. Se taistelee käyttämällä hiilen polttamisesta saamaansa energiaa. Savua sieraimistaan ​​päästäessään ääntä, joka muistuttaa veturin torvea. Se polttaa hiiltä kuorensa sisällä. Jos sitä hyökätään, se röyhtäilee paksua, mustaa savua ja pakenee. Se polttaa hiiltä kuorensa sisällä energian saamiseksi. Se puhaltaa mustaa nokea, jos se on vaarassa. Löydät hylättyjä hiilikaivoksia täynnä niitä. Ne kaivavat väsymättä etsien hiiltä. Jos sitä hyökätään, tämä Pokémon suoltaa paksua mustaa savua välttääkseen perääntymisen. Torkoalin energianlähde on hiili. Suuria määriä hiiltä löytyy vuorilta, joilla he asuvat. Jos sen kuoren sisällä palava tuli sammuu, se kuolee. Niiden, jotka haluavat kasvattaa sellaisen kotonaan, on aina pidettävä jotain syttyvää käsillä. Voit päätellä sen voinnin sen kuoresta pursuavasta savusta. Valtava nopeus on merkki hyvästä terveydestä. Se polttaa hiiltä energian tuottamiseksi. Kun se on polttanut kaiken hiilensä, se ei pysty liikkumaan.</t>
        </is>
      </c>
    </row>
    <row r="8403" ht="33.75" customHeight="1">
      <c r="A8403" s="7">
        <v>324.0</v>
      </c>
      <c r="B8403" s="9" t="s">
        <v>14681</v>
      </c>
      <c r="C8403" s="9" t="s">
        <v>14682</v>
      </c>
      <c r="D8403" s="9" t="s">
        <v>71</v>
      </c>
      <c r="E8403" s="6" t="s">
        <v>14684</v>
      </c>
      <c r="F8403" s="9"/>
    </row>
    <row r="8404" ht="33.75" customHeight="1">
      <c r="A8404" s="7">
        <v>324.0</v>
      </c>
      <c r="B8404" s="9" t="s">
        <v>14681</v>
      </c>
      <c r="C8404" s="9" t="s">
        <v>14682</v>
      </c>
      <c r="D8404" s="9" t="s">
        <v>73</v>
      </c>
      <c r="E8404" s="6" t="s">
        <v>14685</v>
      </c>
      <c r="F8404" s="9"/>
    </row>
    <row r="8405" ht="33.75" customHeight="1">
      <c r="A8405" s="7">
        <v>324.0</v>
      </c>
      <c r="B8405" s="9" t="s">
        <v>14681</v>
      </c>
      <c r="C8405" s="9" t="s">
        <v>14682</v>
      </c>
      <c r="D8405" s="9" t="s">
        <v>75</v>
      </c>
      <c r="E8405" s="6" t="s">
        <v>14686</v>
      </c>
      <c r="F8405" s="9"/>
    </row>
    <row r="8406" ht="33.75" customHeight="1">
      <c r="A8406" s="7">
        <v>324.0</v>
      </c>
      <c r="B8406" s="9" t="s">
        <v>14681</v>
      </c>
      <c r="C8406" s="9" t="s">
        <v>14682</v>
      </c>
      <c r="D8406" s="9" t="s">
        <v>79</v>
      </c>
      <c r="E8406" s="6" t="s">
        <v>14686</v>
      </c>
      <c r="F8406" s="9"/>
    </row>
    <row r="8407" ht="33.75" customHeight="1">
      <c r="A8407" s="7">
        <v>324.0</v>
      </c>
      <c r="B8407" s="9" t="s">
        <v>14681</v>
      </c>
      <c r="C8407" s="9" t="s">
        <v>14682</v>
      </c>
      <c r="D8407" s="9" t="s">
        <v>81</v>
      </c>
      <c r="E8407" s="6" t="s">
        <v>14688</v>
      </c>
      <c r="F8407" s="9"/>
    </row>
    <row r="8408" ht="33.75" customHeight="1">
      <c r="A8408" s="7">
        <v>324.0</v>
      </c>
      <c r="B8408" s="9" t="s">
        <v>14681</v>
      </c>
      <c r="C8408" s="9" t="s">
        <v>14682</v>
      </c>
      <c r="D8408" s="9" t="s">
        <v>84</v>
      </c>
      <c r="E8408" s="6" t="s">
        <v>14688</v>
      </c>
      <c r="F8408" s="9"/>
    </row>
    <row r="8409" ht="33.75" customHeight="1">
      <c r="A8409" s="7">
        <v>324.0</v>
      </c>
      <c r="B8409" s="9" t="s">
        <v>14681</v>
      </c>
      <c r="C8409" s="9" t="s">
        <v>14682</v>
      </c>
      <c r="D8409" s="9" t="s">
        <v>87</v>
      </c>
      <c r="E8409" s="6" t="s">
        <v>14688</v>
      </c>
      <c r="F8409" s="9"/>
    </row>
    <row r="8410" ht="33.75" customHeight="1">
      <c r="A8410" s="7">
        <v>324.0</v>
      </c>
      <c r="B8410" s="9" t="s">
        <v>14681</v>
      </c>
      <c r="C8410" s="9" t="s">
        <v>14682</v>
      </c>
      <c r="D8410" s="9" t="s">
        <v>89</v>
      </c>
      <c r="E8410" s="6" t="s">
        <v>14689</v>
      </c>
      <c r="F8410" s="9"/>
    </row>
    <row r="8411" ht="33.75" customHeight="1">
      <c r="A8411" s="7">
        <v>324.0</v>
      </c>
      <c r="B8411" s="9" t="s">
        <v>14681</v>
      </c>
      <c r="C8411" s="9" t="s">
        <v>14682</v>
      </c>
      <c r="D8411" s="9" t="s">
        <v>91</v>
      </c>
      <c r="E8411" s="6" t="s">
        <v>14689</v>
      </c>
      <c r="F8411" s="9"/>
    </row>
    <row r="8412" ht="33.75" customHeight="1">
      <c r="A8412" s="7">
        <v>324.0</v>
      </c>
      <c r="B8412" s="9" t="s">
        <v>14681</v>
      </c>
      <c r="C8412" s="9" t="s">
        <v>14682</v>
      </c>
      <c r="D8412" s="9" t="s">
        <v>93</v>
      </c>
      <c r="E8412" s="6" t="s">
        <v>14688</v>
      </c>
      <c r="F8412" s="9"/>
    </row>
    <row r="8413" ht="33.75" customHeight="1">
      <c r="A8413" s="7">
        <v>324.0</v>
      </c>
      <c r="B8413" s="9" t="s">
        <v>14681</v>
      </c>
      <c r="C8413" s="9" t="s">
        <v>14682</v>
      </c>
      <c r="D8413" s="9" t="s">
        <v>95</v>
      </c>
      <c r="E8413" s="6" t="s">
        <v>14688</v>
      </c>
      <c r="F8413" s="9"/>
    </row>
    <row r="8414" ht="33.75" customHeight="1">
      <c r="A8414" s="7">
        <v>324.0</v>
      </c>
      <c r="B8414" s="9" t="s">
        <v>14681</v>
      </c>
      <c r="C8414" s="9" t="s">
        <v>14682</v>
      </c>
      <c r="D8414" s="9" t="s">
        <v>98</v>
      </c>
      <c r="E8414" s="6" t="s">
        <v>14688</v>
      </c>
      <c r="F8414" s="9"/>
    </row>
    <row r="8415" ht="33.75" customHeight="1">
      <c r="A8415" s="7">
        <v>324.0</v>
      </c>
      <c r="B8415" s="9" t="s">
        <v>14681</v>
      </c>
      <c r="C8415" s="9" t="s">
        <v>14682</v>
      </c>
      <c r="D8415" s="9" t="s">
        <v>99</v>
      </c>
      <c r="E8415" s="6" t="s">
        <v>14688</v>
      </c>
      <c r="F8415" s="9"/>
    </row>
    <row r="8416" ht="33.75" customHeight="1">
      <c r="A8416" s="7">
        <v>324.0</v>
      </c>
      <c r="B8416" s="9" t="s">
        <v>14681</v>
      </c>
      <c r="C8416" s="9" t="s">
        <v>14682</v>
      </c>
      <c r="D8416" s="9" t="s">
        <v>101</v>
      </c>
      <c r="E8416" s="6" t="s">
        <v>14689</v>
      </c>
      <c r="F8416" s="9"/>
    </row>
    <row r="8417" ht="33.75" customHeight="1">
      <c r="A8417" s="7">
        <v>324.0</v>
      </c>
      <c r="B8417" s="9" t="s">
        <v>14681</v>
      </c>
      <c r="C8417" s="9" t="s">
        <v>14682</v>
      </c>
      <c r="D8417" s="9" t="s">
        <v>105</v>
      </c>
      <c r="E8417" s="6" t="s">
        <v>14688</v>
      </c>
      <c r="F8417" s="9"/>
    </row>
    <row r="8418" ht="33.75" customHeight="1">
      <c r="A8418" s="7">
        <v>324.0</v>
      </c>
      <c r="B8418" s="9" t="s">
        <v>14681</v>
      </c>
      <c r="C8418" s="9" t="s">
        <v>14682</v>
      </c>
      <c r="D8418" s="9" t="s">
        <v>107</v>
      </c>
      <c r="E8418" s="6" t="s">
        <v>14690</v>
      </c>
      <c r="F8418" s="9"/>
    </row>
    <row r="8419" ht="33.75" customHeight="1">
      <c r="A8419" s="7">
        <v>324.0</v>
      </c>
      <c r="B8419" s="9" t="s">
        <v>14681</v>
      </c>
      <c r="C8419" s="9" t="s">
        <v>14682</v>
      </c>
      <c r="D8419" s="9" t="s">
        <v>109</v>
      </c>
      <c r="E8419" s="6" t="s">
        <v>14691</v>
      </c>
      <c r="F8419" s="9"/>
    </row>
    <row r="8420" ht="33.75" customHeight="1">
      <c r="A8420" s="7">
        <v>324.0</v>
      </c>
      <c r="B8420" s="9" t="s">
        <v>14681</v>
      </c>
      <c r="C8420" s="9" t="s">
        <v>14682</v>
      </c>
      <c r="D8420" s="9" t="s">
        <v>637</v>
      </c>
      <c r="E8420" s="6" t="s">
        <v>14692</v>
      </c>
      <c r="F8420" s="9"/>
    </row>
    <row r="8421" ht="33.75" customHeight="1">
      <c r="A8421" s="7">
        <v>324.0</v>
      </c>
      <c r="B8421" s="9" t="s">
        <v>14681</v>
      </c>
      <c r="C8421" s="9" t="s">
        <v>14682</v>
      </c>
      <c r="D8421" s="9" t="s">
        <v>642</v>
      </c>
      <c r="E8421" s="6" t="s">
        <v>14693</v>
      </c>
      <c r="F8421" s="9"/>
    </row>
    <row r="8422" ht="33.75" customHeight="1">
      <c r="A8422" s="7">
        <v>324.0</v>
      </c>
      <c r="B8422" s="9" t="s">
        <v>14681</v>
      </c>
      <c r="C8422" s="9" t="s">
        <v>14682</v>
      </c>
      <c r="D8422" s="9" t="s">
        <v>647</v>
      </c>
      <c r="E8422" s="6" t="s">
        <v>14694</v>
      </c>
      <c r="F8422" s="9"/>
    </row>
    <row r="8423" ht="33.75" customHeight="1">
      <c r="A8423" s="7">
        <v>324.0</v>
      </c>
      <c r="B8423" s="9" t="s">
        <v>14681</v>
      </c>
      <c r="C8423" s="9" t="s">
        <v>14682</v>
      </c>
      <c r="D8423" s="9" t="s">
        <v>652</v>
      </c>
      <c r="E8423" s="6" t="s">
        <v>14695</v>
      </c>
      <c r="F8423" s="9"/>
    </row>
    <row r="8424" ht="33.75" customHeight="1">
      <c r="A8424" s="7">
        <v>324.0</v>
      </c>
      <c r="B8424" s="9" t="s">
        <v>14681</v>
      </c>
      <c r="C8424" s="9" t="s">
        <v>14682</v>
      </c>
      <c r="D8424" s="9" t="s">
        <v>114</v>
      </c>
      <c r="E8424" s="6" t="s">
        <v>14688</v>
      </c>
      <c r="F8424" s="9"/>
    </row>
    <row r="8425" ht="33.75" customHeight="1">
      <c r="A8425" s="7">
        <v>324.0</v>
      </c>
      <c r="B8425" s="9" t="s">
        <v>14681</v>
      </c>
      <c r="C8425" s="9" t="s">
        <v>14682</v>
      </c>
      <c r="D8425" s="9" t="s">
        <v>117</v>
      </c>
      <c r="E8425" s="6" t="s">
        <v>14689</v>
      </c>
      <c r="F8425" s="9"/>
    </row>
    <row r="8426" ht="33.75" customHeight="1">
      <c r="A8426" s="7">
        <v>325.0</v>
      </c>
      <c r="B8426" s="9" t="s">
        <v>14697</v>
      </c>
      <c r="C8426" s="9" t="s">
        <v>14698</v>
      </c>
      <c r="D8426" s="9" t="s">
        <v>67</v>
      </c>
      <c r="E8426" s="6" t="s">
        <v>14699</v>
      </c>
      <c r="F8426" t="inlineStr" s="10">
        <is>
          <t xml:space="preserve">SPOINK pomppii hännällään. Sen pomppimisen aiheuttama sähköisku saa sen sydämen pumppaamaan. Tämän seurauksena tämä POKéMON ei pysty lopettamaan pomppimista – jos se pysähtyy, sen sydän pysähtyy. SPOINK pitää helmeä päänsä päällä. Helmi vahvistaa tämän POKéMONin psykokineettisiä voimia. Siksi se etsii jatkuvasti suurempaa helmeä. POKéMON, joka käyttää psyykkisiä voimia mielensä mukaan. Se ei lopeta pomppimista edes nukkuessaan. Se rakastaa maan alla kasvavien sienten syömistä. Se ilmeisesti kuolee, jos se lakkaa pomppimasta ympäriinsä. Se kantaa päässään CLAMPERLin helmeä. Se pomppii jatkuvasti käyttäen häntäänsä jousen tavoin. Pomppimisen aiheuttama isku pitää sen sydämen sykkimässä. Se pomppii hännällään pitääkseen sydämensä lyömässä. Päässään se kantaa CLAMPERLin helmeä. Se käyttää häntäänsä jousen tavoin ja pitää sydämensä sykkimässä pomppimalla jatkuvasti. Jos se pysähtyy, se kuolee. Pomppumisen aiheuttama sähköisku saa sen sydämen pumppaamaan.</t>
        </is>
      </c>
    </row>
    <row r="8427" ht="33.75" customHeight="1">
      <c r="A8427" s="7">
        <v>325.0</v>
      </c>
      <c r="B8427" s="9" t="s">
        <v>14697</v>
      </c>
      <c r="C8427" s="9" t="s">
        <v>14698</v>
      </c>
      <c r="D8427" s="9" t="s">
        <v>71</v>
      </c>
      <c r="E8427" s="6" t="s">
        <v>14700</v>
      </c>
      <c r="F8427" s="9"/>
    </row>
    <row r="8428" ht="33.75" customHeight="1">
      <c r="A8428" s="7">
        <v>325.0</v>
      </c>
      <c r="B8428" s="9" t="s">
        <v>14697</v>
      </c>
      <c r="C8428" s="9" t="s">
        <v>14698</v>
      </c>
      <c r="D8428" s="9" t="s">
        <v>73</v>
      </c>
      <c r="E8428" s="6" t="s">
        <v>14701</v>
      </c>
      <c r="F8428" s="9"/>
    </row>
    <row r="8429" ht="33.75" customHeight="1">
      <c r="A8429" s="7">
        <v>325.0</v>
      </c>
      <c r="B8429" s="9" t="s">
        <v>14697</v>
      </c>
      <c r="C8429" s="9" t="s">
        <v>14698</v>
      </c>
      <c r="D8429" s="9" t="s">
        <v>75</v>
      </c>
      <c r="E8429" s="6" t="s">
        <v>14702</v>
      </c>
      <c r="F8429" s="9"/>
    </row>
    <row r="8430" ht="33.75" customHeight="1">
      <c r="A8430" s="7">
        <v>325.0</v>
      </c>
      <c r="B8430" s="9" t="s">
        <v>14697</v>
      </c>
      <c r="C8430" s="9" t="s">
        <v>14698</v>
      </c>
      <c r="D8430" s="9" t="s">
        <v>79</v>
      </c>
      <c r="E8430" s="6" t="s">
        <v>14702</v>
      </c>
      <c r="F8430" s="9"/>
    </row>
    <row r="8431" ht="33.75" customHeight="1">
      <c r="A8431" s="7">
        <v>325.0</v>
      </c>
      <c r="B8431" s="9" t="s">
        <v>14697</v>
      </c>
      <c r="C8431" s="9" t="s">
        <v>14698</v>
      </c>
      <c r="D8431" s="9" t="s">
        <v>81</v>
      </c>
      <c r="E8431" s="6" t="s">
        <v>14703</v>
      </c>
      <c r="F8431" s="9"/>
    </row>
    <row r="8432" ht="33.75" customHeight="1">
      <c r="A8432" s="7">
        <v>325.0</v>
      </c>
      <c r="B8432" s="9" t="s">
        <v>14697</v>
      </c>
      <c r="C8432" s="9" t="s">
        <v>14698</v>
      </c>
      <c r="D8432" s="9" t="s">
        <v>84</v>
      </c>
      <c r="E8432" s="6" t="s">
        <v>14703</v>
      </c>
      <c r="F8432" s="9"/>
    </row>
    <row r="8433" ht="33.75" customHeight="1">
      <c r="A8433" s="7">
        <v>325.0</v>
      </c>
      <c r="B8433" s="9" t="s">
        <v>14697</v>
      </c>
      <c r="C8433" s="9" t="s">
        <v>14698</v>
      </c>
      <c r="D8433" s="9" t="s">
        <v>87</v>
      </c>
      <c r="E8433" s="6" t="s">
        <v>14703</v>
      </c>
      <c r="F8433" s="9"/>
    </row>
    <row r="8434" ht="33.75" customHeight="1">
      <c r="A8434" s="7">
        <v>325.0</v>
      </c>
      <c r="B8434" s="9" t="s">
        <v>14697</v>
      </c>
      <c r="C8434" s="9" t="s">
        <v>14698</v>
      </c>
      <c r="D8434" s="9" t="s">
        <v>89</v>
      </c>
      <c r="E8434" s="6" t="s">
        <v>14704</v>
      </c>
      <c r="F8434" s="9"/>
    </row>
    <row r="8435" ht="33.75" customHeight="1">
      <c r="A8435" s="7">
        <v>325.0</v>
      </c>
      <c r="B8435" s="9" t="s">
        <v>14697</v>
      </c>
      <c r="C8435" s="9" t="s">
        <v>14698</v>
      </c>
      <c r="D8435" s="9" t="s">
        <v>91</v>
      </c>
      <c r="E8435" s="6" t="s">
        <v>14704</v>
      </c>
      <c r="F8435" s="9"/>
    </row>
    <row r="8436" ht="33.75" customHeight="1">
      <c r="A8436" s="7">
        <v>325.0</v>
      </c>
      <c r="B8436" s="9" t="s">
        <v>14697</v>
      </c>
      <c r="C8436" s="9" t="s">
        <v>14698</v>
      </c>
      <c r="D8436" s="9" t="s">
        <v>93</v>
      </c>
      <c r="E8436" s="6" t="s">
        <v>14703</v>
      </c>
      <c r="F8436" s="9"/>
    </row>
    <row r="8437" ht="33.75" customHeight="1">
      <c r="A8437" s="7">
        <v>325.0</v>
      </c>
      <c r="B8437" s="9" t="s">
        <v>14697</v>
      </c>
      <c r="C8437" s="9" t="s">
        <v>14698</v>
      </c>
      <c r="D8437" s="9" t="s">
        <v>95</v>
      </c>
      <c r="E8437" s="6" t="s">
        <v>14703</v>
      </c>
      <c r="F8437" s="9"/>
    </row>
    <row r="8438" ht="33.75" customHeight="1">
      <c r="A8438" s="7">
        <v>325.0</v>
      </c>
      <c r="B8438" s="9" t="s">
        <v>14697</v>
      </c>
      <c r="C8438" s="9" t="s">
        <v>14698</v>
      </c>
      <c r="D8438" s="9" t="s">
        <v>98</v>
      </c>
      <c r="E8438" s="6" t="s">
        <v>14705</v>
      </c>
      <c r="F8438" s="9"/>
    </row>
    <row r="8439" ht="33.75" customHeight="1">
      <c r="A8439" s="7">
        <v>325.0</v>
      </c>
      <c r="B8439" s="9" t="s">
        <v>14697</v>
      </c>
      <c r="C8439" s="9" t="s">
        <v>14698</v>
      </c>
      <c r="D8439" s="9" t="s">
        <v>99</v>
      </c>
      <c r="E8439" s="6" t="s">
        <v>14705</v>
      </c>
      <c r="F8439" s="9"/>
    </row>
    <row r="8440" ht="33.75" customHeight="1">
      <c r="A8440" s="7">
        <v>325.0</v>
      </c>
      <c r="B8440" s="9" t="s">
        <v>14697</v>
      </c>
      <c r="C8440" s="9" t="s">
        <v>14698</v>
      </c>
      <c r="D8440" s="9" t="s">
        <v>101</v>
      </c>
      <c r="E8440" s="6" t="s">
        <v>14703</v>
      </c>
      <c r="F8440" s="9"/>
    </row>
    <row r="8441" ht="33.75" customHeight="1">
      <c r="A8441" s="7">
        <v>325.0</v>
      </c>
      <c r="B8441" s="9" t="s">
        <v>14697</v>
      </c>
      <c r="C8441" s="9" t="s">
        <v>14698</v>
      </c>
      <c r="D8441" s="9" t="s">
        <v>105</v>
      </c>
      <c r="E8441" s="6" t="s">
        <v>14706</v>
      </c>
      <c r="F8441" s="9"/>
    </row>
    <row r="8442" ht="33.75" customHeight="1">
      <c r="A8442" s="7">
        <v>325.0</v>
      </c>
      <c r="B8442" s="9" t="s">
        <v>14697</v>
      </c>
      <c r="C8442" s="9" t="s">
        <v>14698</v>
      </c>
      <c r="D8442" s="9" t="s">
        <v>107</v>
      </c>
      <c r="E8442" s="6" t="s">
        <v>14708</v>
      </c>
      <c r="F8442" s="9"/>
    </row>
    <row r="8443" ht="33.75" customHeight="1">
      <c r="A8443" s="7">
        <v>325.0</v>
      </c>
      <c r="B8443" s="9" t="s">
        <v>14697</v>
      </c>
      <c r="C8443" s="9" t="s">
        <v>14698</v>
      </c>
      <c r="D8443" s="9" t="s">
        <v>109</v>
      </c>
      <c r="E8443" s="6" t="s">
        <v>14709</v>
      </c>
      <c r="F8443" s="9"/>
    </row>
    <row r="8444" ht="33.75" customHeight="1">
      <c r="A8444" s="7">
        <v>326.0</v>
      </c>
      <c r="B8444" s="9" t="s">
        <v>14710</v>
      </c>
      <c r="C8444" s="9" t="s">
        <v>14711</v>
      </c>
      <c r="D8444" s="9" t="s">
        <v>67</v>
      </c>
      <c r="E8444" s="6" t="s">
        <v>14712</v>
      </c>
      <c r="F8444" t="inlineStr" s="10">
        <is>
          <t xml:space="preserve">GRUMPIG käyttää kehossaan olevia mustia helmiä vahvistaakseen psyykkisiä voima-aaltojaan ja saadakseen täyden hallinnan vihollisestaan. Kun tämä POKéMON käyttää erityisvoimaansa, sen kuorsaus käy raskaaksi. GRUMPIG käyttää kehossaan olevia mustia helmiä fantastisten voimiensa käyttämiseen. Niin tehdessään se tanssii omituisesti. Tämän POKéMONin mustat helmet ovat arvokkaita taideteoksia. Se varastoi voimaa otsassaan oleviin mustiin helmiin. Kun se käyttää psyykkistä voimaansa, se suorittaa oudon tanssiaskeleen. Sen tanssityylistä tuli valtavan suosittu ulkomailla. Se voi saada viholliset hallintaansa omituisilla tanssiaskeleilla. Sen otsassa olevat mustat helmet ovat arvokkaita jalokiviä. Se käyttää mustia helmiä vahvistaakseen psykovoimaansa. Se tanssii omituista tanssia saadakseen viholliset hallintaansa. Se voi esittää outoja tanssiaskelia vihollisten vaikuttamiseksi. Se käyttää mustia helmiä vahvistaakseen psyykkistä voimaansa. Se tanssii outoa tanssia hallitakseen vihollisten mieliä.</t>
        </is>
      </c>
    </row>
    <row r="8445" ht="33.75" customHeight="1">
      <c r="A8445" s="7">
        <v>326.0</v>
      </c>
      <c r="B8445" s="9" t="s">
        <v>14710</v>
      </c>
      <c r="C8445" s="9" t="s">
        <v>14711</v>
      </c>
      <c r="D8445" s="9" t="s">
        <v>71</v>
      </c>
      <c r="E8445" s="6" t="s">
        <v>14713</v>
      </c>
      <c r="F8445" s="9"/>
    </row>
    <row r="8446" ht="33.75" customHeight="1">
      <c r="A8446" s="7">
        <v>326.0</v>
      </c>
      <c r="B8446" s="9" t="s">
        <v>14710</v>
      </c>
      <c r="C8446" s="9" t="s">
        <v>14711</v>
      </c>
      <c r="D8446" s="9" t="s">
        <v>73</v>
      </c>
      <c r="E8446" s="6" t="s">
        <v>14714</v>
      </c>
      <c r="F8446" s="9"/>
    </row>
    <row r="8447" ht="33.75" customHeight="1">
      <c r="A8447" s="7">
        <v>326.0</v>
      </c>
      <c r="B8447" s="9" t="s">
        <v>14710</v>
      </c>
      <c r="C8447" s="9" t="s">
        <v>14711</v>
      </c>
      <c r="D8447" s="9" t="s">
        <v>75</v>
      </c>
      <c r="E8447" s="6" t="s">
        <v>14715</v>
      </c>
      <c r="F8447" s="9"/>
    </row>
    <row r="8448" ht="33.75" customHeight="1">
      <c r="A8448" s="7">
        <v>326.0</v>
      </c>
      <c r="B8448" s="9" t="s">
        <v>14710</v>
      </c>
      <c r="C8448" s="9" t="s">
        <v>14711</v>
      </c>
      <c r="D8448" s="9" t="s">
        <v>79</v>
      </c>
      <c r="E8448" s="6" t="s">
        <v>14715</v>
      </c>
      <c r="F8448" s="9"/>
    </row>
    <row r="8449" ht="33.75" customHeight="1">
      <c r="A8449" s="7">
        <v>326.0</v>
      </c>
      <c r="B8449" s="9" t="s">
        <v>14710</v>
      </c>
      <c r="C8449" s="9" t="s">
        <v>14711</v>
      </c>
      <c r="D8449" s="9" t="s">
        <v>81</v>
      </c>
      <c r="E8449" s="6" t="s">
        <v>14716</v>
      </c>
      <c r="F8449" s="9"/>
    </row>
    <row r="8450" ht="33.75" customHeight="1">
      <c r="A8450" s="7">
        <v>326.0</v>
      </c>
      <c r="B8450" s="9" t="s">
        <v>14710</v>
      </c>
      <c r="C8450" s="9" t="s">
        <v>14711</v>
      </c>
      <c r="D8450" s="9" t="s">
        <v>84</v>
      </c>
      <c r="E8450" s="6" t="s">
        <v>14716</v>
      </c>
      <c r="F8450" s="9"/>
    </row>
    <row r="8451" ht="33.75" customHeight="1">
      <c r="A8451" s="7">
        <v>326.0</v>
      </c>
      <c r="B8451" s="9" t="s">
        <v>14710</v>
      </c>
      <c r="C8451" s="9" t="s">
        <v>14711</v>
      </c>
      <c r="D8451" s="9" t="s">
        <v>87</v>
      </c>
      <c r="E8451" s="6" t="s">
        <v>14716</v>
      </c>
      <c r="F8451" s="9"/>
    </row>
    <row r="8452" ht="33.75" customHeight="1">
      <c r="A8452" s="7">
        <v>326.0</v>
      </c>
      <c r="B8452" s="9" t="s">
        <v>14710</v>
      </c>
      <c r="C8452" s="9" t="s">
        <v>14711</v>
      </c>
      <c r="D8452" s="9" t="s">
        <v>89</v>
      </c>
      <c r="E8452" s="6" t="s">
        <v>14717</v>
      </c>
      <c r="F8452" s="9"/>
    </row>
    <row r="8453" ht="33.75" customHeight="1">
      <c r="A8453" s="7">
        <v>326.0</v>
      </c>
      <c r="B8453" s="9" t="s">
        <v>14710</v>
      </c>
      <c r="C8453" s="9" t="s">
        <v>14711</v>
      </c>
      <c r="D8453" s="9" t="s">
        <v>91</v>
      </c>
      <c r="E8453" s="6" t="s">
        <v>14717</v>
      </c>
      <c r="F8453" s="9"/>
    </row>
    <row r="8454" ht="33.75" customHeight="1">
      <c r="A8454" s="7">
        <v>326.0</v>
      </c>
      <c r="B8454" s="9" t="s">
        <v>14710</v>
      </c>
      <c r="C8454" s="9" t="s">
        <v>14711</v>
      </c>
      <c r="D8454" s="9" t="s">
        <v>93</v>
      </c>
      <c r="E8454" s="6" t="s">
        <v>14716</v>
      </c>
      <c r="F8454" s="9"/>
    </row>
    <row r="8455" ht="33.75" customHeight="1">
      <c r="A8455" s="7">
        <v>326.0</v>
      </c>
      <c r="B8455" s="9" t="s">
        <v>14710</v>
      </c>
      <c r="C8455" s="9" t="s">
        <v>14711</v>
      </c>
      <c r="D8455" s="9" t="s">
        <v>95</v>
      </c>
      <c r="E8455" s="6" t="s">
        <v>14716</v>
      </c>
      <c r="F8455" s="9"/>
    </row>
    <row r="8456" ht="33.75" customHeight="1">
      <c r="A8456" s="7">
        <v>326.0</v>
      </c>
      <c r="B8456" s="9" t="s">
        <v>14710</v>
      </c>
      <c r="C8456" s="9" t="s">
        <v>14711</v>
      </c>
      <c r="D8456" s="9" t="s">
        <v>98</v>
      </c>
      <c r="E8456" s="6" t="s">
        <v>14718</v>
      </c>
      <c r="F8456" s="9"/>
    </row>
    <row r="8457" ht="33.75" customHeight="1">
      <c r="A8457" s="7">
        <v>326.0</v>
      </c>
      <c r="B8457" s="9" t="s">
        <v>14710</v>
      </c>
      <c r="C8457" s="9" t="s">
        <v>14711</v>
      </c>
      <c r="D8457" s="9" t="s">
        <v>99</v>
      </c>
      <c r="E8457" s="6" t="s">
        <v>14718</v>
      </c>
      <c r="F8457" s="9"/>
    </row>
    <row r="8458" ht="33.75" customHeight="1">
      <c r="A8458" s="7">
        <v>326.0</v>
      </c>
      <c r="B8458" s="9" t="s">
        <v>14710</v>
      </c>
      <c r="C8458" s="9" t="s">
        <v>14711</v>
      </c>
      <c r="D8458" s="9" t="s">
        <v>101</v>
      </c>
      <c r="E8458" s="6" t="s">
        <v>14718</v>
      </c>
      <c r="F8458" s="9"/>
    </row>
    <row r="8459" ht="33.75" customHeight="1">
      <c r="A8459" s="7">
        <v>326.0</v>
      </c>
      <c r="B8459" s="9" t="s">
        <v>14710</v>
      </c>
      <c r="C8459" s="9" t="s">
        <v>14711</v>
      </c>
      <c r="D8459" s="9" t="s">
        <v>105</v>
      </c>
      <c r="E8459" s="6" t="s">
        <v>14719</v>
      </c>
      <c r="F8459" s="9"/>
    </row>
    <row r="8460" ht="33.75" customHeight="1">
      <c r="A8460" s="7">
        <v>326.0</v>
      </c>
      <c r="B8460" s="9" t="s">
        <v>14710</v>
      </c>
      <c r="C8460" s="9" t="s">
        <v>14711</v>
      </c>
      <c r="D8460" s="9" t="s">
        <v>107</v>
      </c>
      <c r="E8460" s="6" t="s">
        <v>14720</v>
      </c>
      <c r="F8460" s="9"/>
    </row>
    <row r="8461" ht="33.75" customHeight="1">
      <c r="A8461" s="7">
        <v>326.0</v>
      </c>
      <c r="B8461" s="9" t="s">
        <v>14710</v>
      </c>
      <c r="C8461" s="9" t="s">
        <v>14711</v>
      </c>
      <c r="D8461" s="9" t="s">
        <v>109</v>
      </c>
      <c r="E8461" s="6" t="s">
        <v>14721</v>
      </c>
      <c r="F8461" s="9"/>
    </row>
    <row r="8462" ht="33.75" customHeight="1">
      <c r="A8462" s="7">
        <v>327.0</v>
      </c>
      <c r="B8462" s="9" t="s">
        <v>14722</v>
      </c>
      <c r="C8462" s="9" t="s">
        <v>14723</v>
      </c>
      <c r="D8462" s="9" t="s">
        <v>67</v>
      </c>
      <c r="E8462" s="6" t="s">
        <v>14725</v>
      </c>
      <c r="F8462" t="inlineStr" s="10">
        <is>
          <t xml:space="preserve">Kaikilla maailman SPINDA-pokémoneilla sanotaan olevan täysin ainutlaatuisia täpläkuvioita. Tämän POKéMONin horjuvat, horjuvat askeleet antavat sille tanssivan vaikutelman. Kahdenkaan SPINDAn nahassa ei sanota olevan identtisiä täpläkuvioita. Tämä POKéMON liikkuu omituisesti, ikään kuin se kompastelisi huimauksesta. Sen horjuvat liikkeet voivat saada vastustajan hämmentymään. Sille on tunnusomaista aina erilainen täpläkuvio. Sen epävakaa, horjuva kävely tekee vihollisen tähtäimestä virheellisen. Kahden SPINDAn ei sanota omaavan identtisiä kuvioita. Se hämmentää vihollisia kompasteluliikkeillään. Kahdella SPINDALLA ei ole samanlaista täpläkuviota. Sen horjuva askel tekee vihollisten tähtäyksestä virheellisen. Kahden SPINDAn todennäköisyys saada identtiset täpläkuviot on alle yksi neljästä miljardista. Sen horjuva askel tekee vihollisten tähtäyksestä virheellistä. Kahden Spindan identtisten täpläkuvioiden todennäköisyys on alle yksi neljästä miljardista. Kaikilla maailman Spindoilla sanotaan olevan täysin ainutlaatuisia täpläkuvioita. Sen askeleet ovat horjuvat ja epävakaat, mutta Spinda luulee sen kävelevän suoraa linjaa. Jokaisessa Spindassa on hieman erilainen täplämuodostelma. On keräilijöitä, jotka nauttivat pienistä eroista täpläkuvioissa. Sen askeleet ovat horjuvat ja kompastelevat. Pitkä kävely tekee siitä pahoinvoivaa. Jokaisen Spindan liikkeen kuvio on erilainen. Kompasteluliikkeillään se väistää vastustajien hyökkäykset nerokkaasti!</t>
        </is>
      </c>
    </row>
    <row r="8463" ht="33.75" customHeight="1">
      <c r="A8463" s="7">
        <v>327.0</v>
      </c>
      <c r="B8463" s="9" t="s">
        <v>14722</v>
      </c>
      <c r="C8463" s="9" t="s">
        <v>14723</v>
      </c>
      <c r="D8463" s="9" t="s">
        <v>71</v>
      </c>
      <c r="E8463" s="6" t="s">
        <v>14726</v>
      </c>
      <c r="F8463" s="9"/>
    </row>
    <row r="8464" ht="33.75" customHeight="1">
      <c r="A8464" s="7">
        <v>327.0</v>
      </c>
      <c r="B8464" s="9" t="s">
        <v>14722</v>
      </c>
      <c r="C8464" s="9" t="s">
        <v>14723</v>
      </c>
      <c r="D8464" s="9" t="s">
        <v>73</v>
      </c>
      <c r="E8464" s="6" t="s">
        <v>14727</v>
      </c>
      <c r="F8464" s="9"/>
    </row>
    <row r="8465" ht="33.75" customHeight="1">
      <c r="A8465" s="7">
        <v>327.0</v>
      </c>
      <c r="B8465" s="9" t="s">
        <v>14722</v>
      </c>
      <c r="C8465" s="9" t="s">
        <v>14723</v>
      </c>
      <c r="D8465" s="9" t="s">
        <v>75</v>
      </c>
      <c r="E8465" s="6" t="s">
        <v>14728</v>
      </c>
      <c r="F8465" s="9"/>
    </row>
    <row r="8466" ht="33.75" customHeight="1">
      <c r="A8466" s="7">
        <v>327.0</v>
      </c>
      <c r="B8466" s="9" t="s">
        <v>14722</v>
      </c>
      <c r="C8466" s="9" t="s">
        <v>14723</v>
      </c>
      <c r="D8466" s="9" t="s">
        <v>79</v>
      </c>
      <c r="E8466" s="6" t="s">
        <v>14728</v>
      </c>
      <c r="F8466" s="9"/>
    </row>
    <row r="8467" ht="33.75" customHeight="1">
      <c r="A8467" s="7">
        <v>327.0</v>
      </c>
      <c r="B8467" s="9" t="s">
        <v>14722</v>
      </c>
      <c r="C8467" s="9" t="s">
        <v>14723</v>
      </c>
      <c r="D8467" s="9" t="s">
        <v>81</v>
      </c>
      <c r="E8467" s="6" t="s">
        <v>14729</v>
      </c>
      <c r="F8467" s="9"/>
    </row>
    <row r="8468" ht="33.75" customHeight="1">
      <c r="A8468" s="7">
        <v>327.0</v>
      </c>
      <c r="B8468" s="9" t="s">
        <v>14722</v>
      </c>
      <c r="C8468" s="9" t="s">
        <v>14723</v>
      </c>
      <c r="D8468" s="9" t="s">
        <v>84</v>
      </c>
      <c r="E8468" s="6" t="s">
        <v>14729</v>
      </c>
      <c r="F8468" s="9"/>
    </row>
    <row r="8469" ht="33.75" customHeight="1">
      <c r="A8469" s="7">
        <v>327.0</v>
      </c>
      <c r="B8469" s="9" t="s">
        <v>14722</v>
      </c>
      <c r="C8469" s="9" t="s">
        <v>14723</v>
      </c>
      <c r="D8469" s="9" t="s">
        <v>87</v>
      </c>
      <c r="E8469" s="6" t="s">
        <v>14729</v>
      </c>
      <c r="F8469" s="9"/>
    </row>
    <row r="8470" ht="33.75" customHeight="1">
      <c r="A8470" s="7">
        <v>327.0</v>
      </c>
      <c r="B8470" s="9" t="s">
        <v>14722</v>
      </c>
      <c r="C8470" s="9" t="s">
        <v>14723</v>
      </c>
      <c r="D8470" s="9" t="s">
        <v>89</v>
      </c>
      <c r="E8470" s="6" t="s">
        <v>14730</v>
      </c>
      <c r="F8470" s="9"/>
    </row>
    <row r="8471" ht="33.75" customHeight="1">
      <c r="A8471" s="7">
        <v>327.0</v>
      </c>
      <c r="B8471" s="9" t="s">
        <v>14722</v>
      </c>
      <c r="C8471" s="9" t="s">
        <v>14723</v>
      </c>
      <c r="D8471" s="9" t="s">
        <v>91</v>
      </c>
      <c r="E8471" s="6" t="s">
        <v>14730</v>
      </c>
      <c r="F8471" s="9"/>
    </row>
    <row r="8472" ht="33.75" customHeight="1">
      <c r="A8472" s="7">
        <v>327.0</v>
      </c>
      <c r="B8472" s="9" t="s">
        <v>14722</v>
      </c>
      <c r="C8472" s="9" t="s">
        <v>14723</v>
      </c>
      <c r="D8472" s="9" t="s">
        <v>93</v>
      </c>
      <c r="E8472" s="6" t="s">
        <v>14731</v>
      </c>
      <c r="F8472" s="9"/>
    </row>
    <row r="8473" ht="33.75" customHeight="1">
      <c r="A8473" s="7">
        <v>327.0</v>
      </c>
      <c r="B8473" s="9" t="s">
        <v>14722</v>
      </c>
      <c r="C8473" s="9" t="s">
        <v>14723</v>
      </c>
      <c r="D8473" s="9" t="s">
        <v>95</v>
      </c>
      <c r="E8473" s="6" t="s">
        <v>14731</v>
      </c>
      <c r="F8473" s="9"/>
    </row>
    <row r="8474" ht="33.75" customHeight="1">
      <c r="A8474" s="7">
        <v>327.0</v>
      </c>
      <c r="B8474" s="9" t="s">
        <v>14722</v>
      </c>
      <c r="C8474" s="9" t="s">
        <v>14723</v>
      </c>
      <c r="D8474" s="9" t="s">
        <v>98</v>
      </c>
      <c r="E8474" s="6" t="s">
        <v>14731</v>
      </c>
      <c r="F8474" s="9"/>
    </row>
    <row r="8475" ht="33.75" customHeight="1">
      <c r="A8475" s="7">
        <v>327.0</v>
      </c>
      <c r="B8475" s="9" t="s">
        <v>14722</v>
      </c>
      <c r="C8475" s="9" t="s">
        <v>14723</v>
      </c>
      <c r="D8475" s="9" t="s">
        <v>99</v>
      </c>
      <c r="E8475" s="6" t="s">
        <v>14731</v>
      </c>
      <c r="F8475" s="9"/>
    </row>
    <row r="8476" ht="33.75" customHeight="1">
      <c r="A8476" s="7">
        <v>327.0</v>
      </c>
      <c r="B8476" s="9" t="s">
        <v>14722</v>
      </c>
      <c r="C8476" s="9" t="s">
        <v>14723</v>
      </c>
      <c r="D8476" s="9" t="s">
        <v>101</v>
      </c>
      <c r="E8476" s="6" t="s">
        <v>14731</v>
      </c>
      <c r="F8476" s="9"/>
    </row>
    <row r="8477" ht="33.75" customHeight="1">
      <c r="A8477" s="7">
        <v>327.0</v>
      </c>
      <c r="B8477" s="9" t="s">
        <v>14722</v>
      </c>
      <c r="C8477" s="9" t="s">
        <v>14723</v>
      </c>
      <c r="D8477" s="9" t="s">
        <v>105</v>
      </c>
      <c r="E8477" s="6" t="s">
        <v>14732</v>
      </c>
      <c r="F8477" s="9"/>
    </row>
    <row r="8478" ht="33.75" customHeight="1">
      <c r="A8478" s="7">
        <v>327.0</v>
      </c>
      <c r="B8478" s="9" t="s">
        <v>14722</v>
      </c>
      <c r="C8478" s="9" t="s">
        <v>14723</v>
      </c>
      <c r="D8478" s="9" t="s">
        <v>107</v>
      </c>
      <c r="E8478" s="6" t="s">
        <v>14733</v>
      </c>
      <c r="F8478" s="9"/>
    </row>
    <row r="8479" ht="33.75" customHeight="1">
      <c r="A8479" s="7">
        <v>327.0</v>
      </c>
      <c r="B8479" s="9" t="s">
        <v>14722</v>
      </c>
      <c r="C8479" s="9" t="s">
        <v>14723</v>
      </c>
      <c r="D8479" s="9" t="s">
        <v>109</v>
      </c>
      <c r="E8479" s="6" t="s">
        <v>14734</v>
      </c>
      <c r="F8479" s="9"/>
    </row>
    <row r="8480" ht="33.75" customHeight="1">
      <c r="A8480" s="7">
        <v>327.0</v>
      </c>
      <c r="B8480" s="9" t="s">
        <v>14722</v>
      </c>
      <c r="C8480" s="9" t="s">
        <v>14723</v>
      </c>
      <c r="D8480" s="9" t="s">
        <v>637</v>
      </c>
      <c r="E8480" s="6" t="s">
        <v>14736</v>
      </c>
      <c r="F8480" s="9"/>
    </row>
    <row r="8481" ht="33.75" customHeight="1">
      <c r="A8481" s="7">
        <v>327.0</v>
      </c>
      <c r="B8481" s="9" t="s">
        <v>14722</v>
      </c>
      <c r="C8481" s="9" t="s">
        <v>14723</v>
      </c>
      <c r="D8481" s="9" t="s">
        <v>642</v>
      </c>
      <c r="E8481" s="6" t="s">
        <v>14737</v>
      </c>
      <c r="F8481" s="9"/>
    </row>
    <row r="8482" ht="33.75" customHeight="1">
      <c r="A8482" s="7">
        <v>327.0</v>
      </c>
      <c r="B8482" s="9" t="s">
        <v>14722</v>
      </c>
      <c r="C8482" s="9" t="s">
        <v>14723</v>
      </c>
      <c r="D8482" s="9" t="s">
        <v>647</v>
      </c>
      <c r="E8482" s="6" t="s">
        <v>14738</v>
      </c>
      <c r="F8482" s="9"/>
    </row>
    <row r="8483" ht="33.75" customHeight="1">
      <c r="A8483" s="7">
        <v>327.0</v>
      </c>
      <c r="B8483" s="9" t="s">
        <v>14722</v>
      </c>
      <c r="C8483" s="9" t="s">
        <v>14723</v>
      </c>
      <c r="D8483" s="9" t="s">
        <v>652</v>
      </c>
      <c r="E8483" s="6" t="s">
        <v>14739</v>
      </c>
      <c r="F8483" s="9"/>
    </row>
    <row r="8484" ht="33.75" customHeight="1">
      <c r="A8484" s="7">
        <v>328.0</v>
      </c>
      <c r="B8484" s="9" t="s">
        <v>14740</v>
      </c>
      <c r="C8484" s="9" t="s">
        <v>14741</v>
      </c>
      <c r="D8484" s="9" t="s">
        <v>67</v>
      </c>
      <c r="E8484" s="6" t="s">
        <v>14742</v>
      </c>
      <c r="F8484" t="inlineStr" s="10">
        <is>
          <t xml:space="preserve">TRAPINCHin pesä on kalteva, kulhomainen hiekkaan kaivettu kuoppa. Tämä POKéMON odottaa kärsivällisesti saaliin putoamista kuoppaan. Sen jättimäiset leuat ovat tarpeeksi voimaa murskata jopa lohkareet. TRAPINCH on kärsivällinen metsästäjä. Se kaivaa pakoonpääsemättömän kuopan aavikolle ja odottaa saaliinsa putoavan alas. Tämä POKéMON voi pärjätä kokonaisen viikon ilman vettä. Sen suuret leuat rutistavat lohkareiden läpi. Koska sen pää on niin suuri, sillä on vaikeuksia nousta takaisin pystyyn, jos se kaatuu selälleen. Se elää kuivilla aavikoilla. Se tekee viistokuopan hiekkaan, jossa se kärsivällisesti odottaa saalista. Se tekee kartiomaisen kuopan aavikon hiekkaan ja väijyy pohjalla saalista, joka putoaa alas. Sen pesä on viettävä, kulhomainen kuoppa aavikolla. Kun jokin on pudonnut sinne, sieltä ei ole pakoa. Se tekee väistämättömän kartiomaisen kuopan ja väijyy pohjalla saalista putoamassa alas. Sen jättimäiset leuat ovat tarpeeksi voimakkaita murskaamaan jopa lohkareita. Tämä Pokémon voi olla kokonaisen viikon ilman vettä. Se voi elää viikon syömättä mitään. Se odottaa kärsivällisesti pesänsä pohjalla saaliin ilmestymistä. Kaivaessaan hiekkaa sen jättimäiset leuat murskaavat kaikki kivet, jotka estävät sen tietä. Se rakentaa suppilonmuotoisen pesän. Sen leuat ovat tarpeeksi vahvat murskaamaan kiviä, mutta niin raskaat, ettei se nouse ylös, jos se kaatuu. Sandile tarttuu näihin hetkiin tilaisuutena. Se rakentaa pesiä, jotka toimivat myös ansoina väijyen saalistaan. Yön laskeutuessa se kaivaa itselleen paikan hiekan alle nukkuakseen.</t>
        </is>
      </c>
    </row>
    <row r="8485" ht="33.75" customHeight="1">
      <c r="A8485" s="7">
        <v>328.0</v>
      </c>
      <c r="B8485" s="9" t="s">
        <v>14740</v>
      </c>
      <c r="C8485" s="9" t="s">
        <v>14741</v>
      </c>
      <c r="D8485" s="9" t="s">
        <v>71</v>
      </c>
      <c r="E8485" s="6" t="s">
        <v>14743</v>
      </c>
      <c r="F8485" s="9"/>
    </row>
    <row r="8486" ht="33.75" customHeight="1">
      <c r="A8486" s="7">
        <v>328.0</v>
      </c>
      <c r="B8486" s="9" t="s">
        <v>14740</v>
      </c>
      <c r="C8486" s="9" t="s">
        <v>14741</v>
      </c>
      <c r="D8486" s="9" t="s">
        <v>73</v>
      </c>
      <c r="E8486" s="6" t="s">
        <v>14744</v>
      </c>
      <c r="F8486" s="9"/>
    </row>
    <row r="8487" ht="33.75" customHeight="1">
      <c r="A8487" s="7">
        <v>328.0</v>
      </c>
      <c r="B8487" s="9" t="s">
        <v>14740</v>
      </c>
      <c r="C8487" s="9" t="s">
        <v>14741</v>
      </c>
      <c r="D8487" s="9" t="s">
        <v>75</v>
      </c>
      <c r="E8487" s="6" t="s">
        <v>14745</v>
      </c>
      <c r="F8487" s="9"/>
    </row>
    <row r="8488" ht="33.75" customHeight="1">
      <c r="A8488" s="7">
        <v>328.0</v>
      </c>
      <c r="B8488" s="9" t="s">
        <v>14740</v>
      </c>
      <c r="C8488" s="9" t="s">
        <v>14741</v>
      </c>
      <c r="D8488" s="9" t="s">
        <v>79</v>
      </c>
      <c r="E8488" s="6" t="s">
        <v>14745</v>
      </c>
      <c r="F8488" s="9"/>
    </row>
    <row r="8489" ht="33.75" customHeight="1">
      <c r="A8489" s="7">
        <v>328.0</v>
      </c>
      <c r="B8489" s="9" t="s">
        <v>14740</v>
      </c>
      <c r="C8489" s="9" t="s">
        <v>14741</v>
      </c>
      <c r="D8489" s="9" t="s">
        <v>81</v>
      </c>
      <c r="E8489" s="6" t="s">
        <v>14746</v>
      </c>
      <c r="F8489" s="9"/>
    </row>
    <row r="8490" ht="33.75" customHeight="1">
      <c r="A8490" s="7">
        <v>328.0</v>
      </c>
      <c r="B8490" s="9" t="s">
        <v>14740</v>
      </c>
      <c r="C8490" s="9" t="s">
        <v>14741</v>
      </c>
      <c r="D8490" s="9" t="s">
        <v>84</v>
      </c>
      <c r="E8490" s="6" t="s">
        <v>14746</v>
      </c>
      <c r="F8490" s="9"/>
    </row>
    <row r="8491" ht="33.75" customHeight="1">
      <c r="A8491" s="7">
        <v>328.0</v>
      </c>
      <c r="B8491" s="9" t="s">
        <v>14740</v>
      </c>
      <c r="C8491" s="9" t="s">
        <v>14741</v>
      </c>
      <c r="D8491" s="9" t="s">
        <v>87</v>
      </c>
      <c r="E8491" s="6" t="s">
        <v>14746</v>
      </c>
      <c r="F8491" s="9"/>
    </row>
    <row r="8492" ht="33.75" customHeight="1">
      <c r="A8492" s="7">
        <v>328.0</v>
      </c>
      <c r="B8492" s="9" t="s">
        <v>14740</v>
      </c>
      <c r="C8492" s="9" t="s">
        <v>14741</v>
      </c>
      <c r="D8492" s="9" t="s">
        <v>89</v>
      </c>
      <c r="E8492" s="6" t="s">
        <v>14747</v>
      </c>
      <c r="F8492" s="9"/>
    </row>
    <row r="8493" ht="33.75" customHeight="1">
      <c r="A8493" s="7">
        <v>328.0</v>
      </c>
      <c r="B8493" s="9" t="s">
        <v>14740</v>
      </c>
      <c r="C8493" s="9" t="s">
        <v>14741</v>
      </c>
      <c r="D8493" s="9" t="s">
        <v>91</v>
      </c>
      <c r="E8493" s="6" t="s">
        <v>14747</v>
      </c>
      <c r="F8493" s="9"/>
    </row>
    <row r="8494" ht="33.75" customHeight="1">
      <c r="A8494" s="7">
        <v>328.0</v>
      </c>
      <c r="B8494" s="9" t="s">
        <v>14740</v>
      </c>
      <c r="C8494" s="9" t="s">
        <v>14741</v>
      </c>
      <c r="D8494" s="9" t="s">
        <v>93</v>
      </c>
      <c r="E8494" s="6" t="s">
        <v>14746</v>
      </c>
      <c r="F8494" s="9"/>
    </row>
    <row r="8495" ht="33.75" customHeight="1">
      <c r="A8495" s="7">
        <v>328.0</v>
      </c>
      <c r="B8495" s="9" t="s">
        <v>14740</v>
      </c>
      <c r="C8495" s="9" t="s">
        <v>14741</v>
      </c>
      <c r="D8495" s="9" t="s">
        <v>95</v>
      </c>
      <c r="E8495" s="6" t="s">
        <v>14746</v>
      </c>
      <c r="F8495" s="9"/>
    </row>
    <row r="8496" ht="33.75" customHeight="1">
      <c r="A8496" s="7">
        <v>328.0</v>
      </c>
      <c r="B8496" s="9" t="s">
        <v>14740</v>
      </c>
      <c r="C8496" s="9" t="s">
        <v>14741</v>
      </c>
      <c r="D8496" s="9" t="s">
        <v>98</v>
      </c>
      <c r="E8496" s="6" t="s">
        <v>14749</v>
      </c>
      <c r="F8496" s="9"/>
    </row>
    <row r="8497" ht="33.75" customHeight="1">
      <c r="A8497" s="7">
        <v>328.0</v>
      </c>
      <c r="B8497" s="9" t="s">
        <v>14740</v>
      </c>
      <c r="C8497" s="9" t="s">
        <v>14741</v>
      </c>
      <c r="D8497" s="9" t="s">
        <v>99</v>
      </c>
      <c r="E8497" s="6" t="s">
        <v>14749</v>
      </c>
      <c r="F8497" s="9"/>
    </row>
    <row r="8498" ht="33.75" customHeight="1">
      <c r="A8498" s="7">
        <v>328.0</v>
      </c>
      <c r="B8498" s="9" t="s">
        <v>14740</v>
      </c>
      <c r="C8498" s="9" t="s">
        <v>14741</v>
      </c>
      <c r="D8498" s="9" t="s">
        <v>101</v>
      </c>
      <c r="E8498" s="6" t="s">
        <v>14745</v>
      </c>
      <c r="F8498" s="9"/>
    </row>
    <row r="8499" ht="33.75" customHeight="1">
      <c r="A8499" s="7">
        <v>328.0</v>
      </c>
      <c r="B8499" s="9" t="s">
        <v>14740</v>
      </c>
      <c r="C8499" s="9" t="s">
        <v>14741</v>
      </c>
      <c r="D8499" s="9" t="s">
        <v>105</v>
      </c>
      <c r="E8499" s="6" t="s">
        <v>14749</v>
      </c>
      <c r="F8499" s="9"/>
    </row>
    <row r="8500" ht="33.75" customHeight="1">
      <c r="A8500" s="7">
        <v>328.0</v>
      </c>
      <c r="B8500" s="9" t="s">
        <v>14740</v>
      </c>
      <c r="C8500" s="9" t="s">
        <v>14741</v>
      </c>
      <c r="D8500" s="9" t="s">
        <v>107</v>
      </c>
      <c r="E8500" s="6" t="s">
        <v>14750</v>
      </c>
      <c r="F8500" s="9"/>
    </row>
    <row r="8501" ht="33.75" customHeight="1">
      <c r="A8501" s="7">
        <v>328.0</v>
      </c>
      <c r="B8501" s="9" t="s">
        <v>14740</v>
      </c>
      <c r="C8501" s="9" t="s">
        <v>14741</v>
      </c>
      <c r="D8501" s="9" t="s">
        <v>109</v>
      </c>
      <c r="E8501" s="6" t="s">
        <v>14751</v>
      </c>
      <c r="F8501" s="9"/>
    </row>
    <row r="8502" ht="33.75" customHeight="1">
      <c r="A8502" s="7">
        <v>328.0</v>
      </c>
      <c r="B8502" s="9" t="s">
        <v>14740</v>
      </c>
      <c r="C8502" s="9" t="s">
        <v>14741</v>
      </c>
      <c r="D8502" s="9" t="s">
        <v>637</v>
      </c>
      <c r="E8502" s="6" t="s">
        <v>14752</v>
      </c>
      <c r="F8502" s="9"/>
    </row>
    <row r="8503" ht="33.75" customHeight="1">
      <c r="A8503" s="7">
        <v>328.0</v>
      </c>
      <c r="B8503" s="9" t="s">
        <v>14740</v>
      </c>
      <c r="C8503" s="9" t="s">
        <v>14741</v>
      </c>
      <c r="D8503" s="9" t="s">
        <v>642</v>
      </c>
      <c r="E8503" s="6" t="s">
        <v>14753</v>
      </c>
      <c r="F8503" s="9"/>
    </row>
    <row r="8504" ht="33.75" customHeight="1">
      <c r="A8504" s="7">
        <v>328.0</v>
      </c>
      <c r="B8504" s="9" t="s">
        <v>14740</v>
      </c>
      <c r="C8504" s="9" t="s">
        <v>14741</v>
      </c>
      <c r="D8504" s="9" t="s">
        <v>647</v>
      </c>
      <c r="E8504" s="6" t="s">
        <v>14754</v>
      </c>
      <c r="F8504" s="9"/>
    </row>
    <row r="8505" ht="33.75" customHeight="1">
      <c r="A8505" s="7">
        <v>328.0</v>
      </c>
      <c r="B8505" s="9" t="s">
        <v>14740</v>
      </c>
      <c r="C8505" s="9" t="s">
        <v>14741</v>
      </c>
      <c r="D8505" s="9" t="s">
        <v>652</v>
      </c>
      <c r="E8505" s="6" t="s">
        <v>14755</v>
      </c>
      <c r="F8505" s="9"/>
    </row>
    <row r="8506" ht="33.75" customHeight="1">
      <c r="A8506" s="7">
        <v>328.0</v>
      </c>
      <c r="B8506" s="9" t="s">
        <v>14740</v>
      </c>
      <c r="C8506" s="9" t="s">
        <v>14741</v>
      </c>
      <c r="D8506" s="9" t="s">
        <v>114</v>
      </c>
      <c r="E8506" s="6" t="s">
        <v>14747</v>
      </c>
      <c r="F8506" s="9"/>
    </row>
    <row r="8507" ht="33.75" customHeight="1">
      <c r="A8507" s="7">
        <v>328.0</v>
      </c>
      <c r="B8507" s="9" t="s">
        <v>14740</v>
      </c>
      <c r="C8507" s="9" t="s">
        <v>14741</v>
      </c>
      <c r="D8507" s="9" t="s">
        <v>117</v>
      </c>
      <c r="E8507" s="6" t="s">
        <v>14749</v>
      </c>
      <c r="F8507" s="9"/>
    </row>
    <row r="8508" ht="33.75" customHeight="1">
      <c r="A8508" s="7">
        <v>329.0</v>
      </c>
      <c r="B8508" s="9" t="s">
        <v>14756</v>
      </c>
      <c r="C8508" s="9" t="s">
        <v>14757</v>
      </c>
      <c r="D8508" s="9" t="s">
        <v>67</v>
      </c>
      <c r="E8508" s="6" t="s">
        <v>14758</v>
      </c>
      <c r="F8508" t="inlineStr" s="10">
        <is>
          <t xml:space="preserve">VIBRAVA tuottaa ultraääniaaltoja värähtelemällä voimakkaasti kahta siipeään saadakseen saaliinsa pyörtymään. Tämän POKéMONin ultraääniaallot ovat niin voimakkaita, että ne voivat aiheuttaa ihmisille päänsärkyä. VIBRAVAn siivet eivät ole vielä kasvaneet loppuun. Pitkien matkojen lentämisen sijaan ne ovat hyödyllisempiä ultraääniaaltojen tuottamiseen värähtelemällä. Se lähettää ultraääniaaltoja hankaamalla siipiään yhteen. Koska VIBRAVAn siivet ovat vielä kasvuvaiheessa, se voi lentää vain lyhyitä matkoja. Se tuottaa ultraääniaaltoja räpyttelemällä siipiään rajusti. Pyörrytettyään saaliinsa se sulattaa sen hapolla. Se heiluttaa siipiään rajusti ja tuottaa ultraääniaaltoja, jotka aiheuttavat ihmisille päänsärkyä. Se värisee siipiään voimakkaasti, mikä luo ultraääniaaltoja, jotka aiheuttavat vakavia päänsärkyjä. Sen kahden siiven hankauksesta syntyvät ultraääniaallot aiheuttavat voimakasta päänsärkyä. Saadakseen saaliinsa pyörtymään, Vibrava tuottaa ultraääniaaltoja värähtelemällä voimakkaasti kahta siipeään. Sen sijaan, että se käyttäisi alikehittyneitä siipiään lentoon, se hieroo niitä yhteen ja tuottaa ultraääniaaltoja hyökätäkseen vihollistensa kimppuun. Auttaakseen siipiään kasvamaan se liuottaa saalista ruoansulatusnesteisiinsä ja ahmii sitä päivittäin. Se värisyttää siipiään tuottaakseen ultraääniaaltoja, jotka saavat saaliinsa pyörtymään. Sitten se hautaa saaliin elävältä hiekkaan suojellakseen sitä. Se värisee siipiään lähettääkseen outoja ääniaaltoja. Sen kanssa olevat kouluttajat tarvitsevat korvatulpat.</t>
        </is>
      </c>
    </row>
    <row r="8509" ht="33.75" customHeight="1">
      <c r="A8509" s="7">
        <v>329.0</v>
      </c>
      <c r="B8509" s="9" t="s">
        <v>14756</v>
      </c>
      <c r="C8509" s="9" t="s">
        <v>14757</v>
      </c>
      <c r="D8509" s="9" t="s">
        <v>71</v>
      </c>
      <c r="E8509" s="6" t="s">
        <v>14759</v>
      </c>
      <c r="F8509" s="9"/>
    </row>
    <row r="8510" ht="33.75" customHeight="1">
      <c r="A8510" s="7">
        <v>329.0</v>
      </c>
      <c r="B8510" s="9" t="s">
        <v>14756</v>
      </c>
      <c r="C8510" s="9" t="s">
        <v>14757</v>
      </c>
      <c r="D8510" s="9" t="s">
        <v>73</v>
      </c>
      <c r="E8510" s="6" t="s">
        <v>14760</v>
      </c>
      <c r="F8510" s="9"/>
    </row>
    <row r="8511" ht="33.75" customHeight="1">
      <c r="A8511" s="7">
        <v>329.0</v>
      </c>
      <c r="B8511" s="9" t="s">
        <v>14756</v>
      </c>
      <c r="C8511" s="9" t="s">
        <v>14757</v>
      </c>
      <c r="D8511" s="9" t="s">
        <v>75</v>
      </c>
      <c r="E8511" s="6" t="s">
        <v>14761</v>
      </c>
      <c r="F8511" s="9"/>
    </row>
    <row r="8512" ht="33.75" customHeight="1">
      <c r="A8512" s="7">
        <v>329.0</v>
      </c>
      <c r="B8512" s="9" t="s">
        <v>14756</v>
      </c>
      <c r="C8512" s="9" t="s">
        <v>14757</v>
      </c>
      <c r="D8512" s="9" t="s">
        <v>79</v>
      </c>
      <c r="E8512" s="6" t="s">
        <v>14761</v>
      </c>
      <c r="F8512" s="9"/>
    </row>
    <row r="8513" ht="33.75" customHeight="1">
      <c r="A8513" s="7">
        <v>329.0</v>
      </c>
      <c r="B8513" s="9" t="s">
        <v>14756</v>
      </c>
      <c r="C8513" s="9" t="s">
        <v>14757</v>
      </c>
      <c r="D8513" s="9" t="s">
        <v>81</v>
      </c>
      <c r="E8513" s="6" t="s">
        <v>14762</v>
      </c>
      <c r="F8513" s="9"/>
    </row>
    <row r="8514" ht="33.75" customHeight="1">
      <c r="A8514" s="7">
        <v>329.0</v>
      </c>
      <c r="B8514" s="9" t="s">
        <v>14756</v>
      </c>
      <c r="C8514" s="9" t="s">
        <v>14757</v>
      </c>
      <c r="D8514" s="9" t="s">
        <v>84</v>
      </c>
      <c r="E8514" s="6" t="s">
        <v>14762</v>
      </c>
      <c r="F8514" s="9"/>
    </row>
    <row r="8515" ht="33.75" customHeight="1">
      <c r="A8515" s="7">
        <v>329.0</v>
      </c>
      <c r="B8515" s="9" t="s">
        <v>14756</v>
      </c>
      <c r="C8515" s="9" t="s">
        <v>14757</v>
      </c>
      <c r="D8515" s="9" t="s">
        <v>87</v>
      </c>
      <c r="E8515" s="6" t="s">
        <v>14762</v>
      </c>
      <c r="F8515" s="9"/>
    </row>
    <row r="8516" ht="33.75" customHeight="1">
      <c r="A8516" s="7">
        <v>329.0</v>
      </c>
      <c r="B8516" s="9" t="s">
        <v>14756</v>
      </c>
      <c r="C8516" s="9" t="s">
        <v>14757</v>
      </c>
      <c r="D8516" s="9" t="s">
        <v>89</v>
      </c>
      <c r="E8516" s="6" t="s">
        <v>14764</v>
      </c>
      <c r="F8516" s="9"/>
    </row>
    <row r="8517" ht="33.75" customHeight="1">
      <c r="A8517" s="7">
        <v>329.0</v>
      </c>
      <c r="B8517" s="9" t="s">
        <v>14756</v>
      </c>
      <c r="C8517" s="9" t="s">
        <v>14757</v>
      </c>
      <c r="D8517" s="9" t="s">
        <v>91</v>
      </c>
      <c r="E8517" s="6" t="s">
        <v>14764</v>
      </c>
      <c r="F8517" s="9"/>
    </row>
    <row r="8518" ht="33.75" customHeight="1">
      <c r="A8518" s="7">
        <v>329.0</v>
      </c>
      <c r="B8518" s="9" t="s">
        <v>14756</v>
      </c>
      <c r="C8518" s="9" t="s">
        <v>14757</v>
      </c>
      <c r="D8518" s="9" t="s">
        <v>93</v>
      </c>
      <c r="E8518" s="6" t="s">
        <v>14762</v>
      </c>
      <c r="F8518" s="9"/>
    </row>
    <row r="8519" ht="33.75" customHeight="1">
      <c r="A8519" s="7">
        <v>329.0</v>
      </c>
      <c r="B8519" s="9" t="s">
        <v>14756</v>
      </c>
      <c r="C8519" s="9" t="s">
        <v>14757</v>
      </c>
      <c r="D8519" s="9" t="s">
        <v>95</v>
      </c>
      <c r="E8519" s="6" t="s">
        <v>14762</v>
      </c>
      <c r="F8519" s="9"/>
    </row>
    <row r="8520" ht="33.75" customHeight="1">
      <c r="A8520" s="7">
        <v>329.0</v>
      </c>
      <c r="B8520" s="9" t="s">
        <v>14756</v>
      </c>
      <c r="C8520" s="9" t="s">
        <v>14757</v>
      </c>
      <c r="D8520" s="9" t="s">
        <v>98</v>
      </c>
      <c r="E8520" s="6" t="s">
        <v>14765</v>
      </c>
      <c r="F8520" s="9"/>
    </row>
    <row r="8521" ht="33.75" customHeight="1">
      <c r="A8521" s="7">
        <v>329.0</v>
      </c>
      <c r="B8521" s="9" t="s">
        <v>14756</v>
      </c>
      <c r="C8521" s="9" t="s">
        <v>14757</v>
      </c>
      <c r="D8521" s="9" t="s">
        <v>99</v>
      </c>
      <c r="E8521" s="6" t="s">
        <v>14765</v>
      </c>
      <c r="F8521" s="9"/>
    </row>
    <row r="8522" ht="33.75" customHeight="1">
      <c r="A8522" s="7">
        <v>329.0</v>
      </c>
      <c r="B8522" s="9" t="s">
        <v>14756</v>
      </c>
      <c r="C8522" s="9" t="s">
        <v>14757</v>
      </c>
      <c r="D8522" s="9" t="s">
        <v>101</v>
      </c>
      <c r="E8522" s="6" t="s">
        <v>14765</v>
      </c>
      <c r="F8522" s="9"/>
    </row>
    <row r="8523" ht="33.75" customHeight="1">
      <c r="A8523" s="7">
        <v>329.0</v>
      </c>
      <c r="B8523" s="9" t="s">
        <v>14756</v>
      </c>
      <c r="C8523" s="9" t="s">
        <v>14757</v>
      </c>
      <c r="D8523" s="9" t="s">
        <v>105</v>
      </c>
      <c r="E8523" s="6" t="s">
        <v>14761</v>
      </c>
      <c r="F8523" s="9"/>
    </row>
    <row r="8524" ht="33.75" customHeight="1">
      <c r="A8524" s="7">
        <v>329.0</v>
      </c>
      <c r="B8524" s="9" t="s">
        <v>14756</v>
      </c>
      <c r="C8524" s="9" t="s">
        <v>14757</v>
      </c>
      <c r="D8524" s="9" t="s">
        <v>107</v>
      </c>
      <c r="E8524" s="6" t="s">
        <v>14766</v>
      </c>
      <c r="F8524" s="9"/>
    </row>
    <row r="8525" ht="33.75" customHeight="1">
      <c r="A8525" s="7">
        <v>329.0</v>
      </c>
      <c r="B8525" s="9" t="s">
        <v>14756</v>
      </c>
      <c r="C8525" s="9" t="s">
        <v>14757</v>
      </c>
      <c r="D8525" s="9" t="s">
        <v>109</v>
      </c>
      <c r="E8525" s="6" t="s">
        <v>14767</v>
      </c>
      <c r="F8525" s="9"/>
    </row>
    <row r="8526" ht="33.75" customHeight="1">
      <c r="A8526" s="7">
        <v>329.0</v>
      </c>
      <c r="B8526" s="9" t="s">
        <v>14756</v>
      </c>
      <c r="C8526" s="9" t="s">
        <v>14757</v>
      </c>
      <c r="D8526" s="9" t="s">
        <v>637</v>
      </c>
      <c r="E8526" s="6" t="s">
        <v>14768</v>
      </c>
      <c r="F8526" s="9"/>
    </row>
    <row r="8527" ht="33.75" customHeight="1">
      <c r="A8527" s="7">
        <v>329.0</v>
      </c>
      <c r="B8527" s="9" t="s">
        <v>14756</v>
      </c>
      <c r="C8527" s="9" t="s">
        <v>14757</v>
      </c>
      <c r="D8527" s="9" t="s">
        <v>642</v>
      </c>
      <c r="E8527" s="6" t="s">
        <v>14769</v>
      </c>
      <c r="F8527" s="9"/>
    </row>
    <row r="8528" ht="33.75" customHeight="1">
      <c r="A8528" s="7">
        <v>329.0</v>
      </c>
      <c r="B8528" s="9" t="s">
        <v>14756</v>
      </c>
      <c r="C8528" s="9" t="s">
        <v>14757</v>
      </c>
      <c r="D8528" s="9" t="s">
        <v>647</v>
      </c>
      <c r="E8528" s="6" t="s">
        <v>14770</v>
      </c>
      <c r="F8528" s="9"/>
    </row>
    <row r="8529" ht="33.75" customHeight="1">
      <c r="A8529" s="7">
        <v>329.0</v>
      </c>
      <c r="B8529" s="9" t="s">
        <v>14756</v>
      </c>
      <c r="C8529" s="9" t="s">
        <v>14757</v>
      </c>
      <c r="D8529" s="9" t="s">
        <v>652</v>
      </c>
      <c r="E8529" s="6" t="s">
        <v>14771</v>
      </c>
      <c r="F8529" s="9"/>
    </row>
    <row r="8530" ht="33.75" customHeight="1">
      <c r="A8530" s="7">
        <v>329.0</v>
      </c>
      <c r="B8530" s="9" t="s">
        <v>14756</v>
      </c>
      <c r="C8530" s="9" t="s">
        <v>14757</v>
      </c>
      <c r="D8530" s="9" t="s">
        <v>114</v>
      </c>
      <c r="E8530" s="6" t="s">
        <v>14765</v>
      </c>
      <c r="F8530" s="9"/>
    </row>
    <row r="8531" ht="33.75" customHeight="1">
      <c r="A8531" s="7">
        <v>329.0</v>
      </c>
      <c r="B8531" s="9" t="s">
        <v>14756</v>
      </c>
      <c r="C8531" s="9" t="s">
        <v>14757</v>
      </c>
      <c r="D8531" s="9" t="s">
        <v>117</v>
      </c>
      <c r="E8531" s="6" t="s">
        <v>14769</v>
      </c>
      <c r="F8531" s="9"/>
    </row>
    <row r="8532" ht="33.75" customHeight="1">
      <c r="A8532" s="7">
        <v>330.0</v>
      </c>
      <c r="B8532" s="9" t="s">
        <v>14772</v>
      </c>
      <c r="C8532" s="9" t="s">
        <v>10634</v>
      </c>
      <c r="D8532" s="9" t="s">
        <v>67</v>
      </c>
      <c r="E8532" s="6" t="s">
        <v>14774</v>
      </c>
      <c r="F8532" t="inlineStr" s="10">
        <is>
          <t xml:space="preserve">FLYGONia kutsutaan lempinimellä "aavikon alkuainehengeksi". Koska sen räpyttelevät siivet piiskaavat hiekkapilven, tämä POKéMON on aina lentäessään hiekkamyrskyn ympäröimänä. FLYGON aiheuttaa hiekkamyrskyn räpyttelemällä siipiään. Siivet luovat sarjan nuotteja, jotka kuulostavat laululta. Koska "laulu" on ainoa asia, jonka voi kuulla hiekkamyrskyssä, tämän POKéMONin sanotaan olevan aavikon henki. Sen siipien räpyttely kuulostaa laululta. Estääkseen vihollisten havaitsemisen se piiloutuu räpyttelemällä ilmaan aavikon hiekkapilven. Se piiloutuu potkimalla siivillään aavikon hiekkaa ilmaan. Punaiset suojat suojaavat sen silmiä hiekalta. Se nostattaa hiekkamyrskyjä voimakkailla siipiensä läpätyksillä. Se tunnetaan nimellä "Aavikon henki". Se on saanut lempinimen "Aavikon henki", koska sen siipien räpyttely kuulostaa naisen laululta. Tämä "Aavikon sieluna" tunnettu Pokémon piiloutuu siipiään räpyttelemällä aiheuttamiinsa hiekkamyrskyihin. Flygonin lempinimi on "aavikon elementtihenki". Koska sen räpyttelevät siivet nostavat hiekkapilven, tämä Pokémon on aina lentäessään hiekkamyrskyn ympäröimänä. Flygon nostattaa hiekkamyrskyn räpyttelemällä siipiään. Koska "laulu" on ainoa asia, joka hiekkamyrskyssä kuuluu, tätä Pokémonia kutsutaan aavikonhengeksi. Sen siipien räpyttely kuulostaa vähän kuin laululta. Äänen houkuttelemat joutuvat hiekkamyrskyn ympäröimiksi ja niistä tulee Flygonin saalis. Tämä Pokémon piileskelee luomiensa hiekkamyrskyjen sydämessä ja esiintyy harvoin paikoissa, joissa ihmiset voivat nähdä sen. Läpyttelemällä siipiään Flygonit aiheuttavat hiekkamyrskyjä, jotka kätkevät Krookodilen. Sitten tiimi jakaa saaliinsa. Ihmisten sydämet varastetaan edelleen sen lumoavilla lauluilla ja he huomaavat jäävänsä autiomaahan. Se on saanut lempinimen Aavikon henki, koska sen siipien räpyttely kuulostaa naisen laululta.</t>
        </is>
      </c>
    </row>
    <row r="8533" ht="33.75" customHeight="1">
      <c r="A8533" s="7">
        <v>330.0</v>
      </c>
      <c r="B8533" s="9" t="s">
        <v>14772</v>
      </c>
      <c r="C8533" s="9" t="s">
        <v>10634</v>
      </c>
      <c r="D8533" s="9" t="s">
        <v>71</v>
      </c>
      <c r="E8533" s="6" t="s">
        <v>14775</v>
      </c>
      <c r="F8533" s="9"/>
    </row>
    <row r="8534" ht="33.75" customHeight="1">
      <c r="A8534" s="7">
        <v>330.0</v>
      </c>
      <c r="B8534" s="9" t="s">
        <v>14772</v>
      </c>
      <c r="C8534" s="9" t="s">
        <v>10634</v>
      </c>
      <c r="D8534" s="9" t="s">
        <v>73</v>
      </c>
      <c r="E8534" s="6" t="s">
        <v>14776</v>
      </c>
      <c r="F8534" s="9"/>
    </row>
    <row r="8535" ht="33.75" customHeight="1">
      <c r="A8535" s="7">
        <v>330.0</v>
      </c>
      <c r="B8535" s="9" t="s">
        <v>14772</v>
      </c>
      <c r="C8535" s="9" t="s">
        <v>10634</v>
      </c>
      <c r="D8535" s="9" t="s">
        <v>75</v>
      </c>
      <c r="E8535" s="6" t="s">
        <v>14777</v>
      </c>
      <c r="F8535" s="9"/>
    </row>
    <row r="8536" ht="33.75" customHeight="1">
      <c r="A8536" s="7">
        <v>330.0</v>
      </c>
      <c r="B8536" s="9" t="s">
        <v>14772</v>
      </c>
      <c r="C8536" s="9" t="s">
        <v>10634</v>
      </c>
      <c r="D8536" s="9" t="s">
        <v>79</v>
      </c>
      <c r="E8536" s="6" t="s">
        <v>14777</v>
      </c>
      <c r="F8536" s="9"/>
    </row>
    <row r="8537" ht="33.75" customHeight="1">
      <c r="A8537" s="7">
        <v>330.0</v>
      </c>
      <c r="B8537" s="9" t="s">
        <v>14772</v>
      </c>
      <c r="C8537" s="9" t="s">
        <v>10634</v>
      </c>
      <c r="D8537" s="9" t="s">
        <v>81</v>
      </c>
      <c r="E8537" s="6" t="s">
        <v>14778</v>
      </c>
      <c r="F8537" s="9"/>
    </row>
    <row r="8538" ht="33.75" customHeight="1">
      <c r="A8538" s="7">
        <v>330.0</v>
      </c>
      <c r="B8538" s="9" t="s">
        <v>14772</v>
      </c>
      <c r="C8538" s="9" t="s">
        <v>10634</v>
      </c>
      <c r="D8538" s="9" t="s">
        <v>84</v>
      </c>
      <c r="E8538" s="6" t="s">
        <v>14778</v>
      </c>
      <c r="F8538" s="9"/>
    </row>
    <row r="8539" ht="33.75" customHeight="1">
      <c r="A8539" s="7">
        <v>330.0</v>
      </c>
      <c r="B8539" s="9" t="s">
        <v>14772</v>
      </c>
      <c r="C8539" s="9" t="s">
        <v>10634</v>
      </c>
      <c r="D8539" s="9" t="s">
        <v>87</v>
      </c>
      <c r="E8539" s="6" t="s">
        <v>14778</v>
      </c>
      <c r="F8539" s="9"/>
    </row>
    <row r="8540" ht="33.75" customHeight="1">
      <c r="A8540" s="7">
        <v>330.0</v>
      </c>
      <c r="B8540" s="9" t="s">
        <v>14772</v>
      </c>
      <c r="C8540" s="9" t="s">
        <v>10634</v>
      </c>
      <c r="D8540" s="9" t="s">
        <v>89</v>
      </c>
      <c r="E8540" s="6" t="s">
        <v>14779</v>
      </c>
      <c r="F8540" s="9"/>
    </row>
    <row r="8541" ht="33.75" customHeight="1">
      <c r="A8541" s="7">
        <v>330.0</v>
      </c>
      <c r="B8541" s="9" t="s">
        <v>14772</v>
      </c>
      <c r="C8541" s="9" t="s">
        <v>10634</v>
      </c>
      <c r="D8541" s="9" t="s">
        <v>91</v>
      </c>
      <c r="E8541" s="6" t="s">
        <v>14779</v>
      </c>
      <c r="F8541" s="9"/>
    </row>
    <row r="8542" ht="33.75" customHeight="1">
      <c r="A8542" s="7">
        <v>330.0</v>
      </c>
      <c r="B8542" s="9" t="s">
        <v>14772</v>
      </c>
      <c r="C8542" s="9" t="s">
        <v>10634</v>
      </c>
      <c r="D8542" s="9" t="s">
        <v>93</v>
      </c>
      <c r="E8542" s="6" t="s">
        <v>14778</v>
      </c>
      <c r="F8542" s="9"/>
    </row>
    <row r="8543" ht="33.75" customHeight="1">
      <c r="A8543" s="7">
        <v>330.0</v>
      </c>
      <c r="B8543" s="9" t="s">
        <v>14772</v>
      </c>
      <c r="C8543" s="9" t="s">
        <v>10634</v>
      </c>
      <c r="D8543" s="9" t="s">
        <v>95</v>
      </c>
      <c r="E8543" s="6" t="s">
        <v>14778</v>
      </c>
      <c r="F8543" s="9"/>
    </row>
    <row r="8544" ht="33.75" customHeight="1">
      <c r="A8544" s="7">
        <v>330.0</v>
      </c>
      <c r="B8544" s="9" t="s">
        <v>14772</v>
      </c>
      <c r="C8544" s="9" t="s">
        <v>10634</v>
      </c>
      <c r="D8544" s="9" t="s">
        <v>98</v>
      </c>
      <c r="E8544" s="6" t="s">
        <v>14780</v>
      </c>
      <c r="F8544" s="9"/>
    </row>
    <row r="8545" ht="33.75" customHeight="1">
      <c r="A8545" s="7">
        <v>330.0</v>
      </c>
      <c r="B8545" s="9" t="s">
        <v>14772</v>
      </c>
      <c r="C8545" s="9" t="s">
        <v>10634</v>
      </c>
      <c r="D8545" s="9" t="s">
        <v>99</v>
      </c>
      <c r="E8545" s="6" t="s">
        <v>14780</v>
      </c>
      <c r="F8545" s="9"/>
    </row>
    <row r="8546" ht="33.75" customHeight="1">
      <c r="A8546" s="7">
        <v>330.0</v>
      </c>
      <c r="B8546" s="9" t="s">
        <v>14772</v>
      </c>
      <c r="C8546" s="9" t="s">
        <v>10634</v>
      </c>
      <c r="D8546" s="9" t="s">
        <v>101</v>
      </c>
      <c r="E8546" s="6" t="s">
        <v>14777</v>
      </c>
      <c r="F8546" s="9"/>
    </row>
    <row r="8547" ht="33.75" customHeight="1">
      <c r="A8547" s="7">
        <v>330.0</v>
      </c>
      <c r="B8547" s="9" t="s">
        <v>14772</v>
      </c>
      <c r="C8547" s="9" t="s">
        <v>10634</v>
      </c>
      <c r="D8547" s="9" t="s">
        <v>105</v>
      </c>
      <c r="E8547" s="6" t="s">
        <v>14780</v>
      </c>
      <c r="F8547" s="9"/>
    </row>
    <row r="8548" ht="33.75" customHeight="1">
      <c r="A8548" s="7">
        <v>330.0</v>
      </c>
      <c r="B8548" s="9" t="s">
        <v>14772</v>
      </c>
      <c r="C8548" s="9" t="s">
        <v>10634</v>
      </c>
      <c r="D8548" s="9" t="s">
        <v>107</v>
      </c>
      <c r="E8548" s="6" t="s">
        <v>14782</v>
      </c>
      <c r="F8548" s="9"/>
    </row>
    <row r="8549" ht="33.75" customHeight="1">
      <c r="A8549" s="7">
        <v>330.0</v>
      </c>
      <c r="B8549" s="9" t="s">
        <v>14772</v>
      </c>
      <c r="C8549" s="9" t="s">
        <v>10634</v>
      </c>
      <c r="D8549" s="9" t="s">
        <v>109</v>
      </c>
      <c r="E8549" s="6" t="s">
        <v>14783</v>
      </c>
      <c r="F8549" s="9"/>
    </row>
    <row r="8550" ht="33.75" customHeight="1">
      <c r="A8550" s="7">
        <v>330.0</v>
      </c>
      <c r="B8550" s="9" t="s">
        <v>14772</v>
      </c>
      <c r="C8550" s="9" t="s">
        <v>10634</v>
      </c>
      <c r="D8550" s="9" t="s">
        <v>637</v>
      </c>
      <c r="E8550" s="6" t="s">
        <v>14784</v>
      </c>
      <c r="F8550" s="9"/>
    </row>
    <row r="8551" ht="33.75" customHeight="1">
      <c r="A8551" s="7">
        <v>330.0</v>
      </c>
      <c r="B8551" s="9" t="s">
        <v>14772</v>
      </c>
      <c r="C8551" s="9" t="s">
        <v>10634</v>
      </c>
      <c r="D8551" s="9" t="s">
        <v>642</v>
      </c>
      <c r="E8551" s="6" t="s">
        <v>14785</v>
      </c>
      <c r="F8551" s="9"/>
    </row>
    <row r="8552" ht="33.75" customHeight="1">
      <c r="A8552" s="7">
        <v>330.0</v>
      </c>
      <c r="B8552" s="9" t="s">
        <v>14772</v>
      </c>
      <c r="C8552" s="9" t="s">
        <v>10634</v>
      </c>
      <c r="D8552" s="9" t="s">
        <v>647</v>
      </c>
      <c r="E8552" s="6" t="s">
        <v>14786</v>
      </c>
      <c r="F8552" s="9"/>
    </row>
    <row r="8553" ht="33.75" customHeight="1">
      <c r="A8553" s="7">
        <v>330.0</v>
      </c>
      <c r="B8553" s="9" t="s">
        <v>14772</v>
      </c>
      <c r="C8553" s="9" t="s">
        <v>10634</v>
      </c>
      <c r="D8553" s="9" t="s">
        <v>652</v>
      </c>
      <c r="E8553" s="6" t="s">
        <v>14787</v>
      </c>
      <c r="F8553" s="9"/>
    </row>
    <row r="8554" ht="33.75" customHeight="1">
      <c r="A8554" s="7">
        <v>330.0</v>
      </c>
      <c r="B8554" s="9" t="s">
        <v>14772</v>
      </c>
      <c r="C8554" s="9" t="s">
        <v>10634</v>
      </c>
      <c r="D8554" s="9" t="s">
        <v>114</v>
      </c>
      <c r="E8554" s="6" t="s">
        <v>14785</v>
      </c>
      <c r="F8554" s="9"/>
    </row>
    <row r="8555" ht="33.75" customHeight="1">
      <c r="A8555" s="7">
        <v>330.0</v>
      </c>
      <c r="B8555" s="9" t="s">
        <v>14772</v>
      </c>
      <c r="C8555" s="9" t="s">
        <v>10634</v>
      </c>
      <c r="D8555" s="9" t="s">
        <v>117</v>
      </c>
      <c r="E8555" s="6" t="s">
        <v>14788</v>
      </c>
      <c r="F8555" s="9"/>
    </row>
    <row r="8556" ht="33.75" customHeight="1">
      <c r="A8556" s="7">
        <v>331.0</v>
      </c>
      <c r="B8556" s="9" t="s">
        <v>14789</v>
      </c>
      <c r="C8556" s="9" t="s">
        <v>14790</v>
      </c>
      <c r="D8556" s="9" t="s">
        <v>67</v>
      </c>
      <c r="E8556" s="6" t="s">
        <v>14791</v>
      </c>
      <c r="F8556" t="inlineStr" s="10">
        <is>
          <t xml:space="preserve">CACNEA elää kuivilla alueilla, kuten aavikoilla. Se vapauttaa kukastaan ​​voimakasta tuoksua houkutellakseen saalista. Kun saalis tulee lähelle, tämä POKéMON ampuu teräviä piikkejä ruumiistaan ​​kaataakseen uhrin. Mitä kuivempi ja ankarampi ympäristö, sitä kauniimpi ja tuoksuvampi CACNEA-kukka kasvaa. Tämä POKéMON taistelee heiluttamalla villisti piikkisiä käsivarsiaan. CACNEA elää aavikoilla, joilla ei juurikaan sada. Se taistelee heiluttamalla paksuja, piikkisiä käsiään. Kerran vuodessa kukkii keltainen kukka. Se viihtyy ankarissa ympäristöissä, kuten aavikoilla. Se voi selvitä 30 päivää kehoonsa varastoidulla vedellä. Varastoimalla vettä kehoonsa tämä aavikon asukas voi selvitä 30 päivää ilman vettä. Se elää kuivilla paikoilla. Sen keltaiset kukat kukkivat kerran vuodessa. Cacnea elää kuivilla paikoilla, kuten aavikoilla. Mitä kuivempi ja ankarampi ympäristö on, sitä kauniimpi ja tuoksuvampi kukka Cacnea kasvaa.</t>
        </is>
      </c>
    </row>
    <row r="8557" ht="33.75" customHeight="1">
      <c r="A8557" s="7">
        <v>331.0</v>
      </c>
      <c r="B8557" s="9" t="s">
        <v>14789</v>
      </c>
      <c r="C8557" s="9" t="s">
        <v>14790</v>
      </c>
      <c r="D8557" s="9" t="s">
        <v>71</v>
      </c>
      <c r="E8557" s="6" t="s">
        <v>14792</v>
      </c>
      <c r="F8557" s="9"/>
    </row>
    <row r="8558" ht="33.75" customHeight="1">
      <c r="A8558" s="7">
        <v>331.0</v>
      </c>
      <c r="B8558" s="9" t="s">
        <v>14789</v>
      </c>
      <c r="C8558" s="9" t="s">
        <v>14790</v>
      </c>
      <c r="D8558" s="9" t="s">
        <v>73</v>
      </c>
      <c r="E8558" s="6" t="s">
        <v>14793</v>
      </c>
      <c r="F8558" s="9"/>
    </row>
    <row r="8559" ht="33.75" customHeight="1">
      <c r="A8559" s="7">
        <v>331.0</v>
      </c>
      <c r="B8559" s="9" t="s">
        <v>14789</v>
      </c>
      <c r="C8559" s="9" t="s">
        <v>14790</v>
      </c>
      <c r="D8559" s="9" t="s">
        <v>75</v>
      </c>
      <c r="E8559" s="6" t="s">
        <v>14794</v>
      </c>
      <c r="F8559" s="9"/>
    </row>
    <row r="8560" ht="33.75" customHeight="1">
      <c r="A8560" s="7">
        <v>331.0</v>
      </c>
      <c r="B8560" s="9" t="s">
        <v>14789</v>
      </c>
      <c r="C8560" s="9" t="s">
        <v>14790</v>
      </c>
      <c r="D8560" s="9" t="s">
        <v>79</v>
      </c>
      <c r="E8560" s="6" t="s">
        <v>14794</v>
      </c>
      <c r="F8560" s="9"/>
    </row>
    <row r="8561" ht="33.75" customHeight="1">
      <c r="A8561" s="7">
        <v>331.0</v>
      </c>
      <c r="B8561" s="9" t="s">
        <v>14789</v>
      </c>
      <c r="C8561" s="9" t="s">
        <v>14790</v>
      </c>
      <c r="D8561" s="9" t="s">
        <v>81</v>
      </c>
      <c r="E8561" s="6" t="s">
        <v>14796</v>
      </c>
      <c r="F8561" s="9"/>
    </row>
    <row r="8562" ht="33.75" customHeight="1">
      <c r="A8562" s="7">
        <v>331.0</v>
      </c>
      <c r="B8562" s="9" t="s">
        <v>14789</v>
      </c>
      <c r="C8562" s="9" t="s">
        <v>14790</v>
      </c>
      <c r="D8562" s="9" t="s">
        <v>84</v>
      </c>
      <c r="E8562" s="6" t="s">
        <v>14796</v>
      </c>
      <c r="F8562" s="9"/>
    </row>
    <row r="8563" ht="33.75" customHeight="1">
      <c r="A8563" s="7">
        <v>331.0</v>
      </c>
      <c r="B8563" s="9" t="s">
        <v>14789</v>
      </c>
      <c r="C8563" s="9" t="s">
        <v>14790</v>
      </c>
      <c r="D8563" s="9" t="s">
        <v>87</v>
      </c>
      <c r="E8563" s="6" t="s">
        <v>14796</v>
      </c>
      <c r="F8563" s="9"/>
    </row>
    <row r="8564" ht="33.75" customHeight="1">
      <c r="A8564" s="7">
        <v>331.0</v>
      </c>
      <c r="B8564" s="9" t="s">
        <v>14789</v>
      </c>
      <c r="C8564" s="9" t="s">
        <v>14790</v>
      </c>
      <c r="D8564" s="9" t="s">
        <v>89</v>
      </c>
      <c r="E8564" s="6" t="s">
        <v>14797</v>
      </c>
      <c r="F8564" s="9"/>
    </row>
    <row r="8565" ht="33.75" customHeight="1">
      <c r="A8565" s="7">
        <v>331.0</v>
      </c>
      <c r="B8565" s="9" t="s">
        <v>14789</v>
      </c>
      <c r="C8565" s="9" t="s">
        <v>14790</v>
      </c>
      <c r="D8565" s="9" t="s">
        <v>91</v>
      </c>
      <c r="E8565" s="6" t="s">
        <v>14797</v>
      </c>
      <c r="F8565" s="9"/>
    </row>
    <row r="8566" ht="33.75" customHeight="1">
      <c r="A8566" s="7">
        <v>331.0</v>
      </c>
      <c r="B8566" s="9" t="s">
        <v>14789</v>
      </c>
      <c r="C8566" s="9" t="s">
        <v>14790</v>
      </c>
      <c r="D8566" s="9" t="s">
        <v>93</v>
      </c>
      <c r="E8566" s="6" t="s">
        <v>14796</v>
      </c>
      <c r="F8566" s="9"/>
    </row>
    <row r="8567" ht="33.75" customHeight="1">
      <c r="A8567" s="7">
        <v>331.0</v>
      </c>
      <c r="B8567" s="9" t="s">
        <v>14789</v>
      </c>
      <c r="C8567" s="9" t="s">
        <v>14790</v>
      </c>
      <c r="D8567" s="9" t="s">
        <v>95</v>
      </c>
      <c r="E8567" s="6" t="s">
        <v>14796</v>
      </c>
      <c r="F8567" s="9"/>
    </row>
    <row r="8568" ht="33.75" customHeight="1">
      <c r="A8568" s="7">
        <v>331.0</v>
      </c>
      <c r="B8568" s="9" t="s">
        <v>14789</v>
      </c>
      <c r="C8568" s="9" t="s">
        <v>14790</v>
      </c>
      <c r="D8568" s="9" t="s">
        <v>98</v>
      </c>
      <c r="E8568" s="6" t="s">
        <v>14796</v>
      </c>
      <c r="F8568" s="9"/>
    </row>
    <row r="8569" ht="33.75" customHeight="1">
      <c r="A8569" s="7">
        <v>331.0</v>
      </c>
      <c r="B8569" s="9" t="s">
        <v>14789</v>
      </c>
      <c r="C8569" s="9" t="s">
        <v>14790</v>
      </c>
      <c r="D8569" s="9" t="s">
        <v>99</v>
      </c>
      <c r="E8569" s="6" t="s">
        <v>14796</v>
      </c>
      <c r="F8569" s="9"/>
    </row>
    <row r="8570" ht="33.75" customHeight="1">
      <c r="A8570" s="7">
        <v>331.0</v>
      </c>
      <c r="B8570" s="9" t="s">
        <v>14789</v>
      </c>
      <c r="C8570" s="9" t="s">
        <v>14790</v>
      </c>
      <c r="D8570" s="9" t="s">
        <v>101</v>
      </c>
      <c r="E8570" s="6" t="s">
        <v>14797</v>
      </c>
      <c r="F8570" s="9"/>
    </row>
    <row r="8571" ht="33.75" customHeight="1">
      <c r="A8571" s="7">
        <v>331.0</v>
      </c>
      <c r="B8571" s="9" t="s">
        <v>14789</v>
      </c>
      <c r="C8571" s="9" t="s">
        <v>14790</v>
      </c>
      <c r="D8571" s="9" t="s">
        <v>105</v>
      </c>
      <c r="E8571" s="6" t="s">
        <v>14794</v>
      </c>
      <c r="F8571" s="9"/>
    </row>
    <row r="8572" ht="33.75" customHeight="1">
      <c r="A8572" s="7">
        <v>331.0</v>
      </c>
      <c r="B8572" s="9" t="s">
        <v>14789</v>
      </c>
      <c r="C8572" s="9" t="s">
        <v>14790</v>
      </c>
      <c r="D8572" s="9" t="s">
        <v>107</v>
      </c>
      <c r="E8572" s="6" t="s">
        <v>14798</v>
      </c>
      <c r="F8572" s="9"/>
    </row>
    <row r="8573" ht="33.75" customHeight="1">
      <c r="A8573" s="7">
        <v>331.0</v>
      </c>
      <c r="B8573" s="9" t="s">
        <v>14789</v>
      </c>
      <c r="C8573" s="9" t="s">
        <v>14790</v>
      </c>
      <c r="D8573" s="9" t="s">
        <v>109</v>
      </c>
      <c r="E8573" s="6" t="s">
        <v>14799</v>
      </c>
      <c r="F8573" s="9"/>
    </row>
    <row r="8574" ht="33.75" customHeight="1">
      <c r="A8574" s="7">
        <v>332.0</v>
      </c>
      <c r="B8574" s="9" t="s">
        <v>14800</v>
      </c>
      <c r="C8574" s="9" t="s">
        <v>14801</v>
      </c>
      <c r="D8574" s="9" t="s">
        <v>67</v>
      </c>
      <c r="E8574" s="6" t="s">
        <v>14802</v>
      </c>
      <c r="F8574" t="inlineStr" s="10">
        <is>
          <t xml:space="preserve">Päivällä CACTURNE pysyy paikallaan, jotta se ei menetä kosteutta ankaralle aavikon auringolle. Tämä POKéMON aktivoituu yöllä, kun lämpötila laskee. Jos matkaaja kulkee aavikon halki keskellä yötä, CACTURNE seuraa perässä sekalaisena joukkona. POKéMONit odottavat hetkeään ja odottavat matkaajan väsymistä ja liikkumattomuuden syntymistä. Vietettyään tuhansia vuosia ankarissa aavikoissa sen veri muuttui samoiksi aineiksi kuin hiekka. Se on yöeläin, joten se metsästää yöllä. Se elää aavikoilla. Se aktivoituu yöllä metsästäessään aavikon kuumuudesta uupunutta saalista. Se aktivoituu yöllä etsien saalista, joka on uupunut päivän aavikon kuumuudesta. Laumat niitä seuraavat matkalaisia ​​aavikon halki, kunnes matkalaiset eivät enää pysty liikkumaan. Päivällä Cacturne pysyy paikallaan, jotta se ei menetä kosteutta ankarassa aavikon auringossa. Jos matkaaja kulkee aavikon läpi keskellä yötä, Cacturne seuraa häntä sekalaisena ryhmänä. Pokémonit odottavat, että matkaaja väsyy ja menettää liikkumiskykynsä.</t>
        </is>
      </c>
    </row>
    <row r="8575" ht="33.75" customHeight="1">
      <c r="A8575" s="7">
        <v>332.0</v>
      </c>
      <c r="B8575" s="9" t="s">
        <v>14800</v>
      </c>
      <c r="C8575" s="9" t="s">
        <v>14801</v>
      </c>
      <c r="D8575" s="9" t="s">
        <v>71</v>
      </c>
      <c r="E8575" s="6" t="s">
        <v>14803</v>
      </c>
      <c r="F8575" s="9"/>
    </row>
    <row r="8576" ht="33.75" customHeight="1">
      <c r="A8576" s="7">
        <v>332.0</v>
      </c>
      <c r="B8576" s="9" t="s">
        <v>14800</v>
      </c>
      <c r="C8576" s="9" t="s">
        <v>14801</v>
      </c>
      <c r="D8576" s="9" t="s">
        <v>73</v>
      </c>
      <c r="E8576" s="6" t="s">
        <v>14804</v>
      </c>
      <c r="F8576" s="9"/>
    </row>
    <row r="8577" ht="33.75" customHeight="1">
      <c r="A8577" s="7">
        <v>332.0</v>
      </c>
      <c r="B8577" s="9" t="s">
        <v>14800</v>
      </c>
      <c r="C8577" s="9" t="s">
        <v>14801</v>
      </c>
      <c r="D8577" s="9" t="s">
        <v>75</v>
      </c>
      <c r="E8577" s="6" t="s">
        <v>14805</v>
      </c>
      <c r="F8577" s="9"/>
    </row>
    <row r="8578" ht="33.75" customHeight="1">
      <c r="A8578" s="7">
        <v>332.0</v>
      </c>
      <c r="B8578" s="9" t="s">
        <v>14800</v>
      </c>
      <c r="C8578" s="9" t="s">
        <v>14801</v>
      </c>
      <c r="D8578" s="9" t="s">
        <v>79</v>
      </c>
      <c r="E8578" s="6" t="s">
        <v>14805</v>
      </c>
      <c r="F8578" s="9"/>
    </row>
    <row r="8579" ht="33.75" customHeight="1">
      <c r="A8579" s="7">
        <v>332.0</v>
      </c>
      <c r="B8579" s="9" t="s">
        <v>14800</v>
      </c>
      <c r="C8579" s="9" t="s">
        <v>14801</v>
      </c>
      <c r="D8579" s="9" t="s">
        <v>81</v>
      </c>
      <c r="E8579" s="6" t="s">
        <v>14807</v>
      </c>
      <c r="F8579" s="9"/>
    </row>
    <row r="8580" ht="33.75" customHeight="1">
      <c r="A8580" s="7">
        <v>332.0</v>
      </c>
      <c r="B8580" s="9" t="s">
        <v>14800</v>
      </c>
      <c r="C8580" s="9" t="s">
        <v>14801</v>
      </c>
      <c r="D8580" s="9" t="s">
        <v>84</v>
      </c>
      <c r="E8580" s="6" t="s">
        <v>14807</v>
      </c>
      <c r="F8580" s="9"/>
    </row>
    <row r="8581" ht="33.75" customHeight="1">
      <c r="A8581" s="7">
        <v>332.0</v>
      </c>
      <c r="B8581" s="9" t="s">
        <v>14800</v>
      </c>
      <c r="C8581" s="9" t="s">
        <v>14801</v>
      </c>
      <c r="D8581" s="9" t="s">
        <v>87</v>
      </c>
      <c r="E8581" s="6" t="s">
        <v>14807</v>
      </c>
      <c r="F8581" s="9"/>
    </row>
    <row r="8582" ht="33.75" customHeight="1">
      <c r="A8582" s="7">
        <v>332.0</v>
      </c>
      <c r="B8582" s="9" t="s">
        <v>14800</v>
      </c>
      <c r="C8582" s="9" t="s">
        <v>14801</v>
      </c>
      <c r="D8582" s="9" t="s">
        <v>89</v>
      </c>
      <c r="E8582" s="6" t="s">
        <v>14808</v>
      </c>
      <c r="F8582" s="9"/>
    </row>
    <row r="8583" ht="33.75" customHeight="1">
      <c r="A8583" s="7">
        <v>332.0</v>
      </c>
      <c r="B8583" s="9" t="s">
        <v>14800</v>
      </c>
      <c r="C8583" s="9" t="s">
        <v>14801</v>
      </c>
      <c r="D8583" s="9" t="s">
        <v>91</v>
      </c>
      <c r="E8583" s="6" t="s">
        <v>14808</v>
      </c>
      <c r="F8583" s="9"/>
    </row>
    <row r="8584" ht="33.75" customHeight="1">
      <c r="A8584" s="7">
        <v>332.0</v>
      </c>
      <c r="B8584" s="9" t="s">
        <v>14800</v>
      </c>
      <c r="C8584" s="9" t="s">
        <v>14801</v>
      </c>
      <c r="D8584" s="9" t="s">
        <v>93</v>
      </c>
      <c r="E8584" s="6" t="s">
        <v>14807</v>
      </c>
      <c r="F8584" s="9"/>
    </row>
    <row r="8585" ht="33.75" customHeight="1">
      <c r="A8585" s="7">
        <v>332.0</v>
      </c>
      <c r="B8585" s="9" t="s">
        <v>14800</v>
      </c>
      <c r="C8585" s="9" t="s">
        <v>14801</v>
      </c>
      <c r="D8585" s="9" t="s">
        <v>95</v>
      </c>
      <c r="E8585" s="6" t="s">
        <v>14807</v>
      </c>
      <c r="F8585" s="9"/>
    </row>
    <row r="8586" ht="33.75" customHeight="1">
      <c r="A8586" s="7">
        <v>332.0</v>
      </c>
      <c r="B8586" s="9" t="s">
        <v>14800</v>
      </c>
      <c r="C8586" s="9" t="s">
        <v>14801</v>
      </c>
      <c r="D8586" s="9" t="s">
        <v>98</v>
      </c>
      <c r="E8586" s="6" t="s">
        <v>14807</v>
      </c>
      <c r="F8586" s="9"/>
    </row>
    <row r="8587" ht="33.75" customHeight="1">
      <c r="A8587" s="7">
        <v>332.0</v>
      </c>
      <c r="B8587" s="9" t="s">
        <v>14800</v>
      </c>
      <c r="C8587" s="9" t="s">
        <v>14801</v>
      </c>
      <c r="D8587" s="9" t="s">
        <v>99</v>
      </c>
      <c r="E8587" s="6" t="s">
        <v>14807</v>
      </c>
      <c r="F8587" s="9"/>
    </row>
    <row r="8588" ht="33.75" customHeight="1">
      <c r="A8588" s="7">
        <v>332.0</v>
      </c>
      <c r="B8588" s="9" t="s">
        <v>14800</v>
      </c>
      <c r="C8588" s="9" t="s">
        <v>14801</v>
      </c>
      <c r="D8588" s="9" t="s">
        <v>101</v>
      </c>
      <c r="E8588" s="6" t="s">
        <v>14807</v>
      </c>
      <c r="F8588" s="9"/>
    </row>
    <row r="8589" ht="33.75" customHeight="1">
      <c r="A8589" s="7">
        <v>332.0</v>
      </c>
      <c r="B8589" s="9" t="s">
        <v>14800</v>
      </c>
      <c r="C8589" s="9" t="s">
        <v>14801</v>
      </c>
      <c r="D8589" s="9" t="s">
        <v>105</v>
      </c>
      <c r="E8589" s="6" t="s">
        <v>14808</v>
      </c>
      <c r="F8589" s="9"/>
    </row>
    <row r="8590" ht="33.75" customHeight="1">
      <c r="A8590" s="7">
        <v>332.0</v>
      </c>
      <c r="B8590" s="9" t="s">
        <v>14800</v>
      </c>
      <c r="C8590" s="9" t="s">
        <v>14801</v>
      </c>
      <c r="D8590" s="9" t="s">
        <v>107</v>
      </c>
      <c r="E8590" s="6" t="s">
        <v>14809</v>
      </c>
      <c r="F8590" s="9"/>
    </row>
    <row r="8591" ht="33.75" customHeight="1">
      <c r="A8591" s="7">
        <v>332.0</v>
      </c>
      <c r="B8591" s="9" t="s">
        <v>14800</v>
      </c>
      <c r="C8591" s="9" t="s">
        <v>14801</v>
      </c>
      <c r="D8591" s="9" t="s">
        <v>109</v>
      </c>
      <c r="E8591" s="6" t="s">
        <v>14810</v>
      </c>
      <c r="F8591" s="9"/>
    </row>
    <row r="8592" ht="33.75" customHeight="1">
      <c r="A8592" s="7">
        <v>333.0</v>
      </c>
      <c r="B8592" s="9" t="s">
        <v>14811</v>
      </c>
      <c r="C8592" s="9" t="s">
        <v>14812</v>
      </c>
      <c r="D8592" s="9" t="s">
        <v>67</v>
      </c>
      <c r="E8592" s="6" t="s">
        <v>14813</v>
      </c>
      <c r="F8592" t="inlineStr" s="10">
        <is>
          <t xml:space="preserve">SWABLUlla on kevyet ja pörröiset siivet, jotka ovat kuin pumpulimaisia ​​pilviä. Tämä POKéMON ei pelkää ihmisiä. Se laskeutuu ihmisten päihin ja istuu siellä kuin pumpulimainen hattu. SWABLU rakastaa siivoamista. Jos se havaitsee jotain likaista, se pyyhkii ja kiillottaa sen pumpulimaisilla siivillään. Jos sen siivet likaantuvat, tämä POKéMON löytää puron ja suihkuttaa itseään. POKéMON, jolla on pumpulimaiset pilven kaltaiset siivet. Talven jälkeen, jolloin ruokaa on vähän saatavilla, SWABLU-parvet muuttavat keväällä lähemmäs kaupunkeja. Se hoitaa jatkuvasti pumpulimaisia ​​siipiään. Se käy suihkussa puhdistaakseen itsensä, jos se likaantuu. Sen siivet ovat kuin puuvillatupsut. Jos se istuu jonkun päässä, se näyttää puuvillahatulta. Se ei voi rentoutua, jos se tai sen ympäristö ei ole puhdas. Se pyyhkii likaa pois siivillään. Sen siivet tuovat mieleen pumpulimaiset pilvet. Se kylpee lähdevedessä ja rakastaa istua päillä. Jostain syystä se tykkää laskeutua pehmeästi ihmisten päähän ja käyttäytyä kuin se olisi hattu. Swablun siivet ovat kevyet ja pörröiset kuin pumpulipilvet. Se laskeutuu ihmisten päihin ja istuu siellä kuin pumpulipipo. Jos sen siivet likaantuvat, tämä Pokémon löytää puron ja suihkuttaa itsensä. Sen pumpulimaiset siivet ovat täynnä ilmaa, mikä tekee niistä kevyet ja pörröiset koskettaa. Swablu pitää tunnollisesti huolta sen siivistä. Koska Swablu näyttää kumpupilveltä, vihollisten voi olla vaikea löytää sitä. Ilmeisesti sen siivet ovat muuttuneet valkoisiksi useiden sukupolvien aikana.</t>
        </is>
      </c>
    </row>
    <row r="8593" ht="33.75" customHeight="1">
      <c r="A8593" s="7">
        <v>333.0</v>
      </c>
      <c r="B8593" s="9" t="s">
        <v>14811</v>
      </c>
      <c r="C8593" s="9" t="s">
        <v>14812</v>
      </c>
      <c r="D8593" s="9" t="s">
        <v>71</v>
      </c>
      <c r="E8593" s="6" t="s">
        <v>14814</v>
      </c>
      <c r="F8593" s="9"/>
    </row>
    <row r="8594" ht="33.75" customHeight="1">
      <c r="A8594" s="7">
        <v>333.0</v>
      </c>
      <c r="B8594" s="9" t="s">
        <v>14811</v>
      </c>
      <c r="C8594" s="9" t="s">
        <v>14812</v>
      </c>
      <c r="D8594" s="9" t="s">
        <v>73</v>
      </c>
      <c r="E8594" s="6" t="s">
        <v>14815</v>
      </c>
      <c r="F8594" s="9"/>
    </row>
    <row r="8595" ht="33.75" customHeight="1">
      <c r="A8595" s="7">
        <v>333.0</v>
      </c>
      <c r="B8595" s="9" t="s">
        <v>14811</v>
      </c>
      <c r="C8595" s="9" t="s">
        <v>14812</v>
      </c>
      <c r="D8595" s="9" t="s">
        <v>75</v>
      </c>
      <c r="E8595" s="6" t="s">
        <v>14816</v>
      </c>
      <c r="F8595" s="9"/>
    </row>
    <row r="8596" ht="33.75" customHeight="1">
      <c r="A8596" s="7">
        <v>333.0</v>
      </c>
      <c r="B8596" s="9" t="s">
        <v>14811</v>
      </c>
      <c r="C8596" s="9" t="s">
        <v>14812</v>
      </c>
      <c r="D8596" s="9" t="s">
        <v>79</v>
      </c>
      <c r="E8596" s="6" t="s">
        <v>14816</v>
      </c>
      <c r="F8596" s="9"/>
    </row>
    <row r="8597" ht="33.75" customHeight="1">
      <c r="A8597" s="7">
        <v>333.0</v>
      </c>
      <c r="B8597" s="9" t="s">
        <v>14811</v>
      </c>
      <c r="C8597" s="9" t="s">
        <v>14812</v>
      </c>
      <c r="D8597" s="9" t="s">
        <v>81</v>
      </c>
      <c r="E8597" s="6" t="s">
        <v>14817</v>
      </c>
      <c r="F8597" s="9"/>
    </row>
    <row r="8598" ht="33.75" customHeight="1">
      <c r="A8598" s="7">
        <v>333.0</v>
      </c>
      <c r="B8598" s="9" t="s">
        <v>14811</v>
      </c>
      <c r="C8598" s="9" t="s">
        <v>14812</v>
      </c>
      <c r="D8598" s="9" t="s">
        <v>84</v>
      </c>
      <c r="E8598" s="6" t="s">
        <v>14817</v>
      </c>
      <c r="F8598" s="9"/>
    </row>
    <row r="8599" ht="33.75" customHeight="1">
      <c r="A8599" s="7">
        <v>333.0</v>
      </c>
      <c r="B8599" s="9" t="s">
        <v>14811</v>
      </c>
      <c r="C8599" s="9" t="s">
        <v>14812</v>
      </c>
      <c r="D8599" s="9" t="s">
        <v>87</v>
      </c>
      <c r="E8599" s="6" t="s">
        <v>14819</v>
      </c>
      <c r="F8599" s="9"/>
    </row>
    <row r="8600" ht="33.75" customHeight="1">
      <c r="A8600" s="7">
        <v>333.0</v>
      </c>
      <c r="B8600" s="9" t="s">
        <v>14811</v>
      </c>
      <c r="C8600" s="9" t="s">
        <v>14812</v>
      </c>
      <c r="D8600" s="9" t="s">
        <v>89</v>
      </c>
      <c r="E8600" s="6" t="s">
        <v>14820</v>
      </c>
      <c r="F8600" s="9"/>
    </row>
    <row r="8601" ht="33.75" customHeight="1">
      <c r="A8601" s="7">
        <v>333.0</v>
      </c>
      <c r="B8601" s="9" t="s">
        <v>14811</v>
      </c>
      <c r="C8601" s="9" t="s">
        <v>14812</v>
      </c>
      <c r="D8601" s="9" t="s">
        <v>91</v>
      </c>
      <c r="E8601" s="6" t="s">
        <v>14820</v>
      </c>
      <c r="F8601" s="9"/>
    </row>
    <row r="8602" ht="33.75" customHeight="1">
      <c r="A8602" s="7">
        <v>333.0</v>
      </c>
      <c r="B8602" s="9" t="s">
        <v>14811</v>
      </c>
      <c r="C8602" s="9" t="s">
        <v>14812</v>
      </c>
      <c r="D8602" s="9" t="s">
        <v>93</v>
      </c>
      <c r="E8602" s="6" t="s">
        <v>14819</v>
      </c>
      <c r="F8602" s="9"/>
    </row>
    <row r="8603" ht="33.75" customHeight="1">
      <c r="A8603" s="7">
        <v>333.0</v>
      </c>
      <c r="B8603" s="9" t="s">
        <v>14811</v>
      </c>
      <c r="C8603" s="9" t="s">
        <v>14812</v>
      </c>
      <c r="D8603" s="9" t="s">
        <v>95</v>
      </c>
      <c r="E8603" s="6" t="s">
        <v>14819</v>
      </c>
      <c r="F8603" s="9"/>
    </row>
    <row r="8604" ht="33.75" customHeight="1">
      <c r="A8604" s="7">
        <v>333.0</v>
      </c>
      <c r="B8604" s="9" t="s">
        <v>14811</v>
      </c>
      <c r="C8604" s="9" t="s">
        <v>14812</v>
      </c>
      <c r="D8604" s="9" t="s">
        <v>98</v>
      </c>
      <c r="E8604" s="6" t="s">
        <v>14821</v>
      </c>
      <c r="F8604" s="9"/>
    </row>
    <row r="8605" ht="33.75" customHeight="1">
      <c r="A8605" s="7">
        <v>333.0</v>
      </c>
      <c r="B8605" s="9" t="s">
        <v>14811</v>
      </c>
      <c r="C8605" s="9" t="s">
        <v>14812</v>
      </c>
      <c r="D8605" s="9" t="s">
        <v>99</v>
      </c>
      <c r="E8605" s="6" t="s">
        <v>14821</v>
      </c>
      <c r="F8605" s="9"/>
    </row>
    <row r="8606" ht="33.75" customHeight="1">
      <c r="A8606" s="7">
        <v>333.0</v>
      </c>
      <c r="B8606" s="9" t="s">
        <v>14811</v>
      </c>
      <c r="C8606" s="9" t="s">
        <v>14812</v>
      </c>
      <c r="D8606" s="9" t="s">
        <v>101</v>
      </c>
      <c r="E8606" s="6" t="s">
        <v>14821</v>
      </c>
      <c r="F8606" s="9"/>
    </row>
    <row r="8607" ht="33.75" customHeight="1">
      <c r="A8607" s="7">
        <v>333.0</v>
      </c>
      <c r="B8607" s="9" t="s">
        <v>14811</v>
      </c>
      <c r="C8607" s="9" t="s">
        <v>14812</v>
      </c>
      <c r="D8607" s="9" t="s">
        <v>105</v>
      </c>
      <c r="E8607" s="6" t="s">
        <v>14816</v>
      </c>
      <c r="F8607" s="9"/>
    </row>
    <row r="8608" ht="33.75" customHeight="1">
      <c r="A8608" s="7">
        <v>333.0</v>
      </c>
      <c r="B8608" s="9" t="s">
        <v>14811</v>
      </c>
      <c r="C8608" s="9" t="s">
        <v>14812</v>
      </c>
      <c r="D8608" s="9" t="s">
        <v>107</v>
      </c>
      <c r="E8608" s="6" t="s">
        <v>14822</v>
      </c>
      <c r="F8608" s="9"/>
    </row>
    <row r="8609" ht="33.75" customHeight="1">
      <c r="A8609" s="7">
        <v>333.0</v>
      </c>
      <c r="B8609" s="9" t="s">
        <v>14811</v>
      </c>
      <c r="C8609" s="9" t="s">
        <v>14812</v>
      </c>
      <c r="D8609" s="9" t="s">
        <v>109</v>
      </c>
      <c r="E8609" s="6" t="s">
        <v>14823</v>
      </c>
      <c r="F8609" s="9"/>
    </row>
    <row r="8610" ht="33.75" customHeight="1">
      <c r="A8610" s="7">
        <v>333.0</v>
      </c>
      <c r="B8610" s="9" t="s">
        <v>14811</v>
      </c>
      <c r="C8610" s="9" t="s">
        <v>14812</v>
      </c>
      <c r="D8610" s="9" t="s">
        <v>114</v>
      </c>
      <c r="E8610" s="6" t="s">
        <v>14824</v>
      </c>
      <c r="F8610" s="9"/>
    </row>
    <row r="8611" ht="33.75" customHeight="1">
      <c r="A8611" s="7">
        <v>333.0</v>
      </c>
      <c r="B8611" s="9" t="s">
        <v>14811</v>
      </c>
      <c r="C8611" s="9" t="s">
        <v>14812</v>
      </c>
      <c r="D8611" s="9" t="s">
        <v>117</v>
      </c>
      <c r="E8611" s="6" t="s">
        <v>14825</v>
      </c>
      <c r="F8611" s="9"/>
    </row>
    <row r="8612" ht="33.75" customHeight="1">
      <c r="A8612" s="7">
        <v>334.0</v>
      </c>
      <c r="B8612" s="9" t="s">
        <v>14826</v>
      </c>
      <c r="C8612" s="9" t="s">
        <v>14827</v>
      </c>
      <c r="D8612" s="9" t="s">
        <v>67</v>
      </c>
      <c r="E8612" s="6" t="s">
        <v>14828</v>
      </c>
      <c r="F8612" t="inlineStr" s="10">
        <is>
          <t xml:space="preserve">ALTARIA tanssii ja kiitää taivaalla hulmuavien, pumpulimaisten pilvien keskellä. Laulomalla melodioita kristallinkirkkaalla äänellään tämä POKéMON saa kuulijansa kokemaan unelmoivaa ihmetystä. ALTARIA laulaa upealla sopraanoäänellä. Sen siivet ovat kuin puuvillapilviä. Tämä POKéMON pyydystää nousutuulet kelluvilla siivillään ja lentää korkealle villiin siniseen maahan. Se hyräilee kauniilla sopraanoäänellä. Se lentää valkoisten pilvien keskellä sinisellä taivaalla. Se ampuu suustaan ​​kuumia tulipalloja. Jos kuulet kauniin melodian livertelevän syvällä vuorten keskellä kaukana ihmisistä, se on ALTARIAn hyrinää. Se näyttää lennossa pörröiseltä pilveltä. Se hyräilee sopraanoäänellään. Jos se kiintyy ihmiseen, se kietoo ystävän hellästi pehmeisiin siiviinsä ja sitten hyräilee. Se lentää sulavasti taivaan alla. Sen melodinen hyrinä saa sinut tuntemaan kuin olisit unessa. Aurinkoisina päivinä se lentää vapaasti taivaalla ja sulautuu pilviin. Se laulaa kauniilla sopraanolla. Altaria tanssii ja pyörii taivaalla hulmuavien, pumpulimaisten pilvien keskellä. Altaria laulaa upealla sopraanolla. Tämä Pokémon pyydystää ylöspäin suuntautuvia ilmavirtoja kelluvilla siivillään ja lentää korkealle villiin siniseen maahan. Rauhallisesti ja rentoutuneesti lentäessään Altaria esittää hyräilevän laulun, joka lumoaisi minkä tahansa yleisön. Tällä Pokémonilla on kiltti luonne, mutta jos sitä provosoidaan, se uhkaa vastustajia kimeillä huudoilla ennen kuin hyökkää heidän kimppuunsa armotta.</t>
        </is>
      </c>
    </row>
    <row r="8613" ht="33.75" customHeight="1">
      <c r="A8613" s="7">
        <v>334.0</v>
      </c>
      <c r="B8613" s="9" t="s">
        <v>14826</v>
      </c>
      <c r="C8613" s="9" t="s">
        <v>14827</v>
      </c>
      <c r="D8613" s="9" t="s">
        <v>71</v>
      </c>
      <c r="E8613" s="6" t="s">
        <v>14829</v>
      </c>
      <c r="F8613" s="9"/>
    </row>
    <row r="8614" ht="33.75" customHeight="1">
      <c r="A8614" s="7">
        <v>334.0</v>
      </c>
      <c r="B8614" s="9" t="s">
        <v>14826</v>
      </c>
      <c r="C8614" s="9" t="s">
        <v>14827</v>
      </c>
      <c r="D8614" s="9" t="s">
        <v>73</v>
      </c>
      <c r="E8614" s="6" t="s">
        <v>14830</v>
      </c>
      <c r="F8614" s="9"/>
    </row>
    <row r="8615" ht="33.75" customHeight="1">
      <c r="A8615" s="7">
        <v>334.0</v>
      </c>
      <c r="B8615" s="9" t="s">
        <v>14826</v>
      </c>
      <c r="C8615" s="9" t="s">
        <v>14827</v>
      </c>
      <c r="D8615" s="9" t="s">
        <v>75</v>
      </c>
      <c r="E8615" s="6" t="s">
        <v>14831</v>
      </c>
      <c r="F8615" s="9"/>
    </row>
    <row r="8616" ht="33.75" customHeight="1">
      <c r="A8616" s="7">
        <v>334.0</v>
      </c>
      <c r="B8616" s="9" t="s">
        <v>14826</v>
      </c>
      <c r="C8616" s="9" t="s">
        <v>14827</v>
      </c>
      <c r="D8616" s="9" t="s">
        <v>79</v>
      </c>
      <c r="E8616" s="6" t="s">
        <v>14831</v>
      </c>
      <c r="F8616" s="9"/>
    </row>
    <row r="8617" ht="33.75" customHeight="1">
      <c r="A8617" s="7">
        <v>334.0</v>
      </c>
      <c r="B8617" s="9" t="s">
        <v>14826</v>
      </c>
      <c r="C8617" s="9" t="s">
        <v>14827</v>
      </c>
      <c r="D8617" s="9" t="s">
        <v>81</v>
      </c>
      <c r="E8617" s="6" t="s">
        <v>14833</v>
      </c>
      <c r="F8617" s="9"/>
    </row>
    <row r="8618" ht="33.75" customHeight="1">
      <c r="A8618" s="7">
        <v>334.0</v>
      </c>
      <c r="B8618" s="9" t="s">
        <v>14826</v>
      </c>
      <c r="C8618" s="9" t="s">
        <v>14827</v>
      </c>
      <c r="D8618" s="9" t="s">
        <v>84</v>
      </c>
      <c r="E8618" s="6" t="s">
        <v>14833</v>
      </c>
      <c r="F8618" s="9"/>
    </row>
    <row r="8619" ht="33.75" customHeight="1">
      <c r="A8619" s="7">
        <v>334.0</v>
      </c>
      <c r="B8619" s="9" t="s">
        <v>14826</v>
      </c>
      <c r="C8619" s="9" t="s">
        <v>14827</v>
      </c>
      <c r="D8619" s="9" t="s">
        <v>87</v>
      </c>
      <c r="E8619" s="6" t="s">
        <v>14834</v>
      </c>
      <c r="F8619" s="9"/>
    </row>
    <row r="8620" ht="33.75" customHeight="1">
      <c r="A8620" s="7">
        <v>334.0</v>
      </c>
      <c r="B8620" s="9" t="s">
        <v>14826</v>
      </c>
      <c r="C8620" s="9" t="s">
        <v>14827</v>
      </c>
      <c r="D8620" s="9" t="s">
        <v>89</v>
      </c>
      <c r="E8620" s="6" t="s">
        <v>14835</v>
      </c>
      <c r="F8620" s="9"/>
    </row>
    <row r="8621" ht="33.75" customHeight="1">
      <c r="A8621" s="7">
        <v>334.0</v>
      </c>
      <c r="B8621" s="9" t="s">
        <v>14826</v>
      </c>
      <c r="C8621" s="9" t="s">
        <v>14827</v>
      </c>
      <c r="D8621" s="9" t="s">
        <v>91</v>
      </c>
      <c r="E8621" s="6" t="s">
        <v>14835</v>
      </c>
      <c r="F8621" s="9"/>
    </row>
    <row r="8622" ht="33.75" customHeight="1">
      <c r="A8622" s="7">
        <v>334.0</v>
      </c>
      <c r="B8622" s="9" t="s">
        <v>14826</v>
      </c>
      <c r="C8622" s="9" t="s">
        <v>14827</v>
      </c>
      <c r="D8622" s="9" t="s">
        <v>93</v>
      </c>
      <c r="E8622" s="6" t="s">
        <v>14834</v>
      </c>
      <c r="F8622" s="9"/>
    </row>
    <row r="8623" ht="33.75" customHeight="1">
      <c r="A8623" s="7">
        <v>334.0</v>
      </c>
      <c r="B8623" s="9" t="s">
        <v>14826</v>
      </c>
      <c r="C8623" s="9" t="s">
        <v>14827</v>
      </c>
      <c r="D8623" s="9" t="s">
        <v>95</v>
      </c>
      <c r="E8623" s="6" t="s">
        <v>14834</v>
      </c>
      <c r="F8623" s="9"/>
    </row>
    <row r="8624" ht="33.75" customHeight="1">
      <c r="A8624" s="7">
        <v>334.0</v>
      </c>
      <c r="B8624" s="9" t="s">
        <v>14826</v>
      </c>
      <c r="C8624" s="9" t="s">
        <v>14827</v>
      </c>
      <c r="D8624" s="9" t="s">
        <v>98</v>
      </c>
      <c r="E8624" s="6" t="s">
        <v>14836</v>
      </c>
      <c r="F8624" s="9"/>
    </row>
    <row r="8625" ht="33.75" customHeight="1">
      <c r="A8625" s="7">
        <v>334.0</v>
      </c>
      <c r="B8625" s="9" t="s">
        <v>14826</v>
      </c>
      <c r="C8625" s="9" t="s">
        <v>14827</v>
      </c>
      <c r="D8625" s="9" t="s">
        <v>99</v>
      </c>
      <c r="E8625" s="6" t="s">
        <v>14836</v>
      </c>
      <c r="F8625" s="9"/>
    </row>
    <row r="8626" ht="33.75" customHeight="1">
      <c r="A8626" s="7">
        <v>334.0</v>
      </c>
      <c r="B8626" s="9" t="s">
        <v>14826</v>
      </c>
      <c r="C8626" s="9" t="s">
        <v>14827</v>
      </c>
      <c r="D8626" s="9" t="s">
        <v>101</v>
      </c>
      <c r="E8626" s="6" t="s">
        <v>14835</v>
      </c>
      <c r="F8626" s="9"/>
    </row>
    <row r="8627" ht="33.75" customHeight="1">
      <c r="A8627" s="7">
        <v>334.0</v>
      </c>
      <c r="B8627" s="9" t="s">
        <v>14826</v>
      </c>
      <c r="C8627" s="9" t="s">
        <v>14827</v>
      </c>
      <c r="D8627" s="9" t="s">
        <v>105</v>
      </c>
      <c r="E8627" s="6" t="s">
        <v>14836</v>
      </c>
      <c r="F8627" s="9"/>
    </row>
    <row r="8628" ht="33.75" customHeight="1">
      <c r="A8628" s="7">
        <v>334.0</v>
      </c>
      <c r="B8628" s="9" t="s">
        <v>14826</v>
      </c>
      <c r="C8628" s="9" t="s">
        <v>14827</v>
      </c>
      <c r="D8628" s="9" t="s">
        <v>107</v>
      </c>
      <c r="E8628" s="6" t="s">
        <v>14837</v>
      </c>
      <c r="F8628" s="9"/>
    </row>
    <row r="8629" ht="33.75" customHeight="1">
      <c r="A8629" s="7">
        <v>334.0</v>
      </c>
      <c r="B8629" s="9" t="s">
        <v>14826</v>
      </c>
      <c r="C8629" s="9" t="s">
        <v>14827</v>
      </c>
      <c r="D8629" s="9" t="s">
        <v>109</v>
      </c>
      <c r="E8629" s="6" t="s">
        <v>14838</v>
      </c>
      <c r="F8629" s="9"/>
    </row>
    <row r="8630" ht="33.75" customHeight="1">
      <c r="A8630" s="7">
        <v>334.0</v>
      </c>
      <c r="B8630" s="9" t="s">
        <v>14826</v>
      </c>
      <c r="C8630" s="9" t="s">
        <v>14827</v>
      </c>
      <c r="D8630" s="9" t="s">
        <v>114</v>
      </c>
      <c r="E8630" s="6" t="s">
        <v>14839</v>
      </c>
      <c r="F8630" s="9"/>
    </row>
    <row r="8631" ht="33.75" customHeight="1">
      <c r="A8631" s="7">
        <v>334.0</v>
      </c>
      <c r="B8631" s="9" t="s">
        <v>14826</v>
      </c>
      <c r="C8631" s="9" t="s">
        <v>14827</v>
      </c>
      <c r="D8631" s="9" t="s">
        <v>117</v>
      </c>
      <c r="E8631" s="6" t="s">
        <v>14840</v>
      </c>
      <c r="F8631" s="9"/>
    </row>
    <row r="8632" ht="33.75" customHeight="1">
      <c r="A8632" s="7">
        <v>335.0</v>
      </c>
      <c r="B8632" s="9" t="s">
        <v>14841</v>
      </c>
      <c r="C8632" s="9" t="s">
        <v>14842</v>
      </c>
      <c r="D8632" s="9" t="s">
        <v>67</v>
      </c>
      <c r="E8632" s="6" t="s">
        <v>14843</v>
      </c>
      <c r="F8632" t="inlineStr" s="10">
        <is>
          <t xml:space="preserve">Muistot arkkivihollisensa SEVIPERin taistelusta ovat syöpyneet ZANGOOSEn jokaiseen kehon soluun. Tämä POKéMON väistää hyökkäykset taitavasti ja uskomattomalla ketteryydellä. ZANGOOSE pysyy yleensä kontallaan, mutta suuttuessaan se nousee takajaloilleen ja ojentaa kyntensä. Tämä POKéMON ja SEVIPER kilpailevat keskenään sukupolvien ajan. Taistellessaan se seisoo takajaloillaan ja hyökkää teräväkynsisillä etujaloillaan. Sen turkki nousee pystyyn, jos se kohtaa SEVIPERIN. Jos se kohtaa SEVIPERIN, sen turkki nousee pystyyn ja se asettuu taisteluasentoon. Sen terävät kynnet ovat sen paras ase. Se on käynyt vihanpitoa SEVIPERin kanssa useiden sukupolvien ajan. Sen terävät kynnet ovat sen suurimmat aseet. Sen turkki nousisi pystyyn, jos se haistaisi lähellä olevan SEVIPERIN. Sen terävät kynnet repivät vihollisensa. Se on Seviperin arkkivihollinen. Uhkatakseen kohtaamiaan se levittää etutassujensa kynnet. Sen turkki nousisi pystyyn, jos se haistaisi lähellä olevan kyykäärmeen. Muistot taistelusta arkkivihollista Seviperiä vastaan ​​ovat syöpyneet Zangoosen kehon jokaiseen soluun. Tämä Pokémon väistää hyökkäyksiä taitavasti ja uskomattomalla ketteryydellä. Tämä Pokémon jakaa katkeran kilpailun Seviperin kanssa sukupolvien ajan.</t>
        </is>
      </c>
    </row>
    <row r="8633" ht="33.75" customHeight="1">
      <c r="A8633" s="7">
        <v>335.0</v>
      </c>
      <c r="B8633" s="9" t="s">
        <v>14841</v>
      </c>
      <c r="C8633" s="9" t="s">
        <v>14842</v>
      </c>
      <c r="D8633" s="9" t="s">
        <v>71</v>
      </c>
      <c r="E8633" s="6" t="s">
        <v>14844</v>
      </c>
      <c r="F8633" s="9"/>
    </row>
    <row r="8634" ht="33.75" customHeight="1">
      <c r="A8634" s="7">
        <v>335.0</v>
      </c>
      <c r="B8634" s="9" t="s">
        <v>14841</v>
      </c>
      <c r="C8634" s="9" t="s">
        <v>14842</v>
      </c>
      <c r="D8634" s="9" t="s">
        <v>73</v>
      </c>
      <c r="E8634" s="6" t="s">
        <v>14846</v>
      </c>
      <c r="F8634" s="9"/>
    </row>
    <row r="8635" ht="33.75" customHeight="1">
      <c r="A8635" s="7">
        <v>335.0</v>
      </c>
      <c r="B8635" s="9" t="s">
        <v>14841</v>
      </c>
      <c r="C8635" s="9" t="s">
        <v>14842</v>
      </c>
      <c r="D8635" s="9" t="s">
        <v>75</v>
      </c>
      <c r="E8635" s="6" t="s">
        <v>14847</v>
      </c>
      <c r="F8635" s="9"/>
    </row>
    <row r="8636" ht="33.75" customHeight="1">
      <c r="A8636" s="7">
        <v>335.0</v>
      </c>
      <c r="B8636" s="9" t="s">
        <v>14841</v>
      </c>
      <c r="C8636" s="9" t="s">
        <v>14842</v>
      </c>
      <c r="D8636" s="9" t="s">
        <v>79</v>
      </c>
      <c r="E8636" s="6" t="s">
        <v>14847</v>
      </c>
      <c r="F8636" s="9"/>
    </row>
    <row r="8637" ht="33.75" customHeight="1">
      <c r="A8637" s="7">
        <v>335.0</v>
      </c>
      <c r="B8637" s="9" t="s">
        <v>14841</v>
      </c>
      <c r="C8637" s="9" t="s">
        <v>14842</v>
      </c>
      <c r="D8637" s="9" t="s">
        <v>81</v>
      </c>
      <c r="E8637" s="6" t="s">
        <v>14848</v>
      </c>
      <c r="F8637" s="9"/>
    </row>
    <row r="8638" ht="33.75" customHeight="1">
      <c r="A8638" s="7">
        <v>335.0</v>
      </c>
      <c r="B8638" s="9" t="s">
        <v>14841</v>
      </c>
      <c r="C8638" s="9" t="s">
        <v>14842</v>
      </c>
      <c r="D8638" s="9" t="s">
        <v>84</v>
      </c>
      <c r="E8638" s="6" t="s">
        <v>14848</v>
      </c>
      <c r="F8638" s="9"/>
    </row>
    <row r="8639" ht="33.75" customHeight="1">
      <c r="A8639" s="7">
        <v>335.0</v>
      </c>
      <c r="B8639" s="9" t="s">
        <v>14841</v>
      </c>
      <c r="C8639" s="9" t="s">
        <v>14842</v>
      </c>
      <c r="D8639" s="9" t="s">
        <v>87</v>
      </c>
      <c r="E8639" s="6" t="s">
        <v>14848</v>
      </c>
      <c r="F8639" s="9"/>
    </row>
    <row r="8640" ht="33.75" customHeight="1">
      <c r="A8640" s="7">
        <v>335.0</v>
      </c>
      <c r="B8640" s="9" t="s">
        <v>14841</v>
      </c>
      <c r="C8640" s="9" t="s">
        <v>14842</v>
      </c>
      <c r="D8640" s="9" t="s">
        <v>89</v>
      </c>
      <c r="E8640" s="6" t="s">
        <v>14849</v>
      </c>
      <c r="F8640" s="9"/>
    </row>
    <row r="8641" ht="33.75" customHeight="1">
      <c r="A8641" s="7">
        <v>335.0</v>
      </c>
      <c r="B8641" s="9" t="s">
        <v>14841</v>
      </c>
      <c r="C8641" s="9" t="s">
        <v>14842</v>
      </c>
      <c r="D8641" s="9" t="s">
        <v>91</v>
      </c>
      <c r="E8641" s="6" t="s">
        <v>14849</v>
      </c>
      <c r="F8641" s="9"/>
    </row>
    <row r="8642" ht="33.75" customHeight="1">
      <c r="A8642" s="7">
        <v>335.0</v>
      </c>
      <c r="B8642" s="9" t="s">
        <v>14841</v>
      </c>
      <c r="C8642" s="9" t="s">
        <v>14842</v>
      </c>
      <c r="D8642" s="9" t="s">
        <v>93</v>
      </c>
      <c r="E8642" s="6" t="s">
        <v>14850</v>
      </c>
      <c r="F8642" s="9"/>
    </row>
    <row r="8643" ht="33.75" customHeight="1">
      <c r="A8643" s="7">
        <v>335.0</v>
      </c>
      <c r="B8643" s="9" t="s">
        <v>14841</v>
      </c>
      <c r="C8643" s="9" t="s">
        <v>14842</v>
      </c>
      <c r="D8643" s="9" t="s">
        <v>95</v>
      </c>
      <c r="E8643" s="6" t="s">
        <v>14850</v>
      </c>
      <c r="F8643" s="9"/>
    </row>
    <row r="8644" ht="33.75" customHeight="1">
      <c r="A8644" s="7">
        <v>335.0</v>
      </c>
      <c r="B8644" s="9" t="s">
        <v>14841</v>
      </c>
      <c r="C8644" s="9" t="s">
        <v>14842</v>
      </c>
      <c r="D8644" s="9" t="s">
        <v>98</v>
      </c>
      <c r="E8644" s="6" t="s">
        <v>14851</v>
      </c>
      <c r="F8644" s="9"/>
    </row>
    <row r="8645" ht="33.75" customHeight="1">
      <c r="A8645" s="7">
        <v>335.0</v>
      </c>
      <c r="B8645" s="9" t="s">
        <v>14841</v>
      </c>
      <c r="C8645" s="9" t="s">
        <v>14842</v>
      </c>
      <c r="D8645" s="9" t="s">
        <v>99</v>
      </c>
      <c r="E8645" s="6" t="s">
        <v>14851</v>
      </c>
      <c r="F8645" s="9"/>
    </row>
    <row r="8646" ht="33.75" customHeight="1">
      <c r="A8646" s="7">
        <v>335.0</v>
      </c>
      <c r="B8646" s="9" t="s">
        <v>14841</v>
      </c>
      <c r="C8646" s="9" t="s">
        <v>14842</v>
      </c>
      <c r="D8646" s="9" t="s">
        <v>101</v>
      </c>
      <c r="E8646" s="6" t="s">
        <v>14850</v>
      </c>
      <c r="F8646" s="9"/>
    </row>
    <row r="8647" ht="33.75" customHeight="1">
      <c r="A8647" s="7">
        <v>335.0</v>
      </c>
      <c r="B8647" s="9" t="s">
        <v>14841</v>
      </c>
      <c r="C8647" s="9" t="s">
        <v>14842</v>
      </c>
      <c r="D8647" s="9" t="s">
        <v>105</v>
      </c>
      <c r="E8647" s="6" t="s">
        <v>14852</v>
      </c>
      <c r="F8647" s="9"/>
    </row>
    <row r="8648" ht="33.75" customHeight="1">
      <c r="A8648" s="7">
        <v>335.0</v>
      </c>
      <c r="B8648" s="9" t="s">
        <v>14841</v>
      </c>
      <c r="C8648" s="9" t="s">
        <v>14842</v>
      </c>
      <c r="D8648" s="9" t="s">
        <v>107</v>
      </c>
      <c r="E8648" s="6" t="s">
        <v>14853</v>
      </c>
      <c r="F8648" s="9"/>
    </row>
    <row r="8649" ht="33.75" customHeight="1">
      <c r="A8649" s="7">
        <v>335.0</v>
      </c>
      <c r="B8649" s="9" t="s">
        <v>14841</v>
      </c>
      <c r="C8649" s="9" t="s">
        <v>14842</v>
      </c>
      <c r="D8649" s="9" t="s">
        <v>109</v>
      </c>
      <c r="E8649" s="6" t="s">
        <v>14854</v>
      </c>
      <c r="F8649" s="9"/>
    </row>
    <row r="8650" ht="33.75" customHeight="1">
      <c r="A8650" s="7">
        <v>336.0</v>
      </c>
      <c r="B8650" s="9" t="s">
        <v>14855</v>
      </c>
      <c r="C8650" s="9" t="s">
        <v>14856</v>
      </c>
      <c r="D8650" s="9" t="s">
        <v>67</v>
      </c>
      <c r="E8650" s="6" t="s">
        <v>14857</v>
      </c>
      <c r="F8650" t="inlineStr" s="10">
        <is>
          <t xml:space="preserve">SEVIPER ja ZANGOOSE jakavat sukupolvien mittaisen vihanpidon. Sen ruumiissa olevat arvet ovat todisteita raaoista taisteluista. Tämä POKéMON hyökkää miekkateräisellä häntällään. SEVIPERin miekkamainen häntä palvelee kahta tarkoitusta – se viiltää vihollisia ja upottaa heidät erittävää myrkkyä. Tämä POKéMON ei aio luopua pitkäaikaisesta verikostostaan ​​ZANGOOSEa vastaan. SEVIPER ja ZANGOOSE ovat ikuisia kilpailijoita. Se vastustaa ZANGOOSEN häikäisevää ketteryyttä miekkamaisella hännällään, josta myös tihkuu kamalaa myrkkyä. Se teroittaa miekan kaltaista häntäänsä kovilla kivillä. Se piiloutuu korkeaan ruohikkoon ja iskee varomattomaan saaliiseen myrkyllisillä hampailla. Se on käynyt vihanpitoa ZANGOOSE:n kanssa monien sukupolvien ajan. Se teroittaa terävää häntäänsä kallioilla taistelua varten. Taistelussa se käyttää terävää häntäänsä torjuakseen kaikki ZANGOOSE-hyökkäykset. Se erittää tappavaa myrkkyä pyrstössään. Se on käynyt vihanpitoa Zangoosen kanssa monien sukupolvien ajan. Jatkuva kiillotus tekee sen pyrstön terän erittäin teräväksi. Se on Zangoosen arkkivihollinen. Taistelussa se käyttää terävää häntäänsä torjuakseen kaikki Zangoose-hyönteiset. Seviper jakaa sukupolvien mittaisen vihanpidon Zangoosen kanssa. Seviperin miekkamainen häntä palvelee kahta tarkoitusta – se viiltää vihollisia ja upottaa heidät erittyvällä myrkyllä.</t>
        </is>
      </c>
    </row>
    <row r="8651" ht="33.75" customHeight="1">
      <c r="A8651" s="7">
        <v>336.0</v>
      </c>
      <c r="B8651" s="9" t="s">
        <v>14855</v>
      </c>
      <c r="C8651" s="9" t="s">
        <v>14856</v>
      </c>
      <c r="D8651" s="9" t="s">
        <v>71</v>
      </c>
      <c r="E8651" s="6" t="s">
        <v>14859</v>
      </c>
      <c r="F8651" s="9"/>
    </row>
    <row r="8652" ht="33.75" customHeight="1">
      <c r="A8652" s="7">
        <v>336.0</v>
      </c>
      <c r="B8652" s="9" t="s">
        <v>14855</v>
      </c>
      <c r="C8652" s="9" t="s">
        <v>14856</v>
      </c>
      <c r="D8652" s="9" t="s">
        <v>73</v>
      </c>
      <c r="E8652" s="6" t="s">
        <v>14860</v>
      </c>
      <c r="F8652" s="9"/>
    </row>
    <row r="8653" ht="33.75" customHeight="1">
      <c r="A8653" s="7">
        <v>336.0</v>
      </c>
      <c r="B8653" s="9" t="s">
        <v>14855</v>
      </c>
      <c r="C8653" s="9" t="s">
        <v>14856</v>
      </c>
      <c r="D8653" s="9" t="s">
        <v>75</v>
      </c>
      <c r="E8653" s="6" t="s">
        <v>14861</v>
      </c>
      <c r="F8653" s="9"/>
    </row>
    <row r="8654" ht="33.75" customHeight="1">
      <c r="A8654" s="7">
        <v>336.0</v>
      </c>
      <c r="B8654" s="9" t="s">
        <v>14855</v>
      </c>
      <c r="C8654" s="9" t="s">
        <v>14856</v>
      </c>
      <c r="D8654" s="9" t="s">
        <v>79</v>
      </c>
      <c r="E8654" s="6" t="s">
        <v>14861</v>
      </c>
      <c r="F8654" s="9"/>
    </row>
    <row r="8655" ht="33.75" customHeight="1">
      <c r="A8655" s="7">
        <v>336.0</v>
      </c>
      <c r="B8655" s="9" t="s">
        <v>14855</v>
      </c>
      <c r="C8655" s="9" t="s">
        <v>14856</v>
      </c>
      <c r="D8655" s="9" t="s">
        <v>81</v>
      </c>
      <c r="E8655" s="6" t="s">
        <v>14862</v>
      </c>
      <c r="F8655" s="9"/>
    </row>
    <row r="8656" ht="33.75" customHeight="1">
      <c r="A8656" s="7">
        <v>336.0</v>
      </c>
      <c r="B8656" s="9" t="s">
        <v>14855</v>
      </c>
      <c r="C8656" s="9" t="s">
        <v>14856</v>
      </c>
      <c r="D8656" s="9" t="s">
        <v>84</v>
      </c>
      <c r="E8656" s="6" t="s">
        <v>14862</v>
      </c>
      <c r="F8656" s="9"/>
    </row>
    <row r="8657" ht="33.75" customHeight="1">
      <c r="A8657" s="7">
        <v>336.0</v>
      </c>
      <c r="B8657" s="9" t="s">
        <v>14855</v>
      </c>
      <c r="C8657" s="9" t="s">
        <v>14856</v>
      </c>
      <c r="D8657" s="9" t="s">
        <v>87</v>
      </c>
      <c r="E8657" s="6" t="s">
        <v>14862</v>
      </c>
      <c r="F8657" s="9"/>
    </row>
    <row r="8658" ht="33.75" customHeight="1">
      <c r="A8658" s="7">
        <v>336.0</v>
      </c>
      <c r="B8658" s="9" t="s">
        <v>14855</v>
      </c>
      <c r="C8658" s="9" t="s">
        <v>14856</v>
      </c>
      <c r="D8658" s="9" t="s">
        <v>89</v>
      </c>
      <c r="E8658" s="6" t="s">
        <v>14863</v>
      </c>
      <c r="F8658" s="9"/>
    </row>
    <row r="8659" ht="33.75" customHeight="1">
      <c r="A8659" s="7">
        <v>336.0</v>
      </c>
      <c r="B8659" s="9" t="s">
        <v>14855</v>
      </c>
      <c r="C8659" s="9" t="s">
        <v>14856</v>
      </c>
      <c r="D8659" s="9" t="s">
        <v>91</v>
      </c>
      <c r="E8659" s="6" t="s">
        <v>14863</v>
      </c>
      <c r="F8659" s="9"/>
    </row>
    <row r="8660" ht="33.75" customHeight="1">
      <c r="A8660" s="7">
        <v>336.0</v>
      </c>
      <c r="B8660" s="9" t="s">
        <v>14855</v>
      </c>
      <c r="C8660" s="9" t="s">
        <v>14856</v>
      </c>
      <c r="D8660" s="9" t="s">
        <v>93</v>
      </c>
      <c r="E8660" s="6" t="s">
        <v>14864</v>
      </c>
      <c r="F8660" s="9"/>
    </row>
    <row r="8661" ht="33.75" customHeight="1">
      <c r="A8661" s="7">
        <v>336.0</v>
      </c>
      <c r="B8661" s="9" t="s">
        <v>14855</v>
      </c>
      <c r="C8661" s="9" t="s">
        <v>14856</v>
      </c>
      <c r="D8661" s="9" t="s">
        <v>95</v>
      </c>
      <c r="E8661" s="6" t="s">
        <v>14864</v>
      </c>
      <c r="F8661" s="9"/>
    </row>
    <row r="8662" ht="33.75" customHeight="1">
      <c r="A8662" s="7">
        <v>336.0</v>
      </c>
      <c r="B8662" s="9" t="s">
        <v>14855</v>
      </c>
      <c r="C8662" s="9" t="s">
        <v>14856</v>
      </c>
      <c r="D8662" s="9" t="s">
        <v>98</v>
      </c>
      <c r="E8662" s="6" t="s">
        <v>14865</v>
      </c>
      <c r="F8662" s="9"/>
    </row>
    <row r="8663" ht="33.75" customHeight="1">
      <c r="A8663" s="7">
        <v>336.0</v>
      </c>
      <c r="B8663" s="9" t="s">
        <v>14855</v>
      </c>
      <c r="C8663" s="9" t="s">
        <v>14856</v>
      </c>
      <c r="D8663" s="9" t="s">
        <v>99</v>
      </c>
      <c r="E8663" s="6" t="s">
        <v>14865</v>
      </c>
      <c r="F8663" s="9"/>
    </row>
    <row r="8664" ht="33.75" customHeight="1">
      <c r="A8664" s="7">
        <v>336.0</v>
      </c>
      <c r="B8664" s="9" t="s">
        <v>14855</v>
      </c>
      <c r="C8664" s="9" t="s">
        <v>14856</v>
      </c>
      <c r="D8664" s="9" t="s">
        <v>101</v>
      </c>
      <c r="E8664" s="6" t="s">
        <v>14867</v>
      </c>
      <c r="F8664" s="9"/>
    </row>
    <row r="8665" ht="33.75" customHeight="1">
      <c r="A8665" s="7">
        <v>336.0</v>
      </c>
      <c r="B8665" s="9" t="s">
        <v>14855</v>
      </c>
      <c r="C8665" s="9" t="s">
        <v>14856</v>
      </c>
      <c r="D8665" s="9" t="s">
        <v>105</v>
      </c>
      <c r="E8665" s="6" t="s">
        <v>14865</v>
      </c>
      <c r="F8665" s="9"/>
    </row>
    <row r="8666" ht="33.75" customHeight="1">
      <c r="A8666" s="7">
        <v>336.0</v>
      </c>
      <c r="B8666" s="9" t="s">
        <v>14855</v>
      </c>
      <c r="C8666" s="9" t="s">
        <v>14856</v>
      </c>
      <c r="D8666" s="9" t="s">
        <v>107</v>
      </c>
      <c r="E8666" s="6" t="s">
        <v>14868</v>
      </c>
      <c r="F8666" s="9"/>
    </row>
    <row r="8667" ht="33.75" customHeight="1">
      <c r="A8667" s="7">
        <v>336.0</v>
      </c>
      <c r="B8667" s="9" t="s">
        <v>14855</v>
      </c>
      <c r="C8667" s="9" t="s">
        <v>14856</v>
      </c>
      <c r="D8667" s="9" t="s">
        <v>109</v>
      </c>
      <c r="E8667" s="6" t="s">
        <v>14869</v>
      </c>
      <c r="F8667" s="9"/>
    </row>
    <row r="8668" ht="33.75" customHeight="1">
      <c r="A8668" s="7">
        <v>337.0</v>
      </c>
      <c r="B8668" s="9" t="s">
        <v>14870</v>
      </c>
      <c r="C8668" s="9" t="s">
        <v>14871</v>
      </c>
      <c r="D8668" s="9" t="s">
        <v>67</v>
      </c>
      <c r="E8668" s="6" t="s">
        <v>14872</v>
      </c>
      <c r="F8668" t="inlineStr" s="10">
        <is>
          <t xml:space="preserve">LUNATONE löydettiin paikasta, johon meteoriitti putosi. Tämän seurauksena jotkut teorioivat, että tämä POKéMON tuli avaruudesta. Kukaan ei kuitenkaan ole pystynyt todistamaan tätä teoriaa tähän mennessä. LUNATONE aktivoituu täysikuun aikaan. Kävelyn sijaan se liikkuu leijuen ilmassa. POKéMONin pelottavat punaiset silmät saavat kaikki sen näkevät kauhun vallassa. Se aktivoituu täysikuun yönä. Tämä POKéMON löydettiin ensimmäisen kerran 40 vuotta sitten meteorin iskun paikalta. Sen terveys vaihtelee kuun kierron mukaan. Se on täynnä voimaa, kun se altistuu täysikuun valolle. Koska se aktivoituu täysikuun öinä, sen sanotaan liittyvän jollain tavalla kuun vaiheisiin. Se löydettiin meteorin iskun paikalta 40 vuotta sitten. Sen tuijotus voi tuudittaa viholliset uneen. Kuun vaiheella on ilmeisesti jonkin verran vaikutusta sen tehoon. Se on aktiivinen täysikuun yönä. Lunatone löydettiin paikasta, johon meteoroidi putosi. Tämän seurauksena jotkut ihmiset teorioivat, että tämä Pokémon tuli avaruudesta.</t>
        </is>
      </c>
    </row>
    <row r="8669" ht="33.75" customHeight="1">
      <c r="A8669" s="7">
        <v>337.0</v>
      </c>
      <c r="B8669" s="9" t="s">
        <v>14870</v>
      </c>
      <c r="C8669" s="9" t="s">
        <v>14871</v>
      </c>
      <c r="D8669" s="9" t="s">
        <v>71</v>
      </c>
      <c r="E8669" s="6" t="s">
        <v>14873</v>
      </c>
      <c r="F8669" s="9"/>
    </row>
    <row r="8670" ht="33.75" customHeight="1">
      <c r="A8670" s="7">
        <v>337.0</v>
      </c>
      <c r="B8670" s="9" t="s">
        <v>14870</v>
      </c>
      <c r="C8670" s="9" t="s">
        <v>14871</v>
      </c>
      <c r="D8670" s="9" t="s">
        <v>73</v>
      </c>
      <c r="E8670" s="6" t="s">
        <v>14874</v>
      </c>
      <c r="F8670" s="9"/>
    </row>
    <row r="8671" ht="33.75" customHeight="1">
      <c r="A8671" s="7">
        <v>337.0</v>
      </c>
      <c r="B8671" s="9" t="s">
        <v>14870</v>
      </c>
      <c r="C8671" s="9" t="s">
        <v>14871</v>
      </c>
      <c r="D8671" s="9" t="s">
        <v>75</v>
      </c>
      <c r="E8671" s="6" t="s">
        <v>14875</v>
      </c>
      <c r="F8671" s="9"/>
    </row>
    <row r="8672" ht="33.75" customHeight="1">
      <c r="A8672" s="7">
        <v>337.0</v>
      </c>
      <c r="B8672" s="9" t="s">
        <v>14870</v>
      </c>
      <c r="C8672" s="9" t="s">
        <v>14871</v>
      </c>
      <c r="D8672" s="9" t="s">
        <v>79</v>
      </c>
      <c r="E8672" s="6" t="s">
        <v>14875</v>
      </c>
      <c r="F8672" s="9"/>
    </row>
    <row r="8673" ht="33.75" customHeight="1">
      <c r="A8673" s="7">
        <v>337.0</v>
      </c>
      <c r="B8673" s="9" t="s">
        <v>14870</v>
      </c>
      <c r="C8673" s="9" t="s">
        <v>14871</v>
      </c>
      <c r="D8673" s="9" t="s">
        <v>81</v>
      </c>
      <c r="E8673" s="6" t="s">
        <v>14876</v>
      </c>
      <c r="F8673" s="9"/>
    </row>
    <row r="8674" ht="33.75" customHeight="1">
      <c r="A8674" s="7">
        <v>337.0</v>
      </c>
      <c r="B8674" s="9" t="s">
        <v>14870</v>
      </c>
      <c r="C8674" s="9" t="s">
        <v>14871</v>
      </c>
      <c r="D8674" s="9" t="s">
        <v>84</v>
      </c>
      <c r="E8674" s="6" t="s">
        <v>14876</v>
      </c>
      <c r="F8674" s="9"/>
    </row>
    <row r="8675" ht="33.75" customHeight="1">
      <c r="A8675" s="7">
        <v>337.0</v>
      </c>
      <c r="B8675" s="9" t="s">
        <v>14870</v>
      </c>
      <c r="C8675" s="9" t="s">
        <v>14871</v>
      </c>
      <c r="D8675" s="9" t="s">
        <v>87</v>
      </c>
      <c r="E8675" s="6" t="s">
        <v>14876</v>
      </c>
      <c r="F8675" s="9"/>
    </row>
    <row r="8676" ht="33.75" customHeight="1">
      <c r="A8676" s="7">
        <v>337.0</v>
      </c>
      <c r="B8676" s="9" t="s">
        <v>14870</v>
      </c>
      <c r="C8676" s="9" t="s">
        <v>14871</v>
      </c>
      <c r="D8676" s="9" t="s">
        <v>89</v>
      </c>
      <c r="E8676" s="6" t="s">
        <v>14877</v>
      </c>
      <c r="F8676" s="9"/>
    </row>
    <row r="8677" ht="33.75" customHeight="1">
      <c r="A8677" s="7">
        <v>337.0</v>
      </c>
      <c r="B8677" s="9" t="s">
        <v>14870</v>
      </c>
      <c r="C8677" s="9" t="s">
        <v>14871</v>
      </c>
      <c r="D8677" s="9" t="s">
        <v>91</v>
      </c>
      <c r="E8677" s="6" t="s">
        <v>14877</v>
      </c>
      <c r="F8677" s="9"/>
    </row>
    <row r="8678" ht="33.75" customHeight="1">
      <c r="A8678" s="7">
        <v>337.0</v>
      </c>
      <c r="B8678" s="9" t="s">
        <v>14870</v>
      </c>
      <c r="C8678" s="9" t="s">
        <v>14871</v>
      </c>
      <c r="D8678" s="9" t="s">
        <v>93</v>
      </c>
      <c r="E8678" s="6" t="s">
        <v>14876</v>
      </c>
      <c r="F8678" s="9"/>
    </row>
    <row r="8679" ht="33.75" customHeight="1">
      <c r="A8679" s="7">
        <v>337.0</v>
      </c>
      <c r="B8679" s="9" t="s">
        <v>14870</v>
      </c>
      <c r="C8679" s="9" t="s">
        <v>14871</v>
      </c>
      <c r="D8679" s="9" t="s">
        <v>95</v>
      </c>
      <c r="E8679" s="6" t="s">
        <v>14876</v>
      </c>
      <c r="F8679" s="9"/>
    </row>
    <row r="8680" ht="33.75" customHeight="1">
      <c r="A8680" s="7">
        <v>337.0</v>
      </c>
      <c r="B8680" s="9" t="s">
        <v>14870</v>
      </c>
      <c r="C8680" s="9" t="s">
        <v>14871</v>
      </c>
      <c r="D8680" s="9" t="s">
        <v>98</v>
      </c>
      <c r="E8680" s="6" t="s">
        <v>14878</v>
      </c>
      <c r="F8680" s="9"/>
    </row>
    <row r="8681" ht="33.75" customHeight="1">
      <c r="A8681" s="7">
        <v>337.0</v>
      </c>
      <c r="B8681" s="9" t="s">
        <v>14870</v>
      </c>
      <c r="C8681" s="9" t="s">
        <v>14871</v>
      </c>
      <c r="D8681" s="9" t="s">
        <v>99</v>
      </c>
      <c r="E8681" s="6" t="s">
        <v>14878</v>
      </c>
      <c r="F8681" s="9"/>
    </row>
    <row r="8682" ht="33.75" customHeight="1">
      <c r="A8682" s="7">
        <v>337.0</v>
      </c>
      <c r="B8682" s="9" t="s">
        <v>14870</v>
      </c>
      <c r="C8682" s="9" t="s">
        <v>14871</v>
      </c>
      <c r="D8682" s="9" t="s">
        <v>101</v>
      </c>
      <c r="E8682" s="6" t="s">
        <v>14876</v>
      </c>
      <c r="F8682" s="9"/>
    </row>
    <row r="8683" ht="33.75" customHeight="1">
      <c r="A8683" s="7">
        <v>337.0</v>
      </c>
      <c r="B8683" s="9" t="s">
        <v>14870</v>
      </c>
      <c r="C8683" s="9" t="s">
        <v>14871</v>
      </c>
      <c r="D8683" s="9" t="s">
        <v>105</v>
      </c>
      <c r="E8683" s="6" t="s">
        <v>14877</v>
      </c>
      <c r="F8683" s="9"/>
    </row>
    <row r="8684" ht="33.75" customHeight="1">
      <c r="A8684" s="7">
        <v>337.0</v>
      </c>
      <c r="B8684" s="9" t="s">
        <v>14870</v>
      </c>
      <c r="C8684" s="9" t="s">
        <v>14871</v>
      </c>
      <c r="D8684" s="9" t="s">
        <v>107</v>
      </c>
      <c r="E8684" s="6" t="s">
        <v>14880</v>
      </c>
      <c r="F8684" s="9"/>
    </row>
    <row r="8685" ht="33.75" customHeight="1">
      <c r="A8685" s="7">
        <v>337.0</v>
      </c>
      <c r="B8685" s="9" t="s">
        <v>14870</v>
      </c>
      <c r="C8685" s="9" t="s">
        <v>14871</v>
      </c>
      <c r="D8685" s="9" t="s">
        <v>109</v>
      </c>
      <c r="E8685" s="6" t="s">
        <v>14881</v>
      </c>
      <c r="F8685" s="9"/>
    </row>
    <row r="8686" ht="33.75" customHeight="1">
      <c r="A8686" s="7">
        <v>337.0</v>
      </c>
      <c r="B8686" s="9" t="s">
        <v>14870</v>
      </c>
      <c r="C8686" s="9" t="s">
        <v>14871</v>
      </c>
      <c r="D8686" s="9" t="s">
        <v>114</v>
      </c>
      <c r="E8686" s="6" t="s">
        <v>14878</v>
      </c>
      <c r="F8686" s="9"/>
    </row>
    <row r="8687" ht="33.75" customHeight="1">
      <c r="A8687" s="7">
        <v>337.0</v>
      </c>
      <c r="B8687" s="9" t="s">
        <v>14870</v>
      </c>
      <c r="C8687" s="9" t="s">
        <v>14871</v>
      </c>
      <c r="D8687" s="9" t="s">
        <v>117</v>
      </c>
      <c r="E8687" s="6" t="s">
        <v>14877</v>
      </c>
      <c r="F8687" s="9"/>
    </row>
    <row r="8688" ht="33.75" customHeight="1">
      <c r="A8688" s="7">
        <v>338.0</v>
      </c>
      <c r="B8688" s="9" t="s">
        <v>14882</v>
      </c>
      <c r="C8688" s="9" t="s">
        <v>14871</v>
      </c>
      <c r="D8688" s="9" t="s">
        <v>67</v>
      </c>
      <c r="E8688" s="6" t="s">
        <v>14883</v>
      </c>
      <c r="F8688" t="inlineStr" s="10">
        <is>
          <t xml:space="preserve">SOLROCK on uusi POKéMON-laji, jonka sanotaan pudonneen avaruudesta. Se leijuu ilmassa ja liikkuu äänettömästi. Taistelussa tämä POKéMON vapauttaa erittäin kirkasta valoa. Auringonvalo on SOLROCKin voiman lähde. Sen sanotaan pystyvän lukemaan muiden tunteita. Tämä POKéMON erittää voimakasta lämpöä pyörittäessään kehoaan. Tämän POKéMONin voimanlähde on aurinkoenergia. Aurinkoisina päivinä AURINGONKIVI-ryhmät asettuvat riviin aurinkoa kohti ja absorboivat sen valoa. Se imee itseensä auringon energiaa päivän aikana. Aina ilmeettömänä se aistii, mitä sen vihollinen ajattelee. Uusi Pokémon-laji, jonka huhutaan olevan auringosta. Se säteilee valoa pyöriessään. Kun se pyörii, se säteilee auringon kaltaista valoa, sokaisten siten vihollisensa. Aurinkoenergia on sen voiman lähde, joten se on voimakasta päiväsaikaan. Kun se pyörii, sen runko loistaa. Sen sanotaan omaavan kyvyn lukea muiden tunteita.</t>
        </is>
      </c>
    </row>
    <row r="8689" ht="33.75" customHeight="1">
      <c r="A8689" s="7">
        <v>338.0</v>
      </c>
      <c r="B8689" s="9" t="s">
        <v>14882</v>
      </c>
      <c r="C8689" s="9" t="s">
        <v>14871</v>
      </c>
      <c r="D8689" s="9" t="s">
        <v>71</v>
      </c>
      <c r="E8689" s="6" t="s">
        <v>14884</v>
      </c>
      <c r="F8689" s="9"/>
    </row>
    <row r="8690" ht="33.75" customHeight="1">
      <c r="A8690" s="7">
        <v>338.0</v>
      </c>
      <c r="B8690" s="9" t="s">
        <v>14882</v>
      </c>
      <c r="C8690" s="9" t="s">
        <v>14871</v>
      </c>
      <c r="D8690" s="9" t="s">
        <v>73</v>
      </c>
      <c r="E8690" s="6" t="s">
        <v>14885</v>
      </c>
      <c r="F8690" s="9"/>
    </row>
    <row r="8691" ht="33.75" customHeight="1">
      <c r="A8691" s="7">
        <v>338.0</v>
      </c>
      <c r="B8691" s="9" t="s">
        <v>14882</v>
      </c>
      <c r="C8691" s="9" t="s">
        <v>14871</v>
      </c>
      <c r="D8691" s="9" t="s">
        <v>75</v>
      </c>
      <c r="E8691" s="6" t="s">
        <v>14886</v>
      </c>
      <c r="F8691" s="9"/>
    </row>
    <row r="8692" ht="33.75" customHeight="1">
      <c r="A8692" s="7">
        <v>338.0</v>
      </c>
      <c r="B8692" s="9" t="s">
        <v>14882</v>
      </c>
      <c r="C8692" s="9" t="s">
        <v>14871</v>
      </c>
      <c r="D8692" s="9" t="s">
        <v>79</v>
      </c>
      <c r="E8692" s="6" t="s">
        <v>14886</v>
      </c>
      <c r="F8692" s="9"/>
    </row>
    <row r="8693" ht="33.75" customHeight="1">
      <c r="A8693" s="7">
        <v>338.0</v>
      </c>
      <c r="B8693" s="9" t="s">
        <v>14882</v>
      </c>
      <c r="C8693" s="9" t="s">
        <v>14871</v>
      </c>
      <c r="D8693" s="9" t="s">
        <v>81</v>
      </c>
      <c r="E8693" s="6" t="s">
        <v>14887</v>
      </c>
      <c r="F8693" s="9"/>
    </row>
    <row r="8694" ht="33.75" customHeight="1">
      <c r="A8694" s="7">
        <v>338.0</v>
      </c>
      <c r="B8694" s="9" t="s">
        <v>14882</v>
      </c>
      <c r="C8694" s="9" t="s">
        <v>14871</v>
      </c>
      <c r="D8694" s="9" t="s">
        <v>84</v>
      </c>
      <c r="E8694" s="6" t="s">
        <v>14887</v>
      </c>
      <c r="F8694" s="9"/>
    </row>
    <row r="8695" ht="33.75" customHeight="1">
      <c r="A8695" s="7">
        <v>338.0</v>
      </c>
      <c r="B8695" s="9" t="s">
        <v>14882</v>
      </c>
      <c r="C8695" s="9" t="s">
        <v>14871</v>
      </c>
      <c r="D8695" s="9" t="s">
        <v>87</v>
      </c>
      <c r="E8695" s="6" t="s">
        <v>14887</v>
      </c>
      <c r="F8695" s="9"/>
    </row>
    <row r="8696" ht="33.75" customHeight="1">
      <c r="A8696" s="7">
        <v>338.0</v>
      </c>
      <c r="B8696" s="9" t="s">
        <v>14882</v>
      </c>
      <c r="C8696" s="9" t="s">
        <v>14871</v>
      </c>
      <c r="D8696" s="9" t="s">
        <v>89</v>
      </c>
      <c r="E8696" s="6" t="s">
        <v>14888</v>
      </c>
      <c r="F8696" s="9"/>
    </row>
    <row r="8697" ht="33.75" customHeight="1">
      <c r="A8697" s="7">
        <v>338.0</v>
      </c>
      <c r="B8697" s="9" t="s">
        <v>14882</v>
      </c>
      <c r="C8697" s="9" t="s">
        <v>14871</v>
      </c>
      <c r="D8697" s="9" t="s">
        <v>91</v>
      </c>
      <c r="E8697" s="6" t="s">
        <v>14888</v>
      </c>
      <c r="F8697" s="9"/>
    </row>
    <row r="8698" ht="33.75" customHeight="1">
      <c r="A8698" s="7">
        <v>338.0</v>
      </c>
      <c r="B8698" s="9" t="s">
        <v>14882</v>
      </c>
      <c r="C8698" s="9" t="s">
        <v>14871</v>
      </c>
      <c r="D8698" s="9" t="s">
        <v>93</v>
      </c>
      <c r="E8698" s="6" t="s">
        <v>14887</v>
      </c>
      <c r="F8698" s="9"/>
    </row>
    <row r="8699" ht="33.75" customHeight="1">
      <c r="A8699" s="7">
        <v>338.0</v>
      </c>
      <c r="B8699" s="9" t="s">
        <v>14882</v>
      </c>
      <c r="C8699" s="9" t="s">
        <v>14871</v>
      </c>
      <c r="D8699" s="9" t="s">
        <v>95</v>
      </c>
      <c r="E8699" s="6" t="s">
        <v>14887</v>
      </c>
      <c r="F8699" s="9"/>
    </row>
    <row r="8700" ht="33.75" customHeight="1">
      <c r="A8700" s="7">
        <v>338.0</v>
      </c>
      <c r="B8700" s="9" t="s">
        <v>14882</v>
      </c>
      <c r="C8700" s="9" t="s">
        <v>14871</v>
      </c>
      <c r="D8700" s="9" t="s">
        <v>98</v>
      </c>
      <c r="E8700" s="6" t="s">
        <v>14890</v>
      </c>
      <c r="F8700" s="9"/>
    </row>
    <row r="8701" ht="33.75" customHeight="1">
      <c r="A8701" s="7">
        <v>338.0</v>
      </c>
      <c r="B8701" s="9" t="s">
        <v>14882</v>
      </c>
      <c r="C8701" s="9" t="s">
        <v>14871</v>
      </c>
      <c r="D8701" s="9" t="s">
        <v>99</v>
      </c>
      <c r="E8701" s="6" t="s">
        <v>14890</v>
      </c>
      <c r="F8701" s="9"/>
    </row>
    <row r="8702" ht="33.75" customHeight="1">
      <c r="A8702" s="7">
        <v>338.0</v>
      </c>
      <c r="B8702" s="9" t="s">
        <v>14882</v>
      </c>
      <c r="C8702" s="9" t="s">
        <v>14871</v>
      </c>
      <c r="D8702" s="9" t="s">
        <v>101</v>
      </c>
      <c r="E8702" s="6" t="s">
        <v>14890</v>
      </c>
      <c r="F8702" s="9"/>
    </row>
    <row r="8703" ht="33.75" customHeight="1">
      <c r="A8703" s="7">
        <v>338.0</v>
      </c>
      <c r="B8703" s="9" t="s">
        <v>14882</v>
      </c>
      <c r="C8703" s="9" t="s">
        <v>14871</v>
      </c>
      <c r="D8703" s="9" t="s">
        <v>105</v>
      </c>
      <c r="E8703" s="6" t="s">
        <v>14886</v>
      </c>
      <c r="F8703" s="9"/>
    </row>
    <row r="8704" ht="33.75" customHeight="1">
      <c r="A8704" s="7">
        <v>338.0</v>
      </c>
      <c r="B8704" s="9" t="s">
        <v>14882</v>
      </c>
      <c r="C8704" s="9" t="s">
        <v>14871</v>
      </c>
      <c r="D8704" s="9" t="s">
        <v>107</v>
      </c>
      <c r="E8704" s="6" t="s">
        <v>14891</v>
      </c>
      <c r="F8704" s="9"/>
    </row>
    <row r="8705" ht="33.75" customHeight="1">
      <c r="A8705" s="7">
        <v>338.0</v>
      </c>
      <c r="B8705" s="9" t="s">
        <v>14882</v>
      </c>
      <c r="C8705" s="9" t="s">
        <v>14871</v>
      </c>
      <c r="D8705" s="9" t="s">
        <v>109</v>
      </c>
      <c r="E8705" s="6" t="s">
        <v>14892</v>
      </c>
      <c r="F8705" s="9"/>
    </row>
    <row r="8706" ht="33.75" customHeight="1">
      <c r="A8706" s="7">
        <v>338.0</v>
      </c>
      <c r="B8706" s="9" t="s">
        <v>14882</v>
      </c>
      <c r="C8706" s="9" t="s">
        <v>14871</v>
      </c>
      <c r="D8706" s="9" t="s">
        <v>114</v>
      </c>
      <c r="E8706" s="6" t="s">
        <v>14888</v>
      </c>
      <c r="F8706" s="9"/>
    </row>
    <row r="8707" ht="33.75" customHeight="1">
      <c r="A8707" s="7">
        <v>338.0</v>
      </c>
      <c r="B8707" s="9" t="s">
        <v>14882</v>
      </c>
      <c r="C8707" s="9" t="s">
        <v>14871</v>
      </c>
      <c r="D8707" s="9" t="s">
        <v>117</v>
      </c>
      <c r="E8707" s="6" t="s">
        <v>14890</v>
      </c>
      <c r="F8707" s="9"/>
    </row>
    <row r="8708" ht="33.75" customHeight="1">
      <c r="A8708" s="7">
        <v>339.0</v>
      </c>
      <c r="B8708" s="9" t="s">
        <v>14893</v>
      </c>
      <c r="C8708" s="9" t="s">
        <v>14894</v>
      </c>
      <c r="D8708" s="9" t="s">
        <v>67</v>
      </c>
      <c r="E8708" s="6" t="s">
        <v>14895</v>
      </c>
      <c r="F8708" t="inlineStr" s="10">
        <is>
          <t xml:space="preserve">BARBOACHin herkät viikset toimivat erinomaisena tutkajärjestelmänä. Tämä POKéMON piiloutuu mutaan jättäen näkyviin vain kaksi viiksikarvaansa odottaessaan saalista. BARBOACHin keho on peittynyt limaan. Jos vihollinen nappaa sen, tämä POKéMON yksinkertaisesti lipsahtaa vihollisen otteesta. Tämä POKéMON heikkenee, jos limainen kerros kuivuu. Sen ruumis on peittynyt limaiseen kalvoon. Kalvo toimii esteenä estäen mutaisessa vedessä olevien bakteerien pääsyn BARBOACHin kehoon. Se luotaa mutaisia ​​joenuomia kahdella pitkällä viiksikarvallaan. Limakalvo suojaa sen kehoa. Se peittää koko ruumiinsa limalla, joten se voi kiemurrella ja livahtaa pois, jos siihen tarttuu. Sen viikset toimivat erinomaisena tutkana. Niitä käytetään saaliin paikantamiseen jopa sameimmassa vedessä. Sen limaista ruumista on vaikea saada kiinni. Yhdellä alueella sen sanotaan syntyneen kovettuneesta mudasta. BARBOACH käyttää viiksikarvojaan maistaakseen asioita aivan kuten ihminen käyttää kieltään maistaakseen asioita. Tämä Pokémon piiloutuu mutaan jättäen vain kaksi viiksikarvaansa näkyviin odottaessaan saalista. Jos vihollinen tarttuu siihen, tämä Pokémon lipsahtaa vihollisen otteesta. Sen kaksi viikset tarjoavat herkän tutkan. Se pystyy havaitsemaan saaliinsa sijainnin jopa mutaisissa vesissä. Sen liukasta vartaloa on vaikea saada kiinni, niin paljon, että on festivaaleja, joilla ihmiset kilpailevat siitä, kuinka monta he saavat paljain käsin kiinni. Sen koko ruumis on tahmainen. Kun lintu-Pokémon nokkii sitä, se liukastuu ja liukuu tiensä vapauteen. Sen viikset ovat täynnä hermoja. Ne voivat aistia hajuja ja makuja aivan kuten ihmisen nenä tai kieli. Se asuu suoilla, joissa on sameaa vettä. Huono näkyvyys piilottaa tämän Pokémonin saalistajilta, ja sen kehon lima tekee siitä vaikeasti tarttuvan.</t>
        </is>
      </c>
    </row>
    <row r="8709" ht="33.75" customHeight="1">
      <c r="A8709" s="7">
        <v>339.0</v>
      </c>
      <c r="B8709" s="9" t="s">
        <v>14893</v>
      </c>
      <c r="C8709" s="9" t="s">
        <v>14894</v>
      </c>
      <c r="D8709" s="9" t="s">
        <v>71</v>
      </c>
      <c r="E8709" s="6" t="s">
        <v>14896</v>
      </c>
      <c r="F8709" s="9"/>
    </row>
    <row r="8710" ht="33.75" customHeight="1">
      <c r="A8710" s="7">
        <v>339.0</v>
      </c>
      <c r="B8710" s="9" t="s">
        <v>14893</v>
      </c>
      <c r="C8710" s="9" t="s">
        <v>14894</v>
      </c>
      <c r="D8710" s="9" t="s">
        <v>73</v>
      </c>
      <c r="E8710" s="6" t="s">
        <v>14897</v>
      </c>
      <c r="F8710" s="9"/>
    </row>
    <row r="8711" ht="33.75" customHeight="1">
      <c r="A8711" s="7">
        <v>339.0</v>
      </c>
      <c r="B8711" s="9" t="s">
        <v>14893</v>
      </c>
      <c r="C8711" s="9" t="s">
        <v>14894</v>
      </c>
      <c r="D8711" s="9" t="s">
        <v>75</v>
      </c>
      <c r="E8711" s="6" t="s">
        <v>14899</v>
      </c>
      <c r="F8711" s="9"/>
    </row>
    <row r="8712" ht="33.75" customHeight="1">
      <c r="A8712" s="7">
        <v>339.0</v>
      </c>
      <c r="B8712" s="9" t="s">
        <v>14893</v>
      </c>
      <c r="C8712" s="9" t="s">
        <v>14894</v>
      </c>
      <c r="D8712" s="9" t="s">
        <v>79</v>
      </c>
      <c r="E8712" s="6" t="s">
        <v>14899</v>
      </c>
      <c r="F8712" s="9"/>
    </row>
    <row r="8713" ht="33.75" customHeight="1">
      <c r="A8713" s="7">
        <v>339.0</v>
      </c>
      <c r="B8713" s="9" t="s">
        <v>14893</v>
      </c>
      <c r="C8713" s="9" t="s">
        <v>14894</v>
      </c>
      <c r="D8713" s="9" t="s">
        <v>81</v>
      </c>
      <c r="E8713" s="6" t="s">
        <v>14900</v>
      </c>
      <c r="F8713" s="9"/>
    </row>
    <row r="8714" ht="33.75" customHeight="1">
      <c r="A8714" s="7">
        <v>339.0</v>
      </c>
      <c r="B8714" s="9" t="s">
        <v>14893</v>
      </c>
      <c r="C8714" s="9" t="s">
        <v>14894</v>
      </c>
      <c r="D8714" s="9" t="s">
        <v>84</v>
      </c>
      <c r="E8714" s="6" t="s">
        <v>14901</v>
      </c>
      <c r="F8714" s="9"/>
    </row>
    <row r="8715" ht="33.75" customHeight="1">
      <c r="A8715" s="7">
        <v>339.0</v>
      </c>
      <c r="B8715" s="9" t="s">
        <v>14893</v>
      </c>
      <c r="C8715" s="9" t="s">
        <v>14894</v>
      </c>
      <c r="D8715" s="9" t="s">
        <v>87</v>
      </c>
      <c r="E8715" s="6" t="s">
        <v>14902</v>
      </c>
      <c r="F8715" s="9"/>
    </row>
    <row r="8716" ht="33.75" customHeight="1">
      <c r="A8716" s="7">
        <v>339.0</v>
      </c>
      <c r="B8716" s="9" t="s">
        <v>14893</v>
      </c>
      <c r="C8716" s="9" t="s">
        <v>14894</v>
      </c>
      <c r="D8716" s="9" t="s">
        <v>89</v>
      </c>
      <c r="E8716" s="6" t="s">
        <v>14903</v>
      </c>
      <c r="F8716" s="9"/>
    </row>
    <row r="8717" ht="33.75" customHeight="1">
      <c r="A8717" s="7">
        <v>339.0</v>
      </c>
      <c r="B8717" s="9" t="s">
        <v>14893</v>
      </c>
      <c r="C8717" s="9" t="s">
        <v>14894</v>
      </c>
      <c r="D8717" s="9" t="s">
        <v>91</v>
      </c>
      <c r="E8717" s="6" t="s">
        <v>14903</v>
      </c>
      <c r="F8717" s="9"/>
    </row>
    <row r="8718" ht="33.75" customHeight="1">
      <c r="A8718" s="7">
        <v>339.0</v>
      </c>
      <c r="B8718" s="9" t="s">
        <v>14893</v>
      </c>
      <c r="C8718" s="9" t="s">
        <v>14894</v>
      </c>
      <c r="D8718" s="9" t="s">
        <v>93</v>
      </c>
      <c r="E8718" s="6" t="s">
        <v>14902</v>
      </c>
      <c r="F8718" s="9"/>
    </row>
    <row r="8719" ht="33.75" customHeight="1">
      <c r="A8719" s="7">
        <v>339.0</v>
      </c>
      <c r="B8719" s="9" t="s">
        <v>14893</v>
      </c>
      <c r="C8719" s="9" t="s">
        <v>14894</v>
      </c>
      <c r="D8719" s="9" t="s">
        <v>95</v>
      </c>
      <c r="E8719" s="6" t="s">
        <v>14902</v>
      </c>
      <c r="F8719" s="9"/>
    </row>
    <row r="8720" ht="33.75" customHeight="1">
      <c r="A8720" s="7">
        <v>339.0</v>
      </c>
      <c r="B8720" s="9" t="s">
        <v>14893</v>
      </c>
      <c r="C8720" s="9" t="s">
        <v>14894</v>
      </c>
      <c r="D8720" s="9" t="s">
        <v>98</v>
      </c>
      <c r="E8720" s="6" t="s">
        <v>14902</v>
      </c>
      <c r="F8720" s="9"/>
    </row>
    <row r="8721" ht="33.75" customHeight="1">
      <c r="A8721" s="7">
        <v>339.0</v>
      </c>
      <c r="B8721" s="9" t="s">
        <v>14893</v>
      </c>
      <c r="C8721" s="9" t="s">
        <v>14894</v>
      </c>
      <c r="D8721" s="9" t="s">
        <v>99</v>
      </c>
      <c r="E8721" s="6" t="s">
        <v>14902</v>
      </c>
      <c r="F8721" s="9"/>
    </row>
    <row r="8722" ht="33.75" customHeight="1">
      <c r="A8722" s="7">
        <v>339.0</v>
      </c>
      <c r="B8722" s="9" t="s">
        <v>14893</v>
      </c>
      <c r="C8722" s="9" t="s">
        <v>14894</v>
      </c>
      <c r="D8722" s="9" t="s">
        <v>101</v>
      </c>
      <c r="E8722" s="6" t="s">
        <v>14900</v>
      </c>
      <c r="F8722" s="9"/>
    </row>
    <row r="8723" ht="33.75" customHeight="1">
      <c r="A8723" s="7">
        <v>339.0</v>
      </c>
      <c r="B8723" s="9" t="s">
        <v>14893</v>
      </c>
      <c r="C8723" s="9" t="s">
        <v>14894</v>
      </c>
      <c r="D8723" s="9" t="s">
        <v>105</v>
      </c>
      <c r="E8723" s="6" t="s">
        <v>14901</v>
      </c>
      <c r="F8723" s="9"/>
    </row>
    <row r="8724" ht="33.75" customHeight="1">
      <c r="A8724" s="7">
        <v>339.0</v>
      </c>
      <c r="B8724" s="9" t="s">
        <v>14893</v>
      </c>
      <c r="C8724" s="9" t="s">
        <v>14894</v>
      </c>
      <c r="D8724" s="9" t="s">
        <v>107</v>
      </c>
      <c r="E8724" s="6" t="s">
        <v>14905</v>
      </c>
      <c r="F8724" s="9"/>
    </row>
    <row r="8725" ht="33.75" customHeight="1">
      <c r="A8725" s="7">
        <v>339.0</v>
      </c>
      <c r="B8725" s="9" t="s">
        <v>14893</v>
      </c>
      <c r="C8725" s="9" t="s">
        <v>14894</v>
      </c>
      <c r="D8725" s="9" t="s">
        <v>109</v>
      </c>
      <c r="E8725" s="6" t="s">
        <v>14906</v>
      </c>
      <c r="F8725" s="9"/>
    </row>
    <row r="8726" ht="33.75" customHeight="1">
      <c r="A8726" s="7">
        <v>339.0</v>
      </c>
      <c r="B8726" s="9" t="s">
        <v>14893</v>
      </c>
      <c r="C8726" s="9" t="s">
        <v>14894</v>
      </c>
      <c r="D8726" s="9" t="s">
        <v>637</v>
      </c>
      <c r="E8726" s="6" t="s">
        <v>14907</v>
      </c>
      <c r="F8726" s="9"/>
    </row>
    <row r="8727" ht="33.75" customHeight="1">
      <c r="A8727" s="7">
        <v>339.0</v>
      </c>
      <c r="B8727" s="9" t="s">
        <v>14893</v>
      </c>
      <c r="C8727" s="9" t="s">
        <v>14894</v>
      </c>
      <c r="D8727" s="9" t="s">
        <v>642</v>
      </c>
      <c r="E8727" s="6" t="s">
        <v>14908</v>
      </c>
      <c r="F8727" s="9"/>
    </row>
    <row r="8728" ht="33.75" customHeight="1">
      <c r="A8728" s="7">
        <v>339.0</v>
      </c>
      <c r="B8728" s="9" t="s">
        <v>14893</v>
      </c>
      <c r="C8728" s="9" t="s">
        <v>14894</v>
      </c>
      <c r="D8728" s="9" t="s">
        <v>647</v>
      </c>
      <c r="E8728" s="6" t="s">
        <v>14909</v>
      </c>
      <c r="F8728" s="9"/>
    </row>
    <row r="8729" ht="33.75" customHeight="1">
      <c r="A8729" s="7">
        <v>339.0</v>
      </c>
      <c r="B8729" s="9" t="s">
        <v>14893</v>
      </c>
      <c r="C8729" s="9" t="s">
        <v>14894</v>
      </c>
      <c r="D8729" s="9" t="s">
        <v>652</v>
      </c>
      <c r="E8729" s="6" t="s">
        <v>14910</v>
      </c>
      <c r="F8729" s="9"/>
    </row>
    <row r="8730" ht="33.75" customHeight="1">
      <c r="A8730" s="7">
        <v>339.0</v>
      </c>
      <c r="B8730" s="9" t="s">
        <v>14893</v>
      </c>
      <c r="C8730" s="9" t="s">
        <v>14894</v>
      </c>
      <c r="D8730" s="9" t="s">
        <v>114</v>
      </c>
      <c r="E8730" s="6" t="s">
        <v>14902</v>
      </c>
      <c r="F8730" s="9"/>
    </row>
    <row r="8731" ht="33.75" customHeight="1">
      <c r="A8731" s="7">
        <v>339.0</v>
      </c>
      <c r="B8731" s="9" t="s">
        <v>14893</v>
      </c>
      <c r="C8731" s="9" t="s">
        <v>14894</v>
      </c>
      <c r="D8731" s="9" t="s">
        <v>117</v>
      </c>
      <c r="E8731" s="6" t="s">
        <v>14899</v>
      </c>
      <c r="F8731" s="9"/>
    </row>
    <row r="8732" ht="33.75" customHeight="1">
      <c r="A8732" s="7">
        <v>339.0</v>
      </c>
      <c r="B8732" s="9" t="s">
        <v>14893</v>
      </c>
      <c r="C8732" s="9" t="s">
        <v>14894</v>
      </c>
      <c r="D8732" s="9" t="s">
        <v>1577</v>
      </c>
      <c r="E8732" s="6" t="s">
        <v>14911</v>
      </c>
      <c r="F8732" s="9"/>
    </row>
    <row r="8733" ht="33.75" customHeight="1">
      <c r="A8733" s="7">
        <v>340.0</v>
      </c>
      <c r="B8733" s="9" t="s">
        <v>14912</v>
      </c>
      <c r="C8733" s="9" t="s">
        <v>14894</v>
      </c>
      <c r="D8733" s="9" t="s">
        <v>67</v>
      </c>
      <c r="E8733" s="6" t="s">
        <v>14913</v>
      </c>
      <c r="F8733" t="inlineStr" s="10">
        <is>
          <t xml:space="preserve">WHISCASH on äärimmäisen reviiritietoinen. Jopa yksi näistä POKéMONeista voi vallata suuren lammen yksinomaiseksi alueekseen. Jos vihollinen lähestyy sitä, se riehuu ympäriinsä ja laukaisee massiivisen maanjäristyksen. Jos WHISCASH riehuu villisti, se laukaisee maanjäristystä muistuttavan järistyksen, jonka säde on yli viiden kilometrin luokkaa. Tällä POKéMONilla on kyky ennustaa oikeita maanjäristyksiä. Se voi salaperäisesti ennustaa maanjäristyksiä. Päivällä se nukkuu mudassa lammen pohjalla. Herätessään se syö jatkuvasti läpi yön. Se tekee pesänsä soiden pohjalle. Se syö mitä tahansa - jos se on elossa, WHISCASH syö sen. Se on hyvin reviiritietoinen. Se torjuu viholliset laukaisemalla järistyksiä, jotka ulottuvat viiden kilometrin säteelle. Koska se aiheutti järistyksiä rimpuilemalla ympäriinsä, se kehitti kyvyn ennustaa todellisia maanjäristyksiä. Se on äärimmäisen suojelevainen reviiriään kohtaan. Jos vihollinen lähestyy, se hyökkää käyttämällä raivokkaita vapinaiskuja. Se vaatii itselleen suuren suon. Jos vihollinen tulee lähelle, se aiheuttaa järistyksiä rimpuilemalla ympäriinsä. Se syö mitä tahansa – jos se on elossa, Whiscash syö sen. Jopa yksi näistä Pokémoneista voi vallata suuren lammen yksinomaiseksi reviirikseen. Jos vihollinen lähestyy sitä, se riehuu ympäriinsä ja laukaisee valtavan maanjäristyksen. Ahmatti, joka ahmii kaiken liikkuvan, lymyilee hiljaa soiden pohjalla väijyen saalista. Whiscashin hyppäämisen vedestä uskotaan enteilevän maanjäristystä. Whiscash ravistelee maata voimakkaasti pelotellakseen vastustajiaan. Se nielee saaliinsa kokonaisena – sekä mutaa suon pohjalta. Sen näkö ei ole kovin hyvä. Se aistii veden värähtelyjä viiksikarvoillaan määrittääkseen saaliinsa sijainnin. Iskee pyrstöevällään suonpohjaa ravistellakseen maata ja säikäyttääkseen saaliinsa. Sitten se nielee pakenevan saaliin kokonaisena. Ihmiset luulivat tätä käyttäytymistä maanjäristysten syyksi.</t>
        </is>
      </c>
    </row>
    <row r="8734" ht="33.75" customHeight="1">
      <c r="A8734" s="7">
        <v>340.0</v>
      </c>
      <c r="B8734" s="9" t="s">
        <v>14912</v>
      </c>
      <c r="C8734" s="9" t="s">
        <v>14894</v>
      </c>
      <c r="D8734" s="9" t="s">
        <v>71</v>
      </c>
      <c r="E8734" s="6" t="s">
        <v>14914</v>
      </c>
      <c r="F8734" s="9"/>
    </row>
    <row r="8735" ht="33.75" customHeight="1">
      <c r="A8735" s="7">
        <v>340.0</v>
      </c>
      <c r="B8735" s="9" t="s">
        <v>14912</v>
      </c>
      <c r="C8735" s="9" t="s">
        <v>14894</v>
      </c>
      <c r="D8735" s="9" t="s">
        <v>73</v>
      </c>
      <c r="E8735" s="6" t="s">
        <v>14916</v>
      </c>
      <c r="F8735" s="9"/>
    </row>
    <row r="8736" ht="33.75" customHeight="1">
      <c r="A8736" s="7">
        <v>340.0</v>
      </c>
      <c r="B8736" s="9" t="s">
        <v>14912</v>
      </c>
      <c r="C8736" s="9" t="s">
        <v>14894</v>
      </c>
      <c r="D8736" s="9" t="s">
        <v>75</v>
      </c>
      <c r="E8736" s="6" t="s">
        <v>14917</v>
      </c>
      <c r="F8736" s="9"/>
    </row>
    <row r="8737" ht="33.75" customHeight="1">
      <c r="A8737" s="7">
        <v>340.0</v>
      </c>
      <c r="B8737" s="9" t="s">
        <v>14912</v>
      </c>
      <c r="C8737" s="9" t="s">
        <v>14894</v>
      </c>
      <c r="D8737" s="9" t="s">
        <v>79</v>
      </c>
      <c r="E8737" s="6" t="s">
        <v>14917</v>
      </c>
      <c r="F8737" s="9"/>
    </row>
    <row r="8738" ht="33.75" customHeight="1">
      <c r="A8738" s="7">
        <v>340.0</v>
      </c>
      <c r="B8738" s="9" t="s">
        <v>14912</v>
      </c>
      <c r="C8738" s="9" t="s">
        <v>14894</v>
      </c>
      <c r="D8738" s="9" t="s">
        <v>81</v>
      </c>
      <c r="E8738" s="6" t="s">
        <v>14918</v>
      </c>
      <c r="F8738" s="9"/>
    </row>
    <row r="8739" ht="33.75" customHeight="1">
      <c r="A8739" s="7">
        <v>340.0</v>
      </c>
      <c r="B8739" s="9" t="s">
        <v>14912</v>
      </c>
      <c r="C8739" s="9" t="s">
        <v>14894</v>
      </c>
      <c r="D8739" s="9" t="s">
        <v>84</v>
      </c>
      <c r="E8739" s="6" t="s">
        <v>14919</v>
      </c>
      <c r="F8739" s="9"/>
    </row>
    <row r="8740" ht="33.75" customHeight="1">
      <c r="A8740" s="7">
        <v>340.0</v>
      </c>
      <c r="B8740" s="9" t="s">
        <v>14912</v>
      </c>
      <c r="C8740" s="9" t="s">
        <v>14894</v>
      </c>
      <c r="D8740" s="9" t="s">
        <v>87</v>
      </c>
      <c r="E8740" s="6" t="s">
        <v>14920</v>
      </c>
      <c r="F8740" s="9"/>
    </row>
    <row r="8741" ht="33.75" customHeight="1">
      <c r="A8741" s="7">
        <v>340.0</v>
      </c>
      <c r="B8741" s="9" t="s">
        <v>14912</v>
      </c>
      <c r="C8741" s="9" t="s">
        <v>14894</v>
      </c>
      <c r="D8741" s="9" t="s">
        <v>89</v>
      </c>
      <c r="E8741" s="6" t="s">
        <v>14921</v>
      </c>
      <c r="F8741" s="9"/>
    </row>
    <row r="8742" ht="33.75" customHeight="1">
      <c r="A8742" s="7">
        <v>340.0</v>
      </c>
      <c r="B8742" s="9" t="s">
        <v>14912</v>
      </c>
      <c r="C8742" s="9" t="s">
        <v>14894</v>
      </c>
      <c r="D8742" s="9" t="s">
        <v>91</v>
      </c>
      <c r="E8742" s="6" t="s">
        <v>14921</v>
      </c>
      <c r="F8742" s="9"/>
    </row>
    <row r="8743" ht="33.75" customHeight="1">
      <c r="A8743" s="7">
        <v>340.0</v>
      </c>
      <c r="B8743" s="9" t="s">
        <v>14912</v>
      </c>
      <c r="C8743" s="9" t="s">
        <v>14894</v>
      </c>
      <c r="D8743" s="9" t="s">
        <v>93</v>
      </c>
      <c r="E8743" s="6" t="s">
        <v>14920</v>
      </c>
      <c r="F8743" s="9"/>
    </row>
    <row r="8744" ht="33.75" customHeight="1">
      <c r="A8744" s="7">
        <v>340.0</v>
      </c>
      <c r="B8744" s="9" t="s">
        <v>14912</v>
      </c>
      <c r="C8744" s="9" t="s">
        <v>14894</v>
      </c>
      <c r="D8744" s="9" t="s">
        <v>95</v>
      </c>
      <c r="E8744" s="6" t="s">
        <v>14920</v>
      </c>
      <c r="F8744" s="9"/>
    </row>
    <row r="8745" ht="33.75" customHeight="1">
      <c r="A8745" s="7">
        <v>340.0</v>
      </c>
      <c r="B8745" s="9" t="s">
        <v>14912</v>
      </c>
      <c r="C8745" s="9" t="s">
        <v>14894</v>
      </c>
      <c r="D8745" s="9" t="s">
        <v>98</v>
      </c>
      <c r="E8745" s="6" t="s">
        <v>14920</v>
      </c>
      <c r="F8745" s="9"/>
    </row>
    <row r="8746" ht="33.75" customHeight="1">
      <c r="A8746" s="7">
        <v>340.0</v>
      </c>
      <c r="B8746" s="9" t="s">
        <v>14912</v>
      </c>
      <c r="C8746" s="9" t="s">
        <v>14894</v>
      </c>
      <c r="D8746" s="9" t="s">
        <v>99</v>
      </c>
      <c r="E8746" s="6" t="s">
        <v>14920</v>
      </c>
      <c r="F8746" s="9"/>
    </row>
    <row r="8747" ht="33.75" customHeight="1">
      <c r="A8747" s="7">
        <v>340.0</v>
      </c>
      <c r="B8747" s="9" t="s">
        <v>14912</v>
      </c>
      <c r="C8747" s="9" t="s">
        <v>14894</v>
      </c>
      <c r="D8747" s="9" t="s">
        <v>101</v>
      </c>
      <c r="E8747" s="6" t="s">
        <v>14921</v>
      </c>
      <c r="F8747" s="9"/>
    </row>
    <row r="8748" ht="33.75" customHeight="1">
      <c r="A8748" s="7">
        <v>340.0</v>
      </c>
      <c r="B8748" s="9" t="s">
        <v>14912</v>
      </c>
      <c r="C8748" s="9" t="s">
        <v>14894</v>
      </c>
      <c r="D8748" s="9" t="s">
        <v>105</v>
      </c>
      <c r="E8748" s="6" t="s">
        <v>14922</v>
      </c>
      <c r="F8748" s="9"/>
    </row>
    <row r="8749" ht="33.75" customHeight="1">
      <c r="A8749" s="7">
        <v>340.0</v>
      </c>
      <c r="B8749" s="9" t="s">
        <v>14912</v>
      </c>
      <c r="C8749" s="9" t="s">
        <v>14894</v>
      </c>
      <c r="D8749" s="9" t="s">
        <v>107</v>
      </c>
      <c r="E8749" s="6" t="s">
        <v>14923</v>
      </c>
      <c r="F8749" s="9"/>
    </row>
    <row r="8750" ht="33.75" customHeight="1">
      <c r="A8750" s="7">
        <v>340.0</v>
      </c>
      <c r="B8750" s="9" t="s">
        <v>14912</v>
      </c>
      <c r="C8750" s="9" t="s">
        <v>14894</v>
      </c>
      <c r="D8750" s="9" t="s">
        <v>109</v>
      </c>
      <c r="E8750" s="6" t="s">
        <v>14924</v>
      </c>
      <c r="F8750" s="9"/>
    </row>
    <row r="8751" ht="33.75" customHeight="1">
      <c r="A8751" s="7">
        <v>340.0</v>
      </c>
      <c r="B8751" s="9" t="s">
        <v>14912</v>
      </c>
      <c r="C8751" s="9" t="s">
        <v>14894</v>
      </c>
      <c r="D8751" s="9" t="s">
        <v>637</v>
      </c>
      <c r="E8751" s="6" t="s">
        <v>14926</v>
      </c>
      <c r="F8751" s="9"/>
    </row>
    <row r="8752" ht="33.75" customHeight="1">
      <c r="A8752" s="7">
        <v>340.0</v>
      </c>
      <c r="B8752" s="9" t="s">
        <v>14912</v>
      </c>
      <c r="C8752" s="9" t="s">
        <v>14894</v>
      </c>
      <c r="D8752" s="9" t="s">
        <v>642</v>
      </c>
      <c r="E8752" s="6" t="s">
        <v>14927</v>
      </c>
      <c r="F8752" s="9"/>
    </row>
    <row r="8753" ht="33.75" customHeight="1">
      <c r="A8753" s="7">
        <v>340.0</v>
      </c>
      <c r="B8753" s="9" t="s">
        <v>14912</v>
      </c>
      <c r="C8753" s="9" t="s">
        <v>14894</v>
      </c>
      <c r="D8753" s="9" t="s">
        <v>647</v>
      </c>
      <c r="E8753" s="6" t="s">
        <v>14928</v>
      </c>
      <c r="F8753" s="9"/>
    </row>
    <row r="8754" ht="33.75" customHeight="1">
      <c r="A8754" s="7">
        <v>340.0</v>
      </c>
      <c r="B8754" s="9" t="s">
        <v>14912</v>
      </c>
      <c r="C8754" s="9" t="s">
        <v>14894</v>
      </c>
      <c r="D8754" s="9" t="s">
        <v>652</v>
      </c>
      <c r="E8754" s="6" t="s">
        <v>14929</v>
      </c>
      <c r="F8754" s="9"/>
    </row>
    <row r="8755" ht="33.75" customHeight="1">
      <c r="A8755" s="7">
        <v>340.0</v>
      </c>
      <c r="B8755" s="9" t="s">
        <v>14912</v>
      </c>
      <c r="C8755" s="9" t="s">
        <v>14894</v>
      </c>
      <c r="D8755" s="9" t="s">
        <v>114</v>
      </c>
      <c r="E8755" s="6" t="s">
        <v>14922</v>
      </c>
      <c r="F8755" s="9"/>
    </row>
    <row r="8756" ht="33.75" customHeight="1">
      <c r="A8756" s="7">
        <v>340.0</v>
      </c>
      <c r="B8756" s="9" t="s">
        <v>14912</v>
      </c>
      <c r="C8756" s="9" t="s">
        <v>14894</v>
      </c>
      <c r="D8756" s="9" t="s">
        <v>117</v>
      </c>
      <c r="E8756" s="6" t="s">
        <v>14921</v>
      </c>
      <c r="F8756" s="9"/>
    </row>
    <row r="8757" ht="33.75" customHeight="1">
      <c r="A8757" s="7">
        <v>340.0</v>
      </c>
      <c r="B8757" s="9" t="s">
        <v>14912</v>
      </c>
      <c r="C8757" s="9" t="s">
        <v>14894</v>
      </c>
      <c r="D8757" s="9" t="s">
        <v>1577</v>
      </c>
      <c r="E8757" s="6" t="s">
        <v>14930</v>
      </c>
      <c r="F8757" s="9"/>
    </row>
    <row r="8758" ht="33.75" customHeight="1">
      <c r="A8758" s="7">
        <v>341.0</v>
      </c>
      <c r="B8758" s="9" t="s">
        <v>14931</v>
      </c>
      <c r="C8758" s="9" t="s">
        <v>14932</v>
      </c>
      <c r="D8758" s="9" t="s">
        <v>67</v>
      </c>
      <c r="E8758" s="6" t="s">
        <v>14933</v>
      </c>
      <c r="F8758" t="inlineStr" s="10">
        <is>
          <t xml:space="preserve">CORPHISHit olivat alun perin ulkomaisia ​​POKéMONEJA, jotka tuotiin lemmikeiksi. Lopulta ne ilmestyivät luontoon. Nämä POKéMONit ovat erittäin kestäviä ja niiden populaatio on kasvanut huomattavasti. CORPHISH pyydystää saaliinsa terävillä kynsillään. Sillä ei ole mieltymyksiä ruoan suhteen – se syö mitä tahansa. Tällä POKéMONilla ei ole vaikeuksia elää likaisessa vedessä. Kun se kerran nappaa saaliinsa suurilla pihdeillään, se ei koskaan päästä irti, tapahtuipa mitä tahansa. Se on sitkeä POKéMON, joka voi menestyä missä tahansa ympäristössä. Se tuli ulkomailta. Se on erittäin kestävä olento, joka lisääntyy nopeasti jopa saastuneissa puroissa. Sen sitkeä elinvoimaisuus antaa sille mahdollisuuden sopeutua mihin tahansa ympäristöön. Sen pihdit eivät koskaan päästä saalista irti. Se oli alun perin kaukaa luontoon karannut Pokémon. Se pystyy sopeutumaan likaisimpaankin jokeen. Olipa joen vesi kuinka likaista tahansa, se sopeutuu ja kukoistaa. Sillä on vahva selviytymistahto. Corphish-pokémonit olivat alun perin ulkomaalaisia ​​Pokémoneja, jotka tuotiin lemmikeiksi. Tämä Pokémon on erittäin kestävä ja sen populaatio on kasvanut huomattavasti. Yksilöt, jotka kouluttajat ovat vapauttaneet kasvatuksensa menettäneiden ihmisten vuoksi, ovat yleistyneet, ja heitä löytyy nyt Alolasta. Se sopeutuu erittäin hyvin ympäristöönsä. Feebas ja Corphish ovat lähes ainoat Pokémonit, jotka elävät seisovissa ojissa.</t>
        </is>
      </c>
    </row>
    <row r="8759" ht="33.75" customHeight="1">
      <c r="A8759" s="7">
        <v>341.0</v>
      </c>
      <c r="B8759" s="9" t="s">
        <v>14931</v>
      </c>
      <c r="C8759" s="9" t="s">
        <v>14932</v>
      </c>
      <c r="D8759" s="9" t="s">
        <v>71</v>
      </c>
      <c r="E8759" s="6" t="s">
        <v>14934</v>
      </c>
      <c r="F8759" s="9"/>
    </row>
    <row r="8760" ht="33.75" customHeight="1">
      <c r="A8760" s="7">
        <v>341.0</v>
      </c>
      <c r="B8760" s="9" t="s">
        <v>14931</v>
      </c>
      <c r="C8760" s="9" t="s">
        <v>14932</v>
      </c>
      <c r="D8760" s="9" t="s">
        <v>73</v>
      </c>
      <c r="E8760" s="6" t="s">
        <v>14935</v>
      </c>
      <c r="F8760" s="9"/>
    </row>
    <row r="8761" ht="33.75" customHeight="1">
      <c r="A8761" s="7">
        <v>341.0</v>
      </c>
      <c r="B8761" s="9" t="s">
        <v>14931</v>
      </c>
      <c r="C8761" s="9" t="s">
        <v>14932</v>
      </c>
      <c r="D8761" s="9" t="s">
        <v>75</v>
      </c>
      <c r="E8761" s="6" t="s">
        <v>14936</v>
      </c>
      <c r="F8761" s="9"/>
    </row>
    <row r="8762" ht="33.75" customHeight="1">
      <c r="A8762" s="7">
        <v>341.0</v>
      </c>
      <c r="B8762" s="9" t="s">
        <v>14931</v>
      </c>
      <c r="C8762" s="9" t="s">
        <v>14932</v>
      </c>
      <c r="D8762" s="9" t="s">
        <v>79</v>
      </c>
      <c r="E8762" s="6" t="s">
        <v>14936</v>
      </c>
      <c r="F8762" s="9"/>
    </row>
    <row r="8763" ht="33.75" customHeight="1">
      <c r="A8763" s="7">
        <v>341.0</v>
      </c>
      <c r="B8763" s="9" t="s">
        <v>14931</v>
      </c>
      <c r="C8763" s="9" t="s">
        <v>14932</v>
      </c>
      <c r="D8763" s="9" t="s">
        <v>81</v>
      </c>
      <c r="E8763" s="6" t="s">
        <v>14938</v>
      </c>
      <c r="F8763" s="9"/>
    </row>
    <row r="8764" ht="33.75" customHeight="1">
      <c r="A8764" s="7">
        <v>341.0</v>
      </c>
      <c r="B8764" s="9" t="s">
        <v>14931</v>
      </c>
      <c r="C8764" s="9" t="s">
        <v>14932</v>
      </c>
      <c r="D8764" s="9" t="s">
        <v>84</v>
      </c>
      <c r="E8764" s="6" t="s">
        <v>14938</v>
      </c>
      <c r="F8764" s="9"/>
    </row>
    <row r="8765" ht="33.75" customHeight="1">
      <c r="A8765" s="7">
        <v>341.0</v>
      </c>
      <c r="B8765" s="9" t="s">
        <v>14931</v>
      </c>
      <c r="C8765" s="9" t="s">
        <v>14932</v>
      </c>
      <c r="D8765" s="9" t="s">
        <v>87</v>
      </c>
      <c r="E8765" s="6" t="s">
        <v>14938</v>
      </c>
      <c r="F8765" s="9"/>
    </row>
    <row r="8766" ht="33.75" customHeight="1">
      <c r="A8766" s="7">
        <v>341.0</v>
      </c>
      <c r="B8766" s="9" t="s">
        <v>14931</v>
      </c>
      <c r="C8766" s="9" t="s">
        <v>14932</v>
      </c>
      <c r="D8766" s="9" t="s">
        <v>89</v>
      </c>
      <c r="E8766" s="6" t="s">
        <v>14939</v>
      </c>
      <c r="F8766" s="9"/>
    </row>
    <row r="8767" ht="33.75" customHeight="1">
      <c r="A8767" s="7">
        <v>341.0</v>
      </c>
      <c r="B8767" s="9" t="s">
        <v>14931</v>
      </c>
      <c r="C8767" s="9" t="s">
        <v>14932</v>
      </c>
      <c r="D8767" s="9" t="s">
        <v>91</v>
      </c>
      <c r="E8767" s="6" t="s">
        <v>14939</v>
      </c>
      <c r="F8767" s="9"/>
    </row>
    <row r="8768" ht="33.75" customHeight="1">
      <c r="A8768" s="7">
        <v>341.0</v>
      </c>
      <c r="B8768" s="9" t="s">
        <v>14931</v>
      </c>
      <c r="C8768" s="9" t="s">
        <v>14932</v>
      </c>
      <c r="D8768" s="9" t="s">
        <v>93</v>
      </c>
      <c r="E8768" s="6" t="s">
        <v>14938</v>
      </c>
      <c r="F8768" s="9"/>
    </row>
    <row r="8769" ht="33.75" customHeight="1">
      <c r="A8769" s="7">
        <v>341.0</v>
      </c>
      <c r="B8769" s="9" t="s">
        <v>14931</v>
      </c>
      <c r="C8769" s="9" t="s">
        <v>14932</v>
      </c>
      <c r="D8769" s="9" t="s">
        <v>95</v>
      </c>
      <c r="E8769" s="6" t="s">
        <v>14938</v>
      </c>
      <c r="F8769" s="9"/>
    </row>
    <row r="8770" ht="33.75" customHeight="1">
      <c r="A8770" s="7">
        <v>341.0</v>
      </c>
      <c r="B8770" s="9" t="s">
        <v>14931</v>
      </c>
      <c r="C8770" s="9" t="s">
        <v>14932</v>
      </c>
      <c r="D8770" s="9" t="s">
        <v>98</v>
      </c>
      <c r="E8770" s="6" t="s">
        <v>14940</v>
      </c>
      <c r="F8770" s="9"/>
    </row>
    <row r="8771" ht="33.75" customHeight="1">
      <c r="A8771" s="7">
        <v>341.0</v>
      </c>
      <c r="B8771" s="9" t="s">
        <v>14931</v>
      </c>
      <c r="C8771" s="9" t="s">
        <v>14932</v>
      </c>
      <c r="D8771" s="9" t="s">
        <v>99</v>
      </c>
      <c r="E8771" s="6" t="s">
        <v>14940</v>
      </c>
      <c r="F8771" s="9"/>
    </row>
    <row r="8772" ht="33.75" customHeight="1">
      <c r="A8772" s="7">
        <v>341.0</v>
      </c>
      <c r="B8772" s="9" t="s">
        <v>14931</v>
      </c>
      <c r="C8772" s="9" t="s">
        <v>14932</v>
      </c>
      <c r="D8772" s="9" t="s">
        <v>101</v>
      </c>
      <c r="E8772" s="6" t="s">
        <v>14940</v>
      </c>
      <c r="F8772" s="9"/>
    </row>
    <row r="8773" ht="33.75" customHeight="1">
      <c r="A8773" s="7">
        <v>341.0</v>
      </c>
      <c r="B8773" s="9" t="s">
        <v>14931</v>
      </c>
      <c r="C8773" s="9" t="s">
        <v>14932</v>
      </c>
      <c r="D8773" s="9" t="s">
        <v>105</v>
      </c>
      <c r="E8773" s="6" t="s">
        <v>14938</v>
      </c>
      <c r="F8773" s="9"/>
    </row>
    <row r="8774" ht="33.75" customHeight="1">
      <c r="A8774" s="7">
        <v>341.0</v>
      </c>
      <c r="B8774" s="9" t="s">
        <v>14931</v>
      </c>
      <c r="C8774" s="9" t="s">
        <v>14932</v>
      </c>
      <c r="D8774" s="9" t="s">
        <v>107</v>
      </c>
      <c r="E8774" s="6" t="s">
        <v>14942</v>
      </c>
      <c r="F8774" s="9"/>
    </row>
    <row r="8775" ht="33.75" customHeight="1">
      <c r="A8775" s="7">
        <v>341.0</v>
      </c>
      <c r="B8775" s="9" t="s">
        <v>14931</v>
      </c>
      <c r="C8775" s="9" t="s">
        <v>14932</v>
      </c>
      <c r="D8775" s="9" t="s">
        <v>109</v>
      </c>
      <c r="E8775" s="6" t="s">
        <v>14943</v>
      </c>
      <c r="F8775" s="9"/>
    </row>
    <row r="8776" ht="33.75" customHeight="1">
      <c r="A8776" s="7">
        <v>341.0</v>
      </c>
      <c r="B8776" s="9" t="s">
        <v>14931</v>
      </c>
      <c r="C8776" s="9" t="s">
        <v>14932</v>
      </c>
      <c r="D8776" s="9" t="s">
        <v>647</v>
      </c>
      <c r="E8776" s="6" t="s">
        <v>14944</v>
      </c>
      <c r="F8776" s="9"/>
    </row>
    <row r="8777" ht="33.75" customHeight="1">
      <c r="A8777" s="7">
        <v>341.0</v>
      </c>
      <c r="B8777" s="9" t="s">
        <v>14931</v>
      </c>
      <c r="C8777" s="9" t="s">
        <v>14932</v>
      </c>
      <c r="D8777" s="9" t="s">
        <v>652</v>
      </c>
      <c r="E8777" s="6" t="s">
        <v>14945</v>
      </c>
      <c r="F8777" s="9"/>
    </row>
    <row r="8778" ht="33.75" customHeight="1">
      <c r="A8778" s="7">
        <v>341.0</v>
      </c>
      <c r="B8778" s="9" t="s">
        <v>14931</v>
      </c>
      <c r="C8778" s="9" t="s">
        <v>14932</v>
      </c>
      <c r="D8778" s="9" t="s">
        <v>114</v>
      </c>
      <c r="E8778" s="6" t="s">
        <v>14940</v>
      </c>
      <c r="F8778" s="9"/>
    </row>
    <row r="8779" ht="33.75" customHeight="1">
      <c r="A8779" s="7">
        <v>341.0</v>
      </c>
      <c r="B8779" s="9" t="s">
        <v>14931</v>
      </c>
      <c r="C8779" s="9" t="s">
        <v>14932</v>
      </c>
      <c r="D8779" s="9" t="s">
        <v>117</v>
      </c>
      <c r="E8779" s="6" t="s">
        <v>14939</v>
      </c>
      <c r="F8779" s="9"/>
    </row>
    <row r="8780" ht="33.75" customHeight="1">
      <c r="A8780" s="7">
        <v>342.0</v>
      </c>
      <c r="B8780" s="9" t="s">
        <v>14946</v>
      </c>
      <c r="C8780" s="9" t="s">
        <v>14947</v>
      </c>
      <c r="D8780" s="9" t="s">
        <v>67</v>
      </c>
      <c r="E8780" s="6" t="s">
        <v>14948</v>
      </c>
      <c r="F8780" t="inlineStr" s="10">
        <is>
          <t xml:space="preserve">CRAWDAUNTilla on äärimmäisen väkivaltainen luonne, joka pakottaa Crawdauntin haastamaan muita eläviä olentoja taisteluun. Muut elämänmuodot kieltäytyvät elämästä tämän POKéMONin asuttamissa lammissa, mikä tekee niistä autioita paikkoja. CRAWDAUNT luopuu kuorestaan ​​säännöllisesti. Heti sulkasadon jälkeen sen kuori on pehmeä ja murea. Kunnes kuori kovettuu, tämä POKéMON piiloutuu puronuomassaan välttääkseen vihollistensa hyökkäyksiä. Brutaali POKéMON, joka rakastaa taistelua. Satoja taisteluita voittanut kokenut CRAWDAUNT kantaa jättimäisiä pihdejä, joissa on lukemattomia arpia. Karu asiakas, joka villisti heiluttelee jättimäisiä kynsiään. Sen sanotaan olevan erittäin vaikea kasvattaa. Se on roisto, joka käyttää pihdeitään poimiakseen ja heittääkseen pois muita Pokémoneja lammestaan. Raaka Pokémon, joka rakastaa taistelua. Se törmää mihin tahansa viholliseen, joka lähestyy sen pesää. Taistelua rakastava Pokémon nipistää pihdeillään kaikkia alueelleen astuvia Pokémoneja ja heittää ne pois. Kunnes kuori kovettuu, tämä Pokémon piiloutuu purouoman koloonsa välttääkseen vihollistensa hyökkäyksiä. Sen luonne on karu ja se rakastaa tappelua, mutta heti kun sen pihdit katkeavat, se muuttuu pelkurimaiseksi. Se pysyy arkana, kunnes ne kasvavat takaisin. Sen pihdit putoavat usein irti. Toisin kuin Crabrawlerilla tai Clauncherilla, sen kynsien liha on äärimmäisen iljettävää ja haisevaa.</t>
        </is>
      </c>
    </row>
    <row r="8781" ht="33.75" customHeight="1">
      <c r="A8781" s="7">
        <v>342.0</v>
      </c>
      <c r="B8781" s="9" t="s">
        <v>14946</v>
      </c>
      <c r="C8781" s="9" t="s">
        <v>14947</v>
      </c>
      <c r="D8781" s="9" t="s">
        <v>71</v>
      </c>
      <c r="E8781" s="6" t="s">
        <v>14949</v>
      </c>
      <c r="F8781" s="9"/>
    </row>
    <row r="8782" ht="33.75" customHeight="1">
      <c r="A8782" s="7">
        <v>342.0</v>
      </c>
      <c r="B8782" s="9" t="s">
        <v>14946</v>
      </c>
      <c r="C8782" s="9" t="s">
        <v>14947</v>
      </c>
      <c r="D8782" s="9" t="s">
        <v>73</v>
      </c>
      <c r="E8782" s="6" t="s">
        <v>14950</v>
      </c>
      <c r="F8782" s="9"/>
    </row>
    <row r="8783" ht="33.75" customHeight="1">
      <c r="A8783" s="7">
        <v>342.0</v>
      </c>
      <c r="B8783" s="9" t="s">
        <v>14946</v>
      </c>
      <c r="C8783" s="9" t="s">
        <v>14947</v>
      </c>
      <c r="D8783" s="9" t="s">
        <v>75</v>
      </c>
      <c r="E8783" s="6" t="s">
        <v>14951</v>
      </c>
      <c r="F8783" s="9"/>
    </row>
    <row r="8784" ht="33.75" customHeight="1">
      <c r="A8784" s="7">
        <v>342.0</v>
      </c>
      <c r="B8784" s="9" t="s">
        <v>14946</v>
      </c>
      <c r="C8784" s="9" t="s">
        <v>14947</v>
      </c>
      <c r="D8784" s="9" t="s">
        <v>79</v>
      </c>
      <c r="E8784" s="6" t="s">
        <v>14951</v>
      </c>
      <c r="F8784" s="9"/>
    </row>
    <row r="8785" ht="33.75" customHeight="1">
      <c r="A8785" s="7">
        <v>342.0</v>
      </c>
      <c r="B8785" s="9" t="s">
        <v>14946</v>
      </c>
      <c r="C8785" s="9" t="s">
        <v>14947</v>
      </c>
      <c r="D8785" s="9" t="s">
        <v>81</v>
      </c>
      <c r="E8785" s="6" t="s">
        <v>14952</v>
      </c>
      <c r="F8785" s="9"/>
    </row>
    <row r="8786" ht="33.75" customHeight="1">
      <c r="A8786" s="7">
        <v>342.0</v>
      </c>
      <c r="B8786" s="9" t="s">
        <v>14946</v>
      </c>
      <c r="C8786" s="9" t="s">
        <v>14947</v>
      </c>
      <c r="D8786" s="9" t="s">
        <v>84</v>
      </c>
      <c r="E8786" s="6" t="s">
        <v>14952</v>
      </c>
      <c r="F8786" s="9"/>
    </row>
    <row r="8787" ht="33.75" customHeight="1">
      <c r="A8787" s="7">
        <v>342.0</v>
      </c>
      <c r="B8787" s="9" t="s">
        <v>14946</v>
      </c>
      <c r="C8787" s="9" t="s">
        <v>14947</v>
      </c>
      <c r="D8787" s="9" t="s">
        <v>87</v>
      </c>
      <c r="E8787" s="6" t="s">
        <v>14952</v>
      </c>
      <c r="F8787" s="9"/>
    </row>
    <row r="8788" ht="33.75" customHeight="1">
      <c r="A8788" s="7">
        <v>342.0</v>
      </c>
      <c r="B8788" s="9" t="s">
        <v>14946</v>
      </c>
      <c r="C8788" s="9" t="s">
        <v>14947</v>
      </c>
      <c r="D8788" s="9" t="s">
        <v>89</v>
      </c>
      <c r="E8788" s="6" t="s">
        <v>14954</v>
      </c>
      <c r="F8788" s="9"/>
    </row>
    <row r="8789" ht="33.75" customHeight="1">
      <c r="A8789" s="7">
        <v>342.0</v>
      </c>
      <c r="B8789" s="9" t="s">
        <v>14946</v>
      </c>
      <c r="C8789" s="9" t="s">
        <v>14947</v>
      </c>
      <c r="D8789" s="9" t="s">
        <v>91</v>
      </c>
      <c r="E8789" s="6" t="s">
        <v>14954</v>
      </c>
      <c r="F8789" s="9"/>
    </row>
    <row r="8790" ht="33.75" customHeight="1">
      <c r="A8790" s="7">
        <v>342.0</v>
      </c>
      <c r="B8790" s="9" t="s">
        <v>14946</v>
      </c>
      <c r="C8790" s="9" t="s">
        <v>14947</v>
      </c>
      <c r="D8790" s="9" t="s">
        <v>93</v>
      </c>
      <c r="E8790" s="6" t="s">
        <v>14952</v>
      </c>
      <c r="F8790" s="9"/>
    </row>
    <row r="8791" ht="33.75" customHeight="1">
      <c r="A8791" s="7">
        <v>342.0</v>
      </c>
      <c r="B8791" s="9" t="s">
        <v>14946</v>
      </c>
      <c r="C8791" s="9" t="s">
        <v>14947</v>
      </c>
      <c r="D8791" s="9" t="s">
        <v>95</v>
      </c>
      <c r="E8791" s="6" t="s">
        <v>14952</v>
      </c>
      <c r="F8791" s="9"/>
    </row>
    <row r="8792" ht="33.75" customHeight="1">
      <c r="A8792" s="7">
        <v>342.0</v>
      </c>
      <c r="B8792" s="9" t="s">
        <v>14946</v>
      </c>
      <c r="C8792" s="9" t="s">
        <v>14947</v>
      </c>
      <c r="D8792" s="9" t="s">
        <v>98</v>
      </c>
      <c r="E8792" s="6" t="s">
        <v>14955</v>
      </c>
      <c r="F8792" s="9"/>
    </row>
    <row r="8793" ht="33.75" customHeight="1">
      <c r="A8793" s="7">
        <v>342.0</v>
      </c>
      <c r="B8793" s="9" t="s">
        <v>14946</v>
      </c>
      <c r="C8793" s="9" t="s">
        <v>14947</v>
      </c>
      <c r="D8793" s="9" t="s">
        <v>99</v>
      </c>
      <c r="E8793" s="6" t="s">
        <v>14955</v>
      </c>
      <c r="F8793" s="9"/>
    </row>
    <row r="8794" ht="33.75" customHeight="1">
      <c r="A8794" s="7">
        <v>342.0</v>
      </c>
      <c r="B8794" s="9" t="s">
        <v>14946</v>
      </c>
      <c r="C8794" s="9" t="s">
        <v>14947</v>
      </c>
      <c r="D8794" s="9" t="s">
        <v>101</v>
      </c>
      <c r="E8794" s="6" t="s">
        <v>14952</v>
      </c>
      <c r="F8794" s="9"/>
    </row>
    <row r="8795" ht="33.75" customHeight="1">
      <c r="A8795" s="7">
        <v>342.0</v>
      </c>
      <c r="B8795" s="9" t="s">
        <v>14946</v>
      </c>
      <c r="C8795" s="9" t="s">
        <v>14947</v>
      </c>
      <c r="D8795" s="9" t="s">
        <v>105</v>
      </c>
      <c r="E8795" s="6" t="s">
        <v>14955</v>
      </c>
      <c r="F8795" s="9"/>
    </row>
    <row r="8796" ht="33.75" customHeight="1">
      <c r="A8796" s="7">
        <v>342.0</v>
      </c>
      <c r="B8796" s="9" t="s">
        <v>14946</v>
      </c>
      <c r="C8796" s="9" t="s">
        <v>14947</v>
      </c>
      <c r="D8796" s="9" t="s">
        <v>107</v>
      </c>
      <c r="E8796" s="6" t="s">
        <v>14956</v>
      </c>
      <c r="F8796" s="9"/>
    </row>
    <row r="8797" ht="33.75" customHeight="1">
      <c r="A8797" s="7">
        <v>342.0</v>
      </c>
      <c r="B8797" s="9" t="s">
        <v>14946</v>
      </c>
      <c r="C8797" s="9" t="s">
        <v>14947</v>
      </c>
      <c r="D8797" s="9" t="s">
        <v>109</v>
      </c>
      <c r="E8797" s="6" t="s">
        <v>14957</v>
      </c>
      <c r="F8797" s="9"/>
    </row>
    <row r="8798" ht="33.75" customHeight="1">
      <c r="A8798" s="7">
        <v>342.0</v>
      </c>
      <c r="B8798" s="9" t="s">
        <v>14946</v>
      </c>
      <c r="C8798" s="9" t="s">
        <v>14947</v>
      </c>
      <c r="D8798" s="9" t="s">
        <v>647</v>
      </c>
      <c r="E8798" s="6" t="s">
        <v>14958</v>
      </c>
      <c r="F8798" s="9"/>
    </row>
    <row r="8799" ht="33.75" customHeight="1">
      <c r="A8799" s="7">
        <v>342.0</v>
      </c>
      <c r="B8799" s="9" t="s">
        <v>14946</v>
      </c>
      <c r="C8799" s="9" t="s">
        <v>14947</v>
      </c>
      <c r="D8799" s="9" t="s">
        <v>652</v>
      </c>
      <c r="E8799" s="6" t="s">
        <v>14959</v>
      </c>
      <c r="F8799" s="9"/>
    </row>
    <row r="8800" ht="33.75" customHeight="1">
      <c r="A8800" s="7">
        <v>342.0</v>
      </c>
      <c r="B8800" s="9" t="s">
        <v>14946</v>
      </c>
      <c r="C8800" s="9" t="s">
        <v>14947</v>
      </c>
      <c r="D8800" s="9" t="s">
        <v>114</v>
      </c>
      <c r="E8800" s="6" t="s">
        <v>14951</v>
      </c>
      <c r="F8800" s="9"/>
    </row>
    <row r="8801" ht="33.75" customHeight="1">
      <c r="A8801" s="7">
        <v>342.0</v>
      </c>
      <c r="B8801" s="9" t="s">
        <v>14946</v>
      </c>
      <c r="C8801" s="9" t="s">
        <v>14947</v>
      </c>
      <c r="D8801" s="9" t="s">
        <v>117</v>
      </c>
      <c r="E8801" s="6" t="s">
        <v>14954</v>
      </c>
      <c r="F8801" s="9"/>
    </row>
    <row r="8802" ht="33.75" customHeight="1">
      <c r="A8802" s="7">
        <v>343.0</v>
      </c>
      <c r="B8802" s="9" t="s">
        <v>14961</v>
      </c>
      <c r="C8802" s="9" t="s">
        <v>14962</v>
      </c>
      <c r="D8802" s="9" t="s">
        <v>67</v>
      </c>
      <c r="E8802" s="6" t="s">
        <v>14963</v>
      </c>
      <c r="F8802" t="inlineStr" s="10">
        <is>
          <t xml:space="preserve">BALTOY liikkuu pyörien ympäri yhdellä jalallaan. Muinaisista raunioista on löydetty alkeellisia seinämaalauksia, jotka kuvaavat tätä POKéMONia ihmisten keskuudessa. Heti kun BALTOY havaitsee muita lajitovereita, se kerääntyy niiden joukkoon ja alkaa sitten itkeä äänekkäästi yhteen ääneen. Tämä POKéMON nukkuu tasapainotellen taitavasti yhdellä jalallaan. BALTOY liikkuu pyörimällä yhdellä jalallaan. Se on kuvattu muinaisen vilkkaan kaupungin muureja koristavissa seinämaalauksissa. Se löydettiin muinaisista raunioista. Liikkuessaan se pyörii jatkuvasti. Se seisoo yhdellä jalalla jopa nukkuessaan. Se liikkuu pyörimällä jalallaan. Se on harvinainen Pokémon, joka löydettiin muinaisista raunioista. Se liikkuu pyöriessään ympäriinsä yhdellä jalallaan. Joidenkin BALTOY-hirviöiden on nähty pyörivän päänsä päällä. Muinaisista raunioista löydettynä se liikkuu pyörimällä ympäriinsä ja muodostaa ryhmän löytäessään muita. Joidenkin baltoyjen on nähty pyörivän päänsä päällä. Baltoyn kaltaisia ​​Pokémon-kuvia on löydetty luolien seiniltä, ​​joissa alkukantaiset ihmiset elivät. Löytäessään muita lajitoveriaan ne huutavat kovaa ja kerääntyvät yhteen. Niitä voi löytää suuria määriä vanhoilta hautausmailta.</t>
        </is>
      </c>
    </row>
    <row r="8803" ht="33.75" customHeight="1">
      <c r="A8803" s="7">
        <v>343.0</v>
      </c>
      <c r="B8803" s="9" t="s">
        <v>14961</v>
      </c>
      <c r="C8803" s="9" t="s">
        <v>14962</v>
      </c>
      <c r="D8803" s="9" t="s">
        <v>71</v>
      </c>
      <c r="E8803" s="6" t="s">
        <v>14964</v>
      </c>
      <c r="F8803" s="9"/>
    </row>
    <row r="8804" ht="33.75" customHeight="1">
      <c r="A8804" s="7">
        <v>343.0</v>
      </c>
      <c r="B8804" s="9" t="s">
        <v>14961</v>
      </c>
      <c r="C8804" s="9" t="s">
        <v>14962</v>
      </c>
      <c r="D8804" s="9" t="s">
        <v>73</v>
      </c>
      <c r="E8804" s="6" t="s">
        <v>14965</v>
      </c>
      <c r="F8804" s="9"/>
    </row>
    <row r="8805" ht="33.75" customHeight="1">
      <c r="A8805" s="7">
        <v>343.0</v>
      </c>
      <c r="B8805" s="9" t="s">
        <v>14961</v>
      </c>
      <c r="C8805" s="9" t="s">
        <v>14962</v>
      </c>
      <c r="D8805" s="9" t="s">
        <v>75</v>
      </c>
      <c r="E8805" s="6" t="s">
        <v>14966</v>
      </c>
      <c r="F8805" s="9"/>
    </row>
    <row r="8806" ht="33.75" customHeight="1">
      <c r="A8806" s="7">
        <v>343.0</v>
      </c>
      <c r="B8806" s="9" t="s">
        <v>14961</v>
      </c>
      <c r="C8806" s="9" t="s">
        <v>14962</v>
      </c>
      <c r="D8806" s="9" t="s">
        <v>79</v>
      </c>
      <c r="E8806" s="6" t="s">
        <v>14966</v>
      </c>
      <c r="F8806" s="9"/>
    </row>
    <row r="8807" ht="33.75" customHeight="1">
      <c r="A8807" s="7">
        <v>343.0</v>
      </c>
      <c r="B8807" s="9" t="s">
        <v>14961</v>
      </c>
      <c r="C8807" s="9" t="s">
        <v>14962</v>
      </c>
      <c r="D8807" s="9" t="s">
        <v>81</v>
      </c>
      <c r="E8807" s="6" t="s">
        <v>14967</v>
      </c>
      <c r="F8807" s="9"/>
    </row>
    <row r="8808" ht="33.75" customHeight="1">
      <c r="A8808" s="7">
        <v>343.0</v>
      </c>
      <c r="B8808" s="9" t="s">
        <v>14961</v>
      </c>
      <c r="C8808" s="9" t="s">
        <v>14962</v>
      </c>
      <c r="D8808" s="9" t="s">
        <v>84</v>
      </c>
      <c r="E8808" s="6" t="s">
        <v>14967</v>
      </c>
      <c r="F8808" s="9"/>
    </row>
    <row r="8809" ht="33.75" customHeight="1">
      <c r="A8809" s="7">
        <v>343.0</v>
      </c>
      <c r="B8809" s="9" t="s">
        <v>14961</v>
      </c>
      <c r="C8809" s="9" t="s">
        <v>14962</v>
      </c>
      <c r="D8809" s="9" t="s">
        <v>87</v>
      </c>
      <c r="E8809" s="6" t="s">
        <v>14967</v>
      </c>
      <c r="F8809" s="9"/>
    </row>
    <row r="8810" ht="33.75" customHeight="1">
      <c r="A8810" s="7">
        <v>343.0</v>
      </c>
      <c r="B8810" s="9" t="s">
        <v>14961</v>
      </c>
      <c r="C8810" s="9" t="s">
        <v>14962</v>
      </c>
      <c r="D8810" s="9" t="s">
        <v>89</v>
      </c>
      <c r="E8810" s="6" t="s">
        <v>14968</v>
      </c>
      <c r="F8810" s="9"/>
    </row>
    <row r="8811" ht="33.75" customHeight="1">
      <c r="A8811" s="7">
        <v>343.0</v>
      </c>
      <c r="B8811" s="9" t="s">
        <v>14961</v>
      </c>
      <c r="C8811" s="9" t="s">
        <v>14962</v>
      </c>
      <c r="D8811" s="9" t="s">
        <v>91</v>
      </c>
      <c r="E8811" s="6" t="s">
        <v>14968</v>
      </c>
      <c r="F8811" s="9"/>
    </row>
    <row r="8812" ht="33.75" customHeight="1">
      <c r="A8812" s="7">
        <v>343.0</v>
      </c>
      <c r="B8812" s="9" t="s">
        <v>14961</v>
      </c>
      <c r="C8812" s="9" t="s">
        <v>14962</v>
      </c>
      <c r="D8812" s="9" t="s">
        <v>93</v>
      </c>
      <c r="E8812" s="6" t="s">
        <v>14967</v>
      </c>
      <c r="F8812" s="9"/>
    </row>
    <row r="8813" ht="33.75" customHeight="1">
      <c r="A8813" s="7">
        <v>343.0</v>
      </c>
      <c r="B8813" s="9" t="s">
        <v>14961</v>
      </c>
      <c r="C8813" s="9" t="s">
        <v>14962</v>
      </c>
      <c r="D8813" s="9" t="s">
        <v>95</v>
      </c>
      <c r="E8813" s="6" t="s">
        <v>14967</v>
      </c>
      <c r="F8813" s="9"/>
    </row>
    <row r="8814" ht="33.75" customHeight="1">
      <c r="A8814" s="7">
        <v>343.0</v>
      </c>
      <c r="B8814" s="9" t="s">
        <v>14961</v>
      </c>
      <c r="C8814" s="9" t="s">
        <v>14962</v>
      </c>
      <c r="D8814" s="9" t="s">
        <v>98</v>
      </c>
      <c r="E8814" s="6" t="s">
        <v>14970</v>
      </c>
      <c r="F8814" s="9"/>
    </row>
    <row r="8815" ht="33.75" customHeight="1">
      <c r="A8815" s="7">
        <v>343.0</v>
      </c>
      <c r="B8815" s="9" t="s">
        <v>14961</v>
      </c>
      <c r="C8815" s="9" t="s">
        <v>14962</v>
      </c>
      <c r="D8815" s="9" t="s">
        <v>99</v>
      </c>
      <c r="E8815" s="6" t="s">
        <v>14970</v>
      </c>
      <c r="F8815" s="9"/>
    </row>
    <row r="8816" ht="33.75" customHeight="1">
      <c r="A8816" s="7">
        <v>343.0</v>
      </c>
      <c r="B8816" s="9" t="s">
        <v>14961</v>
      </c>
      <c r="C8816" s="9" t="s">
        <v>14962</v>
      </c>
      <c r="D8816" s="9" t="s">
        <v>101</v>
      </c>
      <c r="E8816" s="6" t="s">
        <v>14971</v>
      </c>
      <c r="F8816" s="9"/>
    </row>
    <row r="8817" ht="33.75" customHeight="1">
      <c r="A8817" s="7">
        <v>343.0</v>
      </c>
      <c r="B8817" s="9" t="s">
        <v>14961</v>
      </c>
      <c r="C8817" s="9" t="s">
        <v>14962</v>
      </c>
      <c r="D8817" s="9" t="s">
        <v>105</v>
      </c>
      <c r="E8817" s="6" t="s">
        <v>14967</v>
      </c>
      <c r="F8817" s="9"/>
    </row>
    <row r="8818" ht="33.75" customHeight="1">
      <c r="A8818" s="7">
        <v>343.0</v>
      </c>
      <c r="B8818" s="9" t="s">
        <v>14961</v>
      </c>
      <c r="C8818" s="9" t="s">
        <v>14962</v>
      </c>
      <c r="D8818" s="9" t="s">
        <v>107</v>
      </c>
      <c r="E8818" s="6" t="s">
        <v>14972</v>
      </c>
      <c r="F8818" s="9"/>
    </row>
    <row r="8819" ht="33.75" customHeight="1">
      <c r="A8819" s="7">
        <v>343.0</v>
      </c>
      <c r="B8819" s="9" t="s">
        <v>14961</v>
      </c>
      <c r="C8819" s="9" t="s">
        <v>14962</v>
      </c>
      <c r="D8819" s="9" t="s">
        <v>109</v>
      </c>
      <c r="E8819" s="6" t="s">
        <v>14973</v>
      </c>
      <c r="F8819" s="9"/>
    </row>
    <row r="8820" ht="33.75" customHeight="1">
      <c r="A8820" s="7">
        <v>343.0</v>
      </c>
      <c r="B8820" s="9" t="s">
        <v>14961</v>
      </c>
      <c r="C8820" s="9" t="s">
        <v>14962</v>
      </c>
      <c r="D8820" s="9" t="s">
        <v>647</v>
      </c>
      <c r="E8820" s="6" t="s">
        <v>14974</v>
      </c>
      <c r="F8820" s="9"/>
    </row>
    <row r="8821" ht="33.75" customHeight="1">
      <c r="A8821" s="7">
        <v>343.0</v>
      </c>
      <c r="B8821" s="9" t="s">
        <v>14961</v>
      </c>
      <c r="C8821" s="9" t="s">
        <v>14962</v>
      </c>
      <c r="D8821" s="9" t="s">
        <v>652</v>
      </c>
      <c r="E8821" s="6" t="s">
        <v>14975</v>
      </c>
      <c r="F8821" s="9"/>
    </row>
    <row r="8822" ht="33.75" customHeight="1">
      <c r="A8822" s="7">
        <v>343.0</v>
      </c>
      <c r="B8822" s="9" t="s">
        <v>14961</v>
      </c>
      <c r="C8822" s="9" t="s">
        <v>14962</v>
      </c>
      <c r="D8822" s="9" t="s">
        <v>114</v>
      </c>
      <c r="E8822" s="6" t="s">
        <v>14971</v>
      </c>
      <c r="F8822" s="9"/>
    </row>
    <row r="8823" ht="33.75" customHeight="1">
      <c r="A8823" s="7">
        <v>343.0</v>
      </c>
      <c r="B8823" s="9" t="s">
        <v>14961</v>
      </c>
      <c r="C8823" s="9" t="s">
        <v>14962</v>
      </c>
      <c r="D8823" s="9" t="s">
        <v>117</v>
      </c>
      <c r="E8823" s="6" t="s">
        <v>14966</v>
      </c>
      <c r="F8823" s="9"/>
    </row>
    <row r="8824" ht="33.75" customHeight="1">
      <c r="A8824" s="7">
        <v>344.0</v>
      </c>
      <c r="B8824" s="9" t="s">
        <v>14976</v>
      </c>
      <c r="C8824" s="9" t="s">
        <v>14962</v>
      </c>
      <c r="D8824" s="9" t="s">
        <v>67</v>
      </c>
      <c r="E8824" s="6" t="s">
        <v>14977</v>
      </c>
      <c r="F8824" t="inlineStr" s="10">
        <is>
          <t xml:space="preserve">CLAYDOLien sanotaan olevan alkuihmisten tekemiä mudanukkeja, jotka heräävät eloon alttiiksi salaperäiselle säteelle. Tämä POKéMON liikkuu levitoimalla. CLAYDOL on arvoitus, joka ilmestyi muinaisen sivilisaation 20 000 vuotta vanhasta savipatsaasta. Tämä POKéMON ampuu säteitä molemmista käsistään. CLAYDOL nukkuu leijuen ilmassa. Sen kädet ovat erillään vartalosta. Ne pysyvät leijunnassa POKéMONien psyykkisten voimien manipuloinnin ansiosta. Se näyttää syntyneen muinaisten ihmisten tekemistä savinukeista. Se käyttää telekinesiaa kelluakseen ja liikkuakseen. Muinainen savihahmo, joka heräsi eloon Pokémonina altistuttuaan salaperäiselle valonsäteelle. Sanotaan, että se on peräisin muinaisen sivilisaation tekemistä savinukeista. Tämä salaperäinen Pokémon aloitti elämänsä yli 20 000 vuotta sitten tehtynä muinaisena savihahmona. Claydol-pokémonien sanotaan olevan alkuihmisten tekemiä mudanukkeja, jotka heräävät eloon altistumalla salaperäiselle säteelle. Tämä Pokémon liikkuu levitoidessaan. Jos se kastuu, sen ruumis sulaa. Kun alkaa sataa, se kietoo koko ruumiinsa psyykkisiin voimiinsa suojellakseen itseään. Muinaiset ihmiset, jotka sen tekivät, ilmeisesti mallinsivat sen jostakin taivaasta laskeutuneesta. Se ampuu säteitä molemmista käsivarsista.</t>
        </is>
      </c>
    </row>
    <row r="8825" ht="33.75" customHeight="1">
      <c r="A8825" s="7">
        <v>344.0</v>
      </c>
      <c r="B8825" s="9" t="s">
        <v>14976</v>
      </c>
      <c r="C8825" s="9" t="s">
        <v>14962</v>
      </c>
      <c r="D8825" s="9" t="s">
        <v>71</v>
      </c>
      <c r="E8825" s="6" t="s">
        <v>14978</v>
      </c>
      <c r="F8825" s="9"/>
    </row>
    <row r="8826" ht="33.75" customHeight="1">
      <c r="A8826" s="7">
        <v>344.0</v>
      </c>
      <c r="B8826" s="9" t="s">
        <v>14976</v>
      </c>
      <c r="C8826" s="9" t="s">
        <v>14962</v>
      </c>
      <c r="D8826" s="9" t="s">
        <v>73</v>
      </c>
      <c r="E8826" s="6" t="s">
        <v>14979</v>
      </c>
      <c r="F8826" s="9"/>
    </row>
    <row r="8827" ht="33.75" customHeight="1">
      <c r="A8827" s="7">
        <v>344.0</v>
      </c>
      <c r="B8827" s="9" t="s">
        <v>14976</v>
      </c>
      <c r="C8827" s="9" t="s">
        <v>14962</v>
      </c>
      <c r="D8827" s="9" t="s">
        <v>75</v>
      </c>
      <c r="E8827" s="6" t="s">
        <v>14981</v>
      </c>
      <c r="F8827" s="9"/>
    </row>
    <row r="8828" ht="33.75" customHeight="1">
      <c r="A8828" s="7">
        <v>344.0</v>
      </c>
      <c r="B8828" s="9" t="s">
        <v>14976</v>
      </c>
      <c r="C8828" s="9" t="s">
        <v>14962</v>
      </c>
      <c r="D8828" s="9" t="s">
        <v>79</v>
      </c>
      <c r="E8828" s="6" t="s">
        <v>14981</v>
      </c>
      <c r="F8828" s="9"/>
    </row>
    <row r="8829" ht="33.75" customHeight="1">
      <c r="A8829" s="7">
        <v>344.0</v>
      </c>
      <c r="B8829" s="9" t="s">
        <v>14976</v>
      </c>
      <c r="C8829" s="9" t="s">
        <v>14962</v>
      </c>
      <c r="D8829" s="9" t="s">
        <v>81</v>
      </c>
      <c r="E8829" s="6" t="s">
        <v>14982</v>
      </c>
      <c r="F8829" s="9"/>
    </row>
    <row r="8830" ht="33.75" customHeight="1">
      <c r="A8830" s="7">
        <v>344.0</v>
      </c>
      <c r="B8830" s="9" t="s">
        <v>14976</v>
      </c>
      <c r="C8830" s="9" t="s">
        <v>14962</v>
      </c>
      <c r="D8830" s="9" t="s">
        <v>84</v>
      </c>
      <c r="E8830" s="6" t="s">
        <v>14982</v>
      </c>
      <c r="F8830" s="9"/>
    </row>
    <row r="8831" ht="33.75" customHeight="1">
      <c r="A8831" s="7">
        <v>344.0</v>
      </c>
      <c r="B8831" s="9" t="s">
        <v>14976</v>
      </c>
      <c r="C8831" s="9" t="s">
        <v>14962</v>
      </c>
      <c r="D8831" s="9" t="s">
        <v>87</v>
      </c>
      <c r="E8831" s="6" t="s">
        <v>14982</v>
      </c>
      <c r="F8831" s="9"/>
    </row>
    <row r="8832" ht="33.75" customHeight="1">
      <c r="A8832" s="7">
        <v>344.0</v>
      </c>
      <c r="B8832" s="9" t="s">
        <v>14976</v>
      </c>
      <c r="C8832" s="9" t="s">
        <v>14962</v>
      </c>
      <c r="D8832" s="9" t="s">
        <v>89</v>
      </c>
      <c r="E8832" s="6" t="s">
        <v>14983</v>
      </c>
      <c r="F8832" s="9"/>
    </row>
    <row r="8833" ht="33.75" customHeight="1">
      <c r="A8833" s="7">
        <v>344.0</v>
      </c>
      <c r="B8833" s="9" t="s">
        <v>14976</v>
      </c>
      <c r="C8833" s="9" t="s">
        <v>14962</v>
      </c>
      <c r="D8833" s="9" t="s">
        <v>91</v>
      </c>
      <c r="E8833" s="6" t="s">
        <v>14983</v>
      </c>
      <c r="F8833" s="9"/>
    </row>
    <row r="8834" ht="33.75" customHeight="1">
      <c r="A8834" s="7">
        <v>344.0</v>
      </c>
      <c r="B8834" s="9" t="s">
        <v>14976</v>
      </c>
      <c r="C8834" s="9" t="s">
        <v>14962</v>
      </c>
      <c r="D8834" s="9" t="s">
        <v>93</v>
      </c>
      <c r="E8834" s="6" t="s">
        <v>14982</v>
      </c>
      <c r="F8834" s="9"/>
    </row>
    <row r="8835" ht="33.75" customHeight="1">
      <c r="A8835" s="7">
        <v>344.0</v>
      </c>
      <c r="B8835" s="9" t="s">
        <v>14976</v>
      </c>
      <c r="C8835" s="9" t="s">
        <v>14962</v>
      </c>
      <c r="D8835" s="9" t="s">
        <v>95</v>
      </c>
      <c r="E8835" s="6" t="s">
        <v>14982</v>
      </c>
      <c r="F8835" s="9"/>
    </row>
    <row r="8836" ht="33.75" customHeight="1">
      <c r="A8836" s="7">
        <v>344.0</v>
      </c>
      <c r="B8836" s="9" t="s">
        <v>14976</v>
      </c>
      <c r="C8836" s="9" t="s">
        <v>14962</v>
      </c>
      <c r="D8836" s="9" t="s">
        <v>98</v>
      </c>
      <c r="E8836" s="6" t="s">
        <v>14984</v>
      </c>
      <c r="F8836" s="9"/>
    </row>
    <row r="8837" ht="33.75" customHeight="1">
      <c r="A8837" s="7">
        <v>344.0</v>
      </c>
      <c r="B8837" s="9" t="s">
        <v>14976</v>
      </c>
      <c r="C8837" s="9" t="s">
        <v>14962</v>
      </c>
      <c r="D8837" s="9" t="s">
        <v>99</v>
      </c>
      <c r="E8837" s="6" t="s">
        <v>14984</v>
      </c>
      <c r="F8837" s="9"/>
    </row>
    <row r="8838" ht="33.75" customHeight="1">
      <c r="A8838" s="7">
        <v>344.0</v>
      </c>
      <c r="B8838" s="9" t="s">
        <v>14976</v>
      </c>
      <c r="C8838" s="9" t="s">
        <v>14962</v>
      </c>
      <c r="D8838" s="9" t="s">
        <v>101</v>
      </c>
      <c r="E8838" s="6" t="s">
        <v>14982</v>
      </c>
      <c r="F8838" s="9"/>
    </row>
    <row r="8839" ht="33.75" customHeight="1">
      <c r="A8839" s="7">
        <v>344.0</v>
      </c>
      <c r="B8839" s="9" t="s">
        <v>14976</v>
      </c>
      <c r="C8839" s="9" t="s">
        <v>14962</v>
      </c>
      <c r="D8839" s="9" t="s">
        <v>105</v>
      </c>
      <c r="E8839" s="6" t="s">
        <v>14983</v>
      </c>
      <c r="F8839" s="9"/>
    </row>
    <row r="8840" ht="33.75" customHeight="1">
      <c r="A8840" s="7">
        <v>344.0</v>
      </c>
      <c r="B8840" s="9" t="s">
        <v>14976</v>
      </c>
      <c r="C8840" s="9" t="s">
        <v>14962</v>
      </c>
      <c r="D8840" s="9" t="s">
        <v>107</v>
      </c>
      <c r="E8840" s="6" t="s">
        <v>14986</v>
      </c>
      <c r="F8840" s="9"/>
    </row>
    <row r="8841" ht="33.75" customHeight="1">
      <c r="A8841" s="7">
        <v>344.0</v>
      </c>
      <c r="B8841" s="9" t="s">
        <v>14976</v>
      </c>
      <c r="C8841" s="9" t="s">
        <v>14962</v>
      </c>
      <c r="D8841" s="9" t="s">
        <v>109</v>
      </c>
      <c r="E8841" s="6" t="s">
        <v>14987</v>
      </c>
      <c r="F8841" s="9"/>
    </row>
    <row r="8842" ht="33.75" customHeight="1">
      <c r="A8842" s="7">
        <v>344.0</v>
      </c>
      <c r="B8842" s="9" t="s">
        <v>14976</v>
      </c>
      <c r="C8842" s="9" t="s">
        <v>14962</v>
      </c>
      <c r="D8842" s="9" t="s">
        <v>647</v>
      </c>
      <c r="E8842" s="6" t="s">
        <v>14988</v>
      </c>
      <c r="F8842" s="9"/>
    </row>
    <row r="8843" ht="33.75" customHeight="1">
      <c r="A8843" s="7">
        <v>344.0</v>
      </c>
      <c r="B8843" s="9" t="s">
        <v>14976</v>
      </c>
      <c r="C8843" s="9" t="s">
        <v>14962</v>
      </c>
      <c r="D8843" s="9" t="s">
        <v>652</v>
      </c>
      <c r="E8843" s="6" t="s">
        <v>14989</v>
      </c>
      <c r="F8843" s="9"/>
    </row>
    <row r="8844" ht="33.75" customHeight="1">
      <c r="A8844" s="7">
        <v>344.0</v>
      </c>
      <c r="B8844" s="9" t="s">
        <v>14976</v>
      </c>
      <c r="C8844" s="9" t="s">
        <v>14962</v>
      </c>
      <c r="D8844" s="9" t="s">
        <v>114</v>
      </c>
      <c r="E8844" s="6" t="s">
        <v>14984</v>
      </c>
      <c r="F8844" s="9"/>
    </row>
    <row r="8845" ht="33.75" customHeight="1">
      <c r="A8845" s="7">
        <v>344.0</v>
      </c>
      <c r="B8845" s="9" t="s">
        <v>14976</v>
      </c>
      <c r="C8845" s="9" t="s">
        <v>14962</v>
      </c>
      <c r="D8845" s="9" t="s">
        <v>117</v>
      </c>
      <c r="E8845" s="6" t="s">
        <v>14981</v>
      </c>
      <c r="F8845" s="9"/>
    </row>
    <row r="8846" ht="33.75" customHeight="1">
      <c r="A8846" s="7">
        <v>345.0</v>
      </c>
      <c r="B8846" s="9" t="s">
        <v>14990</v>
      </c>
      <c r="C8846" s="9" t="s">
        <v>14991</v>
      </c>
      <c r="D8846" s="9" t="s">
        <v>67</v>
      </c>
      <c r="E8846" s="6" t="s">
        <v>14992</v>
      </c>
      <c r="F8846" t="inlineStr" s="10">
        <is>
          <t xml:space="preserve">LILEEP kuoli sukupuuttoon noin sata miljoonaa vuotta sitten. Tämä muinainen POKéMON kiinnittyy merenpohjassa olevaan kiveen ja pyydystää lähestyvän saaliinsa kukka terälehtien muotoisten lonkeroiden avulla. LILEEP on muinainen POKéMON, joka on syntynyt fossiilista. Se on pysyvästi ankkuroitunut kallioon. Liikkumattomalta istuimeltaan tämä POKéMON tarkkailee saalista kahdella silmällään. Se naamioituu merileväksi heiluttamalla lonkeroitaan. Liian lähelle tuleva tietämätön saalis niellään kokonaisena. Se kuoli sukupuuttoon 100 miljoonaa vuotta sitten. Se kuoli sukupuuttoon noin 100 miljoonaa vuotta sitten. Se elpyi fossiilista edistyneiden tekniikoiden avulla. Se eli merenpohjassa 100 miljoonaa vuotta sitten ja herätettiin henkiin tieteellisesti. Se naamioi lonkeronsa kukiksi houkutellakseen ja pyydystääkseen saalista. Se kuoli sukupuuttoon muinaisina aikoina. Lileep on muinainen Pokémon, joka on uusiutunut fossiilista. Muinaisina aikoina se eli lämpimissä merissä. Se naamioitui merileväksi väijyttääkseen saalistaan ​​ja ahmi ne kokonaisina, kun ne tulivat lähelle. Se tarttuu kiviin voimakkailla imukupeillään, eikä sitä voi huuhtoa pois, olipa aalto kuinka karu tahansa. Tämä Pokémon on palautettu fossiilista. Lileep eli aikoinaan lämpimissä merissä noin 100 000 000 vuotta sitten. Lileep tarrautuu merenpohjan kiviin. Kun saalis tulee lähelle, tämä Pokémon kietoo sen terälehtimäisiin lonkeroihinsa.</t>
        </is>
      </c>
    </row>
    <row r="8847" ht="33.75" customHeight="1">
      <c r="A8847" s="7">
        <v>345.0</v>
      </c>
      <c r="B8847" s="9" t="s">
        <v>14990</v>
      </c>
      <c r="C8847" s="9" t="s">
        <v>14991</v>
      </c>
      <c r="D8847" s="9" t="s">
        <v>71</v>
      </c>
      <c r="E8847" s="6" t="s">
        <v>14993</v>
      </c>
      <c r="F8847" s="9"/>
    </row>
    <row r="8848" ht="33.75" customHeight="1">
      <c r="A8848" s="7">
        <v>345.0</v>
      </c>
      <c r="B8848" s="9" t="s">
        <v>14990</v>
      </c>
      <c r="C8848" s="9" t="s">
        <v>14991</v>
      </c>
      <c r="D8848" s="9" t="s">
        <v>73</v>
      </c>
      <c r="E8848" s="6" t="s">
        <v>14994</v>
      </c>
      <c r="F8848" s="9"/>
    </row>
    <row r="8849" ht="33.75" customHeight="1">
      <c r="A8849" s="7">
        <v>345.0</v>
      </c>
      <c r="B8849" s="9" t="s">
        <v>14990</v>
      </c>
      <c r="C8849" s="9" t="s">
        <v>14991</v>
      </c>
      <c r="D8849" s="9" t="s">
        <v>75</v>
      </c>
      <c r="E8849" s="6" t="s">
        <v>14995</v>
      </c>
      <c r="F8849" s="9"/>
    </row>
    <row r="8850" ht="33.75" customHeight="1">
      <c r="A8850" s="7">
        <v>345.0</v>
      </c>
      <c r="B8850" s="9" t="s">
        <v>14990</v>
      </c>
      <c r="C8850" s="9" t="s">
        <v>14991</v>
      </c>
      <c r="D8850" s="9" t="s">
        <v>79</v>
      </c>
      <c r="E8850" s="6" t="s">
        <v>14995</v>
      </c>
      <c r="F8850" s="9"/>
    </row>
    <row r="8851" ht="33.75" customHeight="1">
      <c r="A8851" s="7">
        <v>345.0</v>
      </c>
      <c r="B8851" s="9" t="s">
        <v>14990</v>
      </c>
      <c r="C8851" s="9" t="s">
        <v>14991</v>
      </c>
      <c r="D8851" s="9" t="s">
        <v>81</v>
      </c>
      <c r="E8851" s="6" t="s">
        <v>14996</v>
      </c>
      <c r="F8851" s="9"/>
    </row>
    <row r="8852" ht="33.75" customHeight="1">
      <c r="A8852" s="7">
        <v>345.0</v>
      </c>
      <c r="B8852" s="9" t="s">
        <v>14990</v>
      </c>
      <c r="C8852" s="9" t="s">
        <v>14991</v>
      </c>
      <c r="D8852" s="9" t="s">
        <v>84</v>
      </c>
      <c r="E8852" s="6" t="s">
        <v>14996</v>
      </c>
      <c r="F8852" s="9"/>
    </row>
    <row r="8853" ht="33.75" customHeight="1">
      <c r="A8853" s="7">
        <v>345.0</v>
      </c>
      <c r="B8853" s="9" t="s">
        <v>14990</v>
      </c>
      <c r="C8853" s="9" t="s">
        <v>14991</v>
      </c>
      <c r="D8853" s="9" t="s">
        <v>87</v>
      </c>
      <c r="E8853" s="6" t="s">
        <v>14996</v>
      </c>
      <c r="F8853" s="9"/>
    </row>
    <row r="8854" ht="33.75" customHeight="1">
      <c r="A8854" s="7">
        <v>345.0</v>
      </c>
      <c r="B8854" s="9" t="s">
        <v>14990</v>
      </c>
      <c r="C8854" s="9" t="s">
        <v>14991</v>
      </c>
      <c r="D8854" s="9" t="s">
        <v>89</v>
      </c>
      <c r="E8854" s="6" t="s">
        <v>14998</v>
      </c>
      <c r="F8854" s="9"/>
    </row>
    <row r="8855" ht="33.75" customHeight="1">
      <c r="A8855" s="7">
        <v>345.0</v>
      </c>
      <c r="B8855" s="9" t="s">
        <v>14990</v>
      </c>
      <c r="C8855" s="9" t="s">
        <v>14991</v>
      </c>
      <c r="D8855" s="9" t="s">
        <v>91</v>
      </c>
      <c r="E8855" s="6" t="s">
        <v>14998</v>
      </c>
      <c r="F8855" s="9"/>
    </row>
    <row r="8856" ht="33.75" customHeight="1">
      <c r="A8856" s="7">
        <v>345.0</v>
      </c>
      <c r="B8856" s="9" t="s">
        <v>14990</v>
      </c>
      <c r="C8856" s="9" t="s">
        <v>14991</v>
      </c>
      <c r="D8856" s="9" t="s">
        <v>93</v>
      </c>
      <c r="E8856" s="6" t="s">
        <v>14996</v>
      </c>
      <c r="F8856" s="9"/>
    </row>
    <row r="8857" ht="33.75" customHeight="1">
      <c r="A8857" s="7">
        <v>345.0</v>
      </c>
      <c r="B8857" s="9" t="s">
        <v>14990</v>
      </c>
      <c r="C8857" s="9" t="s">
        <v>14991</v>
      </c>
      <c r="D8857" s="9" t="s">
        <v>95</v>
      </c>
      <c r="E8857" s="6" t="s">
        <v>14996</v>
      </c>
      <c r="F8857" s="9"/>
    </row>
    <row r="8858" ht="33.75" customHeight="1">
      <c r="A8858" s="7">
        <v>345.0</v>
      </c>
      <c r="B8858" s="9" t="s">
        <v>14990</v>
      </c>
      <c r="C8858" s="9" t="s">
        <v>14991</v>
      </c>
      <c r="D8858" s="9" t="s">
        <v>98</v>
      </c>
      <c r="E8858" s="6" t="s">
        <v>14996</v>
      </c>
      <c r="F8858" s="9"/>
    </row>
    <row r="8859" ht="33.75" customHeight="1">
      <c r="A8859" s="7">
        <v>345.0</v>
      </c>
      <c r="B8859" s="9" t="s">
        <v>14990</v>
      </c>
      <c r="C8859" s="9" t="s">
        <v>14991</v>
      </c>
      <c r="D8859" s="9" t="s">
        <v>99</v>
      </c>
      <c r="E8859" s="6" t="s">
        <v>14996</v>
      </c>
      <c r="F8859" s="9"/>
    </row>
    <row r="8860" ht="33.75" customHeight="1">
      <c r="A8860" s="7">
        <v>345.0</v>
      </c>
      <c r="B8860" s="9" t="s">
        <v>14990</v>
      </c>
      <c r="C8860" s="9" t="s">
        <v>14991</v>
      </c>
      <c r="D8860" s="9" t="s">
        <v>101</v>
      </c>
      <c r="E8860" s="6" t="s">
        <v>14998</v>
      </c>
      <c r="F8860" s="9"/>
    </row>
    <row r="8861" ht="33.75" customHeight="1">
      <c r="A8861" s="7">
        <v>345.0</v>
      </c>
      <c r="B8861" s="9" t="s">
        <v>14990</v>
      </c>
      <c r="C8861" s="9" t="s">
        <v>14991</v>
      </c>
      <c r="D8861" s="9" t="s">
        <v>105</v>
      </c>
      <c r="E8861" s="6" t="s">
        <v>14996</v>
      </c>
      <c r="F8861" s="9"/>
    </row>
    <row r="8862" ht="33.75" customHeight="1">
      <c r="A8862" s="7">
        <v>345.0</v>
      </c>
      <c r="B8862" s="9" t="s">
        <v>14990</v>
      </c>
      <c r="C8862" s="9" t="s">
        <v>14991</v>
      </c>
      <c r="D8862" s="9" t="s">
        <v>107</v>
      </c>
      <c r="E8862" s="6" t="s">
        <v>14999</v>
      </c>
      <c r="F8862" s="9"/>
    </row>
    <row r="8863" ht="33.75" customHeight="1">
      <c r="A8863" s="7">
        <v>345.0</v>
      </c>
      <c r="B8863" s="9" t="s">
        <v>14990</v>
      </c>
      <c r="C8863" s="9" t="s">
        <v>14991</v>
      </c>
      <c r="D8863" s="9" t="s">
        <v>109</v>
      </c>
      <c r="E8863" s="6" t="s">
        <v>15000</v>
      </c>
      <c r="F8863" s="9"/>
    </row>
    <row r="8864" ht="33.75" customHeight="1">
      <c r="A8864" s="7">
        <v>345.0</v>
      </c>
      <c r="B8864" s="9" t="s">
        <v>14990</v>
      </c>
      <c r="C8864" s="9" t="s">
        <v>14991</v>
      </c>
      <c r="D8864" s="9" t="s">
        <v>647</v>
      </c>
      <c r="E8864" s="6" t="s">
        <v>15001</v>
      </c>
      <c r="F8864" s="9"/>
    </row>
    <row r="8865" ht="33.75" customHeight="1">
      <c r="A8865" s="7">
        <v>345.0</v>
      </c>
      <c r="B8865" s="9" t="s">
        <v>14990</v>
      </c>
      <c r="C8865" s="9" t="s">
        <v>14991</v>
      </c>
      <c r="D8865" s="9" t="s">
        <v>652</v>
      </c>
      <c r="E8865" s="6" t="s">
        <v>15002</v>
      </c>
      <c r="F8865" s="9"/>
    </row>
    <row r="8866" ht="33.75" customHeight="1">
      <c r="A8866" s="7">
        <v>345.0</v>
      </c>
      <c r="B8866" s="9" t="s">
        <v>14990</v>
      </c>
      <c r="C8866" s="9" t="s">
        <v>14991</v>
      </c>
      <c r="D8866" s="9" t="s">
        <v>114</v>
      </c>
      <c r="E8866" s="6" t="s">
        <v>15003</v>
      </c>
      <c r="F8866" s="9"/>
    </row>
    <row r="8867" ht="33.75" customHeight="1">
      <c r="A8867" s="7">
        <v>345.0</v>
      </c>
      <c r="B8867" s="9" t="s">
        <v>14990</v>
      </c>
      <c r="C8867" s="9" t="s">
        <v>14991</v>
      </c>
      <c r="D8867" s="9" t="s">
        <v>117</v>
      </c>
      <c r="E8867" s="6" t="s">
        <v>15004</v>
      </c>
      <c r="F8867" s="9"/>
    </row>
    <row r="8868" ht="33.75" customHeight="1">
      <c r="A8868" s="7">
        <v>346.0</v>
      </c>
      <c r="B8868" s="9" t="s">
        <v>15005</v>
      </c>
      <c r="C8868" s="9" t="s">
        <v>15006</v>
      </c>
      <c r="D8868" s="9" t="s">
        <v>67</v>
      </c>
      <c r="E8868" s="6" t="s">
        <v>15007</v>
      </c>
      <c r="F8868" t="inlineStr" s="10">
        <is>
          <t xml:space="preserve">CRADILY vaeltelee merenpohjassa etsien ruokaa. Tämä POKéMON ojentaa vapaasti puunrunkoa muistuttavaa kaulaansa ja pyydystää varomattoman saaliin kahdeksalla lonkerollaan. CRADILYn keho toimii ankkurina estäen sitä huuhtoutumasta mennessään kovassa merenkäynnissä. Tämä POKéMON erittää vahvaa ruoansulatusnestettä lonkeroistaan. Se raahaa raskasta ruumistaan ​​merenpohjaa pitkin. Se tekee pesänsä lämpimien merien matalikkoihin. CRADILYä voi nähdä rannoilla laskuveden aikaan. Se kietoo saaliinsa ansaan kahdeksalla lonkerollaan. Sitten se sulattaa saaliin vahvalla hapolla ennen syömistä. Se elää lämpimien merien matalikoissa. Kun vuorovesi laskee, se kaivaa saalista rannoilta. Se elää lämpimissä merissä. Sen raskas ruumis painaa sitä, joten se ei huuhtoudu pois kovassa säässä. Cradilyn ruumis toimii ankkurina estäen sitä huuhtoutumasta mennessään kovassa merenkäynnissä. Normaalisti se eli matalilla meren matalikoilla. Kun vuorovesi laski, tämä Pokémon nousi maihin etsimään saalista. Tämä lihansyöjä-Pokémon eli alkukantaisissa merissä. Se pyydystää saalista kahdeksalla lonkerollaan ja liuottaa ne ruoansulatusnesteeseen syödessään. Sillä on lyhyet jalat eikä se pysty kävelemään kovin nopeasti, mutta sen kaula ja lonkerot voivat ulottua yli kolminkertaisiksi tavallisiin pituuksiinsa napatakseen kaukaisen saaliin. Kun Cradily nappaa saaliin lonkeroihinsa, se sulattaa sen kokonaisena ja imee sen ravintoaineet.</t>
        </is>
      </c>
    </row>
    <row r="8869" ht="33.75" customHeight="1">
      <c r="A8869" s="7">
        <v>346.0</v>
      </c>
      <c r="B8869" s="9" t="s">
        <v>15005</v>
      </c>
      <c r="C8869" s="9" t="s">
        <v>15006</v>
      </c>
      <c r="D8869" s="9" t="s">
        <v>71</v>
      </c>
      <c r="E8869" s="6" t="s">
        <v>15008</v>
      </c>
      <c r="F8869" s="9"/>
    </row>
    <row r="8870" ht="33.75" customHeight="1">
      <c r="A8870" s="7">
        <v>346.0</v>
      </c>
      <c r="B8870" s="9" t="s">
        <v>15005</v>
      </c>
      <c r="C8870" s="9" t="s">
        <v>15006</v>
      </c>
      <c r="D8870" s="9" t="s">
        <v>73</v>
      </c>
      <c r="E8870" s="6" t="s">
        <v>15009</v>
      </c>
      <c r="F8870" s="9"/>
    </row>
    <row r="8871" ht="33.75" customHeight="1">
      <c r="A8871" s="7">
        <v>346.0</v>
      </c>
      <c r="B8871" s="9" t="s">
        <v>15005</v>
      </c>
      <c r="C8871" s="9" t="s">
        <v>15006</v>
      </c>
      <c r="D8871" s="9" t="s">
        <v>75</v>
      </c>
      <c r="E8871" s="6" t="s">
        <v>15010</v>
      </c>
      <c r="F8871" s="9"/>
    </row>
    <row r="8872" ht="33.75" customHeight="1">
      <c r="A8872" s="7">
        <v>346.0</v>
      </c>
      <c r="B8872" s="9" t="s">
        <v>15005</v>
      </c>
      <c r="C8872" s="9" t="s">
        <v>15006</v>
      </c>
      <c r="D8872" s="9" t="s">
        <v>79</v>
      </c>
      <c r="E8872" s="6" t="s">
        <v>15010</v>
      </c>
      <c r="F8872" s="9"/>
    </row>
    <row r="8873" ht="33.75" customHeight="1">
      <c r="A8873" s="7">
        <v>346.0</v>
      </c>
      <c r="B8873" s="9" t="s">
        <v>15005</v>
      </c>
      <c r="C8873" s="9" t="s">
        <v>15006</v>
      </c>
      <c r="D8873" s="9" t="s">
        <v>81</v>
      </c>
      <c r="E8873" s="6" t="s">
        <v>15011</v>
      </c>
      <c r="F8873" s="9"/>
    </row>
    <row r="8874" ht="33.75" customHeight="1">
      <c r="A8874" s="7">
        <v>346.0</v>
      </c>
      <c r="B8874" s="9" t="s">
        <v>15005</v>
      </c>
      <c r="C8874" s="9" t="s">
        <v>15006</v>
      </c>
      <c r="D8874" s="9" t="s">
        <v>84</v>
      </c>
      <c r="E8874" s="6" t="s">
        <v>15011</v>
      </c>
      <c r="F8874" s="9"/>
    </row>
    <row r="8875" ht="33.75" customHeight="1">
      <c r="A8875" s="7">
        <v>346.0</v>
      </c>
      <c r="B8875" s="9" t="s">
        <v>15005</v>
      </c>
      <c r="C8875" s="9" t="s">
        <v>15006</v>
      </c>
      <c r="D8875" s="9" t="s">
        <v>87</v>
      </c>
      <c r="E8875" s="6" t="s">
        <v>15011</v>
      </c>
      <c r="F8875" s="9"/>
    </row>
    <row r="8876" ht="33.75" customHeight="1">
      <c r="A8876" s="7">
        <v>346.0</v>
      </c>
      <c r="B8876" s="9" t="s">
        <v>15005</v>
      </c>
      <c r="C8876" s="9" t="s">
        <v>15006</v>
      </c>
      <c r="D8876" s="9" t="s">
        <v>89</v>
      </c>
      <c r="E8876" s="6" t="s">
        <v>15013</v>
      </c>
      <c r="F8876" s="9"/>
    </row>
    <row r="8877" ht="33.75" customHeight="1">
      <c r="A8877" s="7">
        <v>346.0</v>
      </c>
      <c r="B8877" s="9" t="s">
        <v>15005</v>
      </c>
      <c r="C8877" s="9" t="s">
        <v>15006</v>
      </c>
      <c r="D8877" s="9" t="s">
        <v>91</v>
      </c>
      <c r="E8877" s="6" t="s">
        <v>15013</v>
      </c>
      <c r="F8877" s="9"/>
    </row>
    <row r="8878" ht="33.75" customHeight="1">
      <c r="A8878" s="7">
        <v>346.0</v>
      </c>
      <c r="B8878" s="9" t="s">
        <v>15005</v>
      </c>
      <c r="C8878" s="9" t="s">
        <v>15006</v>
      </c>
      <c r="D8878" s="9" t="s">
        <v>93</v>
      </c>
      <c r="E8878" s="6" t="s">
        <v>15011</v>
      </c>
      <c r="F8878" s="9"/>
    </row>
    <row r="8879" ht="33.75" customHeight="1">
      <c r="A8879" s="7">
        <v>346.0</v>
      </c>
      <c r="B8879" s="9" t="s">
        <v>15005</v>
      </c>
      <c r="C8879" s="9" t="s">
        <v>15006</v>
      </c>
      <c r="D8879" s="9" t="s">
        <v>95</v>
      </c>
      <c r="E8879" s="6" t="s">
        <v>15011</v>
      </c>
      <c r="F8879" s="9"/>
    </row>
    <row r="8880" ht="33.75" customHeight="1">
      <c r="A8880" s="7">
        <v>346.0</v>
      </c>
      <c r="B8880" s="9" t="s">
        <v>15005</v>
      </c>
      <c r="C8880" s="9" t="s">
        <v>15006</v>
      </c>
      <c r="D8880" s="9" t="s">
        <v>98</v>
      </c>
      <c r="E8880" s="6" t="s">
        <v>15011</v>
      </c>
      <c r="F8880" s="9"/>
    </row>
    <row r="8881" ht="33.75" customHeight="1">
      <c r="A8881" s="7">
        <v>346.0</v>
      </c>
      <c r="B8881" s="9" t="s">
        <v>15005</v>
      </c>
      <c r="C8881" s="9" t="s">
        <v>15006</v>
      </c>
      <c r="D8881" s="9" t="s">
        <v>99</v>
      </c>
      <c r="E8881" s="6" t="s">
        <v>15011</v>
      </c>
      <c r="F8881" s="9"/>
    </row>
    <row r="8882" ht="33.75" customHeight="1">
      <c r="A8882" s="7">
        <v>346.0</v>
      </c>
      <c r="B8882" s="9" t="s">
        <v>15005</v>
      </c>
      <c r="C8882" s="9" t="s">
        <v>15006</v>
      </c>
      <c r="D8882" s="9" t="s">
        <v>101</v>
      </c>
      <c r="E8882" s="6" t="s">
        <v>15011</v>
      </c>
      <c r="F8882" s="9"/>
    </row>
    <row r="8883" ht="33.75" customHeight="1">
      <c r="A8883" s="7">
        <v>346.0</v>
      </c>
      <c r="B8883" s="9" t="s">
        <v>15005</v>
      </c>
      <c r="C8883" s="9" t="s">
        <v>15006</v>
      </c>
      <c r="D8883" s="9" t="s">
        <v>105</v>
      </c>
      <c r="E8883" s="6" t="s">
        <v>15010</v>
      </c>
      <c r="F8883" s="9"/>
    </row>
    <row r="8884" ht="33.75" customHeight="1">
      <c r="A8884" s="7">
        <v>346.0</v>
      </c>
      <c r="B8884" s="9" t="s">
        <v>15005</v>
      </c>
      <c r="C8884" s="9" t="s">
        <v>15006</v>
      </c>
      <c r="D8884" s="9" t="s">
        <v>107</v>
      </c>
      <c r="E8884" s="6" t="s">
        <v>15014</v>
      </c>
      <c r="F8884" s="9"/>
    </row>
    <row r="8885" ht="33.75" customHeight="1">
      <c r="A8885" s="7">
        <v>346.0</v>
      </c>
      <c r="B8885" s="9" t="s">
        <v>15005</v>
      </c>
      <c r="C8885" s="9" t="s">
        <v>15006</v>
      </c>
      <c r="D8885" s="9" t="s">
        <v>109</v>
      </c>
      <c r="E8885" s="6" t="s">
        <v>15015</v>
      </c>
      <c r="F8885" s="9"/>
    </row>
    <row r="8886" ht="33.75" customHeight="1">
      <c r="A8886" s="7">
        <v>346.0</v>
      </c>
      <c r="B8886" s="9" t="s">
        <v>15005</v>
      </c>
      <c r="C8886" s="9" t="s">
        <v>15006</v>
      </c>
      <c r="D8886" s="9" t="s">
        <v>647</v>
      </c>
      <c r="E8886" s="6" t="s">
        <v>15016</v>
      </c>
      <c r="F8886" s="9"/>
    </row>
    <row r="8887" ht="33.75" customHeight="1">
      <c r="A8887" s="7">
        <v>346.0</v>
      </c>
      <c r="B8887" s="9" t="s">
        <v>15005</v>
      </c>
      <c r="C8887" s="9" t="s">
        <v>15006</v>
      </c>
      <c r="D8887" s="9" t="s">
        <v>652</v>
      </c>
      <c r="E8887" s="6" t="s">
        <v>15017</v>
      </c>
      <c r="F8887" s="9"/>
    </row>
    <row r="8888" ht="33.75" customHeight="1">
      <c r="A8888" s="7">
        <v>346.0</v>
      </c>
      <c r="B8888" s="9" t="s">
        <v>15005</v>
      </c>
      <c r="C8888" s="9" t="s">
        <v>15006</v>
      </c>
      <c r="D8888" s="9" t="s">
        <v>114</v>
      </c>
      <c r="E8888" s="6" t="s">
        <v>15018</v>
      </c>
      <c r="F8888" s="9"/>
    </row>
    <row r="8889" ht="33.75" customHeight="1">
      <c r="A8889" s="7">
        <v>346.0</v>
      </c>
      <c r="B8889" s="9" t="s">
        <v>15005</v>
      </c>
      <c r="C8889" s="9" t="s">
        <v>15006</v>
      </c>
      <c r="D8889" s="9" t="s">
        <v>117</v>
      </c>
      <c r="E8889" s="6" t="s">
        <v>15019</v>
      </c>
      <c r="F8889" s="9"/>
    </row>
    <row r="8890" ht="33.75" customHeight="1">
      <c r="A8890" s="7">
        <v>347.0</v>
      </c>
      <c r="B8890" s="9" t="s">
        <v>15020</v>
      </c>
      <c r="C8890" s="9" t="s">
        <v>15021</v>
      </c>
      <c r="D8890" s="9" t="s">
        <v>67</v>
      </c>
      <c r="E8890" s="6" t="s">
        <v>15022</v>
      </c>
      <c r="F8890" t="inlineStr" s="10">
        <is>
          <t xml:space="preserve">ANORITH luotiin uudelleen esihistoriallisesta fossiilista. Tämä alkukantainen POKéMON eli aikoinaan lämpimissä merissä. Se puristaa saalistaan ​​tiukasti kahden suuren kyntensä välissä. ANORITHin sanotaan olevan eräänlainen POKéMONien edeltäjä, jolla on kahdeksan siipeä kehonsa sivuilla. Tämä POKéMON ui alkukantaisessa meressä aaltoilemalla näitä kahdeksaa siipeä. Se herätettiin fossiilista tieteen voimalla. Se ui aaltoilemalla kahdeksaa siipeään pitkin. Ne olivat jalat, jotka sopeutuivat elämään meressä. Se on eräänlainen POKéMONien kantamuoto. Se käyttää ojentuvia kynsiään pyydystääkseen merenpohjan kivien seassa piileskelevää saalista. Fossiilista herätetty Pokémonin esi-isä. Se eli meressä ja metsästi kynsillään. Meressä elänyt esi-isä-Pokémon. Ajan myötä sen kahdeksan jalkaa muuttuivat siiviksi. Se on eräänlainen Pokémonin kantamuoto. Anorith syntyi esihistoriallisesta fossiilista. Anorithin sanotaan olevan eräänlainen Pokémonin edeltäjä, jolla on kahdeksan siipeä kehonsa sivuilla. Kun ennallistetut anorithit päästetään mereen, ne eivät viihdy, koska veden koostumus on muuttunut niiden aikakaudesta. Tämä on eräänlainen alkukantainen ötökkä-Pokémon. Kahdeksan siiven ansiosta se kykeni ilmeisesti uimaan paljon nopeammin kuin voisi odottaa. Tämä Pokémon on palautettu fossiilista. Anorith eli meressä noin 100 000 000 vuotta sitten metsästäen kynsillään. Anorith voi uida nopeasti vetämällä kahdeksaa siipeään vedessä kuin airoja veneessä. Tämä Pokémon on nykyaikaisten ötökkä-Pokémonien esi-isä.</t>
        </is>
      </c>
    </row>
    <row r="8891" ht="33.75" customHeight="1">
      <c r="A8891" s="7">
        <v>347.0</v>
      </c>
      <c r="B8891" s="9" t="s">
        <v>15020</v>
      </c>
      <c r="C8891" s="9" t="s">
        <v>15021</v>
      </c>
      <c r="D8891" s="9" t="s">
        <v>71</v>
      </c>
      <c r="E8891" s="6" t="s">
        <v>15023</v>
      </c>
      <c r="F8891" s="9"/>
    </row>
    <row r="8892" ht="33.75" customHeight="1">
      <c r="A8892" s="7">
        <v>347.0</v>
      </c>
      <c r="B8892" s="9" t="s">
        <v>15020</v>
      </c>
      <c r="C8892" s="9" t="s">
        <v>15021</v>
      </c>
      <c r="D8892" s="9" t="s">
        <v>73</v>
      </c>
      <c r="E8892" s="6" t="s">
        <v>15024</v>
      </c>
      <c r="F8892" s="9"/>
    </row>
    <row r="8893" ht="33.75" customHeight="1">
      <c r="A8893" s="7">
        <v>347.0</v>
      </c>
      <c r="B8893" s="9" t="s">
        <v>15020</v>
      </c>
      <c r="C8893" s="9" t="s">
        <v>15021</v>
      </c>
      <c r="D8893" s="9" t="s">
        <v>75</v>
      </c>
      <c r="E8893" s="6" t="s">
        <v>15025</v>
      </c>
      <c r="F8893" s="9"/>
    </row>
    <row r="8894" ht="33.75" customHeight="1">
      <c r="A8894" s="7">
        <v>347.0</v>
      </c>
      <c r="B8894" s="9" t="s">
        <v>15020</v>
      </c>
      <c r="C8894" s="9" t="s">
        <v>15021</v>
      </c>
      <c r="D8894" s="9" t="s">
        <v>79</v>
      </c>
      <c r="E8894" s="6" t="s">
        <v>15025</v>
      </c>
      <c r="F8894" s="9"/>
    </row>
    <row r="8895" ht="33.75" customHeight="1">
      <c r="A8895" s="7">
        <v>347.0</v>
      </c>
      <c r="B8895" s="9" t="s">
        <v>15020</v>
      </c>
      <c r="C8895" s="9" t="s">
        <v>15021</v>
      </c>
      <c r="D8895" s="9" t="s">
        <v>81</v>
      </c>
      <c r="E8895" s="6" t="s">
        <v>15027</v>
      </c>
      <c r="F8895" s="9"/>
    </row>
    <row r="8896" ht="33.75" customHeight="1">
      <c r="A8896" s="7">
        <v>347.0</v>
      </c>
      <c r="B8896" s="9" t="s">
        <v>15020</v>
      </c>
      <c r="C8896" s="9" t="s">
        <v>15021</v>
      </c>
      <c r="D8896" s="9" t="s">
        <v>84</v>
      </c>
      <c r="E8896" s="6" t="s">
        <v>15027</v>
      </c>
      <c r="F8896" s="9"/>
    </row>
    <row r="8897" ht="33.75" customHeight="1">
      <c r="A8897" s="7">
        <v>347.0</v>
      </c>
      <c r="B8897" s="9" t="s">
        <v>15020</v>
      </c>
      <c r="C8897" s="9" t="s">
        <v>15021</v>
      </c>
      <c r="D8897" s="9" t="s">
        <v>87</v>
      </c>
      <c r="E8897" s="6" t="s">
        <v>15027</v>
      </c>
      <c r="F8897" s="9"/>
    </row>
    <row r="8898" ht="33.75" customHeight="1">
      <c r="A8898" s="7">
        <v>347.0</v>
      </c>
      <c r="B8898" s="9" t="s">
        <v>15020</v>
      </c>
      <c r="C8898" s="9" t="s">
        <v>15021</v>
      </c>
      <c r="D8898" s="9" t="s">
        <v>89</v>
      </c>
      <c r="E8898" s="6" t="s">
        <v>15028</v>
      </c>
      <c r="F8898" s="9"/>
    </row>
    <row r="8899" ht="33.75" customHeight="1">
      <c r="A8899" s="7">
        <v>347.0</v>
      </c>
      <c r="B8899" s="9" t="s">
        <v>15020</v>
      </c>
      <c r="C8899" s="9" t="s">
        <v>15021</v>
      </c>
      <c r="D8899" s="9" t="s">
        <v>91</v>
      </c>
      <c r="E8899" s="6" t="s">
        <v>15028</v>
      </c>
      <c r="F8899" s="9"/>
    </row>
    <row r="8900" ht="33.75" customHeight="1">
      <c r="A8900" s="7">
        <v>347.0</v>
      </c>
      <c r="B8900" s="9" t="s">
        <v>15020</v>
      </c>
      <c r="C8900" s="9" t="s">
        <v>15021</v>
      </c>
      <c r="D8900" s="9" t="s">
        <v>93</v>
      </c>
      <c r="E8900" s="6" t="s">
        <v>15027</v>
      </c>
      <c r="F8900" s="9"/>
    </row>
    <row r="8901" ht="33.75" customHeight="1">
      <c r="A8901" s="7">
        <v>347.0</v>
      </c>
      <c r="B8901" s="9" t="s">
        <v>15020</v>
      </c>
      <c r="C8901" s="9" t="s">
        <v>15021</v>
      </c>
      <c r="D8901" s="9" t="s">
        <v>95</v>
      </c>
      <c r="E8901" s="6" t="s">
        <v>15027</v>
      </c>
      <c r="F8901" s="9"/>
    </row>
    <row r="8902" ht="33.75" customHeight="1">
      <c r="A8902" s="7">
        <v>347.0</v>
      </c>
      <c r="B8902" s="9" t="s">
        <v>15020</v>
      </c>
      <c r="C8902" s="9" t="s">
        <v>15021</v>
      </c>
      <c r="D8902" s="9" t="s">
        <v>98</v>
      </c>
      <c r="E8902" s="6" t="s">
        <v>15027</v>
      </c>
      <c r="F8902" s="9"/>
    </row>
    <row r="8903" ht="33.75" customHeight="1">
      <c r="A8903" s="7">
        <v>347.0</v>
      </c>
      <c r="B8903" s="9" t="s">
        <v>15020</v>
      </c>
      <c r="C8903" s="9" t="s">
        <v>15021</v>
      </c>
      <c r="D8903" s="9" t="s">
        <v>99</v>
      </c>
      <c r="E8903" s="6" t="s">
        <v>15027</v>
      </c>
      <c r="F8903" s="9"/>
    </row>
    <row r="8904" ht="33.75" customHeight="1">
      <c r="A8904" s="7">
        <v>347.0</v>
      </c>
      <c r="B8904" s="9" t="s">
        <v>15020</v>
      </c>
      <c r="C8904" s="9" t="s">
        <v>15021</v>
      </c>
      <c r="D8904" s="9" t="s">
        <v>101</v>
      </c>
      <c r="E8904" s="6" t="s">
        <v>15029</v>
      </c>
      <c r="F8904" s="9"/>
    </row>
    <row r="8905" ht="33.75" customHeight="1">
      <c r="A8905" s="7">
        <v>347.0</v>
      </c>
      <c r="B8905" s="9" t="s">
        <v>15020</v>
      </c>
      <c r="C8905" s="9" t="s">
        <v>15021</v>
      </c>
      <c r="D8905" s="9" t="s">
        <v>105</v>
      </c>
      <c r="E8905" s="6" t="s">
        <v>15027</v>
      </c>
      <c r="F8905" s="9"/>
    </row>
    <row r="8906" ht="33.75" customHeight="1">
      <c r="A8906" s="7">
        <v>347.0</v>
      </c>
      <c r="B8906" s="9" t="s">
        <v>15020</v>
      </c>
      <c r="C8906" s="9" t="s">
        <v>15021</v>
      </c>
      <c r="D8906" s="9" t="s">
        <v>107</v>
      </c>
      <c r="E8906" s="6" t="s">
        <v>15030</v>
      </c>
      <c r="F8906" s="9"/>
    </row>
    <row r="8907" ht="33.75" customHeight="1">
      <c r="A8907" s="7">
        <v>347.0</v>
      </c>
      <c r="B8907" s="9" t="s">
        <v>15020</v>
      </c>
      <c r="C8907" s="9" t="s">
        <v>15021</v>
      </c>
      <c r="D8907" s="9" t="s">
        <v>109</v>
      </c>
      <c r="E8907" s="6" t="s">
        <v>15031</v>
      </c>
      <c r="F8907" s="9"/>
    </row>
    <row r="8908" ht="33.75" customHeight="1">
      <c r="A8908" s="7">
        <v>347.0</v>
      </c>
      <c r="B8908" s="9" t="s">
        <v>15020</v>
      </c>
      <c r="C8908" s="9" t="s">
        <v>15021</v>
      </c>
      <c r="D8908" s="9" t="s">
        <v>647</v>
      </c>
      <c r="E8908" s="6" t="s">
        <v>15032</v>
      </c>
      <c r="F8908" s="9"/>
    </row>
    <row r="8909" ht="33.75" customHeight="1">
      <c r="A8909" s="7">
        <v>347.0</v>
      </c>
      <c r="B8909" s="9" t="s">
        <v>15020</v>
      </c>
      <c r="C8909" s="9" t="s">
        <v>15021</v>
      </c>
      <c r="D8909" s="9" t="s">
        <v>652</v>
      </c>
      <c r="E8909" s="6" t="s">
        <v>15033</v>
      </c>
      <c r="F8909" s="9"/>
    </row>
    <row r="8910" ht="33.75" customHeight="1">
      <c r="A8910" s="7">
        <v>347.0</v>
      </c>
      <c r="B8910" s="9" t="s">
        <v>15020</v>
      </c>
      <c r="C8910" s="9" t="s">
        <v>15021</v>
      </c>
      <c r="D8910" s="9" t="s">
        <v>114</v>
      </c>
      <c r="E8910" s="6" t="s">
        <v>15034</v>
      </c>
      <c r="F8910" s="9"/>
    </row>
    <row r="8911" ht="33.75" customHeight="1">
      <c r="A8911" s="7">
        <v>347.0</v>
      </c>
      <c r="B8911" s="9" t="s">
        <v>15020</v>
      </c>
      <c r="C8911" s="9" t="s">
        <v>15021</v>
      </c>
      <c r="D8911" s="9" t="s">
        <v>117</v>
      </c>
      <c r="E8911" s="6" t="s">
        <v>15035</v>
      </c>
      <c r="F8911" s="9"/>
    </row>
    <row r="8912" ht="33.75" customHeight="1">
      <c r="A8912" s="7">
        <v>348.0</v>
      </c>
      <c r="B8912" s="9" t="s">
        <v>15036</v>
      </c>
      <c r="C8912" s="9" t="s">
        <v>15037</v>
      </c>
      <c r="D8912" s="9" t="s">
        <v>67</v>
      </c>
      <c r="E8912" s="6" t="s">
        <v>15038</v>
      </c>
      <c r="F8912" t="inlineStr" s="10">
        <is>
          <t xml:space="preserve">ARMALDOn kestävä haarniska saa kaikki hyökkäykset kimpoamaan takaisin. Tämän POKéMONin kahta valtavaa kynttä voi vapaasti ojentaa tai supistaa. Niillä on voima lävistää teräslaatta. ARMALDO on POKéMON-laji, joka kuoli sukupuuttoon esihistoriallisella ajalla. Tämän POKéMONin sanotaan kävelleen takajaloillaan, mikä olisi ollut kätevämpää maalla elämiseen. ARMALDO elää yleensä maalla. Saalista metsästäessään se kuitenkin sukeltaa merenpinnan alle. Se ui ympäriinsä käyttäen kahta suurta siipeään. Kovan kuoren suojaama ruumis on erittäin tukeva. Se vartaa saaliin kynsillään ravinnokseen. Se nousi maihin kehittymisen jälkeen. Koko sen ruumis on verhottu tukevaan panssariin. Sen valtavat, sisäänvedettävät kynnet voivat leikata lähes mitä tahansa. Koko sen ruumis on verhottu tukevilla levyillä. Armaldon kova haarniska saa kaikki hyökkäykset kimpoamaan takaisin. Armaldo on Pokémon-laji, joka kuoli sukupuuttoon esihistoriallisina aikoina. Se eli maalla ja meni mereen metsästämään saalista. Sen terävät kynnet olivat sen paras ase. Armaldo sopeutui elämästä vedessä maalla elämään. On määritetty, että se on jonkin ötökkä-Pokémonin esi-isä. Evoluution jälkeen tämä Pokémon ilmestyi maalle. Sen alavartaloon vahvistunut ja sen pyrstön iskut ovat tuhoisia. Vaikka se elää maalla, se on myös hyvä uimari. Se sukeltaa mereen etsimään saalista ja käyttää teräviä kynsiään saaliinsa kaatamiseen.</t>
        </is>
      </c>
    </row>
    <row r="8913" ht="33.75" customHeight="1">
      <c r="A8913" s="7">
        <v>348.0</v>
      </c>
      <c r="B8913" s="9" t="s">
        <v>15036</v>
      </c>
      <c r="C8913" s="9" t="s">
        <v>15037</v>
      </c>
      <c r="D8913" s="9" t="s">
        <v>71</v>
      </c>
      <c r="E8913" s="6" t="s">
        <v>15039</v>
      </c>
      <c r="F8913" s="9"/>
    </row>
    <row r="8914" ht="33.75" customHeight="1">
      <c r="A8914" s="7">
        <v>348.0</v>
      </c>
      <c r="B8914" s="9" t="s">
        <v>15036</v>
      </c>
      <c r="C8914" s="9" t="s">
        <v>15037</v>
      </c>
      <c r="D8914" s="9" t="s">
        <v>73</v>
      </c>
      <c r="E8914" s="6" t="s">
        <v>15040</v>
      </c>
      <c r="F8914" s="9"/>
    </row>
    <row r="8915" ht="33.75" customHeight="1">
      <c r="A8915" s="7">
        <v>348.0</v>
      </c>
      <c r="B8915" s="9" t="s">
        <v>15036</v>
      </c>
      <c r="C8915" s="9" t="s">
        <v>15037</v>
      </c>
      <c r="D8915" s="9" t="s">
        <v>75</v>
      </c>
      <c r="E8915" s="6" t="s">
        <v>15041</v>
      </c>
      <c r="F8915" s="9"/>
    </row>
    <row r="8916" ht="33.75" customHeight="1">
      <c r="A8916" s="7">
        <v>348.0</v>
      </c>
      <c r="B8916" s="9" t="s">
        <v>15036</v>
      </c>
      <c r="C8916" s="9" t="s">
        <v>15037</v>
      </c>
      <c r="D8916" s="9" t="s">
        <v>79</v>
      </c>
      <c r="E8916" s="6" t="s">
        <v>15041</v>
      </c>
      <c r="F8916" s="9"/>
    </row>
    <row r="8917" ht="33.75" customHeight="1">
      <c r="A8917" s="7">
        <v>348.0</v>
      </c>
      <c r="B8917" s="9" t="s">
        <v>15036</v>
      </c>
      <c r="C8917" s="9" t="s">
        <v>15037</v>
      </c>
      <c r="D8917" s="9" t="s">
        <v>81</v>
      </c>
      <c r="E8917" s="6" t="s">
        <v>15043</v>
      </c>
      <c r="F8917" s="9"/>
    </row>
    <row r="8918" ht="33.75" customHeight="1">
      <c r="A8918" s="7">
        <v>348.0</v>
      </c>
      <c r="B8918" s="9" t="s">
        <v>15036</v>
      </c>
      <c r="C8918" s="9" t="s">
        <v>15037</v>
      </c>
      <c r="D8918" s="9" t="s">
        <v>84</v>
      </c>
      <c r="E8918" s="6" t="s">
        <v>15043</v>
      </c>
      <c r="F8918" s="9"/>
    </row>
    <row r="8919" ht="33.75" customHeight="1">
      <c r="A8919" s="7">
        <v>348.0</v>
      </c>
      <c r="B8919" s="9" t="s">
        <v>15036</v>
      </c>
      <c r="C8919" s="9" t="s">
        <v>15037</v>
      </c>
      <c r="D8919" s="9" t="s">
        <v>87</v>
      </c>
      <c r="E8919" s="6" t="s">
        <v>15043</v>
      </c>
      <c r="F8919" s="9"/>
    </row>
    <row r="8920" ht="33.75" customHeight="1">
      <c r="A8920" s="7">
        <v>348.0</v>
      </c>
      <c r="B8920" s="9" t="s">
        <v>15036</v>
      </c>
      <c r="C8920" s="9" t="s">
        <v>15037</v>
      </c>
      <c r="D8920" s="9" t="s">
        <v>89</v>
      </c>
      <c r="E8920" s="6" t="s">
        <v>15044</v>
      </c>
      <c r="F8920" s="9"/>
    </row>
    <row r="8921" ht="33.75" customHeight="1">
      <c r="A8921" s="7">
        <v>348.0</v>
      </c>
      <c r="B8921" s="9" t="s">
        <v>15036</v>
      </c>
      <c r="C8921" s="9" t="s">
        <v>15037</v>
      </c>
      <c r="D8921" s="9" t="s">
        <v>91</v>
      </c>
      <c r="E8921" s="6" t="s">
        <v>15044</v>
      </c>
      <c r="F8921" s="9"/>
    </row>
    <row r="8922" ht="33.75" customHeight="1">
      <c r="A8922" s="7">
        <v>348.0</v>
      </c>
      <c r="B8922" s="9" t="s">
        <v>15036</v>
      </c>
      <c r="C8922" s="9" t="s">
        <v>15037</v>
      </c>
      <c r="D8922" s="9" t="s">
        <v>93</v>
      </c>
      <c r="E8922" s="6" t="s">
        <v>15043</v>
      </c>
      <c r="F8922" s="9"/>
    </row>
    <row r="8923" ht="33.75" customHeight="1">
      <c r="A8923" s="7">
        <v>348.0</v>
      </c>
      <c r="B8923" s="9" t="s">
        <v>15036</v>
      </c>
      <c r="C8923" s="9" t="s">
        <v>15037</v>
      </c>
      <c r="D8923" s="9" t="s">
        <v>95</v>
      </c>
      <c r="E8923" s="6" t="s">
        <v>15043</v>
      </c>
      <c r="F8923" s="9"/>
    </row>
    <row r="8924" ht="33.75" customHeight="1">
      <c r="A8924" s="7">
        <v>348.0</v>
      </c>
      <c r="B8924" s="9" t="s">
        <v>15036</v>
      </c>
      <c r="C8924" s="9" t="s">
        <v>15037</v>
      </c>
      <c r="D8924" s="9" t="s">
        <v>98</v>
      </c>
      <c r="E8924" s="6" t="s">
        <v>15043</v>
      </c>
      <c r="F8924" s="9"/>
    </row>
    <row r="8925" ht="33.75" customHeight="1">
      <c r="A8925" s="7">
        <v>348.0</v>
      </c>
      <c r="B8925" s="9" t="s">
        <v>15036</v>
      </c>
      <c r="C8925" s="9" t="s">
        <v>15037</v>
      </c>
      <c r="D8925" s="9" t="s">
        <v>99</v>
      </c>
      <c r="E8925" s="6" t="s">
        <v>15043</v>
      </c>
      <c r="F8925" s="9"/>
    </row>
    <row r="8926" ht="33.75" customHeight="1">
      <c r="A8926" s="7">
        <v>348.0</v>
      </c>
      <c r="B8926" s="9" t="s">
        <v>15036</v>
      </c>
      <c r="C8926" s="9" t="s">
        <v>15037</v>
      </c>
      <c r="D8926" s="9" t="s">
        <v>101</v>
      </c>
      <c r="E8926" s="6" t="s">
        <v>15044</v>
      </c>
      <c r="F8926" s="9"/>
    </row>
    <row r="8927" ht="33.75" customHeight="1">
      <c r="A8927" s="7">
        <v>348.0</v>
      </c>
      <c r="B8927" s="9" t="s">
        <v>15036</v>
      </c>
      <c r="C8927" s="9" t="s">
        <v>15037</v>
      </c>
      <c r="D8927" s="9" t="s">
        <v>105</v>
      </c>
      <c r="E8927" s="6" t="s">
        <v>15041</v>
      </c>
      <c r="F8927" s="9"/>
    </row>
    <row r="8928" ht="33.75" customHeight="1">
      <c r="A8928" s="7">
        <v>348.0</v>
      </c>
      <c r="B8928" s="9" t="s">
        <v>15036</v>
      </c>
      <c r="C8928" s="9" t="s">
        <v>15037</v>
      </c>
      <c r="D8928" s="9" t="s">
        <v>107</v>
      </c>
      <c r="E8928" s="6" t="s">
        <v>15045</v>
      </c>
      <c r="F8928" s="9"/>
    </row>
    <row r="8929" ht="33.75" customHeight="1">
      <c r="A8929" s="7">
        <v>348.0</v>
      </c>
      <c r="B8929" s="9" t="s">
        <v>15036</v>
      </c>
      <c r="C8929" s="9" t="s">
        <v>15037</v>
      </c>
      <c r="D8929" s="9" t="s">
        <v>109</v>
      </c>
      <c r="E8929" s="6" t="s">
        <v>15046</v>
      </c>
      <c r="F8929" s="9"/>
    </row>
    <row r="8930" ht="33.75" customHeight="1">
      <c r="A8930" s="7">
        <v>348.0</v>
      </c>
      <c r="B8930" s="9" t="s">
        <v>15036</v>
      </c>
      <c r="C8930" s="9" t="s">
        <v>15037</v>
      </c>
      <c r="D8930" s="9" t="s">
        <v>647</v>
      </c>
      <c r="E8930" s="6" t="s">
        <v>15047</v>
      </c>
      <c r="F8930" s="9"/>
    </row>
    <row r="8931" ht="33.75" customHeight="1">
      <c r="A8931" s="7">
        <v>348.0</v>
      </c>
      <c r="B8931" s="9" t="s">
        <v>15036</v>
      </c>
      <c r="C8931" s="9" t="s">
        <v>15037</v>
      </c>
      <c r="D8931" s="9" t="s">
        <v>652</v>
      </c>
      <c r="E8931" s="6" t="s">
        <v>15048</v>
      </c>
      <c r="F8931" s="9"/>
    </row>
    <row r="8932" ht="33.75" customHeight="1">
      <c r="A8932" s="7">
        <v>348.0</v>
      </c>
      <c r="B8932" s="9" t="s">
        <v>15036</v>
      </c>
      <c r="C8932" s="9" t="s">
        <v>15037</v>
      </c>
      <c r="D8932" s="9" t="s">
        <v>114</v>
      </c>
      <c r="E8932" s="6" t="s">
        <v>15049</v>
      </c>
      <c r="F8932" s="9"/>
    </row>
    <row r="8933" ht="33.75" customHeight="1">
      <c r="A8933" s="7">
        <v>348.0</v>
      </c>
      <c r="B8933" s="9" t="s">
        <v>15036</v>
      </c>
      <c r="C8933" s="9" t="s">
        <v>15037</v>
      </c>
      <c r="D8933" s="9" t="s">
        <v>117</v>
      </c>
      <c r="E8933" s="6" t="s">
        <v>15050</v>
      </c>
      <c r="F8933" s="9"/>
    </row>
    <row r="8934" ht="33.75" customHeight="1">
      <c r="A8934" s="7">
        <v>349.0</v>
      </c>
      <c r="B8934" s="9" t="s">
        <v>15051</v>
      </c>
      <c r="C8934" s="9" t="s">
        <v>8108</v>
      </c>
      <c r="D8934" s="9" t="s">
        <v>67</v>
      </c>
      <c r="E8934" s="6" t="s">
        <v>15052</v>
      </c>
      <c r="F8934" t="inlineStr" s="10">
        <is>
          <t xml:space="preserve">FEEBASin evät ovat repaleiset ja kuluneet Feebasin elämästä lähtien. Huonon ulkonäkönsä vuoksi tätä POKéMONia ei juurikaan huomioida. Se pystyy elämään sekä meressä että joissa. Vaikka FEEBASin ruumis on riekaleina, sillä on sitkeä ja sitkeä elämänvoima, jonka ansiosta se voi elää missä tahansa. Tämä POKéMON on kuitenkin myös hidas ja tyhmä, minkä ansiosta se on helppo saada kiinni. FEEBAT elävät lammikoissa, jotka ovat täynnä rikkaruohoja. Sen toivottoman rähjäisen ulkonäön vuoksi näyttää siltä, ​​että harvat KOULUTTAJAT kasvattavat sitä. Tutkijat jättävät sen huomiotta sen nuhruisen ulkonäön vuoksi, ja sitä pilkataan. Se elää rikkaruohojen täyttämissä lammikoissa. Se on kuuluisa nuhruisesta ulkonäöstään. Vaikka ne ovat runsaslukuisia, ne pyrkivät kerääntymään tietyille paikoille. Se syö mitä tahansa, joten se voi elää jopa saastuneissa puroissa ja järvissä. Kukaan ei kiinnitä siihen huomiota. Se on nuhjuinen ja ruma Pokémon. Se on kuitenkin erittäin kestävä ja selviää vähällä vedellä. Se on kaikista nuhruisin Pokémon. Se muodostuu parvissa ja elää jokien pohjassa. Feebasin evät ovat repaleiset ja rispaantuneet sen elämästä lähtien. Huonon ulkonäkönsä vuoksi tätä Pokémonia ei juurikaan pidetä tärkeänä. Kestävä Pokémon, joka pärjää täydellisesti jopa likaisessa vedessä. Rähjäisen ja nuhruisen ulkonäkönsä vuoksi se ei kuitenkaan ole suosittu. Vaikka tämä Pokémon ei olekaan houkutteleva ja epäsuosittu, sen ihmeellinen elinvoima on tehnyt siitä tutkimuskohteen. Ne näyttävät repaleisilta, joten kukaan ei saa niitä kiinni. Ne näyttävät siltä, ​​että ne maistuisivat pahalta, joten petoeläimet eivät syö niitä. Ja niiden määrä kasvaa jatkuvasti. Sen kurjan ulkonäön vuoksi useimmat ihmiset eivät kiinnitä siihen huomiota, mutta jotkut keräävät Feebasta – ja vain Feebasta!</t>
        </is>
      </c>
    </row>
    <row r="8935" ht="33.75" customHeight="1">
      <c r="A8935" s="7">
        <v>349.0</v>
      </c>
      <c r="B8935" s="9" t="s">
        <v>15051</v>
      </c>
      <c r="C8935" s="9" t="s">
        <v>8108</v>
      </c>
      <c r="D8935" s="9" t="s">
        <v>71</v>
      </c>
      <c r="E8935" s="6" t="s">
        <v>15053</v>
      </c>
      <c r="F8935" s="9"/>
    </row>
    <row r="8936" ht="33.75" customHeight="1">
      <c r="A8936" s="7">
        <v>349.0</v>
      </c>
      <c r="B8936" s="9" t="s">
        <v>15051</v>
      </c>
      <c r="C8936" s="9" t="s">
        <v>8108</v>
      </c>
      <c r="D8936" s="9" t="s">
        <v>73</v>
      </c>
      <c r="E8936" s="6" t="s">
        <v>15054</v>
      </c>
      <c r="F8936" s="9"/>
    </row>
    <row r="8937" ht="33.75" customHeight="1">
      <c r="A8937" s="7">
        <v>349.0</v>
      </c>
      <c r="B8937" s="9" t="s">
        <v>15051</v>
      </c>
      <c r="C8937" s="9" t="s">
        <v>8108</v>
      </c>
      <c r="D8937" s="9" t="s">
        <v>75</v>
      </c>
      <c r="E8937" s="6" t="s">
        <v>15055</v>
      </c>
      <c r="F8937" s="9"/>
    </row>
    <row r="8938" ht="33.75" customHeight="1">
      <c r="A8938" s="7">
        <v>349.0</v>
      </c>
      <c r="B8938" s="9" t="s">
        <v>15051</v>
      </c>
      <c r="C8938" s="9" t="s">
        <v>8108</v>
      </c>
      <c r="D8938" s="9" t="s">
        <v>79</v>
      </c>
      <c r="E8938" s="6" t="s">
        <v>15055</v>
      </c>
      <c r="F8938" s="9"/>
    </row>
    <row r="8939" ht="33.75" customHeight="1">
      <c r="A8939" s="7">
        <v>349.0</v>
      </c>
      <c r="B8939" s="9" t="s">
        <v>15051</v>
      </c>
      <c r="C8939" s="9" t="s">
        <v>8108</v>
      </c>
      <c r="D8939" s="9" t="s">
        <v>81</v>
      </c>
      <c r="E8939" s="6" t="s">
        <v>15056</v>
      </c>
      <c r="F8939" s="9"/>
    </row>
    <row r="8940" ht="33.75" customHeight="1">
      <c r="A8940" s="7">
        <v>349.0</v>
      </c>
      <c r="B8940" s="9" t="s">
        <v>15051</v>
      </c>
      <c r="C8940" s="9" t="s">
        <v>8108</v>
      </c>
      <c r="D8940" s="9" t="s">
        <v>84</v>
      </c>
      <c r="E8940" s="6" t="s">
        <v>15058</v>
      </c>
      <c r="F8940" s="9"/>
    </row>
    <row r="8941" ht="33.75" customHeight="1">
      <c r="A8941" s="7">
        <v>349.0</v>
      </c>
      <c r="B8941" s="9" t="s">
        <v>15051</v>
      </c>
      <c r="C8941" s="9" t="s">
        <v>8108</v>
      </c>
      <c r="D8941" s="9" t="s">
        <v>87</v>
      </c>
      <c r="E8941" s="6" t="s">
        <v>15059</v>
      </c>
      <c r="F8941" s="9"/>
    </row>
    <row r="8942" ht="33.75" customHeight="1">
      <c r="A8942" s="7">
        <v>349.0</v>
      </c>
      <c r="B8942" s="9" t="s">
        <v>15051</v>
      </c>
      <c r="C8942" s="9" t="s">
        <v>8108</v>
      </c>
      <c r="D8942" s="9" t="s">
        <v>89</v>
      </c>
      <c r="E8942" s="6" t="s">
        <v>15060</v>
      </c>
      <c r="F8942" s="9"/>
    </row>
    <row r="8943" ht="33.75" customHeight="1">
      <c r="A8943" s="7">
        <v>349.0</v>
      </c>
      <c r="B8943" s="9" t="s">
        <v>15051</v>
      </c>
      <c r="C8943" s="9" t="s">
        <v>8108</v>
      </c>
      <c r="D8943" s="9" t="s">
        <v>91</v>
      </c>
      <c r="E8943" s="6" t="s">
        <v>15060</v>
      </c>
      <c r="F8943" s="9"/>
    </row>
    <row r="8944" ht="33.75" customHeight="1">
      <c r="A8944" s="7">
        <v>349.0</v>
      </c>
      <c r="B8944" s="9" t="s">
        <v>15051</v>
      </c>
      <c r="C8944" s="9" t="s">
        <v>8108</v>
      </c>
      <c r="D8944" s="9" t="s">
        <v>93</v>
      </c>
      <c r="E8944" s="6" t="s">
        <v>15059</v>
      </c>
      <c r="F8944" s="9"/>
    </row>
    <row r="8945" ht="33.75" customHeight="1">
      <c r="A8945" s="7">
        <v>349.0</v>
      </c>
      <c r="B8945" s="9" t="s">
        <v>15051</v>
      </c>
      <c r="C8945" s="9" t="s">
        <v>8108</v>
      </c>
      <c r="D8945" s="9" t="s">
        <v>95</v>
      </c>
      <c r="E8945" s="6" t="s">
        <v>15059</v>
      </c>
      <c r="F8945" s="9"/>
    </row>
    <row r="8946" ht="33.75" customHeight="1">
      <c r="A8946" s="7">
        <v>349.0</v>
      </c>
      <c r="B8946" s="9" t="s">
        <v>15051</v>
      </c>
      <c r="C8946" s="9" t="s">
        <v>8108</v>
      </c>
      <c r="D8946" s="9" t="s">
        <v>98</v>
      </c>
      <c r="E8946" s="6" t="s">
        <v>15059</v>
      </c>
      <c r="F8946" s="9"/>
    </row>
    <row r="8947" ht="33.75" customHeight="1">
      <c r="A8947" s="7">
        <v>349.0</v>
      </c>
      <c r="B8947" s="9" t="s">
        <v>15051</v>
      </c>
      <c r="C8947" s="9" t="s">
        <v>8108</v>
      </c>
      <c r="D8947" s="9" t="s">
        <v>99</v>
      </c>
      <c r="E8947" s="6" t="s">
        <v>15059</v>
      </c>
      <c r="F8947" s="9"/>
    </row>
    <row r="8948" ht="33.75" customHeight="1">
      <c r="A8948" s="7">
        <v>349.0</v>
      </c>
      <c r="B8948" s="9" t="s">
        <v>15051</v>
      </c>
      <c r="C8948" s="9" t="s">
        <v>8108</v>
      </c>
      <c r="D8948" s="9" t="s">
        <v>101</v>
      </c>
      <c r="E8948" s="6" t="s">
        <v>15058</v>
      </c>
      <c r="F8948" s="9"/>
    </row>
    <row r="8949" ht="33.75" customHeight="1">
      <c r="A8949" s="7">
        <v>349.0</v>
      </c>
      <c r="B8949" s="9" t="s">
        <v>15051</v>
      </c>
      <c r="C8949" s="9" t="s">
        <v>8108</v>
      </c>
      <c r="D8949" s="9" t="s">
        <v>105</v>
      </c>
      <c r="E8949" s="6" t="s">
        <v>15060</v>
      </c>
      <c r="F8949" s="9"/>
    </row>
    <row r="8950" ht="33.75" customHeight="1">
      <c r="A8950" s="7">
        <v>349.0</v>
      </c>
      <c r="B8950" s="9" t="s">
        <v>15051</v>
      </c>
      <c r="C8950" s="9" t="s">
        <v>8108</v>
      </c>
      <c r="D8950" s="9" t="s">
        <v>107</v>
      </c>
      <c r="E8950" s="6" t="s">
        <v>15061</v>
      </c>
      <c r="F8950" s="9"/>
    </row>
    <row r="8951" ht="33.75" customHeight="1">
      <c r="A8951" s="7">
        <v>349.0</v>
      </c>
      <c r="B8951" s="9" t="s">
        <v>15051</v>
      </c>
      <c r="C8951" s="9" t="s">
        <v>8108</v>
      </c>
      <c r="D8951" s="9" t="s">
        <v>109</v>
      </c>
      <c r="E8951" s="6" t="s">
        <v>15062</v>
      </c>
      <c r="F8951" s="9"/>
    </row>
    <row r="8952" ht="33.75" customHeight="1">
      <c r="A8952" s="7">
        <v>349.0</v>
      </c>
      <c r="B8952" s="9" t="s">
        <v>15051</v>
      </c>
      <c r="C8952" s="9" t="s">
        <v>8108</v>
      </c>
      <c r="D8952" s="9" t="s">
        <v>637</v>
      </c>
      <c r="E8952" s="6" t="s">
        <v>15063</v>
      </c>
      <c r="F8952" s="9"/>
    </row>
    <row r="8953" ht="33.75" customHeight="1">
      <c r="A8953" s="7">
        <v>349.0</v>
      </c>
      <c r="B8953" s="9" t="s">
        <v>15051</v>
      </c>
      <c r="C8953" s="9" t="s">
        <v>8108</v>
      </c>
      <c r="D8953" s="9" t="s">
        <v>642</v>
      </c>
      <c r="E8953" s="6" t="s">
        <v>15064</v>
      </c>
      <c r="F8953" s="9"/>
    </row>
    <row r="8954" ht="33.75" customHeight="1">
      <c r="A8954" s="7">
        <v>349.0</v>
      </c>
      <c r="B8954" s="9" t="s">
        <v>15051</v>
      </c>
      <c r="C8954" s="9" t="s">
        <v>8108</v>
      </c>
      <c r="D8954" s="9" t="s">
        <v>647</v>
      </c>
      <c r="E8954" s="6" t="s">
        <v>15065</v>
      </c>
      <c r="F8954" s="9"/>
    </row>
    <row r="8955" ht="33.75" customHeight="1">
      <c r="A8955" s="7">
        <v>349.0</v>
      </c>
      <c r="B8955" s="9" t="s">
        <v>15051</v>
      </c>
      <c r="C8955" s="9" t="s">
        <v>8108</v>
      </c>
      <c r="D8955" s="9" t="s">
        <v>652</v>
      </c>
      <c r="E8955" s="6" t="s">
        <v>15066</v>
      </c>
      <c r="F8955" s="9"/>
    </row>
    <row r="8956" ht="33.75" customHeight="1">
      <c r="A8956" s="7">
        <v>349.0</v>
      </c>
      <c r="B8956" s="9" t="s">
        <v>15051</v>
      </c>
      <c r="C8956" s="9" t="s">
        <v>8108</v>
      </c>
      <c r="D8956" s="9" t="s">
        <v>114</v>
      </c>
      <c r="E8956" s="6" t="s">
        <v>15064</v>
      </c>
      <c r="F8956" s="9"/>
    </row>
    <row r="8957" ht="33.75" customHeight="1">
      <c r="A8957" s="7">
        <v>349.0</v>
      </c>
      <c r="B8957" s="9" t="s">
        <v>15051</v>
      </c>
      <c r="C8957" s="9" t="s">
        <v>8108</v>
      </c>
      <c r="D8957" s="9" t="s">
        <v>117</v>
      </c>
      <c r="E8957" s="6" t="s">
        <v>15059</v>
      </c>
      <c r="F8957" s="9"/>
    </row>
    <row r="8958" ht="33.75" customHeight="1">
      <c r="A8958" s="7">
        <v>350.0</v>
      </c>
      <c r="B8958" s="9" t="s">
        <v>15067</v>
      </c>
      <c r="C8958" s="9" t="s">
        <v>15068</v>
      </c>
      <c r="D8958" s="9" t="s">
        <v>67</v>
      </c>
      <c r="E8958" s="6" t="s">
        <v>15069</v>
      </c>
      <c r="F8958" t="inlineStr" s="10">
        <is>
          <t xml:space="preserve">MILOTICin sanotaan olevan kaunein kaikista POKéMONeista. Sillä on kyky tyynnyttää vihan ja vihamielisyyden kaltaisia ​​tunteita ja tukahduttaa katkeran riidan. MILOTICIT elävät suurten järvien pohjassa. Kun tämän POKéMONin keho hehkuu kirkkaan vaaleanpunaisena, se vapauttaa sykkivän energia-aallon, joka tuo rauhoittavan rauhan levottomille sieluille. Sen sanotaan elävän suurten järvien pohjassa. Sitä pidetään kauneimpana kaikista POKéMONeista, ja sitä on kuvattu maalauksissa ja patsaissa. MILOTIC on henkeäsalpaavan kaunis. Niiden, jotka sen näkevät, sanotaan unohtavan taistelutahtonsa. Kun ihmiset kiistelevät, sen sanotaan nousevan järvien syvyyksistä rauhoittamaan väkivaltaisia ​​sydämiä. Se on maailman kaunein Pokémon. MILOTIC esiintyy monissa taideteoksissa. Sen ihania suomuja kuvataan sateenkaaren värisiksi. Ne vaihtavat väriä katselukulman mukaan. Sanotaan, että vilaus MILOTICISTA ja sen kauneudesta rauhoittaa kaikki vihamieliset tunteesi. Milotić on henkeäsalpaavan kaunis. Miloticista on tehty monia taideteoksia. Miloottiset elävät suurten järvien pohjassa. Kun tämän Pokémonin keho hehkuu kirkkaan vaaleanpunaisena, se vapauttaa sykkivän energia-aallon, joka tuo rauhoittavan tyyneyden levottomille sydämille. Milotic on inspiroinut monia taiteilijoita. Sitä on jopa kutsuttu kaikkien aikojen kauneimmaksi Pokémoniksi. Se elää kirkkaiden järvien pohjalla. Sodan aikana se näyttäytyy, mikä rauhoittaa ihmisten mieliä ja sydämiä. Vaikka Miloticin sanotaan olevan kaunein Pokémon, Feebasista pitävät ja sitä kasvattaneet kouluttajat ovat ilmeisesti pettyneitä Miloticiin. Sen asuinpaikka on suurten järvien pohjassa. Niiden, jotka näkevät sen ihanuuden, sanotaan puhdistuvan sydämensä. Sanotaan, että vilaus miloottisesta ja sen kauneudesta rauhoittaa kaikki vihamieliset tunteet, joita tunnet.</t>
        </is>
      </c>
    </row>
    <row r="8959" ht="33.75" customHeight="1">
      <c r="A8959" s="7">
        <v>350.0</v>
      </c>
      <c r="B8959" s="9" t="s">
        <v>15067</v>
      </c>
      <c r="C8959" s="9" t="s">
        <v>15068</v>
      </c>
      <c r="D8959" s="9" t="s">
        <v>71</v>
      </c>
      <c r="E8959" s="6" t="s">
        <v>15070</v>
      </c>
      <c r="F8959" s="9"/>
    </row>
    <row r="8960" ht="33.75" customHeight="1">
      <c r="A8960" s="7">
        <v>350.0</v>
      </c>
      <c r="B8960" s="9" t="s">
        <v>15067</v>
      </c>
      <c r="C8960" s="9" t="s">
        <v>15068</v>
      </c>
      <c r="D8960" s="9" t="s">
        <v>73</v>
      </c>
      <c r="E8960" s="6" t="s">
        <v>15071</v>
      </c>
      <c r="F8960" s="9"/>
    </row>
    <row r="8961" ht="33.75" customHeight="1">
      <c r="A8961" s="7">
        <v>350.0</v>
      </c>
      <c r="B8961" s="9" t="s">
        <v>15067</v>
      </c>
      <c r="C8961" s="9" t="s">
        <v>15068</v>
      </c>
      <c r="D8961" s="9" t="s">
        <v>75</v>
      </c>
      <c r="E8961" s="6" t="s">
        <v>15072</v>
      </c>
      <c r="F8961" s="9"/>
    </row>
    <row r="8962" ht="33.75" customHeight="1">
      <c r="A8962" s="7">
        <v>350.0</v>
      </c>
      <c r="B8962" s="9" t="s">
        <v>15067</v>
      </c>
      <c r="C8962" s="9" t="s">
        <v>15068</v>
      </c>
      <c r="D8962" s="9" t="s">
        <v>79</v>
      </c>
      <c r="E8962" s="6" t="s">
        <v>15072</v>
      </c>
      <c r="F8962" s="9"/>
    </row>
    <row r="8963" ht="33.75" customHeight="1">
      <c r="A8963" s="7">
        <v>350.0</v>
      </c>
      <c r="B8963" s="9" t="s">
        <v>15067</v>
      </c>
      <c r="C8963" s="9" t="s">
        <v>15068</v>
      </c>
      <c r="D8963" s="9" t="s">
        <v>81</v>
      </c>
      <c r="E8963" s="6" t="s">
        <v>15073</v>
      </c>
      <c r="F8963" s="9"/>
    </row>
    <row r="8964" ht="33.75" customHeight="1">
      <c r="A8964" s="7">
        <v>350.0</v>
      </c>
      <c r="B8964" s="9" t="s">
        <v>15067</v>
      </c>
      <c r="C8964" s="9" t="s">
        <v>15068</v>
      </c>
      <c r="D8964" s="9" t="s">
        <v>84</v>
      </c>
      <c r="E8964" s="6" t="s">
        <v>15074</v>
      </c>
      <c r="F8964" s="9"/>
    </row>
    <row r="8965" ht="33.75" customHeight="1">
      <c r="A8965" s="7">
        <v>350.0</v>
      </c>
      <c r="B8965" s="9" t="s">
        <v>15067</v>
      </c>
      <c r="C8965" s="9" t="s">
        <v>15068</v>
      </c>
      <c r="D8965" s="9" t="s">
        <v>87</v>
      </c>
      <c r="E8965" s="6" t="s">
        <v>15075</v>
      </c>
      <c r="F8965" s="9"/>
    </row>
    <row r="8966" ht="33.75" customHeight="1">
      <c r="A8966" s="7">
        <v>350.0</v>
      </c>
      <c r="B8966" s="9" t="s">
        <v>15067</v>
      </c>
      <c r="C8966" s="9" t="s">
        <v>15068</v>
      </c>
      <c r="D8966" s="9" t="s">
        <v>89</v>
      </c>
      <c r="E8966" s="6" t="s">
        <v>15076</v>
      </c>
      <c r="F8966" s="9"/>
    </row>
    <row r="8967" ht="33.75" customHeight="1">
      <c r="A8967" s="7">
        <v>350.0</v>
      </c>
      <c r="B8967" s="9" t="s">
        <v>15067</v>
      </c>
      <c r="C8967" s="9" t="s">
        <v>15068</v>
      </c>
      <c r="D8967" s="9" t="s">
        <v>91</v>
      </c>
      <c r="E8967" s="6" t="s">
        <v>15076</v>
      </c>
      <c r="F8967" s="9"/>
    </row>
    <row r="8968" ht="33.75" customHeight="1">
      <c r="A8968" s="7">
        <v>350.0</v>
      </c>
      <c r="B8968" s="9" t="s">
        <v>15067</v>
      </c>
      <c r="C8968" s="9" t="s">
        <v>15068</v>
      </c>
      <c r="D8968" s="9" t="s">
        <v>93</v>
      </c>
      <c r="E8968" s="6" t="s">
        <v>15075</v>
      </c>
      <c r="F8968" s="9"/>
    </row>
    <row r="8969" ht="33.75" customHeight="1">
      <c r="A8969" s="7">
        <v>350.0</v>
      </c>
      <c r="B8969" s="9" t="s">
        <v>15067</v>
      </c>
      <c r="C8969" s="9" t="s">
        <v>15068</v>
      </c>
      <c r="D8969" s="9" t="s">
        <v>95</v>
      </c>
      <c r="E8969" s="6" t="s">
        <v>15075</v>
      </c>
      <c r="F8969" s="9"/>
    </row>
    <row r="8970" ht="33.75" customHeight="1">
      <c r="A8970" s="7">
        <v>350.0</v>
      </c>
      <c r="B8970" s="9" t="s">
        <v>15067</v>
      </c>
      <c r="C8970" s="9" t="s">
        <v>15068</v>
      </c>
      <c r="D8970" s="9" t="s">
        <v>98</v>
      </c>
      <c r="E8970" s="6" t="s">
        <v>15075</v>
      </c>
      <c r="F8970" s="9"/>
    </row>
    <row r="8971" ht="33.75" customHeight="1">
      <c r="A8971" s="7">
        <v>350.0</v>
      </c>
      <c r="B8971" s="9" t="s">
        <v>15067</v>
      </c>
      <c r="C8971" s="9" t="s">
        <v>15068</v>
      </c>
      <c r="D8971" s="9" t="s">
        <v>99</v>
      </c>
      <c r="E8971" s="6" t="s">
        <v>15075</v>
      </c>
      <c r="F8971" s="9"/>
    </row>
    <row r="8972" ht="33.75" customHeight="1">
      <c r="A8972" s="7">
        <v>350.0</v>
      </c>
      <c r="B8972" s="9" t="s">
        <v>15067</v>
      </c>
      <c r="C8972" s="9" t="s">
        <v>15068</v>
      </c>
      <c r="D8972" s="9" t="s">
        <v>101</v>
      </c>
      <c r="E8972" s="6" t="s">
        <v>15078</v>
      </c>
      <c r="F8972" s="9"/>
    </row>
    <row r="8973" ht="33.75" customHeight="1">
      <c r="A8973" s="7">
        <v>350.0</v>
      </c>
      <c r="B8973" s="9" t="s">
        <v>15067</v>
      </c>
      <c r="C8973" s="9" t="s">
        <v>15068</v>
      </c>
      <c r="D8973" s="9" t="s">
        <v>105</v>
      </c>
      <c r="E8973" s="6" t="s">
        <v>15079</v>
      </c>
      <c r="F8973" s="9"/>
    </row>
    <row r="8974" ht="33.75" customHeight="1">
      <c r="A8974" s="7">
        <v>350.0</v>
      </c>
      <c r="B8974" s="9" t="s">
        <v>15067</v>
      </c>
      <c r="C8974" s="9" t="s">
        <v>15068</v>
      </c>
      <c r="D8974" s="9" t="s">
        <v>107</v>
      </c>
      <c r="E8974" s="6" t="s">
        <v>15080</v>
      </c>
      <c r="F8974" s="9"/>
    </row>
    <row r="8975" ht="33.75" customHeight="1">
      <c r="A8975" s="7">
        <v>350.0</v>
      </c>
      <c r="B8975" s="9" t="s">
        <v>15067</v>
      </c>
      <c r="C8975" s="9" t="s">
        <v>15068</v>
      </c>
      <c r="D8975" s="9" t="s">
        <v>109</v>
      </c>
      <c r="E8975" s="6" t="s">
        <v>15081</v>
      </c>
      <c r="F8975" s="9"/>
    </row>
    <row r="8976" ht="33.75" customHeight="1">
      <c r="A8976" s="7">
        <v>350.0</v>
      </c>
      <c r="B8976" s="9" t="s">
        <v>15067</v>
      </c>
      <c r="C8976" s="9" t="s">
        <v>15068</v>
      </c>
      <c r="D8976" s="9" t="s">
        <v>637</v>
      </c>
      <c r="E8976" s="6" t="s">
        <v>15082</v>
      </c>
      <c r="F8976" s="9"/>
    </row>
    <row r="8977" ht="33.75" customHeight="1">
      <c r="A8977" s="7">
        <v>350.0</v>
      </c>
      <c r="B8977" s="9" t="s">
        <v>15067</v>
      </c>
      <c r="C8977" s="9" t="s">
        <v>15068</v>
      </c>
      <c r="D8977" s="9" t="s">
        <v>642</v>
      </c>
      <c r="E8977" s="6" t="s">
        <v>15083</v>
      </c>
      <c r="F8977" s="9"/>
    </row>
    <row r="8978" ht="33.75" customHeight="1">
      <c r="A8978" s="7">
        <v>350.0</v>
      </c>
      <c r="B8978" s="9" t="s">
        <v>15067</v>
      </c>
      <c r="C8978" s="9" t="s">
        <v>15068</v>
      </c>
      <c r="D8978" s="9" t="s">
        <v>647</v>
      </c>
      <c r="E8978" s="6" t="s">
        <v>15084</v>
      </c>
      <c r="F8978" s="9"/>
    </row>
    <row r="8979" ht="33.75" customHeight="1">
      <c r="A8979" s="7">
        <v>350.0</v>
      </c>
      <c r="B8979" s="9" t="s">
        <v>15067</v>
      </c>
      <c r="C8979" s="9" t="s">
        <v>15068</v>
      </c>
      <c r="D8979" s="9" t="s">
        <v>652</v>
      </c>
      <c r="E8979" s="6" t="s">
        <v>15085</v>
      </c>
      <c r="F8979" s="9"/>
    </row>
    <row r="8980" ht="33.75" customHeight="1">
      <c r="A8980" s="7">
        <v>350.0</v>
      </c>
      <c r="B8980" s="9" t="s">
        <v>15067</v>
      </c>
      <c r="C8980" s="9" t="s">
        <v>15068</v>
      </c>
      <c r="D8980" s="9" t="s">
        <v>114</v>
      </c>
      <c r="E8980" s="6" t="s">
        <v>15082</v>
      </c>
      <c r="F8980" s="9"/>
    </row>
    <row r="8981" ht="33.75" customHeight="1">
      <c r="A8981" s="7">
        <v>350.0</v>
      </c>
      <c r="B8981" s="9" t="s">
        <v>15067</v>
      </c>
      <c r="C8981" s="9" t="s">
        <v>15068</v>
      </c>
      <c r="D8981" s="9" t="s">
        <v>117</v>
      </c>
      <c r="E8981" s="6" t="s">
        <v>15086</v>
      </c>
      <c r="F8981" s="9"/>
    </row>
    <row r="8982" ht="33.75" customHeight="1">
      <c r="A8982" s="7">
        <v>351.0</v>
      </c>
      <c r="B8982" s="9" t="s">
        <v>15087</v>
      </c>
      <c r="C8982" s="9" t="s">
        <v>15088</v>
      </c>
      <c r="D8982" s="9" t="s">
        <v>67</v>
      </c>
      <c r="E8982" s="6" t="s">
        <v>15089</v>
      </c>
      <c r="F8982" t="inlineStr" s="10">
        <is>
          <t xml:space="preserve">CASTFORMin ulkonäkö muuttuu sään mukaan. Tämä POKéMON sai kyvyn käyttää luonnon valtavaa voimaa suojellakseen pientä kehoaan. CASTFORM lainaa luonnon voimaa muuttuakseen auringon, sadepilvien ja lumipilvien hahmoiksi. Tämän POKéMONin tunteet muuttuvat sään mukaan. Se muuttaa muotoaan säästä riippuen. Ilmastonmuutokset, kuten lämpötila ja kosteus, näyttävät vaikuttavan sen solurakenteeseen. Sillä on kyky muuttaa muotoaan auringoksi, sateeksi tai lumipilveksi säästä riippuen. Sen ulkonäkö muuttuu sään mukaan. Äskettäin sen molekyylien havaittiin olevan aivan veden kaltaisia. Tämä Pokémon voi muuttaa solujaan ja ottaa erilaisia ​​muotoja lämpötilan ja kosteuden mukaan. Lämpötila ja sää vaikuttavat sen solurakenteeseen, joten tämä Pokémon muuttaa muotoaan sään mukaan. Castform lainaa luonnon voimaa muuttuakseen auringon, sateen ja lumipilvien hahmoiksi. Se muuttaa muotoaan sään mukaan. Lämpötilan tai kosteuden muutokset näyttävät vaikuttavan sen solurakenteeseen. Sen muoto muuttuu itsestään solujen herkkien lämpötila- ja kosteusreaktioiden vuoksi. Vaikka sen muoto muuttuu sään mukaan, se on ilmeisesti kemiallisen reaktion tulos eikä sen omasta vapaasta tahdosta. Sen muoto muuttuu sään mukaan. Mitä karummiksi olosuhteet muuttuvat, sitä karummaksi Castformin luonne muuttuu!</t>
        </is>
      </c>
    </row>
    <row r="8983" ht="33.75" customHeight="1">
      <c r="A8983" s="7">
        <v>351.0</v>
      </c>
      <c r="B8983" s="9" t="s">
        <v>15087</v>
      </c>
      <c r="C8983" s="9" t="s">
        <v>15088</v>
      </c>
      <c r="D8983" s="9" t="s">
        <v>71</v>
      </c>
      <c r="E8983" s="6" t="s">
        <v>15090</v>
      </c>
      <c r="F8983" s="9"/>
    </row>
    <row r="8984" ht="33.75" customHeight="1">
      <c r="A8984" s="7">
        <v>351.0</v>
      </c>
      <c r="B8984" s="9" t="s">
        <v>15087</v>
      </c>
      <c r="C8984" s="9" t="s">
        <v>15088</v>
      </c>
      <c r="D8984" s="9" t="s">
        <v>73</v>
      </c>
      <c r="E8984" s="6" t="s">
        <v>15091</v>
      </c>
      <c r="F8984" s="9"/>
    </row>
    <row r="8985" ht="33.75" customHeight="1">
      <c r="A8985" s="7">
        <v>351.0</v>
      </c>
      <c r="B8985" s="9" t="s">
        <v>15087</v>
      </c>
      <c r="C8985" s="9" t="s">
        <v>15088</v>
      </c>
      <c r="D8985" s="9" t="s">
        <v>75</v>
      </c>
      <c r="E8985" s="6" t="s">
        <v>15092</v>
      </c>
      <c r="F8985" s="9"/>
    </row>
    <row r="8986" ht="33.75" customHeight="1">
      <c r="A8986" s="7">
        <v>351.0</v>
      </c>
      <c r="B8986" s="9" t="s">
        <v>15087</v>
      </c>
      <c r="C8986" s="9" t="s">
        <v>15088</v>
      </c>
      <c r="D8986" s="9" t="s">
        <v>79</v>
      </c>
      <c r="E8986" s="6" t="s">
        <v>15092</v>
      </c>
      <c r="F8986" s="9"/>
    </row>
    <row r="8987" ht="33.75" customHeight="1">
      <c r="A8987" s="7">
        <v>351.0</v>
      </c>
      <c r="B8987" s="9" t="s">
        <v>15087</v>
      </c>
      <c r="C8987" s="9" t="s">
        <v>15088</v>
      </c>
      <c r="D8987" s="9" t="s">
        <v>81</v>
      </c>
      <c r="E8987" s="6" t="s">
        <v>15093</v>
      </c>
      <c r="F8987" s="9"/>
    </row>
    <row r="8988" ht="33.75" customHeight="1">
      <c r="A8988" s="7">
        <v>351.0</v>
      </c>
      <c r="B8988" s="9" t="s">
        <v>15087</v>
      </c>
      <c r="C8988" s="9" t="s">
        <v>15088</v>
      </c>
      <c r="D8988" s="9" t="s">
        <v>84</v>
      </c>
      <c r="E8988" s="6" t="s">
        <v>15093</v>
      </c>
      <c r="F8988" s="9"/>
    </row>
    <row r="8989" ht="33.75" customHeight="1">
      <c r="A8989" s="7">
        <v>351.0</v>
      </c>
      <c r="B8989" s="9" t="s">
        <v>15087</v>
      </c>
      <c r="C8989" s="9" t="s">
        <v>15088</v>
      </c>
      <c r="D8989" s="9" t="s">
        <v>87</v>
      </c>
      <c r="E8989" s="6" t="s">
        <v>15093</v>
      </c>
      <c r="F8989" s="9"/>
    </row>
    <row r="8990" ht="33.75" customHeight="1">
      <c r="A8990" s="7">
        <v>351.0</v>
      </c>
      <c r="B8990" s="9" t="s">
        <v>15087</v>
      </c>
      <c r="C8990" s="9" t="s">
        <v>15088</v>
      </c>
      <c r="D8990" s="9" t="s">
        <v>89</v>
      </c>
      <c r="E8990" s="6" t="s">
        <v>15094</v>
      </c>
      <c r="F8990" s="9"/>
    </row>
    <row r="8991" ht="33.75" customHeight="1">
      <c r="A8991" s="7">
        <v>351.0</v>
      </c>
      <c r="B8991" s="9" t="s">
        <v>15087</v>
      </c>
      <c r="C8991" s="9" t="s">
        <v>15088</v>
      </c>
      <c r="D8991" s="9" t="s">
        <v>91</v>
      </c>
      <c r="E8991" s="6" t="s">
        <v>15094</v>
      </c>
      <c r="F8991" s="9"/>
    </row>
    <row r="8992" ht="33.75" customHeight="1">
      <c r="A8992" s="7">
        <v>351.0</v>
      </c>
      <c r="B8992" s="9" t="s">
        <v>15087</v>
      </c>
      <c r="C8992" s="9" t="s">
        <v>15088</v>
      </c>
      <c r="D8992" s="9" t="s">
        <v>93</v>
      </c>
      <c r="E8992" s="6" t="s">
        <v>15093</v>
      </c>
      <c r="F8992" s="9"/>
    </row>
    <row r="8993" ht="33.75" customHeight="1">
      <c r="A8993" s="7">
        <v>351.0</v>
      </c>
      <c r="B8993" s="9" t="s">
        <v>15087</v>
      </c>
      <c r="C8993" s="9" t="s">
        <v>15088</v>
      </c>
      <c r="D8993" s="9" t="s">
        <v>95</v>
      </c>
      <c r="E8993" s="6" t="s">
        <v>15093</v>
      </c>
      <c r="F8993" s="9"/>
    </row>
    <row r="8994" ht="33.75" customHeight="1">
      <c r="A8994" s="7">
        <v>351.0</v>
      </c>
      <c r="B8994" s="9" t="s">
        <v>15087</v>
      </c>
      <c r="C8994" s="9" t="s">
        <v>15088</v>
      </c>
      <c r="D8994" s="9" t="s">
        <v>98</v>
      </c>
      <c r="E8994" s="6" t="s">
        <v>15095</v>
      </c>
      <c r="F8994" s="9"/>
    </row>
    <row r="8995" ht="33.75" customHeight="1">
      <c r="A8995" s="7">
        <v>351.0</v>
      </c>
      <c r="B8995" s="9" t="s">
        <v>15087</v>
      </c>
      <c r="C8995" s="9" t="s">
        <v>15088</v>
      </c>
      <c r="D8995" s="9" t="s">
        <v>99</v>
      </c>
      <c r="E8995" s="6" t="s">
        <v>15095</v>
      </c>
      <c r="F8995" s="9"/>
    </row>
    <row r="8996" ht="33.75" customHeight="1">
      <c r="A8996" s="7">
        <v>351.0</v>
      </c>
      <c r="B8996" s="9" t="s">
        <v>15087</v>
      </c>
      <c r="C8996" s="9" t="s">
        <v>15088</v>
      </c>
      <c r="D8996" s="9" t="s">
        <v>101</v>
      </c>
      <c r="E8996" s="6" t="s">
        <v>15094</v>
      </c>
      <c r="F8996" s="9"/>
    </row>
    <row r="8997" ht="33.75" customHeight="1">
      <c r="A8997" s="7">
        <v>351.0</v>
      </c>
      <c r="B8997" s="9" t="s">
        <v>15087</v>
      </c>
      <c r="C8997" s="9" t="s">
        <v>15088</v>
      </c>
      <c r="D8997" s="9" t="s">
        <v>105</v>
      </c>
      <c r="E8997" s="6" t="s">
        <v>15092</v>
      </c>
      <c r="F8997" s="9"/>
    </row>
    <row r="8998" ht="33.75" customHeight="1">
      <c r="A8998" s="7">
        <v>351.0</v>
      </c>
      <c r="B8998" s="9" t="s">
        <v>15087</v>
      </c>
      <c r="C8998" s="9" t="s">
        <v>15088</v>
      </c>
      <c r="D8998" s="9" t="s">
        <v>107</v>
      </c>
      <c r="E8998" s="6" t="s">
        <v>15096</v>
      </c>
      <c r="F8998" s="9"/>
    </row>
    <row r="8999" ht="33.75" customHeight="1">
      <c r="A8999" s="7">
        <v>351.0</v>
      </c>
      <c r="B8999" s="9" t="s">
        <v>15087</v>
      </c>
      <c r="C8999" s="9" t="s">
        <v>15088</v>
      </c>
      <c r="D8999" s="9" t="s">
        <v>109</v>
      </c>
      <c r="E8999" s="6" t="s">
        <v>15097</v>
      </c>
      <c r="F8999" s="9"/>
    </row>
    <row r="9000" ht="33.75" customHeight="1">
      <c r="A9000" s="7">
        <v>351.0</v>
      </c>
      <c r="B9000" s="9" t="s">
        <v>15087</v>
      </c>
      <c r="C9000" s="9" t="s">
        <v>15088</v>
      </c>
      <c r="D9000" s="9" t="s">
        <v>637</v>
      </c>
      <c r="E9000" s="6" t="s">
        <v>15098</v>
      </c>
      <c r="F9000" s="9"/>
    </row>
    <row r="9001" ht="33.75" customHeight="1">
      <c r="A9001" s="7">
        <v>351.0</v>
      </c>
      <c r="B9001" s="9" t="s">
        <v>15087</v>
      </c>
      <c r="C9001" s="9" t="s">
        <v>15088</v>
      </c>
      <c r="D9001" s="9" t="s">
        <v>642</v>
      </c>
      <c r="E9001" s="6" t="s">
        <v>15099</v>
      </c>
      <c r="F9001" s="9"/>
    </row>
    <row r="9002" ht="33.75" customHeight="1">
      <c r="A9002" s="7">
        <v>351.0</v>
      </c>
      <c r="B9002" s="9" t="s">
        <v>15087</v>
      </c>
      <c r="C9002" s="9" t="s">
        <v>15088</v>
      </c>
      <c r="D9002" s="9" t="s">
        <v>647</v>
      </c>
      <c r="E9002" s="6" t="s">
        <v>15100</v>
      </c>
      <c r="F9002" s="9"/>
    </row>
    <row r="9003" ht="33.75" customHeight="1">
      <c r="A9003" s="7">
        <v>351.0</v>
      </c>
      <c r="B9003" s="9" t="s">
        <v>15087</v>
      </c>
      <c r="C9003" s="9" t="s">
        <v>15088</v>
      </c>
      <c r="D9003" s="9" t="s">
        <v>652</v>
      </c>
      <c r="E9003" s="6" t="s">
        <v>15101</v>
      </c>
      <c r="F9003" s="9"/>
    </row>
    <row r="9004" ht="33.75" customHeight="1">
      <c r="A9004" s="7">
        <v>352.0</v>
      </c>
      <c r="B9004" s="9" t="s">
        <v>15103</v>
      </c>
      <c r="C9004" s="9" t="s">
        <v>15104</v>
      </c>
      <c r="D9004" s="9" t="s">
        <v>67</v>
      </c>
      <c r="E9004" s="6" t="s">
        <v>15105</v>
      </c>
      <c r="F9004" t="inlineStr" s="10">
        <is>
          <t xml:space="preserve">KECLEON pystyy muuttamaan ruumiinsa väriä mielensä mukaan sulautuakseen ympäristöönsä. Yksi poikkeus on kuitenkin se, että tämä POKéMON ei voi muuttaa vatsansa siksak-kuviota. KECLEON muuttaa ruumiinväritystään sulautuakseen ympäristöönsä, jolloin se voi hiipiä saaliinsa kimppuun huomaamatta. Sitten se iskee pitkällä, venyvällä kielellään ja nappaa tietämättömän kohteen välittömästi ansaan. POKéMON, jolla on kyky muuttaa ruumiinväriään ympäristöönsä sopivaksi. KECLEON palaa alkuperäiseen väriinsä, jos se säpsähtää. Se vaihtaa ruumiinväriä sulautuakseen ympäristöönsä. Se vaihtaa väriä myös, jos se on onnellinen tai surullinen. Se voi vapaasti vaihtaa ruumiinsa väriä. Vatsan siksak-kuvio ei kuitenkaan muutu. Se muuttaa sävyään ympäristönsä mukaan, jotta se voi hiipiä saaliinsa kimppuun. Vain sen vatsan kuviot pysyvät muuttumattomina. Yksi poikkeus on kuitenkin se, ettei tämä Pokémon pysty muuttamaan vatsansa siksak-kuviota. Se muuttaa sävyään sulautuakseen ympäristöönsä. Jos kukaan ei kiinnitä siihen huomiota liian pitkään aikaan, se mököttää eikä koskaan paljasta itseään. Sen väri muuttuu piilottamiseksi ja myös mielialan tai terveydentilan muuttuessa. Mitä tummempi väri, sitä terveempi se on.</t>
        </is>
      </c>
    </row>
    <row r="9005" ht="33.75" customHeight="1">
      <c r="A9005" s="7">
        <v>352.0</v>
      </c>
      <c r="B9005" s="9" t="s">
        <v>15103</v>
      </c>
      <c r="C9005" s="9" t="s">
        <v>15104</v>
      </c>
      <c r="D9005" s="9" t="s">
        <v>71</v>
      </c>
      <c r="E9005" s="6" t="s">
        <v>15106</v>
      </c>
      <c r="F9005" s="9"/>
    </row>
    <row r="9006" ht="33.75" customHeight="1">
      <c r="A9006" s="7">
        <v>352.0</v>
      </c>
      <c r="B9006" s="9" t="s">
        <v>15103</v>
      </c>
      <c r="C9006" s="9" t="s">
        <v>15104</v>
      </c>
      <c r="D9006" s="9" t="s">
        <v>73</v>
      </c>
      <c r="E9006" s="6" t="s">
        <v>15107</v>
      </c>
      <c r="F9006" s="9"/>
    </row>
    <row r="9007" ht="33.75" customHeight="1">
      <c r="A9007" s="7">
        <v>352.0</v>
      </c>
      <c r="B9007" s="9" t="s">
        <v>15103</v>
      </c>
      <c r="C9007" s="9" t="s">
        <v>15104</v>
      </c>
      <c r="D9007" s="9" t="s">
        <v>75</v>
      </c>
      <c r="E9007" s="6" t="s">
        <v>15108</v>
      </c>
      <c r="F9007" s="9"/>
    </row>
    <row r="9008" ht="33.75" customHeight="1">
      <c r="A9008" s="7">
        <v>352.0</v>
      </c>
      <c r="B9008" s="9" t="s">
        <v>15103</v>
      </c>
      <c r="C9008" s="9" t="s">
        <v>15104</v>
      </c>
      <c r="D9008" s="9" t="s">
        <v>79</v>
      </c>
      <c r="E9008" s="6" t="s">
        <v>15108</v>
      </c>
      <c r="F9008" s="9"/>
    </row>
    <row r="9009" ht="33.75" customHeight="1">
      <c r="A9009" s="7">
        <v>352.0</v>
      </c>
      <c r="B9009" s="9" t="s">
        <v>15103</v>
      </c>
      <c r="C9009" s="9" t="s">
        <v>15104</v>
      </c>
      <c r="D9009" s="9" t="s">
        <v>81</v>
      </c>
      <c r="E9009" s="6" t="s">
        <v>15109</v>
      </c>
      <c r="F9009" s="9"/>
    </row>
    <row r="9010" ht="33.75" customHeight="1">
      <c r="A9010" s="7">
        <v>352.0</v>
      </c>
      <c r="B9010" s="9" t="s">
        <v>15103</v>
      </c>
      <c r="C9010" s="9" t="s">
        <v>15104</v>
      </c>
      <c r="D9010" s="9" t="s">
        <v>84</v>
      </c>
      <c r="E9010" s="6" t="s">
        <v>15109</v>
      </c>
      <c r="F9010" s="9"/>
    </row>
    <row r="9011" ht="33.75" customHeight="1">
      <c r="A9011" s="7">
        <v>352.0</v>
      </c>
      <c r="B9011" s="9" t="s">
        <v>15103</v>
      </c>
      <c r="C9011" s="9" t="s">
        <v>15104</v>
      </c>
      <c r="D9011" s="9" t="s">
        <v>87</v>
      </c>
      <c r="E9011" s="6" t="s">
        <v>15109</v>
      </c>
      <c r="F9011" s="9"/>
    </row>
    <row r="9012" ht="33.75" customHeight="1">
      <c r="A9012" s="7">
        <v>352.0</v>
      </c>
      <c r="B9012" s="9" t="s">
        <v>15103</v>
      </c>
      <c r="C9012" s="9" t="s">
        <v>15104</v>
      </c>
      <c r="D9012" s="9" t="s">
        <v>89</v>
      </c>
      <c r="E9012" s="6" t="s">
        <v>15110</v>
      </c>
      <c r="F9012" s="9"/>
    </row>
    <row r="9013" ht="33.75" customHeight="1">
      <c r="A9013" s="7">
        <v>352.0</v>
      </c>
      <c r="B9013" s="9" t="s">
        <v>15103</v>
      </c>
      <c r="C9013" s="9" t="s">
        <v>15104</v>
      </c>
      <c r="D9013" s="9" t="s">
        <v>91</v>
      </c>
      <c r="E9013" s="6" t="s">
        <v>15110</v>
      </c>
      <c r="F9013" s="9"/>
    </row>
    <row r="9014" ht="33.75" customHeight="1">
      <c r="A9014" s="7">
        <v>352.0</v>
      </c>
      <c r="B9014" s="9" t="s">
        <v>15103</v>
      </c>
      <c r="C9014" s="9" t="s">
        <v>15104</v>
      </c>
      <c r="D9014" s="9" t="s">
        <v>93</v>
      </c>
      <c r="E9014" s="6" t="s">
        <v>15109</v>
      </c>
      <c r="F9014" s="9"/>
    </row>
    <row r="9015" ht="33.75" customHeight="1">
      <c r="A9015" s="7">
        <v>352.0</v>
      </c>
      <c r="B9015" s="9" t="s">
        <v>15103</v>
      </c>
      <c r="C9015" s="9" t="s">
        <v>15104</v>
      </c>
      <c r="D9015" s="9" t="s">
        <v>95</v>
      </c>
      <c r="E9015" s="6" t="s">
        <v>15109</v>
      </c>
      <c r="F9015" s="9"/>
    </row>
    <row r="9016" ht="33.75" customHeight="1">
      <c r="A9016" s="7">
        <v>352.0</v>
      </c>
      <c r="B9016" s="9" t="s">
        <v>15103</v>
      </c>
      <c r="C9016" s="9" t="s">
        <v>15104</v>
      </c>
      <c r="D9016" s="9" t="s">
        <v>98</v>
      </c>
      <c r="E9016" s="6" t="s">
        <v>15109</v>
      </c>
      <c r="F9016" s="9"/>
    </row>
    <row r="9017" ht="33.75" customHeight="1">
      <c r="A9017" s="7">
        <v>352.0</v>
      </c>
      <c r="B9017" s="9" t="s">
        <v>15103</v>
      </c>
      <c r="C9017" s="9" t="s">
        <v>15104</v>
      </c>
      <c r="D9017" s="9" t="s">
        <v>99</v>
      </c>
      <c r="E9017" s="6" t="s">
        <v>15109</v>
      </c>
      <c r="F9017" s="9"/>
    </row>
    <row r="9018" ht="33.75" customHeight="1">
      <c r="A9018" s="7">
        <v>352.0</v>
      </c>
      <c r="B9018" s="9" t="s">
        <v>15103</v>
      </c>
      <c r="C9018" s="9" t="s">
        <v>15104</v>
      </c>
      <c r="D9018" s="9" t="s">
        <v>101</v>
      </c>
      <c r="E9018" s="6" t="s">
        <v>15109</v>
      </c>
      <c r="F9018" s="9"/>
    </row>
    <row r="9019" ht="33.75" customHeight="1">
      <c r="A9019" s="7">
        <v>352.0</v>
      </c>
      <c r="B9019" s="9" t="s">
        <v>15103</v>
      </c>
      <c r="C9019" s="9" t="s">
        <v>15104</v>
      </c>
      <c r="D9019" s="9" t="s">
        <v>105</v>
      </c>
      <c r="E9019" s="6" t="s">
        <v>15110</v>
      </c>
      <c r="F9019" s="9"/>
    </row>
    <row r="9020" ht="33.75" customHeight="1">
      <c r="A9020" s="7">
        <v>352.0</v>
      </c>
      <c r="B9020" s="9" t="s">
        <v>15103</v>
      </c>
      <c r="C9020" s="9" t="s">
        <v>15104</v>
      </c>
      <c r="D9020" s="9" t="s">
        <v>107</v>
      </c>
      <c r="E9020" s="6" t="s">
        <v>15111</v>
      </c>
      <c r="F9020" s="9"/>
    </row>
    <row r="9021" ht="33.75" customHeight="1">
      <c r="A9021" s="7">
        <v>352.0</v>
      </c>
      <c r="B9021" s="9" t="s">
        <v>15103</v>
      </c>
      <c r="C9021" s="9" t="s">
        <v>15104</v>
      </c>
      <c r="D9021" s="9" t="s">
        <v>109</v>
      </c>
      <c r="E9021" s="6" t="s">
        <v>15112</v>
      </c>
      <c r="F9021" s="9"/>
    </row>
    <row r="9022" ht="33.75" customHeight="1">
      <c r="A9022" s="7">
        <v>352.0</v>
      </c>
      <c r="B9022" s="9" t="s">
        <v>15103</v>
      </c>
      <c r="C9022" s="9" t="s">
        <v>15104</v>
      </c>
      <c r="D9022" s="9" t="s">
        <v>647</v>
      </c>
      <c r="E9022" s="6" t="s">
        <v>15113</v>
      </c>
      <c r="F9022" s="9"/>
    </row>
    <row r="9023" ht="33.75" customHeight="1">
      <c r="A9023" s="7">
        <v>352.0</v>
      </c>
      <c r="B9023" s="9" t="s">
        <v>15103</v>
      </c>
      <c r="C9023" s="9" t="s">
        <v>15104</v>
      </c>
      <c r="D9023" s="9" t="s">
        <v>652</v>
      </c>
      <c r="E9023" s="6" t="s">
        <v>15114</v>
      </c>
      <c r="F9023" s="9"/>
    </row>
    <row r="9024" ht="33.75" customHeight="1">
      <c r="A9024" s="7">
        <v>353.0</v>
      </c>
      <c r="B9024" s="9" t="s">
        <v>15115</v>
      </c>
      <c r="C9024" s="9" t="s">
        <v>15116</v>
      </c>
      <c r="D9024" s="9" t="s">
        <v>67</v>
      </c>
      <c r="E9024" s="6" t="s">
        <v>15117</v>
      </c>
      <c r="F9024" t="inlineStr" s="10">
        <is>
          <t xml:space="preserve">SHUPPETia vetävät puoleensa mustasukkaisuus ja kostonhimo. Jos joku kehittää voimakkaita kostonhimoisia tunteita, tämä POKéMON ilmestyy parvena ja asettuu riviin henkilön kodin räystäiden alle. SHUPPET kasvaa ruokkimalla ihmisten sydämissä olevia synkkiä tunteita, kuten kostonhimoa ja kateutta. Se vaeltaa kaupungeissa etsien ihmisiä tahraavia kaunoja. Tämä POKéMON vaeltelee syvällä yössä etsien negatiivisia tunteita, kuten kaunoja ja kateutta. Se vetäytyy pesäänsä auringon noustessa. Se rakastaa ruokkia tunteita, kuten kateutta ja pahuutta. Sen pystyssä oleva sarvi vangitsee ihmisten tunteet. Se rakastaa kostonhimoisia tunteita ja roikkuu riveissä räystäiden alla taloissa, joissa kostonhimoiset ihmiset asuvat. Se käyttää sarveaan kateuden ja pahansuovan ruokkimiseen, tai niin ainakin sanotaan. Se on hyvin aktiivinen yöllä. Se ruokkii surun ja vihan synkkiä tunteita, jotka saavat sen kasvamaan tasaisesti vahvemmaksi. Se käyttää sarveaan kateuden ja pahansuovan ravinnoksi – tai niin ainakin sanotaan. Se syö itseensä tunteita, kuten pahuutta, mustasukkaisuutta ja kaunan, joten jotkut ihmiset ovat kiitollisia sen läsnäolosta. On olemassa sananlasku, joka kuuluu: ”Vältä taloa, jossa Shuppet kokoontuu hämärän laskeutuessa.”</t>
        </is>
      </c>
    </row>
    <row r="9025" ht="33.75" customHeight="1">
      <c r="A9025" s="7">
        <v>353.0</v>
      </c>
      <c r="B9025" s="9" t="s">
        <v>15115</v>
      </c>
      <c r="C9025" s="9" t="s">
        <v>15116</v>
      </c>
      <c r="D9025" s="9" t="s">
        <v>71</v>
      </c>
      <c r="E9025" s="6" t="s">
        <v>15118</v>
      </c>
      <c r="F9025" s="9"/>
    </row>
    <row r="9026" ht="33.75" customHeight="1">
      <c r="A9026" s="7">
        <v>353.0</v>
      </c>
      <c r="B9026" s="9" t="s">
        <v>15115</v>
      </c>
      <c r="C9026" s="9" t="s">
        <v>15116</v>
      </c>
      <c r="D9026" s="9" t="s">
        <v>73</v>
      </c>
      <c r="E9026" s="6" t="s">
        <v>15119</v>
      </c>
      <c r="F9026" s="9"/>
    </row>
    <row r="9027" ht="33.75" customHeight="1">
      <c r="A9027" s="7">
        <v>353.0</v>
      </c>
      <c r="B9027" s="9" t="s">
        <v>15115</v>
      </c>
      <c r="C9027" s="9" t="s">
        <v>15116</v>
      </c>
      <c r="D9027" s="9" t="s">
        <v>75</v>
      </c>
      <c r="E9027" s="6" t="s">
        <v>15120</v>
      </c>
      <c r="F9027" s="9"/>
    </row>
    <row r="9028" ht="33.75" customHeight="1">
      <c r="A9028" s="7">
        <v>353.0</v>
      </c>
      <c r="B9028" s="9" t="s">
        <v>15115</v>
      </c>
      <c r="C9028" s="9" t="s">
        <v>15116</v>
      </c>
      <c r="D9028" s="9" t="s">
        <v>79</v>
      </c>
      <c r="E9028" s="6" t="s">
        <v>15120</v>
      </c>
      <c r="F9028" s="9"/>
    </row>
    <row r="9029" ht="33.75" customHeight="1">
      <c r="A9029" s="7">
        <v>353.0</v>
      </c>
      <c r="B9029" s="9" t="s">
        <v>15115</v>
      </c>
      <c r="C9029" s="9" t="s">
        <v>15116</v>
      </c>
      <c r="D9029" s="9" t="s">
        <v>81</v>
      </c>
      <c r="E9029" s="6" t="s">
        <v>15121</v>
      </c>
      <c r="F9029" s="9"/>
    </row>
    <row r="9030" ht="33.75" customHeight="1">
      <c r="A9030" s="7">
        <v>353.0</v>
      </c>
      <c r="B9030" s="9" t="s">
        <v>15115</v>
      </c>
      <c r="C9030" s="9" t="s">
        <v>15116</v>
      </c>
      <c r="D9030" s="9" t="s">
        <v>84</v>
      </c>
      <c r="E9030" s="6" t="s">
        <v>15121</v>
      </c>
      <c r="F9030" s="9"/>
    </row>
    <row r="9031" ht="33.75" customHeight="1">
      <c r="A9031" s="7">
        <v>353.0</v>
      </c>
      <c r="B9031" s="9" t="s">
        <v>15115</v>
      </c>
      <c r="C9031" s="9" t="s">
        <v>15116</v>
      </c>
      <c r="D9031" s="9" t="s">
        <v>87</v>
      </c>
      <c r="E9031" s="6" t="s">
        <v>15121</v>
      </c>
      <c r="F9031" s="9"/>
    </row>
    <row r="9032" ht="33.75" customHeight="1">
      <c r="A9032" s="7">
        <v>353.0</v>
      </c>
      <c r="B9032" s="9" t="s">
        <v>15115</v>
      </c>
      <c r="C9032" s="9" t="s">
        <v>15116</v>
      </c>
      <c r="D9032" s="9" t="s">
        <v>89</v>
      </c>
      <c r="E9032" s="6" t="s">
        <v>15122</v>
      </c>
      <c r="F9032" s="9"/>
    </row>
    <row r="9033" ht="33.75" customHeight="1">
      <c r="A9033" s="7">
        <v>353.0</v>
      </c>
      <c r="B9033" s="9" t="s">
        <v>15115</v>
      </c>
      <c r="C9033" s="9" t="s">
        <v>15116</v>
      </c>
      <c r="D9033" s="9" t="s">
        <v>91</v>
      </c>
      <c r="E9033" s="6" t="s">
        <v>15122</v>
      </c>
      <c r="F9033" s="9"/>
    </row>
    <row r="9034" ht="33.75" customHeight="1">
      <c r="A9034" s="7">
        <v>353.0</v>
      </c>
      <c r="B9034" s="9" t="s">
        <v>15115</v>
      </c>
      <c r="C9034" s="9" t="s">
        <v>15116</v>
      </c>
      <c r="D9034" s="9" t="s">
        <v>93</v>
      </c>
      <c r="E9034" s="6" t="s">
        <v>15121</v>
      </c>
      <c r="F9034" s="9"/>
    </row>
    <row r="9035" ht="33.75" customHeight="1">
      <c r="A9035" s="7">
        <v>353.0</v>
      </c>
      <c r="B9035" s="9" t="s">
        <v>15115</v>
      </c>
      <c r="C9035" s="9" t="s">
        <v>15116</v>
      </c>
      <c r="D9035" s="9" t="s">
        <v>95</v>
      </c>
      <c r="E9035" s="6" t="s">
        <v>15121</v>
      </c>
      <c r="F9035" s="9"/>
    </row>
    <row r="9036" ht="33.75" customHeight="1">
      <c r="A9036" s="7">
        <v>353.0</v>
      </c>
      <c r="B9036" s="9" t="s">
        <v>15115</v>
      </c>
      <c r="C9036" s="9" t="s">
        <v>15116</v>
      </c>
      <c r="D9036" s="9" t="s">
        <v>98</v>
      </c>
      <c r="E9036" s="6" t="s">
        <v>15124</v>
      </c>
      <c r="F9036" s="9"/>
    </row>
    <row r="9037" ht="33.75" customHeight="1">
      <c r="A9037" s="7">
        <v>353.0</v>
      </c>
      <c r="B9037" s="9" t="s">
        <v>15115</v>
      </c>
      <c r="C9037" s="9" t="s">
        <v>15116</v>
      </c>
      <c r="D9037" s="9" t="s">
        <v>99</v>
      </c>
      <c r="E9037" s="6" t="s">
        <v>15124</v>
      </c>
      <c r="F9037" s="9"/>
    </row>
    <row r="9038" ht="33.75" customHeight="1">
      <c r="A9038" s="7">
        <v>353.0</v>
      </c>
      <c r="B9038" s="9" t="s">
        <v>15115</v>
      </c>
      <c r="C9038" s="9" t="s">
        <v>15116</v>
      </c>
      <c r="D9038" s="9" t="s">
        <v>101</v>
      </c>
      <c r="E9038" s="6" t="s">
        <v>15125</v>
      </c>
      <c r="F9038" s="9"/>
    </row>
    <row r="9039" ht="33.75" customHeight="1">
      <c r="A9039" s="7">
        <v>353.0</v>
      </c>
      <c r="B9039" s="9" t="s">
        <v>15115</v>
      </c>
      <c r="C9039" s="9" t="s">
        <v>15116</v>
      </c>
      <c r="D9039" s="9" t="s">
        <v>105</v>
      </c>
      <c r="E9039" s="6" t="s">
        <v>15121</v>
      </c>
      <c r="F9039" s="9"/>
    </row>
    <row r="9040" ht="33.75" customHeight="1">
      <c r="A9040" s="7">
        <v>353.0</v>
      </c>
      <c r="B9040" s="9" t="s">
        <v>15115</v>
      </c>
      <c r="C9040" s="9" t="s">
        <v>15116</v>
      </c>
      <c r="D9040" s="9" t="s">
        <v>107</v>
      </c>
      <c r="E9040" s="6" t="s">
        <v>15126</v>
      </c>
      <c r="F9040" s="9"/>
    </row>
    <row r="9041" ht="33.75" customHeight="1">
      <c r="A9041" s="7">
        <v>353.0</v>
      </c>
      <c r="B9041" s="9" t="s">
        <v>15115</v>
      </c>
      <c r="C9041" s="9" t="s">
        <v>15116</v>
      </c>
      <c r="D9041" s="9" t="s">
        <v>109</v>
      </c>
      <c r="E9041" s="6" t="s">
        <v>15127</v>
      </c>
      <c r="F9041" s="9"/>
    </row>
    <row r="9042" ht="33.75" customHeight="1">
      <c r="A9042" s="7">
        <v>353.0</v>
      </c>
      <c r="B9042" s="9" t="s">
        <v>15115</v>
      </c>
      <c r="C9042" s="9" t="s">
        <v>15116</v>
      </c>
      <c r="D9042" s="9" t="s">
        <v>647</v>
      </c>
      <c r="E9042" s="6" t="s">
        <v>15128</v>
      </c>
      <c r="F9042" s="9"/>
    </row>
    <row r="9043" ht="33.75" customHeight="1">
      <c r="A9043" s="7">
        <v>353.0</v>
      </c>
      <c r="B9043" s="9" t="s">
        <v>15115</v>
      </c>
      <c r="C9043" s="9" t="s">
        <v>15116</v>
      </c>
      <c r="D9043" s="9" t="s">
        <v>652</v>
      </c>
      <c r="E9043" s="6" t="s">
        <v>15129</v>
      </c>
      <c r="F9043" s="9"/>
    </row>
    <row r="9044" ht="33.75" customHeight="1">
      <c r="A9044" s="7">
        <v>354.0</v>
      </c>
      <c r="B9044" s="9" t="s">
        <v>15130</v>
      </c>
      <c r="C9044" s="9" t="s">
        <v>15131</v>
      </c>
      <c r="D9044" s="9" t="s">
        <v>67</v>
      </c>
      <c r="E9044" s="6" t="s">
        <v>15132</v>
      </c>
      <c r="F9044" t="inlineStr" s="10">
        <is>
          <t xml:space="preserve">BANETTE tuottaa energiaa voimakkaiden kirousten langettamiseen työntämällä neuloja omaan kehoonsa. Tämä POKéMON oli alun perin säälittävä pehmonukke, joka heitettiin pois. Kirottu energia läpäisi hylätyn ja unohdetun pehmonuken täytteen antaen sille uuden elämän BANETTENA. POKéMONin energia karkaisi, jos se koskaan avaisi suunsa. Hylätystä pehmonukesta tuli tämä POKéMON. Niiden sanotaan asuvan kaatopaikoilla ja vaeltelevan ympäriinsä etsien lapsia, jotka heittivät ne pois. Voimakkaat vihan tunteet muuttivat nuken POKéMONiksi. Jos se avaa suunsa, sen kirottu energia pakenee. Nukke, josta tuli Pokémon romuttamisesta saamansa kaunan vuoksi. Se etsii lasta, joka hylkäsi sen. Tämä Pokémon kehittyi hylätystä nukesta, joka kantoi kaunan. Sitä nähdään pimeillä kujilla. Nukke, josta tuli Pokémon, koska se kaunasi poisheittämistään. Se on pehmolelu, joka heitettiin pois ja josta tuli riivattu, aina etsien sitä, joka heitti sen pois, jotta se voi kostaa. Kauna hylkäämisestä sai sen syntymään. Jotkut sanovat, että sen hyvä kohtelu tyydyttää sen ja siitä tulee jälleen pehmolelu.</t>
        </is>
      </c>
    </row>
    <row r="9045" ht="33.75" customHeight="1">
      <c r="A9045" s="7">
        <v>354.0</v>
      </c>
      <c r="B9045" s="9" t="s">
        <v>15130</v>
      </c>
      <c r="C9045" s="9" t="s">
        <v>15131</v>
      </c>
      <c r="D9045" s="9" t="s">
        <v>71</v>
      </c>
      <c r="E9045" s="6" t="s">
        <v>15133</v>
      </c>
      <c r="F9045" s="9"/>
    </row>
    <row r="9046" ht="33.75" customHeight="1">
      <c r="A9046" s="7">
        <v>354.0</v>
      </c>
      <c r="B9046" s="9" t="s">
        <v>15130</v>
      </c>
      <c r="C9046" s="9" t="s">
        <v>15131</v>
      </c>
      <c r="D9046" s="9" t="s">
        <v>73</v>
      </c>
      <c r="E9046" s="6" t="s">
        <v>15134</v>
      </c>
      <c r="F9046" s="9"/>
    </row>
    <row r="9047" ht="33.75" customHeight="1">
      <c r="A9047" s="7">
        <v>354.0</v>
      </c>
      <c r="B9047" s="9" t="s">
        <v>15130</v>
      </c>
      <c r="C9047" s="9" t="s">
        <v>15131</v>
      </c>
      <c r="D9047" s="9" t="s">
        <v>75</v>
      </c>
      <c r="E9047" s="6" t="s">
        <v>15135</v>
      </c>
      <c r="F9047" s="9"/>
    </row>
    <row r="9048" ht="33.75" customHeight="1">
      <c r="A9048" s="7">
        <v>354.0</v>
      </c>
      <c r="B9048" s="9" t="s">
        <v>15130</v>
      </c>
      <c r="C9048" s="9" t="s">
        <v>15131</v>
      </c>
      <c r="D9048" s="9" t="s">
        <v>79</v>
      </c>
      <c r="E9048" s="6" t="s">
        <v>15135</v>
      </c>
      <c r="F9048" s="9"/>
    </row>
    <row r="9049" ht="33.75" customHeight="1">
      <c r="A9049" s="7">
        <v>354.0</v>
      </c>
      <c r="B9049" s="9" t="s">
        <v>15130</v>
      </c>
      <c r="C9049" s="9" t="s">
        <v>15131</v>
      </c>
      <c r="D9049" s="9" t="s">
        <v>81</v>
      </c>
      <c r="E9049" s="6" t="s">
        <v>15136</v>
      </c>
      <c r="F9049" s="9"/>
    </row>
    <row r="9050" ht="33.75" customHeight="1">
      <c r="A9050" s="7">
        <v>354.0</v>
      </c>
      <c r="B9050" s="9" t="s">
        <v>15130</v>
      </c>
      <c r="C9050" s="9" t="s">
        <v>15131</v>
      </c>
      <c r="D9050" s="9" t="s">
        <v>84</v>
      </c>
      <c r="E9050" s="6" t="s">
        <v>15136</v>
      </c>
      <c r="F9050" s="9"/>
    </row>
    <row r="9051" ht="33.75" customHeight="1">
      <c r="A9051" s="7">
        <v>354.0</v>
      </c>
      <c r="B9051" s="9" t="s">
        <v>15130</v>
      </c>
      <c r="C9051" s="9" t="s">
        <v>15131</v>
      </c>
      <c r="D9051" s="9" t="s">
        <v>87</v>
      </c>
      <c r="E9051" s="6" t="s">
        <v>15136</v>
      </c>
      <c r="F9051" s="9"/>
    </row>
    <row r="9052" ht="33.75" customHeight="1">
      <c r="A9052" s="7">
        <v>354.0</v>
      </c>
      <c r="B9052" s="9" t="s">
        <v>15130</v>
      </c>
      <c r="C9052" s="9" t="s">
        <v>15131</v>
      </c>
      <c r="D9052" s="9" t="s">
        <v>89</v>
      </c>
      <c r="E9052" s="6" t="s">
        <v>15137</v>
      </c>
      <c r="F9052" s="9"/>
    </row>
    <row r="9053" ht="33.75" customHeight="1">
      <c r="A9053" s="7">
        <v>354.0</v>
      </c>
      <c r="B9053" s="9" t="s">
        <v>15130</v>
      </c>
      <c r="C9053" s="9" t="s">
        <v>15131</v>
      </c>
      <c r="D9053" s="9" t="s">
        <v>91</v>
      </c>
      <c r="E9053" s="6" t="s">
        <v>15137</v>
      </c>
      <c r="F9053" s="9"/>
    </row>
    <row r="9054" ht="33.75" customHeight="1">
      <c r="A9054" s="7">
        <v>354.0</v>
      </c>
      <c r="B9054" s="9" t="s">
        <v>15130</v>
      </c>
      <c r="C9054" s="9" t="s">
        <v>15131</v>
      </c>
      <c r="D9054" s="9" t="s">
        <v>93</v>
      </c>
      <c r="E9054" s="6" t="s">
        <v>15136</v>
      </c>
      <c r="F9054" s="9"/>
    </row>
    <row r="9055" ht="33.75" customHeight="1">
      <c r="A9055" s="7">
        <v>354.0</v>
      </c>
      <c r="B9055" s="9" t="s">
        <v>15130</v>
      </c>
      <c r="C9055" s="9" t="s">
        <v>15131</v>
      </c>
      <c r="D9055" s="9" t="s">
        <v>95</v>
      </c>
      <c r="E9055" s="6" t="s">
        <v>15136</v>
      </c>
      <c r="F9055" s="9"/>
    </row>
    <row r="9056" ht="33.75" customHeight="1">
      <c r="A9056" s="7">
        <v>354.0</v>
      </c>
      <c r="B9056" s="9" t="s">
        <v>15130</v>
      </c>
      <c r="C9056" s="9" t="s">
        <v>15131</v>
      </c>
      <c r="D9056" s="9" t="s">
        <v>98</v>
      </c>
      <c r="E9056" s="6" t="s">
        <v>15138</v>
      </c>
      <c r="F9056" s="9"/>
    </row>
    <row r="9057" ht="33.75" customHeight="1">
      <c r="A9057" s="7">
        <v>354.0</v>
      </c>
      <c r="B9057" s="9" t="s">
        <v>15130</v>
      </c>
      <c r="C9057" s="9" t="s">
        <v>15131</v>
      </c>
      <c r="D9057" s="9" t="s">
        <v>99</v>
      </c>
      <c r="E9057" s="6" t="s">
        <v>15138</v>
      </c>
      <c r="F9057" s="9"/>
    </row>
    <row r="9058" ht="33.75" customHeight="1">
      <c r="A9058" s="7">
        <v>354.0</v>
      </c>
      <c r="B9058" s="9" t="s">
        <v>15130</v>
      </c>
      <c r="C9058" s="9" t="s">
        <v>15131</v>
      </c>
      <c r="D9058" s="9" t="s">
        <v>101</v>
      </c>
      <c r="E9058" s="6" t="s">
        <v>15136</v>
      </c>
      <c r="F9058" s="9"/>
    </row>
    <row r="9059" ht="33.75" customHeight="1">
      <c r="A9059" s="7">
        <v>354.0</v>
      </c>
      <c r="B9059" s="9" t="s">
        <v>15130</v>
      </c>
      <c r="C9059" s="9" t="s">
        <v>15131</v>
      </c>
      <c r="D9059" s="9" t="s">
        <v>105</v>
      </c>
      <c r="E9059" s="6" t="s">
        <v>15139</v>
      </c>
      <c r="F9059" s="9"/>
    </row>
    <row r="9060" ht="33.75" customHeight="1">
      <c r="A9060" s="7">
        <v>354.0</v>
      </c>
      <c r="B9060" s="9" t="s">
        <v>15130</v>
      </c>
      <c r="C9060" s="9" t="s">
        <v>15131</v>
      </c>
      <c r="D9060" s="9" t="s">
        <v>107</v>
      </c>
      <c r="E9060" s="6" t="s">
        <v>15141</v>
      </c>
      <c r="F9060" s="9"/>
    </row>
    <row r="9061" ht="33.75" customHeight="1">
      <c r="A9061" s="7">
        <v>354.0</v>
      </c>
      <c r="B9061" s="9" t="s">
        <v>15130</v>
      </c>
      <c r="C9061" s="9" t="s">
        <v>15131</v>
      </c>
      <c r="D9061" s="9" t="s">
        <v>109</v>
      </c>
      <c r="E9061" s="6" t="s">
        <v>15142</v>
      </c>
      <c r="F9061" s="9"/>
    </row>
    <row r="9062" ht="33.75" customHeight="1">
      <c r="A9062" s="7">
        <v>354.0</v>
      </c>
      <c r="B9062" s="9" t="s">
        <v>15130</v>
      </c>
      <c r="C9062" s="9" t="s">
        <v>15131</v>
      </c>
      <c r="D9062" s="9" t="s">
        <v>647</v>
      </c>
      <c r="E9062" s="6" t="s">
        <v>15143</v>
      </c>
      <c r="F9062" s="9"/>
    </row>
    <row r="9063" ht="33.75" customHeight="1">
      <c r="A9063" s="7">
        <v>354.0</v>
      </c>
      <c r="B9063" s="9" t="s">
        <v>15130</v>
      </c>
      <c r="C9063" s="9" t="s">
        <v>15131</v>
      </c>
      <c r="D9063" s="9" t="s">
        <v>652</v>
      </c>
      <c r="E9063" s="6" t="s">
        <v>15144</v>
      </c>
      <c r="F9063" s="9"/>
    </row>
    <row r="9064" ht="33.75" customHeight="1">
      <c r="A9064" s="7">
        <v>355.0</v>
      </c>
      <c r="B9064" s="9" t="s">
        <v>15145</v>
      </c>
      <c r="C9064" s="9" t="s">
        <v>15146</v>
      </c>
      <c r="D9064" s="9" t="s">
        <v>67</v>
      </c>
      <c r="E9064" s="6" t="s">
        <v>15147</v>
      </c>
      <c r="F9064" t="inlineStr" s="10">
        <is>
          <t xml:space="preserve">DUSKULL voi läpäistä minkä tahansa seinän, Duskullin paksuudesta riippumatta. Kun tämä POKéMON valitsee kohteen, se jahtaa sitä sinnikkäästi aamunkoittoon asti. DUSKULL vaeltelee eksyksissä keskiyön pimeydessä. Usein kerrotaan, että huonosti käyttäytyville lapsille annetaan varoitus, jonka mukaan tämä POKéMON ajaa pois pahat lapset, jotka ansaitsevat äitiensä nuhteet. Sen ainoan helakanpunaisen silmän häivähdys jähmettää jopa rotevat aikuiset täydelliseen pelkoon. Se on yöllinen POKéMON, joka vaeltelee pimeyden viitan alla. Se tekee itsensä näkymättömäksi ja hiipii äänettömästi saaliinsa luo. Sillä on kyky livahtaa paksujen seinien läpi. Se jahtaa saalistaan ​​sinnikkäästi minne ikinä se meneekin. Takaa-ajo kuitenkin loppuu auringonnousun aikaan. Se rakastaa lasten itkua. Se säikäyttää pahat lapset menemällä seinien läpi ja saamalla heidät itkemään. Jos se löytää pahoja lapsia, jotka eivät tottele vanhempiaan, se ajaa heidät pois – tai niin ainakin sanotaan. Duskull voi läpäistä minkä tahansa seinän, olipa se kuinka paksu tahansa. Kun tämä Pokémon valitsee kohteen, se jahtaa aiottua uhria sinnikkäästi aamunkoittoon asti. Olen kuullut, että Hisuin lapset alkavat käyttäytyä, kun heille on kerrottu tarina siitä, kuinka tämä Pokémon vaeltelee ympäriinsä ennen noitien hetkeä häätääkseen ilkikurisesti käyttäytyviä lapsia.</t>
        </is>
      </c>
    </row>
    <row r="9065" ht="33.75" customHeight="1">
      <c r="A9065" s="7">
        <v>355.0</v>
      </c>
      <c r="B9065" s="9" t="s">
        <v>15145</v>
      </c>
      <c r="C9065" s="9" t="s">
        <v>15146</v>
      </c>
      <c r="D9065" s="9" t="s">
        <v>71</v>
      </c>
      <c r="E9065" s="6" t="s">
        <v>15148</v>
      </c>
      <c r="F9065" s="9"/>
    </row>
    <row r="9066" ht="33.75" customHeight="1">
      <c r="A9066" s="7">
        <v>355.0</v>
      </c>
      <c r="B9066" s="9" t="s">
        <v>15145</v>
      </c>
      <c r="C9066" s="9" t="s">
        <v>15146</v>
      </c>
      <c r="D9066" s="9" t="s">
        <v>73</v>
      </c>
      <c r="E9066" s="6" t="s">
        <v>15149</v>
      </c>
      <c r="F9066" s="9"/>
    </row>
    <row r="9067" ht="33.75" customHeight="1">
      <c r="A9067" s="7">
        <v>355.0</v>
      </c>
      <c r="B9067" s="9" t="s">
        <v>15145</v>
      </c>
      <c r="C9067" s="9" t="s">
        <v>15146</v>
      </c>
      <c r="D9067" s="9" t="s">
        <v>75</v>
      </c>
      <c r="E9067" s="6" t="s">
        <v>15150</v>
      </c>
      <c r="F9067" s="9"/>
    </row>
    <row r="9068" ht="33.75" customHeight="1">
      <c r="A9068" s="7">
        <v>355.0</v>
      </c>
      <c r="B9068" s="9" t="s">
        <v>15145</v>
      </c>
      <c r="C9068" s="9" t="s">
        <v>15146</v>
      </c>
      <c r="D9068" s="9" t="s">
        <v>79</v>
      </c>
      <c r="E9068" s="6" t="s">
        <v>15150</v>
      </c>
      <c r="F9068" s="9"/>
    </row>
    <row r="9069" ht="33.75" customHeight="1">
      <c r="A9069" s="7">
        <v>355.0</v>
      </c>
      <c r="B9069" s="9" t="s">
        <v>15145</v>
      </c>
      <c r="C9069" s="9" t="s">
        <v>15146</v>
      </c>
      <c r="D9069" s="9" t="s">
        <v>81</v>
      </c>
      <c r="E9069" s="6" t="s">
        <v>15151</v>
      </c>
      <c r="F9069" s="9"/>
    </row>
    <row r="9070" ht="33.75" customHeight="1">
      <c r="A9070" s="7">
        <v>355.0</v>
      </c>
      <c r="B9070" s="9" t="s">
        <v>15145</v>
      </c>
      <c r="C9070" s="9" t="s">
        <v>15146</v>
      </c>
      <c r="D9070" s="9" t="s">
        <v>84</v>
      </c>
      <c r="E9070" s="6" t="s">
        <v>15151</v>
      </c>
      <c r="F9070" s="9"/>
    </row>
    <row r="9071" ht="33.75" customHeight="1">
      <c r="A9071" s="7">
        <v>355.0</v>
      </c>
      <c r="B9071" s="9" t="s">
        <v>15145</v>
      </c>
      <c r="C9071" s="9" t="s">
        <v>15146</v>
      </c>
      <c r="D9071" s="9" t="s">
        <v>87</v>
      </c>
      <c r="E9071" s="6" t="s">
        <v>15152</v>
      </c>
      <c r="F9071" s="9"/>
    </row>
    <row r="9072" ht="33.75" customHeight="1">
      <c r="A9072" s="7">
        <v>355.0</v>
      </c>
      <c r="B9072" s="9" t="s">
        <v>15145</v>
      </c>
      <c r="C9072" s="9" t="s">
        <v>15146</v>
      </c>
      <c r="D9072" s="9" t="s">
        <v>89</v>
      </c>
      <c r="E9072" s="6" t="s">
        <v>15153</v>
      </c>
      <c r="F9072" s="9"/>
    </row>
    <row r="9073" ht="33.75" customHeight="1">
      <c r="A9073" s="7">
        <v>355.0</v>
      </c>
      <c r="B9073" s="9" t="s">
        <v>15145</v>
      </c>
      <c r="C9073" s="9" t="s">
        <v>15146</v>
      </c>
      <c r="D9073" s="9" t="s">
        <v>91</v>
      </c>
      <c r="E9073" s="6" t="s">
        <v>15153</v>
      </c>
      <c r="F9073" s="9"/>
    </row>
    <row r="9074" ht="33.75" customHeight="1">
      <c r="A9074" s="7">
        <v>355.0</v>
      </c>
      <c r="B9074" s="9" t="s">
        <v>15145</v>
      </c>
      <c r="C9074" s="9" t="s">
        <v>15146</v>
      </c>
      <c r="D9074" s="9" t="s">
        <v>93</v>
      </c>
      <c r="E9074" s="6" t="s">
        <v>15152</v>
      </c>
      <c r="F9074" s="9"/>
    </row>
    <row r="9075" ht="33.75" customHeight="1">
      <c r="A9075" s="7">
        <v>355.0</v>
      </c>
      <c r="B9075" s="9" t="s">
        <v>15145</v>
      </c>
      <c r="C9075" s="9" t="s">
        <v>15146</v>
      </c>
      <c r="D9075" s="9" t="s">
        <v>95</v>
      </c>
      <c r="E9075" s="6" t="s">
        <v>15152</v>
      </c>
      <c r="F9075" s="9"/>
    </row>
    <row r="9076" ht="33.75" customHeight="1">
      <c r="A9076" s="7">
        <v>355.0</v>
      </c>
      <c r="B9076" s="9" t="s">
        <v>15145</v>
      </c>
      <c r="C9076" s="9" t="s">
        <v>15146</v>
      </c>
      <c r="D9076" s="9" t="s">
        <v>98</v>
      </c>
      <c r="E9076" s="6" t="s">
        <v>15152</v>
      </c>
      <c r="F9076" s="9"/>
    </row>
    <row r="9077" ht="33.75" customHeight="1">
      <c r="A9077" s="7">
        <v>355.0</v>
      </c>
      <c r="B9077" s="9" t="s">
        <v>15145</v>
      </c>
      <c r="C9077" s="9" t="s">
        <v>15146</v>
      </c>
      <c r="D9077" s="9" t="s">
        <v>99</v>
      </c>
      <c r="E9077" s="6" t="s">
        <v>15152</v>
      </c>
      <c r="F9077" s="9"/>
    </row>
    <row r="9078" ht="33.75" customHeight="1">
      <c r="A9078" s="7">
        <v>355.0</v>
      </c>
      <c r="B9078" s="9" t="s">
        <v>15145</v>
      </c>
      <c r="C9078" s="9" t="s">
        <v>15146</v>
      </c>
      <c r="D9078" s="9" t="s">
        <v>101</v>
      </c>
      <c r="E9078" s="6" t="s">
        <v>15151</v>
      </c>
      <c r="F9078" s="9"/>
    </row>
    <row r="9079" ht="33.75" customHeight="1">
      <c r="A9079" s="7">
        <v>355.0</v>
      </c>
      <c r="B9079" s="9" t="s">
        <v>15145</v>
      </c>
      <c r="C9079" s="9" t="s">
        <v>15146</v>
      </c>
      <c r="D9079" s="9" t="s">
        <v>105</v>
      </c>
      <c r="E9079" s="6" t="s">
        <v>15153</v>
      </c>
      <c r="F9079" s="9"/>
    </row>
    <row r="9080" ht="33.75" customHeight="1">
      <c r="A9080" s="7">
        <v>355.0</v>
      </c>
      <c r="B9080" s="9" t="s">
        <v>15145</v>
      </c>
      <c r="C9080" s="9" t="s">
        <v>15146</v>
      </c>
      <c r="D9080" s="9" t="s">
        <v>107</v>
      </c>
      <c r="E9080" s="6" t="s">
        <v>15154</v>
      </c>
      <c r="F9080" s="9"/>
    </row>
    <row r="9081" ht="33.75" customHeight="1">
      <c r="A9081" s="7">
        <v>355.0</v>
      </c>
      <c r="B9081" s="9" t="s">
        <v>15145</v>
      </c>
      <c r="C9081" s="9" t="s">
        <v>15146</v>
      </c>
      <c r="D9081" s="9" t="s">
        <v>109</v>
      </c>
      <c r="E9081" s="6" t="s">
        <v>15155</v>
      </c>
      <c r="F9081" s="9"/>
    </row>
    <row r="9082" ht="33.75" customHeight="1">
      <c r="A9082" s="7">
        <v>355.0</v>
      </c>
      <c r="B9082" s="9" t="s">
        <v>15145</v>
      </c>
      <c r="C9082" s="9" t="s">
        <v>15146</v>
      </c>
      <c r="D9082" s="9" t="s">
        <v>114</v>
      </c>
      <c r="E9082" s="6" t="s">
        <v>15153</v>
      </c>
      <c r="F9082" s="9"/>
    </row>
    <row r="9083" ht="33.75" customHeight="1">
      <c r="A9083" s="7">
        <v>355.0</v>
      </c>
      <c r="B9083" s="9" t="s">
        <v>15145</v>
      </c>
      <c r="C9083" s="9" t="s">
        <v>15146</v>
      </c>
      <c r="D9083" s="9" t="s">
        <v>117</v>
      </c>
      <c r="E9083" s="6" t="s">
        <v>15150</v>
      </c>
      <c r="F9083" s="9"/>
    </row>
    <row r="9084" ht="33.75" customHeight="1">
      <c r="A9084" s="7">
        <v>355.0</v>
      </c>
      <c r="B9084" s="9" t="s">
        <v>15145</v>
      </c>
      <c r="C9084" s="9" t="s">
        <v>15146</v>
      </c>
      <c r="D9084" s="9" t="s">
        <v>1577</v>
      </c>
      <c r="E9084" s="6" t="s">
        <v>15156</v>
      </c>
      <c r="F9084" s="9"/>
    </row>
    <row r="9085" ht="33.75" customHeight="1">
      <c r="A9085" s="7">
        <v>356.0</v>
      </c>
      <c r="B9085" s="9" t="s">
        <v>15157</v>
      </c>
      <c r="C9085" s="9" t="s">
        <v>15158</v>
      </c>
      <c r="D9085" s="9" t="s">
        <v>67</v>
      </c>
      <c r="E9085" s="6" t="s">
        <v>15159</v>
      </c>
      <c r="F9085" t="inlineStr" s="10">
        <is>
          <t xml:space="preserve">DUSCLOPSin ruumis on täysin ontto – Dusclopsin sisällä ei ole yhtään mitään. Sanotaan, että sen ruumis on kuin musta aukko. Tämä POKéMON imee mitä tahansa ruumiiseensa, mutta mikään ei koskaan tule takaisin ulos. DUSCLOPS imee itseensä minkä tahansa esineen, olipa se kuinka suuri tahansa. Tämä POKéMON hypnotisoi vihollisensa heiluttamalla käsiään makaaberilla tavalla ja osoittamalla ainoalla silmällään. Hypnotisoitu vihollinen pakotetaan tottelemaan DUSCLOPSin käskyjä. Sen rungon uskotaan olevan ontto ja sen sisällä palaa vain aavemainen tulipallo. Kukaan ei kuitenkaan ole pystynyt vahvistamaan tätä teoriaa todeksi. Sen ruumis on kokonaan ontto. Kun se avaa suunsa, se imee kaiken sisäänsä kuin mustan aukon. Sen ruumis on ontto. Sanotaan, että ne, jotka katsovat sen ruumiiseen, imeytyvät tyhjyyteen. Se etsii ajelehtivia virvatulia ja imaisee ne tyhjään ruumiiseensa. Se, mitä sisällä tapahtuu, on mysteeri. Jokaiselta, joka uskaltaa kurkistaa sen ruumiiseen nähdäkseen sen aavemaisen tulipallon, varastetaan henki. Tämä Pokémon imee mitä tahansa kehoonsa, mutta mikään ei koskaan tule takaisin ulos. Dusclops imee itseensä mitä tahansa, olipa esine kuinka suuri tahansa. Tämä Pokémon hypnotisoi vihollisensa heiluttamalla käsiään makaaberilla tavalla ja kohdistamalla ainoan silmänsä lentoon. Huhujen mukaan sen siteisiin käärityn ruumiin sisään kurkistaminen johtaa siihen, että joku vedetään sisään siteiden välisistä raoista, eikä hän koskaan palaa. Olen ollut liian peloissani varmistaakseni tätä.</t>
        </is>
      </c>
    </row>
    <row r="9086" ht="33.75" customHeight="1">
      <c r="A9086" s="7">
        <v>356.0</v>
      </c>
      <c r="B9086" s="9" t="s">
        <v>15157</v>
      </c>
      <c r="C9086" s="9" t="s">
        <v>15158</v>
      </c>
      <c r="D9086" s="9" t="s">
        <v>71</v>
      </c>
      <c r="E9086" s="6" t="s">
        <v>15160</v>
      </c>
      <c r="F9086" s="9"/>
    </row>
    <row r="9087" ht="33.75" customHeight="1">
      <c r="A9087" s="7">
        <v>356.0</v>
      </c>
      <c r="B9087" s="9" t="s">
        <v>15157</v>
      </c>
      <c r="C9087" s="9" t="s">
        <v>15158</v>
      </c>
      <c r="D9087" s="9" t="s">
        <v>73</v>
      </c>
      <c r="E9087" s="6" t="s">
        <v>15161</v>
      </c>
      <c r="F9087" s="9"/>
    </row>
    <row r="9088" ht="33.75" customHeight="1">
      <c r="A9088" s="7">
        <v>356.0</v>
      </c>
      <c r="B9088" s="9" t="s">
        <v>15157</v>
      </c>
      <c r="C9088" s="9" t="s">
        <v>15158</v>
      </c>
      <c r="D9088" s="9" t="s">
        <v>75</v>
      </c>
      <c r="E9088" s="6" t="s">
        <v>15162</v>
      </c>
      <c r="F9088" s="9"/>
    </row>
    <row r="9089" ht="33.75" customHeight="1">
      <c r="A9089" s="7">
        <v>356.0</v>
      </c>
      <c r="B9089" s="9" t="s">
        <v>15157</v>
      </c>
      <c r="C9089" s="9" t="s">
        <v>15158</v>
      </c>
      <c r="D9089" s="9" t="s">
        <v>79</v>
      </c>
      <c r="E9089" s="6" t="s">
        <v>15162</v>
      </c>
      <c r="F9089" s="9"/>
    </row>
    <row r="9090" ht="33.75" customHeight="1">
      <c r="A9090" s="7">
        <v>356.0</v>
      </c>
      <c r="B9090" s="9" t="s">
        <v>15157</v>
      </c>
      <c r="C9090" s="9" t="s">
        <v>15158</v>
      </c>
      <c r="D9090" s="9" t="s">
        <v>81</v>
      </c>
      <c r="E9090" s="6" t="s">
        <v>15164</v>
      </c>
      <c r="F9090" s="9"/>
    </row>
    <row r="9091" ht="33.75" customHeight="1">
      <c r="A9091" s="7">
        <v>356.0</v>
      </c>
      <c r="B9091" s="9" t="s">
        <v>15157</v>
      </c>
      <c r="C9091" s="9" t="s">
        <v>15158</v>
      </c>
      <c r="D9091" s="9" t="s">
        <v>84</v>
      </c>
      <c r="E9091" s="6" t="s">
        <v>15164</v>
      </c>
      <c r="F9091" s="9"/>
    </row>
    <row r="9092" ht="33.75" customHeight="1">
      <c r="A9092" s="7">
        <v>356.0</v>
      </c>
      <c r="B9092" s="9" t="s">
        <v>15157</v>
      </c>
      <c r="C9092" s="9" t="s">
        <v>15158</v>
      </c>
      <c r="D9092" s="9" t="s">
        <v>87</v>
      </c>
      <c r="E9092" s="6" t="s">
        <v>15165</v>
      </c>
      <c r="F9092" s="9"/>
    </row>
    <row r="9093" ht="33.75" customHeight="1">
      <c r="A9093" s="7">
        <v>356.0</v>
      </c>
      <c r="B9093" s="9" t="s">
        <v>15157</v>
      </c>
      <c r="C9093" s="9" t="s">
        <v>15158</v>
      </c>
      <c r="D9093" s="9" t="s">
        <v>89</v>
      </c>
      <c r="E9093" s="6" t="s">
        <v>15166</v>
      </c>
      <c r="F9093" s="9"/>
    </row>
    <row r="9094" ht="33.75" customHeight="1">
      <c r="A9094" s="7">
        <v>356.0</v>
      </c>
      <c r="B9094" s="9" t="s">
        <v>15157</v>
      </c>
      <c r="C9094" s="9" t="s">
        <v>15158</v>
      </c>
      <c r="D9094" s="9" t="s">
        <v>91</v>
      </c>
      <c r="E9094" s="6" t="s">
        <v>15166</v>
      </c>
      <c r="F9094" s="9"/>
    </row>
    <row r="9095" ht="33.75" customHeight="1">
      <c r="A9095" s="7">
        <v>356.0</v>
      </c>
      <c r="B9095" s="9" t="s">
        <v>15157</v>
      </c>
      <c r="C9095" s="9" t="s">
        <v>15158</v>
      </c>
      <c r="D9095" s="9" t="s">
        <v>93</v>
      </c>
      <c r="E9095" s="6" t="s">
        <v>15165</v>
      </c>
      <c r="F9095" s="9"/>
    </row>
    <row r="9096" ht="33.75" customHeight="1">
      <c r="A9096" s="7">
        <v>356.0</v>
      </c>
      <c r="B9096" s="9" t="s">
        <v>15157</v>
      </c>
      <c r="C9096" s="9" t="s">
        <v>15158</v>
      </c>
      <c r="D9096" s="9" t="s">
        <v>95</v>
      </c>
      <c r="E9096" s="6" t="s">
        <v>15165</v>
      </c>
      <c r="F9096" s="9"/>
    </row>
    <row r="9097" ht="33.75" customHeight="1">
      <c r="A9097" s="7">
        <v>356.0</v>
      </c>
      <c r="B9097" s="9" t="s">
        <v>15157</v>
      </c>
      <c r="C9097" s="9" t="s">
        <v>15158</v>
      </c>
      <c r="D9097" s="9" t="s">
        <v>98</v>
      </c>
      <c r="E9097" s="6" t="s">
        <v>15165</v>
      </c>
      <c r="F9097" s="9"/>
    </row>
    <row r="9098" ht="33.75" customHeight="1">
      <c r="A9098" s="7">
        <v>356.0</v>
      </c>
      <c r="B9098" s="9" t="s">
        <v>15157</v>
      </c>
      <c r="C9098" s="9" t="s">
        <v>15158</v>
      </c>
      <c r="D9098" s="9" t="s">
        <v>99</v>
      </c>
      <c r="E9098" s="6" t="s">
        <v>15165</v>
      </c>
      <c r="F9098" s="9"/>
    </row>
    <row r="9099" ht="33.75" customHeight="1">
      <c r="A9099" s="7">
        <v>356.0</v>
      </c>
      <c r="B9099" s="9" t="s">
        <v>15157</v>
      </c>
      <c r="C9099" s="9" t="s">
        <v>15158</v>
      </c>
      <c r="D9099" s="9" t="s">
        <v>101</v>
      </c>
      <c r="E9099" s="6" t="s">
        <v>15166</v>
      </c>
      <c r="F9099" s="9"/>
    </row>
    <row r="9100" ht="33.75" customHeight="1">
      <c r="A9100" s="7">
        <v>356.0</v>
      </c>
      <c r="B9100" s="9" t="s">
        <v>15157</v>
      </c>
      <c r="C9100" s="9" t="s">
        <v>15158</v>
      </c>
      <c r="D9100" s="9" t="s">
        <v>105</v>
      </c>
      <c r="E9100" s="6" t="s">
        <v>15164</v>
      </c>
      <c r="F9100" s="9"/>
    </row>
    <row r="9101" ht="33.75" customHeight="1">
      <c r="A9101" s="7">
        <v>356.0</v>
      </c>
      <c r="B9101" s="9" t="s">
        <v>15157</v>
      </c>
      <c r="C9101" s="9" t="s">
        <v>15158</v>
      </c>
      <c r="D9101" s="9" t="s">
        <v>107</v>
      </c>
      <c r="E9101" s="6" t="s">
        <v>15167</v>
      </c>
      <c r="F9101" s="9"/>
    </row>
    <row r="9102" ht="33.75" customHeight="1">
      <c r="A9102" s="7">
        <v>356.0</v>
      </c>
      <c r="B9102" s="9" t="s">
        <v>15157</v>
      </c>
      <c r="C9102" s="9" t="s">
        <v>15158</v>
      </c>
      <c r="D9102" s="9" t="s">
        <v>109</v>
      </c>
      <c r="E9102" s="6" t="s">
        <v>15168</v>
      </c>
      <c r="F9102" s="9"/>
    </row>
    <row r="9103" ht="33.75" customHeight="1">
      <c r="A9103" s="7">
        <v>356.0</v>
      </c>
      <c r="B9103" s="9" t="s">
        <v>15157</v>
      </c>
      <c r="C9103" s="9" t="s">
        <v>15158</v>
      </c>
      <c r="D9103" s="9" t="s">
        <v>114</v>
      </c>
      <c r="E9103" s="6" t="s">
        <v>15162</v>
      </c>
      <c r="F9103" s="9"/>
    </row>
    <row r="9104" ht="33.75" customHeight="1">
      <c r="A9104" s="7">
        <v>356.0</v>
      </c>
      <c r="B9104" s="9" t="s">
        <v>15157</v>
      </c>
      <c r="C9104" s="9" t="s">
        <v>15158</v>
      </c>
      <c r="D9104" s="9" t="s">
        <v>117</v>
      </c>
      <c r="E9104" s="6" t="s">
        <v>15165</v>
      </c>
      <c r="F9104" s="9"/>
    </row>
    <row r="9105" ht="33.75" customHeight="1">
      <c r="A9105" s="7">
        <v>356.0</v>
      </c>
      <c r="B9105" s="9" t="s">
        <v>15157</v>
      </c>
      <c r="C9105" s="9" t="s">
        <v>15158</v>
      </c>
      <c r="D9105" s="9" t="s">
        <v>1577</v>
      </c>
      <c r="E9105" s="6" t="s">
        <v>15169</v>
      </c>
      <c r="F9105" s="9"/>
    </row>
    <row r="9106" ht="33.75" customHeight="1">
      <c r="A9106" s="7">
        <v>357.0</v>
      </c>
      <c r="B9106" s="9" t="s">
        <v>15170</v>
      </c>
      <c r="C9106" s="9" t="s">
        <v>15171</v>
      </c>
      <c r="D9106" s="9" t="s">
        <v>67</v>
      </c>
      <c r="E9106" s="6" t="s">
        <v>15172</v>
      </c>
      <c r="F9106" t="inlineStr" s="10">
        <is>
          <t xml:space="preserve">Tropiuksen kaulassa olevat hedelmätertut ovat lasten suosikkeja. Tämä POKéMON rakastaa hedelmiä ja syö niitä jatkuvasti. Ilmeisesti sen rakkaus hedelmiin johti sen omiin hedelmänkasvuihin. Eteläisen trooppisen alueen lapset syövät välipalaksi Tropiuksen kaulan ympärillä nipuissa kasvavia hedelmiä. Tämä PokéMON lentää räpyttelemällä selällään olevia lehtiä kuin ne olisivat siivet. Se lentää räpyttelemällä leveitä lehtiään. Sen kaulan ympärillä kasvava hedelmäterttu on herkullisen makea. Keväällä se levittää siitepölyä kaulastaan. Se elää trooppisissa viidakoissa. Sen kaulassa oleva hedelmäterttu on herkullinen. Hedelmä kasvaa kaksi kertaa vuodessa. Koska se söi jatkuvasti vain lempihedelmäänsä, hedelmä alkoi kasvaa sen kaulan ympärille. Sen kaulasta kasvoi herkullisia hedelmiä, koska se söi aina samanlaisia ​​hedelmiä. Sen kaulassa oleva hedelmäterttu kypsyy kahdesti vuodessa ja on herkullinen. Se on erittäin suosittu trooppinen välipala. Se lentää räpyttelemällä leveitä lehtiään ja antaa kaulassaan olevat makeat, herkulliset hedelmät lapsilleen. Eteläisen trooppisen alueen lapset syövät välipalaksi Tropiuksen kaulan ympärillä nipuissa kasvavaa hedelmää. Tämä Pokémon lentää räpyttelemällä selällään olevia lehtiä kuin ne olisivat siipiä. Alolassa Tropius-hedelmien kaulan ympärillä kasvavat hedelmätertut ovat erityisen makeita verrattuna muiden alueiden hedelmiin. Sen kaulan ympärillä kasvaa herkullisia hedelmiä. Lämpimillä alueilla monet tilat kasvattavat trooppisia pyrstöjä.</t>
        </is>
      </c>
    </row>
    <row r="9107" ht="33.75" customHeight="1">
      <c r="A9107" s="7">
        <v>357.0</v>
      </c>
      <c r="B9107" s="9" t="s">
        <v>15170</v>
      </c>
      <c r="C9107" s="9" t="s">
        <v>15171</v>
      </c>
      <c r="D9107" s="9" t="s">
        <v>71</v>
      </c>
      <c r="E9107" s="6" t="s">
        <v>15173</v>
      </c>
      <c r="F9107" s="9"/>
    </row>
    <row r="9108" ht="33.75" customHeight="1">
      <c r="A9108" s="7">
        <v>357.0</v>
      </c>
      <c r="B9108" s="9" t="s">
        <v>15170</v>
      </c>
      <c r="C9108" s="9" t="s">
        <v>15171</v>
      </c>
      <c r="D9108" s="9" t="s">
        <v>73</v>
      </c>
      <c r="E9108" s="6" t="s">
        <v>15174</v>
      </c>
      <c r="F9108" s="9"/>
    </row>
    <row r="9109" ht="33.75" customHeight="1">
      <c r="A9109" s="7">
        <v>357.0</v>
      </c>
      <c r="B9109" s="9" t="s">
        <v>15170</v>
      </c>
      <c r="C9109" s="9" t="s">
        <v>15171</v>
      </c>
      <c r="D9109" s="9" t="s">
        <v>75</v>
      </c>
      <c r="E9109" s="6" t="s">
        <v>15175</v>
      </c>
      <c r="F9109" s="9"/>
    </row>
    <row r="9110" ht="33.75" customHeight="1">
      <c r="A9110" s="7">
        <v>357.0</v>
      </c>
      <c r="B9110" s="9" t="s">
        <v>15170</v>
      </c>
      <c r="C9110" s="9" t="s">
        <v>15171</v>
      </c>
      <c r="D9110" s="9" t="s">
        <v>79</v>
      </c>
      <c r="E9110" s="6" t="s">
        <v>15175</v>
      </c>
      <c r="F9110" s="9"/>
    </row>
    <row r="9111" ht="33.75" customHeight="1">
      <c r="A9111" s="7">
        <v>357.0</v>
      </c>
      <c r="B9111" s="9" t="s">
        <v>15170</v>
      </c>
      <c r="C9111" s="9" t="s">
        <v>15171</v>
      </c>
      <c r="D9111" s="9" t="s">
        <v>81</v>
      </c>
      <c r="E9111" s="6" t="s">
        <v>15176</v>
      </c>
      <c r="F9111" s="9"/>
    </row>
    <row r="9112" ht="33.75" customHeight="1">
      <c r="A9112" s="7">
        <v>357.0</v>
      </c>
      <c r="B9112" s="9" t="s">
        <v>15170</v>
      </c>
      <c r="C9112" s="9" t="s">
        <v>15171</v>
      </c>
      <c r="D9112" s="9" t="s">
        <v>84</v>
      </c>
      <c r="E9112" s="6" t="s">
        <v>15176</v>
      </c>
      <c r="F9112" s="9"/>
    </row>
    <row r="9113" ht="33.75" customHeight="1">
      <c r="A9113" s="7">
        <v>357.0</v>
      </c>
      <c r="B9113" s="9" t="s">
        <v>15170</v>
      </c>
      <c r="C9113" s="9" t="s">
        <v>15171</v>
      </c>
      <c r="D9113" s="9" t="s">
        <v>87</v>
      </c>
      <c r="E9113" s="6" t="s">
        <v>15177</v>
      </c>
      <c r="F9113" s="9"/>
    </row>
    <row r="9114" ht="33.75" customHeight="1">
      <c r="A9114" s="7">
        <v>357.0</v>
      </c>
      <c r="B9114" s="9" t="s">
        <v>15170</v>
      </c>
      <c r="C9114" s="9" t="s">
        <v>15171</v>
      </c>
      <c r="D9114" s="9" t="s">
        <v>89</v>
      </c>
      <c r="E9114" s="6" t="s">
        <v>15178</v>
      </c>
      <c r="F9114" s="9"/>
    </row>
    <row r="9115" ht="33.75" customHeight="1">
      <c r="A9115" s="7">
        <v>357.0</v>
      </c>
      <c r="B9115" s="9" t="s">
        <v>15170</v>
      </c>
      <c r="C9115" s="9" t="s">
        <v>15171</v>
      </c>
      <c r="D9115" s="9" t="s">
        <v>91</v>
      </c>
      <c r="E9115" s="6" t="s">
        <v>15178</v>
      </c>
      <c r="F9115" s="9"/>
    </row>
    <row r="9116" ht="33.75" customHeight="1">
      <c r="A9116" s="7">
        <v>357.0</v>
      </c>
      <c r="B9116" s="9" t="s">
        <v>15170</v>
      </c>
      <c r="C9116" s="9" t="s">
        <v>15171</v>
      </c>
      <c r="D9116" s="9" t="s">
        <v>93</v>
      </c>
      <c r="E9116" s="6" t="s">
        <v>15177</v>
      </c>
      <c r="F9116" s="9"/>
    </row>
    <row r="9117" ht="33.75" customHeight="1">
      <c r="A9117" s="7">
        <v>357.0</v>
      </c>
      <c r="B9117" s="9" t="s">
        <v>15170</v>
      </c>
      <c r="C9117" s="9" t="s">
        <v>15171</v>
      </c>
      <c r="D9117" s="9" t="s">
        <v>95</v>
      </c>
      <c r="E9117" s="6" t="s">
        <v>15177</v>
      </c>
      <c r="F9117" s="9"/>
    </row>
    <row r="9118" ht="33.75" customHeight="1">
      <c r="A9118" s="7">
        <v>357.0</v>
      </c>
      <c r="B9118" s="9" t="s">
        <v>15170</v>
      </c>
      <c r="C9118" s="9" t="s">
        <v>15171</v>
      </c>
      <c r="D9118" s="9" t="s">
        <v>98</v>
      </c>
      <c r="E9118" s="6" t="s">
        <v>15180</v>
      </c>
      <c r="F9118" s="9"/>
    </row>
    <row r="9119" ht="33.75" customHeight="1">
      <c r="A9119" s="7">
        <v>357.0</v>
      </c>
      <c r="B9119" s="9" t="s">
        <v>15170</v>
      </c>
      <c r="C9119" s="9" t="s">
        <v>15171</v>
      </c>
      <c r="D9119" s="9" t="s">
        <v>99</v>
      </c>
      <c r="E9119" s="6" t="s">
        <v>15180</v>
      </c>
      <c r="F9119" s="9"/>
    </row>
    <row r="9120" ht="33.75" customHeight="1">
      <c r="A9120" s="7">
        <v>357.0</v>
      </c>
      <c r="B9120" s="9" t="s">
        <v>15170</v>
      </c>
      <c r="C9120" s="9" t="s">
        <v>15171</v>
      </c>
      <c r="D9120" s="9" t="s">
        <v>101</v>
      </c>
      <c r="E9120" s="6" t="s">
        <v>15180</v>
      </c>
      <c r="F9120" s="9"/>
    </row>
    <row r="9121" ht="33.75" customHeight="1">
      <c r="A9121" s="7">
        <v>357.0</v>
      </c>
      <c r="B9121" s="9" t="s">
        <v>15170</v>
      </c>
      <c r="C9121" s="9" t="s">
        <v>15171</v>
      </c>
      <c r="D9121" s="9" t="s">
        <v>105</v>
      </c>
      <c r="E9121" s="6" t="s">
        <v>15178</v>
      </c>
      <c r="F9121" s="9"/>
    </row>
    <row r="9122" ht="33.75" customHeight="1">
      <c r="A9122" s="7">
        <v>357.0</v>
      </c>
      <c r="B9122" s="9" t="s">
        <v>15170</v>
      </c>
      <c r="C9122" s="9" t="s">
        <v>15171</v>
      </c>
      <c r="D9122" s="9" t="s">
        <v>107</v>
      </c>
      <c r="E9122" s="6" t="s">
        <v>15181</v>
      </c>
      <c r="F9122" s="9"/>
    </row>
    <row r="9123" ht="33.75" customHeight="1">
      <c r="A9123" s="7">
        <v>357.0</v>
      </c>
      <c r="B9123" s="9" t="s">
        <v>15170</v>
      </c>
      <c r="C9123" s="9" t="s">
        <v>15171</v>
      </c>
      <c r="D9123" s="9" t="s">
        <v>109</v>
      </c>
      <c r="E9123" s="6" t="s">
        <v>15182</v>
      </c>
      <c r="F9123" s="9"/>
    </row>
    <row r="9124" ht="33.75" customHeight="1">
      <c r="A9124" s="7">
        <v>357.0</v>
      </c>
      <c r="B9124" s="9" t="s">
        <v>15170</v>
      </c>
      <c r="C9124" s="9" t="s">
        <v>15171</v>
      </c>
      <c r="D9124" s="9" t="s">
        <v>647</v>
      </c>
      <c r="E9124" s="6" t="s">
        <v>15183</v>
      </c>
      <c r="F9124" s="9"/>
    </row>
    <row r="9125" ht="33.75" customHeight="1">
      <c r="A9125" s="7">
        <v>357.0</v>
      </c>
      <c r="B9125" s="9" t="s">
        <v>15170</v>
      </c>
      <c r="C9125" s="9" t="s">
        <v>15171</v>
      </c>
      <c r="D9125" s="9" t="s">
        <v>652</v>
      </c>
      <c r="E9125" s="6" t="s">
        <v>15184</v>
      </c>
      <c r="F9125" s="9"/>
    </row>
    <row r="9126" ht="33.75" customHeight="1">
      <c r="A9126" s="7">
        <v>358.0</v>
      </c>
      <c r="B9126" s="9" t="s">
        <v>15185</v>
      </c>
      <c r="C9126" s="9" t="s">
        <v>15186</v>
      </c>
      <c r="D9126" s="9" t="s">
        <v>67</v>
      </c>
      <c r="E9126" s="6" t="s">
        <v>15187</v>
      </c>
      <c r="F9126" t="inlineStr" s="10">
        <is>
          <t xml:space="preserve">CHIMECHO saa huutonsa kaikumaan onton ruumiinsa sisällä. Kun tämä POKéMON raivostuu, sen huudot aiheuttavat ultraääniaaltoja, joilla on kyky lennättää viholliset lentoon. Kovassa tuulessa CHIMECHO itkee roikkuessaan puun oksalla tai rakennuksen räystäällä imukupin avulla päässään. Tämä POKéMON poimii marjoja pitkällä hännällään ja syö ne. Ne lentävät erittäin aktiivisesti kuuman kauden saapuessa. Ne kommunikoivat keskenään seitsemällä erilaisella ja erottuvalla huudolla. Se matkustaa tuulen varassa. Se käyttää taitavasti pitkää häntäänsä poimiakseen pähkinöitä ja marjoja, joita se rakastaa syödä. Lyödäkseen viholliset lentoon se saa ilman väreilemään huudoillaan. Se keskustelee seitsemällä huudolla. Se lähettää ultraäänihuutoja ja kulkee tuulen mukana pitkiä matkoja. Sen huudot kaikuvat sen onton ruumiin sisällä ja nousevat esiin kauniina sävelinä vihollisten säikäyttämiseen ja torjumiseen. Se käyttää päässään olevaa imukuppia roikkuakseen puussa tai räystäällä. Se voi tuottaa seitsemän eri ääntä. Voi lähettää riittävän voimakkaita ilmaaaltoja tyrmätäkseen itseään pidemmän saaliin. Oletukseni on, että se vahvistaa tuulen heikkoa ääntä kehossaan.</t>
        </is>
      </c>
    </row>
    <row r="9127" ht="33.75" customHeight="1">
      <c r="A9127" s="7">
        <v>358.0</v>
      </c>
      <c r="B9127" s="9" t="s">
        <v>15185</v>
      </c>
      <c r="C9127" s="9" t="s">
        <v>15186</v>
      </c>
      <c r="D9127" s="9" t="s">
        <v>71</v>
      </c>
      <c r="E9127" s="6" t="s">
        <v>15188</v>
      </c>
      <c r="F9127" s="9"/>
    </row>
    <row r="9128" ht="33.75" customHeight="1">
      <c r="A9128" s="7">
        <v>358.0</v>
      </c>
      <c r="B9128" s="9" t="s">
        <v>15185</v>
      </c>
      <c r="C9128" s="9" t="s">
        <v>15186</v>
      </c>
      <c r="D9128" s="9" t="s">
        <v>73</v>
      </c>
      <c r="E9128" s="6" t="s">
        <v>15189</v>
      </c>
      <c r="F9128" s="9"/>
    </row>
    <row r="9129" ht="33.75" customHeight="1">
      <c r="A9129" s="7">
        <v>358.0</v>
      </c>
      <c r="B9129" s="9" t="s">
        <v>15185</v>
      </c>
      <c r="C9129" s="9" t="s">
        <v>15186</v>
      </c>
      <c r="D9129" s="9" t="s">
        <v>75</v>
      </c>
      <c r="E9129" s="6" t="s">
        <v>15190</v>
      </c>
      <c r="F9129" s="9"/>
    </row>
    <row r="9130" ht="33.75" customHeight="1">
      <c r="A9130" s="7">
        <v>358.0</v>
      </c>
      <c r="B9130" s="9" t="s">
        <v>15185</v>
      </c>
      <c r="C9130" s="9" t="s">
        <v>15186</v>
      </c>
      <c r="D9130" s="9" t="s">
        <v>79</v>
      </c>
      <c r="E9130" s="6" t="s">
        <v>15190</v>
      </c>
      <c r="F9130" s="9"/>
    </row>
    <row r="9131" ht="33.75" customHeight="1">
      <c r="A9131" s="7">
        <v>358.0</v>
      </c>
      <c r="B9131" s="9" t="s">
        <v>15185</v>
      </c>
      <c r="C9131" s="9" t="s">
        <v>15186</v>
      </c>
      <c r="D9131" s="9" t="s">
        <v>81</v>
      </c>
      <c r="E9131" s="6" t="s">
        <v>15191</v>
      </c>
      <c r="F9131" s="9"/>
    </row>
    <row r="9132" ht="33.75" customHeight="1">
      <c r="A9132" s="7">
        <v>358.0</v>
      </c>
      <c r="B9132" s="9" t="s">
        <v>15185</v>
      </c>
      <c r="C9132" s="9" t="s">
        <v>15186</v>
      </c>
      <c r="D9132" s="9" t="s">
        <v>84</v>
      </c>
      <c r="E9132" s="6" t="s">
        <v>15192</v>
      </c>
      <c r="F9132" s="9"/>
    </row>
    <row r="9133" ht="33.75" customHeight="1">
      <c r="A9133" s="7">
        <v>358.0</v>
      </c>
      <c r="B9133" s="9" t="s">
        <v>15185</v>
      </c>
      <c r="C9133" s="9" t="s">
        <v>15186</v>
      </c>
      <c r="D9133" s="9" t="s">
        <v>87</v>
      </c>
      <c r="E9133" s="6" t="s">
        <v>15193</v>
      </c>
      <c r="F9133" s="9"/>
    </row>
    <row r="9134" ht="33.75" customHeight="1">
      <c r="A9134" s="7">
        <v>358.0</v>
      </c>
      <c r="B9134" s="9" t="s">
        <v>15185</v>
      </c>
      <c r="C9134" s="9" t="s">
        <v>15186</v>
      </c>
      <c r="D9134" s="9" t="s">
        <v>89</v>
      </c>
      <c r="E9134" s="6" t="s">
        <v>15194</v>
      </c>
      <c r="F9134" s="9"/>
    </row>
    <row r="9135" ht="33.75" customHeight="1">
      <c r="A9135" s="7">
        <v>358.0</v>
      </c>
      <c r="B9135" s="9" t="s">
        <v>15185</v>
      </c>
      <c r="C9135" s="9" t="s">
        <v>15186</v>
      </c>
      <c r="D9135" s="9" t="s">
        <v>91</v>
      </c>
      <c r="E9135" s="6" t="s">
        <v>15194</v>
      </c>
      <c r="F9135" s="9"/>
    </row>
    <row r="9136" ht="33.75" customHeight="1">
      <c r="A9136" s="7">
        <v>358.0</v>
      </c>
      <c r="B9136" s="9" t="s">
        <v>15185</v>
      </c>
      <c r="C9136" s="9" t="s">
        <v>15186</v>
      </c>
      <c r="D9136" s="9" t="s">
        <v>93</v>
      </c>
      <c r="E9136" s="6" t="s">
        <v>15193</v>
      </c>
      <c r="F9136" s="9"/>
    </row>
    <row r="9137" ht="33.75" customHeight="1">
      <c r="A9137" s="7">
        <v>358.0</v>
      </c>
      <c r="B9137" s="9" t="s">
        <v>15185</v>
      </c>
      <c r="C9137" s="9" t="s">
        <v>15186</v>
      </c>
      <c r="D9137" s="9" t="s">
        <v>95</v>
      </c>
      <c r="E9137" s="6" t="s">
        <v>15193</v>
      </c>
      <c r="F9137" s="9"/>
    </row>
    <row r="9138" ht="33.75" customHeight="1">
      <c r="A9138" s="7">
        <v>358.0</v>
      </c>
      <c r="B9138" s="9" t="s">
        <v>15185</v>
      </c>
      <c r="C9138" s="9" t="s">
        <v>15186</v>
      </c>
      <c r="D9138" s="9" t="s">
        <v>98</v>
      </c>
      <c r="E9138" s="6" t="s">
        <v>15193</v>
      </c>
      <c r="F9138" s="9"/>
    </row>
    <row r="9139" ht="33.75" customHeight="1">
      <c r="A9139" s="7">
        <v>358.0</v>
      </c>
      <c r="B9139" s="9" t="s">
        <v>15185</v>
      </c>
      <c r="C9139" s="9" t="s">
        <v>15186</v>
      </c>
      <c r="D9139" s="9" t="s">
        <v>99</v>
      </c>
      <c r="E9139" s="6" t="s">
        <v>15193</v>
      </c>
      <c r="F9139" s="9"/>
    </row>
    <row r="9140" ht="33.75" customHeight="1">
      <c r="A9140" s="7">
        <v>358.0</v>
      </c>
      <c r="B9140" s="9" t="s">
        <v>15185</v>
      </c>
      <c r="C9140" s="9" t="s">
        <v>15186</v>
      </c>
      <c r="D9140" s="9" t="s">
        <v>101</v>
      </c>
      <c r="E9140" s="6" t="s">
        <v>15194</v>
      </c>
      <c r="F9140" s="9"/>
    </row>
    <row r="9141" ht="33.75" customHeight="1">
      <c r="A9141" s="7">
        <v>358.0</v>
      </c>
      <c r="B9141" s="9" t="s">
        <v>15185</v>
      </c>
      <c r="C9141" s="9" t="s">
        <v>15186</v>
      </c>
      <c r="D9141" s="9" t="s">
        <v>105</v>
      </c>
      <c r="E9141" s="6" t="s">
        <v>15192</v>
      </c>
      <c r="F9141" s="9"/>
    </row>
    <row r="9142" ht="33.75" customHeight="1">
      <c r="A9142" s="7">
        <v>358.0</v>
      </c>
      <c r="B9142" s="9" t="s">
        <v>15185</v>
      </c>
      <c r="C9142" s="9" t="s">
        <v>15186</v>
      </c>
      <c r="D9142" s="9" t="s">
        <v>107</v>
      </c>
      <c r="E9142" s="6" t="s">
        <v>15195</v>
      </c>
      <c r="F9142" s="9"/>
    </row>
    <row r="9143" ht="33.75" customHeight="1">
      <c r="A9143" s="7">
        <v>358.0</v>
      </c>
      <c r="B9143" s="9" t="s">
        <v>15185</v>
      </c>
      <c r="C9143" s="9" t="s">
        <v>15186</v>
      </c>
      <c r="D9143" s="9" t="s">
        <v>109</v>
      </c>
      <c r="E9143" s="6" t="s">
        <v>15196</v>
      </c>
      <c r="F9143" s="9"/>
    </row>
    <row r="9144" ht="33.75" customHeight="1">
      <c r="A9144" s="7">
        <v>358.0</v>
      </c>
      <c r="B9144" s="9" t="s">
        <v>15185</v>
      </c>
      <c r="C9144" s="9" t="s">
        <v>15186</v>
      </c>
      <c r="D9144" s="9" t="s">
        <v>1577</v>
      </c>
      <c r="E9144" s="6" t="s">
        <v>15198</v>
      </c>
      <c r="F9144" s="9"/>
    </row>
    <row r="9145" ht="33.75" customHeight="1">
      <c r="A9145" s="7">
        <v>359.0</v>
      </c>
      <c r="B9145" s="9" t="s">
        <v>15199</v>
      </c>
      <c r="C9145" s="9" t="s">
        <v>15200</v>
      </c>
      <c r="D9145" s="9" t="s">
        <v>67</v>
      </c>
      <c r="E9145" s="6" t="s">
        <v>15201</v>
      </c>
      <c r="F9145" t="inlineStr" s="10">
        <is>
          <t xml:space="preserve">Joka kerta, kun ABSOL ilmestyy ihmisten eteen, sitä seuraa katastrofi, kuten maanjäristys tai hyökyaalto. Tämän seurauksena se tunnettiin katastrofi-POKéMONina. ABSOLilla on kyky ennustaa luonnonkatastrofien tuloa. Se elää ankarassa ja karussa vuoristoympäristössä. Tämä POKéMON laskeutuu vuorilta hyvin harvoin. Se aistii tarkasti jopa hienovaraisimmat muutokset taivaalla ja maassa ennustaakseen luonnonkatastrofeja. Se on pitkäikäinen POKéMON, jonka elinikä on 100 vuotta. Se ilmestyy, kun se aistii uhkaavan luonnonkatastrofin. Tämän seurauksena sitä on virheellisesti pidetty tuhon tuojana. Se aistii tulevat katastrofit ja ilmestyy ihmisten eteen vain varoittaakseen heitä uhkaavasta vaarasta. Huhujen mukaan se aisti katastrofeja torvellaan, joten siitä tuli maalitaulu. Se pakeni syvälle vuorille. Sillä on kyky ennustaa luonnonkatastrofeja. Sen elinikä on yli sata vuotta. Se ilmestyy syvältä vuorista varoittamaan ihmisiä tulevista katastrofeista, jotka se on aistinut torvellaan. Tämän seurauksena siitä tuli katastrofi-Pokémon. Kauan sitten levitettiin siitä taikauskoa, jonka mukaan se toi tuhoa. Tämä ruokki vihaa sitä kohtaan, ja se ajettiin syvälle vuorille. Vaikka sen sanotaan tuovan katastrofia, todellisuudessa tällä Pokémonilla on rauhallinen luonne ja se varoittaa ihmisiä uhkaavista kriiseistä. Absolin ainoa epäonnentekijä on sen ulkonäkö. Se suojelee peltoja ja varoittaa ihmisiä onnettomuudesta, joten siitä pitäisi olla kiitollinen. Vanhukset kutsuvat sitä katastrofi-Pokémoniksi ja inhoavat sitä, mutta kiinnostus sen kykyyn ennustaa katastrofeja on kasvussa. Tuulen lailla nopea Absol kiitää peltojen ja vuorten halki. Sen kaareva, jousenmuotoinen sarvi on erittäin herkkä luonnonkatastrofien varoitusmerkeille. Koska tämä Pokémon pystyy havaitsemaan vaaran, ihmiset luulivat Absolia tuhon tuojaksi.</t>
        </is>
      </c>
    </row>
    <row r="9146" ht="33.75" customHeight="1">
      <c r="A9146" s="7">
        <v>359.0</v>
      </c>
      <c r="B9146" s="9" t="s">
        <v>15199</v>
      </c>
      <c r="C9146" s="9" t="s">
        <v>15200</v>
      </c>
      <c r="D9146" s="9" t="s">
        <v>71</v>
      </c>
      <c r="E9146" s="6" t="s">
        <v>15202</v>
      </c>
      <c r="F9146" s="9"/>
    </row>
    <row r="9147" ht="33.75" customHeight="1">
      <c r="A9147" s="7">
        <v>359.0</v>
      </c>
      <c r="B9147" s="9" t="s">
        <v>15199</v>
      </c>
      <c r="C9147" s="9" t="s">
        <v>15200</v>
      </c>
      <c r="D9147" s="9" t="s">
        <v>73</v>
      </c>
      <c r="E9147" s="6" t="s">
        <v>15203</v>
      </c>
      <c r="F9147" s="9"/>
    </row>
    <row r="9148" ht="33.75" customHeight="1">
      <c r="A9148" s="7">
        <v>359.0</v>
      </c>
      <c r="B9148" s="9" t="s">
        <v>15199</v>
      </c>
      <c r="C9148" s="9" t="s">
        <v>15200</v>
      </c>
      <c r="D9148" s="9" t="s">
        <v>75</v>
      </c>
      <c r="E9148" s="6" t="s">
        <v>15204</v>
      </c>
      <c r="F9148" s="9"/>
    </row>
    <row r="9149" ht="33.75" customHeight="1">
      <c r="A9149" s="7">
        <v>359.0</v>
      </c>
      <c r="B9149" s="9" t="s">
        <v>15199</v>
      </c>
      <c r="C9149" s="9" t="s">
        <v>15200</v>
      </c>
      <c r="D9149" s="9" t="s">
        <v>79</v>
      </c>
      <c r="E9149" s="6" t="s">
        <v>15204</v>
      </c>
      <c r="F9149" s="9"/>
    </row>
    <row r="9150" ht="33.75" customHeight="1">
      <c r="A9150" s="7">
        <v>359.0</v>
      </c>
      <c r="B9150" s="9" t="s">
        <v>15199</v>
      </c>
      <c r="C9150" s="9" t="s">
        <v>15200</v>
      </c>
      <c r="D9150" s="9" t="s">
        <v>81</v>
      </c>
      <c r="E9150" s="6" t="s">
        <v>15205</v>
      </c>
      <c r="F9150" s="9"/>
    </row>
    <row r="9151" ht="33.75" customHeight="1">
      <c r="A9151" s="7">
        <v>359.0</v>
      </c>
      <c r="B9151" s="9" t="s">
        <v>15199</v>
      </c>
      <c r="C9151" s="9" t="s">
        <v>15200</v>
      </c>
      <c r="D9151" s="9" t="s">
        <v>84</v>
      </c>
      <c r="E9151" s="6" t="s">
        <v>15205</v>
      </c>
      <c r="F9151" s="9"/>
    </row>
    <row r="9152" ht="33.75" customHeight="1">
      <c r="A9152" s="7">
        <v>359.0</v>
      </c>
      <c r="B9152" s="9" t="s">
        <v>15199</v>
      </c>
      <c r="C9152" s="9" t="s">
        <v>15200</v>
      </c>
      <c r="D9152" s="9" t="s">
        <v>87</v>
      </c>
      <c r="E9152" s="6" t="s">
        <v>15206</v>
      </c>
      <c r="F9152" s="9"/>
    </row>
    <row r="9153" ht="33.75" customHeight="1">
      <c r="A9153" s="7">
        <v>359.0</v>
      </c>
      <c r="B9153" s="9" t="s">
        <v>15199</v>
      </c>
      <c r="C9153" s="9" t="s">
        <v>15200</v>
      </c>
      <c r="D9153" s="9" t="s">
        <v>89</v>
      </c>
      <c r="E9153" s="6" t="s">
        <v>15207</v>
      </c>
      <c r="F9153" s="9"/>
    </row>
    <row r="9154" ht="33.75" customHeight="1">
      <c r="A9154" s="7">
        <v>359.0</v>
      </c>
      <c r="B9154" s="9" t="s">
        <v>15199</v>
      </c>
      <c r="C9154" s="9" t="s">
        <v>15200</v>
      </c>
      <c r="D9154" s="9" t="s">
        <v>91</v>
      </c>
      <c r="E9154" s="6" t="s">
        <v>15207</v>
      </c>
      <c r="F9154" s="9"/>
    </row>
    <row r="9155" ht="33.75" customHeight="1">
      <c r="A9155" s="7">
        <v>359.0</v>
      </c>
      <c r="B9155" s="9" t="s">
        <v>15199</v>
      </c>
      <c r="C9155" s="9" t="s">
        <v>15200</v>
      </c>
      <c r="D9155" s="9" t="s">
        <v>93</v>
      </c>
      <c r="E9155" s="6" t="s">
        <v>15206</v>
      </c>
      <c r="F9155" s="9"/>
    </row>
    <row r="9156" ht="33.75" customHeight="1">
      <c r="A9156" s="7">
        <v>359.0</v>
      </c>
      <c r="B9156" s="9" t="s">
        <v>15199</v>
      </c>
      <c r="C9156" s="9" t="s">
        <v>15200</v>
      </c>
      <c r="D9156" s="9" t="s">
        <v>95</v>
      </c>
      <c r="E9156" s="6" t="s">
        <v>15206</v>
      </c>
      <c r="F9156" s="9"/>
    </row>
    <row r="9157" ht="33.75" customHeight="1">
      <c r="A9157" s="7">
        <v>359.0</v>
      </c>
      <c r="B9157" s="9" t="s">
        <v>15199</v>
      </c>
      <c r="C9157" s="9" t="s">
        <v>15200</v>
      </c>
      <c r="D9157" s="9" t="s">
        <v>98</v>
      </c>
      <c r="E9157" s="6" t="s">
        <v>15208</v>
      </c>
      <c r="F9157" s="9"/>
    </row>
    <row r="9158" ht="33.75" customHeight="1">
      <c r="A9158" s="7">
        <v>359.0</v>
      </c>
      <c r="B9158" s="9" t="s">
        <v>15199</v>
      </c>
      <c r="C9158" s="9" t="s">
        <v>15200</v>
      </c>
      <c r="D9158" s="9" t="s">
        <v>99</v>
      </c>
      <c r="E9158" s="6" t="s">
        <v>15208</v>
      </c>
      <c r="F9158" s="9"/>
    </row>
    <row r="9159" ht="33.75" customHeight="1">
      <c r="A9159" s="7">
        <v>359.0</v>
      </c>
      <c r="B9159" s="9" t="s">
        <v>15199</v>
      </c>
      <c r="C9159" s="9" t="s">
        <v>15200</v>
      </c>
      <c r="D9159" s="9" t="s">
        <v>101</v>
      </c>
      <c r="E9159" s="6" t="s">
        <v>15205</v>
      </c>
      <c r="F9159" s="9"/>
    </row>
    <row r="9160" ht="33.75" customHeight="1">
      <c r="A9160" s="7">
        <v>359.0</v>
      </c>
      <c r="B9160" s="9" t="s">
        <v>15199</v>
      </c>
      <c r="C9160" s="9" t="s">
        <v>15200</v>
      </c>
      <c r="D9160" s="9" t="s">
        <v>105</v>
      </c>
      <c r="E9160" s="6" t="s">
        <v>15204</v>
      </c>
      <c r="F9160" s="9"/>
    </row>
    <row r="9161" ht="33.75" customHeight="1">
      <c r="A9161" s="7">
        <v>359.0</v>
      </c>
      <c r="B9161" s="9" t="s">
        <v>15199</v>
      </c>
      <c r="C9161" s="9" t="s">
        <v>15200</v>
      </c>
      <c r="D9161" s="9" t="s">
        <v>107</v>
      </c>
      <c r="E9161" s="6" t="s">
        <v>15209</v>
      </c>
      <c r="F9161" s="9"/>
    </row>
    <row r="9162" ht="33.75" customHeight="1">
      <c r="A9162" s="7">
        <v>359.0</v>
      </c>
      <c r="B9162" s="9" t="s">
        <v>15199</v>
      </c>
      <c r="C9162" s="9" t="s">
        <v>15200</v>
      </c>
      <c r="D9162" s="9" t="s">
        <v>109</v>
      </c>
      <c r="E9162" s="6" t="s">
        <v>15210</v>
      </c>
      <c r="F9162" s="9"/>
    </row>
    <row r="9163" ht="33.75" customHeight="1">
      <c r="A9163" s="7">
        <v>359.0</v>
      </c>
      <c r="B9163" s="9" t="s">
        <v>15199</v>
      </c>
      <c r="C9163" s="9" t="s">
        <v>15200</v>
      </c>
      <c r="D9163" s="9" t="s">
        <v>637</v>
      </c>
      <c r="E9163" s="6" t="s">
        <v>15211</v>
      </c>
      <c r="F9163" s="9"/>
    </row>
    <row r="9164" ht="33.75" customHeight="1">
      <c r="A9164" s="7">
        <v>359.0</v>
      </c>
      <c r="B9164" s="9" t="s">
        <v>15199</v>
      </c>
      <c r="C9164" s="9" t="s">
        <v>15200</v>
      </c>
      <c r="D9164" s="9" t="s">
        <v>642</v>
      </c>
      <c r="E9164" s="6" t="s">
        <v>15212</v>
      </c>
      <c r="F9164" s="9"/>
    </row>
    <row r="9165" ht="33.75" customHeight="1">
      <c r="A9165" s="7">
        <v>359.0</v>
      </c>
      <c r="B9165" s="9" t="s">
        <v>15199</v>
      </c>
      <c r="C9165" s="9" t="s">
        <v>15200</v>
      </c>
      <c r="D9165" s="9" t="s">
        <v>647</v>
      </c>
      <c r="E9165" s="6" t="s">
        <v>15214</v>
      </c>
      <c r="F9165" s="9"/>
    </row>
    <row r="9166" ht="33.75" customHeight="1">
      <c r="A9166" s="7">
        <v>359.0</v>
      </c>
      <c r="B9166" s="9" t="s">
        <v>15199</v>
      </c>
      <c r="C9166" s="9" t="s">
        <v>15200</v>
      </c>
      <c r="D9166" s="9" t="s">
        <v>652</v>
      </c>
      <c r="E9166" s="6" t="s">
        <v>15215</v>
      </c>
      <c r="F9166" s="9"/>
    </row>
    <row r="9167" ht="33.75" customHeight="1">
      <c r="A9167" s="7">
        <v>359.0</v>
      </c>
      <c r="B9167" s="9" t="s">
        <v>15199</v>
      </c>
      <c r="C9167" s="9" t="s">
        <v>15200</v>
      </c>
      <c r="D9167" s="9" t="s">
        <v>114</v>
      </c>
      <c r="E9167" s="6" t="s">
        <v>15216</v>
      </c>
      <c r="F9167" s="9"/>
    </row>
    <row r="9168" ht="33.75" customHeight="1">
      <c r="A9168" s="7">
        <v>359.0</v>
      </c>
      <c r="B9168" s="9" t="s">
        <v>15199</v>
      </c>
      <c r="C9168" s="9" t="s">
        <v>15200</v>
      </c>
      <c r="D9168" s="9" t="s">
        <v>117</v>
      </c>
      <c r="E9168" s="6" t="s">
        <v>15217</v>
      </c>
      <c r="F9168" s="9"/>
    </row>
    <row r="9169" ht="33.75" customHeight="1">
      <c r="A9169" s="7">
        <v>360.0</v>
      </c>
      <c r="B9169" s="9" t="s">
        <v>15218</v>
      </c>
      <c r="C9169" s="9" t="s">
        <v>15219</v>
      </c>
      <c r="D9169" s="9" t="s">
        <v>67</v>
      </c>
      <c r="E9169" s="6" t="s">
        <v>15220</v>
      </c>
      <c r="F9169" t="inlineStr" s="10">
        <is>
          <t xml:space="preserve">WYNAUTin voi aina nähdä leveä, onnellinen hymy kasvoillaan. Katso sen häntää nähdäksesi, onko se vihainen. Vihaisena tämä POKéMON läimäyttää maata hännällään. WYNAUTit kokoontuvat kuutamoöinä pelaamaan puristautumalla toisiaan vasten. Puristuksen seurauksena nämä POKéMONit saavat kestävyyttä ja ne koulutetaan tekemään voimakkaita vastahyökkäyksiä. WYNAUT rakastaa syödä makeita hedelmiä. Se poimii taitavasti hedelmiä korvamaisilla käsillään. Tuoksu houkuttelee niitä hedelmätarhoihin. Se liikkuu yleensä laumassa muiden kanssa. Ne ryhmittyvät tiiviiksi ryhmiksi nukkumaan luolassa. Se vahvistuu työntymällä joukolla muita vasten. Se rakastaa makeiden hedelmien syömistä. Se liikkuu yleensä laumassa. Yksilöt painautuvat toisiaan vasten kovettuakseen mielialaansa. Wynautilla voi aina nähdä leveän, iloisen hymyn kasvoillaan. Wynautit kokoontuvat kuutamoöinä leikkimään puristautumalla toisiaan vasten. Puristuksen seurauksena tämä Pokémon saa kestävyyttä ja koulutetaan tekemään voimakkaita vastahyökkäyksiä.</t>
        </is>
      </c>
    </row>
    <row r="9170" ht="33.75" customHeight="1">
      <c r="A9170" s="7">
        <v>360.0</v>
      </c>
      <c r="B9170" s="9" t="s">
        <v>15218</v>
      </c>
      <c r="C9170" s="9" t="s">
        <v>15219</v>
      </c>
      <c r="D9170" s="9" t="s">
        <v>71</v>
      </c>
      <c r="E9170" s="6" t="s">
        <v>15221</v>
      </c>
      <c r="F9170" s="9"/>
    </row>
    <row r="9171" ht="33.75" customHeight="1">
      <c r="A9171" s="7">
        <v>360.0</v>
      </c>
      <c r="B9171" s="9" t="s">
        <v>15218</v>
      </c>
      <c r="C9171" s="9" t="s">
        <v>15219</v>
      </c>
      <c r="D9171" s="9" t="s">
        <v>73</v>
      </c>
      <c r="E9171" s="6" t="s">
        <v>15222</v>
      </c>
      <c r="F9171" s="9"/>
    </row>
    <row r="9172" ht="33.75" customHeight="1">
      <c r="A9172" s="7">
        <v>360.0</v>
      </c>
      <c r="B9172" s="9" t="s">
        <v>15218</v>
      </c>
      <c r="C9172" s="9" t="s">
        <v>15219</v>
      </c>
      <c r="D9172" s="9" t="s">
        <v>75</v>
      </c>
      <c r="E9172" s="6" t="s">
        <v>15223</v>
      </c>
      <c r="F9172" s="9"/>
    </row>
    <row r="9173" ht="33.75" customHeight="1">
      <c r="A9173" s="7">
        <v>360.0</v>
      </c>
      <c r="B9173" s="9" t="s">
        <v>15218</v>
      </c>
      <c r="C9173" s="9" t="s">
        <v>15219</v>
      </c>
      <c r="D9173" s="9" t="s">
        <v>79</v>
      </c>
      <c r="E9173" s="6" t="s">
        <v>15223</v>
      </c>
      <c r="F9173" s="9"/>
    </row>
    <row r="9174" ht="33.75" customHeight="1">
      <c r="A9174" s="7">
        <v>360.0</v>
      </c>
      <c r="B9174" s="9" t="s">
        <v>15218</v>
      </c>
      <c r="C9174" s="9" t="s">
        <v>15219</v>
      </c>
      <c r="D9174" s="9" t="s">
        <v>81</v>
      </c>
      <c r="E9174" s="6" t="s">
        <v>15224</v>
      </c>
      <c r="F9174" s="9"/>
    </row>
    <row r="9175" ht="33.75" customHeight="1">
      <c r="A9175" s="7">
        <v>360.0</v>
      </c>
      <c r="B9175" s="9" t="s">
        <v>15218</v>
      </c>
      <c r="C9175" s="9" t="s">
        <v>15219</v>
      </c>
      <c r="D9175" s="9" t="s">
        <v>84</v>
      </c>
      <c r="E9175" s="6" t="s">
        <v>15224</v>
      </c>
      <c r="F9175" s="9"/>
    </row>
    <row r="9176" ht="33.75" customHeight="1">
      <c r="A9176" s="7">
        <v>360.0</v>
      </c>
      <c r="B9176" s="9" t="s">
        <v>15218</v>
      </c>
      <c r="C9176" s="9" t="s">
        <v>15219</v>
      </c>
      <c r="D9176" s="9" t="s">
        <v>87</v>
      </c>
      <c r="E9176" s="6" t="s">
        <v>15224</v>
      </c>
      <c r="F9176" s="9"/>
    </row>
    <row r="9177" ht="33.75" customHeight="1">
      <c r="A9177" s="7">
        <v>360.0</v>
      </c>
      <c r="B9177" s="9" t="s">
        <v>15218</v>
      </c>
      <c r="C9177" s="9" t="s">
        <v>15219</v>
      </c>
      <c r="D9177" s="9" t="s">
        <v>89</v>
      </c>
      <c r="E9177" s="6" t="s">
        <v>15225</v>
      </c>
      <c r="F9177" s="9"/>
    </row>
    <row r="9178" ht="33.75" customHeight="1">
      <c r="A9178" s="7">
        <v>360.0</v>
      </c>
      <c r="B9178" s="9" t="s">
        <v>15218</v>
      </c>
      <c r="C9178" s="9" t="s">
        <v>15219</v>
      </c>
      <c r="D9178" s="9" t="s">
        <v>91</v>
      </c>
      <c r="E9178" s="6" t="s">
        <v>15225</v>
      </c>
      <c r="F9178" s="9"/>
    </row>
    <row r="9179" ht="33.75" customHeight="1">
      <c r="A9179" s="7">
        <v>360.0</v>
      </c>
      <c r="B9179" s="9" t="s">
        <v>15218</v>
      </c>
      <c r="C9179" s="9" t="s">
        <v>15219</v>
      </c>
      <c r="D9179" s="9" t="s">
        <v>93</v>
      </c>
      <c r="E9179" s="6" t="s">
        <v>15224</v>
      </c>
      <c r="F9179" s="9"/>
    </row>
    <row r="9180" ht="33.75" customHeight="1">
      <c r="A9180" s="7">
        <v>360.0</v>
      </c>
      <c r="B9180" s="9" t="s">
        <v>15218</v>
      </c>
      <c r="C9180" s="9" t="s">
        <v>15219</v>
      </c>
      <c r="D9180" s="9" t="s">
        <v>95</v>
      </c>
      <c r="E9180" s="6" t="s">
        <v>15224</v>
      </c>
      <c r="F9180" s="9"/>
    </row>
    <row r="9181" ht="33.75" customHeight="1">
      <c r="A9181" s="7">
        <v>360.0</v>
      </c>
      <c r="B9181" s="9" t="s">
        <v>15218</v>
      </c>
      <c r="C9181" s="9" t="s">
        <v>15219</v>
      </c>
      <c r="D9181" s="9" t="s">
        <v>98</v>
      </c>
      <c r="E9181" s="6" t="s">
        <v>15224</v>
      </c>
      <c r="F9181" s="9"/>
    </row>
    <row r="9182" ht="33.75" customHeight="1">
      <c r="A9182" s="7">
        <v>360.0</v>
      </c>
      <c r="B9182" s="9" t="s">
        <v>15218</v>
      </c>
      <c r="C9182" s="9" t="s">
        <v>15219</v>
      </c>
      <c r="D9182" s="9" t="s">
        <v>99</v>
      </c>
      <c r="E9182" s="6" t="s">
        <v>15224</v>
      </c>
      <c r="F9182" s="9"/>
    </row>
    <row r="9183" ht="33.75" customHeight="1">
      <c r="A9183" s="7">
        <v>360.0</v>
      </c>
      <c r="B9183" s="9" t="s">
        <v>15218</v>
      </c>
      <c r="C9183" s="9" t="s">
        <v>15219</v>
      </c>
      <c r="D9183" s="9" t="s">
        <v>101</v>
      </c>
      <c r="E9183" s="6" t="s">
        <v>15223</v>
      </c>
      <c r="F9183" s="9"/>
    </row>
    <row r="9184" ht="33.75" customHeight="1">
      <c r="A9184" s="7">
        <v>360.0</v>
      </c>
      <c r="B9184" s="9" t="s">
        <v>15218</v>
      </c>
      <c r="C9184" s="9" t="s">
        <v>15219</v>
      </c>
      <c r="D9184" s="9" t="s">
        <v>105</v>
      </c>
      <c r="E9184" s="6" t="s">
        <v>15224</v>
      </c>
      <c r="F9184" s="9"/>
    </row>
    <row r="9185" ht="33.75" customHeight="1">
      <c r="A9185" s="7">
        <v>360.0</v>
      </c>
      <c r="B9185" s="9" t="s">
        <v>15218</v>
      </c>
      <c r="C9185" s="9" t="s">
        <v>15219</v>
      </c>
      <c r="D9185" s="9" t="s">
        <v>107</v>
      </c>
      <c r="E9185" s="6" t="s">
        <v>15226</v>
      </c>
      <c r="F9185" s="9"/>
    </row>
    <row r="9186" ht="33.75" customHeight="1">
      <c r="A9186" s="7">
        <v>360.0</v>
      </c>
      <c r="B9186" s="9" t="s">
        <v>15218</v>
      </c>
      <c r="C9186" s="9" t="s">
        <v>15219</v>
      </c>
      <c r="D9186" s="9" t="s">
        <v>109</v>
      </c>
      <c r="E9186" s="6" t="s">
        <v>15228</v>
      </c>
      <c r="F9186" s="9"/>
    </row>
    <row r="9187" ht="33.75" customHeight="1">
      <c r="A9187" s="7">
        <v>360.0</v>
      </c>
      <c r="B9187" s="9" t="s">
        <v>15218</v>
      </c>
      <c r="C9187" s="9" t="s">
        <v>15219</v>
      </c>
      <c r="D9187" s="9" t="s">
        <v>114</v>
      </c>
      <c r="E9187" s="6" t="s">
        <v>15225</v>
      </c>
      <c r="F9187" s="9"/>
    </row>
    <row r="9188" ht="33.75" customHeight="1">
      <c r="A9188" s="7">
        <v>360.0</v>
      </c>
      <c r="B9188" s="9" t="s">
        <v>15218</v>
      </c>
      <c r="C9188" s="9" t="s">
        <v>15219</v>
      </c>
      <c r="D9188" s="9" t="s">
        <v>117</v>
      </c>
      <c r="E9188" s="6" t="s">
        <v>15223</v>
      </c>
      <c r="F9188" s="9"/>
    </row>
    <row r="9189" ht="33.75" customHeight="1">
      <c r="A9189" s="7">
        <v>361.0</v>
      </c>
      <c r="B9189" s="9" t="s">
        <v>15229</v>
      </c>
      <c r="C9189" s="9" t="s">
        <v>15230</v>
      </c>
      <c r="D9189" s="9" t="s">
        <v>67</v>
      </c>
      <c r="E9189" s="6" t="s">
        <v>15231</v>
      </c>
      <c r="F9189" t="inlineStr" s="10">
        <is>
          <t xml:space="preserve">SNORUNTIT elävät runsaslumisilla alueilla. Lunta vailla olevina vuodenaikoina, kuten keväällä ja kesällä, nämä POKéMONit livahtavat hiljaa elämään tippukivien ja tippukivien sekaan syvälle luoliin. SNORUNT selviää syömällä vain lunta ja jäätä. Vanhan kansanperinteen mukaan tämän POKéMONin vierailema talo kukoistaa varmasti useiden sukupolvien ajan. Ne liikkuvat yleensä noin viiden yksilön ryhmissä. Lumisilla alueilla sanotaan, että kun niitä nähdään myöhään yöllä, lumisade saapuu aamuun mennessä. Sanotaan, että koti, jossa SNORUNT vierailee, menestyy. Se kestää jopa -73 celsiusastetta. Lumimaassa tiettyjen kansanperinteiden mukaan talo menestyy, jos siellä asuu SNORUNT. Sanotaan, että useita SNORUNT-eläimiä kokoontuu jättimäisten lehtien alle ja elää yhdessä harmoniassa. Sanotaan, että jos niitä nähdään keskiyöllä, ne aiheuttavat rankkaa lumisadetta. Ne syövät lunta ja jäätä selviytyäkseen. Sanotaan, että useita Snorunt-suvun asukkaita kokoontuu jättimäisten lehtien alle ja elää yhdessä harmoniassa. Snoruntit elävät alueilla, joilla sataa paljon lunta. Luntamattomina vuodenaikoina, kuten keväällä ja kesällä, tämä Pokémon livahtaa hiljaa elämään tippukivien ja tippukivien sekaan syvälle luoliin. Niiden määrä näyttää kasvaneen nopeasti Alolassa. Perinteen mukaan talot, joissa Snoruntit asuvat, tulevat olemaan vauraita sukupolvien ajan. Se selviää vain kylmillä alueilla. Se pomppii iloisesti ympäriinsä jopa -73 celsiusasteen pakkasessa. Se syö pääasiassa jäätä ja lunta. Se pystyy selviytymään vain rajoitetussa määrässä paikkoja lämpimällä Alolan alueella. Kylmiltä alueilta kotoisin olevat rikkaat ihmiset jakavat lapsuusmuistoja Snoruntin kanssa leikkimisestä. Se voi selviytyä vain kylmillä alueilla. Se pomppii iloisesti ympäriinsä jopa −73 celsiusasteen kylmyydessä. Saapuu ensilumen mukana. Snoruntin vierailemien kotien uskotaan menestyvän useiden sukupolvien ajan. Perinteen mukaan joku saattaa tarjota puhtaasta vedestä tehdyn jääpalan etuovelle.</t>
        </is>
      </c>
    </row>
    <row r="9190" ht="33.75" customHeight="1">
      <c r="A9190" s="7">
        <v>361.0</v>
      </c>
      <c r="B9190" s="9" t="s">
        <v>15229</v>
      </c>
      <c r="C9190" s="9" t="s">
        <v>15230</v>
      </c>
      <c r="D9190" s="9" t="s">
        <v>71</v>
      </c>
      <c r="E9190" s="6" t="s">
        <v>15232</v>
      </c>
      <c r="F9190" s="9"/>
    </row>
    <row r="9191" ht="33.75" customHeight="1">
      <c r="A9191" s="7">
        <v>361.0</v>
      </c>
      <c r="B9191" s="9" t="s">
        <v>15229</v>
      </c>
      <c r="C9191" s="9" t="s">
        <v>15230</v>
      </c>
      <c r="D9191" s="9" t="s">
        <v>73</v>
      </c>
      <c r="E9191" s="6" t="s">
        <v>15233</v>
      </c>
      <c r="F9191" s="9"/>
    </row>
    <row r="9192" ht="33.75" customHeight="1">
      <c r="A9192" s="7">
        <v>361.0</v>
      </c>
      <c r="B9192" s="9" t="s">
        <v>15229</v>
      </c>
      <c r="C9192" s="9" t="s">
        <v>15230</v>
      </c>
      <c r="D9192" s="9" t="s">
        <v>75</v>
      </c>
      <c r="E9192" s="6" t="s">
        <v>15234</v>
      </c>
      <c r="F9192" s="9"/>
    </row>
    <row r="9193" ht="33.75" customHeight="1">
      <c r="A9193" s="7">
        <v>361.0</v>
      </c>
      <c r="B9193" s="9" t="s">
        <v>15229</v>
      </c>
      <c r="C9193" s="9" t="s">
        <v>15230</v>
      </c>
      <c r="D9193" s="9" t="s">
        <v>79</v>
      </c>
      <c r="E9193" s="6" t="s">
        <v>15234</v>
      </c>
      <c r="F9193" s="9"/>
    </row>
    <row r="9194" ht="33.75" customHeight="1">
      <c r="A9194" s="7">
        <v>361.0</v>
      </c>
      <c r="B9194" s="9" t="s">
        <v>15229</v>
      </c>
      <c r="C9194" s="9" t="s">
        <v>15230</v>
      </c>
      <c r="D9194" s="9" t="s">
        <v>81</v>
      </c>
      <c r="E9194" s="6" t="s">
        <v>15235</v>
      </c>
      <c r="F9194" s="9"/>
    </row>
    <row r="9195" ht="33.75" customHeight="1">
      <c r="A9195" s="7">
        <v>361.0</v>
      </c>
      <c r="B9195" s="9" t="s">
        <v>15229</v>
      </c>
      <c r="C9195" s="9" t="s">
        <v>15230</v>
      </c>
      <c r="D9195" s="9" t="s">
        <v>84</v>
      </c>
      <c r="E9195" s="6" t="s">
        <v>15235</v>
      </c>
      <c r="F9195" s="9"/>
    </row>
    <row r="9196" ht="33.75" customHeight="1">
      <c r="A9196" s="7">
        <v>361.0</v>
      </c>
      <c r="B9196" s="9" t="s">
        <v>15229</v>
      </c>
      <c r="C9196" s="9" t="s">
        <v>15230</v>
      </c>
      <c r="D9196" s="9" t="s">
        <v>87</v>
      </c>
      <c r="E9196" s="6" t="s">
        <v>15236</v>
      </c>
      <c r="F9196" s="9"/>
    </row>
    <row r="9197" ht="33.75" customHeight="1">
      <c r="A9197" s="7">
        <v>361.0</v>
      </c>
      <c r="B9197" s="9" t="s">
        <v>15229</v>
      </c>
      <c r="C9197" s="9" t="s">
        <v>15230</v>
      </c>
      <c r="D9197" s="9" t="s">
        <v>89</v>
      </c>
      <c r="E9197" s="6" t="s">
        <v>15237</v>
      </c>
      <c r="F9197" s="9"/>
    </row>
    <row r="9198" ht="33.75" customHeight="1">
      <c r="A9198" s="7">
        <v>361.0</v>
      </c>
      <c r="B9198" s="9" t="s">
        <v>15229</v>
      </c>
      <c r="C9198" s="9" t="s">
        <v>15230</v>
      </c>
      <c r="D9198" s="9" t="s">
        <v>91</v>
      </c>
      <c r="E9198" s="6" t="s">
        <v>15237</v>
      </c>
      <c r="F9198" s="9"/>
    </row>
    <row r="9199" ht="33.75" customHeight="1">
      <c r="A9199" s="7">
        <v>361.0</v>
      </c>
      <c r="B9199" s="9" t="s">
        <v>15229</v>
      </c>
      <c r="C9199" s="9" t="s">
        <v>15230</v>
      </c>
      <c r="D9199" s="9" t="s">
        <v>93</v>
      </c>
      <c r="E9199" s="6" t="s">
        <v>15238</v>
      </c>
      <c r="F9199" s="9"/>
    </row>
    <row r="9200" ht="33.75" customHeight="1">
      <c r="A9200" s="7">
        <v>361.0</v>
      </c>
      <c r="B9200" s="9" t="s">
        <v>15229</v>
      </c>
      <c r="C9200" s="9" t="s">
        <v>15230</v>
      </c>
      <c r="D9200" s="9" t="s">
        <v>95</v>
      </c>
      <c r="E9200" s="6" t="s">
        <v>15238</v>
      </c>
      <c r="F9200" s="9"/>
    </row>
    <row r="9201" ht="33.75" customHeight="1">
      <c r="A9201" s="7">
        <v>361.0</v>
      </c>
      <c r="B9201" s="9" t="s">
        <v>15229</v>
      </c>
      <c r="C9201" s="9" t="s">
        <v>15230</v>
      </c>
      <c r="D9201" s="9" t="s">
        <v>98</v>
      </c>
      <c r="E9201" s="6" t="s">
        <v>15238</v>
      </c>
      <c r="F9201" s="9"/>
    </row>
    <row r="9202" ht="33.75" customHeight="1">
      <c r="A9202" s="7">
        <v>361.0</v>
      </c>
      <c r="B9202" s="9" t="s">
        <v>15229</v>
      </c>
      <c r="C9202" s="9" t="s">
        <v>15230</v>
      </c>
      <c r="D9202" s="9" t="s">
        <v>99</v>
      </c>
      <c r="E9202" s="6" t="s">
        <v>15238</v>
      </c>
      <c r="F9202" s="9"/>
    </row>
    <row r="9203" ht="33.75" customHeight="1">
      <c r="A9203" s="7">
        <v>361.0</v>
      </c>
      <c r="B9203" s="9" t="s">
        <v>15229</v>
      </c>
      <c r="C9203" s="9" t="s">
        <v>15230</v>
      </c>
      <c r="D9203" s="9" t="s">
        <v>101</v>
      </c>
      <c r="E9203" s="6" t="s">
        <v>15238</v>
      </c>
      <c r="F9203" s="9"/>
    </row>
    <row r="9204" ht="33.75" customHeight="1">
      <c r="A9204" s="7">
        <v>361.0</v>
      </c>
      <c r="B9204" s="9" t="s">
        <v>15229</v>
      </c>
      <c r="C9204" s="9" t="s">
        <v>15230</v>
      </c>
      <c r="D9204" s="9" t="s">
        <v>105</v>
      </c>
      <c r="E9204" s="6" t="s">
        <v>15239</v>
      </c>
      <c r="F9204" s="9"/>
    </row>
    <row r="9205" ht="33.75" customHeight="1">
      <c r="A9205" s="7">
        <v>361.0</v>
      </c>
      <c r="B9205" s="9" t="s">
        <v>15229</v>
      </c>
      <c r="C9205" s="9" t="s">
        <v>15230</v>
      </c>
      <c r="D9205" s="9" t="s">
        <v>107</v>
      </c>
      <c r="E9205" s="6" t="s">
        <v>15240</v>
      </c>
      <c r="F9205" s="9"/>
    </row>
    <row r="9206" ht="33.75" customHeight="1">
      <c r="A9206" s="7">
        <v>361.0</v>
      </c>
      <c r="B9206" s="9" t="s">
        <v>15229</v>
      </c>
      <c r="C9206" s="9" t="s">
        <v>15230</v>
      </c>
      <c r="D9206" s="9" t="s">
        <v>109</v>
      </c>
      <c r="E9206" s="6" t="s">
        <v>15241</v>
      </c>
      <c r="F9206" s="9"/>
    </row>
    <row r="9207" ht="33.75" customHeight="1">
      <c r="A9207" s="7">
        <v>361.0</v>
      </c>
      <c r="B9207" s="9" t="s">
        <v>15229</v>
      </c>
      <c r="C9207" s="9" t="s">
        <v>15230</v>
      </c>
      <c r="D9207" s="9" t="s">
        <v>637</v>
      </c>
      <c r="E9207" s="6" t="s">
        <v>15242</v>
      </c>
      <c r="F9207" s="9"/>
    </row>
    <row r="9208" ht="33.75" customHeight="1">
      <c r="A9208" s="7">
        <v>361.0</v>
      </c>
      <c r="B9208" s="9" t="s">
        <v>15229</v>
      </c>
      <c r="C9208" s="9" t="s">
        <v>15230</v>
      </c>
      <c r="D9208" s="9" t="s">
        <v>642</v>
      </c>
      <c r="E9208" s="6" t="s">
        <v>15244</v>
      </c>
      <c r="F9208" s="9"/>
    </row>
    <row r="9209" ht="33.75" customHeight="1">
      <c r="A9209" s="7">
        <v>361.0</v>
      </c>
      <c r="B9209" s="9" t="s">
        <v>15229</v>
      </c>
      <c r="C9209" s="9" t="s">
        <v>15230</v>
      </c>
      <c r="D9209" s="9" t="s">
        <v>647</v>
      </c>
      <c r="E9209" s="6" t="s">
        <v>15245</v>
      </c>
      <c r="F9209" s="9"/>
    </row>
    <row r="9210" ht="33.75" customHeight="1">
      <c r="A9210" s="7">
        <v>361.0</v>
      </c>
      <c r="B9210" s="9" t="s">
        <v>15229</v>
      </c>
      <c r="C9210" s="9" t="s">
        <v>15230</v>
      </c>
      <c r="D9210" s="9" t="s">
        <v>652</v>
      </c>
      <c r="E9210" s="6" t="s">
        <v>15246</v>
      </c>
      <c r="F9210" s="9"/>
    </row>
    <row r="9211" ht="33.75" customHeight="1">
      <c r="A9211" s="7">
        <v>361.0</v>
      </c>
      <c r="B9211" s="9" t="s">
        <v>15229</v>
      </c>
      <c r="C9211" s="9" t="s">
        <v>15230</v>
      </c>
      <c r="D9211" s="9" t="s">
        <v>114</v>
      </c>
      <c r="E9211" s="6" t="s">
        <v>15237</v>
      </c>
      <c r="F9211" s="9"/>
    </row>
    <row r="9212" ht="33.75" customHeight="1">
      <c r="A9212" s="7">
        <v>361.0</v>
      </c>
      <c r="B9212" s="9" t="s">
        <v>15229</v>
      </c>
      <c r="C9212" s="9" t="s">
        <v>15230</v>
      </c>
      <c r="D9212" s="9" t="s">
        <v>117</v>
      </c>
      <c r="E9212" s="6" t="s">
        <v>15247</v>
      </c>
      <c r="F9212" s="9"/>
    </row>
    <row r="9213" ht="33.75" customHeight="1">
      <c r="A9213" s="7">
        <v>361.0</v>
      </c>
      <c r="B9213" s="9" t="s">
        <v>15229</v>
      </c>
      <c r="C9213" s="9" t="s">
        <v>15230</v>
      </c>
      <c r="D9213" s="9" t="s">
        <v>1577</v>
      </c>
      <c r="E9213" s="6" t="s">
        <v>15248</v>
      </c>
      <c r="F9213" s="9"/>
    </row>
    <row r="9214" ht="33.75" customHeight="1">
      <c r="A9214" s="7">
        <v>362.0</v>
      </c>
      <c r="B9214" s="9" t="s">
        <v>15249</v>
      </c>
      <c r="C9214" s="9" t="s">
        <v>15250</v>
      </c>
      <c r="D9214" s="9" t="s">
        <v>67</v>
      </c>
      <c r="E9214" s="6" t="s">
        <v>15251</v>
      </c>
      <c r="F9214" t="inlineStr" s="10">
        <is>
          <t xml:space="preserve">GLALIEN ruumis on tehty kivestä, jonka se kovettaa jääpanssarilla. Tällä POKéMONilla on kyky jäädyttää ilmakehän kosteutta mihin tahansa haluamaansa muotoon. GLALIELLA on kyky hallita jäätä vapaasti. Se voi esimerkiksi jäädyttää vihollisensa välittömästi. Kun se on lamaannuttanut vihollisensa jäähän, tämä POKéMON nauttii sen syömisestä kaikessa rauhassa. GLALIE-jäätiköllä on kyky jäädyttää ilmakehän kosteus välittömästi. Sen ympärille muodostuu häikäisevä timantin kaltaisten jääkiteiden pilvi. Siinä on jääkerros, joka ei sula edes tulessa. Se voi jäädyttää ilmakehän kosteuden välittömästi. Suojautuakseen se verhoaa ruumiinsa jääpanssariin, joka on tehty jäädyttämällä ilman kosteutta. Se estää saalista pakenemasta jäädyttämällä ilman kosteuden välittömästi. Se käyttää tätä voimaa vihollistensa jäädyttämiseen. Suojautuakseen se verhosi ruumiinsa jääpanssariin, joka oli tehty jäädyttämällä ilman kosteutta. Tällä Pokémonilla on kyky jäädyttää ilmakehän kosteutta haluamaansa muotoon. Se voi esimerkiksi jäädyttää saaliinsa välittömästi kiinteäksi. Jään sisään lamautettuaan saaliinsa tämä Pokémon nauttii sen syömisestä rauhassa. Legendan mukaan jäisellä vuorella oleva lohkare imeytyi jumiin jääneen vuorikiipeilijän hädän ja katumuksen, mikä synnytti Glalien. Sen saalis jäätyy välittömästi jäykäksi kylmän ilman vuoksi, jota se puhaltaa ulos valtavasta suustaan. Jäätyneessä tilassa se hotkaisee ne. Se jäädyttää saaliinsa ja pureskelee ne kokonaisina. Se kuitenkin syö mieluummin jo jäätyneitä Pokémoneja, kuten Vanilliittia. Sen varsinainen runko on kivi, joka ei ole erityisen kova. Glalie imee kosteutta ilmasta ja verhoutuu jääpanssariin. Se peittää ruumiinsa terästä kovemman jääpanssarin. Jäädyttää saaliinsa hengityksellään ja ahmii sen sitten kuin jäätyneitä jälkiruokia.</t>
        </is>
      </c>
    </row>
    <row r="9215" ht="33.75" customHeight="1">
      <c r="A9215" s="7">
        <v>362.0</v>
      </c>
      <c r="B9215" s="9" t="s">
        <v>15249</v>
      </c>
      <c r="C9215" s="9" t="s">
        <v>15250</v>
      </c>
      <c r="D9215" s="9" t="s">
        <v>71</v>
      </c>
      <c r="E9215" s="6" t="s">
        <v>15252</v>
      </c>
      <c r="F9215" s="9"/>
    </row>
    <row r="9216" ht="33.75" customHeight="1">
      <c r="A9216" s="7">
        <v>362.0</v>
      </c>
      <c r="B9216" s="9" t="s">
        <v>15249</v>
      </c>
      <c r="C9216" s="9" t="s">
        <v>15250</v>
      </c>
      <c r="D9216" s="9" t="s">
        <v>73</v>
      </c>
      <c r="E9216" s="6" t="s">
        <v>15253</v>
      </c>
      <c r="F9216" s="9"/>
    </row>
    <row r="9217" ht="33.75" customHeight="1">
      <c r="A9217" s="7">
        <v>362.0</v>
      </c>
      <c r="B9217" s="9" t="s">
        <v>15249</v>
      </c>
      <c r="C9217" s="9" t="s">
        <v>15250</v>
      </c>
      <c r="D9217" s="9" t="s">
        <v>75</v>
      </c>
      <c r="E9217" s="6" t="s">
        <v>15254</v>
      </c>
      <c r="F9217" s="9"/>
    </row>
    <row r="9218" ht="33.75" customHeight="1">
      <c r="A9218" s="7">
        <v>362.0</v>
      </c>
      <c r="B9218" s="9" t="s">
        <v>15249</v>
      </c>
      <c r="C9218" s="9" t="s">
        <v>15250</v>
      </c>
      <c r="D9218" s="9" t="s">
        <v>79</v>
      </c>
      <c r="E9218" s="6" t="s">
        <v>15254</v>
      </c>
      <c r="F9218" s="9"/>
    </row>
    <row r="9219" ht="33.75" customHeight="1">
      <c r="A9219" s="7">
        <v>362.0</v>
      </c>
      <c r="B9219" s="9" t="s">
        <v>15249</v>
      </c>
      <c r="C9219" s="9" t="s">
        <v>15250</v>
      </c>
      <c r="D9219" s="9" t="s">
        <v>81</v>
      </c>
      <c r="E9219" s="6" t="s">
        <v>15255</v>
      </c>
      <c r="F9219" s="9"/>
    </row>
    <row r="9220" ht="33.75" customHeight="1">
      <c r="A9220" s="7">
        <v>362.0</v>
      </c>
      <c r="B9220" s="9" t="s">
        <v>15249</v>
      </c>
      <c r="C9220" s="9" t="s">
        <v>15250</v>
      </c>
      <c r="D9220" s="9" t="s">
        <v>84</v>
      </c>
      <c r="E9220" s="6" t="s">
        <v>15255</v>
      </c>
      <c r="F9220" s="9"/>
    </row>
    <row r="9221" ht="33.75" customHeight="1">
      <c r="A9221" s="7">
        <v>362.0</v>
      </c>
      <c r="B9221" s="9" t="s">
        <v>15249</v>
      </c>
      <c r="C9221" s="9" t="s">
        <v>15250</v>
      </c>
      <c r="D9221" s="9" t="s">
        <v>87</v>
      </c>
      <c r="E9221" s="6" t="s">
        <v>15256</v>
      </c>
      <c r="F9221" s="9"/>
    </row>
    <row r="9222" ht="33.75" customHeight="1">
      <c r="A9222" s="7">
        <v>362.0</v>
      </c>
      <c r="B9222" s="9" t="s">
        <v>15249</v>
      </c>
      <c r="C9222" s="9" t="s">
        <v>15250</v>
      </c>
      <c r="D9222" s="9" t="s">
        <v>89</v>
      </c>
      <c r="E9222" s="6" t="s">
        <v>15257</v>
      </c>
      <c r="F9222" s="9"/>
    </row>
    <row r="9223" ht="33.75" customHeight="1">
      <c r="A9223" s="7">
        <v>362.0</v>
      </c>
      <c r="B9223" s="9" t="s">
        <v>15249</v>
      </c>
      <c r="C9223" s="9" t="s">
        <v>15250</v>
      </c>
      <c r="D9223" s="9" t="s">
        <v>91</v>
      </c>
      <c r="E9223" s="6" t="s">
        <v>15257</v>
      </c>
      <c r="F9223" s="9"/>
    </row>
    <row r="9224" ht="33.75" customHeight="1">
      <c r="A9224" s="7">
        <v>362.0</v>
      </c>
      <c r="B9224" s="9" t="s">
        <v>15249</v>
      </c>
      <c r="C9224" s="9" t="s">
        <v>15250</v>
      </c>
      <c r="D9224" s="9" t="s">
        <v>93</v>
      </c>
      <c r="E9224" s="6" t="s">
        <v>15256</v>
      </c>
      <c r="F9224" s="9"/>
    </row>
    <row r="9225" ht="33.75" customHeight="1">
      <c r="A9225" s="7">
        <v>362.0</v>
      </c>
      <c r="B9225" s="9" t="s">
        <v>15249</v>
      </c>
      <c r="C9225" s="9" t="s">
        <v>15250</v>
      </c>
      <c r="D9225" s="9" t="s">
        <v>95</v>
      </c>
      <c r="E9225" s="6" t="s">
        <v>15256</v>
      </c>
      <c r="F9225" s="9"/>
    </row>
    <row r="9226" ht="33.75" customHeight="1">
      <c r="A9226" s="7">
        <v>362.0</v>
      </c>
      <c r="B9226" s="9" t="s">
        <v>15249</v>
      </c>
      <c r="C9226" s="9" t="s">
        <v>15250</v>
      </c>
      <c r="D9226" s="9" t="s">
        <v>98</v>
      </c>
      <c r="E9226" s="6" t="s">
        <v>15256</v>
      </c>
      <c r="F9226" s="9"/>
    </row>
    <row r="9227" ht="33.75" customHeight="1">
      <c r="A9227" s="7">
        <v>362.0</v>
      </c>
      <c r="B9227" s="9" t="s">
        <v>15249</v>
      </c>
      <c r="C9227" s="9" t="s">
        <v>15250</v>
      </c>
      <c r="D9227" s="9" t="s">
        <v>99</v>
      </c>
      <c r="E9227" s="6" t="s">
        <v>15256</v>
      </c>
      <c r="F9227" s="9"/>
    </row>
    <row r="9228" ht="33.75" customHeight="1">
      <c r="A9228" s="7">
        <v>362.0</v>
      </c>
      <c r="B9228" s="9" t="s">
        <v>15249</v>
      </c>
      <c r="C9228" s="9" t="s">
        <v>15250</v>
      </c>
      <c r="D9228" s="9" t="s">
        <v>101</v>
      </c>
      <c r="E9228" s="6" t="s">
        <v>15259</v>
      </c>
      <c r="F9228" s="9"/>
    </row>
    <row r="9229" ht="33.75" customHeight="1">
      <c r="A9229" s="7">
        <v>362.0</v>
      </c>
      <c r="B9229" s="9" t="s">
        <v>15249</v>
      </c>
      <c r="C9229" s="9" t="s">
        <v>15250</v>
      </c>
      <c r="D9229" s="9" t="s">
        <v>105</v>
      </c>
      <c r="E9229" s="6" t="s">
        <v>15257</v>
      </c>
      <c r="F9229" s="9"/>
    </row>
    <row r="9230" ht="33.75" customHeight="1">
      <c r="A9230" s="7">
        <v>362.0</v>
      </c>
      <c r="B9230" s="9" t="s">
        <v>15249</v>
      </c>
      <c r="C9230" s="9" t="s">
        <v>15250</v>
      </c>
      <c r="D9230" s="9" t="s">
        <v>107</v>
      </c>
      <c r="E9230" s="6" t="s">
        <v>15260</v>
      </c>
      <c r="F9230" s="9"/>
    </row>
    <row r="9231" ht="33.75" customHeight="1">
      <c r="A9231" s="7">
        <v>362.0</v>
      </c>
      <c r="B9231" s="9" t="s">
        <v>15249</v>
      </c>
      <c r="C9231" s="9" t="s">
        <v>15250</v>
      </c>
      <c r="D9231" s="9" t="s">
        <v>109</v>
      </c>
      <c r="E9231" s="6" t="s">
        <v>15261</v>
      </c>
      <c r="F9231" s="9"/>
    </row>
    <row r="9232" ht="33.75" customHeight="1">
      <c r="A9232" s="7">
        <v>362.0</v>
      </c>
      <c r="B9232" s="9" t="s">
        <v>15249</v>
      </c>
      <c r="C9232" s="9" t="s">
        <v>15250</v>
      </c>
      <c r="D9232" s="9" t="s">
        <v>637</v>
      </c>
      <c r="E9232" s="6" t="s">
        <v>15262</v>
      </c>
      <c r="F9232" s="9"/>
    </row>
    <row r="9233" ht="33.75" customHeight="1">
      <c r="A9233" s="7">
        <v>362.0</v>
      </c>
      <c r="B9233" s="9" t="s">
        <v>15249</v>
      </c>
      <c r="C9233" s="9" t="s">
        <v>15250</v>
      </c>
      <c r="D9233" s="9" t="s">
        <v>642</v>
      </c>
      <c r="E9233" s="6" t="s">
        <v>15263</v>
      </c>
      <c r="F9233" s="9"/>
    </row>
    <row r="9234" ht="33.75" customHeight="1">
      <c r="A9234" s="7">
        <v>362.0</v>
      </c>
      <c r="B9234" s="9" t="s">
        <v>15249</v>
      </c>
      <c r="C9234" s="9" t="s">
        <v>15250</v>
      </c>
      <c r="D9234" s="9" t="s">
        <v>647</v>
      </c>
      <c r="E9234" s="6" t="s">
        <v>15264</v>
      </c>
      <c r="F9234" s="9"/>
    </row>
    <row r="9235" ht="33.75" customHeight="1">
      <c r="A9235" s="7">
        <v>362.0</v>
      </c>
      <c r="B9235" s="9" t="s">
        <v>15249</v>
      </c>
      <c r="C9235" s="9" t="s">
        <v>15250</v>
      </c>
      <c r="D9235" s="9" t="s">
        <v>652</v>
      </c>
      <c r="E9235" s="6" t="s">
        <v>15265</v>
      </c>
      <c r="F9235" s="9"/>
    </row>
    <row r="9236" ht="33.75" customHeight="1">
      <c r="A9236" s="7">
        <v>362.0</v>
      </c>
      <c r="B9236" s="9" t="s">
        <v>15249</v>
      </c>
      <c r="C9236" s="9" t="s">
        <v>15250</v>
      </c>
      <c r="D9236" s="9" t="s">
        <v>114</v>
      </c>
      <c r="E9236" s="6" t="s">
        <v>15254</v>
      </c>
      <c r="F9236" s="9"/>
    </row>
    <row r="9237" ht="33.75" customHeight="1">
      <c r="A9237" s="7">
        <v>362.0</v>
      </c>
      <c r="B9237" s="9" t="s">
        <v>15249</v>
      </c>
      <c r="C9237" s="9" t="s">
        <v>15250</v>
      </c>
      <c r="D9237" s="9" t="s">
        <v>117</v>
      </c>
      <c r="E9237" s="6" t="s">
        <v>15257</v>
      </c>
      <c r="F9237" s="9"/>
    </row>
    <row r="9238" ht="33.75" customHeight="1">
      <c r="A9238" s="7">
        <v>362.0</v>
      </c>
      <c r="B9238" s="9" t="s">
        <v>15249</v>
      </c>
      <c r="C9238" s="9" t="s">
        <v>15250</v>
      </c>
      <c r="D9238" s="9" t="s">
        <v>1577</v>
      </c>
      <c r="E9238" s="6" t="s">
        <v>15266</v>
      </c>
      <c r="F9238" s="9"/>
    </row>
    <row r="9239" ht="33.75" customHeight="1">
      <c r="A9239" s="7">
        <v>363.0</v>
      </c>
      <c r="B9239" s="9" t="s">
        <v>15267</v>
      </c>
      <c r="C9239" s="9" t="s">
        <v>15268</v>
      </c>
      <c r="D9239" s="9" t="s">
        <v>67</v>
      </c>
      <c r="E9239" s="6" t="s">
        <v>15269</v>
      </c>
      <c r="F9239" t="inlineStr" s="10">
        <is>
          <t xml:space="preserve">SPHEAL liikkuu paljon nopeammin vierimällä kuin kävelemällä. Kun tämän POKéMONin ryhmät syövät, ne kaikki taputtavat yhteen ääneen osoittaakseen nautintonsa. Tästä syystä niiden ruokailuhetket ovat meluisia. SPHEAL liikkuu aina pyörien pallomaisen vartalonsa päällä. Kun jäälauttojen sesonki koittaa, tämän POKéMONin voi nähdä pyörivän jäällä ja ylittävän meren. Se on kauttaaltaan pehmeän turkin peitossa. Tämän seurauksena se ei koskaan tunne kylmää, vaikka se kieriskelisi jäälautoilla tai sukeltaisi meressä. Sen vartalo on peittynyt pörröiseen turkkiin. Turkki estää sitä palelemasta, kun se pyörii jäällä. Se vierii jäälauttojen yli päästäkseen rantaan, koska sen ruumiinrakenne on huonosti muotoiltu uimista varten. Se ylittää valtameret pyörimällä ajelehtivalla jäällä. Pörröinen turkki pitää sen lämpimänä, kun lämpötila on pakkasen puolella. Ne eivät osaa vielä uida hyvin, ja ne liikkuvat paljon nopeammin pyörimällä. Kun ne ovat onnellisia, ne taputtavat eviä. Kun tämän Pokémonin ryhmät syövät, ne kaikki taputtavat kerralla osoittaakseen nautintonsa. Tämän Pokémonin vartalo on täynnä rasvaa ja vaikuttavan pyöreä. Spheal on nopeampi pyörimään kuin kävelemään. Ajelehtiessaan aaltojen keskellä Spheal luotaa merta. Heti saaliin havaittuaan se ilmoittaa siitä laumansa Walreinille. Ajojään lähestyessä rantaa Spheal viihtyy mieluummin jäällä – missä on vähemmän saalistajia – kuin maalla. Sen turkki säilyttää lämmön erinomaisesti ja kestää kovaa kylmyyttä.</t>
        </is>
      </c>
    </row>
    <row r="9240" ht="33.75" customHeight="1">
      <c r="A9240" s="7">
        <v>363.0</v>
      </c>
      <c r="B9240" s="9" t="s">
        <v>15267</v>
      </c>
      <c r="C9240" s="9" t="s">
        <v>15268</v>
      </c>
      <c r="D9240" s="9" t="s">
        <v>71</v>
      </c>
      <c r="E9240" s="6" t="s">
        <v>15270</v>
      </c>
      <c r="F9240" s="9"/>
    </row>
    <row r="9241" ht="33.75" customHeight="1">
      <c r="A9241" s="7">
        <v>363.0</v>
      </c>
      <c r="B9241" s="9" t="s">
        <v>15267</v>
      </c>
      <c r="C9241" s="9" t="s">
        <v>15268</v>
      </c>
      <c r="D9241" s="9" t="s">
        <v>73</v>
      </c>
      <c r="E9241" s="6" t="s">
        <v>15271</v>
      </c>
      <c r="F9241" s="9"/>
    </row>
    <row r="9242" ht="33.75" customHeight="1">
      <c r="A9242" s="7">
        <v>363.0</v>
      </c>
      <c r="B9242" s="9" t="s">
        <v>15267</v>
      </c>
      <c r="C9242" s="9" t="s">
        <v>15268</v>
      </c>
      <c r="D9242" s="9" t="s">
        <v>75</v>
      </c>
      <c r="E9242" s="6" t="s">
        <v>15272</v>
      </c>
      <c r="F9242" s="9"/>
    </row>
    <row r="9243" ht="33.75" customHeight="1">
      <c r="A9243" s="7">
        <v>363.0</v>
      </c>
      <c r="B9243" s="9" t="s">
        <v>15267</v>
      </c>
      <c r="C9243" s="9" t="s">
        <v>15268</v>
      </c>
      <c r="D9243" s="9" t="s">
        <v>79</v>
      </c>
      <c r="E9243" s="6" t="s">
        <v>15272</v>
      </c>
      <c r="F9243" s="9"/>
    </row>
    <row r="9244" ht="33.75" customHeight="1">
      <c r="A9244" s="7">
        <v>363.0</v>
      </c>
      <c r="B9244" s="9" t="s">
        <v>15267</v>
      </c>
      <c r="C9244" s="9" t="s">
        <v>15268</v>
      </c>
      <c r="D9244" s="9" t="s">
        <v>81</v>
      </c>
      <c r="E9244" s="6" t="s">
        <v>15273</v>
      </c>
      <c r="F9244" s="9"/>
    </row>
    <row r="9245" ht="33.75" customHeight="1">
      <c r="A9245" s="7">
        <v>363.0</v>
      </c>
      <c r="B9245" s="9" t="s">
        <v>15267</v>
      </c>
      <c r="C9245" s="9" t="s">
        <v>15268</v>
      </c>
      <c r="D9245" s="9" t="s">
        <v>84</v>
      </c>
      <c r="E9245" s="6" t="s">
        <v>15273</v>
      </c>
      <c r="F9245" s="9"/>
    </row>
    <row r="9246" ht="33.75" customHeight="1">
      <c r="A9246" s="7">
        <v>363.0</v>
      </c>
      <c r="B9246" s="9" t="s">
        <v>15267</v>
      </c>
      <c r="C9246" s="9" t="s">
        <v>15268</v>
      </c>
      <c r="D9246" s="9" t="s">
        <v>87</v>
      </c>
      <c r="E9246" s="6" t="s">
        <v>15273</v>
      </c>
      <c r="F9246" s="9"/>
    </row>
    <row r="9247" ht="33.75" customHeight="1">
      <c r="A9247" s="7">
        <v>363.0</v>
      </c>
      <c r="B9247" s="9" t="s">
        <v>15267</v>
      </c>
      <c r="C9247" s="9" t="s">
        <v>15268</v>
      </c>
      <c r="D9247" s="9" t="s">
        <v>89</v>
      </c>
      <c r="E9247" s="6" t="s">
        <v>15275</v>
      </c>
      <c r="F9247" s="9"/>
    </row>
    <row r="9248" ht="33.75" customHeight="1">
      <c r="A9248" s="7">
        <v>363.0</v>
      </c>
      <c r="B9248" s="9" t="s">
        <v>15267</v>
      </c>
      <c r="C9248" s="9" t="s">
        <v>15268</v>
      </c>
      <c r="D9248" s="9" t="s">
        <v>91</v>
      </c>
      <c r="E9248" s="6" t="s">
        <v>15275</v>
      </c>
      <c r="F9248" s="9"/>
    </row>
    <row r="9249" ht="33.75" customHeight="1">
      <c r="A9249" s="7">
        <v>363.0</v>
      </c>
      <c r="B9249" s="9" t="s">
        <v>15267</v>
      </c>
      <c r="C9249" s="9" t="s">
        <v>15268</v>
      </c>
      <c r="D9249" s="9" t="s">
        <v>93</v>
      </c>
      <c r="E9249" s="6" t="s">
        <v>15273</v>
      </c>
      <c r="F9249" s="9"/>
    </row>
    <row r="9250" ht="33.75" customHeight="1">
      <c r="A9250" s="7">
        <v>363.0</v>
      </c>
      <c r="B9250" s="9" t="s">
        <v>15267</v>
      </c>
      <c r="C9250" s="9" t="s">
        <v>15268</v>
      </c>
      <c r="D9250" s="9" t="s">
        <v>95</v>
      </c>
      <c r="E9250" s="6" t="s">
        <v>15273</v>
      </c>
      <c r="F9250" s="9"/>
    </row>
    <row r="9251" ht="33.75" customHeight="1">
      <c r="A9251" s="7">
        <v>363.0</v>
      </c>
      <c r="B9251" s="9" t="s">
        <v>15267</v>
      </c>
      <c r="C9251" s="9" t="s">
        <v>15268</v>
      </c>
      <c r="D9251" s="9" t="s">
        <v>98</v>
      </c>
      <c r="E9251" s="6" t="s">
        <v>15276</v>
      </c>
      <c r="F9251" s="9"/>
    </row>
    <row r="9252" ht="33.75" customHeight="1">
      <c r="A9252" s="7">
        <v>363.0</v>
      </c>
      <c r="B9252" s="9" t="s">
        <v>15267</v>
      </c>
      <c r="C9252" s="9" t="s">
        <v>15268</v>
      </c>
      <c r="D9252" s="9" t="s">
        <v>99</v>
      </c>
      <c r="E9252" s="6" t="s">
        <v>15276</v>
      </c>
      <c r="F9252" s="9"/>
    </row>
    <row r="9253" ht="33.75" customHeight="1">
      <c r="A9253" s="7">
        <v>363.0</v>
      </c>
      <c r="B9253" s="9" t="s">
        <v>15267</v>
      </c>
      <c r="C9253" s="9" t="s">
        <v>15268</v>
      </c>
      <c r="D9253" s="9" t="s">
        <v>101</v>
      </c>
      <c r="E9253" s="6" t="s">
        <v>15276</v>
      </c>
      <c r="F9253" s="9"/>
    </row>
    <row r="9254" ht="33.75" customHeight="1">
      <c r="A9254" s="7">
        <v>363.0</v>
      </c>
      <c r="B9254" s="9" t="s">
        <v>15267</v>
      </c>
      <c r="C9254" s="9" t="s">
        <v>15268</v>
      </c>
      <c r="D9254" s="9" t="s">
        <v>105</v>
      </c>
      <c r="E9254" s="6" t="s">
        <v>15272</v>
      </c>
      <c r="F9254" s="9"/>
    </row>
    <row r="9255" ht="33.75" customHeight="1">
      <c r="A9255" s="7">
        <v>363.0</v>
      </c>
      <c r="B9255" s="9" t="s">
        <v>15267</v>
      </c>
      <c r="C9255" s="9" t="s">
        <v>15268</v>
      </c>
      <c r="D9255" s="9" t="s">
        <v>107</v>
      </c>
      <c r="E9255" s="6" t="s">
        <v>15277</v>
      </c>
      <c r="F9255" s="9"/>
    </row>
    <row r="9256" ht="33.75" customHeight="1">
      <c r="A9256" s="7">
        <v>363.0</v>
      </c>
      <c r="B9256" s="9" t="s">
        <v>15267</v>
      </c>
      <c r="C9256" s="9" t="s">
        <v>15268</v>
      </c>
      <c r="D9256" s="9" t="s">
        <v>109</v>
      </c>
      <c r="E9256" s="6" t="s">
        <v>15278</v>
      </c>
      <c r="F9256" s="9"/>
    </row>
    <row r="9257" ht="33.75" customHeight="1">
      <c r="A9257" s="7">
        <v>363.0</v>
      </c>
      <c r="B9257" s="9" t="s">
        <v>15267</v>
      </c>
      <c r="C9257" s="9" t="s">
        <v>15268</v>
      </c>
      <c r="D9257" s="9" t="s">
        <v>114</v>
      </c>
      <c r="E9257" s="6" t="s">
        <v>15279</v>
      </c>
      <c r="F9257" s="9"/>
    </row>
    <row r="9258" ht="33.75" customHeight="1">
      <c r="A9258" s="7">
        <v>363.0</v>
      </c>
      <c r="B9258" s="9" t="s">
        <v>15267</v>
      </c>
      <c r="C9258" s="9" t="s">
        <v>15268</v>
      </c>
      <c r="D9258" s="9" t="s">
        <v>117</v>
      </c>
      <c r="E9258" s="6" t="s">
        <v>15280</v>
      </c>
      <c r="F9258" s="9"/>
    </row>
    <row r="9259" ht="33.75" customHeight="1">
      <c r="A9259" s="7">
        <v>363.0</v>
      </c>
      <c r="B9259" s="9" t="s">
        <v>15267</v>
      </c>
      <c r="C9259" s="9" t="s">
        <v>15268</v>
      </c>
      <c r="D9259" s="9" t="s">
        <v>1577</v>
      </c>
      <c r="E9259" s="6" t="s">
        <v>15281</v>
      </c>
      <c r="F9259" s="9"/>
    </row>
    <row r="9260" ht="33.75" customHeight="1">
      <c r="A9260" s="7">
        <v>364.0</v>
      </c>
      <c r="B9260" s="9" t="s">
        <v>15282</v>
      </c>
      <c r="C9260" s="9" t="s">
        <v>15283</v>
      </c>
      <c r="D9260" s="9" t="s">
        <v>67</v>
      </c>
      <c r="E9260" s="6" t="s">
        <v>15284</v>
      </c>
      <c r="F9260" t="inlineStr" s="10">
        <is>
          <t xml:space="preserve">SEALEOlla on tapana jonglöörata nenänsä päällä kaikkea, minkä se näkee ensimmäistä kertaa. Tämä POKéMON viihdyttää itseään toisinaan tasapainottelemalla ja pyörittämällä SPHEALia nenänsä päällä. SEALEO tasapainottelee ja pyörittelee usein esineitä nenänsä päällä. POKéMON pyörittäessään jotakin tarkistaa esineen tuoksun ja rakenteen määrittääkseen, pitääkö se esineestä vai ei. SEALEO elää laumoissa jäälautoilla. Voimakkailla eväillään se murskaa jäätä. Se sukeltaa mereen saalistamaan viisi kertaa päivässä. Se koskettaa uusia asioita nenällään testatakseen niiden hajua ja tuntua. Se leikkii pyörittämällä SPHEAL-palloa nenällään. Se pyörittelee tapanaan esineitä nenällään. Näin se oppii tuntemaan niiden tekstuurit ja hajut. Sillä on erittäin herkkä nenä. Se koskettaa uusia asioita nenällään tutkiakseen niitä. Olipa kyseessä sitten Spheal tai Poké Ball, se pyörittää mitä tahansa pyöreää esinettä nenänsä ympäri vaivattomasti. Sealeolla on tapana jonglöörata nenänpäällään kaikkea, minkä se näkee ensimmäistä kertaa. Tämä Pokémon viihdyttää itseään toisinaan tasapainottelemalla ja pyörittämällä Sphealia nenällään. Kun Pokémon pyörittelee jotakin, se tarkistaa esineen tuoksun ja rakenteen määrittääkseen, pitääkö se esineestä vai ei. Meriahvenet elävät ajojään päällä. Ne uivat metsästäessään ja etsivät saalistaan ​​hajun perusteella. Tällä Pokémonilla on tapana pyörittää asioita nenänsä ympärillä, olivatpa ne sitten Poképalloja tai Sphealeja. Sen valkoiset viikset ovat hyvin herkät. Sealeo tasapainottelee sfealia kuononsa kärjessä ja tarkistaa sen tuoksun ja tuntoaistin varmistaakseen, että sfeali on terve.</t>
        </is>
      </c>
    </row>
    <row r="9261" ht="33.75" customHeight="1">
      <c r="A9261" s="7">
        <v>364.0</v>
      </c>
      <c r="B9261" s="9" t="s">
        <v>15282</v>
      </c>
      <c r="C9261" s="9" t="s">
        <v>15283</v>
      </c>
      <c r="D9261" s="9" t="s">
        <v>71</v>
      </c>
      <c r="E9261" s="6" t="s">
        <v>15285</v>
      </c>
      <c r="F9261" s="9"/>
    </row>
    <row r="9262" ht="33.75" customHeight="1">
      <c r="A9262" s="7">
        <v>364.0</v>
      </c>
      <c r="B9262" s="9" t="s">
        <v>15282</v>
      </c>
      <c r="C9262" s="9" t="s">
        <v>15283</v>
      </c>
      <c r="D9262" s="9" t="s">
        <v>73</v>
      </c>
      <c r="E9262" s="6" t="s">
        <v>15286</v>
      </c>
      <c r="F9262" s="9"/>
    </row>
    <row r="9263" ht="33.75" customHeight="1">
      <c r="A9263" s="7">
        <v>364.0</v>
      </c>
      <c r="B9263" s="9" t="s">
        <v>15282</v>
      </c>
      <c r="C9263" s="9" t="s">
        <v>15283</v>
      </c>
      <c r="D9263" s="9" t="s">
        <v>75</v>
      </c>
      <c r="E9263" s="6" t="s">
        <v>15287</v>
      </c>
      <c r="F9263" s="9"/>
    </row>
    <row r="9264" ht="33.75" customHeight="1">
      <c r="A9264" s="7">
        <v>364.0</v>
      </c>
      <c r="B9264" s="9" t="s">
        <v>15282</v>
      </c>
      <c r="C9264" s="9" t="s">
        <v>15283</v>
      </c>
      <c r="D9264" s="9" t="s">
        <v>79</v>
      </c>
      <c r="E9264" s="6" t="s">
        <v>15287</v>
      </c>
      <c r="F9264" s="9"/>
    </row>
    <row r="9265" ht="33.75" customHeight="1">
      <c r="A9265" s="7">
        <v>364.0</v>
      </c>
      <c r="B9265" s="9" t="s">
        <v>15282</v>
      </c>
      <c r="C9265" s="9" t="s">
        <v>15283</v>
      </c>
      <c r="D9265" s="9" t="s">
        <v>81</v>
      </c>
      <c r="E9265" s="6" t="s">
        <v>15288</v>
      </c>
      <c r="F9265" s="9"/>
    </row>
    <row r="9266" ht="33.75" customHeight="1">
      <c r="A9266" s="7">
        <v>364.0</v>
      </c>
      <c r="B9266" s="9" t="s">
        <v>15282</v>
      </c>
      <c r="C9266" s="9" t="s">
        <v>15283</v>
      </c>
      <c r="D9266" s="9" t="s">
        <v>84</v>
      </c>
      <c r="E9266" s="6" t="s">
        <v>15288</v>
      </c>
      <c r="F9266" s="9"/>
    </row>
    <row r="9267" ht="33.75" customHeight="1">
      <c r="A9267" s="7">
        <v>364.0</v>
      </c>
      <c r="B9267" s="9" t="s">
        <v>15282</v>
      </c>
      <c r="C9267" s="9" t="s">
        <v>15283</v>
      </c>
      <c r="D9267" s="9" t="s">
        <v>87</v>
      </c>
      <c r="E9267" s="6" t="s">
        <v>15288</v>
      </c>
      <c r="F9267" s="9"/>
    </row>
    <row r="9268" ht="33.75" customHeight="1">
      <c r="A9268" s="7">
        <v>364.0</v>
      </c>
      <c r="B9268" s="9" t="s">
        <v>15282</v>
      </c>
      <c r="C9268" s="9" t="s">
        <v>15283</v>
      </c>
      <c r="D9268" s="9" t="s">
        <v>89</v>
      </c>
      <c r="E9268" s="6" t="s">
        <v>15289</v>
      </c>
      <c r="F9268" s="9"/>
    </row>
    <row r="9269" ht="33.75" customHeight="1">
      <c r="A9269" s="7">
        <v>364.0</v>
      </c>
      <c r="B9269" s="9" t="s">
        <v>15282</v>
      </c>
      <c r="C9269" s="9" t="s">
        <v>15283</v>
      </c>
      <c r="D9269" s="9" t="s">
        <v>91</v>
      </c>
      <c r="E9269" s="6" t="s">
        <v>15289</v>
      </c>
      <c r="F9269" s="9"/>
    </row>
    <row r="9270" ht="33.75" customHeight="1">
      <c r="A9270" s="7">
        <v>364.0</v>
      </c>
      <c r="B9270" s="9" t="s">
        <v>15282</v>
      </c>
      <c r="C9270" s="9" t="s">
        <v>15283</v>
      </c>
      <c r="D9270" s="9" t="s">
        <v>93</v>
      </c>
      <c r="E9270" s="6" t="s">
        <v>15288</v>
      </c>
      <c r="F9270" s="9"/>
    </row>
    <row r="9271" ht="33.75" customHeight="1">
      <c r="A9271" s="7">
        <v>364.0</v>
      </c>
      <c r="B9271" s="9" t="s">
        <v>15282</v>
      </c>
      <c r="C9271" s="9" t="s">
        <v>15283</v>
      </c>
      <c r="D9271" s="9" t="s">
        <v>95</v>
      </c>
      <c r="E9271" s="6" t="s">
        <v>15288</v>
      </c>
      <c r="F9271" s="9"/>
    </row>
    <row r="9272" ht="33.75" customHeight="1">
      <c r="A9272" s="7">
        <v>364.0</v>
      </c>
      <c r="B9272" s="9" t="s">
        <v>15282</v>
      </c>
      <c r="C9272" s="9" t="s">
        <v>15283</v>
      </c>
      <c r="D9272" s="9" t="s">
        <v>98</v>
      </c>
      <c r="E9272" s="6" t="s">
        <v>15290</v>
      </c>
      <c r="F9272" s="9"/>
    </row>
    <row r="9273" ht="33.75" customHeight="1">
      <c r="A9273" s="7">
        <v>364.0</v>
      </c>
      <c r="B9273" s="9" t="s">
        <v>15282</v>
      </c>
      <c r="C9273" s="9" t="s">
        <v>15283</v>
      </c>
      <c r="D9273" s="9" t="s">
        <v>99</v>
      </c>
      <c r="E9273" s="6" t="s">
        <v>15290</v>
      </c>
      <c r="F9273" s="9"/>
    </row>
    <row r="9274" ht="33.75" customHeight="1">
      <c r="A9274" s="7">
        <v>364.0</v>
      </c>
      <c r="B9274" s="9" t="s">
        <v>15282</v>
      </c>
      <c r="C9274" s="9" t="s">
        <v>15283</v>
      </c>
      <c r="D9274" s="9" t="s">
        <v>101</v>
      </c>
      <c r="E9274" s="6" t="s">
        <v>15289</v>
      </c>
      <c r="F9274" s="9"/>
    </row>
    <row r="9275" ht="33.75" customHeight="1">
      <c r="A9275" s="7">
        <v>364.0</v>
      </c>
      <c r="B9275" s="9" t="s">
        <v>15282</v>
      </c>
      <c r="C9275" s="9" t="s">
        <v>15283</v>
      </c>
      <c r="D9275" s="9" t="s">
        <v>105</v>
      </c>
      <c r="E9275" s="6" t="s">
        <v>15290</v>
      </c>
      <c r="F9275" s="9"/>
    </row>
    <row r="9276" ht="33.75" customHeight="1">
      <c r="A9276" s="7">
        <v>364.0</v>
      </c>
      <c r="B9276" s="9" t="s">
        <v>15282</v>
      </c>
      <c r="C9276" s="9" t="s">
        <v>15283</v>
      </c>
      <c r="D9276" s="9" t="s">
        <v>107</v>
      </c>
      <c r="E9276" s="6" t="s">
        <v>15292</v>
      </c>
      <c r="F9276" s="9"/>
    </row>
    <row r="9277" ht="33.75" customHeight="1">
      <c r="A9277" s="7">
        <v>364.0</v>
      </c>
      <c r="B9277" s="9" t="s">
        <v>15282</v>
      </c>
      <c r="C9277" s="9" t="s">
        <v>15283</v>
      </c>
      <c r="D9277" s="9" t="s">
        <v>109</v>
      </c>
      <c r="E9277" s="6" t="s">
        <v>15293</v>
      </c>
      <c r="F9277" s="9"/>
    </row>
    <row r="9278" ht="33.75" customHeight="1">
      <c r="A9278" s="7">
        <v>364.0</v>
      </c>
      <c r="B9278" s="9" t="s">
        <v>15282</v>
      </c>
      <c r="C9278" s="9" t="s">
        <v>15283</v>
      </c>
      <c r="D9278" s="9" t="s">
        <v>114</v>
      </c>
      <c r="E9278" s="6" t="s">
        <v>15294</v>
      </c>
      <c r="F9278" s="9"/>
    </row>
    <row r="9279" ht="33.75" customHeight="1">
      <c r="A9279" s="7">
        <v>364.0</v>
      </c>
      <c r="B9279" s="9" t="s">
        <v>15282</v>
      </c>
      <c r="C9279" s="9" t="s">
        <v>15283</v>
      </c>
      <c r="D9279" s="9" t="s">
        <v>117</v>
      </c>
      <c r="E9279" s="6" t="s">
        <v>15295</v>
      </c>
      <c r="F9279" s="9"/>
    </row>
    <row r="9280" ht="33.75" customHeight="1">
      <c r="A9280" s="7">
        <v>364.0</v>
      </c>
      <c r="B9280" s="9" t="s">
        <v>15282</v>
      </c>
      <c r="C9280" s="9" t="s">
        <v>15283</v>
      </c>
      <c r="D9280" s="9" t="s">
        <v>1577</v>
      </c>
      <c r="E9280" s="6" t="s">
        <v>15296</v>
      </c>
      <c r="F9280" s="9"/>
    </row>
    <row r="9281" ht="33.75" customHeight="1">
      <c r="A9281" s="7">
        <v>365.0</v>
      </c>
      <c r="B9281" s="9" t="s">
        <v>15297</v>
      </c>
      <c r="C9281" s="9" t="s">
        <v>15298</v>
      </c>
      <c r="D9281" s="9" t="s">
        <v>67</v>
      </c>
      <c r="E9281" s="6" t="s">
        <v>15299</v>
      </c>
      <c r="F9281" t="inlineStr" s="10">
        <is>
          <t xml:space="preserve">WALREINin kaksi massiivisesti kehittynyttä syöksyhampatta voivat rikkoa kymmenen tonnia painavia jäälohkareita yhdellä iskulla. Tämän POKéMONin paksu rasvakerros eristää sen pakkaslämpötiloilta. WALREIN ui hyytävässä merivedessä murskaten jäävuoria mahtipontisilla, vaikuttavilla syöksyhampaillaan. Sen paksu rasvakerros saa vihollisten hyökkäykset kimpoamaan harmittomasti. Suojellakseen laumaansa johtaja taistelee kaikkea vastaan, mikä tunkeutuu sen alueelle, jopa henkensä kustannuksella. Sen syöksyhampaat voivat katketa ​​taistelussa. Se ui jäisissä merissä murskaaen jäälauttoja suurilla syöksyhampaillaan. Sitä suojaa paksu rasva. Se murskaa jäätä suurilla syöksyhampaillaan. Sen paksu rasva torjuu paitsi kylmyyden myös vihollisten hyökkäykset. Se murskaa ajojäätä vahvoilla syöksyhampaillaan. Sen paksu rasvakerros torjuu vihollisen hyökkäykset. Sen paksu rasva ei ainoastaan ​​pidä sitä lämpimänä, vaan se myös suojaa sitä hyökkäyksiltä. Se murskaa jäätä arvokkailla syöksyhampaillaan. Walreinin kaksi massiivisesti kehittynyttä syöksyhampatta voivat rikkoa 10 tonnin painoisia jäälohkareita yhdellä iskulla. Tämän Pokémonin paksu rasvakerros suojaa sitä pakkaselta. Walreinit muodostavat 20–30 yksilön laumoja. Uhan ilmaantuessa lauman johtaja suojelee ryhmää sen hengellä. Walreinin syöksyhampaat kasvavat koko sen elämän ajan. Taistelussa murtuneet syöksyhampaat kasvavat takaisin tavanomaiseen vaikuttavaan kokoonsa vuodessa. Sen paksut syöksyhampaat ovat riittävän vahvat murskaamaan ajojään. Niiden tiedetään katkeavan, mutta kasvavat takaisin ensi vuoteen mennessä. Hisuin alue on tunnettu näistä katkenneista syöksyhampaista.</t>
        </is>
      </c>
    </row>
    <row r="9282" ht="33.75" customHeight="1">
      <c r="A9282" s="7">
        <v>365.0</v>
      </c>
      <c r="B9282" s="9" t="s">
        <v>15297</v>
      </c>
      <c r="C9282" s="9" t="s">
        <v>15298</v>
      </c>
      <c r="D9282" s="9" t="s">
        <v>71</v>
      </c>
      <c r="E9282" s="6" t="s">
        <v>15300</v>
      </c>
      <c r="F9282" s="9"/>
    </row>
    <row r="9283" ht="33.75" customHeight="1">
      <c r="A9283" s="7">
        <v>365.0</v>
      </c>
      <c r="B9283" s="9" t="s">
        <v>15297</v>
      </c>
      <c r="C9283" s="9" t="s">
        <v>15298</v>
      </c>
      <c r="D9283" s="9" t="s">
        <v>73</v>
      </c>
      <c r="E9283" s="6" t="s">
        <v>15301</v>
      </c>
      <c r="F9283" s="9"/>
    </row>
    <row r="9284" ht="33.75" customHeight="1">
      <c r="A9284" s="7">
        <v>365.0</v>
      </c>
      <c r="B9284" s="9" t="s">
        <v>15297</v>
      </c>
      <c r="C9284" s="9" t="s">
        <v>15298</v>
      </c>
      <c r="D9284" s="9" t="s">
        <v>75</v>
      </c>
      <c r="E9284" s="6" t="s">
        <v>15302</v>
      </c>
      <c r="F9284" s="9"/>
    </row>
    <row r="9285" ht="33.75" customHeight="1">
      <c r="A9285" s="7">
        <v>365.0</v>
      </c>
      <c r="B9285" s="9" t="s">
        <v>15297</v>
      </c>
      <c r="C9285" s="9" t="s">
        <v>15298</v>
      </c>
      <c r="D9285" s="9" t="s">
        <v>79</v>
      </c>
      <c r="E9285" s="6" t="s">
        <v>15302</v>
      </c>
      <c r="F9285" s="9"/>
    </row>
    <row r="9286" ht="33.75" customHeight="1">
      <c r="A9286" s="7">
        <v>365.0</v>
      </c>
      <c r="B9286" s="9" t="s">
        <v>15297</v>
      </c>
      <c r="C9286" s="9" t="s">
        <v>15298</v>
      </c>
      <c r="D9286" s="9" t="s">
        <v>81</v>
      </c>
      <c r="E9286" s="6" t="s">
        <v>15303</v>
      </c>
      <c r="F9286" s="9"/>
    </row>
    <row r="9287" ht="33.75" customHeight="1">
      <c r="A9287" s="7">
        <v>365.0</v>
      </c>
      <c r="B9287" s="9" t="s">
        <v>15297</v>
      </c>
      <c r="C9287" s="9" t="s">
        <v>15298</v>
      </c>
      <c r="D9287" s="9" t="s">
        <v>84</v>
      </c>
      <c r="E9287" s="6" t="s">
        <v>15303</v>
      </c>
      <c r="F9287" s="9"/>
    </row>
    <row r="9288" ht="33.75" customHeight="1">
      <c r="A9288" s="7">
        <v>365.0</v>
      </c>
      <c r="B9288" s="9" t="s">
        <v>15297</v>
      </c>
      <c r="C9288" s="9" t="s">
        <v>15298</v>
      </c>
      <c r="D9288" s="9" t="s">
        <v>87</v>
      </c>
      <c r="E9288" s="6" t="s">
        <v>15303</v>
      </c>
      <c r="F9288" s="9"/>
    </row>
    <row r="9289" ht="33.75" customHeight="1">
      <c r="A9289" s="7">
        <v>365.0</v>
      </c>
      <c r="B9289" s="9" t="s">
        <v>15297</v>
      </c>
      <c r="C9289" s="9" t="s">
        <v>15298</v>
      </c>
      <c r="D9289" s="9" t="s">
        <v>89</v>
      </c>
      <c r="E9289" s="6" t="s">
        <v>15304</v>
      </c>
      <c r="F9289" s="9"/>
    </row>
    <row r="9290" ht="33.75" customHeight="1">
      <c r="A9290" s="7">
        <v>365.0</v>
      </c>
      <c r="B9290" s="9" t="s">
        <v>15297</v>
      </c>
      <c r="C9290" s="9" t="s">
        <v>15298</v>
      </c>
      <c r="D9290" s="9" t="s">
        <v>91</v>
      </c>
      <c r="E9290" s="6" t="s">
        <v>15304</v>
      </c>
      <c r="F9290" s="9"/>
    </row>
    <row r="9291" ht="33.75" customHeight="1">
      <c r="A9291" s="7">
        <v>365.0</v>
      </c>
      <c r="B9291" s="9" t="s">
        <v>15297</v>
      </c>
      <c r="C9291" s="9" t="s">
        <v>15298</v>
      </c>
      <c r="D9291" s="9" t="s">
        <v>93</v>
      </c>
      <c r="E9291" s="6" t="s">
        <v>15303</v>
      </c>
      <c r="F9291" s="9"/>
    </row>
    <row r="9292" ht="33.75" customHeight="1">
      <c r="A9292" s="7">
        <v>365.0</v>
      </c>
      <c r="B9292" s="9" t="s">
        <v>15297</v>
      </c>
      <c r="C9292" s="9" t="s">
        <v>15298</v>
      </c>
      <c r="D9292" s="9" t="s">
        <v>95</v>
      </c>
      <c r="E9292" s="6" t="s">
        <v>15303</v>
      </c>
      <c r="F9292" s="9"/>
    </row>
    <row r="9293" ht="33.75" customHeight="1">
      <c r="A9293" s="7">
        <v>365.0</v>
      </c>
      <c r="B9293" s="9" t="s">
        <v>15297</v>
      </c>
      <c r="C9293" s="9" t="s">
        <v>15298</v>
      </c>
      <c r="D9293" s="9" t="s">
        <v>98</v>
      </c>
      <c r="E9293" s="6" t="s">
        <v>15306</v>
      </c>
      <c r="F9293" s="9"/>
    </row>
    <row r="9294" ht="33.75" customHeight="1">
      <c r="A9294" s="7">
        <v>365.0</v>
      </c>
      <c r="B9294" s="9" t="s">
        <v>15297</v>
      </c>
      <c r="C9294" s="9" t="s">
        <v>15298</v>
      </c>
      <c r="D9294" s="9" t="s">
        <v>99</v>
      </c>
      <c r="E9294" s="6" t="s">
        <v>15306</v>
      </c>
      <c r="F9294" s="9"/>
    </row>
    <row r="9295" ht="33.75" customHeight="1">
      <c r="A9295" s="7">
        <v>365.0</v>
      </c>
      <c r="B9295" s="9" t="s">
        <v>15297</v>
      </c>
      <c r="C9295" s="9" t="s">
        <v>15298</v>
      </c>
      <c r="D9295" s="9" t="s">
        <v>101</v>
      </c>
      <c r="E9295" s="6" t="s">
        <v>15303</v>
      </c>
      <c r="F9295" s="9"/>
    </row>
    <row r="9296" ht="33.75" customHeight="1">
      <c r="A9296" s="7">
        <v>365.0</v>
      </c>
      <c r="B9296" s="9" t="s">
        <v>15297</v>
      </c>
      <c r="C9296" s="9" t="s">
        <v>15298</v>
      </c>
      <c r="D9296" s="9" t="s">
        <v>105</v>
      </c>
      <c r="E9296" s="6" t="s">
        <v>15304</v>
      </c>
      <c r="F9296" s="9"/>
    </row>
    <row r="9297" ht="33.75" customHeight="1">
      <c r="A9297" s="7">
        <v>365.0</v>
      </c>
      <c r="B9297" s="9" t="s">
        <v>15297</v>
      </c>
      <c r="C9297" s="9" t="s">
        <v>15298</v>
      </c>
      <c r="D9297" s="9" t="s">
        <v>107</v>
      </c>
      <c r="E9297" s="6" t="s">
        <v>15307</v>
      </c>
      <c r="F9297" s="9"/>
    </row>
    <row r="9298" ht="33.75" customHeight="1">
      <c r="A9298" s="7">
        <v>365.0</v>
      </c>
      <c r="B9298" s="9" t="s">
        <v>15297</v>
      </c>
      <c r="C9298" s="9" t="s">
        <v>15298</v>
      </c>
      <c r="D9298" s="9" t="s">
        <v>109</v>
      </c>
      <c r="E9298" s="6" t="s">
        <v>15308</v>
      </c>
      <c r="F9298" s="9"/>
    </row>
    <row r="9299" ht="33.75" customHeight="1">
      <c r="A9299" s="7">
        <v>365.0</v>
      </c>
      <c r="B9299" s="9" t="s">
        <v>15297</v>
      </c>
      <c r="C9299" s="9" t="s">
        <v>15298</v>
      </c>
      <c r="D9299" s="9" t="s">
        <v>114</v>
      </c>
      <c r="E9299" s="6" t="s">
        <v>15309</v>
      </c>
      <c r="F9299" s="9"/>
    </row>
    <row r="9300" ht="33.75" customHeight="1">
      <c r="A9300" s="7">
        <v>365.0</v>
      </c>
      <c r="B9300" s="9" t="s">
        <v>15297</v>
      </c>
      <c r="C9300" s="9" t="s">
        <v>15298</v>
      </c>
      <c r="D9300" s="9" t="s">
        <v>117</v>
      </c>
      <c r="E9300" s="6" t="s">
        <v>15310</v>
      </c>
      <c r="F9300" s="9"/>
    </row>
    <row r="9301" ht="33.75" customHeight="1">
      <c r="A9301" s="7">
        <v>365.0</v>
      </c>
      <c r="B9301" s="9" t="s">
        <v>15297</v>
      </c>
      <c r="C9301" s="9" t="s">
        <v>15298</v>
      </c>
      <c r="D9301" s="9" t="s">
        <v>1577</v>
      </c>
      <c r="E9301" s="6" t="s">
        <v>15311</v>
      </c>
      <c r="F9301" s="9"/>
    </row>
    <row r="9302" ht="33.75" customHeight="1">
      <c r="A9302" s="7">
        <v>366.0</v>
      </c>
      <c r="B9302" s="9" t="s">
        <v>15312</v>
      </c>
      <c r="C9302" s="9" t="s">
        <v>5589</v>
      </c>
      <c r="D9302" s="9" t="s">
        <v>67</v>
      </c>
      <c r="E9302" s="6" t="s">
        <v>15314</v>
      </c>
      <c r="F9302" t="inlineStr" s="10">
        <is>
          <t xml:space="preserve">CLAMPERLin tukeva kuori ei ole hyvä vain suojaan – sitä käytetään myös saaliin puristamiseen ja pyydystämiseen. Täysikasvuisen CLAMPERLin kuoressa on kaikkialla naarmuja ja kolhuja. CLAMPERL kasvaa kivikovan kuorensa suojaamana. Kun sen ruumis kasvaa liian suureksi mahtuakseen kuoren sisään, se on varma todiste siitä, että tämä POKéMON on lähellä evoluutiota. Helmi paiskaa kuorensa kiinni saaliinsa päälle estääkseen sitä pakenemasta. Sen evoluution aikana luoman helmen sanotaan olevan täynnä salaperäistä energiaa. Sitä suojaa tukeva kuori. Kerran elämässä siitä tulee upea helmi. Se tekee elinaikanaan yhden helmen. Helmen sanotaan vahvistavan psyykkistä voimaa. Kehittyessään se muodostaa salaperäisen helmen, joka vahvistaa psyykkisiä voimia, kun sitä pidetään kädessä. Clamperlin tukeva kuori ei ole hyvä vain suojaan, vaan sitä käytetään myös saaliin puristamiseen ja pyydystämiseen. Täysikasvuisen Clamperlin kuoressa on kaikkialla naarmuja ja viiltoja. Ulkonäöstään huolimatta se on lihansyöjä. Se puristaa saalistaan ​​kuorensa molemmilla puolilla eikä päästä irti ennen kuin se lakkaa liikkumasta. Clamperlin helmet ovat erittäin arvokkaita. Ne voivat olla yli 10 kertaa kalliimpia kuin Shellderin helmet.</t>
        </is>
      </c>
    </row>
    <row r="9303" ht="33.75" customHeight="1">
      <c r="A9303" s="7">
        <v>366.0</v>
      </c>
      <c r="B9303" s="9" t="s">
        <v>15312</v>
      </c>
      <c r="C9303" s="9" t="s">
        <v>5589</v>
      </c>
      <c r="D9303" s="9" t="s">
        <v>71</v>
      </c>
      <c r="E9303" s="6" t="s">
        <v>15315</v>
      </c>
      <c r="F9303" s="9"/>
    </row>
    <row r="9304" ht="33.75" customHeight="1">
      <c r="A9304" s="7">
        <v>366.0</v>
      </c>
      <c r="B9304" s="9" t="s">
        <v>15312</v>
      </c>
      <c r="C9304" s="9" t="s">
        <v>5589</v>
      </c>
      <c r="D9304" s="9" t="s">
        <v>73</v>
      </c>
      <c r="E9304" s="6" t="s">
        <v>15316</v>
      </c>
      <c r="F9304" s="9"/>
    </row>
    <row r="9305" ht="33.75" customHeight="1">
      <c r="A9305" s="7">
        <v>366.0</v>
      </c>
      <c r="B9305" s="9" t="s">
        <v>15312</v>
      </c>
      <c r="C9305" s="9" t="s">
        <v>5589</v>
      </c>
      <c r="D9305" s="9" t="s">
        <v>75</v>
      </c>
      <c r="E9305" s="6" t="s">
        <v>15317</v>
      </c>
      <c r="F9305" s="9"/>
    </row>
    <row r="9306" ht="33.75" customHeight="1">
      <c r="A9306" s="7">
        <v>366.0</v>
      </c>
      <c r="B9306" s="9" t="s">
        <v>15312</v>
      </c>
      <c r="C9306" s="9" t="s">
        <v>5589</v>
      </c>
      <c r="D9306" s="9" t="s">
        <v>79</v>
      </c>
      <c r="E9306" s="6" t="s">
        <v>15317</v>
      </c>
      <c r="F9306" s="9"/>
    </row>
    <row r="9307" ht="33.75" customHeight="1">
      <c r="A9307" s="7">
        <v>366.0</v>
      </c>
      <c r="B9307" s="9" t="s">
        <v>15312</v>
      </c>
      <c r="C9307" s="9" t="s">
        <v>5589</v>
      </c>
      <c r="D9307" s="9" t="s">
        <v>81</v>
      </c>
      <c r="E9307" s="6" t="s">
        <v>15318</v>
      </c>
      <c r="F9307" s="9"/>
    </row>
    <row r="9308" ht="33.75" customHeight="1">
      <c r="A9308" s="7">
        <v>366.0</v>
      </c>
      <c r="B9308" s="9" t="s">
        <v>15312</v>
      </c>
      <c r="C9308" s="9" t="s">
        <v>5589</v>
      </c>
      <c r="D9308" s="9" t="s">
        <v>84</v>
      </c>
      <c r="E9308" s="6" t="s">
        <v>15318</v>
      </c>
      <c r="F9308" s="9"/>
    </row>
    <row r="9309" ht="33.75" customHeight="1">
      <c r="A9309" s="7">
        <v>366.0</v>
      </c>
      <c r="B9309" s="9" t="s">
        <v>15312</v>
      </c>
      <c r="C9309" s="9" t="s">
        <v>5589</v>
      </c>
      <c r="D9309" s="9" t="s">
        <v>87</v>
      </c>
      <c r="E9309" s="6" t="s">
        <v>15318</v>
      </c>
      <c r="F9309" s="9"/>
    </row>
    <row r="9310" ht="33.75" customHeight="1">
      <c r="A9310" s="7">
        <v>366.0</v>
      </c>
      <c r="B9310" s="9" t="s">
        <v>15312</v>
      </c>
      <c r="C9310" s="9" t="s">
        <v>5589</v>
      </c>
      <c r="D9310" s="9" t="s">
        <v>89</v>
      </c>
      <c r="E9310" s="6" t="s">
        <v>15319</v>
      </c>
      <c r="F9310" s="9"/>
    </row>
    <row r="9311" ht="33.75" customHeight="1">
      <c r="A9311" s="7">
        <v>366.0</v>
      </c>
      <c r="B9311" s="9" t="s">
        <v>15312</v>
      </c>
      <c r="C9311" s="9" t="s">
        <v>5589</v>
      </c>
      <c r="D9311" s="9" t="s">
        <v>91</v>
      </c>
      <c r="E9311" s="6" t="s">
        <v>15319</v>
      </c>
      <c r="F9311" s="9"/>
    </row>
    <row r="9312" ht="33.75" customHeight="1">
      <c r="A9312" s="7">
        <v>366.0</v>
      </c>
      <c r="B9312" s="9" t="s">
        <v>15312</v>
      </c>
      <c r="C9312" s="9" t="s">
        <v>5589</v>
      </c>
      <c r="D9312" s="9" t="s">
        <v>93</v>
      </c>
      <c r="E9312" s="6" t="s">
        <v>15318</v>
      </c>
      <c r="F9312" s="9"/>
    </row>
    <row r="9313" ht="33.75" customHeight="1">
      <c r="A9313" s="7">
        <v>366.0</v>
      </c>
      <c r="B9313" s="9" t="s">
        <v>15312</v>
      </c>
      <c r="C9313" s="9" t="s">
        <v>5589</v>
      </c>
      <c r="D9313" s="9" t="s">
        <v>95</v>
      </c>
      <c r="E9313" s="6" t="s">
        <v>15318</v>
      </c>
      <c r="F9313" s="9"/>
    </row>
    <row r="9314" ht="33.75" customHeight="1">
      <c r="A9314" s="7">
        <v>366.0</v>
      </c>
      <c r="B9314" s="9" t="s">
        <v>15312</v>
      </c>
      <c r="C9314" s="9" t="s">
        <v>5589</v>
      </c>
      <c r="D9314" s="9" t="s">
        <v>98</v>
      </c>
      <c r="E9314" s="6" t="s">
        <v>15318</v>
      </c>
      <c r="F9314" s="9"/>
    </row>
    <row r="9315" ht="33.75" customHeight="1">
      <c r="A9315" s="7">
        <v>366.0</v>
      </c>
      <c r="B9315" s="9" t="s">
        <v>15312</v>
      </c>
      <c r="C9315" s="9" t="s">
        <v>5589</v>
      </c>
      <c r="D9315" s="9" t="s">
        <v>99</v>
      </c>
      <c r="E9315" s="6" t="s">
        <v>15318</v>
      </c>
      <c r="F9315" s="9"/>
    </row>
    <row r="9316" ht="33.75" customHeight="1">
      <c r="A9316" s="7">
        <v>366.0</v>
      </c>
      <c r="B9316" s="9" t="s">
        <v>15312</v>
      </c>
      <c r="C9316" s="9" t="s">
        <v>5589</v>
      </c>
      <c r="D9316" s="9" t="s">
        <v>101</v>
      </c>
      <c r="E9316" s="6" t="s">
        <v>15319</v>
      </c>
      <c r="F9316" s="9"/>
    </row>
    <row r="9317" ht="33.75" customHeight="1">
      <c r="A9317" s="7">
        <v>366.0</v>
      </c>
      <c r="B9317" s="9" t="s">
        <v>15312</v>
      </c>
      <c r="C9317" s="9" t="s">
        <v>5589</v>
      </c>
      <c r="D9317" s="9" t="s">
        <v>105</v>
      </c>
      <c r="E9317" s="6" t="s">
        <v>15317</v>
      </c>
      <c r="F9317" s="9"/>
    </row>
    <row r="9318" ht="33.75" customHeight="1">
      <c r="A9318" s="7">
        <v>366.0</v>
      </c>
      <c r="B9318" s="9" t="s">
        <v>15312</v>
      </c>
      <c r="C9318" s="9" t="s">
        <v>5589</v>
      </c>
      <c r="D9318" s="9" t="s">
        <v>107</v>
      </c>
      <c r="E9318" s="6" t="s">
        <v>15321</v>
      </c>
      <c r="F9318" s="9"/>
    </row>
    <row r="9319" ht="33.75" customHeight="1">
      <c r="A9319" s="7">
        <v>366.0</v>
      </c>
      <c r="B9319" s="9" t="s">
        <v>15312</v>
      </c>
      <c r="C9319" s="9" t="s">
        <v>5589</v>
      </c>
      <c r="D9319" s="9" t="s">
        <v>109</v>
      </c>
      <c r="E9319" s="6" t="s">
        <v>15322</v>
      </c>
      <c r="F9319" s="9"/>
    </row>
    <row r="9320" ht="33.75" customHeight="1">
      <c r="A9320" s="7">
        <v>366.0</v>
      </c>
      <c r="B9320" s="9" t="s">
        <v>15312</v>
      </c>
      <c r="C9320" s="9" t="s">
        <v>5589</v>
      </c>
      <c r="D9320" s="9" t="s">
        <v>647</v>
      </c>
      <c r="E9320" s="6" t="s">
        <v>15323</v>
      </c>
      <c r="F9320" s="9"/>
    </row>
    <row r="9321" ht="33.75" customHeight="1">
      <c r="A9321" s="7">
        <v>366.0</v>
      </c>
      <c r="B9321" s="9" t="s">
        <v>15312</v>
      </c>
      <c r="C9321" s="9" t="s">
        <v>5589</v>
      </c>
      <c r="D9321" s="9" t="s">
        <v>652</v>
      </c>
      <c r="E9321" s="6" t="s">
        <v>15324</v>
      </c>
      <c r="F9321" s="9"/>
    </row>
    <row r="9322" ht="33.75" customHeight="1">
      <c r="A9322" s="7">
        <v>367.0</v>
      </c>
      <c r="B9322" s="9" t="s">
        <v>15325</v>
      </c>
      <c r="C9322" s="9" t="s">
        <v>15326</v>
      </c>
      <c r="D9322" s="9" t="s">
        <v>67</v>
      </c>
      <c r="E9322" s="6" t="s">
        <v>15327</v>
      </c>
      <c r="F9322" t="inlineStr" s="10">
        <is>
          <t xml:space="preserve">HUNTAILIN läsnäolo pysyi ihmisiltä pitkään huomaamattomana, koska se elää äärimmäisen syvällä meressä. Tämän POKéMONin silmät näkevät selvästi jopa meren sameassa pimeydessä. HUNTAILIN häntä on kalan muotoinen. Se käyttää häntäänsä saaliin houkuttelemiseen ja nielee sitten saaliin kokonaisena suurella, ammottavalla suullaan. Tämä POKéMON ui heiluttamalla hoikkaa vartaloaan kuin käärme. Kestääkseen syvän merenpinnan murskaavan paineen sen selkäranka on erittäin paksu ja tukeva. Sen pyrstö, joka on muodoltaan kuin pieni kala, on varustettu loistavilla silmillä. Se elää syvällä meressä, jonne ei koskaan siivilöidy valo. Se valaisee pienen kalan kaltaisen pyrstönsä houkutellakseen saalista. Se elää syvällä meressä. Pienen kalan muotoisella pyrstöllään se houkuttelee tietämätöntä saalista. Se elää syvällä pikipimeässä meressä. Se houkuttelee saalista liikuttamalla häntäänsä pientä eläintä matkien. Huntailin läsnäolo pysyi pitkään ihmisten huomaamattomana, koska se elää äärimmäisen syvällä meressä. Metsäkäärmeen häntä on kalan muotoinen. Se ei ole vahvin uimari. Se heiluttaa häntäänsä houkutellakseen saaliinsa puoleensa ja nielee sen sitten heti, kun se pääsee lähelle. Syvät meret ovat niiden elinympäristöä. Perimätiedon mukaan, kun metsänhäntä ajautuu rannalle, tapahtuu jotain ikävää.</t>
        </is>
      </c>
    </row>
    <row r="9323" ht="33.75" customHeight="1">
      <c r="A9323" s="7">
        <v>367.0</v>
      </c>
      <c r="B9323" s="9" t="s">
        <v>15325</v>
      </c>
      <c r="C9323" s="9" t="s">
        <v>15326</v>
      </c>
      <c r="D9323" s="9" t="s">
        <v>71</v>
      </c>
      <c r="E9323" s="6" t="s">
        <v>15328</v>
      </c>
      <c r="F9323" s="9"/>
    </row>
    <row r="9324" ht="33.75" customHeight="1">
      <c r="A9324" s="7">
        <v>367.0</v>
      </c>
      <c r="B9324" s="9" t="s">
        <v>15325</v>
      </c>
      <c r="C9324" s="9" t="s">
        <v>15326</v>
      </c>
      <c r="D9324" s="9" t="s">
        <v>73</v>
      </c>
      <c r="E9324" s="6" t="s">
        <v>15329</v>
      </c>
      <c r="F9324" s="9"/>
    </row>
    <row r="9325" ht="33.75" customHeight="1">
      <c r="A9325" s="7">
        <v>367.0</v>
      </c>
      <c r="B9325" s="9" t="s">
        <v>15325</v>
      </c>
      <c r="C9325" s="9" t="s">
        <v>15326</v>
      </c>
      <c r="D9325" s="9" t="s">
        <v>75</v>
      </c>
      <c r="E9325" s="6" t="s">
        <v>15330</v>
      </c>
      <c r="F9325" s="9"/>
    </row>
    <row r="9326" ht="33.75" customHeight="1">
      <c r="A9326" s="7">
        <v>367.0</v>
      </c>
      <c r="B9326" s="9" t="s">
        <v>15325</v>
      </c>
      <c r="C9326" s="9" t="s">
        <v>15326</v>
      </c>
      <c r="D9326" s="9" t="s">
        <v>79</v>
      </c>
      <c r="E9326" s="6" t="s">
        <v>15330</v>
      </c>
      <c r="F9326" s="9"/>
    </row>
    <row r="9327" ht="33.75" customHeight="1">
      <c r="A9327" s="7">
        <v>367.0</v>
      </c>
      <c r="B9327" s="9" t="s">
        <v>15325</v>
      </c>
      <c r="C9327" s="9" t="s">
        <v>15326</v>
      </c>
      <c r="D9327" s="9" t="s">
        <v>81</v>
      </c>
      <c r="E9327" s="6" t="s">
        <v>15332</v>
      </c>
      <c r="F9327" s="9"/>
    </row>
    <row r="9328" ht="33.75" customHeight="1">
      <c r="A9328" s="7">
        <v>367.0</v>
      </c>
      <c r="B9328" s="9" t="s">
        <v>15325</v>
      </c>
      <c r="C9328" s="9" t="s">
        <v>15326</v>
      </c>
      <c r="D9328" s="9" t="s">
        <v>84</v>
      </c>
      <c r="E9328" s="6" t="s">
        <v>15332</v>
      </c>
      <c r="F9328" s="9"/>
    </row>
    <row r="9329" ht="33.75" customHeight="1">
      <c r="A9329" s="7">
        <v>367.0</v>
      </c>
      <c r="B9329" s="9" t="s">
        <v>15325</v>
      </c>
      <c r="C9329" s="9" t="s">
        <v>15326</v>
      </c>
      <c r="D9329" s="9" t="s">
        <v>87</v>
      </c>
      <c r="E9329" s="6" t="s">
        <v>15332</v>
      </c>
      <c r="F9329" s="9"/>
    </row>
    <row r="9330" ht="33.75" customHeight="1">
      <c r="A9330" s="7">
        <v>367.0</v>
      </c>
      <c r="B9330" s="9" t="s">
        <v>15325</v>
      </c>
      <c r="C9330" s="9" t="s">
        <v>15326</v>
      </c>
      <c r="D9330" s="9" t="s">
        <v>89</v>
      </c>
      <c r="E9330" s="6" t="s">
        <v>15333</v>
      </c>
      <c r="F9330" s="9"/>
    </row>
    <row r="9331" ht="33.75" customHeight="1">
      <c r="A9331" s="7">
        <v>367.0</v>
      </c>
      <c r="B9331" s="9" t="s">
        <v>15325</v>
      </c>
      <c r="C9331" s="9" t="s">
        <v>15326</v>
      </c>
      <c r="D9331" s="9" t="s">
        <v>91</v>
      </c>
      <c r="E9331" s="6" t="s">
        <v>15333</v>
      </c>
      <c r="F9331" s="9"/>
    </row>
    <row r="9332" ht="33.75" customHeight="1">
      <c r="A9332" s="7">
        <v>367.0</v>
      </c>
      <c r="B9332" s="9" t="s">
        <v>15325</v>
      </c>
      <c r="C9332" s="9" t="s">
        <v>15326</v>
      </c>
      <c r="D9332" s="9" t="s">
        <v>93</v>
      </c>
      <c r="E9332" s="6" t="s">
        <v>15332</v>
      </c>
      <c r="F9332" s="9"/>
    </row>
    <row r="9333" ht="33.75" customHeight="1">
      <c r="A9333" s="7">
        <v>367.0</v>
      </c>
      <c r="B9333" s="9" t="s">
        <v>15325</v>
      </c>
      <c r="C9333" s="9" t="s">
        <v>15326</v>
      </c>
      <c r="D9333" s="9" t="s">
        <v>95</v>
      </c>
      <c r="E9333" s="6" t="s">
        <v>15332</v>
      </c>
      <c r="F9333" s="9"/>
    </row>
    <row r="9334" ht="33.75" customHeight="1">
      <c r="A9334" s="7">
        <v>367.0</v>
      </c>
      <c r="B9334" s="9" t="s">
        <v>15325</v>
      </c>
      <c r="C9334" s="9" t="s">
        <v>15326</v>
      </c>
      <c r="D9334" s="9" t="s">
        <v>98</v>
      </c>
      <c r="E9334" s="6" t="s">
        <v>15332</v>
      </c>
      <c r="F9334" s="9"/>
    </row>
    <row r="9335" ht="33.75" customHeight="1">
      <c r="A9335" s="7">
        <v>367.0</v>
      </c>
      <c r="B9335" s="9" t="s">
        <v>15325</v>
      </c>
      <c r="C9335" s="9" t="s">
        <v>15326</v>
      </c>
      <c r="D9335" s="9" t="s">
        <v>99</v>
      </c>
      <c r="E9335" s="6" t="s">
        <v>15332</v>
      </c>
      <c r="F9335" s="9"/>
    </row>
    <row r="9336" ht="33.75" customHeight="1">
      <c r="A9336" s="7">
        <v>367.0</v>
      </c>
      <c r="B9336" s="9" t="s">
        <v>15325</v>
      </c>
      <c r="C9336" s="9" t="s">
        <v>15326</v>
      </c>
      <c r="D9336" s="9" t="s">
        <v>101</v>
      </c>
      <c r="E9336" s="6" t="s">
        <v>15330</v>
      </c>
      <c r="F9336" s="9"/>
    </row>
    <row r="9337" ht="33.75" customHeight="1">
      <c r="A9337" s="7">
        <v>367.0</v>
      </c>
      <c r="B9337" s="9" t="s">
        <v>15325</v>
      </c>
      <c r="C9337" s="9" t="s">
        <v>15326</v>
      </c>
      <c r="D9337" s="9" t="s">
        <v>105</v>
      </c>
      <c r="E9337" s="6" t="s">
        <v>15332</v>
      </c>
      <c r="F9337" s="9"/>
    </row>
    <row r="9338" ht="33.75" customHeight="1">
      <c r="A9338" s="7">
        <v>367.0</v>
      </c>
      <c r="B9338" s="9" t="s">
        <v>15325</v>
      </c>
      <c r="C9338" s="9" t="s">
        <v>15326</v>
      </c>
      <c r="D9338" s="9" t="s">
        <v>107</v>
      </c>
      <c r="E9338" s="6" t="s">
        <v>15334</v>
      </c>
      <c r="F9338" s="9"/>
    </row>
    <row r="9339" ht="33.75" customHeight="1">
      <c r="A9339" s="7">
        <v>367.0</v>
      </c>
      <c r="B9339" s="9" t="s">
        <v>15325</v>
      </c>
      <c r="C9339" s="9" t="s">
        <v>15326</v>
      </c>
      <c r="D9339" s="9" t="s">
        <v>109</v>
      </c>
      <c r="E9339" s="6" t="s">
        <v>15335</v>
      </c>
      <c r="F9339" s="9"/>
    </row>
    <row r="9340" ht="33.75" customHeight="1">
      <c r="A9340" s="7">
        <v>367.0</v>
      </c>
      <c r="B9340" s="9" t="s">
        <v>15325</v>
      </c>
      <c r="C9340" s="9" t="s">
        <v>15326</v>
      </c>
      <c r="D9340" s="9" t="s">
        <v>647</v>
      </c>
      <c r="E9340" s="6" t="s">
        <v>15336</v>
      </c>
      <c r="F9340" s="9"/>
    </row>
    <row r="9341" ht="33.75" customHeight="1">
      <c r="A9341" s="7">
        <v>367.0</v>
      </c>
      <c r="B9341" s="9" t="s">
        <v>15325</v>
      </c>
      <c r="C9341" s="9" t="s">
        <v>15326</v>
      </c>
      <c r="D9341" s="9" t="s">
        <v>652</v>
      </c>
      <c r="E9341" s="6" t="s">
        <v>15337</v>
      </c>
      <c r="F9341" s="9"/>
    </row>
    <row r="9342" ht="33.75" customHeight="1">
      <c r="A9342" s="7">
        <v>368.0</v>
      </c>
      <c r="B9342" s="9" t="s">
        <v>15338</v>
      </c>
      <c r="C9342" s="9" t="s">
        <v>15339</v>
      </c>
      <c r="D9342" s="9" t="s">
        <v>67</v>
      </c>
      <c r="E9342" s="6" t="s">
        <v>15340</v>
      </c>
      <c r="F9342" t="inlineStr" s="10">
        <is>
          <t xml:space="preserve">GOREBYSS elää eteläisillä merillä äärimmäisen syvyyksissä. Sen ruumis on rakennettu kestämään valtavan vedenpaineen uskomattomissa syvyyksissä. Tämän ansiosta tämän POKéMONin ruumis on turvassa tavallisilta hyökkäyksiltä. Vaikka GOREBYSS on uidessaan eleganssin ja kauneuden ruumiillistuma, se on myös julma. Havaitessaan saaliin tämä POKéMON työntää ohuen suunsa saaliin kehoon ja imee siitä pois sen ruumiinnesteet. GOREBYSS imee saaliinsa ruumiinnesteet ohuen, putkimaisen suunsa kautta. Sen vaaleanpunainen ruumiinväri muuttuu kirkkaaksi, kun se lopettaa syömisen. Sen uintimuoto on erittäin elegantti. Ohuella suullaan se syö kivien välissä kasvavaa merilevää. Se elää meren pohjassa. Keväällä sen vaaleanpunainen ruumis muuttuu jostain syystä kirkkaammaksi. Sen vaaleanpunainen vartalo muuttuu kirkkaammaksi veden lämpötilan noustessa keväällä. Vaikka Gorebyss on uinnissa eleganssin ja kauneuden ruumiillistuma, se on myös julma. Havaitessaan saaliin tämä Pokémon työntää ohuen suunsa saaliin kehoon ja imee saaliista sen nesteet. Sen ruumiin väri muuttuu veden lämpötilan mukaan. Gorebyssin väritys Alolassa on lähes sokaisevan kirkas. Se imee saaliistaan ​​ruumiinnesteitä. Jäljelle jäänyt liha vajoaa merenpohjaan, missä siitä tulee ruokaa muille Pokémoneille.</t>
        </is>
      </c>
    </row>
    <row r="9343" ht="33.75" customHeight="1">
      <c r="A9343" s="7">
        <v>368.0</v>
      </c>
      <c r="B9343" s="9" t="s">
        <v>15338</v>
      </c>
      <c r="C9343" s="9" t="s">
        <v>15339</v>
      </c>
      <c r="D9343" s="9" t="s">
        <v>71</v>
      </c>
      <c r="E9343" s="6" t="s">
        <v>15341</v>
      </c>
      <c r="F9343" s="9"/>
    </row>
    <row r="9344" ht="33.75" customHeight="1">
      <c r="A9344" s="7">
        <v>368.0</v>
      </c>
      <c r="B9344" s="9" t="s">
        <v>15338</v>
      </c>
      <c r="C9344" s="9" t="s">
        <v>15339</v>
      </c>
      <c r="D9344" s="9" t="s">
        <v>73</v>
      </c>
      <c r="E9344" s="6" t="s">
        <v>15342</v>
      </c>
      <c r="F9344" s="9"/>
    </row>
    <row r="9345" ht="33.75" customHeight="1">
      <c r="A9345" s="7">
        <v>368.0</v>
      </c>
      <c r="B9345" s="9" t="s">
        <v>15338</v>
      </c>
      <c r="C9345" s="9" t="s">
        <v>15339</v>
      </c>
      <c r="D9345" s="9" t="s">
        <v>75</v>
      </c>
      <c r="E9345" s="6" t="s">
        <v>15344</v>
      </c>
      <c r="F9345" s="9"/>
    </row>
    <row r="9346" ht="33.75" customHeight="1">
      <c r="A9346" s="7">
        <v>368.0</v>
      </c>
      <c r="B9346" s="9" t="s">
        <v>15338</v>
      </c>
      <c r="C9346" s="9" t="s">
        <v>15339</v>
      </c>
      <c r="D9346" s="9" t="s">
        <v>79</v>
      </c>
      <c r="E9346" s="6" t="s">
        <v>15344</v>
      </c>
      <c r="F9346" s="9"/>
    </row>
    <row r="9347" ht="33.75" customHeight="1">
      <c r="A9347" s="7">
        <v>368.0</v>
      </c>
      <c r="B9347" s="9" t="s">
        <v>15338</v>
      </c>
      <c r="C9347" s="9" t="s">
        <v>15339</v>
      </c>
      <c r="D9347" s="9" t="s">
        <v>81</v>
      </c>
      <c r="E9347" s="6" t="s">
        <v>15345</v>
      </c>
      <c r="F9347" s="9"/>
    </row>
    <row r="9348" ht="33.75" customHeight="1">
      <c r="A9348" s="7">
        <v>368.0</v>
      </c>
      <c r="B9348" s="9" t="s">
        <v>15338</v>
      </c>
      <c r="C9348" s="9" t="s">
        <v>15339</v>
      </c>
      <c r="D9348" s="9" t="s">
        <v>84</v>
      </c>
      <c r="E9348" s="6" t="s">
        <v>15345</v>
      </c>
      <c r="F9348" s="9"/>
    </row>
    <row r="9349" ht="33.75" customHeight="1">
      <c r="A9349" s="7">
        <v>368.0</v>
      </c>
      <c r="B9349" s="9" t="s">
        <v>15338</v>
      </c>
      <c r="C9349" s="9" t="s">
        <v>15339</v>
      </c>
      <c r="D9349" s="9" t="s">
        <v>87</v>
      </c>
      <c r="E9349" s="6" t="s">
        <v>15345</v>
      </c>
      <c r="F9349" s="9"/>
    </row>
    <row r="9350" ht="33.75" customHeight="1">
      <c r="A9350" s="7">
        <v>368.0</v>
      </c>
      <c r="B9350" s="9" t="s">
        <v>15338</v>
      </c>
      <c r="C9350" s="9" t="s">
        <v>15339</v>
      </c>
      <c r="D9350" s="9" t="s">
        <v>89</v>
      </c>
      <c r="E9350" s="6" t="s">
        <v>15346</v>
      </c>
      <c r="F9350" s="9"/>
    </row>
    <row r="9351" ht="33.75" customHeight="1">
      <c r="A9351" s="7">
        <v>368.0</v>
      </c>
      <c r="B9351" s="9" t="s">
        <v>15338</v>
      </c>
      <c r="C9351" s="9" t="s">
        <v>15339</v>
      </c>
      <c r="D9351" s="9" t="s">
        <v>91</v>
      </c>
      <c r="E9351" s="6" t="s">
        <v>15346</v>
      </c>
      <c r="F9351" s="9"/>
    </row>
    <row r="9352" ht="33.75" customHeight="1">
      <c r="A9352" s="7">
        <v>368.0</v>
      </c>
      <c r="B9352" s="9" t="s">
        <v>15338</v>
      </c>
      <c r="C9352" s="9" t="s">
        <v>15339</v>
      </c>
      <c r="D9352" s="9" t="s">
        <v>93</v>
      </c>
      <c r="E9352" s="6" t="s">
        <v>15345</v>
      </c>
      <c r="F9352" s="9"/>
    </row>
    <row r="9353" ht="33.75" customHeight="1">
      <c r="A9353" s="7">
        <v>368.0</v>
      </c>
      <c r="B9353" s="9" t="s">
        <v>15338</v>
      </c>
      <c r="C9353" s="9" t="s">
        <v>15339</v>
      </c>
      <c r="D9353" s="9" t="s">
        <v>95</v>
      </c>
      <c r="E9353" s="6" t="s">
        <v>15345</v>
      </c>
      <c r="F9353" s="9"/>
    </row>
    <row r="9354" ht="33.75" customHeight="1">
      <c r="A9354" s="7">
        <v>368.0</v>
      </c>
      <c r="B9354" s="9" t="s">
        <v>15338</v>
      </c>
      <c r="C9354" s="9" t="s">
        <v>15339</v>
      </c>
      <c r="D9354" s="9" t="s">
        <v>98</v>
      </c>
      <c r="E9354" s="6" t="s">
        <v>15345</v>
      </c>
      <c r="F9354" s="9"/>
    </row>
    <row r="9355" ht="33.75" customHeight="1">
      <c r="A9355" s="7">
        <v>368.0</v>
      </c>
      <c r="B9355" s="9" t="s">
        <v>15338</v>
      </c>
      <c r="C9355" s="9" t="s">
        <v>15339</v>
      </c>
      <c r="D9355" s="9" t="s">
        <v>99</v>
      </c>
      <c r="E9355" s="6" t="s">
        <v>15345</v>
      </c>
      <c r="F9355" s="9"/>
    </row>
    <row r="9356" ht="33.75" customHeight="1">
      <c r="A9356" s="7">
        <v>368.0</v>
      </c>
      <c r="B9356" s="9" t="s">
        <v>15338</v>
      </c>
      <c r="C9356" s="9" t="s">
        <v>15339</v>
      </c>
      <c r="D9356" s="9" t="s">
        <v>101</v>
      </c>
      <c r="E9356" s="6" t="s">
        <v>15345</v>
      </c>
      <c r="F9356" s="9"/>
    </row>
    <row r="9357" ht="33.75" customHeight="1">
      <c r="A9357" s="7">
        <v>368.0</v>
      </c>
      <c r="B9357" s="9" t="s">
        <v>15338</v>
      </c>
      <c r="C9357" s="9" t="s">
        <v>15339</v>
      </c>
      <c r="D9357" s="9" t="s">
        <v>105</v>
      </c>
      <c r="E9357" s="6" t="s">
        <v>15344</v>
      </c>
      <c r="F9357" s="9"/>
    </row>
    <row r="9358" ht="33.75" customHeight="1">
      <c r="A9358" s="7">
        <v>368.0</v>
      </c>
      <c r="B9358" s="9" t="s">
        <v>15338</v>
      </c>
      <c r="C9358" s="9" t="s">
        <v>15339</v>
      </c>
      <c r="D9358" s="9" t="s">
        <v>107</v>
      </c>
      <c r="E9358" s="6" t="s">
        <v>15347</v>
      </c>
      <c r="F9358" s="9"/>
    </row>
    <row r="9359" ht="33.75" customHeight="1">
      <c r="A9359" s="7">
        <v>368.0</v>
      </c>
      <c r="B9359" s="9" t="s">
        <v>15338</v>
      </c>
      <c r="C9359" s="9" t="s">
        <v>15339</v>
      </c>
      <c r="D9359" s="9" t="s">
        <v>109</v>
      </c>
      <c r="E9359" s="6" t="s">
        <v>15348</v>
      </c>
      <c r="F9359" s="9"/>
    </row>
    <row r="9360" ht="33.75" customHeight="1">
      <c r="A9360" s="7">
        <v>368.0</v>
      </c>
      <c r="B9360" s="9" t="s">
        <v>15338</v>
      </c>
      <c r="C9360" s="9" t="s">
        <v>15339</v>
      </c>
      <c r="D9360" s="9" t="s">
        <v>647</v>
      </c>
      <c r="E9360" s="6" t="s">
        <v>15349</v>
      </c>
      <c r="F9360" s="9"/>
    </row>
    <row r="9361" ht="33.75" customHeight="1">
      <c r="A9361" s="7">
        <v>368.0</v>
      </c>
      <c r="B9361" s="9" t="s">
        <v>15338</v>
      </c>
      <c r="C9361" s="9" t="s">
        <v>15339</v>
      </c>
      <c r="D9361" s="9" t="s">
        <v>652</v>
      </c>
      <c r="E9361" s="6" t="s">
        <v>15350</v>
      </c>
      <c r="F9361" s="9"/>
    </row>
    <row r="9362" ht="33.75" customHeight="1">
      <c r="A9362" s="7">
        <v>369.0</v>
      </c>
      <c r="B9362" s="9" t="s">
        <v>15351</v>
      </c>
      <c r="C9362" s="9" t="s">
        <v>15352</v>
      </c>
      <c r="D9362" s="9" t="s">
        <v>67</v>
      </c>
      <c r="E9362" s="6" t="s">
        <v>15354</v>
      </c>
      <c r="F9362" t="inlineStr" s="10">
        <is>
          <t xml:space="preserve">RELICANTH on POKéMON-laji, joka on elänyt sata miljoonaa vuotta muuttamatta muotoaan. Tämä muinainen POKéMON syö mikroskooppisia organismeja hampaattomalla suullaan. RELICANTH on harvinainen laji, joka löydettiin syvänmeren tutkimusmatkoilla. Tämän POKéMONin ruumis kestää valtameren syvyyksien valtavan vedenpaineen. Sen ruumis on peittynyt koviin suomuihin, jotka ovat kuin rosoisia kiviä. POKéMON, jonka aikoinaan uskottiin kuolleen sukupuuttoon. Laji ei ole muuttanut muotoaan 100 miljoonaan vuoteen. Se kävelee merenpohjassa rintaeviensä avulla. Se on pysynyt muuttumattomana 100 miljoonaa vuotta. Se löydettiin syvänmeren tutkimusmatkan aikana. Harvinainen Pokémon, joka löydettiin syvänmeren tutkimusmatkalla. Se ei ole muuttunut yli 100 miljoonaan vuoteen. Se löydettiin sattumalta syvänmeren tutkimusretkien aikana, eikä se ole muuttunut muinaisista ajoista lähtien. Sen muoto on pysynyt samana sata miljoonaa vuotta. Sen ruumis on täynnä rasvaa, joten se kestää syvänmeren vedenpaineen. Se löydettiin sattumalta syvänmeren tutkimusretkellä. Sen hampaat ovat surkastuneet, joten se selviytyy nyt imemiensä mikroskooppisten organismien avulla. Relicanthille, jonka uskotaan kuolleen sukupuuttoon, annettiin nimi, joka on muunnelma sen löytäneen henkilön nimestä. Syy siihen, miksi se ei ole muuttunut lainkaan sadassa miljoonassa vuodessa, on se, että se on ilmeisesti jo täydellinen elämänmuoto. Kivenkovat suomut ja öljyllä täytetyt uimarakot auttavat tätä Pokémonia selviytymään syvänmeren voimakkaasta vedenpaineesta. Tämä Pokémon löydettiin syvänmeren tutkimusmatkan aikana. Sen ulkonäkö ei ole muuttunut 100 000 000 vuoteen, joten sitä kutsutaan eläväksi fossiiliksi.</t>
        </is>
      </c>
    </row>
    <row r="9363" ht="33.75" customHeight="1">
      <c r="A9363" s="7">
        <v>369.0</v>
      </c>
      <c r="B9363" s="9" t="s">
        <v>15351</v>
      </c>
      <c r="C9363" s="9" t="s">
        <v>15352</v>
      </c>
      <c r="D9363" s="9" t="s">
        <v>71</v>
      </c>
      <c r="E9363" s="6" t="s">
        <v>15355</v>
      </c>
      <c r="F9363" s="9"/>
    </row>
    <row r="9364" ht="33.75" customHeight="1">
      <c r="A9364" s="7">
        <v>369.0</v>
      </c>
      <c r="B9364" s="9" t="s">
        <v>15351</v>
      </c>
      <c r="C9364" s="9" t="s">
        <v>15352</v>
      </c>
      <c r="D9364" s="9" t="s">
        <v>73</v>
      </c>
      <c r="E9364" s="6" t="s">
        <v>15356</v>
      </c>
      <c r="F9364" s="9"/>
    </row>
    <row r="9365" ht="33.75" customHeight="1">
      <c r="A9365" s="7">
        <v>369.0</v>
      </c>
      <c r="B9365" s="9" t="s">
        <v>15351</v>
      </c>
      <c r="C9365" s="9" t="s">
        <v>15352</v>
      </c>
      <c r="D9365" s="9" t="s">
        <v>75</v>
      </c>
      <c r="E9365" s="6" t="s">
        <v>15357</v>
      </c>
      <c r="F9365" s="9"/>
    </row>
    <row r="9366" ht="33.75" customHeight="1">
      <c r="A9366" s="7">
        <v>369.0</v>
      </c>
      <c r="B9366" s="9" t="s">
        <v>15351</v>
      </c>
      <c r="C9366" s="9" t="s">
        <v>15352</v>
      </c>
      <c r="D9366" s="9" t="s">
        <v>79</v>
      </c>
      <c r="E9366" s="6" t="s">
        <v>15357</v>
      </c>
      <c r="F9366" s="9"/>
    </row>
    <row r="9367" ht="33.75" customHeight="1">
      <c r="A9367" s="7">
        <v>369.0</v>
      </c>
      <c r="B9367" s="9" t="s">
        <v>15351</v>
      </c>
      <c r="C9367" s="9" t="s">
        <v>15352</v>
      </c>
      <c r="D9367" s="9" t="s">
        <v>81</v>
      </c>
      <c r="E9367" s="6" t="s">
        <v>15358</v>
      </c>
      <c r="F9367" s="9"/>
    </row>
    <row r="9368" ht="33.75" customHeight="1">
      <c r="A9368" s="7">
        <v>369.0</v>
      </c>
      <c r="B9368" s="9" t="s">
        <v>15351</v>
      </c>
      <c r="C9368" s="9" t="s">
        <v>15352</v>
      </c>
      <c r="D9368" s="9" t="s">
        <v>84</v>
      </c>
      <c r="E9368" s="6" t="s">
        <v>15358</v>
      </c>
      <c r="F9368" s="9"/>
    </row>
    <row r="9369" ht="33.75" customHeight="1">
      <c r="A9369" s="7">
        <v>369.0</v>
      </c>
      <c r="B9369" s="9" t="s">
        <v>15351</v>
      </c>
      <c r="C9369" s="9" t="s">
        <v>15352</v>
      </c>
      <c r="D9369" s="9" t="s">
        <v>87</v>
      </c>
      <c r="E9369" s="6" t="s">
        <v>15358</v>
      </c>
      <c r="F9369" s="9"/>
    </row>
    <row r="9370" ht="33.75" customHeight="1">
      <c r="A9370" s="7">
        <v>369.0</v>
      </c>
      <c r="B9370" s="9" t="s">
        <v>15351</v>
      </c>
      <c r="C9370" s="9" t="s">
        <v>15352</v>
      </c>
      <c r="D9370" s="9" t="s">
        <v>89</v>
      </c>
      <c r="E9370" s="6" t="s">
        <v>15359</v>
      </c>
      <c r="F9370" s="9"/>
    </row>
    <row r="9371" ht="33.75" customHeight="1">
      <c r="A9371" s="7">
        <v>369.0</v>
      </c>
      <c r="B9371" s="9" t="s">
        <v>15351</v>
      </c>
      <c r="C9371" s="9" t="s">
        <v>15352</v>
      </c>
      <c r="D9371" s="9" t="s">
        <v>91</v>
      </c>
      <c r="E9371" s="6" t="s">
        <v>15359</v>
      </c>
      <c r="F9371" s="9"/>
    </row>
    <row r="9372" ht="33.75" customHeight="1">
      <c r="A9372" s="7">
        <v>369.0</v>
      </c>
      <c r="B9372" s="9" t="s">
        <v>15351</v>
      </c>
      <c r="C9372" s="9" t="s">
        <v>15352</v>
      </c>
      <c r="D9372" s="9" t="s">
        <v>93</v>
      </c>
      <c r="E9372" s="6" t="s">
        <v>15358</v>
      </c>
      <c r="F9372" s="9"/>
    </row>
    <row r="9373" ht="33.75" customHeight="1">
      <c r="A9373" s="7">
        <v>369.0</v>
      </c>
      <c r="B9373" s="9" t="s">
        <v>15351</v>
      </c>
      <c r="C9373" s="9" t="s">
        <v>15352</v>
      </c>
      <c r="D9373" s="9" t="s">
        <v>95</v>
      </c>
      <c r="E9373" s="6" t="s">
        <v>15358</v>
      </c>
      <c r="F9373" s="9"/>
    </row>
    <row r="9374" ht="33.75" customHeight="1">
      <c r="A9374" s="7">
        <v>369.0</v>
      </c>
      <c r="B9374" s="9" t="s">
        <v>15351</v>
      </c>
      <c r="C9374" s="9" t="s">
        <v>15352</v>
      </c>
      <c r="D9374" s="9" t="s">
        <v>98</v>
      </c>
      <c r="E9374" s="6" t="s">
        <v>15358</v>
      </c>
      <c r="F9374" s="9"/>
    </row>
    <row r="9375" ht="33.75" customHeight="1">
      <c r="A9375" s="7">
        <v>369.0</v>
      </c>
      <c r="B9375" s="9" t="s">
        <v>15351</v>
      </c>
      <c r="C9375" s="9" t="s">
        <v>15352</v>
      </c>
      <c r="D9375" s="9" t="s">
        <v>99</v>
      </c>
      <c r="E9375" s="6" t="s">
        <v>15358</v>
      </c>
      <c r="F9375" s="9"/>
    </row>
    <row r="9376" ht="33.75" customHeight="1">
      <c r="A9376" s="7">
        <v>369.0</v>
      </c>
      <c r="B9376" s="9" t="s">
        <v>15351</v>
      </c>
      <c r="C9376" s="9" t="s">
        <v>15352</v>
      </c>
      <c r="D9376" s="9" t="s">
        <v>101</v>
      </c>
      <c r="E9376" s="6" t="s">
        <v>15357</v>
      </c>
      <c r="F9376" s="9"/>
    </row>
    <row r="9377" ht="33.75" customHeight="1">
      <c r="A9377" s="7">
        <v>369.0</v>
      </c>
      <c r="B9377" s="9" t="s">
        <v>15351</v>
      </c>
      <c r="C9377" s="9" t="s">
        <v>15352</v>
      </c>
      <c r="D9377" s="9" t="s">
        <v>105</v>
      </c>
      <c r="E9377" s="6" t="s">
        <v>15358</v>
      </c>
      <c r="F9377" s="9"/>
    </row>
    <row r="9378" ht="33.75" customHeight="1">
      <c r="A9378" s="7">
        <v>369.0</v>
      </c>
      <c r="B9378" s="9" t="s">
        <v>15351</v>
      </c>
      <c r="C9378" s="9" t="s">
        <v>15352</v>
      </c>
      <c r="D9378" s="9" t="s">
        <v>107</v>
      </c>
      <c r="E9378" s="6" t="s">
        <v>15361</v>
      </c>
      <c r="F9378" s="9"/>
    </row>
    <row r="9379" ht="33.75" customHeight="1">
      <c r="A9379" s="7">
        <v>369.0</v>
      </c>
      <c r="B9379" s="9" t="s">
        <v>15351</v>
      </c>
      <c r="C9379" s="9" t="s">
        <v>15352</v>
      </c>
      <c r="D9379" s="9" t="s">
        <v>109</v>
      </c>
      <c r="E9379" s="6" t="s">
        <v>15362</v>
      </c>
      <c r="F9379" s="9"/>
    </row>
    <row r="9380" ht="33.75" customHeight="1">
      <c r="A9380" s="7">
        <v>369.0</v>
      </c>
      <c r="B9380" s="9" t="s">
        <v>15351</v>
      </c>
      <c r="C9380" s="9" t="s">
        <v>15352</v>
      </c>
      <c r="D9380" s="9" t="s">
        <v>637</v>
      </c>
      <c r="E9380" s="6" t="s">
        <v>15363</v>
      </c>
      <c r="F9380" s="9"/>
    </row>
    <row r="9381" ht="33.75" customHeight="1">
      <c r="A9381" s="7">
        <v>369.0</v>
      </c>
      <c r="B9381" s="9" t="s">
        <v>15351</v>
      </c>
      <c r="C9381" s="9" t="s">
        <v>15352</v>
      </c>
      <c r="D9381" s="9" t="s">
        <v>642</v>
      </c>
      <c r="E9381" s="6" t="s">
        <v>15364</v>
      </c>
      <c r="F9381" s="9"/>
    </row>
    <row r="9382" ht="33.75" customHeight="1">
      <c r="A9382" s="7">
        <v>369.0</v>
      </c>
      <c r="B9382" s="9" t="s">
        <v>15351</v>
      </c>
      <c r="C9382" s="9" t="s">
        <v>15352</v>
      </c>
      <c r="D9382" s="9" t="s">
        <v>647</v>
      </c>
      <c r="E9382" s="6" t="s">
        <v>15365</v>
      </c>
      <c r="F9382" s="9"/>
    </row>
    <row r="9383" ht="33.75" customHeight="1">
      <c r="A9383" s="7">
        <v>369.0</v>
      </c>
      <c r="B9383" s="9" t="s">
        <v>15351</v>
      </c>
      <c r="C9383" s="9" t="s">
        <v>15352</v>
      </c>
      <c r="D9383" s="9" t="s">
        <v>652</v>
      </c>
      <c r="E9383" s="6" t="s">
        <v>15366</v>
      </c>
      <c r="F9383" s="9"/>
    </row>
    <row r="9384" ht="33.75" customHeight="1">
      <c r="A9384" s="7">
        <v>369.0</v>
      </c>
      <c r="B9384" s="9" t="s">
        <v>15351</v>
      </c>
      <c r="C9384" s="9" t="s">
        <v>15352</v>
      </c>
      <c r="D9384" s="9" t="s">
        <v>114</v>
      </c>
      <c r="E9384" s="6" t="s">
        <v>15367</v>
      </c>
      <c r="F9384" s="9"/>
    </row>
    <row r="9385" ht="33.75" customHeight="1">
      <c r="A9385" s="7">
        <v>369.0</v>
      </c>
      <c r="B9385" s="9" t="s">
        <v>15351</v>
      </c>
      <c r="C9385" s="9" t="s">
        <v>15352</v>
      </c>
      <c r="D9385" s="9" t="s">
        <v>117</v>
      </c>
      <c r="E9385" s="6" t="s">
        <v>15368</v>
      </c>
      <c r="F9385" s="9"/>
    </row>
    <row r="9386" ht="33.75" customHeight="1">
      <c r="A9386" s="7">
        <v>370.0</v>
      </c>
      <c r="B9386" s="9" t="s">
        <v>15369</v>
      </c>
      <c r="C9386" s="9" t="s">
        <v>15370</v>
      </c>
      <c r="D9386" s="9" t="s">
        <v>67</v>
      </c>
      <c r="E9386" s="6" t="s">
        <v>15371</v>
      </c>
      <c r="F9386" t="inlineStr" s="10">
        <is>
          <t xml:space="preserve">LUVDISC-pokémonit elävät matalissa merissä tropiikissa. Tämä sydämenmuotoinen POKéMON ansaitsi nimensä uimalla meren aalloissa havaitsemiensa rakastavaisten parien mukaan. LUVDISCin sydämenmuotoinen vartalo symboloi rakkautta ja romantiikkaa. Sanotaan, että pariskunnalle, joka tapaa tämän POKéMONin, luvataan rakastava suhde, joka ei koskaan pääty. LUVDISC-lehdet tekevät pesänsä CORSOLAN oksista. On olemassa vanha tapa antaa LUVDISC lahjaksi rakkaudenosoituksena. Kutuaikana lukemattomat LUVDISC-kärpäset kerääntyvät koralliriutoille ja värjäävät vedet vaaleanpunaisiksi. Se elää lämpimissä merissä. Sanotaan, että tämän Pokémonin löytävää paria siunataan ikuisella rakkaudella. Sen sydämenmuotoinen runko tekee siitä suositun. Joissakin paikoissa LUVDISCin antaisi rakkaalleen. Luvdiscit elävät matalissa merissä tropiikissa. Tämä sydämenmuotoinen Pokémon ansaitsi nimensä uimalla meren aalloissa havaitsemiensa rakastavaisten parien perässä. Luvdiscin sydämenmuotoinen vartalo on rakkauden ja romantiikan symboli. Jos Luvdisc jätetään yksin, se masentuu ja altis hyökkäyksille. Silloin Pelipper nappaa sen. Rakastavaisilla pariskunnilla on heikko kohta tätä Pokémonia kohtaan, joten häämatkahotellit usein vapauttavat tämän Pokémonin uima-altaisiinsa. Oli aikakausi, jolloin sitä liikakalastettiin huhun vuoksi, että yhden sen sydämenmuotoisista suomuista avulla voisi löytää rakkaan. Luvdisc tekee kotinsa lämpimien merien koralliriutoilla. Se tykkää erityisesti nukkua Corsolan oksien välissä.</t>
        </is>
      </c>
    </row>
    <row r="9387" ht="33.75" customHeight="1">
      <c r="A9387" s="7">
        <v>370.0</v>
      </c>
      <c r="B9387" s="9" t="s">
        <v>15369</v>
      </c>
      <c r="C9387" s="9" t="s">
        <v>15370</v>
      </c>
      <c r="D9387" s="9" t="s">
        <v>71</v>
      </c>
      <c r="E9387" s="6" t="s">
        <v>15372</v>
      </c>
      <c r="F9387" s="9"/>
    </row>
    <row r="9388" ht="33.75" customHeight="1">
      <c r="A9388" s="7">
        <v>370.0</v>
      </c>
      <c r="B9388" s="9" t="s">
        <v>15369</v>
      </c>
      <c r="C9388" s="9" t="s">
        <v>15370</v>
      </c>
      <c r="D9388" s="9" t="s">
        <v>73</v>
      </c>
      <c r="E9388" s="6" t="s">
        <v>15373</v>
      </c>
      <c r="F9388" s="9"/>
    </row>
    <row r="9389" ht="33.75" customHeight="1">
      <c r="A9389" s="7">
        <v>370.0</v>
      </c>
      <c r="B9389" s="9" t="s">
        <v>15369</v>
      </c>
      <c r="C9389" s="9" t="s">
        <v>15370</v>
      </c>
      <c r="D9389" s="9" t="s">
        <v>75</v>
      </c>
      <c r="E9389" s="6" t="s">
        <v>15374</v>
      </c>
      <c r="F9389" s="9"/>
    </row>
    <row r="9390" ht="33.75" customHeight="1">
      <c r="A9390" s="7">
        <v>370.0</v>
      </c>
      <c r="B9390" s="9" t="s">
        <v>15369</v>
      </c>
      <c r="C9390" s="9" t="s">
        <v>15370</v>
      </c>
      <c r="D9390" s="9" t="s">
        <v>79</v>
      </c>
      <c r="E9390" s="6" t="s">
        <v>15374</v>
      </c>
      <c r="F9390" s="9"/>
    </row>
    <row r="9391" ht="33.75" customHeight="1">
      <c r="A9391" s="7">
        <v>370.0</v>
      </c>
      <c r="B9391" s="9" t="s">
        <v>15369</v>
      </c>
      <c r="C9391" s="9" t="s">
        <v>15370</v>
      </c>
      <c r="D9391" s="9" t="s">
        <v>81</v>
      </c>
      <c r="E9391" s="6" t="s">
        <v>15375</v>
      </c>
      <c r="F9391" s="9"/>
    </row>
    <row r="9392" ht="33.75" customHeight="1">
      <c r="A9392" s="7">
        <v>370.0</v>
      </c>
      <c r="B9392" s="9" t="s">
        <v>15369</v>
      </c>
      <c r="C9392" s="9" t="s">
        <v>15370</v>
      </c>
      <c r="D9392" s="9" t="s">
        <v>84</v>
      </c>
      <c r="E9392" s="6" t="s">
        <v>15375</v>
      </c>
      <c r="F9392" s="9"/>
    </row>
    <row r="9393" ht="33.75" customHeight="1">
      <c r="A9393" s="7">
        <v>370.0</v>
      </c>
      <c r="B9393" s="9" t="s">
        <v>15369</v>
      </c>
      <c r="C9393" s="9" t="s">
        <v>15370</v>
      </c>
      <c r="D9393" s="9" t="s">
        <v>87</v>
      </c>
      <c r="E9393" s="6" t="s">
        <v>15375</v>
      </c>
      <c r="F9393" s="9"/>
    </row>
    <row r="9394" ht="33.75" customHeight="1">
      <c r="A9394" s="7">
        <v>370.0</v>
      </c>
      <c r="B9394" s="9" t="s">
        <v>15369</v>
      </c>
      <c r="C9394" s="9" t="s">
        <v>15370</v>
      </c>
      <c r="D9394" s="9" t="s">
        <v>89</v>
      </c>
      <c r="E9394" s="6" t="s">
        <v>15376</v>
      </c>
      <c r="F9394" s="9"/>
    </row>
    <row r="9395" ht="33.75" customHeight="1">
      <c r="A9395" s="7">
        <v>370.0</v>
      </c>
      <c r="B9395" s="9" t="s">
        <v>15369</v>
      </c>
      <c r="C9395" s="9" t="s">
        <v>15370</v>
      </c>
      <c r="D9395" s="9" t="s">
        <v>91</v>
      </c>
      <c r="E9395" s="6" t="s">
        <v>15376</v>
      </c>
      <c r="F9395" s="9"/>
    </row>
    <row r="9396" ht="33.75" customHeight="1">
      <c r="A9396" s="7">
        <v>370.0</v>
      </c>
      <c r="B9396" s="9" t="s">
        <v>15369</v>
      </c>
      <c r="C9396" s="9" t="s">
        <v>15370</v>
      </c>
      <c r="D9396" s="9" t="s">
        <v>93</v>
      </c>
      <c r="E9396" s="6" t="s">
        <v>15375</v>
      </c>
      <c r="F9396" s="9"/>
    </row>
    <row r="9397" ht="33.75" customHeight="1">
      <c r="A9397" s="7">
        <v>370.0</v>
      </c>
      <c r="B9397" s="9" t="s">
        <v>15369</v>
      </c>
      <c r="C9397" s="9" t="s">
        <v>15370</v>
      </c>
      <c r="D9397" s="9" t="s">
        <v>95</v>
      </c>
      <c r="E9397" s="6" t="s">
        <v>15375</v>
      </c>
      <c r="F9397" s="9"/>
    </row>
    <row r="9398" ht="33.75" customHeight="1">
      <c r="A9398" s="7">
        <v>370.0</v>
      </c>
      <c r="B9398" s="9" t="s">
        <v>15369</v>
      </c>
      <c r="C9398" s="9" t="s">
        <v>15370</v>
      </c>
      <c r="D9398" s="9" t="s">
        <v>98</v>
      </c>
      <c r="E9398" s="6" t="s">
        <v>15375</v>
      </c>
      <c r="F9398" s="9"/>
    </row>
    <row r="9399" ht="33.75" customHeight="1">
      <c r="A9399" s="7">
        <v>370.0</v>
      </c>
      <c r="B9399" s="9" t="s">
        <v>15369</v>
      </c>
      <c r="C9399" s="9" t="s">
        <v>15370</v>
      </c>
      <c r="D9399" s="9" t="s">
        <v>99</v>
      </c>
      <c r="E9399" s="6" t="s">
        <v>15375</v>
      </c>
      <c r="F9399" s="9"/>
    </row>
    <row r="9400" ht="33.75" customHeight="1">
      <c r="A9400" s="7">
        <v>370.0</v>
      </c>
      <c r="B9400" s="9" t="s">
        <v>15369</v>
      </c>
      <c r="C9400" s="9" t="s">
        <v>15370</v>
      </c>
      <c r="D9400" s="9" t="s">
        <v>101</v>
      </c>
      <c r="E9400" s="6" t="s">
        <v>15375</v>
      </c>
      <c r="F9400" s="9"/>
    </row>
    <row r="9401" ht="33.75" customHeight="1">
      <c r="A9401" s="7">
        <v>370.0</v>
      </c>
      <c r="B9401" s="9" t="s">
        <v>15369</v>
      </c>
      <c r="C9401" s="9" t="s">
        <v>15370</v>
      </c>
      <c r="D9401" s="9" t="s">
        <v>105</v>
      </c>
      <c r="E9401" s="6" t="s">
        <v>15378</v>
      </c>
      <c r="F9401" s="9"/>
    </row>
    <row r="9402" ht="33.75" customHeight="1">
      <c r="A9402" s="7">
        <v>370.0</v>
      </c>
      <c r="B9402" s="9" t="s">
        <v>15369</v>
      </c>
      <c r="C9402" s="9" t="s">
        <v>15370</v>
      </c>
      <c r="D9402" s="9" t="s">
        <v>107</v>
      </c>
      <c r="E9402" s="6" t="s">
        <v>15379</v>
      </c>
      <c r="F9402" s="9"/>
    </row>
    <row r="9403" ht="33.75" customHeight="1">
      <c r="A9403" s="7">
        <v>370.0</v>
      </c>
      <c r="B9403" s="9" t="s">
        <v>15369</v>
      </c>
      <c r="C9403" s="9" t="s">
        <v>15370</v>
      </c>
      <c r="D9403" s="9" t="s">
        <v>109</v>
      </c>
      <c r="E9403" s="6" t="s">
        <v>15380</v>
      </c>
      <c r="F9403" s="9"/>
    </row>
    <row r="9404" ht="33.75" customHeight="1">
      <c r="A9404" s="7">
        <v>370.0</v>
      </c>
      <c r="B9404" s="9" t="s">
        <v>15369</v>
      </c>
      <c r="C9404" s="9" t="s">
        <v>15370</v>
      </c>
      <c r="D9404" s="9" t="s">
        <v>637</v>
      </c>
      <c r="E9404" s="6" t="s">
        <v>15381</v>
      </c>
      <c r="F9404" s="9"/>
    </row>
    <row r="9405" ht="33.75" customHeight="1">
      <c r="A9405" s="7">
        <v>370.0</v>
      </c>
      <c r="B9405" s="9" t="s">
        <v>15369</v>
      </c>
      <c r="C9405" s="9" t="s">
        <v>15370</v>
      </c>
      <c r="D9405" s="9" t="s">
        <v>642</v>
      </c>
      <c r="E9405" s="6" t="s">
        <v>15382</v>
      </c>
      <c r="F9405" s="9"/>
    </row>
    <row r="9406" ht="33.75" customHeight="1">
      <c r="A9406" s="7">
        <v>370.0</v>
      </c>
      <c r="B9406" s="9" t="s">
        <v>15369</v>
      </c>
      <c r="C9406" s="9" t="s">
        <v>15370</v>
      </c>
      <c r="D9406" s="9" t="s">
        <v>647</v>
      </c>
      <c r="E9406" s="6" t="s">
        <v>15383</v>
      </c>
      <c r="F9406" s="9"/>
    </row>
    <row r="9407" ht="33.75" customHeight="1">
      <c r="A9407" s="7">
        <v>370.0</v>
      </c>
      <c r="B9407" s="9" t="s">
        <v>15369</v>
      </c>
      <c r="C9407" s="9" t="s">
        <v>15370</v>
      </c>
      <c r="D9407" s="9" t="s">
        <v>652</v>
      </c>
      <c r="E9407" s="6" t="s">
        <v>15384</v>
      </c>
      <c r="F9407" s="9"/>
    </row>
    <row r="9408" ht="33.75" customHeight="1">
      <c r="A9408" s="7">
        <v>371.0</v>
      </c>
      <c r="B9408" s="9" t="s">
        <v>15385</v>
      </c>
      <c r="C9408" s="9" t="s">
        <v>15386</v>
      </c>
      <c r="D9408" s="9" t="s">
        <v>67</v>
      </c>
      <c r="E9408" s="6" t="s">
        <v>15387</v>
      </c>
      <c r="F9408" t="inlineStr" s="10">
        <is>
          <t xml:space="preserve">BAGONilla on unelma jonain päivänä kohota taivaalle. Tuhoisassa lentoyrityksessään tämä POKéMON syöksyy kallioilta. Sukellusten seurauksena sen päästä on tullut kova kuin karkaistusta teräksestä. BAGONilla on loputon unelma jonain päivänä kohoamisesta korkealle pilvien sekaan. Ikään kuin yrittäen karkottaa lentokyvyttömyytensä aiheuttamaa turhautumista tämä POKéMON iskee kovan päänsä valtaviin kiviin ja murskaa ne pikkukiviksi. Vaikka se on pieni, tämä POKéMON on erittäin voimakas, koska sen ruumis on kuin lihaskimppu. Se ampuu pääniskuja raudankaltaisella kallollaan. Sen teräskova pää voi murskata lohkareita. Se toivoo hartaasti siipien kasvamista, jotta se voisi lentää. Haaveillen jonain päivänä lentämisestä se harjoittelee hyppäämällä kallioilta joka päivä. Sen hyvin kehittyneet niskalihakset ja raudankaltainen pää voivat murskata lohkareita palasiksi. Sen hyvin kehittyneet niskalihakset ja raudan kaltainen pää voivat murskata lohkareita palasiksi. Tuhoisassa lentoyrityksessään tämä Pokémon heittäytyy kallioilta alas. Sukellusten seurauksena sen pää on kova kuin karkaistu teräs. Sen usko siihen, että se pystyy lentämään jonain päivänä, johtuu ilmeisesti sen geeneissä kantamasta tiedosta. Teräksenkovalla kivipäällään se puskee umpimähkään. Tämä johtuu stressistä, jota se tuntee kyvyttömyydestä lentää. Aina kun se näkee lintu-Pokémonin lentävän taivaalla, se tulee kateelliseksi ja murskaa ympäristönsä palasiksi pääniskuilla. Jotkut teoriat viittaavat siihen, että sen käyttäytyminen, jossa se hakkaa päätään voimakkaasti esineisiin, stimuloi soluja, jotka vaikuttavat sen evoluutioon. Bagon hyppää kallioilta joka päivä yrittäen vahvistua, jotta se jonain päivänä pystyisi lentämään. Bagon on yksinäinen Pokémon, joka ei muodosta ryhmiä muiden kaltaistensa kanssa. Sen pää on myös niin kova, että se voi halkaista lohkareen yhdellä iskulla.</t>
        </is>
      </c>
    </row>
    <row r="9409" ht="33.75" customHeight="1">
      <c r="A9409" s="7">
        <v>371.0</v>
      </c>
      <c r="B9409" s="9" t="s">
        <v>15385</v>
      </c>
      <c r="C9409" s="9" t="s">
        <v>15386</v>
      </c>
      <c r="D9409" s="9" t="s">
        <v>71</v>
      </c>
      <c r="E9409" s="6" t="s">
        <v>15388</v>
      </c>
      <c r="F9409" s="9"/>
    </row>
    <row r="9410" ht="33.75" customHeight="1">
      <c r="A9410" s="7">
        <v>371.0</v>
      </c>
      <c r="B9410" s="9" t="s">
        <v>15385</v>
      </c>
      <c r="C9410" s="9" t="s">
        <v>15386</v>
      </c>
      <c r="D9410" s="9" t="s">
        <v>73</v>
      </c>
      <c r="E9410" s="6" t="s">
        <v>15389</v>
      </c>
      <c r="F9410" s="9"/>
    </row>
    <row r="9411" ht="33.75" customHeight="1">
      <c r="A9411" s="7">
        <v>371.0</v>
      </c>
      <c r="B9411" s="9" t="s">
        <v>15385</v>
      </c>
      <c r="C9411" s="9" t="s">
        <v>15386</v>
      </c>
      <c r="D9411" s="9" t="s">
        <v>75</v>
      </c>
      <c r="E9411" s="6" t="s">
        <v>15390</v>
      </c>
      <c r="F9411" s="9"/>
    </row>
    <row r="9412" ht="33.75" customHeight="1">
      <c r="A9412" s="7">
        <v>371.0</v>
      </c>
      <c r="B9412" s="9" t="s">
        <v>15385</v>
      </c>
      <c r="C9412" s="9" t="s">
        <v>15386</v>
      </c>
      <c r="D9412" s="9" t="s">
        <v>79</v>
      </c>
      <c r="E9412" s="6" t="s">
        <v>15390</v>
      </c>
      <c r="F9412" s="9"/>
    </row>
    <row r="9413" ht="33.75" customHeight="1">
      <c r="A9413" s="7">
        <v>371.0</v>
      </c>
      <c r="B9413" s="9" t="s">
        <v>15385</v>
      </c>
      <c r="C9413" s="9" t="s">
        <v>15386</v>
      </c>
      <c r="D9413" s="9" t="s">
        <v>81</v>
      </c>
      <c r="E9413" s="6" t="s">
        <v>15391</v>
      </c>
      <c r="F9413" s="9"/>
    </row>
    <row r="9414" ht="33.75" customHeight="1">
      <c r="A9414" s="7">
        <v>371.0</v>
      </c>
      <c r="B9414" s="9" t="s">
        <v>15385</v>
      </c>
      <c r="C9414" s="9" t="s">
        <v>15386</v>
      </c>
      <c r="D9414" s="9" t="s">
        <v>84</v>
      </c>
      <c r="E9414" s="6" t="s">
        <v>15391</v>
      </c>
      <c r="F9414" s="9"/>
    </row>
    <row r="9415" ht="33.75" customHeight="1">
      <c r="A9415" s="7">
        <v>371.0</v>
      </c>
      <c r="B9415" s="9" t="s">
        <v>15385</v>
      </c>
      <c r="C9415" s="9" t="s">
        <v>15386</v>
      </c>
      <c r="D9415" s="9" t="s">
        <v>87</v>
      </c>
      <c r="E9415" s="6" t="s">
        <v>15391</v>
      </c>
      <c r="F9415" s="9"/>
    </row>
    <row r="9416" ht="33.75" customHeight="1">
      <c r="A9416" s="7">
        <v>371.0</v>
      </c>
      <c r="B9416" s="9" t="s">
        <v>15385</v>
      </c>
      <c r="C9416" s="9" t="s">
        <v>15386</v>
      </c>
      <c r="D9416" s="9" t="s">
        <v>89</v>
      </c>
      <c r="E9416" s="6" t="s">
        <v>15392</v>
      </c>
      <c r="F9416" s="9"/>
    </row>
    <row r="9417" ht="33.75" customHeight="1">
      <c r="A9417" s="7">
        <v>371.0</v>
      </c>
      <c r="B9417" s="9" t="s">
        <v>15385</v>
      </c>
      <c r="C9417" s="9" t="s">
        <v>15386</v>
      </c>
      <c r="D9417" s="9" t="s">
        <v>91</v>
      </c>
      <c r="E9417" s="6" t="s">
        <v>15392</v>
      </c>
      <c r="F9417" s="9"/>
    </row>
    <row r="9418" ht="33.75" customHeight="1">
      <c r="A9418" s="7">
        <v>371.0</v>
      </c>
      <c r="B9418" s="9" t="s">
        <v>15385</v>
      </c>
      <c r="C9418" s="9" t="s">
        <v>15386</v>
      </c>
      <c r="D9418" s="9" t="s">
        <v>93</v>
      </c>
      <c r="E9418" s="6" t="s">
        <v>15391</v>
      </c>
      <c r="F9418" s="9"/>
    </row>
    <row r="9419" ht="33.75" customHeight="1">
      <c r="A9419" s="7">
        <v>371.0</v>
      </c>
      <c r="B9419" s="9" t="s">
        <v>15385</v>
      </c>
      <c r="C9419" s="9" t="s">
        <v>15386</v>
      </c>
      <c r="D9419" s="9" t="s">
        <v>95</v>
      </c>
      <c r="E9419" s="6" t="s">
        <v>15391</v>
      </c>
      <c r="F9419" s="9"/>
    </row>
    <row r="9420" ht="33.75" customHeight="1">
      <c r="A9420" s="7">
        <v>371.0</v>
      </c>
      <c r="B9420" s="9" t="s">
        <v>15385</v>
      </c>
      <c r="C9420" s="9" t="s">
        <v>15386</v>
      </c>
      <c r="D9420" s="9" t="s">
        <v>98</v>
      </c>
      <c r="E9420" s="6" t="s">
        <v>15391</v>
      </c>
      <c r="F9420" s="9"/>
    </row>
    <row r="9421" ht="33.75" customHeight="1">
      <c r="A9421" s="7">
        <v>371.0</v>
      </c>
      <c r="B9421" s="9" t="s">
        <v>15385</v>
      </c>
      <c r="C9421" s="9" t="s">
        <v>15386</v>
      </c>
      <c r="D9421" s="9" t="s">
        <v>99</v>
      </c>
      <c r="E9421" s="6" t="s">
        <v>15391</v>
      </c>
      <c r="F9421" s="9"/>
    </row>
    <row r="9422" ht="33.75" customHeight="1">
      <c r="A9422" s="7">
        <v>371.0</v>
      </c>
      <c r="B9422" s="9" t="s">
        <v>15385</v>
      </c>
      <c r="C9422" s="9" t="s">
        <v>15386</v>
      </c>
      <c r="D9422" s="9" t="s">
        <v>101</v>
      </c>
      <c r="E9422" s="6" t="s">
        <v>15393</v>
      </c>
      <c r="F9422" s="9"/>
    </row>
    <row r="9423" ht="33.75" customHeight="1">
      <c r="A9423" s="7">
        <v>371.0</v>
      </c>
      <c r="B9423" s="9" t="s">
        <v>15385</v>
      </c>
      <c r="C9423" s="9" t="s">
        <v>15386</v>
      </c>
      <c r="D9423" s="9" t="s">
        <v>105</v>
      </c>
      <c r="E9423" s="6" t="s">
        <v>15391</v>
      </c>
      <c r="F9423" s="9"/>
    </row>
    <row r="9424" ht="33.75" customHeight="1">
      <c r="A9424" s="7">
        <v>371.0</v>
      </c>
      <c r="B9424" s="9" t="s">
        <v>15385</v>
      </c>
      <c r="C9424" s="9" t="s">
        <v>15386</v>
      </c>
      <c r="D9424" s="9" t="s">
        <v>107</v>
      </c>
      <c r="E9424" s="6" t="s">
        <v>15394</v>
      </c>
      <c r="F9424" s="9"/>
    </row>
    <row r="9425" ht="33.75" customHeight="1">
      <c r="A9425" s="7">
        <v>371.0</v>
      </c>
      <c r="B9425" s="9" t="s">
        <v>15385</v>
      </c>
      <c r="C9425" s="9" t="s">
        <v>15386</v>
      </c>
      <c r="D9425" s="9" t="s">
        <v>109</v>
      </c>
      <c r="E9425" s="6" t="s">
        <v>15395</v>
      </c>
      <c r="F9425" s="9"/>
    </row>
    <row r="9426" ht="33.75" customHeight="1">
      <c r="A9426" s="7">
        <v>371.0</v>
      </c>
      <c r="B9426" s="9" t="s">
        <v>15385</v>
      </c>
      <c r="C9426" s="9" t="s">
        <v>15386</v>
      </c>
      <c r="D9426" s="9" t="s">
        <v>637</v>
      </c>
      <c r="E9426" s="6" t="s">
        <v>15396</v>
      </c>
      <c r="F9426" s="9"/>
    </row>
    <row r="9427" ht="33.75" customHeight="1">
      <c r="A9427" s="7">
        <v>371.0</v>
      </c>
      <c r="B9427" s="9" t="s">
        <v>15385</v>
      </c>
      <c r="C9427" s="9" t="s">
        <v>15386</v>
      </c>
      <c r="D9427" s="9" t="s">
        <v>642</v>
      </c>
      <c r="E9427" s="6" t="s">
        <v>15397</v>
      </c>
      <c r="F9427" s="9"/>
    </row>
    <row r="9428" ht="33.75" customHeight="1">
      <c r="A9428" s="7">
        <v>371.0</v>
      </c>
      <c r="B9428" s="9" t="s">
        <v>15385</v>
      </c>
      <c r="C9428" s="9" t="s">
        <v>15386</v>
      </c>
      <c r="D9428" s="9" t="s">
        <v>647</v>
      </c>
      <c r="E9428" s="6" t="s">
        <v>15398</v>
      </c>
      <c r="F9428" s="9"/>
    </row>
    <row r="9429" ht="33.75" customHeight="1">
      <c r="A9429" s="7">
        <v>371.0</v>
      </c>
      <c r="B9429" s="9" t="s">
        <v>15385</v>
      </c>
      <c r="C9429" s="9" t="s">
        <v>15386</v>
      </c>
      <c r="D9429" s="9" t="s">
        <v>652</v>
      </c>
      <c r="E9429" s="6" t="s">
        <v>15399</v>
      </c>
      <c r="F9429" s="9"/>
    </row>
    <row r="9430" ht="33.75" customHeight="1">
      <c r="A9430" s="7">
        <v>371.0</v>
      </c>
      <c r="B9430" s="9" t="s">
        <v>15385</v>
      </c>
      <c r="C9430" s="9" t="s">
        <v>15386</v>
      </c>
      <c r="D9430" s="9" t="s">
        <v>114</v>
      </c>
      <c r="E9430" s="6" t="s">
        <v>15400</v>
      </c>
      <c r="F9430" s="9"/>
    </row>
    <row r="9431" ht="33.75" customHeight="1">
      <c r="A9431" s="7">
        <v>371.0</v>
      </c>
      <c r="B9431" s="9" t="s">
        <v>15385</v>
      </c>
      <c r="C9431" s="9" t="s">
        <v>15386</v>
      </c>
      <c r="D9431" s="9" t="s">
        <v>117</v>
      </c>
      <c r="E9431" s="6" t="s">
        <v>15401</v>
      </c>
      <c r="F9431" s="9"/>
    </row>
    <row r="9432" ht="33.75" customHeight="1">
      <c r="A9432" s="7">
        <v>372.0</v>
      </c>
      <c r="B9432" s="9" t="s">
        <v>15402</v>
      </c>
      <c r="C9432" s="9" t="s">
        <v>15403</v>
      </c>
      <c r="D9432" s="9" t="s">
        <v>67</v>
      </c>
      <c r="E9432" s="6" t="s">
        <v>15404</v>
      </c>
      <c r="F9432" t="inlineStr" s="10">
        <is>
          <t xml:space="preserve">SHELGONin panssarin kaltaisen kuoren sisällä solut ovat keskellä muutosta luodakseen täysin uuden kehon. Tämän POKéMONin kuori on erittäin painava, mikä tekee sen liikkeistä hitaita. SHELGONIN kehoa peittävät luita muistuttavat ulokkeet. Kuori on erittäin kova ja kimpoaa vihollisen hyökkäyksistä. Kehitystä odottaessaan tämä POKéMON piiloutuu luolaan. Se tuskin syö odottaessaan evoluutiota. Se tulee sitkeämmäksi kestämällä nälkää. Sen kuori irtoaa heti, kun se alkaa kehittyä. Sen panssaroitu vartalo kimpoaa kaikki hyökkäykset takaisin. Panssari on kuitenkin liian kestävä, mikä tekee siitä raskaan ja hieman hitaan. Karkean kuorensa sisällä sen solut ovat alkaneet muuttua. Kuori irtoaa heti, kun se kehittyy. Se ympäröi ruumiinsa rautakovalla kuorella kerätäkseen tarpeeksi voimaa kehittyäkseen. Shelgonin kehoa peittävät luuta muistuttavat ulokkeet. Sen kuoren solut muuttuvat räjähdysmäisellä nopeudella ja valmistavat sitä evoluutioon. Ne lymyilevät syvällä luolissa – liikkumattomina, eivät syö eivätkä juo. Miksi ne eivät kuole, ei tiedetä. Sen kehon solut muuttuvat hämmentävää vauhtia. Sen kova kuori on tehty samasta aineesta kuin luu. Shelgon asuu syvällä luolissa. Se pysyy suljettuna kovaan kuoreensa ja unelmoi päivästä, jolloin se pystyy lentämään. Tämä Pokémon on peittänyt kehonsa kovalla kuorella, jonka koostumus on sama kuin luun. Shelgon varastoi energiaa evoluutiota varten. Shelgon ei välitä nälästään lainkaan eikä syö mitään. Ilmeisesti Shelgon kehittyy, kun kaikki sen energiavarastot ovat käytetty loppuun.</t>
        </is>
      </c>
    </row>
    <row r="9433" ht="33.75" customHeight="1">
      <c r="A9433" s="7">
        <v>372.0</v>
      </c>
      <c r="B9433" s="9" t="s">
        <v>15402</v>
      </c>
      <c r="C9433" s="9" t="s">
        <v>15403</v>
      </c>
      <c r="D9433" s="9" t="s">
        <v>71</v>
      </c>
      <c r="E9433" s="6" t="s">
        <v>15405</v>
      </c>
      <c r="F9433" s="9"/>
    </row>
    <row r="9434" ht="33.75" customHeight="1">
      <c r="A9434" s="7">
        <v>372.0</v>
      </c>
      <c r="B9434" s="9" t="s">
        <v>15402</v>
      </c>
      <c r="C9434" s="9" t="s">
        <v>15403</v>
      </c>
      <c r="D9434" s="9" t="s">
        <v>73</v>
      </c>
      <c r="E9434" s="6" t="s">
        <v>15406</v>
      </c>
      <c r="F9434" s="9"/>
    </row>
    <row r="9435" ht="33.75" customHeight="1">
      <c r="A9435" s="7">
        <v>372.0</v>
      </c>
      <c r="B9435" s="9" t="s">
        <v>15402</v>
      </c>
      <c r="C9435" s="9" t="s">
        <v>15403</v>
      </c>
      <c r="D9435" s="9" t="s">
        <v>75</v>
      </c>
      <c r="E9435" s="6" t="s">
        <v>15407</v>
      </c>
      <c r="F9435" s="9"/>
    </row>
    <row r="9436" ht="33.75" customHeight="1">
      <c r="A9436" s="7">
        <v>372.0</v>
      </c>
      <c r="B9436" s="9" t="s">
        <v>15402</v>
      </c>
      <c r="C9436" s="9" t="s">
        <v>15403</v>
      </c>
      <c r="D9436" s="9" t="s">
        <v>79</v>
      </c>
      <c r="E9436" s="6" t="s">
        <v>15407</v>
      </c>
      <c r="F9436" s="9"/>
    </row>
    <row r="9437" ht="33.75" customHeight="1">
      <c r="A9437" s="7">
        <v>372.0</v>
      </c>
      <c r="B9437" s="9" t="s">
        <v>15402</v>
      </c>
      <c r="C9437" s="9" t="s">
        <v>15403</v>
      </c>
      <c r="D9437" s="9" t="s">
        <v>81</v>
      </c>
      <c r="E9437" s="6" t="s">
        <v>15408</v>
      </c>
      <c r="F9437" s="9"/>
    </row>
    <row r="9438" ht="33.75" customHeight="1">
      <c r="A9438" s="7">
        <v>372.0</v>
      </c>
      <c r="B9438" s="9" t="s">
        <v>15402</v>
      </c>
      <c r="C9438" s="9" t="s">
        <v>15403</v>
      </c>
      <c r="D9438" s="9" t="s">
        <v>84</v>
      </c>
      <c r="E9438" s="6" t="s">
        <v>15408</v>
      </c>
      <c r="F9438" s="9"/>
    </row>
    <row r="9439" ht="33.75" customHeight="1">
      <c r="A9439" s="7">
        <v>372.0</v>
      </c>
      <c r="B9439" s="9" t="s">
        <v>15402</v>
      </c>
      <c r="C9439" s="9" t="s">
        <v>15403</v>
      </c>
      <c r="D9439" s="9" t="s">
        <v>87</v>
      </c>
      <c r="E9439" s="6" t="s">
        <v>15408</v>
      </c>
      <c r="F9439" s="9"/>
    </row>
    <row r="9440" ht="33.75" customHeight="1">
      <c r="A9440" s="7">
        <v>372.0</v>
      </c>
      <c r="B9440" s="9" t="s">
        <v>15402</v>
      </c>
      <c r="C9440" s="9" t="s">
        <v>15403</v>
      </c>
      <c r="D9440" s="9" t="s">
        <v>89</v>
      </c>
      <c r="E9440" s="6" t="s">
        <v>15410</v>
      </c>
      <c r="F9440" s="9"/>
    </row>
    <row r="9441" ht="33.75" customHeight="1">
      <c r="A9441" s="7">
        <v>372.0</v>
      </c>
      <c r="B9441" s="9" t="s">
        <v>15402</v>
      </c>
      <c r="C9441" s="9" t="s">
        <v>15403</v>
      </c>
      <c r="D9441" s="9" t="s">
        <v>91</v>
      </c>
      <c r="E9441" s="6" t="s">
        <v>15410</v>
      </c>
      <c r="F9441" s="9"/>
    </row>
    <row r="9442" ht="33.75" customHeight="1">
      <c r="A9442" s="7">
        <v>372.0</v>
      </c>
      <c r="B9442" s="9" t="s">
        <v>15402</v>
      </c>
      <c r="C9442" s="9" t="s">
        <v>15403</v>
      </c>
      <c r="D9442" s="9" t="s">
        <v>93</v>
      </c>
      <c r="E9442" s="6" t="s">
        <v>15408</v>
      </c>
      <c r="F9442" s="9"/>
    </row>
    <row r="9443" ht="33.75" customHeight="1">
      <c r="A9443" s="7">
        <v>372.0</v>
      </c>
      <c r="B9443" s="9" t="s">
        <v>15402</v>
      </c>
      <c r="C9443" s="9" t="s">
        <v>15403</v>
      </c>
      <c r="D9443" s="9" t="s">
        <v>95</v>
      </c>
      <c r="E9443" s="6" t="s">
        <v>15408</v>
      </c>
      <c r="F9443" s="9"/>
    </row>
    <row r="9444" ht="33.75" customHeight="1">
      <c r="A9444" s="7">
        <v>372.0</v>
      </c>
      <c r="B9444" s="9" t="s">
        <v>15402</v>
      </c>
      <c r="C9444" s="9" t="s">
        <v>15403</v>
      </c>
      <c r="D9444" s="9" t="s">
        <v>98</v>
      </c>
      <c r="E9444" s="6" t="s">
        <v>15408</v>
      </c>
      <c r="F9444" s="9"/>
    </row>
    <row r="9445" ht="33.75" customHeight="1">
      <c r="A9445" s="7">
        <v>372.0</v>
      </c>
      <c r="B9445" s="9" t="s">
        <v>15402</v>
      </c>
      <c r="C9445" s="9" t="s">
        <v>15403</v>
      </c>
      <c r="D9445" s="9" t="s">
        <v>99</v>
      </c>
      <c r="E9445" s="6" t="s">
        <v>15408</v>
      </c>
      <c r="F9445" s="9"/>
    </row>
    <row r="9446" ht="33.75" customHeight="1">
      <c r="A9446" s="7">
        <v>372.0</v>
      </c>
      <c r="B9446" s="9" t="s">
        <v>15402</v>
      </c>
      <c r="C9446" s="9" t="s">
        <v>15403</v>
      </c>
      <c r="D9446" s="9" t="s">
        <v>101</v>
      </c>
      <c r="E9446" s="6" t="s">
        <v>15408</v>
      </c>
      <c r="F9446" s="9"/>
    </row>
    <row r="9447" ht="33.75" customHeight="1">
      <c r="A9447" s="7">
        <v>372.0</v>
      </c>
      <c r="B9447" s="9" t="s">
        <v>15402</v>
      </c>
      <c r="C9447" s="9" t="s">
        <v>15403</v>
      </c>
      <c r="D9447" s="9" t="s">
        <v>105</v>
      </c>
      <c r="E9447" s="6" t="s">
        <v>15407</v>
      </c>
      <c r="F9447" s="9"/>
    </row>
    <row r="9448" ht="33.75" customHeight="1">
      <c r="A9448" s="7">
        <v>372.0</v>
      </c>
      <c r="B9448" s="9" t="s">
        <v>15402</v>
      </c>
      <c r="C9448" s="9" t="s">
        <v>15403</v>
      </c>
      <c r="D9448" s="9" t="s">
        <v>107</v>
      </c>
      <c r="E9448" s="6" t="s">
        <v>15411</v>
      </c>
      <c r="F9448" s="9"/>
    </row>
    <row r="9449" ht="33.75" customHeight="1">
      <c r="A9449" s="7">
        <v>372.0</v>
      </c>
      <c r="B9449" s="9" t="s">
        <v>15402</v>
      </c>
      <c r="C9449" s="9" t="s">
        <v>15403</v>
      </c>
      <c r="D9449" s="9" t="s">
        <v>109</v>
      </c>
      <c r="E9449" s="6" t="s">
        <v>15412</v>
      </c>
      <c r="F9449" s="9"/>
    </row>
    <row r="9450" ht="33.75" customHeight="1">
      <c r="A9450" s="7">
        <v>372.0</v>
      </c>
      <c r="B9450" s="9" t="s">
        <v>15402</v>
      </c>
      <c r="C9450" s="9" t="s">
        <v>15403</v>
      </c>
      <c r="D9450" s="9" t="s">
        <v>637</v>
      </c>
      <c r="E9450" s="6" t="s">
        <v>15413</v>
      </c>
      <c r="F9450" s="9"/>
    </row>
    <row r="9451" ht="33.75" customHeight="1">
      <c r="A9451" s="7">
        <v>372.0</v>
      </c>
      <c r="B9451" s="9" t="s">
        <v>15402</v>
      </c>
      <c r="C9451" s="9" t="s">
        <v>15403</v>
      </c>
      <c r="D9451" s="9" t="s">
        <v>642</v>
      </c>
      <c r="E9451" s="6" t="s">
        <v>15414</v>
      </c>
      <c r="F9451" s="9"/>
    </row>
    <row r="9452" ht="33.75" customHeight="1">
      <c r="A9452" s="7">
        <v>372.0</v>
      </c>
      <c r="B9452" s="9" t="s">
        <v>15402</v>
      </c>
      <c r="C9452" s="9" t="s">
        <v>15403</v>
      </c>
      <c r="D9452" s="9" t="s">
        <v>647</v>
      </c>
      <c r="E9452" s="6" t="s">
        <v>15415</v>
      </c>
      <c r="F9452" s="9"/>
    </row>
    <row r="9453" ht="33.75" customHeight="1">
      <c r="A9453" s="7">
        <v>372.0</v>
      </c>
      <c r="B9453" s="9" t="s">
        <v>15402</v>
      </c>
      <c r="C9453" s="9" t="s">
        <v>15403</v>
      </c>
      <c r="D9453" s="9" t="s">
        <v>652</v>
      </c>
      <c r="E9453" s="6" t="s">
        <v>15416</v>
      </c>
      <c r="F9453" s="9"/>
    </row>
    <row r="9454" ht="33.75" customHeight="1">
      <c r="A9454" s="7">
        <v>372.0</v>
      </c>
      <c r="B9454" s="9" t="s">
        <v>15402</v>
      </c>
      <c r="C9454" s="9" t="s">
        <v>15403</v>
      </c>
      <c r="D9454" s="9" t="s">
        <v>114</v>
      </c>
      <c r="E9454" s="6" t="s">
        <v>15417</v>
      </c>
      <c r="F9454" s="9"/>
    </row>
    <row r="9455" ht="33.75" customHeight="1">
      <c r="A9455" s="7">
        <v>372.0</v>
      </c>
      <c r="B9455" s="9" t="s">
        <v>15402</v>
      </c>
      <c r="C9455" s="9" t="s">
        <v>15403</v>
      </c>
      <c r="D9455" s="9" t="s">
        <v>117</v>
      </c>
      <c r="E9455" s="6" t="s">
        <v>15418</v>
      </c>
      <c r="F9455" s="9"/>
    </row>
    <row r="9456" ht="33.75" customHeight="1">
      <c r="A9456" s="7">
        <v>373.0</v>
      </c>
      <c r="B9456" s="9" t="s">
        <v>15419</v>
      </c>
      <c r="C9456" s="9" t="s">
        <v>7342</v>
      </c>
      <c r="D9456" s="9" t="s">
        <v>67</v>
      </c>
      <c r="E9456" s="6" t="s">
        <v>15420</v>
      </c>
      <c r="F9456" t="inlineStr" s="10">
        <is>
          <t xml:space="preserve">SALAMENCE syntyi pitkäaikaisen ja vahvan unelman tuloksena siipien kasvattamisesta. Kerrotaan, että tämä voimakas halu laukaisi äkillisen mutaation tämän POKéMONin soluissa, minkä seurauksena se kasvatti upeat siipensä. Kehittymällä SALAMENCEksi tämä POKéMON toteuttaa vihdoin pitkäaikaisen unelmansa siipien kasvattamisesta. Ilmaistakseen iloaan se lentää ja pyörii taivaalla syöstäen liekkejä suustaan. Monien pitkien vuosien jälkeen sen solurakenne koki äkillisen mutaation ja kasvatti siivet. Vihastuttuaan se menettää kaiken harkintakykynsä ja raivoaa hallitsemattomasti. Raivostuneena siitä tulee hallitsematon. Se tuhoaa kaiken repivillä kynsillään ja tulella. Pitkäaikaisen unelmansa lentämisestä seurauksena sen solurakenne muuttui ja siivet kasvoivat. Raivostuneena sitä ei voi hillitä. Se lentää ympäriinsä sytyttäen liekkejä ja polttaen peltoja ja vuoria. Salamence syntyi pitkäaikaisen ja vahvan unelman seurauksena siipien kasvattamisesta. Kerrotaan, että tämä voimakas halu laukaisi äkillisen mutaation Pokémonin soluissa, minkä seurauksena se kasvatti upeat siivet. Ilmaistakseen iloaan se lentää ja pyörii taivaalla pursottaen liekkejä suustaan. Vihastuttuaan se menettää kaiken itsetunnon ja tuhoaa kaiken ympärillään. Tuhoaminen jatkuu, kunnes Salamence on väsynyt. Se lentää siivillään, jotka ovat viimein kasvaneet isoiksi. Onnessaan se purkaa kuumia liekkejä, polttaen poroksi pellot, joiden yli se kulkee. Iloisena siitä, että se vihdoin pystyy lentämään, se lentää joka paikkaan eikä yleensä laskeudu ennen kuin on täysin uupunut ja tarvitsee unta. Sen hartaiden toiveiden ansiosta sen kehon solut lopulta mutatoituivat, ja viimein se sai sydämensä toiveen – siivet. Salamence on epätavallinen Pokémon siinä mielessä, että se pystyi kehittämään siivellisen ruumiin vain toivomalla jatkuvasti pystyvänsä lentämään. Vaikka lentämisen ilosta nauttiminen yleensä pitää tämän Pokémonin hyvällä tuulella, Salamence muuttuu hillittömäksi uhaksi, jos jokin suututtaa sitä.</t>
        </is>
      </c>
    </row>
    <row r="9457" ht="33.75" customHeight="1">
      <c r="A9457" s="7">
        <v>373.0</v>
      </c>
      <c r="B9457" s="9" t="s">
        <v>15419</v>
      </c>
      <c r="C9457" s="9" t="s">
        <v>7342</v>
      </c>
      <c r="D9457" s="9" t="s">
        <v>71</v>
      </c>
      <c r="E9457" s="6" t="s">
        <v>15421</v>
      </c>
      <c r="F9457" s="9"/>
    </row>
    <row r="9458" ht="33.75" customHeight="1">
      <c r="A9458" s="7">
        <v>373.0</v>
      </c>
      <c r="B9458" s="9" t="s">
        <v>15419</v>
      </c>
      <c r="C9458" s="9" t="s">
        <v>7342</v>
      </c>
      <c r="D9458" s="9" t="s">
        <v>73</v>
      </c>
      <c r="E9458" s="6" t="s">
        <v>15422</v>
      </c>
      <c r="F9458" s="9"/>
    </row>
    <row r="9459" ht="33.75" customHeight="1">
      <c r="A9459" s="7">
        <v>373.0</v>
      </c>
      <c r="B9459" s="9" t="s">
        <v>15419</v>
      </c>
      <c r="C9459" s="9" t="s">
        <v>7342</v>
      </c>
      <c r="D9459" s="9" t="s">
        <v>75</v>
      </c>
      <c r="E9459" s="6" t="s">
        <v>15423</v>
      </c>
      <c r="F9459" s="9"/>
    </row>
    <row r="9460" ht="33.75" customHeight="1">
      <c r="A9460" s="7">
        <v>373.0</v>
      </c>
      <c r="B9460" s="9" t="s">
        <v>15419</v>
      </c>
      <c r="C9460" s="9" t="s">
        <v>7342</v>
      </c>
      <c r="D9460" s="9" t="s">
        <v>79</v>
      </c>
      <c r="E9460" s="6" t="s">
        <v>15423</v>
      </c>
      <c r="F9460" s="9"/>
    </row>
    <row r="9461" ht="33.75" customHeight="1">
      <c r="A9461" s="7">
        <v>373.0</v>
      </c>
      <c r="B9461" s="9" t="s">
        <v>15419</v>
      </c>
      <c r="C9461" s="9" t="s">
        <v>7342</v>
      </c>
      <c r="D9461" s="9" t="s">
        <v>81</v>
      </c>
      <c r="E9461" s="6" t="s">
        <v>15424</v>
      </c>
      <c r="F9461" s="9"/>
    </row>
    <row r="9462" ht="33.75" customHeight="1">
      <c r="A9462" s="7">
        <v>373.0</v>
      </c>
      <c r="B9462" s="9" t="s">
        <v>15419</v>
      </c>
      <c r="C9462" s="9" t="s">
        <v>7342</v>
      </c>
      <c r="D9462" s="9" t="s">
        <v>84</v>
      </c>
      <c r="E9462" s="6" t="s">
        <v>15424</v>
      </c>
      <c r="F9462" s="9"/>
    </row>
    <row r="9463" ht="33.75" customHeight="1">
      <c r="A9463" s="7">
        <v>373.0</v>
      </c>
      <c r="B9463" s="9" t="s">
        <v>15419</v>
      </c>
      <c r="C9463" s="9" t="s">
        <v>7342</v>
      </c>
      <c r="D9463" s="9" t="s">
        <v>87</v>
      </c>
      <c r="E9463" s="6" t="s">
        <v>15424</v>
      </c>
      <c r="F9463" s="9"/>
    </row>
    <row r="9464" ht="33.75" customHeight="1">
      <c r="A9464" s="7">
        <v>373.0</v>
      </c>
      <c r="B9464" s="9" t="s">
        <v>15419</v>
      </c>
      <c r="C9464" s="9" t="s">
        <v>7342</v>
      </c>
      <c r="D9464" s="9" t="s">
        <v>89</v>
      </c>
      <c r="E9464" s="6" t="s">
        <v>15425</v>
      </c>
      <c r="F9464" s="9"/>
    </row>
    <row r="9465" ht="33.75" customHeight="1">
      <c r="A9465" s="7">
        <v>373.0</v>
      </c>
      <c r="B9465" s="9" t="s">
        <v>15419</v>
      </c>
      <c r="C9465" s="9" t="s">
        <v>7342</v>
      </c>
      <c r="D9465" s="9" t="s">
        <v>91</v>
      </c>
      <c r="E9465" s="6" t="s">
        <v>15425</v>
      </c>
      <c r="F9465" s="9"/>
    </row>
    <row r="9466" ht="33.75" customHeight="1">
      <c r="A9466" s="7">
        <v>373.0</v>
      </c>
      <c r="B9466" s="9" t="s">
        <v>15419</v>
      </c>
      <c r="C9466" s="9" t="s">
        <v>7342</v>
      </c>
      <c r="D9466" s="9" t="s">
        <v>93</v>
      </c>
      <c r="E9466" s="6" t="s">
        <v>15424</v>
      </c>
      <c r="F9466" s="9"/>
    </row>
    <row r="9467" ht="33.75" customHeight="1">
      <c r="A9467" s="7">
        <v>373.0</v>
      </c>
      <c r="B9467" s="9" t="s">
        <v>15419</v>
      </c>
      <c r="C9467" s="9" t="s">
        <v>7342</v>
      </c>
      <c r="D9467" s="9" t="s">
        <v>95</v>
      </c>
      <c r="E9467" s="6" t="s">
        <v>15424</v>
      </c>
      <c r="F9467" s="9"/>
    </row>
    <row r="9468" ht="33.75" customHeight="1">
      <c r="A9468" s="7">
        <v>373.0</v>
      </c>
      <c r="B9468" s="9" t="s">
        <v>15419</v>
      </c>
      <c r="C9468" s="9" t="s">
        <v>7342</v>
      </c>
      <c r="D9468" s="9" t="s">
        <v>98</v>
      </c>
      <c r="E9468" s="6" t="s">
        <v>15424</v>
      </c>
      <c r="F9468" s="9"/>
    </row>
    <row r="9469" ht="33.75" customHeight="1">
      <c r="A9469" s="7">
        <v>373.0</v>
      </c>
      <c r="B9469" s="9" t="s">
        <v>15419</v>
      </c>
      <c r="C9469" s="9" t="s">
        <v>7342</v>
      </c>
      <c r="D9469" s="9" t="s">
        <v>99</v>
      </c>
      <c r="E9469" s="6" t="s">
        <v>15424</v>
      </c>
      <c r="F9469" s="9"/>
    </row>
    <row r="9470" ht="33.75" customHeight="1">
      <c r="A9470" s="7">
        <v>373.0</v>
      </c>
      <c r="B9470" s="9" t="s">
        <v>15419</v>
      </c>
      <c r="C9470" s="9" t="s">
        <v>7342</v>
      </c>
      <c r="D9470" s="9" t="s">
        <v>101</v>
      </c>
      <c r="E9470" s="6" t="s">
        <v>15423</v>
      </c>
      <c r="F9470" s="9"/>
    </row>
    <row r="9471" ht="33.75" customHeight="1">
      <c r="A9471" s="7">
        <v>373.0</v>
      </c>
      <c r="B9471" s="9" t="s">
        <v>15419</v>
      </c>
      <c r="C9471" s="9" t="s">
        <v>7342</v>
      </c>
      <c r="D9471" s="9" t="s">
        <v>105</v>
      </c>
      <c r="E9471" s="6" t="s">
        <v>15425</v>
      </c>
      <c r="F9471" s="9"/>
    </row>
    <row r="9472" ht="33.75" customHeight="1">
      <c r="A9472" s="7">
        <v>373.0</v>
      </c>
      <c r="B9472" s="9" t="s">
        <v>15419</v>
      </c>
      <c r="C9472" s="9" t="s">
        <v>7342</v>
      </c>
      <c r="D9472" s="9" t="s">
        <v>107</v>
      </c>
      <c r="E9472" s="6" t="s">
        <v>15426</v>
      </c>
      <c r="F9472" s="9"/>
    </row>
    <row r="9473" ht="33.75" customHeight="1">
      <c r="A9473" s="7">
        <v>373.0</v>
      </c>
      <c r="B9473" s="9" t="s">
        <v>15419</v>
      </c>
      <c r="C9473" s="9" t="s">
        <v>7342</v>
      </c>
      <c r="D9473" s="9" t="s">
        <v>109</v>
      </c>
      <c r="E9473" s="6" t="s">
        <v>15427</v>
      </c>
      <c r="F9473" s="9"/>
    </row>
    <row r="9474" ht="33.75" customHeight="1">
      <c r="A9474" s="7">
        <v>373.0</v>
      </c>
      <c r="B9474" s="9" t="s">
        <v>15419</v>
      </c>
      <c r="C9474" s="9" t="s">
        <v>7342</v>
      </c>
      <c r="D9474" s="9" t="s">
        <v>637</v>
      </c>
      <c r="E9474" s="6" t="s">
        <v>15428</v>
      </c>
      <c r="F9474" s="9"/>
    </row>
    <row r="9475" ht="33.75" customHeight="1">
      <c r="A9475" s="7">
        <v>373.0</v>
      </c>
      <c r="B9475" s="9" t="s">
        <v>15419</v>
      </c>
      <c r="C9475" s="9" t="s">
        <v>7342</v>
      </c>
      <c r="D9475" s="9" t="s">
        <v>642</v>
      </c>
      <c r="E9475" s="6" t="s">
        <v>15429</v>
      </c>
      <c r="F9475" s="9"/>
    </row>
    <row r="9476" ht="33.75" customHeight="1">
      <c r="A9476" s="7">
        <v>373.0</v>
      </c>
      <c r="B9476" s="9" t="s">
        <v>15419</v>
      </c>
      <c r="C9476" s="9" t="s">
        <v>7342</v>
      </c>
      <c r="D9476" s="9" t="s">
        <v>647</v>
      </c>
      <c r="E9476" s="6" t="s">
        <v>15430</v>
      </c>
      <c r="F9476" s="9"/>
    </row>
    <row r="9477" ht="33.75" customHeight="1">
      <c r="A9477" s="7">
        <v>373.0</v>
      </c>
      <c r="B9477" s="9" t="s">
        <v>15419</v>
      </c>
      <c r="C9477" s="9" t="s">
        <v>7342</v>
      </c>
      <c r="D9477" s="9" t="s">
        <v>652</v>
      </c>
      <c r="E9477" s="6" t="s">
        <v>15431</v>
      </c>
      <c r="F9477" s="9"/>
    </row>
    <row r="9478" ht="33.75" customHeight="1">
      <c r="A9478" s="7">
        <v>373.0</v>
      </c>
      <c r="B9478" s="9" t="s">
        <v>15419</v>
      </c>
      <c r="C9478" s="9" t="s">
        <v>7342</v>
      </c>
      <c r="D9478" s="9" t="s">
        <v>114</v>
      </c>
      <c r="E9478" s="6" t="s">
        <v>15432</v>
      </c>
      <c r="F9478" s="9"/>
    </row>
    <row r="9479" ht="33.75" customHeight="1">
      <c r="A9479" s="7">
        <v>373.0</v>
      </c>
      <c r="B9479" s="9" t="s">
        <v>15419</v>
      </c>
      <c r="C9479" s="9" t="s">
        <v>7342</v>
      </c>
      <c r="D9479" s="9" t="s">
        <v>117</v>
      </c>
      <c r="E9479" s="6" t="s">
        <v>15433</v>
      </c>
      <c r="F9479" s="9"/>
    </row>
    <row r="9480" ht="33.75" customHeight="1">
      <c r="A9480" s="7">
        <v>374.0</v>
      </c>
      <c r="B9480" s="9" t="s">
        <v>15434</v>
      </c>
      <c r="C9480" s="9" t="s">
        <v>15435</v>
      </c>
      <c r="D9480" s="9" t="s">
        <v>67</v>
      </c>
      <c r="E9480" s="6" t="s">
        <v>15436</v>
      </c>
      <c r="F9480" t="inlineStr" s="10">
        <is>
          <t xml:space="preserve">Veren sijaan voimakas magneettinen voima kulkee BELDUMin kehon läpi. Tämä POKéMON kommunikoi muiden kanssa lähettämällä kontrolloituja magneettipulsseja. BELDUM pitää itsensä kellumassa tuottamalla magneettisen voiman, joka hylkii maan luonnollista magnetismia. Nukkuessaan tämä POKéMON ankkuroi itsensä kallioon takaosassaan olevien koukkujen avulla. Kun BELDUMit kokoontuvat parveksi, ne liikkuvat täydellisessä yhteensattumassa aivan kuin ne olisivat vain yksi POKéMON. Ne kommunikoivat keskenään aivoaaltojen avulla. Se käyttää magneettisia aaltoja kommunikoidakseen lajitovereidensa kanssa. Kaikki sen kehon solut ovat magneettisia. Se keskustelee muiden kanssa magneettipulssien avulla. Parvessa ne liikkuvat täydellisessä sopusoinnussa. Sen kehon synnyttämä magneettinen voima hylkii maan luonnollista magnetismia, jolloin se kelluu. Sen solut ovat kaikki magneettisia, ja se kommunikoi muiden kanssa magneettipulssien avulla. Nukkuessaan tämä Pokémon ankkuroi itsensä kallioon takamuksessaan olevien koukkujen avulla. Sen solut ovat kaikki magneetteja. Se käyttää magnetismia kommunikoidakseen muiden kaltaistensa kanssa. Magneettisen vetovoiman avulla se vetää vastustajansa lähelle. Kun he ovat kantaman sisällä, se viiltää heitä takakynsillään. Veren sijaan sen kehossa virtaa magnetismia. Kun sillä on huono olo, kokeile antaa sille magneetti. Jos suututat sen, se tekee muutakin kuin riehuu. Se myös purkaa voimakasta magnetismia, joka saa lähellä olevat koneet rikkoutumaan. Beldum lähettää takaosastaan ​​magneettista voimaa, joka vetää vastustajat nopeasti puoleensa. He vartaastuvat Beldumin teräviin kynsiin. Tämän Pokémonin kehon solut koostuvat magneettisesta materiaalista. Veren sijaan Beldumin kehon läpi virtaa magneettisia voimia.</t>
        </is>
      </c>
    </row>
    <row r="9481" ht="33.75" customHeight="1">
      <c r="A9481" s="7">
        <v>374.0</v>
      </c>
      <c r="B9481" s="9" t="s">
        <v>15434</v>
      </c>
      <c r="C9481" s="9" t="s">
        <v>15435</v>
      </c>
      <c r="D9481" s="9" t="s">
        <v>71</v>
      </c>
      <c r="E9481" s="6" t="s">
        <v>15438</v>
      </c>
      <c r="F9481" s="9"/>
    </row>
    <row r="9482" ht="33.75" customHeight="1">
      <c r="A9482" s="7">
        <v>374.0</v>
      </c>
      <c r="B9482" s="9" t="s">
        <v>15434</v>
      </c>
      <c r="C9482" s="9" t="s">
        <v>15435</v>
      </c>
      <c r="D9482" s="9" t="s">
        <v>73</v>
      </c>
      <c r="E9482" s="6" t="s">
        <v>15439</v>
      </c>
      <c r="F9482" s="9"/>
    </row>
    <row r="9483" ht="33.75" customHeight="1">
      <c r="A9483" s="7">
        <v>374.0</v>
      </c>
      <c r="B9483" s="9" t="s">
        <v>15434</v>
      </c>
      <c r="C9483" s="9" t="s">
        <v>15435</v>
      </c>
      <c r="D9483" s="9" t="s">
        <v>75</v>
      </c>
      <c r="E9483" s="6" t="s">
        <v>15440</v>
      </c>
      <c r="F9483" s="9"/>
    </row>
    <row r="9484" ht="33.75" customHeight="1">
      <c r="A9484" s="7">
        <v>374.0</v>
      </c>
      <c r="B9484" s="9" t="s">
        <v>15434</v>
      </c>
      <c r="C9484" s="9" t="s">
        <v>15435</v>
      </c>
      <c r="D9484" s="9" t="s">
        <v>79</v>
      </c>
      <c r="E9484" s="6" t="s">
        <v>15440</v>
      </c>
      <c r="F9484" s="9"/>
    </row>
    <row r="9485" ht="33.75" customHeight="1">
      <c r="A9485" s="7">
        <v>374.0</v>
      </c>
      <c r="B9485" s="9" t="s">
        <v>15434</v>
      </c>
      <c r="C9485" s="9" t="s">
        <v>15435</v>
      </c>
      <c r="D9485" s="9" t="s">
        <v>81</v>
      </c>
      <c r="E9485" s="6" t="s">
        <v>15441</v>
      </c>
      <c r="F9485" s="9"/>
    </row>
    <row r="9486" ht="33.75" customHeight="1">
      <c r="A9486" s="7">
        <v>374.0</v>
      </c>
      <c r="B9486" s="9" t="s">
        <v>15434</v>
      </c>
      <c r="C9486" s="9" t="s">
        <v>15435</v>
      </c>
      <c r="D9486" s="9" t="s">
        <v>84</v>
      </c>
      <c r="E9486" s="6" t="s">
        <v>15441</v>
      </c>
      <c r="F9486" s="9"/>
    </row>
    <row r="9487" ht="33.75" customHeight="1">
      <c r="A9487" s="7">
        <v>374.0</v>
      </c>
      <c r="B9487" s="9" t="s">
        <v>15434</v>
      </c>
      <c r="C9487" s="9" t="s">
        <v>15435</v>
      </c>
      <c r="D9487" s="9" t="s">
        <v>87</v>
      </c>
      <c r="E9487" s="6" t="s">
        <v>15441</v>
      </c>
      <c r="F9487" s="9"/>
    </row>
    <row r="9488" ht="33.75" customHeight="1">
      <c r="A9488" s="7">
        <v>374.0</v>
      </c>
      <c r="B9488" s="9" t="s">
        <v>15434</v>
      </c>
      <c r="C9488" s="9" t="s">
        <v>15435</v>
      </c>
      <c r="D9488" s="9" t="s">
        <v>89</v>
      </c>
      <c r="E9488" s="6" t="s">
        <v>15442</v>
      </c>
      <c r="F9488" s="9"/>
    </row>
    <row r="9489" ht="33.75" customHeight="1">
      <c r="A9489" s="7">
        <v>374.0</v>
      </c>
      <c r="B9489" s="9" t="s">
        <v>15434</v>
      </c>
      <c r="C9489" s="9" t="s">
        <v>15435</v>
      </c>
      <c r="D9489" s="9" t="s">
        <v>91</v>
      </c>
      <c r="E9489" s="6" t="s">
        <v>15442</v>
      </c>
      <c r="F9489" s="9"/>
    </row>
    <row r="9490" ht="33.75" customHeight="1">
      <c r="A9490" s="7">
        <v>374.0</v>
      </c>
      <c r="B9490" s="9" t="s">
        <v>15434</v>
      </c>
      <c r="C9490" s="9" t="s">
        <v>15435</v>
      </c>
      <c r="D9490" s="9" t="s">
        <v>93</v>
      </c>
      <c r="E9490" s="6" t="s">
        <v>15441</v>
      </c>
      <c r="F9490" s="9"/>
    </row>
    <row r="9491" ht="33.75" customHeight="1">
      <c r="A9491" s="7">
        <v>374.0</v>
      </c>
      <c r="B9491" s="9" t="s">
        <v>15434</v>
      </c>
      <c r="C9491" s="9" t="s">
        <v>15435</v>
      </c>
      <c r="D9491" s="9" t="s">
        <v>95</v>
      </c>
      <c r="E9491" s="6" t="s">
        <v>15441</v>
      </c>
      <c r="F9491" s="9"/>
    </row>
    <row r="9492" ht="33.75" customHeight="1">
      <c r="A9492" s="7">
        <v>374.0</v>
      </c>
      <c r="B9492" s="9" t="s">
        <v>15434</v>
      </c>
      <c r="C9492" s="9" t="s">
        <v>15435</v>
      </c>
      <c r="D9492" s="9" t="s">
        <v>98</v>
      </c>
      <c r="E9492" s="6" t="s">
        <v>15443</v>
      </c>
      <c r="F9492" s="9"/>
    </row>
    <row r="9493" ht="33.75" customHeight="1">
      <c r="A9493" s="7">
        <v>374.0</v>
      </c>
      <c r="B9493" s="9" t="s">
        <v>15434</v>
      </c>
      <c r="C9493" s="9" t="s">
        <v>15435</v>
      </c>
      <c r="D9493" s="9" t="s">
        <v>99</v>
      </c>
      <c r="E9493" s="6" t="s">
        <v>15443</v>
      </c>
      <c r="F9493" s="9"/>
    </row>
    <row r="9494" ht="33.75" customHeight="1">
      <c r="A9494" s="7">
        <v>374.0</v>
      </c>
      <c r="B9494" s="9" t="s">
        <v>15434</v>
      </c>
      <c r="C9494" s="9" t="s">
        <v>15435</v>
      </c>
      <c r="D9494" s="9" t="s">
        <v>101</v>
      </c>
      <c r="E9494" s="6" t="s">
        <v>15442</v>
      </c>
      <c r="F9494" s="9"/>
    </row>
    <row r="9495" ht="33.75" customHeight="1">
      <c r="A9495" s="7">
        <v>374.0</v>
      </c>
      <c r="B9495" s="9" t="s">
        <v>15434</v>
      </c>
      <c r="C9495" s="9" t="s">
        <v>15435</v>
      </c>
      <c r="D9495" s="9" t="s">
        <v>105</v>
      </c>
      <c r="E9495" s="6" t="s">
        <v>15441</v>
      </c>
      <c r="F9495" s="9"/>
    </row>
    <row r="9496" ht="33.75" customHeight="1">
      <c r="A9496" s="7">
        <v>374.0</v>
      </c>
      <c r="B9496" s="9" t="s">
        <v>15434</v>
      </c>
      <c r="C9496" s="9" t="s">
        <v>15435</v>
      </c>
      <c r="D9496" s="9" t="s">
        <v>107</v>
      </c>
      <c r="E9496" s="6" t="s">
        <v>15444</v>
      </c>
      <c r="F9496" s="9"/>
    </row>
    <row r="9497" ht="33.75" customHeight="1">
      <c r="A9497" s="7">
        <v>374.0</v>
      </c>
      <c r="B9497" s="9" t="s">
        <v>15434</v>
      </c>
      <c r="C9497" s="9" t="s">
        <v>15435</v>
      </c>
      <c r="D9497" s="9" t="s">
        <v>109</v>
      </c>
      <c r="E9497" s="6" t="s">
        <v>15445</v>
      </c>
      <c r="F9497" s="9"/>
    </row>
    <row r="9498" ht="33.75" customHeight="1">
      <c r="A9498" s="7">
        <v>374.0</v>
      </c>
      <c r="B9498" s="9" t="s">
        <v>15434</v>
      </c>
      <c r="C9498" s="9" t="s">
        <v>15435</v>
      </c>
      <c r="D9498" s="9" t="s">
        <v>637</v>
      </c>
      <c r="E9498" s="6" t="s">
        <v>15446</v>
      </c>
      <c r="F9498" s="9"/>
    </row>
    <row r="9499" ht="33.75" customHeight="1">
      <c r="A9499" s="7">
        <v>374.0</v>
      </c>
      <c r="B9499" s="9" t="s">
        <v>15434</v>
      </c>
      <c r="C9499" s="9" t="s">
        <v>15435</v>
      </c>
      <c r="D9499" s="9" t="s">
        <v>642</v>
      </c>
      <c r="E9499" s="6" t="s">
        <v>15447</v>
      </c>
      <c r="F9499" s="9"/>
    </row>
    <row r="9500" ht="33.75" customHeight="1">
      <c r="A9500" s="7">
        <v>374.0</v>
      </c>
      <c r="B9500" s="9" t="s">
        <v>15434</v>
      </c>
      <c r="C9500" s="9" t="s">
        <v>15435</v>
      </c>
      <c r="D9500" s="9" t="s">
        <v>647</v>
      </c>
      <c r="E9500" s="6" t="s">
        <v>15448</v>
      </c>
      <c r="F9500" s="9"/>
    </row>
    <row r="9501" ht="33.75" customHeight="1">
      <c r="A9501" s="7">
        <v>374.0</v>
      </c>
      <c r="B9501" s="9" t="s">
        <v>15434</v>
      </c>
      <c r="C9501" s="9" t="s">
        <v>15435</v>
      </c>
      <c r="D9501" s="9" t="s">
        <v>652</v>
      </c>
      <c r="E9501" s="6" t="s">
        <v>15449</v>
      </c>
      <c r="F9501" s="9"/>
    </row>
    <row r="9502" ht="33.75" customHeight="1">
      <c r="A9502" s="7">
        <v>374.0</v>
      </c>
      <c r="B9502" s="9" t="s">
        <v>15434</v>
      </c>
      <c r="C9502" s="9" t="s">
        <v>15435</v>
      </c>
      <c r="D9502" s="9" t="s">
        <v>114</v>
      </c>
      <c r="E9502" s="6" t="s">
        <v>15450</v>
      </c>
      <c r="F9502" s="9"/>
    </row>
    <row r="9503" ht="33.75" customHeight="1">
      <c r="A9503" s="7">
        <v>374.0</v>
      </c>
      <c r="B9503" s="9" t="s">
        <v>15434</v>
      </c>
      <c r="C9503" s="9" t="s">
        <v>15435</v>
      </c>
      <c r="D9503" s="9" t="s">
        <v>117</v>
      </c>
      <c r="E9503" s="6" t="s">
        <v>15451</v>
      </c>
      <c r="F9503" s="9"/>
    </row>
    <row r="9504" ht="33.75" customHeight="1">
      <c r="A9504" s="7">
        <v>375.0</v>
      </c>
      <c r="B9504" s="9" t="s">
        <v>15452</v>
      </c>
      <c r="C9504" s="9" t="s">
        <v>15453</v>
      </c>
      <c r="D9504" s="9" t="s">
        <v>67</v>
      </c>
      <c r="E9504" s="6" t="s">
        <v>15454</v>
      </c>
      <c r="F9504" t="inlineStr" s="10">
        <is>
          <t xml:space="preserve">Kun kaksi BELDUMIA sulautuu yhteen, muodostuu METANG. BELDUMin aivot yhdistyvät magneettisen hermoston kautta. Yhdistämällä aivonsa magneettisesti tämä POKéMON tuottaa voimakasta psykokineettistä voimaa. BELDUMien aivot yhdistyvät magneettisen hermoston avulla. Tämä POKéMON kääntää kätensä taaksepäin liikkuakseen suurella nopeudella. Sen käsivarsia väännevät kynnet ovat niin tuhovoimaisia, että ne voivat repiä paksuja rautalevyjä kuin ne olisivat silkkiä. Se lentää yli 95 kilometriä tunnissa. Se leijuu ilmassa magnetismin avulla. Sen runko on niin kestävä, että edes suihkukoneen törmäys ei jätä siihen naarmua. Se muodostuu kahdesta yhteen liitetystä BELDUM-kappaleesta. Sen teräsrunko ei naarmuunnu, jos se törmää suihkuun. Kun kaksi BELDUMIA sulautuu yhteen, magneettinen hermosto yhdistää niiden aivot. Se muodostuu kahdesta yhteen liitetystä Beldumista. Sen teräsrunko ei naarmuunnu, jos se törmää suihkukoneeseen. Se muodostuu kahden Beldumin yhdistymisestä. Sen kaksi aivoa ovat yhteydessä toisiinsa, mikä vahvistaa sen psyykkistä voimaa. Kun kaksi Beldumia yhdistyy, muodostuu Metang. Beldumien aivot yhdistyvät magneettisen hermoston kautta. Tämä Pokémon kääntää kätensä taaksepäin matkustaakseen suurella nopeudella. Kun kaksi Beldumia yhdistyy, heidän psyykkinen voimansa kaksinkertaistuu. Heidän älykkyytensä pysyy kuitenkin muuttumattomana. Se rakastaa magneettisia mineraaleja, joten se jahtaa Nosepassia yli 95 km/h nopeudella. Kahdella aivollaan se ampuu voimakasta psyykkistä energiaa pysäyttääkseen saaliinsa. Se lentää taivaalla suurilla nopeuksilla. Löydettyään saaliinsa Metang ottaa siitä lujan otteen terävillä kynsillään eikä päästä irti. Kaksi Beldumia on juuttunut yhteen omien magneettivoimiensa ansiosta. Kahden aivon ansiosta Metangilla on kaksinkertaistuneet psyykkiset voimat. Tämä Pokémon pysyy korkealla magneettisten voimien avulla ja lentää suurilla nopeuksilla puikkelehtien karussa vuoristomaastossa saalista jahdaten.</t>
        </is>
      </c>
    </row>
    <row r="9505" ht="33.75" customHeight="1">
      <c r="A9505" s="7">
        <v>375.0</v>
      </c>
      <c r="B9505" s="9" t="s">
        <v>15452</v>
      </c>
      <c r="C9505" s="9" t="s">
        <v>15453</v>
      </c>
      <c r="D9505" s="9" t="s">
        <v>71</v>
      </c>
      <c r="E9505" s="6" t="s">
        <v>15455</v>
      </c>
      <c r="F9505" s="9"/>
    </row>
    <row r="9506" ht="33.75" customHeight="1">
      <c r="A9506" s="7">
        <v>375.0</v>
      </c>
      <c r="B9506" s="9" t="s">
        <v>15452</v>
      </c>
      <c r="C9506" s="9" t="s">
        <v>15453</v>
      </c>
      <c r="D9506" s="9" t="s">
        <v>73</v>
      </c>
      <c r="E9506" s="6" t="s">
        <v>15456</v>
      </c>
      <c r="F9506" s="9"/>
    </row>
    <row r="9507" ht="33.75" customHeight="1">
      <c r="A9507" s="7">
        <v>375.0</v>
      </c>
      <c r="B9507" s="9" t="s">
        <v>15452</v>
      </c>
      <c r="C9507" s="9" t="s">
        <v>15453</v>
      </c>
      <c r="D9507" s="9" t="s">
        <v>75</v>
      </c>
      <c r="E9507" s="6" t="s">
        <v>15457</v>
      </c>
      <c r="F9507" s="9"/>
    </row>
    <row r="9508" ht="33.75" customHeight="1">
      <c r="A9508" s="7">
        <v>375.0</v>
      </c>
      <c r="B9508" s="9" t="s">
        <v>15452</v>
      </c>
      <c r="C9508" s="9" t="s">
        <v>15453</v>
      </c>
      <c r="D9508" s="9" t="s">
        <v>79</v>
      </c>
      <c r="E9508" s="6" t="s">
        <v>15457</v>
      </c>
      <c r="F9508" s="9"/>
    </row>
    <row r="9509" ht="33.75" customHeight="1">
      <c r="A9509" s="7">
        <v>375.0</v>
      </c>
      <c r="B9509" s="9" t="s">
        <v>15452</v>
      </c>
      <c r="C9509" s="9" t="s">
        <v>15453</v>
      </c>
      <c r="D9509" s="9" t="s">
        <v>81</v>
      </c>
      <c r="E9509" s="6" t="s">
        <v>15458</v>
      </c>
      <c r="F9509" s="9"/>
    </row>
    <row r="9510" ht="33.75" customHeight="1">
      <c r="A9510" s="7">
        <v>375.0</v>
      </c>
      <c r="B9510" s="9" t="s">
        <v>15452</v>
      </c>
      <c r="C9510" s="9" t="s">
        <v>15453</v>
      </c>
      <c r="D9510" s="9" t="s">
        <v>84</v>
      </c>
      <c r="E9510" s="6" t="s">
        <v>15458</v>
      </c>
      <c r="F9510" s="9"/>
    </row>
    <row r="9511" ht="33.75" customHeight="1">
      <c r="A9511" s="7">
        <v>375.0</v>
      </c>
      <c r="B9511" s="9" t="s">
        <v>15452</v>
      </c>
      <c r="C9511" s="9" t="s">
        <v>15453</v>
      </c>
      <c r="D9511" s="9" t="s">
        <v>87</v>
      </c>
      <c r="E9511" s="6" t="s">
        <v>15458</v>
      </c>
      <c r="F9511" s="9"/>
    </row>
    <row r="9512" ht="33.75" customHeight="1">
      <c r="A9512" s="7">
        <v>375.0</v>
      </c>
      <c r="B9512" s="9" t="s">
        <v>15452</v>
      </c>
      <c r="C9512" s="9" t="s">
        <v>15453</v>
      </c>
      <c r="D9512" s="9" t="s">
        <v>89</v>
      </c>
      <c r="E9512" s="6" t="s">
        <v>15459</v>
      </c>
      <c r="F9512" s="9"/>
    </row>
    <row r="9513" ht="33.75" customHeight="1">
      <c r="A9513" s="7">
        <v>375.0</v>
      </c>
      <c r="B9513" s="9" t="s">
        <v>15452</v>
      </c>
      <c r="C9513" s="9" t="s">
        <v>15453</v>
      </c>
      <c r="D9513" s="9" t="s">
        <v>91</v>
      </c>
      <c r="E9513" s="6" t="s">
        <v>15459</v>
      </c>
      <c r="F9513" s="9"/>
    </row>
    <row r="9514" ht="33.75" customHeight="1">
      <c r="A9514" s="7">
        <v>375.0</v>
      </c>
      <c r="B9514" s="9" t="s">
        <v>15452</v>
      </c>
      <c r="C9514" s="9" t="s">
        <v>15453</v>
      </c>
      <c r="D9514" s="9" t="s">
        <v>93</v>
      </c>
      <c r="E9514" s="6" t="s">
        <v>15460</v>
      </c>
      <c r="F9514" s="9"/>
    </row>
    <row r="9515" ht="33.75" customHeight="1">
      <c r="A9515" s="7">
        <v>375.0</v>
      </c>
      <c r="B9515" s="9" t="s">
        <v>15452</v>
      </c>
      <c r="C9515" s="9" t="s">
        <v>15453</v>
      </c>
      <c r="D9515" s="9" t="s">
        <v>95</v>
      </c>
      <c r="E9515" s="6" t="s">
        <v>15460</v>
      </c>
      <c r="F9515" s="9"/>
    </row>
    <row r="9516" ht="33.75" customHeight="1">
      <c r="A9516" s="7">
        <v>375.0</v>
      </c>
      <c r="B9516" s="9" t="s">
        <v>15452</v>
      </c>
      <c r="C9516" s="9" t="s">
        <v>15453</v>
      </c>
      <c r="D9516" s="9" t="s">
        <v>98</v>
      </c>
      <c r="E9516" s="6" t="s">
        <v>15461</v>
      </c>
      <c r="F9516" s="9"/>
    </row>
    <row r="9517" ht="33.75" customHeight="1">
      <c r="A9517" s="7">
        <v>375.0</v>
      </c>
      <c r="B9517" s="9" t="s">
        <v>15452</v>
      </c>
      <c r="C9517" s="9" t="s">
        <v>15453</v>
      </c>
      <c r="D9517" s="9" t="s">
        <v>99</v>
      </c>
      <c r="E9517" s="6" t="s">
        <v>15461</v>
      </c>
      <c r="F9517" s="9"/>
    </row>
    <row r="9518" ht="33.75" customHeight="1">
      <c r="A9518" s="7">
        <v>375.0</v>
      </c>
      <c r="B9518" s="9" t="s">
        <v>15452</v>
      </c>
      <c r="C9518" s="9" t="s">
        <v>15453</v>
      </c>
      <c r="D9518" s="9" t="s">
        <v>101</v>
      </c>
      <c r="E9518" s="6" t="s">
        <v>15460</v>
      </c>
      <c r="F9518" s="9"/>
    </row>
    <row r="9519" ht="33.75" customHeight="1">
      <c r="A9519" s="7">
        <v>375.0</v>
      </c>
      <c r="B9519" s="9" t="s">
        <v>15452</v>
      </c>
      <c r="C9519" s="9" t="s">
        <v>15453</v>
      </c>
      <c r="D9519" s="9" t="s">
        <v>105</v>
      </c>
      <c r="E9519" s="6" t="s">
        <v>15461</v>
      </c>
      <c r="F9519" s="9"/>
    </row>
    <row r="9520" ht="33.75" customHeight="1">
      <c r="A9520" s="7">
        <v>375.0</v>
      </c>
      <c r="B9520" s="9" t="s">
        <v>15452</v>
      </c>
      <c r="C9520" s="9" t="s">
        <v>15453</v>
      </c>
      <c r="D9520" s="9" t="s">
        <v>107</v>
      </c>
      <c r="E9520" s="6" t="s">
        <v>15463</v>
      </c>
      <c r="F9520" s="9"/>
    </row>
    <row r="9521" ht="33.75" customHeight="1">
      <c r="A9521" s="7">
        <v>375.0</v>
      </c>
      <c r="B9521" s="9" t="s">
        <v>15452</v>
      </c>
      <c r="C9521" s="9" t="s">
        <v>15453</v>
      </c>
      <c r="D9521" s="9" t="s">
        <v>109</v>
      </c>
      <c r="E9521" s="6" t="s">
        <v>15464</v>
      </c>
      <c r="F9521" s="9"/>
    </row>
    <row r="9522" ht="33.75" customHeight="1">
      <c r="A9522" s="7">
        <v>375.0</v>
      </c>
      <c r="B9522" s="9" t="s">
        <v>15452</v>
      </c>
      <c r="C9522" s="9" t="s">
        <v>15453</v>
      </c>
      <c r="D9522" s="9" t="s">
        <v>637</v>
      </c>
      <c r="E9522" s="6" t="s">
        <v>15465</v>
      </c>
      <c r="F9522" s="9"/>
    </row>
    <row r="9523" ht="33.75" customHeight="1">
      <c r="A9523" s="7">
        <v>375.0</v>
      </c>
      <c r="B9523" s="9" t="s">
        <v>15452</v>
      </c>
      <c r="C9523" s="9" t="s">
        <v>15453</v>
      </c>
      <c r="D9523" s="9" t="s">
        <v>642</v>
      </c>
      <c r="E9523" s="6" t="s">
        <v>15466</v>
      </c>
      <c r="F9523" s="9"/>
    </row>
    <row r="9524" ht="33.75" customHeight="1">
      <c r="A9524" s="7">
        <v>375.0</v>
      </c>
      <c r="B9524" s="9" t="s">
        <v>15452</v>
      </c>
      <c r="C9524" s="9" t="s">
        <v>15453</v>
      </c>
      <c r="D9524" s="9" t="s">
        <v>647</v>
      </c>
      <c r="E9524" s="6" t="s">
        <v>15467</v>
      </c>
      <c r="F9524" s="9"/>
    </row>
    <row r="9525" ht="33.75" customHeight="1">
      <c r="A9525" s="7">
        <v>375.0</v>
      </c>
      <c r="B9525" s="9" t="s">
        <v>15452</v>
      </c>
      <c r="C9525" s="9" t="s">
        <v>15453</v>
      </c>
      <c r="D9525" s="9" t="s">
        <v>652</v>
      </c>
      <c r="E9525" s="6" t="s">
        <v>15468</v>
      </c>
      <c r="F9525" s="9"/>
    </row>
    <row r="9526" ht="33.75" customHeight="1">
      <c r="A9526" s="7">
        <v>375.0</v>
      </c>
      <c r="B9526" s="9" t="s">
        <v>15452</v>
      </c>
      <c r="C9526" s="9" t="s">
        <v>15453</v>
      </c>
      <c r="D9526" s="9" t="s">
        <v>114</v>
      </c>
      <c r="E9526" s="6" t="s">
        <v>15469</v>
      </c>
      <c r="F9526" s="9"/>
    </row>
    <row r="9527" ht="33.75" customHeight="1">
      <c r="A9527" s="7">
        <v>375.0</v>
      </c>
      <c r="B9527" s="9" t="s">
        <v>15452</v>
      </c>
      <c r="C9527" s="9" t="s">
        <v>15453</v>
      </c>
      <c r="D9527" s="9" t="s">
        <v>117</v>
      </c>
      <c r="E9527" s="6" t="s">
        <v>15470</v>
      </c>
      <c r="F9527" s="9"/>
    </row>
    <row r="9528" ht="33.75" customHeight="1">
      <c r="A9528" s="7">
        <v>376.0</v>
      </c>
      <c r="B9528" s="9" t="s">
        <v>15471</v>
      </c>
      <c r="C9528" s="9" t="s">
        <v>15472</v>
      </c>
      <c r="D9528" s="9" t="s">
        <v>67</v>
      </c>
      <c r="E9528" s="6" t="s">
        <v>15473</v>
      </c>
      <c r="F9528" t="inlineStr" s="10">
        <is>
          <t xml:space="preserve">METAGROSSilla on yhteensä neljä aivoa. Yhdessä nämä neljä aivoa pystyvät suoriutumaan vaikeista laskutoimituksista nopeammin kuin supertietokone. Tämä POKéMON voi leijua ilmassa työntämällä neljä jalkaansa sisään. METAGROSS on kahden METANGin fuusion tulos. Metsästäessään tämä POKéMON kiinnittää saaliinsa maahan massiivisen ruumiinsa alle. Sitten se syö avuttoman uhrin vatsansa suuren suun avulla. METAGROSSilla on neljä aivoa, jotka on yhdistetty monimutkaisella neuroverkolla. Integraation ansiosta tämä POKéMON on älykkäämpi kuin supertietokone. Se muodostuu kahden METANGin fuusioitumisesta. Sen neljän aivon sanotaan olevan supertietokonetta tehokkaammat. METANG yhdistyi muodostaen sen. Neljän aivonsa ansiosta sillä on supertietokoneen älykkyys. Se taittaa neljä jalkaansa lentäessään. Metangit yhdistyivät muodostaen sen. Neljän toisiinsa kytketyn aivonsa ansiosta se on älykkäämpi kuin supertietokone ja käyttää laskelmia vihollisten analysointiin. Yhdessä ne pystyvät suoriutumaan vaikeista laskutoimituksista nopeammin kuin supertietokone. Se kiinnittää saaliinsa tiukasti neljällä kynnellään ja kookkailla vartaloillaan. Sitten sen vatsassa olevat hampaat pureskelevat saaliin palasiksi. Kahden Metangin muodostama Pokémon pystyy suorittamaan minkä tahansa laskutoimituksen salamannopeasti hyödyntämällä neljän aivonsa rinnakkaisprosessointia. Sillä on paitsi psyykkisten voimien myös fantastinen voima. Se nappaa saaliinsa neljällä jalallaan ja pitää ne paikoillaan kynsillään. Se analysoi vastustajiaan tarkemmin kuin supertietokone, minkä ansiosta se voi rauhallisesti ajaa heidät nurkkaan. Koska näiden Pokémonien magneettiset voimat voimistuvat pakkasessa, lumisilla vuorilla elävät Metagrossit ovat täynnä energiaa. Tämä Pokémon voittaa vastustajansa supertietokoneen tason aivojensa avulla.</t>
        </is>
      </c>
    </row>
    <row r="9529" ht="33.75" customHeight="1">
      <c r="A9529" s="7">
        <v>376.0</v>
      </c>
      <c r="B9529" s="9" t="s">
        <v>15471</v>
      </c>
      <c r="C9529" s="9" t="s">
        <v>15472</v>
      </c>
      <c r="D9529" s="9" t="s">
        <v>71</v>
      </c>
      <c r="E9529" s="6" t="s">
        <v>15474</v>
      </c>
      <c r="F9529" s="9"/>
    </row>
    <row r="9530" ht="33.75" customHeight="1">
      <c r="A9530" s="7">
        <v>376.0</v>
      </c>
      <c r="B9530" s="9" t="s">
        <v>15471</v>
      </c>
      <c r="C9530" s="9" t="s">
        <v>15472</v>
      </c>
      <c r="D9530" s="9" t="s">
        <v>73</v>
      </c>
      <c r="E9530" s="6" t="s">
        <v>15475</v>
      </c>
      <c r="F9530" s="9"/>
    </row>
    <row r="9531" ht="33.75" customHeight="1">
      <c r="A9531" s="7">
        <v>376.0</v>
      </c>
      <c r="B9531" s="9" t="s">
        <v>15471</v>
      </c>
      <c r="C9531" s="9" t="s">
        <v>15472</v>
      </c>
      <c r="D9531" s="9" t="s">
        <v>75</v>
      </c>
      <c r="E9531" s="6" t="s">
        <v>15476</v>
      </c>
      <c r="F9531" s="9"/>
    </row>
    <row r="9532" ht="33.75" customHeight="1">
      <c r="A9532" s="7">
        <v>376.0</v>
      </c>
      <c r="B9532" s="9" t="s">
        <v>15471</v>
      </c>
      <c r="C9532" s="9" t="s">
        <v>15472</v>
      </c>
      <c r="D9532" s="9" t="s">
        <v>79</v>
      </c>
      <c r="E9532" s="6" t="s">
        <v>15476</v>
      </c>
      <c r="F9532" s="9"/>
    </row>
    <row r="9533" ht="33.75" customHeight="1">
      <c r="A9533" s="7">
        <v>376.0</v>
      </c>
      <c r="B9533" s="9" t="s">
        <v>15471</v>
      </c>
      <c r="C9533" s="9" t="s">
        <v>15472</v>
      </c>
      <c r="D9533" s="9" t="s">
        <v>81</v>
      </c>
      <c r="E9533" s="6" t="s">
        <v>15477</v>
      </c>
      <c r="F9533" s="9"/>
    </row>
    <row r="9534" ht="33.75" customHeight="1">
      <c r="A9534" s="7">
        <v>376.0</v>
      </c>
      <c r="B9534" s="9" t="s">
        <v>15471</v>
      </c>
      <c r="C9534" s="9" t="s">
        <v>15472</v>
      </c>
      <c r="D9534" s="9" t="s">
        <v>84</v>
      </c>
      <c r="E9534" s="6" t="s">
        <v>15477</v>
      </c>
      <c r="F9534" s="9"/>
    </row>
    <row r="9535" ht="33.75" customHeight="1">
      <c r="A9535" s="7">
        <v>376.0</v>
      </c>
      <c r="B9535" s="9" t="s">
        <v>15471</v>
      </c>
      <c r="C9535" s="9" t="s">
        <v>15472</v>
      </c>
      <c r="D9535" s="9" t="s">
        <v>87</v>
      </c>
      <c r="E9535" s="6" t="s">
        <v>15477</v>
      </c>
      <c r="F9535" s="9"/>
    </row>
    <row r="9536" ht="33.75" customHeight="1">
      <c r="A9536" s="7">
        <v>376.0</v>
      </c>
      <c r="B9536" s="9" t="s">
        <v>15471</v>
      </c>
      <c r="C9536" s="9" t="s">
        <v>15472</v>
      </c>
      <c r="D9536" s="9" t="s">
        <v>89</v>
      </c>
      <c r="E9536" s="6" t="s">
        <v>15478</v>
      </c>
      <c r="F9536" s="9"/>
    </row>
    <row r="9537" ht="33.75" customHeight="1">
      <c r="A9537" s="7">
        <v>376.0</v>
      </c>
      <c r="B9537" s="9" t="s">
        <v>15471</v>
      </c>
      <c r="C9537" s="9" t="s">
        <v>15472</v>
      </c>
      <c r="D9537" s="9" t="s">
        <v>91</v>
      </c>
      <c r="E9537" s="6" t="s">
        <v>15478</v>
      </c>
      <c r="F9537" s="9"/>
    </row>
    <row r="9538" ht="33.75" customHeight="1">
      <c r="A9538" s="7">
        <v>376.0</v>
      </c>
      <c r="B9538" s="9" t="s">
        <v>15471</v>
      </c>
      <c r="C9538" s="9" t="s">
        <v>15472</v>
      </c>
      <c r="D9538" s="9" t="s">
        <v>93</v>
      </c>
      <c r="E9538" s="6" t="s">
        <v>15479</v>
      </c>
      <c r="F9538" s="9"/>
    </row>
    <row r="9539" ht="33.75" customHeight="1">
      <c r="A9539" s="7">
        <v>376.0</v>
      </c>
      <c r="B9539" s="9" t="s">
        <v>15471</v>
      </c>
      <c r="C9539" s="9" t="s">
        <v>15472</v>
      </c>
      <c r="D9539" s="9" t="s">
        <v>95</v>
      </c>
      <c r="E9539" s="6" t="s">
        <v>15479</v>
      </c>
      <c r="F9539" s="9"/>
    </row>
    <row r="9540" ht="33.75" customHeight="1">
      <c r="A9540" s="7">
        <v>376.0</v>
      </c>
      <c r="B9540" s="9" t="s">
        <v>15471</v>
      </c>
      <c r="C9540" s="9" t="s">
        <v>15472</v>
      </c>
      <c r="D9540" s="9" t="s">
        <v>98</v>
      </c>
      <c r="E9540" s="6" t="s">
        <v>15480</v>
      </c>
      <c r="F9540" s="9"/>
    </row>
    <row r="9541" ht="33.75" customHeight="1">
      <c r="A9541" s="7">
        <v>376.0</v>
      </c>
      <c r="B9541" s="9" t="s">
        <v>15471</v>
      </c>
      <c r="C9541" s="9" t="s">
        <v>15472</v>
      </c>
      <c r="D9541" s="9" t="s">
        <v>99</v>
      </c>
      <c r="E9541" s="6" t="s">
        <v>15480</v>
      </c>
      <c r="F9541" s="9"/>
    </row>
    <row r="9542" ht="33.75" customHeight="1">
      <c r="A9542" s="7">
        <v>376.0</v>
      </c>
      <c r="B9542" s="9" t="s">
        <v>15471</v>
      </c>
      <c r="C9542" s="9" t="s">
        <v>15472</v>
      </c>
      <c r="D9542" s="9" t="s">
        <v>101</v>
      </c>
      <c r="E9542" s="6" t="s">
        <v>15480</v>
      </c>
      <c r="F9542" s="9"/>
    </row>
    <row r="9543" ht="33.75" customHeight="1">
      <c r="A9543" s="7">
        <v>376.0</v>
      </c>
      <c r="B9543" s="9" t="s">
        <v>15471</v>
      </c>
      <c r="C9543" s="9" t="s">
        <v>15472</v>
      </c>
      <c r="D9543" s="9" t="s">
        <v>105</v>
      </c>
      <c r="E9543" s="6" t="s">
        <v>15479</v>
      </c>
      <c r="F9543" s="9"/>
    </row>
    <row r="9544" ht="33.75" customHeight="1">
      <c r="A9544" s="7">
        <v>376.0</v>
      </c>
      <c r="B9544" s="9" t="s">
        <v>15471</v>
      </c>
      <c r="C9544" s="9" t="s">
        <v>15472</v>
      </c>
      <c r="D9544" s="9" t="s">
        <v>107</v>
      </c>
      <c r="E9544" s="6" t="s">
        <v>15481</v>
      </c>
      <c r="F9544" s="9"/>
    </row>
    <row r="9545" ht="33.75" customHeight="1">
      <c r="A9545" s="7">
        <v>376.0</v>
      </c>
      <c r="B9545" s="9" t="s">
        <v>15471</v>
      </c>
      <c r="C9545" s="9" t="s">
        <v>15472</v>
      </c>
      <c r="D9545" s="9" t="s">
        <v>109</v>
      </c>
      <c r="E9545" s="6" t="s">
        <v>15482</v>
      </c>
      <c r="F9545" s="9"/>
    </row>
    <row r="9546" ht="33.75" customHeight="1">
      <c r="A9546" s="7">
        <v>376.0</v>
      </c>
      <c r="B9546" s="9" t="s">
        <v>15471</v>
      </c>
      <c r="C9546" s="9" t="s">
        <v>15472</v>
      </c>
      <c r="D9546" s="9" t="s">
        <v>637</v>
      </c>
      <c r="E9546" s="6" t="s">
        <v>15483</v>
      </c>
      <c r="F9546" s="9"/>
    </row>
    <row r="9547" ht="33.75" customHeight="1">
      <c r="A9547" s="7">
        <v>376.0</v>
      </c>
      <c r="B9547" s="9" t="s">
        <v>15471</v>
      </c>
      <c r="C9547" s="9" t="s">
        <v>15472</v>
      </c>
      <c r="D9547" s="9" t="s">
        <v>642</v>
      </c>
      <c r="E9547" s="6" t="s">
        <v>15485</v>
      </c>
      <c r="F9547" s="9"/>
    </row>
    <row r="9548" ht="33.75" customHeight="1">
      <c r="A9548" s="7">
        <v>376.0</v>
      </c>
      <c r="B9548" s="9" t="s">
        <v>15471</v>
      </c>
      <c r="C9548" s="9" t="s">
        <v>15472</v>
      </c>
      <c r="D9548" s="9" t="s">
        <v>647</v>
      </c>
      <c r="E9548" s="6" t="s">
        <v>15486</v>
      </c>
      <c r="F9548" s="9"/>
    </row>
    <row r="9549" ht="33.75" customHeight="1">
      <c r="A9549" s="7">
        <v>376.0</v>
      </c>
      <c r="B9549" s="9" t="s">
        <v>15471</v>
      </c>
      <c r="C9549" s="9" t="s">
        <v>15472</v>
      </c>
      <c r="D9549" s="9" t="s">
        <v>652</v>
      </c>
      <c r="E9549" s="6" t="s">
        <v>15487</v>
      </c>
      <c r="F9549" s="9"/>
    </row>
    <row r="9550" ht="33.75" customHeight="1">
      <c r="A9550" s="7">
        <v>376.0</v>
      </c>
      <c r="B9550" s="9" t="s">
        <v>15471</v>
      </c>
      <c r="C9550" s="9" t="s">
        <v>15472</v>
      </c>
      <c r="D9550" s="9" t="s">
        <v>114</v>
      </c>
      <c r="E9550" s="6" t="s">
        <v>15488</v>
      </c>
      <c r="F9550" s="9"/>
    </row>
    <row r="9551" ht="33.75" customHeight="1">
      <c r="A9551" s="7">
        <v>376.0</v>
      </c>
      <c r="B9551" s="9" t="s">
        <v>15471</v>
      </c>
      <c r="C9551" s="9" t="s">
        <v>15472</v>
      </c>
      <c r="D9551" s="9" t="s">
        <v>117</v>
      </c>
      <c r="E9551" s="6" t="s">
        <v>15489</v>
      </c>
      <c r="F9551" s="9"/>
    </row>
    <row r="9552" ht="33.75" customHeight="1">
      <c r="A9552" s="7">
        <v>377.0</v>
      </c>
      <c r="B9552" s="9" t="s">
        <v>15490</v>
      </c>
      <c r="C9552" s="9" t="s">
        <v>15491</v>
      </c>
      <c r="D9552" s="9" t="s">
        <v>67</v>
      </c>
      <c r="E9552" s="6" t="s">
        <v>15492</v>
      </c>
      <c r="F9552" t="inlineStr" s="10">
        <is>
          <t xml:space="preserve">REGIROCK suljettiin ihmisten toimesta kauan sitten. Jos tämän POKéMONin ruumis vaurioituu taistelussa, sen sanotaan etsivän itse sopivia kiviä korjatakseen itsensä. REGIROCKin runko koostuu kokonaan kivistä. Äskettäin tehdyssä tutkimuksessa tehtiin hätkähdyttävä havainto, että kivet olivat kaikki eri paikoista. POKéMON, joka on tehty kokonaan kivistä ja lohkareista. Jos sen ruumiista lohkeaa osia taistelussa, REGIROCK korjaa itsensä lisäämällä uusia kiviä. Se koostuu kokonaan kivistä, joissa ei ole merkkejä aivoista tai sydämestä. Se on mysteeri jopa nykyajan tiedemiehille. Sen koko ruumis on tehty kivestä. Jos jokin osa lohkeaa taistelussa, se korjaa itsensä kiinnittämällä siihen kiviä. Samoja kiviä, jotka muodostavat sen rungon, on löydetty maankerroksista ympäri maailmaa. Regirockin ruumis on tehty joka kerta kivestä. Kun sen ruumiinosia kuluu, tämä Pokémon liimaa itseensä kiviä korjatakseen menetettyä. Tämän Pokémonin kiviruumiin sisäosia tutkittiin huipputeknologialla, mutta mitään ei löytynyt – ei edes aivoja tai sydäntä.</t>
        </is>
      </c>
    </row>
    <row r="9553" ht="33.75" customHeight="1">
      <c r="A9553" s="7">
        <v>377.0</v>
      </c>
      <c r="B9553" s="9" t="s">
        <v>15490</v>
      </c>
      <c r="C9553" s="9" t="s">
        <v>15491</v>
      </c>
      <c r="D9553" s="9" t="s">
        <v>71</v>
      </c>
      <c r="E9553" s="6" t="s">
        <v>15493</v>
      </c>
      <c r="F9553" s="9"/>
    </row>
    <row r="9554" ht="33.75" customHeight="1">
      <c r="A9554" s="7">
        <v>377.0</v>
      </c>
      <c r="B9554" s="9" t="s">
        <v>15490</v>
      </c>
      <c r="C9554" s="9" t="s">
        <v>15491</v>
      </c>
      <c r="D9554" s="9" t="s">
        <v>73</v>
      </c>
      <c r="E9554" s="6" t="s">
        <v>15494</v>
      </c>
      <c r="F9554" s="9"/>
    </row>
    <row r="9555" ht="33.75" customHeight="1">
      <c r="A9555" s="7">
        <v>377.0</v>
      </c>
      <c r="B9555" s="9" t="s">
        <v>15490</v>
      </c>
      <c r="C9555" s="9" t="s">
        <v>15491</v>
      </c>
      <c r="D9555" s="9" t="s">
        <v>75</v>
      </c>
      <c r="E9555" s="6" t="s">
        <v>15495</v>
      </c>
      <c r="F9555" s="9"/>
    </row>
    <row r="9556" ht="33.75" customHeight="1">
      <c r="A9556" s="7">
        <v>377.0</v>
      </c>
      <c r="B9556" s="9" t="s">
        <v>15490</v>
      </c>
      <c r="C9556" s="9" t="s">
        <v>15491</v>
      </c>
      <c r="D9556" s="9" t="s">
        <v>79</v>
      </c>
      <c r="E9556" s="6" t="s">
        <v>15495</v>
      </c>
      <c r="F9556" s="9"/>
    </row>
    <row r="9557" ht="33.75" customHeight="1">
      <c r="A9557" s="7">
        <v>377.0</v>
      </c>
      <c r="B9557" s="9" t="s">
        <v>15490</v>
      </c>
      <c r="C9557" s="9" t="s">
        <v>15491</v>
      </c>
      <c r="D9557" s="9" t="s">
        <v>81</v>
      </c>
      <c r="E9557" s="6" t="s">
        <v>15496</v>
      </c>
      <c r="F9557" s="9"/>
    </row>
    <row r="9558" ht="33.75" customHeight="1">
      <c r="A9558" s="7">
        <v>377.0</v>
      </c>
      <c r="B9558" s="9" t="s">
        <v>15490</v>
      </c>
      <c r="C9558" s="9" t="s">
        <v>15491</v>
      </c>
      <c r="D9558" s="9" t="s">
        <v>84</v>
      </c>
      <c r="E9558" s="6" t="s">
        <v>15496</v>
      </c>
      <c r="F9558" s="9"/>
    </row>
    <row r="9559" ht="33.75" customHeight="1">
      <c r="A9559" s="7">
        <v>377.0</v>
      </c>
      <c r="B9559" s="9" t="s">
        <v>15490</v>
      </c>
      <c r="C9559" s="9" t="s">
        <v>15491</v>
      </c>
      <c r="D9559" s="9" t="s">
        <v>87</v>
      </c>
      <c r="E9559" s="6" t="s">
        <v>15496</v>
      </c>
      <c r="F9559" s="9"/>
    </row>
    <row r="9560" ht="33.75" customHeight="1">
      <c r="A9560" s="7">
        <v>377.0</v>
      </c>
      <c r="B9560" s="9" t="s">
        <v>15490</v>
      </c>
      <c r="C9560" s="9" t="s">
        <v>15491</v>
      </c>
      <c r="D9560" s="9" t="s">
        <v>89</v>
      </c>
      <c r="E9560" s="6" t="s">
        <v>15497</v>
      </c>
      <c r="F9560" s="9"/>
    </row>
    <row r="9561" ht="33.75" customHeight="1">
      <c r="A9561" s="7">
        <v>377.0</v>
      </c>
      <c r="B9561" s="9" t="s">
        <v>15490</v>
      </c>
      <c r="C9561" s="9" t="s">
        <v>15491</v>
      </c>
      <c r="D9561" s="9" t="s">
        <v>91</v>
      </c>
      <c r="E9561" s="6" t="s">
        <v>15497</v>
      </c>
      <c r="F9561" s="9"/>
    </row>
    <row r="9562" ht="33.75" customHeight="1">
      <c r="A9562" s="7">
        <v>377.0</v>
      </c>
      <c r="B9562" s="9" t="s">
        <v>15490</v>
      </c>
      <c r="C9562" s="9" t="s">
        <v>15491</v>
      </c>
      <c r="D9562" s="9" t="s">
        <v>93</v>
      </c>
      <c r="E9562" s="6" t="s">
        <v>15496</v>
      </c>
      <c r="F9562" s="9"/>
    </row>
    <row r="9563" ht="33.75" customHeight="1">
      <c r="A9563" s="7">
        <v>377.0</v>
      </c>
      <c r="B9563" s="9" t="s">
        <v>15490</v>
      </c>
      <c r="C9563" s="9" t="s">
        <v>15491</v>
      </c>
      <c r="D9563" s="9" t="s">
        <v>95</v>
      </c>
      <c r="E9563" s="6" t="s">
        <v>15496</v>
      </c>
      <c r="F9563" s="9"/>
    </row>
    <row r="9564" ht="33.75" customHeight="1">
      <c r="A9564" s="7">
        <v>377.0</v>
      </c>
      <c r="B9564" s="9" t="s">
        <v>15490</v>
      </c>
      <c r="C9564" s="9" t="s">
        <v>15491</v>
      </c>
      <c r="D9564" s="9" t="s">
        <v>98</v>
      </c>
      <c r="E9564" s="6" t="s">
        <v>15496</v>
      </c>
      <c r="F9564" s="9"/>
    </row>
    <row r="9565" ht="33.75" customHeight="1">
      <c r="A9565" s="7">
        <v>377.0</v>
      </c>
      <c r="B9565" s="9" t="s">
        <v>15490</v>
      </c>
      <c r="C9565" s="9" t="s">
        <v>15491</v>
      </c>
      <c r="D9565" s="9" t="s">
        <v>99</v>
      </c>
      <c r="E9565" s="6" t="s">
        <v>15496</v>
      </c>
      <c r="F9565" s="9"/>
    </row>
    <row r="9566" ht="33.75" customHeight="1">
      <c r="A9566" s="7">
        <v>377.0</v>
      </c>
      <c r="B9566" s="9" t="s">
        <v>15490</v>
      </c>
      <c r="C9566" s="9" t="s">
        <v>15491</v>
      </c>
      <c r="D9566" s="9" t="s">
        <v>101</v>
      </c>
      <c r="E9566" s="6" t="s">
        <v>15496</v>
      </c>
      <c r="F9566" s="9"/>
    </row>
    <row r="9567" ht="33.75" customHeight="1">
      <c r="A9567" s="7">
        <v>377.0</v>
      </c>
      <c r="B9567" s="9" t="s">
        <v>15490</v>
      </c>
      <c r="C9567" s="9" t="s">
        <v>15491</v>
      </c>
      <c r="D9567" s="9" t="s">
        <v>105</v>
      </c>
      <c r="E9567" s="6" t="s">
        <v>15497</v>
      </c>
      <c r="F9567" s="9"/>
    </row>
    <row r="9568" ht="33.75" customHeight="1">
      <c r="A9568" s="7">
        <v>377.0</v>
      </c>
      <c r="B9568" s="9" t="s">
        <v>15490</v>
      </c>
      <c r="C9568" s="9" t="s">
        <v>15491</v>
      </c>
      <c r="D9568" s="9" t="s">
        <v>107</v>
      </c>
      <c r="E9568" s="6" t="s">
        <v>15499</v>
      </c>
      <c r="F9568" s="9"/>
    </row>
    <row r="9569" ht="33.75" customHeight="1">
      <c r="A9569" s="7">
        <v>377.0</v>
      </c>
      <c r="B9569" s="9" t="s">
        <v>15490</v>
      </c>
      <c r="C9569" s="9" t="s">
        <v>15491</v>
      </c>
      <c r="D9569" s="9" t="s">
        <v>109</v>
      </c>
      <c r="E9569" s="6" t="s">
        <v>15500</v>
      </c>
      <c r="F9569" s="9"/>
    </row>
    <row r="9570" ht="33.75" customHeight="1">
      <c r="A9570" s="7">
        <v>377.0</v>
      </c>
      <c r="B9570" s="9" t="s">
        <v>15490</v>
      </c>
      <c r="C9570" s="9" t="s">
        <v>15491</v>
      </c>
      <c r="D9570" s="9" t="s">
        <v>114</v>
      </c>
      <c r="E9570" s="6" t="s">
        <v>15501</v>
      </c>
      <c r="F9570" s="9"/>
    </row>
    <row r="9571" ht="33.75" customHeight="1">
      <c r="A9571" s="7">
        <v>377.0</v>
      </c>
      <c r="B9571" s="9" t="s">
        <v>15490</v>
      </c>
      <c r="C9571" s="9" t="s">
        <v>15491</v>
      </c>
      <c r="D9571" s="9" t="s">
        <v>117</v>
      </c>
      <c r="E9571" s="6" t="s">
        <v>15502</v>
      </c>
      <c r="F9571" s="9"/>
    </row>
    <row r="9572" ht="33.75" customHeight="1">
      <c r="A9572" s="7">
        <v>378.0</v>
      </c>
      <c r="B9572" s="9" t="s">
        <v>15503</v>
      </c>
      <c r="C9572" s="9" t="s">
        <v>15504</v>
      </c>
      <c r="D9572" s="9" t="s">
        <v>67</v>
      </c>
      <c r="E9572" s="6" t="s">
        <v>15505</v>
      </c>
      <c r="F9572" t="inlineStr" s="10">
        <is>
          <t xml:space="preserve">REGICEn ruumis tehtiin jääkauden aikana. Syväjäätynyttä ruumista ei voida sulattaa edes tulella. Tämä POKéMON hallitsee -160 celsiusasteen kylmää ilmaa. REGICE verhoutuu kylmään, -160 celsiusasteen ilmaan. Lähelle menemällä kaikki jäätyy. Sen jäinen ruumis on niin kylmä, ettei se sula, vaikka se upotettaisiin magmaan. Sen koko runko on tehty Etelämantereen jäästä. Laajojen tutkimusten jälkeen tutkijat uskovat, että jää muodostui jääkauden aikana. Tutkimukset paljastivat, että sen runko on tehty samanlaisesta jäästä kuin etelänavalla. Sen runko on tehty jääkaudelta peräisin olevasta jäästä. Se hallitsee kylmää ilmaa, jonka lämpötila on -328 Fahrenheit-astetta. Sen sanotaan nukkuneen jäätikössä tuhansia vuosia. Sen ruumista ei voida sulattaa edes magman avulla. Tämä Pokémon hallitsee -328 Fahrenheit-asteen kylmää ilmaa. Regice verhoutuu hyytävään -160 celsiusasteen ilmaan. Lähelle meneminen voi jäädyttää kaiken. Sen jäinen ruumis on niin kylmä, ettei se sula, vaikka se uppoaisi magmaan. Kylmän ilman ansiosta, jonka lämpötila voi laskea jopa −328 celsiusasteeseen, Regice jäädyttää välittömästi kaikki sitä lähestyvät olennot. Tämän Pokémonin ruumis on tehty kiinteästä jäästä. Kerrotaan, että Regice syntyi paksun jään alla jääkaudella.</t>
        </is>
      </c>
    </row>
    <row r="9573" ht="33.75" customHeight="1">
      <c r="A9573" s="7">
        <v>378.0</v>
      </c>
      <c r="B9573" s="9" t="s">
        <v>15503</v>
      </c>
      <c r="C9573" s="9" t="s">
        <v>15504</v>
      </c>
      <c r="D9573" s="9" t="s">
        <v>71</v>
      </c>
      <c r="E9573" s="6" t="s">
        <v>15506</v>
      </c>
      <c r="F9573" s="9"/>
    </row>
    <row r="9574" ht="33.75" customHeight="1">
      <c r="A9574" s="7">
        <v>378.0</v>
      </c>
      <c r="B9574" s="9" t="s">
        <v>15503</v>
      </c>
      <c r="C9574" s="9" t="s">
        <v>15504</v>
      </c>
      <c r="D9574" s="9" t="s">
        <v>73</v>
      </c>
      <c r="E9574" s="6" t="s">
        <v>15507</v>
      </c>
      <c r="F9574" s="9"/>
    </row>
    <row r="9575" ht="33.75" customHeight="1">
      <c r="A9575" s="7">
        <v>378.0</v>
      </c>
      <c r="B9575" s="9" t="s">
        <v>15503</v>
      </c>
      <c r="C9575" s="9" t="s">
        <v>15504</v>
      </c>
      <c r="D9575" s="9" t="s">
        <v>75</v>
      </c>
      <c r="E9575" s="6" t="s">
        <v>15508</v>
      </c>
      <c r="F9575" s="9"/>
    </row>
    <row r="9576" ht="33.75" customHeight="1">
      <c r="A9576" s="7">
        <v>378.0</v>
      </c>
      <c r="B9576" s="9" t="s">
        <v>15503</v>
      </c>
      <c r="C9576" s="9" t="s">
        <v>15504</v>
      </c>
      <c r="D9576" s="9" t="s">
        <v>79</v>
      </c>
      <c r="E9576" s="6" t="s">
        <v>15508</v>
      </c>
      <c r="F9576" s="9"/>
    </row>
    <row r="9577" ht="33.75" customHeight="1">
      <c r="A9577" s="7">
        <v>378.0</v>
      </c>
      <c r="B9577" s="9" t="s">
        <v>15503</v>
      </c>
      <c r="C9577" s="9" t="s">
        <v>15504</v>
      </c>
      <c r="D9577" s="9" t="s">
        <v>81</v>
      </c>
      <c r="E9577" s="6" t="s">
        <v>15510</v>
      </c>
      <c r="F9577" s="9"/>
    </row>
    <row r="9578" ht="33.75" customHeight="1">
      <c r="A9578" s="7">
        <v>378.0</v>
      </c>
      <c r="B9578" s="9" t="s">
        <v>15503</v>
      </c>
      <c r="C9578" s="9" t="s">
        <v>15504</v>
      </c>
      <c r="D9578" s="9" t="s">
        <v>84</v>
      </c>
      <c r="E9578" s="6" t="s">
        <v>15510</v>
      </c>
      <c r="F9578" s="9"/>
    </row>
    <row r="9579" ht="33.75" customHeight="1">
      <c r="A9579" s="7">
        <v>378.0</v>
      </c>
      <c r="B9579" s="9" t="s">
        <v>15503</v>
      </c>
      <c r="C9579" s="9" t="s">
        <v>15504</v>
      </c>
      <c r="D9579" s="9" t="s">
        <v>87</v>
      </c>
      <c r="E9579" s="6" t="s">
        <v>15510</v>
      </c>
      <c r="F9579" s="9"/>
    </row>
    <row r="9580" ht="33.75" customHeight="1">
      <c r="A9580" s="7">
        <v>378.0</v>
      </c>
      <c r="B9580" s="9" t="s">
        <v>15503</v>
      </c>
      <c r="C9580" s="9" t="s">
        <v>15504</v>
      </c>
      <c r="D9580" s="9" t="s">
        <v>89</v>
      </c>
      <c r="E9580" s="6" t="s">
        <v>15511</v>
      </c>
      <c r="F9580" s="9"/>
    </row>
    <row r="9581" ht="33.75" customHeight="1">
      <c r="A9581" s="7">
        <v>378.0</v>
      </c>
      <c r="B9581" s="9" t="s">
        <v>15503</v>
      </c>
      <c r="C9581" s="9" t="s">
        <v>15504</v>
      </c>
      <c r="D9581" s="9" t="s">
        <v>91</v>
      </c>
      <c r="E9581" s="6" t="s">
        <v>15511</v>
      </c>
      <c r="F9581" s="9"/>
    </row>
    <row r="9582" ht="33.75" customHeight="1">
      <c r="A9582" s="7">
        <v>378.0</v>
      </c>
      <c r="B9582" s="9" t="s">
        <v>15503</v>
      </c>
      <c r="C9582" s="9" t="s">
        <v>15504</v>
      </c>
      <c r="D9582" s="9" t="s">
        <v>93</v>
      </c>
      <c r="E9582" s="6" t="s">
        <v>15510</v>
      </c>
      <c r="F9582" s="9"/>
    </row>
    <row r="9583" ht="33.75" customHeight="1">
      <c r="A9583" s="7">
        <v>378.0</v>
      </c>
      <c r="B9583" s="9" t="s">
        <v>15503</v>
      </c>
      <c r="C9583" s="9" t="s">
        <v>15504</v>
      </c>
      <c r="D9583" s="9" t="s">
        <v>95</v>
      </c>
      <c r="E9583" s="6" t="s">
        <v>15510</v>
      </c>
      <c r="F9583" s="9"/>
    </row>
    <row r="9584" ht="33.75" customHeight="1">
      <c r="A9584" s="7">
        <v>378.0</v>
      </c>
      <c r="B9584" s="9" t="s">
        <v>15503</v>
      </c>
      <c r="C9584" s="9" t="s">
        <v>15504</v>
      </c>
      <c r="D9584" s="9" t="s">
        <v>98</v>
      </c>
      <c r="E9584" s="6" t="s">
        <v>15510</v>
      </c>
      <c r="F9584" s="9"/>
    </row>
    <row r="9585" ht="33.75" customHeight="1">
      <c r="A9585" s="7">
        <v>378.0</v>
      </c>
      <c r="B9585" s="9" t="s">
        <v>15503</v>
      </c>
      <c r="C9585" s="9" t="s">
        <v>15504</v>
      </c>
      <c r="D9585" s="9" t="s">
        <v>99</v>
      </c>
      <c r="E9585" s="6" t="s">
        <v>15510</v>
      </c>
      <c r="F9585" s="9"/>
    </row>
    <row r="9586" ht="33.75" customHeight="1">
      <c r="A9586" s="7">
        <v>378.0</v>
      </c>
      <c r="B9586" s="9" t="s">
        <v>15503</v>
      </c>
      <c r="C9586" s="9" t="s">
        <v>15504</v>
      </c>
      <c r="D9586" s="9" t="s">
        <v>101</v>
      </c>
      <c r="E9586" s="6" t="s">
        <v>15511</v>
      </c>
      <c r="F9586" s="9"/>
    </row>
    <row r="9587" ht="33.75" customHeight="1">
      <c r="A9587" s="7">
        <v>378.0</v>
      </c>
      <c r="B9587" s="9" t="s">
        <v>15503</v>
      </c>
      <c r="C9587" s="9" t="s">
        <v>15504</v>
      </c>
      <c r="D9587" s="9" t="s">
        <v>105</v>
      </c>
      <c r="E9587" s="6" t="s">
        <v>15510</v>
      </c>
      <c r="F9587" s="9"/>
    </row>
    <row r="9588" ht="33.75" customHeight="1">
      <c r="A9588" s="7">
        <v>378.0</v>
      </c>
      <c r="B9588" s="9" t="s">
        <v>15503</v>
      </c>
      <c r="C9588" s="9" t="s">
        <v>15504</v>
      </c>
      <c r="D9588" s="9" t="s">
        <v>107</v>
      </c>
      <c r="E9588" s="6" t="s">
        <v>15512</v>
      </c>
      <c r="F9588" s="9"/>
    </row>
    <row r="9589" ht="33.75" customHeight="1">
      <c r="A9589" s="7">
        <v>378.0</v>
      </c>
      <c r="B9589" s="9" t="s">
        <v>15503</v>
      </c>
      <c r="C9589" s="9" t="s">
        <v>15504</v>
      </c>
      <c r="D9589" s="9" t="s">
        <v>109</v>
      </c>
      <c r="E9589" s="6" t="s">
        <v>15513</v>
      </c>
      <c r="F9589" s="9"/>
    </row>
    <row r="9590" ht="33.75" customHeight="1">
      <c r="A9590" s="7">
        <v>378.0</v>
      </c>
      <c r="B9590" s="9" t="s">
        <v>15503</v>
      </c>
      <c r="C9590" s="9" t="s">
        <v>15504</v>
      </c>
      <c r="D9590" s="9" t="s">
        <v>114</v>
      </c>
      <c r="E9590" s="6" t="s">
        <v>15514</v>
      </c>
      <c r="F9590" s="9"/>
    </row>
    <row r="9591" ht="33.75" customHeight="1">
      <c r="A9591" s="7">
        <v>378.0</v>
      </c>
      <c r="B9591" s="9" t="s">
        <v>15503</v>
      </c>
      <c r="C9591" s="9" t="s">
        <v>15504</v>
      </c>
      <c r="D9591" s="9" t="s">
        <v>117</v>
      </c>
      <c r="E9591" s="6" t="s">
        <v>15515</v>
      </c>
      <c r="F9591" s="9"/>
    </row>
    <row r="9592" ht="33.75" customHeight="1">
      <c r="A9592" s="7">
        <v>379.0</v>
      </c>
      <c r="B9592" s="9" t="s">
        <v>15516</v>
      </c>
      <c r="C9592" s="9" t="s">
        <v>15517</v>
      </c>
      <c r="D9592" s="9" t="s">
        <v>67</v>
      </c>
      <c r="E9592" s="6" t="s">
        <v>15518</v>
      </c>
      <c r="F9592" t="inlineStr" s="10">
        <is>
          <t xml:space="preserve">REGISTEELIN runko on kovempi kuin minkään metallin. Sen runko on ilmeisesti ontto. Kenelläkään ei ole aavistustakaan, mitä tämä POKéMON syö. Muinaisina aikoina ihmiset vangitsivat REGISTEELIÄ. Sen runkoon kuuluvan metallin uskotaan olevan outoa ainetta, joka ei ole tästä maasta. Sen runko on kovempi kuin mikään muu metalli. Runkometalli koostuu salaperäisestä aineesta. Se ei ole ainoastaan ​​kova, vaan se myös kutistuu ja venyy joustavasti. Se on lujempaa kuin mikään metalli. Se kovettunut maanalaisen paineen vaikutuksesta kymmenien tuhansien vuosien aikana. Kymmenien tuhansien vuosien ajan maanalaisen paineen karkaisemana sen ruumis ei naarmuunnu. Sen rungon sanotaan olevan kovempi kuin mikään metalli. Tutkimus on paljastanut, että sen runko on ontto. Registeelillä on vartalo, joka on kovempi kuin mikään metalli. Sen vartalo on ilmeisesti ontto. Registeeliä vangittiin muinaisina aikoina. Sen rungon metallin uskotaan olevan outoa ainetta, joka ei ole tästä maasta. Registeelin runko on tehty oudosta materiaalista, joka on tarpeeksi joustava venymään ja kutistumaan, mutta myös kestävämpi kuin mikään metalli. Huhutaan, että tämä Pokémon syntyi syvällä maan alla planeetan vaipassa ja että se nousi pinnalle 10 000 vuotta sitten.</t>
        </is>
      </c>
    </row>
    <row r="9593" ht="33.75" customHeight="1">
      <c r="A9593" s="7">
        <v>379.0</v>
      </c>
      <c r="B9593" s="9" t="s">
        <v>15516</v>
      </c>
      <c r="C9593" s="9" t="s">
        <v>15517</v>
      </c>
      <c r="D9593" s="9" t="s">
        <v>71</v>
      </c>
      <c r="E9593" s="6" t="s">
        <v>15520</v>
      </c>
      <c r="F9593" s="9"/>
    </row>
    <row r="9594" ht="33.75" customHeight="1">
      <c r="A9594" s="7">
        <v>379.0</v>
      </c>
      <c r="B9594" s="9" t="s">
        <v>15516</v>
      </c>
      <c r="C9594" s="9" t="s">
        <v>15517</v>
      </c>
      <c r="D9594" s="9" t="s">
        <v>73</v>
      </c>
      <c r="E9594" s="6" t="s">
        <v>15521</v>
      </c>
      <c r="F9594" s="9"/>
    </row>
    <row r="9595" ht="33.75" customHeight="1">
      <c r="A9595" s="7">
        <v>379.0</v>
      </c>
      <c r="B9595" s="9" t="s">
        <v>15516</v>
      </c>
      <c r="C9595" s="9" t="s">
        <v>15517</v>
      </c>
      <c r="D9595" s="9" t="s">
        <v>75</v>
      </c>
      <c r="E9595" s="6" t="s">
        <v>15522</v>
      </c>
      <c r="F9595" s="9"/>
    </row>
    <row r="9596" ht="33.75" customHeight="1">
      <c r="A9596" s="7">
        <v>379.0</v>
      </c>
      <c r="B9596" s="9" t="s">
        <v>15516</v>
      </c>
      <c r="C9596" s="9" t="s">
        <v>15517</v>
      </c>
      <c r="D9596" s="9" t="s">
        <v>79</v>
      </c>
      <c r="E9596" s="6" t="s">
        <v>15522</v>
      </c>
      <c r="F9596" s="9"/>
    </row>
    <row r="9597" ht="33.75" customHeight="1">
      <c r="A9597" s="7">
        <v>379.0</v>
      </c>
      <c r="B9597" s="9" t="s">
        <v>15516</v>
      </c>
      <c r="C9597" s="9" t="s">
        <v>15517</v>
      </c>
      <c r="D9597" s="9" t="s">
        <v>81</v>
      </c>
      <c r="E9597" s="6" t="s">
        <v>15523</v>
      </c>
      <c r="F9597" s="9"/>
    </row>
    <row r="9598" ht="33.75" customHeight="1">
      <c r="A9598" s="7">
        <v>379.0</v>
      </c>
      <c r="B9598" s="9" t="s">
        <v>15516</v>
      </c>
      <c r="C9598" s="9" t="s">
        <v>15517</v>
      </c>
      <c r="D9598" s="9" t="s">
        <v>84</v>
      </c>
      <c r="E9598" s="6" t="s">
        <v>15523</v>
      </c>
      <c r="F9598" s="9"/>
    </row>
    <row r="9599" ht="33.75" customHeight="1">
      <c r="A9599" s="7">
        <v>379.0</v>
      </c>
      <c r="B9599" s="9" t="s">
        <v>15516</v>
      </c>
      <c r="C9599" s="9" t="s">
        <v>15517</v>
      </c>
      <c r="D9599" s="9" t="s">
        <v>87</v>
      </c>
      <c r="E9599" s="6" t="s">
        <v>15523</v>
      </c>
      <c r="F9599" s="9"/>
    </row>
    <row r="9600" ht="33.75" customHeight="1">
      <c r="A9600" s="7">
        <v>379.0</v>
      </c>
      <c r="B9600" s="9" t="s">
        <v>15516</v>
      </c>
      <c r="C9600" s="9" t="s">
        <v>15517</v>
      </c>
      <c r="D9600" s="9" t="s">
        <v>89</v>
      </c>
      <c r="E9600" s="6" t="s">
        <v>15524</v>
      </c>
      <c r="F9600" s="9"/>
    </row>
    <row r="9601" ht="33.75" customHeight="1">
      <c r="A9601" s="7">
        <v>379.0</v>
      </c>
      <c r="B9601" s="9" t="s">
        <v>15516</v>
      </c>
      <c r="C9601" s="9" t="s">
        <v>15517</v>
      </c>
      <c r="D9601" s="9" t="s">
        <v>91</v>
      </c>
      <c r="E9601" s="6" t="s">
        <v>15524</v>
      </c>
      <c r="F9601" s="9"/>
    </row>
    <row r="9602" ht="33.75" customHeight="1">
      <c r="A9602" s="7">
        <v>379.0</v>
      </c>
      <c r="B9602" s="9" t="s">
        <v>15516</v>
      </c>
      <c r="C9602" s="9" t="s">
        <v>15517</v>
      </c>
      <c r="D9602" s="9" t="s">
        <v>93</v>
      </c>
      <c r="E9602" s="6" t="s">
        <v>15523</v>
      </c>
      <c r="F9602" s="9"/>
    </row>
    <row r="9603" ht="33.75" customHeight="1">
      <c r="A9603" s="7">
        <v>379.0</v>
      </c>
      <c r="B9603" s="9" t="s">
        <v>15516</v>
      </c>
      <c r="C9603" s="9" t="s">
        <v>15517</v>
      </c>
      <c r="D9603" s="9" t="s">
        <v>95</v>
      </c>
      <c r="E9603" s="6" t="s">
        <v>15523</v>
      </c>
      <c r="F9603" s="9"/>
    </row>
    <row r="9604" ht="33.75" customHeight="1">
      <c r="A9604" s="7">
        <v>379.0</v>
      </c>
      <c r="B9604" s="9" t="s">
        <v>15516</v>
      </c>
      <c r="C9604" s="9" t="s">
        <v>15517</v>
      </c>
      <c r="D9604" s="9" t="s">
        <v>98</v>
      </c>
      <c r="E9604" s="6" t="s">
        <v>15523</v>
      </c>
      <c r="F9604" s="9"/>
    </row>
    <row r="9605" ht="33.75" customHeight="1">
      <c r="A9605" s="7">
        <v>379.0</v>
      </c>
      <c r="B9605" s="9" t="s">
        <v>15516</v>
      </c>
      <c r="C9605" s="9" t="s">
        <v>15517</v>
      </c>
      <c r="D9605" s="9" t="s">
        <v>99</v>
      </c>
      <c r="E9605" s="6" t="s">
        <v>15523</v>
      </c>
      <c r="F9605" s="9"/>
    </row>
    <row r="9606" ht="33.75" customHeight="1">
      <c r="A9606" s="7">
        <v>379.0</v>
      </c>
      <c r="B9606" s="9" t="s">
        <v>15516</v>
      </c>
      <c r="C9606" s="9" t="s">
        <v>15517</v>
      </c>
      <c r="D9606" s="9" t="s">
        <v>101</v>
      </c>
      <c r="E9606" s="6" t="s">
        <v>15523</v>
      </c>
      <c r="F9606" s="9"/>
    </row>
    <row r="9607" ht="33.75" customHeight="1">
      <c r="A9607" s="7">
        <v>379.0</v>
      </c>
      <c r="B9607" s="9" t="s">
        <v>15516</v>
      </c>
      <c r="C9607" s="9" t="s">
        <v>15517</v>
      </c>
      <c r="D9607" s="9" t="s">
        <v>105</v>
      </c>
      <c r="E9607" s="6" t="s">
        <v>15524</v>
      </c>
      <c r="F9607" s="9"/>
    </row>
    <row r="9608" ht="33.75" customHeight="1">
      <c r="A9608" s="7">
        <v>379.0</v>
      </c>
      <c r="B9608" s="9" t="s">
        <v>15516</v>
      </c>
      <c r="C9608" s="9" t="s">
        <v>15517</v>
      </c>
      <c r="D9608" s="9" t="s">
        <v>107</v>
      </c>
      <c r="E9608" s="6" t="s">
        <v>15526</v>
      </c>
      <c r="F9608" s="9"/>
    </row>
    <row r="9609" ht="33.75" customHeight="1">
      <c r="A9609" s="7">
        <v>379.0</v>
      </c>
      <c r="B9609" s="9" t="s">
        <v>15516</v>
      </c>
      <c r="C9609" s="9" t="s">
        <v>15517</v>
      </c>
      <c r="D9609" s="9" t="s">
        <v>109</v>
      </c>
      <c r="E9609" s="6" t="s">
        <v>15527</v>
      </c>
      <c r="F9609" s="9"/>
    </row>
    <row r="9610" ht="33.75" customHeight="1">
      <c r="A9610" s="7">
        <v>379.0</v>
      </c>
      <c r="B9610" s="9" t="s">
        <v>15516</v>
      </c>
      <c r="C9610" s="9" t="s">
        <v>15517</v>
      </c>
      <c r="D9610" s="9" t="s">
        <v>114</v>
      </c>
      <c r="E9610" s="6" t="s">
        <v>15528</v>
      </c>
      <c r="F9610" s="9"/>
    </row>
    <row r="9611" ht="33.75" customHeight="1">
      <c r="A9611" s="7">
        <v>379.0</v>
      </c>
      <c r="B9611" s="9" t="s">
        <v>15516</v>
      </c>
      <c r="C9611" s="9" t="s">
        <v>15517</v>
      </c>
      <c r="D9611" s="9" t="s">
        <v>117</v>
      </c>
      <c r="E9611" s="6" t="s">
        <v>15529</v>
      </c>
      <c r="F9611" s="9"/>
    </row>
    <row r="9612" ht="33.75" customHeight="1">
      <c r="A9612" s="7">
        <v>380.0</v>
      </c>
      <c r="B9612" s="9" t="s">
        <v>15530</v>
      </c>
      <c r="C9612" s="9" t="s">
        <v>15531</v>
      </c>
      <c r="D9612" s="9" t="s">
        <v>67</v>
      </c>
      <c r="E9612" s="6" t="s">
        <v>15532</v>
      </c>
      <c r="F9612" t="inlineStr" s="10">
        <is>
          <t xml:space="preserve">LATIAS on erittäin herkkä ihmisten tunteille. Jos se aistii vihamielisyyttä, tämä POKéMON pöyhii höyheniä ympäri kehoaan ja huutaa kimeästi pelotellakseen vihollista. LATIAS on erittäin älykäs ja kykenevä ymmärtämään ihmispuhetta. Se on peitetty lasinkaltaisella untuvalla. POKéMON kietoo kehonsa untuvaan ja taittaa valoa muuttaakseen ulkonäköään. Ne muodostavat pienen lauman, jossa on vain muutama jäsen. Ne ovat harvoin tekemisissä ihmisten tai muiden POKéMONien kanssa. Ne katoavat, jos ne aistivat vihollisia. Se voi kommunikoida telepaattisesti ihmisten kanssa. Se muuttaa ulkonäköään käyttämällä valoa taittavaa untuvaa. Sen vartalo on peitetty untuvalla, joka voi taittaa valoa siten, että siitä tulee näkymätön. Se kommunikoi telepaattisesti. Sen ruumis on peitetty untuvalla, joka taittaa valoa tehden siitä näkymättömän.</t>
        </is>
      </c>
    </row>
    <row r="9613" ht="33.75" customHeight="1">
      <c r="A9613" s="7">
        <v>380.0</v>
      </c>
      <c r="B9613" s="9" t="s">
        <v>15530</v>
      </c>
      <c r="C9613" s="9" t="s">
        <v>15531</v>
      </c>
      <c r="D9613" s="9" t="s">
        <v>71</v>
      </c>
      <c r="E9613" s="6" t="s">
        <v>15533</v>
      </c>
      <c r="F9613" s="9"/>
    </row>
    <row r="9614" ht="33.75" customHeight="1">
      <c r="A9614" s="7">
        <v>380.0</v>
      </c>
      <c r="B9614" s="9" t="s">
        <v>15530</v>
      </c>
      <c r="C9614" s="9" t="s">
        <v>15531</v>
      </c>
      <c r="D9614" s="9" t="s">
        <v>73</v>
      </c>
      <c r="E9614" s="6" t="s">
        <v>15534</v>
      </c>
      <c r="F9614" s="9"/>
    </row>
    <row r="9615" ht="33.75" customHeight="1">
      <c r="A9615" s="7">
        <v>380.0</v>
      </c>
      <c r="B9615" s="9" t="s">
        <v>15530</v>
      </c>
      <c r="C9615" s="9" t="s">
        <v>15531</v>
      </c>
      <c r="D9615" s="9" t="s">
        <v>75</v>
      </c>
      <c r="E9615" s="6" t="s">
        <v>15535</v>
      </c>
      <c r="F9615" s="9"/>
    </row>
    <row r="9616" ht="33.75" customHeight="1">
      <c r="A9616" s="7">
        <v>380.0</v>
      </c>
      <c r="B9616" s="9" t="s">
        <v>15530</v>
      </c>
      <c r="C9616" s="9" t="s">
        <v>15531</v>
      </c>
      <c r="D9616" s="9" t="s">
        <v>79</v>
      </c>
      <c r="E9616" s="6" t="s">
        <v>15535</v>
      </c>
      <c r="F9616" s="9"/>
    </row>
    <row r="9617" ht="33.75" customHeight="1">
      <c r="A9617" s="7">
        <v>380.0</v>
      </c>
      <c r="B9617" s="9" t="s">
        <v>15530</v>
      </c>
      <c r="C9617" s="9" t="s">
        <v>15531</v>
      </c>
      <c r="D9617" s="9" t="s">
        <v>81</v>
      </c>
      <c r="E9617" s="6" t="s">
        <v>15537</v>
      </c>
      <c r="F9617" s="9"/>
    </row>
    <row r="9618" ht="33.75" customHeight="1">
      <c r="A9618" s="7">
        <v>380.0</v>
      </c>
      <c r="B9618" s="9" t="s">
        <v>15530</v>
      </c>
      <c r="C9618" s="9" t="s">
        <v>15531</v>
      </c>
      <c r="D9618" s="9" t="s">
        <v>84</v>
      </c>
      <c r="E9618" s="6" t="s">
        <v>15537</v>
      </c>
      <c r="F9618" s="9"/>
    </row>
    <row r="9619" ht="33.75" customHeight="1">
      <c r="A9619" s="7">
        <v>380.0</v>
      </c>
      <c r="B9619" s="9" t="s">
        <v>15530</v>
      </c>
      <c r="C9619" s="9" t="s">
        <v>15531</v>
      </c>
      <c r="D9619" s="9" t="s">
        <v>87</v>
      </c>
      <c r="E9619" s="6" t="s">
        <v>15537</v>
      </c>
      <c r="F9619" s="9"/>
    </row>
    <row r="9620" ht="33.75" customHeight="1">
      <c r="A9620" s="7">
        <v>380.0</v>
      </c>
      <c r="B9620" s="9" t="s">
        <v>15530</v>
      </c>
      <c r="C9620" s="9" t="s">
        <v>15531</v>
      </c>
      <c r="D9620" s="9" t="s">
        <v>89</v>
      </c>
      <c r="E9620" s="6" t="s">
        <v>15538</v>
      </c>
      <c r="F9620" s="9"/>
    </row>
    <row r="9621" ht="33.75" customHeight="1">
      <c r="A9621" s="7">
        <v>380.0</v>
      </c>
      <c r="B9621" s="9" t="s">
        <v>15530</v>
      </c>
      <c r="C9621" s="9" t="s">
        <v>15531</v>
      </c>
      <c r="D9621" s="9" t="s">
        <v>91</v>
      </c>
      <c r="E9621" s="6" t="s">
        <v>15538</v>
      </c>
      <c r="F9621" s="9"/>
    </row>
    <row r="9622" ht="33.75" customHeight="1">
      <c r="A9622" s="7">
        <v>380.0</v>
      </c>
      <c r="B9622" s="9" t="s">
        <v>15530</v>
      </c>
      <c r="C9622" s="9" t="s">
        <v>15531</v>
      </c>
      <c r="D9622" s="9" t="s">
        <v>93</v>
      </c>
      <c r="E9622" s="6" t="s">
        <v>15537</v>
      </c>
      <c r="F9622" s="9"/>
    </row>
    <row r="9623" ht="33.75" customHeight="1">
      <c r="A9623" s="7">
        <v>380.0</v>
      </c>
      <c r="B9623" s="9" t="s">
        <v>15530</v>
      </c>
      <c r="C9623" s="9" t="s">
        <v>15531</v>
      </c>
      <c r="D9623" s="9" t="s">
        <v>95</v>
      </c>
      <c r="E9623" s="6" t="s">
        <v>15537</v>
      </c>
      <c r="F9623" s="9"/>
    </row>
    <row r="9624" ht="33.75" customHeight="1">
      <c r="A9624" s="7">
        <v>380.0</v>
      </c>
      <c r="B9624" s="9" t="s">
        <v>15530</v>
      </c>
      <c r="C9624" s="9" t="s">
        <v>15531</v>
      </c>
      <c r="D9624" s="9" t="s">
        <v>98</v>
      </c>
      <c r="E9624" s="6" t="s">
        <v>15537</v>
      </c>
      <c r="F9624" s="9"/>
    </row>
    <row r="9625" ht="33.75" customHeight="1">
      <c r="A9625" s="7">
        <v>380.0</v>
      </c>
      <c r="B9625" s="9" t="s">
        <v>15530</v>
      </c>
      <c r="C9625" s="9" t="s">
        <v>15531</v>
      </c>
      <c r="D9625" s="9" t="s">
        <v>99</v>
      </c>
      <c r="E9625" s="6" t="s">
        <v>15537</v>
      </c>
      <c r="F9625" s="9"/>
    </row>
    <row r="9626" ht="33.75" customHeight="1">
      <c r="A9626" s="7">
        <v>380.0</v>
      </c>
      <c r="B9626" s="9" t="s">
        <v>15530</v>
      </c>
      <c r="C9626" s="9" t="s">
        <v>15531</v>
      </c>
      <c r="D9626" s="9" t="s">
        <v>101</v>
      </c>
      <c r="E9626" s="6" t="s">
        <v>15538</v>
      </c>
      <c r="F9626" s="9"/>
    </row>
    <row r="9627" ht="33.75" customHeight="1">
      <c r="A9627" s="7">
        <v>380.0</v>
      </c>
      <c r="B9627" s="9" t="s">
        <v>15530</v>
      </c>
      <c r="C9627" s="9" t="s">
        <v>15531</v>
      </c>
      <c r="D9627" s="9" t="s">
        <v>105</v>
      </c>
      <c r="E9627" s="6" t="s">
        <v>15535</v>
      </c>
      <c r="F9627" s="9"/>
    </row>
    <row r="9628" ht="33.75" customHeight="1">
      <c r="A9628" s="7">
        <v>380.0</v>
      </c>
      <c r="B9628" s="9" t="s">
        <v>15530</v>
      </c>
      <c r="C9628" s="9" t="s">
        <v>15531</v>
      </c>
      <c r="D9628" s="9" t="s">
        <v>107</v>
      </c>
      <c r="E9628" s="6" t="s">
        <v>15539</v>
      </c>
      <c r="F9628" s="9"/>
    </row>
    <row r="9629" ht="33.75" customHeight="1">
      <c r="A9629" s="7">
        <v>380.0</v>
      </c>
      <c r="B9629" s="9" t="s">
        <v>15530</v>
      </c>
      <c r="C9629" s="9" t="s">
        <v>15531</v>
      </c>
      <c r="D9629" s="9" t="s">
        <v>109</v>
      </c>
      <c r="E9629" s="6" t="s">
        <v>15540</v>
      </c>
      <c r="F9629" s="9"/>
    </row>
    <row r="9630" ht="33.75" customHeight="1">
      <c r="A9630" s="7">
        <v>381.0</v>
      </c>
      <c r="B9630" s="9" t="s">
        <v>15541</v>
      </c>
      <c r="C9630" s="9" t="s">
        <v>15531</v>
      </c>
      <c r="D9630" s="9" t="s">
        <v>67</v>
      </c>
      <c r="E9630" s="6" t="s">
        <v>15542</v>
      </c>
      <c r="F9630" t="inlineStr" s="10">
        <is>
          <t xml:space="preserve">LATIOS pystyy saamaan vihollisensa näkemään kuvan siitä, mitä se on nähnyt tai kuvittelee päässään. Tämä POKéMON on älykäs ja ymmärtää ihmisen puhetta. LATIOS avaa sydämensä vain myötätuntoiselle KOULUTTAJALLE. Tämä POKéMON voi lentää nopeammin kuin suihkukone taittamalla etujalkansa ilmanvastuksen minimoimiseksi. Se pystyy havaitsemaan muiden sijainnin ja aistimaan heidän tunteitaan jopa piilossa ollessaan, koska sillä on telepatiaa. Sen älykkyys mahdollistaa ihmiskielten ymmärtämisen. Sillä on säyseä luonne, eikä se pidä taisteluista. Etujalat sisään työntämällä se voi lentää nopeammin kuin suihkukone. Erittäin älykäs Pokémon. Taittamalla siipensä taakse lennon aikana se voi ohittaa suihkukoneet. Se ymmärtää ihmispuhetta ja on erittäin älykäs. Se on herkkä Pokémon, joka ei pidä taistelusta. Latiosilla on kyky saada muut näkemään kuvan siitä, mitä se on nähnyt tai kuvittelee päässään. Tämä Pokémon voi lentää nopeammin kuin suihkukone taittamalla etujalkansa minimoidakseen ilmanvastuksen.</t>
        </is>
      </c>
    </row>
    <row r="9631" ht="33.75" customHeight="1">
      <c r="A9631" s="7">
        <v>381.0</v>
      </c>
      <c r="B9631" s="9" t="s">
        <v>15541</v>
      </c>
      <c r="C9631" s="9" t="s">
        <v>15531</v>
      </c>
      <c r="D9631" s="9" t="s">
        <v>71</v>
      </c>
      <c r="E9631" s="6" t="s">
        <v>15544</v>
      </c>
      <c r="F9631" s="9"/>
    </row>
    <row r="9632" ht="33.75" customHeight="1">
      <c r="A9632" s="7">
        <v>381.0</v>
      </c>
      <c r="B9632" s="9" t="s">
        <v>15541</v>
      </c>
      <c r="C9632" s="9" t="s">
        <v>15531</v>
      </c>
      <c r="D9632" s="9" t="s">
        <v>73</v>
      </c>
      <c r="E9632" s="6" t="s">
        <v>15545</v>
      </c>
      <c r="F9632" s="9"/>
    </row>
    <row r="9633" ht="33.75" customHeight="1">
      <c r="A9633" s="7">
        <v>381.0</v>
      </c>
      <c r="B9633" s="9" t="s">
        <v>15541</v>
      </c>
      <c r="C9633" s="9" t="s">
        <v>15531</v>
      </c>
      <c r="D9633" s="9" t="s">
        <v>75</v>
      </c>
      <c r="E9633" s="6" t="s">
        <v>15546</v>
      </c>
      <c r="F9633" s="9"/>
    </row>
    <row r="9634" ht="33.75" customHeight="1">
      <c r="A9634" s="7">
        <v>381.0</v>
      </c>
      <c r="B9634" s="9" t="s">
        <v>15541</v>
      </c>
      <c r="C9634" s="9" t="s">
        <v>15531</v>
      </c>
      <c r="D9634" s="9" t="s">
        <v>79</v>
      </c>
      <c r="E9634" s="6" t="s">
        <v>15546</v>
      </c>
      <c r="F9634" s="9"/>
    </row>
    <row r="9635" ht="33.75" customHeight="1">
      <c r="A9635" s="7">
        <v>381.0</v>
      </c>
      <c r="B9635" s="9" t="s">
        <v>15541</v>
      </c>
      <c r="C9635" s="9" t="s">
        <v>15531</v>
      </c>
      <c r="D9635" s="9" t="s">
        <v>81</v>
      </c>
      <c r="E9635" s="6" t="s">
        <v>15547</v>
      </c>
      <c r="F9635" s="9"/>
    </row>
    <row r="9636" ht="33.75" customHeight="1">
      <c r="A9636" s="7">
        <v>381.0</v>
      </c>
      <c r="B9636" s="9" t="s">
        <v>15541</v>
      </c>
      <c r="C9636" s="9" t="s">
        <v>15531</v>
      </c>
      <c r="D9636" s="9" t="s">
        <v>84</v>
      </c>
      <c r="E9636" s="6" t="s">
        <v>15547</v>
      </c>
      <c r="F9636" s="9"/>
    </row>
    <row r="9637" ht="33.75" customHeight="1">
      <c r="A9637" s="7">
        <v>381.0</v>
      </c>
      <c r="B9637" s="9" t="s">
        <v>15541</v>
      </c>
      <c r="C9637" s="9" t="s">
        <v>15531</v>
      </c>
      <c r="D9637" s="9" t="s">
        <v>87</v>
      </c>
      <c r="E9637" s="6" t="s">
        <v>15547</v>
      </c>
      <c r="F9637" s="9"/>
    </row>
    <row r="9638" ht="33.75" customHeight="1">
      <c r="A9638" s="7">
        <v>381.0</v>
      </c>
      <c r="B9638" s="9" t="s">
        <v>15541</v>
      </c>
      <c r="C9638" s="9" t="s">
        <v>15531</v>
      </c>
      <c r="D9638" s="9" t="s">
        <v>89</v>
      </c>
      <c r="E9638" s="6" t="s">
        <v>15548</v>
      </c>
      <c r="F9638" s="9"/>
    </row>
    <row r="9639" ht="33.75" customHeight="1">
      <c r="A9639" s="7">
        <v>381.0</v>
      </c>
      <c r="B9639" s="9" t="s">
        <v>15541</v>
      </c>
      <c r="C9639" s="9" t="s">
        <v>15531</v>
      </c>
      <c r="D9639" s="9" t="s">
        <v>91</v>
      </c>
      <c r="E9639" s="6" t="s">
        <v>15548</v>
      </c>
      <c r="F9639" s="9"/>
    </row>
    <row r="9640" ht="33.75" customHeight="1">
      <c r="A9640" s="7">
        <v>381.0</v>
      </c>
      <c r="B9640" s="9" t="s">
        <v>15541</v>
      </c>
      <c r="C9640" s="9" t="s">
        <v>15531</v>
      </c>
      <c r="D9640" s="9" t="s">
        <v>93</v>
      </c>
      <c r="E9640" s="6" t="s">
        <v>15547</v>
      </c>
      <c r="F9640" s="9"/>
    </row>
    <row r="9641" ht="33.75" customHeight="1">
      <c r="A9641" s="7">
        <v>381.0</v>
      </c>
      <c r="B9641" s="9" t="s">
        <v>15541</v>
      </c>
      <c r="C9641" s="9" t="s">
        <v>15531</v>
      </c>
      <c r="D9641" s="9" t="s">
        <v>95</v>
      </c>
      <c r="E9641" s="6" t="s">
        <v>15547</v>
      </c>
      <c r="F9641" s="9"/>
    </row>
    <row r="9642" ht="33.75" customHeight="1">
      <c r="A9642" s="7">
        <v>381.0</v>
      </c>
      <c r="B9642" s="9" t="s">
        <v>15541</v>
      </c>
      <c r="C9642" s="9" t="s">
        <v>15531</v>
      </c>
      <c r="D9642" s="9" t="s">
        <v>98</v>
      </c>
      <c r="E9642" s="6" t="s">
        <v>15547</v>
      </c>
      <c r="F9642" s="9"/>
    </row>
    <row r="9643" ht="33.75" customHeight="1">
      <c r="A9643" s="7">
        <v>381.0</v>
      </c>
      <c r="B9643" s="9" t="s">
        <v>15541</v>
      </c>
      <c r="C9643" s="9" t="s">
        <v>15531</v>
      </c>
      <c r="D9643" s="9" t="s">
        <v>99</v>
      </c>
      <c r="E9643" s="6" t="s">
        <v>15547</v>
      </c>
      <c r="F9643" s="9"/>
    </row>
    <row r="9644" ht="33.75" customHeight="1">
      <c r="A9644" s="7">
        <v>381.0</v>
      </c>
      <c r="B9644" s="9" t="s">
        <v>15541</v>
      </c>
      <c r="C9644" s="9" t="s">
        <v>15531</v>
      </c>
      <c r="D9644" s="9" t="s">
        <v>101</v>
      </c>
      <c r="E9644" s="6" t="s">
        <v>15547</v>
      </c>
      <c r="F9644" s="9"/>
    </row>
    <row r="9645" ht="33.75" customHeight="1">
      <c r="A9645" s="7">
        <v>381.0</v>
      </c>
      <c r="B9645" s="9" t="s">
        <v>15541</v>
      </c>
      <c r="C9645" s="9" t="s">
        <v>15531</v>
      </c>
      <c r="D9645" s="9" t="s">
        <v>105</v>
      </c>
      <c r="E9645" s="6" t="s">
        <v>15548</v>
      </c>
      <c r="F9645" s="9"/>
    </row>
    <row r="9646" ht="33.75" customHeight="1">
      <c r="A9646" s="7">
        <v>381.0</v>
      </c>
      <c r="B9646" s="9" t="s">
        <v>15541</v>
      </c>
      <c r="C9646" s="9" t="s">
        <v>15531</v>
      </c>
      <c r="D9646" s="9" t="s">
        <v>107</v>
      </c>
      <c r="E9646" s="6" t="s">
        <v>15550</v>
      </c>
      <c r="F9646" s="9"/>
    </row>
    <row r="9647" ht="33.75" customHeight="1">
      <c r="A9647" s="7">
        <v>381.0</v>
      </c>
      <c r="B9647" s="9" t="s">
        <v>15541</v>
      </c>
      <c r="C9647" s="9" t="s">
        <v>15531</v>
      </c>
      <c r="D9647" s="9" t="s">
        <v>109</v>
      </c>
      <c r="E9647" s="6" t="s">
        <v>15551</v>
      </c>
      <c r="F9647" s="9"/>
    </row>
    <row r="9648" ht="33.75" customHeight="1">
      <c r="A9648" s="7">
        <v>382.0</v>
      </c>
      <c r="B9648" s="9" t="s">
        <v>15552</v>
      </c>
      <c r="C9648" s="9" t="s">
        <v>15553</v>
      </c>
      <c r="D9648" s="9" t="s">
        <v>67</v>
      </c>
      <c r="E9648" s="6" t="s">
        <v>15554</v>
      </c>
      <c r="F9648" t="inlineStr" s="10">
        <is>
          <t xml:space="preserve">KYOGRElla on kyky luoda valtavia sadepilviä, jotka peittävät koko taivaan ja aiheuttavat rankkasateita. Tämä POKéMON pelasti kuivuudesta kärsineitä ihmisiä. Mytologiassa KYOGRE on nimetty POKéMONiksi, joka laajensi merta peittämällä maan rankkasateilla ja kohoavilla hyökyaalloilla. Se nukahti katastrofaalisen taistelun jälkeen GROUDONia vastaan. KYOGRE esiintyy mytologiassa meren luojana. Pitkien GROUDONin kanssa käytyjen riitojen jälkeen se päätyi nukkumaan meren pohjaan. Tämän POKéMONin sanotaan laajentaneen merta tuomalla rankkasateita. Sillä on kyky hallita vettä. Sen sanotaan levittäneen meriä aiheuttamalla rankkasateita. Se oli nukkunut merihaudassa. Myyttinen Pokémon, jonka sanotaan paisuttaneen meret sateella ja hyökyaalloilla. Se taisteli GROUDONia vastaan. Alkuperäisen palautumisen ja luonnon täydellä voimalla se ottaa takaisin todellisen muotonsa. Se voi kutsua esiin myrskyjä, jotka nostavat merenpintaa. Kyogren sanotaan olevan meren itsensä personifikaatio. Legendat kertovat sen monista yhteenotoista Groudonia vastaan, kun jokainen pyrki saamaan luonnon voiman.</t>
        </is>
      </c>
    </row>
    <row r="9649" ht="33.75" customHeight="1">
      <c r="A9649" s="7">
        <v>382.0</v>
      </c>
      <c r="B9649" s="9" t="s">
        <v>15552</v>
      </c>
      <c r="C9649" s="9" t="s">
        <v>15553</v>
      </c>
      <c r="D9649" s="9" t="s">
        <v>71</v>
      </c>
      <c r="E9649" s="6" t="s">
        <v>15555</v>
      </c>
      <c r="F9649" s="9"/>
    </row>
    <row r="9650" ht="33.75" customHeight="1">
      <c r="A9650" s="7">
        <v>382.0</v>
      </c>
      <c r="B9650" s="9" t="s">
        <v>15552</v>
      </c>
      <c r="C9650" s="9" t="s">
        <v>15553</v>
      </c>
      <c r="D9650" s="9" t="s">
        <v>73</v>
      </c>
      <c r="E9650" s="6" t="s">
        <v>15556</v>
      </c>
      <c r="F9650" s="9"/>
    </row>
    <row r="9651" ht="33.75" customHeight="1">
      <c r="A9651" s="7">
        <v>382.0</v>
      </c>
      <c r="B9651" s="9" t="s">
        <v>15552</v>
      </c>
      <c r="C9651" s="9" t="s">
        <v>15553</v>
      </c>
      <c r="D9651" s="9" t="s">
        <v>75</v>
      </c>
      <c r="E9651" s="6" t="s">
        <v>15557</v>
      </c>
      <c r="F9651" s="9"/>
    </row>
    <row r="9652" ht="33.75" customHeight="1">
      <c r="A9652" s="7">
        <v>382.0</v>
      </c>
      <c r="B9652" s="9" t="s">
        <v>15552</v>
      </c>
      <c r="C9652" s="9" t="s">
        <v>15553</v>
      </c>
      <c r="D9652" s="9" t="s">
        <v>79</v>
      </c>
      <c r="E9652" s="6" t="s">
        <v>15557</v>
      </c>
      <c r="F9652" s="9"/>
    </row>
    <row r="9653" ht="33.75" customHeight="1">
      <c r="A9653" s="7">
        <v>382.0</v>
      </c>
      <c r="B9653" s="9" t="s">
        <v>15552</v>
      </c>
      <c r="C9653" s="9" t="s">
        <v>15553</v>
      </c>
      <c r="D9653" s="9" t="s">
        <v>81</v>
      </c>
      <c r="E9653" s="6" t="s">
        <v>15558</v>
      </c>
      <c r="F9653" s="9"/>
    </row>
    <row r="9654" ht="33.75" customHeight="1">
      <c r="A9654" s="7">
        <v>382.0</v>
      </c>
      <c r="B9654" s="9" t="s">
        <v>15552</v>
      </c>
      <c r="C9654" s="9" t="s">
        <v>15553</v>
      </c>
      <c r="D9654" s="9" t="s">
        <v>84</v>
      </c>
      <c r="E9654" s="6" t="s">
        <v>15558</v>
      </c>
      <c r="F9654" s="9"/>
    </row>
    <row r="9655" ht="33.75" customHeight="1">
      <c r="A9655" s="7">
        <v>382.0</v>
      </c>
      <c r="B9655" s="9" t="s">
        <v>15552</v>
      </c>
      <c r="C9655" s="9" t="s">
        <v>15553</v>
      </c>
      <c r="D9655" s="9" t="s">
        <v>87</v>
      </c>
      <c r="E9655" s="6" t="s">
        <v>15558</v>
      </c>
      <c r="F9655" s="9"/>
    </row>
    <row r="9656" ht="33.75" customHeight="1">
      <c r="A9656" s="7">
        <v>382.0</v>
      </c>
      <c r="B9656" s="9" t="s">
        <v>15552</v>
      </c>
      <c r="C9656" s="9" t="s">
        <v>15553</v>
      </c>
      <c r="D9656" s="9" t="s">
        <v>89</v>
      </c>
      <c r="E9656" s="6" t="s">
        <v>15559</v>
      </c>
      <c r="F9656" s="9"/>
    </row>
    <row r="9657" ht="33.75" customHeight="1">
      <c r="A9657" s="7">
        <v>382.0</v>
      </c>
      <c r="B9657" s="9" t="s">
        <v>15552</v>
      </c>
      <c r="C9657" s="9" t="s">
        <v>15553</v>
      </c>
      <c r="D9657" s="9" t="s">
        <v>91</v>
      </c>
      <c r="E9657" s="6" t="s">
        <v>15559</v>
      </c>
      <c r="F9657" s="9"/>
    </row>
    <row r="9658" ht="33.75" customHeight="1">
      <c r="A9658" s="7">
        <v>382.0</v>
      </c>
      <c r="B9658" s="9" t="s">
        <v>15552</v>
      </c>
      <c r="C9658" s="9" t="s">
        <v>15553</v>
      </c>
      <c r="D9658" s="9" t="s">
        <v>93</v>
      </c>
      <c r="E9658" s="6" t="s">
        <v>15558</v>
      </c>
      <c r="F9658" s="9"/>
    </row>
    <row r="9659" ht="33.75" customHeight="1">
      <c r="A9659" s="7">
        <v>382.0</v>
      </c>
      <c r="B9659" s="9" t="s">
        <v>15552</v>
      </c>
      <c r="C9659" s="9" t="s">
        <v>15553</v>
      </c>
      <c r="D9659" s="9" t="s">
        <v>95</v>
      </c>
      <c r="E9659" s="6" t="s">
        <v>15558</v>
      </c>
      <c r="F9659" s="9"/>
    </row>
    <row r="9660" ht="33.75" customHeight="1">
      <c r="A9660" s="7">
        <v>382.0</v>
      </c>
      <c r="B9660" s="9" t="s">
        <v>15552</v>
      </c>
      <c r="C9660" s="9" t="s">
        <v>15553</v>
      </c>
      <c r="D9660" s="9" t="s">
        <v>98</v>
      </c>
      <c r="E9660" s="6" t="s">
        <v>15558</v>
      </c>
      <c r="F9660" s="9"/>
    </row>
    <row r="9661" ht="33.75" customHeight="1">
      <c r="A9661" s="7">
        <v>382.0</v>
      </c>
      <c r="B9661" s="9" t="s">
        <v>15552</v>
      </c>
      <c r="C9661" s="9" t="s">
        <v>15553</v>
      </c>
      <c r="D9661" s="9" t="s">
        <v>99</v>
      </c>
      <c r="E9661" s="6" t="s">
        <v>15558</v>
      </c>
      <c r="F9661" s="9"/>
    </row>
    <row r="9662" ht="33.75" customHeight="1">
      <c r="A9662" s="7">
        <v>382.0</v>
      </c>
      <c r="B9662" s="9" t="s">
        <v>15552</v>
      </c>
      <c r="C9662" s="9" t="s">
        <v>15553</v>
      </c>
      <c r="D9662" s="9" t="s">
        <v>101</v>
      </c>
      <c r="E9662" s="6" t="s">
        <v>15560</v>
      </c>
      <c r="F9662" s="9"/>
    </row>
    <row r="9663" ht="33.75" customHeight="1">
      <c r="A9663" s="7">
        <v>382.0</v>
      </c>
      <c r="B9663" s="9" t="s">
        <v>15552</v>
      </c>
      <c r="C9663" s="9" t="s">
        <v>15553</v>
      </c>
      <c r="D9663" s="9" t="s">
        <v>105</v>
      </c>
      <c r="E9663" s="6" t="s">
        <v>15558</v>
      </c>
      <c r="F9663" s="9"/>
    </row>
    <row r="9664" ht="33.75" customHeight="1">
      <c r="A9664" s="7">
        <v>382.0</v>
      </c>
      <c r="B9664" s="9" t="s">
        <v>15552</v>
      </c>
      <c r="C9664" s="9" t="s">
        <v>15553</v>
      </c>
      <c r="D9664" s="9" t="s">
        <v>107</v>
      </c>
      <c r="E9664" s="6" t="s">
        <v>15561</v>
      </c>
      <c r="F9664" s="9"/>
    </row>
    <row r="9665" ht="33.75" customHeight="1">
      <c r="A9665" s="7">
        <v>382.0</v>
      </c>
      <c r="B9665" s="9" t="s">
        <v>15552</v>
      </c>
      <c r="C9665" s="9" t="s">
        <v>15553</v>
      </c>
      <c r="D9665" s="9" t="s">
        <v>109</v>
      </c>
      <c r="E9665" s="6" t="s">
        <v>15563</v>
      </c>
      <c r="F9665" s="9"/>
    </row>
    <row r="9666" ht="33.75" customHeight="1">
      <c r="A9666" s="7">
        <v>383.0</v>
      </c>
      <c r="B9666" s="9" t="s">
        <v>15564</v>
      </c>
      <c r="C9666" s="9" t="s">
        <v>15565</v>
      </c>
      <c r="D9666" s="9" t="s">
        <v>67</v>
      </c>
      <c r="E9666" s="6" t="s">
        <v>15566</v>
      </c>
      <c r="F9666" t="inlineStr" s="10">
        <is>
          <t xml:space="preserve">GROUDONIA on pitkään kuvattu mytologiassa POKéMONina, joka kasvatti maita ja laajensi mantereita. Tämä POKéMON nukahti mullistavan KYOGRE-taistelun jälkeen. GROUDONilla on kyky hajottaa sadepilviä ja saada vesi haihtumaan valon ja lämmön avulla. Se tuli pelastajaksi ihmisille, jotka olivat kärsineet kauheista tulvista. GROUDON on esiintynyt mytologiassa maan luojana. Se nukkuu maan alla olevassa magmassa ja sen sanotaan saavan herätessään tulivuoret purkautumaan. Tämän legendaarisen POKéMONin sanotaan edustavan maata. Se nukahti kaksintaistelun jälkeen KYOGREa vastaan. Se oli nukkunut maanalaisessa magmassa siitä lähtien, kun se taisteli raivokkaasti KYOGREa vastaan ​​kauan sitten. Sanotaan laajentaneen maita haihduttamalla vettä raivoavan kuumuuden mukana. Se taisteli titaanisesti KYOGREa vastaan. Se nukahti kaksintaistelun jälkeen Kyogren kanssa. Groudonin sanotaan olevan itse maan henkilöitymä. Legendat kertovat sen monista yhteenotoista Kyogrea vastaan, kun jokainen pyrki saamaan luonnon voiman. Alkuperäisen palautumisen kautta ja luonnon täydellä voimalla se ottaa takaisin todellisen muotonsa. Se voi aiheuttaa magman purkautumisen ja laajentaa maailman mannermaata.</t>
        </is>
      </c>
    </row>
    <row r="9667" ht="33.75" customHeight="1">
      <c r="A9667" s="7">
        <v>383.0</v>
      </c>
      <c r="B9667" s="9" t="s">
        <v>15564</v>
      </c>
      <c r="C9667" s="9" t="s">
        <v>15565</v>
      </c>
      <c r="D9667" s="9" t="s">
        <v>71</v>
      </c>
      <c r="E9667" s="6" t="s">
        <v>15567</v>
      </c>
      <c r="F9667" s="9"/>
    </row>
    <row r="9668" ht="33.75" customHeight="1">
      <c r="A9668" s="7">
        <v>383.0</v>
      </c>
      <c r="B9668" s="9" t="s">
        <v>15564</v>
      </c>
      <c r="C9668" s="9" t="s">
        <v>15565</v>
      </c>
      <c r="D9668" s="9" t="s">
        <v>73</v>
      </c>
      <c r="E9668" s="6" t="s">
        <v>15568</v>
      </c>
      <c r="F9668" s="9"/>
    </row>
    <row r="9669" ht="33.75" customHeight="1">
      <c r="A9669" s="7">
        <v>383.0</v>
      </c>
      <c r="B9669" s="9" t="s">
        <v>15564</v>
      </c>
      <c r="C9669" s="9" t="s">
        <v>15565</v>
      </c>
      <c r="D9669" s="9" t="s">
        <v>75</v>
      </c>
      <c r="E9669" s="6" t="s">
        <v>15569</v>
      </c>
      <c r="F9669" s="9"/>
    </row>
    <row r="9670" ht="33.75" customHeight="1">
      <c r="A9670" s="7">
        <v>383.0</v>
      </c>
      <c r="B9670" s="9" t="s">
        <v>15564</v>
      </c>
      <c r="C9670" s="9" t="s">
        <v>15565</v>
      </c>
      <c r="D9670" s="9" t="s">
        <v>79</v>
      </c>
      <c r="E9670" s="6" t="s">
        <v>15569</v>
      </c>
      <c r="F9670" s="9"/>
    </row>
    <row r="9671" ht="33.75" customHeight="1">
      <c r="A9671" s="7">
        <v>383.0</v>
      </c>
      <c r="B9671" s="9" t="s">
        <v>15564</v>
      </c>
      <c r="C9671" s="9" t="s">
        <v>15565</v>
      </c>
      <c r="D9671" s="9" t="s">
        <v>81</v>
      </c>
      <c r="E9671" s="6" t="s">
        <v>15570</v>
      </c>
      <c r="F9671" s="9"/>
    </row>
    <row r="9672" ht="33.75" customHeight="1">
      <c r="A9672" s="7">
        <v>383.0</v>
      </c>
      <c r="B9672" s="9" t="s">
        <v>15564</v>
      </c>
      <c r="C9672" s="9" t="s">
        <v>15565</v>
      </c>
      <c r="D9672" s="9" t="s">
        <v>84</v>
      </c>
      <c r="E9672" s="6" t="s">
        <v>15570</v>
      </c>
      <c r="F9672" s="9"/>
    </row>
    <row r="9673" ht="33.75" customHeight="1">
      <c r="A9673" s="7">
        <v>383.0</v>
      </c>
      <c r="B9673" s="9" t="s">
        <v>15564</v>
      </c>
      <c r="C9673" s="9" t="s">
        <v>15565</v>
      </c>
      <c r="D9673" s="9" t="s">
        <v>87</v>
      </c>
      <c r="E9673" s="6" t="s">
        <v>15570</v>
      </c>
      <c r="F9673" s="9"/>
    </row>
    <row r="9674" ht="33.75" customHeight="1">
      <c r="A9674" s="7">
        <v>383.0</v>
      </c>
      <c r="B9674" s="9" t="s">
        <v>15564</v>
      </c>
      <c r="C9674" s="9" t="s">
        <v>15565</v>
      </c>
      <c r="D9674" s="9" t="s">
        <v>89</v>
      </c>
      <c r="E9674" s="6" t="s">
        <v>15571</v>
      </c>
      <c r="F9674" s="9"/>
    </row>
    <row r="9675" ht="33.75" customHeight="1">
      <c r="A9675" s="7">
        <v>383.0</v>
      </c>
      <c r="B9675" s="9" t="s">
        <v>15564</v>
      </c>
      <c r="C9675" s="9" t="s">
        <v>15565</v>
      </c>
      <c r="D9675" s="9" t="s">
        <v>91</v>
      </c>
      <c r="E9675" s="6" t="s">
        <v>15571</v>
      </c>
      <c r="F9675" s="9"/>
    </row>
    <row r="9676" ht="33.75" customHeight="1">
      <c r="A9676" s="7">
        <v>383.0</v>
      </c>
      <c r="B9676" s="9" t="s">
        <v>15564</v>
      </c>
      <c r="C9676" s="9" t="s">
        <v>15565</v>
      </c>
      <c r="D9676" s="9" t="s">
        <v>93</v>
      </c>
      <c r="E9676" s="6" t="s">
        <v>15572</v>
      </c>
      <c r="F9676" s="9"/>
    </row>
    <row r="9677" ht="33.75" customHeight="1">
      <c r="A9677" s="7">
        <v>383.0</v>
      </c>
      <c r="B9677" s="9" t="s">
        <v>15564</v>
      </c>
      <c r="C9677" s="9" t="s">
        <v>15565</v>
      </c>
      <c r="D9677" s="9" t="s">
        <v>95</v>
      </c>
      <c r="E9677" s="6" t="s">
        <v>15572</v>
      </c>
      <c r="F9677" s="9"/>
    </row>
    <row r="9678" ht="33.75" customHeight="1">
      <c r="A9678" s="7">
        <v>383.0</v>
      </c>
      <c r="B9678" s="9" t="s">
        <v>15564</v>
      </c>
      <c r="C9678" s="9" t="s">
        <v>15565</v>
      </c>
      <c r="D9678" s="9" t="s">
        <v>98</v>
      </c>
      <c r="E9678" s="6" t="s">
        <v>15572</v>
      </c>
      <c r="F9678" s="9"/>
    </row>
    <row r="9679" ht="33.75" customHeight="1">
      <c r="A9679" s="7">
        <v>383.0</v>
      </c>
      <c r="B9679" s="9" t="s">
        <v>15564</v>
      </c>
      <c r="C9679" s="9" t="s">
        <v>15565</v>
      </c>
      <c r="D9679" s="9" t="s">
        <v>99</v>
      </c>
      <c r="E9679" s="6" t="s">
        <v>15572</v>
      </c>
      <c r="F9679" s="9"/>
    </row>
    <row r="9680" ht="33.75" customHeight="1">
      <c r="A9680" s="7">
        <v>383.0</v>
      </c>
      <c r="B9680" s="9" t="s">
        <v>15564</v>
      </c>
      <c r="C9680" s="9" t="s">
        <v>15565</v>
      </c>
      <c r="D9680" s="9" t="s">
        <v>101</v>
      </c>
      <c r="E9680" s="6" t="s">
        <v>15574</v>
      </c>
      <c r="F9680" s="9"/>
    </row>
    <row r="9681" ht="33.75" customHeight="1">
      <c r="A9681" s="7">
        <v>383.0</v>
      </c>
      <c r="B9681" s="9" t="s">
        <v>15564</v>
      </c>
      <c r="C9681" s="9" t="s">
        <v>15565</v>
      </c>
      <c r="D9681" s="9" t="s">
        <v>105</v>
      </c>
      <c r="E9681" s="6" t="s">
        <v>15575</v>
      </c>
      <c r="F9681" s="9"/>
    </row>
    <row r="9682" ht="33.75" customHeight="1">
      <c r="A9682" s="7">
        <v>383.0</v>
      </c>
      <c r="B9682" s="9" t="s">
        <v>15564</v>
      </c>
      <c r="C9682" s="9" t="s">
        <v>15565</v>
      </c>
      <c r="D9682" s="9" t="s">
        <v>107</v>
      </c>
      <c r="E9682" s="6" t="s">
        <v>15576</v>
      </c>
      <c r="F9682" s="9"/>
    </row>
    <row r="9683" ht="33.75" customHeight="1">
      <c r="A9683" s="7">
        <v>383.0</v>
      </c>
      <c r="B9683" s="9" t="s">
        <v>15564</v>
      </c>
      <c r="C9683" s="9" t="s">
        <v>15565</v>
      </c>
      <c r="D9683" s="9" t="s">
        <v>109</v>
      </c>
      <c r="E9683" s="6" t="s">
        <v>15577</v>
      </c>
      <c r="F9683" s="9"/>
    </row>
    <row r="9684" ht="33.75" customHeight="1">
      <c r="A9684" s="7">
        <v>384.0</v>
      </c>
      <c r="B9684" s="9" t="s">
        <v>15578</v>
      </c>
      <c r="C9684" s="9" t="s">
        <v>592</v>
      </c>
      <c r="D9684" s="9" t="s">
        <v>67</v>
      </c>
      <c r="E9684" s="6" t="s">
        <v>15579</v>
      </c>
      <c r="F9684" t="inlineStr" s="10">
        <is>
          <t xml:space="preserve">RAYQUAZA eli satoja miljoonia vuosia maan otsonikerroksessa eikä koskaan laskeutunut maan pinnalle. Tämä POKéMON näyttää syövän vettä ja ilmakehän hiukkasia. RAYQUAZAn sanotaan eläneen satoja miljoonia vuosia maan otsonikerroksessa pilvien yläpuolella. Sen olemassaolo oli aiemmin täysin tuntematon, koska se eli niin korkealla taivaalla. POKéMON, joka lentää loputtomasti otsonikerroksessa. Sanotaan, että se laskeutuisi maahan, jos KYOGRE ja GROUDON taistelisivat. Se on elänyt satoja miljoonia vuosia otsonikerroksessa. Sen lentävä olomuoto näyttää meteorilta. Se elää otsonikerroksessa pilvien yläpuolella, eikä sitä voida nähdä maan pinnalta. Se lentää otsonikerroksessa, korkealla taivaalla. Vielä vähän aikaa sitten kukaan ei ollut nähnyt sitä. Rayquazan sanotaan eläneen satoja miljoonia vuosia. Legendat kertovat, kuinka se lopetti Kyogren ja Groudonin välisen yhteenoton. Se lentää ikuisesti otsonikerroksen läpi kuluttaen meteoroideja ravinnokseen. Sen kehon monet meteoroidit tarjoavat sille megakehitykseen tarvittavan energian.</t>
        </is>
      </c>
    </row>
    <row r="9685" ht="33.75" customHeight="1">
      <c r="A9685" s="7">
        <v>384.0</v>
      </c>
      <c r="B9685" s="9" t="s">
        <v>15578</v>
      </c>
      <c r="C9685" s="9" t="s">
        <v>592</v>
      </c>
      <c r="D9685" s="9" t="s">
        <v>71</v>
      </c>
      <c r="E9685" s="6" t="s">
        <v>15580</v>
      </c>
      <c r="F9685" s="9"/>
    </row>
    <row r="9686" ht="33.75" customHeight="1">
      <c r="A9686" s="7">
        <v>384.0</v>
      </c>
      <c r="B9686" s="9" t="s">
        <v>15578</v>
      </c>
      <c r="C9686" s="9" t="s">
        <v>592</v>
      </c>
      <c r="D9686" s="9" t="s">
        <v>73</v>
      </c>
      <c r="E9686" s="6" t="s">
        <v>15581</v>
      </c>
      <c r="F9686" s="9"/>
    </row>
    <row r="9687" ht="33.75" customHeight="1">
      <c r="A9687" s="7">
        <v>384.0</v>
      </c>
      <c r="B9687" s="9" t="s">
        <v>15578</v>
      </c>
      <c r="C9687" s="9" t="s">
        <v>592</v>
      </c>
      <c r="D9687" s="9" t="s">
        <v>75</v>
      </c>
      <c r="E9687" s="6" t="s">
        <v>15582</v>
      </c>
      <c r="F9687" s="9"/>
    </row>
    <row r="9688" ht="33.75" customHeight="1">
      <c r="A9688" s="7">
        <v>384.0</v>
      </c>
      <c r="B9688" s="9" t="s">
        <v>15578</v>
      </c>
      <c r="C9688" s="9" t="s">
        <v>592</v>
      </c>
      <c r="D9688" s="9" t="s">
        <v>79</v>
      </c>
      <c r="E9688" s="6" t="s">
        <v>15582</v>
      </c>
      <c r="F9688" s="9"/>
    </row>
    <row r="9689" ht="33.75" customHeight="1">
      <c r="A9689" s="7">
        <v>384.0</v>
      </c>
      <c r="B9689" s="9" t="s">
        <v>15578</v>
      </c>
      <c r="C9689" s="9" t="s">
        <v>592</v>
      </c>
      <c r="D9689" s="9" t="s">
        <v>81</v>
      </c>
      <c r="E9689" s="6" t="s">
        <v>15583</v>
      </c>
      <c r="F9689" s="9"/>
    </row>
    <row r="9690" ht="33.75" customHeight="1">
      <c r="A9690" s="7">
        <v>384.0</v>
      </c>
      <c r="B9690" s="9" t="s">
        <v>15578</v>
      </c>
      <c r="C9690" s="9" t="s">
        <v>592</v>
      </c>
      <c r="D9690" s="9" t="s">
        <v>84</v>
      </c>
      <c r="E9690" s="6" t="s">
        <v>15583</v>
      </c>
      <c r="F9690" s="9"/>
    </row>
    <row r="9691" ht="33.75" customHeight="1">
      <c r="A9691" s="7">
        <v>384.0</v>
      </c>
      <c r="B9691" s="9" t="s">
        <v>15578</v>
      </c>
      <c r="C9691" s="9" t="s">
        <v>592</v>
      </c>
      <c r="D9691" s="9" t="s">
        <v>87</v>
      </c>
      <c r="E9691" s="6" t="s">
        <v>15583</v>
      </c>
      <c r="F9691" s="9"/>
    </row>
    <row r="9692" ht="33.75" customHeight="1">
      <c r="A9692" s="7">
        <v>384.0</v>
      </c>
      <c r="B9692" s="9" t="s">
        <v>15578</v>
      </c>
      <c r="C9692" s="9" t="s">
        <v>592</v>
      </c>
      <c r="D9692" s="9" t="s">
        <v>89</v>
      </c>
      <c r="E9692" s="6" t="s">
        <v>15585</v>
      </c>
      <c r="F9692" s="9"/>
    </row>
    <row r="9693" ht="33.75" customHeight="1">
      <c r="A9693" s="7">
        <v>384.0</v>
      </c>
      <c r="B9693" s="9" t="s">
        <v>15578</v>
      </c>
      <c r="C9693" s="9" t="s">
        <v>592</v>
      </c>
      <c r="D9693" s="9" t="s">
        <v>91</v>
      </c>
      <c r="E9693" s="6" t="s">
        <v>15585</v>
      </c>
      <c r="F9693" s="9"/>
    </row>
    <row r="9694" ht="33.75" customHeight="1">
      <c r="A9694" s="7">
        <v>384.0</v>
      </c>
      <c r="B9694" s="9" t="s">
        <v>15578</v>
      </c>
      <c r="C9694" s="9" t="s">
        <v>592</v>
      </c>
      <c r="D9694" s="9" t="s">
        <v>93</v>
      </c>
      <c r="E9694" s="6" t="s">
        <v>15583</v>
      </c>
      <c r="F9694" s="9"/>
    </row>
    <row r="9695" ht="33.75" customHeight="1">
      <c r="A9695" s="7">
        <v>384.0</v>
      </c>
      <c r="B9695" s="9" t="s">
        <v>15578</v>
      </c>
      <c r="C9695" s="9" t="s">
        <v>592</v>
      </c>
      <c r="D9695" s="9" t="s">
        <v>95</v>
      </c>
      <c r="E9695" s="6" t="s">
        <v>15583</v>
      </c>
      <c r="F9695" s="9"/>
    </row>
    <row r="9696" ht="33.75" customHeight="1">
      <c r="A9696" s="7">
        <v>384.0</v>
      </c>
      <c r="B9696" s="9" t="s">
        <v>15578</v>
      </c>
      <c r="C9696" s="9" t="s">
        <v>592</v>
      </c>
      <c r="D9696" s="9" t="s">
        <v>98</v>
      </c>
      <c r="E9696" s="6" t="s">
        <v>15583</v>
      </c>
      <c r="F9696" s="9"/>
    </row>
    <row r="9697" ht="33.75" customHeight="1">
      <c r="A9697" s="7">
        <v>384.0</v>
      </c>
      <c r="B9697" s="9" t="s">
        <v>15578</v>
      </c>
      <c r="C9697" s="9" t="s">
        <v>592</v>
      </c>
      <c r="D9697" s="9" t="s">
        <v>99</v>
      </c>
      <c r="E9697" s="6" t="s">
        <v>15583</v>
      </c>
      <c r="F9697" s="9"/>
    </row>
    <row r="9698" ht="33.75" customHeight="1">
      <c r="A9698" s="7">
        <v>384.0</v>
      </c>
      <c r="B9698" s="9" t="s">
        <v>15578</v>
      </c>
      <c r="C9698" s="9" t="s">
        <v>592</v>
      </c>
      <c r="D9698" s="9" t="s">
        <v>101</v>
      </c>
      <c r="E9698" s="6" t="s">
        <v>15583</v>
      </c>
      <c r="F9698" s="9"/>
    </row>
    <row r="9699" ht="33.75" customHeight="1">
      <c r="A9699" s="7">
        <v>384.0</v>
      </c>
      <c r="B9699" s="9" t="s">
        <v>15578</v>
      </c>
      <c r="C9699" s="9" t="s">
        <v>592</v>
      </c>
      <c r="D9699" s="9" t="s">
        <v>105</v>
      </c>
      <c r="E9699" s="6" t="s">
        <v>15585</v>
      </c>
      <c r="F9699" s="9"/>
    </row>
    <row r="9700" ht="33.75" customHeight="1">
      <c r="A9700" s="7">
        <v>384.0</v>
      </c>
      <c r="B9700" s="9" t="s">
        <v>15578</v>
      </c>
      <c r="C9700" s="9" t="s">
        <v>592</v>
      </c>
      <c r="D9700" s="9" t="s">
        <v>107</v>
      </c>
      <c r="E9700" s="6" t="s">
        <v>15586</v>
      </c>
      <c r="F9700" s="9"/>
    </row>
    <row r="9701" ht="33.75" customHeight="1">
      <c r="A9701" s="7">
        <v>384.0</v>
      </c>
      <c r="B9701" s="9" t="s">
        <v>15578</v>
      </c>
      <c r="C9701" s="9" t="s">
        <v>592</v>
      </c>
      <c r="D9701" s="9" t="s">
        <v>109</v>
      </c>
      <c r="E9701" s="6" t="s">
        <v>15587</v>
      </c>
      <c r="F9701" s="9"/>
    </row>
    <row r="9702" ht="33.75" customHeight="1">
      <c r="A9702" s="7">
        <v>385.0</v>
      </c>
      <c r="B9702" s="9" t="s">
        <v>15588</v>
      </c>
      <c r="C9702" s="9" t="s">
        <v>15589</v>
      </c>
      <c r="D9702" s="9" t="s">
        <v>67</v>
      </c>
      <c r="E9702" s="6" t="s">
        <v>15590</v>
      </c>
      <c r="F9702" t="inlineStr" s="10">
        <is>
          <t xml:space="preserve">Legendan mukaan JIRACHI toteuttaa herätessään kaikki Jirachin päähän kiinnitettyihin lapuihin kirjoitetut toiveet. Jos tämä POKéMON aistii vaaran, se taistelee heräämättä. JIRACHI herää tuhannen vuoden unestaan, jos laulat sille puhtaalla äänellä. Sen sanotaan toteuttavan kaikki ihmisten toiveet. JIRACHIn sanotaan toteuttavan toiveet. Sen nukkuessa kova kiteinen kuori ympäröi sen kehon suojellakseen sitä vihollisilta. Sen sanotaan toteuttavan kaikki toiveet. Se on hereillä vain seitsemän päivää tuhannesta vuodesta. Sen sanotaan voivan toteuttaa minkä tahansa toiveen vain viikon ajan tuhannen vuoden välein. Sukupolvien ajan on uskottu, että mikä tahansa sen päässä olevaan lapulle kirjoitettu toive toteutuu, kun se herää. Kerran tuhannessa vuodessa puhdas laulu herättää tämän Pokémonin lähes ikuisesta unestaan. Se herää vain seitsemäksi päiväksi. Uskotaan, että kun tämä Pokémon herää 1 000 vuoden unestaan, se toteuttaa kaikki sen päähän kiinnitettyihin lapuihin kirjoitetut toiveet.</t>
        </is>
      </c>
    </row>
    <row r="9703" ht="33.75" customHeight="1">
      <c r="A9703" s="7">
        <v>385.0</v>
      </c>
      <c r="B9703" s="9" t="s">
        <v>15588</v>
      </c>
      <c r="C9703" s="9" t="s">
        <v>15589</v>
      </c>
      <c r="D9703" s="9" t="s">
        <v>71</v>
      </c>
      <c r="E9703" s="6" t="s">
        <v>15591</v>
      </c>
      <c r="F9703" s="9"/>
    </row>
    <row r="9704" ht="33.75" customHeight="1">
      <c r="A9704" s="7">
        <v>385.0</v>
      </c>
      <c r="B9704" s="9" t="s">
        <v>15588</v>
      </c>
      <c r="C9704" s="9" t="s">
        <v>15589</v>
      </c>
      <c r="D9704" s="9" t="s">
        <v>73</v>
      </c>
      <c r="E9704" s="6" t="s">
        <v>15593</v>
      </c>
      <c r="F9704" s="9"/>
    </row>
    <row r="9705" ht="33.75" customHeight="1">
      <c r="A9705" s="7">
        <v>385.0</v>
      </c>
      <c r="B9705" s="9" t="s">
        <v>15588</v>
      </c>
      <c r="C9705" s="9" t="s">
        <v>15589</v>
      </c>
      <c r="D9705" s="9" t="s">
        <v>75</v>
      </c>
      <c r="E9705" s="6" t="s">
        <v>15594</v>
      </c>
      <c r="F9705" s="9"/>
    </row>
    <row r="9706" ht="33.75" customHeight="1">
      <c r="A9706" s="7">
        <v>385.0</v>
      </c>
      <c r="B9706" s="9" t="s">
        <v>15588</v>
      </c>
      <c r="C9706" s="9" t="s">
        <v>15589</v>
      </c>
      <c r="D9706" s="9" t="s">
        <v>79</v>
      </c>
      <c r="E9706" s="6" t="s">
        <v>15594</v>
      </c>
      <c r="F9706" s="9"/>
    </row>
    <row r="9707" ht="33.75" customHeight="1">
      <c r="A9707" s="7">
        <v>385.0</v>
      </c>
      <c r="B9707" s="9" t="s">
        <v>15588</v>
      </c>
      <c r="C9707" s="9" t="s">
        <v>15589</v>
      </c>
      <c r="D9707" s="9" t="s">
        <v>81</v>
      </c>
      <c r="E9707" s="6" t="s">
        <v>15595</v>
      </c>
      <c r="F9707" s="9"/>
    </row>
    <row r="9708" ht="33.75" customHeight="1">
      <c r="A9708" s="7">
        <v>385.0</v>
      </c>
      <c r="B9708" s="9" t="s">
        <v>15588</v>
      </c>
      <c r="C9708" s="9" t="s">
        <v>15589</v>
      </c>
      <c r="D9708" s="9" t="s">
        <v>84</v>
      </c>
      <c r="E9708" s="6" t="s">
        <v>15595</v>
      </c>
      <c r="F9708" s="9"/>
    </row>
    <row r="9709" ht="33.75" customHeight="1">
      <c r="A9709" s="7">
        <v>385.0</v>
      </c>
      <c r="B9709" s="9" t="s">
        <v>15588</v>
      </c>
      <c r="C9709" s="9" t="s">
        <v>15589</v>
      </c>
      <c r="D9709" s="9" t="s">
        <v>87</v>
      </c>
      <c r="E9709" s="6" t="s">
        <v>15595</v>
      </c>
      <c r="F9709" s="9"/>
    </row>
    <row r="9710" ht="33.75" customHeight="1">
      <c r="A9710" s="7">
        <v>385.0</v>
      </c>
      <c r="B9710" s="9" t="s">
        <v>15588</v>
      </c>
      <c r="C9710" s="9" t="s">
        <v>15589</v>
      </c>
      <c r="D9710" s="9" t="s">
        <v>89</v>
      </c>
      <c r="E9710" s="6" t="s">
        <v>15596</v>
      </c>
      <c r="F9710" s="9"/>
    </row>
    <row r="9711" ht="33.75" customHeight="1">
      <c r="A9711" s="7">
        <v>385.0</v>
      </c>
      <c r="B9711" s="9" t="s">
        <v>15588</v>
      </c>
      <c r="C9711" s="9" t="s">
        <v>15589</v>
      </c>
      <c r="D9711" s="9" t="s">
        <v>91</v>
      </c>
      <c r="E9711" s="6" t="s">
        <v>15596</v>
      </c>
      <c r="F9711" s="9"/>
    </row>
    <row r="9712" ht="33.75" customHeight="1">
      <c r="A9712" s="7">
        <v>385.0</v>
      </c>
      <c r="B9712" s="9" t="s">
        <v>15588</v>
      </c>
      <c r="C9712" s="9" t="s">
        <v>15589</v>
      </c>
      <c r="D9712" s="9" t="s">
        <v>93</v>
      </c>
      <c r="E9712" s="6" t="s">
        <v>15595</v>
      </c>
      <c r="F9712" s="9"/>
    </row>
    <row r="9713" ht="33.75" customHeight="1">
      <c r="A9713" s="7">
        <v>385.0</v>
      </c>
      <c r="B9713" s="9" t="s">
        <v>15588</v>
      </c>
      <c r="C9713" s="9" t="s">
        <v>15589</v>
      </c>
      <c r="D9713" s="9" t="s">
        <v>95</v>
      </c>
      <c r="E9713" s="6" t="s">
        <v>15595</v>
      </c>
      <c r="F9713" s="9"/>
    </row>
    <row r="9714" ht="33.75" customHeight="1">
      <c r="A9714" s="7">
        <v>385.0</v>
      </c>
      <c r="B9714" s="9" t="s">
        <v>15588</v>
      </c>
      <c r="C9714" s="9" t="s">
        <v>15589</v>
      </c>
      <c r="D9714" s="9" t="s">
        <v>98</v>
      </c>
      <c r="E9714" s="6" t="s">
        <v>15595</v>
      </c>
      <c r="F9714" s="9"/>
    </row>
    <row r="9715" ht="33.75" customHeight="1">
      <c r="A9715" s="7">
        <v>385.0</v>
      </c>
      <c r="B9715" s="9" t="s">
        <v>15588</v>
      </c>
      <c r="C9715" s="9" t="s">
        <v>15589</v>
      </c>
      <c r="D9715" s="9" t="s">
        <v>99</v>
      </c>
      <c r="E9715" s="6" t="s">
        <v>15595</v>
      </c>
      <c r="F9715" s="9"/>
    </row>
    <row r="9716" ht="33.75" customHeight="1">
      <c r="A9716" s="7">
        <v>385.0</v>
      </c>
      <c r="B9716" s="9" t="s">
        <v>15588</v>
      </c>
      <c r="C9716" s="9" t="s">
        <v>15589</v>
      </c>
      <c r="D9716" s="9" t="s">
        <v>101</v>
      </c>
      <c r="E9716" s="6" t="s">
        <v>15596</v>
      </c>
      <c r="F9716" s="9"/>
    </row>
    <row r="9717" ht="33.75" customHeight="1">
      <c r="A9717" s="7">
        <v>385.0</v>
      </c>
      <c r="B9717" s="9" t="s">
        <v>15588</v>
      </c>
      <c r="C9717" s="9" t="s">
        <v>15589</v>
      </c>
      <c r="D9717" s="9" t="s">
        <v>105</v>
      </c>
      <c r="E9717" s="6" t="s">
        <v>15595</v>
      </c>
      <c r="F9717" s="9"/>
    </row>
    <row r="9718" ht="33.75" customHeight="1">
      <c r="A9718" s="7">
        <v>385.0</v>
      </c>
      <c r="B9718" s="9" t="s">
        <v>15588</v>
      </c>
      <c r="C9718" s="9" t="s">
        <v>15589</v>
      </c>
      <c r="D9718" s="9" t="s">
        <v>107</v>
      </c>
      <c r="E9718" s="6" t="s">
        <v>15597</v>
      </c>
      <c r="F9718" s="9"/>
    </row>
    <row r="9719" ht="33.75" customHeight="1">
      <c r="A9719" s="7">
        <v>385.0</v>
      </c>
      <c r="B9719" s="9" t="s">
        <v>15588</v>
      </c>
      <c r="C9719" s="9" t="s">
        <v>15589</v>
      </c>
      <c r="D9719" s="9" t="s">
        <v>109</v>
      </c>
      <c r="E9719" s="6" t="s">
        <v>15598</v>
      </c>
      <c r="F9719" s="9"/>
    </row>
    <row r="9720" ht="33.75" customHeight="1">
      <c r="A9720" s="7">
        <v>385.0</v>
      </c>
      <c r="B9720" s="9" t="s">
        <v>15588</v>
      </c>
      <c r="C9720" s="9" t="s">
        <v>15589</v>
      </c>
      <c r="D9720" s="9" t="s">
        <v>114</v>
      </c>
      <c r="E9720" s="6" t="s">
        <v>15599</v>
      </c>
      <c r="F9720" s="9"/>
    </row>
    <row r="9721" ht="33.75" customHeight="1">
      <c r="A9721" s="7">
        <v>385.0</v>
      </c>
      <c r="B9721" s="9" t="s">
        <v>15588</v>
      </c>
      <c r="C9721" s="9" t="s">
        <v>15589</v>
      </c>
      <c r="D9721" s="9" t="s">
        <v>117</v>
      </c>
      <c r="E9721" s="6" t="s">
        <v>15600</v>
      </c>
      <c r="F9721" s="9"/>
    </row>
    <row r="9722" ht="33.75" customHeight="1">
      <c r="A9722" s="7">
        <v>386.0</v>
      </c>
      <c r="B9722" s="9" t="s">
        <v>15601</v>
      </c>
      <c r="C9722" s="9" t="s">
        <v>15602</v>
      </c>
      <c r="D9722" s="9" t="s">
        <v>67</v>
      </c>
      <c r="E9722" s="6" t="s">
        <v>15603</v>
      </c>
      <c r="F9722" t="inlineStr" s="10">
        <is>
          <t xml:space="preserve">Avaruusviruksen DNA:han tapahtui äkillinen mutaatio lasersäteelle altistumisen jälkeen, ja tuloksena syntyi DEOXYS. Tämän POKéMONin rinnassa oleva kiteinen elin näyttää olevan sen aivot. DEOXYS syntyi avaruudesta tulleesta viruksesta. Se on erittäin älykäs ja omaa psykokineettisiä voimia. Tämä POKéMON ampuu lasereita rinnassaan olevasta kristallielimestä. POKéMON, joka mutatoitui lasersäteelle altistetusta maan ulkopuolisesta viruksesta. Sen ruumis on suunniteltu ylivoimaista ketteryyttä ja nopeutta varten. Tämä DEOXYS on muuttunut aggressiiviseen olemukseensa. Se voi huijata vihollisia muuttamalla ulkonäköään. Kun se muuttaa muotoaan, ilmestyy revontulet. Se vaimentaa hyökkäyksiä muuttamalla solurakennettaan. Meteorin mukana maan päälle pudonnut avaruusolentovirus kävi läpi DNA-mutaation ja siitä tuli tämä Pokémon. Avaruusviruksen DNA mutatoitui ja siitä tuli Pokémon. Se ilmestyy sinne, missä revontulia näkyy. Avaruusviruksen DNA:han tapahtui äkillinen mutaatio lasersäteen vaikutuksesta, ja seurauksena syntyi Deoxys. Se on erittäin älykäs ja hänellä on psykokineettisiä voimia.</t>
        </is>
      </c>
    </row>
    <row r="9723" ht="33.75" customHeight="1">
      <c r="A9723" s="7">
        <v>386.0</v>
      </c>
      <c r="B9723" s="9" t="s">
        <v>15601</v>
      </c>
      <c r="C9723" s="9" t="s">
        <v>15602</v>
      </c>
      <c r="D9723" s="9" t="s">
        <v>71</v>
      </c>
      <c r="E9723" s="6" t="s">
        <v>15605</v>
      </c>
      <c r="F9723" s="9"/>
    </row>
    <row r="9724" ht="33.75" customHeight="1">
      <c r="A9724" s="7">
        <v>386.0</v>
      </c>
      <c r="B9724" s="9" t="s">
        <v>15601</v>
      </c>
      <c r="C9724" s="9" t="s">
        <v>15602</v>
      </c>
      <c r="D9724" s="9" t="s">
        <v>73</v>
      </c>
      <c r="E9724" s="6" t="s">
        <v>15606</v>
      </c>
      <c r="F9724" s="9"/>
    </row>
    <row r="9725" ht="33.75" customHeight="1">
      <c r="A9725" s="7">
        <v>386.0</v>
      </c>
      <c r="B9725" s="9" t="s">
        <v>15601</v>
      </c>
      <c r="C9725" s="9" t="s">
        <v>15602</v>
      </c>
      <c r="D9725" s="9" t="s">
        <v>75</v>
      </c>
      <c r="E9725" s="6" t="s">
        <v>15607</v>
      </c>
      <c r="F9725" s="9"/>
    </row>
    <row r="9726" ht="33.75" customHeight="1">
      <c r="A9726" s="7">
        <v>386.0</v>
      </c>
      <c r="B9726" s="9" t="s">
        <v>15601</v>
      </c>
      <c r="C9726" s="9" t="s">
        <v>15602</v>
      </c>
      <c r="D9726" s="9" t="s">
        <v>79</v>
      </c>
      <c r="E9726" s="6" t="s">
        <v>15608</v>
      </c>
      <c r="F9726" s="9"/>
    </row>
    <row r="9727" ht="33.75" customHeight="1">
      <c r="A9727" s="7">
        <v>386.0</v>
      </c>
      <c r="B9727" s="9" t="s">
        <v>15601</v>
      </c>
      <c r="C9727" s="9" t="s">
        <v>15602</v>
      </c>
      <c r="D9727" s="9" t="s">
        <v>81</v>
      </c>
      <c r="E9727" s="6" t="s">
        <v>15609</v>
      </c>
      <c r="F9727" s="9"/>
    </row>
    <row r="9728" ht="33.75" customHeight="1">
      <c r="A9728" s="7">
        <v>386.0</v>
      </c>
      <c r="B9728" s="9" t="s">
        <v>15601</v>
      </c>
      <c r="C9728" s="9" t="s">
        <v>15602</v>
      </c>
      <c r="D9728" s="9" t="s">
        <v>84</v>
      </c>
      <c r="E9728" s="6" t="s">
        <v>15609</v>
      </c>
      <c r="F9728" s="9"/>
    </row>
    <row r="9729" ht="33.75" customHeight="1">
      <c r="A9729" s="7">
        <v>386.0</v>
      </c>
      <c r="B9729" s="9" t="s">
        <v>15601</v>
      </c>
      <c r="C9729" s="9" t="s">
        <v>15602</v>
      </c>
      <c r="D9729" s="9" t="s">
        <v>87</v>
      </c>
      <c r="E9729" s="6" t="s">
        <v>15609</v>
      </c>
      <c r="F9729" s="9"/>
    </row>
    <row r="9730" ht="33.75" customHeight="1">
      <c r="A9730" s="7">
        <v>386.0</v>
      </c>
      <c r="B9730" s="9" t="s">
        <v>15601</v>
      </c>
      <c r="C9730" s="9" t="s">
        <v>15602</v>
      </c>
      <c r="D9730" s="9" t="s">
        <v>89</v>
      </c>
      <c r="E9730" s="6" t="s">
        <v>15610</v>
      </c>
      <c r="F9730" s="9"/>
    </row>
    <row r="9731" ht="33.75" customHeight="1">
      <c r="A9731" s="7">
        <v>386.0</v>
      </c>
      <c r="B9731" s="9" t="s">
        <v>15601</v>
      </c>
      <c r="C9731" s="9" t="s">
        <v>15602</v>
      </c>
      <c r="D9731" s="9" t="s">
        <v>91</v>
      </c>
      <c r="E9731" s="6" t="s">
        <v>15610</v>
      </c>
      <c r="F9731" s="9"/>
    </row>
    <row r="9732" ht="33.75" customHeight="1">
      <c r="A9732" s="7">
        <v>386.0</v>
      </c>
      <c r="B9732" s="9" t="s">
        <v>15601</v>
      </c>
      <c r="C9732" s="9" t="s">
        <v>15602</v>
      </c>
      <c r="D9732" s="9" t="s">
        <v>93</v>
      </c>
      <c r="E9732" s="6" t="s">
        <v>15609</v>
      </c>
      <c r="F9732" s="9"/>
    </row>
    <row r="9733" ht="33.75" customHeight="1">
      <c r="A9733" s="7">
        <v>386.0</v>
      </c>
      <c r="B9733" s="9" t="s">
        <v>15601</v>
      </c>
      <c r="C9733" s="9" t="s">
        <v>15602</v>
      </c>
      <c r="D9733" s="9" t="s">
        <v>95</v>
      </c>
      <c r="E9733" s="6" t="s">
        <v>15609</v>
      </c>
      <c r="F9733" s="9"/>
    </row>
    <row r="9734" ht="33.75" customHeight="1">
      <c r="A9734" s="7">
        <v>386.0</v>
      </c>
      <c r="B9734" s="9" t="s">
        <v>15601</v>
      </c>
      <c r="C9734" s="9" t="s">
        <v>15602</v>
      </c>
      <c r="D9734" s="9" t="s">
        <v>98</v>
      </c>
      <c r="E9734" s="6" t="s">
        <v>15609</v>
      </c>
      <c r="F9734" s="9"/>
    </row>
    <row r="9735" ht="33.75" customHeight="1">
      <c r="A9735" s="7">
        <v>386.0</v>
      </c>
      <c r="B9735" s="9" t="s">
        <v>15601</v>
      </c>
      <c r="C9735" s="9" t="s">
        <v>15602</v>
      </c>
      <c r="D9735" s="9" t="s">
        <v>99</v>
      </c>
      <c r="E9735" s="6" t="s">
        <v>15609</v>
      </c>
      <c r="F9735" s="9"/>
    </row>
    <row r="9736" ht="33.75" customHeight="1">
      <c r="A9736" s="7">
        <v>386.0</v>
      </c>
      <c r="B9736" s="9" t="s">
        <v>15601</v>
      </c>
      <c r="C9736" s="9" t="s">
        <v>15602</v>
      </c>
      <c r="D9736" s="9" t="s">
        <v>101</v>
      </c>
      <c r="E9736" s="6" t="s">
        <v>15609</v>
      </c>
      <c r="F9736" s="9"/>
    </row>
    <row r="9737" ht="33.75" customHeight="1">
      <c r="A9737" s="7">
        <v>386.0</v>
      </c>
      <c r="B9737" s="9" t="s">
        <v>15601</v>
      </c>
      <c r="C9737" s="9" t="s">
        <v>15602</v>
      </c>
      <c r="D9737" s="9" t="s">
        <v>105</v>
      </c>
      <c r="E9737" s="6" t="s">
        <v>15610</v>
      </c>
      <c r="F9737" s="9"/>
    </row>
    <row r="9738" ht="33.75" customHeight="1">
      <c r="A9738" s="7">
        <v>386.0</v>
      </c>
      <c r="B9738" s="9" t="s">
        <v>15601</v>
      </c>
      <c r="C9738" s="9" t="s">
        <v>15602</v>
      </c>
      <c r="D9738" s="9" t="s">
        <v>107</v>
      </c>
      <c r="E9738" s="6" t="s">
        <v>15611</v>
      </c>
      <c r="F9738" s="9"/>
    </row>
    <row r="9739" ht="33.75" customHeight="1">
      <c r="A9739" s="7">
        <v>386.0</v>
      </c>
      <c r="B9739" s="9" t="s">
        <v>15601</v>
      </c>
      <c r="C9739" s="9" t="s">
        <v>15602</v>
      </c>
      <c r="D9739" s="9" t="s">
        <v>109</v>
      </c>
      <c r="E9739" s="6" t="s">
        <v>15612</v>
      </c>
      <c r="F9739" s="9"/>
    </row>
    <row r="9740" ht="33.75" customHeight="1">
      <c r="A9740" s="7">
        <v>387.0</v>
      </c>
      <c r="B9740" s="9" t="s">
        <v>15613</v>
      </c>
      <c r="C9740" s="9" t="s">
        <v>15614</v>
      </c>
      <c r="D9740" s="9" t="s">
        <v>81</v>
      </c>
      <c r="E9740" s="6" t="s">
        <v>15615</v>
      </c>
      <c r="F9740" t="inlineStr" s="10">
        <is>
          <t xml:space="preserve">Turtwigin selässä oleva maasta tehty kuori kovettuu, kun se juo vettä. Se elää järvien varrella. Se suorittaa fotosynteesiä kehollaan ja tuottaa happea. Sen päässä oleva lehti nuutuu, jos se on janoinen. Sen selkäpuolella oleva kuori on tehty maasta. Hyvin terveellä TURTWIG-kärpäsellä kuoren pitäisi tuntua kostealta. Fotosynteesi tapahtuu sen kehossa auringon alla. Sen selässä oleva kuori on itse asiassa kovettunutta maata. Hyvin terveellä Turtwig-turtwigilla kuoren pitäisi tuntua kostealta. Tästä Pokémonista tulee energisempi mitä enemmän auringonvaloa on. Kuoren muotoinen osa on kuin lietettä ja hieman kostea ja lämmin koskettaa.</t>
        </is>
      </c>
    </row>
    <row r="9741" ht="33.75" customHeight="1">
      <c r="A9741" s="7">
        <v>387.0</v>
      </c>
      <c r="B9741" s="9" t="s">
        <v>15613</v>
      </c>
      <c r="C9741" s="9" t="s">
        <v>15614</v>
      </c>
      <c r="D9741" s="9" t="s">
        <v>84</v>
      </c>
      <c r="E9741" s="6" t="s">
        <v>15616</v>
      </c>
      <c r="F9741" s="9"/>
    </row>
    <row r="9742" ht="33.75" customHeight="1">
      <c r="A9742" s="7">
        <v>387.0</v>
      </c>
      <c r="B9742" s="9" t="s">
        <v>15613</v>
      </c>
      <c r="C9742" s="9" t="s">
        <v>15614</v>
      </c>
      <c r="D9742" s="9" t="s">
        <v>87</v>
      </c>
      <c r="E9742" s="6" t="s">
        <v>15617</v>
      </c>
      <c r="F9742" s="9"/>
    </row>
    <row r="9743" ht="33.75" customHeight="1">
      <c r="A9743" s="7">
        <v>387.0</v>
      </c>
      <c r="B9743" s="9" t="s">
        <v>15613</v>
      </c>
      <c r="C9743" s="9" t="s">
        <v>15614</v>
      </c>
      <c r="D9743" s="9" t="s">
        <v>89</v>
      </c>
      <c r="E9743" s="6" t="s">
        <v>15618</v>
      </c>
      <c r="F9743" s="9"/>
    </row>
    <row r="9744" ht="33.75" customHeight="1">
      <c r="A9744" s="7">
        <v>387.0</v>
      </c>
      <c r="B9744" s="9" t="s">
        <v>15613</v>
      </c>
      <c r="C9744" s="9" t="s">
        <v>15614</v>
      </c>
      <c r="D9744" s="9" t="s">
        <v>91</v>
      </c>
      <c r="E9744" s="6" t="s">
        <v>15618</v>
      </c>
      <c r="F9744" s="9"/>
    </row>
    <row r="9745" ht="33.75" customHeight="1">
      <c r="A9745" s="7">
        <v>387.0</v>
      </c>
      <c r="B9745" s="9" t="s">
        <v>15613</v>
      </c>
      <c r="C9745" s="9" t="s">
        <v>15614</v>
      </c>
      <c r="D9745" s="9" t="s">
        <v>93</v>
      </c>
      <c r="E9745" s="6" t="s">
        <v>15619</v>
      </c>
      <c r="F9745" s="9"/>
    </row>
    <row r="9746" ht="33.75" customHeight="1">
      <c r="A9746" s="7">
        <v>387.0</v>
      </c>
      <c r="B9746" s="9" t="s">
        <v>15613</v>
      </c>
      <c r="C9746" s="9" t="s">
        <v>15614</v>
      </c>
      <c r="D9746" s="9" t="s">
        <v>95</v>
      </c>
      <c r="E9746" s="6" t="s">
        <v>15619</v>
      </c>
      <c r="F9746" s="9"/>
    </row>
    <row r="9747" ht="33.75" customHeight="1">
      <c r="A9747" s="7">
        <v>387.0</v>
      </c>
      <c r="B9747" s="9" t="s">
        <v>15613</v>
      </c>
      <c r="C9747" s="9" t="s">
        <v>15614</v>
      </c>
      <c r="D9747" s="9" t="s">
        <v>98</v>
      </c>
      <c r="E9747" s="6" t="s">
        <v>15619</v>
      </c>
      <c r="F9747" s="9"/>
    </row>
    <row r="9748" ht="33.75" customHeight="1">
      <c r="A9748" s="7">
        <v>387.0</v>
      </c>
      <c r="B9748" s="9" t="s">
        <v>15613</v>
      </c>
      <c r="C9748" s="9" t="s">
        <v>15614</v>
      </c>
      <c r="D9748" s="9" t="s">
        <v>99</v>
      </c>
      <c r="E9748" s="6" t="s">
        <v>15619</v>
      </c>
      <c r="F9748" s="9"/>
    </row>
    <row r="9749" ht="33.75" customHeight="1">
      <c r="A9749" s="7">
        <v>387.0</v>
      </c>
      <c r="B9749" s="9" t="s">
        <v>15613</v>
      </c>
      <c r="C9749" s="9" t="s">
        <v>15614</v>
      </c>
      <c r="D9749" s="9" t="s">
        <v>101</v>
      </c>
      <c r="E9749" s="6" t="s">
        <v>15618</v>
      </c>
      <c r="F9749" s="9"/>
    </row>
    <row r="9750" ht="33.75" customHeight="1">
      <c r="A9750" s="7">
        <v>387.0</v>
      </c>
      <c r="B9750" s="9" t="s">
        <v>15613</v>
      </c>
      <c r="C9750" s="9" t="s">
        <v>15614</v>
      </c>
      <c r="D9750" s="9" t="s">
        <v>105</v>
      </c>
      <c r="E9750" s="6" t="s">
        <v>15616</v>
      </c>
      <c r="F9750" s="9"/>
    </row>
    <row r="9751" ht="33.75" customHeight="1">
      <c r="A9751" s="7">
        <v>387.0</v>
      </c>
      <c r="B9751" s="9" t="s">
        <v>15613</v>
      </c>
      <c r="C9751" s="9" t="s">
        <v>15614</v>
      </c>
      <c r="D9751" s="9" t="s">
        <v>107</v>
      </c>
      <c r="E9751" s="6" t="s">
        <v>15618</v>
      </c>
      <c r="F9751" s="9"/>
    </row>
    <row r="9752" ht="33.75" customHeight="1">
      <c r="A9752" s="7">
        <v>387.0</v>
      </c>
      <c r="B9752" s="9" t="s">
        <v>15613</v>
      </c>
      <c r="C9752" s="9" t="s">
        <v>15614</v>
      </c>
      <c r="D9752" s="9" t="s">
        <v>109</v>
      </c>
      <c r="E9752" s="6" t="s">
        <v>15616</v>
      </c>
      <c r="F9752" s="9"/>
    </row>
    <row r="9753" ht="33.75" customHeight="1">
      <c r="A9753" s="7">
        <v>387.0</v>
      </c>
      <c r="B9753" s="9" t="s">
        <v>15613</v>
      </c>
      <c r="C9753" s="9" t="s">
        <v>15614</v>
      </c>
      <c r="D9753" s="9" t="s">
        <v>1577</v>
      </c>
      <c r="E9753" s="6" t="s">
        <v>15621</v>
      </c>
      <c r="F9753" s="9"/>
    </row>
    <row r="9754" ht="33.75" customHeight="1">
      <c r="A9754" s="7">
        <v>388.0</v>
      </c>
      <c r="B9754" s="9" t="s">
        <v>15622</v>
      </c>
      <c r="C9754" s="9" t="s">
        <v>15623</v>
      </c>
      <c r="D9754" s="9" t="s">
        <v>81</v>
      </c>
      <c r="E9754" s="6" t="s">
        <v>15624</v>
      </c>
      <c r="F9754" t="inlineStr" s="10">
        <is>
          <t xml:space="preserve">Grotle elää metsien vesistöjen varrella. Päivällä se poistuu metsästä paistattelemaan puukuoressaan. Kuori on kovettunutta maata. Jotkut Pokémonit tulevat nokkimaan sen selässä olevissa puissa kasvavia marjoja. Se tietää, mistä puhdas vesi pulppuaa. Se kantaa muita Pokémoneja sinne selässään. Metsässä elävällä MÖRSÖLLÄ sanotaan olevan oma salainen lähdevetensä. Esiintyy siellä, missä on puhdasta lähdevettä. Kuorellaan pensaissa kasvavat hedelmät ovat makeita, ravitsevia ja todella herkullisia.</t>
        </is>
      </c>
    </row>
    <row r="9755" ht="33.75" customHeight="1">
      <c r="A9755" s="7">
        <v>388.0</v>
      </c>
      <c r="B9755" s="9" t="s">
        <v>15622</v>
      </c>
      <c r="C9755" s="9" t="s">
        <v>15623</v>
      </c>
      <c r="D9755" s="9" t="s">
        <v>84</v>
      </c>
      <c r="E9755" s="6" t="s">
        <v>15625</v>
      </c>
      <c r="F9755" s="9"/>
    </row>
    <row r="9756" ht="33.75" customHeight="1">
      <c r="A9756" s="7">
        <v>388.0</v>
      </c>
      <c r="B9756" s="9" t="s">
        <v>15622</v>
      </c>
      <c r="C9756" s="9" t="s">
        <v>15623</v>
      </c>
      <c r="D9756" s="9" t="s">
        <v>87</v>
      </c>
      <c r="E9756" s="6" t="s">
        <v>15626</v>
      </c>
      <c r="F9756" s="9"/>
    </row>
    <row r="9757" ht="33.75" customHeight="1">
      <c r="A9757" s="7">
        <v>388.0</v>
      </c>
      <c r="B9757" s="9" t="s">
        <v>15622</v>
      </c>
      <c r="C9757" s="9" t="s">
        <v>15623</v>
      </c>
      <c r="D9757" s="9" t="s">
        <v>89</v>
      </c>
      <c r="E9757" s="6" t="s">
        <v>15627</v>
      </c>
      <c r="F9757" s="9"/>
    </row>
    <row r="9758" ht="33.75" customHeight="1">
      <c r="A9758" s="7">
        <v>388.0</v>
      </c>
      <c r="B9758" s="9" t="s">
        <v>15622</v>
      </c>
      <c r="C9758" s="9" t="s">
        <v>15623</v>
      </c>
      <c r="D9758" s="9" t="s">
        <v>91</v>
      </c>
      <c r="E9758" s="6" t="s">
        <v>15627</v>
      </c>
      <c r="F9758" s="9"/>
    </row>
    <row r="9759" ht="33.75" customHeight="1">
      <c r="A9759" s="7">
        <v>388.0</v>
      </c>
      <c r="B9759" s="9" t="s">
        <v>15622</v>
      </c>
      <c r="C9759" s="9" t="s">
        <v>15623</v>
      </c>
      <c r="D9759" s="9" t="s">
        <v>93</v>
      </c>
      <c r="E9759" s="6" t="s">
        <v>15626</v>
      </c>
      <c r="F9759" s="9"/>
    </row>
    <row r="9760" ht="33.75" customHeight="1">
      <c r="A9760" s="7">
        <v>388.0</v>
      </c>
      <c r="B9760" s="9" t="s">
        <v>15622</v>
      </c>
      <c r="C9760" s="9" t="s">
        <v>15623</v>
      </c>
      <c r="D9760" s="9" t="s">
        <v>95</v>
      </c>
      <c r="E9760" s="6" t="s">
        <v>15626</v>
      </c>
      <c r="F9760" s="9"/>
    </row>
    <row r="9761" ht="33.75" customHeight="1">
      <c r="A9761" s="7">
        <v>388.0</v>
      </c>
      <c r="B9761" s="9" t="s">
        <v>15622</v>
      </c>
      <c r="C9761" s="9" t="s">
        <v>15623</v>
      </c>
      <c r="D9761" s="9" t="s">
        <v>98</v>
      </c>
      <c r="E9761" s="6" t="s">
        <v>15626</v>
      </c>
      <c r="F9761" s="9"/>
    </row>
    <row r="9762" ht="33.75" customHeight="1">
      <c r="A9762" s="7">
        <v>388.0</v>
      </c>
      <c r="B9762" s="9" t="s">
        <v>15622</v>
      </c>
      <c r="C9762" s="9" t="s">
        <v>15623</v>
      </c>
      <c r="D9762" s="9" t="s">
        <v>99</v>
      </c>
      <c r="E9762" s="6" t="s">
        <v>15626</v>
      </c>
      <c r="F9762" s="9"/>
    </row>
    <row r="9763" ht="33.75" customHeight="1">
      <c r="A9763" s="7">
        <v>388.0</v>
      </c>
      <c r="B9763" s="9" t="s">
        <v>15622</v>
      </c>
      <c r="C9763" s="9" t="s">
        <v>15623</v>
      </c>
      <c r="D9763" s="9" t="s">
        <v>101</v>
      </c>
      <c r="E9763" s="6" t="s">
        <v>15624</v>
      </c>
      <c r="F9763" s="9"/>
    </row>
    <row r="9764" ht="33.75" customHeight="1">
      <c r="A9764" s="7">
        <v>388.0</v>
      </c>
      <c r="B9764" s="9" t="s">
        <v>15622</v>
      </c>
      <c r="C9764" s="9" t="s">
        <v>15623</v>
      </c>
      <c r="D9764" s="9" t="s">
        <v>105</v>
      </c>
      <c r="E9764" s="6" t="s">
        <v>15626</v>
      </c>
      <c r="F9764" s="9"/>
    </row>
    <row r="9765" ht="33.75" customHeight="1">
      <c r="A9765" s="7">
        <v>388.0</v>
      </c>
      <c r="B9765" s="9" t="s">
        <v>15622</v>
      </c>
      <c r="C9765" s="9" t="s">
        <v>15623</v>
      </c>
      <c r="D9765" s="9" t="s">
        <v>107</v>
      </c>
      <c r="E9765" s="6" t="s">
        <v>15624</v>
      </c>
      <c r="F9765" s="9"/>
    </row>
    <row r="9766" ht="33.75" customHeight="1">
      <c r="A9766" s="7">
        <v>388.0</v>
      </c>
      <c r="B9766" s="9" t="s">
        <v>15622</v>
      </c>
      <c r="C9766" s="9" t="s">
        <v>15623</v>
      </c>
      <c r="D9766" s="9" t="s">
        <v>109</v>
      </c>
      <c r="E9766" s="6" t="s">
        <v>15626</v>
      </c>
      <c r="F9766" s="9"/>
    </row>
    <row r="9767" ht="33.75" customHeight="1">
      <c r="A9767" s="7">
        <v>388.0</v>
      </c>
      <c r="B9767" s="9" t="s">
        <v>15622</v>
      </c>
      <c r="C9767" s="9" t="s">
        <v>15623</v>
      </c>
      <c r="D9767" s="9" t="s">
        <v>1577</v>
      </c>
      <c r="E9767" s="6" t="s">
        <v>15628</v>
      </c>
      <c r="F9767" s="9"/>
    </row>
    <row r="9768" ht="33.75" customHeight="1">
      <c r="A9768" s="7">
        <v>389.0</v>
      </c>
      <c r="B9768" s="9" t="s">
        <v>15629</v>
      </c>
      <c r="C9768" s="9" t="s">
        <v>15565</v>
      </c>
      <c r="D9768" s="9" t="s">
        <v>81</v>
      </c>
      <c r="E9768" s="6" t="s">
        <v>15630</v>
      </c>
      <c r="F9768" t="inlineStr" s="10">
        <is>
          <t xml:space="preserve">Pienet Pokémonit kerääntyvät toisinaan Torterran liikkumattomalle selälle aloittaakseen pesänsä rakentamisen. Tämän veden etsimiseen vaeltavan Pokémonin ryhmiä on erehdyksessä luultu "liikkuviksi metsiksi". Jotkut Pokémonit syntyvät TORTERRAN selässä ja viettävät siellä koko elämänsä. Muinaiset ihmiset kuvittelivat, että maan alla asui jättimäinen TORTERRA. Tämä merkittävä, suurirunkoinen Pokémon toimisi kauniisti lainamaisemana puutarhaan, ja sen voima on vertaansa vailla. Torterra vaeltaa erämaassa etsien puhdasta vettä.</t>
        </is>
      </c>
    </row>
    <row r="9769" ht="33.75" customHeight="1">
      <c r="A9769" s="7">
        <v>389.0</v>
      </c>
      <c r="B9769" s="9" t="s">
        <v>15629</v>
      </c>
      <c r="C9769" s="9" t="s">
        <v>15565</v>
      </c>
      <c r="D9769" s="9" t="s">
        <v>84</v>
      </c>
      <c r="E9769" s="6" t="s">
        <v>15632</v>
      </c>
      <c r="F9769" s="9"/>
    </row>
    <row r="9770" ht="33.75" customHeight="1">
      <c r="A9770" s="7">
        <v>389.0</v>
      </c>
      <c r="B9770" s="9" t="s">
        <v>15629</v>
      </c>
      <c r="C9770" s="9" t="s">
        <v>15565</v>
      </c>
      <c r="D9770" s="9" t="s">
        <v>87</v>
      </c>
      <c r="E9770" s="6" t="s">
        <v>15633</v>
      </c>
      <c r="F9770" s="9"/>
    </row>
    <row r="9771" ht="33.75" customHeight="1">
      <c r="A9771" s="7">
        <v>389.0</v>
      </c>
      <c r="B9771" s="9" t="s">
        <v>15629</v>
      </c>
      <c r="C9771" s="9" t="s">
        <v>15565</v>
      </c>
      <c r="D9771" s="9" t="s">
        <v>89</v>
      </c>
      <c r="E9771" s="6" t="s">
        <v>15634</v>
      </c>
      <c r="F9771" s="9"/>
    </row>
    <row r="9772" ht="33.75" customHeight="1">
      <c r="A9772" s="7">
        <v>389.0</v>
      </c>
      <c r="B9772" s="9" t="s">
        <v>15629</v>
      </c>
      <c r="C9772" s="9" t="s">
        <v>15565</v>
      </c>
      <c r="D9772" s="9" t="s">
        <v>91</v>
      </c>
      <c r="E9772" s="6" t="s">
        <v>15634</v>
      </c>
      <c r="F9772" s="9"/>
    </row>
    <row r="9773" ht="33.75" customHeight="1">
      <c r="A9773" s="7">
        <v>389.0</v>
      </c>
      <c r="B9773" s="9" t="s">
        <v>15629</v>
      </c>
      <c r="C9773" s="9" t="s">
        <v>15565</v>
      </c>
      <c r="D9773" s="9" t="s">
        <v>93</v>
      </c>
      <c r="E9773" s="6" t="s">
        <v>15635</v>
      </c>
      <c r="F9773" s="9"/>
    </row>
    <row r="9774" ht="33.75" customHeight="1">
      <c r="A9774" s="7">
        <v>389.0</v>
      </c>
      <c r="B9774" s="9" t="s">
        <v>15629</v>
      </c>
      <c r="C9774" s="9" t="s">
        <v>15565</v>
      </c>
      <c r="D9774" s="9" t="s">
        <v>95</v>
      </c>
      <c r="E9774" s="6" t="s">
        <v>15635</v>
      </c>
      <c r="F9774" s="9"/>
    </row>
    <row r="9775" ht="33.75" customHeight="1">
      <c r="A9775" s="7">
        <v>389.0</v>
      </c>
      <c r="B9775" s="9" t="s">
        <v>15629</v>
      </c>
      <c r="C9775" s="9" t="s">
        <v>15565</v>
      </c>
      <c r="D9775" s="9" t="s">
        <v>98</v>
      </c>
      <c r="E9775" s="6" t="s">
        <v>15635</v>
      </c>
      <c r="F9775" s="9"/>
    </row>
    <row r="9776" ht="33.75" customHeight="1">
      <c r="A9776" s="7">
        <v>389.0</v>
      </c>
      <c r="B9776" s="9" t="s">
        <v>15629</v>
      </c>
      <c r="C9776" s="9" t="s">
        <v>15565</v>
      </c>
      <c r="D9776" s="9" t="s">
        <v>99</v>
      </c>
      <c r="E9776" s="6" t="s">
        <v>15635</v>
      </c>
      <c r="F9776" s="9"/>
    </row>
    <row r="9777" ht="33.75" customHeight="1">
      <c r="A9777" s="7">
        <v>389.0</v>
      </c>
      <c r="B9777" s="9" t="s">
        <v>15629</v>
      </c>
      <c r="C9777" s="9" t="s">
        <v>15565</v>
      </c>
      <c r="D9777" s="9" t="s">
        <v>101</v>
      </c>
      <c r="E9777" s="6" t="s">
        <v>15636</v>
      </c>
      <c r="F9777" s="9"/>
    </row>
    <row r="9778" ht="33.75" customHeight="1">
      <c r="A9778" s="7">
        <v>389.0</v>
      </c>
      <c r="B9778" s="9" t="s">
        <v>15629</v>
      </c>
      <c r="C9778" s="9" t="s">
        <v>15565</v>
      </c>
      <c r="D9778" s="9" t="s">
        <v>105</v>
      </c>
      <c r="E9778" s="6" t="s">
        <v>15630</v>
      </c>
      <c r="F9778" s="9"/>
    </row>
    <row r="9779" ht="33.75" customHeight="1">
      <c r="A9779" s="7">
        <v>389.0</v>
      </c>
      <c r="B9779" s="9" t="s">
        <v>15629</v>
      </c>
      <c r="C9779" s="9" t="s">
        <v>15565</v>
      </c>
      <c r="D9779" s="9" t="s">
        <v>107</v>
      </c>
      <c r="E9779" s="6" t="s">
        <v>15636</v>
      </c>
      <c r="F9779" s="9"/>
    </row>
    <row r="9780" ht="33.75" customHeight="1">
      <c r="A9780" s="7">
        <v>389.0</v>
      </c>
      <c r="B9780" s="9" t="s">
        <v>15629</v>
      </c>
      <c r="C9780" s="9" t="s">
        <v>15565</v>
      </c>
      <c r="D9780" s="9" t="s">
        <v>109</v>
      </c>
      <c r="E9780" s="6" t="s">
        <v>15630</v>
      </c>
      <c r="F9780" s="9"/>
    </row>
    <row r="9781" ht="33.75" customHeight="1">
      <c r="A9781" s="7">
        <v>389.0</v>
      </c>
      <c r="B9781" s="9" t="s">
        <v>15629</v>
      </c>
      <c r="C9781" s="9" t="s">
        <v>15565</v>
      </c>
      <c r="D9781" s="9" t="s">
        <v>1577</v>
      </c>
      <c r="E9781" s="6" t="s">
        <v>15637</v>
      </c>
      <c r="F9781" s="9"/>
    </row>
    <row r="9782" ht="33.75" customHeight="1">
      <c r="A9782" s="7">
        <v>390.0</v>
      </c>
      <c r="B9782" s="9" t="s">
        <v>15638</v>
      </c>
      <c r="C9782" s="9" t="s">
        <v>15639</v>
      </c>
      <c r="D9782" s="9" t="s">
        <v>81</v>
      </c>
      <c r="E9782" s="6" t="s">
        <v>15640</v>
      </c>
      <c r="F9782" t="inlineStr" s="10">
        <is>
          <t xml:space="preserve">Chimchar kiipeää ketterästi jyrkkiä kallioita pitkin asuakseen jyrkillä vuorilla. Sen tuli sammuu, kun se nukkuu. Sen tulinen perä saa polttoaineensa sen vatsassa tuotetusta kaasusta. Edes sade ei voi sammuttaa tulta. Se on erittäin ketterä. Ennen nukkumaanmenoa se sammuttaa pyrstönsä liekin estääkseen tulipaloja. Sen vatsassa syntyvä kaasu palaa sen takaosasta. Tuli palaa heikosti, kun se on kipeä. Täynnä tarmoa ja aina hyvällä tuulella. Se tunnettiin aikoinaan nimellä ”Lyhtyhäntä” ja sitä pelättiin jonkinlaisena aaveena.</t>
        </is>
      </c>
    </row>
    <row r="9783" ht="33.75" customHeight="1">
      <c r="A9783" s="7">
        <v>390.0</v>
      </c>
      <c r="B9783" s="9" t="s">
        <v>15638</v>
      </c>
      <c r="C9783" s="9" t="s">
        <v>15639</v>
      </c>
      <c r="D9783" s="9" t="s">
        <v>84</v>
      </c>
      <c r="E9783" s="6" t="s">
        <v>15641</v>
      </c>
      <c r="F9783" s="9"/>
    </row>
    <row r="9784" ht="33.75" customHeight="1">
      <c r="A9784" s="7">
        <v>390.0</v>
      </c>
      <c r="B9784" s="9" t="s">
        <v>15638</v>
      </c>
      <c r="C9784" s="9" t="s">
        <v>15639</v>
      </c>
      <c r="D9784" s="9" t="s">
        <v>87</v>
      </c>
      <c r="E9784" s="6" t="s">
        <v>15642</v>
      </c>
      <c r="F9784" s="9"/>
    </row>
    <row r="9785" ht="33.75" customHeight="1">
      <c r="A9785" s="7">
        <v>390.0</v>
      </c>
      <c r="B9785" s="9" t="s">
        <v>15638</v>
      </c>
      <c r="C9785" s="9" t="s">
        <v>15639</v>
      </c>
      <c r="D9785" s="9" t="s">
        <v>89</v>
      </c>
      <c r="E9785" s="6" t="s">
        <v>15643</v>
      </c>
      <c r="F9785" s="9"/>
    </row>
    <row r="9786" ht="33.75" customHeight="1">
      <c r="A9786" s="7">
        <v>390.0</v>
      </c>
      <c r="B9786" s="9" t="s">
        <v>15638</v>
      </c>
      <c r="C9786" s="9" t="s">
        <v>15639</v>
      </c>
      <c r="D9786" s="9" t="s">
        <v>91</v>
      </c>
      <c r="E9786" s="6" t="s">
        <v>15643</v>
      </c>
      <c r="F9786" s="9"/>
    </row>
    <row r="9787" ht="33.75" customHeight="1">
      <c r="A9787" s="7">
        <v>390.0</v>
      </c>
      <c r="B9787" s="9" t="s">
        <v>15638</v>
      </c>
      <c r="C9787" s="9" t="s">
        <v>15639</v>
      </c>
      <c r="D9787" s="9" t="s">
        <v>93</v>
      </c>
      <c r="E9787" s="6" t="s">
        <v>15642</v>
      </c>
      <c r="F9787" s="9"/>
    </row>
    <row r="9788" ht="33.75" customHeight="1">
      <c r="A9788" s="7">
        <v>390.0</v>
      </c>
      <c r="B9788" s="9" t="s">
        <v>15638</v>
      </c>
      <c r="C9788" s="9" t="s">
        <v>15639</v>
      </c>
      <c r="D9788" s="9" t="s">
        <v>95</v>
      </c>
      <c r="E9788" s="6" t="s">
        <v>15642</v>
      </c>
      <c r="F9788" s="9"/>
    </row>
    <row r="9789" ht="33.75" customHeight="1">
      <c r="A9789" s="7">
        <v>390.0</v>
      </c>
      <c r="B9789" s="9" t="s">
        <v>15638</v>
      </c>
      <c r="C9789" s="9" t="s">
        <v>15639</v>
      </c>
      <c r="D9789" s="9" t="s">
        <v>98</v>
      </c>
      <c r="E9789" s="6" t="s">
        <v>15642</v>
      </c>
      <c r="F9789" s="9"/>
    </row>
    <row r="9790" ht="33.75" customHeight="1">
      <c r="A9790" s="7">
        <v>390.0</v>
      </c>
      <c r="B9790" s="9" t="s">
        <v>15638</v>
      </c>
      <c r="C9790" s="9" t="s">
        <v>15639</v>
      </c>
      <c r="D9790" s="9" t="s">
        <v>99</v>
      </c>
      <c r="E9790" s="6" t="s">
        <v>15642</v>
      </c>
      <c r="F9790" s="9"/>
    </row>
    <row r="9791" ht="33.75" customHeight="1">
      <c r="A9791" s="7">
        <v>390.0</v>
      </c>
      <c r="B9791" s="9" t="s">
        <v>15638</v>
      </c>
      <c r="C9791" s="9" t="s">
        <v>15639</v>
      </c>
      <c r="D9791" s="9" t="s">
        <v>101</v>
      </c>
      <c r="E9791" s="6" t="s">
        <v>15641</v>
      </c>
      <c r="F9791" s="9"/>
    </row>
    <row r="9792" ht="33.75" customHeight="1">
      <c r="A9792" s="7">
        <v>390.0</v>
      </c>
      <c r="B9792" s="9" t="s">
        <v>15638</v>
      </c>
      <c r="C9792" s="9" t="s">
        <v>15639</v>
      </c>
      <c r="D9792" s="9" t="s">
        <v>105</v>
      </c>
      <c r="E9792" s="6" t="s">
        <v>15643</v>
      </c>
      <c r="F9792" s="9"/>
    </row>
    <row r="9793" ht="33.75" customHeight="1">
      <c r="A9793" s="7">
        <v>390.0</v>
      </c>
      <c r="B9793" s="9" t="s">
        <v>15638</v>
      </c>
      <c r="C9793" s="9" t="s">
        <v>15639</v>
      </c>
      <c r="D9793" s="9" t="s">
        <v>107</v>
      </c>
      <c r="E9793" s="6" t="s">
        <v>15641</v>
      </c>
      <c r="F9793" s="9"/>
    </row>
    <row r="9794" ht="33.75" customHeight="1">
      <c r="A9794" s="7">
        <v>390.0</v>
      </c>
      <c r="B9794" s="9" t="s">
        <v>15638</v>
      </c>
      <c r="C9794" s="9" t="s">
        <v>15639</v>
      </c>
      <c r="D9794" s="9" t="s">
        <v>109</v>
      </c>
      <c r="E9794" s="6" t="s">
        <v>15643</v>
      </c>
      <c r="F9794" s="9"/>
    </row>
    <row r="9795" ht="33.75" customHeight="1">
      <c r="A9795" s="7">
        <v>390.0</v>
      </c>
      <c r="B9795" s="9" t="s">
        <v>15638</v>
      </c>
      <c r="C9795" s="9" t="s">
        <v>15639</v>
      </c>
      <c r="D9795" s="9" t="s">
        <v>1577</v>
      </c>
      <c r="E9795" s="6" t="s">
        <v>15645</v>
      </c>
      <c r="F9795" s="9"/>
    </row>
    <row r="9796" ht="33.75" customHeight="1">
      <c r="A9796" s="7">
        <v>391.0</v>
      </c>
      <c r="B9796" s="9" t="s">
        <v>15646</v>
      </c>
      <c r="C9796" s="9" t="s">
        <v>15647</v>
      </c>
      <c r="D9796" s="9" t="s">
        <v>81</v>
      </c>
      <c r="E9796" s="6" t="s">
        <v>15648</v>
      </c>
      <c r="F9796" t="inlineStr" s="10">
        <is>
          <t xml:space="preserve">Hyökkääjien pelottelemiseksi se venyttää tulta pyrstössään näyttääkseen suuremmalta. Se käyttää kattoja ja seiniä ilmahyökkäysten tekemiseen. Sen tulinen pyrstö on vain yksi ase. Se hallitsee taitavasti pyrstönsä tulen voimakkuutta pitääkseen vihollisensa ihanteellisella etäisyydellä. Suurempi tuli sen pyrstössä ja kirkkaampi sininen kuvio sen kasvoissa tarkoittavat korkeampaa sijoitusta laumassa. Mitä tummempi sininen sen kasvoissa on, sitä voimakkaammaksi se kasvaa. Se hyppii joka suuntaan ja iskee voimakkaita iskuja vastustajiinsa liekillä pyrstössään.</t>
        </is>
      </c>
    </row>
    <row r="9797" ht="33.75" customHeight="1">
      <c r="A9797" s="7">
        <v>391.0</v>
      </c>
      <c r="B9797" s="9" t="s">
        <v>15646</v>
      </c>
      <c r="C9797" s="9" t="s">
        <v>15647</v>
      </c>
      <c r="D9797" s="9" t="s">
        <v>84</v>
      </c>
      <c r="E9797" s="6" t="s">
        <v>15649</v>
      </c>
      <c r="F9797" s="9"/>
    </row>
    <row r="9798" ht="33.75" customHeight="1">
      <c r="A9798" s="7">
        <v>391.0</v>
      </c>
      <c r="B9798" s="9" t="s">
        <v>15646</v>
      </c>
      <c r="C9798" s="9" t="s">
        <v>15647</v>
      </c>
      <c r="D9798" s="9" t="s">
        <v>87</v>
      </c>
      <c r="E9798" s="6" t="s">
        <v>15650</v>
      </c>
      <c r="F9798" s="9"/>
    </row>
    <row r="9799" ht="33.75" customHeight="1">
      <c r="A9799" s="7">
        <v>391.0</v>
      </c>
      <c r="B9799" s="9" t="s">
        <v>15646</v>
      </c>
      <c r="C9799" s="9" t="s">
        <v>15647</v>
      </c>
      <c r="D9799" s="9" t="s">
        <v>89</v>
      </c>
      <c r="E9799" s="6" t="s">
        <v>15651</v>
      </c>
      <c r="F9799" s="9"/>
    </row>
    <row r="9800" ht="33.75" customHeight="1">
      <c r="A9800" s="7">
        <v>391.0</v>
      </c>
      <c r="B9800" s="9" t="s">
        <v>15646</v>
      </c>
      <c r="C9800" s="9" t="s">
        <v>15647</v>
      </c>
      <c r="D9800" s="9" t="s">
        <v>91</v>
      </c>
      <c r="E9800" s="6" t="s">
        <v>15651</v>
      </c>
      <c r="F9800" s="9"/>
    </row>
    <row r="9801" ht="33.75" customHeight="1">
      <c r="A9801" s="7">
        <v>391.0</v>
      </c>
      <c r="B9801" s="9" t="s">
        <v>15646</v>
      </c>
      <c r="C9801" s="9" t="s">
        <v>15647</v>
      </c>
      <c r="D9801" s="9" t="s">
        <v>93</v>
      </c>
      <c r="E9801" s="6" t="s">
        <v>15650</v>
      </c>
      <c r="F9801" s="9"/>
    </row>
    <row r="9802" ht="33.75" customHeight="1">
      <c r="A9802" s="7">
        <v>391.0</v>
      </c>
      <c r="B9802" s="9" t="s">
        <v>15646</v>
      </c>
      <c r="C9802" s="9" t="s">
        <v>15647</v>
      </c>
      <c r="D9802" s="9" t="s">
        <v>95</v>
      </c>
      <c r="E9802" s="6" t="s">
        <v>15650</v>
      </c>
      <c r="F9802" s="9"/>
    </row>
    <row r="9803" ht="33.75" customHeight="1">
      <c r="A9803" s="7">
        <v>391.0</v>
      </c>
      <c r="B9803" s="9" t="s">
        <v>15646</v>
      </c>
      <c r="C9803" s="9" t="s">
        <v>15647</v>
      </c>
      <c r="D9803" s="9" t="s">
        <v>98</v>
      </c>
      <c r="E9803" s="6" t="s">
        <v>15650</v>
      </c>
      <c r="F9803" s="9"/>
    </row>
    <row r="9804" ht="33.75" customHeight="1">
      <c r="A9804" s="7">
        <v>391.0</v>
      </c>
      <c r="B9804" s="9" t="s">
        <v>15646</v>
      </c>
      <c r="C9804" s="9" t="s">
        <v>15647</v>
      </c>
      <c r="D9804" s="9" t="s">
        <v>99</v>
      </c>
      <c r="E9804" s="6" t="s">
        <v>15650</v>
      </c>
      <c r="F9804" s="9"/>
    </row>
    <row r="9805" ht="33.75" customHeight="1">
      <c r="A9805" s="7">
        <v>391.0</v>
      </c>
      <c r="B9805" s="9" t="s">
        <v>15646</v>
      </c>
      <c r="C9805" s="9" t="s">
        <v>15647</v>
      </c>
      <c r="D9805" s="9" t="s">
        <v>101</v>
      </c>
      <c r="E9805" s="6" t="s">
        <v>15650</v>
      </c>
      <c r="F9805" s="9"/>
    </row>
    <row r="9806" ht="33.75" customHeight="1">
      <c r="A9806" s="7">
        <v>391.0</v>
      </c>
      <c r="B9806" s="9" t="s">
        <v>15646</v>
      </c>
      <c r="C9806" s="9" t="s">
        <v>15647</v>
      </c>
      <c r="D9806" s="9" t="s">
        <v>105</v>
      </c>
      <c r="E9806" s="6" t="s">
        <v>15649</v>
      </c>
      <c r="F9806" s="9"/>
    </row>
    <row r="9807" ht="33.75" customHeight="1">
      <c r="A9807" s="7">
        <v>391.0</v>
      </c>
      <c r="B9807" s="9" t="s">
        <v>15646</v>
      </c>
      <c r="C9807" s="9" t="s">
        <v>15647</v>
      </c>
      <c r="D9807" s="9" t="s">
        <v>107</v>
      </c>
      <c r="E9807" s="6" t="s">
        <v>15650</v>
      </c>
      <c r="F9807" s="9"/>
    </row>
    <row r="9808" ht="33.75" customHeight="1">
      <c r="A9808" s="7">
        <v>391.0</v>
      </c>
      <c r="B9808" s="9" t="s">
        <v>15646</v>
      </c>
      <c r="C9808" s="9" t="s">
        <v>15647</v>
      </c>
      <c r="D9808" s="9" t="s">
        <v>109</v>
      </c>
      <c r="E9808" s="6" t="s">
        <v>15649</v>
      </c>
      <c r="F9808" s="9"/>
    </row>
    <row r="9809" ht="33.75" customHeight="1">
      <c r="A9809" s="7">
        <v>391.0</v>
      </c>
      <c r="B9809" s="9" t="s">
        <v>15646</v>
      </c>
      <c r="C9809" s="9" t="s">
        <v>15647</v>
      </c>
      <c r="D9809" s="9" t="s">
        <v>1577</v>
      </c>
      <c r="E9809" s="6" t="s">
        <v>15652</v>
      </c>
      <c r="F9809" s="9"/>
    </row>
    <row r="9810" ht="33.75" customHeight="1">
      <c r="A9810" s="7">
        <v>392.0</v>
      </c>
      <c r="B9810" s="9" t="s">
        <v>15653</v>
      </c>
      <c r="C9810" s="9" t="s">
        <v>294</v>
      </c>
      <c r="D9810" s="9" t="s">
        <v>81</v>
      </c>
      <c r="E9810" s="6" t="s">
        <v>15654</v>
      </c>
      <c r="F9810" t="inlineStr" s="10">
        <is>
          <t xml:space="preserve">Infernape käyttää erityistä kamppailulajia, johon osallistuvat kaikki sen raajat. Sen tuli ei koskaan sammu. Sen tulikruunu kertoo sen tulisuudesta. Kukaan ei voita sitä nopeudessa. Se käyttää ainutlaatuisia taisteluliikkeitä, joissa sen kädet ja jalat ovat tulessa. Se kohtaa minkä tahansa vastustajan. Se heittelee vihollisiaan ketterästi. Se käyttää kaikkia raajojaan taistellakseen omalla ainutlaatuisella tyylillään. Pitkä ja sitkeä Pokémon, jolla on häikäisevä ulkonäkö. Se kietoutuu liekkeihin ja taistelee kuin tanssisi – todellakin näkemisen arvoinen.</t>
        </is>
      </c>
    </row>
    <row r="9811" ht="33.75" customHeight="1">
      <c r="A9811" s="7">
        <v>392.0</v>
      </c>
      <c r="B9811" s="9" t="s">
        <v>15653</v>
      </c>
      <c r="C9811" s="9" t="s">
        <v>294</v>
      </c>
      <c r="D9811" s="9" t="s">
        <v>84</v>
      </c>
      <c r="E9811" s="6" t="s">
        <v>15655</v>
      </c>
      <c r="F9811" s="9"/>
    </row>
    <row r="9812" ht="33.75" customHeight="1">
      <c r="A9812" s="7">
        <v>392.0</v>
      </c>
      <c r="B9812" s="9" t="s">
        <v>15653</v>
      </c>
      <c r="C9812" s="9" t="s">
        <v>294</v>
      </c>
      <c r="D9812" s="9" t="s">
        <v>87</v>
      </c>
      <c r="E9812" s="6" t="s">
        <v>15656</v>
      </c>
      <c r="F9812" s="9"/>
    </row>
    <row r="9813" ht="33.75" customHeight="1">
      <c r="A9813" s="7">
        <v>392.0</v>
      </c>
      <c r="B9813" s="9" t="s">
        <v>15653</v>
      </c>
      <c r="C9813" s="9" t="s">
        <v>294</v>
      </c>
      <c r="D9813" s="9" t="s">
        <v>89</v>
      </c>
      <c r="E9813" s="6" t="s">
        <v>15658</v>
      </c>
      <c r="F9813" s="9"/>
    </row>
    <row r="9814" ht="33.75" customHeight="1">
      <c r="A9814" s="7">
        <v>392.0</v>
      </c>
      <c r="B9814" s="9" t="s">
        <v>15653</v>
      </c>
      <c r="C9814" s="9" t="s">
        <v>294</v>
      </c>
      <c r="D9814" s="9" t="s">
        <v>91</v>
      </c>
      <c r="E9814" s="6" t="s">
        <v>15658</v>
      </c>
      <c r="F9814" s="9"/>
    </row>
    <row r="9815" ht="33.75" customHeight="1">
      <c r="A9815" s="7">
        <v>392.0</v>
      </c>
      <c r="B9815" s="9" t="s">
        <v>15653</v>
      </c>
      <c r="C9815" s="9" t="s">
        <v>294</v>
      </c>
      <c r="D9815" s="9" t="s">
        <v>93</v>
      </c>
      <c r="E9815" s="6" t="s">
        <v>15656</v>
      </c>
      <c r="F9815" s="9"/>
    </row>
    <row r="9816" ht="33.75" customHeight="1">
      <c r="A9816" s="7">
        <v>392.0</v>
      </c>
      <c r="B9816" s="9" t="s">
        <v>15653</v>
      </c>
      <c r="C9816" s="9" t="s">
        <v>294</v>
      </c>
      <c r="D9816" s="9" t="s">
        <v>95</v>
      </c>
      <c r="E9816" s="6" t="s">
        <v>15656</v>
      </c>
      <c r="F9816" s="9"/>
    </row>
    <row r="9817" ht="33.75" customHeight="1">
      <c r="A9817" s="7">
        <v>392.0</v>
      </c>
      <c r="B9817" s="9" t="s">
        <v>15653</v>
      </c>
      <c r="C9817" s="9" t="s">
        <v>294</v>
      </c>
      <c r="D9817" s="9" t="s">
        <v>98</v>
      </c>
      <c r="E9817" s="6" t="s">
        <v>15656</v>
      </c>
      <c r="F9817" s="9"/>
    </row>
    <row r="9818" ht="33.75" customHeight="1">
      <c r="A9818" s="7">
        <v>392.0</v>
      </c>
      <c r="B9818" s="9" t="s">
        <v>15653</v>
      </c>
      <c r="C9818" s="9" t="s">
        <v>294</v>
      </c>
      <c r="D9818" s="9" t="s">
        <v>99</v>
      </c>
      <c r="E9818" s="6" t="s">
        <v>15656</v>
      </c>
      <c r="F9818" s="9"/>
    </row>
    <row r="9819" ht="33.75" customHeight="1">
      <c r="A9819" s="7">
        <v>392.0</v>
      </c>
      <c r="B9819" s="9" t="s">
        <v>15653</v>
      </c>
      <c r="C9819" s="9" t="s">
        <v>294</v>
      </c>
      <c r="D9819" s="9" t="s">
        <v>101</v>
      </c>
      <c r="E9819" s="6" t="s">
        <v>15655</v>
      </c>
      <c r="F9819" s="9"/>
    </row>
    <row r="9820" ht="33.75" customHeight="1">
      <c r="A9820" s="7">
        <v>392.0</v>
      </c>
      <c r="B9820" s="9" t="s">
        <v>15653</v>
      </c>
      <c r="C9820" s="9" t="s">
        <v>294</v>
      </c>
      <c r="D9820" s="9" t="s">
        <v>105</v>
      </c>
      <c r="E9820" s="6" t="s">
        <v>15658</v>
      </c>
      <c r="F9820" s="9"/>
    </row>
    <row r="9821" ht="33.75" customHeight="1">
      <c r="A9821" s="7">
        <v>392.0</v>
      </c>
      <c r="B9821" s="9" t="s">
        <v>15653</v>
      </c>
      <c r="C9821" s="9" t="s">
        <v>294</v>
      </c>
      <c r="D9821" s="9" t="s">
        <v>107</v>
      </c>
      <c r="E9821" s="6" t="s">
        <v>15655</v>
      </c>
      <c r="F9821" s="9"/>
    </row>
    <row r="9822" ht="33.75" customHeight="1">
      <c r="A9822" s="7">
        <v>392.0</v>
      </c>
      <c r="B9822" s="9" t="s">
        <v>15653</v>
      </c>
      <c r="C9822" s="9" t="s">
        <v>294</v>
      </c>
      <c r="D9822" s="9" t="s">
        <v>109</v>
      </c>
      <c r="E9822" s="6" t="s">
        <v>15658</v>
      </c>
      <c r="F9822" s="9"/>
    </row>
    <row r="9823" ht="33.75" customHeight="1">
      <c r="A9823" s="7">
        <v>392.0</v>
      </c>
      <c r="B9823" s="9" t="s">
        <v>15653</v>
      </c>
      <c r="C9823" s="9" t="s">
        <v>294</v>
      </c>
      <c r="D9823" s="9" t="s">
        <v>1577</v>
      </c>
      <c r="E9823" s="6" t="s">
        <v>15659</v>
      </c>
      <c r="F9823" s="9"/>
    </row>
    <row r="9824" ht="33.75" customHeight="1">
      <c r="A9824" s="7">
        <v>393.0</v>
      </c>
      <c r="B9824" s="9" t="s">
        <v>15660</v>
      </c>
      <c r="C9824" s="9" t="s">
        <v>15661</v>
      </c>
      <c r="D9824" s="9" t="s">
        <v>81</v>
      </c>
      <c r="E9824" s="6" t="s">
        <v>15662</v>
      </c>
      <c r="F9824" t="inlineStr" s="10">
        <is>
          <t xml:space="preserve">Koska se on hyvin ylpeä, se vihaa ottaa vastaan ​​ruokaa ihmisiltä. Sen paksu untuva suojaa sitä kylmältä. Se elää pohjoisten maiden rannoilla. Taitavana uimarina se sukeltaa yli 10 minuutiksi metsästämään. Huono kävelijä, se kaatuu usein. Sen vahva ylpeys saa sen kuitenkin pyörittämään rintaansa huoletta. Se ei pidä siitä, että siitä pidetään huolta. Sen kanssa on vaikea luoda sidettä, koska se ei kuuntele kouluttajaansa. Se viihtyy kylmässä ilmastossa ja esiintyy rannikoilla. Se on suloinen pikkujuttu – yhtä söpö kuin mikä tahansa lapsi – mutta se on myös ylpeä, eikä halua ottaa vastaan ​​lahjoja ihmisiltä.</t>
        </is>
      </c>
    </row>
    <row r="9825" ht="33.75" customHeight="1">
      <c r="A9825" s="7">
        <v>393.0</v>
      </c>
      <c r="B9825" s="9" t="s">
        <v>15660</v>
      </c>
      <c r="C9825" s="9" t="s">
        <v>15661</v>
      </c>
      <c r="D9825" s="9" t="s">
        <v>84</v>
      </c>
      <c r="E9825" s="6" t="s">
        <v>15663</v>
      </c>
      <c r="F9825" s="9"/>
    </row>
    <row r="9826" ht="33.75" customHeight="1">
      <c r="A9826" s="7">
        <v>393.0</v>
      </c>
      <c r="B9826" s="9" t="s">
        <v>15660</v>
      </c>
      <c r="C9826" s="9" t="s">
        <v>15661</v>
      </c>
      <c r="D9826" s="9" t="s">
        <v>87</v>
      </c>
      <c r="E9826" s="6" t="s">
        <v>15664</v>
      </c>
      <c r="F9826" s="9"/>
    </row>
    <row r="9827" ht="33.75" customHeight="1">
      <c r="A9827" s="7">
        <v>393.0</v>
      </c>
      <c r="B9827" s="9" t="s">
        <v>15660</v>
      </c>
      <c r="C9827" s="9" t="s">
        <v>15661</v>
      </c>
      <c r="D9827" s="9" t="s">
        <v>89</v>
      </c>
      <c r="E9827" s="6" t="s">
        <v>15665</v>
      </c>
      <c r="F9827" s="9"/>
    </row>
    <row r="9828" ht="33.75" customHeight="1">
      <c r="A9828" s="7">
        <v>393.0</v>
      </c>
      <c r="B9828" s="9" t="s">
        <v>15660</v>
      </c>
      <c r="C9828" s="9" t="s">
        <v>15661</v>
      </c>
      <c r="D9828" s="9" t="s">
        <v>91</v>
      </c>
      <c r="E9828" s="6" t="s">
        <v>15665</v>
      </c>
      <c r="F9828" s="9"/>
    </row>
    <row r="9829" ht="33.75" customHeight="1">
      <c r="A9829" s="7">
        <v>393.0</v>
      </c>
      <c r="B9829" s="9" t="s">
        <v>15660</v>
      </c>
      <c r="C9829" s="9" t="s">
        <v>15661</v>
      </c>
      <c r="D9829" s="9" t="s">
        <v>93</v>
      </c>
      <c r="E9829" s="6" t="s">
        <v>15664</v>
      </c>
      <c r="F9829" s="9"/>
    </row>
    <row r="9830" ht="33.75" customHeight="1">
      <c r="A9830" s="7">
        <v>393.0</v>
      </c>
      <c r="B9830" s="9" t="s">
        <v>15660</v>
      </c>
      <c r="C9830" s="9" t="s">
        <v>15661</v>
      </c>
      <c r="D9830" s="9" t="s">
        <v>95</v>
      </c>
      <c r="E9830" s="6" t="s">
        <v>15664</v>
      </c>
      <c r="F9830" s="9"/>
    </row>
    <row r="9831" ht="33.75" customHeight="1">
      <c r="A9831" s="7">
        <v>393.0</v>
      </c>
      <c r="B9831" s="9" t="s">
        <v>15660</v>
      </c>
      <c r="C9831" s="9" t="s">
        <v>15661</v>
      </c>
      <c r="D9831" s="9" t="s">
        <v>98</v>
      </c>
      <c r="E9831" s="6" t="s">
        <v>15664</v>
      </c>
      <c r="F9831" s="9"/>
    </row>
    <row r="9832" ht="33.75" customHeight="1">
      <c r="A9832" s="7">
        <v>393.0</v>
      </c>
      <c r="B9832" s="9" t="s">
        <v>15660</v>
      </c>
      <c r="C9832" s="9" t="s">
        <v>15661</v>
      </c>
      <c r="D9832" s="9" t="s">
        <v>99</v>
      </c>
      <c r="E9832" s="6" t="s">
        <v>15664</v>
      </c>
      <c r="F9832" s="9"/>
    </row>
    <row r="9833" ht="33.75" customHeight="1">
      <c r="A9833" s="7">
        <v>393.0</v>
      </c>
      <c r="B9833" s="9" t="s">
        <v>15660</v>
      </c>
      <c r="C9833" s="9" t="s">
        <v>15661</v>
      </c>
      <c r="D9833" s="9" t="s">
        <v>101</v>
      </c>
      <c r="E9833" s="6" t="s">
        <v>15665</v>
      </c>
      <c r="F9833" s="9"/>
    </row>
    <row r="9834" ht="33.75" customHeight="1">
      <c r="A9834" s="7">
        <v>393.0</v>
      </c>
      <c r="B9834" s="9" t="s">
        <v>15660</v>
      </c>
      <c r="C9834" s="9" t="s">
        <v>15661</v>
      </c>
      <c r="D9834" s="9" t="s">
        <v>105</v>
      </c>
      <c r="E9834" s="6" t="s">
        <v>15662</v>
      </c>
      <c r="F9834" s="9"/>
    </row>
    <row r="9835" ht="33.75" customHeight="1">
      <c r="A9835" s="7">
        <v>393.0</v>
      </c>
      <c r="B9835" s="9" t="s">
        <v>15660</v>
      </c>
      <c r="C9835" s="9" t="s">
        <v>15661</v>
      </c>
      <c r="D9835" s="9" t="s">
        <v>107</v>
      </c>
      <c r="E9835" s="6" t="s">
        <v>15665</v>
      </c>
      <c r="F9835" s="9"/>
    </row>
    <row r="9836" ht="33.75" customHeight="1">
      <c r="A9836" s="7">
        <v>393.0</v>
      </c>
      <c r="B9836" s="9" t="s">
        <v>15660</v>
      </c>
      <c r="C9836" s="9" t="s">
        <v>15661</v>
      </c>
      <c r="D9836" s="9" t="s">
        <v>109</v>
      </c>
      <c r="E9836" s="6" t="s">
        <v>15662</v>
      </c>
      <c r="F9836" s="9"/>
    </row>
    <row r="9837" ht="33.75" customHeight="1">
      <c r="A9837" s="7">
        <v>393.0</v>
      </c>
      <c r="B9837" s="9" t="s">
        <v>15660</v>
      </c>
      <c r="C9837" s="9" t="s">
        <v>15661</v>
      </c>
      <c r="D9837" s="9" t="s">
        <v>1577</v>
      </c>
      <c r="E9837" s="6" t="s">
        <v>15667</v>
      </c>
      <c r="F9837" s="9"/>
    </row>
    <row r="9838" ht="33.75" customHeight="1">
      <c r="A9838" s="7">
        <v>394.0</v>
      </c>
      <c r="B9838" s="9" t="s">
        <v>15668</v>
      </c>
      <c r="C9838" s="9" t="s">
        <v>15661</v>
      </c>
      <c r="D9838" s="9" t="s">
        <v>81</v>
      </c>
      <c r="E9838" s="6" t="s">
        <v>15669</v>
      </c>
      <c r="F9838" t="inlineStr" s="10">
        <is>
          <t xml:space="preserve">Prinplup asuu yksin, erillään muista. Ilmeisesti jokainen heistä uskoo olevansa tärkein. Sen siivet iskevät rajuja iskuja, jotka katkaisevat paksuimmatkin puut. Se etsii saalista jäisestä merestä. Koska jokainen PRINPLUP pitää itseään tärkeimpänä, he eivät voi koskaan muodostaa ryhmää. Se elää yksinäistä elämää. Sen siivet antavat rajuja iskuja, jotka voivat katkaista jopa paksuimmat puut. Se ui sulavasti hyisen meren läpi ja laulaa äänellä, joka on kuin pauhaava vuorovesi. Sillä on voimakkaat, tukevat siivet ja arvokkuus, jotka vastaavat sitä.</t>
        </is>
      </c>
    </row>
    <row r="9839" ht="33.75" customHeight="1">
      <c r="A9839" s="7">
        <v>394.0</v>
      </c>
      <c r="B9839" s="9" t="s">
        <v>15668</v>
      </c>
      <c r="C9839" s="9" t="s">
        <v>15661</v>
      </c>
      <c r="D9839" s="9" t="s">
        <v>84</v>
      </c>
      <c r="E9839" s="6" t="s">
        <v>15670</v>
      </c>
      <c r="F9839" s="9"/>
    </row>
    <row r="9840" ht="33.75" customHeight="1">
      <c r="A9840" s="7">
        <v>394.0</v>
      </c>
      <c r="B9840" s="9" t="s">
        <v>15668</v>
      </c>
      <c r="C9840" s="9" t="s">
        <v>15661</v>
      </c>
      <c r="D9840" s="9" t="s">
        <v>87</v>
      </c>
      <c r="E9840" s="6" t="s">
        <v>15671</v>
      </c>
      <c r="F9840" s="9"/>
    </row>
    <row r="9841" ht="33.75" customHeight="1">
      <c r="A9841" s="7">
        <v>394.0</v>
      </c>
      <c r="B9841" s="9" t="s">
        <v>15668</v>
      </c>
      <c r="C9841" s="9" t="s">
        <v>15661</v>
      </c>
      <c r="D9841" s="9" t="s">
        <v>89</v>
      </c>
      <c r="E9841" s="6" t="s">
        <v>15672</v>
      </c>
      <c r="F9841" s="9"/>
    </row>
    <row r="9842" ht="33.75" customHeight="1">
      <c r="A9842" s="7">
        <v>394.0</v>
      </c>
      <c r="B9842" s="9" t="s">
        <v>15668</v>
      </c>
      <c r="C9842" s="9" t="s">
        <v>15661</v>
      </c>
      <c r="D9842" s="9" t="s">
        <v>91</v>
      </c>
      <c r="E9842" s="6" t="s">
        <v>15672</v>
      </c>
      <c r="F9842" s="9"/>
    </row>
    <row r="9843" ht="33.75" customHeight="1">
      <c r="A9843" s="7">
        <v>394.0</v>
      </c>
      <c r="B9843" s="9" t="s">
        <v>15668</v>
      </c>
      <c r="C9843" s="9" t="s">
        <v>15661</v>
      </c>
      <c r="D9843" s="9" t="s">
        <v>93</v>
      </c>
      <c r="E9843" s="6" t="s">
        <v>15673</v>
      </c>
      <c r="F9843" s="9"/>
    </row>
    <row r="9844" ht="33.75" customHeight="1">
      <c r="A9844" s="7">
        <v>394.0</v>
      </c>
      <c r="B9844" s="9" t="s">
        <v>15668</v>
      </c>
      <c r="C9844" s="9" t="s">
        <v>15661</v>
      </c>
      <c r="D9844" s="9" t="s">
        <v>95</v>
      </c>
      <c r="E9844" s="6" t="s">
        <v>15673</v>
      </c>
      <c r="F9844" s="9"/>
    </row>
    <row r="9845" ht="33.75" customHeight="1">
      <c r="A9845" s="7">
        <v>394.0</v>
      </c>
      <c r="B9845" s="9" t="s">
        <v>15668</v>
      </c>
      <c r="C9845" s="9" t="s">
        <v>15661</v>
      </c>
      <c r="D9845" s="9" t="s">
        <v>98</v>
      </c>
      <c r="E9845" s="6" t="s">
        <v>15673</v>
      </c>
      <c r="F9845" s="9"/>
    </row>
    <row r="9846" ht="33.75" customHeight="1">
      <c r="A9846" s="7">
        <v>394.0</v>
      </c>
      <c r="B9846" s="9" t="s">
        <v>15668</v>
      </c>
      <c r="C9846" s="9" t="s">
        <v>15661</v>
      </c>
      <c r="D9846" s="9" t="s">
        <v>99</v>
      </c>
      <c r="E9846" s="6" t="s">
        <v>15673</v>
      </c>
      <c r="F9846" s="9"/>
    </row>
    <row r="9847" ht="33.75" customHeight="1">
      <c r="A9847" s="7">
        <v>394.0</v>
      </c>
      <c r="B9847" s="9" t="s">
        <v>15668</v>
      </c>
      <c r="C9847" s="9" t="s">
        <v>15661</v>
      </c>
      <c r="D9847" s="9" t="s">
        <v>101</v>
      </c>
      <c r="E9847" s="6" t="s">
        <v>15669</v>
      </c>
      <c r="F9847" s="9"/>
    </row>
    <row r="9848" ht="33.75" customHeight="1">
      <c r="A9848" s="7">
        <v>394.0</v>
      </c>
      <c r="B9848" s="9" t="s">
        <v>15668</v>
      </c>
      <c r="C9848" s="9" t="s">
        <v>15661</v>
      </c>
      <c r="D9848" s="9" t="s">
        <v>105</v>
      </c>
      <c r="E9848" s="6" t="s">
        <v>15672</v>
      </c>
      <c r="F9848" s="9"/>
    </row>
    <row r="9849" ht="33.75" customHeight="1">
      <c r="A9849" s="7">
        <v>394.0</v>
      </c>
      <c r="B9849" s="9" t="s">
        <v>15668</v>
      </c>
      <c r="C9849" s="9" t="s">
        <v>15661</v>
      </c>
      <c r="D9849" s="9" t="s">
        <v>107</v>
      </c>
      <c r="E9849" s="6" t="s">
        <v>15669</v>
      </c>
      <c r="F9849" s="9"/>
    </row>
    <row r="9850" ht="33.75" customHeight="1">
      <c r="A9850" s="7">
        <v>394.0</v>
      </c>
      <c r="B9850" s="9" t="s">
        <v>15668</v>
      </c>
      <c r="C9850" s="9" t="s">
        <v>15661</v>
      </c>
      <c r="D9850" s="9" t="s">
        <v>109</v>
      </c>
      <c r="E9850" s="6" t="s">
        <v>15672</v>
      </c>
      <c r="F9850" s="9"/>
    </row>
    <row r="9851" ht="33.75" customHeight="1">
      <c r="A9851" s="7">
        <v>394.0</v>
      </c>
      <c r="B9851" s="9" t="s">
        <v>15668</v>
      </c>
      <c r="C9851" s="9" t="s">
        <v>15661</v>
      </c>
      <c r="D9851" s="9" t="s">
        <v>1577</v>
      </c>
      <c r="E9851" s="6" t="s">
        <v>15674</v>
      </c>
      <c r="F9851" s="9"/>
    </row>
    <row r="9852" ht="33.75" customHeight="1">
      <c r="A9852" s="7">
        <v>395.0</v>
      </c>
      <c r="B9852" s="9" t="s">
        <v>15675</v>
      </c>
      <c r="C9852" s="9" t="s">
        <v>15676</v>
      </c>
      <c r="D9852" s="9" t="s">
        <v>81</v>
      </c>
      <c r="E9852" s="6" t="s">
        <v>15677</v>
      </c>
      <c r="F9852" t="inlineStr" s="10">
        <is>
          <t xml:space="preserve">Empoleonin nokasta lähtevät kolme sarvea todistavat sen voimasta. Johtajalla on suurimmat sarvet. Se ui yhtä nopeasti kuin suihkuvene. Sen siipien reunat ovat terävät ja voivat viiltää ajelehtivaa jäätä. Jos joku loukkaisi sen ylpeyttä, se viiltäisi sitä siivillä, jotka voivat halkaista jäälautan läpi. Se välttää tarpeettomia kiistoja, mutta se tuhoaa kaiken, mikä uhkaa sen ylpeyttä. Hisui on kunnioittanut sitä muinaisista ajoista lähtien ja kutsunut sitä Aaltojen Mestariksi. Sen siivet vetävät vertoja jopa mestarillisesti valmistettuihin teriin.</t>
        </is>
      </c>
    </row>
    <row r="9853" ht="33.75" customHeight="1">
      <c r="A9853" s="7">
        <v>395.0</v>
      </c>
      <c r="B9853" s="9" t="s">
        <v>15675</v>
      </c>
      <c r="C9853" s="9" t="s">
        <v>15676</v>
      </c>
      <c r="D9853" s="9" t="s">
        <v>84</v>
      </c>
      <c r="E9853" s="6" t="s">
        <v>15678</v>
      </c>
      <c r="F9853" s="9"/>
    </row>
    <row r="9854" ht="33.75" customHeight="1">
      <c r="A9854" s="7">
        <v>395.0</v>
      </c>
      <c r="B9854" s="9" t="s">
        <v>15675</v>
      </c>
      <c r="C9854" s="9" t="s">
        <v>15676</v>
      </c>
      <c r="D9854" s="9" t="s">
        <v>87</v>
      </c>
      <c r="E9854" s="6" t="s">
        <v>15679</v>
      </c>
      <c r="F9854" s="9"/>
    </row>
    <row r="9855" ht="33.75" customHeight="1">
      <c r="A9855" s="7">
        <v>395.0</v>
      </c>
      <c r="B9855" s="9" t="s">
        <v>15675</v>
      </c>
      <c r="C9855" s="9" t="s">
        <v>15676</v>
      </c>
      <c r="D9855" s="9" t="s">
        <v>89</v>
      </c>
      <c r="E9855" s="6" t="s">
        <v>15680</v>
      </c>
      <c r="F9855" s="9"/>
    </row>
    <row r="9856" ht="33.75" customHeight="1">
      <c r="A9856" s="7">
        <v>395.0</v>
      </c>
      <c r="B9856" s="9" t="s">
        <v>15675</v>
      </c>
      <c r="C9856" s="9" t="s">
        <v>15676</v>
      </c>
      <c r="D9856" s="9" t="s">
        <v>91</v>
      </c>
      <c r="E9856" s="6" t="s">
        <v>15680</v>
      </c>
      <c r="F9856" s="9"/>
    </row>
    <row r="9857" ht="33.75" customHeight="1">
      <c r="A9857" s="7">
        <v>395.0</v>
      </c>
      <c r="B9857" s="9" t="s">
        <v>15675</v>
      </c>
      <c r="C9857" s="9" t="s">
        <v>15676</v>
      </c>
      <c r="D9857" s="9" t="s">
        <v>93</v>
      </c>
      <c r="E9857" s="6" t="s">
        <v>15679</v>
      </c>
      <c r="F9857" s="9"/>
    </row>
    <row r="9858" ht="33.75" customHeight="1">
      <c r="A9858" s="7">
        <v>395.0</v>
      </c>
      <c r="B9858" s="9" t="s">
        <v>15675</v>
      </c>
      <c r="C9858" s="9" t="s">
        <v>15676</v>
      </c>
      <c r="D9858" s="9" t="s">
        <v>95</v>
      </c>
      <c r="E9858" s="6" t="s">
        <v>15679</v>
      </c>
      <c r="F9858" s="9"/>
    </row>
    <row r="9859" ht="33.75" customHeight="1">
      <c r="A9859" s="7">
        <v>395.0</v>
      </c>
      <c r="B9859" s="9" t="s">
        <v>15675</v>
      </c>
      <c r="C9859" s="9" t="s">
        <v>15676</v>
      </c>
      <c r="D9859" s="9" t="s">
        <v>98</v>
      </c>
      <c r="E9859" s="6" t="s">
        <v>15679</v>
      </c>
      <c r="F9859" s="9"/>
    </row>
    <row r="9860" ht="33.75" customHeight="1">
      <c r="A9860" s="7">
        <v>395.0</v>
      </c>
      <c r="B9860" s="9" t="s">
        <v>15675</v>
      </c>
      <c r="C9860" s="9" t="s">
        <v>15676</v>
      </c>
      <c r="D9860" s="9" t="s">
        <v>99</v>
      </c>
      <c r="E9860" s="6" t="s">
        <v>15679</v>
      </c>
      <c r="F9860" s="9"/>
    </row>
    <row r="9861" ht="33.75" customHeight="1">
      <c r="A9861" s="7">
        <v>395.0</v>
      </c>
      <c r="B9861" s="9" t="s">
        <v>15675</v>
      </c>
      <c r="C9861" s="9" t="s">
        <v>15676</v>
      </c>
      <c r="D9861" s="9" t="s">
        <v>101</v>
      </c>
      <c r="E9861" s="6" t="s">
        <v>15678</v>
      </c>
      <c r="F9861" s="9"/>
    </row>
    <row r="9862" ht="33.75" customHeight="1">
      <c r="A9862" s="7">
        <v>395.0</v>
      </c>
      <c r="B9862" s="9" t="s">
        <v>15675</v>
      </c>
      <c r="C9862" s="9" t="s">
        <v>15676</v>
      </c>
      <c r="D9862" s="9" t="s">
        <v>105</v>
      </c>
      <c r="E9862" s="6" t="s">
        <v>15677</v>
      </c>
      <c r="F9862" s="9"/>
    </row>
    <row r="9863" ht="33.75" customHeight="1">
      <c r="A9863" s="7">
        <v>395.0</v>
      </c>
      <c r="B9863" s="9" t="s">
        <v>15675</v>
      </c>
      <c r="C9863" s="9" t="s">
        <v>15676</v>
      </c>
      <c r="D9863" s="9" t="s">
        <v>107</v>
      </c>
      <c r="E9863" s="6" t="s">
        <v>15678</v>
      </c>
      <c r="F9863" s="9"/>
    </row>
    <row r="9864" ht="33.75" customHeight="1">
      <c r="A9864" s="7">
        <v>395.0</v>
      </c>
      <c r="B9864" s="9" t="s">
        <v>15675</v>
      </c>
      <c r="C9864" s="9" t="s">
        <v>15676</v>
      </c>
      <c r="D9864" s="9" t="s">
        <v>109</v>
      </c>
      <c r="E9864" s="6" t="s">
        <v>15677</v>
      </c>
      <c r="F9864" s="9"/>
    </row>
    <row r="9865" ht="33.75" customHeight="1">
      <c r="A9865" s="7">
        <v>395.0</v>
      </c>
      <c r="B9865" s="9" t="s">
        <v>15675</v>
      </c>
      <c r="C9865" s="9" t="s">
        <v>15676</v>
      </c>
      <c r="D9865" s="9" t="s">
        <v>1577</v>
      </c>
      <c r="E9865" s="6" t="s">
        <v>15682</v>
      </c>
      <c r="F9865" s="9"/>
    </row>
    <row r="9866" ht="33.75" customHeight="1">
      <c r="A9866" s="7">
        <v>396.0</v>
      </c>
      <c r="B9866" s="9" t="s">
        <v>15683</v>
      </c>
      <c r="C9866" s="9" t="s">
        <v>15684</v>
      </c>
      <c r="D9866" s="9" t="s">
        <v>81</v>
      </c>
      <c r="E9866" s="6" t="s">
        <v>15685</v>
      </c>
      <c r="F9866" t="inlineStr" s="10">
        <is>
          <t xml:space="preserve">Ne kerääntyvät parveksiin. Vaikka ne ovat pieniä, ne räpyttelevät siipiään voimakkaasti. Yleensä suuressa parvessa se on yksin ollessaan tuskin havaittavissa. Sen huuto on hyvin kovaäänistä. Koska ne ovat yksilöinä heikkoja, ne muodostavat ryhmiä. Ne kuitenkin riitelevät, jos ryhmä kasvaa liian suureksi. Ne parveilevat vuorilla ja pelloilla jahdaten ötökkä-Pokémoneja. Niiden laulu on äänekästä ja ärsyttävää. Ne elävät pelloilla ja vuorilla kokoontuen suuriksi parviksi. Niiden huuto on melko vastenmielistä. Vaikka ne ovat pieniä, niiden siivet ovat vahvat – niiden isku aiheuttaa kipua, joka kestää viikon.</t>
        </is>
      </c>
    </row>
    <row r="9867" ht="33.75" customHeight="1">
      <c r="A9867" s="7">
        <v>396.0</v>
      </c>
      <c r="B9867" s="9" t="s">
        <v>15683</v>
      </c>
      <c r="C9867" s="9" t="s">
        <v>15684</v>
      </c>
      <c r="D9867" s="9" t="s">
        <v>84</v>
      </c>
      <c r="E9867" s="6" t="s">
        <v>15686</v>
      </c>
      <c r="F9867" s="9"/>
    </row>
    <row r="9868" ht="33.75" customHeight="1">
      <c r="A9868" s="7">
        <v>396.0</v>
      </c>
      <c r="B9868" s="9" t="s">
        <v>15683</v>
      </c>
      <c r="C9868" s="9" t="s">
        <v>15684</v>
      </c>
      <c r="D9868" s="9" t="s">
        <v>87</v>
      </c>
      <c r="E9868" s="6" t="s">
        <v>15687</v>
      </c>
      <c r="F9868" s="9"/>
    </row>
    <row r="9869" ht="33.75" customHeight="1">
      <c r="A9869" s="7">
        <v>396.0</v>
      </c>
      <c r="B9869" s="9" t="s">
        <v>15683</v>
      </c>
      <c r="C9869" s="9" t="s">
        <v>15684</v>
      </c>
      <c r="D9869" s="9" t="s">
        <v>89</v>
      </c>
      <c r="E9869" s="6" t="s">
        <v>15688</v>
      </c>
      <c r="F9869" s="9"/>
    </row>
    <row r="9870" ht="33.75" customHeight="1">
      <c r="A9870" s="7">
        <v>396.0</v>
      </c>
      <c r="B9870" s="9" t="s">
        <v>15683</v>
      </c>
      <c r="C9870" s="9" t="s">
        <v>15684</v>
      </c>
      <c r="D9870" s="9" t="s">
        <v>91</v>
      </c>
      <c r="E9870" s="6" t="s">
        <v>15688</v>
      </c>
      <c r="F9870" s="9"/>
    </row>
    <row r="9871" ht="33.75" customHeight="1">
      <c r="A9871" s="7">
        <v>396.0</v>
      </c>
      <c r="B9871" s="9" t="s">
        <v>15683</v>
      </c>
      <c r="C9871" s="9" t="s">
        <v>15684</v>
      </c>
      <c r="D9871" s="9" t="s">
        <v>93</v>
      </c>
      <c r="E9871" s="6" t="s">
        <v>15687</v>
      </c>
      <c r="F9871" s="9"/>
    </row>
    <row r="9872" ht="33.75" customHeight="1">
      <c r="A9872" s="7">
        <v>396.0</v>
      </c>
      <c r="B9872" s="9" t="s">
        <v>15683</v>
      </c>
      <c r="C9872" s="9" t="s">
        <v>15684</v>
      </c>
      <c r="D9872" s="9" t="s">
        <v>95</v>
      </c>
      <c r="E9872" s="6" t="s">
        <v>15687</v>
      </c>
      <c r="F9872" s="9"/>
    </row>
    <row r="9873" ht="33.75" customHeight="1">
      <c r="A9873" s="7">
        <v>396.0</v>
      </c>
      <c r="B9873" s="9" t="s">
        <v>15683</v>
      </c>
      <c r="C9873" s="9" t="s">
        <v>15684</v>
      </c>
      <c r="D9873" s="9" t="s">
        <v>98</v>
      </c>
      <c r="E9873" s="6" t="s">
        <v>15687</v>
      </c>
      <c r="F9873" s="9"/>
    </row>
    <row r="9874" ht="33.75" customHeight="1">
      <c r="A9874" s="7">
        <v>396.0</v>
      </c>
      <c r="B9874" s="9" t="s">
        <v>15683</v>
      </c>
      <c r="C9874" s="9" t="s">
        <v>15684</v>
      </c>
      <c r="D9874" s="9" t="s">
        <v>99</v>
      </c>
      <c r="E9874" s="6" t="s">
        <v>15687</v>
      </c>
      <c r="F9874" s="9"/>
    </row>
    <row r="9875" ht="33.75" customHeight="1">
      <c r="A9875" s="7">
        <v>396.0</v>
      </c>
      <c r="B9875" s="9" t="s">
        <v>15683</v>
      </c>
      <c r="C9875" s="9" t="s">
        <v>15684</v>
      </c>
      <c r="D9875" s="9" t="s">
        <v>101</v>
      </c>
      <c r="E9875" s="6" t="s">
        <v>15685</v>
      </c>
      <c r="F9875" s="9"/>
    </row>
    <row r="9876" ht="33.75" customHeight="1">
      <c r="A9876" s="7">
        <v>396.0</v>
      </c>
      <c r="B9876" s="9" t="s">
        <v>15683</v>
      </c>
      <c r="C9876" s="9" t="s">
        <v>15684</v>
      </c>
      <c r="D9876" s="9" t="s">
        <v>105</v>
      </c>
      <c r="E9876" s="6" t="s">
        <v>15688</v>
      </c>
      <c r="F9876" s="9"/>
    </row>
    <row r="9877" ht="33.75" customHeight="1">
      <c r="A9877" s="7">
        <v>396.0</v>
      </c>
      <c r="B9877" s="9" t="s">
        <v>15683</v>
      </c>
      <c r="C9877" s="9" t="s">
        <v>15684</v>
      </c>
      <c r="D9877" s="9" t="s">
        <v>107</v>
      </c>
      <c r="E9877" s="6" t="s">
        <v>15685</v>
      </c>
      <c r="F9877" s="9"/>
    </row>
    <row r="9878" ht="33.75" customHeight="1">
      <c r="A9878" s="7">
        <v>396.0</v>
      </c>
      <c r="B9878" s="9" t="s">
        <v>15683</v>
      </c>
      <c r="C9878" s="9" t="s">
        <v>15684</v>
      </c>
      <c r="D9878" s="9" t="s">
        <v>109</v>
      </c>
      <c r="E9878" s="6" t="s">
        <v>15688</v>
      </c>
      <c r="F9878" s="9"/>
    </row>
    <row r="9879" ht="33.75" customHeight="1">
      <c r="A9879" s="7">
        <v>396.0</v>
      </c>
      <c r="B9879" s="9" t="s">
        <v>15683</v>
      </c>
      <c r="C9879" s="9" t="s">
        <v>15684</v>
      </c>
      <c r="D9879" s="9" t="s">
        <v>1577</v>
      </c>
      <c r="E9879" s="6" t="s">
        <v>15689</v>
      </c>
      <c r="F9879" s="9"/>
    </row>
    <row r="9880" ht="33.75" customHeight="1">
      <c r="A9880" s="7">
        <v>397.0</v>
      </c>
      <c r="B9880" s="9" t="s">
        <v>15690</v>
      </c>
      <c r="C9880" s="9" t="s">
        <v>15684</v>
      </c>
      <c r="D9880" s="9" t="s">
        <v>81</v>
      </c>
      <c r="E9880" s="6" t="s">
        <v>15691</v>
      </c>
      <c r="F9880" t="inlineStr" s="10">
        <is>
          <t xml:space="preserve">Staravia lentää metsien ja peltojen ympäri etsien ötökkä-Pokémoneja. Se pysyttelee valtavan parven sisällä. Se elää metsissä ja pelloilla. Aluekiistoja syntyy, kun parvet törmäävät toisiinsa. Tunnustaen oman heikkoutensa, ne elävät aina ryhmässä. Yksin ollessaan STARAVIA itkee äänekkäästi. Ne ylläpitävät valtavia parvia, vaikka eri parvien välillä puhkeaakin raivokkaita kahakoita. Ne muodostavat huomattavan suuria parvia ja tappelevat jatkuvasti keskenään. Epäilen, että ne, joilla on upeat höyhenet päässään, ovat vahvoja.</t>
        </is>
      </c>
    </row>
    <row r="9881" ht="33.75" customHeight="1">
      <c r="A9881" s="7">
        <v>397.0</v>
      </c>
      <c r="B9881" s="9" t="s">
        <v>15690</v>
      </c>
      <c r="C9881" s="9" t="s">
        <v>15684</v>
      </c>
      <c r="D9881" s="9" t="s">
        <v>84</v>
      </c>
      <c r="E9881" s="6" t="s">
        <v>15692</v>
      </c>
      <c r="F9881" s="9"/>
    </row>
    <row r="9882" ht="33.75" customHeight="1">
      <c r="A9882" s="7">
        <v>397.0</v>
      </c>
      <c r="B9882" s="9" t="s">
        <v>15690</v>
      </c>
      <c r="C9882" s="9" t="s">
        <v>15684</v>
      </c>
      <c r="D9882" s="9" t="s">
        <v>87</v>
      </c>
      <c r="E9882" s="6" t="s">
        <v>15693</v>
      </c>
      <c r="F9882" s="9"/>
    </row>
    <row r="9883" ht="33.75" customHeight="1">
      <c r="A9883" s="7">
        <v>397.0</v>
      </c>
      <c r="B9883" s="9" t="s">
        <v>15690</v>
      </c>
      <c r="C9883" s="9" t="s">
        <v>15684</v>
      </c>
      <c r="D9883" s="9" t="s">
        <v>89</v>
      </c>
      <c r="E9883" s="6" t="s">
        <v>15694</v>
      </c>
      <c r="F9883" s="9"/>
    </row>
    <row r="9884" ht="33.75" customHeight="1">
      <c r="A9884" s="7">
        <v>397.0</v>
      </c>
      <c r="B9884" s="9" t="s">
        <v>15690</v>
      </c>
      <c r="C9884" s="9" t="s">
        <v>15684</v>
      </c>
      <c r="D9884" s="9" t="s">
        <v>91</v>
      </c>
      <c r="E9884" s="6" t="s">
        <v>15694</v>
      </c>
      <c r="F9884" s="9"/>
    </row>
    <row r="9885" ht="33.75" customHeight="1">
      <c r="A9885" s="7">
        <v>397.0</v>
      </c>
      <c r="B9885" s="9" t="s">
        <v>15690</v>
      </c>
      <c r="C9885" s="9" t="s">
        <v>15684</v>
      </c>
      <c r="D9885" s="9" t="s">
        <v>93</v>
      </c>
      <c r="E9885" s="6" t="s">
        <v>15695</v>
      </c>
      <c r="F9885" s="9"/>
    </row>
    <row r="9886" ht="33.75" customHeight="1">
      <c r="A9886" s="7">
        <v>397.0</v>
      </c>
      <c r="B9886" s="9" t="s">
        <v>15690</v>
      </c>
      <c r="C9886" s="9" t="s">
        <v>15684</v>
      </c>
      <c r="D9886" s="9" t="s">
        <v>95</v>
      </c>
      <c r="E9886" s="6" t="s">
        <v>15695</v>
      </c>
      <c r="F9886" s="9"/>
    </row>
    <row r="9887" ht="33.75" customHeight="1">
      <c r="A9887" s="7">
        <v>397.0</v>
      </c>
      <c r="B9887" s="9" t="s">
        <v>15690</v>
      </c>
      <c r="C9887" s="9" t="s">
        <v>15684</v>
      </c>
      <c r="D9887" s="9" t="s">
        <v>98</v>
      </c>
      <c r="E9887" s="6" t="s">
        <v>15695</v>
      </c>
      <c r="F9887" s="9"/>
    </row>
    <row r="9888" ht="33.75" customHeight="1">
      <c r="A9888" s="7">
        <v>397.0</v>
      </c>
      <c r="B9888" s="9" t="s">
        <v>15690</v>
      </c>
      <c r="C9888" s="9" t="s">
        <v>15684</v>
      </c>
      <c r="D9888" s="9" t="s">
        <v>99</v>
      </c>
      <c r="E9888" s="6" t="s">
        <v>15695</v>
      </c>
      <c r="F9888" s="9"/>
    </row>
    <row r="9889" ht="33.75" customHeight="1">
      <c r="A9889" s="7">
        <v>397.0</v>
      </c>
      <c r="B9889" s="9" t="s">
        <v>15690</v>
      </c>
      <c r="C9889" s="9" t="s">
        <v>15684</v>
      </c>
      <c r="D9889" s="9" t="s">
        <v>101</v>
      </c>
      <c r="E9889" s="6" t="s">
        <v>15694</v>
      </c>
      <c r="F9889" s="9"/>
    </row>
    <row r="9890" ht="33.75" customHeight="1">
      <c r="A9890" s="7">
        <v>397.0</v>
      </c>
      <c r="B9890" s="9" t="s">
        <v>15690</v>
      </c>
      <c r="C9890" s="9" t="s">
        <v>15684</v>
      </c>
      <c r="D9890" s="9" t="s">
        <v>105</v>
      </c>
      <c r="E9890" s="6" t="s">
        <v>15692</v>
      </c>
      <c r="F9890" s="9"/>
    </row>
    <row r="9891" ht="33.75" customHeight="1">
      <c r="A9891" s="7">
        <v>397.0</v>
      </c>
      <c r="B9891" s="9" t="s">
        <v>15690</v>
      </c>
      <c r="C9891" s="9" t="s">
        <v>15684</v>
      </c>
      <c r="D9891" s="9" t="s">
        <v>107</v>
      </c>
      <c r="E9891" s="6" t="s">
        <v>15694</v>
      </c>
      <c r="F9891" s="9"/>
    </row>
    <row r="9892" ht="33.75" customHeight="1">
      <c r="A9892" s="7">
        <v>397.0</v>
      </c>
      <c r="B9892" s="9" t="s">
        <v>15690</v>
      </c>
      <c r="C9892" s="9" t="s">
        <v>15684</v>
      </c>
      <c r="D9892" s="9" t="s">
        <v>109</v>
      </c>
      <c r="E9892" s="6" t="s">
        <v>15692</v>
      </c>
      <c r="F9892" s="9"/>
    </row>
    <row r="9893" ht="33.75" customHeight="1">
      <c r="A9893" s="7">
        <v>397.0</v>
      </c>
      <c r="B9893" s="9" t="s">
        <v>15690</v>
      </c>
      <c r="C9893" s="9" t="s">
        <v>15684</v>
      </c>
      <c r="D9893" s="9" t="s">
        <v>1577</v>
      </c>
      <c r="E9893" s="6" t="s">
        <v>15697</v>
      </c>
      <c r="F9893" s="9"/>
    </row>
    <row r="9894" ht="33.75" customHeight="1">
      <c r="A9894" s="7">
        <v>398.0</v>
      </c>
      <c r="B9894" s="9" t="s">
        <v>15698</v>
      </c>
      <c r="C9894" s="9" t="s">
        <v>15699</v>
      </c>
      <c r="D9894" s="9" t="s">
        <v>81</v>
      </c>
      <c r="E9894" s="6" t="s">
        <v>15700</v>
      </c>
      <c r="F9894" t="inlineStr" s="10">
        <is>
          <t xml:space="preserve">Sillä on raa'a luonne. Se haastaa rohkeasti paljon suurempia vihollisia. Sen siipien ja jalkojen lihakset ovat vahvat. Se voi helposti lentää pitäen kiinni pienestä Pokémonista. Se ei koskaan lakkaa hyökkäämästä, vaikka se loukkaantuisi. Se näprää kampansa muotoa. Kun STARAVIA kehittyy STARAPTOReiksi, ne jättävät parven elämään yksin. Niillä on vahvat siivet. Kun Staravioista kehittyy Staraptor, ne jättävät parven elämään yksin. Se on lähtenyt parvesta saatuaan tarpeeksi voimaa selviytyäkseen omin avuin. Staraptorin hämmästyttävä lentovoima mahdollistaa sen kuljettaa pois suuria ja rotevia kohteita.</t>
        </is>
      </c>
    </row>
    <row r="9895" ht="33.75" customHeight="1">
      <c r="A9895" s="7">
        <v>398.0</v>
      </c>
      <c r="B9895" s="9" t="s">
        <v>15698</v>
      </c>
      <c r="C9895" s="9" t="s">
        <v>15699</v>
      </c>
      <c r="D9895" s="9" t="s">
        <v>84</v>
      </c>
      <c r="E9895" s="6" t="s">
        <v>15701</v>
      </c>
      <c r="F9895" s="9"/>
    </row>
    <row r="9896" ht="33.75" customHeight="1">
      <c r="A9896" s="7">
        <v>398.0</v>
      </c>
      <c r="B9896" s="9" t="s">
        <v>15698</v>
      </c>
      <c r="C9896" s="9" t="s">
        <v>15699</v>
      </c>
      <c r="D9896" s="9" t="s">
        <v>87</v>
      </c>
      <c r="E9896" s="6" t="s">
        <v>15702</v>
      </c>
      <c r="F9896" s="9"/>
    </row>
    <row r="9897" ht="33.75" customHeight="1">
      <c r="A9897" s="7">
        <v>398.0</v>
      </c>
      <c r="B9897" s="9" t="s">
        <v>15698</v>
      </c>
      <c r="C9897" s="9" t="s">
        <v>15699</v>
      </c>
      <c r="D9897" s="9" t="s">
        <v>89</v>
      </c>
      <c r="E9897" s="6" t="s">
        <v>15703</v>
      </c>
      <c r="F9897" s="9"/>
    </row>
    <row r="9898" ht="33.75" customHeight="1">
      <c r="A9898" s="7">
        <v>398.0</v>
      </c>
      <c r="B9898" s="9" t="s">
        <v>15698</v>
      </c>
      <c r="C9898" s="9" t="s">
        <v>15699</v>
      </c>
      <c r="D9898" s="9" t="s">
        <v>91</v>
      </c>
      <c r="E9898" s="6" t="s">
        <v>15703</v>
      </c>
      <c r="F9898" s="9"/>
    </row>
    <row r="9899" ht="33.75" customHeight="1">
      <c r="A9899" s="7">
        <v>398.0</v>
      </c>
      <c r="B9899" s="9" t="s">
        <v>15698</v>
      </c>
      <c r="C9899" s="9" t="s">
        <v>15699</v>
      </c>
      <c r="D9899" s="9" t="s">
        <v>93</v>
      </c>
      <c r="E9899" s="6" t="s">
        <v>15702</v>
      </c>
      <c r="F9899" s="9"/>
    </row>
    <row r="9900" ht="33.75" customHeight="1">
      <c r="A9900" s="7">
        <v>398.0</v>
      </c>
      <c r="B9900" s="9" t="s">
        <v>15698</v>
      </c>
      <c r="C9900" s="9" t="s">
        <v>15699</v>
      </c>
      <c r="D9900" s="9" t="s">
        <v>95</v>
      </c>
      <c r="E9900" s="6" t="s">
        <v>15702</v>
      </c>
      <c r="F9900" s="9"/>
    </row>
    <row r="9901" ht="33.75" customHeight="1">
      <c r="A9901" s="7">
        <v>398.0</v>
      </c>
      <c r="B9901" s="9" t="s">
        <v>15698</v>
      </c>
      <c r="C9901" s="9" t="s">
        <v>15699</v>
      </c>
      <c r="D9901" s="9" t="s">
        <v>98</v>
      </c>
      <c r="E9901" s="6" t="s">
        <v>15702</v>
      </c>
      <c r="F9901" s="9"/>
    </row>
    <row r="9902" ht="33.75" customHeight="1">
      <c r="A9902" s="7">
        <v>398.0</v>
      </c>
      <c r="B9902" s="9" t="s">
        <v>15698</v>
      </c>
      <c r="C9902" s="9" t="s">
        <v>15699</v>
      </c>
      <c r="D9902" s="9" t="s">
        <v>99</v>
      </c>
      <c r="E9902" s="6" t="s">
        <v>15702</v>
      </c>
      <c r="F9902" s="9"/>
    </row>
    <row r="9903" ht="33.75" customHeight="1">
      <c r="A9903" s="7">
        <v>398.0</v>
      </c>
      <c r="B9903" s="9" t="s">
        <v>15698</v>
      </c>
      <c r="C9903" s="9" t="s">
        <v>15699</v>
      </c>
      <c r="D9903" s="9" t="s">
        <v>101</v>
      </c>
      <c r="E9903" s="6" t="s">
        <v>15701</v>
      </c>
      <c r="F9903" s="9"/>
    </row>
    <row r="9904" ht="33.75" customHeight="1">
      <c r="A9904" s="7">
        <v>398.0</v>
      </c>
      <c r="B9904" s="9" t="s">
        <v>15698</v>
      </c>
      <c r="C9904" s="9" t="s">
        <v>15699</v>
      </c>
      <c r="D9904" s="9" t="s">
        <v>105</v>
      </c>
      <c r="E9904" s="6" t="s">
        <v>15705</v>
      </c>
      <c r="F9904" s="9"/>
    </row>
    <row r="9905" ht="33.75" customHeight="1">
      <c r="A9905" s="7">
        <v>398.0</v>
      </c>
      <c r="B9905" s="9" t="s">
        <v>15698</v>
      </c>
      <c r="C9905" s="9" t="s">
        <v>15699</v>
      </c>
      <c r="D9905" s="9" t="s">
        <v>107</v>
      </c>
      <c r="E9905" s="6" t="s">
        <v>15701</v>
      </c>
      <c r="F9905" s="9"/>
    </row>
    <row r="9906" ht="33.75" customHeight="1">
      <c r="A9906" s="7">
        <v>398.0</v>
      </c>
      <c r="B9906" s="9" t="s">
        <v>15698</v>
      </c>
      <c r="C9906" s="9" t="s">
        <v>15699</v>
      </c>
      <c r="D9906" s="9" t="s">
        <v>109</v>
      </c>
      <c r="E9906" s="6" t="s">
        <v>15705</v>
      </c>
      <c r="F9906" s="9"/>
    </row>
    <row r="9907" ht="33.75" customHeight="1">
      <c r="A9907" s="7">
        <v>398.0</v>
      </c>
      <c r="B9907" s="9" t="s">
        <v>15698</v>
      </c>
      <c r="C9907" s="9" t="s">
        <v>15699</v>
      </c>
      <c r="D9907" s="9" t="s">
        <v>1577</v>
      </c>
      <c r="E9907" s="6" t="s">
        <v>15706</v>
      </c>
      <c r="F9907" s="9"/>
    </row>
    <row r="9908" ht="33.75" customHeight="1">
      <c r="A9908" s="7">
        <v>399.0</v>
      </c>
      <c r="B9908" s="9" t="s">
        <v>15707</v>
      </c>
      <c r="C9908" s="9" t="s">
        <v>15708</v>
      </c>
      <c r="D9908" s="9" t="s">
        <v>81</v>
      </c>
      <c r="E9908" s="6" t="s">
        <v>15709</v>
      </c>
      <c r="F9908" t="inlineStr" s="10">
        <is>
          <t xml:space="preserve">Teräksisten hermojen ansiosta mikään ei voi sitä häiritä. Se on ketterämpi ja aktiivisempi kuin miltä näyttää. Se jyrsii jatkuvasti tukkeja ja kiviä veistääkseen etuhampaitaan. Se pesii veden äärellä. Vertailu paljasti, että BIDOOFin etuhampaat kasvavat samaan tahtiin kuin RATTATAn. Se elää ryhmissä veden äärellä. Se pureskelee pesänsä ympärillä olevia lohkareita ja puita etuhampaillaan. Bidoofilla on yksinkertainen ilme, eikä hän juurikaan hermostu mistään. On ollut tapauksia, joissa Bidoof on vaeltanut kyliin ja jyrsinyt taloja välittämättä niiden kalua.</t>
        </is>
      </c>
    </row>
    <row r="9909" ht="33.75" customHeight="1">
      <c r="A9909" s="7">
        <v>399.0</v>
      </c>
      <c r="B9909" s="9" t="s">
        <v>15707</v>
      </c>
      <c r="C9909" s="9" t="s">
        <v>15708</v>
      </c>
      <c r="D9909" s="9" t="s">
        <v>84</v>
      </c>
      <c r="E9909" s="6" t="s">
        <v>15710</v>
      </c>
      <c r="F9909" s="9"/>
    </row>
    <row r="9910" ht="33.75" customHeight="1">
      <c r="A9910" s="7">
        <v>399.0</v>
      </c>
      <c r="B9910" s="9" t="s">
        <v>15707</v>
      </c>
      <c r="C9910" s="9" t="s">
        <v>15708</v>
      </c>
      <c r="D9910" s="9" t="s">
        <v>87</v>
      </c>
      <c r="E9910" s="6" t="s">
        <v>15711</v>
      </c>
      <c r="F9910" s="9"/>
    </row>
    <row r="9911" ht="33.75" customHeight="1">
      <c r="A9911" s="7">
        <v>399.0</v>
      </c>
      <c r="B9911" s="9" t="s">
        <v>15707</v>
      </c>
      <c r="C9911" s="9" t="s">
        <v>15708</v>
      </c>
      <c r="D9911" s="9" t="s">
        <v>89</v>
      </c>
      <c r="E9911" s="6" t="s">
        <v>15712</v>
      </c>
      <c r="F9911" s="9"/>
    </row>
    <row r="9912" ht="33.75" customHeight="1">
      <c r="A9912" s="7">
        <v>399.0</v>
      </c>
      <c r="B9912" s="9" t="s">
        <v>15707</v>
      </c>
      <c r="C9912" s="9" t="s">
        <v>15708</v>
      </c>
      <c r="D9912" s="9" t="s">
        <v>91</v>
      </c>
      <c r="E9912" s="6" t="s">
        <v>15712</v>
      </c>
      <c r="F9912" s="9"/>
    </row>
    <row r="9913" ht="33.75" customHeight="1">
      <c r="A9913" s="7">
        <v>399.0</v>
      </c>
      <c r="B9913" s="9" t="s">
        <v>15707</v>
      </c>
      <c r="C9913" s="9" t="s">
        <v>15708</v>
      </c>
      <c r="D9913" s="9" t="s">
        <v>93</v>
      </c>
      <c r="E9913" s="6" t="s">
        <v>15713</v>
      </c>
      <c r="F9913" s="9"/>
    </row>
    <row r="9914" ht="33.75" customHeight="1">
      <c r="A9914" s="7">
        <v>399.0</v>
      </c>
      <c r="B9914" s="9" t="s">
        <v>15707</v>
      </c>
      <c r="C9914" s="9" t="s">
        <v>15708</v>
      </c>
      <c r="D9914" s="9" t="s">
        <v>95</v>
      </c>
      <c r="E9914" s="6" t="s">
        <v>15713</v>
      </c>
      <c r="F9914" s="9"/>
    </row>
    <row r="9915" ht="33.75" customHeight="1">
      <c r="A9915" s="7">
        <v>399.0</v>
      </c>
      <c r="B9915" s="9" t="s">
        <v>15707</v>
      </c>
      <c r="C9915" s="9" t="s">
        <v>15708</v>
      </c>
      <c r="D9915" s="9" t="s">
        <v>98</v>
      </c>
      <c r="E9915" s="6" t="s">
        <v>15713</v>
      </c>
      <c r="F9915" s="9"/>
    </row>
    <row r="9916" ht="33.75" customHeight="1">
      <c r="A9916" s="7">
        <v>399.0</v>
      </c>
      <c r="B9916" s="9" t="s">
        <v>15707</v>
      </c>
      <c r="C9916" s="9" t="s">
        <v>15708</v>
      </c>
      <c r="D9916" s="9" t="s">
        <v>99</v>
      </c>
      <c r="E9916" s="6" t="s">
        <v>15713</v>
      </c>
      <c r="F9916" s="9"/>
    </row>
    <row r="9917" ht="33.75" customHeight="1">
      <c r="A9917" s="7">
        <v>399.0</v>
      </c>
      <c r="B9917" s="9" t="s">
        <v>15707</v>
      </c>
      <c r="C9917" s="9" t="s">
        <v>15708</v>
      </c>
      <c r="D9917" s="9" t="s">
        <v>101</v>
      </c>
      <c r="E9917" s="6" t="s">
        <v>15709</v>
      </c>
      <c r="F9917" s="9"/>
    </row>
    <row r="9918" ht="33.75" customHeight="1">
      <c r="A9918" s="7">
        <v>399.0</v>
      </c>
      <c r="B9918" s="9" t="s">
        <v>15707</v>
      </c>
      <c r="C9918" s="9" t="s">
        <v>15708</v>
      </c>
      <c r="D9918" s="9" t="s">
        <v>105</v>
      </c>
      <c r="E9918" s="6" t="s">
        <v>15710</v>
      </c>
      <c r="F9918" s="9"/>
    </row>
    <row r="9919" ht="33.75" customHeight="1">
      <c r="A9919" s="7">
        <v>399.0</v>
      </c>
      <c r="B9919" s="9" t="s">
        <v>15707</v>
      </c>
      <c r="C9919" s="9" t="s">
        <v>15708</v>
      </c>
      <c r="D9919" s="9" t="s">
        <v>107</v>
      </c>
      <c r="E9919" s="6" t="s">
        <v>15709</v>
      </c>
      <c r="F9919" s="9"/>
    </row>
    <row r="9920" ht="33.75" customHeight="1">
      <c r="A9920" s="7">
        <v>399.0</v>
      </c>
      <c r="B9920" s="9" t="s">
        <v>15707</v>
      </c>
      <c r="C9920" s="9" t="s">
        <v>15708</v>
      </c>
      <c r="D9920" s="9" t="s">
        <v>109</v>
      </c>
      <c r="E9920" s="6" t="s">
        <v>15710</v>
      </c>
      <c r="F9920" s="9"/>
    </row>
    <row r="9921" ht="33.75" customHeight="1">
      <c r="A9921" s="7">
        <v>399.0</v>
      </c>
      <c r="B9921" s="9" t="s">
        <v>15707</v>
      </c>
      <c r="C9921" s="9" t="s">
        <v>15708</v>
      </c>
      <c r="D9921" s="9" t="s">
        <v>1577</v>
      </c>
      <c r="E9921" s="6" t="s">
        <v>15715</v>
      </c>
      <c r="F9921" s="9"/>
    </row>
    <row r="9922" ht="33.75" customHeight="1">
      <c r="A9922" s="7">
        <v>400.0</v>
      </c>
      <c r="B9922" s="9" t="s">
        <v>15716</v>
      </c>
      <c r="C9922" s="9" t="s">
        <v>15717</v>
      </c>
      <c r="D9922" s="9" t="s">
        <v>81</v>
      </c>
      <c r="E9922" s="6" t="s">
        <v>15718</v>
      </c>
      <c r="F9922" t="inlineStr" s="10">
        <is>
          <t xml:space="preserve">Bibarel tekee pesänsä patoamalla puroja kaarnalla ja mudalla. Se tunnetaan ahkerana työntekijänä. Vaikka sen liikkeet vedestä poissa ollessa ovat hitaita, se voi uida yhtä nopeasti kuin mikä tahansa FEEBAS. BIBARELin patoama joki ei koskaan tulvi yli rantojensa, mistä lähistöllä asuvat ihmiset ovat iloisia. Se tekee ahkerasti pesänsä terävillä etuhampaillaan silpomistaan ​​oksista ja juurista. Bibarelin turkki hylkii vettä ja on myös loistava materiaali lämmönpidätyskyvyn kannalta. Nämä Pokémonit luovat jokiin patoja elääkseen.</t>
        </is>
      </c>
    </row>
    <row r="9923" ht="33.75" customHeight="1">
      <c r="A9923" s="7">
        <v>400.0</v>
      </c>
      <c r="B9923" s="9" t="s">
        <v>15716</v>
      </c>
      <c r="C9923" s="9" t="s">
        <v>15717</v>
      </c>
      <c r="D9923" s="9" t="s">
        <v>84</v>
      </c>
      <c r="E9923" s="6" t="s">
        <v>15719</v>
      </c>
      <c r="F9923" s="9"/>
    </row>
    <row r="9924" ht="33.75" customHeight="1">
      <c r="A9924" s="7">
        <v>400.0</v>
      </c>
      <c r="B9924" s="9" t="s">
        <v>15716</v>
      </c>
      <c r="C9924" s="9" t="s">
        <v>15717</v>
      </c>
      <c r="D9924" s="9" t="s">
        <v>87</v>
      </c>
      <c r="E9924" s="6" t="s">
        <v>15720</v>
      </c>
      <c r="F9924" s="9"/>
    </row>
    <row r="9925" ht="33.75" customHeight="1">
      <c r="A9925" s="7">
        <v>400.0</v>
      </c>
      <c r="B9925" s="9" t="s">
        <v>15716</v>
      </c>
      <c r="C9925" s="9" t="s">
        <v>15717</v>
      </c>
      <c r="D9925" s="9" t="s">
        <v>89</v>
      </c>
      <c r="E9925" s="6" t="s">
        <v>15721</v>
      </c>
      <c r="F9925" s="9"/>
    </row>
    <row r="9926" ht="33.75" customHeight="1">
      <c r="A9926" s="7">
        <v>400.0</v>
      </c>
      <c r="B9926" s="9" t="s">
        <v>15716</v>
      </c>
      <c r="C9926" s="9" t="s">
        <v>15717</v>
      </c>
      <c r="D9926" s="9" t="s">
        <v>91</v>
      </c>
      <c r="E9926" s="6" t="s">
        <v>15721</v>
      </c>
      <c r="F9926" s="9"/>
    </row>
    <row r="9927" ht="33.75" customHeight="1">
      <c r="A9927" s="7">
        <v>400.0</v>
      </c>
      <c r="B9927" s="9" t="s">
        <v>15716</v>
      </c>
      <c r="C9927" s="9" t="s">
        <v>15717</v>
      </c>
      <c r="D9927" s="9" t="s">
        <v>93</v>
      </c>
      <c r="E9927" s="6" t="s">
        <v>15722</v>
      </c>
      <c r="F9927" s="9"/>
    </row>
    <row r="9928" ht="33.75" customHeight="1">
      <c r="A9928" s="7">
        <v>400.0</v>
      </c>
      <c r="B9928" s="9" t="s">
        <v>15716</v>
      </c>
      <c r="C9928" s="9" t="s">
        <v>15717</v>
      </c>
      <c r="D9928" s="9" t="s">
        <v>95</v>
      </c>
      <c r="E9928" s="6" t="s">
        <v>15722</v>
      </c>
      <c r="F9928" s="9"/>
    </row>
    <row r="9929" ht="33.75" customHeight="1">
      <c r="A9929" s="7">
        <v>400.0</v>
      </c>
      <c r="B9929" s="9" t="s">
        <v>15716</v>
      </c>
      <c r="C9929" s="9" t="s">
        <v>15717</v>
      </c>
      <c r="D9929" s="9" t="s">
        <v>98</v>
      </c>
      <c r="E9929" s="6" t="s">
        <v>15722</v>
      </c>
      <c r="F9929" s="9"/>
    </row>
    <row r="9930" ht="33.75" customHeight="1">
      <c r="A9930" s="7">
        <v>400.0</v>
      </c>
      <c r="B9930" s="9" t="s">
        <v>15716</v>
      </c>
      <c r="C9930" s="9" t="s">
        <v>15717</v>
      </c>
      <c r="D9930" s="9" t="s">
        <v>99</v>
      </c>
      <c r="E9930" s="6" t="s">
        <v>15722</v>
      </c>
      <c r="F9930" s="9"/>
    </row>
    <row r="9931" ht="33.75" customHeight="1">
      <c r="A9931" s="7">
        <v>400.0</v>
      </c>
      <c r="B9931" s="9" t="s">
        <v>15716</v>
      </c>
      <c r="C9931" s="9" t="s">
        <v>15717</v>
      </c>
      <c r="D9931" s="9" t="s">
        <v>101</v>
      </c>
      <c r="E9931" s="6" t="s">
        <v>15721</v>
      </c>
      <c r="F9931" s="9"/>
    </row>
    <row r="9932" ht="33.75" customHeight="1">
      <c r="A9932" s="7">
        <v>400.0</v>
      </c>
      <c r="B9932" s="9" t="s">
        <v>15716</v>
      </c>
      <c r="C9932" s="9" t="s">
        <v>15717</v>
      </c>
      <c r="D9932" s="9" t="s">
        <v>105</v>
      </c>
      <c r="E9932" s="6" t="s">
        <v>15718</v>
      </c>
      <c r="F9932" s="9"/>
    </row>
    <row r="9933" ht="33.75" customHeight="1">
      <c r="A9933" s="7">
        <v>400.0</v>
      </c>
      <c r="B9933" s="9" t="s">
        <v>15716</v>
      </c>
      <c r="C9933" s="9" t="s">
        <v>15717</v>
      </c>
      <c r="D9933" s="9" t="s">
        <v>107</v>
      </c>
      <c r="E9933" s="6" t="s">
        <v>15721</v>
      </c>
      <c r="F9933" s="9"/>
    </row>
    <row r="9934" ht="33.75" customHeight="1">
      <c r="A9934" s="7">
        <v>400.0</v>
      </c>
      <c r="B9934" s="9" t="s">
        <v>15716</v>
      </c>
      <c r="C9934" s="9" t="s">
        <v>15717</v>
      </c>
      <c r="D9934" s="9" t="s">
        <v>109</v>
      </c>
      <c r="E9934" s="6" t="s">
        <v>15718</v>
      </c>
      <c r="F9934" s="9"/>
    </row>
    <row r="9935" ht="33.75" customHeight="1">
      <c r="A9935" s="7">
        <v>400.0</v>
      </c>
      <c r="B9935" s="9" t="s">
        <v>15716</v>
      </c>
      <c r="C9935" s="9" t="s">
        <v>15717</v>
      </c>
      <c r="D9935" s="9" t="s">
        <v>1577</v>
      </c>
      <c r="E9935" s="6" t="s">
        <v>15724</v>
      </c>
      <c r="F9935" s="9"/>
    </row>
    <row r="9936" ht="33.75" customHeight="1">
      <c r="A9936" s="7">
        <v>401.0</v>
      </c>
      <c r="B9936" s="9" t="s">
        <v>15725</v>
      </c>
      <c r="C9936" s="9" t="s">
        <v>15726</v>
      </c>
      <c r="D9936" s="9" t="s">
        <v>81</v>
      </c>
      <c r="E9936" s="6" t="s">
        <v>15727</v>
      </c>
      <c r="F9936" t="inlineStr" s="10">
        <is>
          <t xml:space="preserve">Kricketot pudistelee päätään taaksepäin, jolloin sen tuntosarvet osuvat toisiinsa ja kuulostavat ksylofonilta. Se juttelee muiden kanssa törmäävien tuntosarviensa äänien avulla. Nämä äänet ovat syksyn tunnusmerkkejä. Sen jalat ovat lyhyet. Aina kun se kompastuu, sen jäykät tuntosarvet napsahtavat ksylofonin kaltaisella äänellä. Kun sen tuntosarvet osuvat toisiinsa, se kuulostaa ksylofonin musiikilta. Kun puut saavat uusia sävyjä, näitä Pokémoneja ilmestyy lisää. Niiden tuntosarvien yhteen iskemisestä syntyvä ääni muistuttaa marimban, vieraiden maiden soittimen, ääntä.</t>
        </is>
      </c>
    </row>
    <row r="9937" ht="33.75" customHeight="1">
      <c r="A9937" s="7">
        <v>401.0</v>
      </c>
      <c r="B9937" s="9" t="s">
        <v>15725</v>
      </c>
      <c r="C9937" s="9" t="s">
        <v>15726</v>
      </c>
      <c r="D9937" s="9" t="s">
        <v>84</v>
      </c>
      <c r="E9937" s="6" t="s">
        <v>15728</v>
      </c>
      <c r="F9937" s="9"/>
    </row>
    <row r="9938" ht="33.75" customHeight="1">
      <c r="A9938" s="7">
        <v>401.0</v>
      </c>
      <c r="B9938" s="9" t="s">
        <v>15725</v>
      </c>
      <c r="C9938" s="9" t="s">
        <v>15726</v>
      </c>
      <c r="D9938" s="9" t="s">
        <v>87</v>
      </c>
      <c r="E9938" s="6" t="s">
        <v>15729</v>
      </c>
      <c r="F9938" s="9"/>
    </row>
    <row r="9939" ht="33.75" customHeight="1">
      <c r="A9939" s="7">
        <v>401.0</v>
      </c>
      <c r="B9939" s="9" t="s">
        <v>15725</v>
      </c>
      <c r="C9939" s="9" t="s">
        <v>15726</v>
      </c>
      <c r="D9939" s="9" t="s">
        <v>89</v>
      </c>
      <c r="E9939" s="6" t="s">
        <v>15730</v>
      </c>
      <c r="F9939" s="9"/>
    </row>
    <row r="9940" ht="33.75" customHeight="1">
      <c r="A9940" s="7">
        <v>401.0</v>
      </c>
      <c r="B9940" s="9" t="s">
        <v>15725</v>
      </c>
      <c r="C9940" s="9" t="s">
        <v>15726</v>
      </c>
      <c r="D9940" s="9" t="s">
        <v>91</v>
      </c>
      <c r="E9940" s="6" t="s">
        <v>15730</v>
      </c>
      <c r="F9940" s="9"/>
    </row>
    <row r="9941" ht="33.75" customHeight="1">
      <c r="A9941" s="7">
        <v>401.0</v>
      </c>
      <c r="B9941" s="9" t="s">
        <v>15725</v>
      </c>
      <c r="C9941" s="9" t="s">
        <v>15726</v>
      </c>
      <c r="D9941" s="9" t="s">
        <v>93</v>
      </c>
      <c r="E9941" s="6" t="s">
        <v>15729</v>
      </c>
      <c r="F9941" s="9"/>
    </row>
    <row r="9942" ht="33.75" customHeight="1">
      <c r="A9942" s="7">
        <v>401.0</v>
      </c>
      <c r="B9942" s="9" t="s">
        <v>15725</v>
      </c>
      <c r="C9942" s="9" t="s">
        <v>15726</v>
      </c>
      <c r="D9942" s="9" t="s">
        <v>95</v>
      </c>
      <c r="E9942" s="6" t="s">
        <v>15729</v>
      </c>
      <c r="F9942" s="9"/>
    </row>
    <row r="9943" ht="33.75" customHeight="1">
      <c r="A9943" s="7">
        <v>401.0</v>
      </c>
      <c r="B9943" s="9" t="s">
        <v>15725</v>
      </c>
      <c r="C9943" s="9" t="s">
        <v>15726</v>
      </c>
      <c r="D9943" s="9" t="s">
        <v>98</v>
      </c>
      <c r="E9943" s="6" t="s">
        <v>15729</v>
      </c>
      <c r="F9943" s="9"/>
    </row>
    <row r="9944" ht="33.75" customHeight="1">
      <c r="A9944" s="7">
        <v>401.0</v>
      </c>
      <c r="B9944" s="9" t="s">
        <v>15725</v>
      </c>
      <c r="C9944" s="9" t="s">
        <v>15726</v>
      </c>
      <c r="D9944" s="9" t="s">
        <v>99</v>
      </c>
      <c r="E9944" s="6" t="s">
        <v>15729</v>
      </c>
      <c r="F9944" s="9"/>
    </row>
    <row r="9945" ht="33.75" customHeight="1">
      <c r="A9945" s="7">
        <v>401.0</v>
      </c>
      <c r="B9945" s="9" t="s">
        <v>15725</v>
      </c>
      <c r="C9945" s="9" t="s">
        <v>15726</v>
      </c>
      <c r="D9945" s="9" t="s">
        <v>101</v>
      </c>
      <c r="E9945" s="6" t="s">
        <v>15728</v>
      </c>
      <c r="F9945" s="9"/>
    </row>
    <row r="9946" ht="33.75" customHeight="1">
      <c r="A9946" s="7">
        <v>401.0</v>
      </c>
      <c r="B9946" s="9" t="s">
        <v>15725</v>
      </c>
      <c r="C9946" s="9" t="s">
        <v>15726</v>
      </c>
      <c r="D9946" s="9" t="s">
        <v>105</v>
      </c>
      <c r="E9946" s="6" t="s">
        <v>15730</v>
      </c>
      <c r="F9946" s="9"/>
    </row>
    <row r="9947" ht="33.75" customHeight="1">
      <c r="A9947" s="7">
        <v>401.0</v>
      </c>
      <c r="B9947" s="9" t="s">
        <v>15725</v>
      </c>
      <c r="C9947" s="9" t="s">
        <v>15726</v>
      </c>
      <c r="D9947" s="9" t="s">
        <v>107</v>
      </c>
      <c r="E9947" s="6" t="s">
        <v>15728</v>
      </c>
      <c r="F9947" s="9"/>
    </row>
    <row r="9948" ht="33.75" customHeight="1">
      <c r="A9948" s="7">
        <v>401.0</v>
      </c>
      <c r="B9948" s="9" t="s">
        <v>15725</v>
      </c>
      <c r="C9948" s="9" t="s">
        <v>15726</v>
      </c>
      <c r="D9948" s="9" t="s">
        <v>109</v>
      </c>
      <c r="E9948" s="6" t="s">
        <v>15730</v>
      </c>
      <c r="F9948" s="9"/>
    </row>
    <row r="9949" ht="33.75" customHeight="1">
      <c r="A9949" s="7">
        <v>401.0</v>
      </c>
      <c r="B9949" s="9" t="s">
        <v>15725</v>
      </c>
      <c r="C9949" s="9" t="s">
        <v>15726</v>
      </c>
      <c r="D9949" s="9" t="s">
        <v>1577</v>
      </c>
      <c r="E9949" s="6" t="s">
        <v>15731</v>
      </c>
      <c r="F9949" s="9"/>
    </row>
    <row r="9950" ht="33.75" customHeight="1">
      <c r="A9950" s="7">
        <v>402.0</v>
      </c>
      <c r="B9950" s="9" t="s">
        <v>15733</v>
      </c>
      <c r="C9950" s="9" t="s">
        <v>15726</v>
      </c>
      <c r="D9950" s="9" t="s">
        <v>81</v>
      </c>
      <c r="E9950" s="6" t="s">
        <v>15734</v>
      </c>
      <c r="F9950" t="inlineStr" s="10">
        <is>
          <t xml:space="preserve">Kricketune ristii veitsenmäiset käsivartensa rintansa edessä itkeessään. Se voi säveltää melodioita mielin määrin. Se viestii tunteistaan ​​melodioillaan. Tutkijat tutkivat näitä melodiakuvioita. Eräässä kylässä järjestetään kilpailu, joka perustuu tämän Pokémonin hämmästyttävän vaihteleviin huutoihin. Antamalla huutonsa kaikua vatsansa onteloissa se tuottaa lumoavan äänen. Se käyttää miekkamaisia ​​käsiään tuottaakseen ääntä, jonka melodia vaihtelee yksilöstä toiseen. Suosikkisävelmiensä etsiminen on vaivan arvoista.</t>
        </is>
      </c>
    </row>
    <row r="9951" ht="33.75" customHeight="1">
      <c r="A9951" s="7">
        <v>402.0</v>
      </c>
      <c r="B9951" s="9" t="s">
        <v>15733</v>
      </c>
      <c r="C9951" s="9" t="s">
        <v>15726</v>
      </c>
      <c r="D9951" s="9" t="s">
        <v>84</v>
      </c>
      <c r="E9951" s="6" t="s">
        <v>15735</v>
      </c>
      <c r="F9951" s="9"/>
    </row>
    <row r="9952" ht="33.75" customHeight="1">
      <c r="A9952" s="7">
        <v>402.0</v>
      </c>
      <c r="B9952" s="9" t="s">
        <v>15733</v>
      </c>
      <c r="C9952" s="9" t="s">
        <v>15726</v>
      </c>
      <c r="D9952" s="9" t="s">
        <v>87</v>
      </c>
      <c r="E9952" s="6" t="s">
        <v>15736</v>
      </c>
      <c r="F9952" s="9"/>
    </row>
    <row r="9953" ht="33.75" customHeight="1">
      <c r="A9953" s="7">
        <v>402.0</v>
      </c>
      <c r="B9953" s="9" t="s">
        <v>15733</v>
      </c>
      <c r="C9953" s="9" t="s">
        <v>15726</v>
      </c>
      <c r="D9953" s="9" t="s">
        <v>89</v>
      </c>
      <c r="E9953" s="6" t="s">
        <v>15737</v>
      </c>
      <c r="F9953" s="9"/>
    </row>
    <row r="9954" ht="33.75" customHeight="1">
      <c r="A9954" s="7">
        <v>402.0</v>
      </c>
      <c r="B9954" s="9" t="s">
        <v>15733</v>
      </c>
      <c r="C9954" s="9" t="s">
        <v>15726</v>
      </c>
      <c r="D9954" s="9" t="s">
        <v>91</v>
      </c>
      <c r="E9954" s="6" t="s">
        <v>15737</v>
      </c>
      <c r="F9954" s="9"/>
    </row>
    <row r="9955" ht="33.75" customHeight="1">
      <c r="A9955" s="7">
        <v>402.0</v>
      </c>
      <c r="B9955" s="9" t="s">
        <v>15733</v>
      </c>
      <c r="C9955" s="9" t="s">
        <v>15726</v>
      </c>
      <c r="D9955" s="9" t="s">
        <v>93</v>
      </c>
      <c r="E9955" s="6" t="s">
        <v>15736</v>
      </c>
      <c r="F9955" s="9"/>
    </row>
    <row r="9956" ht="33.75" customHeight="1">
      <c r="A9956" s="7">
        <v>402.0</v>
      </c>
      <c r="B9956" s="9" t="s">
        <v>15733</v>
      </c>
      <c r="C9956" s="9" t="s">
        <v>15726</v>
      </c>
      <c r="D9956" s="9" t="s">
        <v>95</v>
      </c>
      <c r="E9956" s="6" t="s">
        <v>15736</v>
      </c>
      <c r="F9956" s="9"/>
    </row>
    <row r="9957" ht="33.75" customHeight="1">
      <c r="A9957" s="7">
        <v>402.0</v>
      </c>
      <c r="B9957" s="9" t="s">
        <v>15733</v>
      </c>
      <c r="C9957" s="9" t="s">
        <v>15726</v>
      </c>
      <c r="D9957" s="9" t="s">
        <v>98</v>
      </c>
      <c r="E9957" s="6" t="s">
        <v>15736</v>
      </c>
      <c r="F9957" s="9"/>
    </row>
    <row r="9958" ht="33.75" customHeight="1">
      <c r="A9958" s="7">
        <v>402.0</v>
      </c>
      <c r="B9958" s="9" t="s">
        <v>15733</v>
      </c>
      <c r="C9958" s="9" t="s">
        <v>15726</v>
      </c>
      <c r="D9958" s="9" t="s">
        <v>99</v>
      </c>
      <c r="E9958" s="6" t="s">
        <v>15736</v>
      </c>
      <c r="F9958" s="9"/>
    </row>
    <row r="9959" ht="33.75" customHeight="1">
      <c r="A9959" s="7">
        <v>402.0</v>
      </c>
      <c r="B9959" s="9" t="s">
        <v>15733</v>
      </c>
      <c r="C9959" s="9" t="s">
        <v>15726</v>
      </c>
      <c r="D9959" s="9" t="s">
        <v>101</v>
      </c>
      <c r="E9959" s="6" t="s">
        <v>15734</v>
      </c>
      <c r="F9959" s="9"/>
    </row>
    <row r="9960" ht="33.75" customHeight="1">
      <c r="A9960" s="7">
        <v>402.0</v>
      </c>
      <c r="B9960" s="9" t="s">
        <v>15733</v>
      </c>
      <c r="C9960" s="9" t="s">
        <v>15726</v>
      </c>
      <c r="D9960" s="9" t="s">
        <v>105</v>
      </c>
      <c r="E9960" s="6" t="s">
        <v>15735</v>
      </c>
      <c r="F9960" s="9"/>
    </row>
    <row r="9961" ht="33.75" customHeight="1">
      <c r="A9961" s="7">
        <v>402.0</v>
      </c>
      <c r="B9961" s="9" t="s">
        <v>15733</v>
      </c>
      <c r="C9961" s="9" t="s">
        <v>15726</v>
      </c>
      <c r="D9961" s="9" t="s">
        <v>107</v>
      </c>
      <c r="E9961" s="6" t="s">
        <v>15734</v>
      </c>
      <c r="F9961" s="9"/>
    </row>
    <row r="9962" ht="33.75" customHeight="1">
      <c r="A9962" s="7">
        <v>402.0</v>
      </c>
      <c r="B9962" s="9" t="s">
        <v>15733</v>
      </c>
      <c r="C9962" s="9" t="s">
        <v>15726</v>
      </c>
      <c r="D9962" s="9" t="s">
        <v>109</v>
      </c>
      <c r="E9962" s="6" t="s">
        <v>15735</v>
      </c>
      <c r="F9962" s="9"/>
    </row>
    <row r="9963" ht="33.75" customHeight="1">
      <c r="A9963" s="7">
        <v>402.0</v>
      </c>
      <c r="B9963" s="9" t="s">
        <v>15733</v>
      </c>
      <c r="C9963" s="9" t="s">
        <v>15726</v>
      </c>
      <c r="D9963" s="9" t="s">
        <v>1577</v>
      </c>
      <c r="E9963" s="6" t="s">
        <v>15738</v>
      </c>
      <c r="F9963" s="9"/>
    </row>
    <row r="9964" ht="33.75" customHeight="1">
      <c r="A9964" s="7">
        <v>403.0</v>
      </c>
      <c r="B9964" s="9" t="s">
        <v>15739</v>
      </c>
      <c r="C9964" s="9" t="s">
        <v>15740</v>
      </c>
      <c r="D9964" s="9" t="s">
        <v>81</v>
      </c>
      <c r="E9964" s="6" t="s">
        <v>15741</v>
      </c>
      <c r="F9964" t="inlineStr" s="10">
        <is>
          <t xml:space="preserve">Kaikki Shinxin turkki kiiltää, jos se aistii vaaran. Se pakenee, kun vihollinen sokeutuu hetkeksi. Sen etujaloilla on lihaspohjainen sähköntuotantojärjestelmä. Sen ruumis kiiltää, jos se on uhanalainen. Sen lihasten ojentuminen ja supistuminen tuottaa sähköä. Se hehkuu vaikeuksissa. Sen turkki hehkuu, kun se on vaikeuksissa. Tämä Pokémon tuottaa sähköä supistamalla lihaksiaan. Innostunut vapina on merkki siitä, että Shinx tuottaa valtavan määrän sähköä. Sähkö saa tämän Pokémonin turkin hehkumaan. Shinx lähettää signaaleja muille lajitovereilleen ravistelemalla hännänpäätään, jonka hohtaessa kirkkaasti se palaa. Ravistaa kehoaan tuottaakseen sähköä. Sen koko peittää aggressiivisuuden – tämän Pokémonin kesyttämiseen tarvitaan kärsivällisyyttä.</t>
        </is>
      </c>
    </row>
    <row r="9965" ht="33.75" customHeight="1">
      <c r="A9965" s="7">
        <v>403.0</v>
      </c>
      <c r="B9965" s="9" t="s">
        <v>15739</v>
      </c>
      <c r="C9965" s="9" t="s">
        <v>15740</v>
      </c>
      <c r="D9965" s="9" t="s">
        <v>84</v>
      </c>
      <c r="E9965" s="6" t="s">
        <v>15742</v>
      </c>
      <c r="F9965" s="9"/>
    </row>
    <row r="9966" ht="33.75" customHeight="1">
      <c r="A9966" s="7">
        <v>403.0</v>
      </c>
      <c r="B9966" s="9" t="s">
        <v>15739</v>
      </c>
      <c r="C9966" s="9" t="s">
        <v>15740</v>
      </c>
      <c r="D9966" s="9" t="s">
        <v>87</v>
      </c>
      <c r="E9966" s="6" t="s">
        <v>15743</v>
      </c>
      <c r="F9966" s="9"/>
    </row>
    <row r="9967" ht="33.75" customHeight="1">
      <c r="A9967" s="7">
        <v>403.0</v>
      </c>
      <c r="B9967" s="9" t="s">
        <v>15739</v>
      </c>
      <c r="C9967" s="9" t="s">
        <v>15740</v>
      </c>
      <c r="D9967" s="9" t="s">
        <v>89</v>
      </c>
      <c r="E9967" s="6" t="s">
        <v>15744</v>
      </c>
      <c r="F9967" s="9"/>
    </row>
    <row r="9968" ht="33.75" customHeight="1">
      <c r="A9968" s="7">
        <v>403.0</v>
      </c>
      <c r="B9968" s="9" t="s">
        <v>15739</v>
      </c>
      <c r="C9968" s="9" t="s">
        <v>15740</v>
      </c>
      <c r="D9968" s="9" t="s">
        <v>91</v>
      </c>
      <c r="E9968" s="6" t="s">
        <v>15744</v>
      </c>
      <c r="F9968" s="9"/>
    </row>
    <row r="9969" ht="33.75" customHeight="1">
      <c r="A9969" s="7">
        <v>403.0</v>
      </c>
      <c r="B9969" s="9" t="s">
        <v>15739</v>
      </c>
      <c r="C9969" s="9" t="s">
        <v>15740</v>
      </c>
      <c r="D9969" s="9" t="s">
        <v>93</v>
      </c>
      <c r="E9969" s="6" t="s">
        <v>15743</v>
      </c>
      <c r="F9969" s="9"/>
    </row>
    <row r="9970" ht="33.75" customHeight="1">
      <c r="A9970" s="7">
        <v>403.0</v>
      </c>
      <c r="B9970" s="9" t="s">
        <v>15739</v>
      </c>
      <c r="C9970" s="9" t="s">
        <v>15740</v>
      </c>
      <c r="D9970" s="9" t="s">
        <v>95</v>
      </c>
      <c r="E9970" s="6" t="s">
        <v>15743</v>
      </c>
      <c r="F9970" s="9"/>
    </row>
    <row r="9971" ht="33.75" customHeight="1">
      <c r="A9971" s="7">
        <v>403.0</v>
      </c>
      <c r="B9971" s="9" t="s">
        <v>15739</v>
      </c>
      <c r="C9971" s="9" t="s">
        <v>15740</v>
      </c>
      <c r="D9971" s="9" t="s">
        <v>98</v>
      </c>
      <c r="E9971" s="6" t="s">
        <v>15743</v>
      </c>
      <c r="F9971" s="9"/>
    </row>
    <row r="9972" ht="33.75" customHeight="1">
      <c r="A9972" s="7">
        <v>403.0</v>
      </c>
      <c r="B9972" s="9" t="s">
        <v>15739</v>
      </c>
      <c r="C9972" s="9" t="s">
        <v>15740</v>
      </c>
      <c r="D9972" s="9" t="s">
        <v>99</v>
      </c>
      <c r="E9972" s="6" t="s">
        <v>15743</v>
      </c>
      <c r="F9972" s="9"/>
    </row>
    <row r="9973" ht="33.75" customHeight="1">
      <c r="A9973" s="7">
        <v>403.0</v>
      </c>
      <c r="B9973" s="9" t="s">
        <v>15739</v>
      </c>
      <c r="C9973" s="9" t="s">
        <v>15740</v>
      </c>
      <c r="D9973" s="9" t="s">
        <v>101</v>
      </c>
      <c r="E9973" s="6" t="s">
        <v>15743</v>
      </c>
      <c r="F9973" s="9"/>
    </row>
    <row r="9974" ht="33.75" customHeight="1">
      <c r="A9974" s="7">
        <v>403.0</v>
      </c>
      <c r="B9974" s="9" t="s">
        <v>15739</v>
      </c>
      <c r="C9974" s="9" t="s">
        <v>15740</v>
      </c>
      <c r="D9974" s="9" t="s">
        <v>105</v>
      </c>
      <c r="E9974" s="6" t="s">
        <v>15741</v>
      </c>
      <c r="F9974" s="9"/>
    </row>
    <row r="9975" ht="33.75" customHeight="1">
      <c r="A9975" s="7">
        <v>403.0</v>
      </c>
      <c r="B9975" s="9" t="s">
        <v>15739</v>
      </c>
      <c r="C9975" s="9" t="s">
        <v>15740</v>
      </c>
      <c r="D9975" s="9" t="s">
        <v>107</v>
      </c>
      <c r="E9975" s="6" t="s">
        <v>15743</v>
      </c>
      <c r="F9975" s="9"/>
    </row>
    <row r="9976" ht="33.75" customHeight="1">
      <c r="A9976" s="7">
        <v>403.0</v>
      </c>
      <c r="B9976" s="9" t="s">
        <v>15739</v>
      </c>
      <c r="C9976" s="9" t="s">
        <v>15740</v>
      </c>
      <c r="D9976" s="9" t="s">
        <v>109</v>
      </c>
      <c r="E9976" s="6" t="s">
        <v>15741</v>
      </c>
      <c r="F9976" s="9"/>
    </row>
    <row r="9977" ht="33.75" customHeight="1">
      <c r="A9977" s="7">
        <v>403.0</v>
      </c>
      <c r="B9977" s="9" t="s">
        <v>15739</v>
      </c>
      <c r="C9977" s="9" t="s">
        <v>15740</v>
      </c>
      <c r="D9977" s="9" t="s">
        <v>114</v>
      </c>
      <c r="E9977" s="6" t="s">
        <v>15746</v>
      </c>
      <c r="F9977" s="9"/>
    </row>
    <row r="9978" ht="33.75" customHeight="1">
      <c r="A9978" s="7">
        <v>403.0</v>
      </c>
      <c r="B9978" s="9" t="s">
        <v>15739</v>
      </c>
      <c r="C9978" s="9" t="s">
        <v>15740</v>
      </c>
      <c r="D9978" s="9" t="s">
        <v>117</v>
      </c>
      <c r="E9978" s="6" t="s">
        <v>15747</v>
      </c>
      <c r="F9978" s="9"/>
    </row>
    <row r="9979" ht="33.75" customHeight="1">
      <c r="A9979" s="7">
        <v>403.0</v>
      </c>
      <c r="B9979" s="9" t="s">
        <v>15739</v>
      </c>
      <c r="C9979" s="9" t="s">
        <v>15740</v>
      </c>
      <c r="D9979" s="9" t="s">
        <v>1577</v>
      </c>
      <c r="E9979" s="6" t="s">
        <v>15748</v>
      </c>
      <c r="F9979" s="9"/>
    </row>
    <row r="9980" ht="33.75" customHeight="1">
      <c r="A9980" s="7">
        <v>404.0</v>
      </c>
      <c r="B9980" s="9" t="s">
        <v>15749</v>
      </c>
      <c r="C9980" s="9" t="s">
        <v>15750</v>
      </c>
      <c r="D9980" s="9" t="s">
        <v>81</v>
      </c>
      <c r="E9980" s="6" t="s">
        <v>15751</v>
      </c>
      <c r="F9980" t="inlineStr" s="10">
        <is>
          <t xml:space="preserve">Luxion kynnet vapauttavat niin paljon sähköä, että se voi aiheuttaa pyörtymisen. Ne elävät pienissä ryhmissä. Se lepää etujalkojaan muiden päällä kommunikoidakseen kynsiensä rytmisten sähköpulssien avulla. Sen terävien kynsien kärkien läpi kulkee voimakasta sähköä. Kevyt raaputus aiheuttaa vihollisille pyörtymisen. Kokoamalla hännänsä yhteen ne tuottavat yhdessä tehokasta sähköä kynsiensä avulla. Yhdistämällä pyrstönsä toisen Luxion pyrstöön, tämä Pokémon voi vastaanottaa toisen Luxion sähköä ja käynnistää omat sähköiskunsa. Kohdatessaan vastustajan tämä Pokémon valmistautuu taisteluun ojentamalla kyntensä, jotka voivat tuottaa miljoona volttia sähköä. Käyttää ylpeänä sähköistettyjä kynsiään aseina. Se vaikuttaa olevan armollinen Pokémon, joka jakaa metsästyksen saaliin tasaisesti muiden kaltaistensa kanssa.</t>
        </is>
      </c>
    </row>
    <row r="9981" ht="33.75" customHeight="1">
      <c r="A9981" s="7">
        <v>404.0</v>
      </c>
      <c r="B9981" s="9" t="s">
        <v>15749</v>
      </c>
      <c r="C9981" s="9" t="s">
        <v>15750</v>
      </c>
      <c r="D9981" s="9" t="s">
        <v>84</v>
      </c>
      <c r="E9981" s="6" t="s">
        <v>15752</v>
      </c>
      <c r="F9981" s="9"/>
    </row>
    <row r="9982" ht="33.75" customHeight="1">
      <c r="A9982" s="7">
        <v>404.0</v>
      </c>
      <c r="B9982" s="9" t="s">
        <v>15749</v>
      </c>
      <c r="C9982" s="9" t="s">
        <v>15750</v>
      </c>
      <c r="D9982" s="9" t="s">
        <v>87</v>
      </c>
      <c r="E9982" s="6" t="s">
        <v>15753</v>
      </c>
      <c r="F9982" s="9"/>
    </row>
    <row r="9983" ht="33.75" customHeight="1">
      <c r="A9983" s="7">
        <v>404.0</v>
      </c>
      <c r="B9983" s="9" t="s">
        <v>15749</v>
      </c>
      <c r="C9983" s="9" t="s">
        <v>15750</v>
      </c>
      <c r="D9983" s="9" t="s">
        <v>89</v>
      </c>
      <c r="E9983" s="6" t="s">
        <v>15754</v>
      </c>
      <c r="F9983" s="9"/>
    </row>
    <row r="9984" ht="33.75" customHeight="1">
      <c r="A9984" s="7">
        <v>404.0</v>
      </c>
      <c r="B9984" s="9" t="s">
        <v>15749</v>
      </c>
      <c r="C9984" s="9" t="s">
        <v>15750</v>
      </c>
      <c r="D9984" s="9" t="s">
        <v>91</v>
      </c>
      <c r="E9984" s="6" t="s">
        <v>15754</v>
      </c>
      <c r="F9984" s="9"/>
    </row>
    <row r="9985" ht="33.75" customHeight="1">
      <c r="A9985" s="7">
        <v>404.0</v>
      </c>
      <c r="B9985" s="9" t="s">
        <v>15749</v>
      </c>
      <c r="C9985" s="9" t="s">
        <v>15750</v>
      </c>
      <c r="D9985" s="9" t="s">
        <v>93</v>
      </c>
      <c r="E9985" s="6" t="s">
        <v>15753</v>
      </c>
      <c r="F9985" s="9"/>
    </row>
    <row r="9986" ht="33.75" customHeight="1">
      <c r="A9986" s="7">
        <v>404.0</v>
      </c>
      <c r="B9986" s="9" t="s">
        <v>15749</v>
      </c>
      <c r="C9986" s="9" t="s">
        <v>15750</v>
      </c>
      <c r="D9986" s="9" t="s">
        <v>95</v>
      </c>
      <c r="E9986" s="6" t="s">
        <v>15753</v>
      </c>
      <c r="F9986" s="9"/>
    </row>
    <row r="9987" ht="33.75" customHeight="1">
      <c r="A9987" s="7">
        <v>404.0</v>
      </c>
      <c r="B9987" s="9" t="s">
        <v>15749</v>
      </c>
      <c r="C9987" s="9" t="s">
        <v>15750</v>
      </c>
      <c r="D9987" s="9" t="s">
        <v>98</v>
      </c>
      <c r="E9987" s="6" t="s">
        <v>15753</v>
      </c>
      <c r="F9987" s="9"/>
    </row>
    <row r="9988" ht="33.75" customHeight="1">
      <c r="A9988" s="7">
        <v>404.0</v>
      </c>
      <c r="B9988" s="9" t="s">
        <v>15749</v>
      </c>
      <c r="C9988" s="9" t="s">
        <v>15750</v>
      </c>
      <c r="D9988" s="9" t="s">
        <v>99</v>
      </c>
      <c r="E9988" s="6" t="s">
        <v>15753</v>
      </c>
      <c r="F9988" s="9"/>
    </row>
    <row r="9989" ht="33.75" customHeight="1">
      <c r="A9989" s="7">
        <v>404.0</v>
      </c>
      <c r="B9989" s="9" t="s">
        <v>15749</v>
      </c>
      <c r="C9989" s="9" t="s">
        <v>15750</v>
      </c>
      <c r="D9989" s="9" t="s">
        <v>101</v>
      </c>
      <c r="E9989" s="6" t="s">
        <v>15751</v>
      </c>
      <c r="F9989" s="9"/>
    </row>
    <row r="9990" ht="33.75" customHeight="1">
      <c r="A9990" s="7">
        <v>404.0</v>
      </c>
      <c r="B9990" s="9" t="s">
        <v>15749</v>
      </c>
      <c r="C9990" s="9" t="s">
        <v>15750</v>
      </c>
      <c r="D9990" s="9" t="s">
        <v>105</v>
      </c>
      <c r="E9990" s="6" t="s">
        <v>15753</v>
      </c>
      <c r="F9990" s="9"/>
    </row>
    <row r="9991" ht="33.75" customHeight="1">
      <c r="A9991" s="7">
        <v>404.0</v>
      </c>
      <c r="B9991" s="9" t="s">
        <v>15749</v>
      </c>
      <c r="C9991" s="9" t="s">
        <v>15750</v>
      </c>
      <c r="D9991" s="9" t="s">
        <v>107</v>
      </c>
      <c r="E9991" s="6" t="s">
        <v>15751</v>
      </c>
      <c r="F9991" s="9"/>
    </row>
    <row r="9992" ht="33.75" customHeight="1">
      <c r="A9992" s="7">
        <v>404.0</v>
      </c>
      <c r="B9992" s="9" t="s">
        <v>15749</v>
      </c>
      <c r="C9992" s="9" t="s">
        <v>15750</v>
      </c>
      <c r="D9992" s="9" t="s">
        <v>109</v>
      </c>
      <c r="E9992" s="6" t="s">
        <v>15753</v>
      </c>
      <c r="F9992" s="9"/>
    </row>
    <row r="9993" ht="33.75" customHeight="1">
      <c r="A9993" s="7">
        <v>404.0</v>
      </c>
      <c r="B9993" s="9" t="s">
        <v>15749</v>
      </c>
      <c r="C9993" s="9" t="s">
        <v>15750</v>
      </c>
      <c r="D9993" s="9" t="s">
        <v>114</v>
      </c>
      <c r="E9993" s="6" t="s">
        <v>15756</v>
      </c>
      <c r="F9993" s="9"/>
    </row>
    <row r="9994" ht="33.75" customHeight="1">
      <c r="A9994" s="7">
        <v>404.0</v>
      </c>
      <c r="B9994" s="9" t="s">
        <v>15749</v>
      </c>
      <c r="C9994" s="9" t="s">
        <v>15750</v>
      </c>
      <c r="D9994" s="9" t="s">
        <v>117</v>
      </c>
      <c r="E9994" s="6" t="s">
        <v>15757</v>
      </c>
      <c r="F9994" s="9"/>
    </row>
    <row r="9995" ht="33.75" customHeight="1">
      <c r="A9995" s="7">
        <v>404.0</v>
      </c>
      <c r="B9995" s="9" t="s">
        <v>15749</v>
      </c>
      <c r="C9995" s="9" t="s">
        <v>15750</v>
      </c>
      <c r="D9995" s="9" t="s">
        <v>1577</v>
      </c>
      <c r="E9995" s="6" t="s">
        <v>15758</v>
      </c>
      <c r="F9995" s="9"/>
    </row>
    <row r="9996" ht="33.75" customHeight="1">
      <c r="A9996" s="7">
        <v>405.0</v>
      </c>
      <c r="B9996" s="9" t="s">
        <v>15759</v>
      </c>
      <c r="C9996" s="9" t="s">
        <v>15760</v>
      </c>
      <c r="D9996" s="9" t="s">
        <v>81</v>
      </c>
      <c r="E9996" s="6" t="s">
        <v>15761</v>
      </c>
      <c r="F9996" t="inlineStr" s="10">
        <is>
          <t xml:space="preserve">Sillä on silmät, jotka näkevät kaiken läpi. Se havaitsee ja nappaa esineiden taakse piiloutuneen saaliin. Kun sen silmät hohtavat kultaisina, se voi havaita piileskelevän saaliin – jopa sellaisen, joka hakee suojaa muurin takaa. Se näkee selvästi seinien läpi jäljittääkseen saaliinsa ja etsiäkseen kadonneita poikasiaan. LUXRAYn kyky nähdä esineiden läpi on hyödyllinen, kun se etsii vaaroja. Luxrayn kyvystä nähdä esineiden läpi on hyötyä, kun se etsii vaaraa. Kun sen silmät hohtavat kultaisina, se voi havaita piileskelevän saaliin – jopa sellaiset, jotka hakeutuvat suojaan muurin takaa. Luxray näkee kiinteiden esineiden läpi. Se havaitsee välittömästi saaliin, joka yrittää piiloutua seinien taakse, vaikka seinät olisivat paksut. Kiinteiden esineiden läpi näkeminen kuluttaa paljon Luxrayn sähköä, joten Pokémon nukkuu pitkiä aikoja varastoidakseen energiaa. Ne muodostavat laumoja, joissa jokaisessa on yksi uros johtajana. Legendan mukaan Luxrayn kahden silmän hohde kullanhohtoisena Pokémon näkee minkä tahansa läpi.</t>
        </is>
      </c>
    </row>
    <row r="9997" ht="33.75" customHeight="1">
      <c r="A9997" s="7">
        <v>405.0</v>
      </c>
      <c r="B9997" s="9" t="s">
        <v>15759</v>
      </c>
      <c r="C9997" s="9" t="s">
        <v>15760</v>
      </c>
      <c r="D9997" s="9" t="s">
        <v>84</v>
      </c>
      <c r="E9997" s="6" t="s">
        <v>15762</v>
      </c>
      <c r="F9997" s="9"/>
    </row>
    <row r="9998" ht="33.75" customHeight="1">
      <c r="A9998" s="7">
        <v>405.0</v>
      </c>
      <c r="B9998" s="9" t="s">
        <v>15759</v>
      </c>
      <c r="C9998" s="9" t="s">
        <v>15760</v>
      </c>
      <c r="D9998" s="9" t="s">
        <v>87</v>
      </c>
      <c r="E9998" s="6" t="s">
        <v>15763</v>
      </c>
      <c r="F9998" s="9"/>
    </row>
    <row r="9999" ht="33.75" customHeight="1">
      <c r="A9999" s="7">
        <v>405.0</v>
      </c>
      <c r="B9999" s="9" t="s">
        <v>15759</v>
      </c>
      <c r="C9999" s="9" t="s">
        <v>15760</v>
      </c>
      <c r="D9999" s="9" t="s">
        <v>89</v>
      </c>
      <c r="E9999" s="6" t="s">
        <v>15764</v>
      </c>
      <c r="F9999" s="9"/>
    </row>
    <row r="10000" ht="33.75" customHeight="1">
      <c r="A10000" s="7">
        <v>405.0</v>
      </c>
      <c r="B10000" s="9" t="s">
        <v>15759</v>
      </c>
      <c r="C10000" s="9" t="s">
        <v>15760</v>
      </c>
      <c r="D10000" s="9" t="s">
        <v>91</v>
      </c>
      <c r="E10000" s="6" t="s">
        <v>15764</v>
      </c>
      <c r="F10000" s="9"/>
    </row>
    <row r="10001" ht="33.75" customHeight="1">
      <c r="A10001" s="7">
        <v>405.0</v>
      </c>
      <c r="B10001" s="9" t="s">
        <v>15759</v>
      </c>
      <c r="C10001" s="9" t="s">
        <v>15760</v>
      </c>
      <c r="D10001" s="9" t="s">
        <v>93</v>
      </c>
      <c r="E10001" s="6" t="s">
        <v>15763</v>
      </c>
      <c r="F10001" s="9"/>
    </row>
    <row r="10002" ht="33.75" customHeight="1">
      <c r="A10002" s="7">
        <v>405.0</v>
      </c>
      <c r="B10002" s="9" t="s">
        <v>15759</v>
      </c>
      <c r="C10002" s="9" t="s">
        <v>15760</v>
      </c>
      <c r="D10002" s="9" t="s">
        <v>95</v>
      </c>
      <c r="E10002" s="6" t="s">
        <v>15763</v>
      </c>
      <c r="F10002" s="9"/>
    </row>
    <row r="10003" ht="33.75" customHeight="1">
      <c r="A10003" s="7">
        <v>405.0</v>
      </c>
      <c r="B10003" s="9" t="s">
        <v>15759</v>
      </c>
      <c r="C10003" s="9" t="s">
        <v>15760</v>
      </c>
      <c r="D10003" s="9" t="s">
        <v>98</v>
      </c>
      <c r="E10003" s="6" t="s">
        <v>15763</v>
      </c>
      <c r="F10003" s="9"/>
    </row>
    <row r="10004" ht="33.75" customHeight="1">
      <c r="A10004" s="7">
        <v>405.0</v>
      </c>
      <c r="B10004" s="9" t="s">
        <v>15759</v>
      </c>
      <c r="C10004" s="9" t="s">
        <v>15760</v>
      </c>
      <c r="D10004" s="9" t="s">
        <v>99</v>
      </c>
      <c r="E10004" s="6" t="s">
        <v>15763</v>
      </c>
      <c r="F10004" s="9"/>
    </row>
    <row r="10005" ht="33.75" customHeight="1">
      <c r="A10005" s="7">
        <v>405.0</v>
      </c>
      <c r="B10005" s="9" t="s">
        <v>15759</v>
      </c>
      <c r="C10005" s="9" t="s">
        <v>15760</v>
      </c>
      <c r="D10005" s="9" t="s">
        <v>101</v>
      </c>
      <c r="E10005" s="6" t="s">
        <v>15762</v>
      </c>
      <c r="F10005" s="9"/>
    </row>
    <row r="10006" ht="33.75" customHeight="1">
      <c r="A10006" s="7">
        <v>405.0</v>
      </c>
      <c r="B10006" s="9" t="s">
        <v>15759</v>
      </c>
      <c r="C10006" s="9" t="s">
        <v>15760</v>
      </c>
      <c r="D10006" s="9" t="s">
        <v>105</v>
      </c>
      <c r="E10006" s="6" t="s">
        <v>15765</v>
      </c>
      <c r="F10006" s="9"/>
    </row>
    <row r="10007" ht="33.75" customHeight="1">
      <c r="A10007" s="7">
        <v>405.0</v>
      </c>
      <c r="B10007" s="9" t="s">
        <v>15759</v>
      </c>
      <c r="C10007" s="9" t="s">
        <v>15760</v>
      </c>
      <c r="D10007" s="9" t="s">
        <v>107</v>
      </c>
      <c r="E10007" s="6" t="s">
        <v>15766</v>
      </c>
      <c r="F10007" s="9"/>
    </row>
    <row r="10008" ht="33.75" customHeight="1">
      <c r="A10008" s="7">
        <v>405.0</v>
      </c>
      <c r="B10008" s="9" t="s">
        <v>15759</v>
      </c>
      <c r="C10008" s="9" t="s">
        <v>15760</v>
      </c>
      <c r="D10008" s="9" t="s">
        <v>109</v>
      </c>
      <c r="E10008" s="6" t="s">
        <v>15765</v>
      </c>
      <c r="F10008" s="9"/>
    </row>
    <row r="10009" ht="33.75" customHeight="1">
      <c r="A10009" s="7">
        <v>405.0</v>
      </c>
      <c r="B10009" s="9" t="s">
        <v>15759</v>
      </c>
      <c r="C10009" s="9" t="s">
        <v>15760</v>
      </c>
      <c r="D10009" s="9" t="s">
        <v>114</v>
      </c>
      <c r="E10009" s="6" t="s">
        <v>15767</v>
      </c>
      <c r="F10009" s="9"/>
    </row>
    <row r="10010" ht="33.75" customHeight="1">
      <c r="A10010" s="7">
        <v>405.0</v>
      </c>
      <c r="B10010" s="9" t="s">
        <v>15759</v>
      </c>
      <c r="C10010" s="9" t="s">
        <v>15760</v>
      </c>
      <c r="D10010" s="9" t="s">
        <v>117</v>
      </c>
      <c r="E10010" s="6" t="s">
        <v>15768</v>
      </c>
      <c r="F10010" s="9"/>
    </row>
    <row r="10011" ht="33.75" customHeight="1">
      <c r="A10011" s="7">
        <v>405.0</v>
      </c>
      <c r="B10011" s="9" t="s">
        <v>15759</v>
      </c>
      <c r="C10011" s="9" t="s">
        <v>15760</v>
      </c>
      <c r="D10011" s="9" t="s">
        <v>1577</v>
      </c>
      <c r="E10011" s="6" t="s">
        <v>15769</v>
      </c>
      <c r="F10011" s="9"/>
    </row>
    <row r="10012" ht="33.75" customHeight="1">
      <c r="A10012" s="7">
        <v>406.0</v>
      </c>
      <c r="B10012" s="9" t="s">
        <v>15770</v>
      </c>
      <c r="C10012" s="9" t="s">
        <v>15771</v>
      </c>
      <c r="D10012" s="9" t="s">
        <v>81</v>
      </c>
      <c r="E10012" s="6" t="s">
        <v>15772</v>
      </c>
      <c r="F10012" t="inlineStr" s="10">
        <is>
          <t xml:space="preserve">Talven yli se sulkee nupunsa ja kestää kylmän. Keväällä nuput avautuvat ja vapauttavat siitepölyä. Se elää kirkkaiden lampien rannoilla. Se levittää siitepölyä, joka aiheuttaa voimakasta aivastelua ja vuotavaa nenää. Herkkä lämpötilan muutoksille, nupun sanotaan kukkivan, kun se tuntee auringon lämpimän kosketuksen. Kun se tuntee auringon lämpimän kosketuksen, se avaa nupunsa ja vapauttaa siitepölyä. Se elää kirkkaiden lammikoiden rannoilla. Lämpötilan muutoksille herkkä nuppu kukkii lämpimässä vapauttaen myrkyllistä siitepölyä. Sen vapauttama siitepöly sisältää myrkkyä. Jos tätä Pokémonia kasvatetaan puhtaalla vedellä, myrkyn myrkyllisyys lisääntyy. Tämä Pokémon on erittäin herkkä lämpötilan muutoksille. Kun sen nuppu alkaa avautua, se tarkoittaa, että kevät on aivan nurkan takana. Kun auringonvalo voimistuu, tämän Pokémonin pään nuput avautuvat. Tämä on merkki ihmisille siitä, että ankara talvi on ohi ja silmujen muodostumiskausi on alkanut.</t>
        </is>
      </c>
    </row>
    <row r="10013" ht="33.75" customHeight="1">
      <c r="A10013" s="7">
        <v>406.0</v>
      </c>
      <c r="B10013" s="9" t="s">
        <v>15770</v>
      </c>
      <c r="C10013" s="9" t="s">
        <v>15771</v>
      </c>
      <c r="D10013" s="9" t="s">
        <v>84</v>
      </c>
      <c r="E10013" s="6" t="s">
        <v>15773</v>
      </c>
      <c r="F10013" s="9"/>
    </row>
    <row r="10014" ht="33.75" customHeight="1">
      <c r="A10014" s="7">
        <v>406.0</v>
      </c>
      <c r="B10014" s="9" t="s">
        <v>15770</v>
      </c>
      <c r="C10014" s="9" t="s">
        <v>15771</v>
      </c>
      <c r="D10014" s="9" t="s">
        <v>87</v>
      </c>
      <c r="E10014" s="6" t="s">
        <v>15774</v>
      </c>
      <c r="F10014" s="9"/>
    </row>
    <row r="10015" ht="33.75" customHeight="1">
      <c r="A10015" s="7">
        <v>406.0</v>
      </c>
      <c r="B10015" s="9" t="s">
        <v>15770</v>
      </c>
      <c r="C10015" s="9" t="s">
        <v>15771</v>
      </c>
      <c r="D10015" s="9" t="s">
        <v>89</v>
      </c>
      <c r="E10015" s="6" t="s">
        <v>15775</v>
      </c>
      <c r="F10015" s="9"/>
    </row>
    <row r="10016" ht="33.75" customHeight="1">
      <c r="A10016" s="7">
        <v>406.0</v>
      </c>
      <c r="B10016" s="9" t="s">
        <v>15770</v>
      </c>
      <c r="C10016" s="9" t="s">
        <v>15771</v>
      </c>
      <c r="D10016" s="9" t="s">
        <v>91</v>
      </c>
      <c r="E10016" s="6" t="s">
        <v>15775</v>
      </c>
      <c r="F10016" s="9"/>
    </row>
    <row r="10017" ht="33.75" customHeight="1">
      <c r="A10017" s="7">
        <v>406.0</v>
      </c>
      <c r="B10017" s="9" t="s">
        <v>15770</v>
      </c>
      <c r="C10017" s="9" t="s">
        <v>15771</v>
      </c>
      <c r="D10017" s="9" t="s">
        <v>93</v>
      </c>
      <c r="E10017" s="6" t="s">
        <v>15774</v>
      </c>
      <c r="F10017" s="9"/>
    </row>
    <row r="10018" ht="33.75" customHeight="1">
      <c r="A10018" s="7">
        <v>406.0</v>
      </c>
      <c r="B10018" s="9" t="s">
        <v>15770</v>
      </c>
      <c r="C10018" s="9" t="s">
        <v>15771</v>
      </c>
      <c r="D10018" s="9" t="s">
        <v>95</v>
      </c>
      <c r="E10018" s="6" t="s">
        <v>15774</v>
      </c>
      <c r="F10018" s="9"/>
    </row>
    <row r="10019" ht="33.75" customHeight="1">
      <c r="A10019" s="7">
        <v>406.0</v>
      </c>
      <c r="B10019" s="9" t="s">
        <v>15770</v>
      </c>
      <c r="C10019" s="9" t="s">
        <v>15771</v>
      </c>
      <c r="D10019" s="9" t="s">
        <v>98</v>
      </c>
      <c r="E10019" s="6" t="s">
        <v>15777</v>
      </c>
      <c r="F10019" s="9"/>
    </row>
    <row r="10020" ht="33.75" customHeight="1">
      <c r="A10020" s="7">
        <v>406.0</v>
      </c>
      <c r="B10020" s="9" t="s">
        <v>15770</v>
      </c>
      <c r="C10020" s="9" t="s">
        <v>15771</v>
      </c>
      <c r="D10020" s="9" t="s">
        <v>99</v>
      </c>
      <c r="E10020" s="6" t="s">
        <v>15777</v>
      </c>
      <c r="F10020" s="9"/>
    </row>
    <row r="10021" ht="33.75" customHeight="1">
      <c r="A10021" s="7">
        <v>406.0</v>
      </c>
      <c r="B10021" s="9" t="s">
        <v>15770</v>
      </c>
      <c r="C10021" s="9" t="s">
        <v>15771</v>
      </c>
      <c r="D10021" s="9" t="s">
        <v>101</v>
      </c>
      <c r="E10021" s="6" t="s">
        <v>15775</v>
      </c>
      <c r="F10021" s="9"/>
    </row>
    <row r="10022" ht="33.75" customHeight="1">
      <c r="A10022" s="7">
        <v>406.0</v>
      </c>
      <c r="B10022" s="9" t="s">
        <v>15770</v>
      </c>
      <c r="C10022" s="9" t="s">
        <v>15771</v>
      </c>
      <c r="D10022" s="9" t="s">
        <v>105</v>
      </c>
      <c r="E10022" s="6" t="s">
        <v>15772</v>
      </c>
      <c r="F10022" s="9"/>
    </row>
    <row r="10023" ht="33.75" customHeight="1">
      <c r="A10023" s="7">
        <v>406.0</v>
      </c>
      <c r="B10023" s="9" t="s">
        <v>15770</v>
      </c>
      <c r="C10023" s="9" t="s">
        <v>15771</v>
      </c>
      <c r="D10023" s="9" t="s">
        <v>107</v>
      </c>
      <c r="E10023" s="6" t="s">
        <v>15775</v>
      </c>
      <c r="F10023" s="9"/>
    </row>
    <row r="10024" ht="33.75" customHeight="1">
      <c r="A10024" s="7">
        <v>406.0</v>
      </c>
      <c r="B10024" s="9" t="s">
        <v>15770</v>
      </c>
      <c r="C10024" s="9" t="s">
        <v>15771</v>
      </c>
      <c r="D10024" s="9" t="s">
        <v>109</v>
      </c>
      <c r="E10024" s="6" t="s">
        <v>15772</v>
      </c>
      <c r="F10024" s="9"/>
    </row>
    <row r="10025" ht="33.75" customHeight="1">
      <c r="A10025" s="7">
        <v>406.0</v>
      </c>
      <c r="B10025" s="9" t="s">
        <v>15770</v>
      </c>
      <c r="C10025" s="9" t="s">
        <v>15771</v>
      </c>
      <c r="D10025" s="9" t="s">
        <v>114</v>
      </c>
      <c r="E10025" s="6" t="s">
        <v>15778</v>
      </c>
      <c r="F10025" s="9"/>
    </row>
    <row r="10026" ht="33.75" customHeight="1">
      <c r="A10026" s="7">
        <v>406.0</v>
      </c>
      <c r="B10026" s="9" t="s">
        <v>15770</v>
      </c>
      <c r="C10026" s="9" t="s">
        <v>15771</v>
      </c>
      <c r="D10026" s="9" t="s">
        <v>117</v>
      </c>
      <c r="E10026" s="6" t="s">
        <v>15779</v>
      </c>
      <c r="F10026" s="9"/>
    </row>
    <row r="10027" ht="33.75" customHeight="1">
      <c r="A10027" s="7">
        <v>406.0</v>
      </c>
      <c r="B10027" s="9" t="s">
        <v>15770</v>
      </c>
      <c r="C10027" s="9" t="s">
        <v>15771</v>
      </c>
      <c r="D10027" s="9" t="s">
        <v>1577</v>
      </c>
      <c r="E10027" s="6" t="s">
        <v>15780</v>
      </c>
      <c r="F10027" s="9"/>
    </row>
    <row r="10028" ht="33.75" customHeight="1">
      <c r="A10028" s="7">
        <v>407.0</v>
      </c>
      <c r="B10028" s="9" t="s">
        <v>15782</v>
      </c>
      <c r="C10028" s="9" t="s">
        <v>15783</v>
      </c>
      <c r="D10028" s="9" t="s">
        <v>81</v>
      </c>
      <c r="E10028" s="6" t="s">
        <v>15784</v>
      </c>
      <c r="F10028" t="inlineStr" s="10">
        <is>
          <t xml:space="preserve">Roserade houkuttelee saalista makealla tuoksullaan ja sitten lyö sen alas piikkisillä ruoskilla, jotka on piilotettu sen syliin. Tanssijan liikkein se iskee ruoskilla, jotka ovat tiheästi vuorattuja myrkkypiikkeillä. Sen jokainen käsi sisältää erilaisia ​​myrkkyjä, mutta molemmat kädet voivat iskeä lähes tappavalla voimalla. Sen makea tuoksu houkuttelee saalista. Sitten se sylkee myrkkyä. Mitä myrkyllisempää se on, sitä makeampi sen tuoksu. Se houkuttelee saalista makealla tuoksullaan ja käyttää käsivarsissaan olevia myrkkyruoskia saaliin myrkyttämiseen, sitomiseen ja loppuunsyömiseen. Lumottuaan vastustajat makealla tuoksullaan se pieksee heitä piikikkäillä ruoskillaan. Sen oikeassa kädessä oleva myrkky on nopeasti vaikuttavaa. Sen vasemmassa kädessä oleva myrkky on hitaasti vaikuttavaa. Molemmat ovat hengenvaarallisia. Kummankin käden kimpussa on piilotettu piikikkäät ruoskat, jotka on ladattu myrkyllisellä aineella. Roserade liikkuu sulavasti nurkkaan ahdistaessaan saaliinsa ja pieksee sitä armottomasti ruoskillaan.</t>
        </is>
      </c>
    </row>
    <row r="10029" ht="33.75" customHeight="1">
      <c r="A10029" s="7">
        <v>407.0</v>
      </c>
      <c r="B10029" s="9" t="s">
        <v>15782</v>
      </c>
      <c r="C10029" s="9" t="s">
        <v>15783</v>
      </c>
      <c r="D10029" s="9" t="s">
        <v>84</v>
      </c>
      <c r="E10029" s="6" t="s">
        <v>15785</v>
      </c>
      <c r="F10029" s="9"/>
    </row>
    <row r="10030" ht="33.75" customHeight="1">
      <c r="A10030" s="7">
        <v>407.0</v>
      </c>
      <c r="B10030" s="9" t="s">
        <v>15782</v>
      </c>
      <c r="C10030" s="9" t="s">
        <v>15783</v>
      </c>
      <c r="D10030" s="9" t="s">
        <v>87</v>
      </c>
      <c r="E10030" s="6" t="s">
        <v>15786</v>
      </c>
      <c r="F10030" s="9"/>
    </row>
    <row r="10031" ht="33.75" customHeight="1">
      <c r="A10031" s="7">
        <v>407.0</v>
      </c>
      <c r="B10031" s="9" t="s">
        <v>15782</v>
      </c>
      <c r="C10031" s="9" t="s">
        <v>15783</v>
      </c>
      <c r="D10031" s="9" t="s">
        <v>89</v>
      </c>
      <c r="E10031" s="6" t="s">
        <v>15787</v>
      </c>
      <c r="F10031" s="9"/>
    </row>
    <row r="10032" ht="33.75" customHeight="1">
      <c r="A10032" s="7">
        <v>407.0</v>
      </c>
      <c r="B10032" s="9" t="s">
        <v>15782</v>
      </c>
      <c r="C10032" s="9" t="s">
        <v>15783</v>
      </c>
      <c r="D10032" s="9" t="s">
        <v>91</v>
      </c>
      <c r="E10032" s="6" t="s">
        <v>15787</v>
      </c>
      <c r="F10032" s="9"/>
    </row>
    <row r="10033" ht="33.75" customHeight="1">
      <c r="A10033" s="7">
        <v>407.0</v>
      </c>
      <c r="B10033" s="9" t="s">
        <v>15782</v>
      </c>
      <c r="C10033" s="9" t="s">
        <v>15783</v>
      </c>
      <c r="D10033" s="9" t="s">
        <v>93</v>
      </c>
      <c r="E10033" s="6" t="s">
        <v>15786</v>
      </c>
      <c r="F10033" s="9"/>
    </row>
    <row r="10034" ht="33.75" customHeight="1">
      <c r="A10034" s="7">
        <v>407.0</v>
      </c>
      <c r="B10034" s="9" t="s">
        <v>15782</v>
      </c>
      <c r="C10034" s="9" t="s">
        <v>15783</v>
      </c>
      <c r="D10034" s="9" t="s">
        <v>95</v>
      </c>
      <c r="E10034" s="6" t="s">
        <v>15786</v>
      </c>
      <c r="F10034" s="9"/>
    </row>
    <row r="10035" ht="33.75" customHeight="1">
      <c r="A10035" s="7">
        <v>407.0</v>
      </c>
      <c r="B10035" s="9" t="s">
        <v>15782</v>
      </c>
      <c r="C10035" s="9" t="s">
        <v>15783</v>
      </c>
      <c r="D10035" s="9" t="s">
        <v>98</v>
      </c>
      <c r="E10035" s="6" t="s">
        <v>15788</v>
      </c>
      <c r="F10035" s="9"/>
    </row>
    <row r="10036" ht="33.75" customHeight="1">
      <c r="A10036" s="7">
        <v>407.0</v>
      </c>
      <c r="B10036" s="9" t="s">
        <v>15782</v>
      </c>
      <c r="C10036" s="9" t="s">
        <v>15783</v>
      </c>
      <c r="D10036" s="9" t="s">
        <v>99</v>
      </c>
      <c r="E10036" s="6" t="s">
        <v>15788</v>
      </c>
      <c r="F10036" s="9"/>
    </row>
    <row r="10037" ht="33.75" customHeight="1">
      <c r="A10037" s="7">
        <v>407.0</v>
      </c>
      <c r="B10037" s="9" t="s">
        <v>15782</v>
      </c>
      <c r="C10037" s="9" t="s">
        <v>15783</v>
      </c>
      <c r="D10037" s="9" t="s">
        <v>101</v>
      </c>
      <c r="E10037" s="6" t="s">
        <v>15788</v>
      </c>
      <c r="F10037" s="9"/>
    </row>
    <row r="10038" ht="33.75" customHeight="1">
      <c r="A10038" s="7">
        <v>407.0</v>
      </c>
      <c r="B10038" s="9" t="s">
        <v>15782</v>
      </c>
      <c r="C10038" s="9" t="s">
        <v>15783</v>
      </c>
      <c r="D10038" s="9" t="s">
        <v>105</v>
      </c>
      <c r="E10038" s="6" t="s">
        <v>15785</v>
      </c>
      <c r="F10038" s="9"/>
    </row>
    <row r="10039" ht="33.75" customHeight="1">
      <c r="A10039" s="7">
        <v>407.0</v>
      </c>
      <c r="B10039" s="9" t="s">
        <v>15782</v>
      </c>
      <c r="C10039" s="9" t="s">
        <v>15783</v>
      </c>
      <c r="D10039" s="9" t="s">
        <v>107</v>
      </c>
      <c r="E10039" s="6" t="s">
        <v>15788</v>
      </c>
      <c r="F10039" s="9"/>
    </row>
    <row r="10040" ht="33.75" customHeight="1">
      <c r="A10040" s="7">
        <v>407.0</v>
      </c>
      <c r="B10040" s="9" t="s">
        <v>15782</v>
      </c>
      <c r="C10040" s="9" t="s">
        <v>15783</v>
      </c>
      <c r="D10040" s="9" t="s">
        <v>109</v>
      </c>
      <c r="E10040" s="6" t="s">
        <v>15785</v>
      </c>
      <c r="F10040" s="9"/>
    </row>
    <row r="10041" ht="33.75" customHeight="1">
      <c r="A10041" s="7">
        <v>407.0</v>
      </c>
      <c r="B10041" s="9" t="s">
        <v>15782</v>
      </c>
      <c r="C10041" s="9" t="s">
        <v>15783</v>
      </c>
      <c r="D10041" s="9" t="s">
        <v>114</v>
      </c>
      <c r="E10041" s="6" t="s">
        <v>15789</v>
      </c>
      <c r="F10041" s="9"/>
    </row>
    <row r="10042" ht="33.75" customHeight="1">
      <c r="A10042" s="7">
        <v>407.0</v>
      </c>
      <c r="B10042" s="9" t="s">
        <v>15782</v>
      </c>
      <c r="C10042" s="9" t="s">
        <v>15783</v>
      </c>
      <c r="D10042" s="9" t="s">
        <v>117</v>
      </c>
      <c r="E10042" s="6" t="s">
        <v>15791</v>
      </c>
      <c r="F10042" s="9"/>
    </row>
    <row r="10043" ht="33.75" customHeight="1">
      <c r="A10043" s="7">
        <v>407.0</v>
      </c>
      <c r="B10043" s="9" t="s">
        <v>15782</v>
      </c>
      <c r="C10043" s="9" t="s">
        <v>15783</v>
      </c>
      <c r="D10043" s="9" t="s">
        <v>1577</v>
      </c>
      <c r="E10043" s="6" t="s">
        <v>15792</v>
      </c>
      <c r="F10043" s="9"/>
    </row>
    <row r="10044" ht="33.75" customHeight="1">
      <c r="A10044" s="7">
        <v>408.0</v>
      </c>
      <c r="B10044" s="9" t="s">
        <v>15793</v>
      </c>
      <c r="C10044" s="9" t="s">
        <v>15794</v>
      </c>
      <c r="D10044" s="9" t="s">
        <v>81</v>
      </c>
      <c r="E10044" s="6" t="s">
        <v>15795</v>
      </c>
      <c r="F10044" t="inlineStr" s="10">
        <is>
          <t xml:space="preserve">Cranidos eli viidakoissa noin 100 miljoonaa vuotta sitten. Sen kallo on kova kuin rauta. Se herätettiin henkiin rautapallon kaltaisesta fossiilista. Se kaataa saaliinsa pääniskuilla. Se oli elinikäinen viidakon asukas 100 miljoonaa vuotta sitten, ja se napsautti tiellä olevia puita pääniskuilla. CRANIDOS kovettavat jo ennestään kivikovia päitään puskemalla toisiaan päällään. Se eli viidakoissa noin sata miljoonaa vuotta sitten. Se käytti taitavia pääniskujaan Aerodactylin torjumiseen. Kivikerroksista, joista Cranidos-fossiileja löytyy, löytyy usein myös kahtia katkenneiden puiden kivettyneitä runkoja. Alkukantainen Pokémon, jolla on kova ja tukeva kallo, eikä sisällä lainkaan älykkyyttä. Sen kova kallo on sen erottava piirre. Se katkaisi puita puskemalla niitä päällään ja söi sitten niiden kypsiä marjoja. Uskomattoman harvinainen näky. He kaksintaistelevat toisiaan vastaan ​​paiskaamalla päätään yhteen, ja syntyvä ääni kaikuu alueella kuin kellon kumina.</t>
        </is>
      </c>
    </row>
    <row r="10045" ht="33.75" customHeight="1">
      <c r="A10045" s="7">
        <v>408.0</v>
      </c>
      <c r="B10045" s="9" t="s">
        <v>15793</v>
      </c>
      <c r="C10045" s="9" t="s">
        <v>15794</v>
      </c>
      <c r="D10045" s="9" t="s">
        <v>84</v>
      </c>
      <c r="E10045" s="6" t="s">
        <v>15796</v>
      </c>
      <c r="F10045" s="9"/>
    </row>
    <row r="10046" ht="33.75" customHeight="1">
      <c r="A10046" s="7">
        <v>408.0</v>
      </c>
      <c r="B10046" s="9" t="s">
        <v>15793</v>
      </c>
      <c r="C10046" s="9" t="s">
        <v>15794</v>
      </c>
      <c r="D10046" s="9" t="s">
        <v>87</v>
      </c>
      <c r="E10046" s="6" t="s">
        <v>15797</v>
      </c>
      <c r="F10046" s="9"/>
    </row>
    <row r="10047" ht="33.75" customHeight="1">
      <c r="A10047" s="7">
        <v>408.0</v>
      </c>
      <c r="B10047" s="9" t="s">
        <v>15793</v>
      </c>
      <c r="C10047" s="9" t="s">
        <v>15794</v>
      </c>
      <c r="D10047" s="9" t="s">
        <v>89</v>
      </c>
      <c r="E10047" s="6" t="s">
        <v>15798</v>
      </c>
      <c r="F10047" s="9"/>
    </row>
    <row r="10048" ht="33.75" customHeight="1">
      <c r="A10048" s="7">
        <v>408.0</v>
      </c>
      <c r="B10048" s="9" t="s">
        <v>15793</v>
      </c>
      <c r="C10048" s="9" t="s">
        <v>15794</v>
      </c>
      <c r="D10048" s="9" t="s">
        <v>91</v>
      </c>
      <c r="E10048" s="6" t="s">
        <v>15798</v>
      </c>
      <c r="F10048" s="9"/>
    </row>
    <row r="10049" ht="33.75" customHeight="1">
      <c r="A10049" s="7">
        <v>408.0</v>
      </c>
      <c r="B10049" s="9" t="s">
        <v>15793</v>
      </c>
      <c r="C10049" s="9" t="s">
        <v>15794</v>
      </c>
      <c r="D10049" s="9" t="s">
        <v>93</v>
      </c>
      <c r="E10049" s="6" t="s">
        <v>15797</v>
      </c>
      <c r="F10049" s="9"/>
    </row>
    <row r="10050" ht="33.75" customHeight="1">
      <c r="A10050" s="7">
        <v>408.0</v>
      </c>
      <c r="B10050" s="9" t="s">
        <v>15793</v>
      </c>
      <c r="C10050" s="9" t="s">
        <v>15794</v>
      </c>
      <c r="D10050" s="9" t="s">
        <v>95</v>
      </c>
      <c r="E10050" s="6" t="s">
        <v>15797</v>
      </c>
      <c r="F10050" s="9"/>
    </row>
    <row r="10051" ht="33.75" customHeight="1">
      <c r="A10051" s="7">
        <v>408.0</v>
      </c>
      <c r="B10051" s="9" t="s">
        <v>15793</v>
      </c>
      <c r="C10051" s="9" t="s">
        <v>15794</v>
      </c>
      <c r="D10051" s="9" t="s">
        <v>98</v>
      </c>
      <c r="E10051" s="6" t="s">
        <v>15797</v>
      </c>
      <c r="F10051" s="9"/>
    </row>
    <row r="10052" ht="33.75" customHeight="1">
      <c r="A10052" s="7">
        <v>408.0</v>
      </c>
      <c r="B10052" s="9" t="s">
        <v>15793</v>
      </c>
      <c r="C10052" s="9" t="s">
        <v>15794</v>
      </c>
      <c r="D10052" s="9" t="s">
        <v>99</v>
      </c>
      <c r="E10052" s="6" t="s">
        <v>15797</v>
      </c>
      <c r="F10052" s="9"/>
    </row>
    <row r="10053" ht="33.75" customHeight="1">
      <c r="A10053" s="7">
        <v>408.0</v>
      </c>
      <c r="B10053" s="9" t="s">
        <v>15793</v>
      </c>
      <c r="C10053" s="9" t="s">
        <v>15794</v>
      </c>
      <c r="D10053" s="9" t="s">
        <v>101</v>
      </c>
      <c r="E10053" s="6" t="s">
        <v>15796</v>
      </c>
      <c r="F10053" s="9"/>
    </row>
    <row r="10054" ht="33.75" customHeight="1">
      <c r="A10054" s="7">
        <v>408.0</v>
      </c>
      <c r="B10054" s="9" t="s">
        <v>15793</v>
      </c>
      <c r="C10054" s="9" t="s">
        <v>15794</v>
      </c>
      <c r="D10054" s="9" t="s">
        <v>105</v>
      </c>
      <c r="E10054" s="6" t="s">
        <v>15797</v>
      </c>
      <c r="F10054" s="9"/>
    </row>
    <row r="10055" ht="33.75" customHeight="1">
      <c r="A10055" s="7">
        <v>408.0</v>
      </c>
      <c r="B10055" s="9" t="s">
        <v>15793</v>
      </c>
      <c r="C10055" s="9" t="s">
        <v>15794</v>
      </c>
      <c r="D10055" s="9" t="s">
        <v>107</v>
      </c>
      <c r="E10055" s="6" t="s">
        <v>15796</v>
      </c>
      <c r="F10055" s="9"/>
    </row>
    <row r="10056" ht="33.75" customHeight="1">
      <c r="A10056" s="7">
        <v>408.0</v>
      </c>
      <c r="B10056" s="9" t="s">
        <v>15793</v>
      </c>
      <c r="C10056" s="9" t="s">
        <v>15794</v>
      </c>
      <c r="D10056" s="9" t="s">
        <v>109</v>
      </c>
      <c r="E10056" s="6" t="s">
        <v>15797</v>
      </c>
      <c r="F10056" s="9"/>
    </row>
    <row r="10057" ht="33.75" customHeight="1">
      <c r="A10057" s="7">
        <v>408.0</v>
      </c>
      <c r="B10057" s="9" t="s">
        <v>15793</v>
      </c>
      <c r="C10057" s="9" t="s">
        <v>15794</v>
      </c>
      <c r="D10057" s="9" t="s">
        <v>637</v>
      </c>
      <c r="E10057" s="6" t="s">
        <v>15799</v>
      </c>
      <c r="F10057" s="9"/>
    </row>
    <row r="10058" ht="33.75" customHeight="1">
      <c r="A10058" s="7">
        <v>408.0</v>
      </c>
      <c r="B10058" s="9" t="s">
        <v>15793</v>
      </c>
      <c r="C10058" s="9" t="s">
        <v>15794</v>
      </c>
      <c r="D10058" s="9" t="s">
        <v>642</v>
      </c>
      <c r="E10058" s="6" t="s">
        <v>15800</v>
      </c>
      <c r="F10058" s="9"/>
    </row>
    <row r="10059" ht="33.75" customHeight="1">
      <c r="A10059" s="7">
        <v>408.0</v>
      </c>
      <c r="B10059" s="9" t="s">
        <v>15793</v>
      </c>
      <c r="C10059" s="9" t="s">
        <v>15794</v>
      </c>
      <c r="D10059" s="9" t="s">
        <v>647</v>
      </c>
      <c r="E10059" s="6" t="s">
        <v>15801</v>
      </c>
      <c r="F10059" s="9"/>
    </row>
    <row r="10060" ht="33.75" customHeight="1">
      <c r="A10060" s="7">
        <v>408.0</v>
      </c>
      <c r="B10060" s="9" t="s">
        <v>15793</v>
      </c>
      <c r="C10060" s="9" t="s">
        <v>15794</v>
      </c>
      <c r="D10060" s="9" t="s">
        <v>652</v>
      </c>
      <c r="E10060" s="6" t="s">
        <v>15802</v>
      </c>
      <c r="F10060" s="9"/>
    </row>
    <row r="10061" ht="33.75" customHeight="1">
      <c r="A10061" s="7">
        <v>408.0</v>
      </c>
      <c r="B10061" s="9" t="s">
        <v>15793</v>
      </c>
      <c r="C10061" s="9" t="s">
        <v>15794</v>
      </c>
      <c r="D10061" s="9" t="s">
        <v>1577</v>
      </c>
      <c r="E10061" s="6" t="s">
        <v>15803</v>
      </c>
      <c r="F10061" s="9"/>
    </row>
    <row r="10062" ht="33.75" customHeight="1">
      <c r="A10062" s="7">
        <v>409.0</v>
      </c>
      <c r="B10062" s="9" t="s">
        <v>15804</v>
      </c>
      <c r="C10062" s="9" t="s">
        <v>15794</v>
      </c>
      <c r="D10062" s="9" t="s">
        <v>81</v>
      </c>
      <c r="E10062" s="6" t="s">
        <v>15805</v>
      </c>
      <c r="F10062" t="inlineStr" s="10">
        <is>
          <t xml:space="preserve">Rampardosin voimakkaalla pääniskulla on tarpeeksi voimaa rikkoa jopa kestävimmät esineet osuessaan. Sen kallo on kova kuin rauta. Se on peto, joka kaataa viidakkopuita saalista pyydystääkseen. Jos kaksi ihmistä murskaisi päänsä yhteen, heidän jalkaa paksut kallonsa estäisivät heitä pyörtymästä. Sen kallo kestää minkä tahansa suuruisia iskuja. Tämän seurauksena sen aivot eivät koskaan pääse kasvamaan. Toistuvien pääniskujen seurauksena kallo on paksuuntunut ja kova. Sen aivot ovat kuitenkin kutistuneet kooltaan Cranidosin aivoihin verrattuna. On olemassa tietoja elvytetystä fossiilista, joka kehittyi Rampardosiksi. Se pääsi karkaamaan ja tuhosi sitten pilvenpiirtäjän pääniskulla. Muinaisina aikoina ihmiset kaivoivat esiin tämän Pokémonin fossiileja ja käyttivät sen kalloa, joka on terästä kovempaa, kypärien tekemiseen. Tämä muinainen Pokémon käytti pääniskuja taitavasti. Sen aivot olivat todella pienet, joten jotkut teoriat viittaavat siihen, että sen tyhmyys johti sen sukupuuttoon. Sen biologiasta tiedetään hyvin vähän. Se voi kaataa massiivisia puita murskaamalla kauniin, helmiäismäisen latvuksensa niitä vasten.</t>
        </is>
      </c>
    </row>
    <row r="10063" ht="33.75" customHeight="1">
      <c r="A10063" s="7">
        <v>409.0</v>
      </c>
      <c r="B10063" s="9" t="s">
        <v>15804</v>
      </c>
      <c r="C10063" s="9" t="s">
        <v>15794</v>
      </c>
      <c r="D10063" s="9" t="s">
        <v>84</v>
      </c>
      <c r="E10063" s="6" t="s">
        <v>15806</v>
      </c>
      <c r="F10063" s="9"/>
    </row>
    <row r="10064" ht="33.75" customHeight="1">
      <c r="A10064" s="7">
        <v>409.0</v>
      </c>
      <c r="B10064" s="9" t="s">
        <v>15804</v>
      </c>
      <c r="C10064" s="9" t="s">
        <v>15794</v>
      </c>
      <c r="D10064" s="9" t="s">
        <v>87</v>
      </c>
      <c r="E10064" s="6" t="s">
        <v>15807</v>
      </c>
      <c r="F10064" s="9"/>
    </row>
    <row r="10065" ht="33.75" customHeight="1">
      <c r="A10065" s="7">
        <v>409.0</v>
      </c>
      <c r="B10065" s="9" t="s">
        <v>15804</v>
      </c>
      <c r="C10065" s="9" t="s">
        <v>15794</v>
      </c>
      <c r="D10065" s="9" t="s">
        <v>89</v>
      </c>
      <c r="E10065" s="6" t="s">
        <v>15809</v>
      </c>
      <c r="F10065" s="9"/>
    </row>
    <row r="10066" ht="33.75" customHeight="1">
      <c r="A10066" s="7">
        <v>409.0</v>
      </c>
      <c r="B10066" s="9" t="s">
        <v>15804</v>
      </c>
      <c r="C10066" s="9" t="s">
        <v>15794</v>
      </c>
      <c r="D10066" s="9" t="s">
        <v>91</v>
      </c>
      <c r="E10066" s="6" t="s">
        <v>15809</v>
      </c>
      <c r="F10066" s="9"/>
    </row>
    <row r="10067" ht="33.75" customHeight="1">
      <c r="A10067" s="7">
        <v>409.0</v>
      </c>
      <c r="B10067" s="9" t="s">
        <v>15804</v>
      </c>
      <c r="C10067" s="9" t="s">
        <v>15794</v>
      </c>
      <c r="D10067" s="9" t="s">
        <v>93</v>
      </c>
      <c r="E10067" s="6" t="s">
        <v>15807</v>
      </c>
      <c r="F10067" s="9"/>
    </row>
    <row r="10068" ht="33.75" customHeight="1">
      <c r="A10068" s="7">
        <v>409.0</v>
      </c>
      <c r="B10068" s="9" t="s">
        <v>15804</v>
      </c>
      <c r="C10068" s="9" t="s">
        <v>15794</v>
      </c>
      <c r="D10068" s="9" t="s">
        <v>95</v>
      </c>
      <c r="E10068" s="6" t="s">
        <v>15807</v>
      </c>
      <c r="F10068" s="9"/>
    </row>
    <row r="10069" ht="33.75" customHeight="1">
      <c r="A10069" s="7">
        <v>409.0</v>
      </c>
      <c r="B10069" s="9" t="s">
        <v>15804</v>
      </c>
      <c r="C10069" s="9" t="s">
        <v>15794</v>
      </c>
      <c r="D10069" s="9" t="s">
        <v>98</v>
      </c>
      <c r="E10069" s="6" t="s">
        <v>15807</v>
      </c>
      <c r="F10069" s="9"/>
    </row>
    <row r="10070" ht="33.75" customHeight="1">
      <c r="A10070" s="7">
        <v>409.0</v>
      </c>
      <c r="B10070" s="9" t="s">
        <v>15804</v>
      </c>
      <c r="C10070" s="9" t="s">
        <v>15794</v>
      </c>
      <c r="D10070" s="9" t="s">
        <v>99</v>
      </c>
      <c r="E10070" s="6" t="s">
        <v>15807</v>
      </c>
      <c r="F10070" s="9"/>
    </row>
    <row r="10071" ht="33.75" customHeight="1">
      <c r="A10071" s="7">
        <v>409.0</v>
      </c>
      <c r="B10071" s="9" t="s">
        <v>15804</v>
      </c>
      <c r="C10071" s="9" t="s">
        <v>15794</v>
      </c>
      <c r="D10071" s="9" t="s">
        <v>101</v>
      </c>
      <c r="E10071" s="6" t="s">
        <v>15809</v>
      </c>
      <c r="F10071" s="9"/>
    </row>
    <row r="10072" ht="33.75" customHeight="1">
      <c r="A10072" s="7">
        <v>409.0</v>
      </c>
      <c r="B10072" s="9" t="s">
        <v>15804</v>
      </c>
      <c r="C10072" s="9" t="s">
        <v>15794</v>
      </c>
      <c r="D10072" s="9" t="s">
        <v>105</v>
      </c>
      <c r="E10072" s="6" t="s">
        <v>15806</v>
      </c>
      <c r="F10072" s="9"/>
    </row>
    <row r="10073" ht="33.75" customHeight="1">
      <c r="A10073" s="7">
        <v>409.0</v>
      </c>
      <c r="B10073" s="9" t="s">
        <v>15804</v>
      </c>
      <c r="C10073" s="9" t="s">
        <v>15794</v>
      </c>
      <c r="D10073" s="9" t="s">
        <v>107</v>
      </c>
      <c r="E10073" s="6" t="s">
        <v>15809</v>
      </c>
      <c r="F10073" s="9"/>
    </row>
    <row r="10074" ht="33.75" customHeight="1">
      <c r="A10074" s="7">
        <v>409.0</v>
      </c>
      <c r="B10074" s="9" t="s">
        <v>15804</v>
      </c>
      <c r="C10074" s="9" t="s">
        <v>15794</v>
      </c>
      <c r="D10074" s="9" t="s">
        <v>109</v>
      </c>
      <c r="E10074" s="6" t="s">
        <v>15806</v>
      </c>
      <c r="F10074" s="9"/>
    </row>
    <row r="10075" ht="33.75" customHeight="1">
      <c r="A10075" s="7">
        <v>409.0</v>
      </c>
      <c r="B10075" s="9" t="s">
        <v>15804</v>
      </c>
      <c r="C10075" s="9" t="s">
        <v>15794</v>
      </c>
      <c r="D10075" s="9" t="s">
        <v>637</v>
      </c>
      <c r="E10075" s="6" t="s">
        <v>15810</v>
      </c>
      <c r="F10075" s="9"/>
    </row>
    <row r="10076" ht="33.75" customHeight="1">
      <c r="A10076" s="7">
        <v>409.0</v>
      </c>
      <c r="B10076" s="9" t="s">
        <v>15804</v>
      </c>
      <c r="C10076" s="9" t="s">
        <v>15794</v>
      </c>
      <c r="D10076" s="9" t="s">
        <v>642</v>
      </c>
      <c r="E10076" s="6" t="s">
        <v>15812</v>
      </c>
      <c r="F10076" s="9"/>
    </row>
    <row r="10077" ht="33.75" customHeight="1">
      <c r="A10077" s="7">
        <v>409.0</v>
      </c>
      <c r="B10077" s="9" t="s">
        <v>15804</v>
      </c>
      <c r="C10077" s="9" t="s">
        <v>15794</v>
      </c>
      <c r="D10077" s="9" t="s">
        <v>647</v>
      </c>
      <c r="E10077" s="6" t="s">
        <v>15813</v>
      </c>
      <c r="F10077" s="9"/>
    </row>
    <row r="10078" ht="33.75" customHeight="1">
      <c r="A10078" s="7">
        <v>409.0</v>
      </c>
      <c r="B10078" s="9" t="s">
        <v>15804</v>
      </c>
      <c r="C10078" s="9" t="s">
        <v>15794</v>
      </c>
      <c r="D10078" s="9" t="s">
        <v>652</v>
      </c>
      <c r="E10078" s="6" t="s">
        <v>15814</v>
      </c>
      <c r="F10078" s="9"/>
    </row>
    <row r="10079" ht="33.75" customHeight="1">
      <c r="A10079" s="7">
        <v>409.0</v>
      </c>
      <c r="B10079" s="9" t="s">
        <v>15804</v>
      </c>
      <c r="C10079" s="9" t="s">
        <v>15794</v>
      </c>
      <c r="D10079" s="9" t="s">
        <v>1577</v>
      </c>
      <c r="E10079" s="6" t="s">
        <v>15815</v>
      </c>
      <c r="F10079" s="9"/>
    </row>
    <row r="10080" ht="33.75" customHeight="1">
      <c r="A10080" s="7">
        <v>410.0</v>
      </c>
      <c r="B10080" s="9" t="s">
        <v>15816</v>
      </c>
      <c r="C10080" s="9" t="s">
        <v>15817</v>
      </c>
      <c r="D10080" s="9" t="s">
        <v>81</v>
      </c>
      <c r="E10080" s="6" t="s">
        <v>15818</v>
      </c>
      <c r="F10080" t="inlineStr" s="10">
        <is>
          <t xml:space="preserve">Pokémon, joka eli viidakoissa noin 100 miljoonaa vuotta sitten. Sen kasvojen nahka on erittäin kova. Se kiillottaa tavallisesti kasvojaan hankaamalla niitä puunrunkoja vasten. Se on heikko takaa tuleville hyökkäyksille. Se on erinomaisesti panssaroitu. Tämän seurauksena se voi syödä ruohoa ja marjoja taistelematta. Se syntyi fossiilista, joka kaivettiin esiin savikerroksesta, joka oli vanhempi kuin kukaan tietää. Sillä on tukeva pinta. Tästä Pokémonista on löydetty monia fossiileja, mutta lähes missään ei ole merkkejä kasvoissa ilmenneistä vaurioista. Tämä Pokémon eli alkukantaisissa viidakoissa. Harva vihollinen olisi ollut valmis taistelemaan sen raskaasti panssaroitua kasvoa vastaan, niin ainakin ajatellaan. Lempeäluonteinen, kasvissyöjä-Pokémon, se käytti kasvojaan kaivaakseen puun juuria syötäväksi. Sen kasvojen iho oli melkoisen kova. Vaikka sen fossiileja löytyy alkukantaisen kallion kerroksista, mitään muuta kuin sen kasvot on koskaan löydetty. Tästä Pokémonista on vielä paljon tuntematonta, sillä harvat ovat koskaan nähneet sitä. Tiedämme kuitenkin, että se on rauhallinen eikä pidä konflikteista, ja se nauttii kasvojensa kiillottamisesta puita ja kiviä vasten.</t>
        </is>
      </c>
    </row>
    <row r="10081" ht="33.75" customHeight="1">
      <c r="A10081" s="7">
        <v>410.0</v>
      </c>
      <c r="B10081" s="9" t="s">
        <v>15816</v>
      </c>
      <c r="C10081" s="9" t="s">
        <v>15817</v>
      </c>
      <c r="D10081" s="9" t="s">
        <v>84</v>
      </c>
      <c r="E10081" s="6" t="s">
        <v>15819</v>
      </c>
      <c r="F10081" s="9"/>
    </row>
    <row r="10082" ht="33.75" customHeight="1">
      <c r="A10082" s="7">
        <v>410.0</v>
      </c>
      <c r="B10082" s="9" t="s">
        <v>15816</v>
      </c>
      <c r="C10082" s="9" t="s">
        <v>15817</v>
      </c>
      <c r="D10082" s="9" t="s">
        <v>87</v>
      </c>
      <c r="E10082" s="6" t="s">
        <v>15820</v>
      </c>
      <c r="F10082" s="9"/>
    </row>
    <row r="10083" ht="33.75" customHeight="1">
      <c r="A10083" s="7">
        <v>410.0</v>
      </c>
      <c r="B10083" s="9" t="s">
        <v>15816</v>
      </c>
      <c r="C10083" s="9" t="s">
        <v>15817</v>
      </c>
      <c r="D10083" s="9" t="s">
        <v>89</v>
      </c>
      <c r="E10083" s="6" t="s">
        <v>15821</v>
      </c>
      <c r="F10083" s="9"/>
    </row>
    <row r="10084" ht="33.75" customHeight="1">
      <c r="A10084" s="7">
        <v>410.0</v>
      </c>
      <c r="B10084" s="9" t="s">
        <v>15816</v>
      </c>
      <c r="C10084" s="9" t="s">
        <v>15817</v>
      </c>
      <c r="D10084" s="9" t="s">
        <v>91</v>
      </c>
      <c r="E10084" s="6" t="s">
        <v>15821</v>
      </c>
      <c r="F10084" s="9"/>
    </row>
    <row r="10085" ht="33.75" customHeight="1">
      <c r="A10085" s="7">
        <v>410.0</v>
      </c>
      <c r="B10085" s="9" t="s">
        <v>15816</v>
      </c>
      <c r="C10085" s="9" t="s">
        <v>15817</v>
      </c>
      <c r="D10085" s="9" t="s">
        <v>93</v>
      </c>
      <c r="E10085" s="6" t="s">
        <v>15820</v>
      </c>
      <c r="F10085" s="9"/>
    </row>
    <row r="10086" ht="33.75" customHeight="1">
      <c r="A10086" s="7">
        <v>410.0</v>
      </c>
      <c r="B10086" s="9" t="s">
        <v>15816</v>
      </c>
      <c r="C10086" s="9" t="s">
        <v>15817</v>
      </c>
      <c r="D10086" s="9" t="s">
        <v>95</v>
      </c>
      <c r="E10086" s="6" t="s">
        <v>15820</v>
      </c>
      <c r="F10086" s="9"/>
    </row>
    <row r="10087" ht="33.75" customHeight="1">
      <c r="A10087" s="7">
        <v>410.0</v>
      </c>
      <c r="B10087" s="9" t="s">
        <v>15816</v>
      </c>
      <c r="C10087" s="9" t="s">
        <v>15817</v>
      </c>
      <c r="D10087" s="9" t="s">
        <v>98</v>
      </c>
      <c r="E10087" s="6" t="s">
        <v>15820</v>
      </c>
      <c r="F10087" s="9"/>
    </row>
    <row r="10088" ht="33.75" customHeight="1">
      <c r="A10088" s="7">
        <v>410.0</v>
      </c>
      <c r="B10088" s="9" t="s">
        <v>15816</v>
      </c>
      <c r="C10088" s="9" t="s">
        <v>15817</v>
      </c>
      <c r="D10088" s="9" t="s">
        <v>99</v>
      </c>
      <c r="E10088" s="6" t="s">
        <v>15820</v>
      </c>
      <c r="F10088" s="9"/>
    </row>
    <row r="10089" ht="33.75" customHeight="1">
      <c r="A10089" s="7">
        <v>410.0</v>
      </c>
      <c r="B10089" s="9" t="s">
        <v>15816</v>
      </c>
      <c r="C10089" s="9" t="s">
        <v>15817</v>
      </c>
      <c r="D10089" s="9" t="s">
        <v>101</v>
      </c>
      <c r="E10089" s="6" t="s">
        <v>15819</v>
      </c>
      <c r="F10089" s="9"/>
    </row>
    <row r="10090" ht="33.75" customHeight="1">
      <c r="A10090" s="7">
        <v>410.0</v>
      </c>
      <c r="B10090" s="9" t="s">
        <v>15816</v>
      </c>
      <c r="C10090" s="9" t="s">
        <v>15817</v>
      </c>
      <c r="D10090" s="9" t="s">
        <v>105</v>
      </c>
      <c r="E10090" s="6" t="s">
        <v>15821</v>
      </c>
      <c r="F10090" s="9"/>
    </row>
    <row r="10091" ht="33.75" customHeight="1">
      <c r="A10091" s="7">
        <v>410.0</v>
      </c>
      <c r="B10091" s="9" t="s">
        <v>15816</v>
      </c>
      <c r="C10091" s="9" t="s">
        <v>15817</v>
      </c>
      <c r="D10091" s="9" t="s">
        <v>107</v>
      </c>
      <c r="E10091" s="6" t="s">
        <v>15819</v>
      </c>
      <c r="F10091" s="9"/>
    </row>
    <row r="10092" ht="33.75" customHeight="1">
      <c r="A10092" s="7">
        <v>410.0</v>
      </c>
      <c r="B10092" s="9" t="s">
        <v>15816</v>
      </c>
      <c r="C10092" s="9" t="s">
        <v>15817</v>
      </c>
      <c r="D10092" s="9" t="s">
        <v>109</v>
      </c>
      <c r="E10092" s="6" t="s">
        <v>15821</v>
      </c>
      <c r="F10092" s="9"/>
    </row>
    <row r="10093" ht="33.75" customHeight="1">
      <c r="A10093" s="7">
        <v>410.0</v>
      </c>
      <c r="B10093" s="9" t="s">
        <v>15816</v>
      </c>
      <c r="C10093" s="9" t="s">
        <v>15817</v>
      </c>
      <c r="D10093" s="9" t="s">
        <v>637</v>
      </c>
      <c r="E10093" s="6" t="s">
        <v>15822</v>
      </c>
      <c r="F10093" s="9"/>
    </row>
    <row r="10094" ht="33.75" customHeight="1">
      <c r="A10094" s="7">
        <v>410.0</v>
      </c>
      <c r="B10094" s="9" t="s">
        <v>15816</v>
      </c>
      <c r="C10094" s="9" t="s">
        <v>15817</v>
      </c>
      <c r="D10094" s="9" t="s">
        <v>642</v>
      </c>
      <c r="E10094" s="6" t="s">
        <v>15823</v>
      </c>
      <c r="F10094" s="9"/>
    </row>
    <row r="10095" ht="33.75" customHeight="1">
      <c r="A10095" s="7">
        <v>410.0</v>
      </c>
      <c r="B10095" s="9" t="s">
        <v>15816</v>
      </c>
      <c r="C10095" s="9" t="s">
        <v>15817</v>
      </c>
      <c r="D10095" s="9" t="s">
        <v>647</v>
      </c>
      <c r="E10095" s="6" t="s">
        <v>15824</v>
      </c>
      <c r="F10095" s="9"/>
    </row>
    <row r="10096" ht="33.75" customHeight="1">
      <c r="A10096" s="7">
        <v>410.0</v>
      </c>
      <c r="B10096" s="9" t="s">
        <v>15816</v>
      </c>
      <c r="C10096" s="9" t="s">
        <v>15817</v>
      </c>
      <c r="D10096" s="9" t="s">
        <v>652</v>
      </c>
      <c r="E10096" s="6" t="s">
        <v>15825</v>
      </c>
      <c r="F10096" s="9"/>
    </row>
    <row r="10097" ht="33.75" customHeight="1">
      <c r="A10097" s="7">
        <v>410.0</v>
      </c>
      <c r="B10097" s="9" t="s">
        <v>15816</v>
      </c>
      <c r="C10097" s="9" t="s">
        <v>15817</v>
      </c>
      <c r="D10097" s="9" t="s">
        <v>1577</v>
      </c>
      <c r="E10097" s="6" t="s">
        <v>15826</v>
      </c>
      <c r="F10097" s="9"/>
    </row>
    <row r="10098" ht="33.75" customHeight="1">
      <c r="A10098" s="7">
        <v>411.0</v>
      </c>
      <c r="B10098" s="9" t="s">
        <v>15827</v>
      </c>
      <c r="C10098" s="9" t="s">
        <v>15817</v>
      </c>
      <c r="D10098" s="9" t="s">
        <v>81</v>
      </c>
      <c r="E10098" s="6" t="s">
        <v>15829</v>
      </c>
      <c r="F10098" t="inlineStr" s="10">
        <is>
          <t xml:space="preserve">Kaikki etuhyökkäykset torjutaan. Se on säyseä Pokémon, joka syö ruohoa ja marjoja. Hyökkäyksen sattuessa ne muodostavat kilpimaisilla kasvoillaan muurin suojellakseen poikasiaan. Kun ne asettuivat riviin vierekkäin, mikään vihollinen ei voinut murtautua läpi. He suojasivat poikasiaan tällä tavoin. Hyökätessä ne muodostavat muurin. Niiden kivikovat kasvot suojaavat niitä hyökkäyksiltä. Vaikka se pystyy suojautumaan kaikenlaisilta edestä tulevilta hyökkäyksiltä, ​​se jää ilman keinoja, jos sitä vastaan ​​hyökätään takaa. Se eli samoissa ympäristöissä kuin Rampardos. Niiden fossiileja on löydetty yhdessä – ilmeisesti ajalta, jolloin ne olivat taistelleet loppuun asti. Sen kasvojen luut ovat valtavat ja kovat, joten niitä luultiin sen selkärangaksi, kunnes tämä Pokémon saatiin onnistuneesti ennalleen. Tämä Pokémon on noin 100 miljoonan vuoden takaa. Sen pelottavan kovat kasvot ovat kovempia kuin teräs. Sen pinta on tukeva – yhtä vahva kuin timantti – ja tämä kovuus tarjoaa erittäin vakaan suojan. Paljon tästä lajista on vielä tuntematonta, kuten sen luonnollinen elinympäristö.</t>
        </is>
      </c>
    </row>
    <row r="10099" ht="33.75" customHeight="1">
      <c r="A10099" s="7">
        <v>411.0</v>
      </c>
      <c r="B10099" s="9" t="s">
        <v>15827</v>
      </c>
      <c r="C10099" s="9" t="s">
        <v>15817</v>
      </c>
      <c r="D10099" s="9" t="s">
        <v>84</v>
      </c>
      <c r="E10099" s="6" t="s">
        <v>15830</v>
      </c>
      <c r="F10099" s="9"/>
    </row>
    <row r="10100" ht="33.75" customHeight="1">
      <c r="A10100" s="7">
        <v>411.0</v>
      </c>
      <c r="B10100" s="9" t="s">
        <v>15827</v>
      </c>
      <c r="C10100" s="9" t="s">
        <v>15817</v>
      </c>
      <c r="D10100" s="9" t="s">
        <v>87</v>
      </c>
      <c r="E10100" s="6" t="s">
        <v>15831</v>
      </c>
      <c r="F10100" s="9"/>
    </row>
    <row r="10101" ht="33.75" customHeight="1">
      <c r="A10101" s="7">
        <v>411.0</v>
      </c>
      <c r="B10101" s="9" t="s">
        <v>15827</v>
      </c>
      <c r="C10101" s="9" t="s">
        <v>15817</v>
      </c>
      <c r="D10101" s="9" t="s">
        <v>89</v>
      </c>
      <c r="E10101" s="6" t="s">
        <v>15832</v>
      </c>
      <c r="F10101" s="9"/>
    </row>
    <row r="10102" ht="33.75" customHeight="1">
      <c r="A10102" s="7">
        <v>411.0</v>
      </c>
      <c r="B10102" s="9" t="s">
        <v>15827</v>
      </c>
      <c r="C10102" s="9" t="s">
        <v>15817</v>
      </c>
      <c r="D10102" s="9" t="s">
        <v>91</v>
      </c>
      <c r="E10102" s="6" t="s">
        <v>15832</v>
      </c>
      <c r="F10102" s="9"/>
    </row>
    <row r="10103" ht="33.75" customHeight="1">
      <c r="A10103" s="7">
        <v>411.0</v>
      </c>
      <c r="B10103" s="9" t="s">
        <v>15827</v>
      </c>
      <c r="C10103" s="9" t="s">
        <v>15817</v>
      </c>
      <c r="D10103" s="9" t="s">
        <v>93</v>
      </c>
      <c r="E10103" s="6" t="s">
        <v>15831</v>
      </c>
      <c r="F10103" s="9"/>
    </row>
    <row r="10104" ht="33.75" customHeight="1">
      <c r="A10104" s="7">
        <v>411.0</v>
      </c>
      <c r="B10104" s="9" t="s">
        <v>15827</v>
      </c>
      <c r="C10104" s="9" t="s">
        <v>15817</v>
      </c>
      <c r="D10104" s="9" t="s">
        <v>95</v>
      </c>
      <c r="E10104" s="6" t="s">
        <v>15831</v>
      </c>
      <c r="F10104" s="9"/>
    </row>
    <row r="10105" ht="33.75" customHeight="1">
      <c r="A10105" s="7">
        <v>411.0</v>
      </c>
      <c r="B10105" s="9" t="s">
        <v>15827</v>
      </c>
      <c r="C10105" s="9" t="s">
        <v>15817</v>
      </c>
      <c r="D10105" s="9" t="s">
        <v>98</v>
      </c>
      <c r="E10105" s="6" t="s">
        <v>15831</v>
      </c>
      <c r="F10105" s="9"/>
    </row>
    <row r="10106" ht="33.75" customHeight="1">
      <c r="A10106" s="7">
        <v>411.0</v>
      </c>
      <c r="B10106" s="9" t="s">
        <v>15827</v>
      </c>
      <c r="C10106" s="9" t="s">
        <v>15817</v>
      </c>
      <c r="D10106" s="9" t="s">
        <v>99</v>
      </c>
      <c r="E10106" s="6" t="s">
        <v>15831</v>
      </c>
      <c r="F10106" s="9"/>
    </row>
    <row r="10107" ht="33.75" customHeight="1">
      <c r="A10107" s="7">
        <v>411.0</v>
      </c>
      <c r="B10107" s="9" t="s">
        <v>15827</v>
      </c>
      <c r="C10107" s="9" t="s">
        <v>15817</v>
      </c>
      <c r="D10107" s="9" t="s">
        <v>101</v>
      </c>
      <c r="E10107" s="6" t="s">
        <v>15831</v>
      </c>
      <c r="F10107" s="9"/>
    </row>
    <row r="10108" ht="33.75" customHeight="1">
      <c r="A10108" s="7">
        <v>411.0</v>
      </c>
      <c r="B10108" s="9" t="s">
        <v>15827</v>
      </c>
      <c r="C10108" s="9" t="s">
        <v>15817</v>
      </c>
      <c r="D10108" s="9" t="s">
        <v>105</v>
      </c>
      <c r="E10108" s="6" t="s">
        <v>15829</v>
      </c>
      <c r="F10108" s="9"/>
    </row>
    <row r="10109" ht="33.75" customHeight="1">
      <c r="A10109" s="7">
        <v>411.0</v>
      </c>
      <c r="B10109" s="9" t="s">
        <v>15827</v>
      </c>
      <c r="C10109" s="9" t="s">
        <v>15817</v>
      </c>
      <c r="D10109" s="9" t="s">
        <v>107</v>
      </c>
      <c r="E10109" s="6" t="s">
        <v>15831</v>
      </c>
      <c r="F10109" s="9"/>
    </row>
    <row r="10110" ht="33.75" customHeight="1">
      <c r="A10110" s="7">
        <v>411.0</v>
      </c>
      <c r="B10110" s="9" t="s">
        <v>15827</v>
      </c>
      <c r="C10110" s="9" t="s">
        <v>15817</v>
      </c>
      <c r="D10110" s="9" t="s">
        <v>109</v>
      </c>
      <c r="E10110" s="6" t="s">
        <v>15829</v>
      </c>
      <c r="F10110" s="9"/>
    </row>
    <row r="10111" ht="33.75" customHeight="1">
      <c r="A10111" s="7">
        <v>411.0</v>
      </c>
      <c r="B10111" s="9" t="s">
        <v>15827</v>
      </c>
      <c r="C10111" s="9" t="s">
        <v>15817</v>
      </c>
      <c r="D10111" s="9" t="s">
        <v>637</v>
      </c>
      <c r="E10111" s="6" t="s">
        <v>15833</v>
      </c>
      <c r="F10111" s="9"/>
    </row>
    <row r="10112" ht="33.75" customHeight="1">
      <c r="A10112" s="7">
        <v>411.0</v>
      </c>
      <c r="B10112" s="9" t="s">
        <v>15827</v>
      </c>
      <c r="C10112" s="9" t="s">
        <v>15817</v>
      </c>
      <c r="D10112" s="9" t="s">
        <v>642</v>
      </c>
      <c r="E10112" s="6" t="s">
        <v>15834</v>
      </c>
      <c r="F10112" s="9"/>
    </row>
    <row r="10113" ht="33.75" customHeight="1">
      <c r="A10113" s="7">
        <v>411.0</v>
      </c>
      <c r="B10113" s="9" t="s">
        <v>15827</v>
      </c>
      <c r="C10113" s="9" t="s">
        <v>15817</v>
      </c>
      <c r="D10113" s="9" t="s">
        <v>647</v>
      </c>
      <c r="E10113" s="6" t="s">
        <v>15835</v>
      </c>
      <c r="F10113" s="9"/>
    </row>
    <row r="10114" ht="33.75" customHeight="1">
      <c r="A10114" s="7">
        <v>411.0</v>
      </c>
      <c r="B10114" s="9" t="s">
        <v>15827</v>
      </c>
      <c r="C10114" s="9" t="s">
        <v>15817</v>
      </c>
      <c r="D10114" s="9" t="s">
        <v>652</v>
      </c>
      <c r="E10114" s="6" t="s">
        <v>15836</v>
      </c>
      <c r="F10114" s="9"/>
    </row>
    <row r="10115" ht="33.75" customHeight="1">
      <c r="A10115" s="7">
        <v>411.0</v>
      </c>
      <c r="B10115" s="9" t="s">
        <v>15827</v>
      </c>
      <c r="C10115" s="9" t="s">
        <v>15817</v>
      </c>
      <c r="D10115" s="9" t="s">
        <v>1577</v>
      </c>
      <c r="E10115" s="6" t="s">
        <v>15837</v>
      </c>
      <c r="F10115" s="9"/>
    </row>
    <row r="10116" ht="33.75" customHeight="1">
      <c r="A10116" s="7">
        <v>412.0</v>
      </c>
      <c r="B10116" s="9" t="s">
        <v>15838</v>
      </c>
      <c r="C10116" s="9" t="s">
        <v>11902</v>
      </c>
      <c r="D10116" s="9" t="s">
        <v>81</v>
      </c>
      <c r="E10116" s="6" t="s">
        <v>15839</v>
      </c>
      <c r="F10116" t="inlineStr" s="10">
        <is>
          <t xml:space="preserve">Suojautuakseen kylmiltä, ​​talvisilta tuulilta se peittää itsensä oksista ja lehdistä tehdyllä viitalla. Jos sen viitta rikkoutuu taistelussa, se tekee viitan nopeasti uudelleen lähellä olevista materiaaleista. Vaikka se syntyisi paikassa, jossa ei ole suojamateriaaleja, se päätyy aina jotenkin viitan kanssa. Se peittää itsensä viitalla suojautuakseen kylmältä. Kun on kuuma, sen viitta on ohuempi. Jos sen viitta vaurioituu vähänkään, Burmy korjaa sen välittömästi millä tahansa läheltä löytyvällä esineellä. Viitan sisällä oleva Pokémon on laiha ja altis kylmälle.</t>
        </is>
      </c>
    </row>
    <row r="10117" ht="33.75" customHeight="1">
      <c r="A10117" s="7">
        <v>412.0</v>
      </c>
      <c r="B10117" s="9" t="s">
        <v>15838</v>
      </c>
      <c r="C10117" s="9" t="s">
        <v>11902</v>
      </c>
      <c r="D10117" s="9" t="s">
        <v>84</v>
      </c>
      <c r="E10117" s="6" t="s">
        <v>15840</v>
      </c>
      <c r="F10117" s="9"/>
    </row>
    <row r="10118" ht="33.75" customHeight="1">
      <c r="A10118" s="7">
        <v>412.0</v>
      </c>
      <c r="B10118" s="9" t="s">
        <v>15838</v>
      </c>
      <c r="C10118" s="9" t="s">
        <v>11902</v>
      </c>
      <c r="D10118" s="9" t="s">
        <v>87</v>
      </c>
      <c r="E10118" s="6" t="s">
        <v>15842</v>
      </c>
      <c r="F10118" s="9"/>
    </row>
    <row r="10119" ht="33.75" customHeight="1">
      <c r="A10119" s="7">
        <v>412.0</v>
      </c>
      <c r="B10119" s="9" t="s">
        <v>15838</v>
      </c>
      <c r="C10119" s="9" t="s">
        <v>11902</v>
      </c>
      <c r="D10119" s="9" t="s">
        <v>89</v>
      </c>
      <c r="E10119" s="6" t="s">
        <v>15843</v>
      </c>
      <c r="F10119" s="9"/>
    </row>
    <row r="10120" ht="33.75" customHeight="1">
      <c r="A10120" s="7">
        <v>412.0</v>
      </c>
      <c r="B10120" s="9" t="s">
        <v>15838</v>
      </c>
      <c r="C10120" s="9" t="s">
        <v>11902</v>
      </c>
      <c r="D10120" s="9" t="s">
        <v>91</v>
      </c>
      <c r="E10120" s="6" t="s">
        <v>15843</v>
      </c>
      <c r="F10120" s="9"/>
    </row>
    <row r="10121" ht="33.75" customHeight="1">
      <c r="A10121" s="7">
        <v>412.0</v>
      </c>
      <c r="B10121" s="9" t="s">
        <v>15838</v>
      </c>
      <c r="C10121" s="9" t="s">
        <v>11902</v>
      </c>
      <c r="D10121" s="9" t="s">
        <v>93</v>
      </c>
      <c r="E10121" s="6" t="s">
        <v>15842</v>
      </c>
      <c r="F10121" s="9"/>
    </row>
    <row r="10122" ht="33.75" customHeight="1">
      <c r="A10122" s="7">
        <v>412.0</v>
      </c>
      <c r="B10122" s="9" t="s">
        <v>15838</v>
      </c>
      <c r="C10122" s="9" t="s">
        <v>11902</v>
      </c>
      <c r="D10122" s="9" t="s">
        <v>95</v>
      </c>
      <c r="E10122" s="6" t="s">
        <v>15842</v>
      </c>
      <c r="F10122" s="9"/>
    </row>
    <row r="10123" ht="33.75" customHeight="1">
      <c r="A10123" s="7">
        <v>412.0</v>
      </c>
      <c r="B10123" s="9" t="s">
        <v>15838</v>
      </c>
      <c r="C10123" s="9" t="s">
        <v>11902</v>
      </c>
      <c r="D10123" s="9" t="s">
        <v>98</v>
      </c>
      <c r="E10123" s="6" t="s">
        <v>15842</v>
      </c>
      <c r="F10123" s="9"/>
    </row>
    <row r="10124" ht="33.75" customHeight="1">
      <c r="A10124" s="7">
        <v>412.0</v>
      </c>
      <c r="B10124" s="9" t="s">
        <v>15838</v>
      </c>
      <c r="C10124" s="9" t="s">
        <v>11902</v>
      </c>
      <c r="D10124" s="9" t="s">
        <v>99</v>
      </c>
      <c r="E10124" s="6" t="s">
        <v>15842</v>
      </c>
      <c r="F10124" s="9"/>
    </row>
    <row r="10125" ht="33.75" customHeight="1">
      <c r="A10125" s="7">
        <v>412.0</v>
      </c>
      <c r="B10125" s="9" t="s">
        <v>15838</v>
      </c>
      <c r="C10125" s="9" t="s">
        <v>11902</v>
      </c>
      <c r="D10125" s="9" t="s">
        <v>101</v>
      </c>
      <c r="E10125" s="6" t="s">
        <v>15839</v>
      </c>
      <c r="F10125" s="9"/>
    </row>
    <row r="10126" ht="33.75" customHeight="1">
      <c r="A10126" s="7">
        <v>412.0</v>
      </c>
      <c r="B10126" s="9" t="s">
        <v>15838</v>
      </c>
      <c r="C10126" s="9" t="s">
        <v>11902</v>
      </c>
      <c r="D10126" s="9" t="s">
        <v>105</v>
      </c>
      <c r="E10126" s="6" t="s">
        <v>15840</v>
      </c>
      <c r="F10126" s="9"/>
    </row>
    <row r="10127" ht="33.75" customHeight="1">
      <c r="A10127" s="7">
        <v>412.0</v>
      </c>
      <c r="B10127" s="9" t="s">
        <v>15838</v>
      </c>
      <c r="C10127" s="9" t="s">
        <v>11902</v>
      </c>
      <c r="D10127" s="9" t="s">
        <v>107</v>
      </c>
      <c r="E10127" s="6" t="s">
        <v>15839</v>
      </c>
      <c r="F10127" s="9"/>
    </row>
    <row r="10128" ht="33.75" customHeight="1">
      <c r="A10128" s="7">
        <v>412.0</v>
      </c>
      <c r="B10128" s="9" t="s">
        <v>15838</v>
      </c>
      <c r="C10128" s="9" t="s">
        <v>11902</v>
      </c>
      <c r="D10128" s="9" t="s">
        <v>109</v>
      </c>
      <c r="E10128" s="6" t="s">
        <v>15840</v>
      </c>
      <c r="F10128" s="9"/>
    </row>
    <row r="10129" ht="33.75" customHeight="1">
      <c r="A10129" s="7">
        <v>412.0</v>
      </c>
      <c r="B10129" s="9" t="s">
        <v>15838</v>
      </c>
      <c r="C10129" s="9" t="s">
        <v>11902</v>
      </c>
      <c r="D10129" s="9" t="s">
        <v>1577</v>
      </c>
      <c r="E10129" s="6" t="s">
        <v>15845</v>
      </c>
      <c r="F10129" s="9"/>
    </row>
    <row r="10130" ht="33.75" customHeight="1">
      <c r="A10130" s="7">
        <v>413.0</v>
      </c>
      <c r="B10130" s="9" t="s">
        <v>15846</v>
      </c>
      <c r="C10130" s="9" t="s">
        <v>11902</v>
      </c>
      <c r="D10130" s="9" t="s">
        <v>81</v>
      </c>
      <c r="E10130" s="6" t="s">
        <v>15847</v>
      </c>
      <c r="F10130" t="inlineStr" s="10">
        <is>
          <t xml:space="preserve">Kun BURMY kehittyi, Wormadamin viitasta tuli osa tämän Pokémonin kehoa. Viittaa ei koskaan pudoteta pois. Sen ulkonäkö muuttuu sen mukaan, missä se on kehittynyt. Käytettävissä olevista materiaaleista tulee osa sen kehoa. Kehittyessään sen keho ottaa vastaan ​​ympäröiviä materiaaleja. Tämän seurauksena kehosta on monia muunnelmia. Sanotaan, että kylmänä päivänä kehittyvällä WORMADAMILLA on paksumpi viitta.</t>
        </is>
      </c>
    </row>
    <row r="10131" ht="33.75" customHeight="1">
      <c r="A10131" s="7">
        <v>413.0</v>
      </c>
      <c r="B10131" s="9" t="s">
        <v>15846</v>
      </c>
      <c r="C10131" s="9" t="s">
        <v>11902</v>
      </c>
      <c r="D10131" s="9" t="s">
        <v>84</v>
      </c>
      <c r="E10131" s="6" t="s">
        <v>15848</v>
      </c>
      <c r="F10131" s="9"/>
    </row>
    <row r="10132" ht="33.75" customHeight="1">
      <c r="A10132" s="7">
        <v>413.0</v>
      </c>
      <c r="B10132" s="9" t="s">
        <v>15846</v>
      </c>
      <c r="C10132" s="9" t="s">
        <v>11902</v>
      </c>
      <c r="D10132" s="9" t="s">
        <v>87</v>
      </c>
      <c r="E10132" s="6" t="s">
        <v>15849</v>
      </c>
      <c r="F10132" s="9"/>
    </row>
    <row r="10133" ht="33.75" customHeight="1">
      <c r="A10133" s="7">
        <v>413.0</v>
      </c>
      <c r="B10133" s="9" t="s">
        <v>15846</v>
      </c>
      <c r="C10133" s="9" t="s">
        <v>11902</v>
      </c>
      <c r="D10133" s="9" t="s">
        <v>89</v>
      </c>
      <c r="E10133" s="6" t="s">
        <v>15850</v>
      </c>
      <c r="F10133" s="9"/>
    </row>
    <row r="10134" ht="33.75" customHeight="1">
      <c r="A10134" s="7">
        <v>413.0</v>
      </c>
      <c r="B10134" s="9" t="s">
        <v>15846</v>
      </c>
      <c r="C10134" s="9" t="s">
        <v>11902</v>
      </c>
      <c r="D10134" s="9" t="s">
        <v>91</v>
      </c>
      <c r="E10134" s="6" t="s">
        <v>15850</v>
      </c>
      <c r="F10134" s="9"/>
    </row>
    <row r="10135" ht="33.75" customHeight="1">
      <c r="A10135" s="7">
        <v>413.0</v>
      </c>
      <c r="B10135" s="9" t="s">
        <v>15846</v>
      </c>
      <c r="C10135" s="9" t="s">
        <v>11902</v>
      </c>
      <c r="D10135" s="9" t="s">
        <v>93</v>
      </c>
      <c r="E10135" s="6" t="s">
        <v>15849</v>
      </c>
      <c r="F10135" s="9"/>
    </row>
    <row r="10136" ht="33.75" customHeight="1">
      <c r="A10136" s="7">
        <v>413.0</v>
      </c>
      <c r="B10136" s="9" t="s">
        <v>15846</v>
      </c>
      <c r="C10136" s="9" t="s">
        <v>11902</v>
      </c>
      <c r="D10136" s="9" t="s">
        <v>95</v>
      </c>
      <c r="E10136" s="6" t="s">
        <v>15849</v>
      </c>
      <c r="F10136" s="9"/>
    </row>
    <row r="10137" ht="33.75" customHeight="1">
      <c r="A10137" s="7">
        <v>413.0</v>
      </c>
      <c r="B10137" s="9" t="s">
        <v>15846</v>
      </c>
      <c r="C10137" s="9" t="s">
        <v>11902</v>
      </c>
      <c r="D10137" s="9" t="s">
        <v>98</v>
      </c>
      <c r="E10137" s="6" t="s">
        <v>15849</v>
      </c>
      <c r="F10137" s="9"/>
    </row>
    <row r="10138" ht="33.75" customHeight="1">
      <c r="A10138" s="7">
        <v>413.0</v>
      </c>
      <c r="B10138" s="9" t="s">
        <v>15846</v>
      </c>
      <c r="C10138" s="9" t="s">
        <v>11902</v>
      </c>
      <c r="D10138" s="9" t="s">
        <v>99</v>
      </c>
      <c r="E10138" s="6" t="s">
        <v>15849</v>
      </c>
      <c r="F10138" s="9"/>
    </row>
    <row r="10139" ht="33.75" customHeight="1">
      <c r="A10139" s="7">
        <v>413.0</v>
      </c>
      <c r="B10139" s="9" t="s">
        <v>15846</v>
      </c>
      <c r="C10139" s="9" t="s">
        <v>11902</v>
      </c>
      <c r="D10139" s="9" t="s">
        <v>101</v>
      </c>
      <c r="E10139" s="6" t="s">
        <v>15848</v>
      </c>
      <c r="F10139" s="9"/>
    </row>
    <row r="10140" ht="33.75" customHeight="1">
      <c r="A10140" s="7">
        <v>413.0</v>
      </c>
      <c r="B10140" s="9" t="s">
        <v>15846</v>
      </c>
      <c r="C10140" s="9" t="s">
        <v>11902</v>
      </c>
      <c r="D10140" s="9" t="s">
        <v>105</v>
      </c>
      <c r="E10140" s="6" t="s">
        <v>15851</v>
      </c>
      <c r="F10140" s="9"/>
    </row>
    <row r="10141" ht="33.75" customHeight="1">
      <c r="A10141" s="7">
        <v>413.0</v>
      </c>
      <c r="B10141" s="9" t="s">
        <v>15846</v>
      </c>
      <c r="C10141" s="9" t="s">
        <v>11902</v>
      </c>
      <c r="D10141" s="9" t="s">
        <v>107</v>
      </c>
      <c r="E10141" s="6" t="s">
        <v>15848</v>
      </c>
      <c r="F10141" s="9"/>
    </row>
    <row r="10142" ht="33.75" customHeight="1">
      <c r="A10142" s="7">
        <v>413.0</v>
      </c>
      <c r="B10142" s="9" t="s">
        <v>15846</v>
      </c>
      <c r="C10142" s="9" t="s">
        <v>11902</v>
      </c>
      <c r="D10142" s="9" t="s">
        <v>109</v>
      </c>
      <c r="E10142" s="6" t="s">
        <v>15851</v>
      </c>
      <c r="F10142" s="9"/>
    </row>
    <row r="10143" ht="33.75" customHeight="1">
      <c r="A10143" s="7">
        <v>414.0</v>
      </c>
      <c r="B10143" s="9" t="s">
        <v>15852</v>
      </c>
      <c r="C10143" s="9" t="s">
        <v>15853</v>
      </c>
      <c r="D10143" s="9" t="s">
        <v>81</v>
      </c>
      <c r="E10143" s="6" t="s">
        <v>15854</v>
      </c>
      <c r="F10143" t="inlineStr" s="10">
        <is>
          <t xml:space="preserve">Mothim rakastaa kukkien hunajaa ja varastaa COMBEE:n keräämää hunajaa. Se ei pidä pesää. Se lentää peltojen ja vuorten yllä etsien jatkuvasti kukkahunajaa. Vaikka se rakastaa kukkahunajaa, se ei kerää sitä itse. Sen sijaan se juonittelee varastavansa sitä COMBEE:lta. Se lepattaa öisin ja varastaa hunajaa COMBEE-pesästä. Sen sijaan se suunnittelee varastavansa sitä Combeelta. Se rakastaa kukkien hunajaa ja varastaa Combeen keräämää hunajaa. Se lepattaa öisin ja varastaa hunajaa Combeen pesästä. Levittelee teräksenvärisiä suomuja räpytellessään siipiään. Vaikka sen havaitaan syövän pääasiassa kukkien mettä, perhonen ei ole usein nähtävissä kukkapuutarhojen ympäristössä.</t>
        </is>
      </c>
    </row>
    <row r="10144" ht="33.75" customHeight="1">
      <c r="A10144" s="7">
        <v>414.0</v>
      </c>
      <c r="B10144" s="9" t="s">
        <v>15852</v>
      </c>
      <c r="C10144" s="9" t="s">
        <v>15853</v>
      </c>
      <c r="D10144" s="9" t="s">
        <v>84</v>
      </c>
      <c r="E10144" s="6" t="s">
        <v>15855</v>
      </c>
      <c r="F10144" s="9"/>
    </row>
    <row r="10145" ht="33.75" customHeight="1">
      <c r="A10145" s="7">
        <v>414.0</v>
      </c>
      <c r="B10145" s="9" t="s">
        <v>15852</v>
      </c>
      <c r="C10145" s="9" t="s">
        <v>15853</v>
      </c>
      <c r="D10145" s="9" t="s">
        <v>87</v>
      </c>
      <c r="E10145" s="6" t="s">
        <v>15856</v>
      </c>
      <c r="F10145" s="9"/>
    </row>
    <row r="10146" ht="33.75" customHeight="1">
      <c r="A10146" s="7">
        <v>414.0</v>
      </c>
      <c r="B10146" s="9" t="s">
        <v>15852</v>
      </c>
      <c r="C10146" s="9" t="s">
        <v>15853</v>
      </c>
      <c r="D10146" s="9" t="s">
        <v>89</v>
      </c>
      <c r="E10146" s="6" t="s">
        <v>15857</v>
      </c>
      <c r="F10146" s="9"/>
    </row>
    <row r="10147" ht="33.75" customHeight="1">
      <c r="A10147" s="7">
        <v>414.0</v>
      </c>
      <c r="B10147" s="9" t="s">
        <v>15852</v>
      </c>
      <c r="C10147" s="9" t="s">
        <v>15853</v>
      </c>
      <c r="D10147" s="9" t="s">
        <v>91</v>
      </c>
      <c r="E10147" s="6" t="s">
        <v>15857</v>
      </c>
      <c r="F10147" s="9"/>
    </row>
    <row r="10148" ht="33.75" customHeight="1">
      <c r="A10148" s="7">
        <v>414.0</v>
      </c>
      <c r="B10148" s="9" t="s">
        <v>15852</v>
      </c>
      <c r="C10148" s="9" t="s">
        <v>15853</v>
      </c>
      <c r="D10148" s="9" t="s">
        <v>93</v>
      </c>
      <c r="E10148" s="6" t="s">
        <v>15858</v>
      </c>
      <c r="F10148" s="9"/>
    </row>
    <row r="10149" ht="33.75" customHeight="1">
      <c r="A10149" s="7">
        <v>414.0</v>
      </c>
      <c r="B10149" s="9" t="s">
        <v>15852</v>
      </c>
      <c r="C10149" s="9" t="s">
        <v>15853</v>
      </c>
      <c r="D10149" s="9" t="s">
        <v>95</v>
      </c>
      <c r="E10149" s="6" t="s">
        <v>15858</v>
      </c>
      <c r="F10149" s="9"/>
    </row>
    <row r="10150" ht="33.75" customHeight="1">
      <c r="A10150" s="7">
        <v>414.0</v>
      </c>
      <c r="B10150" s="9" t="s">
        <v>15852</v>
      </c>
      <c r="C10150" s="9" t="s">
        <v>15853</v>
      </c>
      <c r="D10150" s="9" t="s">
        <v>98</v>
      </c>
      <c r="E10150" s="6" t="s">
        <v>15858</v>
      </c>
      <c r="F10150" s="9"/>
    </row>
    <row r="10151" ht="33.75" customHeight="1">
      <c r="A10151" s="7">
        <v>414.0</v>
      </c>
      <c r="B10151" s="9" t="s">
        <v>15852</v>
      </c>
      <c r="C10151" s="9" t="s">
        <v>15853</v>
      </c>
      <c r="D10151" s="9" t="s">
        <v>99</v>
      </c>
      <c r="E10151" s="6" t="s">
        <v>15858</v>
      </c>
      <c r="F10151" s="9"/>
    </row>
    <row r="10152" ht="33.75" customHeight="1">
      <c r="A10152" s="7">
        <v>414.0</v>
      </c>
      <c r="B10152" s="9" t="s">
        <v>15852</v>
      </c>
      <c r="C10152" s="9" t="s">
        <v>15853</v>
      </c>
      <c r="D10152" s="9" t="s">
        <v>101</v>
      </c>
      <c r="E10152" s="6" t="s">
        <v>15860</v>
      </c>
      <c r="F10152" s="9"/>
    </row>
    <row r="10153" ht="33.75" customHeight="1">
      <c r="A10153" s="7">
        <v>414.0</v>
      </c>
      <c r="B10153" s="9" t="s">
        <v>15852</v>
      </c>
      <c r="C10153" s="9" t="s">
        <v>15853</v>
      </c>
      <c r="D10153" s="9" t="s">
        <v>105</v>
      </c>
      <c r="E10153" s="6" t="s">
        <v>15861</v>
      </c>
      <c r="F10153" s="9"/>
    </row>
    <row r="10154" ht="33.75" customHeight="1">
      <c r="A10154" s="7">
        <v>414.0</v>
      </c>
      <c r="B10154" s="9" t="s">
        <v>15852</v>
      </c>
      <c r="C10154" s="9" t="s">
        <v>15853</v>
      </c>
      <c r="D10154" s="9" t="s">
        <v>107</v>
      </c>
      <c r="E10154" s="6" t="s">
        <v>15860</v>
      </c>
      <c r="F10154" s="9"/>
    </row>
    <row r="10155" ht="33.75" customHeight="1">
      <c r="A10155" s="7">
        <v>414.0</v>
      </c>
      <c r="B10155" s="9" t="s">
        <v>15852</v>
      </c>
      <c r="C10155" s="9" t="s">
        <v>15853</v>
      </c>
      <c r="D10155" s="9" t="s">
        <v>109</v>
      </c>
      <c r="E10155" s="6" t="s">
        <v>15861</v>
      </c>
      <c r="F10155" s="9"/>
    </row>
    <row r="10156" ht="33.75" customHeight="1">
      <c r="A10156" s="7">
        <v>414.0</v>
      </c>
      <c r="B10156" s="9" t="s">
        <v>15852</v>
      </c>
      <c r="C10156" s="9" t="s">
        <v>15853</v>
      </c>
      <c r="D10156" s="9" t="s">
        <v>1577</v>
      </c>
      <c r="E10156" s="6" t="s">
        <v>15862</v>
      </c>
      <c r="F10156" s="9"/>
    </row>
    <row r="10157" ht="33.75" customHeight="1">
      <c r="A10157" s="7">
        <v>415.0</v>
      </c>
      <c r="B10157" s="9" t="s">
        <v>15863</v>
      </c>
      <c r="C10157" s="9" t="s">
        <v>15864</v>
      </c>
      <c r="D10157" s="9" t="s">
        <v>81</v>
      </c>
      <c r="E10157" s="6" t="s">
        <v>15865</v>
      </c>
      <c r="F10157" t="inlineStr" s="10">
        <is>
          <t xml:space="preserve">Kolmen muun Pokémonin muodostama Pokémon. Se kuljettaa ahkerasti makeaa kukkahunajaa VESPIQUENille. Se kerää ja toimittaa hunajaa yhdyskunnalleen. Yöllä ne ryhmittyvät muodostaen mehiläispesän ja nukkuvat. Kolmikko on ollut yhdessä syntymästä asti. Se kerää jatkuvasti hunajaa kukista miellyttääkseen VESPIQUENia. Yöllä COMBEEt nukkuvat noin tuhannen yksilön ryhmässä, ahtautuneina tiiviisti yhteen möykyksi. Tämä Pokémon on kolmen Pokémonin sarja. Nukkuessaan ne kerääntyvät yhteen ja muodostavat jättimäisen 100 Combeen pesän. Kolmikon jäsenet viettävät kaiken aikansa yhdessä. Jokaisella on hieman erilainen maku mesialaisessa mielessä. Se kerää lakkaamatta mettä auringonnoususta auringonlaskuun, kaikki Vespiquenin ja parven vuoksi. Ne vannovat uskollisuutta kuningatar-Pokémonille ja työskentelevät ahkerasti kerätäkseen mettä. Jokainen parvi tuottaa eri makuista hunajaa.</t>
        </is>
      </c>
    </row>
    <row r="10158" ht="33.75" customHeight="1">
      <c r="A10158" s="7">
        <v>415.0</v>
      </c>
      <c r="B10158" s="9" t="s">
        <v>15863</v>
      </c>
      <c r="C10158" s="9" t="s">
        <v>15864</v>
      </c>
      <c r="D10158" s="9" t="s">
        <v>84</v>
      </c>
      <c r="E10158" s="6" t="s">
        <v>15866</v>
      </c>
      <c r="F10158" s="9"/>
    </row>
    <row r="10159" ht="33.75" customHeight="1">
      <c r="A10159" s="7">
        <v>415.0</v>
      </c>
      <c r="B10159" s="9" t="s">
        <v>15863</v>
      </c>
      <c r="C10159" s="9" t="s">
        <v>15864</v>
      </c>
      <c r="D10159" s="9" t="s">
        <v>87</v>
      </c>
      <c r="E10159" s="6" t="s">
        <v>15867</v>
      </c>
      <c r="F10159" s="9"/>
    </row>
    <row r="10160" ht="33.75" customHeight="1">
      <c r="A10160" s="7">
        <v>415.0</v>
      </c>
      <c r="B10160" s="9" t="s">
        <v>15863</v>
      </c>
      <c r="C10160" s="9" t="s">
        <v>15864</v>
      </c>
      <c r="D10160" s="9" t="s">
        <v>89</v>
      </c>
      <c r="E10160" s="6" t="s">
        <v>15868</v>
      </c>
      <c r="F10160" s="9"/>
    </row>
    <row r="10161" ht="33.75" customHeight="1">
      <c r="A10161" s="7">
        <v>415.0</v>
      </c>
      <c r="B10161" s="9" t="s">
        <v>15863</v>
      </c>
      <c r="C10161" s="9" t="s">
        <v>15864</v>
      </c>
      <c r="D10161" s="9" t="s">
        <v>91</v>
      </c>
      <c r="E10161" s="6" t="s">
        <v>15868</v>
      </c>
      <c r="F10161" s="9"/>
    </row>
    <row r="10162" ht="33.75" customHeight="1">
      <c r="A10162" s="7">
        <v>415.0</v>
      </c>
      <c r="B10162" s="9" t="s">
        <v>15863</v>
      </c>
      <c r="C10162" s="9" t="s">
        <v>15864</v>
      </c>
      <c r="D10162" s="9" t="s">
        <v>93</v>
      </c>
      <c r="E10162" s="6" t="s">
        <v>15869</v>
      </c>
      <c r="F10162" s="9"/>
    </row>
    <row r="10163" ht="33.75" customHeight="1">
      <c r="A10163" s="7">
        <v>415.0</v>
      </c>
      <c r="B10163" s="9" t="s">
        <v>15863</v>
      </c>
      <c r="C10163" s="9" t="s">
        <v>15864</v>
      </c>
      <c r="D10163" s="9" t="s">
        <v>95</v>
      </c>
      <c r="E10163" s="6" t="s">
        <v>15869</v>
      </c>
      <c r="F10163" s="9"/>
    </row>
    <row r="10164" ht="33.75" customHeight="1">
      <c r="A10164" s="7">
        <v>415.0</v>
      </c>
      <c r="B10164" s="9" t="s">
        <v>15863</v>
      </c>
      <c r="C10164" s="9" t="s">
        <v>15864</v>
      </c>
      <c r="D10164" s="9" t="s">
        <v>98</v>
      </c>
      <c r="E10164" s="6" t="s">
        <v>15870</v>
      </c>
      <c r="F10164" s="9"/>
    </row>
    <row r="10165" ht="33.75" customHeight="1">
      <c r="A10165" s="7">
        <v>415.0</v>
      </c>
      <c r="B10165" s="9" t="s">
        <v>15863</v>
      </c>
      <c r="C10165" s="9" t="s">
        <v>15864</v>
      </c>
      <c r="D10165" s="9" t="s">
        <v>99</v>
      </c>
      <c r="E10165" s="6" t="s">
        <v>15870</v>
      </c>
      <c r="F10165" s="9"/>
    </row>
    <row r="10166" ht="33.75" customHeight="1">
      <c r="A10166" s="7">
        <v>415.0</v>
      </c>
      <c r="B10166" s="9" t="s">
        <v>15863</v>
      </c>
      <c r="C10166" s="9" t="s">
        <v>15864</v>
      </c>
      <c r="D10166" s="9" t="s">
        <v>101</v>
      </c>
      <c r="E10166" s="6" t="s">
        <v>15869</v>
      </c>
      <c r="F10166" s="9"/>
    </row>
    <row r="10167" ht="33.75" customHeight="1">
      <c r="A10167" s="7">
        <v>415.0</v>
      </c>
      <c r="B10167" s="9" t="s">
        <v>15863</v>
      </c>
      <c r="C10167" s="9" t="s">
        <v>15864</v>
      </c>
      <c r="D10167" s="9" t="s">
        <v>105</v>
      </c>
      <c r="E10167" s="6" t="s">
        <v>15866</v>
      </c>
      <c r="F10167" s="9"/>
    </row>
    <row r="10168" ht="33.75" customHeight="1">
      <c r="A10168" s="7">
        <v>415.0</v>
      </c>
      <c r="B10168" s="9" t="s">
        <v>15863</v>
      </c>
      <c r="C10168" s="9" t="s">
        <v>15864</v>
      </c>
      <c r="D10168" s="9" t="s">
        <v>107</v>
      </c>
      <c r="E10168" s="6" t="s">
        <v>15869</v>
      </c>
      <c r="F10168" s="9"/>
    </row>
    <row r="10169" ht="33.75" customHeight="1">
      <c r="A10169" s="7">
        <v>415.0</v>
      </c>
      <c r="B10169" s="9" t="s">
        <v>15863</v>
      </c>
      <c r="C10169" s="9" t="s">
        <v>15864</v>
      </c>
      <c r="D10169" s="9" t="s">
        <v>109</v>
      </c>
      <c r="E10169" s="6" t="s">
        <v>15866</v>
      </c>
      <c r="F10169" s="9"/>
    </row>
    <row r="10170" ht="33.75" customHeight="1">
      <c r="A10170" s="7">
        <v>415.0</v>
      </c>
      <c r="B10170" s="9" t="s">
        <v>15863</v>
      </c>
      <c r="C10170" s="9" t="s">
        <v>15864</v>
      </c>
      <c r="D10170" s="9" t="s">
        <v>114</v>
      </c>
      <c r="E10170" s="6" t="s">
        <v>15871</v>
      </c>
      <c r="F10170" s="9"/>
    </row>
    <row r="10171" ht="33.75" customHeight="1">
      <c r="A10171" s="7">
        <v>415.0</v>
      </c>
      <c r="B10171" s="9" t="s">
        <v>15863</v>
      </c>
      <c r="C10171" s="9" t="s">
        <v>15864</v>
      </c>
      <c r="D10171" s="9" t="s">
        <v>117</v>
      </c>
      <c r="E10171" s="6" t="s">
        <v>15872</v>
      </c>
      <c r="F10171" s="9"/>
    </row>
    <row r="10172" ht="33.75" customHeight="1">
      <c r="A10172" s="7">
        <v>415.0</v>
      </c>
      <c r="B10172" s="9" t="s">
        <v>15863</v>
      </c>
      <c r="C10172" s="9" t="s">
        <v>15864</v>
      </c>
      <c r="D10172" s="9" t="s">
        <v>1577</v>
      </c>
      <c r="E10172" s="6" t="s">
        <v>15873</v>
      </c>
      <c r="F10172" s="9"/>
    </row>
    <row r="10173" ht="33.75" customHeight="1">
      <c r="A10173" s="7">
        <v>416.0</v>
      </c>
      <c r="B10173" s="9" t="s">
        <v>15874</v>
      </c>
      <c r="C10173" s="9" t="s">
        <v>15875</v>
      </c>
      <c r="D10173" s="9" t="s">
        <v>81</v>
      </c>
      <c r="E10173" s="6" t="s">
        <v>15876</v>
      </c>
      <c r="F10173" t="inlineStr" s="10">
        <is>
          <t xml:space="preserve">Vespiquenin vatsa on kuin hunajakenno toukille. Se kasvattaa toukkansa COMBEE:n keräämällä hunajalla. Uhanalaisena sen kuusisoluisen hunajakennomaisen rakenteen toukat iskevät takaisin. Yhdyskunnassa niitä on vain yksi. Se vapauttaa erilaisia ​​feromoneja saadakseen ruumiissaan olevat toukat tekemään sen velvollisuuksia taistellessaan vihollisia vastaan. Se kasvattaa toukkia ruumiinsa reikiin. Se erittää feromoneja COMBEE:n torjumiseksi. Se asuttaa yhdyskuntaansa kehonsa soluissa ja vapauttaa erilaisia ​​feromoneja saadakseen toukat tekemään sen tahdon. Se kasvattaa toukkansa Combeen keräämällä hunajalla. Se komentaa taitavasti toukkiaan taisteluissa vihollisiaan vastaan. Toukat ovat valmiita vaarantamaan henkensä puolustaakseen Vespiquenia. Enemmän feromoneja erittävillä Vespiquen-kärpäsillä on suurempia Combee-hoitajia. Käskee alamaisiaan rakentamaan pesänsä. Se häätää kaikki tunkeilijat, jotka uskaltavat hiipiä pesäänsä, ja käyttää heitä itse ravinnoksi.</t>
        </is>
      </c>
    </row>
    <row r="10174" ht="33.75" customHeight="1">
      <c r="A10174" s="7">
        <v>416.0</v>
      </c>
      <c r="B10174" s="9" t="s">
        <v>15874</v>
      </c>
      <c r="C10174" s="9" t="s">
        <v>15875</v>
      </c>
      <c r="D10174" s="9" t="s">
        <v>84</v>
      </c>
      <c r="E10174" s="6" t="s">
        <v>15878</v>
      </c>
      <c r="F10174" s="9"/>
    </row>
    <row r="10175" ht="33.75" customHeight="1">
      <c r="A10175" s="7">
        <v>416.0</v>
      </c>
      <c r="B10175" s="9" t="s">
        <v>15874</v>
      </c>
      <c r="C10175" s="9" t="s">
        <v>15875</v>
      </c>
      <c r="D10175" s="9" t="s">
        <v>87</v>
      </c>
      <c r="E10175" s="6" t="s">
        <v>15879</v>
      </c>
      <c r="F10175" s="9"/>
    </row>
    <row r="10176" ht="33.75" customHeight="1">
      <c r="A10176" s="7">
        <v>416.0</v>
      </c>
      <c r="B10176" s="9" t="s">
        <v>15874</v>
      </c>
      <c r="C10176" s="9" t="s">
        <v>15875</v>
      </c>
      <c r="D10176" s="9" t="s">
        <v>89</v>
      </c>
      <c r="E10176" s="6" t="s">
        <v>15880</v>
      </c>
      <c r="F10176" s="9"/>
    </row>
    <row r="10177" ht="33.75" customHeight="1">
      <c r="A10177" s="7">
        <v>416.0</v>
      </c>
      <c r="B10177" s="9" t="s">
        <v>15874</v>
      </c>
      <c r="C10177" s="9" t="s">
        <v>15875</v>
      </c>
      <c r="D10177" s="9" t="s">
        <v>91</v>
      </c>
      <c r="E10177" s="6" t="s">
        <v>15880</v>
      </c>
      <c r="F10177" s="9"/>
    </row>
    <row r="10178" ht="33.75" customHeight="1">
      <c r="A10178" s="7">
        <v>416.0</v>
      </c>
      <c r="B10178" s="9" t="s">
        <v>15874</v>
      </c>
      <c r="C10178" s="9" t="s">
        <v>15875</v>
      </c>
      <c r="D10178" s="9" t="s">
        <v>93</v>
      </c>
      <c r="E10178" s="6" t="s">
        <v>15879</v>
      </c>
      <c r="F10178" s="9"/>
    </row>
    <row r="10179" ht="33.75" customHeight="1">
      <c r="A10179" s="7">
        <v>416.0</v>
      </c>
      <c r="B10179" s="9" t="s">
        <v>15874</v>
      </c>
      <c r="C10179" s="9" t="s">
        <v>15875</v>
      </c>
      <c r="D10179" s="9" t="s">
        <v>95</v>
      </c>
      <c r="E10179" s="6" t="s">
        <v>15879</v>
      </c>
      <c r="F10179" s="9"/>
    </row>
    <row r="10180" ht="33.75" customHeight="1">
      <c r="A10180" s="7">
        <v>416.0</v>
      </c>
      <c r="B10180" s="9" t="s">
        <v>15874</v>
      </c>
      <c r="C10180" s="9" t="s">
        <v>15875</v>
      </c>
      <c r="D10180" s="9" t="s">
        <v>98</v>
      </c>
      <c r="E10180" s="6" t="s">
        <v>15881</v>
      </c>
      <c r="F10180" s="9"/>
    </row>
    <row r="10181" ht="33.75" customHeight="1">
      <c r="A10181" s="7">
        <v>416.0</v>
      </c>
      <c r="B10181" s="9" t="s">
        <v>15874</v>
      </c>
      <c r="C10181" s="9" t="s">
        <v>15875</v>
      </c>
      <c r="D10181" s="9" t="s">
        <v>99</v>
      </c>
      <c r="E10181" s="6" t="s">
        <v>15881</v>
      </c>
      <c r="F10181" s="9"/>
    </row>
    <row r="10182" ht="33.75" customHeight="1">
      <c r="A10182" s="7">
        <v>416.0</v>
      </c>
      <c r="B10182" s="9" t="s">
        <v>15874</v>
      </c>
      <c r="C10182" s="9" t="s">
        <v>15875</v>
      </c>
      <c r="D10182" s="9" t="s">
        <v>101</v>
      </c>
      <c r="E10182" s="6" t="s">
        <v>15881</v>
      </c>
      <c r="F10182" s="9"/>
    </row>
    <row r="10183" ht="33.75" customHeight="1">
      <c r="A10183" s="7">
        <v>416.0</v>
      </c>
      <c r="B10183" s="9" t="s">
        <v>15874</v>
      </c>
      <c r="C10183" s="9" t="s">
        <v>15875</v>
      </c>
      <c r="D10183" s="9" t="s">
        <v>105</v>
      </c>
      <c r="E10183" s="6" t="s">
        <v>15882</v>
      </c>
      <c r="F10183" s="9"/>
    </row>
    <row r="10184" ht="33.75" customHeight="1">
      <c r="A10184" s="7">
        <v>416.0</v>
      </c>
      <c r="B10184" s="9" t="s">
        <v>15874</v>
      </c>
      <c r="C10184" s="9" t="s">
        <v>15875</v>
      </c>
      <c r="D10184" s="9" t="s">
        <v>107</v>
      </c>
      <c r="E10184" s="6" t="s">
        <v>15881</v>
      </c>
      <c r="F10184" s="9"/>
    </row>
    <row r="10185" ht="33.75" customHeight="1">
      <c r="A10185" s="7">
        <v>416.0</v>
      </c>
      <c r="B10185" s="9" t="s">
        <v>15874</v>
      </c>
      <c r="C10185" s="9" t="s">
        <v>15875</v>
      </c>
      <c r="D10185" s="9" t="s">
        <v>109</v>
      </c>
      <c r="E10185" s="6" t="s">
        <v>15882</v>
      </c>
      <c r="F10185" s="9"/>
    </row>
    <row r="10186" ht="33.75" customHeight="1">
      <c r="A10186" s="7">
        <v>416.0</v>
      </c>
      <c r="B10186" s="9" t="s">
        <v>15874</v>
      </c>
      <c r="C10186" s="9" t="s">
        <v>15875</v>
      </c>
      <c r="D10186" s="9" t="s">
        <v>114</v>
      </c>
      <c r="E10186" s="6" t="s">
        <v>15884</v>
      </c>
      <c r="F10186" s="9"/>
    </row>
    <row r="10187" ht="33.75" customHeight="1">
      <c r="A10187" s="7">
        <v>416.0</v>
      </c>
      <c r="B10187" s="9" t="s">
        <v>15874</v>
      </c>
      <c r="C10187" s="9" t="s">
        <v>15875</v>
      </c>
      <c r="D10187" s="9" t="s">
        <v>117</v>
      </c>
      <c r="E10187" s="6" t="s">
        <v>15885</v>
      </c>
      <c r="F10187" s="9"/>
    </row>
    <row r="10188" ht="33.75" customHeight="1">
      <c r="A10188" s="7">
        <v>416.0</v>
      </c>
      <c r="B10188" s="9" t="s">
        <v>15874</v>
      </c>
      <c r="C10188" s="9" t="s">
        <v>15875</v>
      </c>
      <c r="D10188" s="9" t="s">
        <v>1577</v>
      </c>
      <c r="E10188" s="6" t="s">
        <v>15886</v>
      </c>
      <c r="F10188" s="9"/>
    </row>
    <row r="10189" ht="33.75" customHeight="1">
      <c r="A10189" s="7">
        <v>417.0</v>
      </c>
      <c r="B10189" s="9" t="s">
        <v>15887</v>
      </c>
      <c r="C10189" s="9" t="s">
        <v>15888</v>
      </c>
      <c r="D10189" s="9" t="s">
        <v>81</v>
      </c>
      <c r="E10189" s="6" t="s">
        <v>15889</v>
      </c>
      <c r="F10189" t="inlineStr" s="10">
        <is>
          <t xml:space="preserve">Pachirisu tekee staattisesta sähköstä rätiseviä karvapalloja. Se varastoi niitä marjojen kanssa puunkoloihin. Se tuottaa sähköä poskissaan olevilla pusseilla ja ampuu varauksia pyrstöstään. Se elää puiden latvoissa. Pari voi nähdä hierovan poskipussejaan yhteen pyrkiessään jakamaan varastoitua sähköä. Se on yksi Pokémon-lajeista, joilla on sähköiset poskipussit. Se ampuu panoksia hännästään. Pikachu-linjan sukua oleva laji. Vaikka Pachirisu on rauhallinen Pokémon, se on silti vaarallinen, jos sen sähköistettyyn häntään tai poskiin kosketaan.</t>
        </is>
      </c>
    </row>
    <row r="10190" ht="33.75" customHeight="1">
      <c r="A10190" s="7">
        <v>417.0</v>
      </c>
      <c r="B10190" s="9" t="s">
        <v>15887</v>
      </c>
      <c r="C10190" s="9" t="s">
        <v>15888</v>
      </c>
      <c r="D10190" s="9" t="s">
        <v>84</v>
      </c>
      <c r="E10190" s="6" t="s">
        <v>15890</v>
      </c>
      <c r="F10190" s="9"/>
    </row>
    <row r="10191" ht="33.75" customHeight="1">
      <c r="A10191" s="7">
        <v>417.0</v>
      </c>
      <c r="B10191" s="9" t="s">
        <v>15887</v>
      </c>
      <c r="C10191" s="9" t="s">
        <v>15888</v>
      </c>
      <c r="D10191" s="9" t="s">
        <v>87</v>
      </c>
      <c r="E10191" s="6" t="s">
        <v>15891</v>
      </c>
      <c r="F10191" s="9"/>
    </row>
    <row r="10192" ht="33.75" customHeight="1">
      <c r="A10192" s="7">
        <v>417.0</v>
      </c>
      <c r="B10192" s="9" t="s">
        <v>15887</v>
      </c>
      <c r="C10192" s="9" t="s">
        <v>15888</v>
      </c>
      <c r="D10192" s="9" t="s">
        <v>89</v>
      </c>
      <c r="E10192" s="6" t="s">
        <v>15892</v>
      </c>
      <c r="F10192" s="9"/>
    </row>
    <row r="10193" ht="33.75" customHeight="1">
      <c r="A10193" s="7">
        <v>417.0</v>
      </c>
      <c r="B10193" s="9" t="s">
        <v>15887</v>
      </c>
      <c r="C10193" s="9" t="s">
        <v>15888</v>
      </c>
      <c r="D10193" s="9" t="s">
        <v>91</v>
      </c>
      <c r="E10193" s="6" t="s">
        <v>15892</v>
      </c>
      <c r="F10193" s="9"/>
    </row>
    <row r="10194" ht="33.75" customHeight="1">
      <c r="A10194" s="7">
        <v>417.0</v>
      </c>
      <c r="B10194" s="9" t="s">
        <v>15887</v>
      </c>
      <c r="C10194" s="9" t="s">
        <v>15888</v>
      </c>
      <c r="D10194" s="9" t="s">
        <v>93</v>
      </c>
      <c r="E10194" s="6" t="s">
        <v>15891</v>
      </c>
      <c r="F10194" s="9"/>
    </row>
    <row r="10195" ht="33.75" customHeight="1">
      <c r="A10195" s="7">
        <v>417.0</v>
      </c>
      <c r="B10195" s="9" t="s">
        <v>15887</v>
      </c>
      <c r="C10195" s="9" t="s">
        <v>15888</v>
      </c>
      <c r="D10195" s="9" t="s">
        <v>95</v>
      </c>
      <c r="E10195" s="6" t="s">
        <v>15891</v>
      </c>
      <c r="F10195" s="9"/>
    </row>
    <row r="10196" ht="33.75" customHeight="1">
      <c r="A10196" s="7">
        <v>417.0</v>
      </c>
      <c r="B10196" s="9" t="s">
        <v>15887</v>
      </c>
      <c r="C10196" s="9" t="s">
        <v>15888</v>
      </c>
      <c r="D10196" s="9" t="s">
        <v>98</v>
      </c>
      <c r="E10196" s="6" t="s">
        <v>15891</v>
      </c>
      <c r="F10196" s="9"/>
    </row>
    <row r="10197" ht="33.75" customHeight="1">
      <c r="A10197" s="7">
        <v>417.0</v>
      </c>
      <c r="B10197" s="9" t="s">
        <v>15887</v>
      </c>
      <c r="C10197" s="9" t="s">
        <v>15888</v>
      </c>
      <c r="D10197" s="9" t="s">
        <v>99</v>
      </c>
      <c r="E10197" s="6" t="s">
        <v>15891</v>
      </c>
      <c r="F10197" s="9"/>
    </row>
    <row r="10198" ht="33.75" customHeight="1">
      <c r="A10198" s="7">
        <v>417.0</v>
      </c>
      <c r="B10198" s="9" t="s">
        <v>15887</v>
      </c>
      <c r="C10198" s="9" t="s">
        <v>15888</v>
      </c>
      <c r="D10198" s="9" t="s">
        <v>101</v>
      </c>
      <c r="E10198" s="6" t="s">
        <v>15889</v>
      </c>
      <c r="F10198" s="9"/>
    </row>
    <row r="10199" ht="33.75" customHeight="1">
      <c r="A10199" s="7">
        <v>417.0</v>
      </c>
      <c r="B10199" s="9" t="s">
        <v>15887</v>
      </c>
      <c r="C10199" s="9" t="s">
        <v>15888</v>
      </c>
      <c r="D10199" s="9" t="s">
        <v>105</v>
      </c>
      <c r="E10199" s="6" t="s">
        <v>15891</v>
      </c>
      <c r="F10199" s="9"/>
    </row>
    <row r="10200" ht="33.75" customHeight="1">
      <c r="A10200" s="7">
        <v>417.0</v>
      </c>
      <c r="B10200" s="9" t="s">
        <v>15887</v>
      </c>
      <c r="C10200" s="9" t="s">
        <v>15888</v>
      </c>
      <c r="D10200" s="9" t="s">
        <v>107</v>
      </c>
      <c r="E10200" s="6" t="s">
        <v>15889</v>
      </c>
      <c r="F10200" s="9"/>
    </row>
    <row r="10201" ht="33.75" customHeight="1">
      <c r="A10201" s="7">
        <v>417.0</v>
      </c>
      <c r="B10201" s="9" t="s">
        <v>15887</v>
      </c>
      <c r="C10201" s="9" t="s">
        <v>15888</v>
      </c>
      <c r="D10201" s="9" t="s">
        <v>109</v>
      </c>
      <c r="E10201" s="6" t="s">
        <v>15891</v>
      </c>
      <c r="F10201" s="9"/>
    </row>
    <row r="10202" ht="33.75" customHeight="1">
      <c r="A10202" s="7">
        <v>417.0</v>
      </c>
      <c r="B10202" s="9" t="s">
        <v>15887</v>
      </c>
      <c r="C10202" s="9" t="s">
        <v>15888</v>
      </c>
      <c r="D10202" s="9" t="s">
        <v>1577</v>
      </c>
      <c r="E10202" s="6" t="s">
        <v>15894</v>
      </c>
      <c r="F10202" s="9"/>
    </row>
    <row r="10203" ht="33.75" customHeight="1">
      <c r="A10203" s="7">
        <v>418.0</v>
      </c>
      <c r="B10203" s="9" t="s">
        <v>15895</v>
      </c>
      <c r="C10203" s="9" t="s">
        <v>15896</v>
      </c>
      <c r="D10203" s="9" t="s">
        <v>81</v>
      </c>
      <c r="E10203" s="6" t="s">
        <v>15897</v>
      </c>
      <c r="F10203" t="inlineStr" s="10">
        <is>
          <t xml:space="preserve">Sillä on kelluntapussi, joka on kuin puhallettava panta. Se kelluu vedessä pää ulkona. Se ui pyörittämällä kahta pyrstöään kuin ruuvi. Sukellessaan sen kelluntapussi painuu kasaan. Se pyörittää kahta pyrstöään kuin ruuvia liikkuakseen vedessä. Pyrstöt myös viiltävät kiinni takertuneita merileviä. Se täyttää kelluntapussinsa pitäen kasvonsa vedenpinnan yläpuolella tarkkaillakseen saaliin liikkeitä. Se täyttää kaulassaan olevan kelluntapussin ilmalla ja työntää päänsä vedestä nähdäkseen, mitä tapahtuu. Se liikkuu vapaasti vedessä pyörittämällä haarukkaista pyrstöään työntövoiman saamiseksi. Sen samankaltaisuus höyrylaivan potkuriin on sattumaa.</t>
        </is>
      </c>
    </row>
    <row r="10204" ht="33.75" customHeight="1">
      <c r="A10204" s="7">
        <v>418.0</v>
      </c>
      <c r="B10204" s="9" t="s">
        <v>15895</v>
      </c>
      <c r="C10204" s="9" t="s">
        <v>15896</v>
      </c>
      <c r="D10204" s="9" t="s">
        <v>84</v>
      </c>
      <c r="E10204" s="6" t="s">
        <v>15898</v>
      </c>
      <c r="F10204" s="9"/>
    </row>
    <row r="10205" ht="33.75" customHeight="1">
      <c r="A10205" s="7">
        <v>418.0</v>
      </c>
      <c r="B10205" s="9" t="s">
        <v>15895</v>
      </c>
      <c r="C10205" s="9" t="s">
        <v>15896</v>
      </c>
      <c r="D10205" s="9" t="s">
        <v>87</v>
      </c>
      <c r="E10205" s="6" t="s">
        <v>15899</v>
      </c>
      <c r="F10205" s="9"/>
    </row>
    <row r="10206" ht="33.75" customHeight="1">
      <c r="A10206" s="7">
        <v>418.0</v>
      </c>
      <c r="B10206" s="9" t="s">
        <v>15895</v>
      </c>
      <c r="C10206" s="9" t="s">
        <v>15896</v>
      </c>
      <c r="D10206" s="9" t="s">
        <v>89</v>
      </c>
      <c r="E10206" s="6" t="s">
        <v>15900</v>
      </c>
      <c r="F10206" s="9"/>
    </row>
    <row r="10207" ht="33.75" customHeight="1">
      <c r="A10207" s="7">
        <v>418.0</v>
      </c>
      <c r="B10207" s="9" t="s">
        <v>15895</v>
      </c>
      <c r="C10207" s="9" t="s">
        <v>15896</v>
      </c>
      <c r="D10207" s="9" t="s">
        <v>91</v>
      </c>
      <c r="E10207" s="6" t="s">
        <v>15900</v>
      </c>
      <c r="F10207" s="9"/>
    </row>
    <row r="10208" ht="33.75" customHeight="1">
      <c r="A10208" s="7">
        <v>418.0</v>
      </c>
      <c r="B10208" s="9" t="s">
        <v>15895</v>
      </c>
      <c r="C10208" s="9" t="s">
        <v>15896</v>
      </c>
      <c r="D10208" s="9" t="s">
        <v>93</v>
      </c>
      <c r="E10208" s="6" t="s">
        <v>15899</v>
      </c>
      <c r="F10208" s="9"/>
    </row>
    <row r="10209" ht="33.75" customHeight="1">
      <c r="A10209" s="7">
        <v>418.0</v>
      </c>
      <c r="B10209" s="9" t="s">
        <v>15895</v>
      </c>
      <c r="C10209" s="9" t="s">
        <v>15896</v>
      </c>
      <c r="D10209" s="9" t="s">
        <v>95</v>
      </c>
      <c r="E10209" s="6" t="s">
        <v>15899</v>
      </c>
      <c r="F10209" s="9"/>
    </row>
    <row r="10210" ht="33.75" customHeight="1">
      <c r="A10210" s="7">
        <v>418.0</v>
      </c>
      <c r="B10210" s="9" t="s">
        <v>15895</v>
      </c>
      <c r="C10210" s="9" t="s">
        <v>15896</v>
      </c>
      <c r="D10210" s="9" t="s">
        <v>98</v>
      </c>
      <c r="E10210" s="6" t="s">
        <v>15901</v>
      </c>
      <c r="F10210" s="9"/>
    </row>
    <row r="10211" ht="33.75" customHeight="1">
      <c r="A10211" s="7">
        <v>418.0</v>
      </c>
      <c r="B10211" s="9" t="s">
        <v>15895</v>
      </c>
      <c r="C10211" s="9" t="s">
        <v>15896</v>
      </c>
      <c r="D10211" s="9" t="s">
        <v>99</v>
      </c>
      <c r="E10211" s="6" t="s">
        <v>15901</v>
      </c>
      <c r="F10211" s="9"/>
    </row>
    <row r="10212" ht="33.75" customHeight="1">
      <c r="A10212" s="7">
        <v>418.0</v>
      </c>
      <c r="B10212" s="9" t="s">
        <v>15895</v>
      </c>
      <c r="C10212" s="9" t="s">
        <v>15896</v>
      </c>
      <c r="D10212" s="9" t="s">
        <v>101</v>
      </c>
      <c r="E10212" s="6" t="s">
        <v>15898</v>
      </c>
      <c r="F10212" s="9"/>
    </row>
    <row r="10213" ht="33.75" customHeight="1">
      <c r="A10213" s="7">
        <v>418.0</v>
      </c>
      <c r="B10213" s="9" t="s">
        <v>15895</v>
      </c>
      <c r="C10213" s="9" t="s">
        <v>15896</v>
      </c>
      <c r="D10213" s="9" t="s">
        <v>105</v>
      </c>
      <c r="E10213" s="6" t="s">
        <v>15901</v>
      </c>
      <c r="F10213" s="9"/>
    </row>
    <row r="10214" ht="33.75" customHeight="1">
      <c r="A10214" s="7">
        <v>418.0</v>
      </c>
      <c r="B10214" s="9" t="s">
        <v>15895</v>
      </c>
      <c r="C10214" s="9" t="s">
        <v>15896</v>
      </c>
      <c r="D10214" s="9" t="s">
        <v>107</v>
      </c>
      <c r="E10214" s="6" t="s">
        <v>15898</v>
      </c>
      <c r="F10214" s="9"/>
    </row>
    <row r="10215" ht="33.75" customHeight="1">
      <c r="A10215" s="7">
        <v>418.0</v>
      </c>
      <c r="B10215" s="9" t="s">
        <v>15895</v>
      </c>
      <c r="C10215" s="9" t="s">
        <v>15896</v>
      </c>
      <c r="D10215" s="9" t="s">
        <v>109</v>
      </c>
      <c r="E10215" s="6" t="s">
        <v>15901</v>
      </c>
      <c r="F10215" s="9"/>
    </row>
    <row r="10216" ht="33.75" customHeight="1">
      <c r="A10216" s="7">
        <v>418.0</v>
      </c>
      <c r="B10216" s="9" t="s">
        <v>15895</v>
      </c>
      <c r="C10216" s="9" t="s">
        <v>15896</v>
      </c>
      <c r="D10216" s="9" t="s">
        <v>1577</v>
      </c>
      <c r="E10216" s="6" t="s">
        <v>15902</v>
      </c>
      <c r="F10216" s="9"/>
    </row>
    <row r="10217" ht="33.75" customHeight="1">
      <c r="A10217" s="7">
        <v>419.0</v>
      </c>
      <c r="B10217" s="9" t="s">
        <v>15903</v>
      </c>
      <c r="C10217" s="9" t="s">
        <v>15896</v>
      </c>
      <c r="D10217" s="9" t="s">
        <v>81</v>
      </c>
      <c r="E10217" s="6" t="s">
        <v>15904</v>
      </c>
      <c r="F10217" t="inlineStr" s="10">
        <is>
          <t xml:space="preserve">Floatzel kelluu hyvin kehittyneen kelluntapussinsa avulla. Se auttaa hukkuvien ihmisten pelastamisessa. Sen kelluntapussi kehittyi vesisaaliin jahtaamisen seurauksena. Se voi toimia myös kumilautana. Se on yleinen näky kalasatamien ympäristössä. Sen tiedetään pelastavan ihmisiä ja vievän saalista. Täytettynä kelluntapussi voi kantaa ihmisiä selässään. Se tyhjentää pussin ennen sukeltamista. Sillä on pitkä, melko upea kelluntapussi, joka estää kelluntakalan hukkumisen jopa myrskyisillä merillä. Tätä lajia voi nähdä vilaukselta kalastuskylien ympäristössä aika ajoin.</t>
        </is>
      </c>
    </row>
    <row r="10218" ht="33.75" customHeight="1">
      <c r="A10218" s="7">
        <v>419.0</v>
      </c>
      <c r="B10218" s="9" t="s">
        <v>15903</v>
      </c>
      <c r="C10218" s="9" t="s">
        <v>15896</v>
      </c>
      <c r="D10218" s="9" t="s">
        <v>84</v>
      </c>
      <c r="E10218" s="6" t="s">
        <v>15905</v>
      </c>
      <c r="F10218" s="9"/>
    </row>
    <row r="10219" ht="33.75" customHeight="1">
      <c r="A10219" s="7">
        <v>419.0</v>
      </c>
      <c r="B10219" s="9" t="s">
        <v>15903</v>
      </c>
      <c r="C10219" s="9" t="s">
        <v>15896</v>
      </c>
      <c r="D10219" s="9" t="s">
        <v>87</v>
      </c>
      <c r="E10219" s="6" t="s">
        <v>15906</v>
      </c>
      <c r="F10219" s="9"/>
    </row>
    <row r="10220" ht="33.75" customHeight="1">
      <c r="A10220" s="7">
        <v>419.0</v>
      </c>
      <c r="B10220" s="9" t="s">
        <v>15903</v>
      </c>
      <c r="C10220" s="9" t="s">
        <v>15896</v>
      </c>
      <c r="D10220" s="9" t="s">
        <v>89</v>
      </c>
      <c r="E10220" s="6" t="s">
        <v>15907</v>
      </c>
      <c r="F10220" s="9"/>
    </row>
    <row r="10221" ht="33.75" customHeight="1">
      <c r="A10221" s="7">
        <v>419.0</v>
      </c>
      <c r="B10221" s="9" t="s">
        <v>15903</v>
      </c>
      <c r="C10221" s="9" t="s">
        <v>15896</v>
      </c>
      <c r="D10221" s="9" t="s">
        <v>91</v>
      </c>
      <c r="E10221" s="6" t="s">
        <v>15907</v>
      </c>
      <c r="F10221" s="9"/>
    </row>
    <row r="10222" ht="33.75" customHeight="1">
      <c r="A10222" s="7">
        <v>419.0</v>
      </c>
      <c r="B10222" s="9" t="s">
        <v>15903</v>
      </c>
      <c r="C10222" s="9" t="s">
        <v>15896</v>
      </c>
      <c r="D10222" s="9" t="s">
        <v>93</v>
      </c>
      <c r="E10222" s="6" t="s">
        <v>15906</v>
      </c>
      <c r="F10222" s="9"/>
    </row>
    <row r="10223" ht="33.75" customHeight="1">
      <c r="A10223" s="7">
        <v>419.0</v>
      </c>
      <c r="B10223" s="9" t="s">
        <v>15903</v>
      </c>
      <c r="C10223" s="9" t="s">
        <v>15896</v>
      </c>
      <c r="D10223" s="9" t="s">
        <v>95</v>
      </c>
      <c r="E10223" s="6" t="s">
        <v>15906</v>
      </c>
      <c r="F10223" s="9"/>
    </row>
    <row r="10224" ht="33.75" customHeight="1">
      <c r="A10224" s="7">
        <v>419.0</v>
      </c>
      <c r="B10224" s="9" t="s">
        <v>15903</v>
      </c>
      <c r="C10224" s="9" t="s">
        <v>15896</v>
      </c>
      <c r="D10224" s="9" t="s">
        <v>98</v>
      </c>
      <c r="E10224" s="6" t="s">
        <v>15906</v>
      </c>
      <c r="F10224" s="9"/>
    </row>
    <row r="10225" ht="33.75" customHeight="1">
      <c r="A10225" s="7">
        <v>419.0</v>
      </c>
      <c r="B10225" s="9" t="s">
        <v>15903</v>
      </c>
      <c r="C10225" s="9" t="s">
        <v>15896</v>
      </c>
      <c r="D10225" s="9" t="s">
        <v>99</v>
      </c>
      <c r="E10225" s="6" t="s">
        <v>15906</v>
      </c>
      <c r="F10225" s="9"/>
    </row>
    <row r="10226" ht="33.75" customHeight="1">
      <c r="A10226" s="7">
        <v>419.0</v>
      </c>
      <c r="B10226" s="9" t="s">
        <v>15903</v>
      </c>
      <c r="C10226" s="9" t="s">
        <v>15896</v>
      </c>
      <c r="D10226" s="9" t="s">
        <v>101</v>
      </c>
      <c r="E10226" s="6" t="s">
        <v>15904</v>
      </c>
      <c r="F10226" s="9"/>
    </row>
    <row r="10227" ht="33.75" customHeight="1">
      <c r="A10227" s="7">
        <v>419.0</v>
      </c>
      <c r="B10227" s="9" t="s">
        <v>15903</v>
      </c>
      <c r="C10227" s="9" t="s">
        <v>15896</v>
      </c>
      <c r="D10227" s="9" t="s">
        <v>105</v>
      </c>
      <c r="E10227" s="6" t="s">
        <v>15905</v>
      </c>
      <c r="F10227" s="9"/>
    </row>
    <row r="10228" ht="33.75" customHeight="1">
      <c r="A10228" s="7">
        <v>419.0</v>
      </c>
      <c r="B10228" s="9" t="s">
        <v>15903</v>
      </c>
      <c r="C10228" s="9" t="s">
        <v>15896</v>
      </c>
      <c r="D10228" s="9" t="s">
        <v>107</v>
      </c>
      <c r="E10228" s="6" t="s">
        <v>15904</v>
      </c>
      <c r="F10228" s="9"/>
    </row>
    <row r="10229" ht="33.75" customHeight="1">
      <c r="A10229" s="7">
        <v>419.0</v>
      </c>
      <c r="B10229" s="9" t="s">
        <v>15903</v>
      </c>
      <c r="C10229" s="9" t="s">
        <v>15896</v>
      </c>
      <c r="D10229" s="9" t="s">
        <v>109</v>
      </c>
      <c r="E10229" s="6" t="s">
        <v>15905</v>
      </c>
      <c r="F10229" s="9"/>
    </row>
    <row r="10230" ht="33.75" customHeight="1">
      <c r="A10230" s="7">
        <v>419.0</v>
      </c>
      <c r="B10230" s="9" t="s">
        <v>15903</v>
      </c>
      <c r="C10230" s="9" t="s">
        <v>15896</v>
      </c>
      <c r="D10230" s="9" t="s">
        <v>1577</v>
      </c>
      <c r="E10230" s="6" t="s">
        <v>15909</v>
      </c>
      <c r="F10230" s="9"/>
    </row>
    <row r="10231" ht="33.75" customHeight="1">
      <c r="A10231" s="7">
        <v>420.0</v>
      </c>
      <c r="B10231" s="9" t="s">
        <v>15910</v>
      </c>
      <c r="C10231" s="9" t="s">
        <v>15911</v>
      </c>
      <c r="D10231" s="9" t="s">
        <v>81</v>
      </c>
      <c r="E10231" s="6" t="s">
        <v>15912</v>
      </c>
      <c r="F10231" t="inlineStr" s="10">
        <is>
          <t xml:space="preserve">Pieni pallo sisältää evoluutiolle tarvittavat ravinteet. Se on ilmeisesti erittäin makea ja maukas. Auringonvalo värjää sen punaiseksi. Kun pieni pallo on ehtynyt ravinteista, se kutistuu evoluution enteeksi. Pieni pallo ei ole vain täynnä ravinteita, se on myös maukas. Yritäpä nokkia se irti! Se kehittyy imemällä energiaa pienestä pallosta, johon se on varastoinut ravinteita. Starly, yritä nokkia se irti. Se juoksee ketterästi välttääkseen lintu-Pokémonien nokkimisen, jotka haluaisivat paeta sen pienen, ravinnepitoisen säilytyspallon kanssa. Mitä tummempi punainen kerubi on, sitä enemmän ravinteita sillä on varastossa. Ja sitä makeampi ja maukkaampi sen pieni pallo on! Kun rungon vieressä kasvava hedelmä on suuri ja pullea, kerubi käyttää sen sisältämiä ravinteita kehittyäkseen. Hedelmä irtoaa sitten ja siitä tulee ravintoa muille olennoille.</t>
        </is>
      </c>
    </row>
    <row r="10232" ht="33.75" customHeight="1">
      <c r="A10232" s="7">
        <v>420.0</v>
      </c>
      <c r="B10232" s="9" t="s">
        <v>15910</v>
      </c>
      <c r="C10232" s="9" t="s">
        <v>15911</v>
      </c>
      <c r="D10232" s="9" t="s">
        <v>84</v>
      </c>
      <c r="E10232" s="6" t="s">
        <v>15913</v>
      </c>
      <c r="F10232" s="9"/>
    </row>
    <row r="10233" ht="33.75" customHeight="1">
      <c r="A10233" s="7">
        <v>420.0</v>
      </c>
      <c r="B10233" s="9" t="s">
        <v>15910</v>
      </c>
      <c r="C10233" s="9" t="s">
        <v>15911</v>
      </c>
      <c r="D10233" s="9" t="s">
        <v>87</v>
      </c>
      <c r="E10233" s="6" t="s">
        <v>15914</v>
      </c>
      <c r="F10233" s="9"/>
    </row>
    <row r="10234" ht="33.75" customHeight="1">
      <c r="A10234" s="7">
        <v>420.0</v>
      </c>
      <c r="B10234" s="9" t="s">
        <v>15910</v>
      </c>
      <c r="C10234" s="9" t="s">
        <v>15911</v>
      </c>
      <c r="D10234" s="9" t="s">
        <v>89</v>
      </c>
      <c r="E10234" s="6" t="s">
        <v>15915</v>
      </c>
      <c r="F10234" s="9"/>
    </row>
    <row r="10235" ht="33.75" customHeight="1">
      <c r="A10235" s="7">
        <v>420.0</v>
      </c>
      <c r="B10235" s="9" t="s">
        <v>15910</v>
      </c>
      <c r="C10235" s="9" t="s">
        <v>15911</v>
      </c>
      <c r="D10235" s="9" t="s">
        <v>91</v>
      </c>
      <c r="E10235" s="6" t="s">
        <v>15915</v>
      </c>
      <c r="F10235" s="9"/>
    </row>
    <row r="10236" ht="33.75" customHeight="1">
      <c r="A10236" s="7">
        <v>420.0</v>
      </c>
      <c r="B10236" s="9" t="s">
        <v>15910</v>
      </c>
      <c r="C10236" s="9" t="s">
        <v>15911</v>
      </c>
      <c r="D10236" s="9" t="s">
        <v>93</v>
      </c>
      <c r="E10236" s="6" t="s">
        <v>15916</v>
      </c>
      <c r="F10236" s="9"/>
    </row>
    <row r="10237" ht="33.75" customHeight="1">
      <c r="A10237" s="7">
        <v>420.0</v>
      </c>
      <c r="B10237" s="9" t="s">
        <v>15910</v>
      </c>
      <c r="C10237" s="9" t="s">
        <v>15911</v>
      </c>
      <c r="D10237" s="9" t="s">
        <v>95</v>
      </c>
      <c r="E10237" s="6" t="s">
        <v>15916</v>
      </c>
      <c r="F10237" s="9"/>
    </row>
    <row r="10238" ht="33.75" customHeight="1">
      <c r="A10238" s="7">
        <v>420.0</v>
      </c>
      <c r="B10238" s="9" t="s">
        <v>15910</v>
      </c>
      <c r="C10238" s="9" t="s">
        <v>15911</v>
      </c>
      <c r="D10238" s="9" t="s">
        <v>98</v>
      </c>
      <c r="E10238" s="6" t="s">
        <v>15916</v>
      </c>
      <c r="F10238" s="9"/>
    </row>
    <row r="10239" ht="33.75" customHeight="1">
      <c r="A10239" s="7">
        <v>420.0</v>
      </c>
      <c r="B10239" s="9" t="s">
        <v>15910</v>
      </c>
      <c r="C10239" s="9" t="s">
        <v>15911</v>
      </c>
      <c r="D10239" s="9" t="s">
        <v>99</v>
      </c>
      <c r="E10239" s="6" t="s">
        <v>15916</v>
      </c>
      <c r="F10239" s="9"/>
    </row>
    <row r="10240" ht="33.75" customHeight="1">
      <c r="A10240" s="7">
        <v>420.0</v>
      </c>
      <c r="B10240" s="9" t="s">
        <v>15910</v>
      </c>
      <c r="C10240" s="9" t="s">
        <v>15911</v>
      </c>
      <c r="D10240" s="9" t="s">
        <v>101</v>
      </c>
      <c r="E10240" s="6" t="s">
        <v>15913</v>
      </c>
      <c r="F10240" s="9"/>
    </row>
    <row r="10241" ht="33.75" customHeight="1">
      <c r="A10241" s="7">
        <v>420.0</v>
      </c>
      <c r="B10241" s="9" t="s">
        <v>15910</v>
      </c>
      <c r="C10241" s="9" t="s">
        <v>15911</v>
      </c>
      <c r="D10241" s="9" t="s">
        <v>105</v>
      </c>
      <c r="E10241" s="6" t="s">
        <v>15915</v>
      </c>
      <c r="F10241" s="9"/>
    </row>
    <row r="10242" ht="33.75" customHeight="1">
      <c r="A10242" s="7">
        <v>420.0</v>
      </c>
      <c r="B10242" s="9" t="s">
        <v>15910</v>
      </c>
      <c r="C10242" s="9" t="s">
        <v>15911</v>
      </c>
      <c r="D10242" s="9" t="s">
        <v>107</v>
      </c>
      <c r="E10242" s="6" t="s">
        <v>15913</v>
      </c>
      <c r="F10242" s="9"/>
    </row>
    <row r="10243" ht="33.75" customHeight="1">
      <c r="A10243" s="7">
        <v>420.0</v>
      </c>
      <c r="B10243" s="9" t="s">
        <v>15910</v>
      </c>
      <c r="C10243" s="9" t="s">
        <v>15911</v>
      </c>
      <c r="D10243" s="9" t="s">
        <v>109</v>
      </c>
      <c r="E10243" s="6" t="s">
        <v>15915</v>
      </c>
      <c r="F10243" s="9"/>
    </row>
    <row r="10244" ht="33.75" customHeight="1">
      <c r="A10244" s="7">
        <v>420.0</v>
      </c>
      <c r="B10244" s="9" t="s">
        <v>15910</v>
      </c>
      <c r="C10244" s="9" t="s">
        <v>15911</v>
      </c>
      <c r="D10244" s="9" t="s">
        <v>114</v>
      </c>
      <c r="E10244" s="6" t="s">
        <v>15918</v>
      </c>
      <c r="F10244" s="9"/>
    </row>
    <row r="10245" ht="33.75" customHeight="1">
      <c r="A10245" s="7">
        <v>420.0</v>
      </c>
      <c r="B10245" s="9" t="s">
        <v>15910</v>
      </c>
      <c r="C10245" s="9" t="s">
        <v>15911</v>
      </c>
      <c r="D10245" s="9" t="s">
        <v>117</v>
      </c>
      <c r="E10245" s="6" t="s">
        <v>15919</v>
      </c>
      <c r="F10245" s="9"/>
    </row>
    <row r="10246" ht="33.75" customHeight="1">
      <c r="A10246" s="7">
        <v>420.0</v>
      </c>
      <c r="B10246" s="9" t="s">
        <v>15910</v>
      </c>
      <c r="C10246" s="9" t="s">
        <v>15911</v>
      </c>
      <c r="D10246" s="9" t="s">
        <v>1577</v>
      </c>
      <c r="E10246" s="6" t="s">
        <v>15920</v>
      </c>
      <c r="F10246" s="9"/>
    </row>
    <row r="10247" ht="33.75" customHeight="1">
      <c r="A10247" s="7">
        <v>421.0</v>
      </c>
      <c r="B10247" s="9" t="s">
        <v>15921</v>
      </c>
      <c r="C10247" s="9" t="s">
        <v>15922</v>
      </c>
      <c r="D10247" s="9" t="s">
        <v>81</v>
      </c>
      <c r="E10247" s="6" t="s">
        <v>15923</v>
      </c>
      <c r="F10247" t="inlineStr" s="10">
        <is>
          <t xml:space="preserve">Cherrim kukkii voimakkaan auringonvalon aikana. Se yrittää hyvittää kaiken, mitä se kesti nuppuna. Se on säyseä kuin nuppu, mutta muuttuu iloiseksi kukintaessaan. Se taittuu takaisin nupuksi, jos auringonvalo hiipuu. Jos se aistii voimakasta auringonvaloa, se avaa taitetut terälehtensä imeäkseen auringonsäteet koko kehollaan. Kirkkaan auringonvalon aikana sen nuput kukkivat, terälehdet avautuvat kokonaan ja siitä tulee erittäin aktiivinen. Nupuna se tuskin liikkuu. Se istuu paikallaan ja odottaa tyynesti auringonvalon ilmestymistä. Sen taitetut terälehdet ovat melko kestäviä. Lintu-Pokémonit voivat nokkia niitä niin paljon kuin haluavat, eikä Cherrim välitä siitä ollenkaan. Liikkumaton, satunnaista värinää lukuun ottamatta. Sen ympärille voi löytää runsaan joukon Pokémoneja, joita Cherrimin taitelluista terälehdistä huokuva tuoksu vetää puoleensa.</t>
        </is>
      </c>
    </row>
    <row r="10248" ht="33.75" customHeight="1">
      <c r="A10248" s="7">
        <v>421.0</v>
      </c>
      <c r="B10248" s="9" t="s">
        <v>15921</v>
      </c>
      <c r="C10248" s="9" t="s">
        <v>15922</v>
      </c>
      <c r="D10248" s="9" t="s">
        <v>84</v>
      </c>
      <c r="E10248" s="6" t="s">
        <v>15924</v>
      </c>
      <c r="F10248" s="9"/>
    </row>
    <row r="10249" ht="33.75" customHeight="1">
      <c r="A10249" s="7">
        <v>421.0</v>
      </c>
      <c r="B10249" s="9" t="s">
        <v>15921</v>
      </c>
      <c r="C10249" s="9" t="s">
        <v>15922</v>
      </c>
      <c r="D10249" s="9" t="s">
        <v>87</v>
      </c>
      <c r="E10249" s="6" t="s">
        <v>15925</v>
      </c>
      <c r="F10249" s="9"/>
    </row>
    <row r="10250" ht="33.75" customHeight="1">
      <c r="A10250" s="7">
        <v>421.0</v>
      </c>
      <c r="B10250" s="9" t="s">
        <v>15921</v>
      </c>
      <c r="C10250" s="9" t="s">
        <v>15922</v>
      </c>
      <c r="D10250" s="9" t="s">
        <v>89</v>
      </c>
      <c r="E10250" s="6" t="s">
        <v>15926</v>
      </c>
      <c r="F10250" s="9"/>
    </row>
    <row r="10251" ht="33.75" customHeight="1">
      <c r="A10251" s="7">
        <v>421.0</v>
      </c>
      <c r="B10251" s="9" t="s">
        <v>15921</v>
      </c>
      <c r="C10251" s="9" t="s">
        <v>15922</v>
      </c>
      <c r="D10251" s="9" t="s">
        <v>91</v>
      </c>
      <c r="E10251" s="6" t="s">
        <v>15926</v>
      </c>
      <c r="F10251" s="9"/>
    </row>
    <row r="10252" ht="33.75" customHeight="1">
      <c r="A10252" s="7">
        <v>421.0</v>
      </c>
      <c r="B10252" s="9" t="s">
        <v>15921</v>
      </c>
      <c r="C10252" s="9" t="s">
        <v>15922</v>
      </c>
      <c r="D10252" s="9" t="s">
        <v>93</v>
      </c>
      <c r="E10252" s="6" t="s">
        <v>15925</v>
      </c>
      <c r="F10252" s="9"/>
    </row>
    <row r="10253" ht="33.75" customHeight="1">
      <c r="A10253" s="7">
        <v>421.0</v>
      </c>
      <c r="B10253" s="9" t="s">
        <v>15921</v>
      </c>
      <c r="C10253" s="9" t="s">
        <v>15922</v>
      </c>
      <c r="D10253" s="9" t="s">
        <v>95</v>
      </c>
      <c r="E10253" s="6" t="s">
        <v>15925</v>
      </c>
      <c r="F10253" s="9"/>
    </row>
    <row r="10254" ht="33.75" customHeight="1">
      <c r="A10254" s="7">
        <v>421.0</v>
      </c>
      <c r="B10254" s="9" t="s">
        <v>15921</v>
      </c>
      <c r="C10254" s="9" t="s">
        <v>15922</v>
      </c>
      <c r="D10254" s="9" t="s">
        <v>98</v>
      </c>
      <c r="E10254" s="6" t="s">
        <v>15925</v>
      </c>
      <c r="F10254" s="9"/>
    </row>
    <row r="10255" ht="33.75" customHeight="1">
      <c r="A10255" s="7">
        <v>421.0</v>
      </c>
      <c r="B10255" s="9" t="s">
        <v>15921</v>
      </c>
      <c r="C10255" s="9" t="s">
        <v>15922</v>
      </c>
      <c r="D10255" s="9" t="s">
        <v>99</v>
      </c>
      <c r="E10255" s="6" t="s">
        <v>15925</v>
      </c>
      <c r="F10255" s="9"/>
    </row>
    <row r="10256" ht="33.75" customHeight="1">
      <c r="A10256" s="7">
        <v>421.0</v>
      </c>
      <c r="B10256" s="9" t="s">
        <v>15921</v>
      </c>
      <c r="C10256" s="9" t="s">
        <v>15922</v>
      </c>
      <c r="D10256" s="9" t="s">
        <v>101</v>
      </c>
      <c r="E10256" s="6" t="s">
        <v>15926</v>
      </c>
      <c r="F10256" s="9"/>
    </row>
    <row r="10257" ht="33.75" customHeight="1">
      <c r="A10257" s="7">
        <v>421.0</v>
      </c>
      <c r="B10257" s="9" t="s">
        <v>15921</v>
      </c>
      <c r="C10257" s="9" t="s">
        <v>15922</v>
      </c>
      <c r="D10257" s="9" t="s">
        <v>105</v>
      </c>
      <c r="E10257" s="6" t="s">
        <v>15925</v>
      </c>
      <c r="F10257" s="9"/>
    </row>
    <row r="10258" ht="33.75" customHeight="1">
      <c r="A10258" s="7">
        <v>421.0</v>
      </c>
      <c r="B10258" s="9" t="s">
        <v>15921</v>
      </c>
      <c r="C10258" s="9" t="s">
        <v>15922</v>
      </c>
      <c r="D10258" s="9" t="s">
        <v>107</v>
      </c>
      <c r="E10258" s="6" t="s">
        <v>15926</v>
      </c>
      <c r="F10258" s="9"/>
    </row>
    <row r="10259" ht="33.75" customHeight="1">
      <c r="A10259" s="7">
        <v>421.0</v>
      </c>
      <c r="B10259" s="9" t="s">
        <v>15921</v>
      </c>
      <c r="C10259" s="9" t="s">
        <v>15922</v>
      </c>
      <c r="D10259" s="9" t="s">
        <v>109</v>
      </c>
      <c r="E10259" s="6" t="s">
        <v>15925</v>
      </c>
      <c r="F10259" s="9"/>
    </row>
    <row r="10260" ht="33.75" customHeight="1">
      <c r="A10260" s="7">
        <v>421.0</v>
      </c>
      <c r="B10260" s="9" t="s">
        <v>15921</v>
      </c>
      <c r="C10260" s="9" t="s">
        <v>15922</v>
      </c>
      <c r="D10260" s="9" t="s">
        <v>114</v>
      </c>
      <c r="E10260" s="6" t="s">
        <v>15927</v>
      </c>
      <c r="F10260" s="9"/>
    </row>
    <row r="10261" ht="33.75" customHeight="1">
      <c r="A10261" s="7">
        <v>421.0</v>
      </c>
      <c r="B10261" s="9" t="s">
        <v>15921</v>
      </c>
      <c r="C10261" s="9" t="s">
        <v>15922</v>
      </c>
      <c r="D10261" s="9" t="s">
        <v>117</v>
      </c>
      <c r="E10261" s="6" t="s">
        <v>15928</v>
      </c>
      <c r="F10261" s="9"/>
    </row>
    <row r="10262" ht="33.75" customHeight="1">
      <c r="A10262" s="7">
        <v>421.0</v>
      </c>
      <c r="B10262" s="9" t="s">
        <v>15921</v>
      </c>
      <c r="C10262" s="9" t="s">
        <v>15922</v>
      </c>
      <c r="D10262" s="9" t="s">
        <v>1577</v>
      </c>
      <c r="E10262" s="6" t="s">
        <v>15929</v>
      </c>
      <c r="F10262" s="9"/>
    </row>
    <row r="10263" ht="33.75" customHeight="1">
      <c r="A10263" s="7">
        <v>422.0</v>
      </c>
      <c r="B10263" s="9" t="s">
        <v>15930</v>
      </c>
      <c r="C10263" s="9" t="s">
        <v>15931</v>
      </c>
      <c r="D10263" s="9" t="s">
        <v>81</v>
      </c>
      <c r="E10263" s="6" t="s">
        <v>15932</v>
      </c>
      <c r="F10263" t="inlineStr" s="10">
        <is>
          <t xml:space="preserve">Shellosin värit ja muodot vaihtelevat alueittain. Sinnoh-alueella on vahvistettu kaksi tyyppiä. Se elää vesistöjen varrella. Sen ruumiinmuoto on muuttunut elinympäristöönsä sopivaksi. Varo painamasta voimakkaasti sen pehmeää vartaloa, sillä siitä pursuaa salaperäistä violettia nestettä. Sen muoto ja väri vaihtelevat elinympäristöstä riippuen. Se elää enimmäkseen meren rannalla. Sen väri ja muoto vaihtelevat elinympäristön ja ravinnon laadun mukaan. Violetti lima tarttuu jokaisen sitä koskevan käsiin. Ole varovainen, sillä ainetta on vaikea pestä pois. Vaikka ne normaalisti elävät meressä, ne voivat toimia myös maalla, kunnes niiden iho kuivuu. Kun se aistii vaaran, siitä tihkuu violettia nestettä. Nesteen ajatellaan olevan jonkinlaista rasvaista hikeä. Tämän Pokémonin elinympäristö muokkaa sen fysiikkaa. Joidenkin teorioiden mukaan elämä lämpimissä merivesissä aiheuttaa tämän variaation kehittymisen. Voimakkaan voiman kohdistaminen tähän Pokémoniin saa sen erittämään outoa violettia nestettä. Vaikka neste on vaaratonta, se on kamalan tahmeaa. Lämpimien vesien rannoilla niitä tavataan runsaasti. Shellot ovat yllättävän ystävällisiä ja ryömivät ketä tahansa näkemäänsä ihmistä kohti. Varo, ettet peitä itseäsi limaan!</t>
        </is>
      </c>
    </row>
    <row r="10264" ht="33.75" customHeight="1">
      <c r="A10264" s="7">
        <v>422.0</v>
      </c>
      <c r="B10264" s="9" t="s">
        <v>15930</v>
      </c>
      <c r="C10264" s="9" t="s">
        <v>15931</v>
      </c>
      <c r="D10264" s="9" t="s">
        <v>84</v>
      </c>
      <c r="E10264" s="6" t="s">
        <v>15933</v>
      </c>
      <c r="F10264" s="9"/>
    </row>
    <row r="10265" ht="33.75" customHeight="1">
      <c r="A10265" s="7">
        <v>422.0</v>
      </c>
      <c r="B10265" s="9" t="s">
        <v>15930</v>
      </c>
      <c r="C10265" s="9" t="s">
        <v>15931</v>
      </c>
      <c r="D10265" s="9" t="s">
        <v>87</v>
      </c>
      <c r="E10265" s="6" t="s">
        <v>15934</v>
      </c>
      <c r="F10265" s="9"/>
    </row>
    <row r="10266" ht="33.75" customHeight="1">
      <c r="A10266" s="7">
        <v>422.0</v>
      </c>
      <c r="B10266" s="9" t="s">
        <v>15930</v>
      </c>
      <c r="C10266" s="9" t="s">
        <v>15931</v>
      </c>
      <c r="D10266" s="9" t="s">
        <v>89</v>
      </c>
      <c r="E10266" s="6" t="s">
        <v>15935</v>
      </c>
      <c r="F10266" s="9"/>
    </row>
    <row r="10267" ht="33.75" customHeight="1">
      <c r="A10267" s="7">
        <v>422.0</v>
      </c>
      <c r="B10267" s="9" t="s">
        <v>15930</v>
      </c>
      <c r="C10267" s="9" t="s">
        <v>15931</v>
      </c>
      <c r="D10267" s="9" t="s">
        <v>91</v>
      </c>
      <c r="E10267" s="6" t="s">
        <v>15935</v>
      </c>
      <c r="F10267" s="9"/>
    </row>
    <row r="10268" ht="33.75" customHeight="1">
      <c r="A10268" s="7">
        <v>422.0</v>
      </c>
      <c r="B10268" s="9" t="s">
        <v>15930</v>
      </c>
      <c r="C10268" s="9" t="s">
        <v>15931</v>
      </c>
      <c r="D10268" s="9" t="s">
        <v>93</v>
      </c>
      <c r="E10268" s="6" t="s">
        <v>15934</v>
      </c>
      <c r="F10268" s="9"/>
    </row>
    <row r="10269" ht="33.75" customHeight="1">
      <c r="A10269" s="7">
        <v>422.0</v>
      </c>
      <c r="B10269" s="9" t="s">
        <v>15930</v>
      </c>
      <c r="C10269" s="9" t="s">
        <v>15931</v>
      </c>
      <c r="D10269" s="9" t="s">
        <v>95</v>
      </c>
      <c r="E10269" s="6" t="s">
        <v>15934</v>
      </c>
      <c r="F10269" s="9"/>
    </row>
    <row r="10270" ht="33.75" customHeight="1">
      <c r="A10270" s="7">
        <v>422.0</v>
      </c>
      <c r="B10270" s="9" t="s">
        <v>15930</v>
      </c>
      <c r="C10270" s="9" t="s">
        <v>15931</v>
      </c>
      <c r="D10270" s="9" t="s">
        <v>98</v>
      </c>
      <c r="E10270" s="6" t="s">
        <v>15934</v>
      </c>
      <c r="F10270" s="9"/>
    </row>
    <row r="10271" ht="33.75" customHeight="1">
      <c r="A10271" s="7">
        <v>422.0</v>
      </c>
      <c r="B10271" s="9" t="s">
        <v>15930</v>
      </c>
      <c r="C10271" s="9" t="s">
        <v>15931</v>
      </c>
      <c r="D10271" s="9" t="s">
        <v>99</v>
      </c>
      <c r="E10271" s="6" t="s">
        <v>15934</v>
      </c>
      <c r="F10271" s="9"/>
    </row>
    <row r="10272" ht="33.75" customHeight="1">
      <c r="A10272" s="7">
        <v>422.0</v>
      </c>
      <c r="B10272" s="9" t="s">
        <v>15930</v>
      </c>
      <c r="C10272" s="9" t="s">
        <v>15931</v>
      </c>
      <c r="D10272" s="9" t="s">
        <v>101</v>
      </c>
      <c r="E10272" s="6" t="s">
        <v>15934</v>
      </c>
      <c r="F10272" s="9"/>
    </row>
    <row r="10273" ht="33.75" customHeight="1">
      <c r="A10273" s="7">
        <v>422.0</v>
      </c>
      <c r="B10273" s="9" t="s">
        <v>15930</v>
      </c>
      <c r="C10273" s="9" t="s">
        <v>15931</v>
      </c>
      <c r="D10273" s="9" t="s">
        <v>105</v>
      </c>
      <c r="E10273" s="6" t="s">
        <v>15935</v>
      </c>
      <c r="F10273" s="9"/>
    </row>
    <row r="10274" ht="33.75" customHeight="1">
      <c r="A10274" s="7">
        <v>422.0</v>
      </c>
      <c r="B10274" s="9" t="s">
        <v>15930</v>
      </c>
      <c r="C10274" s="9" t="s">
        <v>15931</v>
      </c>
      <c r="D10274" s="9" t="s">
        <v>107</v>
      </c>
      <c r="E10274" s="6" t="s">
        <v>15934</v>
      </c>
      <c r="F10274" s="9"/>
    </row>
    <row r="10275" ht="33.75" customHeight="1">
      <c r="A10275" s="7">
        <v>422.0</v>
      </c>
      <c r="B10275" s="9" t="s">
        <v>15930</v>
      </c>
      <c r="C10275" s="9" t="s">
        <v>15931</v>
      </c>
      <c r="D10275" s="9" t="s">
        <v>109</v>
      </c>
      <c r="E10275" s="6" t="s">
        <v>15935</v>
      </c>
      <c r="F10275" s="9"/>
    </row>
    <row r="10276" ht="33.75" customHeight="1">
      <c r="A10276" s="7">
        <v>422.0</v>
      </c>
      <c r="B10276" s="9" t="s">
        <v>15930</v>
      </c>
      <c r="C10276" s="9" t="s">
        <v>15931</v>
      </c>
      <c r="D10276" s="9" t="s">
        <v>637</v>
      </c>
      <c r="E10276" s="6" t="s">
        <v>15937</v>
      </c>
      <c r="F10276" s="9"/>
    </row>
    <row r="10277" ht="33.75" customHeight="1">
      <c r="A10277" s="7">
        <v>422.0</v>
      </c>
      <c r="B10277" s="9" t="s">
        <v>15930</v>
      </c>
      <c r="C10277" s="9" t="s">
        <v>15931</v>
      </c>
      <c r="D10277" s="9" t="s">
        <v>642</v>
      </c>
      <c r="E10277" s="6" t="s">
        <v>15938</v>
      </c>
      <c r="F10277" s="9"/>
    </row>
    <row r="10278" ht="33.75" customHeight="1">
      <c r="A10278" s="7">
        <v>422.0</v>
      </c>
      <c r="B10278" s="9" t="s">
        <v>15930</v>
      </c>
      <c r="C10278" s="9" t="s">
        <v>15931</v>
      </c>
      <c r="D10278" s="9" t="s">
        <v>647</v>
      </c>
      <c r="E10278" s="6" t="s">
        <v>15939</v>
      </c>
      <c r="F10278" s="9"/>
    </row>
    <row r="10279" ht="33.75" customHeight="1">
      <c r="A10279" s="7">
        <v>422.0</v>
      </c>
      <c r="B10279" s="9" t="s">
        <v>15930</v>
      </c>
      <c r="C10279" s="9" t="s">
        <v>15931</v>
      </c>
      <c r="D10279" s="9" t="s">
        <v>652</v>
      </c>
      <c r="E10279" s="6" t="s">
        <v>15940</v>
      </c>
      <c r="F10279" s="9"/>
    </row>
    <row r="10280" ht="33.75" customHeight="1">
      <c r="A10280" s="7">
        <v>422.0</v>
      </c>
      <c r="B10280" s="9" t="s">
        <v>15930</v>
      </c>
      <c r="C10280" s="9" t="s">
        <v>15931</v>
      </c>
      <c r="D10280" s="9" t="s">
        <v>114</v>
      </c>
      <c r="E10280" s="6" t="s">
        <v>15941</v>
      </c>
      <c r="F10280" s="9"/>
    </row>
    <row r="10281" ht="33.75" customHeight="1">
      <c r="A10281" s="7">
        <v>422.0</v>
      </c>
      <c r="B10281" s="9" t="s">
        <v>15930</v>
      </c>
      <c r="C10281" s="9" t="s">
        <v>15931</v>
      </c>
      <c r="D10281" s="9" t="s">
        <v>117</v>
      </c>
      <c r="E10281" s="6" t="s">
        <v>15942</v>
      </c>
      <c r="F10281" s="9"/>
    </row>
    <row r="10282" ht="33.75" customHeight="1">
      <c r="A10282" s="7">
        <v>422.0</v>
      </c>
      <c r="B10282" s="9" t="s">
        <v>15930</v>
      </c>
      <c r="C10282" s="9" t="s">
        <v>15931</v>
      </c>
      <c r="D10282" s="9" t="s">
        <v>1577</v>
      </c>
      <c r="E10282" s="6" t="s">
        <v>15943</v>
      </c>
      <c r="F10282" s="9"/>
    </row>
    <row r="10283" ht="33.75" customHeight="1">
      <c r="A10283" s="7">
        <v>423.0</v>
      </c>
      <c r="B10283" s="9" t="s">
        <v>15944</v>
      </c>
      <c r="C10283" s="9" t="s">
        <v>15931</v>
      </c>
      <c r="D10283" s="9" t="s">
        <v>81</v>
      </c>
      <c r="E10283" s="6" t="s">
        <v>15945</v>
      </c>
      <c r="F10283" t="inlineStr" s="10">
        <is>
          <t xml:space="preserve">Sillä on taipuisa, lueton ruumis. Jos jokin osa ruumiista repeytyy irti, se kasvaa heti takaisin. Sillä oli ilmeisesti valtava kuori suojana muinaisina aikoina. Se elää matalissa vuorovesialtaissa. Kauan sitten sen koko selkä oli suojattu tukevalla kuorella. Sen soluissa on jäljellä jälkiä siitä. Kun sen luonnollinen vihollinen hyökkää, se tihkuu violettia nestettä ja pakenee. Sillä on vahvat uudistumiskyvyt. Vaikka kala-Pokémonit puraisivat siitä osia irti, se palautuu normaaliksi muutamassa tunnissa. Paljaalla silmällä näkymätön plankton on sen tärkein ravinnonlähde. Se ilmestyy maalle ajoittain, mutta syytä tähän ei tiedetä. Kauan sitten sillä oli kuori selässään. Nyt sen selässä on kova mutta ohut jäännelevy. Niiden muoto ja väri muuttuvat ympäristön ja ruokavalion mukaan. Niitä on paljon rannoilla, joilla aallot ovat tyyniä. Sen ravinnonetsintä johtaa sen joskus maihin, missä se jättää jälkeensä tahmean limavanan kulkiessaan läpi. Sen pehmeys auttaa hajauttamaan iskujen voimaa, joten vaikka sen ruumis on epätavallisen pehmeä, se on myös yllättävän joustava. Syö rantahiekkaa ravinnokseen. Jos yksi gastrodon kohtaa toisen erivärisen, seurauksena on väistämättä kova taistelu.</t>
        </is>
      </c>
    </row>
    <row r="10284" ht="33.75" customHeight="1">
      <c r="A10284" s="7">
        <v>423.0</v>
      </c>
      <c r="B10284" s="9" t="s">
        <v>15944</v>
      </c>
      <c r="C10284" s="9" t="s">
        <v>15931</v>
      </c>
      <c r="D10284" s="9" t="s">
        <v>84</v>
      </c>
      <c r="E10284" s="6" t="s">
        <v>15946</v>
      </c>
      <c r="F10284" s="9"/>
    </row>
    <row r="10285" ht="33.75" customHeight="1">
      <c r="A10285" s="7">
        <v>423.0</v>
      </c>
      <c r="B10285" s="9" t="s">
        <v>15944</v>
      </c>
      <c r="C10285" s="9" t="s">
        <v>15931</v>
      </c>
      <c r="D10285" s="9" t="s">
        <v>87</v>
      </c>
      <c r="E10285" s="6" t="s">
        <v>15947</v>
      </c>
      <c r="F10285" s="9"/>
    </row>
    <row r="10286" ht="33.75" customHeight="1">
      <c r="A10286" s="7">
        <v>423.0</v>
      </c>
      <c r="B10286" s="9" t="s">
        <v>15944</v>
      </c>
      <c r="C10286" s="9" t="s">
        <v>15931</v>
      </c>
      <c r="D10286" s="9" t="s">
        <v>89</v>
      </c>
      <c r="E10286" s="6" t="s">
        <v>15948</v>
      </c>
      <c r="F10286" s="9"/>
    </row>
    <row r="10287" ht="33.75" customHeight="1">
      <c r="A10287" s="7">
        <v>423.0</v>
      </c>
      <c r="B10287" s="9" t="s">
        <v>15944</v>
      </c>
      <c r="C10287" s="9" t="s">
        <v>15931</v>
      </c>
      <c r="D10287" s="9" t="s">
        <v>91</v>
      </c>
      <c r="E10287" s="6" t="s">
        <v>15948</v>
      </c>
      <c r="F10287" s="9"/>
    </row>
    <row r="10288" ht="33.75" customHeight="1">
      <c r="A10288" s="7">
        <v>423.0</v>
      </c>
      <c r="B10288" s="9" t="s">
        <v>15944</v>
      </c>
      <c r="C10288" s="9" t="s">
        <v>15931</v>
      </c>
      <c r="D10288" s="9" t="s">
        <v>93</v>
      </c>
      <c r="E10288" s="6" t="s">
        <v>15947</v>
      </c>
      <c r="F10288" s="9"/>
    </row>
    <row r="10289" ht="33.75" customHeight="1">
      <c r="A10289" s="7">
        <v>423.0</v>
      </c>
      <c r="B10289" s="9" t="s">
        <v>15944</v>
      </c>
      <c r="C10289" s="9" t="s">
        <v>15931</v>
      </c>
      <c r="D10289" s="9" t="s">
        <v>95</v>
      </c>
      <c r="E10289" s="6" t="s">
        <v>15947</v>
      </c>
      <c r="F10289" s="9"/>
    </row>
    <row r="10290" ht="33.75" customHeight="1">
      <c r="A10290" s="7">
        <v>423.0</v>
      </c>
      <c r="B10290" s="9" t="s">
        <v>15944</v>
      </c>
      <c r="C10290" s="9" t="s">
        <v>15931</v>
      </c>
      <c r="D10290" s="9" t="s">
        <v>98</v>
      </c>
      <c r="E10290" s="6" t="s">
        <v>15947</v>
      </c>
      <c r="F10290" s="9"/>
    </row>
    <row r="10291" ht="33.75" customHeight="1">
      <c r="A10291" s="7">
        <v>423.0</v>
      </c>
      <c r="B10291" s="9" t="s">
        <v>15944</v>
      </c>
      <c r="C10291" s="9" t="s">
        <v>15931</v>
      </c>
      <c r="D10291" s="9" t="s">
        <v>99</v>
      </c>
      <c r="E10291" s="6" t="s">
        <v>15947</v>
      </c>
      <c r="F10291" s="9"/>
    </row>
    <row r="10292" ht="33.75" customHeight="1">
      <c r="A10292" s="7">
        <v>423.0</v>
      </c>
      <c r="B10292" s="9" t="s">
        <v>15944</v>
      </c>
      <c r="C10292" s="9" t="s">
        <v>15931</v>
      </c>
      <c r="D10292" s="9" t="s">
        <v>101</v>
      </c>
      <c r="E10292" s="6" t="s">
        <v>15948</v>
      </c>
      <c r="F10292" s="9"/>
    </row>
    <row r="10293" ht="33.75" customHeight="1">
      <c r="A10293" s="7">
        <v>423.0</v>
      </c>
      <c r="B10293" s="9" t="s">
        <v>15944</v>
      </c>
      <c r="C10293" s="9" t="s">
        <v>15931</v>
      </c>
      <c r="D10293" s="9" t="s">
        <v>105</v>
      </c>
      <c r="E10293" s="6" t="s">
        <v>15946</v>
      </c>
      <c r="F10293" s="9"/>
    </row>
    <row r="10294" ht="33.75" customHeight="1">
      <c r="A10294" s="7">
        <v>423.0</v>
      </c>
      <c r="B10294" s="9" t="s">
        <v>15944</v>
      </c>
      <c r="C10294" s="9" t="s">
        <v>15931</v>
      </c>
      <c r="D10294" s="9" t="s">
        <v>107</v>
      </c>
      <c r="E10294" s="6" t="s">
        <v>15948</v>
      </c>
      <c r="F10294" s="9"/>
    </row>
    <row r="10295" ht="33.75" customHeight="1">
      <c r="A10295" s="7">
        <v>423.0</v>
      </c>
      <c r="B10295" s="9" t="s">
        <v>15944</v>
      </c>
      <c r="C10295" s="9" t="s">
        <v>15931</v>
      </c>
      <c r="D10295" s="9" t="s">
        <v>109</v>
      </c>
      <c r="E10295" s="6" t="s">
        <v>15946</v>
      </c>
      <c r="F10295" s="9"/>
    </row>
    <row r="10296" ht="33.75" customHeight="1">
      <c r="A10296" s="7">
        <v>423.0</v>
      </c>
      <c r="B10296" s="9" t="s">
        <v>15944</v>
      </c>
      <c r="C10296" s="9" t="s">
        <v>15931</v>
      </c>
      <c r="D10296" s="9" t="s">
        <v>637</v>
      </c>
      <c r="E10296" s="6" t="s">
        <v>15949</v>
      </c>
      <c r="F10296" s="9"/>
    </row>
    <row r="10297" ht="33.75" customHeight="1">
      <c r="A10297" s="7">
        <v>423.0</v>
      </c>
      <c r="B10297" s="9" t="s">
        <v>15944</v>
      </c>
      <c r="C10297" s="9" t="s">
        <v>15931</v>
      </c>
      <c r="D10297" s="9" t="s">
        <v>642</v>
      </c>
      <c r="E10297" s="6" t="s">
        <v>15951</v>
      </c>
      <c r="F10297" s="9"/>
    </row>
    <row r="10298" ht="33.75" customHeight="1">
      <c r="A10298" s="7">
        <v>423.0</v>
      </c>
      <c r="B10298" s="9" t="s">
        <v>15944</v>
      </c>
      <c r="C10298" s="9" t="s">
        <v>15931</v>
      </c>
      <c r="D10298" s="9" t="s">
        <v>647</v>
      </c>
      <c r="E10298" s="6" t="s">
        <v>15952</v>
      </c>
      <c r="F10298" s="9"/>
    </row>
    <row r="10299" ht="33.75" customHeight="1">
      <c r="A10299" s="7">
        <v>423.0</v>
      </c>
      <c r="B10299" s="9" t="s">
        <v>15944</v>
      </c>
      <c r="C10299" s="9" t="s">
        <v>15931</v>
      </c>
      <c r="D10299" s="9" t="s">
        <v>652</v>
      </c>
      <c r="E10299" s="6" t="s">
        <v>15953</v>
      </c>
      <c r="F10299" s="9"/>
    </row>
    <row r="10300" ht="33.75" customHeight="1">
      <c r="A10300" s="7">
        <v>423.0</v>
      </c>
      <c r="B10300" s="9" t="s">
        <v>15944</v>
      </c>
      <c r="C10300" s="9" t="s">
        <v>15931</v>
      </c>
      <c r="D10300" s="9" t="s">
        <v>114</v>
      </c>
      <c r="E10300" s="6" t="s">
        <v>15954</v>
      </c>
      <c r="F10300" s="9"/>
    </row>
    <row r="10301" ht="33.75" customHeight="1">
      <c r="A10301" s="7">
        <v>423.0</v>
      </c>
      <c r="B10301" s="9" t="s">
        <v>15944</v>
      </c>
      <c r="C10301" s="9" t="s">
        <v>15931</v>
      </c>
      <c r="D10301" s="9" t="s">
        <v>117</v>
      </c>
      <c r="E10301" s="6" t="s">
        <v>15955</v>
      </c>
      <c r="F10301" s="9"/>
    </row>
    <row r="10302" ht="33.75" customHeight="1">
      <c r="A10302" s="7">
        <v>423.0</v>
      </c>
      <c r="B10302" s="9" t="s">
        <v>15944</v>
      </c>
      <c r="C10302" s="9" t="s">
        <v>15931</v>
      </c>
      <c r="D10302" s="9" t="s">
        <v>1577</v>
      </c>
      <c r="E10302" s="6" t="s">
        <v>15956</v>
      </c>
      <c r="F10302" s="9"/>
    </row>
    <row r="10303" ht="33.75" customHeight="1">
      <c r="A10303" s="7">
        <v>424.0</v>
      </c>
      <c r="B10303" s="9" t="s">
        <v>15957</v>
      </c>
      <c r="C10303" s="9" t="s">
        <v>11227</v>
      </c>
      <c r="D10303" s="9" t="s">
        <v>81</v>
      </c>
      <c r="E10303" s="6" t="s">
        <v>15958</v>
      </c>
      <c r="F10303" t="inlineStr" s="10">
        <is>
          <t xml:space="preserve">Syödessään se kuorii taitavasti pähkinöitä kahdella hännällään. Se käyttää nykyään harvoin käsiään. Ne työskentelevät suurissa yhdyskunnissa ja tekevät renkaita sitomalla häntänsä yhteen, ilmeisesti ystävyyden merkiksi. Kahteen osaan jakautuneiden pyrstöjen käsittely ja toiminta on niin taitavaa, että AMBIPOM käyttää harvoin käsiään. Ne elävät suurissa puissa. Niiden sanotaan kommunikoivan yhdistämällä häntänsä muiden häntiin. Sen kahden pyrstön peräkkäisiä iskuja on erittäin vaikea väistää. Kahteen osaan jakautuneiden häntien käsittely ja toiminta on niin taitavaa, että Ambipom harvoin käyttää käsiään. Etsiessään mukavia puita ne joutuvat reviirikiistoihin passimialaisten ryhmien kanssa. Ne voittavat noin puolet tapauksista. Se käyttää häntäänsä kaikkeen. Jos se kietoutuu molemmilla hännillään ympärillesi ja puristaa sinua, se on todiste siitä, että se todella pitää sinusta. Sukulaisuuden vahvistamiseksi tämän lajin edustajat muodostavat renkaan sitomalla yhteen juuri kaksinkertaistuneet hännänsä. Harvinaisissa tapauksissa ihmiset on hyväksytty tällaisiin renkaisiin.</t>
        </is>
      </c>
    </row>
    <row r="10304" ht="33.75" customHeight="1">
      <c r="A10304" s="7">
        <v>424.0</v>
      </c>
      <c r="B10304" s="9" t="s">
        <v>15957</v>
      </c>
      <c r="C10304" s="9" t="s">
        <v>11227</v>
      </c>
      <c r="D10304" s="9" t="s">
        <v>84</v>
      </c>
      <c r="E10304" s="6" t="s">
        <v>15959</v>
      </c>
      <c r="F10304" s="9"/>
    </row>
    <row r="10305" ht="33.75" customHeight="1">
      <c r="A10305" s="7">
        <v>424.0</v>
      </c>
      <c r="B10305" s="9" t="s">
        <v>15957</v>
      </c>
      <c r="C10305" s="9" t="s">
        <v>11227</v>
      </c>
      <c r="D10305" s="9" t="s">
        <v>87</v>
      </c>
      <c r="E10305" s="6" t="s">
        <v>15960</v>
      </c>
      <c r="F10305" s="9"/>
    </row>
    <row r="10306" ht="33.75" customHeight="1">
      <c r="A10306" s="7">
        <v>424.0</v>
      </c>
      <c r="B10306" s="9" t="s">
        <v>15957</v>
      </c>
      <c r="C10306" s="9" t="s">
        <v>11227</v>
      </c>
      <c r="D10306" s="9" t="s">
        <v>89</v>
      </c>
      <c r="E10306" s="6" t="s">
        <v>15961</v>
      </c>
      <c r="F10306" s="9"/>
    </row>
    <row r="10307" ht="33.75" customHeight="1">
      <c r="A10307" s="7">
        <v>424.0</v>
      </c>
      <c r="B10307" s="9" t="s">
        <v>15957</v>
      </c>
      <c r="C10307" s="9" t="s">
        <v>11227</v>
      </c>
      <c r="D10307" s="9" t="s">
        <v>91</v>
      </c>
      <c r="E10307" s="6" t="s">
        <v>15962</v>
      </c>
      <c r="F10307" s="9"/>
    </row>
    <row r="10308" ht="33.75" customHeight="1">
      <c r="A10308" s="7">
        <v>424.0</v>
      </c>
      <c r="B10308" s="9" t="s">
        <v>15957</v>
      </c>
      <c r="C10308" s="9" t="s">
        <v>11227</v>
      </c>
      <c r="D10308" s="9" t="s">
        <v>93</v>
      </c>
      <c r="E10308" s="6" t="s">
        <v>15963</v>
      </c>
      <c r="F10308" s="9"/>
    </row>
    <row r="10309" ht="33.75" customHeight="1">
      <c r="A10309" s="7">
        <v>424.0</v>
      </c>
      <c r="B10309" s="9" t="s">
        <v>15957</v>
      </c>
      <c r="C10309" s="9" t="s">
        <v>11227</v>
      </c>
      <c r="D10309" s="9" t="s">
        <v>95</v>
      </c>
      <c r="E10309" s="6" t="s">
        <v>15963</v>
      </c>
      <c r="F10309" s="9"/>
    </row>
    <row r="10310" ht="33.75" customHeight="1">
      <c r="A10310" s="7">
        <v>424.0</v>
      </c>
      <c r="B10310" s="9" t="s">
        <v>15957</v>
      </c>
      <c r="C10310" s="9" t="s">
        <v>11227</v>
      </c>
      <c r="D10310" s="9" t="s">
        <v>98</v>
      </c>
      <c r="E10310" s="6" t="s">
        <v>15963</v>
      </c>
      <c r="F10310" s="9"/>
    </row>
    <row r="10311" ht="33.75" customHeight="1">
      <c r="A10311" s="7">
        <v>424.0</v>
      </c>
      <c r="B10311" s="9" t="s">
        <v>15957</v>
      </c>
      <c r="C10311" s="9" t="s">
        <v>11227</v>
      </c>
      <c r="D10311" s="9" t="s">
        <v>99</v>
      </c>
      <c r="E10311" s="6" t="s">
        <v>15963</v>
      </c>
      <c r="F10311" s="9"/>
    </row>
    <row r="10312" ht="33.75" customHeight="1">
      <c r="A10312" s="7">
        <v>424.0</v>
      </c>
      <c r="B10312" s="9" t="s">
        <v>15957</v>
      </c>
      <c r="C10312" s="9" t="s">
        <v>11227</v>
      </c>
      <c r="D10312" s="9" t="s">
        <v>101</v>
      </c>
      <c r="E10312" s="6" t="s">
        <v>15959</v>
      </c>
      <c r="F10312" s="9"/>
    </row>
    <row r="10313" ht="33.75" customHeight="1">
      <c r="A10313" s="7">
        <v>424.0</v>
      </c>
      <c r="B10313" s="9" t="s">
        <v>15957</v>
      </c>
      <c r="C10313" s="9" t="s">
        <v>11227</v>
      </c>
      <c r="D10313" s="9" t="s">
        <v>105</v>
      </c>
      <c r="E10313" s="6" t="s">
        <v>15958</v>
      </c>
      <c r="F10313" s="9"/>
    </row>
    <row r="10314" ht="33.75" customHeight="1">
      <c r="A10314" s="7">
        <v>424.0</v>
      </c>
      <c r="B10314" s="9" t="s">
        <v>15957</v>
      </c>
      <c r="C10314" s="9" t="s">
        <v>11227</v>
      </c>
      <c r="D10314" s="9" t="s">
        <v>107</v>
      </c>
      <c r="E10314" s="6" t="s">
        <v>15959</v>
      </c>
      <c r="F10314" s="9"/>
    </row>
    <row r="10315" ht="33.75" customHeight="1">
      <c r="A10315" s="7">
        <v>424.0</v>
      </c>
      <c r="B10315" s="9" t="s">
        <v>15957</v>
      </c>
      <c r="C10315" s="9" t="s">
        <v>11227</v>
      </c>
      <c r="D10315" s="9" t="s">
        <v>109</v>
      </c>
      <c r="E10315" s="6" t="s">
        <v>15958</v>
      </c>
      <c r="F10315" s="9"/>
    </row>
    <row r="10316" ht="33.75" customHeight="1">
      <c r="A10316" s="7">
        <v>424.0</v>
      </c>
      <c r="B10316" s="9" t="s">
        <v>15957</v>
      </c>
      <c r="C10316" s="9" t="s">
        <v>11227</v>
      </c>
      <c r="D10316" s="9" t="s">
        <v>647</v>
      </c>
      <c r="E10316" s="6" t="s">
        <v>15965</v>
      </c>
      <c r="F10316" s="9"/>
    </row>
    <row r="10317" ht="33.75" customHeight="1">
      <c r="A10317" s="7">
        <v>424.0</v>
      </c>
      <c r="B10317" s="9" t="s">
        <v>15957</v>
      </c>
      <c r="C10317" s="9" t="s">
        <v>11227</v>
      </c>
      <c r="D10317" s="9" t="s">
        <v>652</v>
      </c>
      <c r="E10317" s="6" t="s">
        <v>15966</v>
      </c>
      <c r="F10317" s="9"/>
    </row>
    <row r="10318" ht="33.75" customHeight="1">
      <c r="A10318" s="7">
        <v>424.0</v>
      </c>
      <c r="B10318" s="9" t="s">
        <v>15957</v>
      </c>
      <c r="C10318" s="9" t="s">
        <v>11227</v>
      </c>
      <c r="D10318" s="9" t="s">
        <v>1577</v>
      </c>
      <c r="E10318" s="6" t="s">
        <v>15967</v>
      </c>
      <c r="F10318" s="9"/>
    </row>
    <row r="10319" ht="33.75" customHeight="1">
      <c r="A10319" s="7">
        <v>425.0</v>
      </c>
      <c r="B10319" s="9" t="s">
        <v>15968</v>
      </c>
      <c r="C10319" s="9" t="s">
        <v>2368</v>
      </c>
      <c r="D10319" s="9" t="s">
        <v>81</v>
      </c>
      <c r="E10319" s="6" t="s">
        <v>15969</v>
      </c>
      <c r="F10319" t="inlineStr" s="10">
        <is>
          <t xml:space="preserve">Ihmisten ja Pokémonien henkien muodostama Pokémon. Se rakastaa kosteita ja lämpimiä vuodenaikoja. Se vetää lapsia kädestä varastaakseen heidät pois. Mutta sen sijaan se joutuukin vedetyksi. Koska se kelluu päämäärättömästi, vanha kansantarina kutsuu sitä "vaeltelevien henkien tienviitaksi". Kuiskataan, että lapsi, joka erehtyy luulemaan DRIFLOONIA ilmapalloksi ja pitää siitä kiinni, voi päätyä eksymään. Näitä Pokémoneja kutsutaan "Vaeltajien henkien tienviitoiksi". Niitä pitelevät lapset joskus katoavat. Tarinoiden mukaan se tarttuu pienten lasten käsiin ja raahaa heidät pois tuonpuoleiseen. Se ei pidä painavista lapsista. Jos jostain syystä sen ruumis halkeaa, sen sielu purkautuu ulos kirkuvan äänen saattelemana. Sen pyöreä ruumis on täynnä sieluja ja laajenee joka kerta, kun se johdattaa jonkun pois. Vaeltavat sielut kokoontuivat muodostamaan tämän Pokémonin. Yrittäessään ystävystyä lasten kanssa, Drifloon tarttuu heidän kädestään. Se lähestyy lapsia ehkä etsiessään seuraa. Usein se kuitenkin karkaa nopeasti, jos lapset leikkivät sen kanssa liian rajusti. Monien sielujen kokoontuminen synnytti tämän Pokémonin. Kosteina vuodenaikoina niitä näyttää ilmestyvän runsaasti. Sanotaan houkuttelevan pieniä lapsia pois ja vievän heidät tuonpuoleiseen. Jotkut kuiskaavat, että driflonit koostuvat jälleensyntyneistä ihmissieluista, mutta näitä huhuja ei ole vielä vahvistettu.</t>
        </is>
      </c>
    </row>
    <row r="10320" ht="33.75" customHeight="1">
      <c r="A10320" s="7">
        <v>425.0</v>
      </c>
      <c r="B10320" s="9" t="s">
        <v>15968</v>
      </c>
      <c r="C10320" s="9" t="s">
        <v>2368</v>
      </c>
      <c r="D10320" s="9" t="s">
        <v>84</v>
      </c>
      <c r="E10320" s="6" t="s">
        <v>15970</v>
      </c>
      <c r="F10320" s="9"/>
    </row>
    <row r="10321" ht="33.75" customHeight="1">
      <c r="A10321" s="7">
        <v>425.0</v>
      </c>
      <c r="B10321" s="9" t="s">
        <v>15968</v>
      </c>
      <c r="C10321" s="9" t="s">
        <v>2368</v>
      </c>
      <c r="D10321" s="9" t="s">
        <v>87</v>
      </c>
      <c r="E10321" s="6" t="s">
        <v>15971</v>
      </c>
      <c r="F10321" s="9"/>
    </row>
    <row r="10322" ht="33.75" customHeight="1">
      <c r="A10322" s="7">
        <v>425.0</v>
      </c>
      <c r="B10322" s="9" t="s">
        <v>15968</v>
      </c>
      <c r="C10322" s="9" t="s">
        <v>2368</v>
      </c>
      <c r="D10322" s="9" t="s">
        <v>89</v>
      </c>
      <c r="E10322" s="6" t="s">
        <v>15972</v>
      </c>
      <c r="F10322" s="9"/>
    </row>
    <row r="10323" ht="33.75" customHeight="1">
      <c r="A10323" s="7">
        <v>425.0</v>
      </c>
      <c r="B10323" s="9" t="s">
        <v>15968</v>
      </c>
      <c r="C10323" s="9" t="s">
        <v>2368</v>
      </c>
      <c r="D10323" s="9" t="s">
        <v>91</v>
      </c>
      <c r="E10323" s="6" t="s">
        <v>15972</v>
      </c>
      <c r="F10323" s="9"/>
    </row>
    <row r="10324" ht="33.75" customHeight="1">
      <c r="A10324" s="7">
        <v>425.0</v>
      </c>
      <c r="B10324" s="9" t="s">
        <v>15968</v>
      </c>
      <c r="C10324" s="9" t="s">
        <v>2368</v>
      </c>
      <c r="D10324" s="9" t="s">
        <v>93</v>
      </c>
      <c r="E10324" s="6" t="s">
        <v>15971</v>
      </c>
      <c r="F10324" s="9"/>
    </row>
    <row r="10325" ht="33.75" customHeight="1">
      <c r="A10325" s="7">
        <v>425.0</v>
      </c>
      <c r="B10325" s="9" t="s">
        <v>15968</v>
      </c>
      <c r="C10325" s="9" t="s">
        <v>2368</v>
      </c>
      <c r="D10325" s="9" t="s">
        <v>95</v>
      </c>
      <c r="E10325" s="6" t="s">
        <v>15971</v>
      </c>
      <c r="F10325" s="9"/>
    </row>
    <row r="10326" ht="33.75" customHeight="1">
      <c r="A10326" s="7">
        <v>425.0</v>
      </c>
      <c r="B10326" s="9" t="s">
        <v>15968</v>
      </c>
      <c r="C10326" s="9" t="s">
        <v>2368</v>
      </c>
      <c r="D10326" s="9" t="s">
        <v>98</v>
      </c>
      <c r="E10326" s="6" t="s">
        <v>15973</v>
      </c>
      <c r="F10326" s="9"/>
    </row>
    <row r="10327" ht="33.75" customHeight="1">
      <c r="A10327" s="7">
        <v>425.0</v>
      </c>
      <c r="B10327" s="9" t="s">
        <v>15968</v>
      </c>
      <c r="C10327" s="9" t="s">
        <v>2368</v>
      </c>
      <c r="D10327" s="9" t="s">
        <v>99</v>
      </c>
      <c r="E10327" s="6" t="s">
        <v>15973</v>
      </c>
      <c r="F10327" s="9"/>
    </row>
    <row r="10328" ht="33.75" customHeight="1">
      <c r="A10328" s="7">
        <v>425.0</v>
      </c>
      <c r="B10328" s="9" t="s">
        <v>15968</v>
      </c>
      <c r="C10328" s="9" t="s">
        <v>2368</v>
      </c>
      <c r="D10328" s="9" t="s">
        <v>101</v>
      </c>
      <c r="E10328" s="6" t="s">
        <v>15969</v>
      </c>
      <c r="F10328" s="9"/>
    </row>
    <row r="10329" ht="33.75" customHeight="1">
      <c r="A10329" s="7">
        <v>425.0</v>
      </c>
      <c r="B10329" s="9" t="s">
        <v>15968</v>
      </c>
      <c r="C10329" s="9" t="s">
        <v>2368</v>
      </c>
      <c r="D10329" s="9" t="s">
        <v>105</v>
      </c>
      <c r="E10329" s="6" t="s">
        <v>15973</v>
      </c>
      <c r="F10329" s="9"/>
    </row>
    <row r="10330" ht="33.75" customHeight="1">
      <c r="A10330" s="7">
        <v>425.0</v>
      </c>
      <c r="B10330" s="9" t="s">
        <v>15968</v>
      </c>
      <c r="C10330" s="9" t="s">
        <v>2368</v>
      </c>
      <c r="D10330" s="9" t="s">
        <v>107</v>
      </c>
      <c r="E10330" s="6" t="s">
        <v>15969</v>
      </c>
      <c r="F10330" s="9"/>
    </row>
    <row r="10331" ht="33.75" customHeight="1">
      <c r="A10331" s="7">
        <v>425.0</v>
      </c>
      <c r="B10331" s="9" t="s">
        <v>15968</v>
      </c>
      <c r="C10331" s="9" t="s">
        <v>2368</v>
      </c>
      <c r="D10331" s="9" t="s">
        <v>109</v>
      </c>
      <c r="E10331" s="6" t="s">
        <v>15973</v>
      </c>
      <c r="F10331" s="9"/>
    </row>
    <row r="10332" ht="33.75" customHeight="1">
      <c r="A10332" s="7">
        <v>425.0</v>
      </c>
      <c r="B10332" s="9" t="s">
        <v>15968</v>
      </c>
      <c r="C10332" s="9" t="s">
        <v>2368</v>
      </c>
      <c r="D10332" s="9" t="s">
        <v>637</v>
      </c>
      <c r="E10332" s="6" t="s">
        <v>15974</v>
      </c>
      <c r="F10332" s="9"/>
    </row>
    <row r="10333" ht="33.75" customHeight="1">
      <c r="A10333" s="7">
        <v>425.0</v>
      </c>
      <c r="B10333" s="9" t="s">
        <v>15968</v>
      </c>
      <c r="C10333" s="9" t="s">
        <v>2368</v>
      </c>
      <c r="D10333" s="9" t="s">
        <v>642</v>
      </c>
      <c r="E10333" s="6" t="s">
        <v>15975</v>
      </c>
      <c r="F10333" s="9"/>
    </row>
    <row r="10334" ht="33.75" customHeight="1">
      <c r="A10334" s="7">
        <v>425.0</v>
      </c>
      <c r="B10334" s="9" t="s">
        <v>15968</v>
      </c>
      <c r="C10334" s="9" t="s">
        <v>2368</v>
      </c>
      <c r="D10334" s="9" t="s">
        <v>647</v>
      </c>
      <c r="E10334" s="6" t="s">
        <v>15976</v>
      </c>
      <c r="F10334" s="9"/>
    </row>
    <row r="10335" ht="33.75" customHeight="1">
      <c r="A10335" s="7">
        <v>425.0</v>
      </c>
      <c r="B10335" s="9" t="s">
        <v>15968</v>
      </c>
      <c r="C10335" s="9" t="s">
        <v>2368</v>
      </c>
      <c r="D10335" s="9" t="s">
        <v>652</v>
      </c>
      <c r="E10335" s="6" t="s">
        <v>15977</v>
      </c>
      <c r="F10335" s="9"/>
    </row>
    <row r="10336" ht="33.75" customHeight="1">
      <c r="A10336" s="7">
        <v>425.0</v>
      </c>
      <c r="B10336" s="9" t="s">
        <v>15968</v>
      </c>
      <c r="C10336" s="9" t="s">
        <v>2368</v>
      </c>
      <c r="D10336" s="9" t="s">
        <v>114</v>
      </c>
      <c r="E10336" s="6" t="s">
        <v>15979</v>
      </c>
      <c r="F10336" s="9"/>
    </row>
    <row r="10337" ht="33.75" customHeight="1">
      <c r="A10337" s="7">
        <v>425.0</v>
      </c>
      <c r="B10337" s="9" t="s">
        <v>15968</v>
      </c>
      <c r="C10337" s="9" t="s">
        <v>2368</v>
      </c>
      <c r="D10337" s="9" t="s">
        <v>117</v>
      </c>
      <c r="E10337" s="6" t="s">
        <v>15980</v>
      </c>
      <c r="F10337" s="9"/>
    </row>
    <row r="10338" ht="33.75" customHeight="1">
      <c r="A10338" s="7">
        <v>425.0</v>
      </c>
      <c r="B10338" s="9" t="s">
        <v>15968</v>
      </c>
      <c r="C10338" s="9" t="s">
        <v>2368</v>
      </c>
      <c r="D10338" s="9" t="s">
        <v>1577</v>
      </c>
      <c r="E10338" s="6" t="s">
        <v>15981</v>
      </c>
      <c r="F10338" s="9"/>
    </row>
    <row r="10339" ht="33.75" customHeight="1">
      <c r="A10339" s="7">
        <v>426.0</v>
      </c>
      <c r="B10339" s="9" t="s">
        <v>15982</v>
      </c>
      <c r="C10339" s="9" t="s">
        <v>15983</v>
      </c>
      <c r="D10339" s="9" t="s">
        <v>81</v>
      </c>
      <c r="E10339" s="6" t="s">
        <v>15984</v>
      </c>
      <c r="F10339" t="inlineStr" s="10">
        <is>
          <t xml:space="preserve">Drifblim on päivällä unelias, mutta lentää illalla pois suurina parvina. Kukaan ei tiedä, minne ne menevät. Se kuljettaa ihmisiä ja Pokémoneja lentäessään. Mutta koska se vain ajelehtii, se voi päätyä minne tahansa. Hämärän laskeutuessa tuulet kuljettavat parvia niitä ilmaan. Kun ne havaitaan, ne katoavat yhtäkkiä. Se voi tuottaa ja vapauttaa kaasua kehossaan. Näin se voi hallita ajelehtimisensa korkeutta. Ne kuljettavat ihmisiä ja Pokémoneja, mutta tuuli voi ottaa ne mukaansa, joten niille ei voi olla kiinteää määränpäätä. Kerran sattui tapaus, jossa mies lähti matkalle Drifblimin selässä, mutta katosi. Vaikka niitä tarkkailtaisiin tarkasti, hämärässä lentävät suuret Drifblim-parvet katoavat selittämättömästi näkyvistä. Huhutaan, että jos saat hämärän laskeutuessa tuulessa ajelehtivan drifblimin, sinut viedään tuonpuoleiseen. Sen ruumiissa olevan kaasun raaka-aineena ovat sielut. Kun sen ruumis alkaa tyhjentyä, sen uskotaan kuljettavan mukanaan ihmisiä ja Pokémoneja. Jotkut sanovat, että tämä Pokémon on kokoelma katumuksen painamia sieluja, jotka ajelehtivat hiljaa hämärän halki. Se nappaa ihmisiä ja Pokémoneja ja vie heidät jonnekin. Minne he menevät? Kukaan ei tiedä. Se ajelehtii hämärän laskeutuessa, täysin hiljaa. Sen ohimenevä, melankolinen olemus koskettaa joitakin syvästi – silloin tällöin törmää Drifblimille omistettuun lauluun tai runoon.</t>
        </is>
      </c>
    </row>
    <row r="10340" ht="33.75" customHeight="1">
      <c r="A10340" s="7">
        <v>426.0</v>
      </c>
      <c r="B10340" s="9" t="s">
        <v>15982</v>
      </c>
      <c r="C10340" s="9" t="s">
        <v>15983</v>
      </c>
      <c r="D10340" s="9" t="s">
        <v>84</v>
      </c>
      <c r="E10340" s="6" t="s">
        <v>15985</v>
      </c>
      <c r="F10340" s="9"/>
    </row>
    <row r="10341" ht="33.75" customHeight="1">
      <c r="A10341" s="7">
        <v>426.0</v>
      </c>
      <c r="B10341" s="9" t="s">
        <v>15982</v>
      </c>
      <c r="C10341" s="9" t="s">
        <v>15983</v>
      </c>
      <c r="D10341" s="9" t="s">
        <v>87</v>
      </c>
      <c r="E10341" s="6" t="s">
        <v>15986</v>
      </c>
      <c r="F10341" s="9"/>
    </row>
    <row r="10342" ht="33.75" customHeight="1">
      <c r="A10342" s="7">
        <v>426.0</v>
      </c>
      <c r="B10342" s="9" t="s">
        <v>15982</v>
      </c>
      <c r="C10342" s="9" t="s">
        <v>15983</v>
      </c>
      <c r="D10342" s="9" t="s">
        <v>89</v>
      </c>
      <c r="E10342" s="6" t="s">
        <v>15987</v>
      </c>
      <c r="F10342" s="9"/>
    </row>
    <row r="10343" ht="33.75" customHeight="1">
      <c r="A10343" s="7">
        <v>426.0</v>
      </c>
      <c r="B10343" s="9" t="s">
        <v>15982</v>
      </c>
      <c r="C10343" s="9" t="s">
        <v>15983</v>
      </c>
      <c r="D10343" s="9" t="s">
        <v>91</v>
      </c>
      <c r="E10343" s="6" t="s">
        <v>15987</v>
      </c>
      <c r="F10343" s="9"/>
    </row>
    <row r="10344" ht="33.75" customHeight="1">
      <c r="A10344" s="7">
        <v>426.0</v>
      </c>
      <c r="B10344" s="9" t="s">
        <v>15982</v>
      </c>
      <c r="C10344" s="9" t="s">
        <v>15983</v>
      </c>
      <c r="D10344" s="9" t="s">
        <v>93</v>
      </c>
      <c r="E10344" s="6" t="s">
        <v>15986</v>
      </c>
      <c r="F10344" s="9"/>
    </row>
    <row r="10345" ht="33.75" customHeight="1">
      <c r="A10345" s="7">
        <v>426.0</v>
      </c>
      <c r="B10345" s="9" t="s">
        <v>15982</v>
      </c>
      <c r="C10345" s="9" t="s">
        <v>15983</v>
      </c>
      <c r="D10345" s="9" t="s">
        <v>95</v>
      </c>
      <c r="E10345" s="6" t="s">
        <v>15986</v>
      </c>
      <c r="F10345" s="9"/>
    </row>
    <row r="10346" ht="33.75" customHeight="1">
      <c r="A10346" s="7">
        <v>426.0</v>
      </c>
      <c r="B10346" s="9" t="s">
        <v>15982</v>
      </c>
      <c r="C10346" s="9" t="s">
        <v>15983</v>
      </c>
      <c r="D10346" s="9" t="s">
        <v>98</v>
      </c>
      <c r="E10346" s="6" t="s">
        <v>15988</v>
      </c>
      <c r="F10346" s="9"/>
    </row>
    <row r="10347" ht="33.75" customHeight="1">
      <c r="A10347" s="7">
        <v>426.0</v>
      </c>
      <c r="B10347" s="9" t="s">
        <v>15982</v>
      </c>
      <c r="C10347" s="9" t="s">
        <v>15983</v>
      </c>
      <c r="D10347" s="9" t="s">
        <v>99</v>
      </c>
      <c r="E10347" s="6" t="s">
        <v>15988</v>
      </c>
      <c r="F10347" s="9"/>
    </row>
    <row r="10348" ht="33.75" customHeight="1">
      <c r="A10348" s="7">
        <v>426.0</v>
      </c>
      <c r="B10348" s="9" t="s">
        <v>15982</v>
      </c>
      <c r="C10348" s="9" t="s">
        <v>15983</v>
      </c>
      <c r="D10348" s="9" t="s">
        <v>101</v>
      </c>
      <c r="E10348" s="6" t="s">
        <v>15985</v>
      </c>
      <c r="F10348" s="9"/>
    </row>
    <row r="10349" ht="33.75" customHeight="1">
      <c r="A10349" s="7">
        <v>426.0</v>
      </c>
      <c r="B10349" s="9" t="s">
        <v>15982</v>
      </c>
      <c r="C10349" s="9" t="s">
        <v>15983</v>
      </c>
      <c r="D10349" s="9" t="s">
        <v>105</v>
      </c>
      <c r="E10349" s="6" t="s">
        <v>15984</v>
      </c>
      <c r="F10349" s="9"/>
    </row>
    <row r="10350" ht="33.75" customHeight="1">
      <c r="A10350" s="7">
        <v>426.0</v>
      </c>
      <c r="B10350" s="9" t="s">
        <v>15982</v>
      </c>
      <c r="C10350" s="9" t="s">
        <v>15983</v>
      </c>
      <c r="D10350" s="9" t="s">
        <v>107</v>
      </c>
      <c r="E10350" s="6" t="s">
        <v>15985</v>
      </c>
      <c r="F10350" s="9"/>
    </row>
    <row r="10351" ht="33.75" customHeight="1">
      <c r="A10351" s="7">
        <v>426.0</v>
      </c>
      <c r="B10351" s="9" t="s">
        <v>15982</v>
      </c>
      <c r="C10351" s="9" t="s">
        <v>15983</v>
      </c>
      <c r="D10351" s="9" t="s">
        <v>109</v>
      </c>
      <c r="E10351" s="6" t="s">
        <v>15984</v>
      </c>
      <c r="F10351" s="9"/>
    </row>
    <row r="10352" ht="33.75" customHeight="1">
      <c r="A10352" s="7">
        <v>426.0</v>
      </c>
      <c r="B10352" s="9" t="s">
        <v>15982</v>
      </c>
      <c r="C10352" s="9" t="s">
        <v>15983</v>
      </c>
      <c r="D10352" s="9" t="s">
        <v>637</v>
      </c>
      <c r="E10352" s="6" t="s">
        <v>15989</v>
      </c>
      <c r="F10352" s="9"/>
    </row>
    <row r="10353" ht="33.75" customHeight="1">
      <c r="A10353" s="7">
        <v>426.0</v>
      </c>
      <c r="B10353" s="9" t="s">
        <v>15982</v>
      </c>
      <c r="C10353" s="9" t="s">
        <v>15983</v>
      </c>
      <c r="D10353" s="9" t="s">
        <v>642</v>
      </c>
      <c r="E10353" s="6" t="s">
        <v>15990</v>
      </c>
      <c r="F10353" s="9"/>
    </row>
    <row r="10354" ht="33.75" customHeight="1">
      <c r="A10354" s="7">
        <v>426.0</v>
      </c>
      <c r="B10354" s="9" t="s">
        <v>15982</v>
      </c>
      <c r="C10354" s="9" t="s">
        <v>15983</v>
      </c>
      <c r="D10354" s="9" t="s">
        <v>647</v>
      </c>
      <c r="E10354" s="6" t="s">
        <v>15992</v>
      </c>
      <c r="F10354" s="9"/>
    </row>
    <row r="10355" ht="33.75" customHeight="1">
      <c r="A10355" s="7">
        <v>426.0</v>
      </c>
      <c r="B10355" s="9" t="s">
        <v>15982</v>
      </c>
      <c r="C10355" s="9" t="s">
        <v>15983</v>
      </c>
      <c r="D10355" s="9" t="s">
        <v>652</v>
      </c>
      <c r="E10355" s="6" t="s">
        <v>15993</v>
      </c>
      <c r="F10355" s="9"/>
    </row>
    <row r="10356" ht="33.75" customHeight="1">
      <c r="A10356" s="7">
        <v>426.0</v>
      </c>
      <c r="B10356" s="9" t="s">
        <v>15982</v>
      </c>
      <c r="C10356" s="9" t="s">
        <v>15983</v>
      </c>
      <c r="D10356" s="9" t="s">
        <v>114</v>
      </c>
      <c r="E10356" s="6" t="s">
        <v>15994</v>
      </c>
      <c r="F10356" s="9"/>
    </row>
    <row r="10357" ht="33.75" customHeight="1">
      <c r="A10357" s="7">
        <v>426.0</v>
      </c>
      <c r="B10357" s="9" t="s">
        <v>15982</v>
      </c>
      <c r="C10357" s="9" t="s">
        <v>15983</v>
      </c>
      <c r="D10357" s="9" t="s">
        <v>117</v>
      </c>
      <c r="E10357" s="6" t="s">
        <v>15995</v>
      </c>
      <c r="F10357" s="9"/>
    </row>
    <row r="10358" ht="33.75" customHeight="1">
      <c r="A10358" s="7">
        <v>426.0</v>
      </c>
      <c r="B10358" s="9" t="s">
        <v>15982</v>
      </c>
      <c r="C10358" s="9" t="s">
        <v>15983</v>
      </c>
      <c r="D10358" s="9" t="s">
        <v>1577</v>
      </c>
      <c r="E10358" s="6" t="s">
        <v>15996</v>
      </c>
      <c r="F10358" s="9"/>
    </row>
    <row r="10359" ht="33.75" customHeight="1">
      <c r="A10359" s="7">
        <v>427.0</v>
      </c>
      <c r="B10359" s="9" t="s">
        <v>15997</v>
      </c>
      <c r="C10359" s="9" t="s">
        <v>15998</v>
      </c>
      <c r="D10359" s="9" t="s">
        <v>81</v>
      </c>
      <c r="E10359" s="6" t="s">
        <v>15999</v>
      </c>
      <c r="F10359" t="inlineStr" s="10">
        <is>
          <t xml:space="preserve">Buneary iskee vihollisia pyörittämällä pyöreitä korviaan terävästi. Se pistää niin paljon, että aikuinen pääsee itkemään tuskasta. Aistiessaan vaaran se höristelee korviaan. Kylminä öinä se nukkuu pää turkkinsa alla. Sen korvat ovat aina kääntyneet ylös. Ne voidaan ojentaa voimakkaasti murskaamaan jopa suuri lohkare. Voit päätellä sen tunteen korvien pyörittelytavasta. Kun se on peloissaan, molemmat korvat ovat pyöristyneet. Ojentamalla käärityt korvansa ja iskeytymällä maahan se voi hypätä niin korkealle, että yllättää itsensä. Sen kädet ja jalat ovat heikot, mutta kun se käärii korvansa tiukasti ylös ja sitten päästää ne valloilleen täydellä voimallaan, se voi murskata lohkareita tomuksi. Syy siihen, miksi se pitää toisen korvansa pystyssä, on se, että se voi käynnistää nopean vastahyökkäyksen, jos vihollinen hyökkää sitä vastaan. Jos Bunearyn molemmat korvat ovat pyöristyneet, sen kehossa tai mielessä on jotain vikaa. Se on varma merkki siitä, että Pokémon tarvitsee hoitoa. Buneary voi hyökätä pyörittämällä korviaan ja iskemällä sitten niiden auki pyörittämisestä syntyvällä voimalla. Tämä hyökkäys voimistuu harjoittelun myötä. Hypoteesini siitä, miksi Buneary pyöristää korviaan, on, että sen kuulo on aivan liian tarkka. Oletan, että Pokémon suojelee kuuloaan rajoittamalla korviinsa pääsevää ääntä.</t>
        </is>
      </c>
    </row>
    <row r="10360" ht="33.75" customHeight="1">
      <c r="A10360" s="7">
        <v>427.0</v>
      </c>
      <c r="B10360" s="9" t="s">
        <v>15997</v>
      </c>
      <c r="C10360" s="9" t="s">
        <v>15998</v>
      </c>
      <c r="D10360" s="9" t="s">
        <v>84</v>
      </c>
      <c r="E10360" s="6" t="s">
        <v>16000</v>
      </c>
      <c r="F10360" s="9"/>
    </row>
    <row r="10361" ht="33.75" customHeight="1">
      <c r="A10361" s="7">
        <v>427.0</v>
      </c>
      <c r="B10361" s="9" t="s">
        <v>15997</v>
      </c>
      <c r="C10361" s="9" t="s">
        <v>15998</v>
      </c>
      <c r="D10361" s="9" t="s">
        <v>87</v>
      </c>
      <c r="E10361" s="6" t="s">
        <v>16001</v>
      </c>
      <c r="F10361" s="9"/>
    </row>
    <row r="10362" ht="33.75" customHeight="1">
      <c r="A10362" s="7">
        <v>427.0</v>
      </c>
      <c r="B10362" s="9" t="s">
        <v>15997</v>
      </c>
      <c r="C10362" s="9" t="s">
        <v>15998</v>
      </c>
      <c r="D10362" s="9" t="s">
        <v>89</v>
      </c>
      <c r="E10362" s="6" t="s">
        <v>16002</v>
      </c>
      <c r="F10362" s="9"/>
    </row>
    <row r="10363" ht="33.75" customHeight="1">
      <c r="A10363" s="7">
        <v>427.0</v>
      </c>
      <c r="B10363" s="9" t="s">
        <v>15997</v>
      </c>
      <c r="C10363" s="9" t="s">
        <v>15998</v>
      </c>
      <c r="D10363" s="9" t="s">
        <v>91</v>
      </c>
      <c r="E10363" s="6" t="s">
        <v>16002</v>
      </c>
      <c r="F10363" s="9"/>
    </row>
    <row r="10364" ht="33.75" customHeight="1">
      <c r="A10364" s="7">
        <v>427.0</v>
      </c>
      <c r="B10364" s="9" t="s">
        <v>15997</v>
      </c>
      <c r="C10364" s="9" t="s">
        <v>15998</v>
      </c>
      <c r="D10364" s="9" t="s">
        <v>93</v>
      </c>
      <c r="E10364" s="6" t="s">
        <v>16001</v>
      </c>
      <c r="F10364" s="9"/>
    </row>
    <row r="10365" ht="33.75" customHeight="1">
      <c r="A10365" s="7">
        <v>427.0</v>
      </c>
      <c r="B10365" s="9" t="s">
        <v>15997</v>
      </c>
      <c r="C10365" s="9" t="s">
        <v>15998</v>
      </c>
      <c r="D10365" s="9" t="s">
        <v>95</v>
      </c>
      <c r="E10365" s="6" t="s">
        <v>16001</v>
      </c>
      <c r="F10365" s="9"/>
    </row>
    <row r="10366" ht="33.75" customHeight="1">
      <c r="A10366" s="7">
        <v>427.0</v>
      </c>
      <c r="B10366" s="9" t="s">
        <v>15997</v>
      </c>
      <c r="C10366" s="9" t="s">
        <v>15998</v>
      </c>
      <c r="D10366" s="9" t="s">
        <v>98</v>
      </c>
      <c r="E10366" s="6" t="s">
        <v>16003</v>
      </c>
      <c r="F10366" s="9"/>
    </row>
    <row r="10367" ht="33.75" customHeight="1">
      <c r="A10367" s="7">
        <v>427.0</v>
      </c>
      <c r="B10367" s="9" t="s">
        <v>15997</v>
      </c>
      <c r="C10367" s="9" t="s">
        <v>15998</v>
      </c>
      <c r="D10367" s="9" t="s">
        <v>99</v>
      </c>
      <c r="E10367" s="6" t="s">
        <v>16003</v>
      </c>
      <c r="F10367" s="9"/>
    </row>
    <row r="10368" ht="33.75" customHeight="1">
      <c r="A10368" s="7">
        <v>427.0</v>
      </c>
      <c r="B10368" s="9" t="s">
        <v>15997</v>
      </c>
      <c r="C10368" s="9" t="s">
        <v>15998</v>
      </c>
      <c r="D10368" s="9" t="s">
        <v>101</v>
      </c>
      <c r="E10368" s="6" t="s">
        <v>16001</v>
      </c>
      <c r="F10368" s="9"/>
    </row>
    <row r="10369" ht="33.75" customHeight="1">
      <c r="A10369" s="7">
        <v>427.0</v>
      </c>
      <c r="B10369" s="9" t="s">
        <v>15997</v>
      </c>
      <c r="C10369" s="9" t="s">
        <v>15998</v>
      </c>
      <c r="D10369" s="9" t="s">
        <v>105</v>
      </c>
      <c r="E10369" s="6" t="s">
        <v>16000</v>
      </c>
      <c r="F10369" s="9"/>
    </row>
    <row r="10370" ht="33.75" customHeight="1">
      <c r="A10370" s="7">
        <v>427.0</v>
      </c>
      <c r="B10370" s="9" t="s">
        <v>15997</v>
      </c>
      <c r="C10370" s="9" t="s">
        <v>15998</v>
      </c>
      <c r="D10370" s="9" t="s">
        <v>107</v>
      </c>
      <c r="E10370" s="6" t="s">
        <v>16001</v>
      </c>
      <c r="F10370" s="9"/>
    </row>
    <row r="10371" ht="33.75" customHeight="1">
      <c r="A10371" s="7">
        <v>427.0</v>
      </c>
      <c r="B10371" s="9" t="s">
        <v>15997</v>
      </c>
      <c r="C10371" s="9" t="s">
        <v>15998</v>
      </c>
      <c r="D10371" s="9" t="s">
        <v>109</v>
      </c>
      <c r="E10371" s="6" t="s">
        <v>16000</v>
      </c>
      <c r="F10371" s="9"/>
    </row>
    <row r="10372" ht="33.75" customHeight="1">
      <c r="A10372" s="7">
        <v>427.0</v>
      </c>
      <c r="B10372" s="9" t="s">
        <v>15997</v>
      </c>
      <c r="C10372" s="9" t="s">
        <v>15998</v>
      </c>
      <c r="D10372" s="9" t="s">
        <v>647</v>
      </c>
      <c r="E10372" s="6" t="s">
        <v>16005</v>
      </c>
      <c r="F10372" s="9"/>
    </row>
    <row r="10373" ht="33.75" customHeight="1">
      <c r="A10373" s="7">
        <v>427.0</v>
      </c>
      <c r="B10373" s="9" t="s">
        <v>15997</v>
      </c>
      <c r="C10373" s="9" t="s">
        <v>15998</v>
      </c>
      <c r="D10373" s="9" t="s">
        <v>652</v>
      </c>
      <c r="E10373" s="6" t="s">
        <v>16006</v>
      </c>
      <c r="F10373" s="9"/>
    </row>
    <row r="10374" ht="33.75" customHeight="1">
      <c r="A10374" s="7">
        <v>427.0</v>
      </c>
      <c r="B10374" s="9" t="s">
        <v>15997</v>
      </c>
      <c r="C10374" s="9" t="s">
        <v>15998</v>
      </c>
      <c r="D10374" s="9" t="s">
        <v>114</v>
      </c>
      <c r="E10374" s="6" t="s">
        <v>16007</v>
      </c>
      <c r="F10374" s="9"/>
    </row>
    <row r="10375" ht="33.75" customHeight="1">
      <c r="A10375" s="7">
        <v>427.0</v>
      </c>
      <c r="B10375" s="9" t="s">
        <v>15997</v>
      </c>
      <c r="C10375" s="9" t="s">
        <v>15998</v>
      </c>
      <c r="D10375" s="9" t="s">
        <v>117</v>
      </c>
      <c r="E10375" s="6" t="s">
        <v>16008</v>
      </c>
      <c r="F10375" s="9"/>
    </row>
    <row r="10376" ht="33.75" customHeight="1">
      <c r="A10376" s="7">
        <v>427.0</v>
      </c>
      <c r="B10376" s="9" t="s">
        <v>15997</v>
      </c>
      <c r="C10376" s="9" t="s">
        <v>15998</v>
      </c>
      <c r="D10376" s="9" t="s">
        <v>1577</v>
      </c>
      <c r="E10376" s="6" t="s">
        <v>16009</v>
      </c>
      <c r="F10376" s="9"/>
    </row>
    <row r="10377" ht="33.75" customHeight="1">
      <c r="A10377" s="7">
        <v>428.0</v>
      </c>
      <c r="B10377" s="9" t="s">
        <v>16010</v>
      </c>
      <c r="C10377" s="9" t="s">
        <v>15998</v>
      </c>
      <c r="D10377" s="9" t="s">
        <v>81</v>
      </c>
      <c r="E10377" s="6" t="s">
        <v>16011</v>
      </c>
      <c r="F10377" t="inlineStr" s="10">
        <is>
          <t xml:space="preserve">Äärimmäisen varovainen Pokémon. Se peittää vartalonsa pörröisellä korvakarvallaan aistiessaan vaaran. Se on hyvin tietoinen ulkonäöstään ja pitää aina korvistaan ​​huolta. Se juoksee reippaasti hyppien. Korvat näyttävät herkiltä. Jos niitä koskettaa karkeasti, se potkaisee siroilla jaloillaan. Se karvaa kahdesti vuodessa. Talvella sen turkki on pehmeä ja pörröinen. Se on erittäin varovainen ja hyppää nopeasti karkuun havaitessaan vaaran. Lopunny kasvattaa turkkinsa uudelleen kaksi kertaa vuodessa. Sen turkista tehdyt kaulahuivit ja hatut ovat todella lämpimiä. Se on huomattavan varovainen eikä pidä taistelusta, mutta samaan aikaan se pystyy antamaan voimakkaita potkuja notkeilla jaloillaan. Lopunny tarkkailee jatkuvasti ympäristöään. Jos vaara lähestyy, tämä Pokémon vastaa supertuhoisilla potkuilla. Kun kuumat kaudet ovat ohi, Lopunnyn turkki korvautuu turkilla, joka pitää sisällään paljon eristävää ilmaa kylmempää säätä varten. Sen turkki on lämmin mutta silti huomattavan kevyt. Tämä Pokémon potkaisee kuin karatemestari, ajaen vastustajansa vaivattomasti taaksepäin.</t>
        </is>
      </c>
    </row>
    <row r="10378" ht="33.75" customHeight="1">
      <c r="A10378" s="7">
        <v>428.0</v>
      </c>
      <c r="B10378" s="9" t="s">
        <v>16010</v>
      </c>
      <c r="C10378" s="9" t="s">
        <v>15998</v>
      </c>
      <c r="D10378" s="9" t="s">
        <v>84</v>
      </c>
      <c r="E10378" s="6" t="s">
        <v>16012</v>
      </c>
      <c r="F10378" s="9"/>
    </row>
    <row r="10379" ht="33.75" customHeight="1">
      <c r="A10379" s="7">
        <v>428.0</v>
      </c>
      <c r="B10379" s="9" t="s">
        <v>16010</v>
      </c>
      <c r="C10379" s="9" t="s">
        <v>15998</v>
      </c>
      <c r="D10379" s="9" t="s">
        <v>87</v>
      </c>
      <c r="E10379" s="6" t="s">
        <v>16013</v>
      </c>
      <c r="F10379" s="9"/>
    </row>
    <row r="10380" ht="33.75" customHeight="1">
      <c r="A10380" s="7">
        <v>428.0</v>
      </c>
      <c r="B10380" s="9" t="s">
        <v>16010</v>
      </c>
      <c r="C10380" s="9" t="s">
        <v>15998</v>
      </c>
      <c r="D10380" s="9" t="s">
        <v>89</v>
      </c>
      <c r="E10380" s="6" t="s">
        <v>16014</v>
      </c>
      <c r="F10380" s="9"/>
    </row>
    <row r="10381" ht="33.75" customHeight="1">
      <c r="A10381" s="7">
        <v>428.0</v>
      </c>
      <c r="B10381" s="9" t="s">
        <v>16010</v>
      </c>
      <c r="C10381" s="9" t="s">
        <v>15998</v>
      </c>
      <c r="D10381" s="9" t="s">
        <v>91</v>
      </c>
      <c r="E10381" s="6" t="s">
        <v>16014</v>
      </c>
      <c r="F10381" s="9"/>
    </row>
    <row r="10382" ht="33.75" customHeight="1">
      <c r="A10382" s="7">
        <v>428.0</v>
      </c>
      <c r="B10382" s="9" t="s">
        <v>16010</v>
      </c>
      <c r="C10382" s="9" t="s">
        <v>15998</v>
      </c>
      <c r="D10382" s="9" t="s">
        <v>93</v>
      </c>
      <c r="E10382" s="6" t="s">
        <v>16013</v>
      </c>
      <c r="F10382" s="9"/>
    </row>
    <row r="10383" ht="33.75" customHeight="1">
      <c r="A10383" s="7">
        <v>428.0</v>
      </c>
      <c r="B10383" s="9" t="s">
        <v>16010</v>
      </c>
      <c r="C10383" s="9" t="s">
        <v>15998</v>
      </c>
      <c r="D10383" s="9" t="s">
        <v>95</v>
      </c>
      <c r="E10383" s="6" t="s">
        <v>16013</v>
      </c>
      <c r="F10383" s="9"/>
    </row>
    <row r="10384" ht="33.75" customHeight="1">
      <c r="A10384" s="7">
        <v>428.0</v>
      </c>
      <c r="B10384" s="9" t="s">
        <v>16010</v>
      </c>
      <c r="C10384" s="9" t="s">
        <v>15998</v>
      </c>
      <c r="D10384" s="9" t="s">
        <v>98</v>
      </c>
      <c r="E10384" s="6" t="s">
        <v>16015</v>
      </c>
      <c r="F10384" s="9"/>
    </row>
    <row r="10385" ht="33.75" customHeight="1">
      <c r="A10385" s="7">
        <v>428.0</v>
      </c>
      <c r="B10385" s="9" t="s">
        <v>16010</v>
      </c>
      <c r="C10385" s="9" t="s">
        <v>15998</v>
      </c>
      <c r="D10385" s="9" t="s">
        <v>99</v>
      </c>
      <c r="E10385" s="6" t="s">
        <v>16015</v>
      </c>
      <c r="F10385" s="9"/>
    </row>
    <row r="10386" ht="33.75" customHeight="1">
      <c r="A10386" s="7">
        <v>428.0</v>
      </c>
      <c r="B10386" s="9" t="s">
        <v>16010</v>
      </c>
      <c r="C10386" s="9" t="s">
        <v>15998</v>
      </c>
      <c r="D10386" s="9" t="s">
        <v>101</v>
      </c>
      <c r="E10386" s="6" t="s">
        <v>16015</v>
      </c>
      <c r="F10386" s="9"/>
    </row>
    <row r="10387" ht="33.75" customHeight="1">
      <c r="A10387" s="7">
        <v>428.0</v>
      </c>
      <c r="B10387" s="9" t="s">
        <v>16010</v>
      </c>
      <c r="C10387" s="9" t="s">
        <v>15998</v>
      </c>
      <c r="D10387" s="9" t="s">
        <v>105</v>
      </c>
      <c r="E10387" s="6" t="s">
        <v>16013</v>
      </c>
      <c r="F10387" s="9"/>
    </row>
    <row r="10388" ht="33.75" customHeight="1">
      <c r="A10388" s="7">
        <v>428.0</v>
      </c>
      <c r="B10388" s="9" t="s">
        <v>16010</v>
      </c>
      <c r="C10388" s="9" t="s">
        <v>15998</v>
      </c>
      <c r="D10388" s="9" t="s">
        <v>107</v>
      </c>
      <c r="E10388" s="6" t="s">
        <v>16015</v>
      </c>
      <c r="F10388" s="9"/>
    </row>
    <row r="10389" ht="33.75" customHeight="1">
      <c r="A10389" s="7">
        <v>428.0</v>
      </c>
      <c r="B10389" s="9" t="s">
        <v>16010</v>
      </c>
      <c r="C10389" s="9" t="s">
        <v>15998</v>
      </c>
      <c r="D10389" s="9" t="s">
        <v>109</v>
      </c>
      <c r="E10389" s="6" t="s">
        <v>16013</v>
      </c>
      <c r="F10389" s="9"/>
    </row>
    <row r="10390" ht="33.75" customHeight="1">
      <c r="A10390" s="7">
        <v>428.0</v>
      </c>
      <c r="B10390" s="9" t="s">
        <v>16010</v>
      </c>
      <c r="C10390" s="9" t="s">
        <v>15998</v>
      </c>
      <c r="D10390" s="9" t="s">
        <v>647</v>
      </c>
      <c r="E10390" s="6" t="s">
        <v>16016</v>
      </c>
      <c r="F10390" s="9"/>
    </row>
    <row r="10391" ht="33.75" customHeight="1">
      <c r="A10391" s="7">
        <v>428.0</v>
      </c>
      <c r="B10391" s="9" t="s">
        <v>16010</v>
      </c>
      <c r="C10391" s="9" t="s">
        <v>15998</v>
      </c>
      <c r="D10391" s="9" t="s">
        <v>652</v>
      </c>
      <c r="E10391" s="6" t="s">
        <v>16017</v>
      </c>
      <c r="F10391" s="9"/>
    </row>
    <row r="10392" ht="33.75" customHeight="1">
      <c r="A10392" s="7">
        <v>428.0</v>
      </c>
      <c r="B10392" s="9" t="s">
        <v>16010</v>
      </c>
      <c r="C10392" s="9" t="s">
        <v>15998</v>
      </c>
      <c r="D10392" s="9" t="s">
        <v>114</v>
      </c>
      <c r="E10392" s="6" t="s">
        <v>16018</v>
      </c>
      <c r="F10392" s="9"/>
    </row>
    <row r="10393" ht="33.75" customHeight="1">
      <c r="A10393" s="7">
        <v>428.0</v>
      </c>
      <c r="B10393" s="9" t="s">
        <v>16010</v>
      </c>
      <c r="C10393" s="9" t="s">
        <v>15998</v>
      </c>
      <c r="D10393" s="9" t="s">
        <v>117</v>
      </c>
      <c r="E10393" s="6" t="s">
        <v>16020</v>
      </c>
      <c r="F10393" s="9"/>
    </row>
    <row r="10394" ht="33.75" customHeight="1">
      <c r="A10394" s="7">
        <v>428.0</v>
      </c>
      <c r="B10394" s="9" t="s">
        <v>16010</v>
      </c>
      <c r="C10394" s="9" t="s">
        <v>15998</v>
      </c>
      <c r="D10394" s="9" t="s">
        <v>1577</v>
      </c>
      <c r="E10394" s="6" t="s">
        <v>16021</v>
      </c>
      <c r="F10394" s="9"/>
    </row>
    <row r="10395" ht="33.75" customHeight="1">
      <c r="A10395" s="7">
        <v>429.0</v>
      </c>
      <c r="B10395" s="9" t="s">
        <v>16022</v>
      </c>
      <c r="C10395" s="9" t="s">
        <v>16023</v>
      </c>
      <c r="D10395" s="9" t="s">
        <v>81</v>
      </c>
      <c r="E10395" s="6" t="s">
        <v>16024</v>
      </c>
      <c r="F10395" t="inlineStr" s="10">
        <is>
          <t xml:space="preserve">Mismagiusin huudot kuulostavat loitsuilta. Kuulijoita piinaavat päänsäryt ja hallusinaatiot. Se lausuu loitsuja. Vaikka ne yleensä piinaavat kohteitaan, jotkin loitsut tuovat onnellisuutta. Sen huuto kuulostaa loitsulta. Sanotaan, että huudossa saattaa harvoin olla onnea antavaa voimaa. Sen huudot kuulostavat loitsuilta vihollisen piinaamiseksi. Se ilmestyy mistä vähiten odottaa. Se ilmestyy kuin tyhjästä – mutisten loitsuja, langettaen kirouksia ja antaen ihmisille kauhistuttavia näkyjä. Mismagius-pokémonien tiedetään loihtivan ihmisiä rakastuakseen, joten jotkut ihmiset etsivät tätä Pokémonia aivan kuin heidän henkensä riippuisi siitä. Pelätty vihansa ja levittämiensä kirousten vuoksi, tämä Pokémon voi myös hetken mielijohteesta loihtia loitsuja, jotka auttavat ihmisiä. Sen mumiset kiroukset voivat aiheuttaa kamalia päänsärkyjä tai kauhistuttavia näkyjä, jotka piinaavat muita. Mismagiuksen loitsut voivat torjua epäonnea, joten on olemassa tapa kutsua se kotiinsa. Jos kuitenkin teet Pokémonin epäsuosion, katastrofi on väistämätön.</t>
        </is>
      </c>
    </row>
    <row r="10396" ht="33.75" customHeight="1">
      <c r="A10396" s="7">
        <v>429.0</v>
      </c>
      <c r="B10396" s="9" t="s">
        <v>16022</v>
      </c>
      <c r="C10396" s="9" t="s">
        <v>16023</v>
      </c>
      <c r="D10396" s="9" t="s">
        <v>84</v>
      </c>
      <c r="E10396" s="6" t="s">
        <v>16025</v>
      </c>
      <c r="F10396" s="9"/>
    </row>
    <row r="10397" ht="33.75" customHeight="1">
      <c r="A10397" s="7">
        <v>429.0</v>
      </c>
      <c r="B10397" s="9" t="s">
        <v>16022</v>
      </c>
      <c r="C10397" s="9" t="s">
        <v>16023</v>
      </c>
      <c r="D10397" s="9" t="s">
        <v>87</v>
      </c>
      <c r="E10397" s="6" t="s">
        <v>16026</v>
      </c>
      <c r="F10397" s="9"/>
    </row>
    <row r="10398" ht="33.75" customHeight="1">
      <c r="A10398" s="7">
        <v>429.0</v>
      </c>
      <c r="B10398" s="9" t="s">
        <v>16022</v>
      </c>
      <c r="C10398" s="9" t="s">
        <v>16023</v>
      </c>
      <c r="D10398" s="9" t="s">
        <v>89</v>
      </c>
      <c r="E10398" s="6" t="s">
        <v>16027</v>
      </c>
      <c r="F10398" s="9"/>
    </row>
    <row r="10399" ht="33.75" customHeight="1">
      <c r="A10399" s="7">
        <v>429.0</v>
      </c>
      <c r="B10399" s="9" t="s">
        <v>16022</v>
      </c>
      <c r="C10399" s="9" t="s">
        <v>16023</v>
      </c>
      <c r="D10399" s="9" t="s">
        <v>91</v>
      </c>
      <c r="E10399" s="6" t="s">
        <v>16027</v>
      </c>
      <c r="F10399" s="9"/>
    </row>
    <row r="10400" ht="33.75" customHeight="1">
      <c r="A10400" s="7">
        <v>429.0</v>
      </c>
      <c r="B10400" s="9" t="s">
        <v>16022</v>
      </c>
      <c r="C10400" s="9" t="s">
        <v>16023</v>
      </c>
      <c r="D10400" s="9" t="s">
        <v>93</v>
      </c>
      <c r="E10400" s="6" t="s">
        <v>16026</v>
      </c>
      <c r="F10400" s="9"/>
    </row>
    <row r="10401" ht="33.75" customHeight="1">
      <c r="A10401" s="7">
        <v>429.0</v>
      </c>
      <c r="B10401" s="9" t="s">
        <v>16022</v>
      </c>
      <c r="C10401" s="9" t="s">
        <v>16023</v>
      </c>
      <c r="D10401" s="9" t="s">
        <v>95</v>
      </c>
      <c r="E10401" s="6" t="s">
        <v>16026</v>
      </c>
      <c r="F10401" s="9"/>
    </row>
    <row r="10402" ht="33.75" customHeight="1">
      <c r="A10402" s="7">
        <v>429.0</v>
      </c>
      <c r="B10402" s="9" t="s">
        <v>16022</v>
      </c>
      <c r="C10402" s="9" t="s">
        <v>16023</v>
      </c>
      <c r="D10402" s="9" t="s">
        <v>98</v>
      </c>
      <c r="E10402" s="6" t="s">
        <v>16026</v>
      </c>
      <c r="F10402" s="9"/>
    </row>
    <row r="10403" ht="33.75" customHeight="1">
      <c r="A10403" s="7">
        <v>429.0</v>
      </c>
      <c r="B10403" s="9" t="s">
        <v>16022</v>
      </c>
      <c r="C10403" s="9" t="s">
        <v>16023</v>
      </c>
      <c r="D10403" s="9" t="s">
        <v>99</v>
      </c>
      <c r="E10403" s="6" t="s">
        <v>16026</v>
      </c>
      <c r="F10403" s="9"/>
    </row>
    <row r="10404" ht="33.75" customHeight="1">
      <c r="A10404" s="7">
        <v>429.0</v>
      </c>
      <c r="B10404" s="9" t="s">
        <v>16022</v>
      </c>
      <c r="C10404" s="9" t="s">
        <v>16023</v>
      </c>
      <c r="D10404" s="9" t="s">
        <v>101</v>
      </c>
      <c r="E10404" s="6" t="s">
        <v>16025</v>
      </c>
      <c r="F10404" s="9"/>
    </row>
    <row r="10405" ht="33.75" customHeight="1">
      <c r="A10405" s="7">
        <v>429.0</v>
      </c>
      <c r="B10405" s="9" t="s">
        <v>16022</v>
      </c>
      <c r="C10405" s="9" t="s">
        <v>16023</v>
      </c>
      <c r="D10405" s="9" t="s">
        <v>105</v>
      </c>
      <c r="E10405" s="6" t="s">
        <v>16027</v>
      </c>
      <c r="F10405" s="9"/>
    </row>
    <row r="10406" ht="33.75" customHeight="1">
      <c r="A10406" s="7">
        <v>429.0</v>
      </c>
      <c r="B10406" s="9" t="s">
        <v>16022</v>
      </c>
      <c r="C10406" s="9" t="s">
        <v>16023</v>
      </c>
      <c r="D10406" s="9" t="s">
        <v>107</v>
      </c>
      <c r="E10406" s="6" t="s">
        <v>16025</v>
      </c>
      <c r="F10406" s="9"/>
    </row>
    <row r="10407" ht="33.75" customHeight="1">
      <c r="A10407" s="7">
        <v>429.0</v>
      </c>
      <c r="B10407" s="9" t="s">
        <v>16022</v>
      </c>
      <c r="C10407" s="9" t="s">
        <v>16023</v>
      </c>
      <c r="D10407" s="9" t="s">
        <v>109</v>
      </c>
      <c r="E10407" s="6" t="s">
        <v>16027</v>
      </c>
      <c r="F10407" s="9"/>
    </row>
    <row r="10408" ht="33.75" customHeight="1">
      <c r="A10408" s="7">
        <v>429.0</v>
      </c>
      <c r="B10408" s="9" t="s">
        <v>16022</v>
      </c>
      <c r="C10408" s="9" t="s">
        <v>16023</v>
      </c>
      <c r="D10408" s="9" t="s">
        <v>637</v>
      </c>
      <c r="E10408" s="6" t="s">
        <v>16028</v>
      </c>
      <c r="F10408" s="9"/>
    </row>
    <row r="10409" ht="33.75" customHeight="1">
      <c r="A10409" s="7">
        <v>429.0</v>
      </c>
      <c r="B10409" s="9" t="s">
        <v>16022</v>
      </c>
      <c r="C10409" s="9" t="s">
        <v>16023</v>
      </c>
      <c r="D10409" s="9" t="s">
        <v>642</v>
      </c>
      <c r="E10409" s="6" t="s">
        <v>16029</v>
      </c>
      <c r="F10409" s="9"/>
    </row>
    <row r="10410" ht="33.75" customHeight="1">
      <c r="A10410" s="7">
        <v>429.0</v>
      </c>
      <c r="B10410" s="9" t="s">
        <v>16022</v>
      </c>
      <c r="C10410" s="9" t="s">
        <v>16023</v>
      </c>
      <c r="D10410" s="9" t="s">
        <v>647</v>
      </c>
      <c r="E10410" s="6" t="s">
        <v>16030</v>
      </c>
      <c r="F10410" s="9"/>
    </row>
    <row r="10411" ht="33.75" customHeight="1">
      <c r="A10411" s="7">
        <v>429.0</v>
      </c>
      <c r="B10411" s="9" t="s">
        <v>16022</v>
      </c>
      <c r="C10411" s="9" t="s">
        <v>16023</v>
      </c>
      <c r="D10411" s="9" t="s">
        <v>652</v>
      </c>
      <c r="E10411" s="6" t="s">
        <v>16031</v>
      </c>
      <c r="F10411" s="9"/>
    </row>
    <row r="10412" ht="33.75" customHeight="1">
      <c r="A10412" s="7">
        <v>429.0</v>
      </c>
      <c r="B10412" s="9" t="s">
        <v>16022</v>
      </c>
      <c r="C10412" s="9" t="s">
        <v>16023</v>
      </c>
      <c r="D10412" s="9" t="s">
        <v>1577</v>
      </c>
      <c r="E10412" s="6" t="s">
        <v>16032</v>
      </c>
      <c r="F10412" s="9"/>
    </row>
    <row r="10413" ht="33.75" customHeight="1">
      <c r="A10413" s="7">
        <v>430.0</v>
      </c>
      <c r="B10413" s="9" t="s">
        <v>16033</v>
      </c>
      <c r="C10413" s="9" t="s">
        <v>16034</v>
      </c>
      <c r="D10413" s="9" t="s">
        <v>81</v>
      </c>
      <c r="E10413" s="6" t="s">
        <v>16036</v>
      </c>
      <c r="F10413" t="inlineStr" s="10">
        <is>
          <t xml:space="preserve">Honchkrow aktivoituu yöllä, ja sen tiedetään parveilevan lukuisten MURKROW-perhosten kanssa. Se laittaa MURKROW-kätyrinsä tuomaan sille ruokaa. Se laiskottelee aikansa pesässään hoitaen itseään. Jos päästää syvän huudon, monta MURKROWia kerääntyy nopeasti yhteen. Tätä kutsutaan nimellä "Yön kutsuja". Se on luonteeltaan armoton. Sanotaan, ettei se koskaan anna anteeksi MURKROW-seuraajiensa virheitä. Jos päästää syvän huudon, monta Murkrow'ta kerääntyy nopeasti yhteen. Se aktivoituu yöllä, ja sen tiedetään parveilevan lukuisten Murkrow-eläinten kanssa. Yksi ainoa huuto tältä yölliseltä Pokémonilta, ja yli sata sen Murkrow-kätyriä kokoontuu. Jos sen Murkrow-kätyrit eivät saa sille ruokaa, tai jos se tuntee heidän pettäneen sen, se metsästää heidät missä tahansa he ovatkin ja rankaisee heitä. Se ei ehdottomasti anna anteeksi roistojensa epäonnistumisia tai petoksia. Sillä ei ole tässä vaihtoehtoa, jos se haluaa säilyttää lauman järjestyksen. Sen kätyrit hoitavat suurimman osan taistelusta sen puolestaan. Se likaa kätensä vain antaessaan viimeisen iskun vihollisen tappamiseksi. Yksi huuto tältä Pokémonilta, ja Murkrow'n murha lentää ohi. Sellaisina hetkinä voisi luulla yön verhon laskeutuneen ja upottaneen maailman pikimustaan ​​pimeyteen.</t>
        </is>
      </c>
    </row>
    <row r="10414" ht="33.75" customHeight="1">
      <c r="A10414" s="7">
        <v>430.0</v>
      </c>
      <c r="B10414" s="9" t="s">
        <v>16033</v>
      </c>
      <c r="C10414" s="9" t="s">
        <v>16034</v>
      </c>
      <c r="D10414" s="9" t="s">
        <v>84</v>
      </c>
      <c r="E10414" s="6" t="s">
        <v>16037</v>
      </c>
      <c r="F10414" s="9"/>
    </row>
    <row r="10415" ht="33.75" customHeight="1">
      <c r="A10415" s="7">
        <v>430.0</v>
      </c>
      <c r="B10415" s="9" t="s">
        <v>16033</v>
      </c>
      <c r="C10415" s="9" t="s">
        <v>16034</v>
      </c>
      <c r="D10415" s="9" t="s">
        <v>87</v>
      </c>
      <c r="E10415" s="6" t="s">
        <v>16038</v>
      </c>
      <c r="F10415" s="9"/>
    </row>
    <row r="10416" ht="33.75" customHeight="1">
      <c r="A10416" s="7">
        <v>430.0</v>
      </c>
      <c r="B10416" s="9" t="s">
        <v>16033</v>
      </c>
      <c r="C10416" s="9" t="s">
        <v>16034</v>
      </c>
      <c r="D10416" s="9" t="s">
        <v>89</v>
      </c>
      <c r="E10416" s="6" t="s">
        <v>16039</v>
      </c>
      <c r="F10416" s="9"/>
    </row>
    <row r="10417" ht="33.75" customHeight="1">
      <c r="A10417" s="7">
        <v>430.0</v>
      </c>
      <c r="B10417" s="9" t="s">
        <v>16033</v>
      </c>
      <c r="C10417" s="9" t="s">
        <v>16034</v>
      </c>
      <c r="D10417" s="9" t="s">
        <v>91</v>
      </c>
      <c r="E10417" s="6" t="s">
        <v>16039</v>
      </c>
      <c r="F10417" s="9"/>
    </row>
    <row r="10418" ht="33.75" customHeight="1">
      <c r="A10418" s="7">
        <v>430.0</v>
      </c>
      <c r="B10418" s="9" t="s">
        <v>16033</v>
      </c>
      <c r="C10418" s="9" t="s">
        <v>16034</v>
      </c>
      <c r="D10418" s="9" t="s">
        <v>93</v>
      </c>
      <c r="E10418" s="6" t="s">
        <v>16040</v>
      </c>
      <c r="F10418" s="9"/>
    </row>
    <row r="10419" ht="33.75" customHeight="1">
      <c r="A10419" s="7">
        <v>430.0</v>
      </c>
      <c r="B10419" s="9" t="s">
        <v>16033</v>
      </c>
      <c r="C10419" s="9" t="s">
        <v>16034</v>
      </c>
      <c r="D10419" s="9" t="s">
        <v>95</v>
      </c>
      <c r="E10419" s="6" t="s">
        <v>16040</v>
      </c>
      <c r="F10419" s="9"/>
    </row>
    <row r="10420" ht="33.75" customHeight="1">
      <c r="A10420" s="7">
        <v>430.0</v>
      </c>
      <c r="B10420" s="9" t="s">
        <v>16033</v>
      </c>
      <c r="C10420" s="9" t="s">
        <v>16034</v>
      </c>
      <c r="D10420" s="9" t="s">
        <v>98</v>
      </c>
      <c r="E10420" s="6" t="s">
        <v>16040</v>
      </c>
      <c r="F10420" s="9"/>
    </row>
    <row r="10421" ht="33.75" customHeight="1">
      <c r="A10421" s="7">
        <v>430.0</v>
      </c>
      <c r="B10421" s="9" t="s">
        <v>16033</v>
      </c>
      <c r="C10421" s="9" t="s">
        <v>16034</v>
      </c>
      <c r="D10421" s="9" t="s">
        <v>99</v>
      </c>
      <c r="E10421" s="6" t="s">
        <v>16040</v>
      </c>
      <c r="F10421" s="9"/>
    </row>
    <row r="10422" ht="33.75" customHeight="1">
      <c r="A10422" s="7">
        <v>430.0</v>
      </c>
      <c r="B10422" s="9" t="s">
        <v>16033</v>
      </c>
      <c r="C10422" s="9" t="s">
        <v>16034</v>
      </c>
      <c r="D10422" s="9" t="s">
        <v>101</v>
      </c>
      <c r="E10422" s="6" t="s">
        <v>16040</v>
      </c>
      <c r="F10422" s="9"/>
    </row>
    <row r="10423" ht="33.75" customHeight="1">
      <c r="A10423" s="7">
        <v>430.0</v>
      </c>
      <c r="B10423" s="9" t="s">
        <v>16033</v>
      </c>
      <c r="C10423" s="9" t="s">
        <v>16034</v>
      </c>
      <c r="D10423" s="9" t="s">
        <v>105</v>
      </c>
      <c r="E10423" s="6" t="s">
        <v>16041</v>
      </c>
      <c r="F10423" s="9"/>
    </row>
    <row r="10424" ht="33.75" customHeight="1">
      <c r="A10424" s="7">
        <v>430.0</v>
      </c>
      <c r="B10424" s="9" t="s">
        <v>16033</v>
      </c>
      <c r="C10424" s="9" t="s">
        <v>16034</v>
      </c>
      <c r="D10424" s="9" t="s">
        <v>107</v>
      </c>
      <c r="E10424" s="6" t="s">
        <v>16040</v>
      </c>
      <c r="F10424" s="9"/>
    </row>
    <row r="10425" ht="33.75" customHeight="1">
      <c r="A10425" s="7">
        <v>430.0</v>
      </c>
      <c r="B10425" s="9" t="s">
        <v>16033</v>
      </c>
      <c r="C10425" s="9" t="s">
        <v>16034</v>
      </c>
      <c r="D10425" s="9" t="s">
        <v>109</v>
      </c>
      <c r="E10425" s="6" t="s">
        <v>16041</v>
      </c>
      <c r="F10425" s="9"/>
    </row>
    <row r="10426" ht="33.75" customHeight="1">
      <c r="A10426" s="7">
        <v>430.0</v>
      </c>
      <c r="B10426" s="9" t="s">
        <v>16033</v>
      </c>
      <c r="C10426" s="9" t="s">
        <v>16034</v>
      </c>
      <c r="D10426" s="9" t="s">
        <v>637</v>
      </c>
      <c r="E10426" s="6" t="s">
        <v>16042</v>
      </c>
      <c r="F10426" s="9"/>
    </row>
    <row r="10427" ht="33.75" customHeight="1">
      <c r="A10427" s="7">
        <v>430.0</v>
      </c>
      <c r="B10427" s="9" t="s">
        <v>16033</v>
      </c>
      <c r="C10427" s="9" t="s">
        <v>16034</v>
      </c>
      <c r="D10427" s="9" t="s">
        <v>642</v>
      </c>
      <c r="E10427" s="6" t="s">
        <v>16043</v>
      </c>
      <c r="F10427" s="9"/>
    </row>
    <row r="10428" ht="33.75" customHeight="1">
      <c r="A10428" s="7">
        <v>430.0</v>
      </c>
      <c r="B10428" s="9" t="s">
        <v>16033</v>
      </c>
      <c r="C10428" s="9" t="s">
        <v>16034</v>
      </c>
      <c r="D10428" s="9" t="s">
        <v>647</v>
      </c>
      <c r="E10428" s="6" t="s">
        <v>16044</v>
      </c>
      <c r="F10428" s="9"/>
    </row>
    <row r="10429" ht="33.75" customHeight="1">
      <c r="A10429" s="7">
        <v>430.0</v>
      </c>
      <c r="B10429" s="9" t="s">
        <v>16033</v>
      </c>
      <c r="C10429" s="9" t="s">
        <v>16034</v>
      </c>
      <c r="D10429" s="9" t="s">
        <v>652</v>
      </c>
      <c r="E10429" s="6" t="s">
        <v>16045</v>
      </c>
      <c r="F10429" s="9"/>
    </row>
    <row r="10430" ht="33.75" customHeight="1">
      <c r="A10430" s="7">
        <v>430.0</v>
      </c>
      <c r="B10430" s="9" t="s">
        <v>16033</v>
      </c>
      <c r="C10430" s="9" t="s">
        <v>16034</v>
      </c>
      <c r="D10430" s="9" t="s">
        <v>1577</v>
      </c>
      <c r="E10430" s="6" t="s">
        <v>16046</v>
      </c>
      <c r="F10430" s="9"/>
    </row>
    <row r="10431" ht="33.75" customHeight="1">
      <c r="A10431" s="7">
        <v>431.0</v>
      </c>
      <c r="B10431" s="9" t="s">
        <v>16047</v>
      </c>
      <c r="C10431" s="9" t="s">
        <v>16048</v>
      </c>
      <c r="D10431" s="9" t="s">
        <v>81</v>
      </c>
      <c r="E10431" s="6" t="s">
        <v>16049</v>
      </c>
      <c r="F10431" t="inlineStr" s="10">
        <is>
          <t xml:space="preserve">Glameow raapii, jos se on tyytymätön, ja kehrää, kun se on hellyydenkipeä. Sen oikukkuus on erittäin suosittua joidenkin keskuudessa. Terävällä tuijotuksellaan se saa viholliset lievästi hypnoottiseen tilaan. Se on hyvin oikukas Pokémon. Se peittää ilkeän taipumuksensa työntää kyntensä kouluttajansa nenään, jos sitä ei ruokita. Kun se on onnellinen, GLAMEOW liikahtaa kauniisti häntäänsä kuin tanssivaa nauhaa. Kun se on onnellinen, Glameow liikauttaa häntäänsä kauniisti, kuin tanssivaa nauhaa. Lumoaa ihmiset kierteisellä hännällään ja lävistävällä katseellaan. Sen piilokynnet ovat myös melko terävät, mikä tekee tästä Pokémonista erittäin hankalan vastustajan, jos sitä vastustetaan.</t>
        </is>
      </c>
    </row>
    <row r="10432" ht="33.75" customHeight="1">
      <c r="A10432" s="7">
        <v>431.0</v>
      </c>
      <c r="B10432" s="9" t="s">
        <v>16047</v>
      </c>
      <c r="C10432" s="9" t="s">
        <v>16048</v>
      </c>
      <c r="D10432" s="9" t="s">
        <v>84</v>
      </c>
      <c r="E10432" s="6" t="s">
        <v>16050</v>
      </c>
      <c r="F10432" s="9"/>
    </row>
    <row r="10433" ht="33.75" customHeight="1">
      <c r="A10433" s="7">
        <v>431.0</v>
      </c>
      <c r="B10433" s="9" t="s">
        <v>16047</v>
      </c>
      <c r="C10433" s="9" t="s">
        <v>16048</v>
      </c>
      <c r="D10433" s="9" t="s">
        <v>87</v>
      </c>
      <c r="E10433" s="6" t="s">
        <v>16051</v>
      </c>
      <c r="F10433" s="9"/>
    </row>
    <row r="10434" ht="33.75" customHeight="1">
      <c r="A10434" s="7">
        <v>431.0</v>
      </c>
      <c r="B10434" s="9" t="s">
        <v>16047</v>
      </c>
      <c r="C10434" s="9" t="s">
        <v>16048</v>
      </c>
      <c r="D10434" s="9" t="s">
        <v>89</v>
      </c>
      <c r="E10434" s="6" t="s">
        <v>16052</v>
      </c>
      <c r="F10434" s="9"/>
    </row>
    <row r="10435" ht="33.75" customHeight="1">
      <c r="A10435" s="7">
        <v>431.0</v>
      </c>
      <c r="B10435" s="9" t="s">
        <v>16047</v>
      </c>
      <c r="C10435" s="9" t="s">
        <v>16048</v>
      </c>
      <c r="D10435" s="9" t="s">
        <v>91</v>
      </c>
      <c r="E10435" s="6" t="s">
        <v>16052</v>
      </c>
      <c r="F10435" s="9"/>
    </row>
    <row r="10436" ht="33.75" customHeight="1">
      <c r="A10436" s="7">
        <v>431.0</v>
      </c>
      <c r="B10436" s="9" t="s">
        <v>16047</v>
      </c>
      <c r="C10436" s="9" t="s">
        <v>16048</v>
      </c>
      <c r="D10436" s="9" t="s">
        <v>93</v>
      </c>
      <c r="E10436" s="6" t="s">
        <v>16051</v>
      </c>
      <c r="F10436" s="9"/>
    </row>
    <row r="10437" ht="33.75" customHeight="1">
      <c r="A10437" s="7">
        <v>431.0</v>
      </c>
      <c r="B10437" s="9" t="s">
        <v>16047</v>
      </c>
      <c r="C10437" s="9" t="s">
        <v>16048</v>
      </c>
      <c r="D10437" s="9" t="s">
        <v>95</v>
      </c>
      <c r="E10437" s="6" t="s">
        <v>16051</v>
      </c>
      <c r="F10437" s="9"/>
    </row>
    <row r="10438" ht="33.75" customHeight="1">
      <c r="A10438" s="7">
        <v>431.0</v>
      </c>
      <c r="B10438" s="9" t="s">
        <v>16047</v>
      </c>
      <c r="C10438" s="9" t="s">
        <v>16048</v>
      </c>
      <c r="D10438" s="9" t="s">
        <v>98</v>
      </c>
      <c r="E10438" s="6" t="s">
        <v>16051</v>
      </c>
      <c r="F10438" s="9"/>
    </row>
    <row r="10439" ht="33.75" customHeight="1">
      <c r="A10439" s="7">
        <v>431.0</v>
      </c>
      <c r="B10439" s="9" t="s">
        <v>16047</v>
      </c>
      <c r="C10439" s="9" t="s">
        <v>16048</v>
      </c>
      <c r="D10439" s="9" t="s">
        <v>99</v>
      </c>
      <c r="E10439" s="6" t="s">
        <v>16051</v>
      </c>
      <c r="F10439" s="9"/>
    </row>
    <row r="10440" ht="33.75" customHeight="1">
      <c r="A10440" s="7">
        <v>431.0</v>
      </c>
      <c r="B10440" s="9" t="s">
        <v>16047</v>
      </c>
      <c r="C10440" s="9" t="s">
        <v>16048</v>
      </c>
      <c r="D10440" s="9" t="s">
        <v>101</v>
      </c>
      <c r="E10440" s="6" t="s">
        <v>16049</v>
      </c>
      <c r="F10440" s="9"/>
    </row>
    <row r="10441" ht="33.75" customHeight="1">
      <c r="A10441" s="7">
        <v>431.0</v>
      </c>
      <c r="B10441" s="9" t="s">
        <v>16047</v>
      </c>
      <c r="C10441" s="9" t="s">
        <v>16048</v>
      </c>
      <c r="D10441" s="9" t="s">
        <v>105</v>
      </c>
      <c r="E10441" s="6" t="s">
        <v>16054</v>
      </c>
      <c r="F10441" s="9"/>
    </row>
    <row r="10442" ht="33.75" customHeight="1">
      <c r="A10442" s="7">
        <v>431.0</v>
      </c>
      <c r="B10442" s="9" t="s">
        <v>16047</v>
      </c>
      <c r="C10442" s="9" t="s">
        <v>16048</v>
      </c>
      <c r="D10442" s="9" t="s">
        <v>107</v>
      </c>
      <c r="E10442" s="6" t="s">
        <v>16049</v>
      </c>
      <c r="F10442" s="9"/>
    </row>
    <row r="10443" ht="33.75" customHeight="1">
      <c r="A10443" s="7">
        <v>431.0</v>
      </c>
      <c r="B10443" s="9" t="s">
        <v>16047</v>
      </c>
      <c r="C10443" s="9" t="s">
        <v>16048</v>
      </c>
      <c r="D10443" s="9" t="s">
        <v>109</v>
      </c>
      <c r="E10443" s="6" t="s">
        <v>16054</v>
      </c>
      <c r="F10443" s="9"/>
    </row>
    <row r="10444" ht="33.75" customHeight="1">
      <c r="A10444" s="7">
        <v>431.0</v>
      </c>
      <c r="B10444" s="9" t="s">
        <v>16047</v>
      </c>
      <c r="C10444" s="9" t="s">
        <v>16048</v>
      </c>
      <c r="D10444" s="9" t="s">
        <v>1577</v>
      </c>
      <c r="E10444" s="6" t="s">
        <v>16055</v>
      </c>
      <c r="F10444" s="9"/>
    </row>
    <row r="10445" ht="33.75" customHeight="1">
      <c r="A10445" s="7">
        <v>432.0</v>
      </c>
      <c r="B10445" s="9" t="s">
        <v>16056</v>
      </c>
      <c r="C10445" s="9" t="s">
        <v>16057</v>
      </c>
      <c r="D10445" s="9" t="s">
        <v>81</v>
      </c>
      <c r="E10445" s="6" t="s">
        <v>16058</v>
      </c>
      <c r="F10445" t="inlineStr" s="10">
        <is>
          <t xml:space="preserve">Purugly on röyhkeä peto, joka tunkeutuu toisen Pokémonin pesään ja väittää sen omakseen. Jotta se näyttäisi pelottavan lihaksikkaalta, se puristaa tiukasti vyötäröään kaksoispyrstöillään. Se sitoo ruumiinsa hännällään näyttääkseen suuremmalta. Jos se lukitsee silmänsä, se tuijottaa lakkaamatta. Se väittäisi toisen Pokémonin pesän omakseen, jos se löytäisi riittävän mukavan pesän. Vaikka Purugly on röyhkeä ja vaikeasti kesytettävä, se nauttii suurta suosiota turkkinsa ansiosta, jonka kauneus ylittää jopa samettisen kauneuden.</t>
        </is>
      </c>
    </row>
    <row r="10446" ht="33.75" customHeight="1">
      <c r="A10446" s="7">
        <v>432.0</v>
      </c>
      <c r="B10446" s="9" t="s">
        <v>16056</v>
      </c>
      <c r="C10446" s="9" t="s">
        <v>16057</v>
      </c>
      <c r="D10446" s="9" t="s">
        <v>84</v>
      </c>
      <c r="E10446" s="6" t="s">
        <v>16059</v>
      </c>
      <c r="F10446" s="9"/>
    </row>
    <row r="10447" ht="33.75" customHeight="1">
      <c r="A10447" s="7">
        <v>432.0</v>
      </c>
      <c r="B10447" s="9" t="s">
        <v>16056</v>
      </c>
      <c r="C10447" s="9" t="s">
        <v>16057</v>
      </c>
      <c r="D10447" s="9" t="s">
        <v>87</v>
      </c>
      <c r="E10447" s="6" t="s">
        <v>16060</v>
      </c>
      <c r="F10447" s="9"/>
    </row>
    <row r="10448" ht="33.75" customHeight="1">
      <c r="A10448" s="7">
        <v>432.0</v>
      </c>
      <c r="B10448" s="9" t="s">
        <v>16056</v>
      </c>
      <c r="C10448" s="9" t="s">
        <v>16057</v>
      </c>
      <c r="D10448" s="9" t="s">
        <v>89</v>
      </c>
      <c r="E10448" s="6" t="s">
        <v>16061</v>
      </c>
      <c r="F10448" s="9"/>
    </row>
    <row r="10449" ht="33.75" customHeight="1">
      <c r="A10449" s="7">
        <v>432.0</v>
      </c>
      <c r="B10449" s="9" t="s">
        <v>16056</v>
      </c>
      <c r="C10449" s="9" t="s">
        <v>16057</v>
      </c>
      <c r="D10449" s="9" t="s">
        <v>91</v>
      </c>
      <c r="E10449" s="6" t="s">
        <v>16061</v>
      </c>
      <c r="F10449" s="9"/>
    </row>
    <row r="10450" ht="33.75" customHeight="1">
      <c r="A10450" s="7">
        <v>432.0</v>
      </c>
      <c r="B10450" s="9" t="s">
        <v>16056</v>
      </c>
      <c r="C10450" s="9" t="s">
        <v>16057</v>
      </c>
      <c r="D10450" s="9" t="s">
        <v>93</v>
      </c>
      <c r="E10450" s="6" t="s">
        <v>16060</v>
      </c>
      <c r="F10450" s="9"/>
    </row>
    <row r="10451" ht="33.75" customHeight="1">
      <c r="A10451" s="7">
        <v>432.0</v>
      </c>
      <c r="B10451" s="9" t="s">
        <v>16056</v>
      </c>
      <c r="C10451" s="9" t="s">
        <v>16057</v>
      </c>
      <c r="D10451" s="9" t="s">
        <v>95</v>
      </c>
      <c r="E10451" s="6" t="s">
        <v>16060</v>
      </c>
      <c r="F10451" s="9"/>
    </row>
    <row r="10452" ht="33.75" customHeight="1">
      <c r="A10452" s="7">
        <v>432.0</v>
      </c>
      <c r="B10452" s="9" t="s">
        <v>16056</v>
      </c>
      <c r="C10452" s="9" t="s">
        <v>16057</v>
      </c>
      <c r="D10452" s="9" t="s">
        <v>98</v>
      </c>
      <c r="E10452" s="6" t="s">
        <v>16060</v>
      </c>
      <c r="F10452" s="9"/>
    </row>
    <row r="10453" ht="33.75" customHeight="1">
      <c r="A10453" s="7">
        <v>432.0</v>
      </c>
      <c r="B10453" s="9" t="s">
        <v>16056</v>
      </c>
      <c r="C10453" s="9" t="s">
        <v>16057</v>
      </c>
      <c r="D10453" s="9" t="s">
        <v>99</v>
      </c>
      <c r="E10453" s="6" t="s">
        <v>16060</v>
      </c>
      <c r="F10453" s="9"/>
    </row>
    <row r="10454" ht="33.75" customHeight="1">
      <c r="A10454" s="7">
        <v>432.0</v>
      </c>
      <c r="B10454" s="9" t="s">
        <v>16056</v>
      </c>
      <c r="C10454" s="9" t="s">
        <v>16057</v>
      </c>
      <c r="D10454" s="9" t="s">
        <v>101</v>
      </c>
      <c r="E10454" s="6" t="s">
        <v>16061</v>
      </c>
      <c r="F10454" s="9"/>
    </row>
    <row r="10455" ht="33.75" customHeight="1">
      <c r="A10455" s="7">
        <v>432.0</v>
      </c>
      <c r="B10455" s="9" t="s">
        <v>16056</v>
      </c>
      <c r="C10455" s="9" t="s">
        <v>16057</v>
      </c>
      <c r="D10455" s="9" t="s">
        <v>105</v>
      </c>
      <c r="E10455" s="6" t="s">
        <v>16059</v>
      </c>
      <c r="F10455" s="9"/>
    </row>
    <row r="10456" ht="33.75" customHeight="1">
      <c r="A10456" s="7">
        <v>432.0</v>
      </c>
      <c r="B10456" s="9" t="s">
        <v>16056</v>
      </c>
      <c r="C10456" s="9" t="s">
        <v>16057</v>
      </c>
      <c r="D10456" s="9" t="s">
        <v>107</v>
      </c>
      <c r="E10456" s="6" t="s">
        <v>16061</v>
      </c>
      <c r="F10456" s="9"/>
    </row>
    <row r="10457" ht="33.75" customHeight="1">
      <c r="A10457" s="7">
        <v>432.0</v>
      </c>
      <c r="B10457" s="9" t="s">
        <v>16056</v>
      </c>
      <c r="C10457" s="9" t="s">
        <v>16057</v>
      </c>
      <c r="D10457" s="9" t="s">
        <v>109</v>
      </c>
      <c r="E10457" s="6" t="s">
        <v>16059</v>
      </c>
      <c r="F10457" s="9"/>
    </row>
    <row r="10458" ht="33.75" customHeight="1">
      <c r="A10458" s="7">
        <v>432.0</v>
      </c>
      <c r="B10458" s="9" t="s">
        <v>16056</v>
      </c>
      <c r="C10458" s="9" t="s">
        <v>16057</v>
      </c>
      <c r="D10458" s="9" t="s">
        <v>1577</v>
      </c>
      <c r="E10458" s="6" t="s">
        <v>16063</v>
      </c>
      <c r="F10458" s="9"/>
    </row>
    <row r="10459" ht="33.75" customHeight="1">
      <c r="A10459" s="7">
        <v>433.0</v>
      </c>
      <c r="B10459" s="9" t="s">
        <v>16064</v>
      </c>
      <c r="C10459" s="9" t="s">
        <v>16065</v>
      </c>
      <c r="D10459" s="9" t="s">
        <v>81</v>
      </c>
      <c r="E10459" s="6" t="s">
        <v>16066</v>
      </c>
      <c r="F10459" t="inlineStr" s="10">
        <is>
          <t xml:space="preserve">Chingling päästää huutoja liikuttamalla kurkkunsa takaosassa olevaa palloa. Se liikkuu lepattaen ja hyppien. Joka kerta hypätessään se päästää soivan äänen. Se kuurouttaa viholliset päästämällä korkeataajuisia huutoja. Sen suussa on pallo. Kun se hyppää, pallo pomppii ympäriinsä ja pitää soivan äänen. Se päästää korkeataajuisia huutoja, joita ihmiset eivät kuule. Kun se kerran alkaa, se voi itkeä todella pitkään. Tämä Pokémon aiheutti minulle sietämätöntä päänsärkyä, kun se näytti huutavan äänettömästi. Ehkä on olemassa ääniä, joita ihmiskorva ei yksinkertaisesti pysty kuulemaan.</t>
        </is>
      </c>
    </row>
    <row r="10460" ht="33.75" customHeight="1">
      <c r="A10460" s="7">
        <v>433.0</v>
      </c>
      <c r="B10460" s="9" t="s">
        <v>16064</v>
      </c>
      <c r="C10460" s="9" t="s">
        <v>16065</v>
      </c>
      <c r="D10460" s="9" t="s">
        <v>84</v>
      </c>
      <c r="E10460" s="6" t="s">
        <v>16067</v>
      </c>
      <c r="F10460" s="9"/>
    </row>
    <row r="10461" ht="33.75" customHeight="1">
      <c r="A10461" s="7">
        <v>433.0</v>
      </c>
      <c r="B10461" s="9" t="s">
        <v>16064</v>
      </c>
      <c r="C10461" s="9" t="s">
        <v>16065</v>
      </c>
      <c r="D10461" s="9" t="s">
        <v>87</v>
      </c>
      <c r="E10461" s="6" t="s">
        <v>16068</v>
      </c>
      <c r="F10461" s="9"/>
    </row>
    <row r="10462" ht="33.75" customHeight="1">
      <c r="A10462" s="7">
        <v>433.0</v>
      </c>
      <c r="B10462" s="9" t="s">
        <v>16064</v>
      </c>
      <c r="C10462" s="9" t="s">
        <v>16065</v>
      </c>
      <c r="D10462" s="9" t="s">
        <v>89</v>
      </c>
      <c r="E10462" s="6" t="s">
        <v>16069</v>
      </c>
      <c r="F10462" s="9"/>
    </row>
    <row r="10463" ht="33.75" customHeight="1">
      <c r="A10463" s="7">
        <v>433.0</v>
      </c>
      <c r="B10463" s="9" t="s">
        <v>16064</v>
      </c>
      <c r="C10463" s="9" t="s">
        <v>16065</v>
      </c>
      <c r="D10463" s="9" t="s">
        <v>91</v>
      </c>
      <c r="E10463" s="6" t="s">
        <v>16069</v>
      </c>
      <c r="F10463" s="9"/>
    </row>
    <row r="10464" ht="33.75" customHeight="1">
      <c r="A10464" s="7">
        <v>433.0</v>
      </c>
      <c r="B10464" s="9" t="s">
        <v>16064</v>
      </c>
      <c r="C10464" s="9" t="s">
        <v>16065</v>
      </c>
      <c r="D10464" s="9" t="s">
        <v>93</v>
      </c>
      <c r="E10464" s="6" t="s">
        <v>16068</v>
      </c>
      <c r="F10464" s="9"/>
    </row>
    <row r="10465" ht="33.75" customHeight="1">
      <c r="A10465" s="7">
        <v>433.0</v>
      </c>
      <c r="B10465" s="9" t="s">
        <v>16064</v>
      </c>
      <c r="C10465" s="9" t="s">
        <v>16065</v>
      </c>
      <c r="D10465" s="9" t="s">
        <v>95</v>
      </c>
      <c r="E10465" s="6" t="s">
        <v>16068</v>
      </c>
      <c r="F10465" s="9"/>
    </row>
    <row r="10466" ht="33.75" customHeight="1">
      <c r="A10466" s="7">
        <v>433.0</v>
      </c>
      <c r="B10466" s="9" t="s">
        <v>16064</v>
      </c>
      <c r="C10466" s="9" t="s">
        <v>16065</v>
      </c>
      <c r="D10466" s="9" t="s">
        <v>98</v>
      </c>
      <c r="E10466" s="6" t="s">
        <v>16068</v>
      </c>
      <c r="F10466" s="9"/>
    </row>
    <row r="10467" ht="33.75" customHeight="1">
      <c r="A10467" s="7">
        <v>433.0</v>
      </c>
      <c r="B10467" s="9" t="s">
        <v>16064</v>
      </c>
      <c r="C10467" s="9" t="s">
        <v>16065</v>
      </c>
      <c r="D10467" s="9" t="s">
        <v>99</v>
      </c>
      <c r="E10467" s="6" t="s">
        <v>16068</v>
      </c>
      <c r="F10467" s="9"/>
    </row>
    <row r="10468" ht="33.75" customHeight="1">
      <c r="A10468" s="7">
        <v>433.0</v>
      </c>
      <c r="B10468" s="9" t="s">
        <v>16064</v>
      </c>
      <c r="C10468" s="9" t="s">
        <v>16065</v>
      </c>
      <c r="D10468" s="9" t="s">
        <v>101</v>
      </c>
      <c r="E10468" s="6" t="s">
        <v>16067</v>
      </c>
      <c r="F10468" s="9"/>
    </row>
    <row r="10469" ht="33.75" customHeight="1">
      <c r="A10469" s="7">
        <v>433.0</v>
      </c>
      <c r="B10469" s="9" t="s">
        <v>16064</v>
      </c>
      <c r="C10469" s="9" t="s">
        <v>16065</v>
      </c>
      <c r="D10469" s="9" t="s">
        <v>105</v>
      </c>
      <c r="E10469" s="6" t="s">
        <v>16068</v>
      </c>
      <c r="F10469" s="9"/>
    </row>
    <row r="10470" ht="33.75" customHeight="1">
      <c r="A10470" s="7">
        <v>433.0</v>
      </c>
      <c r="B10470" s="9" t="s">
        <v>16064</v>
      </c>
      <c r="C10470" s="9" t="s">
        <v>16065</v>
      </c>
      <c r="D10470" s="9" t="s">
        <v>107</v>
      </c>
      <c r="E10470" s="6" t="s">
        <v>16067</v>
      </c>
      <c r="F10470" s="9"/>
    </row>
    <row r="10471" ht="33.75" customHeight="1">
      <c r="A10471" s="7">
        <v>433.0</v>
      </c>
      <c r="B10471" s="9" t="s">
        <v>16064</v>
      </c>
      <c r="C10471" s="9" t="s">
        <v>16065</v>
      </c>
      <c r="D10471" s="9" t="s">
        <v>109</v>
      </c>
      <c r="E10471" s="6" t="s">
        <v>16068</v>
      </c>
      <c r="F10471" s="9"/>
    </row>
    <row r="10472" ht="33.75" customHeight="1">
      <c r="A10472" s="7">
        <v>433.0</v>
      </c>
      <c r="B10472" s="9" t="s">
        <v>16064</v>
      </c>
      <c r="C10472" s="9" t="s">
        <v>16065</v>
      </c>
      <c r="D10472" s="9" t="s">
        <v>1577</v>
      </c>
      <c r="E10472" s="6" t="s">
        <v>16070</v>
      </c>
      <c r="F10472" s="9"/>
    </row>
    <row r="10473" ht="33.75" customHeight="1">
      <c r="A10473" s="7">
        <v>434.0</v>
      </c>
      <c r="B10473" s="9" t="s">
        <v>16071</v>
      </c>
      <c r="C10473" s="9" t="s">
        <v>16072</v>
      </c>
      <c r="D10473" s="9" t="s">
        <v>81</v>
      </c>
      <c r="E10473" s="6" t="s">
        <v>16073</v>
      </c>
      <c r="F10473" t="inlineStr" s="10">
        <is>
          <t xml:space="preserve">Stunky suojaa itseään suihkuttamalla myrkyllistä nestettä takapuoleltaan. Haju viipyy 24 tuntia. Se suihkuttaa takapuolestaan ​​nenää pyörittävää, haisevaa nestettä hyökkääjien torjumiseksi. Se suihkuttaa takapuolestaan ​​ilkeää nestettä. Sen löyhkä leviää kilometrin säteelle ajaen Pokémonit pois. Sen takaosasta tuleva likainen neste on niin vastenmielistä, että se voi aiheuttaa pahoinvointia jopa puolentoista kilometrin päässä. Se suihkuttaa takaapäin pahanhajuista nestettä vastustajiin. Se tähtää heidän kasvoihinsa ja voi osua heihin yli 5 metrin etäisyydeltä. Jos se nostaa häntäänsä ja osoittaa takaosansa sinua kohti, ole varovainen. Se on suihkuttamassa sinuun nestettä, joka on niin haiseva, että pyörryt. Sen peräpäästä pursuavaan myrkkyyn liittyy niin voimakas, että yksikin haihtelu voi aiheuttaa muistinmenetyksen.</t>
        </is>
      </c>
    </row>
    <row r="10474" ht="33.75" customHeight="1">
      <c r="A10474" s="7">
        <v>434.0</v>
      </c>
      <c r="B10474" s="9" t="s">
        <v>16071</v>
      </c>
      <c r="C10474" s="9" t="s">
        <v>16072</v>
      </c>
      <c r="D10474" s="9" t="s">
        <v>84</v>
      </c>
      <c r="E10474" s="6" t="s">
        <v>16074</v>
      </c>
      <c r="F10474" s="9"/>
    </row>
    <row r="10475" ht="33.75" customHeight="1">
      <c r="A10475" s="7">
        <v>434.0</v>
      </c>
      <c r="B10475" s="9" t="s">
        <v>16071</v>
      </c>
      <c r="C10475" s="9" t="s">
        <v>16072</v>
      </c>
      <c r="D10475" s="9" t="s">
        <v>87</v>
      </c>
      <c r="E10475" s="6" t="s">
        <v>16075</v>
      </c>
      <c r="F10475" s="9"/>
    </row>
    <row r="10476" ht="33.75" customHeight="1">
      <c r="A10476" s="7">
        <v>434.0</v>
      </c>
      <c r="B10476" s="9" t="s">
        <v>16071</v>
      </c>
      <c r="C10476" s="9" t="s">
        <v>16072</v>
      </c>
      <c r="D10476" s="9" t="s">
        <v>89</v>
      </c>
      <c r="E10476" s="6" t="s">
        <v>16076</v>
      </c>
      <c r="F10476" s="9"/>
    </row>
    <row r="10477" ht="33.75" customHeight="1">
      <c r="A10477" s="7">
        <v>434.0</v>
      </c>
      <c r="B10477" s="9" t="s">
        <v>16071</v>
      </c>
      <c r="C10477" s="9" t="s">
        <v>16072</v>
      </c>
      <c r="D10477" s="9" t="s">
        <v>91</v>
      </c>
      <c r="E10477" s="6" t="s">
        <v>16076</v>
      </c>
      <c r="F10477" s="9"/>
    </row>
    <row r="10478" ht="33.75" customHeight="1">
      <c r="A10478" s="7">
        <v>434.0</v>
      </c>
      <c r="B10478" s="9" t="s">
        <v>16071</v>
      </c>
      <c r="C10478" s="9" t="s">
        <v>16072</v>
      </c>
      <c r="D10478" s="9" t="s">
        <v>93</v>
      </c>
      <c r="E10478" s="6" t="s">
        <v>16075</v>
      </c>
      <c r="F10478" s="9"/>
    </row>
    <row r="10479" ht="33.75" customHeight="1">
      <c r="A10479" s="7">
        <v>434.0</v>
      </c>
      <c r="B10479" s="9" t="s">
        <v>16071</v>
      </c>
      <c r="C10479" s="9" t="s">
        <v>16072</v>
      </c>
      <c r="D10479" s="9" t="s">
        <v>95</v>
      </c>
      <c r="E10479" s="6" t="s">
        <v>16075</v>
      </c>
      <c r="F10479" s="9"/>
    </row>
    <row r="10480" ht="33.75" customHeight="1">
      <c r="A10480" s="7">
        <v>434.0</v>
      </c>
      <c r="B10480" s="9" t="s">
        <v>16071</v>
      </c>
      <c r="C10480" s="9" t="s">
        <v>16072</v>
      </c>
      <c r="D10480" s="9" t="s">
        <v>98</v>
      </c>
      <c r="E10480" s="6" t="s">
        <v>16075</v>
      </c>
      <c r="F10480" s="9"/>
    </row>
    <row r="10481" ht="33.75" customHeight="1">
      <c r="A10481" s="7">
        <v>434.0</v>
      </c>
      <c r="B10481" s="9" t="s">
        <v>16071</v>
      </c>
      <c r="C10481" s="9" t="s">
        <v>16072</v>
      </c>
      <c r="D10481" s="9" t="s">
        <v>99</v>
      </c>
      <c r="E10481" s="6" t="s">
        <v>16075</v>
      </c>
      <c r="F10481" s="9"/>
    </row>
    <row r="10482" ht="33.75" customHeight="1">
      <c r="A10482" s="7">
        <v>434.0</v>
      </c>
      <c r="B10482" s="9" t="s">
        <v>16071</v>
      </c>
      <c r="C10482" s="9" t="s">
        <v>16072</v>
      </c>
      <c r="D10482" s="9" t="s">
        <v>101</v>
      </c>
      <c r="E10482" s="6" t="s">
        <v>16075</v>
      </c>
      <c r="F10482" s="9"/>
    </row>
    <row r="10483" ht="33.75" customHeight="1">
      <c r="A10483" s="7">
        <v>434.0</v>
      </c>
      <c r="B10483" s="9" t="s">
        <v>16071</v>
      </c>
      <c r="C10483" s="9" t="s">
        <v>16072</v>
      </c>
      <c r="D10483" s="9" t="s">
        <v>105</v>
      </c>
      <c r="E10483" s="6" t="s">
        <v>16073</v>
      </c>
      <c r="F10483" s="9"/>
    </row>
    <row r="10484" ht="33.75" customHeight="1">
      <c r="A10484" s="7">
        <v>434.0</v>
      </c>
      <c r="B10484" s="9" t="s">
        <v>16071</v>
      </c>
      <c r="C10484" s="9" t="s">
        <v>16072</v>
      </c>
      <c r="D10484" s="9" t="s">
        <v>107</v>
      </c>
      <c r="E10484" s="6" t="s">
        <v>16075</v>
      </c>
      <c r="F10484" s="9"/>
    </row>
    <row r="10485" ht="33.75" customHeight="1">
      <c r="A10485" s="7">
        <v>434.0</v>
      </c>
      <c r="B10485" s="9" t="s">
        <v>16071</v>
      </c>
      <c r="C10485" s="9" t="s">
        <v>16072</v>
      </c>
      <c r="D10485" s="9" t="s">
        <v>109</v>
      </c>
      <c r="E10485" s="6" t="s">
        <v>16073</v>
      </c>
      <c r="F10485" s="9"/>
    </row>
    <row r="10486" ht="33.75" customHeight="1">
      <c r="A10486" s="7">
        <v>434.0</v>
      </c>
      <c r="B10486" s="9" t="s">
        <v>16071</v>
      </c>
      <c r="C10486" s="9" t="s">
        <v>16072</v>
      </c>
      <c r="D10486" s="9" t="s">
        <v>114</v>
      </c>
      <c r="E10486" s="6" t="s">
        <v>16078</v>
      </c>
      <c r="F10486" s="9"/>
    </row>
    <row r="10487" ht="33.75" customHeight="1">
      <c r="A10487" s="7">
        <v>434.0</v>
      </c>
      <c r="B10487" s="9" t="s">
        <v>16071</v>
      </c>
      <c r="C10487" s="9" t="s">
        <v>16072</v>
      </c>
      <c r="D10487" s="9" t="s">
        <v>117</v>
      </c>
      <c r="E10487" s="6" t="s">
        <v>16079</v>
      </c>
      <c r="F10487" s="9"/>
    </row>
    <row r="10488" ht="33.75" customHeight="1">
      <c r="A10488" s="7">
        <v>434.0</v>
      </c>
      <c r="B10488" s="9" t="s">
        <v>16071</v>
      </c>
      <c r="C10488" s="9" t="s">
        <v>16072</v>
      </c>
      <c r="D10488" s="9" t="s">
        <v>1577</v>
      </c>
      <c r="E10488" s="6" t="s">
        <v>16080</v>
      </c>
      <c r="F10488" s="9"/>
    </row>
    <row r="10489" ht="33.75" customHeight="1">
      <c r="A10489" s="7">
        <v>435.0</v>
      </c>
      <c r="B10489" s="9" t="s">
        <v>16081</v>
      </c>
      <c r="C10489" s="9" t="s">
        <v>16072</v>
      </c>
      <c r="D10489" s="9" t="s">
        <v>81</v>
      </c>
      <c r="E10489" s="6" t="s">
        <v>16082</v>
      </c>
      <c r="F10489" t="inlineStr" s="10">
        <is>
          <t xml:space="preserve">Skuntank suihkuttaa pahanhajuista nestettä pyrstönsä päästä hyökätäkseen. Sen kantama on yli 50 metriä. Se suihkuttaa pyrstöstään pahanhajuista nestettä. Neste haisee pahemmalle mitä kauemmin sen annetaan mädätä. Se hyökkää suihkuttamalla kamalan haisevaa nestettä pyrstönsä päästä. Ylhäältä tulevat hyökkäykset hämmentävät sitä. Se hyökkää suihkuttamalla vastenmielistä nestettä pyrstöstään, mutta löyhkä laimenee muutaman suihkauksen jälkeen. Vatsassaan se varastoi haisevaa nestettä, jota se ampuu hännästään taistelun aikana. Koska tämän Pokémonin ruokavalio vaihtelee, myös sen nesteen haju vaihtelee. Se kaivaa kuoppia maahan pesäkseen. Sen pyrstönsä päästä lentävän nesteen löyhkä on erittäin voimakas. Suihkuttaa myrkyllistä nestettä saaliinsa kaatamiseksi. Joskus se ei kestä oman nesteensä hajua ja jättää voitetun saaliin syömättä.</t>
        </is>
      </c>
    </row>
    <row r="10490" ht="33.75" customHeight="1">
      <c r="A10490" s="7">
        <v>435.0</v>
      </c>
      <c r="B10490" s="9" t="s">
        <v>16081</v>
      </c>
      <c r="C10490" s="9" t="s">
        <v>16072</v>
      </c>
      <c r="D10490" s="9" t="s">
        <v>84</v>
      </c>
      <c r="E10490" s="6" t="s">
        <v>16083</v>
      </c>
      <c r="F10490" s="9"/>
    </row>
    <row r="10491" ht="33.75" customHeight="1">
      <c r="A10491" s="7">
        <v>435.0</v>
      </c>
      <c r="B10491" s="9" t="s">
        <v>16081</v>
      </c>
      <c r="C10491" s="9" t="s">
        <v>16072</v>
      </c>
      <c r="D10491" s="9" t="s">
        <v>87</v>
      </c>
      <c r="E10491" s="6" t="s">
        <v>16084</v>
      </c>
      <c r="F10491" s="9"/>
    </row>
    <row r="10492" ht="33.75" customHeight="1">
      <c r="A10492" s="7">
        <v>435.0</v>
      </c>
      <c r="B10492" s="9" t="s">
        <v>16081</v>
      </c>
      <c r="C10492" s="9" t="s">
        <v>16072</v>
      </c>
      <c r="D10492" s="9" t="s">
        <v>89</v>
      </c>
      <c r="E10492" s="6" t="s">
        <v>16085</v>
      </c>
      <c r="F10492" s="9"/>
    </row>
    <row r="10493" ht="33.75" customHeight="1">
      <c r="A10493" s="7">
        <v>435.0</v>
      </c>
      <c r="B10493" s="9" t="s">
        <v>16081</v>
      </c>
      <c r="C10493" s="9" t="s">
        <v>16072</v>
      </c>
      <c r="D10493" s="9" t="s">
        <v>91</v>
      </c>
      <c r="E10493" s="6" t="s">
        <v>16085</v>
      </c>
      <c r="F10493" s="9"/>
    </row>
    <row r="10494" ht="33.75" customHeight="1">
      <c r="A10494" s="7">
        <v>435.0</v>
      </c>
      <c r="B10494" s="9" t="s">
        <v>16081</v>
      </c>
      <c r="C10494" s="9" t="s">
        <v>16072</v>
      </c>
      <c r="D10494" s="9" t="s">
        <v>93</v>
      </c>
      <c r="E10494" s="6" t="s">
        <v>16084</v>
      </c>
      <c r="F10494" s="9"/>
    </row>
    <row r="10495" ht="33.75" customHeight="1">
      <c r="A10495" s="7">
        <v>435.0</v>
      </c>
      <c r="B10495" s="9" t="s">
        <v>16081</v>
      </c>
      <c r="C10495" s="9" t="s">
        <v>16072</v>
      </c>
      <c r="D10495" s="9" t="s">
        <v>95</v>
      </c>
      <c r="E10495" s="6" t="s">
        <v>16084</v>
      </c>
      <c r="F10495" s="9"/>
    </row>
    <row r="10496" ht="33.75" customHeight="1">
      <c r="A10496" s="7">
        <v>435.0</v>
      </c>
      <c r="B10496" s="9" t="s">
        <v>16081</v>
      </c>
      <c r="C10496" s="9" t="s">
        <v>16072</v>
      </c>
      <c r="D10496" s="9" t="s">
        <v>98</v>
      </c>
      <c r="E10496" s="6" t="s">
        <v>16084</v>
      </c>
      <c r="F10496" s="9"/>
    </row>
    <row r="10497" ht="33.75" customHeight="1">
      <c r="A10497" s="7">
        <v>435.0</v>
      </c>
      <c r="B10497" s="9" t="s">
        <v>16081</v>
      </c>
      <c r="C10497" s="9" t="s">
        <v>16072</v>
      </c>
      <c r="D10497" s="9" t="s">
        <v>99</v>
      </c>
      <c r="E10497" s="6" t="s">
        <v>16084</v>
      </c>
      <c r="F10497" s="9"/>
    </row>
    <row r="10498" ht="33.75" customHeight="1">
      <c r="A10498" s="7">
        <v>435.0</v>
      </c>
      <c r="B10498" s="9" t="s">
        <v>16081</v>
      </c>
      <c r="C10498" s="9" t="s">
        <v>16072</v>
      </c>
      <c r="D10498" s="9" t="s">
        <v>101</v>
      </c>
      <c r="E10498" s="6" t="s">
        <v>16082</v>
      </c>
      <c r="F10498" s="9"/>
    </row>
    <row r="10499" ht="33.75" customHeight="1">
      <c r="A10499" s="7">
        <v>435.0</v>
      </c>
      <c r="B10499" s="9" t="s">
        <v>16081</v>
      </c>
      <c r="C10499" s="9" t="s">
        <v>16072</v>
      </c>
      <c r="D10499" s="9" t="s">
        <v>105</v>
      </c>
      <c r="E10499" s="6" t="s">
        <v>16083</v>
      </c>
      <c r="F10499" s="9"/>
    </row>
    <row r="10500" ht="33.75" customHeight="1">
      <c r="A10500" s="7">
        <v>435.0</v>
      </c>
      <c r="B10500" s="9" t="s">
        <v>16081</v>
      </c>
      <c r="C10500" s="9" t="s">
        <v>16072</v>
      </c>
      <c r="D10500" s="9" t="s">
        <v>107</v>
      </c>
      <c r="E10500" s="6" t="s">
        <v>16082</v>
      </c>
      <c r="F10500" s="9"/>
    </row>
    <row r="10501" ht="33.75" customHeight="1">
      <c r="A10501" s="7">
        <v>435.0</v>
      </c>
      <c r="B10501" s="9" t="s">
        <v>16081</v>
      </c>
      <c r="C10501" s="9" t="s">
        <v>16072</v>
      </c>
      <c r="D10501" s="9" t="s">
        <v>109</v>
      </c>
      <c r="E10501" s="6" t="s">
        <v>16083</v>
      </c>
      <c r="F10501" s="9"/>
    </row>
    <row r="10502" ht="33.75" customHeight="1">
      <c r="A10502" s="7">
        <v>435.0</v>
      </c>
      <c r="B10502" s="9" t="s">
        <v>16081</v>
      </c>
      <c r="C10502" s="9" t="s">
        <v>16072</v>
      </c>
      <c r="D10502" s="9" t="s">
        <v>114</v>
      </c>
      <c r="E10502" s="6" t="s">
        <v>16086</v>
      </c>
      <c r="F10502" s="9"/>
    </row>
    <row r="10503" ht="33.75" customHeight="1">
      <c r="A10503" s="7">
        <v>435.0</v>
      </c>
      <c r="B10503" s="9" t="s">
        <v>16081</v>
      </c>
      <c r="C10503" s="9" t="s">
        <v>16072</v>
      </c>
      <c r="D10503" s="9" t="s">
        <v>117</v>
      </c>
      <c r="E10503" s="6" t="s">
        <v>16088</v>
      </c>
      <c r="F10503" s="9"/>
    </row>
    <row r="10504" ht="33.75" customHeight="1">
      <c r="A10504" s="7">
        <v>435.0</v>
      </c>
      <c r="B10504" s="9" t="s">
        <v>16081</v>
      </c>
      <c r="C10504" s="9" t="s">
        <v>16072</v>
      </c>
      <c r="D10504" s="9" t="s">
        <v>1577</v>
      </c>
      <c r="E10504" s="6" t="s">
        <v>16089</v>
      </c>
      <c r="F10504" s="9"/>
    </row>
    <row r="10505" ht="33.75" customHeight="1">
      <c r="A10505" s="7">
        <v>436.0</v>
      </c>
      <c r="B10505" s="9" t="s">
        <v>16090</v>
      </c>
      <c r="C10505" s="9" t="s">
        <v>16091</v>
      </c>
      <c r="D10505" s="9" t="s">
        <v>81</v>
      </c>
      <c r="E10505" s="6" t="s">
        <v>16092</v>
      </c>
      <c r="F10505" t="inlineStr" s="10">
        <is>
          <t xml:space="preserve">Bronzorin muotoisia työvälineitä löydettiin muinaisista haudoista. Ei tiedetä, ovatko ne sukua toisilleen. Röntgenkuvat otettiin sen ruumiinrakenteen tarkistamiseksi, mutta mitään ei kuitenkaan näkynyt. Jotkut tutkijat uskovat tämän Pokémonin heijastuvan peilin lailla kaukaiseen menneisyyteen. Muinaiset ihmiset uskoivat, että BRONZORin selässä oleva kuvio sisälsi salaperäisen voiman. Niitä löytyy muinaisista haudoista. Niiden selissä olevien kuvioiden sanotaan olevan täynnä salaperäistä voimaa. Se esiintyy muinaisissa raunioissa. Sen kehon kuvio ei ole peräisin mistään Galarin alueen kulttuurista, joten se on edelleen hämärän peitossa. Yleisen perimysjärjen mukaan Bronzorin kiillottaminen saa sen pinnan heijastamaan totuutta. Oli miten oli, Bronzor vihaa kiillotusta. Kelluu salaperäisen energian avulla. Sen selkään kaiverrettua kuviota pidetään pyhänä, ja sitä voi joskus löytää muinaisten hautausmaiden ja muiden vastaavien ajan kuluttamien paikkojen kuvastoista.</t>
        </is>
      </c>
    </row>
    <row r="10506" ht="33.75" customHeight="1">
      <c r="A10506" s="7">
        <v>436.0</v>
      </c>
      <c r="B10506" s="9" t="s">
        <v>16090</v>
      </c>
      <c r="C10506" s="9" t="s">
        <v>16091</v>
      </c>
      <c r="D10506" s="9" t="s">
        <v>84</v>
      </c>
      <c r="E10506" s="6" t="s">
        <v>16093</v>
      </c>
      <c r="F10506" s="9"/>
    </row>
    <row r="10507" ht="33.75" customHeight="1">
      <c r="A10507" s="7">
        <v>436.0</v>
      </c>
      <c r="B10507" s="9" t="s">
        <v>16090</v>
      </c>
      <c r="C10507" s="9" t="s">
        <v>16091</v>
      </c>
      <c r="D10507" s="9" t="s">
        <v>87</v>
      </c>
      <c r="E10507" s="6" t="s">
        <v>16094</v>
      </c>
      <c r="F10507" s="9"/>
    </row>
    <row r="10508" ht="33.75" customHeight="1">
      <c r="A10508" s="7">
        <v>436.0</v>
      </c>
      <c r="B10508" s="9" t="s">
        <v>16090</v>
      </c>
      <c r="C10508" s="9" t="s">
        <v>16091</v>
      </c>
      <c r="D10508" s="9" t="s">
        <v>89</v>
      </c>
      <c r="E10508" s="6" t="s">
        <v>16095</v>
      </c>
      <c r="F10508" s="9"/>
    </row>
    <row r="10509" ht="33.75" customHeight="1">
      <c r="A10509" s="7">
        <v>436.0</v>
      </c>
      <c r="B10509" s="9" t="s">
        <v>16090</v>
      </c>
      <c r="C10509" s="9" t="s">
        <v>16091</v>
      </c>
      <c r="D10509" s="9" t="s">
        <v>91</v>
      </c>
      <c r="E10509" s="6" t="s">
        <v>16095</v>
      </c>
      <c r="F10509" s="9"/>
    </row>
    <row r="10510" ht="33.75" customHeight="1">
      <c r="A10510" s="7">
        <v>436.0</v>
      </c>
      <c r="B10510" s="9" t="s">
        <v>16090</v>
      </c>
      <c r="C10510" s="9" t="s">
        <v>16091</v>
      </c>
      <c r="D10510" s="9" t="s">
        <v>93</v>
      </c>
      <c r="E10510" s="6" t="s">
        <v>16094</v>
      </c>
      <c r="F10510" s="9"/>
    </row>
    <row r="10511" ht="33.75" customHeight="1">
      <c r="A10511" s="7">
        <v>436.0</v>
      </c>
      <c r="B10511" s="9" t="s">
        <v>16090</v>
      </c>
      <c r="C10511" s="9" t="s">
        <v>16091</v>
      </c>
      <c r="D10511" s="9" t="s">
        <v>95</v>
      </c>
      <c r="E10511" s="6" t="s">
        <v>16094</v>
      </c>
      <c r="F10511" s="9"/>
    </row>
    <row r="10512" ht="33.75" customHeight="1">
      <c r="A10512" s="7">
        <v>436.0</v>
      </c>
      <c r="B10512" s="9" t="s">
        <v>16090</v>
      </c>
      <c r="C10512" s="9" t="s">
        <v>16091</v>
      </c>
      <c r="D10512" s="9" t="s">
        <v>98</v>
      </c>
      <c r="E10512" s="6" t="s">
        <v>16096</v>
      </c>
      <c r="F10512" s="9"/>
    </row>
    <row r="10513" ht="33.75" customHeight="1">
      <c r="A10513" s="7">
        <v>436.0</v>
      </c>
      <c r="B10513" s="9" t="s">
        <v>16090</v>
      </c>
      <c r="C10513" s="9" t="s">
        <v>16091</v>
      </c>
      <c r="D10513" s="9" t="s">
        <v>99</v>
      </c>
      <c r="E10513" s="6" t="s">
        <v>16096</v>
      </c>
      <c r="F10513" s="9"/>
    </row>
    <row r="10514" ht="33.75" customHeight="1">
      <c r="A10514" s="7">
        <v>436.0</v>
      </c>
      <c r="B10514" s="9" t="s">
        <v>16090</v>
      </c>
      <c r="C10514" s="9" t="s">
        <v>16091</v>
      </c>
      <c r="D10514" s="9" t="s">
        <v>101</v>
      </c>
      <c r="E10514" s="6" t="s">
        <v>16097</v>
      </c>
      <c r="F10514" s="9"/>
    </row>
    <row r="10515" ht="33.75" customHeight="1">
      <c r="A10515" s="7">
        <v>436.0</v>
      </c>
      <c r="B10515" s="9" t="s">
        <v>16090</v>
      </c>
      <c r="C10515" s="9" t="s">
        <v>16091</v>
      </c>
      <c r="D10515" s="9" t="s">
        <v>105</v>
      </c>
      <c r="E10515" s="6" t="s">
        <v>16092</v>
      </c>
      <c r="F10515" s="9"/>
    </row>
    <row r="10516" ht="33.75" customHeight="1">
      <c r="A10516" s="7">
        <v>436.0</v>
      </c>
      <c r="B10516" s="9" t="s">
        <v>16090</v>
      </c>
      <c r="C10516" s="9" t="s">
        <v>16091</v>
      </c>
      <c r="D10516" s="9" t="s">
        <v>107</v>
      </c>
      <c r="E10516" s="6" t="s">
        <v>16097</v>
      </c>
      <c r="F10516" s="9"/>
    </row>
    <row r="10517" ht="33.75" customHeight="1">
      <c r="A10517" s="7">
        <v>436.0</v>
      </c>
      <c r="B10517" s="9" t="s">
        <v>16090</v>
      </c>
      <c r="C10517" s="9" t="s">
        <v>16091</v>
      </c>
      <c r="D10517" s="9" t="s">
        <v>109</v>
      </c>
      <c r="E10517" s="6" t="s">
        <v>16092</v>
      </c>
      <c r="F10517" s="9"/>
    </row>
    <row r="10518" ht="33.75" customHeight="1">
      <c r="A10518" s="7">
        <v>436.0</v>
      </c>
      <c r="B10518" s="9" t="s">
        <v>16090</v>
      </c>
      <c r="C10518" s="9" t="s">
        <v>16091</v>
      </c>
      <c r="D10518" s="9" t="s">
        <v>114</v>
      </c>
      <c r="E10518" s="6" t="s">
        <v>16098</v>
      </c>
      <c r="F10518" s="9"/>
    </row>
    <row r="10519" ht="33.75" customHeight="1">
      <c r="A10519" s="7">
        <v>436.0</v>
      </c>
      <c r="B10519" s="9" t="s">
        <v>16090</v>
      </c>
      <c r="C10519" s="9" t="s">
        <v>16091</v>
      </c>
      <c r="D10519" s="9" t="s">
        <v>117</v>
      </c>
      <c r="E10519" s="6" t="s">
        <v>16099</v>
      </c>
      <c r="F10519" s="9"/>
    </row>
    <row r="10520" ht="33.75" customHeight="1">
      <c r="A10520" s="7">
        <v>436.0</v>
      </c>
      <c r="B10520" s="9" t="s">
        <v>16090</v>
      </c>
      <c r="C10520" s="9" t="s">
        <v>16091</v>
      </c>
      <c r="D10520" s="9" t="s">
        <v>1577</v>
      </c>
      <c r="E10520" s="6" t="s">
        <v>16101</v>
      </c>
      <c r="F10520" s="9"/>
    </row>
    <row r="10521" ht="33.75" customHeight="1">
      <c r="A10521" s="7">
        <v>437.0</v>
      </c>
      <c r="B10521" s="9" t="s">
        <v>16102</v>
      </c>
      <c r="C10521" s="9" t="s">
        <v>16103</v>
      </c>
      <c r="D10521" s="9" t="s">
        <v>81</v>
      </c>
      <c r="E10521" s="6" t="s">
        <v>16104</v>
      </c>
      <c r="F10521" t="inlineStr" s="10">
        <is>
          <t xml:space="preserve">Yksi niistä aiheutti uutisensaation, kun se kaivettiin esiin rakennustyömaalta 2 000 vuoden unen jälkeen. Se voi kutsua esiin sadepilviä. Ihmiset kunnioittivat sitä kauan sitten runsaan sadon tuojana. Se toi sateita avaamalla portaaleja toiseen maailmaan. Sitä kunnioitettiin runsaan sadon tuojana. Muinaiset ihmiset uskoivat, että sadon kasvattaminen pyydettiin anomaan BRONZONGILTA sadetta. Menneinä aikoina tätä Pokémonia palvottiin sateen tuojana. Se löydettiin haudattuna maahan. Muinaiset ihmiset uskoivat, että sadon kasvattaminen anomalla Bronzongilta sadetta oli tapa. Jotkut uskovat sen olevan jumaluus, joka kutsuu esiin sadepilviä. Vihastuttuaan se päästää varoitushuudon, joka soi kuin kellojen kumina. Monet tiedemiehet epäilevät, että tämä Pokémon on peräisin Galarin alueen ulkopuolelta, sen kehon kuvioiden perusteella. Jotkut uskovat, että sen kellomainen huuto avaa reikiä toiseen maailmaan. Sitä on palvottu jumaluutena muinaisista ajoista lähtien.</t>
        </is>
      </c>
    </row>
    <row r="10522" ht="33.75" customHeight="1">
      <c r="A10522" s="7">
        <v>437.0</v>
      </c>
      <c r="B10522" s="9" t="s">
        <v>16102</v>
      </c>
      <c r="C10522" s="9" t="s">
        <v>16103</v>
      </c>
      <c r="D10522" s="9" t="s">
        <v>84</v>
      </c>
      <c r="E10522" s="6" t="s">
        <v>16105</v>
      </c>
      <c r="F10522" s="9"/>
    </row>
    <row r="10523" ht="33.75" customHeight="1">
      <c r="A10523" s="7">
        <v>437.0</v>
      </c>
      <c r="B10523" s="9" t="s">
        <v>16102</v>
      </c>
      <c r="C10523" s="9" t="s">
        <v>16103</v>
      </c>
      <c r="D10523" s="9" t="s">
        <v>87</v>
      </c>
      <c r="E10523" s="6" t="s">
        <v>16106</v>
      </c>
      <c r="F10523" s="9"/>
    </row>
    <row r="10524" ht="33.75" customHeight="1">
      <c r="A10524" s="7">
        <v>437.0</v>
      </c>
      <c r="B10524" s="9" t="s">
        <v>16102</v>
      </c>
      <c r="C10524" s="9" t="s">
        <v>16103</v>
      </c>
      <c r="D10524" s="9" t="s">
        <v>89</v>
      </c>
      <c r="E10524" s="6" t="s">
        <v>16107</v>
      </c>
      <c r="F10524" s="9"/>
    </row>
    <row r="10525" ht="33.75" customHeight="1">
      <c r="A10525" s="7">
        <v>437.0</v>
      </c>
      <c r="B10525" s="9" t="s">
        <v>16102</v>
      </c>
      <c r="C10525" s="9" t="s">
        <v>16103</v>
      </c>
      <c r="D10525" s="9" t="s">
        <v>91</v>
      </c>
      <c r="E10525" s="6" t="s">
        <v>16107</v>
      </c>
      <c r="F10525" s="9"/>
    </row>
    <row r="10526" ht="33.75" customHeight="1">
      <c r="A10526" s="7">
        <v>437.0</v>
      </c>
      <c r="B10526" s="9" t="s">
        <v>16102</v>
      </c>
      <c r="C10526" s="9" t="s">
        <v>16103</v>
      </c>
      <c r="D10526" s="9" t="s">
        <v>93</v>
      </c>
      <c r="E10526" s="6" t="s">
        <v>16106</v>
      </c>
      <c r="F10526" s="9"/>
    </row>
    <row r="10527" ht="33.75" customHeight="1">
      <c r="A10527" s="7">
        <v>437.0</v>
      </c>
      <c r="B10527" s="9" t="s">
        <v>16102</v>
      </c>
      <c r="C10527" s="9" t="s">
        <v>16103</v>
      </c>
      <c r="D10527" s="9" t="s">
        <v>95</v>
      </c>
      <c r="E10527" s="6" t="s">
        <v>16106</v>
      </c>
      <c r="F10527" s="9"/>
    </row>
    <row r="10528" ht="33.75" customHeight="1">
      <c r="A10528" s="7">
        <v>437.0</v>
      </c>
      <c r="B10528" s="9" t="s">
        <v>16102</v>
      </c>
      <c r="C10528" s="9" t="s">
        <v>16103</v>
      </c>
      <c r="D10528" s="9" t="s">
        <v>98</v>
      </c>
      <c r="E10528" s="6" t="s">
        <v>16108</v>
      </c>
      <c r="F10528" s="9"/>
    </row>
    <row r="10529" ht="33.75" customHeight="1">
      <c r="A10529" s="7">
        <v>437.0</v>
      </c>
      <c r="B10529" s="9" t="s">
        <v>16102</v>
      </c>
      <c r="C10529" s="9" t="s">
        <v>16103</v>
      </c>
      <c r="D10529" s="9" t="s">
        <v>99</v>
      </c>
      <c r="E10529" s="6" t="s">
        <v>16108</v>
      </c>
      <c r="F10529" s="9"/>
    </row>
    <row r="10530" ht="33.75" customHeight="1">
      <c r="A10530" s="7">
        <v>437.0</v>
      </c>
      <c r="B10530" s="9" t="s">
        <v>16102</v>
      </c>
      <c r="C10530" s="9" t="s">
        <v>16103</v>
      </c>
      <c r="D10530" s="9" t="s">
        <v>101</v>
      </c>
      <c r="E10530" s="6" t="s">
        <v>16108</v>
      </c>
      <c r="F10530" s="9"/>
    </row>
    <row r="10531" ht="33.75" customHeight="1">
      <c r="A10531" s="7">
        <v>437.0</v>
      </c>
      <c r="B10531" s="9" t="s">
        <v>16102</v>
      </c>
      <c r="C10531" s="9" t="s">
        <v>16103</v>
      </c>
      <c r="D10531" s="9" t="s">
        <v>105</v>
      </c>
      <c r="E10531" s="6" t="s">
        <v>16109</v>
      </c>
      <c r="F10531" s="9"/>
    </row>
    <row r="10532" ht="33.75" customHeight="1">
      <c r="A10532" s="7">
        <v>437.0</v>
      </c>
      <c r="B10532" s="9" t="s">
        <v>16102</v>
      </c>
      <c r="C10532" s="9" t="s">
        <v>16103</v>
      </c>
      <c r="D10532" s="9" t="s">
        <v>107</v>
      </c>
      <c r="E10532" s="6" t="s">
        <v>16108</v>
      </c>
      <c r="F10532" s="9"/>
    </row>
    <row r="10533" ht="33.75" customHeight="1">
      <c r="A10533" s="7">
        <v>437.0</v>
      </c>
      <c r="B10533" s="9" t="s">
        <v>16102</v>
      </c>
      <c r="C10533" s="9" t="s">
        <v>16103</v>
      </c>
      <c r="D10533" s="9" t="s">
        <v>109</v>
      </c>
      <c r="E10533" s="6" t="s">
        <v>16109</v>
      </c>
      <c r="F10533" s="9"/>
    </row>
    <row r="10534" ht="33.75" customHeight="1">
      <c r="A10534" s="7">
        <v>437.0</v>
      </c>
      <c r="B10534" s="9" t="s">
        <v>16102</v>
      </c>
      <c r="C10534" s="9" t="s">
        <v>16103</v>
      </c>
      <c r="D10534" s="9" t="s">
        <v>114</v>
      </c>
      <c r="E10534" s="6" t="s">
        <v>16110</v>
      </c>
      <c r="F10534" s="9"/>
    </row>
    <row r="10535" ht="33.75" customHeight="1">
      <c r="A10535" s="7">
        <v>437.0</v>
      </c>
      <c r="B10535" s="9" t="s">
        <v>16102</v>
      </c>
      <c r="C10535" s="9" t="s">
        <v>16103</v>
      </c>
      <c r="D10535" s="9" t="s">
        <v>117</v>
      </c>
      <c r="E10535" s="6" t="s">
        <v>16111</v>
      </c>
      <c r="F10535" s="9"/>
    </row>
    <row r="10536" ht="33.75" customHeight="1">
      <c r="A10536" s="7">
        <v>437.0</v>
      </c>
      <c r="B10536" s="9" t="s">
        <v>16102</v>
      </c>
      <c r="C10536" s="9" t="s">
        <v>16103</v>
      </c>
      <c r="D10536" s="9" t="s">
        <v>1577</v>
      </c>
      <c r="E10536" s="6" t="s">
        <v>16112</v>
      </c>
      <c r="F10536" s="9"/>
    </row>
    <row r="10537" ht="33.75" customHeight="1">
      <c r="A10537" s="7">
        <v>438.0</v>
      </c>
      <c r="B10537" s="9" t="s">
        <v>16113</v>
      </c>
      <c r="C10537" s="9" t="s">
        <v>16114</v>
      </c>
      <c r="D10537" s="9" t="s">
        <v>81</v>
      </c>
      <c r="E10537" s="6" t="s">
        <v>16115</v>
      </c>
      <c r="F10537" t="inlineStr" s="10">
        <is>
          <t xml:space="preserve">Bonsly näyttää siltä kuin se itkisi jatkuvasti. Se itse asiassa tasapainottaa kehonsa nestetasapainoa poistamalla ylimääräistä nestettä. Se viihtyy kuivissa ympäristöissä. Se vuotaa vettä silmistään tasapainottaakseen kehonsa nestetasapainoa. Se viihtyy kuivassa ympäristössä. Se vuotaa kyynelten kaltaista vettä säädellessään kosteustasoaan. Säädelläkseen kehonsa nesteiden määrää se vuotaa vettä silmistään. Tämä saa sen näyttämään itkevältä. Se ei viihdy hyvin vedessä, joten se elää kuivilla paikoilla. Koska sen ympäristössä on usein vähän vehreyttä, se erottuu selvästi joukosta. Silmistään se voi poistaa ylimääräistä kosteutta kehostaan. Tämä neste on koostumukseltaan samanlaista kuin ihmisen hiki. Se vuotaa kosteutta silmistään, jolloin se näyttää itkevältä – ilmeisesti tehokas tapa saada viholliset laskemaan vartiotaan. Jos sen ruumis kastuu liikaa, se kuolee. Niinpä sen silmät poistavat kosteutta hikoilua muistuttavassa prosessissa. Se työntää silmistään sekä hikeä että kyyneleitä. Hiki on hieman suolaista, kun taas kyyneleet ovat hieman kitkeriä. Tämä Pokémon elää kuivilla, kivisillä alueilla. Kun sen vihreät pallot kuivuvat, niiden himmeä kiilto lisääntyy. Sen kyyneleet herättävät myötätuntoa niissä, jotka ne näkevät, mutta älkää antako itsenne hämätä itseänne! Tämä kehon nesteen poistuminen on vain fysiologinen mekanismi, jolla se pitää itsensä terveenä.</t>
        </is>
      </c>
    </row>
    <row r="10538" ht="33.75" customHeight="1">
      <c r="A10538" s="7">
        <v>438.0</v>
      </c>
      <c r="B10538" s="9" t="s">
        <v>16113</v>
      </c>
      <c r="C10538" s="9" t="s">
        <v>16114</v>
      </c>
      <c r="D10538" s="9" t="s">
        <v>84</v>
      </c>
      <c r="E10538" s="6" t="s">
        <v>16116</v>
      </c>
      <c r="F10538" s="9"/>
    </row>
    <row r="10539" ht="33.75" customHeight="1">
      <c r="A10539" s="7">
        <v>438.0</v>
      </c>
      <c r="B10539" s="9" t="s">
        <v>16113</v>
      </c>
      <c r="C10539" s="9" t="s">
        <v>16114</v>
      </c>
      <c r="D10539" s="9" t="s">
        <v>87</v>
      </c>
      <c r="E10539" s="6" t="s">
        <v>16117</v>
      </c>
      <c r="F10539" s="9"/>
    </row>
    <row r="10540" ht="33.75" customHeight="1">
      <c r="A10540" s="7">
        <v>438.0</v>
      </c>
      <c r="B10540" s="9" t="s">
        <v>16113</v>
      </c>
      <c r="C10540" s="9" t="s">
        <v>16114</v>
      </c>
      <c r="D10540" s="9" t="s">
        <v>89</v>
      </c>
      <c r="E10540" s="6" t="s">
        <v>16118</v>
      </c>
      <c r="F10540" s="9"/>
    </row>
    <row r="10541" ht="33.75" customHeight="1">
      <c r="A10541" s="7">
        <v>438.0</v>
      </c>
      <c r="B10541" s="9" t="s">
        <v>16113</v>
      </c>
      <c r="C10541" s="9" t="s">
        <v>16114</v>
      </c>
      <c r="D10541" s="9" t="s">
        <v>91</v>
      </c>
      <c r="E10541" s="6" t="s">
        <v>16118</v>
      </c>
      <c r="F10541" s="9"/>
    </row>
    <row r="10542" ht="33.75" customHeight="1">
      <c r="A10542" s="7">
        <v>438.0</v>
      </c>
      <c r="B10542" s="9" t="s">
        <v>16113</v>
      </c>
      <c r="C10542" s="9" t="s">
        <v>16114</v>
      </c>
      <c r="D10542" s="9" t="s">
        <v>93</v>
      </c>
      <c r="E10542" s="6" t="s">
        <v>16117</v>
      </c>
      <c r="F10542" s="9"/>
    </row>
    <row r="10543" ht="33.75" customHeight="1">
      <c r="A10543" s="7">
        <v>438.0</v>
      </c>
      <c r="B10543" s="9" t="s">
        <v>16113</v>
      </c>
      <c r="C10543" s="9" t="s">
        <v>16114</v>
      </c>
      <c r="D10543" s="9" t="s">
        <v>95</v>
      </c>
      <c r="E10543" s="6" t="s">
        <v>16117</v>
      </c>
      <c r="F10543" s="9"/>
    </row>
    <row r="10544" ht="33.75" customHeight="1">
      <c r="A10544" s="7">
        <v>438.0</v>
      </c>
      <c r="B10544" s="9" t="s">
        <v>16113</v>
      </c>
      <c r="C10544" s="9" t="s">
        <v>16114</v>
      </c>
      <c r="D10544" s="9" t="s">
        <v>98</v>
      </c>
      <c r="E10544" s="6" t="s">
        <v>16117</v>
      </c>
      <c r="F10544" s="9"/>
    </row>
    <row r="10545" ht="33.75" customHeight="1">
      <c r="A10545" s="7">
        <v>438.0</v>
      </c>
      <c r="B10545" s="9" t="s">
        <v>16113</v>
      </c>
      <c r="C10545" s="9" t="s">
        <v>16114</v>
      </c>
      <c r="D10545" s="9" t="s">
        <v>99</v>
      </c>
      <c r="E10545" s="6" t="s">
        <v>16117</v>
      </c>
      <c r="F10545" s="9"/>
    </row>
    <row r="10546" ht="33.75" customHeight="1">
      <c r="A10546" s="7">
        <v>438.0</v>
      </c>
      <c r="B10546" s="9" t="s">
        <v>16113</v>
      </c>
      <c r="C10546" s="9" t="s">
        <v>16114</v>
      </c>
      <c r="D10546" s="9" t="s">
        <v>101</v>
      </c>
      <c r="E10546" s="6" t="s">
        <v>16116</v>
      </c>
      <c r="F10546" s="9"/>
    </row>
    <row r="10547" ht="33.75" customHeight="1">
      <c r="A10547" s="7">
        <v>438.0</v>
      </c>
      <c r="B10547" s="9" t="s">
        <v>16113</v>
      </c>
      <c r="C10547" s="9" t="s">
        <v>16114</v>
      </c>
      <c r="D10547" s="9" t="s">
        <v>105</v>
      </c>
      <c r="E10547" s="6" t="s">
        <v>16117</v>
      </c>
      <c r="F10547" s="9"/>
    </row>
    <row r="10548" ht="33.75" customHeight="1">
      <c r="A10548" s="7">
        <v>438.0</v>
      </c>
      <c r="B10548" s="9" t="s">
        <v>16113</v>
      </c>
      <c r="C10548" s="9" t="s">
        <v>16114</v>
      </c>
      <c r="D10548" s="9" t="s">
        <v>107</v>
      </c>
      <c r="E10548" s="6" t="s">
        <v>16116</v>
      </c>
      <c r="F10548" s="9"/>
    </row>
    <row r="10549" ht="33.75" customHeight="1">
      <c r="A10549" s="7">
        <v>438.0</v>
      </c>
      <c r="B10549" s="9" t="s">
        <v>16113</v>
      </c>
      <c r="C10549" s="9" t="s">
        <v>16114</v>
      </c>
      <c r="D10549" s="9" t="s">
        <v>109</v>
      </c>
      <c r="E10549" s="6" t="s">
        <v>16117</v>
      </c>
      <c r="F10549" s="9"/>
    </row>
    <row r="10550" ht="33.75" customHeight="1">
      <c r="A10550" s="7">
        <v>438.0</v>
      </c>
      <c r="B10550" s="9" t="s">
        <v>16113</v>
      </c>
      <c r="C10550" s="9" t="s">
        <v>16114</v>
      </c>
      <c r="D10550" s="9" t="s">
        <v>637</v>
      </c>
      <c r="E10550" s="6" t="s">
        <v>16120</v>
      </c>
      <c r="F10550" s="9"/>
    </row>
    <row r="10551" ht="33.75" customHeight="1">
      <c r="A10551" s="7">
        <v>438.0</v>
      </c>
      <c r="B10551" s="9" t="s">
        <v>16113</v>
      </c>
      <c r="C10551" s="9" t="s">
        <v>16114</v>
      </c>
      <c r="D10551" s="9" t="s">
        <v>642</v>
      </c>
      <c r="E10551" s="6" t="s">
        <v>16121</v>
      </c>
      <c r="F10551" s="9"/>
    </row>
    <row r="10552" ht="33.75" customHeight="1">
      <c r="A10552" s="7">
        <v>438.0</v>
      </c>
      <c r="B10552" s="9" t="s">
        <v>16113</v>
      </c>
      <c r="C10552" s="9" t="s">
        <v>16114</v>
      </c>
      <c r="D10552" s="9" t="s">
        <v>647</v>
      </c>
      <c r="E10552" s="6" t="s">
        <v>16122</v>
      </c>
      <c r="F10552" s="9"/>
    </row>
    <row r="10553" ht="33.75" customHeight="1">
      <c r="A10553" s="7">
        <v>438.0</v>
      </c>
      <c r="B10553" s="9" t="s">
        <v>16113</v>
      </c>
      <c r="C10553" s="9" t="s">
        <v>16114</v>
      </c>
      <c r="D10553" s="9" t="s">
        <v>652</v>
      </c>
      <c r="E10553" s="6" t="s">
        <v>16123</v>
      </c>
      <c r="F10553" s="9"/>
    </row>
    <row r="10554" ht="33.75" customHeight="1">
      <c r="A10554" s="7">
        <v>438.0</v>
      </c>
      <c r="B10554" s="9" t="s">
        <v>16113</v>
      </c>
      <c r="C10554" s="9" t="s">
        <v>16114</v>
      </c>
      <c r="D10554" s="9" t="s">
        <v>114</v>
      </c>
      <c r="E10554" s="6" t="s">
        <v>16124</v>
      </c>
      <c r="F10554" s="9"/>
    </row>
    <row r="10555" ht="33.75" customHeight="1">
      <c r="A10555" s="7">
        <v>438.0</v>
      </c>
      <c r="B10555" s="9" t="s">
        <v>16113</v>
      </c>
      <c r="C10555" s="9" t="s">
        <v>16114</v>
      </c>
      <c r="D10555" s="9" t="s">
        <v>117</v>
      </c>
      <c r="E10555" s="6" t="s">
        <v>16125</v>
      </c>
      <c r="F10555" s="9"/>
    </row>
    <row r="10556" ht="33.75" customHeight="1">
      <c r="A10556" s="7">
        <v>438.0</v>
      </c>
      <c r="B10556" s="9" t="s">
        <v>16113</v>
      </c>
      <c r="C10556" s="9" t="s">
        <v>16114</v>
      </c>
      <c r="D10556" s="9" t="s">
        <v>1577</v>
      </c>
      <c r="E10556" s="6" t="s">
        <v>16126</v>
      </c>
      <c r="F10556" s="9"/>
    </row>
    <row r="10557" ht="33.75" customHeight="1">
      <c r="A10557" s="7">
        <v>439.0</v>
      </c>
      <c r="B10557" s="9" t="s">
        <v>16127</v>
      </c>
      <c r="C10557" s="9" t="s">
        <v>16128</v>
      </c>
      <c r="D10557" s="9" t="s">
        <v>81</v>
      </c>
      <c r="E10557" s="6" t="s">
        <v>16129</v>
      </c>
      <c r="F10557" t="inlineStr" s="10">
        <is>
          <t xml:space="preserve">Mime Jr. matkii vihollisia tavallisesti. Kun matkimista on tehty, vihollinen ei voi irrottaa katsettaan tästä Pokémonista. Se pitää paikoista, joissa ihmiset kokoontuvat. Se matkii vihollisia hämmentääkseen heitä ja pakenee sitten. Se matkii näkemiensä ihmisten ilmeitä ja liikkeitä ymmärtääkseen muiden tunteita. Yrittäessään hämmentää vihollistaan ​​se matkii tämän liikkeitä. Sitten se ei tuhlaa aikaa itsensä harventamiseen! Se tekee parhaansa matkiakseen vastustajiensa liikkeitä ja ilmeitä, mutta se ei vieläkään ole siinä kovin hyvä. Kun tämä lahjakas matkija yllättää vastustajan, Mime Jr. on niin iloinen, että se lopulta unohtaa matkineensa jotakin. Se matkii kaikkia näkemiään, mutta harjoittelee erityisesti herra Rimen sulavien tanssiaskeleiden kopioimista. Se etsii herra Rimeä, joka on hyvä tanssija ja kopioi herra Rimen askeleita huolellisesti kuin oppipoika. Tunnetaan vilkkailla toreilla silloin tällöin esiintyvänä. Se matkii ihmisiä lapsen lailla ja seuraa sitten heidän reaktioitaan silmät säihkyen.</t>
        </is>
      </c>
    </row>
    <row r="10558" ht="33.75" customHeight="1">
      <c r="A10558" s="7">
        <v>439.0</v>
      </c>
      <c r="B10558" s="9" t="s">
        <v>16127</v>
      </c>
      <c r="C10558" s="9" t="s">
        <v>16128</v>
      </c>
      <c r="D10558" s="9" t="s">
        <v>84</v>
      </c>
      <c r="E10558" s="6" t="s">
        <v>16130</v>
      </c>
      <c r="F10558" s="9"/>
    </row>
    <row r="10559" ht="33.75" customHeight="1">
      <c r="A10559" s="7">
        <v>439.0</v>
      </c>
      <c r="B10559" s="9" t="s">
        <v>16127</v>
      </c>
      <c r="C10559" s="9" t="s">
        <v>16128</v>
      </c>
      <c r="D10559" s="9" t="s">
        <v>87</v>
      </c>
      <c r="E10559" s="6" t="s">
        <v>16132</v>
      </c>
      <c r="F10559" s="9"/>
    </row>
    <row r="10560" ht="33.75" customHeight="1">
      <c r="A10560" s="7">
        <v>439.0</v>
      </c>
      <c r="B10560" s="9" t="s">
        <v>16127</v>
      </c>
      <c r="C10560" s="9" t="s">
        <v>16128</v>
      </c>
      <c r="D10560" s="9" t="s">
        <v>89</v>
      </c>
      <c r="E10560" s="6" t="s">
        <v>16133</v>
      </c>
      <c r="F10560" s="9"/>
    </row>
    <row r="10561" ht="33.75" customHeight="1">
      <c r="A10561" s="7">
        <v>439.0</v>
      </c>
      <c r="B10561" s="9" t="s">
        <v>16127</v>
      </c>
      <c r="C10561" s="9" t="s">
        <v>16128</v>
      </c>
      <c r="D10561" s="9" t="s">
        <v>91</v>
      </c>
      <c r="E10561" s="6" t="s">
        <v>16133</v>
      </c>
      <c r="F10561" s="9"/>
    </row>
    <row r="10562" ht="33.75" customHeight="1">
      <c r="A10562" s="7">
        <v>439.0</v>
      </c>
      <c r="B10562" s="9" t="s">
        <v>16127</v>
      </c>
      <c r="C10562" s="9" t="s">
        <v>16128</v>
      </c>
      <c r="D10562" s="9" t="s">
        <v>93</v>
      </c>
      <c r="E10562" s="6" t="s">
        <v>16132</v>
      </c>
      <c r="F10562" s="9"/>
    </row>
    <row r="10563" ht="33.75" customHeight="1">
      <c r="A10563" s="7">
        <v>439.0</v>
      </c>
      <c r="B10563" s="9" t="s">
        <v>16127</v>
      </c>
      <c r="C10563" s="9" t="s">
        <v>16128</v>
      </c>
      <c r="D10563" s="9" t="s">
        <v>95</v>
      </c>
      <c r="E10563" s="6" t="s">
        <v>16132</v>
      </c>
      <c r="F10563" s="9"/>
    </row>
    <row r="10564" ht="33.75" customHeight="1">
      <c r="A10564" s="7">
        <v>439.0</v>
      </c>
      <c r="B10564" s="9" t="s">
        <v>16127</v>
      </c>
      <c r="C10564" s="9" t="s">
        <v>16128</v>
      </c>
      <c r="D10564" s="9" t="s">
        <v>98</v>
      </c>
      <c r="E10564" s="6" t="s">
        <v>16132</v>
      </c>
      <c r="F10564" s="9"/>
    </row>
    <row r="10565" ht="33.75" customHeight="1">
      <c r="A10565" s="7">
        <v>439.0</v>
      </c>
      <c r="B10565" s="9" t="s">
        <v>16127</v>
      </c>
      <c r="C10565" s="9" t="s">
        <v>16128</v>
      </c>
      <c r="D10565" s="9" t="s">
        <v>99</v>
      </c>
      <c r="E10565" s="6" t="s">
        <v>16132</v>
      </c>
      <c r="F10565" s="9"/>
    </row>
    <row r="10566" ht="33.75" customHeight="1">
      <c r="A10566" s="7">
        <v>439.0</v>
      </c>
      <c r="B10566" s="9" t="s">
        <v>16127</v>
      </c>
      <c r="C10566" s="9" t="s">
        <v>16128</v>
      </c>
      <c r="D10566" s="9" t="s">
        <v>101</v>
      </c>
      <c r="E10566" s="6" t="s">
        <v>16133</v>
      </c>
      <c r="F10566" s="9"/>
    </row>
    <row r="10567" ht="33.75" customHeight="1">
      <c r="A10567" s="7">
        <v>439.0</v>
      </c>
      <c r="B10567" s="9" t="s">
        <v>16127</v>
      </c>
      <c r="C10567" s="9" t="s">
        <v>16128</v>
      </c>
      <c r="D10567" s="9" t="s">
        <v>105</v>
      </c>
      <c r="E10567" s="6" t="s">
        <v>16129</v>
      </c>
      <c r="F10567" s="9"/>
    </row>
    <row r="10568" ht="33.75" customHeight="1">
      <c r="A10568" s="7">
        <v>439.0</v>
      </c>
      <c r="B10568" s="9" t="s">
        <v>16127</v>
      </c>
      <c r="C10568" s="9" t="s">
        <v>16128</v>
      </c>
      <c r="D10568" s="9" t="s">
        <v>107</v>
      </c>
      <c r="E10568" s="6" t="s">
        <v>16133</v>
      </c>
      <c r="F10568" s="9"/>
    </row>
    <row r="10569" ht="33.75" customHeight="1">
      <c r="A10569" s="7">
        <v>439.0</v>
      </c>
      <c r="B10569" s="9" t="s">
        <v>16127</v>
      </c>
      <c r="C10569" s="9" t="s">
        <v>16128</v>
      </c>
      <c r="D10569" s="9" t="s">
        <v>109</v>
      </c>
      <c r="E10569" s="6" t="s">
        <v>16129</v>
      </c>
      <c r="F10569" s="9"/>
    </row>
    <row r="10570" ht="33.75" customHeight="1">
      <c r="A10570" s="7">
        <v>439.0</v>
      </c>
      <c r="B10570" s="9" t="s">
        <v>16127</v>
      </c>
      <c r="C10570" s="9" t="s">
        <v>16128</v>
      </c>
      <c r="D10570" s="9" t="s">
        <v>647</v>
      </c>
      <c r="E10570" s="6" t="s">
        <v>16134</v>
      </c>
      <c r="F10570" s="9"/>
    </row>
    <row r="10571" ht="33.75" customHeight="1">
      <c r="A10571" s="7">
        <v>439.0</v>
      </c>
      <c r="B10571" s="9" t="s">
        <v>16127</v>
      </c>
      <c r="C10571" s="9" t="s">
        <v>16128</v>
      </c>
      <c r="D10571" s="9" t="s">
        <v>652</v>
      </c>
      <c r="E10571" s="6" t="s">
        <v>16135</v>
      </c>
      <c r="F10571" s="9"/>
    </row>
    <row r="10572" ht="33.75" customHeight="1">
      <c r="A10572" s="7">
        <v>439.0</v>
      </c>
      <c r="B10572" s="9" t="s">
        <v>16127</v>
      </c>
      <c r="C10572" s="9" t="s">
        <v>16128</v>
      </c>
      <c r="D10572" s="9" t="s">
        <v>114</v>
      </c>
      <c r="E10572" s="6" t="s">
        <v>16136</v>
      </c>
      <c r="F10572" s="9"/>
    </row>
    <row r="10573" ht="33.75" customHeight="1">
      <c r="A10573" s="7">
        <v>439.0</v>
      </c>
      <c r="B10573" s="9" t="s">
        <v>16127</v>
      </c>
      <c r="C10573" s="9" t="s">
        <v>16128</v>
      </c>
      <c r="D10573" s="9" t="s">
        <v>117</v>
      </c>
      <c r="E10573" s="6" t="s">
        <v>16137</v>
      </c>
      <c r="F10573" s="9"/>
    </row>
    <row r="10574" ht="33.75" customHeight="1">
      <c r="A10574" s="7">
        <v>439.0</v>
      </c>
      <c r="B10574" s="9" t="s">
        <v>16127</v>
      </c>
      <c r="C10574" s="9" t="s">
        <v>16128</v>
      </c>
      <c r="D10574" s="9" t="s">
        <v>1577</v>
      </c>
      <c r="E10574" s="6" t="s">
        <v>16138</v>
      </c>
      <c r="F10574" s="9"/>
    </row>
    <row r="10575" ht="33.75" customHeight="1">
      <c r="A10575" s="7">
        <v>440.0</v>
      </c>
      <c r="B10575" s="9" t="s">
        <v>16139</v>
      </c>
      <c r="C10575" s="9" t="s">
        <v>16140</v>
      </c>
      <c r="D10575" s="9" t="s">
        <v>81</v>
      </c>
      <c r="E10575" s="6" t="s">
        <v>16141</v>
      </c>
      <c r="F10575" t="inlineStr" s="10">
        <is>
          <t xml:space="preserve">Happiny rakastaa pyöreitä valkoisia asioita. Se kantaa munanmuotoista kiveä jäljitellen CHANSEY:tä. Se kantaa pyöreää, munanmuotoista kiveä vatsapussissaan ja antaa kiven ystävilleen. Se kantaa mielellään pientä kiveä mukanaan. Se saattaa vaellella muiden jalkojen ympärillä ja saada heidät kompastumaan. Se kantaa varovasti pyöreää, valkoista kiveä, jota se luulee munaksi. Sitä häiritsee sen kihara karva. Se kantaa vatsapussissaan pyöreää valkoista kiveä. Jos se tulee hyvin toimeen jonkun kanssa, se joskus antaa kiven tälle henkilölle. Se on vielä liian pieni munimaan. Korvikkeena se etsii pyöreitä valkoisia kiviä. Yleensä se on hyvin käyttäytyvä Pokémon, mutta jos otat siltä pyöreän kiven pois, se itkee ja kiukuttelee ja heittää ison kiukkukohtauksen. Kun se näkee jotakin pyöreää ja valkoista, Happiny laittaa sen vatsallaan olevaan pussiin. Joskus se ylikuormittuu eikä pysty liikkumaan. Chanseyta matkien Happiny asettaa munanmuotoisen kiven vatsapussiinsa. Happiny aarrelee tätä kiveä. Happiny on halukas lainaamaan kallisarvoista pyöreää kiveään ystävilleen, mutta jos kiveä ei palauteta, Happiny itkee ja saa raivokohtauksen. Chanseyn tavoin se pitää pyöreää kiveä vatsapussissaan ja vaalii sitä rakkaasti. Se tulee hyvin toimeen lasten kanssa ja leikkii joskus heidän kanssaan huvikseen.</t>
        </is>
      </c>
    </row>
    <row r="10576" ht="33.75" customHeight="1">
      <c r="A10576" s="7">
        <v>440.0</v>
      </c>
      <c r="B10576" s="9" t="s">
        <v>16139</v>
      </c>
      <c r="C10576" s="9" t="s">
        <v>16140</v>
      </c>
      <c r="D10576" s="9" t="s">
        <v>84</v>
      </c>
      <c r="E10576" s="6" t="s">
        <v>16142</v>
      </c>
      <c r="F10576" s="9"/>
    </row>
    <row r="10577" ht="33.75" customHeight="1">
      <c r="A10577" s="7">
        <v>440.0</v>
      </c>
      <c r="B10577" s="9" t="s">
        <v>16139</v>
      </c>
      <c r="C10577" s="9" t="s">
        <v>16140</v>
      </c>
      <c r="D10577" s="9" t="s">
        <v>87</v>
      </c>
      <c r="E10577" s="6" t="s">
        <v>16143</v>
      </c>
      <c r="F10577" s="9"/>
    </row>
    <row r="10578" ht="33.75" customHeight="1">
      <c r="A10578" s="7">
        <v>440.0</v>
      </c>
      <c r="B10578" s="9" t="s">
        <v>16139</v>
      </c>
      <c r="C10578" s="9" t="s">
        <v>16140</v>
      </c>
      <c r="D10578" s="9" t="s">
        <v>89</v>
      </c>
      <c r="E10578" s="6" t="s">
        <v>16144</v>
      </c>
      <c r="F10578" s="9"/>
    </row>
    <row r="10579" ht="33.75" customHeight="1">
      <c r="A10579" s="7">
        <v>440.0</v>
      </c>
      <c r="B10579" s="9" t="s">
        <v>16139</v>
      </c>
      <c r="C10579" s="9" t="s">
        <v>16140</v>
      </c>
      <c r="D10579" s="9" t="s">
        <v>91</v>
      </c>
      <c r="E10579" s="6" t="s">
        <v>16144</v>
      </c>
      <c r="F10579" s="9"/>
    </row>
    <row r="10580" ht="33.75" customHeight="1">
      <c r="A10580" s="7">
        <v>440.0</v>
      </c>
      <c r="B10580" s="9" t="s">
        <v>16139</v>
      </c>
      <c r="C10580" s="9" t="s">
        <v>16140</v>
      </c>
      <c r="D10580" s="9" t="s">
        <v>93</v>
      </c>
      <c r="E10580" s="6" t="s">
        <v>16143</v>
      </c>
      <c r="F10580" s="9"/>
    </row>
    <row r="10581" ht="33.75" customHeight="1">
      <c r="A10581" s="7">
        <v>440.0</v>
      </c>
      <c r="B10581" s="9" t="s">
        <v>16139</v>
      </c>
      <c r="C10581" s="9" t="s">
        <v>16140</v>
      </c>
      <c r="D10581" s="9" t="s">
        <v>95</v>
      </c>
      <c r="E10581" s="6" t="s">
        <v>16143</v>
      </c>
      <c r="F10581" s="9"/>
    </row>
    <row r="10582" ht="33.75" customHeight="1">
      <c r="A10582" s="7">
        <v>440.0</v>
      </c>
      <c r="B10582" s="9" t="s">
        <v>16139</v>
      </c>
      <c r="C10582" s="9" t="s">
        <v>16140</v>
      </c>
      <c r="D10582" s="9" t="s">
        <v>98</v>
      </c>
      <c r="E10582" s="6" t="s">
        <v>16143</v>
      </c>
      <c r="F10582" s="9"/>
    </row>
    <row r="10583" ht="33.75" customHeight="1">
      <c r="A10583" s="7">
        <v>440.0</v>
      </c>
      <c r="B10583" s="9" t="s">
        <v>16139</v>
      </c>
      <c r="C10583" s="9" t="s">
        <v>16140</v>
      </c>
      <c r="D10583" s="9" t="s">
        <v>99</v>
      </c>
      <c r="E10583" s="6" t="s">
        <v>16143</v>
      </c>
      <c r="F10583" s="9"/>
    </row>
    <row r="10584" ht="33.75" customHeight="1">
      <c r="A10584" s="7">
        <v>440.0</v>
      </c>
      <c r="B10584" s="9" t="s">
        <v>16139</v>
      </c>
      <c r="C10584" s="9" t="s">
        <v>16140</v>
      </c>
      <c r="D10584" s="9" t="s">
        <v>101</v>
      </c>
      <c r="E10584" s="6" t="s">
        <v>16142</v>
      </c>
      <c r="F10584" s="9"/>
    </row>
    <row r="10585" ht="33.75" customHeight="1">
      <c r="A10585" s="7">
        <v>440.0</v>
      </c>
      <c r="B10585" s="9" t="s">
        <v>16139</v>
      </c>
      <c r="C10585" s="9" t="s">
        <v>16140</v>
      </c>
      <c r="D10585" s="9" t="s">
        <v>105</v>
      </c>
      <c r="E10585" s="6" t="s">
        <v>16144</v>
      </c>
      <c r="F10585" s="9"/>
    </row>
    <row r="10586" ht="33.75" customHeight="1">
      <c r="A10586" s="7">
        <v>440.0</v>
      </c>
      <c r="B10586" s="9" t="s">
        <v>16139</v>
      </c>
      <c r="C10586" s="9" t="s">
        <v>16140</v>
      </c>
      <c r="D10586" s="9" t="s">
        <v>107</v>
      </c>
      <c r="E10586" s="6" t="s">
        <v>16142</v>
      </c>
      <c r="F10586" s="9"/>
    </row>
    <row r="10587" ht="33.75" customHeight="1">
      <c r="A10587" s="7">
        <v>440.0</v>
      </c>
      <c r="B10587" s="9" t="s">
        <v>16139</v>
      </c>
      <c r="C10587" s="9" t="s">
        <v>16140</v>
      </c>
      <c r="D10587" s="9" t="s">
        <v>109</v>
      </c>
      <c r="E10587" s="6" t="s">
        <v>16144</v>
      </c>
      <c r="F10587" s="9"/>
    </row>
    <row r="10588" ht="33.75" customHeight="1">
      <c r="A10588" s="7">
        <v>440.0</v>
      </c>
      <c r="B10588" s="9" t="s">
        <v>16139</v>
      </c>
      <c r="C10588" s="9" t="s">
        <v>16140</v>
      </c>
      <c r="D10588" s="9" t="s">
        <v>637</v>
      </c>
      <c r="E10588" s="6" t="s">
        <v>16146</v>
      </c>
      <c r="F10588" s="9"/>
    </row>
    <row r="10589" ht="33.75" customHeight="1">
      <c r="A10589" s="7">
        <v>440.0</v>
      </c>
      <c r="B10589" s="9" t="s">
        <v>16139</v>
      </c>
      <c r="C10589" s="9" t="s">
        <v>16140</v>
      </c>
      <c r="D10589" s="9" t="s">
        <v>642</v>
      </c>
      <c r="E10589" s="6" t="s">
        <v>16147</v>
      </c>
      <c r="F10589" s="9"/>
    </row>
    <row r="10590" ht="33.75" customHeight="1">
      <c r="A10590" s="7">
        <v>440.0</v>
      </c>
      <c r="B10590" s="9" t="s">
        <v>16139</v>
      </c>
      <c r="C10590" s="9" t="s">
        <v>16140</v>
      </c>
      <c r="D10590" s="9" t="s">
        <v>647</v>
      </c>
      <c r="E10590" s="6" t="s">
        <v>16148</v>
      </c>
      <c r="F10590" s="9"/>
    </row>
    <row r="10591" ht="33.75" customHeight="1">
      <c r="A10591" s="7">
        <v>440.0</v>
      </c>
      <c r="B10591" s="9" t="s">
        <v>16139</v>
      </c>
      <c r="C10591" s="9" t="s">
        <v>16140</v>
      </c>
      <c r="D10591" s="9" t="s">
        <v>652</v>
      </c>
      <c r="E10591" s="6" t="s">
        <v>16149</v>
      </c>
      <c r="F10591" s="9"/>
    </row>
    <row r="10592" ht="33.75" customHeight="1">
      <c r="A10592" s="7">
        <v>440.0</v>
      </c>
      <c r="B10592" s="9" t="s">
        <v>16139</v>
      </c>
      <c r="C10592" s="9" t="s">
        <v>16140</v>
      </c>
      <c r="D10592" s="9" t="s">
        <v>114</v>
      </c>
      <c r="E10592" s="6" t="s">
        <v>16150</v>
      </c>
      <c r="F10592" s="9"/>
    </row>
    <row r="10593" ht="33.75" customHeight="1">
      <c r="A10593" s="7">
        <v>440.0</v>
      </c>
      <c r="B10593" s="9" t="s">
        <v>16139</v>
      </c>
      <c r="C10593" s="9" t="s">
        <v>16140</v>
      </c>
      <c r="D10593" s="9" t="s">
        <v>117</v>
      </c>
      <c r="E10593" s="6" t="s">
        <v>16151</v>
      </c>
      <c r="F10593" s="9"/>
    </row>
    <row r="10594" ht="33.75" customHeight="1">
      <c r="A10594" s="7">
        <v>440.0</v>
      </c>
      <c r="B10594" s="9" t="s">
        <v>16139</v>
      </c>
      <c r="C10594" s="9" t="s">
        <v>16140</v>
      </c>
      <c r="D10594" s="9" t="s">
        <v>1577</v>
      </c>
      <c r="E10594" s="6" t="s">
        <v>16152</v>
      </c>
      <c r="F10594" s="9"/>
    </row>
    <row r="10595" ht="33.75" customHeight="1">
      <c r="A10595" s="7">
        <v>441.0</v>
      </c>
      <c r="B10595" s="9" t="s">
        <v>16153</v>
      </c>
      <c r="C10595" s="9" t="s">
        <v>16154</v>
      </c>
      <c r="D10595" s="9" t="s">
        <v>81</v>
      </c>
      <c r="E10595" s="6" t="s">
        <v>16155</v>
      </c>
      <c r="F10595" t="inlineStr" s="10">
        <is>
          <t xml:space="preserve">Chatot voi oppia ja puhua ihmissanoin. Jos ne kokoontuvat yhteen, ne kaikki oppivat saman sanonnan. Se pitää rytmin yllä heiluttamalla pyrstösulkiaan kuin metronomi. Se matkii ihmisen puhetta. Sen kieli on aivan kuin ihmisen. Tämän seurauksena se pystyy taitavasti matkimaan ihmisen puhetta. Se matkii muiden Pokémonien huutoja huijatakseen ne luulemaan olevansa yksi niistä. Tällä tavoin ne eivät hyökkää sen kimppuun. Monipuolinen esiintyjä, joka on taitava matkimaan ihmispuhetta. Vanhempien ja kokeneempien chatot-hahmojen sanotaan jopa ymmärtävän matkimiensa sanojen merkityksen.</t>
        </is>
      </c>
    </row>
    <row r="10596" ht="33.75" customHeight="1">
      <c r="A10596" s="7">
        <v>441.0</v>
      </c>
      <c r="B10596" s="9" t="s">
        <v>16153</v>
      </c>
      <c r="C10596" s="9" t="s">
        <v>16154</v>
      </c>
      <c r="D10596" s="9" t="s">
        <v>84</v>
      </c>
      <c r="E10596" s="6" t="s">
        <v>16156</v>
      </c>
      <c r="F10596" s="9"/>
    </row>
    <row r="10597" ht="33.75" customHeight="1">
      <c r="A10597" s="7">
        <v>441.0</v>
      </c>
      <c r="B10597" s="9" t="s">
        <v>16153</v>
      </c>
      <c r="C10597" s="9" t="s">
        <v>16154</v>
      </c>
      <c r="D10597" s="9" t="s">
        <v>87</v>
      </c>
      <c r="E10597" s="6" t="s">
        <v>16157</v>
      </c>
      <c r="F10597" s="9"/>
    </row>
    <row r="10598" ht="33.75" customHeight="1">
      <c r="A10598" s="7">
        <v>441.0</v>
      </c>
      <c r="B10598" s="9" t="s">
        <v>16153</v>
      </c>
      <c r="C10598" s="9" t="s">
        <v>16154</v>
      </c>
      <c r="D10598" s="9" t="s">
        <v>89</v>
      </c>
      <c r="E10598" s="6" t="s">
        <v>16158</v>
      </c>
      <c r="F10598" s="9"/>
    </row>
    <row r="10599" ht="33.75" customHeight="1">
      <c r="A10599" s="7">
        <v>441.0</v>
      </c>
      <c r="B10599" s="9" t="s">
        <v>16153</v>
      </c>
      <c r="C10599" s="9" t="s">
        <v>16154</v>
      </c>
      <c r="D10599" s="9" t="s">
        <v>91</v>
      </c>
      <c r="E10599" s="6" t="s">
        <v>16158</v>
      </c>
      <c r="F10599" s="9"/>
    </row>
    <row r="10600" ht="33.75" customHeight="1">
      <c r="A10600" s="7">
        <v>441.0</v>
      </c>
      <c r="B10600" s="9" t="s">
        <v>16153</v>
      </c>
      <c r="C10600" s="9" t="s">
        <v>16154</v>
      </c>
      <c r="D10600" s="9" t="s">
        <v>93</v>
      </c>
      <c r="E10600" s="6" t="s">
        <v>16157</v>
      </c>
      <c r="F10600" s="9"/>
    </row>
    <row r="10601" ht="33.75" customHeight="1">
      <c r="A10601" s="7">
        <v>441.0</v>
      </c>
      <c r="B10601" s="9" t="s">
        <v>16153</v>
      </c>
      <c r="C10601" s="9" t="s">
        <v>16154</v>
      </c>
      <c r="D10601" s="9" t="s">
        <v>95</v>
      </c>
      <c r="E10601" s="6" t="s">
        <v>16157</v>
      </c>
      <c r="F10601" s="9"/>
    </row>
    <row r="10602" ht="33.75" customHeight="1">
      <c r="A10602" s="7">
        <v>441.0</v>
      </c>
      <c r="B10602" s="9" t="s">
        <v>16153</v>
      </c>
      <c r="C10602" s="9" t="s">
        <v>16154</v>
      </c>
      <c r="D10602" s="9" t="s">
        <v>98</v>
      </c>
      <c r="E10602" s="6" t="s">
        <v>16157</v>
      </c>
      <c r="F10602" s="9"/>
    </row>
    <row r="10603" ht="33.75" customHeight="1">
      <c r="A10603" s="7">
        <v>441.0</v>
      </c>
      <c r="B10603" s="9" t="s">
        <v>16153</v>
      </c>
      <c r="C10603" s="9" t="s">
        <v>16154</v>
      </c>
      <c r="D10603" s="9" t="s">
        <v>99</v>
      </c>
      <c r="E10603" s="6" t="s">
        <v>16157</v>
      </c>
      <c r="F10603" s="9"/>
    </row>
    <row r="10604" ht="33.75" customHeight="1">
      <c r="A10604" s="7">
        <v>441.0</v>
      </c>
      <c r="B10604" s="9" t="s">
        <v>16153</v>
      </c>
      <c r="C10604" s="9" t="s">
        <v>16154</v>
      </c>
      <c r="D10604" s="9" t="s">
        <v>101</v>
      </c>
      <c r="E10604" s="6" t="s">
        <v>16158</v>
      </c>
      <c r="F10604" s="9"/>
    </row>
    <row r="10605" ht="33.75" customHeight="1">
      <c r="A10605" s="7">
        <v>441.0</v>
      </c>
      <c r="B10605" s="9" t="s">
        <v>16153</v>
      </c>
      <c r="C10605" s="9" t="s">
        <v>16154</v>
      </c>
      <c r="D10605" s="9" t="s">
        <v>105</v>
      </c>
      <c r="E10605" s="6" t="s">
        <v>16155</v>
      </c>
      <c r="F10605" s="9"/>
    </row>
    <row r="10606" ht="33.75" customHeight="1">
      <c r="A10606" s="7">
        <v>441.0</v>
      </c>
      <c r="B10606" s="9" t="s">
        <v>16153</v>
      </c>
      <c r="C10606" s="9" t="s">
        <v>16154</v>
      </c>
      <c r="D10606" s="9" t="s">
        <v>107</v>
      </c>
      <c r="E10606" s="6" t="s">
        <v>16158</v>
      </c>
      <c r="F10606" s="9"/>
    </row>
    <row r="10607" ht="33.75" customHeight="1">
      <c r="A10607" s="7">
        <v>441.0</v>
      </c>
      <c r="B10607" s="9" t="s">
        <v>16153</v>
      </c>
      <c r="C10607" s="9" t="s">
        <v>16154</v>
      </c>
      <c r="D10607" s="9" t="s">
        <v>109</v>
      </c>
      <c r="E10607" s="6" t="s">
        <v>16155</v>
      </c>
      <c r="F10607" s="9"/>
    </row>
    <row r="10608" ht="33.75" customHeight="1">
      <c r="A10608" s="7">
        <v>441.0</v>
      </c>
      <c r="B10608" s="9" t="s">
        <v>16153</v>
      </c>
      <c r="C10608" s="9" t="s">
        <v>16154</v>
      </c>
      <c r="D10608" s="9" t="s">
        <v>1577</v>
      </c>
      <c r="E10608" s="6" t="s">
        <v>16160</v>
      </c>
      <c r="F10608" s="9"/>
    </row>
    <row r="10609" ht="33.75" customHeight="1">
      <c r="A10609" s="7">
        <v>442.0</v>
      </c>
      <c r="B10609" s="9" t="s">
        <v>16161</v>
      </c>
      <c r="C10609" s="9" t="s">
        <v>16162</v>
      </c>
      <c r="D10609" s="9" t="s">
        <v>81</v>
      </c>
      <c r="E10609" s="6" t="s">
        <v>16163</v>
      </c>
      <c r="F10609" t="inlineStr" s="10">
        <is>
          <t xml:space="preserve">Pokémon, jonka 108 henkeä muovasi. Se on sidottu halkeamaan oudossa avainkivessä. Se sidottiin halkeamaan omituisessa lakikivessä rangaistuksena väärinteoista 500 vuotta sitten. Sen jatkuvat ilkikurisuus ja väärinkäytökset johtivat siihen, että se sidottiin salaperäisen loitsun avulla parittomaan avainkiveen. Se muodostettiin yhdistämällä 108 henkeä. Se on sidottu Parittiseen Avainkiveen estääkseen sitä tekemästä mitään pahaa. Tasan 108 henkeä kokoontui muodostaakseen tämän Pokémonin. Ilmeisesti joukossa on myös joitakin pahansuovia henkiä. Kaikki Spiritombin ilkikurisuus ja väärinkäytökset pakottivat matkaajan käyttämään salaperäistä loitsua sitoakseen Spiritombin outoon avainkiveen. Se langettaa kirouksia ajattelemalla pahoja ajatuksia. Kirjoitukset kertovat, että tämä Pokémon syntyi 508 pahansuovan hengen joukosta.</t>
        </is>
      </c>
    </row>
    <row r="10610" ht="33.75" customHeight="1">
      <c r="A10610" s="7">
        <v>442.0</v>
      </c>
      <c r="B10610" s="9" t="s">
        <v>16161</v>
      </c>
      <c r="C10610" s="9" t="s">
        <v>16162</v>
      </c>
      <c r="D10610" s="9" t="s">
        <v>84</v>
      </c>
      <c r="E10610" s="6" t="s">
        <v>16164</v>
      </c>
      <c r="F10610" s="9"/>
    </row>
    <row r="10611" ht="33.75" customHeight="1">
      <c r="A10611" s="7">
        <v>442.0</v>
      </c>
      <c r="B10611" s="9" t="s">
        <v>16161</v>
      </c>
      <c r="C10611" s="9" t="s">
        <v>16162</v>
      </c>
      <c r="D10611" s="9" t="s">
        <v>87</v>
      </c>
      <c r="E10611" s="6" t="s">
        <v>16165</v>
      </c>
      <c r="F10611" s="9"/>
    </row>
    <row r="10612" ht="33.75" customHeight="1">
      <c r="A10612" s="7">
        <v>442.0</v>
      </c>
      <c r="B10612" s="9" t="s">
        <v>16161</v>
      </c>
      <c r="C10612" s="9" t="s">
        <v>16162</v>
      </c>
      <c r="D10612" s="9" t="s">
        <v>89</v>
      </c>
      <c r="E10612" s="6" t="s">
        <v>16166</v>
      </c>
      <c r="F10612" s="9"/>
    </row>
    <row r="10613" ht="33.75" customHeight="1">
      <c r="A10613" s="7">
        <v>442.0</v>
      </c>
      <c r="B10613" s="9" t="s">
        <v>16161</v>
      </c>
      <c r="C10613" s="9" t="s">
        <v>16162</v>
      </c>
      <c r="D10613" s="9" t="s">
        <v>91</v>
      </c>
      <c r="E10613" s="6" t="s">
        <v>16166</v>
      </c>
      <c r="F10613" s="9"/>
    </row>
    <row r="10614" ht="33.75" customHeight="1">
      <c r="A10614" s="7">
        <v>442.0</v>
      </c>
      <c r="B10614" s="9" t="s">
        <v>16161</v>
      </c>
      <c r="C10614" s="9" t="s">
        <v>16162</v>
      </c>
      <c r="D10614" s="9" t="s">
        <v>93</v>
      </c>
      <c r="E10614" s="6" t="s">
        <v>16165</v>
      </c>
      <c r="F10614" s="9"/>
    </row>
    <row r="10615" ht="33.75" customHeight="1">
      <c r="A10615" s="7">
        <v>442.0</v>
      </c>
      <c r="B10615" s="9" t="s">
        <v>16161</v>
      </c>
      <c r="C10615" s="9" t="s">
        <v>16162</v>
      </c>
      <c r="D10615" s="9" t="s">
        <v>95</v>
      </c>
      <c r="E10615" s="6" t="s">
        <v>16165</v>
      </c>
      <c r="F10615" s="9"/>
    </row>
    <row r="10616" ht="33.75" customHeight="1">
      <c r="A10616" s="7">
        <v>442.0</v>
      </c>
      <c r="B10616" s="9" t="s">
        <v>16161</v>
      </c>
      <c r="C10616" s="9" t="s">
        <v>16162</v>
      </c>
      <c r="D10616" s="9" t="s">
        <v>98</v>
      </c>
      <c r="E10616" s="6" t="s">
        <v>16165</v>
      </c>
      <c r="F10616" s="9"/>
    </row>
    <row r="10617" ht="33.75" customHeight="1">
      <c r="A10617" s="7">
        <v>442.0</v>
      </c>
      <c r="B10617" s="9" t="s">
        <v>16161</v>
      </c>
      <c r="C10617" s="9" t="s">
        <v>16162</v>
      </c>
      <c r="D10617" s="9" t="s">
        <v>99</v>
      </c>
      <c r="E10617" s="6" t="s">
        <v>16165</v>
      </c>
      <c r="F10617" s="9"/>
    </row>
    <row r="10618" ht="33.75" customHeight="1">
      <c r="A10618" s="7">
        <v>442.0</v>
      </c>
      <c r="B10618" s="9" t="s">
        <v>16161</v>
      </c>
      <c r="C10618" s="9" t="s">
        <v>16162</v>
      </c>
      <c r="D10618" s="9" t="s">
        <v>101</v>
      </c>
      <c r="E10618" s="6" t="s">
        <v>16163</v>
      </c>
      <c r="F10618" s="9"/>
    </row>
    <row r="10619" ht="33.75" customHeight="1">
      <c r="A10619" s="7">
        <v>442.0</v>
      </c>
      <c r="B10619" s="9" t="s">
        <v>16161</v>
      </c>
      <c r="C10619" s="9" t="s">
        <v>16162</v>
      </c>
      <c r="D10619" s="9" t="s">
        <v>105</v>
      </c>
      <c r="E10619" s="6" t="s">
        <v>16164</v>
      </c>
      <c r="F10619" s="9"/>
    </row>
    <row r="10620" ht="33.75" customHeight="1">
      <c r="A10620" s="7">
        <v>442.0</v>
      </c>
      <c r="B10620" s="9" t="s">
        <v>16161</v>
      </c>
      <c r="C10620" s="9" t="s">
        <v>16162</v>
      </c>
      <c r="D10620" s="9" t="s">
        <v>107</v>
      </c>
      <c r="E10620" s="6" t="s">
        <v>16163</v>
      </c>
      <c r="F10620" s="9"/>
    </row>
    <row r="10621" ht="33.75" customHeight="1">
      <c r="A10621" s="7">
        <v>442.0</v>
      </c>
      <c r="B10621" s="9" t="s">
        <v>16161</v>
      </c>
      <c r="C10621" s="9" t="s">
        <v>16162</v>
      </c>
      <c r="D10621" s="9" t="s">
        <v>109</v>
      </c>
      <c r="E10621" s="6" t="s">
        <v>16164</v>
      </c>
      <c r="F10621" s="9"/>
    </row>
    <row r="10622" ht="33.75" customHeight="1">
      <c r="A10622" s="7">
        <v>442.0</v>
      </c>
      <c r="B10622" s="9" t="s">
        <v>16161</v>
      </c>
      <c r="C10622" s="9" t="s">
        <v>16162</v>
      </c>
      <c r="D10622" s="9" t="s">
        <v>114</v>
      </c>
      <c r="E10622" s="6" t="s">
        <v>16167</v>
      </c>
      <c r="F10622" s="9"/>
    </row>
    <row r="10623" ht="33.75" customHeight="1">
      <c r="A10623" s="7">
        <v>442.0</v>
      </c>
      <c r="B10623" s="9" t="s">
        <v>16161</v>
      </c>
      <c r="C10623" s="9" t="s">
        <v>16162</v>
      </c>
      <c r="D10623" s="9" t="s">
        <v>117</v>
      </c>
      <c r="E10623" s="6" t="s">
        <v>16168</v>
      </c>
      <c r="F10623" s="9"/>
    </row>
    <row r="10624" ht="33.75" customHeight="1">
      <c r="A10624" s="7">
        <v>442.0</v>
      </c>
      <c r="B10624" s="9" t="s">
        <v>16161</v>
      </c>
      <c r="C10624" s="9" t="s">
        <v>16162</v>
      </c>
      <c r="D10624" s="9" t="s">
        <v>1577</v>
      </c>
      <c r="E10624" s="6" t="s">
        <v>16169</v>
      </c>
      <c r="F10624" s="9"/>
    </row>
    <row r="10625" ht="33.75" customHeight="1">
      <c r="A10625" s="7">
        <v>443.0</v>
      </c>
      <c r="B10625" s="9" t="s">
        <v>16170</v>
      </c>
      <c r="C10625" s="9" t="s">
        <v>16171</v>
      </c>
      <c r="D10625" s="9" t="s">
        <v>81</v>
      </c>
      <c r="E10625" s="6" t="s">
        <v>16173</v>
      </c>
      <c r="F10625" t="inlineStr" s="10">
        <is>
          <t xml:space="preserve">Gible pesii pienissä, vaakasuorissa koloissa luolien seinissä. Se syöksyy pyydystämään liian lähelle eksyneitä saaliita. Se eli aikoinaan tropiikissa. Kylmyyden välttämiseksi se elää luolissa, joita lämmittää geoterminen lämpö. Se hyökkää valtavalla suullaan. Vaikka sen hyökkäykset ovat voimakkaita, se myös satuttaa itseään kömpelyytensä vuoksi. Se pesii vaakasuorissa koloissa, joita maalämpö lämmittää. Liian lähelle tulevat viholliset voivat odottaa joutuvansa hyökkääviksi ja puremiksi. Se elää luolissa, joita lämmittää geoterminen lämpö. Silti, kun sää kylmenee, se kyyhöttää tiiviisti muiden lajitovereidensa kanssa. Se hiippailee luolissa, ja kun saalis tai vihollinen kulkee ohi, se hyppää esiin ja jyrää niitä. Sen hyökkäyksen voima lohkaisee joskus sen hampaita. Se reagoi kaikkeen liikkuvaan – lentää suoraan sitä kohti ja puree sitä. Joskus se vahingoittaa itseään, mutta ei välitä siitä liikaa. Sen alkuperäinen koti on paljon Alolaa kuumempi alue. Jos aiot asua sellaisen kanssa, lämmityslaskusi nousee pilviin. Gible viihtyy luolien kyljissä olevissa kapeissa koloissa, joita lämmittää geoterminen energia. Tällä tavoin Gible voi pysyä lämpimänä jopa lumimyrskyn aikana. Gible hyökkää kaiken liikkuvan kimppuun ja raahaa kaiken, minkä se saa kiinni, pesäänsä. Suuresta suustaan ​​huolimatta Giblen vatsa on pieni. Se pesii luolissa, joihin auringonvalo ei ole päässyt. Sen terävät hampaat saattavat irrota kulumisen tai iskun seurauksena, mutta ne kasvavat takaisin muutamassa päivässä.</t>
        </is>
      </c>
    </row>
    <row r="10626" ht="33.75" customHeight="1">
      <c r="A10626" s="7">
        <v>443.0</v>
      </c>
      <c r="B10626" s="9" t="s">
        <v>16170</v>
      </c>
      <c r="C10626" s="9" t="s">
        <v>16171</v>
      </c>
      <c r="D10626" s="9" t="s">
        <v>84</v>
      </c>
      <c r="E10626" s="6" t="s">
        <v>16174</v>
      </c>
      <c r="F10626" s="9"/>
    </row>
    <row r="10627" ht="33.75" customHeight="1">
      <c r="A10627" s="7">
        <v>443.0</v>
      </c>
      <c r="B10627" s="9" t="s">
        <v>16170</v>
      </c>
      <c r="C10627" s="9" t="s">
        <v>16171</v>
      </c>
      <c r="D10627" s="9" t="s">
        <v>87</v>
      </c>
      <c r="E10627" s="6" t="s">
        <v>16175</v>
      </c>
      <c r="F10627" s="9"/>
    </row>
    <row r="10628" ht="33.75" customHeight="1">
      <c r="A10628" s="7">
        <v>443.0</v>
      </c>
      <c r="B10628" s="9" t="s">
        <v>16170</v>
      </c>
      <c r="C10628" s="9" t="s">
        <v>16171</v>
      </c>
      <c r="D10628" s="9" t="s">
        <v>89</v>
      </c>
      <c r="E10628" s="6" t="s">
        <v>16176</v>
      </c>
      <c r="F10628" s="9"/>
    </row>
    <row r="10629" ht="33.75" customHeight="1">
      <c r="A10629" s="7">
        <v>443.0</v>
      </c>
      <c r="B10629" s="9" t="s">
        <v>16170</v>
      </c>
      <c r="C10629" s="9" t="s">
        <v>16171</v>
      </c>
      <c r="D10629" s="9" t="s">
        <v>91</v>
      </c>
      <c r="E10629" s="6" t="s">
        <v>16176</v>
      </c>
      <c r="F10629" s="9"/>
    </row>
    <row r="10630" ht="33.75" customHeight="1">
      <c r="A10630" s="7">
        <v>443.0</v>
      </c>
      <c r="B10630" s="9" t="s">
        <v>16170</v>
      </c>
      <c r="C10630" s="9" t="s">
        <v>16171</v>
      </c>
      <c r="D10630" s="9" t="s">
        <v>93</v>
      </c>
      <c r="E10630" s="6" t="s">
        <v>16175</v>
      </c>
      <c r="F10630" s="9"/>
    </row>
    <row r="10631" ht="33.75" customHeight="1">
      <c r="A10631" s="7">
        <v>443.0</v>
      </c>
      <c r="B10631" s="9" t="s">
        <v>16170</v>
      </c>
      <c r="C10631" s="9" t="s">
        <v>16171</v>
      </c>
      <c r="D10631" s="9" t="s">
        <v>95</v>
      </c>
      <c r="E10631" s="6" t="s">
        <v>16175</v>
      </c>
      <c r="F10631" s="9"/>
    </row>
    <row r="10632" ht="33.75" customHeight="1">
      <c r="A10632" s="7">
        <v>443.0</v>
      </c>
      <c r="B10632" s="9" t="s">
        <v>16170</v>
      </c>
      <c r="C10632" s="9" t="s">
        <v>16171</v>
      </c>
      <c r="D10632" s="9" t="s">
        <v>98</v>
      </c>
      <c r="E10632" s="6" t="s">
        <v>16175</v>
      </c>
      <c r="F10632" s="9"/>
    </row>
    <row r="10633" ht="33.75" customHeight="1">
      <c r="A10633" s="7">
        <v>443.0</v>
      </c>
      <c r="B10633" s="9" t="s">
        <v>16170</v>
      </c>
      <c r="C10633" s="9" t="s">
        <v>16171</v>
      </c>
      <c r="D10633" s="9" t="s">
        <v>99</v>
      </c>
      <c r="E10633" s="6" t="s">
        <v>16175</v>
      </c>
      <c r="F10633" s="9"/>
    </row>
    <row r="10634" ht="33.75" customHeight="1">
      <c r="A10634" s="7">
        <v>443.0</v>
      </c>
      <c r="B10634" s="9" t="s">
        <v>16170</v>
      </c>
      <c r="C10634" s="9" t="s">
        <v>16171</v>
      </c>
      <c r="D10634" s="9" t="s">
        <v>101</v>
      </c>
      <c r="E10634" s="6" t="s">
        <v>16176</v>
      </c>
      <c r="F10634" s="9"/>
    </row>
    <row r="10635" ht="33.75" customHeight="1">
      <c r="A10635" s="7">
        <v>443.0</v>
      </c>
      <c r="B10635" s="9" t="s">
        <v>16170</v>
      </c>
      <c r="C10635" s="9" t="s">
        <v>16171</v>
      </c>
      <c r="D10635" s="9" t="s">
        <v>105</v>
      </c>
      <c r="E10635" s="6" t="s">
        <v>16173</v>
      </c>
      <c r="F10635" s="9"/>
    </row>
    <row r="10636" ht="33.75" customHeight="1">
      <c r="A10636" s="7">
        <v>443.0</v>
      </c>
      <c r="B10636" s="9" t="s">
        <v>16170</v>
      </c>
      <c r="C10636" s="9" t="s">
        <v>16171</v>
      </c>
      <c r="D10636" s="9" t="s">
        <v>107</v>
      </c>
      <c r="E10636" s="6" t="s">
        <v>16176</v>
      </c>
      <c r="F10636" s="9"/>
    </row>
    <row r="10637" ht="33.75" customHeight="1">
      <c r="A10637" s="7">
        <v>443.0</v>
      </c>
      <c r="B10637" s="9" t="s">
        <v>16170</v>
      </c>
      <c r="C10637" s="9" t="s">
        <v>16171</v>
      </c>
      <c r="D10637" s="9" t="s">
        <v>109</v>
      </c>
      <c r="E10637" s="6" t="s">
        <v>16173</v>
      </c>
      <c r="F10637" s="9"/>
    </row>
    <row r="10638" ht="33.75" customHeight="1">
      <c r="A10638" s="7">
        <v>443.0</v>
      </c>
      <c r="B10638" s="9" t="s">
        <v>16170</v>
      </c>
      <c r="C10638" s="9" t="s">
        <v>16171</v>
      </c>
      <c r="D10638" s="9" t="s">
        <v>637</v>
      </c>
      <c r="E10638" s="6" t="s">
        <v>16177</v>
      </c>
      <c r="F10638" s="9"/>
    </row>
    <row r="10639" ht="33.75" customHeight="1">
      <c r="A10639" s="7">
        <v>443.0</v>
      </c>
      <c r="B10639" s="9" t="s">
        <v>16170</v>
      </c>
      <c r="C10639" s="9" t="s">
        <v>16171</v>
      </c>
      <c r="D10639" s="9" t="s">
        <v>642</v>
      </c>
      <c r="E10639" s="6" t="s">
        <v>16178</v>
      </c>
      <c r="F10639" s="9"/>
    </row>
    <row r="10640" ht="33.75" customHeight="1">
      <c r="A10640" s="7">
        <v>443.0</v>
      </c>
      <c r="B10640" s="9" t="s">
        <v>16170</v>
      </c>
      <c r="C10640" s="9" t="s">
        <v>16171</v>
      </c>
      <c r="D10640" s="9" t="s">
        <v>647</v>
      </c>
      <c r="E10640" s="6" t="s">
        <v>16179</v>
      </c>
      <c r="F10640" s="9"/>
    </row>
    <row r="10641" ht="33.75" customHeight="1">
      <c r="A10641" s="7">
        <v>443.0</v>
      </c>
      <c r="B10641" s="9" t="s">
        <v>16170</v>
      </c>
      <c r="C10641" s="9" t="s">
        <v>16171</v>
      </c>
      <c r="D10641" s="9" t="s">
        <v>652</v>
      </c>
      <c r="E10641" s="6" t="s">
        <v>16180</v>
      </c>
      <c r="F10641" s="9"/>
    </row>
    <row r="10642" ht="33.75" customHeight="1">
      <c r="A10642" s="7">
        <v>443.0</v>
      </c>
      <c r="B10642" s="9" t="s">
        <v>16170</v>
      </c>
      <c r="C10642" s="9" t="s">
        <v>16171</v>
      </c>
      <c r="D10642" s="9" t="s">
        <v>114</v>
      </c>
      <c r="E10642" s="6" t="s">
        <v>16181</v>
      </c>
      <c r="F10642" s="9"/>
    </row>
    <row r="10643" ht="33.75" customHeight="1">
      <c r="A10643" s="7">
        <v>443.0</v>
      </c>
      <c r="B10643" s="9" t="s">
        <v>16170</v>
      </c>
      <c r="C10643" s="9" t="s">
        <v>16171</v>
      </c>
      <c r="D10643" s="9" t="s">
        <v>117</v>
      </c>
      <c r="E10643" s="6" t="s">
        <v>16182</v>
      </c>
      <c r="F10643" s="9"/>
    </row>
    <row r="10644" ht="33.75" customHeight="1">
      <c r="A10644" s="7">
        <v>443.0</v>
      </c>
      <c r="B10644" s="9" t="s">
        <v>16170</v>
      </c>
      <c r="C10644" s="9" t="s">
        <v>16171</v>
      </c>
      <c r="D10644" s="9" t="s">
        <v>1577</v>
      </c>
      <c r="E10644" s="6" t="s">
        <v>16183</v>
      </c>
      <c r="F10644" s="9"/>
    </row>
    <row r="10645" ht="33.75" customHeight="1">
      <c r="A10645" s="7">
        <v>444.0</v>
      </c>
      <c r="B10645" s="9" t="s">
        <v>16184</v>
      </c>
      <c r="C10645" s="9" t="s">
        <v>16185</v>
      </c>
      <c r="D10645" s="9" t="s">
        <v>81</v>
      </c>
      <c r="E10645" s="6" t="s">
        <v>16186</v>
      </c>
      <c r="F10645" t="inlineStr" s="10">
        <is>
          <t xml:space="preserve">On pitkään uskottu, että Gabiten suomuista valmistettu lääke parantaa jopa parantumattomia sairauksia. Se kaivaa ja hamstraa tavallisesti jalokiviä pesäänsä. Varkaat kohdistavat jatkuvasti sen saalista. Se rakastaa kimaltelevia asioita. Se etsii aarteita luolista ja hamstraa saaliin pesäänsä. Kaivaessaan laajentaakseen pesäänsä se kaivaa tavallisesti esiin jalokiviä, joita se sitten hamstraa pesäänsä. Harvinaisissa tapauksissa se luo nahkansa ja luo suomunsa. Sen suomuja ainesosana sisältävä lääke virkistää väsynyttä kehoa. Kiiltävät esineet ovat sen intohimo. Se löytyy luolastaan, tuskin liikkuen, katse kiinnitettynä keräämiinsä jalokiviin tai pyydystämiinsä hiilihydraatteihin. Se rakastaa kiiltäviä asioita. Kun se löytää Sableyeen yrittämästä ottaa kiinni hiilikarhua, Gabite suuttuu raivokkaasti ja hyökkää Sableyeen kimppuun. Se luo nahkansa ja kasvaa vähitellen suuremmaksi. Sen suomut voidaan jauhaa jauheeksi ja käyttää raaka-aineena perinteisessä lääketieteessä. Tämä Pokémon lähettää ultraääniaaltoja päänsä molemmin puolin olevasta ulokkeesta tutkiakseen pikimustia luolia. Näiden Pokémonien pesimäluoliin on haudattu jalokiviä, mutta kynnet ja torahampaat repivät sinut kappaleiksi heti, kun astut johonkin näistä luolista. Vaikka gabiitit ovat yleensä luonteeltaan väkivaltaisia, kun annoin yhdelle lasihelmen, jota se oli ahneesti silmäillyt, siitä tuli yhtäkkiä melko säyseä.</t>
        </is>
      </c>
    </row>
    <row r="10646" ht="33.75" customHeight="1">
      <c r="A10646" s="7">
        <v>444.0</v>
      </c>
      <c r="B10646" s="9" t="s">
        <v>16184</v>
      </c>
      <c r="C10646" s="9" t="s">
        <v>16185</v>
      </c>
      <c r="D10646" s="9" t="s">
        <v>84</v>
      </c>
      <c r="E10646" s="6" t="s">
        <v>16187</v>
      </c>
      <c r="F10646" s="9"/>
    </row>
    <row r="10647" ht="33.75" customHeight="1">
      <c r="A10647" s="7">
        <v>444.0</v>
      </c>
      <c r="B10647" s="9" t="s">
        <v>16184</v>
      </c>
      <c r="C10647" s="9" t="s">
        <v>16185</v>
      </c>
      <c r="D10647" s="9" t="s">
        <v>87</v>
      </c>
      <c r="E10647" s="6" t="s">
        <v>16189</v>
      </c>
      <c r="F10647" s="9"/>
    </row>
    <row r="10648" ht="33.75" customHeight="1">
      <c r="A10648" s="7">
        <v>444.0</v>
      </c>
      <c r="B10648" s="9" t="s">
        <v>16184</v>
      </c>
      <c r="C10648" s="9" t="s">
        <v>16185</v>
      </c>
      <c r="D10648" s="9" t="s">
        <v>89</v>
      </c>
      <c r="E10648" s="6" t="s">
        <v>16190</v>
      </c>
      <c r="F10648" s="9"/>
    </row>
    <row r="10649" ht="33.75" customHeight="1">
      <c r="A10649" s="7">
        <v>444.0</v>
      </c>
      <c r="B10649" s="9" t="s">
        <v>16184</v>
      </c>
      <c r="C10649" s="9" t="s">
        <v>16185</v>
      </c>
      <c r="D10649" s="9" t="s">
        <v>91</v>
      </c>
      <c r="E10649" s="6" t="s">
        <v>16190</v>
      </c>
      <c r="F10649" s="9"/>
    </row>
    <row r="10650" ht="33.75" customHeight="1">
      <c r="A10650" s="7">
        <v>444.0</v>
      </c>
      <c r="B10650" s="9" t="s">
        <v>16184</v>
      </c>
      <c r="C10650" s="9" t="s">
        <v>16185</v>
      </c>
      <c r="D10650" s="9" t="s">
        <v>93</v>
      </c>
      <c r="E10650" s="6" t="s">
        <v>16189</v>
      </c>
      <c r="F10650" s="9"/>
    </row>
    <row r="10651" ht="33.75" customHeight="1">
      <c r="A10651" s="7">
        <v>444.0</v>
      </c>
      <c r="B10651" s="9" t="s">
        <v>16184</v>
      </c>
      <c r="C10651" s="9" t="s">
        <v>16185</v>
      </c>
      <c r="D10651" s="9" t="s">
        <v>95</v>
      </c>
      <c r="E10651" s="6" t="s">
        <v>16189</v>
      </c>
      <c r="F10651" s="9"/>
    </row>
    <row r="10652" ht="33.75" customHeight="1">
      <c r="A10652" s="7">
        <v>444.0</v>
      </c>
      <c r="B10652" s="9" t="s">
        <v>16184</v>
      </c>
      <c r="C10652" s="9" t="s">
        <v>16185</v>
      </c>
      <c r="D10652" s="9" t="s">
        <v>98</v>
      </c>
      <c r="E10652" s="6" t="s">
        <v>16189</v>
      </c>
      <c r="F10652" s="9"/>
    </row>
    <row r="10653" ht="33.75" customHeight="1">
      <c r="A10653" s="7">
        <v>444.0</v>
      </c>
      <c r="B10653" s="9" t="s">
        <v>16184</v>
      </c>
      <c r="C10653" s="9" t="s">
        <v>16185</v>
      </c>
      <c r="D10653" s="9" t="s">
        <v>99</v>
      </c>
      <c r="E10653" s="6" t="s">
        <v>16189</v>
      </c>
      <c r="F10653" s="9"/>
    </row>
    <row r="10654" ht="33.75" customHeight="1">
      <c r="A10654" s="7">
        <v>444.0</v>
      </c>
      <c r="B10654" s="9" t="s">
        <v>16184</v>
      </c>
      <c r="C10654" s="9" t="s">
        <v>16185</v>
      </c>
      <c r="D10654" s="9" t="s">
        <v>101</v>
      </c>
      <c r="E10654" s="6" t="s">
        <v>16189</v>
      </c>
      <c r="F10654" s="9"/>
    </row>
    <row r="10655" ht="33.75" customHeight="1">
      <c r="A10655" s="7">
        <v>444.0</v>
      </c>
      <c r="B10655" s="9" t="s">
        <v>16184</v>
      </c>
      <c r="C10655" s="9" t="s">
        <v>16185</v>
      </c>
      <c r="D10655" s="9" t="s">
        <v>105</v>
      </c>
      <c r="E10655" s="6" t="s">
        <v>16190</v>
      </c>
      <c r="F10655" s="9"/>
    </row>
    <row r="10656" ht="33.75" customHeight="1">
      <c r="A10656" s="7">
        <v>444.0</v>
      </c>
      <c r="B10656" s="9" t="s">
        <v>16184</v>
      </c>
      <c r="C10656" s="9" t="s">
        <v>16185</v>
      </c>
      <c r="D10656" s="9" t="s">
        <v>107</v>
      </c>
      <c r="E10656" s="6" t="s">
        <v>16189</v>
      </c>
      <c r="F10656" s="9"/>
    </row>
    <row r="10657" ht="33.75" customHeight="1">
      <c r="A10657" s="7">
        <v>444.0</v>
      </c>
      <c r="B10657" s="9" t="s">
        <v>16184</v>
      </c>
      <c r="C10657" s="9" t="s">
        <v>16185</v>
      </c>
      <c r="D10657" s="9" t="s">
        <v>109</v>
      </c>
      <c r="E10657" s="6" t="s">
        <v>16190</v>
      </c>
      <c r="F10657" s="9"/>
    </row>
    <row r="10658" ht="33.75" customHeight="1">
      <c r="A10658" s="7">
        <v>444.0</v>
      </c>
      <c r="B10658" s="9" t="s">
        <v>16184</v>
      </c>
      <c r="C10658" s="9" t="s">
        <v>16185</v>
      </c>
      <c r="D10658" s="9" t="s">
        <v>637</v>
      </c>
      <c r="E10658" s="6" t="s">
        <v>16191</v>
      </c>
      <c r="F10658" s="9"/>
    </row>
    <row r="10659" ht="33.75" customHeight="1">
      <c r="A10659" s="7">
        <v>444.0</v>
      </c>
      <c r="B10659" s="9" t="s">
        <v>16184</v>
      </c>
      <c r="C10659" s="9" t="s">
        <v>16185</v>
      </c>
      <c r="D10659" s="9" t="s">
        <v>642</v>
      </c>
      <c r="E10659" s="6" t="s">
        <v>16192</v>
      </c>
      <c r="F10659" s="9"/>
    </row>
    <row r="10660" ht="33.75" customHeight="1">
      <c r="A10660" s="7">
        <v>444.0</v>
      </c>
      <c r="B10660" s="9" t="s">
        <v>16184</v>
      </c>
      <c r="C10660" s="9" t="s">
        <v>16185</v>
      </c>
      <c r="D10660" s="9" t="s">
        <v>647</v>
      </c>
      <c r="E10660" s="6" t="s">
        <v>16194</v>
      </c>
      <c r="F10660" s="9"/>
    </row>
    <row r="10661" ht="33.75" customHeight="1">
      <c r="A10661" s="7">
        <v>444.0</v>
      </c>
      <c r="B10661" s="9" t="s">
        <v>16184</v>
      </c>
      <c r="C10661" s="9" t="s">
        <v>16185</v>
      </c>
      <c r="D10661" s="9" t="s">
        <v>652</v>
      </c>
      <c r="E10661" s="6" t="s">
        <v>16195</v>
      </c>
      <c r="F10661" s="9"/>
    </row>
    <row r="10662" ht="33.75" customHeight="1">
      <c r="A10662" s="7">
        <v>444.0</v>
      </c>
      <c r="B10662" s="9" t="s">
        <v>16184</v>
      </c>
      <c r="C10662" s="9" t="s">
        <v>16185</v>
      </c>
      <c r="D10662" s="9" t="s">
        <v>114</v>
      </c>
      <c r="E10662" s="6" t="s">
        <v>16196</v>
      </c>
      <c r="F10662" s="9"/>
    </row>
    <row r="10663" ht="33.75" customHeight="1">
      <c r="A10663" s="7">
        <v>444.0</v>
      </c>
      <c r="B10663" s="9" t="s">
        <v>16184</v>
      </c>
      <c r="C10663" s="9" t="s">
        <v>16185</v>
      </c>
      <c r="D10663" s="9" t="s">
        <v>117</v>
      </c>
      <c r="E10663" s="6" t="s">
        <v>16197</v>
      </c>
      <c r="F10663" s="9"/>
    </row>
    <row r="10664" ht="33.75" customHeight="1">
      <c r="A10664" s="7">
        <v>444.0</v>
      </c>
      <c r="B10664" s="9" t="s">
        <v>16184</v>
      </c>
      <c r="C10664" s="9" t="s">
        <v>16185</v>
      </c>
      <c r="D10664" s="9" t="s">
        <v>1577</v>
      </c>
      <c r="E10664" s="6" t="s">
        <v>16198</v>
      </c>
      <c r="F10664" s="9"/>
    </row>
    <row r="10665" ht="33.75" customHeight="1">
      <c r="A10665" s="7">
        <v>445.0</v>
      </c>
      <c r="B10665" s="9" t="s">
        <v>16199</v>
      </c>
      <c r="C10665" s="9" t="s">
        <v>16200</v>
      </c>
      <c r="D10665" s="9" t="s">
        <v>81</v>
      </c>
      <c r="E10665" s="6" t="s">
        <v>16201</v>
      </c>
      <c r="F10665" t="inlineStr" s="10">
        <is>
          <t xml:space="preserve">Kun se taittaa vartalonsa kokoon ja ojentaa siipensä, se näyttää suihkukoneelta. Se lentää äänennopeudella. Se lentää suihkuhävittäjän nopeudella. Se ei koskaan päästä saalistaan ​​karkuun. Sanotaan, että kun ihminen juossee suurella nopeudella, sen siivet luovat tuulensiipiä, jotka voivat kaataa lähellä olevia puita. Sen runko on peittynyt hienoihin suomuihin, jotka vähentävät vastusta, jolloin se voi lentää suurilla nopeuksilla. Se voi lentää suihkukoneiden vauhtia kilpailevalla nopeudella. Se syöksyy lintu-Pokémon-parviin ja nielaisee koko parven alas. Sen pään kohoumat toimivat antureina. Se voi havaita jopa kaukaisen saaliin. Se lentää äänen nopeudella etsiessään saalista ja käy ilmataisteluita Salamencen kanssa, kun nämä kaksi kilpailevat ruoasta. Sen hienot suomut eivät ainoastaan ​​vähennä ilmanvastusta – niiden terävät reunat voivat myös vahingoittaa sitä hyökkäävää vastustajaa. Garchomp asuu tulivuorilla. Se lentää taivaalla suihkukoneen vauhtia metsästäen niin paljon saalista kuin pystyy. Garchomp on nopea sekä maan alla että maan päällä. Se voi kaataa saaliinsa ja palata pesälleen ennen kuin sen ruumis on ehtinyt jäähtyä ulkoilman jäljiltä. Liitee taivaiden halki sokaisevaa vauhtia – upea näky! Sillä on villiintynyt luonne. Äärimmäistä varovaisuutta vaaditaan, jos kohtaa garchompin erämaassa.</t>
        </is>
      </c>
    </row>
    <row r="10666" ht="33.75" customHeight="1">
      <c r="A10666" s="7">
        <v>445.0</v>
      </c>
      <c r="B10666" s="9" t="s">
        <v>16199</v>
      </c>
      <c r="C10666" s="9" t="s">
        <v>16200</v>
      </c>
      <c r="D10666" s="9" t="s">
        <v>84</v>
      </c>
      <c r="E10666" s="6" t="s">
        <v>16202</v>
      </c>
      <c r="F10666" s="9"/>
    </row>
    <row r="10667" ht="33.75" customHeight="1">
      <c r="A10667" s="7">
        <v>445.0</v>
      </c>
      <c r="B10667" s="9" t="s">
        <v>16199</v>
      </c>
      <c r="C10667" s="9" t="s">
        <v>16200</v>
      </c>
      <c r="D10667" s="9" t="s">
        <v>87</v>
      </c>
      <c r="E10667" s="6" t="s">
        <v>16203</v>
      </c>
      <c r="F10667" s="9"/>
    </row>
    <row r="10668" ht="33.75" customHeight="1">
      <c r="A10668" s="7">
        <v>445.0</v>
      </c>
      <c r="B10668" s="9" t="s">
        <v>16199</v>
      </c>
      <c r="C10668" s="9" t="s">
        <v>16200</v>
      </c>
      <c r="D10668" s="9" t="s">
        <v>89</v>
      </c>
      <c r="E10668" s="6" t="s">
        <v>16204</v>
      </c>
      <c r="F10668" s="9"/>
    </row>
    <row r="10669" ht="33.75" customHeight="1">
      <c r="A10669" s="7">
        <v>445.0</v>
      </c>
      <c r="B10669" s="9" t="s">
        <v>16199</v>
      </c>
      <c r="C10669" s="9" t="s">
        <v>16200</v>
      </c>
      <c r="D10669" s="9" t="s">
        <v>91</v>
      </c>
      <c r="E10669" s="6" t="s">
        <v>16204</v>
      </c>
      <c r="F10669" s="9"/>
    </row>
    <row r="10670" ht="33.75" customHeight="1">
      <c r="A10670" s="7">
        <v>445.0</v>
      </c>
      <c r="B10670" s="9" t="s">
        <v>16199</v>
      </c>
      <c r="C10670" s="9" t="s">
        <v>16200</v>
      </c>
      <c r="D10670" s="9" t="s">
        <v>93</v>
      </c>
      <c r="E10670" s="6" t="s">
        <v>16203</v>
      </c>
      <c r="F10670" s="9"/>
    </row>
    <row r="10671" ht="33.75" customHeight="1">
      <c r="A10671" s="7">
        <v>445.0</v>
      </c>
      <c r="B10671" s="9" t="s">
        <v>16199</v>
      </c>
      <c r="C10671" s="9" t="s">
        <v>16200</v>
      </c>
      <c r="D10671" s="9" t="s">
        <v>95</v>
      </c>
      <c r="E10671" s="6" t="s">
        <v>16203</v>
      </c>
      <c r="F10671" s="9"/>
    </row>
    <row r="10672" ht="33.75" customHeight="1">
      <c r="A10672" s="7">
        <v>445.0</v>
      </c>
      <c r="B10672" s="9" t="s">
        <v>16199</v>
      </c>
      <c r="C10672" s="9" t="s">
        <v>16200</v>
      </c>
      <c r="D10672" s="9" t="s">
        <v>98</v>
      </c>
      <c r="E10672" s="6" t="s">
        <v>16203</v>
      </c>
      <c r="F10672" s="9"/>
    </row>
    <row r="10673" ht="33.75" customHeight="1">
      <c r="A10673" s="7">
        <v>445.0</v>
      </c>
      <c r="B10673" s="9" t="s">
        <v>16199</v>
      </c>
      <c r="C10673" s="9" t="s">
        <v>16200</v>
      </c>
      <c r="D10673" s="9" t="s">
        <v>99</v>
      </c>
      <c r="E10673" s="6" t="s">
        <v>16203</v>
      </c>
      <c r="F10673" s="9"/>
    </row>
    <row r="10674" ht="33.75" customHeight="1">
      <c r="A10674" s="7">
        <v>445.0</v>
      </c>
      <c r="B10674" s="9" t="s">
        <v>16199</v>
      </c>
      <c r="C10674" s="9" t="s">
        <v>16200</v>
      </c>
      <c r="D10674" s="9" t="s">
        <v>101</v>
      </c>
      <c r="E10674" s="6" t="s">
        <v>16201</v>
      </c>
      <c r="F10674" s="9"/>
    </row>
    <row r="10675" ht="33.75" customHeight="1">
      <c r="A10675" s="7">
        <v>445.0</v>
      </c>
      <c r="B10675" s="9" t="s">
        <v>16199</v>
      </c>
      <c r="C10675" s="9" t="s">
        <v>16200</v>
      </c>
      <c r="D10675" s="9" t="s">
        <v>105</v>
      </c>
      <c r="E10675" s="6" t="s">
        <v>16202</v>
      </c>
      <c r="F10675" s="9"/>
    </row>
    <row r="10676" ht="33.75" customHeight="1">
      <c r="A10676" s="7">
        <v>445.0</v>
      </c>
      <c r="B10676" s="9" t="s">
        <v>16199</v>
      </c>
      <c r="C10676" s="9" t="s">
        <v>16200</v>
      </c>
      <c r="D10676" s="9" t="s">
        <v>107</v>
      </c>
      <c r="E10676" s="6" t="s">
        <v>16201</v>
      </c>
      <c r="F10676" s="9"/>
    </row>
    <row r="10677" ht="33.75" customHeight="1">
      <c r="A10677" s="7">
        <v>445.0</v>
      </c>
      <c r="B10677" s="9" t="s">
        <v>16199</v>
      </c>
      <c r="C10677" s="9" t="s">
        <v>16200</v>
      </c>
      <c r="D10677" s="9" t="s">
        <v>109</v>
      </c>
      <c r="E10677" s="6" t="s">
        <v>16202</v>
      </c>
      <c r="F10677" s="9"/>
    </row>
    <row r="10678" ht="33.75" customHeight="1">
      <c r="A10678" s="7">
        <v>445.0</v>
      </c>
      <c r="B10678" s="9" t="s">
        <v>16199</v>
      </c>
      <c r="C10678" s="9" t="s">
        <v>16200</v>
      </c>
      <c r="D10678" s="9" t="s">
        <v>637</v>
      </c>
      <c r="E10678" s="6" t="s">
        <v>16206</v>
      </c>
      <c r="F10678" s="9"/>
    </row>
    <row r="10679" ht="33.75" customHeight="1">
      <c r="A10679" s="7">
        <v>445.0</v>
      </c>
      <c r="B10679" s="9" t="s">
        <v>16199</v>
      </c>
      <c r="C10679" s="9" t="s">
        <v>16200</v>
      </c>
      <c r="D10679" s="9" t="s">
        <v>642</v>
      </c>
      <c r="E10679" s="6" t="s">
        <v>16207</v>
      </c>
      <c r="F10679" s="9"/>
    </row>
    <row r="10680" ht="33.75" customHeight="1">
      <c r="A10680" s="7">
        <v>445.0</v>
      </c>
      <c r="B10680" s="9" t="s">
        <v>16199</v>
      </c>
      <c r="C10680" s="9" t="s">
        <v>16200</v>
      </c>
      <c r="D10680" s="9" t="s">
        <v>647</v>
      </c>
      <c r="E10680" s="6" t="s">
        <v>16208</v>
      </c>
      <c r="F10680" s="9"/>
    </row>
    <row r="10681" ht="33.75" customHeight="1">
      <c r="A10681" s="7">
        <v>445.0</v>
      </c>
      <c r="B10681" s="9" t="s">
        <v>16199</v>
      </c>
      <c r="C10681" s="9" t="s">
        <v>16200</v>
      </c>
      <c r="D10681" s="9" t="s">
        <v>652</v>
      </c>
      <c r="E10681" s="6" t="s">
        <v>16209</v>
      </c>
      <c r="F10681" s="9"/>
    </row>
    <row r="10682" ht="33.75" customHeight="1">
      <c r="A10682" s="7">
        <v>445.0</v>
      </c>
      <c r="B10682" s="9" t="s">
        <v>16199</v>
      </c>
      <c r="C10682" s="9" t="s">
        <v>16200</v>
      </c>
      <c r="D10682" s="9" t="s">
        <v>114</v>
      </c>
      <c r="E10682" s="6" t="s">
        <v>16210</v>
      </c>
      <c r="F10682" s="9"/>
    </row>
    <row r="10683" ht="33.75" customHeight="1">
      <c r="A10683" s="7">
        <v>445.0</v>
      </c>
      <c r="B10683" s="9" t="s">
        <v>16199</v>
      </c>
      <c r="C10683" s="9" t="s">
        <v>16200</v>
      </c>
      <c r="D10683" s="9" t="s">
        <v>117</v>
      </c>
      <c r="E10683" s="6" t="s">
        <v>16211</v>
      </c>
      <c r="F10683" s="9"/>
    </row>
    <row r="10684" ht="33.75" customHeight="1">
      <c r="A10684" s="7">
        <v>445.0</v>
      </c>
      <c r="B10684" s="9" t="s">
        <v>16199</v>
      </c>
      <c r="C10684" s="9" t="s">
        <v>16200</v>
      </c>
      <c r="D10684" s="9" t="s">
        <v>1577</v>
      </c>
      <c r="E10684" s="6" t="s">
        <v>16212</v>
      </c>
      <c r="F10684" s="9"/>
    </row>
    <row r="10685" ht="33.75" customHeight="1">
      <c r="A10685" s="7">
        <v>446.0</v>
      </c>
      <c r="B10685" s="9" t="s">
        <v>16213</v>
      </c>
      <c r="C10685" s="9" t="s">
        <v>16214</v>
      </c>
      <c r="D10685" s="9" t="s">
        <v>81</v>
      </c>
      <c r="E10685" s="6" t="s">
        <v>16215</v>
      </c>
      <c r="F10685" t="inlineStr" s="10">
        <is>
          <t xml:space="preserve">Munchlax ahmii painonsa verran ruokaa kerran päivässä nielemällä sen kokonaisena lähes pureskelematta. Se piilottaa ruoan pitkien karvojensa alle. Se kuitenkin unohtaa piilottaneensa ruoan. Epätoivoisessa halussaan ahmia ruokaa se unohtaa turkkinsa alle piilottaman ruoan. Se kätkee ruokaa pitkän turkkinsa alle. Se kuljettaa tätä ruokavarastoa ja nielee sen pureskelematta. Sen täytyy kuluttaa oman painonsa verran ruokaa joka päivä. Maun suhteen se on yhdentekevää. Kun se löytää jotain syötävältä näyttävää, se nielee sen kokonaisena. Siksi se lihoaa päivä päivältä. Se piilottaa ruokaa pitkän turkkinsa alle, mutta joskus unohtaa sen ja aiheuttaa ikävän häiriön. Munchlax nielee kaiken, mikä näyttää syötävältä. Sen vatsa on tarpeeksi vahva käsittelemään sen, vaikka ruoka olisi pilaantunut. Sen ainoa huolenaihe on itsensä täyttäminen valtavilla ruokamäärillä. Onko ruoka pilaantunutta vai tuoretta, herkullista vai mautonta – sitä ei kiinnosta. Se varastoi ruokaa turkkinsa alle. Se saattaa jakaa vain yhden puraisun, mutta vain jos se todella luottaa sinuun. Sen vankka vatsa antaa sille mahdollisuuden ahmia huolettomasti jopa mädäntynyttä ainesta. Se vierailee usein kylissä etsimässä kompostiin tarkoitettuja ruokajätteitä.</t>
        </is>
      </c>
    </row>
    <row r="10686" ht="33.75" customHeight="1">
      <c r="A10686" s="7">
        <v>446.0</v>
      </c>
      <c r="B10686" s="9" t="s">
        <v>16213</v>
      </c>
      <c r="C10686" s="9" t="s">
        <v>16214</v>
      </c>
      <c r="D10686" s="9" t="s">
        <v>84</v>
      </c>
      <c r="E10686" s="6" t="s">
        <v>16216</v>
      </c>
      <c r="F10686" s="9"/>
    </row>
    <row r="10687" ht="33.75" customHeight="1">
      <c r="A10687" s="7">
        <v>446.0</v>
      </c>
      <c r="B10687" s="9" t="s">
        <v>16213</v>
      </c>
      <c r="C10687" s="9" t="s">
        <v>16214</v>
      </c>
      <c r="D10687" s="9" t="s">
        <v>87</v>
      </c>
      <c r="E10687" s="6" t="s">
        <v>16217</v>
      </c>
      <c r="F10687" s="9"/>
    </row>
    <row r="10688" ht="33.75" customHeight="1">
      <c r="A10688" s="7">
        <v>446.0</v>
      </c>
      <c r="B10688" s="9" t="s">
        <v>16213</v>
      </c>
      <c r="C10688" s="9" t="s">
        <v>16214</v>
      </c>
      <c r="D10688" s="9" t="s">
        <v>89</v>
      </c>
      <c r="E10688" s="6" t="s">
        <v>16218</v>
      </c>
      <c r="F10688" s="9"/>
    </row>
    <row r="10689" ht="33.75" customHeight="1">
      <c r="A10689" s="7">
        <v>446.0</v>
      </c>
      <c r="B10689" s="9" t="s">
        <v>16213</v>
      </c>
      <c r="C10689" s="9" t="s">
        <v>16214</v>
      </c>
      <c r="D10689" s="9" t="s">
        <v>91</v>
      </c>
      <c r="E10689" s="6" t="s">
        <v>16218</v>
      </c>
      <c r="F10689" s="9"/>
    </row>
    <row r="10690" ht="33.75" customHeight="1">
      <c r="A10690" s="7">
        <v>446.0</v>
      </c>
      <c r="B10690" s="9" t="s">
        <v>16213</v>
      </c>
      <c r="C10690" s="9" t="s">
        <v>16214</v>
      </c>
      <c r="D10690" s="9" t="s">
        <v>93</v>
      </c>
      <c r="E10690" s="6" t="s">
        <v>16217</v>
      </c>
      <c r="F10690" s="9"/>
    </row>
    <row r="10691" ht="33.75" customHeight="1">
      <c r="A10691" s="7">
        <v>446.0</v>
      </c>
      <c r="B10691" s="9" t="s">
        <v>16213</v>
      </c>
      <c r="C10691" s="9" t="s">
        <v>16214</v>
      </c>
      <c r="D10691" s="9" t="s">
        <v>95</v>
      </c>
      <c r="E10691" s="6" t="s">
        <v>16217</v>
      </c>
      <c r="F10691" s="9"/>
    </row>
    <row r="10692" ht="33.75" customHeight="1">
      <c r="A10692" s="7">
        <v>446.0</v>
      </c>
      <c r="B10692" s="9" t="s">
        <v>16213</v>
      </c>
      <c r="C10692" s="9" t="s">
        <v>16214</v>
      </c>
      <c r="D10692" s="9" t="s">
        <v>98</v>
      </c>
      <c r="E10692" s="6" t="s">
        <v>16217</v>
      </c>
      <c r="F10692" s="9"/>
    </row>
    <row r="10693" ht="33.75" customHeight="1">
      <c r="A10693" s="7">
        <v>446.0</v>
      </c>
      <c r="B10693" s="9" t="s">
        <v>16213</v>
      </c>
      <c r="C10693" s="9" t="s">
        <v>16214</v>
      </c>
      <c r="D10693" s="9" t="s">
        <v>99</v>
      </c>
      <c r="E10693" s="6" t="s">
        <v>16217</v>
      </c>
      <c r="F10693" s="9"/>
    </row>
    <row r="10694" ht="33.75" customHeight="1">
      <c r="A10694" s="7">
        <v>446.0</v>
      </c>
      <c r="B10694" s="9" t="s">
        <v>16213</v>
      </c>
      <c r="C10694" s="9" t="s">
        <v>16214</v>
      </c>
      <c r="D10694" s="9" t="s">
        <v>101</v>
      </c>
      <c r="E10694" s="6" t="s">
        <v>16216</v>
      </c>
      <c r="F10694" s="9"/>
    </row>
    <row r="10695" ht="33.75" customHeight="1">
      <c r="A10695" s="7">
        <v>446.0</v>
      </c>
      <c r="B10695" s="9" t="s">
        <v>16213</v>
      </c>
      <c r="C10695" s="9" t="s">
        <v>16214</v>
      </c>
      <c r="D10695" s="9" t="s">
        <v>105</v>
      </c>
      <c r="E10695" s="6" t="s">
        <v>16218</v>
      </c>
      <c r="F10695" s="9"/>
    </row>
    <row r="10696" ht="33.75" customHeight="1">
      <c r="A10696" s="7">
        <v>446.0</v>
      </c>
      <c r="B10696" s="9" t="s">
        <v>16213</v>
      </c>
      <c r="C10696" s="9" t="s">
        <v>16214</v>
      </c>
      <c r="D10696" s="9" t="s">
        <v>107</v>
      </c>
      <c r="E10696" s="6" t="s">
        <v>16216</v>
      </c>
      <c r="F10696" s="9"/>
    </row>
    <row r="10697" ht="33.75" customHeight="1">
      <c r="A10697" s="7">
        <v>446.0</v>
      </c>
      <c r="B10697" s="9" t="s">
        <v>16213</v>
      </c>
      <c r="C10697" s="9" t="s">
        <v>16214</v>
      </c>
      <c r="D10697" s="9" t="s">
        <v>109</v>
      </c>
      <c r="E10697" s="6" t="s">
        <v>16218</v>
      </c>
      <c r="F10697" s="9"/>
    </row>
    <row r="10698" ht="33.75" customHeight="1">
      <c r="A10698" s="7">
        <v>446.0</v>
      </c>
      <c r="B10698" s="9" t="s">
        <v>16213</v>
      </c>
      <c r="C10698" s="9" t="s">
        <v>16214</v>
      </c>
      <c r="D10698" s="9" t="s">
        <v>637</v>
      </c>
      <c r="E10698" s="6" t="s">
        <v>16220</v>
      </c>
      <c r="F10698" s="9"/>
    </row>
    <row r="10699" ht="33.75" customHeight="1">
      <c r="A10699" s="7">
        <v>446.0</v>
      </c>
      <c r="B10699" s="9" t="s">
        <v>16213</v>
      </c>
      <c r="C10699" s="9" t="s">
        <v>16214</v>
      </c>
      <c r="D10699" s="9" t="s">
        <v>642</v>
      </c>
      <c r="E10699" s="6" t="s">
        <v>16221</v>
      </c>
      <c r="F10699" s="9"/>
    </row>
    <row r="10700" ht="33.75" customHeight="1">
      <c r="A10700" s="7">
        <v>446.0</v>
      </c>
      <c r="B10700" s="9" t="s">
        <v>16213</v>
      </c>
      <c r="C10700" s="9" t="s">
        <v>16214</v>
      </c>
      <c r="D10700" s="9" t="s">
        <v>647</v>
      </c>
      <c r="E10700" s="6" t="s">
        <v>16222</v>
      </c>
      <c r="F10700" s="9"/>
    </row>
    <row r="10701" ht="33.75" customHeight="1">
      <c r="A10701" s="7">
        <v>446.0</v>
      </c>
      <c r="B10701" s="9" t="s">
        <v>16213</v>
      </c>
      <c r="C10701" s="9" t="s">
        <v>16214</v>
      </c>
      <c r="D10701" s="9" t="s">
        <v>652</v>
      </c>
      <c r="E10701" s="6" t="s">
        <v>16223</v>
      </c>
      <c r="F10701" s="9"/>
    </row>
    <row r="10702" ht="33.75" customHeight="1">
      <c r="A10702" s="7">
        <v>446.0</v>
      </c>
      <c r="B10702" s="9" t="s">
        <v>16213</v>
      </c>
      <c r="C10702" s="9" t="s">
        <v>16214</v>
      </c>
      <c r="D10702" s="9" t="s">
        <v>114</v>
      </c>
      <c r="E10702" s="6" t="s">
        <v>16224</v>
      </c>
      <c r="F10702" s="9"/>
    </row>
    <row r="10703" ht="33.75" customHeight="1">
      <c r="A10703" s="7">
        <v>446.0</v>
      </c>
      <c r="B10703" s="9" t="s">
        <v>16213</v>
      </c>
      <c r="C10703" s="9" t="s">
        <v>16214</v>
      </c>
      <c r="D10703" s="9" t="s">
        <v>117</v>
      </c>
      <c r="E10703" s="6" t="s">
        <v>16225</v>
      </c>
      <c r="F10703" s="9"/>
    </row>
    <row r="10704" ht="33.75" customHeight="1">
      <c r="A10704" s="7">
        <v>446.0</v>
      </c>
      <c r="B10704" s="9" t="s">
        <v>16213</v>
      </c>
      <c r="C10704" s="9" t="s">
        <v>16214</v>
      </c>
      <c r="D10704" s="9" t="s">
        <v>1577</v>
      </c>
      <c r="E10704" s="6" t="s">
        <v>16226</v>
      </c>
      <c r="F10704" s="9"/>
    </row>
    <row r="10705" ht="33.75" customHeight="1">
      <c r="A10705" s="7">
        <v>447.0</v>
      </c>
      <c r="B10705" s="9" t="s">
        <v>16227</v>
      </c>
      <c r="C10705" s="9" t="s">
        <v>16228</v>
      </c>
      <c r="D10705" s="9" t="s">
        <v>81</v>
      </c>
      <c r="E10705" s="6" t="s">
        <v>16229</v>
      </c>
      <c r="F10705" t="inlineStr" s="10">
        <is>
          <t xml:space="preserve">Riolun kehosta säteilevä aura voimistuu hälyttääkseen muita, jos se on peloissaan tai surullinen. Sen ruumis on notkea mutta voimakas. Se voi ylittää kolmen vuoren huipun ja kaksi kanjonia yhdessä yössä. Sillä on erikoinen kyky nähdä tunteita, kuten iloa ja raivoa, aaltojen muodossa. Ne kommunikoivat keskenään aurojensa avulla. Ne pystyvät juoksemaan läpi yön. Se käyttää auran muotoja, jotka muuttuvat tunteiden mukaan, kommunikoidakseen muiden kanssa. Se pystyy erottamaan ihmisten, Pokémonien ja muiden luonnollisten asioiden fyysiset ja emotionaaliset tilat heidän aura-aaltojensa muodosta. Se on tarpeeksi sitkeä juoksemaan läpi yön, ja se on myös ahkera työntekijä, mutta se on silti vasta nuori. Se tietää, miltä ihmisistä ja Pokémoneista tuntuu, katsomalla heidän aurojaan. Se ei lähesty vaarallisia vastustajia. Se käyttää auroiksi kutsuttuja aaltoja kommunikoidakseen muiden kaltaistensa kanssa. Se ei pidä ääntä tänä aikana, joten sen viholliset eivät voi havaita sitä. Se on äärimmäisen energinen ja sillä on tarpeeksi kestävyyttä juosta läpi yön. Sen vieminen kävelylle voi olla haastava kokemus. Se voi käyttää auroiksi kutsuttuja aaltoja arvioidakseen muiden tunteita. Samat aallot voivat myös kertoa tälle Pokémonille ympäristön tilasta. Vaikka se on ulkonäöltään lapsellinen, sillä on salaperäinen kyky lukea ihmisten ajatuksia. Puhdassydämiset saavat Riolulta hyväksyntää, kun taas huonoluontoiset saavat osakseen vain sen inhoa.</t>
        </is>
      </c>
    </row>
    <row r="10706" ht="33.75" customHeight="1">
      <c r="A10706" s="7">
        <v>447.0</v>
      </c>
      <c r="B10706" s="9" t="s">
        <v>16227</v>
      </c>
      <c r="C10706" s="9" t="s">
        <v>16228</v>
      </c>
      <c r="D10706" s="9" t="s">
        <v>84</v>
      </c>
      <c r="E10706" s="6" t="s">
        <v>16230</v>
      </c>
      <c r="F10706" s="9"/>
    </row>
    <row r="10707" ht="33.75" customHeight="1">
      <c r="A10707" s="7">
        <v>447.0</v>
      </c>
      <c r="B10707" s="9" t="s">
        <v>16227</v>
      </c>
      <c r="C10707" s="9" t="s">
        <v>16228</v>
      </c>
      <c r="D10707" s="9" t="s">
        <v>87</v>
      </c>
      <c r="E10707" s="6" t="s">
        <v>16231</v>
      </c>
      <c r="F10707" s="9"/>
    </row>
    <row r="10708" ht="33.75" customHeight="1">
      <c r="A10708" s="7">
        <v>447.0</v>
      </c>
      <c r="B10708" s="9" t="s">
        <v>16227</v>
      </c>
      <c r="C10708" s="9" t="s">
        <v>16228</v>
      </c>
      <c r="D10708" s="9" t="s">
        <v>89</v>
      </c>
      <c r="E10708" s="6" t="s">
        <v>16232</v>
      </c>
      <c r="F10708" s="9"/>
    </row>
    <row r="10709" ht="33.75" customHeight="1">
      <c r="A10709" s="7">
        <v>447.0</v>
      </c>
      <c r="B10709" s="9" t="s">
        <v>16227</v>
      </c>
      <c r="C10709" s="9" t="s">
        <v>16228</v>
      </c>
      <c r="D10709" s="9" t="s">
        <v>91</v>
      </c>
      <c r="E10709" s="6" t="s">
        <v>16232</v>
      </c>
      <c r="F10709" s="9"/>
    </row>
    <row r="10710" ht="33.75" customHeight="1">
      <c r="A10710" s="7">
        <v>447.0</v>
      </c>
      <c r="B10710" s="9" t="s">
        <v>16227</v>
      </c>
      <c r="C10710" s="9" t="s">
        <v>16228</v>
      </c>
      <c r="D10710" s="9" t="s">
        <v>93</v>
      </c>
      <c r="E10710" s="6" t="s">
        <v>16231</v>
      </c>
      <c r="F10710" s="9"/>
    </row>
    <row r="10711" ht="33.75" customHeight="1">
      <c r="A10711" s="7">
        <v>447.0</v>
      </c>
      <c r="B10711" s="9" t="s">
        <v>16227</v>
      </c>
      <c r="C10711" s="9" t="s">
        <v>16228</v>
      </c>
      <c r="D10711" s="9" t="s">
        <v>95</v>
      </c>
      <c r="E10711" s="6" t="s">
        <v>16231</v>
      </c>
      <c r="F10711" s="9"/>
    </row>
    <row r="10712" ht="33.75" customHeight="1">
      <c r="A10712" s="7">
        <v>447.0</v>
      </c>
      <c r="B10712" s="9" t="s">
        <v>16227</v>
      </c>
      <c r="C10712" s="9" t="s">
        <v>16228</v>
      </c>
      <c r="D10712" s="9" t="s">
        <v>98</v>
      </c>
      <c r="E10712" s="6" t="s">
        <v>16233</v>
      </c>
      <c r="F10712" s="9"/>
    </row>
    <row r="10713" ht="33.75" customHeight="1">
      <c r="A10713" s="7">
        <v>447.0</v>
      </c>
      <c r="B10713" s="9" t="s">
        <v>16227</v>
      </c>
      <c r="C10713" s="9" t="s">
        <v>16228</v>
      </c>
      <c r="D10713" s="9" t="s">
        <v>99</v>
      </c>
      <c r="E10713" s="6" t="s">
        <v>16233</v>
      </c>
      <c r="F10713" s="9"/>
    </row>
    <row r="10714" ht="33.75" customHeight="1">
      <c r="A10714" s="7">
        <v>447.0</v>
      </c>
      <c r="B10714" s="9" t="s">
        <v>16227</v>
      </c>
      <c r="C10714" s="9" t="s">
        <v>16228</v>
      </c>
      <c r="D10714" s="9" t="s">
        <v>101</v>
      </c>
      <c r="E10714" s="6" t="s">
        <v>16233</v>
      </c>
      <c r="F10714" s="9"/>
    </row>
    <row r="10715" ht="33.75" customHeight="1">
      <c r="A10715" s="7">
        <v>447.0</v>
      </c>
      <c r="B10715" s="9" t="s">
        <v>16227</v>
      </c>
      <c r="C10715" s="9" t="s">
        <v>16228</v>
      </c>
      <c r="D10715" s="9" t="s">
        <v>105</v>
      </c>
      <c r="E10715" s="6" t="s">
        <v>16229</v>
      </c>
      <c r="F10715" s="9"/>
    </row>
    <row r="10716" ht="33.75" customHeight="1">
      <c r="A10716" s="7">
        <v>447.0</v>
      </c>
      <c r="B10716" s="9" t="s">
        <v>16227</v>
      </c>
      <c r="C10716" s="9" t="s">
        <v>16228</v>
      </c>
      <c r="D10716" s="9" t="s">
        <v>107</v>
      </c>
      <c r="E10716" s="6" t="s">
        <v>16233</v>
      </c>
      <c r="F10716" s="9"/>
    </row>
    <row r="10717" ht="33.75" customHeight="1">
      <c r="A10717" s="7">
        <v>447.0</v>
      </c>
      <c r="B10717" s="9" t="s">
        <v>16227</v>
      </c>
      <c r="C10717" s="9" t="s">
        <v>16228</v>
      </c>
      <c r="D10717" s="9" t="s">
        <v>109</v>
      </c>
      <c r="E10717" s="6" t="s">
        <v>16229</v>
      </c>
      <c r="F10717" s="9"/>
    </row>
    <row r="10718" ht="33.75" customHeight="1">
      <c r="A10718" s="7">
        <v>447.0</v>
      </c>
      <c r="B10718" s="9" t="s">
        <v>16227</v>
      </c>
      <c r="C10718" s="9" t="s">
        <v>16228</v>
      </c>
      <c r="D10718" s="9" t="s">
        <v>637</v>
      </c>
      <c r="E10718" s="6" t="s">
        <v>16235</v>
      </c>
      <c r="F10718" s="9"/>
    </row>
    <row r="10719" ht="33.75" customHeight="1">
      <c r="A10719" s="7">
        <v>447.0</v>
      </c>
      <c r="B10719" s="9" t="s">
        <v>16227</v>
      </c>
      <c r="C10719" s="9" t="s">
        <v>16228</v>
      </c>
      <c r="D10719" s="9" t="s">
        <v>642</v>
      </c>
      <c r="E10719" s="6" t="s">
        <v>16236</v>
      </c>
      <c r="F10719" s="9"/>
    </row>
    <row r="10720" ht="33.75" customHeight="1">
      <c r="A10720" s="7">
        <v>447.0</v>
      </c>
      <c r="B10720" s="9" t="s">
        <v>16227</v>
      </c>
      <c r="C10720" s="9" t="s">
        <v>16228</v>
      </c>
      <c r="D10720" s="9" t="s">
        <v>647</v>
      </c>
      <c r="E10720" s="6" t="s">
        <v>16237</v>
      </c>
      <c r="F10720" s="9"/>
    </row>
    <row r="10721" ht="33.75" customHeight="1">
      <c r="A10721" s="7">
        <v>447.0</v>
      </c>
      <c r="B10721" s="9" t="s">
        <v>16227</v>
      </c>
      <c r="C10721" s="9" t="s">
        <v>16228</v>
      </c>
      <c r="D10721" s="9" t="s">
        <v>652</v>
      </c>
      <c r="E10721" s="6" t="s">
        <v>16238</v>
      </c>
      <c r="F10721" s="9"/>
    </row>
    <row r="10722" ht="33.75" customHeight="1">
      <c r="A10722" s="7">
        <v>447.0</v>
      </c>
      <c r="B10722" s="9" t="s">
        <v>16227</v>
      </c>
      <c r="C10722" s="9" t="s">
        <v>16228</v>
      </c>
      <c r="D10722" s="9" t="s">
        <v>114</v>
      </c>
      <c r="E10722" s="6" t="s">
        <v>16239</v>
      </c>
      <c r="F10722" s="9"/>
    </row>
    <row r="10723" ht="33.75" customHeight="1">
      <c r="A10723" s="7">
        <v>447.0</v>
      </c>
      <c r="B10723" s="9" t="s">
        <v>16227</v>
      </c>
      <c r="C10723" s="9" t="s">
        <v>16228</v>
      </c>
      <c r="D10723" s="9" t="s">
        <v>117</v>
      </c>
      <c r="E10723" s="6" t="s">
        <v>16240</v>
      </c>
      <c r="F10723" s="9"/>
    </row>
    <row r="10724" ht="33.75" customHeight="1">
      <c r="A10724" s="7">
        <v>447.0</v>
      </c>
      <c r="B10724" s="9" t="s">
        <v>16227</v>
      </c>
      <c r="C10724" s="9" t="s">
        <v>16228</v>
      </c>
      <c r="D10724" s="9" t="s">
        <v>1577</v>
      </c>
      <c r="E10724" s="6" t="s">
        <v>16241</v>
      </c>
      <c r="F10724" s="9"/>
    </row>
    <row r="10725" ht="33.75" customHeight="1">
      <c r="A10725" s="7">
        <v>448.0</v>
      </c>
      <c r="B10725" s="9" t="s">
        <v>16242</v>
      </c>
      <c r="C10725" s="9" t="s">
        <v>16243</v>
      </c>
      <c r="D10725" s="9" t="s">
        <v>81</v>
      </c>
      <c r="E10725" s="6" t="s">
        <v>16244</v>
      </c>
      <c r="F10725" t="inlineStr" s="10">
        <is>
          <t xml:space="preserve">Sillä on kyky aistia kaiken aurat. Se ymmärtää ihmisen puhetta. Tallentamalla toisten ihmisten auran se voi lukea heidän ajatuksiaan ja liikkeitään. Hyvin koulutettu voi aistia auroja tunnistaakseen ja aistiakseen yli 800 metrin päässä olevien olentojen tunteita. Sanotaan, ettei mikään vihollinen voi pysyä näkymätöntä LUCARIOlle, koska se pystyy havaitsemaan auroja. Edes vihollisia, joita se ei muuten voisi nähdä. Lukemalla kaikkien asioiden auroja se voi kertoa, miltä muut tuntevat, yli 800 metrin päästä. Se ei ainoastaan ​​havaitse auroja, vaan se on myös saavuttanut kyvyn hallita niitä. Se käyttää niitä taistelussa. Ne pystyvät havaitsemaan elävän olennon lajin – ja sen tunteet – yli 800 metrin päästä. Ne hallitsevat auroja ja metsästävät saalistaan ​​laumoissa. Se keskittää henkisen energiansa ja ampuu salaperäisiä aaltoja, joita kutsutaan auroiksi ja jotka voivat murskata suuria lohkareita tomuksi. Lucario lukee vastustajansa tunteita aura-aaltojensa avulla. Se saa selville asioita, joita se ei mieluiten tietäisi, joten se stressaantuu helposti. Se hallitsee auroina tunnettuja aaltoja, jotka ovat riittävän voimakkaita murskaamaan valtavia kiviä. Se käyttää näitä aaltoja saaliinsa kaatamiseen. Se voi kertoa, mitä ihmiset ajattelevat. Vain oikeudenmukaisuutta sydämessään kantavat kouluttajat voivat ansaita tämän Pokémonin luottamuksen. Hyvin urhean näköinen olento. Se säteilee energia-aaltoja ja hallitsee niitä tarkasti, käyttäen niitä jopa kaukaisten olentojen aistimiseen. Olen antanut tälle voimalle nimen "aura".</t>
        </is>
      </c>
    </row>
    <row r="10726" ht="33.75" customHeight="1">
      <c r="A10726" s="7">
        <v>448.0</v>
      </c>
      <c r="B10726" s="9" t="s">
        <v>16242</v>
      </c>
      <c r="C10726" s="9" t="s">
        <v>16243</v>
      </c>
      <c r="D10726" s="9" t="s">
        <v>84</v>
      </c>
      <c r="E10726" s="6" t="s">
        <v>16245</v>
      </c>
      <c r="F10726" s="9"/>
    </row>
    <row r="10727" ht="33.75" customHeight="1">
      <c r="A10727" s="7">
        <v>448.0</v>
      </c>
      <c r="B10727" s="9" t="s">
        <v>16242</v>
      </c>
      <c r="C10727" s="9" t="s">
        <v>16243</v>
      </c>
      <c r="D10727" s="9" t="s">
        <v>87</v>
      </c>
      <c r="E10727" s="6" t="s">
        <v>16246</v>
      </c>
      <c r="F10727" s="9"/>
    </row>
    <row r="10728" ht="33.75" customHeight="1">
      <c r="A10728" s="7">
        <v>448.0</v>
      </c>
      <c r="B10728" s="9" t="s">
        <v>16242</v>
      </c>
      <c r="C10728" s="9" t="s">
        <v>16243</v>
      </c>
      <c r="D10728" s="9" t="s">
        <v>89</v>
      </c>
      <c r="E10728" s="6" t="s">
        <v>16247</v>
      </c>
      <c r="F10728" s="9"/>
    </row>
    <row r="10729" ht="33.75" customHeight="1">
      <c r="A10729" s="7">
        <v>448.0</v>
      </c>
      <c r="B10729" s="9" t="s">
        <v>16242</v>
      </c>
      <c r="C10729" s="9" t="s">
        <v>16243</v>
      </c>
      <c r="D10729" s="9" t="s">
        <v>91</v>
      </c>
      <c r="E10729" s="6" t="s">
        <v>16247</v>
      </c>
      <c r="F10729" s="9"/>
    </row>
    <row r="10730" ht="33.75" customHeight="1">
      <c r="A10730" s="7">
        <v>448.0</v>
      </c>
      <c r="B10730" s="9" t="s">
        <v>16242</v>
      </c>
      <c r="C10730" s="9" t="s">
        <v>16243</v>
      </c>
      <c r="D10730" s="9" t="s">
        <v>93</v>
      </c>
      <c r="E10730" s="6" t="s">
        <v>16246</v>
      </c>
      <c r="F10730" s="9"/>
    </row>
    <row r="10731" ht="33.75" customHeight="1">
      <c r="A10731" s="7">
        <v>448.0</v>
      </c>
      <c r="B10731" s="9" t="s">
        <v>16242</v>
      </c>
      <c r="C10731" s="9" t="s">
        <v>16243</v>
      </c>
      <c r="D10731" s="9" t="s">
        <v>95</v>
      </c>
      <c r="E10731" s="6" t="s">
        <v>16246</v>
      </c>
      <c r="F10731" s="9"/>
    </row>
    <row r="10732" ht="33.75" customHeight="1">
      <c r="A10732" s="7">
        <v>448.0</v>
      </c>
      <c r="B10732" s="9" t="s">
        <v>16242</v>
      </c>
      <c r="C10732" s="9" t="s">
        <v>16243</v>
      </c>
      <c r="D10732" s="9" t="s">
        <v>98</v>
      </c>
      <c r="E10732" s="6" t="s">
        <v>16248</v>
      </c>
      <c r="F10732" s="9"/>
    </row>
    <row r="10733" ht="33.75" customHeight="1">
      <c r="A10733" s="7">
        <v>448.0</v>
      </c>
      <c r="B10733" s="9" t="s">
        <v>16242</v>
      </c>
      <c r="C10733" s="9" t="s">
        <v>16243</v>
      </c>
      <c r="D10733" s="9" t="s">
        <v>99</v>
      </c>
      <c r="E10733" s="6" t="s">
        <v>16248</v>
      </c>
      <c r="F10733" s="9"/>
    </row>
    <row r="10734" ht="33.75" customHeight="1">
      <c r="A10734" s="7">
        <v>448.0</v>
      </c>
      <c r="B10734" s="9" t="s">
        <v>16242</v>
      </c>
      <c r="C10734" s="9" t="s">
        <v>16243</v>
      </c>
      <c r="D10734" s="9" t="s">
        <v>101</v>
      </c>
      <c r="E10734" s="6" t="s">
        <v>16245</v>
      </c>
      <c r="F10734" s="9"/>
    </row>
    <row r="10735" ht="33.75" customHeight="1">
      <c r="A10735" s="7">
        <v>448.0</v>
      </c>
      <c r="B10735" s="9" t="s">
        <v>16242</v>
      </c>
      <c r="C10735" s="9" t="s">
        <v>16243</v>
      </c>
      <c r="D10735" s="9" t="s">
        <v>105</v>
      </c>
      <c r="E10735" s="6" t="s">
        <v>16248</v>
      </c>
      <c r="F10735" s="9"/>
    </row>
    <row r="10736" ht="33.75" customHeight="1">
      <c r="A10736" s="7">
        <v>448.0</v>
      </c>
      <c r="B10736" s="9" t="s">
        <v>16242</v>
      </c>
      <c r="C10736" s="9" t="s">
        <v>16243</v>
      </c>
      <c r="D10736" s="9" t="s">
        <v>107</v>
      </c>
      <c r="E10736" s="6" t="s">
        <v>16245</v>
      </c>
      <c r="F10736" s="9"/>
    </row>
    <row r="10737" ht="33.75" customHeight="1">
      <c r="A10737" s="7">
        <v>448.0</v>
      </c>
      <c r="B10737" s="9" t="s">
        <v>16242</v>
      </c>
      <c r="C10737" s="9" t="s">
        <v>16243</v>
      </c>
      <c r="D10737" s="9" t="s">
        <v>109</v>
      </c>
      <c r="E10737" s="6" t="s">
        <v>16248</v>
      </c>
      <c r="F10737" s="9"/>
    </row>
    <row r="10738" ht="33.75" customHeight="1">
      <c r="A10738" s="7">
        <v>448.0</v>
      </c>
      <c r="B10738" s="9" t="s">
        <v>16242</v>
      </c>
      <c r="C10738" s="9" t="s">
        <v>16243</v>
      </c>
      <c r="D10738" s="9" t="s">
        <v>637</v>
      </c>
      <c r="E10738" s="6" t="s">
        <v>16250</v>
      </c>
      <c r="F10738" s="9"/>
    </row>
    <row r="10739" ht="33.75" customHeight="1">
      <c r="A10739" s="7">
        <v>448.0</v>
      </c>
      <c r="B10739" s="9" t="s">
        <v>16242</v>
      </c>
      <c r="C10739" s="9" t="s">
        <v>16243</v>
      </c>
      <c r="D10739" s="9" t="s">
        <v>642</v>
      </c>
      <c r="E10739" s="6" t="s">
        <v>16251</v>
      </c>
      <c r="F10739" s="9"/>
    </row>
    <row r="10740" ht="33.75" customHeight="1">
      <c r="A10740" s="7">
        <v>448.0</v>
      </c>
      <c r="B10740" s="9" t="s">
        <v>16242</v>
      </c>
      <c r="C10740" s="9" t="s">
        <v>16243</v>
      </c>
      <c r="D10740" s="9" t="s">
        <v>647</v>
      </c>
      <c r="E10740" s="6" t="s">
        <v>16252</v>
      </c>
      <c r="F10740" s="9"/>
    </row>
    <row r="10741" ht="33.75" customHeight="1">
      <c r="A10741" s="7">
        <v>448.0</v>
      </c>
      <c r="B10741" s="9" t="s">
        <v>16242</v>
      </c>
      <c r="C10741" s="9" t="s">
        <v>16243</v>
      </c>
      <c r="D10741" s="9" t="s">
        <v>652</v>
      </c>
      <c r="E10741" s="6" t="s">
        <v>16253</v>
      </c>
      <c r="F10741" s="9"/>
    </row>
    <row r="10742" ht="33.75" customHeight="1">
      <c r="A10742" s="7">
        <v>448.0</v>
      </c>
      <c r="B10742" s="9" t="s">
        <v>16242</v>
      </c>
      <c r="C10742" s="9" t="s">
        <v>16243</v>
      </c>
      <c r="D10742" s="9" t="s">
        <v>114</v>
      </c>
      <c r="E10742" s="6" t="s">
        <v>16254</v>
      </c>
      <c r="F10742" s="9"/>
    </row>
    <row r="10743" ht="33.75" customHeight="1">
      <c r="A10743" s="7">
        <v>448.0</v>
      </c>
      <c r="B10743" s="9" t="s">
        <v>16242</v>
      </c>
      <c r="C10743" s="9" t="s">
        <v>16243</v>
      </c>
      <c r="D10743" s="9" t="s">
        <v>117</v>
      </c>
      <c r="E10743" s="6" t="s">
        <v>16255</v>
      </c>
      <c r="F10743" s="9"/>
    </row>
    <row r="10744" ht="33.75" customHeight="1">
      <c r="A10744" s="7">
        <v>448.0</v>
      </c>
      <c r="B10744" s="9" t="s">
        <v>16242</v>
      </c>
      <c r="C10744" s="9" t="s">
        <v>16243</v>
      </c>
      <c r="D10744" s="9" t="s">
        <v>1577</v>
      </c>
      <c r="E10744" s="6" t="s">
        <v>16256</v>
      </c>
      <c r="F10744" s="9"/>
    </row>
    <row r="10745" ht="33.75" customHeight="1">
      <c r="A10745" s="7">
        <v>449.0</v>
      </c>
      <c r="B10745" s="9" t="s">
        <v>16257</v>
      </c>
      <c r="C10745" s="9" t="s">
        <v>16258</v>
      </c>
      <c r="D10745" s="9" t="s">
        <v>81</v>
      </c>
      <c r="E10745" s="6" t="s">
        <v>16259</v>
      </c>
      <c r="F10745" t="inlineStr" s="10">
        <is>
          <t xml:space="preserve">Hippopotas elää kuivilla paikoilla. Hien sijaan se erittää kehostaan ​​rakeista hiekkaa. Se verhoutuu hiekkaan suojautuakseen bakteereilta. Se ei pidä kastumisesta. Se sulkee sieraimensa tiukasti ja kulkee sitten hiekan läpi kuin kävelisi. Ne muodostavat noin kymmenen yksilön yhdyskuntia. Se verhoutuu hiekkaan torjuakseen bakteereja. Se kulkee helposti aavikon hiekan läpi. Se sulkee sieraimensa tiukasti ja kulkee sitten hiekan läpi ikään kuin kävelisi. Ne muodostavat noin 10 yksilön yhdyskuntia. Se liikkuu hiekan halki suu auki ja nielee hiekkaa saaliinsa mukana. Se pääsee eroon hiekasta syöksymällä sitä kuonostaan. Tämä Pokémon on aktiivinen päivällä ja kulkee kylmien aavikkoöiden läpi kaivautuneena tiukasti hiekkaan. Vaikka virtahepo on suuri ja laiska, sitä on vaikea havaita, koska sillä on taipumus kaivautua maahan ja lymyillä sen alla. Kiihtyneenä tai levottomana se työntää hiekkaa sieraimistaan.</t>
        </is>
      </c>
    </row>
    <row r="10746" ht="33.75" customHeight="1">
      <c r="A10746" s="7">
        <v>449.0</v>
      </c>
      <c r="B10746" s="9" t="s">
        <v>16257</v>
      </c>
      <c r="C10746" s="9" t="s">
        <v>16258</v>
      </c>
      <c r="D10746" s="9" t="s">
        <v>84</v>
      </c>
      <c r="E10746" s="6" t="s">
        <v>16260</v>
      </c>
      <c r="F10746" s="9"/>
    </row>
    <row r="10747" ht="33.75" customHeight="1">
      <c r="A10747" s="7">
        <v>449.0</v>
      </c>
      <c r="B10747" s="9" t="s">
        <v>16257</v>
      </c>
      <c r="C10747" s="9" t="s">
        <v>16258</v>
      </c>
      <c r="D10747" s="9" t="s">
        <v>87</v>
      </c>
      <c r="E10747" s="6" t="s">
        <v>16261</v>
      </c>
      <c r="F10747" s="9"/>
    </row>
    <row r="10748" ht="33.75" customHeight="1">
      <c r="A10748" s="7">
        <v>449.0</v>
      </c>
      <c r="B10748" s="9" t="s">
        <v>16257</v>
      </c>
      <c r="C10748" s="9" t="s">
        <v>16258</v>
      </c>
      <c r="D10748" s="9" t="s">
        <v>89</v>
      </c>
      <c r="E10748" s="6" t="s">
        <v>16262</v>
      </c>
      <c r="F10748" s="9"/>
    </row>
    <row r="10749" ht="33.75" customHeight="1">
      <c r="A10749" s="7">
        <v>449.0</v>
      </c>
      <c r="B10749" s="9" t="s">
        <v>16257</v>
      </c>
      <c r="C10749" s="9" t="s">
        <v>16258</v>
      </c>
      <c r="D10749" s="9" t="s">
        <v>91</v>
      </c>
      <c r="E10749" s="6" t="s">
        <v>16262</v>
      </c>
      <c r="F10749" s="9"/>
    </row>
    <row r="10750" ht="33.75" customHeight="1">
      <c r="A10750" s="7">
        <v>449.0</v>
      </c>
      <c r="B10750" s="9" t="s">
        <v>16257</v>
      </c>
      <c r="C10750" s="9" t="s">
        <v>16258</v>
      </c>
      <c r="D10750" s="9" t="s">
        <v>93</v>
      </c>
      <c r="E10750" s="6" t="s">
        <v>16261</v>
      </c>
      <c r="F10750" s="9"/>
    </row>
    <row r="10751" ht="33.75" customHeight="1">
      <c r="A10751" s="7">
        <v>449.0</v>
      </c>
      <c r="B10751" s="9" t="s">
        <v>16257</v>
      </c>
      <c r="C10751" s="9" t="s">
        <v>16258</v>
      </c>
      <c r="D10751" s="9" t="s">
        <v>95</v>
      </c>
      <c r="E10751" s="6" t="s">
        <v>16261</v>
      </c>
      <c r="F10751" s="9"/>
    </row>
    <row r="10752" ht="33.75" customHeight="1">
      <c r="A10752" s="7">
        <v>449.0</v>
      </c>
      <c r="B10752" s="9" t="s">
        <v>16257</v>
      </c>
      <c r="C10752" s="9" t="s">
        <v>16258</v>
      </c>
      <c r="D10752" s="9" t="s">
        <v>98</v>
      </c>
      <c r="E10752" s="6" t="s">
        <v>16263</v>
      </c>
      <c r="F10752" s="9"/>
    </row>
    <row r="10753" ht="33.75" customHeight="1">
      <c r="A10753" s="7">
        <v>449.0</v>
      </c>
      <c r="B10753" s="9" t="s">
        <v>16257</v>
      </c>
      <c r="C10753" s="9" t="s">
        <v>16258</v>
      </c>
      <c r="D10753" s="9" t="s">
        <v>99</v>
      </c>
      <c r="E10753" s="6" t="s">
        <v>16263</v>
      </c>
      <c r="F10753" s="9"/>
    </row>
    <row r="10754" ht="33.75" customHeight="1">
      <c r="A10754" s="7">
        <v>449.0</v>
      </c>
      <c r="B10754" s="9" t="s">
        <v>16257</v>
      </c>
      <c r="C10754" s="9" t="s">
        <v>16258</v>
      </c>
      <c r="D10754" s="9" t="s">
        <v>101</v>
      </c>
      <c r="E10754" s="6" t="s">
        <v>16259</v>
      </c>
      <c r="F10754" s="9"/>
    </row>
    <row r="10755" ht="33.75" customHeight="1">
      <c r="A10755" s="7">
        <v>449.0</v>
      </c>
      <c r="B10755" s="9" t="s">
        <v>16257</v>
      </c>
      <c r="C10755" s="9" t="s">
        <v>16258</v>
      </c>
      <c r="D10755" s="9" t="s">
        <v>105</v>
      </c>
      <c r="E10755" s="6" t="s">
        <v>16260</v>
      </c>
      <c r="F10755" s="9"/>
    </row>
    <row r="10756" ht="33.75" customHeight="1">
      <c r="A10756" s="7">
        <v>449.0</v>
      </c>
      <c r="B10756" s="9" t="s">
        <v>16257</v>
      </c>
      <c r="C10756" s="9" t="s">
        <v>16258</v>
      </c>
      <c r="D10756" s="9" t="s">
        <v>107</v>
      </c>
      <c r="E10756" s="6" t="s">
        <v>16259</v>
      </c>
      <c r="F10756" s="9"/>
    </row>
    <row r="10757" ht="33.75" customHeight="1">
      <c r="A10757" s="7">
        <v>449.0</v>
      </c>
      <c r="B10757" s="9" t="s">
        <v>16257</v>
      </c>
      <c r="C10757" s="9" t="s">
        <v>16258</v>
      </c>
      <c r="D10757" s="9" t="s">
        <v>109</v>
      </c>
      <c r="E10757" s="6" t="s">
        <v>16260</v>
      </c>
      <c r="F10757" s="9"/>
    </row>
    <row r="10758" ht="33.75" customHeight="1">
      <c r="A10758" s="7">
        <v>449.0</v>
      </c>
      <c r="B10758" s="9" t="s">
        <v>16257</v>
      </c>
      <c r="C10758" s="9" t="s">
        <v>16258</v>
      </c>
      <c r="D10758" s="9" t="s">
        <v>114</v>
      </c>
      <c r="E10758" s="6" t="s">
        <v>16265</v>
      </c>
      <c r="F10758" s="9"/>
    </row>
    <row r="10759" ht="33.75" customHeight="1">
      <c r="A10759" s="7">
        <v>449.0</v>
      </c>
      <c r="B10759" s="9" t="s">
        <v>16257</v>
      </c>
      <c r="C10759" s="9" t="s">
        <v>16258</v>
      </c>
      <c r="D10759" s="9" t="s">
        <v>117</v>
      </c>
      <c r="E10759" s="6" t="s">
        <v>16266</v>
      </c>
      <c r="F10759" s="9"/>
    </row>
    <row r="10760" ht="33.75" customHeight="1">
      <c r="A10760" s="7">
        <v>449.0</v>
      </c>
      <c r="B10760" s="9" t="s">
        <v>16257</v>
      </c>
      <c r="C10760" s="9" t="s">
        <v>16258</v>
      </c>
      <c r="D10760" s="9" t="s">
        <v>1577</v>
      </c>
      <c r="E10760" s="6" t="s">
        <v>16267</v>
      </c>
      <c r="F10760" s="9"/>
    </row>
    <row r="10761" ht="33.75" customHeight="1">
      <c r="A10761" s="7">
        <v>450.0</v>
      </c>
      <c r="B10761" s="9" t="s">
        <v>16268</v>
      </c>
      <c r="C10761" s="9" t="s">
        <v>16269</v>
      </c>
      <c r="D10761" s="9" t="s">
        <v>81</v>
      </c>
      <c r="E10761" s="6" t="s">
        <v>16270</v>
      </c>
      <c r="F10761" t="inlineStr" s="10">
        <is>
          <t xml:space="preserve">Hippowdon räjäyttää sisäisesti varastoitua hiekkaa rungonsa aukoista luodakseen kohoavan pyörremyrskyn hyökkäystä varten. Sen valtava suu on lähes kaksi metriä leveä. Sillä on tarpeeksi voimaa murskata auton täysin. Se on yllättävän nopea suuttumaan. Se pitää suunsa auki voimansa osoituksena. Se heiluttelee ammottavaa suutaan pelottavan voiman näytöksessä. Se nostaa ilmaan valtavia määriä hiekkaa hyökätessään. Kivet voivat juuttua niiden kehon aukkoihin. Dwebble auttaa irrottamaan tällaisia ​​kiviä, joten Hippowdon pitää huolta näistä Pokémoneista. Raivonsa herättämänä se syöksyy ulos nielemänsä hiekkamäärät ja nostattaa hiekkamyrskyn. Ärsyyntynyt ja helposti väkivaltaan reagoiva. Se nostattaa hiekkapyörremyrskyjä murskatakseen vihollistensa hengen ja lähtee sitten hyökkäykseen.</t>
        </is>
      </c>
    </row>
    <row r="10762" ht="33.75" customHeight="1">
      <c r="A10762" s="7">
        <v>450.0</v>
      </c>
      <c r="B10762" s="9" t="s">
        <v>16268</v>
      </c>
      <c r="C10762" s="9" t="s">
        <v>16269</v>
      </c>
      <c r="D10762" s="9" t="s">
        <v>84</v>
      </c>
      <c r="E10762" s="6" t="s">
        <v>16271</v>
      </c>
      <c r="F10762" s="9"/>
    </row>
    <row r="10763" ht="33.75" customHeight="1">
      <c r="A10763" s="7">
        <v>450.0</v>
      </c>
      <c r="B10763" s="9" t="s">
        <v>16268</v>
      </c>
      <c r="C10763" s="9" t="s">
        <v>16269</v>
      </c>
      <c r="D10763" s="9" t="s">
        <v>87</v>
      </c>
      <c r="E10763" s="6" t="s">
        <v>16272</v>
      </c>
      <c r="F10763" s="9"/>
    </row>
    <row r="10764" ht="33.75" customHeight="1">
      <c r="A10764" s="7">
        <v>450.0</v>
      </c>
      <c r="B10764" s="9" t="s">
        <v>16268</v>
      </c>
      <c r="C10764" s="9" t="s">
        <v>16269</v>
      </c>
      <c r="D10764" s="9" t="s">
        <v>89</v>
      </c>
      <c r="E10764" s="6" t="s">
        <v>16273</v>
      </c>
      <c r="F10764" s="9"/>
    </row>
    <row r="10765" ht="33.75" customHeight="1">
      <c r="A10765" s="7">
        <v>450.0</v>
      </c>
      <c r="B10765" s="9" t="s">
        <v>16268</v>
      </c>
      <c r="C10765" s="9" t="s">
        <v>16269</v>
      </c>
      <c r="D10765" s="9" t="s">
        <v>91</v>
      </c>
      <c r="E10765" s="6" t="s">
        <v>16273</v>
      </c>
      <c r="F10765" s="9"/>
    </row>
    <row r="10766" ht="33.75" customHeight="1">
      <c r="A10766" s="7">
        <v>450.0</v>
      </c>
      <c r="B10766" s="9" t="s">
        <v>16268</v>
      </c>
      <c r="C10766" s="9" t="s">
        <v>16269</v>
      </c>
      <c r="D10766" s="9" t="s">
        <v>93</v>
      </c>
      <c r="E10766" s="6" t="s">
        <v>16272</v>
      </c>
      <c r="F10766" s="9"/>
    </row>
    <row r="10767" ht="33.75" customHeight="1">
      <c r="A10767" s="7">
        <v>450.0</v>
      </c>
      <c r="B10767" s="9" t="s">
        <v>16268</v>
      </c>
      <c r="C10767" s="9" t="s">
        <v>16269</v>
      </c>
      <c r="D10767" s="9" t="s">
        <v>95</v>
      </c>
      <c r="E10767" s="6" t="s">
        <v>16272</v>
      </c>
      <c r="F10767" s="9"/>
    </row>
    <row r="10768" ht="33.75" customHeight="1">
      <c r="A10768" s="7">
        <v>450.0</v>
      </c>
      <c r="B10768" s="9" t="s">
        <v>16268</v>
      </c>
      <c r="C10768" s="9" t="s">
        <v>16269</v>
      </c>
      <c r="D10768" s="9" t="s">
        <v>98</v>
      </c>
      <c r="E10768" s="6" t="s">
        <v>16272</v>
      </c>
      <c r="F10768" s="9"/>
    </row>
    <row r="10769" ht="33.75" customHeight="1">
      <c r="A10769" s="7">
        <v>450.0</v>
      </c>
      <c r="B10769" s="9" t="s">
        <v>16268</v>
      </c>
      <c r="C10769" s="9" t="s">
        <v>16269</v>
      </c>
      <c r="D10769" s="9" t="s">
        <v>99</v>
      </c>
      <c r="E10769" s="6" t="s">
        <v>16272</v>
      </c>
      <c r="F10769" s="9"/>
    </row>
    <row r="10770" ht="33.75" customHeight="1">
      <c r="A10770" s="7">
        <v>450.0</v>
      </c>
      <c r="B10770" s="9" t="s">
        <v>16268</v>
      </c>
      <c r="C10770" s="9" t="s">
        <v>16269</v>
      </c>
      <c r="D10770" s="9" t="s">
        <v>101</v>
      </c>
      <c r="E10770" s="6" t="s">
        <v>16273</v>
      </c>
      <c r="F10770" s="9"/>
    </row>
    <row r="10771" ht="33.75" customHeight="1">
      <c r="A10771" s="7">
        <v>450.0</v>
      </c>
      <c r="B10771" s="9" t="s">
        <v>16268</v>
      </c>
      <c r="C10771" s="9" t="s">
        <v>16269</v>
      </c>
      <c r="D10771" s="9" t="s">
        <v>105</v>
      </c>
      <c r="E10771" s="6" t="s">
        <v>16270</v>
      </c>
      <c r="F10771" s="9"/>
    </row>
    <row r="10772" ht="33.75" customHeight="1">
      <c r="A10772" s="7">
        <v>450.0</v>
      </c>
      <c r="B10772" s="9" t="s">
        <v>16268</v>
      </c>
      <c r="C10772" s="9" t="s">
        <v>16269</v>
      </c>
      <c r="D10772" s="9" t="s">
        <v>107</v>
      </c>
      <c r="E10772" s="6" t="s">
        <v>16273</v>
      </c>
      <c r="F10772" s="9"/>
    </row>
    <row r="10773" ht="33.75" customHeight="1">
      <c r="A10773" s="7">
        <v>450.0</v>
      </c>
      <c r="B10773" s="9" t="s">
        <v>16268</v>
      </c>
      <c r="C10773" s="9" t="s">
        <v>16269</v>
      </c>
      <c r="D10773" s="9" t="s">
        <v>109</v>
      </c>
      <c r="E10773" s="6" t="s">
        <v>16270</v>
      </c>
      <c r="F10773" s="9"/>
    </row>
    <row r="10774" ht="33.75" customHeight="1">
      <c r="A10774" s="7">
        <v>450.0</v>
      </c>
      <c r="B10774" s="9" t="s">
        <v>16268</v>
      </c>
      <c r="C10774" s="9" t="s">
        <v>16269</v>
      </c>
      <c r="D10774" s="9" t="s">
        <v>114</v>
      </c>
      <c r="E10774" s="6" t="s">
        <v>16275</v>
      </c>
      <c r="F10774" s="9"/>
    </row>
    <row r="10775" ht="33.75" customHeight="1">
      <c r="A10775" s="7">
        <v>450.0</v>
      </c>
      <c r="B10775" s="9" t="s">
        <v>16268</v>
      </c>
      <c r="C10775" s="9" t="s">
        <v>16269</v>
      </c>
      <c r="D10775" s="9" t="s">
        <v>117</v>
      </c>
      <c r="E10775" s="6" t="s">
        <v>16276</v>
      </c>
      <c r="F10775" s="9"/>
    </row>
    <row r="10776" ht="33.75" customHeight="1">
      <c r="A10776" s="7">
        <v>450.0</v>
      </c>
      <c r="B10776" s="9" t="s">
        <v>16268</v>
      </c>
      <c r="C10776" s="9" t="s">
        <v>16269</v>
      </c>
      <c r="D10776" s="9" t="s">
        <v>1577</v>
      </c>
      <c r="E10776" s="6" t="s">
        <v>16277</v>
      </c>
      <c r="F10776" s="9"/>
    </row>
    <row r="10777" ht="33.75" customHeight="1">
      <c r="A10777" s="7">
        <v>451.0</v>
      </c>
      <c r="B10777" s="9" t="s">
        <v>16278</v>
      </c>
      <c r="C10777" s="9" t="s">
        <v>16279</v>
      </c>
      <c r="D10777" s="9" t="s">
        <v>81</v>
      </c>
      <c r="E10777" s="6" t="s">
        <v>16280</v>
      </c>
      <c r="F10777" t="inlineStr" s="10">
        <is>
          <t xml:space="preserve">Skorupi tarttuu saaliiseen pyrstökynsillään ja ruiskuttaa myrkkyä. Se roikkuu sinnikkäästi kiinni, kunnes myrkky imeytyy. Se elää kuivilla seuduilla. Se hautautuu hiekkaan ja väijyy tietämätöntä saalista. Heti kun pyrstökynnet sulkeutuvat, sen neulanpäät erittävät myrkkyä. Se voi selvitä vuoden ilman ruokaa. Se kaivautuu hiekan alle väijymään saalista. Sen pyrstökynnet voivat pistää saaliiseensa raakaa myrkkyä. Se elää kuivilla alueilla ja voi olla ilman ruokaa vuoden ajan odottaessaan saalista. Kaivauduttuaan hiekkaan se odottaa kärsivällisesti saaliin tuloa lähelle. Tällä Pokémonilla ja Sizzlipedellä on yhteinen sukupuu. Se hyökkää käyttäen häntäänsä. Kun saalis on lukkiutunut sen otteeseen, se ei pysty liikkumaan, koska tämän Pokémonin myrkky pääsee sisään. Sen kynnet ovat paitsi partaveitsen terävät myös myrkylliset, mikä tekee Skorupista erittäin vaarallisen Pokémonin. Kylmät lämpötilat näyttävät kuitenkin heikentävän sitä.</t>
        </is>
      </c>
    </row>
    <row r="10778" ht="33.75" customHeight="1">
      <c r="A10778" s="7">
        <v>451.0</v>
      </c>
      <c r="B10778" s="9" t="s">
        <v>16278</v>
      </c>
      <c r="C10778" s="9" t="s">
        <v>16279</v>
      </c>
      <c r="D10778" s="9" t="s">
        <v>84</v>
      </c>
      <c r="E10778" s="6" t="s">
        <v>16281</v>
      </c>
      <c r="F10778" s="9"/>
    </row>
    <row r="10779" ht="33.75" customHeight="1">
      <c r="A10779" s="7">
        <v>451.0</v>
      </c>
      <c r="B10779" s="9" t="s">
        <v>16278</v>
      </c>
      <c r="C10779" s="9" t="s">
        <v>16279</v>
      </c>
      <c r="D10779" s="9" t="s">
        <v>87</v>
      </c>
      <c r="E10779" s="6" t="s">
        <v>16282</v>
      </c>
      <c r="F10779" s="9"/>
    </row>
    <row r="10780" ht="33.75" customHeight="1">
      <c r="A10780" s="7">
        <v>451.0</v>
      </c>
      <c r="B10780" s="9" t="s">
        <v>16278</v>
      </c>
      <c r="C10780" s="9" t="s">
        <v>16279</v>
      </c>
      <c r="D10780" s="9" t="s">
        <v>89</v>
      </c>
      <c r="E10780" s="6" t="s">
        <v>16283</v>
      </c>
      <c r="F10780" s="9"/>
    </row>
    <row r="10781" ht="33.75" customHeight="1">
      <c r="A10781" s="7">
        <v>451.0</v>
      </c>
      <c r="B10781" s="9" t="s">
        <v>16278</v>
      </c>
      <c r="C10781" s="9" t="s">
        <v>16279</v>
      </c>
      <c r="D10781" s="9" t="s">
        <v>91</v>
      </c>
      <c r="E10781" s="6" t="s">
        <v>16283</v>
      </c>
      <c r="F10781" s="9"/>
    </row>
    <row r="10782" ht="33.75" customHeight="1">
      <c r="A10782" s="7">
        <v>451.0</v>
      </c>
      <c r="B10782" s="9" t="s">
        <v>16278</v>
      </c>
      <c r="C10782" s="9" t="s">
        <v>16279</v>
      </c>
      <c r="D10782" s="9" t="s">
        <v>93</v>
      </c>
      <c r="E10782" s="6" t="s">
        <v>16282</v>
      </c>
      <c r="F10782" s="9"/>
    </row>
    <row r="10783" ht="33.75" customHeight="1">
      <c r="A10783" s="7">
        <v>451.0</v>
      </c>
      <c r="B10783" s="9" t="s">
        <v>16278</v>
      </c>
      <c r="C10783" s="9" t="s">
        <v>16279</v>
      </c>
      <c r="D10783" s="9" t="s">
        <v>95</v>
      </c>
      <c r="E10783" s="6" t="s">
        <v>16282</v>
      </c>
      <c r="F10783" s="9"/>
    </row>
    <row r="10784" ht="33.75" customHeight="1">
      <c r="A10784" s="7">
        <v>451.0</v>
      </c>
      <c r="B10784" s="9" t="s">
        <v>16278</v>
      </c>
      <c r="C10784" s="9" t="s">
        <v>16279</v>
      </c>
      <c r="D10784" s="9" t="s">
        <v>98</v>
      </c>
      <c r="E10784" s="6" t="s">
        <v>16284</v>
      </c>
      <c r="F10784" s="9"/>
    </row>
    <row r="10785" ht="33.75" customHeight="1">
      <c r="A10785" s="7">
        <v>451.0</v>
      </c>
      <c r="B10785" s="9" t="s">
        <v>16278</v>
      </c>
      <c r="C10785" s="9" t="s">
        <v>16279</v>
      </c>
      <c r="D10785" s="9" t="s">
        <v>99</v>
      </c>
      <c r="E10785" s="6" t="s">
        <v>16284</v>
      </c>
      <c r="F10785" s="9"/>
    </row>
    <row r="10786" ht="33.75" customHeight="1">
      <c r="A10786" s="7">
        <v>451.0</v>
      </c>
      <c r="B10786" s="9" t="s">
        <v>16278</v>
      </c>
      <c r="C10786" s="9" t="s">
        <v>16279</v>
      </c>
      <c r="D10786" s="9" t="s">
        <v>101</v>
      </c>
      <c r="E10786" s="6" t="s">
        <v>16280</v>
      </c>
      <c r="F10786" s="9"/>
    </row>
    <row r="10787" ht="33.75" customHeight="1">
      <c r="A10787" s="7">
        <v>451.0</v>
      </c>
      <c r="B10787" s="9" t="s">
        <v>16278</v>
      </c>
      <c r="C10787" s="9" t="s">
        <v>16279</v>
      </c>
      <c r="D10787" s="9" t="s">
        <v>105</v>
      </c>
      <c r="E10787" s="6" t="s">
        <v>16283</v>
      </c>
      <c r="F10787" s="9"/>
    </row>
    <row r="10788" ht="33.75" customHeight="1">
      <c r="A10788" s="7">
        <v>451.0</v>
      </c>
      <c r="B10788" s="9" t="s">
        <v>16278</v>
      </c>
      <c r="C10788" s="9" t="s">
        <v>16279</v>
      </c>
      <c r="D10788" s="9" t="s">
        <v>107</v>
      </c>
      <c r="E10788" s="6" t="s">
        <v>16280</v>
      </c>
      <c r="F10788" s="9"/>
    </row>
    <row r="10789" ht="33.75" customHeight="1">
      <c r="A10789" s="7">
        <v>451.0</v>
      </c>
      <c r="B10789" s="9" t="s">
        <v>16278</v>
      </c>
      <c r="C10789" s="9" t="s">
        <v>16279</v>
      </c>
      <c r="D10789" s="9" t="s">
        <v>109</v>
      </c>
      <c r="E10789" s="6" t="s">
        <v>16283</v>
      </c>
      <c r="F10789" s="9"/>
    </row>
    <row r="10790" ht="33.75" customHeight="1">
      <c r="A10790" s="7">
        <v>451.0</v>
      </c>
      <c r="B10790" s="9" t="s">
        <v>16278</v>
      </c>
      <c r="C10790" s="9" t="s">
        <v>16279</v>
      </c>
      <c r="D10790" s="9" t="s">
        <v>114</v>
      </c>
      <c r="E10790" s="6" t="s">
        <v>16286</v>
      </c>
      <c r="F10790" s="9"/>
    </row>
    <row r="10791" ht="33.75" customHeight="1">
      <c r="A10791" s="7">
        <v>451.0</v>
      </c>
      <c r="B10791" s="9" t="s">
        <v>16278</v>
      </c>
      <c r="C10791" s="9" t="s">
        <v>16279</v>
      </c>
      <c r="D10791" s="9" t="s">
        <v>117</v>
      </c>
      <c r="E10791" s="6" t="s">
        <v>16287</v>
      </c>
      <c r="F10791" s="9"/>
    </row>
    <row r="10792" ht="33.75" customHeight="1">
      <c r="A10792" s="7">
        <v>451.0</v>
      </c>
      <c r="B10792" s="9" t="s">
        <v>16278</v>
      </c>
      <c r="C10792" s="9" t="s">
        <v>16279</v>
      </c>
      <c r="D10792" s="9" t="s">
        <v>1577</v>
      </c>
      <c r="E10792" s="6" t="s">
        <v>16288</v>
      </c>
      <c r="F10792" s="9"/>
    </row>
    <row r="10793" ht="33.75" customHeight="1">
      <c r="A10793" s="7">
        <v>452.0</v>
      </c>
      <c r="B10793" s="9" t="s">
        <v>16289</v>
      </c>
      <c r="C10793" s="9" t="s">
        <v>16290</v>
      </c>
      <c r="D10793" s="9" t="s">
        <v>81</v>
      </c>
      <c r="E10793" s="6" t="s">
        <v>16291</v>
      </c>
      <c r="F10793" t="inlineStr" s="10">
        <is>
          <t xml:space="preserve">Drapionin kynsissä käsivarsissa on voima tehdä romua autosta. Sen kynsien kärjistä vapautuu myrkkyä. Sen runko on suojattu tukevalla kuorella. Sen pää kääntyy 180 astetta, mikä poistaa sokeat kulmat. Vankkarakenteisena se on ylpeä voimastaan ​​ja kukistaa vihollisia käyttämättä myrkkyjä. Se hyökkää aavikkoa ylittävien ihmisten ja Pokémonien kimppuun. Tämä on vain pahentanut sen huonoa mainetta. Se ylpeilee voimastaan. Vaikka se voi repiä vihollisia kappaleiksi, se viimeistelee heidät voimakkaalla myrkyllä. Sen myrkky on voimakasta, mutta sitä käytetään harvoin. Tämä Pokémon käyttää mieluummin fyysistä voimaa ja riehuu autoa murskaavalla voimallaan. Se on niin ilkeä, että sitä kutsutaan Hiekkademoniksi. Silti Hippowdonin kohdatessa Drapion pysyy matalalla profiililla eikä koskaan aloita tappelua. Sillä on raaka ja raivoisa luonne. Valtava voima ja tukeva kuori, josta miekat kimpoavat, riehuu ympäriinsä ja aiheuttaa tuhoa.</t>
        </is>
      </c>
    </row>
    <row r="10794" ht="33.75" customHeight="1">
      <c r="A10794" s="7">
        <v>452.0</v>
      </c>
      <c r="B10794" s="9" t="s">
        <v>16289</v>
      </c>
      <c r="C10794" s="9" t="s">
        <v>16290</v>
      </c>
      <c r="D10794" s="9" t="s">
        <v>84</v>
      </c>
      <c r="E10794" s="6" t="s">
        <v>16292</v>
      </c>
      <c r="F10794" s="9"/>
    </row>
    <row r="10795" ht="33.75" customHeight="1">
      <c r="A10795" s="7">
        <v>452.0</v>
      </c>
      <c r="B10795" s="9" t="s">
        <v>16289</v>
      </c>
      <c r="C10795" s="9" t="s">
        <v>16290</v>
      </c>
      <c r="D10795" s="9" t="s">
        <v>87</v>
      </c>
      <c r="E10795" s="6" t="s">
        <v>16293</v>
      </c>
      <c r="F10795" s="9"/>
    </row>
    <row r="10796" ht="33.75" customHeight="1">
      <c r="A10796" s="7">
        <v>452.0</v>
      </c>
      <c r="B10796" s="9" t="s">
        <v>16289</v>
      </c>
      <c r="C10796" s="9" t="s">
        <v>16290</v>
      </c>
      <c r="D10796" s="9" t="s">
        <v>89</v>
      </c>
      <c r="E10796" s="6" t="s">
        <v>16294</v>
      </c>
      <c r="F10796" s="9"/>
    </row>
    <row r="10797" ht="33.75" customHeight="1">
      <c r="A10797" s="7">
        <v>452.0</v>
      </c>
      <c r="B10797" s="9" t="s">
        <v>16289</v>
      </c>
      <c r="C10797" s="9" t="s">
        <v>16290</v>
      </c>
      <c r="D10797" s="9" t="s">
        <v>91</v>
      </c>
      <c r="E10797" s="6" t="s">
        <v>16294</v>
      </c>
      <c r="F10797" s="9"/>
    </row>
    <row r="10798" ht="33.75" customHeight="1">
      <c r="A10798" s="7">
        <v>452.0</v>
      </c>
      <c r="B10798" s="9" t="s">
        <v>16289</v>
      </c>
      <c r="C10798" s="9" t="s">
        <v>16290</v>
      </c>
      <c r="D10798" s="9" t="s">
        <v>93</v>
      </c>
      <c r="E10798" s="6" t="s">
        <v>16293</v>
      </c>
      <c r="F10798" s="9"/>
    </row>
    <row r="10799" ht="33.75" customHeight="1">
      <c r="A10799" s="7">
        <v>452.0</v>
      </c>
      <c r="B10799" s="9" t="s">
        <v>16289</v>
      </c>
      <c r="C10799" s="9" t="s">
        <v>16290</v>
      </c>
      <c r="D10799" s="9" t="s">
        <v>95</v>
      </c>
      <c r="E10799" s="6" t="s">
        <v>16293</v>
      </c>
      <c r="F10799" s="9"/>
    </row>
    <row r="10800" ht="33.75" customHeight="1">
      <c r="A10800" s="7">
        <v>452.0</v>
      </c>
      <c r="B10800" s="9" t="s">
        <v>16289</v>
      </c>
      <c r="C10800" s="9" t="s">
        <v>16290</v>
      </c>
      <c r="D10800" s="9" t="s">
        <v>98</v>
      </c>
      <c r="E10800" s="6" t="s">
        <v>16295</v>
      </c>
      <c r="F10800" s="9"/>
    </row>
    <row r="10801" ht="33.75" customHeight="1">
      <c r="A10801" s="7">
        <v>452.0</v>
      </c>
      <c r="B10801" s="9" t="s">
        <v>16289</v>
      </c>
      <c r="C10801" s="9" t="s">
        <v>16290</v>
      </c>
      <c r="D10801" s="9" t="s">
        <v>99</v>
      </c>
      <c r="E10801" s="6" t="s">
        <v>16295</v>
      </c>
      <c r="F10801" s="9"/>
    </row>
    <row r="10802" ht="33.75" customHeight="1">
      <c r="A10802" s="7">
        <v>452.0</v>
      </c>
      <c r="B10802" s="9" t="s">
        <v>16289</v>
      </c>
      <c r="C10802" s="9" t="s">
        <v>16290</v>
      </c>
      <c r="D10802" s="9" t="s">
        <v>101</v>
      </c>
      <c r="E10802" s="6" t="s">
        <v>16295</v>
      </c>
      <c r="F10802" s="9"/>
    </row>
    <row r="10803" ht="33.75" customHeight="1">
      <c r="A10803" s="7">
        <v>452.0</v>
      </c>
      <c r="B10803" s="9" t="s">
        <v>16289</v>
      </c>
      <c r="C10803" s="9" t="s">
        <v>16290</v>
      </c>
      <c r="D10803" s="9" t="s">
        <v>105</v>
      </c>
      <c r="E10803" s="6" t="s">
        <v>16291</v>
      </c>
      <c r="F10803" s="9"/>
    </row>
    <row r="10804" ht="33.75" customHeight="1">
      <c r="A10804" s="7">
        <v>452.0</v>
      </c>
      <c r="B10804" s="9" t="s">
        <v>16289</v>
      </c>
      <c r="C10804" s="9" t="s">
        <v>16290</v>
      </c>
      <c r="D10804" s="9" t="s">
        <v>107</v>
      </c>
      <c r="E10804" s="6" t="s">
        <v>16295</v>
      </c>
      <c r="F10804" s="9"/>
    </row>
    <row r="10805" ht="33.75" customHeight="1">
      <c r="A10805" s="7">
        <v>452.0</v>
      </c>
      <c r="B10805" s="9" t="s">
        <v>16289</v>
      </c>
      <c r="C10805" s="9" t="s">
        <v>16290</v>
      </c>
      <c r="D10805" s="9" t="s">
        <v>109</v>
      </c>
      <c r="E10805" s="6" t="s">
        <v>16291</v>
      </c>
      <c r="F10805" s="9"/>
    </row>
    <row r="10806" ht="33.75" customHeight="1">
      <c r="A10806" s="7">
        <v>452.0</v>
      </c>
      <c r="B10806" s="9" t="s">
        <v>16289</v>
      </c>
      <c r="C10806" s="9" t="s">
        <v>16290</v>
      </c>
      <c r="D10806" s="9" t="s">
        <v>114</v>
      </c>
      <c r="E10806" s="6" t="s">
        <v>16297</v>
      </c>
      <c r="F10806" s="9"/>
    </row>
    <row r="10807" ht="33.75" customHeight="1">
      <c r="A10807" s="7">
        <v>452.0</v>
      </c>
      <c r="B10807" s="9" t="s">
        <v>16289</v>
      </c>
      <c r="C10807" s="9" t="s">
        <v>16290</v>
      </c>
      <c r="D10807" s="9" t="s">
        <v>117</v>
      </c>
      <c r="E10807" s="6" t="s">
        <v>16298</v>
      </c>
      <c r="F10807" s="9"/>
    </row>
    <row r="10808" ht="33.75" customHeight="1">
      <c r="A10808" s="7">
        <v>452.0</v>
      </c>
      <c r="B10808" s="9" t="s">
        <v>16289</v>
      </c>
      <c r="C10808" s="9" t="s">
        <v>16290</v>
      </c>
      <c r="D10808" s="9" t="s">
        <v>1577</v>
      </c>
      <c r="E10808" s="6" t="s">
        <v>16299</v>
      </c>
      <c r="F10808" s="9"/>
    </row>
    <row r="10809" ht="33.75" customHeight="1">
      <c r="A10809" s="7">
        <v>453.0</v>
      </c>
      <c r="B10809" s="9" t="s">
        <v>16300</v>
      </c>
      <c r="C10809" s="9" t="s">
        <v>16301</v>
      </c>
      <c r="D10809" s="9" t="s">
        <v>81</v>
      </c>
      <c r="E10809" s="6" t="s">
        <v>16302</v>
      </c>
      <c r="F10809" t="inlineStr" s="10">
        <is>
          <t xml:space="preserve">Croagunkin poskissa on myrkkypusseja. Se yrittää yllättää viholliset ja iskeä heitä myrkyllisillä sormilla. Se täyttää myrkkypussinsa ja päästää aavemaisen, pelotellakseen oloaan uhkaavan ulisevan äänen. Se taistelee harvoin reilusti, mutta se on ehdottomasti selviytymisen varmistamiseksi. Se on suosittu maskotti. Sen sormesta puristettu neste, vaikkakin myrkyllinen, on merkittävä ainesosa alaselkäkipujen hoidossa. Se täyttää myrkkypussinsa, täyttää alueen oudolla äänellä ja iskee säpsähteleviä vastustajia myrkkypistolla. Se päästää pelottavia ääniä myrkkyä sisältävistä poskipussistaan. Kun vastustajat säpsähtävät, Croagunk iskee heihin myrkkypistolla. Laimennettuna sen myrkystä tulee lääkettä. Tämä Pokémon tuli suosituksi, kun lääkeyhtiö valitsi sen maskotiksi. Myrkynkäyttäjä, jolla on ilkeämielinen persoonallisuus. Näistä ominaisuuksista huolimatta tämä laji on saavuttanut suosiota omituisen huutonsa ja koomisten piirteidensä ansiosta.</t>
        </is>
      </c>
    </row>
    <row r="10810" ht="33.75" customHeight="1">
      <c r="A10810" s="7">
        <v>453.0</v>
      </c>
      <c r="B10810" s="9" t="s">
        <v>16300</v>
      </c>
      <c r="C10810" s="9" t="s">
        <v>16301</v>
      </c>
      <c r="D10810" s="9" t="s">
        <v>84</v>
      </c>
      <c r="E10810" s="6" t="s">
        <v>16303</v>
      </c>
      <c r="F10810" s="9"/>
    </row>
    <row r="10811" ht="33.75" customHeight="1">
      <c r="A10811" s="7">
        <v>453.0</v>
      </c>
      <c r="B10811" s="9" t="s">
        <v>16300</v>
      </c>
      <c r="C10811" s="9" t="s">
        <v>16301</v>
      </c>
      <c r="D10811" s="9" t="s">
        <v>87</v>
      </c>
      <c r="E10811" s="6" t="s">
        <v>16304</v>
      </c>
      <c r="F10811" s="9"/>
    </row>
    <row r="10812" ht="33.75" customHeight="1">
      <c r="A10812" s="7">
        <v>453.0</v>
      </c>
      <c r="B10812" s="9" t="s">
        <v>16300</v>
      </c>
      <c r="C10812" s="9" t="s">
        <v>16301</v>
      </c>
      <c r="D10812" s="9" t="s">
        <v>89</v>
      </c>
      <c r="E10812" s="6" t="s">
        <v>16305</v>
      </c>
      <c r="F10812" s="9"/>
    </row>
    <row r="10813" ht="33.75" customHeight="1">
      <c r="A10813" s="7">
        <v>453.0</v>
      </c>
      <c r="B10813" s="9" t="s">
        <v>16300</v>
      </c>
      <c r="C10813" s="9" t="s">
        <v>16301</v>
      </c>
      <c r="D10813" s="9" t="s">
        <v>91</v>
      </c>
      <c r="E10813" s="6" t="s">
        <v>16305</v>
      </c>
      <c r="F10813" s="9"/>
    </row>
    <row r="10814" ht="33.75" customHeight="1">
      <c r="A10814" s="7">
        <v>453.0</v>
      </c>
      <c r="B10814" s="9" t="s">
        <v>16300</v>
      </c>
      <c r="C10814" s="9" t="s">
        <v>16301</v>
      </c>
      <c r="D10814" s="9" t="s">
        <v>93</v>
      </c>
      <c r="E10814" s="6" t="s">
        <v>16304</v>
      </c>
      <c r="F10814" s="9"/>
    </row>
    <row r="10815" ht="33.75" customHeight="1">
      <c r="A10815" s="7">
        <v>453.0</v>
      </c>
      <c r="B10815" s="9" t="s">
        <v>16300</v>
      </c>
      <c r="C10815" s="9" t="s">
        <v>16301</v>
      </c>
      <c r="D10815" s="9" t="s">
        <v>95</v>
      </c>
      <c r="E10815" s="6" t="s">
        <v>16304</v>
      </c>
      <c r="F10815" s="9"/>
    </row>
    <row r="10816" ht="33.75" customHeight="1">
      <c r="A10816" s="7">
        <v>453.0</v>
      </c>
      <c r="B10816" s="9" t="s">
        <v>16300</v>
      </c>
      <c r="C10816" s="9" t="s">
        <v>16301</v>
      </c>
      <c r="D10816" s="9" t="s">
        <v>98</v>
      </c>
      <c r="E10816" s="6" t="s">
        <v>16307</v>
      </c>
      <c r="F10816" s="9"/>
    </row>
    <row r="10817" ht="33.75" customHeight="1">
      <c r="A10817" s="7">
        <v>453.0</v>
      </c>
      <c r="B10817" s="9" t="s">
        <v>16300</v>
      </c>
      <c r="C10817" s="9" t="s">
        <v>16301</v>
      </c>
      <c r="D10817" s="9" t="s">
        <v>99</v>
      </c>
      <c r="E10817" s="6" t="s">
        <v>16307</v>
      </c>
      <c r="F10817" s="9"/>
    </row>
    <row r="10818" ht="33.75" customHeight="1">
      <c r="A10818" s="7">
        <v>453.0</v>
      </c>
      <c r="B10818" s="9" t="s">
        <v>16300</v>
      </c>
      <c r="C10818" s="9" t="s">
        <v>16301</v>
      </c>
      <c r="D10818" s="9" t="s">
        <v>101</v>
      </c>
      <c r="E10818" s="6" t="s">
        <v>16302</v>
      </c>
      <c r="F10818" s="9"/>
    </row>
    <row r="10819" ht="33.75" customHeight="1">
      <c r="A10819" s="7">
        <v>453.0</v>
      </c>
      <c r="B10819" s="9" t="s">
        <v>16300</v>
      </c>
      <c r="C10819" s="9" t="s">
        <v>16301</v>
      </c>
      <c r="D10819" s="9" t="s">
        <v>105</v>
      </c>
      <c r="E10819" s="6" t="s">
        <v>16307</v>
      </c>
      <c r="F10819" s="9"/>
    </row>
    <row r="10820" ht="33.75" customHeight="1">
      <c r="A10820" s="7">
        <v>453.0</v>
      </c>
      <c r="B10820" s="9" t="s">
        <v>16300</v>
      </c>
      <c r="C10820" s="9" t="s">
        <v>16301</v>
      </c>
      <c r="D10820" s="9" t="s">
        <v>107</v>
      </c>
      <c r="E10820" s="6" t="s">
        <v>16302</v>
      </c>
      <c r="F10820" s="9"/>
    </row>
    <row r="10821" ht="33.75" customHeight="1">
      <c r="A10821" s="7">
        <v>453.0</v>
      </c>
      <c r="B10821" s="9" t="s">
        <v>16300</v>
      </c>
      <c r="C10821" s="9" t="s">
        <v>16301</v>
      </c>
      <c r="D10821" s="9" t="s">
        <v>109</v>
      </c>
      <c r="E10821" s="6" t="s">
        <v>16307</v>
      </c>
      <c r="F10821" s="9"/>
    </row>
    <row r="10822" ht="33.75" customHeight="1">
      <c r="A10822" s="7">
        <v>453.0</v>
      </c>
      <c r="B10822" s="9" t="s">
        <v>16300</v>
      </c>
      <c r="C10822" s="9" t="s">
        <v>16301</v>
      </c>
      <c r="D10822" s="9" t="s">
        <v>114</v>
      </c>
      <c r="E10822" s="6" t="s">
        <v>16308</v>
      </c>
      <c r="F10822" s="9"/>
    </row>
    <row r="10823" ht="33.75" customHeight="1">
      <c r="A10823" s="7">
        <v>453.0</v>
      </c>
      <c r="B10823" s="9" t="s">
        <v>16300</v>
      </c>
      <c r="C10823" s="9" t="s">
        <v>16301</v>
      </c>
      <c r="D10823" s="9" t="s">
        <v>117</v>
      </c>
      <c r="E10823" s="6" t="s">
        <v>16309</v>
      </c>
      <c r="F10823" s="9"/>
    </row>
    <row r="10824" ht="33.75" customHeight="1">
      <c r="A10824" s="7">
        <v>453.0</v>
      </c>
      <c r="B10824" s="9" t="s">
        <v>16300</v>
      </c>
      <c r="C10824" s="9" t="s">
        <v>16301</v>
      </c>
      <c r="D10824" s="9" t="s">
        <v>1577</v>
      </c>
      <c r="E10824" s="6" t="s">
        <v>16310</v>
      </c>
      <c r="F10824" s="9"/>
    </row>
    <row r="10825" ht="33.75" customHeight="1">
      <c r="A10825" s="7">
        <v>454.0</v>
      </c>
      <c r="B10825" s="9" t="s">
        <v>16311</v>
      </c>
      <c r="C10825" s="9" t="s">
        <v>16301</v>
      </c>
      <c r="D10825" s="9" t="s">
        <v>81</v>
      </c>
      <c r="E10825" s="6" t="s">
        <v>16312</v>
      </c>
      <c r="F10825" t="inlineStr" s="10">
        <is>
          <t xml:space="preserve">Toxicroakin rystysten kynnet erittävät niin myrkyllistä myrkkyä, että jo naarmu voi olla kohtalokas. Myrkkypusseissaan tuotettu toksiini pumpataan rystysten kynsiin putkien kautta sen käsivarsia pitkin. Sen kurkussa on myrkkypussi. Kun se kähisee, varastoitu myrkky kirnutaan vahvemmaksi. Se horjahtelee ja väistelee vihollistensa hyökkäyksiä, painaa joustavaa ruumistaan ​​lähelle ja syöksyy sitten esiin myrkyllisillä kynsillään. Toxicroakin ennen taistelua päästämä kähinä on tarkoitettu myrkkypussiinsa varastoiman myrkyn vatkaamiseen. Se pomppii vastustajia kohti ja lävistää heidät myrkyllisillä kynsillään. Ei tarvita enempää kuin naarmu tyrmätäkseen vastustajansa. Se päästää voitonäänestyksen, kun sen saalis kaatuu tappion iskiessä. Tämä Pokémon ja Seismitoad ovat sukua toisilleen. Sen karmiininpunaiset kynnet sisältävät myrkyllistä myrkkyä. Tästä myrkystä voidaan tehdä tonic-lääke laimentamalla sitä, sekoittamalla sitä useisiin villiheinälajeihin ja keittämällä sitä kahden päivän ajan.</t>
        </is>
      </c>
    </row>
    <row r="10826" ht="33.75" customHeight="1">
      <c r="A10826" s="7">
        <v>454.0</v>
      </c>
      <c r="B10826" s="9" t="s">
        <v>16311</v>
      </c>
      <c r="C10826" s="9" t="s">
        <v>16301</v>
      </c>
      <c r="D10826" s="9" t="s">
        <v>84</v>
      </c>
      <c r="E10826" s="6" t="s">
        <v>16313</v>
      </c>
      <c r="F10826" s="9"/>
    </row>
    <row r="10827" ht="33.75" customHeight="1">
      <c r="A10827" s="7">
        <v>454.0</v>
      </c>
      <c r="B10827" s="9" t="s">
        <v>16311</v>
      </c>
      <c r="C10827" s="9" t="s">
        <v>16301</v>
      </c>
      <c r="D10827" s="9" t="s">
        <v>87</v>
      </c>
      <c r="E10827" s="6" t="s">
        <v>16314</v>
      </c>
      <c r="F10827" s="9"/>
    </row>
    <row r="10828" ht="33.75" customHeight="1">
      <c r="A10828" s="7">
        <v>454.0</v>
      </c>
      <c r="B10828" s="9" t="s">
        <v>16311</v>
      </c>
      <c r="C10828" s="9" t="s">
        <v>16301</v>
      </c>
      <c r="D10828" s="9" t="s">
        <v>89</v>
      </c>
      <c r="E10828" s="6" t="s">
        <v>16315</v>
      </c>
      <c r="F10828" s="9"/>
    </row>
    <row r="10829" ht="33.75" customHeight="1">
      <c r="A10829" s="7">
        <v>454.0</v>
      </c>
      <c r="B10829" s="9" t="s">
        <v>16311</v>
      </c>
      <c r="C10829" s="9" t="s">
        <v>16301</v>
      </c>
      <c r="D10829" s="9" t="s">
        <v>91</v>
      </c>
      <c r="E10829" s="6" t="s">
        <v>16315</v>
      </c>
      <c r="F10829" s="9"/>
    </row>
    <row r="10830" ht="33.75" customHeight="1">
      <c r="A10830" s="7">
        <v>454.0</v>
      </c>
      <c r="B10830" s="9" t="s">
        <v>16311</v>
      </c>
      <c r="C10830" s="9" t="s">
        <v>16301</v>
      </c>
      <c r="D10830" s="9" t="s">
        <v>93</v>
      </c>
      <c r="E10830" s="6" t="s">
        <v>16314</v>
      </c>
      <c r="F10830" s="9"/>
    </row>
    <row r="10831" ht="33.75" customHeight="1">
      <c r="A10831" s="7">
        <v>454.0</v>
      </c>
      <c r="B10831" s="9" t="s">
        <v>16311</v>
      </c>
      <c r="C10831" s="9" t="s">
        <v>16301</v>
      </c>
      <c r="D10831" s="9" t="s">
        <v>95</v>
      </c>
      <c r="E10831" s="6" t="s">
        <v>16314</v>
      </c>
      <c r="F10831" s="9"/>
    </row>
    <row r="10832" ht="33.75" customHeight="1">
      <c r="A10832" s="7">
        <v>454.0</v>
      </c>
      <c r="B10832" s="9" t="s">
        <v>16311</v>
      </c>
      <c r="C10832" s="9" t="s">
        <v>16301</v>
      </c>
      <c r="D10832" s="9" t="s">
        <v>98</v>
      </c>
      <c r="E10832" s="6" t="s">
        <v>16317</v>
      </c>
      <c r="F10832" s="9"/>
    </row>
    <row r="10833" ht="33.75" customHeight="1">
      <c r="A10833" s="7">
        <v>454.0</v>
      </c>
      <c r="B10833" s="9" t="s">
        <v>16311</v>
      </c>
      <c r="C10833" s="9" t="s">
        <v>16301</v>
      </c>
      <c r="D10833" s="9" t="s">
        <v>99</v>
      </c>
      <c r="E10833" s="6" t="s">
        <v>16317</v>
      </c>
      <c r="F10833" s="9"/>
    </row>
    <row r="10834" ht="33.75" customHeight="1">
      <c r="A10834" s="7">
        <v>454.0</v>
      </c>
      <c r="B10834" s="9" t="s">
        <v>16311</v>
      </c>
      <c r="C10834" s="9" t="s">
        <v>16301</v>
      </c>
      <c r="D10834" s="9" t="s">
        <v>101</v>
      </c>
      <c r="E10834" s="6" t="s">
        <v>16314</v>
      </c>
      <c r="F10834" s="9"/>
    </row>
    <row r="10835" ht="33.75" customHeight="1">
      <c r="A10835" s="7">
        <v>454.0</v>
      </c>
      <c r="B10835" s="9" t="s">
        <v>16311</v>
      </c>
      <c r="C10835" s="9" t="s">
        <v>16301</v>
      </c>
      <c r="D10835" s="9" t="s">
        <v>105</v>
      </c>
      <c r="E10835" s="6" t="s">
        <v>16312</v>
      </c>
      <c r="F10835" s="9"/>
    </row>
    <row r="10836" ht="33.75" customHeight="1">
      <c r="A10836" s="7">
        <v>454.0</v>
      </c>
      <c r="B10836" s="9" t="s">
        <v>16311</v>
      </c>
      <c r="C10836" s="9" t="s">
        <v>16301</v>
      </c>
      <c r="D10836" s="9" t="s">
        <v>107</v>
      </c>
      <c r="E10836" s="6" t="s">
        <v>16314</v>
      </c>
      <c r="F10836" s="9"/>
    </row>
    <row r="10837" ht="33.75" customHeight="1">
      <c r="A10837" s="7">
        <v>454.0</v>
      </c>
      <c r="B10837" s="9" t="s">
        <v>16311</v>
      </c>
      <c r="C10837" s="9" t="s">
        <v>16301</v>
      </c>
      <c r="D10837" s="9" t="s">
        <v>109</v>
      </c>
      <c r="E10837" s="6" t="s">
        <v>16312</v>
      </c>
      <c r="F10837" s="9"/>
    </row>
    <row r="10838" ht="33.75" customHeight="1">
      <c r="A10838" s="7">
        <v>454.0</v>
      </c>
      <c r="B10838" s="9" t="s">
        <v>16311</v>
      </c>
      <c r="C10838" s="9" t="s">
        <v>16301</v>
      </c>
      <c r="D10838" s="9" t="s">
        <v>114</v>
      </c>
      <c r="E10838" s="6" t="s">
        <v>16318</v>
      </c>
      <c r="F10838" s="9"/>
    </row>
    <row r="10839" ht="33.75" customHeight="1">
      <c r="A10839" s="7">
        <v>454.0</v>
      </c>
      <c r="B10839" s="9" t="s">
        <v>16311</v>
      </c>
      <c r="C10839" s="9" t="s">
        <v>16301</v>
      </c>
      <c r="D10839" s="9" t="s">
        <v>117</v>
      </c>
      <c r="E10839" s="6" t="s">
        <v>16319</v>
      </c>
      <c r="F10839" s="9"/>
    </row>
    <row r="10840" ht="33.75" customHeight="1">
      <c r="A10840" s="7">
        <v>454.0</v>
      </c>
      <c r="B10840" s="9" t="s">
        <v>16311</v>
      </c>
      <c r="C10840" s="9" t="s">
        <v>16301</v>
      </c>
      <c r="D10840" s="9" t="s">
        <v>1577</v>
      </c>
      <c r="E10840" s="6" t="s">
        <v>16320</v>
      </c>
      <c r="F10840" s="9"/>
    </row>
    <row r="10841" ht="33.75" customHeight="1">
      <c r="A10841" s="7">
        <v>455.0</v>
      </c>
      <c r="B10841" s="9" t="s">
        <v>16321</v>
      </c>
      <c r="C10841" s="9" t="s">
        <v>16322</v>
      </c>
      <c r="D10841" s="9" t="s">
        <v>81</v>
      </c>
      <c r="E10841" s="6" t="s">
        <v>16323</v>
      </c>
      <c r="F10841" t="inlineStr" s="10">
        <is>
          <t xml:space="preserve">Carnivine houkuttelee saalista makeanhajuisella syljellään ja sitten pureskelee sitä. Saaliin syömiseen kuluu kokonainen päivä. Se roikkuu oksista lonkeroiden avulla ja näyttää kasvilta. Se odottaa saalista suu ammollaan. Se kiinnittyy puihin soilla. Se houkuttelee saalista makeanhajuisella kuolallaan ja nielee sen alas. Se kävelee lonkeroillaan etsien puun oksaa, josta se voi roikkua alas ja väijyttää saalista. Se väijyy saalista lonkeroillaan kiinnittäen itsensä puihin ja houkuttelee sitä lähelleen makeantuoksuisella kuolallaan. Se houkuttelee saalista makeanhajuisella syljellään ja sitten jyrää sen. Se houkuttelee saalista makeantuoksuisella kuolallaan ja nielee sen alas. Vaikka tämä on kasvi-Pokémon, sillä on ahne ja kuriton luonne. Carnivine hyökkää saaliinsa kimppuun ammollaan oleva luolamainen kita.</t>
        </is>
      </c>
    </row>
    <row r="10842" ht="33.75" customHeight="1">
      <c r="A10842" s="7">
        <v>455.0</v>
      </c>
      <c r="B10842" s="9" t="s">
        <v>16321</v>
      </c>
      <c r="C10842" s="9" t="s">
        <v>16322</v>
      </c>
      <c r="D10842" s="9" t="s">
        <v>84</v>
      </c>
      <c r="E10842" s="6" t="s">
        <v>16325</v>
      </c>
      <c r="F10842" s="9"/>
    </row>
    <row r="10843" ht="33.75" customHeight="1">
      <c r="A10843" s="7">
        <v>455.0</v>
      </c>
      <c r="B10843" s="9" t="s">
        <v>16321</v>
      </c>
      <c r="C10843" s="9" t="s">
        <v>16322</v>
      </c>
      <c r="D10843" s="9" t="s">
        <v>87</v>
      </c>
      <c r="E10843" s="6" t="s">
        <v>16326</v>
      </c>
      <c r="F10843" s="9"/>
    </row>
    <row r="10844" ht="33.75" customHeight="1">
      <c r="A10844" s="7">
        <v>455.0</v>
      </c>
      <c r="B10844" s="9" t="s">
        <v>16321</v>
      </c>
      <c r="C10844" s="9" t="s">
        <v>16322</v>
      </c>
      <c r="D10844" s="9" t="s">
        <v>89</v>
      </c>
      <c r="E10844" s="6" t="s">
        <v>16327</v>
      </c>
      <c r="F10844" s="9"/>
    </row>
    <row r="10845" ht="33.75" customHeight="1">
      <c r="A10845" s="7">
        <v>455.0</v>
      </c>
      <c r="B10845" s="9" t="s">
        <v>16321</v>
      </c>
      <c r="C10845" s="9" t="s">
        <v>16322</v>
      </c>
      <c r="D10845" s="9" t="s">
        <v>91</v>
      </c>
      <c r="E10845" s="6" t="s">
        <v>16327</v>
      </c>
      <c r="F10845" s="9"/>
    </row>
    <row r="10846" ht="33.75" customHeight="1">
      <c r="A10846" s="7">
        <v>455.0</v>
      </c>
      <c r="B10846" s="9" t="s">
        <v>16321</v>
      </c>
      <c r="C10846" s="9" t="s">
        <v>16322</v>
      </c>
      <c r="D10846" s="9" t="s">
        <v>93</v>
      </c>
      <c r="E10846" s="6" t="s">
        <v>16326</v>
      </c>
      <c r="F10846" s="9"/>
    </row>
    <row r="10847" ht="33.75" customHeight="1">
      <c r="A10847" s="7">
        <v>455.0</v>
      </c>
      <c r="B10847" s="9" t="s">
        <v>16321</v>
      </c>
      <c r="C10847" s="9" t="s">
        <v>16322</v>
      </c>
      <c r="D10847" s="9" t="s">
        <v>95</v>
      </c>
      <c r="E10847" s="6" t="s">
        <v>16326</v>
      </c>
      <c r="F10847" s="9"/>
    </row>
    <row r="10848" ht="33.75" customHeight="1">
      <c r="A10848" s="7">
        <v>455.0</v>
      </c>
      <c r="B10848" s="9" t="s">
        <v>16321</v>
      </c>
      <c r="C10848" s="9" t="s">
        <v>16322</v>
      </c>
      <c r="D10848" s="9" t="s">
        <v>98</v>
      </c>
      <c r="E10848" s="6" t="s">
        <v>16328</v>
      </c>
      <c r="F10848" s="9"/>
    </row>
    <row r="10849" ht="33.75" customHeight="1">
      <c r="A10849" s="7">
        <v>455.0</v>
      </c>
      <c r="B10849" s="9" t="s">
        <v>16321</v>
      </c>
      <c r="C10849" s="9" t="s">
        <v>16322</v>
      </c>
      <c r="D10849" s="9" t="s">
        <v>99</v>
      </c>
      <c r="E10849" s="6" t="s">
        <v>16328</v>
      </c>
      <c r="F10849" s="9"/>
    </row>
    <row r="10850" ht="33.75" customHeight="1">
      <c r="A10850" s="7">
        <v>455.0</v>
      </c>
      <c r="B10850" s="9" t="s">
        <v>16321</v>
      </c>
      <c r="C10850" s="9" t="s">
        <v>16322</v>
      </c>
      <c r="D10850" s="9" t="s">
        <v>101</v>
      </c>
      <c r="E10850" s="6" t="s">
        <v>16329</v>
      </c>
      <c r="F10850" s="9"/>
    </row>
    <row r="10851" ht="33.75" customHeight="1">
      <c r="A10851" s="7">
        <v>455.0</v>
      </c>
      <c r="B10851" s="9" t="s">
        <v>16321</v>
      </c>
      <c r="C10851" s="9" t="s">
        <v>16322</v>
      </c>
      <c r="D10851" s="9" t="s">
        <v>105</v>
      </c>
      <c r="E10851" s="6" t="s">
        <v>16330</v>
      </c>
      <c r="F10851" s="9"/>
    </row>
    <row r="10852" ht="33.75" customHeight="1">
      <c r="A10852" s="7">
        <v>455.0</v>
      </c>
      <c r="B10852" s="9" t="s">
        <v>16321</v>
      </c>
      <c r="C10852" s="9" t="s">
        <v>16322</v>
      </c>
      <c r="D10852" s="9" t="s">
        <v>107</v>
      </c>
      <c r="E10852" s="6" t="s">
        <v>16329</v>
      </c>
      <c r="F10852" s="9"/>
    </row>
    <row r="10853" ht="33.75" customHeight="1">
      <c r="A10853" s="7">
        <v>455.0</v>
      </c>
      <c r="B10853" s="9" t="s">
        <v>16321</v>
      </c>
      <c r="C10853" s="9" t="s">
        <v>16322</v>
      </c>
      <c r="D10853" s="9" t="s">
        <v>109</v>
      </c>
      <c r="E10853" s="6" t="s">
        <v>16330</v>
      </c>
      <c r="F10853" s="9"/>
    </row>
    <row r="10854" ht="33.75" customHeight="1">
      <c r="A10854" s="7">
        <v>455.0</v>
      </c>
      <c r="B10854" s="9" t="s">
        <v>16321</v>
      </c>
      <c r="C10854" s="9" t="s">
        <v>16322</v>
      </c>
      <c r="D10854" s="9" t="s">
        <v>1577</v>
      </c>
      <c r="E10854" s="6" t="s">
        <v>16331</v>
      </c>
      <c r="F10854" s="9"/>
    </row>
    <row r="10855" ht="33.75" customHeight="1">
      <c r="A10855" s="7">
        <v>456.0</v>
      </c>
      <c r="B10855" s="9" t="s">
        <v>16332</v>
      </c>
      <c r="C10855" s="9" t="s">
        <v>16333</v>
      </c>
      <c r="D10855" s="9" t="s">
        <v>81</v>
      </c>
      <c r="E10855" s="6" t="s">
        <v>16334</v>
      </c>
      <c r="F10855" t="inlineStr" s="10">
        <is>
          <t xml:space="preserve">Pitkän auringonvalolle altistumisen jälkeen Finneonin pyrstöevien kuviot loistavat kirkkaasti pimeän laskeutuessa. Tapa, jolla sen kaksi pyrstöevää lepattavat uidessa, on ansainnut sille lempinimen "Meren KAUNIS". Sen kylkeä pitkin kulkeva viiva voi varastoida auringonvaloa. Se loistaa kirkkaasti yöllä. Uimalla ja kahdella pyrstöevällään se näyttää KAUNISELTA. Yöllä sen pyrstöevien kuviot hohtavat pehmeästi. Se imee auringonvaloa ihonsa vaaleanpunaisilla alueilla, jotka sitten hohtavat. Tämä näyttää olevan eräänlainen naamiointi. Sen kaksinkertaiset pyrstöevät vauhdittavat sen energisiä hyppyjä. Kun se rikkoo merenpinnan, Wingull syöksyy alas napatakseen sen lennossa. Illan laskeutuessa niiden vaaleanpunaiset kuviot alkavat loistaa. Ne ovat sukeltajien suosiossa, joten on olemassa lomakohteita, jotka ruokkivat niitä pitääkseen ne lähellä. Se houkuttelee saalista kiiltävillä pyrstöevillä. Se pysyy lähellä pintaa päivällä ja siirtyy syvyyksiin yön laskeutuessa. Mikä upea näky tämä Pokémon onkaan uiessaan pitkien, vaaleanpunaisten pyrstöeviensä lepattaessa perässä. Finneonin kaunis ulkonäkö on johtanut sen lempinimeen: "hieno kala".</t>
        </is>
      </c>
    </row>
    <row r="10856" ht="33.75" customHeight="1">
      <c r="A10856" s="7">
        <v>456.0</v>
      </c>
      <c r="B10856" s="9" t="s">
        <v>16332</v>
      </c>
      <c r="C10856" s="9" t="s">
        <v>16333</v>
      </c>
      <c r="D10856" s="9" t="s">
        <v>84</v>
      </c>
      <c r="E10856" s="6" t="s">
        <v>16335</v>
      </c>
      <c r="F10856" s="9"/>
    </row>
    <row r="10857" ht="33.75" customHeight="1">
      <c r="A10857" s="7">
        <v>456.0</v>
      </c>
      <c r="B10857" s="9" t="s">
        <v>16332</v>
      </c>
      <c r="C10857" s="9" t="s">
        <v>16333</v>
      </c>
      <c r="D10857" s="9" t="s">
        <v>87</v>
      </c>
      <c r="E10857" s="6" t="s">
        <v>16337</v>
      </c>
      <c r="F10857" s="9"/>
    </row>
    <row r="10858" ht="33.75" customHeight="1">
      <c r="A10858" s="7">
        <v>456.0</v>
      </c>
      <c r="B10858" s="9" t="s">
        <v>16332</v>
      </c>
      <c r="C10858" s="9" t="s">
        <v>16333</v>
      </c>
      <c r="D10858" s="9" t="s">
        <v>89</v>
      </c>
      <c r="E10858" s="6" t="s">
        <v>16338</v>
      </c>
      <c r="F10858" s="9"/>
    </row>
    <row r="10859" ht="33.75" customHeight="1">
      <c r="A10859" s="7">
        <v>456.0</v>
      </c>
      <c r="B10859" s="9" t="s">
        <v>16332</v>
      </c>
      <c r="C10859" s="9" t="s">
        <v>16333</v>
      </c>
      <c r="D10859" s="9" t="s">
        <v>91</v>
      </c>
      <c r="E10859" s="6" t="s">
        <v>16338</v>
      </c>
      <c r="F10859" s="9"/>
    </row>
    <row r="10860" ht="33.75" customHeight="1">
      <c r="A10860" s="7">
        <v>456.0</v>
      </c>
      <c r="B10860" s="9" t="s">
        <v>16332</v>
      </c>
      <c r="C10860" s="9" t="s">
        <v>16333</v>
      </c>
      <c r="D10860" s="9" t="s">
        <v>93</v>
      </c>
      <c r="E10860" s="6" t="s">
        <v>16337</v>
      </c>
      <c r="F10860" s="9"/>
    </row>
    <row r="10861" ht="33.75" customHeight="1">
      <c r="A10861" s="7">
        <v>456.0</v>
      </c>
      <c r="B10861" s="9" t="s">
        <v>16332</v>
      </c>
      <c r="C10861" s="9" t="s">
        <v>16333</v>
      </c>
      <c r="D10861" s="9" t="s">
        <v>95</v>
      </c>
      <c r="E10861" s="6" t="s">
        <v>16337</v>
      </c>
      <c r="F10861" s="9"/>
    </row>
    <row r="10862" ht="33.75" customHeight="1">
      <c r="A10862" s="7">
        <v>456.0</v>
      </c>
      <c r="B10862" s="9" t="s">
        <v>16332</v>
      </c>
      <c r="C10862" s="9" t="s">
        <v>16333</v>
      </c>
      <c r="D10862" s="9" t="s">
        <v>98</v>
      </c>
      <c r="E10862" s="6" t="s">
        <v>16337</v>
      </c>
      <c r="F10862" s="9"/>
    </row>
    <row r="10863" ht="33.75" customHeight="1">
      <c r="A10863" s="7">
        <v>456.0</v>
      </c>
      <c r="B10863" s="9" t="s">
        <v>16332</v>
      </c>
      <c r="C10863" s="9" t="s">
        <v>16333</v>
      </c>
      <c r="D10863" s="9" t="s">
        <v>99</v>
      </c>
      <c r="E10863" s="6" t="s">
        <v>16337</v>
      </c>
      <c r="F10863" s="9"/>
    </row>
    <row r="10864" ht="33.75" customHeight="1">
      <c r="A10864" s="7">
        <v>456.0</v>
      </c>
      <c r="B10864" s="9" t="s">
        <v>16332</v>
      </c>
      <c r="C10864" s="9" t="s">
        <v>16333</v>
      </c>
      <c r="D10864" s="9" t="s">
        <v>101</v>
      </c>
      <c r="E10864" s="6" t="s">
        <v>16337</v>
      </c>
      <c r="F10864" s="9"/>
    </row>
    <row r="10865" ht="33.75" customHeight="1">
      <c r="A10865" s="7">
        <v>456.0</v>
      </c>
      <c r="B10865" s="9" t="s">
        <v>16332</v>
      </c>
      <c r="C10865" s="9" t="s">
        <v>16333</v>
      </c>
      <c r="D10865" s="9" t="s">
        <v>105</v>
      </c>
      <c r="E10865" s="6" t="s">
        <v>16334</v>
      </c>
      <c r="F10865" s="9"/>
    </row>
    <row r="10866" ht="33.75" customHeight="1">
      <c r="A10866" s="7">
        <v>456.0</v>
      </c>
      <c r="B10866" s="9" t="s">
        <v>16332</v>
      </c>
      <c r="C10866" s="9" t="s">
        <v>16333</v>
      </c>
      <c r="D10866" s="9" t="s">
        <v>107</v>
      </c>
      <c r="E10866" s="6" t="s">
        <v>16337</v>
      </c>
      <c r="F10866" s="9"/>
    </row>
    <row r="10867" ht="33.75" customHeight="1">
      <c r="A10867" s="7">
        <v>456.0</v>
      </c>
      <c r="B10867" s="9" t="s">
        <v>16332</v>
      </c>
      <c r="C10867" s="9" t="s">
        <v>16333</v>
      </c>
      <c r="D10867" s="9" t="s">
        <v>109</v>
      </c>
      <c r="E10867" s="6" t="s">
        <v>16334</v>
      </c>
      <c r="F10867" s="9"/>
    </row>
    <row r="10868" ht="33.75" customHeight="1">
      <c r="A10868" s="7">
        <v>456.0</v>
      </c>
      <c r="B10868" s="9" t="s">
        <v>16332</v>
      </c>
      <c r="C10868" s="9" t="s">
        <v>16333</v>
      </c>
      <c r="D10868" s="9" t="s">
        <v>637</v>
      </c>
      <c r="E10868" s="6" t="s">
        <v>16339</v>
      </c>
      <c r="F10868" s="9"/>
    </row>
    <row r="10869" ht="33.75" customHeight="1">
      <c r="A10869" s="7">
        <v>456.0</v>
      </c>
      <c r="B10869" s="9" t="s">
        <v>16332</v>
      </c>
      <c r="C10869" s="9" t="s">
        <v>16333</v>
      </c>
      <c r="D10869" s="9" t="s">
        <v>642</v>
      </c>
      <c r="E10869" s="6" t="s">
        <v>16340</v>
      </c>
      <c r="F10869" s="9"/>
    </row>
    <row r="10870" ht="33.75" customHeight="1">
      <c r="A10870" s="7">
        <v>456.0</v>
      </c>
      <c r="B10870" s="9" t="s">
        <v>16332</v>
      </c>
      <c r="C10870" s="9" t="s">
        <v>16333</v>
      </c>
      <c r="D10870" s="9" t="s">
        <v>647</v>
      </c>
      <c r="E10870" s="6" t="s">
        <v>16341</v>
      </c>
      <c r="F10870" s="9"/>
    </row>
    <row r="10871" ht="33.75" customHeight="1">
      <c r="A10871" s="7">
        <v>456.0</v>
      </c>
      <c r="B10871" s="9" t="s">
        <v>16332</v>
      </c>
      <c r="C10871" s="9" t="s">
        <v>16333</v>
      </c>
      <c r="D10871" s="9" t="s">
        <v>652</v>
      </c>
      <c r="E10871" s="6" t="s">
        <v>16343</v>
      </c>
      <c r="F10871" s="9"/>
    </row>
    <row r="10872" ht="33.75" customHeight="1">
      <c r="A10872" s="7">
        <v>456.0</v>
      </c>
      <c r="B10872" s="9" t="s">
        <v>16332</v>
      </c>
      <c r="C10872" s="9" t="s">
        <v>16333</v>
      </c>
      <c r="D10872" s="9" t="s">
        <v>1577</v>
      </c>
      <c r="E10872" s="6" t="s">
        <v>16344</v>
      </c>
      <c r="F10872" s="9"/>
    </row>
    <row r="10873" ht="33.75" customHeight="1">
      <c r="A10873" s="7">
        <v>457.0</v>
      </c>
      <c r="B10873" s="9" t="s">
        <v>16345</v>
      </c>
      <c r="C10873" s="9" t="s">
        <v>16346</v>
      </c>
      <c r="D10873" s="9" t="s">
        <v>81</v>
      </c>
      <c r="E10873" s="6" t="s">
        <v>16347</v>
      </c>
      <c r="F10873" t="inlineStr" s="10">
        <is>
          <t xml:space="preserve">Lumineon elää syvänmeren pohjassa. Se houkuttelee saalista väläyttämällä kuvioita neljässä pyrstöevässään. Välttääkseen petoeläinten havaitsemisen se ryömii merenpohjaa pitkin käyttäen kahta rinnassaan olevaa evää. Se ryömii merenpohjaa pitkin käyttäen pitkiä etueviään jalkojen tavoin. Se kilpailee ravinnosta LANTURNin kanssa. Syvänmeren pimeydessä uivat LUMINEONIT näyttävät yötaivaalla loistavilta tähdiltä. Kirkkaalla valollaan se houkuttelee saaliinsa lähelle. Valo kuitenkin houkuttelee myös raivokkaita kala-Pokémoneja – sen luonnollisia saalistajia. Tämä syvänmeren Pokémon elää meren pohjassa. Sen evät kuljettavat sitä merenpohjan yli etsimään lempiruokaansa, Starmieta. Syvällä merenpohjassa saalista on niukasti. Lumineonit ajautuvat rajuihin kiistoihin Lanturnin kanssa ruoasta. Ne kulkevat syvissä vesissä kuin ryömisivät merenpohjaa pitkin. Sen evien fantastiset valot loistavat kuin tähdet yötaivaalla. Käyttää kiiltäviä eviään saaliinsa metsästämiseen. Näkymä Lumineonien parvesta merenpinnan lähellä yöllä on henkeäsalpaava – aivan kuin siinä olisi loistavia tähtiä.</t>
        </is>
      </c>
    </row>
    <row r="10874" ht="33.75" customHeight="1">
      <c r="A10874" s="7">
        <v>457.0</v>
      </c>
      <c r="B10874" s="9" t="s">
        <v>16345</v>
      </c>
      <c r="C10874" s="9" t="s">
        <v>16346</v>
      </c>
      <c r="D10874" s="9" t="s">
        <v>84</v>
      </c>
      <c r="E10874" s="6" t="s">
        <v>16348</v>
      </c>
      <c r="F10874" s="9"/>
    </row>
    <row r="10875" ht="33.75" customHeight="1">
      <c r="A10875" s="7">
        <v>457.0</v>
      </c>
      <c r="B10875" s="9" t="s">
        <v>16345</v>
      </c>
      <c r="C10875" s="9" t="s">
        <v>16346</v>
      </c>
      <c r="D10875" s="9" t="s">
        <v>87</v>
      </c>
      <c r="E10875" s="6" t="s">
        <v>16349</v>
      </c>
      <c r="F10875" s="9"/>
    </row>
    <row r="10876" ht="33.75" customHeight="1">
      <c r="A10876" s="7">
        <v>457.0</v>
      </c>
      <c r="B10876" s="9" t="s">
        <v>16345</v>
      </c>
      <c r="C10876" s="9" t="s">
        <v>16346</v>
      </c>
      <c r="D10876" s="9" t="s">
        <v>89</v>
      </c>
      <c r="E10876" s="6" t="s">
        <v>16350</v>
      </c>
      <c r="F10876" s="9"/>
    </row>
    <row r="10877" ht="33.75" customHeight="1">
      <c r="A10877" s="7">
        <v>457.0</v>
      </c>
      <c r="B10877" s="9" t="s">
        <v>16345</v>
      </c>
      <c r="C10877" s="9" t="s">
        <v>16346</v>
      </c>
      <c r="D10877" s="9" t="s">
        <v>91</v>
      </c>
      <c r="E10877" s="6" t="s">
        <v>16350</v>
      </c>
      <c r="F10877" s="9"/>
    </row>
    <row r="10878" ht="33.75" customHeight="1">
      <c r="A10878" s="7">
        <v>457.0</v>
      </c>
      <c r="B10878" s="9" t="s">
        <v>16345</v>
      </c>
      <c r="C10878" s="9" t="s">
        <v>16346</v>
      </c>
      <c r="D10878" s="9" t="s">
        <v>93</v>
      </c>
      <c r="E10878" s="6" t="s">
        <v>16351</v>
      </c>
      <c r="F10878" s="9"/>
    </row>
    <row r="10879" ht="33.75" customHeight="1">
      <c r="A10879" s="7">
        <v>457.0</v>
      </c>
      <c r="B10879" s="9" t="s">
        <v>16345</v>
      </c>
      <c r="C10879" s="9" t="s">
        <v>16346</v>
      </c>
      <c r="D10879" s="9" t="s">
        <v>95</v>
      </c>
      <c r="E10879" s="6" t="s">
        <v>16351</v>
      </c>
      <c r="F10879" s="9"/>
    </row>
    <row r="10880" ht="33.75" customHeight="1">
      <c r="A10880" s="7">
        <v>457.0</v>
      </c>
      <c r="B10880" s="9" t="s">
        <v>16345</v>
      </c>
      <c r="C10880" s="9" t="s">
        <v>16346</v>
      </c>
      <c r="D10880" s="9" t="s">
        <v>98</v>
      </c>
      <c r="E10880" s="6" t="s">
        <v>16351</v>
      </c>
      <c r="F10880" s="9"/>
    </row>
    <row r="10881" ht="33.75" customHeight="1">
      <c r="A10881" s="7">
        <v>457.0</v>
      </c>
      <c r="B10881" s="9" t="s">
        <v>16345</v>
      </c>
      <c r="C10881" s="9" t="s">
        <v>16346</v>
      </c>
      <c r="D10881" s="9" t="s">
        <v>99</v>
      </c>
      <c r="E10881" s="6" t="s">
        <v>16351</v>
      </c>
      <c r="F10881" s="9"/>
    </row>
    <row r="10882" ht="33.75" customHeight="1">
      <c r="A10882" s="7">
        <v>457.0</v>
      </c>
      <c r="B10882" s="9" t="s">
        <v>16345</v>
      </c>
      <c r="C10882" s="9" t="s">
        <v>16346</v>
      </c>
      <c r="D10882" s="9" t="s">
        <v>101</v>
      </c>
      <c r="E10882" s="6" t="s">
        <v>16347</v>
      </c>
      <c r="F10882" s="9"/>
    </row>
    <row r="10883" ht="33.75" customHeight="1">
      <c r="A10883" s="7">
        <v>457.0</v>
      </c>
      <c r="B10883" s="9" t="s">
        <v>16345</v>
      </c>
      <c r="C10883" s="9" t="s">
        <v>16346</v>
      </c>
      <c r="D10883" s="9" t="s">
        <v>105</v>
      </c>
      <c r="E10883" s="6" t="s">
        <v>16348</v>
      </c>
      <c r="F10883" s="9"/>
    </row>
    <row r="10884" ht="33.75" customHeight="1">
      <c r="A10884" s="7">
        <v>457.0</v>
      </c>
      <c r="B10884" s="9" t="s">
        <v>16345</v>
      </c>
      <c r="C10884" s="9" t="s">
        <v>16346</v>
      </c>
      <c r="D10884" s="9" t="s">
        <v>107</v>
      </c>
      <c r="E10884" s="6" t="s">
        <v>16347</v>
      </c>
      <c r="F10884" s="9"/>
    </row>
    <row r="10885" ht="33.75" customHeight="1">
      <c r="A10885" s="7">
        <v>457.0</v>
      </c>
      <c r="B10885" s="9" t="s">
        <v>16345</v>
      </c>
      <c r="C10885" s="9" t="s">
        <v>16346</v>
      </c>
      <c r="D10885" s="9" t="s">
        <v>109</v>
      </c>
      <c r="E10885" s="6" t="s">
        <v>16348</v>
      </c>
      <c r="F10885" s="9"/>
    </row>
    <row r="10886" ht="33.75" customHeight="1">
      <c r="A10886" s="7">
        <v>457.0</v>
      </c>
      <c r="B10886" s="9" t="s">
        <v>16345</v>
      </c>
      <c r="C10886" s="9" t="s">
        <v>16346</v>
      </c>
      <c r="D10886" s="9" t="s">
        <v>637</v>
      </c>
      <c r="E10886" s="6" t="s">
        <v>16353</v>
      </c>
      <c r="F10886" s="9"/>
    </row>
    <row r="10887" ht="33.75" customHeight="1">
      <c r="A10887" s="7">
        <v>457.0</v>
      </c>
      <c r="B10887" s="9" t="s">
        <v>16345</v>
      </c>
      <c r="C10887" s="9" t="s">
        <v>16346</v>
      </c>
      <c r="D10887" s="9" t="s">
        <v>642</v>
      </c>
      <c r="E10887" s="6" t="s">
        <v>16354</v>
      </c>
      <c r="F10887" s="9"/>
    </row>
    <row r="10888" ht="33.75" customHeight="1">
      <c r="A10888" s="7">
        <v>457.0</v>
      </c>
      <c r="B10888" s="9" t="s">
        <v>16345</v>
      </c>
      <c r="C10888" s="9" t="s">
        <v>16346</v>
      </c>
      <c r="D10888" s="9" t="s">
        <v>647</v>
      </c>
      <c r="E10888" s="6" t="s">
        <v>16355</v>
      </c>
      <c r="F10888" s="9"/>
    </row>
    <row r="10889" ht="33.75" customHeight="1">
      <c r="A10889" s="7">
        <v>457.0</v>
      </c>
      <c r="B10889" s="9" t="s">
        <v>16345</v>
      </c>
      <c r="C10889" s="9" t="s">
        <v>16346</v>
      </c>
      <c r="D10889" s="9" t="s">
        <v>652</v>
      </c>
      <c r="E10889" s="6" t="s">
        <v>16356</v>
      </c>
      <c r="F10889" s="9"/>
    </row>
    <row r="10890" ht="33.75" customHeight="1">
      <c r="A10890" s="7">
        <v>457.0</v>
      </c>
      <c r="B10890" s="9" t="s">
        <v>16345</v>
      </c>
      <c r="C10890" s="9" t="s">
        <v>16346</v>
      </c>
      <c r="D10890" s="9" t="s">
        <v>1577</v>
      </c>
      <c r="E10890" s="6" t="s">
        <v>16357</v>
      </c>
      <c r="F10890" s="9"/>
    </row>
    <row r="10891" ht="33.75" customHeight="1">
      <c r="A10891" s="7">
        <v>458.0</v>
      </c>
      <c r="B10891" s="9" t="s">
        <v>16358</v>
      </c>
      <c r="C10891" s="9" t="s">
        <v>12980</v>
      </c>
      <c r="D10891" s="9" t="s">
        <v>81</v>
      </c>
      <c r="E10891" s="6" t="s">
        <v>16359</v>
      </c>
      <c r="F10891" t="inlineStr" s="10">
        <is>
          <t xml:space="preserve">Ystävällinen Pokémon, joka tallentaa meriveden hienovaraiset virtaukset kahdella antennillaan. Tutkijat havaitsivat, että sen selän tunnusomaiset kuviot vaihtelevat alueittain. Ihmiset järjestävät retkiä nähdäkseen tämän Pokémonin leikkivän ja livahtavan aaltojen huipuilla REMORAIDin kanssa. Kun se ui lähellä merenpintaa, laivoilla olevat ihmiset pystyvät havaitsemaan sen selässä olevan kuvion. Sen selän kuvio vaihtelee alueittain. Se ui usein remoraidien parvessa. Se on erittäin ystävällinen ja helposti kesytettävä. Mantyken kanssa uivat retket ovat erittäin suosittuja ranta-aktiviteetteja. Mantyket ovat ystävällisiä ihmisiä kohtaan ja lähestyvät veneitä läheltä. Niiden selkäkuviot vaihtelevat elinympäristöstä riippuen. Galarissa asuvat mantykit vaikuttavat olevan hieman hitaita. Syynä saattaa olla alueen kylmemmät merivedet. Se ui remoraidien parven mukana, ja ne kaikki taistelevat yhdessä torjuakseen hyökkääjät. Vaikka tämä Pokémon on muodoltaan pallomainen, se on taitava uimari. Olen havainnut, että jos Mantyke viettää paljon aikaa Remoraidien parvissa, se lopulta saavuttaa evoluution.</t>
        </is>
      </c>
    </row>
    <row r="10892" ht="33.75" customHeight="1">
      <c r="A10892" s="7">
        <v>458.0</v>
      </c>
      <c r="B10892" s="9" t="s">
        <v>16358</v>
      </c>
      <c r="C10892" s="9" t="s">
        <v>12980</v>
      </c>
      <c r="D10892" s="9" t="s">
        <v>84</v>
      </c>
      <c r="E10892" s="6" t="s">
        <v>16360</v>
      </c>
      <c r="F10892" s="9"/>
    </row>
    <row r="10893" ht="33.75" customHeight="1">
      <c r="A10893" s="7">
        <v>458.0</v>
      </c>
      <c r="B10893" s="9" t="s">
        <v>16358</v>
      </c>
      <c r="C10893" s="9" t="s">
        <v>12980</v>
      </c>
      <c r="D10893" s="9" t="s">
        <v>87</v>
      </c>
      <c r="E10893" s="6" t="s">
        <v>16361</v>
      </c>
      <c r="F10893" s="9"/>
    </row>
    <row r="10894" ht="33.75" customHeight="1">
      <c r="A10894" s="7">
        <v>458.0</v>
      </c>
      <c r="B10894" s="9" t="s">
        <v>16358</v>
      </c>
      <c r="C10894" s="9" t="s">
        <v>12980</v>
      </c>
      <c r="D10894" s="9" t="s">
        <v>89</v>
      </c>
      <c r="E10894" s="6" t="s">
        <v>16362</v>
      </c>
      <c r="F10894" s="9"/>
    </row>
    <row r="10895" ht="33.75" customHeight="1">
      <c r="A10895" s="7">
        <v>458.0</v>
      </c>
      <c r="B10895" s="9" t="s">
        <v>16358</v>
      </c>
      <c r="C10895" s="9" t="s">
        <v>12980</v>
      </c>
      <c r="D10895" s="9" t="s">
        <v>91</v>
      </c>
      <c r="E10895" s="6" t="s">
        <v>16362</v>
      </c>
      <c r="F10895" s="9"/>
    </row>
    <row r="10896" ht="33.75" customHeight="1">
      <c r="A10896" s="7">
        <v>458.0</v>
      </c>
      <c r="B10896" s="9" t="s">
        <v>16358</v>
      </c>
      <c r="C10896" s="9" t="s">
        <v>12980</v>
      </c>
      <c r="D10896" s="9" t="s">
        <v>93</v>
      </c>
      <c r="E10896" s="6" t="s">
        <v>16363</v>
      </c>
      <c r="F10896" s="9"/>
    </row>
    <row r="10897" ht="33.75" customHeight="1">
      <c r="A10897" s="7">
        <v>458.0</v>
      </c>
      <c r="B10897" s="9" t="s">
        <v>16358</v>
      </c>
      <c r="C10897" s="9" t="s">
        <v>12980</v>
      </c>
      <c r="D10897" s="9" t="s">
        <v>95</v>
      </c>
      <c r="E10897" s="6" t="s">
        <v>16363</v>
      </c>
      <c r="F10897" s="9"/>
    </row>
    <row r="10898" ht="33.75" customHeight="1">
      <c r="A10898" s="7">
        <v>458.0</v>
      </c>
      <c r="B10898" s="9" t="s">
        <v>16358</v>
      </c>
      <c r="C10898" s="9" t="s">
        <v>12980</v>
      </c>
      <c r="D10898" s="9" t="s">
        <v>98</v>
      </c>
      <c r="E10898" s="6" t="s">
        <v>16365</v>
      </c>
      <c r="F10898" s="9"/>
    </row>
    <row r="10899" ht="33.75" customHeight="1">
      <c r="A10899" s="7">
        <v>458.0</v>
      </c>
      <c r="B10899" s="9" t="s">
        <v>16358</v>
      </c>
      <c r="C10899" s="9" t="s">
        <v>12980</v>
      </c>
      <c r="D10899" s="9" t="s">
        <v>99</v>
      </c>
      <c r="E10899" s="6" t="s">
        <v>16365</v>
      </c>
      <c r="F10899" s="9"/>
    </row>
    <row r="10900" ht="33.75" customHeight="1">
      <c r="A10900" s="7">
        <v>458.0</v>
      </c>
      <c r="B10900" s="9" t="s">
        <v>16358</v>
      </c>
      <c r="C10900" s="9" t="s">
        <v>12980</v>
      </c>
      <c r="D10900" s="9" t="s">
        <v>101</v>
      </c>
      <c r="E10900" s="6" t="s">
        <v>16365</v>
      </c>
      <c r="F10900" s="9"/>
    </row>
    <row r="10901" ht="33.75" customHeight="1">
      <c r="A10901" s="7">
        <v>458.0</v>
      </c>
      <c r="B10901" s="9" t="s">
        <v>16358</v>
      </c>
      <c r="C10901" s="9" t="s">
        <v>12980</v>
      </c>
      <c r="D10901" s="9" t="s">
        <v>105</v>
      </c>
      <c r="E10901" s="6" t="s">
        <v>16362</v>
      </c>
      <c r="F10901" s="9"/>
    </row>
    <row r="10902" ht="33.75" customHeight="1">
      <c r="A10902" s="7">
        <v>458.0</v>
      </c>
      <c r="B10902" s="9" t="s">
        <v>16358</v>
      </c>
      <c r="C10902" s="9" t="s">
        <v>12980</v>
      </c>
      <c r="D10902" s="9" t="s">
        <v>107</v>
      </c>
      <c r="E10902" s="6" t="s">
        <v>16365</v>
      </c>
      <c r="F10902" s="9"/>
    </row>
    <row r="10903" ht="33.75" customHeight="1">
      <c r="A10903" s="7">
        <v>458.0</v>
      </c>
      <c r="B10903" s="9" t="s">
        <v>16358</v>
      </c>
      <c r="C10903" s="9" t="s">
        <v>12980</v>
      </c>
      <c r="D10903" s="9" t="s">
        <v>109</v>
      </c>
      <c r="E10903" s="6" t="s">
        <v>16362</v>
      </c>
      <c r="F10903" s="9"/>
    </row>
    <row r="10904" ht="33.75" customHeight="1">
      <c r="A10904" s="7">
        <v>458.0</v>
      </c>
      <c r="B10904" s="9" t="s">
        <v>16358</v>
      </c>
      <c r="C10904" s="9" t="s">
        <v>12980</v>
      </c>
      <c r="D10904" s="9" t="s">
        <v>647</v>
      </c>
      <c r="E10904" s="6" t="s">
        <v>16366</v>
      </c>
      <c r="F10904" s="9"/>
    </row>
    <row r="10905" ht="33.75" customHeight="1">
      <c r="A10905" s="7">
        <v>458.0</v>
      </c>
      <c r="B10905" s="9" t="s">
        <v>16358</v>
      </c>
      <c r="C10905" s="9" t="s">
        <v>12980</v>
      </c>
      <c r="D10905" s="9" t="s">
        <v>652</v>
      </c>
      <c r="E10905" s="6" t="s">
        <v>16367</v>
      </c>
      <c r="F10905" s="9"/>
    </row>
    <row r="10906" ht="33.75" customHeight="1">
      <c r="A10906" s="7">
        <v>458.0</v>
      </c>
      <c r="B10906" s="9" t="s">
        <v>16358</v>
      </c>
      <c r="C10906" s="9" t="s">
        <v>12980</v>
      </c>
      <c r="D10906" s="9" t="s">
        <v>114</v>
      </c>
      <c r="E10906" s="6" t="s">
        <v>16368</v>
      </c>
      <c r="F10906" s="9"/>
    </row>
    <row r="10907" ht="33.75" customHeight="1">
      <c r="A10907" s="7">
        <v>458.0</v>
      </c>
      <c r="B10907" s="9" t="s">
        <v>16358</v>
      </c>
      <c r="C10907" s="9" t="s">
        <v>12980</v>
      </c>
      <c r="D10907" s="9" t="s">
        <v>117</v>
      </c>
      <c r="E10907" s="6" t="s">
        <v>16369</v>
      </c>
      <c r="F10907" s="9"/>
    </row>
    <row r="10908" ht="33.75" customHeight="1">
      <c r="A10908" s="7">
        <v>458.0</v>
      </c>
      <c r="B10908" s="9" t="s">
        <v>16358</v>
      </c>
      <c r="C10908" s="9" t="s">
        <v>12980</v>
      </c>
      <c r="D10908" s="9" t="s">
        <v>1577</v>
      </c>
      <c r="E10908" s="6" t="s">
        <v>16370</v>
      </c>
      <c r="F10908" s="9"/>
    </row>
    <row r="10909" ht="33.75" customHeight="1">
      <c r="A10909" s="7">
        <v>459.0</v>
      </c>
      <c r="B10909" s="9" t="s">
        <v>16371</v>
      </c>
      <c r="C10909" s="9" t="s">
        <v>16372</v>
      </c>
      <c r="D10909" s="9" t="s">
        <v>81</v>
      </c>
      <c r="E10909" s="6" t="s">
        <v>16373</v>
      </c>
      <c r="F10909" t="inlineStr" s="10">
        <is>
          <t xml:space="preserve">Snover elää lumisilla vuorilla. Koska se on ollut vähän tekemisissä ihmisten kanssa, se on erittäin utelias. Keväällä se kasvattaa vatsansa ympärille marjoja, joiden koostumus on kuin pakasteherkuilla. Näennäisesti uteliaina ihmisiä kohtaan he kerääntyvät lumisilla vuorilla löytämiensä jalanjälkien ympärille. Kylminä vuodenaikoina se vaeltaa vuoren alemmille osille. Keväällä se palaa lumipeitteiselle huipulle. Se upottaa jalkansa lumeen imeäkseen vettä ja pitääkseen oman lämpötilansa alhaisena. Sen vatsan ympärillä kasvavat marjat ovat kuin jäätelöitä. Galarian Darumaka rakastaa näitä marjoja. Tämän Pokémonin kohtaa todennäköisesti lumessa ollessaan. Tarinoiden mukaan Snover ilmestyy ihmisasutuskeskuksiin, mutta ei tee niille mitään pahaa – pikemminkin ne luovat kiintymyksen lasten kanssa.</t>
        </is>
      </c>
    </row>
    <row r="10910" ht="33.75" customHeight="1">
      <c r="A10910" s="7">
        <v>459.0</v>
      </c>
      <c r="B10910" s="9" t="s">
        <v>16371</v>
      </c>
      <c r="C10910" s="9" t="s">
        <v>16372</v>
      </c>
      <c r="D10910" s="9" t="s">
        <v>84</v>
      </c>
      <c r="E10910" s="6" t="s">
        <v>16375</v>
      </c>
      <c r="F10910" s="9"/>
    </row>
    <row r="10911" ht="33.75" customHeight="1">
      <c r="A10911" s="7">
        <v>459.0</v>
      </c>
      <c r="B10911" s="9" t="s">
        <v>16371</v>
      </c>
      <c r="C10911" s="9" t="s">
        <v>16372</v>
      </c>
      <c r="D10911" s="9" t="s">
        <v>87</v>
      </c>
      <c r="E10911" s="6" t="s">
        <v>16376</v>
      </c>
      <c r="F10911" s="9"/>
    </row>
    <row r="10912" ht="33.75" customHeight="1">
      <c r="A10912" s="7">
        <v>459.0</v>
      </c>
      <c r="B10912" s="9" t="s">
        <v>16371</v>
      </c>
      <c r="C10912" s="9" t="s">
        <v>16372</v>
      </c>
      <c r="D10912" s="9" t="s">
        <v>89</v>
      </c>
      <c r="E10912" s="6" t="s">
        <v>16377</v>
      </c>
      <c r="F10912" s="9"/>
    </row>
    <row r="10913" ht="33.75" customHeight="1">
      <c r="A10913" s="7">
        <v>459.0</v>
      </c>
      <c r="B10913" s="9" t="s">
        <v>16371</v>
      </c>
      <c r="C10913" s="9" t="s">
        <v>16372</v>
      </c>
      <c r="D10913" s="9" t="s">
        <v>91</v>
      </c>
      <c r="E10913" s="6" t="s">
        <v>16377</v>
      </c>
      <c r="F10913" s="9"/>
    </row>
    <row r="10914" ht="33.75" customHeight="1">
      <c r="A10914" s="7">
        <v>459.0</v>
      </c>
      <c r="B10914" s="9" t="s">
        <v>16371</v>
      </c>
      <c r="C10914" s="9" t="s">
        <v>16372</v>
      </c>
      <c r="D10914" s="9" t="s">
        <v>93</v>
      </c>
      <c r="E10914" s="6" t="s">
        <v>16376</v>
      </c>
      <c r="F10914" s="9"/>
    </row>
    <row r="10915" ht="33.75" customHeight="1">
      <c r="A10915" s="7">
        <v>459.0</v>
      </c>
      <c r="B10915" s="9" t="s">
        <v>16371</v>
      </c>
      <c r="C10915" s="9" t="s">
        <v>16372</v>
      </c>
      <c r="D10915" s="9" t="s">
        <v>95</v>
      </c>
      <c r="E10915" s="6" t="s">
        <v>16376</v>
      </c>
      <c r="F10915" s="9"/>
    </row>
    <row r="10916" ht="33.75" customHeight="1">
      <c r="A10916" s="7">
        <v>459.0</v>
      </c>
      <c r="B10916" s="9" t="s">
        <v>16371</v>
      </c>
      <c r="C10916" s="9" t="s">
        <v>16372</v>
      </c>
      <c r="D10916" s="9" t="s">
        <v>98</v>
      </c>
      <c r="E10916" s="6" t="s">
        <v>16376</v>
      </c>
      <c r="F10916" s="9"/>
    </row>
    <row r="10917" ht="33.75" customHeight="1">
      <c r="A10917" s="7">
        <v>459.0</v>
      </c>
      <c r="B10917" s="9" t="s">
        <v>16371</v>
      </c>
      <c r="C10917" s="9" t="s">
        <v>16372</v>
      </c>
      <c r="D10917" s="9" t="s">
        <v>99</v>
      </c>
      <c r="E10917" s="6" t="s">
        <v>16376</v>
      </c>
      <c r="F10917" s="9"/>
    </row>
    <row r="10918" ht="33.75" customHeight="1">
      <c r="A10918" s="7">
        <v>459.0</v>
      </c>
      <c r="B10918" s="9" t="s">
        <v>16371</v>
      </c>
      <c r="C10918" s="9" t="s">
        <v>16372</v>
      </c>
      <c r="D10918" s="9" t="s">
        <v>101</v>
      </c>
      <c r="E10918" s="6" t="s">
        <v>16377</v>
      </c>
      <c r="F10918" s="9"/>
    </row>
    <row r="10919" ht="33.75" customHeight="1">
      <c r="A10919" s="7">
        <v>459.0</v>
      </c>
      <c r="B10919" s="9" t="s">
        <v>16371</v>
      </c>
      <c r="C10919" s="9" t="s">
        <v>16372</v>
      </c>
      <c r="D10919" s="9" t="s">
        <v>105</v>
      </c>
      <c r="E10919" s="6" t="s">
        <v>16375</v>
      </c>
      <c r="F10919" s="9"/>
    </row>
    <row r="10920" ht="33.75" customHeight="1">
      <c r="A10920" s="7">
        <v>459.0</v>
      </c>
      <c r="B10920" s="9" t="s">
        <v>16371</v>
      </c>
      <c r="C10920" s="9" t="s">
        <v>16372</v>
      </c>
      <c r="D10920" s="9" t="s">
        <v>107</v>
      </c>
      <c r="E10920" s="6" t="s">
        <v>16377</v>
      </c>
      <c r="F10920" s="9"/>
    </row>
    <row r="10921" ht="33.75" customHeight="1">
      <c r="A10921" s="7">
        <v>459.0</v>
      </c>
      <c r="B10921" s="9" t="s">
        <v>16371</v>
      </c>
      <c r="C10921" s="9" t="s">
        <v>16372</v>
      </c>
      <c r="D10921" s="9" t="s">
        <v>109</v>
      </c>
      <c r="E10921" s="6" t="s">
        <v>16375</v>
      </c>
      <c r="F10921" s="9"/>
    </row>
    <row r="10922" ht="33.75" customHeight="1">
      <c r="A10922" s="7">
        <v>459.0</v>
      </c>
      <c r="B10922" s="9" t="s">
        <v>16371</v>
      </c>
      <c r="C10922" s="9" t="s">
        <v>16372</v>
      </c>
      <c r="D10922" s="9" t="s">
        <v>114</v>
      </c>
      <c r="E10922" s="6" t="s">
        <v>16378</v>
      </c>
      <c r="F10922" s="9"/>
    </row>
    <row r="10923" ht="33.75" customHeight="1">
      <c r="A10923" s="7">
        <v>459.0</v>
      </c>
      <c r="B10923" s="9" t="s">
        <v>16371</v>
      </c>
      <c r="C10923" s="9" t="s">
        <v>16372</v>
      </c>
      <c r="D10923" s="9" t="s">
        <v>117</v>
      </c>
      <c r="E10923" s="6" t="s">
        <v>16379</v>
      </c>
      <c r="F10923" s="9"/>
    </row>
    <row r="10924" ht="33.75" customHeight="1">
      <c r="A10924" s="7">
        <v>459.0</v>
      </c>
      <c r="B10924" s="9" t="s">
        <v>16371</v>
      </c>
      <c r="C10924" s="9" t="s">
        <v>16372</v>
      </c>
      <c r="D10924" s="9" t="s">
        <v>1577</v>
      </c>
      <c r="E10924" s="6" t="s">
        <v>16381</v>
      </c>
      <c r="F10924" s="9"/>
    </row>
    <row r="10925" ht="33.75" customHeight="1">
      <c r="A10925" s="7">
        <v>460.0</v>
      </c>
      <c r="B10925" s="9" t="s">
        <v>16382</v>
      </c>
      <c r="C10925" s="9" t="s">
        <v>16372</v>
      </c>
      <c r="D10925" s="9" t="s">
        <v>81</v>
      </c>
      <c r="E10925" s="6" t="s">
        <v>16383</v>
      </c>
      <c r="F10925" t="inlineStr" s="10">
        <is>
          <t xml:space="preserve">Abomasnow nostattaa lumimyrskyjä vuorilla, jotka ovat aina lumen peitossa. Se on iljettävä lumiukko. Se peittää laajoja alueita lumeen nostattamalla lumimyrskyjä. Se tunnetaan myös nimellä "jäähirviö". Ne ilmestyvät, kun lumikukat kukkivat. Kun terälehdet putoavat, ne vetäytyvät jälleen tuntemattomiin paikkoihin. Se elää hiljaista elämää vuorilla, jotka ovat aina lumen peitossa. Se piiloutuu nostattamalla lumimyrskyjä. Jos se näkee darumaka-laumoja Snoverin perään, se ajaa ne pois heilutellen kookkaita käsiään kuin vasaroita. Tämä Pokémon tunnetaan lumimyrskyjen aiheuttajista. Sen massiivisen ruumiin ravistelu riittää aiheuttamaan lumimyrskyjä. Voimakas Pokémon, joka pystyy halkaisemaan valtavia lohkareita helposti. Inhoaa seurustelua muiden kanssa ja asuu mieluummin hiljaa syvällä vuorissa leikkien lumen kanssa.</t>
        </is>
      </c>
    </row>
    <row r="10926" ht="33.75" customHeight="1">
      <c r="A10926" s="7">
        <v>460.0</v>
      </c>
      <c r="B10926" s="9" t="s">
        <v>16382</v>
      </c>
      <c r="C10926" s="9" t="s">
        <v>16372</v>
      </c>
      <c r="D10926" s="9" t="s">
        <v>84</v>
      </c>
      <c r="E10926" s="6" t="s">
        <v>16384</v>
      </c>
      <c r="F10926" s="9"/>
    </row>
    <row r="10927" ht="33.75" customHeight="1">
      <c r="A10927" s="7">
        <v>460.0</v>
      </c>
      <c r="B10927" s="9" t="s">
        <v>16382</v>
      </c>
      <c r="C10927" s="9" t="s">
        <v>16372</v>
      </c>
      <c r="D10927" s="9" t="s">
        <v>87</v>
      </c>
      <c r="E10927" s="6" t="s">
        <v>16385</v>
      </c>
      <c r="F10927" s="9"/>
    </row>
    <row r="10928" ht="33.75" customHeight="1">
      <c r="A10928" s="7">
        <v>460.0</v>
      </c>
      <c r="B10928" s="9" t="s">
        <v>16382</v>
      </c>
      <c r="C10928" s="9" t="s">
        <v>16372</v>
      </c>
      <c r="D10928" s="9" t="s">
        <v>89</v>
      </c>
      <c r="E10928" s="6" t="s">
        <v>16386</v>
      </c>
      <c r="F10928" s="9"/>
    </row>
    <row r="10929" ht="33.75" customHeight="1">
      <c r="A10929" s="7">
        <v>460.0</v>
      </c>
      <c r="B10929" s="9" t="s">
        <v>16382</v>
      </c>
      <c r="C10929" s="9" t="s">
        <v>16372</v>
      </c>
      <c r="D10929" s="9" t="s">
        <v>91</v>
      </c>
      <c r="E10929" s="6" t="s">
        <v>16386</v>
      </c>
      <c r="F10929" s="9"/>
    </row>
    <row r="10930" ht="33.75" customHeight="1">
      <c r="A10930" s="7">
        <v>460.0</v>
      </c>
      <c r="B10930" s="9" t="s">
        <v>16382</v>
      </c>
      <c r="C10930" s="9" t="s">
        <v>16372</v>
      </c>
      <c r="D10930" s="9" t="s">
        <v>93</v>
      </c>
      <c r="E10930" s="6" t="s">
        <v>16385</v>
      </c>
      <c r="F10930" s="9"/>
    </row>
    <row r="10931" ht="33.75" customHeight="1">
      <c r="A10931" s="7">
        <v>460.0</v>
      </c>
      <c r="B10931" s="9" t="s">
        <v>16382</v>
      </c>
      <c r="C10931" s="9" t="s">
        <v>16372</v>
      </c>
      <c r="D10931" s="9" t="s">
        <v>95</v>
      </c>
      <c r="E10931" s="6" t="s">
        <v>16385</v>
      </c>
      <c r="F10931" s="9"/>
    </row>
    <row r="10932" ht="33.75" customHeight="1">
      <c r="A10932" s="7">
        <v>460.0</v>
      </c>
      <c r="B10932" s="9" t="s">
        <v>16382</v>
      </c>
      <c r="C10932" s="9" t="s">
        <v>16372</v>
      </c>
      <c r="D10932" s="9" t="s">
        <v>98</v>
      </c>
      <c r="E10932" s="6" t="s">
        <v>16385</v>
      </c>
      <c r="F10932" s="9"/>
    </row>
    <row r="10933" ht="33.75" customHeight="1">
      <c r="A10933" s="7">
        <v>460.0</v>
      </c>
      <c r="B10933" s="9" t="s">
        <v>16382</v>
      </c>
      <c r="C10933" s="9" t="s">
        <v>16372</v>
      </c>
      <c r="D10933" s="9" t="s">
        <v>99</v>
      </c>
      <c r="E10933" s="6" t="s">
        <v>16385</v>
      </c>
      <c r="F10933" s="9"/>
    </row>
    <row r="10934" ht="33.75" customHeight="1">
      <c r="A10934" s="7">
        <v>460.0</v>
      </c>
      <c r="B10934" s="9" t="s">
        <v>16382</v>
      </c>
      <c r="C10934" s="9" t="s">
        <v>16372</v>
      </c>
      <c r="D10934" s="9" t="s">
        <v>101</v>
      </c>
      <c r="E10934" s="6" t="s">
        <v>16384</v>
      </c>
      <c r="F10934" s="9"/>
    </row>
    <row r="10935" ht="33.75" customHeight="1">
      <c r="A10935" s="7">
        <v>460.0</v>
      </c>
      <c r="B10935" s="9" t="s">
        <v>16382</v>
      </c>
      <c r="C10935" s="9" t="s">
        <v>16372</v>
      </c>
      <c r="D10935" s="9" t="s">
        <v>105</v>
      </c>
      <c r="E10935" s="6" t="s">
        <v>16386</v>
      </c>
      <c r="F10935" s="9"/>
    </row>
    <row r="10936" ht="33.75" customHeight="1">
      <c r="A10936" s="7">
        <v>460.0</v>
      </c>
      <c r="B10936" s="9" t="s">
        <v>16382</v>
      </c>
      <c r="C10936" s="9" t="s">
        <v>16372</v>
      </c>
      <c r="D10936" s="9" t="s">
        <v>107</v>
      </c>
      <c r="E10936" s="6" t="s">
        <v>16384</v>
      </c>
      <c r="F10936" s="9"/>
    </row>
    <row r="10937" ht="33.75" customHeight="1">
      <c r="A10937" s="7">
        <v>460.0</v>
      </c>
      <c r="B10937" s="9" t="s">
        <v>16382</v>
      </c>
      <c r="C10937" s="9" t="s">
        <v>16372</v>
      </c>
      <c r="D10937" s="9" t="s">
        <v>109</v>
      </c>
      <c r="E10937" s="6" t="s">
        <v>16386</v>
      </c>
      <c r="F10937" s="9"/>
    </row>
    <row r="10938" ht="33.75" customHeight="1">
      <c r="A10938" s="7">
        <v>460.0</v>
      </c>
      <c r="B10938" s="9" t="s">
        <v>16382</v>
      </c>
      <c r="C10938" s="9" t="s">
        <v>16372</v>
      </c>
      <c r="D10938" s="9" t="s">
        <v>114</v>
      </c>
      <c r="E10938" s="6" t="s">
        <v>16387</v>
      </c>
      <c r="F10938" s="9"/>
    </row>
    <row r="10939" ht="33.75" customHeight="1">
      <c r="A10939" s="7">
        <v>460.0</v>
      </c>
      <c r="B10939" s="9" t="s">
        <v>16382</v>
      </c>
      <c r="C10939" s="9" t="s">
        <v>16372</v>
      </c>
      <c r="D10939" s="9" t="s">
        <v>117</v>
      </c>
      <c r="E10939" s="6" t="s">
        <v>16388</v>
      </c>
      <c r="F10939" s="9"/>
    </row>
    <row r="10940" ht="33.75" customHeight="1">
      <c r="A10940" s="7">
        <v>460.0</v>
      </c>
      <c r="B10940" s="9" t="s">
        <v>16382</v>
      </c>
      <c r="C10940" s="9" t="s">
        <v>16372</v>
      </c>
      <c r="D10940" s="9" t="s">
        <v>1577</v>
      </c>
      <c r="E10940" s="6" t="s">
        <v>16389</v>
      </c>
      <c r="F10940" s="9"/>
    </row>
    <row r="10941" ht="33.75" customHeight="1">
      <c r="A10941" s="7">
        <v>461.0</v>
      </c>
      <c r="B10941" s="9" t="s">
        <v>16390</v>
      </c>
      <c r="C10941" s="9" t="s">
        <v>12472</v>
      </c>
      <c r="D10941" s="9" t="s">
        <v>81</v>
      </c>
      <c r="E10941" s="6" t="s">
        <v>16392</v>
      </c>
      <c r="F10941" t="inlineStr" s="10">
        <is>
          <t xml:space="preserve">Ne elävät kylmillä alueilla muodostaen neljän tai viiden yksilön ryhmiä, jotka metsästävät saalista vaikuttavalla koordinaatiolla. Se lähettää signaaleja muille kaivertamalla outoja kuvioita huurteiseen puihin ja jäähän. Evoluutio teki siitä vieläkin kieroutuneemman. Se kommunikoi raapimalla merkkejä lohkareisiin. Se elää lumisilla alueilla. Se kaivertaa kuvioita puihin kynsillään viestiksi muille. Ne kommunikoivat raapimalla merkkejä lohkareisiin ja työskentelevät yhdessä saartaakseen viholliset. Ne liikkuvat neljän tai viiden hengen ryhmissä jättäen toisilleen merkkejä puihin ja kiviin. Ne kaatavat saaliinsa koordinoiduilla hyökkäyksillä. Ne asuvat kylmissä paikoissa. Tämän Pokémonin tärkein ravinnonlähde Alolassa ovat Vulpix ja Sandshrew, jotka he jakavat huolellisesti ryhmänsä kesken. Yksi kärpäs kaataa hiekkakimpun ja kääntää sen ympäri, ja sitten toinen kärpäs antaa viimeisen iskun terävillä kynsillään. Lisääntyneen älykkyyden ansiosta ruoan kaapiminen on menneisyyttä. Kynsien raapu voi aiheuttaa paleltuman! Ne hyökkäävät saaliinsa kimppuun laumoissa. Jopa Mamoswinen kokoinen saalis joutuu helposti Weavile-ryhmän yhteistyön uhriksi. Kynsillään se jättää jälkeensä merkkejä ystävilleen löydettäväksi. Erilaisten merkkien määrän sanotaan olevan yli 500. Tämä laji ajaa saalista laumana nurkkiin johtajan ohjauksessa. Kärsäkkä osoittaa lisääntynyttä oveluutta, mikä on saanut minut spekuloimaan, että sen evoluutio on johtanut aivojen kehitykseen.</t>
        </is>
      </c>
    </row>
    <row r="10942" ht="33.75" customHeight="1">
      <c r="A10942" s="7">
        <v>461.0</v>
      </c>
      <c r="B10942" s="9" t="s">
        <v>16390</v>
      </c>
      <c r="C10942" s="9" t="s">
        <v>12472</v>
      </c>
      <c r="D10942" s="9" t="s">
        <v>84</v>
      </c>
      <c r="E10942" s="6" t="s">
        <v>16393</v>
      </c>
      <c r="F10942" s="9"/>
    </row>
    <row r="10943" ht="33.75" customHeight="1">
      <c r="A10943" s="7">
        <v>461.0</v>
      </c>
      <c r="B10943" s="9" t="s">
        <v>16390</v>
      </c>
      <c r="C10943" s="9" t="s">
        <v>12472</v>
      </c>
      <c r="D10943" s="9" t="s">
        <v>87</v>
      </c>
      <c r="E10943" s="6" t="s">
        <v>16394</v>
      </c>
      <c r="F10943" s="9"/>
    </row>
    <row r="10944" ht="33.75" customHeight="1">
      <c r="A10944" s="7">
        <v>461.0</v>
      </c>
      <c r="B10944" s="9" t="s">
        <v>16390</v>
      </c>
      <c r="C10944" s="9" t="s">
        <v>12472</v>
      </c>
      <c r="D10944" s="9" t="s">
        <v>89</v>
      </c>
      <c r="E10944" s="6" t="s">
        <v>16395</v>
      </c>
      <c r="F10944" s="9"/>
    </row>
    <row r="10945" ht="33.75" customHeight="1">
      <c r="A10945" s="7">
        <v>461.0</v>
      </c>
      <c r="B10945" s="9" t="s">
        <v>16390</v>
      </c>
      <c r="C10945" s="9" t="s">
        <v>12472</v>
      </c>
      <c r="D10945" s="9" t="s">
        <v>91</v>
      </c>
      <c r="E10945" s="6" t="s">
        <v>16395</v>
      </c>
      <c r="F10945" s="9"/>
    </row>
    <row r="10946" ht="33.75" customHeight="1">
      <c r="A10946" s="7">
        <v>461.0</v>
      </c>
      <c r="B10946" s="9" t="s">
        <v>16390</v>
      </c>
      <c r="C10946" s="9" t="s">
        <v>12472</v>
      </c>
      <c r="D10946" s="9" t="s">
        <v>93</v>
      </c>
      <c r="E10946" s="6" t="s">
        <v>16394</v>
      </c>
      <c r="F10946" s="9"/>
    </row>
    <row r="10947" ht="33.75" customHeight="1">
      <c r="A10947" s="7">
        <v>461.0</v>
      </c>
      <c r="B10947" s="9" t="s">
        <v>16390</v>
      </c>
      <c r="C10947" s="9" t="s">
        <v>12472</v>
      </c>
      <c r="D10947" s="9" t="s">
        <v>95</v>
      </c>
      <c r="E10947" s="6" t="s">
        <v>16394</v>
      </c>
      <c r="F10947" s="9"/>
    </row>
    <row r="10948" ht="33.75" customHeight="1">
      <c r="A10948" s="7">
        <v>461.0</v>
      </c>
      <c r="B10948" s="9" t="s">
        <v>16390</v>
      </c>
      <c r="C10948" s="9" t="s">
        <v>12472</v>
      </c>
      <c r="D10948" s="9" t="s">
        <v>98</v>
      </c>
      <c r="E10948" s="6" t="s">
        <v>16396</v>
      </c>
      <c r="F10948" s="9"/>
    </row>
    <row r="10949" ht="33.75" customHeight="1">
      <c r="A10949" s="7">
        <v>461.0</v>
      </c>
      <c r="B10949" s="9" t="s">
        <v>16390</v>
      </c>
      <c r="C10949" s="9" t="s">
        <v>12472</v>
      </c>
      <c r="D10949" s="9" t="s">
        <v>99</v>
      </c>
      <c r="E10949" s="6" t="s">
        <v>16396</v>
      </c>
      <c r="F10949" s="9"/>
    </row>
    <row r="10950" ht="33.75" customHeight="1">
      <c r="A10950" s="7">
        <v>461.0</v>
      </c>
      <c r="B10950" s="9" t="s">
        <v>16390</v>
      </c>
      <c r="C10950" s="9" t="s">
        <v>12472</v>
      </c>
      <c r="D10950" s="9" t="s">
        <v>101</v>
      </c>
      <c r="E10950" s="6" t="s">
        <v>16395</v>
      </c>
      <c r="F10950" s="9"/>
    </row>
    <row r="10951" ht="33.75" customHeight="1">
      <c r="A10951" s="7">
        <v>461.0</v>
      </c>
      <c r="B10951" s="9" t="s">
        <v>16390</v>
      </c>
      <c r="C10951" s="9" t="s">
        <v>12472</v>
      </c>
      <c r="D10951" s="9" t="s">
        <v>105</v>
      </c>
      <c r="E10951" s="6" t="s">
        <v>16392</v>
      </c>
      <c r="F10951" s="9"/>
    </row>
    <row r="10952" ht="33.75" customHeight="1">
      <c r="A10952" s="7">
        <v>461.0</v>
      </c>
      <c r="B10952" s="9" t="s">
        <v>16390</v>
      </c>
      <c r="C10952" s="9" t="s">
        <v>12472</v>
      </c>
      <c r="D10952" s="9" t="s">
        <v>107</v>
      </c>
      <c r="E10952" s="6" t="s">
        <v>16395</v>
      </c>
      <c r="F10952" s="9"/>
    </row>
    <row r="10953" ht="33.75" customHeight="1">
      <c r="A10953" s="7">
        <v>461.0</v>
      </c>
      <c r="B10953" s="9" t="s">
        <v>16390</v>
      </c>
      <c r="C10953" s="9" t="s">
        <v>12472</v>
      </c>
      <c r="D10953" s="9" t="s">
        <v>109</v>
      </c>
      <c r="E10953" s="6" t="s">
        <v>16392</v>
      </c>
      <c r="F10953" s="9"/>
    </row>
    <row r="10954" ht="33.75" customHeight="1">
      <c r="A10954" s="7">
        <v>461.0</v>
      </c>
      <c r="B10954" s="9" t="s">
        <v>16390</v>
      </c>
      <c r="C10954" s="9" t="s">
        <v>12472</v>
      </c>
      <c r="D10954" s="9" t="s">
        <v>637</v>
      </c>
      <c r="E10954" s="6" t="s">
        <v>16397</v>
      </c>
      <c r="F10954" s="9"/>
    </row>
    <row r="10955" ht="33.75" customHeight="1">
      <c r="A10955" s="7">
        <v>461.0</v>
      </c>
      <c r="B10955" s="9" t="s">
        <v>16390</v>
      </c>
      <c r="C10955" s="9" t="s">
        <v>12472</v>
      </c>
      <c r="D10955" s="9" t="s">
        <v>642</v>
      </c>
      <c r="E10955" s="6" t="s">
        <v>16398</v>
      </c>
      <c r="F10955" s="9"/>
    </row>
    <row r="10956" ht="33.75" customHeight="1">
      <c r="A10956" s="7">
        <v>461.0</v>
      </c>
      <c r="B10956" s="9" t="s">
        <v>16390</v>
      </c>
      <c r="C10956" s="9" t="s">
        <v>12472</v>
      </c>
      <c r="D10956" s="9" t="s">
        <v>647</v>
      </c>
      <c r="E10956" s="6" t="s">
        <v>16400</v>
      </c>
      <c r="F10956" s="9"/>
    </row>
    <row r="10957" ht="33.75" customHeight="1">
      <c r="A10957" s="7">
        <v>461.0</v>
      </c>
      <c r="B10957" s="9" t="s">
        <v>16390</v>
      </c>
      <c r="C10957" s="9" t="s">
        <v>12472</v>
      </c>
      <c r="D10957" s="9" t="s">
        <v>652</v>
      </c>
      <c r="E10957" s="6" t="s">
        <v>16401</v>
      </c>
      <c r="F10957" s="9"/>
    </row>
    <row r="10958" ht="33.75" customHeight="1">
      <c r="A10958" s="7">
        <v>461.0</v>
      </c>
      <c r="B10958" s="9" t="s">
        <v>16390</v>
      </c>
      <c r="C10958" s="9" t="s">
        <v>12472</v>
      </c>
      <c r="D10958" s="9" t="s">
        <v>114</v>
      </c>
      <c r="E10958" s="6" t="s">
        <v>16402</v>
      </c>
      <c r="F10958" s="9"/>
    </row>
    <row r="10959" ht="33.75" customHeight="1">
      <c r="A10959" s="7">
        <v>461.0</v>
      </c>
      <c r="B10959" s="9" t="s">
        <v>16390</v>
      </c>
      <c r="C10959" s="9" t="s">
        <v>12472</v>
      </c>
      <c r="D10959" s="9" t="s">
        <v>117</v>
      </c>
      <c r="E10959" s="6" t="s">
        <v>16403</v>
      </c>
      <c r="F10959" s="9"/>
    </row>
    <row r="10960" ht="33.75" customHeight="1">
      <c r="A10960" s="7">
        <v>461.0</v>
      </c>
      <c r="B10960" s="9" t="s">
        <v>16390</v>
      </c>
      <c r="C10960" s="9" t="s">
        <v>12472</v>
      </c>
      <c r="D10960" s="9" t="s">
        <v>1577</v>
      </c>
      <c r="E10960" s="6" t="s">
        <v>16404</v>
      </c>
      <c r="F10960" s="9"/>
    </row>
    <row r="10961" ht="33.75" customHeight="1">
      <c r="A10961" s="7">
        <v>462.0</v>
      </c>
      <c r="B10961" s="9" t="s">
        <v>16405</v>
      </c>
      <c r="C10961" s="9" t="s">
        <v>16406</v>
      </c>
      <c r="D10961" s="9" t="s">
        <v>81</v>
      </c>
      <c r="E10961" s="6" t="s">
        <v>16407</v>
      </c>
      <c r="F10961" t="inlineStr" s="10">
        <is>
          <t xml:space="preserve">Magnezone kehittyi altistumisesta erityiselle magneettikentälle. Kolme yksikköä tuottaa magnetismia. Ryhmä yritti käyttää tieteellisiä keinoja MAGNEZONEn kehittämiseksi, mutta heidän yrityksensä päättyivät epäonnistumiseen. Altistuminen erityiselle magneettikentälle muutti MAGNETONIN molekyylirakennetta ja siitä tuli MAGNEZONE. Joskus Magnezonen lähettämä magnetismi on liian voimakasta, jolloin ne vetävät toisiaan puoleensa eivätkä voi liikkua. Magnezonen lentäessä yötaivaalla on ollut monia virheellisiä raportteja UFO-havainnoista. Taivaan halki kiitäessään tämä Pokémon näyttää vastaanottavan tuntemattomasta alkuperästä olevia signaaleja samalla lähettäen tuntemattomaan tarkoitukseen olevia signaaleja. Se käyttää tutkaa alueensa valvontaan. Tunkeilijat tuhotaan nopeasti hypersäteellä. On edelleen ihmisiä, jotka uskovat, että tämä Pokémon tuli avaruudesta. Se säteilee voimakasta magneettikenttää. Jotkut sanovat, että Magnezone vastaanottaa signaaleja avaruudesta päässään olevan antennin kautta ja että sitä ohjaa jokin salaperäinen olento. Uskotaan, että erityinen magneettikenttä muutti tämän Pokémonin kehon molekyylirakennetta, ja se aiheutti Pokémonin evoluution. Teoriani mukaan erityinen magneettikenttä vaikutti tähän Pokémoniin, muuttaen sen molekyylirakennetta ja aiheuttaen sen kehityksen. Se lähettää antennistaan ​​outoja radioaaltoja avaruuteen.</t>
        </is>
      </c>
    </row>
    <row r="10962" ht="33.75" customHeight="1">
      <c r="A10962" s="7">
        <v>462.0</v>
      </c>
      <c r="B10962" s="9" t="s">
        <v>16405</v>
      </c>
      <c r="C10962" s="9" t="s">
        <v>16406</v>
      </c>
      <c r="D10962" s="9" t="s">
        <v>84</v>
      </c>
      <c r="E10962" s="6" t="s">
        <v>16407</v>
      </c>
      <c r="F10962" s="9"/>
    </row>
    <row r="10963" ht="33.75" customHeight="1">
      <c r="A10963" s="7">
        <v>462.0</v>
      </c>
      <c r="B10963" s="9" t="s">
        <v>16405</v>
      </c>
      <c r="C10963" s="9" t="s">
        <v>16406</v>
      </c>
      <c r="D10963" s="9" t="s">
        <v>87</v>
      </c>
      <c r="E10963" s="6" t="s">
        <v>16408</v>
      </c>
      <c r="F10963" s="9"/>
    </row>
    <row r="10964" ht="33.75" customHeight="1">
      <c r="A10964" s="7">
        <v>462.0</v>
      </c>
      <c r="B10964" s="9" t="s">
        <v>16405</v>
      </c>
      <c r="C10964" s="9" t="s">
        <v>16406</v>
      </c>
      <c r="D10964" s="9" t="s">
        <v>89</v>
      </c>
      <c r="E10964" s="6" t="s">
        <v>16409</v>
      </c>
      <c r="F10964" s="9"/>
    </row>
    <row r="10965" ht="33.75" customHeight="1">
      <c r="A10965" s="7">
        <v>462.0</v>
      </c>
      <c r="B10965" s="9" t="s">
        <v>16405</v>
      </c>
      <c r="C10965" s="9" t="s">
        <v>16406</v>
      </c>
      <c r="D10965" s="9" t="s">
        <v>91</v>
      </c>
      <c r="E10965" s="6" t="s">
        <v>16409</v>
      </c>
      <c r="F10965" s="9"/>
    </row>
    <row r="10966" ht="33.75" customHeight="1">
      <c r="A10966" s="7">
        <v>462.0</v>
      </c>
      <c r="B10966" s="9" t="s">
        <v>16405</v>
      </c>
      <c r="C10966" s="9" t="s">
        <v>16406</v>
      </c>
      <c r="D10966" s="9" t="s">
        <v>93</v>
      </c>
      <c r="E10966" s="6" t="s">
        <v>16410</v>
      </c>
      <c r="F10966" s="9"/>
    </row>
    <row r="10967" ht="33.75" customHeight="1">
      <c r="A10967" s="7">
        <v>462.0</v>
      </c>
      <c r="B10967" s="9" t="s">
        <v>16405</v>
      </c>
      <c r="C10967" s="9" t="s">
        <v>16406</v>
      </c>
      <c r="D10967" s="9" t="s">
        <v>95</v>
      </c>
      <c r="E10967" s="6" t="s">
        <v>16410</v>
      </c>
      <c r="F10967" s="9"/>
    </row>
    <row r="10968" ht="33.75" customHeight="1">
      <c r="A10968" s="7">
        <v>462.0</v>
      </c>
      <c r="B10968" s="9" t="s">
        <v>16405</v>
      </c>
      <c r="C10968" s="9" t="s">
        <v>16406</v>
      </c>
      <c r="D10968" s="9" t="s">
        <v>98</v>
      </c>
      <c r="E10968" s="6" t="s">
        <v>16411</v>
      </c>
      <c r="F10968" s="9"/>
    </row>
    <row r="10969" ht="33.75" customHeight="1">
      <c r="A10969" s="7">
        <v>462.0</v>
      </c>
      <c r="B10969" s="9" t="s">
        <v>16405</v>
      </c>
      <c r="C10969" s="9" t="s">
        <v>16406</v>
      </c>
      <c r="D10969" s="9" t="s">
        <v>99</v>
      </c>
      <c r="E10969" s="6" t="s">
        <v>16411</v>
      </c>
      <c r="F10969" s="9"/>
    </row>
    <row r="10970" ht="33.75" customHeight="1">
      <c r="A10970" s="7">
        <v>462.0</v>
      </c>
      <c r="B10970" s="9" t="s">
        <v>16405</v>
      </c>
      <c r="C10970" s="9" t="s">
        <v>16406</v>
      </c>
      <c r="D10970" s="9" t="s">
        <v>101</v>
      </c>
      <c r="E10970" s="6" t="s">
        <v>16411</v>
      </c>
      <c r="F10970" s="9"/>
    </row>
    <row r="10971" ht="33.75" customHeight="1">
      <c r="A10971" s="7">
        <v>462.0</v>
      </c>
      <c r="B10971" s="9" t="s">
        <v>16405</v>
      </c>
      <c r="C10971" s="9" t="s">
        <v>16406</v>
      </c>
      <c r="D10971" s="9" t="s">
        <v>105</v>
      </c>
      <c r="E10971" s="6" t="s">
        <v>16407</v>
      </c>
      <c r="F10971" s="9"/>
    </row>
    <row r="10972" ht="33.75" customHeight="1">
      <c r="A10972" s="7">
        <v>462.0</v>
      </c>
      <c r="B10972" s="9" t="s">
        <v>16405</v>
      </c>
      <c r="C10972" s="9" t="s">
        <v>16406</v>
      </c>
      <c r="D10972" s="9" t="s">
        <v>107</v>
      </c>
      <c r="E10972" s="6" t="s">
        <v>16411</v>
      </c>
      <c r="F10972" s="9"/>
    </row>
    <row r="10973" ht="33.75" customHeight="1">
      <c r="A10973" s="7">
        <v>462.0</v>
      </c>
      <c r="B10973" s="9" t="s">
        <v>16405</v>
      </c>
      <c r="C10973" s="9" t="s">
        <v>16406</v>
      </c>
      <c r="D10973" s="9" t="s">
        <v>109</v>
      </c>
      <c r="E10973" s="6" t="s">
        <v>16407</v>
      </c>
      <c r="F10973" s="9"/>
    </row>
    <row r="10974" ht="33.75" customHeight="1">
      <c r="A10974" s="7">
        <v>462.0</v>
      </c>
      <c r="B10974" s="9" t="s">
        <v>16405</v>
      </c>
      <c r="C10974" s="9" t="s">
        <v>16406</v>
      </c>
      <c r="D10974" s="9" t="s">
        <v>637</v>
      </c>
      <c r="E10974" s="6" t="s">
        <v>16413</v>
      </c>
      <c r="F10974" s="9"/>
    </row>
    <row r="10975" ht="33.75" customHeight="1">
      <c r="A10975" s="7">
        <v>462.0</v>
      </c>
      <c r="B10975" s="9" t="s">
        <v>16405</v>
      </c>
      <c r="C10975" s="9" t="s">
        <v>16406</v>
      </c>
      <c r="D10975" s="9" t="s">
        <v>642</v>
      </c>
      <c r="E10975" s="6" t="s">
        <v>16414</v>
      </c>
      <c r="F10975" s="9"/>
    </row>
    <row r="10976" ht="33.75" customHeight="1">
      <c r="A10976" s="7">
        <v>462.0</v>
      </c>
      <c r="B10976" s="9" t="s">
        <v>16405</v>
      </c>
      <c r="C10976" s="9" t="s">
        <v>16406</v>
      </c>
      <c r="D10976" s="9" t="s">
        <v>647</v>
      </c>
      <c r="E10976" s="6" t="s">
        <v>16415</v>
      </c>
      <c r="F10976" s="9"/>
    </row>
    <row r="10977" ht="33.75" customHeight="1">
      <c r="A10977" s="7">
        <v>462.0</v>
      </c>
      <c r="B10977" s="9" t="s">
        <v>16405</v>
      </c>
      <c r="C10977" s="9" t="s">
        <v>16406</v>
      </c>
      <c r="D10977" s="9" t="s">
        <v>652</v>
      </c>
      <c r="E10977" s="6" t="s">
        <v>16416</v>
      </c>
      <c r="F10977" s="9"/>
    </row>
    <row r="10978" ht="33.75" customHeight="1">
      <c r="A10978" s="7">
        <v>462.0</v>
      </c>
      <c r="B10978" s="9" t="s">
        <v>16405</v>
      </c>
      <c r="C10978" s="9" t="s">
        <v>16406</v>
      </c>
      <c r="D10978" s="9" t="s">
        <v>114</v>
      </c>
      <c r="E10978" s="6" t="s">
        <v>16417</v>
      </c>
      <c r="F10978" s="9"/>
    </row>
    <row r="10979" ht="33.75" customHeight="1">
      <c r="A10979" s="7">
        <v>462.0</v>
      </c>
      <c r="B10979" s="9" t="s">
        <v>16405</v>
      </c>
      <c r="C10979" s="9" t="s">
        <v>16406</v>
      </c>
      <c r="D10979" s="9" t="s">
        <v>117</v>
      </c>
      <c r="E10979" s="6" t="s">
        <v>16418</v>
      </c>
      <c r="F10979" s="9"/>
    </row>
    <row r="10980" ht="33.75" customHeight="1">
      <c r="A10980" s="7">
        <v>462.0</v>
      </c>
      <c r="B10980" s="9" t="s">
        <v>16405</v>
      </c>
      <c r="C10980" s="9" t="s">
        <v>16406</v>
      </c>
      <c r="D10980" s="9" t="s">
        <v>1577</v>
      </c>
      <c r="E10980" s="6" t="s">
        <v>16419</v>
      </c>
      <c r="F10980" s="9"/>
    </row>
    <row r="10981" ht="33.75" customHeight="1">
      <c r="A10981" s="7">
        <v>463.0</v>
      </c>
      <c r="B10981" s="9" t="s">
        <v>16420</v>
      </c>
      <c r="C10981" s="9" t="s">
        <v>6827</v>
      </c>
      <c r="D10981" s="9" t="s">
        <v>81</v>
      </c>
      <c r="E10981" s="6" t="s">
        <v>16421</v>
      </c>
      <c r="F10981" t="inlineStr" s="10">
        <is>
          <t xml:space="preserve">Lickilicky kietoo tavaroita pidennettävällä kielellään. Liian lähelle meneminen jättää sinut kuolasta läpimäräksi. Pitkä kieli on aina kuolasta märkä. Sylki sisältää liuotinta, joka aiheuttaa puutumista. Sen sylki voi hajottaa mitä tahansa. Se kietoo pitkän kielensä esineiden ympärille peittääkseen ne tahmealla syljellään. Sen kurkussa on tilaa syljen varastointiin. Se voi myös kääriä kielensä ja säilyttää sitä samassa paikassa. Niiden sylki sisältää paljon ainesosia, jotka voivat liuottaa mitä tahansa. Nuolemisen aiheuttama tunnottomuus ei häviä. Kilpailu on käynnissä siitä, kuka pystyy työntämään kielensä pisimmälle. Nykyinen ennätys on... yli 25 metriä. Se käyttää kieltään paljon taitavammin kuin käsiään tai jalkojaan. Se voi taitavasti poimia yhden pienen pavun kielellään. Lickilickyn outo kieli voi venyä moninkertaisesti sen vartalon pituiseksi. Kukaan ei ole keksinyt, miten Lickilickyn kieli voi venyä näin pitkälle. Lickilicky osaa tehdä melkein mitä tahansa kielellään, joka on yhtä taitava kuin ihmiskäsi. Sitä vastoin Lickilickyn sormien käyttö on kömpelöä. Sen kieli voi ojentua ja supistua vapaasti, ja se pystyy kasvamaan yli 10 kertaa Lickilickyn pituiseksi. Varo sylkeä, sillä se sisältää syövyttäviä aineita.</t>
        </is>
      </c>
    </row>
    <row r="10982" ht="33.75" customHeight="1">
      <c r="A10982" s="7">
        <v>463.0</v>
      </c>
      <c r="B10982" s="9" t="s">
        <v>16420</v>
      </c>
      <c r="C10982" s="9" t="s">
        <v>6827</v>
      </c>
      <c r="D10982" s="9" t="s">
        <v>84</v>
      </c>
      <c r="E10982" s="6" t="s">
        <v>16421</v>
      </c>
      <c r="F10982" s="9"/>
    </row>
    <row r="10983" ht="33.75" customHeight="1">
      <c r="A10983" s="7">
        <v>463.0</v>
      </c>
      <c r="B10983" s="9" t="s">
        <v>16420</v>
      </c>
      <c r="C10983" s="9" t="s">
        <v>6827</v>
      </c>
      <c r="D10983" s="9" t="s">
        <v>87</v>
      </c>
      <c r="E10983" s="6" t="s">
        <v>16422</v>
      </c>
      <c r="F10983" s="9"/>
    </row>
    <row r="10984" ht="33.75" customHeight="1">
      <c r="A10984" s="7">
        <v>463.0</v>
      </c>
      <c r="B10984" s="9" t="s">
        <v>16420</v>
      </c>
      <c r="C10984" s="9" t="s">
        <v>6827</v>
      </c>
      <c r="D10984" s="9" t="s">
        <v>89</v>
      </c>
      <c r="E10984" s="6" t="s">
        <v>16424</v>
      </c>
      <c r="F10984" s="9"/>
    </row>
    <row r="10985" ht="33.75" customHeight="1">
      <c r="A10985" s="7">
        <v>463.0</v>
      </c>
      <c r="B10985" s="9" t="s">
        <v>16420</v>
      </c>
      <c r="C10985" s="9" t="s">
        <v>6827</v>
      </c>
      <c r="D10985" s="9" t="s">
        <v>91</v>
      </c>
      <c r="E10985" s="6" t="s">
        <v>16425</v>
      </c>
      <c r="F10985" s="9"/>
    </row>
    <row r="10986" ht="33.75" customHeight="1">
      <c r="A10986" s="7">
        <v>463.0</v>
      </c>
      <c r="B10986" s="9" t="s">
        <v>16420</v>
      </c>
      <c r="C10986" s="9" t="s">
        <v>6827</v>
      </c>
      <c r="D10986" s="9" t="s">
        <v>93</v>
      </c>
      <c r="E10986" s="6" t="s">
        <v>16422</v>
      </c>
      <c r="F10986" s="9"/>
    </row>
    <row r="10987" ht="33.75" customHeight="1">
      <c r="A10987" s="7">
        <v>463.0</v>
      </c>
      <c r="B10987" s="9" t="s">
        <v>16420</v>
      </c>
      <c r="C10987" s="9" t="s">
        <v>6827</v>
      </c>
      <c r="D10987" s="9" t="s">
        <v>95</v>
      </c>
      <c r="E10987" s="6" t="s">
        <v>16422</v>
      </c>
      <c r="F10987" s="9"/>
    </row>
    <row r="10988" ht="33.75" customHeight="1">
      <c r="A10988" s="7">
        <v>463.0</v>
      </c>
      <c r="B10988" s="9" t="s">
        <v>16420</v>
      </c>
      <c r="C10988" s="9" t="s">
        <v>6827</v>
      </c>
      <c r="D10988" s="9" t="s">
        <v>98</v>
      </c>
      <c r="E10988" s="6" t="s">
        <v>16426</v>
      </c>
      <c r="F10988" s="9"/>
    </row>
    <row r="10989" ht="33.75" customHeight="1">
      <c r="A10989" s="7">
        <v>463.0</v>
      </c>
      <c r="B10989" s="9" t="s">
        <v>16420</v>
      </c>
      <c r="C10989" s="9" t="s">
        <v>6827</v>
      </c>
      <c r="D10989" s="9" t="s">
        <v>99</v>
      </c>
      <c r="E10989" s="6" t="s">
        <v>16426</v>
      </c>
      <c r="F10989" s="9"/>
    </row>
    <row r="10990" ht="33.75" customHeight="1">
      <c r="A10990" s="7">
        <v>463.0</v>
      </c>
      <c r="B10990" s="9" t="s">
        <v>16420</v>
      </c>
      <c r="C10990" s="9" t="s">
        <v>6827</v>
      </c>
      <c r="D10990" s="9" t="s">
        <v>101</v>
      </c>
      <c r="E10990" s="6" t="s">
        <v>16421</v>
      </c>
      <c r="F10990" s="9"/>
    </row>
    <row r="10991" ht="33.75" customHeight="1">
      <c r="A10991" s="7">
        <v>463.0</v>
      </c>
      <c r="B10991" s="9" t="s">
        <v>16420</v>
      </c>
      <c r="C10991" s="9" t="s">
        <v>6827</v>
      </c>
      <c r="D10991" s="9" t="s">
        <v>105</v>
      </c>
      <c r="E10991" s="6" t="s">
        <v>16426</v>
      </c>
      <c r="F10991" s="9"/>
    </row>
    <row r="10992" ht="33.75" customHeight="1">
      <c r="A10992" s="7">
        <v>463.0</v>
      </c>
      <c r="B10992" s="9" t="s">
        <v>16420</v>
      </c>
      <c r="C10992" s="9" t="s">
        <v>6827</v>
      </c>
      <c r="D10992" s="9" t="s">
        <v>107</v>
      </c>
      <c r="E10992" s="6" t="s">
        <v>16421</v>
      </c>
      <c r="F10992" s="9"/>
    </row>
    <row r="10993" ht="33.75" customHeight="1">
      <c r="A10993" s="7">
        <v>463.0</v>
      </c>
      <c r="B10993" s="9" t="s">
        <v>16420</v>
      </c>
      <c r="C10993" s="9" t="s">
        <v>6827</v>
      </c>
      <c r="D10993" s="9" t="s">
        <v>109</v>
      </c>
      <c r="E10993" s="6" t="s">
        <v>16426</v>
      </c>
      <c r="F10993" s="9"/>
    </row>
    <row r="10994" ht="33.75" customHeight="1">
      <c r="A10994" s="7">
        <v>463.0</v>
      </c>
      <c r="B10994" s="9" t="s">
        <v>16420</v>
      </c>
      <c r="C10994" s="9" t="s">
        <v>6827</v>
      </c>
      <c r="D10994" s="9" t="s">
        <v>647</v>
      </c>
      <c r="E10994" s="6" t="s">
        <v>16427</v>
      </c>
      <c r="F10994" s="9"/>
    </row>
    <row r="10995" ht="33.75" customHeight="1">
      <c r="A10995" s="7">
        <v>463.0</v>
      </c>
      <c r="B10995" s="9" t="s">
        <v>16420</v>
      </c>
      <c r="C10995" s="9" t="s">
        <v>6827</v>
      </c>
      <c r="D10995" s="9" t="s">
        <v>652</v>
      </c>
      <c r="E10995" s="6" t="s">
        <v>16428</v>
      </c>
      <c r="F10995" s="9"/>
    </row>
    <row r="10996" ht="33.75" customHeight="1">
      <c r="A10996" s="7">
        <v>463.0</v>
      </c>
      <c r="B10996" s="9" t="s">
        <v>16420</v>
      </c>
      <c r="C10996" s="9" t="s">
        <v>6827</v>
      </c>
      <c r="D10996" s="9" t="s">
        <v>114</v>
      </c>
      <c r="E10996" s="6" t="s">
        <v>16430</v>
      </c>
      <c r="F10996" s="9"/>
    </row>
    <row r="10997" ht="33.75" customHeight="1">
      <c r="A10997" s="7">
        <v>463.0</v>
      </c>
      <c r="B10997" s="9" t="s">
        <v>16420</v>
      </c>
      <c r="C10997" s="9" t="s">
        <v>6827</v>
      </c>
      <c r="D10997" s="9" t="s">
        <v>117</v>
      </c>
      <c r="E10997" s="6" t="s">
        <v>16431</v>
      </c>
      <c r="F10997" s="9"/>
    </row>
    <row r="10998" ht="33.75" customHeight="1">
      <c r="A10998" s="7">
        <v>463.0</v>
      </c>
      <c r="B10998" s="9" t="s">
        <v>16420</v>
      </c>
      <c r="C10998" s="9" t="s">
        <v>6827</v>
      </c>
      <c r="D10998" s="9" t="s">
        <v>1577</v>
      </c>
      <c r="E10998" s="6" t="s">
        <v>16432</v>
      </c>
      <c r="F10998" s="9"/>
    </row>
    <row r="10999" ht="33.75" customHeight="1">
      <c r="A10999" s="7">
        <v>464.0</v>
      </c>
      <c r="B10999" s="9" t="s">
        <v>16433</v>
      </c>
      <c r="C10999" s="9" t="s">
        <v>1919</v>
      </c>
      <c r="D10999" s="9" t="s">
        <v>81</v>
      </c>
      <c r="E10999" s="6" t="s">
        <v>16434</v>
      </c>
      <c r="F10999" t="inlineStr" s="10">
        <is>
          <t xml:space="preserve">Rhyperior laittaa kiviä kämmeniensä reikiin ja ampuu niitä lihaksillaan. GEODUDE-hahmoja ammutaan harvoin. Se voi laukaista kädessään pidetyn kiven kuin ohjuksen kiristämällä ja laajentamalla lihaksiaan välittömästi. Kämmeniensä rei'istä se ampuu GEODUDE-rakettia. Sen kuori kestää tulivuorenpurkauksia. Kämmeniensä rei'istä se ampuu Geodudea. Geodudeja ammutaan harvoin. Se voi ladata jopa kolme ammusta käsivartta kohden käsiensä reikiin. Näistä rei'istä voi ampua joko kiviä tai Roggenrolaa. Se luottaa kuoreensa torjuakseen tulevat hyökkäykset ja horjuttaakseen vihollisensa tasapainosta. Heti kun niin tapahtuu, se iskee porallaan vihollista kohti. Tämä Pokémon kehittyi erikoisen esineen avulla. Sen kivenkaltainen nahka koostuu salaperäisestä aineesta ja kestää mestarimiekan iskun lähes naarmuttamatta.</t>
        </is>
      </c>
    </row>
    <row r="11000" ht="33.75" customHeight="1">
      <c r="A11000" s="7">
        <v>464.0</v>
      </c>
      <c r="B11000" s="9" t="s">
        <v>16433</v>
      </c>
      <c r="C11000" s="9" t="s">
        <v>1919</v>
      </c>
      <c r="D11000" s="9" t="s">
        <v>84</v>
      </c>
      <c r="E11000" s="6" t="s">
        <v>16434</v>
      </c>
      <c r="F11000" s="9"/>
    </row>
    <row r="11001" ht="33.75" customHeight="1">
      <c r="A11001" s="7">
        <v>464.0</v>
      </c>
      <c r="B11001" s="9" t="s">
        <v>16433</v>
      </c>
      <c r="C11001" s="9" t="s">
        <v>1919</v>
      </c>
      <c r="D11001" s="9" t="s">
        <v>87</v>
      </c>
      <c r="E11001" s="6" t="s">
        <v>16435</v>
      </c>
      <c r="F11001" s="9"/>
    </row>
    <row r="11002" ht="33.75" customHeight="1">
      <c r="A11002" s="7">
        <v>464.0</v>
      </c>
      <c r="B11002" s="9" t="s">
        <v>16433</v>
      </c>
      <c r="C11002" s="9" t="s">
        <v>1919</v>
      </c>
      <c r="D11002" s="9" t="s">
        <v>89</v>
      </c>
      <c r="E11002" s="6" t="s">
        <v>16436</v>
      </c>
      <c r="F11002" s="9"/>
    </row>
    <row r="11003" ht="33.75" customHeight="1">
      <c r="A11003" s="7">
        <v>464.0</v>
      </c>
      <c r="B11003" s="9" t="s">
        <v>16433</v>
      </c>
      <c r="C11003" s="9" t="s">
        <v>1919</v>
      </c>
      <c r="D11003" s="9" t="s">
        <v>91</v>
      </c>
      <c r="E11003" s="6" t="s">
        <v>16436</v>
      </c>
      <c r="F11003" s="9"/>
    </row>
    <row r="11004" ht="33.75" customHeight="1">
      <c r="A11004" s="7">
        <v>464.0</v>
      </c>
      <c r="B11004" s="9" t="s">
        <v>16433</v>
      </c>
      <c r="C11004" s="9" t="s">
        <v>1919</v>
      </c>
      <c r="D11004" s="9" t="s">
        <v>93</v>
      </c>
      <c r="E11004" s="6" t="s">
        <v>16435</v>
      </c>
      <c r="F11004" s="9"/>
    </row>
    <row r="11005" ht="33.75" customHeight="1">
      <c r="A11005" s="7">
        <v>464.0</v>
      </c>
      <c r="B11005" s="9" t="s">
        <v>16433</v>
      </c>
      <c r="C11005" s="9" t="s">
        <v>1919</v>
      </c>
      <c r="D11005" s="9" t="s">
        <v>95</v>
      </c>
      <c r="E11005" s="6" t="s">
        <v>16435</v>
      </c>
      <c r="F11005" s="9"/>
    </row>
    <row r="11006" ht="33.75" customHeight="1">
      <c r="A11006" s="7">
        <v>464.0</v>
      </c>
      <c r="B11006" s="9" t="s">
        <v>16433</v>
      </c>
      <c r="C11006" s="9" t="s">
        <v>1919</v>
      </c>
      <c r="D11006" s="9" t="s">
        <v>98</v>
      </c>
      <c r="E11006" s="6" t="s">
        <v>16435</v>
      </c>
      <c r="F11006" s="9"/>
    </row>
    <row r="11007" ht="33.75" customHeight="1">
      <c r="A11007" s="7">
        <v>464.0</v>
      </c>
      <c r="B11007" s="9" t="s">
        <v>16433</v>
      </c>
      <c r="C11007" s="9" t="s">
        <v>1919</v>
      </c>
      <c r="D11007" s="9" t="s">
        <v>99</v>
      </c>
      <c r="E11007" s="6" t="s">
        <v>16435</v>
      </c>
      <c r="F11007" s="9"/>
    </row>
    <row r="11008" ht="33.75" customHeight="1">
      <c r="A11008" s="7">
        <v>464.0</v>
      </c>
      <c r="B11008" s="9" t="s">
        <v>16433</v>
      </c>
      <c r="C11008" s="9" t="s">
        <v>1919</v>
      </c>
      <c r="D11008" s="9" t="s">
        <v>101</v>
      </c>
      <c r="E11008" s="6" t="s">
        <v>16437</v>
      </c>
      <c r="F11008" s="9"/>
    </row>
    <row r="11009" ht="33.75" customHeight="1">
      <c r="A11009" s="7">
        <v>464.0</v>
      </c>
      <c r="B11009" s="9" t="s">
        <v>16433</v>
      </c>
      <c r="C11009" s="9" t="s">
        <v>1919</v>
      </c>
      <c r="D11009" s="9" t="s">
        <v>105</v>
      </c>
      <c r="E11009" s="6" t="s">
        <v>16438</v>
      </c>
      <c r="F11009" s="9"/>
    </row>
    <row r="11010" ht="33.75" customHeight="1">
      <c r="A11010" s="7">
        <v>464.0</v>
      </c>
      <c r="B11010" s="9" t="s">
        <v>16433</v>
      </c>
      <c r="C11010" s="9" t="s">
        <v>1919</v>
      </c>
      <c r="D11010" s="9" t="s">
        <v>107</v>
      </c>
      <c r="E11010" s="6" t="s">
        <v>16437</v>
      </c>
      <c r="F11010" s="9"/>
    </row>
    <row r="11011" ht="33.75" customHeight="1">
      <c r="A11011" s="7">
        <v>464.0</v>
      </c>
      <c r="B11011" s="9" t="s">
        <v>16433</v>
      </c>
      <c r="C11011" s="9" t="s">
        <v>1919</v>
      </c>
      <c r="D11011" s="9" t="s">
        <v>109</v>
      </c>
      <c r="E11011" s="6" t="s">
        <v>16438</v>
      </c>
      <c r="F11011" s="9"/>
    </row>
    <row r="11012" ht="33.75" customHeight="1">
      <c r="A11012" s="7">
        <v>464.0</v>
      </c>
      <c r="B11012" s="9" t="s">
        <v>16433</v>
      </c>
      <c r="C11012" s="9" t="s">
        <v>1919</v>
      </c>
      <c r="D11012" s="9" t="s">
        <v>114</v>
      </c>
      <c r="E11012" s="6" t="s">
        <v>16440</v>
      </c>
      <c r="F11012" s="9"/>
    </row>
    <row r="11013" ht="33.75" customHeight="1">
      <c r="A11013" s="7">
        <v>464.0</v>
      </c>
      <c r="B11013" s="9" t="s">
        <v>16433</v>
      </c>
      <c r="C11013" s="9" t="s">
        <v>1919</v>
      </c>
      <c r="D11013" s="9" t="s">
        <v>117</v>
      </c>
      <c r="E11013" s="6" t="s">
        <v>16441</v>
      </c>
      <c r="F11013" s="9"/>
    </row>
    <row r="11014" ht="33.75" customHeight="1">
      <c r="A11014" s="7">
        <v>464.0</v>
      </c>
      <c r="B11014" s="9" t="s">
        <v>16433</v>
      </c>
      <c r="C11014" s="9" t="s">
        <v>1919</v>
      </c>
      <c r="D11014" s="9" t="s">
        <v>1577</v>
      </c>
      <c r="E11014" s="6" t="s">
        <v>16442</v>
      </c>
      <c r="F11014" s="9"/>
    </row>
    <row r="11015" ht="33.75" customHeight="1">
      <c r="A11015" s="7">
        <v>465.0</v>
      </c>
      <c r="B11015" s="9" t="s">
        <v>16443</v>
      </c>
      <c r="C11015" s="9" t="s">
        <v>7230</v>
      </c>
      <c r="D11015" s="9" t="s">
        <v>81</v>
      </c>
      <c r="E11015" s="6" t="s">
        <v>16444</v>
      </c>
      <c r="F11015" t="inlineStr" s="10">
        <is>
          <t xml:space="preserve">Tangrowth houkuttelee saalista ojentamalla köynnöksistä tehtyjä käsivarsiaan. Käsivarsien menettäminen saalistajille ei sitä vaivaa. Sen käsivarret on tehty kasveista, jotka sitovat itsensä esineisiin. Ne kasvavat heti takaisin, jos ne leikataan. Liikkuessaan se näyttää suurelta pensaalta. Lähellä vaeltelevat tietämättömät saaliseläimet joutuvat sen köynnösten ansaan. Sen köynnökset kasvavat niin rehevästi, että lämpimänä vuodenaikana sen silmiä ei voi edes nähdä. Vaikka toinen sen käsistä syötäisiin, se on kunnossa. Pokémon uudistuu nopeasti ja palaa heti normaaliksi. Tangrowthilla on kaksi haaraa, joita se voi ojentaa mielensä mukaan. Viimeaikaiset tutkimukset ovat osoittaneet, että nämä haarat ovat itse asiassa köynnösten kimppuja. Lämpimässä ilmastossa elävän Tangrowth-köynnöksen kasvu kiihtyy. Jos köynnökset kasvavat pitkiksi, Tangrowth lyhentää niitä repimällä niistä osia irti. Pitkien köynnösten peittämä se muistuttaa ulkonäöltään pensasta. Se heiluttelee köynnöskimppuja kuin käsivarsia ja kietoo ne saaliinsa ympärille houkutellakseen ne ansaan.</t>
        </is>
      </c>
    </row>
    <row r="11016" ht="33.75" customHeight="1">
      <c r="A11016" s="7">
        <v>465.0</v>
      </c>
      <c r="B11016" s="9" t="s">
        <v>16443</v>
      </c>
      <c r="C11016" s="9" t="s">
        <v>7230</v>
      </c>
      <c r="D11016" s="9" t="s">
        <v>84</v>
      </c>
      <c r="E11016" s="6" t="s">
        <v>16444</v>
      </c>
      <c r="F11016" s="9"/>
    </row>
    <row r="11017" ht="33.75" customHeight="1">
      <c r="A11017" s="7">
        <v>465.0</v>
      </c>
      <c r="B11017" s="9" t="s">
        <v>16443</v>
      </c>
      <c r="C11017" s="9" t="s">
        <v>7230</v>
      </c>
      <c r="D11017" s="9" t="s">
        <v>87</v>
      </c>
      <c r="E11017" s="6" t="s">
        <v>16445</v>
      </c>
      <c r="F11017" s="9"/>
    </row>
    <row r="11018" ht="33.75" customHeight="1">
      <c r="A11018" s="7">
        <v>465.0</v>
      </c>
      <c r="B11018" s="9" t="s">
        <v>16443</v>
      </c>
      <c r="C11018" s="9" t="s">
        <v>7230</v>
      </c>
      <c r="D11018" s="9" t="s">
        <v>89</v>
      </c>
      <c r="E11018" s="6" t="s">
        <v>16446</v>
      </c>
      <c r="F11018" s="9"/>
    </row>
    <row r="11019" ht="33.75" customHeight="1">
      <c r="A11019" s="7">
        <v>465.0</v>
      </c>
      <c r="B11019" s="9" t="s">
        <v>16443</v>
      </c>
      <c r="C11019" s="9" t="s">
        <v>7230</v>
      </c>
      <c r="D11019" s="9" t="s">
        <v>91</v>
      </c>
      <c r="E11019" s="6" t="s">
        <v>16447</v>
      </c>
      <c r="F11019" s="9"/>
    </row>
    <row r="11020" ht="33.75" customHeight="1">
      <c r="A11020" s="7">
        <v>465.0</v>
      </c>
      <c r="B11020" s="9" t="s">
        <v>16443</v>
      </c>
      <c r="C11020" s="9" t="s">
        <v>7230</v>
      </c>
      <c r="D11020" s="9" t="s">
        <v>93</v>
      </c>
      <c r="E11020" s="6" t="s">
        <v>16445</v>
      </c>
      <c r="F11020" s="9"/>
    </row>
    <row r="11021" ht="33.75" customHeight="1">
      <c r="A11021" s="7">
        <v>465.0</v>
      </c>
      <c r="B11021" s="9" t="s">
        <v>16443</v>
      </c>
      <c r="C11021" s="9" t="s">
        <v>7230</v>
      </c>
      <c r="D11021" s="9" t="s">
        <v>95</v>
      </c>
      <c r="E11021" s="6" t="s">
        <v>16445</v>
      </c>
      <c r="F11021" s="9"/>
    </row>
    <row r="11022" ht="33.75" customHeight="1">
      <c r="A11022" s="7">
        <v>465.0</v>
      </c>
      <c r="B11022" s="9" t="s">
        <v>16443</v>
      </c>
      <c r="C11022" s="9" t="s">
        <v>7230</v>
      </c>
      <c r="D11022" s="9" t="s">
        <v>98</v>
      </c>
      <c r="E11022" s="6" t="s">
        <v>16448</v>
      </c>
      <c r="F11022" s="9"/>
    </row>
    <row r="11023" ht="33.75" customHeight="1">
      <c r="A11023" s="7">
        <v>465.0</v>
      </c>
      <c r="B11023" s="9" t="s">
        <v>16443</v>
      </c>
      <c r="C11023" s="9" t="s">
        <v>7230</v>
      </c>
      <c r="D11023" s="9" t="s">
        <v>99</v>
      </c>
      <c r="E11023" s="6" t="s">
        <v>16448</v>
      </c>
      <c r="F11023" s="9"/>
    </row>
    <row r="11024" ht="33.75" customHeight="1">
      <c r="A11024" s="7">
        <v>465.0</v>
      </c>
      <c r="B11024" s="9" t="s">
        <v>16443</v>
      </c>
      <c r="C11024" s="9" t="s">
        <v>7230</v>
      </c>
      <c r="D11024" s="9" t="s">
        <v>101</v>
      </c>
      <c r="E11024" s="6" t="s">
        <v>16444</v>
      </c>
      <c r="F11024" s="9"/>
    </row>
    <row r="11025" ht="33.75" customHeight="1">
      <c r="A11025" s="7">
        <v>465.0</v>
      </c>
      <c r="B11025" s="9" t="s">
        <v>16443</v>
      </c>
      <c r="C11025" s="9" t="s">
        <v>7230</v>
      </c>
      <c r="D11025" s="9" t="s">
        <v>105</v>
      </c>
      <c r="E11025" s="6" t="s">
        <v>16447</v>
      </c>
      <c r="F11025" s="9"/>
    </row>
    <row r="11026" ht="33.75" customHeight="1">
      <c r="A11026" s="7">
        <v>465.0</v>
      </c>
      <c r="B11026" s="9" t="s">
        <v>16443</v>
      </c>
      <c r="C11026" s="9" t="s">
        <v>7230</v>
      </c>
      <c r="D11026" s="9" t="s">
        <v>107</v>
      </c>
      <c r="E11026" s="6" t="s">
        <v>16444</v>
      </c>
      <c r="F11026" s="9"/>
    </row>
    <row r="11027" ht="33.75" customHeight="1">
      <c r="A11027" s="7">
        <v>465.0</v>
      </c>
      <c r="B11027" s="9" t="s">
        <v>16443</v>
      </c>
      <c r="C11027" s="9" t="s">
        <v>7230</v>
      </c>
      <c r="D11027" s="9" t="s">
        <v>109</v>
      </c>
      <c r="E11027" s="6" t="s">
        <v>16447</v>
      </c>
      <c r="F11027" s="9"/>
    </row>
    <row r="11028" ht="33.75" customHeight="1">
      <c r="A11028" s="7">
        <v>465.0</v>
      </c>
      <c r="B11028" s="9" t="s">
        <v>16443</v>
      </c>
      <c r="C11028" s="9" t="s">
        <v>7230</v>
      </c>
      <c r="D11028" s="9" t="s">
        <v>114</v>
      </c>
      <c r="E11028" s="6" t="s">
        <v>16450</v>
      </c>
      <c r="F11028" s="9"/>
    </row>
    <row r="11029" ht="33.75" customHeight="1">
      <c r="A11029" s="7">
        <v>465.0</v>
      </c>
      <c r="B11029" s="9" t="s">
        <v>16443</v>
      </c>
      <c r="C11029" s="9" t="s">
        <v>7230</v>
      </c>
      <c r="D11029" s="9" t="s">
        <v>117</v>
      </c>
      <c r="E11029" s="6" t="s">
        <v>16451</v>
      </c>
      <c r="F11029" s="9"/>
    </row>
    <row r="11030" ht="33.75" customHeight="1">
      <c r="A11030" s="7">
        <v>465.0</v>
      </c>
      <c r="B11030" s="9" t="s">
        <v>16443</v>
      </c>
      <c r="C11030" s="9" t="s">
        <v>7230</v>
      </c>
      <c r="D11030" s="9" t="s">
        <v>1577</v>
      </c>
      <c r="E11030" s="6" t="s">
        <v>16452</v>
      </c>
      <c r="F11030" s="9"/>
    </row>
    <row r="11031" ht="33.75" customHeight="1">
      <c r="A11031" s="7">
        <v>466.0</v>
      </c>
      <c r="B11031" s="9" t="s">
        <v>16453</v>
      </c>
      <c r="C11031" s="9" t="s">
        <v>8487</v>
      </c>
      <c r="D11031" s="9" t="s">
        <v>81</v>
      </c>
      <c r="E11031" s="6" t="s">
        <v>16454</v>
      </c>
      <c r="F11031" t="inlineStr" s="10">
        <is>
          <t xml:space="preserve">Electivire työntää kahden häntänsä kärjet vihollista vasten ja päästää sitten irti yli 20 000 voltin energian. Välittämättä vihollisen hyökkäyksistä se lähestyy, työntää pyrstönsä vihollisen päälle ja menettää sitten korkean jännitteensä. Sähkövarauksen voimistuessa siniset kipinät alkavat rätisemään sen sarvien välistä. Heti kun se painaa häntänsä kärjet vastustajaa vasten, se lähettää yli 20 000 volttia sähköä viholliseen. Se työntää häntänsä kärkiä vihollisiaan vasten ja päästää sitten irti korkeajännitteisen sähkövirran. Sen viholliset poltetaan hetkessä rapeaksi. Kun se kiihtyy, se jyskyttää rintaansa. Jokaisen tömähdyksen myötä jyrisee ukkonen ja sähkökipinöitä sataa ympärilleen. Se tarttuu sähköä syöksevään hännäänsä ja lyö sitten vastustajat alas sähköistetyn nyrkkinsä voimalla. Yksi sähkölaitos voi tuottaa riittävästi sähköä kaikille suurkaupungin rakennuksille vuodeksi. Tämän Pokémonin tuottaman sähköenergian määrä on verrannollinen sen pulssin nopeuteen. Jännite hyppää Electiviren taistellessa. Sähköenergian tuoton suhteen Electivire on yksi parhaista sähkö-Pokémoneista. Se purkaa korkeajännitteisiä virtoja pyrstöistään. Sen evoluution aiheutti epätavallinen esine, ja sen sähköntuotto kasvaa sykkeen tahdissa. Pyrstöistään se voi laukaista 20 000 voltin sähkövirran.</t>
        </is>
      </c>
    </row>
    <row r="11032" ht="33.75" customHeight="1">
      <c r="A11032" s="7">
        <v>466.0</v>
      </c>
      <c r="B11032" s="9" t="s">
        <v>16453</v>
      </c>
      <c r="C11032" s="9" t="s">
        <v>8487</v>
      </c>
      <c r="D11032" s="9" t="s">
        <v>84</v>
      </c>
      <c r="E11032" s="6" t="s">
        <v>16454</v>
      </c>
      <c r="F11032" s="9"/>
    </row>
    <row r="11033" ht="33.75" customHeight="1">
      <c r="A11033" s="7">
        <v>466.0</v>
      </c>
      <c r="B11033" s="9" t="s">
        <v>16453</v>
      </c>
      <c r="C11033" s="9" t="s">
        <v>8487</v>
      </c>
      <c r="D11033" s="9" t="s">
        <v>87</v>
      </c>
      <c r="E11033" s="6" t="s">
        <v>16455</v>
      </c>
      <c r="F11033" s="9"/>
    </row>
    <row r="11034" ht="33.75" customHeight="1">
      <c r="A11034" s="7">
        <v>466.0</v>
      </c>
      <c r="B11034" s="9" t="s">
        <v>16453</v>
      </c>
      <c r="C11034" s="9" t="s">
        <v>8487</v>
      </c>
      <c r="D11034" s="9" t="s">
        <v>89</v>
      </c>
      <c r="E11034" s="6" t="s">
        <v>16456</v>
      </c>
      <c r="F11034" s="9"/>
    </row>
    <row r="11035" ht="33.75" customHeight="1">
      <c r="A11035" s="7">
        <v>466.0</v>
      </c>
      <c r="B11035" s="9" t="s">
        <v>16453</v>
      </c>
      <c r="C11035" s="9" t="s">
        <v>8487</v>
      </c>
      <c r="D11035" s="9" t="s">
        <v>91</v>
      </c>
      <c r="E11035" s="6" t="s">
        <v>16456</v>
      </c>
      <c r="F11035" s="9"/>
    </row>
    <row r="11036" ht="33.75" customHeight="1">
      <c r="A11036" s="7">
        <v>466.0</v>
      </c>
      <c r="B11036" s="9" t="s">
        <v>16453</v>
      </c>
      <c r="C11036" s="9" t="s">
        <v>8487</v>
      </c>
      <c r="D11036" s="9" t="s">
        <v>93</v>
      </c>
      <c r="E11036" s="6" t="s">
        <v>16455</v>
      </c>
      <c r="F11036" s="9"/>
    </row>
    <row r="11037" ht="33.75" customHeight="1">
      <c r="A11037" s="7">
        <v>466.0</v>
      </c>
      <c r="B11037" s="9" t="s">
        <v>16453</v>
      </c>
      <c r="C11037" s="9" t="s">
        <v>8487</v>
      </c>
      <c r="D11037" s="9" t="s">
        <v>95</v>
      </c>
      <c r="E11037" s="6" t="s">
        <v>16455</v>
      </c>
      <c r="F11037" s="9"/>
    </row>
    <row r="11038" ht="33.75" customHeight="1">
      <c r="A11038" s="7">
        <v>466.0</v>
      </c>
      <c r="B11038" s="9" t="s">
        <v>16453</v>
      </c>
      <c r="C11038" s="9" t="s">
        <v>8487</v>
      </c>
      <c r="D11038" s="9" t="s">
        <v>98</v>
      </c>
      <c r="E11038" s="6" t="s">
        <v>16457</v>
      </c>
      <c r="F11038" s="9"/>
    </row>
    <row r="11039" ht="33.75" customHeight="1">
      <c r="A11039" s="7">
        <v>466.0</v>
      </c>
      <c r="B11039" s="9" t="s">
        <v>16453</v>
      </c>
      <c r="C11039" s="9" t="s">
        <v>8487</v>
      </c>
      <c r="D11039" s="9" t="s">
        <v>99</v>
      </c>
      <c r="E11039" s="6" t="s">
        <v>16457</v>
      </c>
      <c r="F11039" s="9"/>
    </row>
    <row r="11040" ht="33.75" customHeight="1">
      <c r="A11040" s="7">
        <v>466.0</v>
      </c>
      <c r="B11040" s="9" t="s">
        <v>16453</v>
      </c>
      <c r="C11040" s="9" t="s">
        <v>8487</v>
      </c>
      <c r="D11040" s="9" t="s">
        <v>101</v>
      </c>
      <c r="E11040" s="6" t="s">
        <v>16456</v>
      </c>
      <c r="F11040" s="9"/>
    </row>
    <row r="11041" ht="33.75" customHeight="1">
      <c r="A11041" s="7">
        <v>466.0</v>
      </c>
      <c r="B11041" s="9" t="s">
        <v>16453</v>
      </c>
      <c r="C11041" s="9" t="s">
        <v>8487</v>
      </c>
      <c r="D11041" s="9" t="s">
        <v>105</v>
      </c>
      <c r="E11041" s="6" t="s">
        <v>16454</v>
      </c>
      <c r="F11041" s="9"/>
    </row>
    <row r="11042" ht="33.75" customHeight="1">
      <c r="A11042" s="7">
        <v>466.0</v>
      </c>
      <c r="B11042" s="9" t="s">
        <v>16453</v>
      </c>
      <c r="C11042" s="9" t="s">
        <v>8487</v>
      </c>
      <c r="D11042" s="9" t="s">
        <v>107</v>
      </c>
      <c r="E11042" s="6" t="s">
        <v>16456</v>
      </c>
      <c r="F11042" s="9"/>
    </row>
    <row r="11043" ht="33.75" customHeight="1">
      <c r="A11043" s="7">
        <v>466.0</v>
      </c>
      <c r="B11043" s="9" t="s">
        <v>16453</v>
      </c>
      <c r="C11043" s="9" t="s">
        <v>8487</v>
      </c>
      <c r="D11043" s="9" t="s">
        <v>109</v>
      </c>
      <c r="E11043" s="6" t="s">
        <v>16454</v>
      </c>
      <c r="F11043" s="9"/>
    </row>
    <row r="11044" ht="33.75" customHeight="1">
      <c r="A11044" s="7">
        <v>466.0</v>
      </c>
      <c r="B11044" s="9" t="s">
        <v>16453</v>
      </c>
      <c r="C11044" s="9" t="s">
        <v>8487</v>
      </c>
      <c r="D11044" s="9" t="s">
        <v>637</v>
      </c>
      <c r="E11044" s="6" t="s">
        <v>16459</v>
      </c>
      <c r="F11044" s="9"/>
    </row>
    <row r="11045" ht="33.75" customHeight="1">
      <c r="A11045" s="7">
        <v>466.0</v>
      </c>
      <c r="B11045" s="9" t="s">
        <v>16453</v>
      </c>
      <c r="C11045" s="9" t="s">
        <v>8487</v>
      </c>
      <c r="D11045" s="9" t="s">
        <v>642</v>
      </c>
      <c r="E11045" s="6" t="s">
        <v>16460</v>
      </c>
      <c r="F11045" s="9"/>
    </row>
    <row r="11046" ht="33.75" customHeight="1">
      <c r="A11046" s="7">
        <v>466.0</v>
      </c>
      <c r="B11046" s="9" t="s">
        <v>16453</v>
      </c>
      <c r="C11046" s="9" t="s">
        <v>8487</v>
      </c>
      <c r="D11046" s="9" t="s">
        <v>647</v>
      </c>
      <c r="E11046" s="6" t="s">
        <v>16461</v>
      </c>
      <c r="F11046" s="9"/>
    </row>
    <row r="11047" ht="33.75" customHeight="1">
      <c r="A11047" s="7">
        <v>466.0</v>
      </c>
      <c r="B11047" s="9" t="s">
        <v>16453</v>
      </c>
      <c r="C11047" s="9" t="s">
        <v>8487</v>
      </c>
      <c r="D11047" s="9" t="s">
        <v>652</v>
      </c>
      <c r="E11047" s="6" t="s">
        <v>16462</v>
      </c>
      <c r="F11047" s="9"/>
    </row>
    <row r="11048" ht="33.75" customHeight="1">
      <c r="A11048" s="7">
        <v>466.0</v>
      </c>
      <c r="B11048" s="9" t="s">
        <v>16453</v>
      </c>
      <c r="C11048" s="9" t="s">
        <v>8487</v>
      </c>
      <c r="D11048" s="9" t="s">
        <v>114</v>
      </c>
      <c r="E11048" s="6" t="s">
        <v>16463</v>
      </c>
      <c r="F11048" s="9"/>
    </row>
    <row r="11049" ht="33.75" customHeight="1">
      <c r="A11049" s="7">
        <v>466.0</v>
      </c>
      <c r="B11049" s="9" t="s">
        <v>16453</v>
      </c>
      <c r="C11049" s="9" t="s">
        <v>8487</v>
      </c>
      <c r="D11049" s="9" t="s">
        <v>117</v>
      </c>
      <c r="E11049" s="6" t="s">
        <v>16464</v>
      </c>
      <c r="F11049" s="9"/>
    </row>
    <row r="11050" ht="33.75" customHeight="1">
      <c r="A11050" s="7">
        <v>466.0</v>
      </c>
      <c r="B11050" s="9" t="s">
        <v>16453</v>
      </c>
      <c r="C11050" s="9" t="s">
        <v>8487</v>
      </c>
      <c r="D11050" s="9" t="s">
        <v>1577</v>
      </c>
      <c r="E11050" s="6" t="s">
        <v>16465</v>
      </c>
      <c r="F11050" s="9"/>
    </row>
    <row r="11051" ht="33.75" customHeight="1">
      <c r="A11051" s="7">
        <v>467.0</v>
      </c>
      <c r="B11051" s="9" t="s">
        <v>16466</v>
      </c>
      <c r="C11051" s="9" t="s">
        <v>16467</v>
      </c>
      <c r="D11051" s="9" t="s">
        <v>81</v>
      </c>
      <c r="E11051" s="6" t="s">
        <v>16468</v>
      </c>
      <c r="F11051" t="inlineStr" s="10">
        <is>
          <t xml:space="preserve">Magmortar ampuu yli 3 600 Fahrenheit-asteen tulipalloja haarojensa päistä. Se elää tulivuoren kraattereissa. Kun laukaistaan ​​3 600 Fahrenheit-asteen tulipalloja, sen runko saa valkean sävyn voimakkaasta kuumuudesta. Se ampuu käsivarsistaan ​​yli 1 600 celsiusasteen tulipalloja. Sen hengitys myös polttaa ja sihisee. Kun se ampuu käsistään 3 600 Fahrenheit-asteen tulipalloja, sen keho saa valkean sävyn voimakkaasta kuumuudesta. Se ampuu yli 1 600 celsiusasteen tulipalloja haarojensa päistä. Ne asuvat tulivuoren kraattereissa. Tiedossa olevan mukaan yhdessä tulivuoressa asuu yksi uros- ja naarasmagmortar-pari. Käsivarrestaan ​​se ampuu yli 1 500 celsiusastetta kuumempia tulipalloja. Sen käsivarsi alkaa sulaa, kun se ampuu kokonaisen tulituksen. On edelleen melko monta tehtaita, jotka ovat riippuvaisia ​​Magmortarin tarjoamista liekeistä metallien prosessoinnissa. Magmortar tappaa vihollisensa ampumalla tulipalloja, jotka polttavat ne mustuneiksi ja rapeiksi. Se välttää tätä menetelmää saalista metsästäessään. Kun Magmortar hengittää syvään sisään, sen vatsassa palava tuli voimistuu ja lämpötila nousee yli 3 600 Fahrenheit-asteeseen. Tulivuoren kraatterissa eläminen on saanut tämän Pokémonin kehon muistuttamaan ympäristöään – sillä on magmakammiota muistuttava elin. Oudon esineen käyttö sai tämän Pokémonin kehittymään. Sen putkimaisten käsivarsien päistä laukaistut tulipallot ovat niin kuumia, että ne voisivat sulattaa rautapadan hetkessä.</t>
        </is>
      </c>
    </row>
    <row r="11052" ht="33.75" customHeight="1">
      <c r="A11052" s="7">
        <v>467.0</v>
      </c>
      <c r="B11052" s="9" t="s">
        <v>16466</v>
      </c>
      <c r="C11052" s="9" t="s">
        <v>16467</v>
      </c>
      <c r="D11052" s="9" t="s">
        <v>84</v>
      </c>
      <c r="E11052" s="6" t="s">
        <v>16468</v>
      </c>
      <c r="F11052" s="9"/>
    </row>
    <row r="11053" ht="33.75" customHeight="1">
      <c r="A11053" s="7">
        <v>467.0</v>
      </c>
      <c r="B11053" s="9" t="s">
        <v>16466</v>
      </c>
      <c r="C11053" s="9" t="s">
        <v>16467</v>
      </c>
      <c r="D11053" s="9" t="s">
        <v>87</v>
      </c>
      <c r="E11053" s="6" t="s">
        <v>16470</v>
      </c>
      <c r="F11053" s="9"/>
    </row>
    <row r="11054" ht="33.75" customHeight="1">
      <c r="A11054" s="7">
        <v>467.0</v>
      </c>
      <c r="B11054" s="9" t="s">
        <v>16466</v>
      </c>
      <c r="C11054" s="9" t="s">
        <v>16467</v>
      </c>
      <c r="D11054" s="9" t="s">
        <v>89</v>
      </c>
      <c r="E11054" s="6" t="s">
        <v>16471</v>
      </c>
      <c r="F11054" s="9"/>
    </row>
    <row r="11055" ht="33.75" customHeight="1">
      <c r="A11055" s="7">
        <v>467.0</v>
      </c>
      <c r="B11055" s="9" t="s">
        <v>16466</v>
      </c>
      <c r="C11055" s="9" t="s">
        <v>16467</v>
      </c>
      <c r="D11055" s="9" t="s">
        <v>91</v>
      </c>
      <c r="E11055" s="6" t="s">
        <v>16471</v>
      </c>
      <c r="F11055" s="9"/>
    </row>
    <row r="11056" ht="33.75" customHeight="1">
      <c r="A11056" s="7">
        <v>467.0</v>
      </c>
      <c r="B11056" s="9" t="s">
        <v>16466</v>
      </c>
      <c r="C11056" s="9" t="s">
        <v>16467</v>
      </c>
      <c r="D11056" s="9" t="s">
        <v>93</v>
      </c>
      <c r="E11056" s="6" t="s">
        <v>16470</v>
      </c>
      <c r="F11056" s="9"/>
    </row>
    <row r="11057" ht="33.75" customHeight="1">
      <c r="A11057" s="7">
        <v>467.0</v>
      </c>
      <c r="B11057" s="9" t="s">
        <v>16466</v>
      </c>
      <c r="C11057" s="9" t="s">
        <v>16467</v>
      </c>
      <c r="D11057" s="9" t="s">
        <v>95</v>
      </c>
      <c r="E11057" s="6" t="s">
        <v>16470</v>
      </c>
      <c r="F11057" s="9"/>
    </row>
    <row r="11058" ht="33.75" customHeight="1">
      <c r="A11058" s="7">
        <v>467.0</v>
      </c>
      <c r="B11058" s="9" t="s">
        <v>16466</v>
      </c>
      <c r="C11058" s="9" t="s">
        <v>16467</v>
      </c>
      <c r="D11058" s="9" t="s">
        <v>98</v>
      </c>
      <c r="E11058" s="6" t="s">
        <v>16472</v>
      </c>
      <c r="F11058" s="9"/>
    </row>
    <row r="11059" ht="33.75" customHeight="1">
      <c r="A11059" s="7">
        <v>467.0</v>
      </c>
      <c r="B11059" s="9" t="s">
        <v>16466</v>
      </c>
      <c r="C11059" s="9" t="s">
        <v>16467</v>
      </c>
      <c r="D11059" s="9" t="s">
        <v>99</v>
      </c>
      <c r="E11059" s="6" t="s">
        <v>16472</v>
      </c>
      <c r="F11059" s="9"/>
    </row>
    <row r="11060" ht="33.75" customHeight="1">
      <c r="A11060" s="7">
        <v>467.0</v>
      </c>
      <c r="B11060" s="9" t="s">
        <v>16466</v>
      </c>
      <c r="C11060" s="9" t="s">
        <v>16467</v>
      </c>
      <c r="D11060" s="9" t="s">
        <v>101</v>
      </c>
      <c r="E11060" s="6" t="s">
        <v>16473</v>
      </c>
      <c r="F11060" s="9"/>
    </row>
    <row r="11061" ht="33.75" customHeight="1">
      <c r="A11061" s="7">
        <v>467.0</v>
      </c>
      <c r="B11061" s="9" t="s">
        <v>16466</v>
      </c>
      <c r="C11061" s="9" t="s">
        <v>16467</v>
      </c>
      <c r="D11061" s="9" t="s">
        <v>105</v>
      </c>
      <c r="E11061" s="6" t="s">
        <v>16471</v>
      </c>
      <c r="F11061" s="9"/>
    </row>
    <row r="11062" ht="33.75" customHeight="1">
      <c r="A11062" s="7">
        <v>467.0</v>
      </c>
      <c r="B11062" s="9" t="s">
        <v>16466</v>
      </c>
      <c r="C11062" s="9" t="s">
        <v>16467</v>
      </c>
      <c r="D11062" s="9" t="s">
        <v>107</v>
      </c>
      <c r="E11062" s="6" t="s">
        <v>16473</v>
      </c>
      <c r="F11062" s="9"/>
    </row>
    <row r="11063" ht="33.75" customHeight="1">
      <c r="A11063" s="7">
        <v>467.0</v>
      </c>
      <c r="B11063" s="9" t="s">
        <v>16466</v>
      </c>
      <c r="C11063" s="9" t="s">
        <v>16467</v>
      </c>
      <c r="D11063" s="9" t="s">
        <v>109</v>
      </c>
      <c r="E11063" s="6" t="s">
        <v>16471</v>
      </c>
      <c r="F11063" s="9"/>
    </row>
    <row r="11064" ht="33.75" customHeight="1">
      <c r="A11064" s="7">
        <v>467.0</v>
      </c>
      <c r="B11064" s="9" t="s">
        <v>16466</v>
      </c>
      <c r="C11064" s="9" t="s">
        <v>16467</v>
      </c>
      <c r="D11064" s="9" t="s">
        <v>637</v>
      </c>
      <c r="E11064" s="6" t="s">
        <v>16474</v>
      </c>
      <c r="F11064" s="9"/>
    </row>
    <row r="11065" ht="33.75" customHeight="1">
      <c r="A11065" s="7">
        <v>467.0</v>
      </c>
      <c r="B11065" s="9" t="s">
        <v>16466</v>
      </c>
      <c r="C11065" s="9" t="s">
        <v>16467</v>
      </c>
      <c r="D11065" s="9" t="s">
        <v>642</v>
      </c>
      <c r="E11065" s="6" t="s">
        <v>16475</v>
      </c>
      <c r="F11065" s="9"/>
    </row>
    <row r="11066" ht="33.75" customHeight="1">
      <c r="A11066" s="7">
        <v>467.0</v>
      </c>
      <c r="B11066" s="9" t="s">
        <v>16466</v>
      </c>
      <c r="C11066" s="9" t="s">
        <v>16467</v>
      </c>
      <c r="D11066" s="9" t="s">
        <v>647</v>
      </c>
      <c r="E11066" s="6" t="s">
        <v>16476</v>
      </c>
      <c r="F11066" s="9"/>
    </row>
    <row r="11067" ht="33.75" customHeight="1">
      <c r="A11067" s="7">
        <v>467.0</v>
      </c>
      <c r="B11067" s="9" t="s">
        <v>16466</v>
      </c>
      <c r="C11067" s="9" t="s">
        <v>16467</v>
      </c>
      <c r="D11067" s="9" t="s">
        <v>652</v>
      </c>
      <c r="E11067" s="6" t="s">
        <v>16477</v>
      </c>
      <c r="F11067" s="9"/>
    </row>
    <row r="11068" ht="33.75" customHeight="1">
      <c r="A11068" s="7">
        <v>467.0</v>
      </c>
      <c r="B11068" s="9" t="s">
        <v>16466</v>
      </c>
      <c r="C11068" s="9" t="s">
        <v>16467</v>
      </c>
      <c r="D11068" s="9" t="s">
        <v>114</v>
      </c>
      <c r="E11068" s="6" t="s">
        <v>16479</v>
      </c>
      <c r="F11068" s="9"/>
    </row>
    <row r="11069" ht="33.75" customHeight="1">
      <c r="A11069" s="7">
        <v>467.0</v>
      </c>
      <c r="B11069" s="9" t="s">
        <v>16466</v>
      </c>
      <c r="C11069" s="9" t="s">
        <v>16467</v>
      </c>
      <c r="D11069" s="9" t="s">
        <v>117</v>
      </c>
      <c r="E11069" s="6" t="s">
        <v>16480</v>
      </c>
      <c r="F11069" s="9"/>
    </row>
    <row r="11070" ht="33.75" customHeight="1">
      <c r="A11070" s="7">
        <v>467.0</v>
      </c>
      <c r="B11070" s="9" t="s">
        <v>16466</v>
      </c>
      <c r="C11070" s="9" t="s">
        <v>16467</v>
      </c>
      <c r="D11070" s="9" t="s">
        <v>1577</v>
      </c>
      <c r="E11070" s="6" t="s">
        <v>16481</v>
      </c>
      <c r="F11070" s="9"/>
    </row>
    <row r="11071" ht="33.75" customHeight="1">
      <c r="A11071" s="7">
        <v>468.0</v>
      </c>
      <c r="B11071" s="9" t="s">
        <v>16482</v>
      </c>
      <c r="C11071" s="9" t="s">
        <v>16483</v>
      </c>
      <c r="D11071" s="9" t="s">
        <v>81</v>
      </c>
      <c r="E11071" s="6" t="s">
        <v>16484</v>
      </c>
      <c r="F11071" t="inlineStr" s="10">
        <is>
          <t xml:space="preserve">Togekiss ei koskaan ilmesty sinne, missä on riitaa. Sen havainnot ovat harvinaistuneet viime aikoina. Se jakaa monia siunauksia ihmisille, jotka kunnioittavat toistensa oikeuksia ja välttävät tarpeetonta riitaa. Kuten kaikki tietävät, se vierailee rauhallisilla alueilla tuoden niille ystävällisyyden lahjoja ja suloisia siunauksia. Näitä Pokémoneja ei koskaan nähdä lähelläkään konflikteja tai levottomuuksia. Viime aikoina niitä on nähty tuskin ollenkaan. Siunauksen tuojana tunnettua kalpea on kuvattu onnenkaluissa muinaisista ajoista lähtien. Harva on koskaan nähnyt tätä Pokémonia. Tutkittuani jäljellä olevaa kirjallisuutta olen varma, että Togekiss paljastaa itsensä, kun rauha vallitsee maassa.</t>
        </is>
      </c>
    </row>
    <row r="11072" ht="33.75" customHeight="1">
      <c r="A11072" s="7">
        <v>468.0</v>
      </c>
      <c r="B11072" s="9" t="s">
        <v>16482</v>
      </c>
      <c r="C11072" s="9" t="s">
        <v>16483</v>
      </c>
      <c r="D11072" s="9" t="s">
        <v>84</v>
      </c>
      <c r="E11072" s="6" t="s">
        <v>16484</v>
      </c>
      <c r="F11072" s="9"/>
    </row>
    <row r="11073" ht="33.75" customHeight="1">
      <c r="A11073" s="7">
        <v>468.0</v>
      </c>
      <c r="B11073" s="9" t="s">
        <v>16482</v>
      </c>
      <c r="C11073" s="9" t="s">
        <v>16483</v>
      </c>
      <c r="D11073" s="9" t="s">
        <v>87</v>
      </c>
      <c r="E11073" s="6" t="s">
        <v>16485</v>
      </c>
      <c r="F11073" s="9"/>
    </row>
    <row r="11074" ht="33.75" customHeight="1">
      <c r="A11074" s="7">
        <v>468.0</v>
      </c>
      <c r="B11074" s="9" t="s">
        <v>16482</v>
      </c>
      <c r="C11074" s="9" t="s">
        <v>16483</v>
      </c>
      <c r="D11074" s="9" t="s">
        <v>89</v>
      </c>
      <c r="E11074" s="6" t="s">
        <v>16486</v>
      </c>
      <c r="F11074" s="9"/>
    </row>
    <row r="11075" ht="33.75" customHeight="1">
      <c r="A11075" s="7">
        <v>468.0</v>
      </c>
      <c r="B11075" s="9" t="s">
        <v>16482</v>
      </c>
      <c r="C11075" s="9" t="s">
        <v>16483</v>
      </c>
      <c r="D11075" s="9" t="s">
        <v>91</v>
      </c>
      <c r="E11075" s="6" t="s">
        <v>16486</v>
      </c>
      <c r="F11075" s="9"/>
    </row>
    <row r="11076" ht="33.75" customHeight="1">
      <c r="A11076" s="7">
        <v>468.0</v>
      </c>
      <c r="B11076" s="9" t="s">
        <v>16482</v>
      </c>
      <c r="C11076" s="9" t="s">
        <v>16483</v>
      </c>
      <c r="D11076" s="9" t="s">
        <v>93</v>
      </c>
      <c r="E11076" s="6" t="s">
        <v>16485</v>
      </c>
      <c r="F11076" s="9"/>
    </row>
    <row r="11077" ht="33.75" customHeight="1">
      <c r="A11077" s="7">
        <v>468.0</v>
      </c>
      <c r="B11077" s="9" t="s">
        <v>16482</v>
      </c>
      <c r="C11077" s="9" t="s">
        <v>16483</v>
      </c>
      <c r="D11077" s="9" t="s">
        <v>95</v>
      </c>
      <c r="E11077" s="6" t="s">
        <v>16485</v>
      </c>
      <c r="F11077" s="9"/>
    </row>
    <row r="11078" ht="33.75" customHeight="1">
      <c r="A11078" s="7">
        <v>468.0</v>
      </c>
      <c r="B11078" s="9" t="s">
        <v>16482</v>
      </c>
      <c r="C11078" s="9" t="s">
        <v>16483</v>
      </c>
      <c r="D11078" s="9" t="s">
        <v>98</v>
      </c>
      <c r="E11078" s="6" t="s">
        <v>16485</v>
      </c>
      <c r="F11078" s="9"/>
    </row>
    <row r="11079" ht="33.75" customHeight="1">
      <c r="A11079" s="7">
        <v>468.0</v>
      </c>
      <c r="B11079" s="9" t="s">
        <v>16482</v>
      </c>
      <c r="C11079" s="9" t="s">
        <v>16483</v>
      </c>
      <c r="D11079" s="9" t="s">
        <v>99</v>
      </c>
      <c r="E11079" s="6" t="s">
        <v>16485</v>
      </c>
      <c r="F11079" s="9"/>
    </row>
    <row r="11080" ht="33.75" customHeight="1">
      <c r="A11080" s="7">
        <v>468.0</v>
      </c>
      <c r="B11080" s="9" t="s">
        <v>16482</v>
      </c>
      <c r="C11080" s="9" t="s">
        <v>16483</v>
      </c>
      <c r="D11080" s="9" t="s">
        <v>101</v>
      </c>
      <c r="E11080" s="6" t="s">
        <v>16486</v>
      </c>
      <c r="F11080" s="9"/>
    </row>
    <row r="11081" ht="33.75" customHeight="1">
      <c r="A11081" s="7">
        <v>468.0</v>
      </c>
      <c r="B11081" s="9" t="s">
        <v>16482</v>
      </c>
      <c r="C11081" s="9" t="s">
        <v>16483</v>
      </c>
      <c r="D11081" s="9" t="s">
        <v>105</v>
      </c>
      <c r="E11081" s="6" t="s">
        <v>16485</v>
      </c>
      <c r="F11081" s="9"/>
    </row>
    <row r="11082" ht="33.75" customHeight="1">
      <c r="A11082" s="7">
        <v>468.0</v>
      </c>
      <c r="B11082" s="9" t="s">
        <v>16482</v>
      </c>
      <c r="C11082" s="9" t="s">
        <v>16483</v>
      </c>
      <c r="D11082" s="9" t="s">
        <v>107</v>
      </c>
      <c r="E11082" s="6" t="s">
        <v>16486</v>
      </c>
      <c r="F11082" s="9"/>
    </row>
    <row r="11083" ht="33.75" customHeight="1">
      <c r="A11083" s="7">
        <v>468.0</v>
      </c>
      <c r="B11083" s="9" t="s">
        <v>16482</v>
      </c>
      <c r="C11083" s="9" t="s">
        <v>16483</v>
      </c>
      <c r="D11083" s="9" t="s">
        <v>109</v>
      </c>
      <c r="E11083" s="6" t="s">
        <v>16485</v>
      </c>
      <c r="F11083" s="9"/>
    </row>
    <row r="11084" ht="33.75" customHeight="1">
      <c r="A11084" s="7">
        <v>468.0</v>
      </c>
      <c r="B11084" s="9" t="s">
        <v>16482</v>
      </c>
      <c r="C11084" s="9" t="s">
        <v>16483</v>
      </c>
      <c r="D11084" s="9" t="s">
        <v>114</v>
      </c>
      <c r="E11084" s="6" t="s">
        <v>16488</v>
      </c>
      <c r="F11084" s="9"/>
    </row>
    <row r="11085" ht="33.75" customHeight="1">
      <c r="A11085" s="7">
        <v>468.0</v>
      </c>
      <c r="B11085" s="9" t="s">
        <v>16482</v>
      </c>
      <c r="C11085" s="9" t="s">
        <v>16483</v>
      </c>
      <c r="D11085" s="9" t="s">
        <v>117</v>
      </c>
      <c r="E11085" s="6" t="s">
        <v>16489</v>
      </c>
      <c r="F11085" s="9"/>
    </row>
    <row r="11086" ht="33.75" customHeight="1">
      <c r="A11086" s="7">
        <v>468.0</v>
      </c>
      <c r="B11086" s="9" t="s">
        <v>16482</v>
      </c>
      <c r="C11086" s="9" t="s">
        <v>16483</v>
      </c>
      <c r="D11086" s="9" t="s">
        <v>1577</v>
      </c>
      <c r="E11086" s="6" t="s">
        <v>16490</v>
      </c>
      <c r="F11086" s="9"/>
    </row>
    <row r="11087" ht="33.75" customHeight="1">
      <c r="A11087" s="7">
        <v>469.0</v>
      </c>
      <c r="B11087" s="9" t="s">
        <v>16491</v>
      </c>
      <c r="C11087" s="9" t="s">
        <v>16492</v>
      </c>
      <c r="D11087" s="9" t="s">
        <v>81</v>
      </c>
      <c r="E11087" s="6" t="s">
        <v>16493</v>
      </c>
      <c r="F11087" t="inlineStr" s="10">
        <is>
          <t xml:space="preserve">Siipiään heiluttamalla se luo paineaaltoja, jotka aiheuttavat vihollisille vakavia sisäisiä vammoja. Sen leukojen voima on uskomaton. Se on taitava puremaan vihollisia kappaleiksi lentäessään ohi suurella nopeudella. Tämä kuusijalkainen Pokémon pystyy helposti kuljettamaan aikuisen lennossa. Sen pyrstössä olevat siivet auttavat sitä pysymään tasapainossa. Sen siipieniskut ovat niin voimakkaita, että se vahingossa irrottaa täysikasvuisia puita lähtiessään lentoon. Se mieluummin taistelee puremalla vihollisten päät kappaleiksi välittömästi samalla kun se lentää ohi suurella nopeudella. Äärimmäisen väkivaltainen. Metsästäessään se ei tuhlaa lainkaan energiaansa, vaan tähtää vain saaliin haavoittuvimpiin paikkoihin. Jokaisen, joka onnistuu kesyttämään tämän Pokémonin, täytyy olla uskomattoman rohkea.</t>
        </is>
      </c>
    </row>
    <row r="11088" ht="33.75" customHeight="1">
      <c r="A11088" s="7">
        <v>469.0</v>
      </c>
      <c r="B11088" s="9" t="s">
        <v>16491</v>
      </c>
      <c r="C11088" s="9" t="s">
        <v>16492</v>
      </c>
      <c r="D11088" s="9" t="s">
        <v>84</v>
      </c>
      <c r="E11088" s="6" t="s">
        <v>16493</v>
      </c>
      <c r="F11088" s="9"/>
    </row>
    <row r="11089" ht="33.75" customHeight="1">
      <c r="A11089" s="7">
        <v>469.0</v>
      </c>
      <c r="B11089" s="9" t="s">
        <v>16491</v>
      </c>
      <c r="C11089" s="9" t="s">
        <v>16492</v>
      </c>
      <c r="D11089" s="9" t="s">
        <v>87</v>
      </c>
      <c r="E11089" s="6" t="s">
        <v>16494</v>
      </c>
      <c r="F11089" s="9"/>
    </row>
    <row r="11090" ht="33.75" customHeight="1">
      <c r="A11090" s="7">
        <v>469.0</v>
      </c>
      <c r="B11090" s="9" t="s">
        <v>16491</v>
      </c>
      <c r="C11090" s="9" t="s">
        <v>16492</v>
      </c>
      <c r="D11090" s="9" t="s">
        <v>89</v>
      </c>
      <c r="E11090" s="6" t="s">
        <v>16495</v>
      </c>
      <c r="F11090" s="9"/>
    </row>
    <row r="11091" ht="33.75" customHeight="1">
      <c r="A11091" s="7">
        <v>469.0</v>
      </c>
      <c r="B11091" s="9" t="s">
        <v>16491</v>
      </c>
      <c r="C11091" s="9" t="s">
        <v>16492</v>
      </c>
      <c r="D11091" s="9" t="s">
        <v>91</v>
      </c>
      <c r="E11091" s="6" t="s">
        <v>16496</v>
      </c>
      <c r="F11091" s="9"/>
    </row>
    <row r="11092" ht="33.75" customHeight="1">
      <c r="A11092" s="7">
        <v>469.0</v>
      </c>
      <c r="B11092" s="9" t="s">
        <v>16491</v>
      </c>
      <c r="C11092" s="9" t="s">
        <v>16492</v>
      </c>
      <c r="D11092" s="9" t="s">
        <v>93</v>
      </c>
      <c r="E11092" s="6" t="s">
        <v>16494</v>
      </c>
      <c r="F11092" s="9"/>
    </row>
    <row r="11093" ht="33.75" customHeight="1">
      <c r="A11093" s="7">
        <v>469.0</v>
      </c>
      <c r="B11093" s="9" t="s">
        <v>16491</v>
      </c>
      <c r="C11093" s="9" t="s">
        <v>16492</v>
      </c>
      <c r="D11093" s="9" t="s">
        <v>95</v>
      </c>
      <c r="E11093" s="6" t="s">
        <v>16494</v>
      </c>
      <c r="F11093" s="9"/>
    </row>
    <row r="11094" ht="33.75" customHeight="1">
      <c r="A11094" s="7">
        <v>469.0</v>
      </c>
      <c r="B11094" s="9" t="s">
        <v>16491</v>
      </c>
      <c r="C11094" s="9" t="s">
        <v>16492</v>
      </c>
      <c r="D11094" s="9" t="s">
        <v>98</v>
      </c>
      <c r="E11094" s="6" t="s">
        <v>16497</v>
      </c>
      <c r="F11094" s="9"/>
    </row>
    <row r="11095" ht="33.75" customHeight="1">
      <c r="A11095" s="7">
        <v>469.0</v>
      </c>
      <c r="B11095" s="9" t="s">
        <v>16491</v>
      </c>
      <c r="C11095" s="9" t="s">
        <v>16492</v>
      </c>
      <c r="D11095" s="9" t="s">
        <v>99</v>
      </c>
      <c r="E11095" s="6" t="s">
        <v>16497</v>
      </c>
      <c r="F11095" s="9"/>
    </row>
    <row r="11096" ht="33.75" customHeight="1">
      <c r="A11096" s="7">
        <v>469.0</v>
      </c>
      <c r="B11096" s="9" t="s">
        <v>16491</v>
      </c>
      <c r="C11096" s="9" t="s">
        <v>16492</v>
      </c>
      <c r="D11096" s="9" t="s">
        <v>101</v>
      </c>
      <c r="E11096" s="6" t="s">
        <v>16497</v>
      </c>
      <c r="F11096" s="9"/>
    </row>
    <row r="11097" ht="33.75" customHeight="1">
      <c r="A11097" s="7">
        <v>469.0</v>
      </c>
      <c r="B11097" s="9" t="s">
        <v>16491</v>
      </c>
      <c r="C11097" s="9" t="s">
        <v>16492</v>
      </c>
      <c r="D11097" s="9" t="s">
        <v>105</v>
      </c>
      <c r="E11097" s="6" t="s">
        <v>16495</v>
      </c>
      <c r="F11097" s="9"/>
    </row>
    <row r="11098" ht="33.75" customHeight="1">
      <c r="A11098" s="7">
        <v>469.0</v>
      </c>
      <c r="B11098" s="9" t="s">
        <v>16491</v>
      </c>
      <c r="C11098" s="9" t="s">
        <v>16492</v>
      </c>
      <c r="D11098" s="9" t="s">
        <v>107</v>
      </c>
      <c r="E11098" s="6" t="s">
        <v>16497</v>
      </c>
      <c r="F11098" s="9"/>
    </row>
    <row r="11099" ht="33.75" customHeight="1">
      <c r="A11099" s="7">
        <v>469.0</v>
      </c>
      <c r="B11099" s="9" t="s">
        <v>16491</v>
      </c>
      <c r="C11099" s="9" t="s">
        <v>16492</v>
      </c>
      <c r="D11099" s="9" t="s">
        <v>109</v>
      </c>
      <c r="E11099" s="6" t="s">
        <v>16495</v>
      </c>
      <c r="F11099" s="9"/>
    </row>
    <row r="11100" ht="33.75" customHeight="1">
      <c r="A11100" s="7">
        <v>469.0</v>
      </c>
      <c r="B11100" s="9" t="s">
        <v>16491</v>
      </c>
      <c r="C11100" s="9" t="s">
        <v>16492</v>
      </c>
      <c r="D11100" s="9" t="s">
        <v>1577</v>
      </c>
      <c r="E11100" s="6" t="s">
        <v>16498</v>
      </c>
      <c r="F11100" s="9"/>
    </row>
    <row r="11101" ht="33.75" customHeight="1">
      <c r="A11101" s="7">
        <v>470.0</v>
      </c>
      <c r="B11101" s="9" t="s">
        <v>16499</v>
      </c>
      <c r="C11101" s="9" t="s">
        <v>16501</v>
      </c>
      <c r="D11101" s="9" t="s">
        <v>81</v>
      </c>
      <c r="E11101" s="6" t="s">
        <v>16502</v>
      </c>
      <c r="F11101" t="inlineStr" s="10">
        <is>
          <t xml:space="preserve">Aivan kuten kasvi, se käyttää fotosynteesiä. Tämän seurauksena se on aina kirkkaan ilman ympäröimä. Se ei pohjimmiltaan taistele. Kasvien solujen kaltaisilla soluilla se voi suorittaa fotosynteesiä. Kun näet LEAFEONin nukkuvan auringonpaisteessa, tiedät, että se käyttää fotosynteesiä puhtaan ilman tuottamiseen. Kasvien solujen kaltaisilla soluilla se suorittaa fotosynteesiä kehossaan ja luo puhdasta ilmaa. Sen solukoostumus on lähempänä kasvin kuin eläimen solukoostumusta. Se käyttää fotosynteesiä energiansaantiin syömättä ruokaa. Mitä nuorempia ne ovat, sitä enemmän ne tuoksuvat tuoreelta ruoholta. Iän myötä niiden tuoksu saa pudonneiden lehtien tuoksun. Vaikka se ei pidä riidoista, se teroittaa pyrstössään olevan lehden miekaksi ja taistelee, jos sen on suojeltava ystäviään. Se saa ravintonsa fotosynteesistä. Se elää hiljaista elämää syvällä metsissä, missä puhtaat joet virtaavat. Galarialaiset pitävät tämän Pokémonin lehdistä leijuvasta ominaisesta aromista. Tästä tuoksusta valmistetaan suosittu hajuvesi. Tämän Pokémonin häntä on terävä ja siinä on upea leikkaava reuna, jolla se voi viiltää suoraan suurten puiden läpi. Sen turkista on löydetty kasvien soluja muistuttavia soluja. Sen kova häntä voi kaataa suuren puun yhdellä iskulla, ja hännän terävyys ylittää jopa mestarin valmistaman miekan terävyyden.</t>
        </is>
      </c>
    </row>
    <row r="11102" ht="33.75" customHeight="1">
      <c r="A11102" s="7">
        <v>470.0</v>
      </c>
      <c r="B11102" s="9" t="s">
        <v>16499</v>
      </c>
      <c r="C11102" s="9" t="s">
        <v>16501</v>
      </c>
      <c r="D11102" s="9" t="s">
        <v>84</v>
      </c>
      <c r="E11102" s="6" t="s">
        <v>16502</v>
      </c>
      <c r="F11102" s="9"/>
    </row>
    <row r="11103" ht="33.75" customHeight="1">
      <c r="A11103" s="7">
        <v>470.0</v>
      </c>
      <c r="B11103" s="9" t="s">
        <v>16499</v>
      </c>
      <c r="C11103" s="9" t="s">
        <v>16501</v>
      </c>
      <c r="D11103" s="9" t="s">
        <v>87</v>
      </c>
      <c r="E11103" s="6" t="s">
        <v>16503</v>
      </c>
      <c r="F11103" s="9"/>
    </row>
    <row r="11104" ht="33.75" customHeight="1">
      <c r="A11104" s="7">
        <v>470.0</v>
      </c>
      <c r="B11104" s="9" t="s">
        <v>16499</v>
      </c>
      <c r="C11104" s="9" t="s">
        <v>16501</v>
      </c>
      <c r="D11104" s="9" t="s">
        <v>89</v>
      </c>
      <c r="E11104" s="6" t="s">
        <v>16504</v>
      </c>
      <c r="F11104" s="9"/>
    </row>
    <row r="11105" ht="33.75" customHeight="1">
      <c r="A11105" s="7">
        <v>470.0</v>
      </c>
      <c r="B11105" s="9" t="s">
        <v>16499</v>
      </c>
      <c r="C11105" s="9" t="s">
        <v>16501</v>
      </c>
      <c r="D11105" s="9" t="s">
        <v>91</v>
      </c>
      <c r="E11105" s="6" t="s">
        <v>16504</v>
      </c>
      <c r="F11105" s="9"/>
    </row>
    <row r="11106" ht="33.75" customHeight="1">
      <c r="A11106" s="7">
        <v>470.0</v>
      </c>
      <c r="B11106" s="9" t="s">
        <v>16499</v>
      </c>
      <c r="C11106" s="9" t="s">
        <v>16501</v>
      </c>
      <c r="D11106" s="9" t="s">
        <v>93</v>
      </c>
      <c r="E11106" s="6" t="s">
        <v>16503</v>
      </c>
      <c r="F11106" s="9"/>
    </row>
    <row r="11107" ht="33.75" customHeight="1">
      <c r="A11107" s="7">
        <v>470.0</v>
      </c>
      <c r="B11107" s="9" t="s">
        <v>16499</v>
      </c>
      <c r="C11107" s="9" t="s">
        <v>16501</v>
      </c>
      <c r="D11107" s="9" t="s">
        <v>95</v>
      </c>
      <c r="E11107" s="6" t="s">
        <v>16503</v>
      </c>
      <c r="F11107" s="9"/>
    </row>
    <row r="11108" ht="33.75" customHeight="1">
      <c r="A11108" s="7">
        <v>470.0</v>
      </c>
      <c r="B11108" s="9" t="s">
        <v>16499</v>
      </c>
      <c r="C11108" s="9" t="s">
        <v>16501</v>
      </c>
      <c r="D11108" s="9" t="s">
        <v>98</v>
      </c>
      <c r="E11108" s="6" t="s">
        <v>16505</v>
      </c>
      <c r="F11108" s="9"/>
    </row>
    <row r="11109" ht="33.75" customHeight="1">
      <c r="A11109" s="7">
        <v>470.0</v>
      </c>
      <c r="B11109" s="9" t="s">
        <v>16499</v>
      </c>
      <c r="C11109" s="9" t="s">
        <v>16501</v>
      </c>
      <c r="D11109" s="9" t="s">
        <v>99</v>
      </c>
      <c r="E11109" s="6" t="s">
        <v>16505</v>
      </c>
      <c r="F11109" s="9"/>
    </row>
    <row r="11110" ht="33.75" customHeight="1">
      <c r="A11110" s="7">
        <v>470.0</v>
      </c>
      <c r="B11110" s="9" t="s">
        <v>16499</v>
      </c>
      <c r="C11110" s="9" t="s">
        <v>16501</v>
      </c>
      <c r="D11110" s="9" t="s">
        <v>101</v>
      </c>
      <c r="E11110" s="6" t="s">
        <v>16506</v>
      </c>
      <c r="F11110" s="9"/>
    </row>
    <row r="11111" ht="33.75" customHeight="1">
      <c r="A11111" s="7">
        <v>470.0</v>
      </c>
      <c r="B11111" s="9" t="s">
        <v>16499</v>
      </c>
      <c r="C11111" s="9" t="s">
        <v>16501</v>
      </c>
      <c r="D11111" s="9" t="s">
        <v>105</v>
      </c>
      <c r="E11111" s="6" t="s">
        <v>16502</v>
      </c>
      <c r="F11111" s="9"/>
    </row>
    <row r="11112" ht="33.75" customHeight="1">
      <c r="A11112" s="7">
        <v>470.0</v>
      </c>
      <c r="B11112" s="9" t="s">
        <v>16499</v>
      </c>
      <c r="C11112" s="9" t="s">
        <v>16501</v>
      </c>
      <c r="D11112" s="9" t="s">
        <v>107</v>
      </c>
      <c r="E11112" s="6" t="s">
        <v>16506</v>
      </c>
      <c r="F11112" s="9"/>
    </row>
    <row r="11113" ht="33.75" customHeight="1">
      <c r="A11113" s="7">
        <v>470.0</v>
      </c>
      <c r="B11113" s="9" t="s">
        <v>16499</v>
      </c>
      <c r="C11113" s="9" t="s">
        <v>16501</v>
      </c>
      <c r="D11113" s="9" t="s">
        <v>109</v>
      </c>
      <c r="E11113" s="6" t="s">
        <v>16502</v>
      </c>
      <c r="F11113" s="9"/>
    </row>
    <row r="11114" ht="33.75" customHeight="1">
      <c r="A11114" s="7">
        <v>470.0</v>
      </c>
      <c r="B11114" s="9" t="s">
        <v>16499</v>
      </c>
      <c r="C11114" s="9" t="s">
        <v>16501</v>
      </c>
      <c r="D11114" s="9" t="s">
        <v>637</v>
      </c>
      <c r="E11114" s="6" t="s">
        <v>16507</v>
      </c>
      <c r="F11114" s="9"/>
    </row>
    <row r="11115" ht="33.75" customHeight="1">
      <c r="A11115" s="7">
        <v>470.0</v>
      </c>
      <c r="B11115" s="9" t="s">
        <v>16499</v>
      </c>
      <c r="C11115" s="9" t="s">
        <v>16501</v>
      </c>
      <c r="D11115" s="9" t="s">
        <v>642</v>
      </c>
      <c r="E11115" s="6" t="s">
        <v>16508</v>
      </c>
      <c r="F11115" s="9"/>
    </row>
    <row r="11116" ht="33.75" customHeight="1">
      <c r="A11116" s="7">
        <v>470.0</v>
      </c>
      <c r="B11116" s="9" t="s">
        <v>16499</v>
      </c>
      <c r="C11116" s="9" t="s">
        <v>16501</v>
      </c>
      <c r="D11116" s="9" t="s">
        <v>647</v>
      </c>
      <c r="E11116" s="6" t="s">
        <v>16509</v>
      </c>
      <c r="F11116" s="9"/>
    </row>
    <row r="11117" ht="33.75" customHeight="1">
      <c r="A11117" s="7">
        <v>470.0</v>
      </c>
      <c r="B11117" s="9" t="s">
        <v>16499</v>
      </c>
      <c r="C11117" s="9" t="s">
        <v>16501</v>
      </c>
      <c r="D11117" s="9" t="s">
        <v>652</v>
      </c>
      <c r="E11117" s="6" t="s">
        <v>16510</v>
      </c>
      <c r="F11117" s="9"/>
    </row>
    <row r="11118" ht="33.75" customHeight="1">
      <c r="A11118" s="7">
        <v>470.0</v>
      </c>
      <c r="B11118" s="9" t="s">
        <v>16499</v>
      </c>
      <c r="C11118" s="9" t="s">
        <v>16501</v>
      </c>
      <c r="D11118" s="9" t="s">
        <v>114</v>
      </c>
      <c r="E11118" s="6" t="s">
        <v>16511</v>
      </c>
      <c r="F11118" s="9"/>
    </row>
    <row r="11119" ht="33.75" customHeight="1">
      <c r="A11119" s="7">
        <v>470.0</v>
      </c>
      <c r="B11119" s="9" t="s">
        <v>16499</v>
      </c>
      <c r="C11119" s="9" t="s">
        <v>16501</v>
      </c>
      <c r="D11119" s="9" t="s">
        <v>117</v>
      </c>
      <c r="E11119" s="6" t="s">
        <v>16513</v>
      </c>
      <c r="F11119" s="9"/>
    </row>
    <row r="11120" ht="33.75" customHeight="1">
      <c r="A11120" s="7">
        <v>470.0</v>
      </c>
      <c r="B11120" s="9" t="s">
        <v>16499</v>
      </c>
      <c r="C11120" s="9" t="s">
        <v>16501</v>
      </c>
      <c r="D11120" s="9" t="s">
        <v>1577</v>
      </c>
      <c r="E11120" s="6" t="s">
        <v>16514</v>
      </c>
      <c r="F11120" s="9"/>
    </row>
    <row r="11121" ht="33.75" customHeight="1">
      <c r="A11121" s="7">
        <v>471.0</v>
      </c>
      <c r="B11121" s="9" t="s">
        <v>16515</v>
      </c>
      <c r="C11121" s="9" t="s">
        <v>16516</v>
      </c>
      <c r="D11121" s="9" t="s">
        <v>81</v>
      </c>
      <c r="E11121" s="6" t="s">
        <v>16517</v>
      </c>
      <c r="F11121" t="inlineStr" s="10">
        <is>
          <t xml:space="preserve">Suojautumiskeinona se voi jäädyttää turkkinsa kokonaan, jolloin Glaceonin karvat pystyvät kuin neulat. Säätelemällä ruumiinlämpöään se voi jäädyttää ympäröivän ilmakehän ja luoda timanttipölypilven. Se aiheuttaa pienten jääkiteiden muodostumista alentamalla ympäröivän ilmakehän lämpötilaa. Se alentaa ruumiinlämpöään jäädyttääkseen turkkinsa. Karvat muuttuvat sitten neulojen kaltaisiksi, joita se voi ampua. Se voi hallita ruumiinlämpöään mielensä mukaan. Tämän ansiosta se voi jäädyttää ilmakehän kosteuden, jolloin syntyy timanttipölyä. Se jäädyttää turkkinsa piikikkäiksi ja teräviksi jääpuikoiksi ja tarttuu saaliiseensa. Se suojelee itseään jäädyttämällä turkkinsa teräviksi neuloiksi. Se voi laskea ruumiinlämpönsä alle –24 celsiusasteen. Se voi jäädyttää välittömästi kaiken ympärillään olevan kosteuden ja luoda jäärakeita, joilla se voi ampua saalistaan. Jokainen, joka lumoutuu Glaceonin luoman lumisateen kauneudesta, jäätyy ennen kuin huomaakaan. Glaceonista huokuva kylmyys aiheuttaa puuterimaisen lumen muodostumista, mikä tekee siitä melko suositun Pokémonin hiihtokeskuksissa. Glaceon pystyy laskemaan ruumiinlämpöään hyvin nopeasti. Se jäädyttää ilmakehän ja luo timanttipölyä, joka kimaltelee kuin jalokivet sen lepatellessa ja tanssiessa ympäriinsä.</t>
        </is>
      </c>
    </row>
    <row r="11122" ht="33.75" customHeight="1">
      <c r="A11122" s="7">
        <v>471.0</v>
      </c>
      <c r="B11122" s="9" t="s">
        <v>16515</v>
      </c>
      <c r="C11122" s="9" t="s">
        <v>16516</v>
      </c>
      <c r="D11122" s="9" t="s">
        <v>84</v>
      </c>
      <c r="E11122" s="6" t="s">
        <v>16517</v>
      </c>
      <c r="F11122" s="9"/>
    </row>
    <row r="11123" ht="33.75" customHeight="1">
      <c r="A11123" s="7">
        <v>471.0</v>
      </c>
      <c r="B11123" s="9" t="s">
        <v>16515</v>
      </c>
      <c r="C11123" s="9" t="s">
        <v>16516</v>
      </c>
      <c r="D11123" s="9" t="s">
        <v>87</v>
      </c>
      <c r="E11123" s="6" t="s">
        <v>16518</v>
      </c>
      <c r="F11123" s="9"/>
    </row>
    <row r="11124" ht="33.75" customHeight="1">
      <c r="A11124" s="7">
        <v>471.0</v>
      </c>
      <c r="B11124" s="9" t="s">
        <v>16515</v>
      </c>
      <c r="C11124" s="9" t="s">
        <v>16516</v>
      </c>
      <c r="D11124" s="9" t="s">
        <v>89</v>
      </c>
      <c r="E11124" s="6" t="s">
        <v>16519</v>
      </c>
      <c r="F11124" s="9"/>
    </row>
    <row r="11125" ht="33.75" customHeight="1">
      <c r="A11125" s="7">
        <v>471.0</v>
      </c>
      <c r="B11125" s="9" t="s">
        <v>16515</v>
      </c>
      <c r="C11125" s="9" t="s">
        <v>16516</v>
      </c>
      <c r="D11125" s="9" t="s">
        <v>91</v>
      </c>
      <c r="E11125" s="6" t="s">
        <v>16519</v>
      </c>
      <c r="F11125" s="9"/>
    </row>
    <row r="11126" ht="33.75" customHeight="1">
      <c r="A11126" s="7">
        <v>471.0</v>
      </c>
      <c r="B11126" s="9" t="s">
        <v>16515</v>
      </c>
      <c r="C11126" s="9" t="s">
        <v>16516</v>
      </c>
      <c r="D11126" s="9" t="s">
        <v>93</v>
      </c>
      <c r="E11126" s="6" t="s">
        <v>16518</v>
      </c>
      <c r="F11126" s="9"/>
    </row>
    <row r="11127" ht="33.75" customHeight="1">
      <c r="A11127" s="7">
        <v>471.0</v>
      </c>
      <c r="B11127" s="9" t="s">
        <v>16515</v>
      </c>
      <c r="C11127" s="9" t="s">
        <v>16516</v>
      </c>
      <c r="D11127" s="9" t="s">
        <v>95</v>
      </c>
      <c r="E11127" s="6" t="s">
        <v>16518</v>
      </c>
      <c r="F11127" s="9"/>
    </row>
    <row r="11128" ht="33.75" customHeight="1">
      <c r="A11128" s="7">
        <v>471.0</v>
      </c>
      <c r="B11128" s="9" t="s">
        <v>16515</v>
      </c>
      <c r="C11128" s="9" t="s">
        <v>16516</v>
      </c>
      <c r="D11128" s="9" t="s">
        <v>98</v>
      </c>
      <c r="E11128" s="6" t="s">
        <v>16520</v>
      </c>
      <c r="F11128" s="9"/>
    </row>
    <row r="11129" ht="33.75" customHeight="1">
      <c r="A11129" s="7">
        <v>471.0</v>
      </c>
      <c r="B11129" s="9" t="s">
        <v>16515</v>
      </c>
      <c r="C11129" s="9" t="s">
        <v>16516</v>
      </c>
      <c r="D11129" s="9" t="s">
        <v>99</v>
      </c>
      <c r="E11129" s="6" t="s">
        <v>16520</v>
      </c>
      <c r="F11129" s="9"/>
    </row>
    <row r="11130" ht="33.75" customHeight="1">
      <c r="A11130" s="7">
        <v>471.0</v>
      </c>
      <c r="B11130" s="9" t="s">
        <v>16515</v>
      </c>
      <c r="C11130" s="9" t="s">
        <v>16516</v>
      </c>
      <c r="D11130" s="9" t="s">
        <v>101</v>
      </c>
      <c r="E11130" s="6" t="s">
        <v>16518</v>
      </c>
      <c r="F11130" s="9"/>
    </row>
    <row r="11131" ht="33.75" customHeight="1">
      <c r="A11131" s="7">
        <v>471.0</v>
      </c>
      <c r="B11131" s="9" t="s">
        <v>16515</v>
      </c>
      <c r="C11131" s="9" t="s">
        <v>16516</v>
      </c>
      <c r="D11131" s="9" t="s">
        <v>105</v>
      </c>
      <c r="E11131" s="6" t="s">
        <v>16520</v>
      </c>
      <c r="F11131" s="9"/>
    </row>
    <row r="11132" ht="33.75" customHeight="1">
      <c r="A11132" s="7">
        <v>471.0</v>
      </c>
      <c r="B11132" s="9" t="s">
        <v>16515</v>
      </c>
      <c r="C11132" s="9" t="s">
        <v>16516</v>
      </c>
      <c r="D11132" s="9" t="s">
        <v>107</v>
      </c>
      <c r="E11132" s="6" t="s">
        <v>16518</v>
      </c>
      <c r="F11132" s="9"/>
    </row>
    <row r="11133" ht="33.75" customHeight="1">
      <c r="A11133" s="7">
        <v>471.0</v>
      </c>
      <c r="B11133" s="9" t="s">
        <v>16515</v>
      </c>
      <c r="C11133" s="9" t="s">
        <v>16516</v>
      </c>
      <c r="D11133" s="9" t="s">
        <v>109</v>
      </c>
      <c r="E11133" s="6" t="s">
        <v>16520</v>
      </c>
      <c r="F11133" s="9"/>
    </row>
    <row r="11134" ht="33.75" customHeight="1">
      <c r="A11134" s="7">
        <v>471.0</v>
      </c>
      <c r="B11134" s="9" t="s">
        <v>16515</v>
      </c>
      <c r="C11134" s="9" t="s">
        <v>16516</v>
      </c>
      <c r="D11134" s="9" t="s">
        <v>637</v>
      </c>
      <c r="E11134" s="6" t="s">
        <v>16521</v>
      </c>
      <c r="F11134" s="9"/>
    </row>
    <row r="11135" ht="33.75" customHeight="1">
      <c r="A11135" s="7">
        <v>471.0</v>
      </c>
      <c r="B11135" s="9" t="s">
        <v>16515</v>
      </c>
      <c r="C11135" s="9" t="s">
        <v>16516</v>
      </c>
      <c r="D11135" s="9" t="s">
        <v>642</v>
      </c>
      <c r="E11135" s="6" t="s">
        <v>16522</v>
      </c>
      <c r="F11135" s="9"/>
    </row>
    <row r="11136" ht="33.75" customHeight="1">
      <c r="A11136" s="7">
        <v>471.0</v>
      </c>
      <c r="B11136" s="9" t="s">
        <v>16515</v>
      </c>
      <c r="C11136" s="9" t="s">
        <v>16516</v>
      </c>
      <c r="D11136" s="9" t="s">
        <v>647</v>
      </c>
      <c r="E11136" s="6" t="s">
        <v>16523</v>
      </c>
      <c r="F11136" s="9"/>
    </row>
    <row r="11137" ht="33.75" customHeight="1">
      <c r="A11137" s="7">
        <v>471.0</v>
      </c>
      <c r="B11137" s="9" t="s">
        <v>16515</v>
      </c>
      <c r="C11137" s="9" t="s">
        <v>16516</v>
      </c>
      <c r="D11137" s="9" t="s">
        <v>652</v>
      </c>
      <c r="E11137" s="6" t="s">
        <v>16525</v>
      </c>
      <c r="F11137" s="9"/>
    </row>
    <row r="11138" ht="33.75" customHeight="1">
      <c r="A11138" s="7">
        <v>471.0</v>
      </c>
      <c r="B11138" s="9" t="s">
        <v>16515</v>
      </c>
      <c r="C11138" s="9" t="s">
        <v>16516</v>
      </c>
      <c r="D11138" s="9" t="s">
        <v>114</v>
      </c>
      <c r="E11138" s="6" t="s">
        <v>16526</v>
      </c>
      <c r="F11138" s="9"/>
    </row>
    <row r="11139" ht="33.75" customHeight="1">
      <c r="A11139" s="7">
        <v>471.0</v>
      </c>
      <c r="B11139" s="9" t="s">
        <v>16515</v>
      </c>
      <c r="C11139" s="9" t="s">
        <v>16516</v>
      </c>
      <c r="D11139" s="9" t="s">
        <v>117</v>
      </c>
      <c r="E11139" s="6" t="s">
        <v>16527</v>
      </c>
      <c r="F11139" s="9"/>
    </row>
    <row r="11140" ht="33.75" customHeight="1">
      <c r="A11140" s="7">
        <v>471.0</v>
      </c>
      <c r="B11140" s="9" t="s">
        <v>16515</v>
      </c>
      <c r="C11140" s="9" t="s">
        <v>16516</v>
      </c>
      <c r="D11140" s="9" t="s">
        <v>1577</v>
      </c>
      <c r="E11140" s="6" t="s">
        <v>16528</v>
      </c>
      <c r="F11140" s="9"/>
    </row>
    <row r="11141" ht="33.75" customHeight="1">
      <c r="A11141" s="7">
        <v>472.0</v>
      </c>
      <c r="B11141" s="9" t="s">
        <v>16529</v>
      </c>
      <c r="C11141" s="9" t="s">
        <v>16530</v>
      </c>
      <c r="D11141" s="9" t="s">
        <v>81</v>
      </c>
      <c r="E11141" s="6" t="s">
        <v>16531</v>
      </c>
      <c r="F11141" t="inlineStr" s="10">
        <is>
          <t xml:space="preserve">Gliscor tarkkailee saalista roikkuessaan ylösalaisin oksilla. Tilaisuuden tullen se syöksyy kimppuun! Jos se onnistuu saamaan kunnolla kiinni edes heikon tuulenvireen, se voi kiertää maapallon räpyttelemättä kertaakaan. Sen lento on äänetön. Se käyttää pitkää häntäänsä saaliinsa kantamiseen... Sitten sen pitkänomaiset torahampaat hoitavat loput. Se tanssii äänettömästi taivaalla. Lähestyessään saalista se voi osua kriittiseen osumaan hetkessä. Se liitää äänettömästi pikimustilla siivillä ja upottaa terävät kulmahampaat saaliinsa kurkkuun. Se näyttää tyytyväiseltä, kun se on imenyt saaliinsa veren kokonaan pois.</t>
        </is>
      </c>
    </row>
    <row r="11142" ht="33.75" customHeight="1">
      <c r="A11142" s="7">
        <v>472.0</v>
      </c>
      <c r="B11142" s="9" t="s">
        <v>16529</v>
      </c>
      <c r="C11142" s="9" t="s">
        <v>16530</v>
      </c>
      <c r="D11142" s="9" t="s">
        <v>84</v>
      </c>
      <c r="E11142" s="6" t="s">
        <v>16531</v>
      </c>
      <c r="F11142" s="9"/>
    </row>
    <row r="11143" ht="33.75" customHeight="1">
      <c r="A11143" s="7">
        <v>472.0</v>
      </c>
      <c r="B11143" s="9" t="s">
        <v>16529</v>
      </c>
      <c r="C11143" s="9" t="s">
        <v>16530</v>
      </c>
      <c r="D11143" s="9" t="s">
        <v>87</v>
      </c>
      <c r="E11143" s="6" t="s">
        <v>16532</v>
      </c>
      <c r="F11143" s="9"/>
    </row>
    <row r="11144" ht="33.75" customHeight="1">
      <c r="A11144" s="7">
        <v>472.0</v>
      </c>
      <c r="B11144" s="9" t="s">
        <v>16529</v>
      </c>
      <c r="C11144" s="9" t="s">
        <v>16530</v>
      </c>
      <c r="D11144" s="9" t="s">
        <v>89</v>
      </c>
      <c r="E11144" s="6" t="s">
        <v>16533</v>
      </c>
      <c r="F11144" s="9"/>
    </row>
    <row r="11145" ht="33.75" customHeight="1">
      <c r="A11145" s="7">
        <v>472.0</v>
      </c>
      <c r="B11145" s="9" t="s">
        <v>16529</v>
      </c>
      <c r="C11145" s="9" t="s">
        <v>16530</v>
      </c>
      <c r="D11145" s="9" t="s">
        <v>91</v>
      </c>
      <c r="E11145" s="6" t="s">
        <v>16533</v>
      </c>
      <c r="F11145" s="9"/>
    </row>
    <row r="11146" ht="33.75" customHeight="1">
      <c r="A11146" s="7">
        <v>472.0</v>
      </c>
      <c r="B11146" s="9" t="s">
        <v>16529</v>
      </c>
      <c r="C11146" s="9" t="s">
        <v>16530</v>
      </c>
      <c r="D11146" s="9" t="s">
        <v>93</v>
      </c>
      <c r="E11146" s="6" t="s">
        <v>16532</v>
      </c>
      <c r="F11146" s="9"/>
    </row>
    <row r="11147" ht="33.75" customHeight="1">
      <c r="A11147" s="7">
        <v>472.0</v>
      </c>
      <c r="B11147" s="9" t="s">
        <v>16529</v>
      </c>
      <c r="C11147" s="9" t="s">
        <v>16530</v>
      </c>
      <c r="D11147" s="9" t="s">
        <v>95</v>
      </c>
      <c r="E11147" s="6" t="s">
        <v>16532</v>
      </c>
      <c r="F11147" s="9"/>
    </row>
    <row r="11148" ht="33.75" customHeight="1">
      <c r="A11148" s="7">
        <v>472.0</v>
      </c>
      <c r="B11148" s="9" t="s">
        <v>16529</v>
      </c>
      <c r="C11148" s="9" t="s">
        <v>16530</v>
      </c>
      <c r="D11148" s="9" t="s">
        <v>98</v>
      </c>
      <c r="E11148" s="6" t="s">
        <v>16534</v>
      </c>
      <c r="F11148" s="9"/>
    </row>
    <row r="11149" ht="33.75" customHeight="1">
      <c r="A11149" s="7">
        <v>472.0</v>
      </c>
      <c r="B11149" s="9" t="s">
        <v>16529</v>
      </c>
      <c r="C11149" s="9" t="s">
        <v>16530</v>
      </c>
      <c r="D11149" s="9" t="s">
        <v>99</v>
      </c>
      <c r="E11149" s="6" t="s">
        <v>16534</v>
      </c>
      <c r="F11149" s="9"/>
    </row>
    <row r="11150" ht="33.75" customHeight="1">
      <c r="A11150" s="7">
        <v>472.0</v>
      </c>
      <c r="B11150" s="9" t="s">
        <v>16529</v>
      </c>
      <c r="C11150" s="9" t="s">
        <v>16530</v>
      </c>
      <c r="D11150" s="9" t="s">
        <v>101</v>
      </c>
      <c r="E11150" s="6" t="s">
        <v>16531</v>
      </c>
      <c r="F11150" s="9"/>
    </row>
    <row r="11151" ht="33.75" customHeight="1">
      <c r="A11151" s="7">
        <v>472.0</v>
      </c>
      <c r="B11151" s="9" t="s">
        <v>16529</v>
      </c>
      <c r="C11151" s="9" t="s">
        <v>16530</v>
      </c>
      <c r="D11151" s="9" t="s">
        <v>105</v>
      </c>
      <c r="E11151" s="6" t="s">
        <v>16533</v>
      </c>
      <c r="F11151" s="9"/>
    </row>
    <row r="11152" ht="33.75" customHeight="1">
      <c r="A11152" s="7">
        <v>472.0</v>
      </c>
      <c r="B11152" s="9" t="s">
        <v>16529</v>
      </c>
      <c r="C11152" s="9" t="s">
        <v>16530</v>
      </c>
      <c r="D11152" s="9" t="s">
        <v>107</v>
      </c>
      <c r="E11152" s="6" t="s">
        <v>16531</v>
      </c>
      <c r="F11152" s="9"/>
    </row>
    <row r="11153" ht="33.75" customHeight="1">
      <c r="A11153" s="7">
        <v>472.0</v>
      </c>
      <c r="B11153" s="9" t="s">
        <v>16529</v>
      </c>
      <c r="C11153" s="9" t="s">
        <v>16530</v>
      </c>
      <c r="D11153" s="9" t="s">
        <v>109</v>
      </c>
      <c r="E11153" s="6" t="s">
        <v>16533</v>
      </c>
      <c r="F11153" s="9"/>
    </row>
    <row r="11154" ht="33.75" customHeight="1">
      <c r="A11154" s="7">
        <v>472.0</v>
      </c>
      <c r="B11154" s="9" t="s">
        <v>16529</v>
      </c>
      <c r="C11154" s="9" t="s">
        <v>16530</v>
      </c>
      <c r="D11154" s="9" t="s">
        <v>1577</v>
      </c>
      <c r="E11154" s="6" t="s">
        <v>16536</v>
      </c>
      <c r="F11154" s="9"/>
    </row>
    <row r="11155" ht="33.75" customHeight="1">
      <c r="A11155" s="7">
        <v>473.0</v>
      </c>
      <c r="B11155" s="9" t="s">
        <v>16537</v>
      </c>
      <c r="C11155" s="9" t="s">
        <v>16538</v>
      </c>
      <c r="D11155" s="9" t="s">
        <v>81</v>
      </c>
      <c r="E11155" s="6" t="s">
        <v>16539</v>
      </c>
      <c r="F11155" t="inlineStr" s="10">
        <is>
          <t xml:space="preserve">Mamoswinen vaikuttavat syöksyhampaat ovat jäätä. Populaatio harveni jääkauden jälkeisen lämpenemisen myötä. Maasta kaivettiin esiin jäätynyt yksi, joka on 10 000 vuotta vanha. Se heräsi suureen hämmästykseen. Jäästä kaivettiin 10 000 vuotta vanha jäänkappale. Tämä Pokémon on ollut olemassa jo pitkään, pitkään, pitkään. Se kukoisti maailmanlaajuisesti jääkauden aikana, mutta sen populaatio väheni, kun jäämassat alkoivat hupenemaan. Kun lämpötila nousi jääkauden lopussa, suurin osa Mamoswinesta katosi. Jäästä kaivettiin jäätynyt Mamoswine, joka on 10 000 vuotta vanha. Tätä Pokémonia voi nähdä seinämaalauksissa jopa 10 000 vuoden takaa. Jonkin aikaa sen uskottiin kuolleen sukupuuttoon. Se näyttää vahvalta, ja juuri sitä se onkin. Sään kylmetessä sen jäähampaat pitenevät, paksuuntuvat ja muuttuvat vaikuttavammiksi. Tämä laji saavutti huippunsa jääkautena tunnettuna aikana. Epäilen, että Hisuin hyytävä ilmasto on sopusoinnussa Mamoswinen perusrakenteen kanssa, herättäen siten piilevän potentiaalin.</t>
        </is>
      </c>
    </row>
    <row r="11156" ht="33.75" customHeight="1">
      <c r="A11156" s="7">
        <v>473.0</v>
      </c>
      <c r="B11156" s="9" t="s">
        <v>16537</v>
      </c>
      <c r="C11156" s="9" t="s">
        <v>16538</v>
      </c>
      <c r="D11156" s="9" t="s">
        <v>84</v>
      </c>
      <c r="E11156" s="6" t="s">
        <v>16539</v>
      </c>
      <c r="F11156" s="9"/>
    </row>
    <row r="11157" ht="33.75" customHeight="1">
      <c r="A11157" s="7">
        <v>473.0</v>
      </c>
      <c r="B11157" s="9" t="s">
        <v>16537</v>
      </c>
      <c r="C11157" s="9" t="s">
        <v>16538</v>
      </c>
      <c r="D11157" s="9" t="s">
        <v>87</v>
      </c>
      <c r="E11157" s="6" t="s">
        <v>16540</v>
      </c>
      <c r="F11157" s="9"/>
    </row>
    <row r="11158" ht="33.75" customHeight="1">
      <c r="A11158" s="7">
        <v>473.0</v>
      </c>
      <c r="B11158" s="9" t="s">
        <v>16537</v>
      </c>
      <c r="C11158" s="9" t="s">
        <v>16538</v>
      </c>
      <c r="D11158" s="9" t="s">
        <v>89</v>
      </c>
      <c r="E11158" s="6" t="s">
        <v>16541</v>
      </c>
      <c r="F11158" s="9"/>
    </row>
    <row r="11159" ht="33.75" customHeight="1">
      <c r="A11159" s="7">
        <v>473.0</v>
      </c>
      <c r="B11159" s="9" t="s">
        <v>16537</v>
      </c>
      <c r="C11159" s="9" t="s">
        <v>16538</v>
      </c>
      <c r="D11159" s="9" t="s">
        <v>91</v>
      </c>
      <c r="E11159" s="6" t="s">
        <v>16542</v>
      </c>
      <c r="F11159" s="9"/>
    </row>
    <row r="11160" ht="33.75" customHeight="1">
      <c r="A11160" s="7">
        <v>473.0</v>
      </c>
      <c r="B11160" s="9" t="s">
        <v>16537</v>
      </c>
      <c r="C11160" s="9" t="s">
        <v>16538</v>
      </c>
      <c r="D11160" s="9" t="s">
        <v>93</v>
      </c>
      <c r="E11160" s="6" t="s">
        <v>16540</v>
      </c>
      <c r="F11160" s="9"/>
    </row>
    <row r="11161" ht="33.75" customHeight="1">
      <c r="A11161" s="7">
        <v>473.0</v>
      </c>
      <c r="B11161" s="9" t="s">
        <v>16537</v>
      </c>
      <c r="C11161" s="9" t="s">
        <v>16538</v>
      </c>
      <c r="D11161" s="9" t="s">
        <v>95</v>
      </c>
      <c r="E11161" s="6" t="s">
        <v>16540</v>
      </c>
      <c r="F11161" s="9"/>
    </row>
    <row r="11162" ht="33.75" customHeight="1">
      <c r="A11162" s="7">
        <v>473.0</v>
      </c>
      <c r="B11162" s="9" t="s">
        <v>16537</v>
      </c>
      <c r="C11162" s="9" t="s">
        <v>16538</v>
      </c>
      <c r="D11162" s="9" t="s">
        <v>98</v>
      </c>
      <c r="E11162" s="6" t="s">
        <v>16543</v>
      </c>
      <c r="F11162" s="9"/>
    </row>
    <row r="11163" ht="33.75" customHeight="1">
      <c r="A11163" s="7">
        <v>473.0</v>
      </c>
      <c r="B11163" s="9" t="s">
        <v>16537</v>
      </c>
      <c r="C11163" s="9" t="s">
        <v>16538</v>
      </c>
      <c r="D11163" s="9" t="s">
        <v>99</v>
      </c>
      <c r="E11163" s="6" t="s">
        <v>16543</v>
      </c>
      <c r="F11163" s="9"/>
    </row>
    <row r="11164" ht="33.75" customHeight="1">
      <c r="A11164" s="7">
        <v>473.0</v>
      </c>
      <c r="B11164" s="9" t="s">
        <v>16537</v>
      </c>
      <c r="C11164" s="9" t="s">
        <v>16538</v>
      </c>
      <c r="D11164" s="9" t="s">
        <v>101</v>
      </c>
      <c r="E11164" s="6" t="s">
        <v>16544</v>
      </c>
      <c r="F11164" s="9"/>
    </row>
    <row r="11165" ht="33.75" customHeight="1">
      <c r="A11165" s="7">
        <v>473.0</v>
      </c>
      <c r="B11165" s="9" t="s">
        <v>16537</v>
      </c>
      <c r="C11165" s="9" t="s">
        <v>16538</v>
      </c>
      <c r="D11165" s="9" t="s">
        <v>105</v>
      </c>
      <c r="E11165" s="6" t="s">
        <v>16539</v>
      </c>
      <c r="F11165" s="9"/>
    </row>
    <row r="11166" ht="33.75" customHeight="1">
      <c r="A11166" s="7">
        <v>473.0</v>
      </c>
      <c r="B11166" s="9" t="s">
        <v>16537</v>
      </c>
      <c r="C11166" s="9" t="s">
        <v>16538</v>
      </c>
      <c r="D11166" s="9" t="s">
        <v>107</v>
      </c>
      <c r="E11166" s="6" t="s">
        <v>16544</v>
      </c>
      <c r="F11166" s="9"/>
    </row>
    <row r="11167" ht="33.75" customHeight="1">
      <c r="A11167" s="7">
        <v>473.0</v>
      </c>
      <c r="B11167" s="9" t="s">
        <v>16537</v>
      </c>
      <c r="C11167" s="9" t="s">
        <v>16538</v>
      </c>
      <c r="D11167" s="9" t="s">
        <v>109</v>
      </c>
      <c r="E11167" s="6" t="s">
        <v>16539</v>
      </c>
      <c r="F11167" s="9"/>
    </row>
    <row r="11168" ht="33.75" customHeight="1">
      <c r="A11168" s="7">
        <v>473.0</v>
      </c>
      <c r="B11168" s="9" t="s">
        <v>16537</v>
      </c>
      <c r="C11168" s="9" t="s">
        <v>16538</v>
      </c>
      <c r="D11168" s="9" t="s">
        <v>114</v>
      </c>
      <c r="E11168" s="6" t="s">
        <v>16545</v>
      </c>
      <c r="F11168" s="9"/>
    </row>
    <row r="11169" ht="33.75" customHeight="1">
      <c r="A11169" s="7">
        <v>473.0</v>
      </c>
      <c r="B11169" s="9" t="s">
        <v>16537</v>
      </c>
      <c r="C11169" s="9" t="s">
        <v>16538</v>
      </c>
      <c r="D11169" s="9" t="s">
        <v>117</v>
      </c>
      <c r="E11169" s="6" t="s">
        <v>16547</v>
      </c>
      <c r="F11169" s="9"/>
    </row>
    <row r="11170" ht="33.75" customHeight="1">
      <c r="A11170" s="7">
        <v>473.0</v>
      </c>
      <c r="B11170" s="9" t="s">
        <v>16537</v>
      </c>
      <c r="C11170" s="9" t="s">
        <v>16538</v>
      </c>
      <c r="D11170" s="9" t="s">
        <v>1577</v>
      </c>
      <c r="E11170" s="6" t="s">
        <v>16548</v>
      </c>
      <c r="F11170" s="9"/>
    </row>
    <row r="11171" ht="33.75" customHeight="1">
      <c r="A11171" s="7">
        <v>474.0</v>
      </c>
      <c r="B11171" s="9" t="s">
        <v>16549</v>
      </c>
      <c r="C11171" s="9" t="s">
        <v>8648</v>
      </c>
      <c r="D11171" s="9" t="s">
        <v>81</v>
      </c>
      <c r="E11171" s="6" t="s">
        <v>16550</v>
      </c>
      <c r="F11171" t="inlineStr" s="10">
        <is>
          <t xml:space="preserve">Lisäohjelmistoja asennettiin, jotta siitä tulisi parempi Pokémon. Se alkoi kuitenkin käyttäytyä oudosti. Sen ohjelmointia oli muokattu mahdollistamaan työskentely vieraissa ulottuvuuksissa. Se ei toiminut suunnitellusti. Sen ohjelmointia on muokattu, jotta se voisi matkustaa vieraiden ulottuvuuksien läpi. Näyttää siltä, ​​että siinä on saattanut olla virhe... Kehittyneemmän Pokémonin luomiseksi asennettiin lisäohjelma, mutta ilmeisesti siinä oli vika, joka saa sen liikkumaan oudosti. Sen ohjelmaa muokattiin helpottamaan ulottuvuuksien ulkopuolisia toimintoja, mutta se johti huomattavan outoon käyttäytymiseen. Sen käyttäytyminen on huomattavan epävakaata, mikä ilmeisesti johtuu ohjelmoinnin päivittäneen insinöörin epäpätevyydestä. Sen ohjelmointiin lisättiin viallinen päivitys. Sen toiminta on huomattavan outoa, joten koe on saattanut epäonnistua. Porygon-Z:lla oli asennettuna ohjelma, jonka avulla se pystyi liikkumaan ulottuvuuksien välillä, mutta ohjelma aiheutti myös epävakautta Porygon-Z:n toiminnassa. Jotkut sanovat, että tämän Pokémonin kehitykseen vaikutti jokin lisäohjelma, mutta edes akateemikot eivät ole yhtä mieltä siitä, onko Porygon-Z todella evoluutio. Eräs omituinen esine sai aikaan tämän kehityksen. Pokémonin hyökkäyskyky on lisääntynyt huomattavasti, mutta sen omituinen käyttäytyminen on voimistunut yhtä lailla. Tämä huolestuttaa minua.</t>
        </is>
      </c>
    </row>
    <row r="11172" ht="33.75" customHeight="1">
      <c r="A11172" s="7">
        <v>474.0</v>
      </c>
      <c r="B11172" s="9" t="s">
        <v>16549</v>
      </c>
      <c r="C11172" s="9" t="s">
        <v>8648</v>
      </c>
      <c r="D11172" s="9" t="s">
        <v>84</v>
      </c>
      <c r="E11172" s="6" t="s">
        <v>16550</v>
      </c>
      <c r="F11172" s="9"/>
    </row>
    <row r="11173" ht="33.75" customHeight="1">
      <c r="A11173" s="7">
        <v>474.0</v>
      </c>
      <c r="B11173" s="9" t="s">
        <v>16549</v>
      </c>
      <c r="C11173" s="9" t="s">
        <v>8648</v>
      </c>
      <c r="D11173" s="9" t="s">
        <v>87</v>
      </c>
      <c r="E11173" s="6" t="s">
        <v>16551</v>
      </c>
      <c r="F11173" s="9"/>
    </row>
    <row r="11174" ht="33.75" customHeight="1">
      <c r="A11174" s="7">
        <v>474.0</v>
      </c>
      <c r="B11174" s="9" t="s">
        <v>16549</v>
      </c>
      <c r="C11174" s="9" t="s">
        <v>8648</v>
      </c>
      <c r="D11174" s="9" t="s">
        <v>89</v>
      </c>
      <c r="E11174" s="6" t="s">
        <v>16552</v>
      </c>
      <c r="F11174" s="9"/>
    </row>
    <row r="11175" ht="33.75" customHeight="1">
      <c r="A11175" s="7">
        <v>474.0</v>
      </c>
      <c r="B11175" s="9" t="s">
        <v>16549</v>
      </c>
      <c r="C11175" s="9" t="s">
        <v>8648</v>
      </c>
      <c r="D11175" s="9" t="s">
        <v>91</v>
      </c>
      <c r="E11175" s="6" t="s">
        <v>16552</v>
      </c>
      <c r="F11175" s="9"/>
    </row>
    <row r="11176" ht="33.75" customHeight="1">
      <c r="A11176" s="7">
        <v>474.0</v>
      </c>
      <c r="B11176" s="9" t="s">
        <v>16549</v>
      </c>
      <c r="C11176" s="9" t="s">
        <v>8648</v>
      </c>
      <c r="D11176" s="9" t="s">
        <v>93</v>
      </c>
      <c r="E11176" s="6" t="s">
        <v>16551</v>
      </c>
      <c r="F11176" s="9"/>
    </row>
    <row r="11177" ht="33.75" customHeight="1">
      <c r="A11177" s="7">
        <v>474.0</v>
      </c>
      <c r="B11177" s="9" t="s">
        <v>16549</v>
      </c>
      <c r="C11177" s="9" t="s">
        <v>8648</v>
      </c>
      <c r="D11177" s="9" t="s">
        <v>95</v>
      </c>
      <c r="E11177" s="6" t="s">
        <v>16551</v>
      </c>
      <c r="F11177" s="9"/>
    </row>
    <row r="11178" ht="33.75" customHeight="1">
      <c r="A11178" s="7">
        <v>474.0</v>
      </c>
      <c r="B11178" s="9" t="s">
        <v>16549</v>
      </c>
      <c r="C11178" s="9" t="s">
        <v>8648</v>
      </c>
      <c r="D11178" s="9" t="s">
        <v>98</v>
      </c>
      <c r="E11178" s="6" t="s">
        <v>16551</v>
      </c>
      <c r="F11178" s="9"/>
    </row>
    <row r="11179" ht="33.75" customHeight="1">
      <c r="A11179" s="7">
        <v>474.0</v>
      </c>
      <c r="B11179" s="9" t="s">
        <v>16549</v>
      </c>
      <c r="C11179" s="9" t="s">
        <v>8648</v>
      </c>
      <c r="D11179" s="9" t="s">
        <v>99</v>
      </c>
      <c r="E11179" s="6" t="s">
        <v>16551</v>
      </c>
      <c r="F11179" s="9"/>
    </row>
    <row r="11180" ht="33.75" customHeight="1">
      <c r="A11180" s="7">
        <v>474.0</v>
      </c>
      <c r="B11180" s="9" t="s">
        <v>16549</v>
      </c>
      <c r="C11180" s="9" t="s">
        <v>8648</v>
      </c>
      <c r="D11180" s="9" t="s">
        <v>101</v>
      </c>
      <c r="E11180" s="6" t="s">
        <v>16550</v>
      </c>
      <c r="F11180" s="9"/>
    </row>
    <row r="11181" ht="33.75" customHeight="1">
      <c r="A11181" s="7">
        <v>474.0</v>
      </c>
      <c r="B11181" s="9" t="s">
        <v>16549</v>
      </c>
      <c r="C11181" s="9" t="s">
        <v>8648</v>
      </c>
      <c r="D11181" s="9" t="s">
        <v>105</v>
      </c>
      <c r="E11181" s="6" t="s">
        <v>16552</v>
      </c>
      <c r="F11181" s="9"/>
    </row>
    <row r="11182" ht="33.75" customHeight="1">
      <c r="A11182" s="7">
        <v>474.0</v>
      </c>
      <c r="B11182" s="9" t="s">
        <v>16549</v>
      </c>
      <c r="C11182" s="9" t="s">
        <v>8648</v>
      </c>
      <c r="D11182" s="9" t="s">
        <v>107</v>
      </c>
      <c r="E11182" s="6" t="s">
        <v>16550</v>
      </c>
      <c r="F11182" s="9"/>
    </row>
    <row r="11183" ht="33.75" customHeight="1">
      <c r="A11183" s="7">
        <v>474.0</v>
      </c>
      <c r="B11183" s="9" t="s">
        <v>16549</v>
      </c>
      <c r="C11183" s="9" t="s">
        <v>8648</v>
      </c>
      <c r="D11183" s="9" t="s">
        <v>109</v>
      </c>
      <c r="E11183" s="6" t="s">
        <v>16552</v>
      </c>
      <c r="F11183" s="9"/>
    </row>
    <row r="11184" ht="33.75" customHeight="1">
      <c r="A11184" s="7">
        <v>474.0</v>
      </c>
      <c r="B11184" s="9" t="s">
        <v>16549</v>
      </c>
      <c r="C11184" s="9" t="s">
        <v>8648</v>
      </c>
      <c r="D11184" s="9" t="s">
        <v>637</v>
      </c>
      <c r="E11184" s="6" t="s">
        <v>16553</v>
      </c>
      <c r="F11184" s="9"/>
    </row>
    <row r="11185" ht="33.75" customHeight="1">
      <c r="A11185" s="7">
        <v>474.0</v>
      </c>
      <c r="B11185" s="9" t="s">
        <v>16549</v>
      </c>
      <c r="C11185" s="9" t="s">
        <v>8648</v>
      </c>
      <c r="D11185" s="9" t="s">
        <v>642</v>
      </c>
      <c r="E11185" s="6" t="s">
        <v>16554</v>
      </c>
      <c r="F11185" s="9"/>
    </row>
    <row r="11186" ht="33.75" customHeight="1">
      <c r="A11186" s="7">
        <v>474.0</v>
      </c>
      <c r="B11186" s="9" t="s">
        <v>16549</v>
      </c>
      <c r="C11186" s="9" t="s">
        <v>8648</v>
      </c>
      <c r="D11186" s="9" t="s">
        <v>647</v>
      </c>
      <c r="E11186" s="6" t="s">
        <v>16555</v>
      </c>
      <c r="F11186" s="9"/>
    </row>
    <row r="11187" ht="33.75" customHeight="1">
      <c r="A11187" s="7">
        <v>474.0</v>
      </c>
      <c r="B11187" s="9" t="s">
        <v>16549</v>
      </c>
      <c r="C11187" s="9" t="s">
        <v>8648</v>
      </c>
      <c r="D11187" s="9" t="s">
        <v>652</v>
      </c>
      <c r="E11187" s="6" t="s">
        <v>16556</v>
      </c>
      <c r="F11187" s="9"/>
    </row>
    <row r="11188" ht="33.75" customHeight="1">
      <c r="A11188" s="7">
        <v>474.0</v>
      </c>
      <c r="B11188" s="9" t="s">
        <v>16549</v>
      </c>
      <c r="C11188" s="9" t="s">
        <v>8648</v>
      </c>
      <c r="D11188" s="9" t="s">
        <v>114</v>
      </c>
      <c r="E11188" s="6" t="s">
        <v>16557</v>
      </c>
      <c r="F11188" s="9"/>
    </row>
    <row r="11189" ht="33.75" customHeight="1">
      <c r="A11189" s="7">
        <v>474.0</v>
      </c>
      <c r="B11189" s="9" t="s">
        <v>16549</v>
      </c>
      <c r="C11189" s="9" t="s">
        <v>8648</v>
      </c>
      <c r="D11189" s="9" t="s">
        <v>117</v>
      </c>
      <c r="E11189" s="6" t="s">
        <v>16558</v>
      </c>
      <c r="F11189" s="9"/>
    </row>
    <row r="11190" ht="33.75" customHeight="1">
      <c r="A11190" s="7">
        <v>474.0</v>
      </c>
      <c r="B11190" s="9" t="s">
        <v>16549</v>
      </c>
      <c r="C11190" s="9" t="s">
        <v>8648</v>
      </c>
      <c r="D11190" s="9" t="s">
        <v>1577</v>
      </c>
      <c r="E11190" s="6" t="s">
        <v>16559</v>
      </c>
      <c r="F11190" s="9"/>
    </row>
    <row r="11191" ht="33.75" customHeight="1">
      <c r="A11191" s="7">
        <v>475.0</v>
      </c>
      <c r="B11191" s="9" t="s">
        <v>16560</v>
      </c>
      <c r="C11191" s="9" t="s">
        <v>16561</v>
      </c>
      <c r="D11191" s="9" t="s">
        <v>81</v>
      </c>
      <c r="E11191" s="6" t="s">
        <v>16562</v>
      </c>
      <c r="F11191" t="inlineStr" s="10">
        <is>
          <t xml:space="preserve">Kohteliaisuuden ja miekkataidon mestarina se taistelee käyttäen ojennettuja miekkoja kyynärpäillään. Yrittäessään suojella jotakuta se ojentaa kyynärpäänsä kuin miekat ja taistelee raa'asti. Koska se aistii vihollisen ajatukset, sen hyökkäykset purkautuvat ensin, nopeasti ja raivokkaasti. Kunniallisen soturin imagolleen uskollisena se käyttää kyynärpäissään olevia teriä vain puolustaakseen jotakuta tai jotakuta. Terävästi muiden avuntoiveisiin herkkänä tämä Pokémon etsii apua tarvitsevia ja auttaa heitä taistelussa. Sen kyynärpäistä ulkonevat terät ovat terävämmät kuin parhaimmatkaan miekat. Sen miekkailutaito, vaikkakin itseoppinut, on hämmästyttävän vaikuttava.</t>
        </is>
      </c>
    </row>
    <row r="11192" ht="33.75" customHeight="1">
      <c r="A11192" s="7">
        <v>475.0</v>
      </c>
      <c r="B11192" s="9" t="s">
        <v>16560</v>
      </c>
      <c r="C11192" s="9" t="s">
        <v>16561</v>
      </c>
      <c r="D11192" s="9" t="s">
        <v>84</v>
      </c>
      <c r="E11192" s="6" t="s">
        <v>16562</v>
      </c>
      <c r="F11192" s="9"/>
    </row>
    <row r="11193" ht="33.75" customHeight="1">
      <c r="A11193" s="7">
        <v>475.0</v>
      </c>
      <c r="B11193" s="9" t="s">
        <v>16560</v>
      </c>
      <c r="C11193" s="9" t="s">
        <v>16561</v>
      </c>
      <c r="D11193" s="9" t="s">
        <v>87</v>
      </c>
      <c r="E11193" s="6" t="s">
        <v>16563</v>
      </c>
      <c r="F11193" s="9"/>
    </row>
    <row r="11194" ht="33.75" customHeight="1">
      <c r="A11194" s="7">
        <v>475.0</v>
      </c>
      <c r="B11194" s="9" t="s">
        <v>16560</v>
      </c>
      <c r="C11194" s="9" t="s">
        <v>16561</v>
      </c>
      <c r="D11194" s="9" t="s">
        <v>89</v>
      </c>
      <c r="E11194" s="6" t="s">
        <v>16565</v>
      </c>
      <c r="F11194" s="9"/>
    </row>
    <row r="11195" ht="33.75" customHeight="1">
      <c r="A11195" s="7">
        <v>475.0</v>
      </c>
      <c r="B11195" s="9" t="s">
        <v>16560</v>
      </c>
      <c r="C11195" s="9" t="s">
        <v>16561</v>
      </c>
      <c r="D11195" s="9" t="s">
        <v>91</v>
      </c>
      <c r="E11195" s="6" t="s">
        <v>16565</v>
      </c>
      <c r="F11195" s="9"/>
    </row>
    <row r="11196" ht="33.75" customHeight="1">
      <c r="A11196" s="7">
        <v>475.0</v>
      </c>
      <c r="B11196" s="9" t="s">
        <v>16560</v>
      </c>
      <c r="C11196" s="9" t="s">
        <v>16561</v>
      </c>
      <c r="D11196" s="9" t="s">
        <v>93</v>
      </c>
      <c r="E11196" s="6" t="s">
        <v>16563</v>
      </c>
      <c r="F11196" s="9"/>
    </row>
    <row r="11197" ht="33.75" customHeight="1">
      <c r="A11197" s="7">
        <v>475.0</v>
      </c>
      <c r="B11197" s="9" t="s">
        <v>16560</v>
      </c>
      <c r="C11197" s="9" t="s">
        <v>16561</v>
      </c>
      <c r="D11197" s="9" t="s">
        <v>95</v>
      </c>
      <c r="E11197" s="6" t="s">
        <v>16563</v>
      </c>
      <c r="F11197" s="9"/>
    </row>
    <row r="11198" ht="33.75" customHeight="1">
      <c r="A11198" s="7">
        <v>475.0</v>
      </c>
      <c r="B11198" s="9" t="s">
        <v>16560</v>
      </c>
      <c r="C11198" s="9" t="s">
        <v>16561</v>
      </c>
      <c r="D11198" s="9" t="s">
        <v>98</v>
      </c>
      <c r="E11198" s="6" t="s">
        <v>16563</v>
      </c>
      <c r="F11198" s="9"/>
    </row>
    <row r="11199" ht="33.75" customHeight="1">
      <c r="A11199" s="7">
        <v>475.0</v>
      </c>
      <c r="B11199" s="9" t="s">
        <v>16560</v>
      </c>
      <c r="C11199" s="9" t="s">
        <v>16561</v>
      </c>
      <c r="D11199" s="9" t="s">
        <v>99</v>
      </c>
      <c r="E11199" s="6" t="s">
        <v>16563</v>
      </c>
      <c r="F11199" s="9"/>
    </row>
    <row r="11200" ht="33.75" customHeight="1">
      <c r="A11200" s="7">
        <v>475.0</v>
      </c>
      <c r="B11200" s="9" t="s">
        <v>16560</v>
      </c>
      <c r="C11200" s="9" t="s">
        <v>16561</v>
      </c>
      <c r="D11200" s="9" t="s">
        <v>101</v>
      </c>
      <c r="E11200" s="6" t="s">
        <v>16565</v>
      </c>
      <c r="F11200" s="9"/>
    </row>
    <row r="11201" ht="33.75" customHeight="1">
      <c r="A11201" s="7">
        <v>475.0</v>
      </c>
      <c r="B11201" s="9" t="s">
        <v>16560</v>
      </c>
      <c r="C11201" s="9" t="s">
        <v>16561</v>
      </c>
      <c r="D11201" s="9" t="s">
        <v>105</v>
      </c>
      <c r="E11201" s="6" t="s">
        <v>16562</v>
      </c>
      <c r="F11201" s="9"/>
    </row>
    <row r="11202" ht="33.75" customHeight="1">
      <c r="A11202" s="7">
        <v>475.0</v>
      </c>
      <c r="B11202" s="9" t="s">
        <v>16560</v>
      </c>
      <c r="C11202" s="9" t="s">
        <v>16561</v>
      </c>
      <c r="D11202" s="9" t="s">
        <v>107</v>
      </c>
      <c r="E11202" s="6" t="s">
        <v>16565</v>
      </c>
      <c r="F11202" s="9"/>
    </row>
    <row r="11203" ht="33.75" customHeight="1">
      <c r="A11203" s="7">
        <v>475.0</v>
      </c>
      <c r="B11203" s="9" t="s">
        <v>16560</v>
      </c>
      <c r="C11203" s="9" t="s">
        <v>16561</v>
      </c>
      <c r="D11203" s="9" t="s">
        <v>109</v>
      </c>
      <c r="E11203" s="6" t="s">
        <v>16562</v>
      </c>
      <c r="F11203" s="9"/>
    </row>
    <row r="11204" ht="33.75" customHeight="1">
      <c r="A11204" s="7">
        <v>475.0</v>
      </c>
      <c r="B11204" s="9" t="s">
        <v>16560</v>
      </c>
      <c r="C11204" s="9" t="s">
        <v>16561</v>
      </c>
      <c r="D11204" s="9" t="s">
        <v>114</v>
      </c>
      <c r="E11204" s="6" t="s">
        <v>16566</v>
      </c>
      <c r="F11204" s="9"/>
    </row>
    <row r="11205" ht="33.75" customHeight="1">
      <c r="A11205" s="7">
        <v>475.0</v>
      </c>
      <c r="B11205" s="9" t="s">
        <v>16560</v>
      </c>
      <c r="C11205" s="9" t="s">
        <v>16561</v>
      </c>
      <c r="D11205" s="9" t="s">
        <v>117</v>
      </c>
      <c r="E11205" s="6" t="s">
        <v>16567</v>
      </c>
      <c r="F11205" s="9"/>
    </row>
    <row r="11206" ht="33.75" customHeight="1">
      <c r="A11206" s="7">
        <v>475.0</v>
      </c>
      <c r="B11206" s="9" t="s">
        <v>16560</v>
      </c>
      <c r="C11206" s="9" t="s">
        <v>16561</v>
      </c>
      <c r="D11206" s="9" t="s">
        <v>1577</v>
      </c>
      <c r="E11206" s="6" t="s">
        <v>16568</v>
      </c>
      <c r="F11206" s="9"/>
    </row>
    <row r="11207" ht="33.75" customHeight="1">
      <c r="A11207" s="7">
        <v>476.0</v>
      </c>
      <c r="B11207" s="9" t="s">
        <v>16569</v>
      </c>
      <c r="C11207" s="9" t="s">
        <v>14345</v>
      </c>
      <c r="D11207" s="9" t="s">
        <v>81</v>
      </c>
      <c r="E11207" s="6" t="s">
        <v>16570</v>
      </c>
      <c r="F11207" t="inlineStr" s="10">
        <is>
          <t xml:space="preserve">Probopass huokuu voimakasta magnetismia kaikkialta. Se ohjaa kolmea pientä yksikköä, joita kutsutaan Mini-Neniksi. Se ohjaa vapaasti kolmea pientä yksikköä, joita kutsutaan Mini-Neniksi, magneettivoiman avulla. Se ohjaa magneettivoiman avulla kolmea Mini-Neniksi kutsuttua yksikköä. Niiden avulla se voi hyökätä vihollista kolmesta suunnasta. Se ohjaa vapaasti kolmea Mini-Neniksi kutsuttua yksikköä magneettivoiman avulla. Se säteilee niin voimakasta magneettikenttää, että lähellä olevat sähkölaitteet tulevat käyttökelvottomiksi. Päärunko ohjaa kolmea liikkuvaa yksikköä, joita kutsutaan Mini-Nosesiksi ja joita se ohjaa saaliin pyydystämiseksi. Vaikka se pystyy ohjaamaan Mini-Neniksi kutsuttuja yksiköitään, ne joskus eksyvät eivätkä palaa. Se käyttää kolmea pientä yksikköä saaliin pyydystämiseen ja vihollisten torjumiseen. Pääosa enimmäkseen vain antaa käskyjä. Se pystyy säteilemään voimakasta magnetismia, jonka avulla se hallitsee rautahiekkaa, joka muodostaa sen rehevät viikset. Tämän rautahiekan avulla Probopass muodostaa kovia kiviä, joilla se lyö saalistaan.</t>
        </is>
      </c>
    </row>
    <row r="11208" ht="33.75" customHeight="1">
      <c r="A11208" s="7">
        <v>476.0</v>
      </c>
      <c r="B11208" s="9" t="s">
        <v>16569</v>
      </c>
      <c r="C11208" s="9" t="s">
        <v>14345</v>
      </c>
      <c r="D11208" s="9" t="s">
        <v>84</v>
      </c>
      <c r="E11208" s="6" t="s">
        <v>16570</v>
      </c>
      <c r="F11208" s="9"/>
    </row>
    <row r="11209" ht="33.75" customHeight="1">
      <c r="A11209" s="7">
        <v>476.0</v>
      </c>
      <c r="B11209" s="9" t="s">
        <v>16569</v>
      </c>
      <c r="C11209" s="9" t="s">
        <v>14345</v>
      </c>
      <c r="D11209" s="9" t="s">
        <v>87</v>
      </c>
      <c r="E11209" s="6" t="s">
        <v>16571</v>
      </c>
      <c r="F11209" s="9"/>
    </row>
    <row r="11210" ht="33.75" customHeight="1">
      <c r="A11210" s="7">
        <v>476.0</v>
      </c>
      <c r="B11210" s="9" t="s">
        <v>16569</v>
      </c>
      <c r="C11210" s="9" t="s">
        <v>14345</v>
      </c>
      <c r="D11210" s="9" t="s">
        <v>89</v>
      </c>
      <c r="E11210" s="6" t="s">
        <v>16572</v>
      </c>
      <c r="F11210" s="9"/>
    </row>
    <row r="11211" ht="33.75" customHeight="1">
      <c r="A11211" s="7">
        <v>476.0</v>
      </c>
      <c r="B11211" s="9" t="s">
        <v>16569</v>
      </c>
      <c r="C11211" s="9" t="s">
        <v>14345</v>
      </c>
      <c r="D11211" s="9" t="s">
        <v>91</v>
      </c>
      <c r="E11211" s="6" t="s">
        <v>16572</v>
      </c>
      <c r="F11211" s="9"/>
    </row>
    <row r="11212" ht="33.75" customHeight="1">
      <c r="A11212" s="7">
        <v>476.0</v>
      </c>
      <c r="B11212" s="9" t="s">
        <v>16569</v>
      </c>
      <c r="C11212" s="9" t="s">
        <v>14345</v>
      </c>
      <c r="D11212" s="9" t="s">
        <v>93</v>
      </c>
      <c r="E11212" s="6" t="s">
        <v>16571</v>
      </c>
      <c r="F11212" s="9"/>
    </row>
    <row r="11213" ht="33.75" customHeight="1">
      <c r="A11213" s="7">
        <v>476.0</v>
      </c>
      <c r="B11213" s="9" t="s">
        <v>16569</v>
      </c>
      <c r="C11213" s="9" t="s">
        <v>14345</v>
      </c>
      <c r="D11213" s="9" t="s">
        <v>95</v>
      </c>
      <c r="E11213" s="6" t="s">
        <v>16571</v>
      </c>
      <c r="F11213" s="9"/>
    </row>
    <row r="11214" ht="33.75" customHeight="1">
      <c r="A11214" s="7">
        <v>476.0</v>
      </c>
      <c r="B11214" s="9" t="s">
        <v>16569</v>
      </c>
      <c r="C11214" s="9" t="s">
        <v>14345</v>
      </c>
      <c r="D11214" s="9" t="s">
        <v>98</v>
      </c>
      <c r="E11214" s="6" t="s">
        <v>16574</v>
      </c>
      <c r="F11214" s="9"/>
    </row>
    <row r="11215" ht="33.75" customHeight="1">
      <c r="A11215" s="7">
        <v>476.0</v>
      </c>
      <c r="B11215" s="9" t="s">
        <v>16569</v>
      </c>
      <c r="C11215" s="9" t="s">
        <v>14345</v>
      </c>
      <c r="D11215" s="9" t="s">
        <v>99</v>
      </c>
      <c r="E11215" s="6" t="s">
        <v>16574</v>
      </c>
      <c r="F11215" s="9"/>
    </row>
    <row r="11216" ht="33.75" customHeight="1">
      <c r="A11216" s="7">
        <v>476.0</v>
      </c>
      <c r="B11216" s="9" t="s">
        <v>16569</v>
      </c>
      <c r="C11216" s="9" t="s">
        <v>14345</v>
      </c>
      <c r="D11216" s="9" t="s">
        <v>101</v>
      </c>
      <c r="E11216" s="6" t="s">
        <v>16570</v>
      </c>
      <c r="F11216" s="9"/>
    </row>
    <row r="11217" ht="33.75" customHeight="1">
      <c r="A11217" s="7">
        <v>476.0</v>
      </c>
      <c r="B11217" s="9" t="s">
        <v>16569</v>
      </c>
      <c r="C11217" s="9" t="s">
        <v>14345</v>
      </c>
      <c r="D11217" s="9" t="s">
        <v>105</v>
      </c>
      <c r="E11217" s="6" t="s">
        <v>16571</v>
      </c>
      <c r="F11217" s="9"/>
    </row>
    <row r="11218" ht="33.75" customHeight="1">
      <c r="A11218" s="7">
        <v>476.0</v>
      </c>
      <c r="B11218" s="9" t="s">
        <v>16569</v>
      </c>
      <c r="C11218" s="9" t="s">
        <v>14345</v>
      </c>
      <c r="D11218" s="9" t="s">
        <v>107</v>
      </c>
      <c r="E11218" s="6" t="s">
        <v>16570</v>
      </c>
      <c r="F11218" s="9"/>
    </row>
    <row r="11219" ht="33.75" customHeight="1">
      <c r="A11219" s="7">
        <v>476.0</v>
      </c>
      <c r="B11219" s="9" t="s">
        <v>16569</v>
      </c>
      <c r="C11219" s="9" t="s">
        <v>14345</v>
      </c>
      <c r="D11219" s="9" t="s">
        <v>109</v>
      </c>
      <c r="E11219" s="6" t="s">
        <v>16571</v>
      </c>
      <c r="F11219" s="9"/>
    </row>
    <row r="11220" ht="33.75" customHeight="1">
      <c r="A11220" s="7">
        <v>476.0</v>
      </c>
      <c r="B11220" s="9" t="s">
        <v>16569</v>
      </c>
      <c r="C11220" s="9" t="s">
        <v>14345</v>
      </c>
      <c r="D11220" s="9" t="s">
        <v>637</v>
      </c>
      <c r="E11220" s="6" t="s">
        <v>16575</v>
      </c>
      <c r="F11220" s="9"/>
    </row>
    <row r="11221" ht="33.75" customHeight="1">
      <c r="A11221" s="7">
        <v>476.0</v>
      </c>
      <c r="B11221" s="9" t="s">
        <v>16569</v>
      </c>
      <c r="C11221" s="9" t="s">
        <v>14345</v>
      </c>
      <c r="D11221" s="9" t="s">
        <v>642</v>
      </c>
      <c r="E11221" s="6" t="s">
        <v>16576</v>
      </c>
      <c r="F11221" s="9"/>
    </row>
    <row r="11222" ht="33.75" customHeight="1">
      <c r="A11222" s="7">
        <v>476.0</v>
      </c>
      <c r="B11222" s="9" t="s">
        <v>16569</v>
      </c>
      <c r="C11222" s="9" t="s">
        <v>14345</v>
      </c>
      <c r="D11222" s="9" t="s">
        <v>647</v>
      </c>
      <c r="E11222" s="6" t="s">
        <v>16577</v>
      </c>
      <c r="F11222" s="9"/>
    </row>
    <row r="11223" ht="33.75" customHeight="1">
      <c r="A11223" s="7">
        <v>476.0</v>
      </c>
      <c r="B11223" s="9" t="s">
        <v>16569</v>
      </c>
      <c r="C11223" s="9" t="s">
        <v>14345</v>
      </c>
      <c r="D11223" s="9" t="s">
        <v>652</v>
      </c>
      <c r="E11223" s="6" t="s">
        <v>16578</v>
      </c>
      <c r="F11223" s="9"/>
    </row>
    <row r="11224" ht="33.75" customHeight="1">
      <c r="A11224" s="7">
        <v>476.0</v>
      </c>
      <c r="B11224" s="9" t="s">
        <v>16569</v>
      </c>
      <c r="C11224" s="9" t="s">
        <v>14345</v>
      </c>
      <c r="D11224" s="9" t="s">
        <v>1577</v>
      </c>
      <c r="E11224" s="6" t="s">
        <v>16579</v>
      </c>
      <c r="F11224" s="9"/>
    </row>
    <row r="11225" ht="33.75" customHeight="1">
      <c r="A11225" s="7">
        <v>477.0</v>
      </c>
      <c r="B11225" s="9" t="s">
        <v>16580</v>
      </c>
      <c r="C11225" s="9" t="s">
        <v>16581</v>
      </c>
      <c r="D11225" s="9" t="s">
        <v>81</v>
      </c>
      <c r="E11225" s="6" t="s">
        <v>16582</v>
      </c>
      <c r="F11225" t="inlineStr" s="10">
        <is>
          <t xml:space="preserve">Dusknoirin päässä oleva antenni kaappaa henkimaailmasta tulevia radioaaltoja, jotka käskevät sitä viemään ihmisiä sinne. Sen sanotaan ottavan kadonneet henget taipuisaan ruumiiseensa ja ohjaavan ne kotiin. Tämän pelätyn Pokémonin sanotaan matkustavan tuntemattomiin maailmoihin. Jotkut jopa uskovat, että se vie kadonneet henget mukanaan. Henkimaailman lähetysten käskystä se varastaa ihmisiä ja Pokémoneja pois. Kukaan ei tiedä, onko sillä omaa tahtoa. Suu vatsallaan Dusknoir nielee kohteensa kokonaisena. Vain sielu syödään – Dusknoir oksentaa ruumiin ennen lähtöään. Tulee niiden luokse, joiden elämä on päättynyt, ja saattaa heidän sielunsa tuonpuoleiseen. Tunnetaan siitä, että se ottaa erehdyksessä niiden sielut, joilla on vielä elämää jäljellä, vaikkakin harvoin.</t>
        </is>
      </c>
    </row>
    <row r="11226" ht="33.75" customHeight="1">
      <c r="A11226" s="7">
        <v>477.0</v>
      </c>
      <c r="B11226" s="9" t="s">
        <v>16580</v>
      </c>
      <c r="C11226" s="9" t="s">
        <v>16581</v>
      </c>
      <c r="D11226" s="9" t="s">
        <v>84</v>
      </c>
      <c r="E11226" s="6" t="s">
        <v>16582</v>
      </c>
      <c r="F11226" s="9"/>
    </row>
    <row r="11227" ht="33.75" customHeight="1">
      <c r="A11227" s="7">
        <v>477.0</v>
      </c>
      <c r="B11227" s="9" t="s">
        <v>16580</v>
      </c>
      <c r="C11227" s="9" t="s">
        <v>16581</v>
      </c>
      <c r="D11227" s="9" t="s">
        <v>87</v>
      </c>
      <c r="E11227" s="6" t="s">
        <v>16583</v>
      </c>
      <c r="F11227" s="9"/>
    </row>
    <row r="11228" ht="33.75" customHeight="1">
      <c r="A11228" s="7">
        <v>477.0</v>
      </c>
      <c r="B11228" s="9" t="s">
        <v>16580</v>
      </c>
      <c r="C11228" s="9" t="s">
        <v>16581</v>
      </c>
      <c r="D11228" s="9" t="s">
        <v>89</v>
      </c>
      <c r="E11228" s="6" t="s">
        <v>16584</v>
      </c>
      <c r="F11228" s="9"/>
    </row>
    <row r="11229" ht="33.75" customHeight="1">
      <c r="A11229" s="7">
        <v>477.0</v>
      </c>
      <c r="B11229" s="9" t="s">
        <v>16580</v>
      </c>
      <c r="C11229" s="9" t="s">
        <v>16581</v>
      </c>
      <c r="D11229" s="9" t="s">
        <v>91</v>
      </c>
      <c r="E11229" s="6" t="s">
        <v>16584</v>
      </c>
      <c r="F11229" s="9"/>
    </row>
    <row r="11230" ht="33.75" customHeight="1">
      <c r="A11230" s="7">
        <v>477.0</v>
      </c>
      <c r="B11230" s="9" t="s">
        <v>16580</v>
      </c>
      <c r="C11230" s="9" t="s">
        <v>16581</v>
      </c>
      <c r="D11230" s="9" t="s">
        <v>93</v>
      </c>
      <c r="E11230" s="6" t="s">
        <v>16583</v>
      </c>
      <c r="F11230" s="9"/>
    </row>
    <row r="11231" ht="33.75" customHeight="1">
      <c r="A11231" s="7">
        <v>477.0</v>
      </c>
      <c r="B11231" s="9" t="s">
        <v>16580</v>
      </c>
      <c r="C11231" s="9" t="s">
        <v>16581</v>
      </c>
      <c r="D11231" s="9" t="s">
        <v>95</v>
      </c>
      <c r="E11231" s="6" t="s">
        <v>16583</v>
      </c>
      <c r="F11231" s="9"/>
    </row>
    <row r="11232" ht="33.75" customHeight="1">
      <c r="A11232" s="7">
        <v>477.0</v>
      </c>
      <c r="B11232" s="9" t="s">
        <v>16580</v>
      </c>
      <c r="C11232" s="9" t="s">
        <v>16581</v>
      </c>
      <c r="D11232" s="9" t="s">
        <v>98</v>
      </c>
      <c r="E11232" s="6" t="s">
        <v>16583</v>
      </c>
      <c r="F11232" s="9"/>
    </row>
    <row r="11233" ht="33.75" customHeight="1">
      <c r="A11233" s="7">
        <v>477.0</v>
      </c>
      <c r="B11233" s="9" t="s">
        <v>16580</v>
      </c>
      <c r="C11233" s="9" t="s">
        <v>16581</v>
      </c>
      <c r="D11233" s="9" t="s">
        <v>99</v>
      </c>
      <c r="E11233" s="6" t="s">
        <v>16583</v>
      </c>
      <c r="F11233" s="9"/>
    </row>
    <row r="11234" ht="33.75" customHeight="1">
      <c r="A11234" s="7">
        <v>477.0</v>
      </c>
      <c r="B11234" s="9" t="s">
        <v>16580</v>
      </c>
      <c r="C11234" s="9" t="s">
        <v>16581</v>
      </c>
      <c r="D11234" s="9" t="s">
        <v>101</v>
      </c>
      <c r="E11234" s="6" t="s">
        <v>16583</v>
      </c>
      <c r="F11234" s="9"/>
    </row>
    <row r="11235" ht="33.75" customHeight="1">
      <c r="A11235" s="7">
        <v>477.0</v>
      </c>
      <c r="B11235" s="9" t="s">
        <v>16580</v>
      </c>
      <c r="C11235" s="9" t="s">
        <v>16581</v>
      </c>
      <c r="D11235" s="9" t="s">
        <v>105</v>
      </c>
      <c r="E11235" s="6" t="s">
        <v>16582</v>
      </c>
      <c r="F11235" s="9"/>
    </row>
    <row r="11236" ht="33.75" customHeight="1">
      <c r="A11236" s="7">
        <v>477.0</v>
      </c>
      <c r="B11236" s="9" t="s">
        <v>16580</v>
      </c>
      <c r="C11236" s="9" t="s">
        <v>16581</v>
      </c>
      <c r="D11236" s="9" t="s">
        <v>107</v>
      </c>
      <c r="E11236" s="6" t="s">
        <v>16583</v>
      </c>
      <c r="F11236" s="9"/>
    </row>
    <row r="11237" ht="33.75" customHeight="1">
      <c r="A11237" s="7">
        <v>477.0</v>
      </c>
      <c r="B11237" s="9" t="s">
        <v>16580</v>
      </c>
      <c r="C11237" s="9" t="s">
        <v>16581</v>
      </c>
      <c r="D11237" s="9" t="s">
        <v>109</v>
      </c>
      <c r="E11237" s="6" t="s">
        <v>16582</v>
      </c>
      <c r="F11237" s="9"/>
    </row>
    <row r="11238" ht="33.75" customHeight="1">
      <c r="A11238" s="7">
        <v>477.0</v>
      </c>
      <c r="B11238" s="9" t="s">
        <v>16580</v>
      </c>
      <c r="C11238" s="9" t="s">
        <v>16581</v>
      </c>
      <c r="D11238" s="9" t="s">
        <v>114</v>
      </c>
      <c r="E11238" s="6" t="s">
        <v>16586</v>
      </c>
      <c r="F11238" s="9"/>
    </row>
    <row r="11239" ht="33.75" customHeight="1">
      <c r="A11239" s="7">
        <v>477.0</v>
      </c>
      <c r="B11239" s="9" t="s">
        <v>16580</v>
      </c>
      <c r="C11239" s="9" t="s">
        <v>16581</v>
      </c>
      <c r="D11239" s="9" t="s">
        <v>117</v>
      </c>
      <c r="E11239" s="6" t="s">
        <v>16587</v>
      </c>
      <c r="F11239" s="9"/>
    </row>
    <row r="11240" ht="33.75" customHeight="1">
      <c r="A11240" s="7">
        <v>477.0</v>
      </c>
      <c r="B11240" s="9" t="s">
        <v>16580</v>
      </c>
      <c r="C11240" s="9" t="s">
        <v>16581</v>
      </c>
      <c r="D11240" s="9" t="s">
        <v>1577</v>
      </c>
      <c r="E11240" s="6" t="s">
        <v>16588</v>
      </c>
      <c r="F11240" s="9"/>
    </row>
    <row r="11241" ht="33.75" customHeight="1">
      <c r="A11241" s="7">
        <v>478.0</v>
      </c>
      <c r="B11241" s="9" t="s">
        <v>16589</v>
      </c>
      <c r="C11241" s="9" t="s">
        <v>16590</v>
      </c>
      <c r="D11241" s="9" t="s">
        <v>81</v>
      </c>
      <c r="E11241" s="6" t="s">
        <v>16591</v>
      </c>
      <c r="F11241" t="inlineStr" s="10">
        <is>
          <t xml:space="preserve">Froslass jäädyttää viholliset jäisellä hengityksellään lähes -15 celsiusasteeseen. Sen ruumis näyttää olevan ontto. Se jäädyttää saaliinsa puhaltamalla -58 celsiusasteen henkäyksen. Sen sanotaan sitten salaa esittelevän saalistaan. Lumisten alueiden legendoissa kerrotaan, että jäiselle vuorelle eksynyt nainen syntyi uudesti FROSLASSina. Lumisten alueiden legendojen mukaan jäiselle vuorelle eksynyt nainen syntyi uudelleen nimellä FROSLASS Se jäädyttää viholliset jäisellä hengityksellään lähes -60 celsiusasteeseen. Löydettyään ihmisiä tai Pokémoneja, joista se pitää, se jäädyttää ne ja vie ne kylmään luolaansa, jossa niistä tulee koristeita. Lumiselle vuorelle eksyneen naisen sielu otti omakseen jääpuikon, ja siitä tuli tämä Pokémon. Se nauttii eniten miesten sieluista. Se jäädyttää lumisille vuorille kiipeämään tulleet vaeltajat ja kantaa heidät takaisin kotiinsa. Se jahtaa vain miehiä, joita se pitää komeina. Sanotaan, että hirvittävien lumimyrskyjen öinä se taantuu ihmisasutuskeskuksiin. Jos kuulet sen koputtavan oveesi, älä avaa sitä! Nainen kohtasi loppunsa lumisilla vuorilla, ja katumus viipyi hänen mielessään. Niistä syntyi tämä Pokémon. Sen lempiruoka on jäätyneet sielut. Se sylkee ulos lähes −15 celsiusasteen kylmää ilmaa jäädyttääkseen saaliinsa. Se tuo jäätyneen saaliin takaisin pesälleen ja asettaa ne siististi riviin. Pokémon, jonka asuttaa lumisilla vuorilla kaunaa kantaen kuolleen naisen sielu. Legendat Froslassista, joka langettaa kuolemankirouksia huonosti käyttäytyville miehille, saavat minut kylmille väreille.</t>
        </is>
      </c>
    </row>
    <row r="11242" ht="33.75" customHeight="1">
      <c r="A11242" s="7">
        <v>478.0</v>
      </c>
      <c r="B11242" s="9" t="s">
        <v>16589</v>
      </c>
      <c r="C11242" s="9" t="s">
        <v>16590</v>
      </c>
      <c r="D11242" s="9" t="s">
        <v>84</v>
      </c>
      <c r="E11242" s="6" t="s">
        <v>16591</v>
      </c>
      <c r="F11242" s="9"/>
    </row>
    <row r="11243" ht="33.75" customHeight="1">
      <c r="A11243" s="7">
        <v>478.0</v>
      </c>
      <c r="B11243" s="9" t="s">
        <v>16589</v>
      </c>
      <c r="C11243" s="9" t="s">
        <v>16590</v>
      </c>
      <c r="D11243" s="9" t="s">
        <v>87</v>
      </c>
      <c r="E11243" s="6" t="s">
        <v>16592</v>
      </c>
      <c r="F11243" s="9"/>
    </row>
    <row r="11244" ht="33.75" customHeight="1">
      <c r="A11244" s="7">
        <v>478.0</v>
      </c>
      <c r="B11244" s="9" t="s">
        <v>16589</v>
      </c>
      <c r="C11244" s="9" t="s">
        <v>16590</v>
      </c>
      <c r="D11244" s="9" t="s">
        <v>89</v>
      </c>
      <c r="E11244" s="6" t="s">
        <v>16593</v>
      </c>
      <c r="F11244" s="9"/>
    </row>
    <row r="11245" ht="33.75" customHeight="1">
      <c r="A11245" s="7">
        <v>478.0</v>
      </c>
      <c r="B11245" s="9" t="s">
        <v>16589</v>
      </c>
      <c r="C11245" s="9" t="s">
        <v>16590</v>
      </c>
      <c r="D11245" s="9" t="s">
        <v>91</v>
      </c>
      <c r="E11245" s="6" t="s">
        <v>16594</v>
      </c>
      <c r="F11245" s="9"/>
    </row>
    <row r="11246" ht="33.75" customHeight="1">
      <c r="A11246" s="7">
        <v>478.0</v>
      </c>
      <c r="B11246" s="9" t="s">
        <v>16589</v>
      </c>
      <c r="C11246" s="9" t="s">
        <v>16590</v>
      </c>
      <c r="D11246" s="9" t="s">
        <v>93</v>
      </c>
      <c r="E11246" s="6" t="s">
        <v>16592</v>
      </c>
      <c r="F11246" s="9"/>
    </row>
    <row r="11247" ht="33.75" customHeight="1">
      <c r="A11247" s="7">
        <v>478.0</v>
      </c>
      <c r="B11247" s="9" t="s">
        <v>16589</v>
      </c>
      <c r="C11247" s="9" t="s">
        <v>16590</v>
      </c>
      <c r="D11247" s="9" t="s">
        <v>95</v>
      </c>
      <c r="E11247" s="6" t="s">
        <v>16592</v>
      </c>
      <c r="F11247" s="9"/>
    </row>
    <row r="11248" ht="33.75" customHeight="1">
      <c r="A11248" s="7">
        <v>478.0</v>
      </c>
      <c r="B11248" s="9" t="s">
        <v>16589</v>
      </c>
      <c r="C11248" s="9" t="s">
        <v>16590</v>
      </c>
      <c r="D11248" s="9" t="s">
        <v>98</v>
      </c>
      <c r="E11248" s="6" t="s">
        <v>16592</v>
      </c>
      <c r="F11248" s="9"/>
    </row>
    <row r="11249" ht="33.75" customHeight="1">
      <c r="A11249" s="7">
        <v>478.0</v>
      </c>
      <c r="B11249" s="9" t="s">
        <v>16589</v>
      </c>
      <c r="C11249" s="9" t="s">
        <v>16590</v>
      </c>
      <c r="D11249" s="9" t="s">
        <v>99</v>
      </c>
      <c r="E11249" s="6" t="s">
        <v>16592</v>
      </c>
      <c r="F11249" s="9"/>
    </row>
    <row r="11250" ht="33.75" customHeight="1">
      <c r="A11250" s="7">
        <v>478.0</v>
      </c>
      <c r="B11250" s="9" t="s">
        <v>16589</v>
      </c>
      <c r="C11250" s="9" t="s">
        <v>16590</v>
      </c>
      <c r="D11250" s="9" t="s">
        <v>101</v>
      </c>
      <c r="E11250" s="6" t="s">
        <v>16596</v>
      </c>
      <c r="F11250" s="9"/>
    </row>
    <row r="11251" ht="33.75" customHeight="1">
      <c r="A11251" s="7">
        <v>478.0</v>
      </c>
      <c r="B11251" s="9" t="s">
        <v>16589</v>
      </c>
      <c r="C11251" s="9" t="s">
        <v>16590</v>
      </c>
      <c r="D11251" s="9" t="s">
        <v>105</v>
      </c>
      <c r="E11251" s="6" t="s">
        <v>16597</v>
      </c>
      <c r="F11251" s="9"/>
    </row>
    <row r="11252" ht="33.75" customHeight="1">
      <c r="A11252" s="7">
        <v>478.0</v>
      </c>
      <c r="B11252" s="9" t="s">
        <v>16589</v>
      </c>
      <c r="C11252" s="9" t="s">
        <v>16590</v>
      </c>
      <c r="D11252" s="9" t="s">
        <v>107</v>
      </c>
      <c r="E11252" s="6" t="s">
        <v>16596</v>
      </c>
      <c r="F11252" s="9"/>
    </row>
    <row r="11253" ht="33.75" customHeight="1">
      <c r="A11253" s="7">
        <v>478.0</v>
      </c>
      <c r="B11253" s="9" t="s">
        <v>16589</v>
      </c>
      <c r="C11253" s="9" t="s">
        <v>16590</v>
      </c>
      <c r="D11253" s="9" t="s">
        <v>109</v>
      </c>
      <c r="E11253" s="6" t="s">
        <v>16597</v>
      </c>
      <c r="F11253" s="9"/>
    </row>
    <row r="11254" ht="33.75" customHeight="1">
      <c r="A11254" s="7">
        <v>478.0</v>
      </c>
      <c r="B11254" s="9" t="s">
        <v>16589</v>
      </c>
      <c r="C11254" s="9" t="s">
        <v>16590</v>
      </c>
      <c r="D11254" s="9" t="s">
        <v>637</v>
      </c>
      <c r="E11254" s="6" t="s">
        <v>16598</v>
      </c>
      <c r="F11254" s="9"/>
    </row>
    <row r="11255" ht="33.75" customHeight="1">
      <c r="A11255" s="7">
        <v>478.0</v>
      </c>
      <c r="B11255" s="9" t="s">
        <v>16589</v>
      </c>
      <c r="C11255" s="9" t="s">
        <v>16590</v>
      </c>
      <c r="D11255" s="9" t="s">
        <v>642</v>
      </c>
      <c r="E11255" s="6" t="s">
        <v>16599</v>
      </c>
      <c r="F11255" s="9"/>
    </row>
    <row r="11256" ht="33.75" customHeight="1">
      <c r="A11256" s="7">
        <v>478.0</v>
      </c>
      <c r="B11256" s="9" t="s">
        <v>16589</v>
      </c>
      <c r="C11256" s="9" t="s">
        <v>16590</v>
      </c>
      <c r="D11256" s="9" t="s">
        <v>647</v>
      </c>
      <c r="E11256" s="6" t="s">
        <v>16600</v>
      </c>
      <c r="F11256" s="9"/>
    </row>
    <row r="11257" ht="33.75" customHeight="1">
      <c r="A11257" s="7">
        <v>478.0</v>
      </c>
      <c r="B11257" s="9" t="s">
        <v>16589</v>
      </c>
      <c r="C11257" s="9" t="s">
        <v>16590</v>
      </c>
      <c r="D11257" s="9" t="s">
        <v>652</v>
      </c>
      <c r="E11257" s="6" t="s">
        <v>16601</v>
      </c>
      <c r="F11257" s="9"/>
    </row>
    <row r="11258" ht="33.75" customHeight="1">
      <c r="A11258" s="7">
        <v>478.0</v>
      </c>
      <c r="B11258" s="9" t="s">
        <v>16589</v>
      </c>
      <c r="C11258" s="9" t="s">
        <v>16590</v>
      </c>
      <c r="D11258" s="9" t="s">
        <v>114</v>
      </c>
      <c r="E11258" s="6" t="s">
        <v>16602</v>
      </c>
      <c r="F11258" s="9"/>
    </row>
    <row r="11259" ht="33.75" customHeight="1">
      <c r="A11259" s="7">
        <v>478.0</v>
      </c>
      <c r="B11259" s="9" t="s">
        <v>16589</v>
      </c>
      <c r="C11259" s="9" t="s">
        <v>16590</v>
      </c>
      <c r="D11259" s="9" t="s">
        <v>117</v>
      </c>
      <c r="E11259" s="6" t="s">
        <v>16603</v>
      </c>
      <c r="F11259" s="9"/>
    </row>
    <row r="11260" ht="33.75" customHeight="1">
      <c r="A11260" s="7">
        <v>478.0</v>
      </c>
      <c r="B11260" s="9" t="s">
        <v>16589</v>
      </c>
      <c r="C11260" s="9" t="s">
        <v>16590</v>
      </c>
      <c r="D11260" s="9" t="s">
        <v>1577</v>
      </c>
      <c r="E11260" s="6" t="s">
        <v>16604</v>
      </c>
      <c r="F11260" s="9"/>
    </row>
    <row r="11261" ht="33.75" customHeight="1">
      <c r="A11261" s="7">
        <v>479.0</v>
      </c>
      <c r="B11261" s="9" t="s">
        <v>16605</v>
      </c>
      <c r="C11261" s="9" t="s">
        <v>16606</v>
      </c>
      <c r="D11261" s="9" t="s">
        <v>81</v>
      </c>
      <c r="E11261" s="6" t="s">
        <v>16607</v>
      </c>
      <c r="F11261" t="inlineStr" s="10">
        <is>
          <t xml:space="preserve">Rotomin runko koostuu plasmasta. Sen tiedetään tunkeutuvan elektronisiin laitteisiin ja aiheuttavan tuhoa. Sen sähkön kaltainen ruumis voi tunkeutua tietynlaisiin koneisiin ja ottaa ne hallintaansa tehdäkseen pahaa. Tutkimus jatkuu tästä Pokémonista, joka voisi olla ainutlaatuisen moottorin voimanlähde. Yhden pojan keksintö johti monien erilaisten koneiden kehittämiseen, jotka hyödyntävät Rotomin ainutlaatuisia ominaisuuksia. Plasmasta tehdyn ruumiinsa ansiosta se voi asua kaikenlaisissa koneissa. Se rakastaa yllättää muita. Tämä omituinen Pokémon näyttää sähkökäyttöiseltä virvatuli-Pokémonilta. Ole varovainen, sillä Rotom on sekä älykäs että ilkikurinen.</t>
        </is>
      </c>
    </row>
    <row r="11262" ht="33.75" customHeight="1">
      <c r="A11262" s="7">
        <v>479.0</v>
      </c>
      <c r="B11262" s="9" t="s">
        <v>16605</v>
      </c>
      <c r="C11262" s="9" t="s">
        <v>16606</v>
      </c>
      <c r="D11262" s="9" t="s">
        <v>84</v>
      </c>
      <c r="E11262" s="6" t="s">
        <v>16607</v>
      </c>
      <c r="F11262" s="9"/>
    </row>
    <row r="11263" ht="33.75" customHeight="1">
      <c r="A11263" s="7">
        <v>479.0</v>
      </c>
      <c r="B11263" s="9" t="s">
        <v>16605</v>
      </c>
      <c r="C11263" s="9" t="s">
        <v>16606</v>
      </c>
      <c r="D11263" s="9" t="s">
        <v>87</v>
      </c>
      <c r="E11263" s="6" t="s">
        <v>16609</v>
      </c>
      <c r="F11263" s="9"/>
    </row>
    <row r="11264" ht="33.75" customHeight="1">
      <c r="A11264" s="7">
        <v>479.0</v>
      </c>
      <c r="B11264" s="9" t="s">
        <v>16605</v>
      </c>
      <c r="C11264" s="9" t="s">
        <v>16606</v>
      </c>
      <c r="D11264" s="9" t="s">
        <v>89</v>
      </c>
      <c r="E11264" s="6" t="s">
        <v>16610</v>
      </c>
      <c r="F11264" s="9"/>
    </row>
    <row r="11265" ht="33.75" customHeight="1">
      <c r="A11265" s="7">
        <v>479.0</v>
      </c>
      <c r="B11265" s="9" t="s">
        <v>16605</v>
      </c>
      <c r="C11265" s="9" t="s">
        <v>16606</v>
      </c>
      <c r="D11265" s="9" t="s">
        <v>91</v>
      </c>
      <c r="E11265" s="6" t="s">
        <v>16610</v>
      </c>
      <c r="F11265" s="9"/>
    </row>
    <row r="11266" ht="33.75" customHeight="1">
      <c r="A11266" s="7">
        <v>479.0</v>
      </c>
      <c r="B11266" s="9" t="s">
        <v>16605</v>
      </c>
      <c r="C11266" s="9" t="s">
        <v>16606</v>
      </c>
      <c r="D11266" s="9" t="s">
        <v>93</v>
      </c>
      <c r="E11266" s="6" t="s">
        <v>16609</v>
      </c>
      <c r="F11266" s="9"/>
    </row>
    <row r="11267" ht="33.75" customHeight="1">
      <c r="A11267" s="7">
        <v>479.0</v>
      </c>
      <c r="B11267" s="9" t="s">
        <v>16605</v>
      </c>
      <c r="C11267" s="9" t="s">
        <v>16606</v>
      </c>
      <c r="D11267" s="9" t="s">
        <v>95</v>
      </c>
      <c r="E11267" s="6" t="s">
        <v>16609</v>
      </c>
      <c r="F11267" s="9"/>
    </row>
    <row r="11268" ht="33.75" customHeight="1">
      <c r="A11268" s="7">
        <v>479.0</v>
      </c>
      <c r="B11268" s="9" t="s">
        <v>16605</v>
      </c>
      <c r="C11268" s="9" t="s">
        <v>16606</v>
      </c>
      <c r="D11268" s="9" t="s">
        <v>98</v>
      </c>
      <c r="E11268" s="6" t="s">
        <v>16609</v>
      </c>
      <c r="F11268" s="9"/>
    </row>
    <row r="11269" ht="33.75" customHeight="1">
      <c r="A11269" s="7">
        <v>479.0</v>
      </c>
      <c r="B11269" s="9" t="s">
        <v>16605</v>
      </c>
      <c r="C11269" s="9" t="s">
        <v>16606</v>
      </c>
      <c r="D11269" s="9" t="s">
        <v>99</v>
      </c>
      <c r="E11269" s="6" t="s">
        <v>16609</v>
      </c>
      <c r="F11269" s="9"/>
    </row>
    <row r="11270" ht="33.75" customHeight="1">
      <c r="A11270" s="7">
        <v>479.0</v>
      </c>
      <c r="B11270" s="9" t="s">
        <v>16605</v>
      </c>
      <c r="C11270" s="9" t="s">
        <v>16606</v>
      </c>
      <c r="D11270" s="9" t="s">
        <v>101</v>
      </c>
      <c r="E11270" s="6" t="s">
        <v>16610</v>
      </c>
      <c r="F11270" s="9"/>
    </row>
    <row r="11271" ht="33.75" customHeight="1">
      <c r="A11271" s="7">
        <v>479.0</v>
      </c>
      <c r="B11271" s="9" t="s">
        <v>16605</v>
      </c>
      <c r="C11271" s="9" t="s">
        <v>16606</v>
      </c>
      <c r="D11271" s="9" t="s">
        <v>105</v>
      </c>
      <c r="E11271" s="6" t="s">
        <v>16607</v>
      </c>
      <c r="F11271" s="9"/>
    </row>
    <row r="11272" ht="33.75" customHeight="1">
      <c r="A11272" s="7">
        <v>479.0</v>
      </c>
      <c r="B11272" s="9" t="s">
        <v>16605</v>
      </c>
      <c r="C11272" s="9" t="s">
        <v>16606</v>
      </c>
      <c r="D11272" s="9" t="s">
        <v>107</v>
      </c>
      <c r="E11272" s="6" t="s">
        <v>16610</v>
      </c>
      <c r="F11272" s="9"/>
    </row>
    <row r="11273" ht="33.75" customHeight="1">
      <c r="A11273" s="7">
        <v>479.0</v>
      </c>
      <c r="B11273" s="9" t="s">
        <v>16605</v>
      </c>
      <c r="C11273" s="9" t="s">
        <v>16606</v>
      </c>
      <c r="D11273" s="9" t="s">
        <v>109</v>
      </c>
      <c r="E11273" s="6" t="s">
        <v>16607</v>
      </c>
      <c r="F11273" s="9"/>
    </row>
    <row r="11274" ht="33.75" customHeight="1">
      <c r="A11274" s="7">
        <v>479.0</v>
      </c>
      <c r="B11274" s="9" t="s">
        <v>16605</v>
      </c>
      <c r="C11274" s="9" t="s">
        <v>16606</v>
      </c>
      <c r="D11274" s="9" t="s">
        <v>114</v>
      </c>
      <c r="E11274" s="6" t="s">
        <v>16611</v>
      </c>
      <c r="F11274" s="9"/>
    </row>
    <row r="11275" ht="33.75" customHeight="1">
      <c r="A11275" s="7">
        <v>479.0</v>
      </c>
      <c r="B11275" s="9" t="s">
        <v>16605</v>
      </c>
      <c r="C11275" s="9" t="s">
        <v>16606</v>
      </c>
      <c r="D11275" s="9" t="s">
        <v>117</v>
      </c>
      <c r="E11275" s="6" t="s">
        <v>16612</v>
      </c>
      <c r="F11275" s="9"/>
    </row>
    <row r="11276" ht="33.75" customHeight="1">
      <c r="A11276" s="7">
        <v>479.0</v>
      </c>
      <c r="B11276" s="9" t="s">
        <v>16605</v>
      </c>
      <c r="C11276" s="9" t="s">
        <v>16606</v>
      </c>
      <c r="D11276" s="9" t="s">
        <v>1577</v>
      </c>
      <c r="E11276" s="6" t="s">
        <v>16614</v>
      </c>
      <c r="F11276" s="9"/>
    </row>
    <row r="11277" ht="33.75" customHeight="1">
      <c r="A11277" s="7">
        <v>480.0</v>
      </c>
      <c r="B11277" s="9" t="s">
        <v>16615</v>
      </c>
      <c r="C11277" s="9" t="s">
        <v>16616</v>
      </c>
      <c r="D11277" s="9" t="s">
        <v>81</v>
      </c>
      <c r="E11277" s="6" t="s">
        <v>16617</v>
      </c>
      <c r="F11277" t="inlineStr" s="10">
        <is>
          <t xml:space="preserve">Tunnetaan nimellä "Tiedon Olento". Sanotaan, että se voi pyyhkiä pois niiden muistin, jotka näkevät sen silmät. Sanotaan, että sen ilmaantuminen antoi ihmisille älykkyyden parantaa elämänlaatuaan. Kun UXIE lensi, ihmiset saivat kyvyn ratkaista ongelmia. Se oli tiedon synty. Joidenkin lähteiden mukaan tämä Pokémon antoi ihmisille tarvittavan älykkyyden erilaisten ongelmien ratkaisemiseksi. Pokémon, jota pelätään, mutta myös kunnioitetaan pahantekijöiden muistojen varastamisesta. Olen löytänyt tietoja, jotka viittaavat siihen, että Uxie hallitsee tietoa.</t>
        </is>
      </c>
    </row>
    <row r="11278" ht="33.75" customHeight="1">
      <c r="A11278" s="7">
        <v>480.0</v>
      </c>
      <c r="B11278" s="9" t="s">
        <v>16615</v>
      </c>
      <c r="C11278" s="9" t="s">
        <v>16616</v>
      </c>
      <c r="D11278" s="9" t="s">
        <v>84</v>
      </c>
      <c r="E11278" s="6" t="s">
        <v>16618</v>
      </c>
      <c r="F11278" s="9"/>
    </row>
    <row r="11279" ht="33.75" customHeight="1">
      <c r="A11279" s="7">
        <v>480.0</v>
      </c>
      <c r="B11279" s="9" t="s">
        <v>16615</v>
      </c>
      <c r="C11279" s="9" t="s">
        <v>16616</v>
      </c>
      <c r="D11279" s="9" t="s">
        <v>87</v>
      </c>
      <c r="E11279" s="6" t="s">
        <v>16619</v>
      </c>
      <c r="F11279" s="9"/>
    </row>
    <row r="11280" ht="33.75" customHeight="1">
      <c r="A11280" s="7">
        <v>480.0</v>
      </c>
      <c r="B11280" s="9" t="s">
        <v>16615</v>
      </c>
      <c r="C11280" s="9" t="s">
        <v>16616</v>
      </c>
      <c r="D11280" s="9" t="s">
        <v>89</v>
      </c>
      <c r="E11280" s="6" t="s">
        <v>16620</v>
      </c>
      <c r="F11280" s="9"/>
    </row>
    <row r="11281" ht="33.75" customHeight="1">
      <c r="A11281" s="7">
        <v>480.0</v>
      </c>
      <c r="B11281" s="9" t="s">
        <v>16615</v>
      </c>
      <c r="C11281" s="9" t="s">
        <v>16616</v>
      </c>
      <c r="D11281" s="9" t="s">
        <v>91</v>
      </c>
      <c r="E11281" s="6" t="s">
        <v>16620</v>
      </c>
      <c r="F11281" s="9"/>
    </row>
    <row r="11282" ht="33.75" customHeight="1">
      <c r="A11282" s="7">
        <v>480.0</v>
      </c>
      <c r="B11282" s="9" t="s">
        <v>16615</v>
      </c>
      <c r="C11282" s="9" t="s">
        <v>16616</v>
      </c>
      <c r="D11282" s="9" t="s">
        <v>93</v>
      </c>
      <c r="E11282" s="6" t="s">
        <v>16621</v>
      </c>
      <c r="F11282" s="9"/>
    </row>
    <row r="11283" ht="33.75" customHeight="1">
      <c r="A11283" s="7">
        <v>480.0</v>
      </c>
      <c r="B11283" s="9" t="s">
        <v>16615</v>
      </c>
      <c r="C11283" s="9" t="s">
        <v>16616</v>
      </c>
      <c r="D11283" s="9" t="s">
        <v>95</v>
      </c>
      <c r="E11283" s="6" t="s">
        <v>16621</v>
      </c>
      <c r="F11283" s="9"/>
    </row>
    <row r="11284" ht="33.75" customHeight="1">
      <c r="A11284" s="7">
        <v>480.0</v>
      </c>
      <c r="B11284" s="9" t="s">
        <v>16615</v>
      </c>
      <c r="C11284" s="9" t="s">
        <v>16616</v>
      </c>
      <c r="D11284" s="9" t="s">
        <v>98</v>
      </c>
      <c r="E11284" s="6" t="s">
        <v>16621</v>
      </c>
      <c r="F11284" s="9"/>
    </row>
    <row r="11285" ht="33.75" customHeight="1">
      <c r="A11285" s="7">
        <v>480.0</v>
      </c>
      <c r="B11285" s="9" t="s">
        <v>16615</v>
      </c>
      <c r="C11285" s="9" t="s">
        <v>16616</v>
      </c>
      <c r="D11285" s="9" t="s">
        <v>99</v>
      </c>
      <c r="E11285" s="6" t="s">
        <v>16621</v>
      </c>
      <c r="F11285" s="9"/>
    </row>
    <row r="11286" ht="33.75" customHeight="1">
      <c r="A11286" s="7">
        <v>480.0</v>
      </c>
      <c r="B11286" s="9" t="s">
        <v>16615</v>
      </c>
      <c r="C11286" s="9" t="s">
        <v>16616</v>
      </c>
      <c r="D11286" s="9" t="s">
        <v>101</v>
      </c>
      <c r="E11286" s="6" t="s">
        <v>16617</v>
      </c>
      <c r="F11286" s="9"/>
    </row>
    <row r="11287" ht="33.75" customHeight="1">
      <c r="A11287" s="7">
        <v>480.0</v>
      </c>
      <c r="B11287" s="9" t="s">
        <v>16615</v>
      </c>
      <c r="C11287" s="9" t="s">
        <v>16616</v>
      </c>
      <c r="D11287" s="9" t="s">
        <v>105</v>
      </c>
      <c r="E11287" s="6" t="s">
        <v>16618</v>
      </c>
      <c r="F11287" s="9"/>
    </row>
    <row r="11288" ht="33.75" customHeight="1">
      <c r="A11288" s="7">
        <v>480.0</v>
      </c>
      <c r="B11288" s="9" t="s">
        <v>16615</v>
      </c>
      <c r="C11288" s="9" t="s">
        <v>16616</v>
      </c>
      <c r="D11288" s="9" t="s">
        <v>107</v>
      </c>
      <c r="E11288" s="6" t="s">
        <v>16617</v>
      </c>
      <c r="F11288" s="9"/>
    </row>
    <row r="11289" ht="33.75" customHeight="1">
      <c r="A11289" s="7">
        <v>480.0</v>
      </c>
      <c r="B11289" s="9" t="s">
        <v>16615</v>
      </c>
      <c r="C11289" s="9" t="s">
        <v>16616</v>
      </c>
      <c r="D11289" s="9" t="s">
        <v>109</v>
      </c>
      <c r="E11289" s="6" t="s">
        <v>16618</v>
      </c>
      <c r="F11289" s="9"/>
    </row>
    <row r="11290" ht="33.75" customHeight="1">
      <c r="A11290" s="7">
        <v>480.0</v>
      </c>
      <c r="B11290" s="9" t="s">
        <v>16615</v>
      </c>
      <c r="C11290" s="9" t="s">
        <v>16616</v>
      </c>
      <c r="D11290" s="9" t="s">
        <v>1577</v>
      </c>
      <c r="E11290" s="6" t="s">
        <v>16622</v>
      </c>
      <c r="F11290" s="9"/>
    </row>
    <row r="11291" ht="33.75" customHeight="1">
      <c r="A11291" s="7">
        <v>481.0</v>
      </c>
      <c r="B11291" s="9" t="s">
        <v>16623</v>
      </c>
      <c r="C11291" s="9" t="s">
        <v>14112</v>
      </c>
      <c r="D11291" s="9" t="s">
        <v>81</v>
      </c>
      <c r="E11291" s="6" t="s">
        <v>16624</v>
      </c>
      <c r="F11291" t="inlineStr" s="10">
        <is>
          <t xml:space="preserve">Tunnetaan nimellä ”Tunteiden olento”. Se opetti ihmisille surun, tuskan ja ilon jalouden. Se nukkuu järven pohjassa. Sen hengen sanotaan jättävän ruumiinsa lentääkseen järven pinnalla. Kun MESPRIT lensi, ihmiset oppivat elämän ilon ja surun. Se oli tunteiden synty. Tämän Pokémonin sanotaan antaneen ihmissydämelle tunteita, kuten surua ja iloa. Tunnetaan Tunteiden Olentona. Legendan mukaan tätä Pokémonia pelättiin, sillä jokaisen epäkunnioitusta osoittavan tunteet sekoitettiin.</t>
        </is>
      </c>
    </row>
    <row r="11292" ht="33.75" customHeight="1">
      <c r="A11292" s="7">
        <v>481.0</v>
      </c>
      <c r="B11292" s="9" t="s">
        <v>16623</v>
      </c>
      <c r="C11292" s="9" t="s">
        <v>14112</v>
      </c>
      <c r="D11292" s="9" t="s">
        <v>84</v>
      </c>
      <c r="E11292" s="6" t="s">
        <v>16625</v>
      </c>
      <c r="F11292" s="9"/>
    </row>
    <row r="11293" ht="33.75" customHeight="1">
      <c r="A11293" s="7">
        <v>481.0</v>
      </c>
      <c r="B11293" s="9" t="s">
        <v>16623</v>
      </c>
      <c r="C11293" s="9" t="s">
        <v>14112</v>
      </c>
      <c r="D11293" s="9" t="s">
        <v>87</v>
      </c>
      <c r="E11293" s="6" t="s">
        <v>16627</v>
      </c>
      <c r="F11293" s="9"/>
    </row>
    <row r="11294" ht="33.75" customHeight="1">
      <c r="A11294" s="7">
        <v>481.0</v>
      </c>
      <c r="B11294" s="9" t="s">
        <v>16623</v>
      </c>
      <c r="C11294" s="9" t="s">
        <v>14112</v>
      </c>
      <c r="D11294" s="9" t="s">
        <v>89</v>
      </c>
      <c r="E11294" s="6" t="s">
        <v>16628</v>
      </c>
      <c r="F11294" s="9"/>
    </row>
    <row r="11295" ht="33.75" customHeight="1">
      <c r="A11295" s="7">
        <v>481.0</v>
      </c>
      <c r="B11295" s="9" t="s">
        <v>16623</v>
      </c>
      <c r="C11295" s="9" t="s">
        <v>14112</v>
      </c>
      <c r="D11295" s="9" t="s">
        <v>91</v>
      </c>
      <c r="E11295" s="6" t="s">
        <v>16628</v>
      </c>
      <c r="F11295" s="9"/>
    </row>
    <row r="11296" ht="33.75" customHeight="1">
      <c r="A11296" s="7">
        <v>481.0</v>
      </c>
      <c r="B11296" s="9" t="s">
        <v>16623</v>
      </c>
      <c r="C11296" s="9" t="s">
        <v>14112</v>
      </c>
      <c r="D11296" s="9" t="s">
        <v>93</v>
      </c>
      <c r="E11296" s="6" t="s">
        <v>16629</v>
      </c>
      <c r="F11296" s="9"/>
    </row>
    <row r="11297" ht="33.75" customHeight="1">
      <c r="A11297" s="7">
        <v>481.0</v>
      </c>
      <c r="B11297" s="9" t="s">
        <v>16623</v>
      </c>
      <c r="C11297" s="9" t="s">
        <v>14112</v>
      </c>
      <c r="D11297" s="9" t="s">
        <v>95</v>
      </c>
      <c r="E11297" s="6" t="s">
        <v>16629</v>
      </c>
      <c r="F11297" s="9"/>
    </row>
    <row r="11298" ht="33.75" customHeight="1">
      <c r="A11298" s="7">
        <v>481.0</v>
      </c>
      <c r="B11298" s="9" t="s">
        <v>16623</v>
      </c>
      <c r="C11298" s="9" t="s">
        <v>14112</v>
      </c>
      <c r="D11298" s="9" t="s">
        <v>98</v>
      </c>
      <c r="E11298" s="6" t="s">
        <v>16629</v>
      </c>
      <c r="F11298" s="9"/>
    </row>
    <row r="11299" ht="33.75" customHeight="1">
      <c r="A11299" s="7">
        <v>481.0</v>
      </c>
      <c r="B11299" s="9" t="s">
        <v>16623</v>
      </c>
      <c r="C11299" s="9" t="s">
        <v>14112</v>
      </c>
      <c r="D11299" s="9" t="s">
        <v>99</v>
      </c>
      <c r="E11299" s="6" t="s">
        <v>16629</v>
      </c>
      <c r="F11299" s="9"/>
    </row>
    <row r="11300" ht="33.75" customHeight="1">
      <c r="A11300" s="7">
        <v>481.0</v>
      </c>
      <c r="B11300" s="9" t="s">
        <v>16623</v>
      </c>
      <c r="C11300" s="9" t="s">
        <v>14112</v>
      </c>
      <c r="D11300" s="9" t="s">
        <v>101</v>
      </c>
      <c r="E11300" s="6" t="s">
        <v>16624</v>
      </c>
      <c r="F11300" s="9"/>
    </row>
    <row r="11301" ht="33.75" customHeight="1">
      <c r="A11301" s="7">
        <v>481.0</v>
      </c>
      <c r="B11301" s="9" t="s">
        <v>16623</v>
      </c>
      <c r="C11301" s="9" t="s">
        <v>14112</v>
      </c>
      <c r="D11301" s="9" t="s">
        <v>105</v>
      </c>
      <c r="E11301" s="6" t="s">
        <v>16625</v>
      </c>
      <c r="F11301" s="9"/>
    </row>
    <row r="11302" ht="33.75" customHeight="1">
      <c r="A11302" s="7">
        <v>481.0</v>
      </c>
      <c r="B11302" s="9" t="s">
        <v>16623</v>
      </c>
      <c r="C11302" s="9" t="s">
        <v>14112</v>
      </c>
      <c r="D11302" s="9" t="s">
        <v>107</v>
      </c>
      <c r="E11302" s="6" t="s">
        <v>16624</v>
      </c>
      <c r="F11302" s="9"/>
    </row>
    <row r="11303" ht="33.75" customHeight="1">
      <c r="A11303" s="7">
        <v>481.0</v>
      </c>
      <c r="B11303" s="9" t="s">
        <v>16623</v>
      </c>
      <c r="C11303" s="9" t="s">
        <v>14112</v>
      </c>
      <c r="D11303" s="9" t="s">
        <v>109</v>
      </c>
      <c r="E11303" s="6" t="s">
        <v>16625</v>
      </c>
      <c r="F11303" s="9"/>
    </row>
    <row r="11304" ht="33.75" customHeight="1">
      <c r="A11304" s="7">
        <v>481.0</v>
      </c>
      <c r="B11304" s="9" t="s">
        <v>16623</v>
      </c>
      <c r="C11304" s="9" t="s">
        <v>14112</v>
      </c>
      <c r="D11304" s="9" t="s">
        <v>1577</v>
      </c>
      <c r="E11304" s="6" t="s">
        <v>16630</v>
      </c>
      <c r="F11304" s="9"/>
    </row>
    <row r="11305" ht="33.75" customHeight="1">
      <c r="A11305" s="7">
        <v>482.0</v>
      </c>
      <c r="B11305" s="9" t="s">
        <v>16631</v>
      </c>
      <c r="C11305" s="9" t="s">
        <v>16632</v>
      </c>
      <c r="D11305" s="9" t="s">
        <v>81</v>
      </c>
      <c r="E11305" s="6" t="s">
        <v>16633</v>
      </c>
      <c r="F11305" t="inlineStr" s="10">
        <is>
          <t xml:space="preserve">Tunnetaan nimellä "Tahdonvoiman olento". Se nukkuu järven pohjassa pitääkseen maailman tasapainossa. Uskotaan, että UXIE, MESPRIT ja AZELF ovat kaikki peräisin samasta munasta. Kun AZELF lensi, ihmiset saivat päättäväisyyttä tehdä asioita. Se oli tahdonvoiman synty. Tämän Pokémonin sanotaan antaneen ihmisille päättäväisyyden kohdata kaikki elämän vaikeudet. Se oli tahdonvoiman syntymä. Uskotaan, että Uxie, Mesprit ja Azelf polveutuivat kaikki samasta munasta. Pelätty tahdonvoiman olento. Legendat kertovat tästä Pokémonista, joka manipuloi vastustajiensa tahtoa ja muuttaa heidät omiksi nukeikseen.</t>
        </is>
      </c>
    </row>
    <row r="11306" ht="33.75" customHeight="1">
      <c r="A11306" s="7">
        <v>482.0</v>
      </c>
      <c r="B11306" s="9" t="s">
        <v>16631</v>
      </c>
      <c r="C11306" s="9" t="s">
        <v>16632</v>
      </c>
      <c r="D11306" s="9" t="s">
        <v>84</v>
      </c>
      <c r="E11306" s="6" t="s">
        <v>16635</v>
      </c>
      <c r="F11306" s="9"/>
    </row>
    <row r="11307" ht="33.75" customHeight="1">
      <c r="A11307" s="7">
        <v>482.0</v>
      </c>
      <c r="B11307" s="9" t="s">
        <v>16631</v>
      </c>
      <c r="C11307" s="9" t="s">
        <v>16632</v>
      </c>
      <c r="D11307" s="9" t="s">
        <v>87</v>
      </c>
      <c r="E11307" s="6" t="s">
        <v>16636</v>
      </c>
      <c r="F11307" s="9"/>
    </row>
    <row r="11308" ht="33.75" customHeight="1">
      <c r="A11308" s="7">
        <v>482.0</v>
      </c>
      <c r="B11308" s="9" t="s">
        <v>16631</v>
      </c>
      <c r="C11308" s="9" t="s">
        <v>16632</v>
      </c>
      <c r="D11308" s="9" t="s">
        <v>89</v>
      </c>
      <c r="E11308" s="6" t="s">
        <v>16637</v>
      </c>
      <c r="F11308" s="9"/>
    </row>
    <row r="11309" ht="33.75" customHeight="1">
      <c r="A11309" s="7">
        <v>482.0</v>
      </c>
      <c r="B11309" s="9" t="s">
        <v>16631</v>
      </c>
      <c r="C11309" s="9" t="s">
        <v>16632</v>
      </c>
      <c r="D11309" s="9" t="s">
        <v>91</v>
      </c>
      <c r="E11309" s="6" t="s">
        <v>16637</v>
      </c>
      <c r="F11309" s="9"/>
    </row>
    <row r="11310" ht="33.75" customHeight="1">
      <c r="A11310" s="7">
        <v>482.0</v>
      </c>
      <c r="B11310" s="9" t="s">
        <v>16631</v>
      </c>
      <c r="C11310" s="9" t="s">
        <v>16632</v>
      </c>
      <c r="D11310" s="9" t="s">
        <v>93</v>
      </c>
      <c r="E11310" s="6" t="s">
        <v>16638</v>
      </c>
      <c r="F11310" s="9"/>
    </row>
    <row r="11311" ht="33.75" customHeight="1">
      <c r="A11311" s="7">
        <v>482.0</v>
      </c>
      <c r="B11311" s="9" t="s">
        <v>16631</v>
      </c>
      <c r="C11311" s="9" t="s">
        <v>16632</v>
      </c>
      <c r="D11311" s="9" t="s">
        <v>95</v>
      </c>
      <c r="E11311" s="6" t="s">
        <v>16638</v>
      </c>
      <c r="F11311" s="9"/>
    </row>
    <row r="11312" ht="33.75" customHeight="1">
      <c r="A11312" s="7">
        <v>482.0</v>
      </c>
      <c r="B11312" s="9" t="s">
        <v>16631</v>
      </c>
      <c r="C11312" s="9" t="s">
        <v>16632</v>
      </c>
      <c r="D11312" s="9" t="s">
        <v>98</v>
      </c>
      <c r="E11312" s="6" t="s">
        <v>16638</v>
      </c>
      <c r="F11312" s="9"/>
    </row>
    <row r="11313" ht="33.75" customHeight="1">
      <c r="A11313" s="7">
        <v>482.0</v>
      </c>
      <c r="B11313" s="9" t="s">
        <v>16631</v>
      </c>
      <c r="C11313" s="9" t="s">
        <v>16632</v>
      </c>
      <c r="D11313" s="9" t="s">
        <v>99</v>
      </c>
      <c r="E11313" s="6" t="s">
        <v>16638</v>
      </c>
      <c r="F11313" s="9"/>
    </row>
    <row r="11314" ht="33.75" customHeight="1">
      <c r="A11314" s="7">
        <v>482.0</v>
      </c>
      <c r="B11314" s="9" t="s">
        <v>16631</v>
      </c>
      <c r="C11314" s="9" t="s">
        <v>16632</v>
      </c>
      <c r="D11314" s="9" t="s">
        <v>101</v>
      </c>
      <c r="E11314" s="6" t="s">
        <v>16633</v>
      </c>
      <c r="F11314" s="9"/>
    </row>
    <row r="11315" ht="33.75" customHeight="1">
      <c r="A11315" s="7">
        <v>482.0</v>
      </c>
      <c r="B11315" s="9" t="s">
        <v>16631</v>
      </c>
      <c r="C11315" s="9" t="s">
        <v>16632</v>
      </c>
      <c r="D11315" s="9" t="s">
        <v>105</v>
      </c>
      <c r="E11315" s="6" t="s">
        <v>16639</v>
      </c>
      <c r="F11315" s="9"/>
    </row>
    <row r="11316" ht="33.75" customHeight="1">
      <c r="A11316" s="7">
        <v>482.0</v>
      </c>
      <c r="B11316" s="9" t="s">
        <v>16631</v>
      </c>
      <c r="C11316" s="9" t="s">
        <v>16632</v>
      </c>
      <c r="D11316" s="9" t="s">
        <v>107</v>
      </c>
      <c r="E11316" s="6" t="s">
        <v>16633</v>
      </c>
      <c r="F11316" s="9"/>
    </row>
    <row r="11317" ht="33.75" customHeight="1">
      <c r="A11317" s="7">
        <v>482.0</v>
      </c>
      <c r="B11317" s="9" t="s">
        <v>16631</v>
      </c>
      <c r="C11317" s="9" t="s">
        <v>16632</v>
      </c>
      <c r="D11317" s="9" t="s">
        <v>109</v>
      </c>
      <c r="E11317" s="6" t="s">
        <v>16639</v>
      </c>
      <c r="F11317" s="9"/>
    </row>
    <row r="11318" ht="33.75" customHeight="1">
      <c r="A11318" s="7">
        <v>482.0</v>
      </c>
      <c r="B11318" s="9" t="s">
        <v>16631</v>
      </c>
      <c r="C11318" s="9" t="s">
        <v>16632</v>
      </c>
      <c r="D11318" s="9" t="s">
        <v>1577</v>
      </c>
      <c r="E11318" s="6" t="s">
        <v>16640</v>
      </c>
      <c r="F11318" s="9"/>
    </row>
    <row r="11319" ht="33.75" customHeight="1">
      <c r="A11319" s="7">
        <v>483.0</v>
      </c>
      <c r="B11319" s="9" t="s">
        <v>16641</v>
      </c>
      <c r="C11319" s="9" t="s">
        <v>16643</v>
      </c>
      <c r="D11319" s="9" t="s">
        <v>81</v>
      </c>
      <c r="E11319" s="6" t="s">
        <v>16644</v>
      </c>
      <c r="F11319" t="inlineStr" s="10">
        <is>
          <t xml:space="preserve">Sillä on voima hallita aikaa. Se esiintyy Sinnoh-alueen myyteissä muinaisena jumaluutena. Legendaarinen Pokémon. Sanotaan, että aika alkoi kulua DIALGAn syntyessä. Legendaarinen Sinnohin Pokémon. Sanotaan, että aika virtaa DIALGAn sydämen lyödessä. Tämä Pokémon hallitsee täysin ajan kulkua. Se käyttää voimiaan matkustaakseen mielensä mukaan menneisyyden ja tulevaisuuden halki. Kerrotaan, että aika alkoi kulua Dialgan syntymästä. Tätä Pokémonia kunnioitetaan jumaluutena Hisuian legendoissa. Dialgan syntymä sai valtavan aikavirran virtaamaan maailmassamme.</t>
        </is>
      </c>
    </row>
    <row r="11320" ht="33.75" customHeight="1">
      <c r="A11320" s="7">
        <v>483.0</v>
      </c>
      <c r="B11320" s="9" t="s">
        <v>16641</v>
      </c>
      <c r="C11320" s="9" t="s">
        <v>16643</v>
      </c>
      <c r="D11320" s="9" t="s">
        <v>84</v>
      </c>
      <c r="E11320" s="6" t="s">
        <v>16645</v>
      </c>
      <c r="F11320" s="9"/>
    </row>
    <row r="11321" ht="33.75" customHeight="1">
      <c r="A11321" s="7">
        <v>483.0</v>
      </c>
      <c r="B11321" s="9" t="s">
        <v>16641</v>
      </c>
      <c r="C11321" s="9" t="s">
        <v>16643</v>
      </c>
      <c r="D11321" s="9" t="s">
        <v>87</v>
      </c>
      <c r="E11321" s="6" t="s">
        <v>16646</v>
      </c>
      <c r="F11321" s="9"/>
    </row>
    <row r="11322" ht="33.75" customHeight="1">
      <c r="A11322" s="7">
        <v>483.0</v>
      </c>
      <c r="B11322" s="9" t="s">
        <v>16641</v>
      </c>
      <c r="C11322" s="9" t="s">
        <v>16643</v>
      </c>
      <c r="D11322" s="9" t="s">
        <v>89</v>
      </c>
      <c r="E11322" s="6" t="s">
        <v>16647</v>
      </c>
      <c r="F11322" s="9"/>
    </row>
    <row r="11323" ht="33.75" customHeight="1">
      <c r="A11323" s="7">
        <v>483.0</v>
      </c>
      <c r="B11323" s="9" t="s">
        <v>16641</v>
      </c>
      <c r="C11323" s="9" t="s">
        <v>16643</v>
      </c>
      <c r="D11323" s="9" t="s">
        <v>91</v>
      </c>
      <c r="E11323" s="6" t="s">
        <v>16647</v>
      </c>
      <c r="F11323" s="9"/>
    </row>
    <row r="11324" ht="33.75" customHeight="1">
      <c r="A11324" s="7">
        <v>483.0</v>
      </c>
      <c r="B11324" s="9" t="s">
        <v>16641</v>
      </c>
      <c r="C11324" s="9" t="s">
        <v>16643</v>
      </c>
      <c r="D11324" s="9" t="s">
        <v>93</v>
      </c>
      <c r="E11324" s="6" t="s">
        <v>16648</v>
      </c>
      <c r="F11324" s="9"/>
    </row>
    <row r="11325" ht="33.75" customHeight="1">
      <c r="A11325" s="7">
        <v>483.0</v>
      </c>
      <c r="B11325" s="9" t="s">
        <v>16641</v>
      </c>
      <c r="C11325" s="9" t="s">
        <v>16643</v>
      </c>
      <c r="D11325" s="9" t="s">
        <v>95</v>
      </c>
      <c r="E11325" s="6" t="s">
        <v>16648</v>
      </c>
      <c r="F11325" s="9"/>
    </row>
    <row r="11326" ht="33.75" customHeight="1">
      <c r="A11326" s="7">
        <v>483.0</v>
      </c>
      <c r="B11326" s="9" t="s">
        <v>16641</v>
      </c>
      <c r="C11326" s="9" t="s">
        <v>16643</v>
      </c>
      <c r="D11326" s="9" t="s">
        <v>98</v>
      </c>
      <c r="E11326" s="6" t="s">
        <v>16648</v>
      </c>
      <c r="F11326" s="9"/>
    </row>
    <row r="11327" ht="33.75" customHeight="1">
      <c r="A11327" s="7">
        <v>483.0</v>
      </c>
      <c r="B11327" s="9" t="s">
        <v>16641</v>
      </c>
      <c r="C11327" s="9" t="s">
        <v>16643</v>
      </c>
      <c r="D11327" s="9" t="s">
        <v>99</v>
      </c>
      <c r="E11327" s="6" t="s">
        <v>16648</v>
      </c>
      <c r="F11327" s="9"/>
    </row>
    <row r="11328" ht="33.75" customHeight="1">
      <c r="A11328" s="7">
        <v>483.0</v>
      </c>
      <c r="B11328" s="9" t="s">
        <v>16641</v>
      </c>
      <c r="C11328" s="9" t="s">
        <v>16643</v>
      </c>
      <c r="D11328" s="9" t="s">
        <v>101</v>
      </c>
      <c r="E11328" s="6" t="s">
        <v>16649</v>
      </c>
      <c r="F11328" s="9"/>
    </row>
    <row r="11329" ht="33.75" customHeight="1">
      <c r="A11329" s="7">
        <v>483.0</v>
      </c>
      <c r="B11329" s="9" t="s">
        <v>16641</v>
      </c>
      <c r="C11329" s="9" t="s">
        <v>16643</v>
      </c>
      <c r="D11329" s="9" t="s">
        <v>105</v>
      </c>
      <c r="E11329" s="6" t="s">
        <v>16644</v>
      </c>
      <c r="F11329" s="9"/>
    </row>
    <row r="11330" ht="33.75" customHeight="1">
      <c r="A11330" s="7">
        <v>483.0</v>
      </c>
      <c r="B11330" s="9" t="s">
        <v>16641</v>
      </c>
      <c r="C11330" s="9" t="s">
        <v>16643</v>
      </c>
      <c r="D11330" s="9" t="s">
        <v>107</v>
      </c>
      <c r="E11330" s="6" t="s">
        <v>16649</v>
      </c>
      <c r="F11330" s="9"/>
    </row>
    <row r="11331" ht="33.75" customHeight="1">
      <c r="A11331" s="7">
        <v>483.0</v>
      </c>
      <c r="B11331" s="9" t="s">
        <v>16641</v>
      </c>
      <c r="C11331" s="9" t="s">
        <v>16643</v>
      </c>
      <c r="D11331" s="9" t="s">
        <v>109</v>
      </c>
      <c r="E11331" s="6" t="s">
        <v>16644</v>
      </c>
      <c r="F11331" s="9"/>
    </row>
    <row r="11332" ht="33.75" customHeight="1">
      <c r="A11332" s="7">
        <v>483.0</v>
      </c>
      <c r="B11332" s="9" t="s">
        <v>16641</v>
      </c>
      <c r="C11332" s="9" t="s">
        <v>16643</v>
      </c>
      <c r="D11332" s="9" t="s">
        <v>1577</v>
      </c>
      <c r="E11332" s="6" t="s">
        <v>16650</v>
      </c>
      <c r="F11332" s="9"/>
    </row>
    <row r="11333" ht="33.75" customHeight="1">
      <c r="A11333" s="7">
        <v>484.0</v>
      </c>
      <c r="B11333" s="9" t="s">
        <v>16651</v>
      </c>
      <c r="C11333" s="9" t="s">
        <v>16652</v>
      </c>
      <c r="D11333" s="9" t="s">
        <v>81</v>
      </c>
      <c r="E11333" s="6" t="s">
        <v>16653</v>
      </c>
      <c r="F11333" t="inlineStr" s="10">
        <is>
          <t xml:space="preserve">Sillä on kyky vääristää avaruutta. Sitä kuvataan jumaluudeksi Sinnoh-alueen mytologiassa. Sen sanotaan elävän meidän ulottuvuutemme kanssa rinnakkaisessa avaruudellisessa raossa. Se esiintyy mytologiassa. Legendaarinen Sinnohin Pokémon. Sanotaan, että avaruudesta tulee vakaampi PALKIAn jokaisella hengenvedolla. Sen täydellinen hallinta avaruuden rajojen yli mahdollistaa sen kuljettamisen kaukaisiin paikkoihin tai jopa muihin ulottuvuuksiin. Tätä Pokémonia pelätään jumaluutena Hisuian legendoissa. Palkian syntymä aiheutti maailmamme muurien katoamisen ja loi äärettömyyteen ulottuvan taivaan.</t>
        </is>
      </c>
    </row>
    <row r="11334" ht="33.75" customHeight="1">
      <c r="A11334" s="7">
        <v>484.0</v>
      </c>
      <c r="B11334" s="9" t="s">
        <v>16651</v>
      </c>
      <c r="C11334" s="9" t="s">
        <v>16652</v>
      </c>
      <c r="D11334" s="9" t="s">
        <v>84</v>
      </c>
      <c r="E11334" s="6" t="s">
        <v>16654</v>
      </c>
      <c r="F11334" s="9"/>
    </row>
    <row r="11335" ht="33.75" customHeight="1">
      <c r="A11335" s="7">
        <v>484.0</v>
      </c>
      <c r="B11335" s="9" t="s">
        <v>16651</v>
      </c>
      <c r="C11335" s="9" t="s">
        <v>16652</v>
      </c>
      <c r="D11335" s="9" t="s">
        <v>87</v>
      </c>
      <c r="E11335" s="6" t="s">
        <v>16655</v>
      </c>
      <c r="F11335" s="9"/>
    </row>
    <row r="11336" ht="33.75" customHeight="1">
      <c r="A11336" s="7">
        <v>484.0</v>
      </c>
      <c r="B11336" s="9" t="s">
        <v>16651</v>
      </c>
      <c r="C11336" s="9" t="s">
        <v>16652</v>
      </c>
      <c r="D11336" s="9" t="s">
        <v>89</v>
      </c>
      <c r="E11336" s="6" t="s">
        <v>16657</v>
      </c>
      <c r="F11336" s="9"/>
    </row>
    <row r="11337" ht="33.75" customHeight="1">
      <c r="A11337" s="7">
        <v>484.0</v>
      </c>
      <c r="B11337" s="9" t="s">
        <v>16651</v>
      </c>
      <c r="C11337" s="9" t="s">
        <v>16652</v>
      </c>
      <c r="D11337" s="9" t="s">
        <v>91</v>
      </c>
      <c r="E11337" s="6" t="s">
        <v>16657</v>
      </c>
      <c r="F11337" s="9"/>
    </row>
    <row r="11338" ht="33.75" customHeight="1">
      <c r="A11338" s="7">
        <v>484.0</v>
      </c>
      <c r="B11338" s="9" t="s">
        <v>16651</v>
      </c>
      <c r="C11338" s="9" t="s">
        <v>16652</v>
      </c>
      <c r="D11338" s="9" t="s">
        <v>93</v>
      </c>
      <c r="E11338" s="6" t="s">
        <v>16658</v>
      </c>
      <c r="F11338" s="9"/>
    </row>
    <row r="11339" ht="33.75" customHeight="1">
      <c r="A11339" s="7">
        <v>484.0</v>
      </c>
      <c r="B11339" s="9" t="s">
        <v>16651</v>
      </c>
      <c r="C11339" s="9" t="s">
        <v>16652</v>
      </c>
      <c r="D11339" s="9" t="s">
        <v>95</v>
      </c>
      <c r="E11339" s="6" t="s">
        <v>16658</v>
      </c>
      <c r="F11339" s="9"/>
    </row>
    <row r="11340" ht="33.75" customHeight="1">
      <c r="A11340" s="7">
        <v>484.0</v>
      </c>
      <c r="B11340" s="9" t="s">
        <v>16651</v>
      </c>
      <c r="C11340" s="9" t="s">
        <v>16652</v>
      </c>
      <c r="D11340" s="9" t="s">
        <v>98</v>
      </c>
      <c r="E11340" s="6" t="s">
        <v>16658</v>
      </c>
      <c r="F11340" s="9"/>
    </row>
    <row r="11341" ht="33.75" customHeight="1">
      <c r="A11341" s="7">
        <v>484.0</v>
      </c>
      <c r="B11341" s="9" t="s">
        <v>16651</v>
      </c>
      <c r="C11341" s="9" t="s">
        <v>16652</v>
      </c>
      <c r="D11341" s="9" t="s">
        <v>99</v>
      </c>
      <c r="E11341" s="6" t="s">
        <v>16658</v>
      </c>
      <c r="F11341" s="9"/>
    </row>
    <row r="11342" ht="33.75" customHeight="1">
      <c r="A11342" s="7">
        <v>484.0</v>
      </c>
      <c r="B11342" s="9" t="s">
        <v>16651</v>
      </c>
      <c r="C11342" s="9" t="s">
        <v>16652</v>
      </c>
      <c r="D11342" s="9" t="s">
        <v>101</v>
      </c>
      <c r="E11342" s="6" t="s">
        <v>16654</v>
      </c>
      <c r="F11342" s="9"/>
    </row>
    <row r="11343" ht="33.75" customHeight="1">
      <c r="A11343" s="7">
        <v>484.0</v>
      </c>
      <c r="B11343" s="9" t="s">
        <v>16651</v>
      </c>
      <c r="C11343" s="9" t="s">
        <v>16652</v>
      </c>
      <c r="D11343" s="9" t="s">
        <v>105</v>
      </c>
      <c r="E11343" s="6" t="s">
        <v>16653</v>
      </c>
      <c r="F11343" s="9"/>
    </row>
    <row r="11344" ht="33.75" customHeight="1">
      <c r="A11344" s="7">
        <v>484.0</v>
      </c>
      <c r="B11344" s="9" t="s">
        <v>16651</v>
      </c>
      <c r="C11344" s="9" t="s">
        <v>16652</v>
      </c>
      <c r="D11344" s="9" t="s">
        <v>107</v>
      </c>
      <c r="E11344" s="6" t="s">
        <v>16654</v>
      </c>
      <c r="F11344" s="9"/>
    </row>
    <row r="11345" ht="33.75" customHeight="1">
      <c r="A11345" s="7">
        <v>484.0</v>
      </c>
      <c r="B11345" s="9" t="s">
        <v>16651</v>
      </c>
      <c r="C11345" s="9" t="s">
        <v>16652</v>
      </c>
      <c r="D11345" s="9" t="s">
        <v>109</v>
      </c>
      <c r="E11345" s="6" t="s">
        <v>16653</v>
      </c>
      <c r="F11345" s="9"/>
    </row>
    <row r="11346" ht="33.75" customHeight="1">
      <c r="A11346" s="7">
        <v>484.0</v>
      </c>
      <c r="B11346" s="9" t="s">
        <v>16651</v>
      </c>
      <c r="C11346" s="9" t="s">
        <v>16652</v>
      </c>
      <c r="D11346" s="9" t="s">
        <v>1577</v>
      </c>
      <c r="E11346" s="6" t="s">
        <v>16660</v>
      </c>
      <c r="F11346" s="9"/>
    </row>
    <row r="11347" ht="33.75" customHeight="1">
      <c r="A11347" s="7">
        <v>485.0</v>
      </c>
      <c r="B11347" s="9" t="s">
        <v>16661</v>
      </c>
      <c r="C11347" s="9" t="s">
        <v>16662</v>
      </c>
      <c r="D11347" s="9" t="s">
        <v>81</v>
      </c>
      <c r="E11347" s="6" t="s">
        <v>16663</v>
      </c>
      <c r="F11347" t="inlineStr" s="10">
        <is>
          <t xml:space="preserve">Heatran asuu tulivuorenpurkausten luolissa. Se kaivautuu ristinmuotoisilla jaloillaan katoissa ja seinillä ryömimään. Sen runko on valmistettu kestävästä teräksestä. Se on kuitenkin paikoin sulanut oman lämmön vaikutuksesta. Kiehuva veri, kuten magma, kiertää sen kehossa. Se tekee asuinpaikkansa tulivuorenluolissa. Tarinoiden mukaan tämä Pokémon syntyi kiehuvasta magmasta Mount Coronetin sisällä. Sen sulasta teräksestä valmistettu ruumis kätkee sisäänsä monia mysteerejä.</t>
        </is>
      </c>
    </row>
    <row r="11348" ht="33.75" customHeight="1">
      <c r="A11348" s="7">
        <v>485.0</v>
      </c>
      <c r="B11348" s="9" t="s">
        <v>16661</v>
      </c>
      <c r="C11348" s="9" t="s">
        <v>16662</v>
      </c>
      <c r="D11348" s="9" t="s">
        <v>84</v>
      </c>
      <c r="E11348" s="6" t="s">
        <v>16663</v>
      </c>
      <c r="F11348" s="9"/>
    </row>
    <row r="11349" ht="33.75" customHeight="1">
      <c r="A11349" s="7">
        <v>485.0</v>
      </c>
      <c r="B11349" s="9" t="s">
        <v>16661</v>
      </c>
      <c r="C11349" s="9" t="s">
        <v>16662</v>
      </c>
      <c r="D11349" s="9" t="s">
        <v>87</v>
      </c>
      <c r="E11349" s="6" t="s">
        <v>16664</v>
      </c>
      <c r="F11349" s="9"/>
    </row>
    <row r="11350" ht="33.75" customHeight="1">
      <c r="A11350" s="7">
        <v>485.0</v>
      </c>
      <c r="B11350" s="9" t="s">
        <v>16661</v>
      </c>
      <c r="C11350" s="9" t="s">
        <v>16662</v>
      </c>
      <c r="D11350" s="9" t="s">
        <v>89</v>
      </c>
      <c r="E11350" s="6" t="s">
        <v>16665</v>
      </c>
      <c r="F11350" s="9"/>
    </row>
    <row r="11351" ht="33.75" customHeight="1">
      <c r="A11351" s="7">
        <v>485.0</v>
      </c>
      <c r="B11351" s="9" t="s">
        <v>16661</v>
      </c>
      <c r="C11351" s="9" t="s">
        <v>16662</v>
      </c>
      <c r="D11351" s="9" t="s">
        <v>91</v>
      </c>
      <c r="E11351" s="6" t="s">
        <v>16665</v>
      </c>
      <c r="F11351" s="9"/>
    </row>
    <row r="11352" ht="33.75" customHeight="1">
      <c r="A11352" s="7">
        <v>485.0</v>
      </c>
      <c r="B11352" s="9" t="s">
        <v>16661</v>
      </c>
      <c r="C11352" s="9" t="s">
        <v>16662</v>
      </c>
      <c r="D11352" s="9" t="s">
        <v>93</v>
      </c>
      <c r="E11352" s="6" t="s">
        <v>16664</v>
      </c>
      <c r="F11352" s="9"/>
    </row>
    <row r="11353" ht="33.75" customHeight="1">
      <c r="A11353" s="7">
        <v>485.0</v>
      </c>
      <c r="B11353" s="9" t="s">
        <v>16661</v>
      </c>
      <c r="C11353" s="9" t="s">
        <v>16662</v>
      </c>
      <c r="D11353" s="9" t="s">
        <v>95</v>
      </c>
      <c r="E11353" s="6" t="s">
        <v>16664</v>
      </c>
      <c r="F11353" s="9"/>
    </row>
    <row r="11354" ht="33.75" customHeight="1">
      <c r="A11354" s="7">
        <v>485.0</v>
      </c>
      <c r="B11354" s="9" t="s">
        <v>16661</v>
      </c>
      <c r="C11354" s="9" t="s">
        <v>16662</v>
      </c>
      <c r="D11354" s="9" t="s">
        <v>98</v>
      </c>
      <c r="E11354" s="6" t="s">
        <v>16664</v>
      </c>
      <c r="F11354" s="9"/>
    </row>
    <row r="11355" ht="33.75" customHeight="1">
      <c r="A11355" s="7">
        <v>485.0</v>
      </c>
      <c r="B11355" s="9" t="s">
        <v>16661</v>
      </c>
      <c r="C11355" s="9" t="s">
        <v>16662</v>
      </c>
      <c r="D11355" s="9" t="s">
        <v>99</v>
      </c>
      <c r="E11355" s="6" t="s">
        <v>16664</v>
      </c>
      <c r="F11355" s="9"/>
    </row>
    <row r="11356" ht="33.75" customHeight="1">
      <c r="A11356" s="7">
        <v>485.0</v>
      </c>
      <c r="B11356" s="9" t="s">
        <v>16661</v>
      </c>
      <c r="C11356" s="9" t="s">
        <v>16662</v>
      </c>
      <c r="D11356" s="9" t="s">
        <v>101</v>
      </c>
      <c r="E11356" s="6" t="s">
        <v>16663</v>
      </c>
      <c r="F11356" s="9"/>
    </row>
    <row r="11357" ht="33.75" customHeight="1">
      <c r="A11357" s="7">
        <v>485.0</v>
      </c>
      <c r="B11357" s="9" t="s">
        <v>16661</v>
      </c>
      <c r="C11357" s="9" t="s">
        <v>16662</v>
      </c>
      <c r="D11357" s="9" t="s">
        <v>105</v>
      </c>
      <c r="E11357" s="6" t="s">
        <v>16665</v>
      </c>
      <c r="F11357" s="9"/>
    </row>
    <row r="11358" ht="33.75" customHeight="1">
      <c r="A11358" s="7">
        <v>485.0</v>
      </c>
      <c r="B11358" s="9" t="s">
        <v>16661</v>
      </c>
      <c r="C11358" s="9" t="s">
        <v>16662</v>
      </c>
      <c r="D11358" s="9" t="s">
        <v>107</v>
      </c>
      <c r="E11358" s="6" t="s">
        <v>16663</v>
      </c>
      <c r="F11358" s="9"/>
    </row>
    <row r="11359" ht="33.75" customHeight="1">
      <c r="A11359" s="7">
        <v>485.0</v>
      </c>
      <c r="B11359" s="9" t="s">
        <v>16661</v>
      </c>
      <c r="C11359" s="9" t="s">
        <v>16662</v>
      </c>
      <c r="D11359" s="9" t="s">
        <v>109</v>
      </c>
      <c r="E11359" s="6" t="s">
        <v>16665</v>
      </c>
      <c r="F11359" s="9"/>
    </row>
    <row r="11360" ht="33.75" customHeight="1">
      <c r="A11360" s="7">
        <v>485.0</v>
      </c>
      <c r="B11360" s="9" t="s">
        <v>16661</v>
      </c>
      <c r="C11360" s="9" t="s">
        <v>16662</v>
      </c>
      <c r="D11360" s="9" t="s">
        <v>1577</v>
      </c>
      <c r="E11360" s="6" t="s">
        <v>16667</v>
      </c>
      <c r="F11360" s="9"/>
    </row>
    <row r="11361" ht="33.75" customHeight="1">
      <c r="A11361" s="7">
        <v>486.0</v>
      </c>
      <c r="B11361" s="9" t="s">
        <v>16668</v>
      </c>
      <c r="C11361" s="9" t="s">
        <v>16669</v>
      </c>
      <c r="D11361" s="9" t="s">
        <v>81</v>
      </c>
      <c r="E11361" s="6" t="s">
        <v>16670</v>
      </c>
      <c r="F11361" t="inlineStr" s="10">
        <is>
          <t xml:space="preserve">On olemassa pysyvä legenda, jonka mukaan tämä Pokémon hinasi mantereita köysillä. Sen sanotaan tehneen itsensä näköisiä Pokémoneja erityisestä jäävuoresta, kivistä ja magmasta. Sen uskotaan muovanneen REGIROCKin, REGICEn ja REGISTEELIN savesta, jäästä ja magmasta. Ympäri maailmaa liikkuu legendoja, jotka kertovat Regigigasista, joka loi muita Pokémoneja omaksi kuvakseen. Sanotaan, että Regigigas loi muita Pokémoneja monista eri materiaaleista ennen kuin se siirsi mantereet nykyiseen sijaintiinsa. Legendan mukaan Regigigas veti maamassoja yhteen ja sitoi ne köydellä luodakseen Hisui-mantereen. Vaikka minulla on epäilykseni, tarinassa saattaa hyvinkin olla ripaus totuutta.</t>
        </is>
      </c>
    </row>
    <row r="11362" ht="33.75" customHeight="1">
      <c r="A11362" s="7">
        <v>486.0</v>
      </c>
      <c r="B11362" s="9" t="s">
        <v>16668</v>
      </c>
      <c r="C11362" s="9" t="s">
        <v>16669</v>
      </c>
      <c r="D11362" s="9" t="s">
        <v>84</v>
      </c>
      <c r="E11362" s="6" t="s">
        <v>16670</v>
      </c>
      <c r="F11362" s="9"/>
    </row>
    <row r="11363" ht="33.75" customHeight="1">
      <c r="A11363" s="7">
        <v>486.0</v>
      </c>
      <c r="B11363" s="9" t="s">
        <v>16668</v>
      </c>
      <c r="C11363" s="9" t="s">
        <v>16669</v>
      </c>
      <c r="D11363" s="9" t="s">
        <v>87</v>
      </c>
      <c r="E11363" s="6" t="s">
        <v>16671</v>
      </c>
      <c r="F11363" s="9"/>
    </row>
    <row r="11364" ht="33.75" customHeight="1">
      <c r="A11364" s="7">
        <v>486.0</v>
      </c>
      <c r="B11364" s="9" t="s">
        <v>16668</v>
      </c>
      <c r="C11364" s="9" t="s">
        <v>16669</v>
      </c>
      <c r="D11364" s="9" t="s">
        <v>89</v>
      </c>
      <c r="E11364" s="6" t="s">
        <v>16672</v>
      </c>
      <c r="F11364" s="9"/>
    </row>
    <row r="11365" ht="33.75" customHeight="1">
      <c r="A11365" s="7">
        <v>486.0</v>
      </c>
      <c r="B11365" s="9" t="s">
        <v>16668</v>
      </c>
      <c r="C11365" s="9" t="s">
        <v>16669</v>
      </c>
      <c r="D11365" s="9" t="s">
        <v>91</v>
      </c>
      <c r="E11365" s="6" t="s">
        <v>16672</v>
      </c>
      <c r="F11365" s="9"/>
    </row>
    <row r="11366" ht="33.75" customHeight="1">
      <c r="A11366" s="7">
        <v>486.0</v>
      </c>
      <c r="B11366" s="9" t="s">
        <v>16668</v>
      </c>
      <c r="C11366" s="9" t="s">
        <v>16669</v>
      </c>
      <c r="D11366" s="9" t="s">
        <v>93</v>
      </c>
      <c r="E11366" s="6" t="s">
        <v>16671</v>
      </c>
      <c r="F11366" s="9"/>
    </row>
    <row r="11367" ht="33.75" customHeight="1">
      <c r="A11367" s="7">
        <v>486.0</v>
      </c>
      <c r="B11367" s="9" t="s">
        <v>16668</v>
      </c>
      <c r="C11367" s="9" t="s">
        <v>16669</v>
      </c>
      <c r="D11367" s="9" t="s">
        <v>95</v>
      </c>
      <c r="E11367" s="6" t="s">
        <v>16671</v>
      </c>
      <c r="F11367" s="9"/>
    </row>
    <row r="11368" ht="33.75" customHeight="1">
      <c r="A11368" s="7">
        <v>486.0</v>
      </c>
      <c r="B11368" s="9" t="s">
        <v>16668</v>
      </c>
      <c r="C11368" s="9" t="s">
        <v>16669</v>
      </c>
      <c r="D11368" s="9" t="s">
        <v>98</v>
      </c>
      <c r="E11368" s="6" t="s">
        <v>16671</v>
      </c>
      <c r="F11368" s="9"/>
    </row>
    <row r="11369" ht="33.75" customHeight="1">
      <c r="A11369" s="7">
        <v>486.0</v>
      </c>
      <c r="B11369" s="9" t="s">
        <v>16668</v>
      </c>
      <c r="C11369" s="9" t="s">
        <v>16669</v>
      </c>
      <c r="D11369" s="9" t="s">
        <v>99</v>
      </c>
      <c r="E11369" s="6" t="s">
        <v>16671</v>
      </c>
      <c r="F11369" s="9"/>
    </row>
    <row r="11370" ht="33.75" customHeight="1">
      <c r="A11370" s="7">
        <v>486.0</v>
      </c>
      <c r="B11370" s="9" t="s">
        <v>16668</v>
      </c>
      <c r="C11370" s="9" t="s">
        <v>16669</v>
      </c>
      <c r="D11370" s="9" t="s">
        <v>101</v>
      </c>
      <c r="E11370" s="6" t="s">
        <v>16671</v>
      </c>
      <c r="F11370" s="9"/>
    </row>
    <row r="11371" ht="33.75" customHeight="1">
      <c r="A11371" s="7">
        <v>486.0</v>
      </c>
      <c r="B11371" s="9" t="s">
        <v>16668</v>
      </c>
      <c r="C11371" s="9" t="s">
        <v>16669</v>
      </c>
      <c r="D11371" s="9" t="s">
        <v>105</v>
      </c>
      <c r="E11371" s="6" t="s">
        <v>16670</v>
      </c>
      <c r="F11371" s="9"/>
    </row>
    <row r="11372" ht="33.75" customHeight="1">
      <c r="A11372" s="7">
        <v>486.0</v>
      </c>
      <c r="B11372" s="9" t="s">
        <v>16668</v>
      </c>
      <c r="C11372" s="9" t="s">
        <v>16669</v>
      </c>
      <c r="D11372" s="9" t="s">
        <v>107</v>
      </c>
      <c r="E11372" s="6" t="s">
        <v>16671</v>
      </c>
      <c r="F11372" s="9"/>
    </row>
    <row r="11373" ht="33.75" customHeight="1">
      <c r="A11373" s="7">
        <v>486.0</v>
      </c>
      <c r="B11373" s="9" t="s">
        <v>16668</v>
      </c>
      <c r="C11373" s="9" t="s">
        <v>16669</v>
      </c>
      <c r="D11373" s="9" t="s">
        <v>109</v>
      </c>
      <c r="E11373" s="6" t="s">
        <v>16670</v>
      </c>
      <c r="F11373" s="9"/>
    </row>
    <row r="11374" ht="33.75" customHeight="1">
      <c r="A11374" s="7">
        <v>486.0</v>
      </c>
      <c r="B11374" s="9" t="s">
        <v>16668</v>
      </c>
      <c r="C11374" s="9" t="s">
        <v>16669</v>
      </c>
      <c r="D11374" s="9" t="s">
        <v>114</v>
      </c>
      <c r="E11374" s="6" t="s">
        <v>16673</v>
      </c>
      <c r="F11374" s="9"/>
    </row>
    <row r="11375" ht="33.75" customHeight="1">
      <c r="A11375" s="7">
        <v>486.0</v>
      </c>
      <c r="B11375" s="9" t="s">
        <v>16668</v>
      </c>
      <c r="C11375" s="9" t="s">
        <v>16669</v>
      </c>
      <c r="D11375" s="9" t="s">
        <v>117</v>
      </c>
      <c r="E11375" s="6" t="s">
        <v>16674</v>
      </c>
      <c r="F11375" s="9"/>
    </row>
    <row r="11376" ht="33.75" customHeight="1">
      <c r="A11376" s="7">
        <v>486.0</v>
      </c>
      <c r="B11376" s="9" t="s">
        <v>16668</v>
      </c>
      <c r="C11376" s="9" t="s">
        <v>16669</v>
      </c>
      <c r="D11376" s="9" t="s">
        <v>1577</v>
      </c>
      <c r="E11376" s="6" t="s">
        <v>16675</v>
      </c>
      <c r="F11376" s="9"/>
    </row>
    <row r="11377" ht="33.75" customHeight="1">
      <c r="A11377" s="7">
        <v>487.0</v>
      </c>
      <c r="B11377" s="9" t="s">
        <v>16676</v>
      </c>
      <c r="C11377" s="9" t="s">
        <v>16677</v>
      </c>
      <c r="D11377" s="9" t="s">
        <v>81</v>
      </c>
      <c r="E11377" s="6" t="s">
        <v>16678</v>
      </c>
      <c r="F11377" t="inlineStr" s="10">
        <is>
          <t xml:space="preserve">Pokémon, jonka sanotaan elävän meidän puolemme toisella puolella olevassa maailmassa. Se ilmestyy muinaisella hautausmaalla. Se karkotettiin väkivaltaisuutensa vuoksi. Se katseli hiljaa vanhaa maailmaa Vääristymän maailmasta. Tämän Pokémonin sanotaan elävän meidän puolemme kääntöpuolella olevassa maailmassa, jossa yleistieto on vääristynyttä ja outoa. Yhdessä hisuilaisessa säkeessä kerrotaan voimakkaasta valosta, joka luo syvän varjon. Kuvittelen, että tämä syvä varjo on Giratina.</t>
        </is>
      </c>
    </row>
    <row r="11378" ht="33.75" customHeight="1">
      <c r="A11378" s="7">
        <v>487.0</v>
      </c>
      <c r="B11378" s="9" t="s">
        <v>16676</v>
      </c>
      <c r="C11378" s="9" t="s">
        <v>16677</v>
      </c>
      <c r="D11378" s="9" t="s">
        <v>84</v>
      </c>
      <c r="E11378" s="6" t="s">
        <v>16678</v>
      </c>
      <c r="F11378" s="9"/>
    </row>
    <row r="11379" ht="33.75" customHeight="1">
      <c r="A11379" s="7">
        <v>487.0</v>
      </c>
      <c r="B11379" s="9" t="s">
        <v>16676</v>
      </c>
      <c r="C11379" s="9" t="s">
        <v>16677</v>
      </c>
      <c r="D11379" s="9" t="s">
        <v>87</v>
      </c>
      <c r="E11379" s="6" t="s">
        <v>16680</v>
      </c>
      <c r="F11379" s="9"/>
    </row>
    <row r="11380" ht="33.75" customHeight="1">
      <c r="A11380" s="7">
        <v>487.0</v>
      </c>
      <c r="B11380" s="9" t="s">
        <v>16676</v>
      </c>
      <c r="C11380" s="9" t="s">
        <v>16677</v>
      </c>
      <c r="D11380" s="9" t="s">
        <v>89</v>
      </c>
      <c r="E11380" s="6" t="s">
        <v>16681</v>
      </c>
      <c r="F11380" s="9"/>
    </row>
    <row r="11381" ht="33.75" customHeight="1">
      <c r="A11381" s="7">
        <v>487.0</v>
      </c>
      <c r="B11381" s="9" t="s">
        <v>16676</v>
      </c>
      <c r="C11381" s="9" t="s">
        <v>16677</v>
      </c>
      <c r="D11381" s="9" t="s">
        <v>91</v>
      </c>
      <c r="E11381" s="6" t="s">
        <v>16681</v>
      </c>
      <c r="F11381" s="9"/>
    </row>
    <row r="11382" ht="33.75" customHeight="1">
      <c r="A11382" s="7">
        <v>487.0</v>
      </c>
      <c r="B11382" s="9" t="s">
        <v>16676</v>
      </c>
      <c r="C11382" s="9" t="s">
        <v>16677</v>
      </c>
      <c r="D11382" s="9" t="s">
        <v>93</v>
      </c>
      <c r="E11382" s="6" t="s">
        <v>16680</v>
      </c>
      <c r="F11382" s="9"/>
    </row>
    <row r="11383" ht="33.75" customHeight="1">
      <c r="A11383" s="7">
        <v>487.0</v>
      </c>
      <c r="B11383" s="9" t="s">
        <v>16676</v>
      </c>
      <c r="C11383" s="9" t="s">
        <v>16677</v>
      </c>
      <c r="D11383" s="9" t="s">
        <v>95</v>
      </c>
      <c r="E11383" s="6" t="s">
        <v>16680</v>
      </c>
      <c r="F11383" s="9"/>
    </row>
    <row r="11384" ht="33.75" customHeight="1">
      <c r="A11384" s="7">
        <v>487.0</v>
      </c>
      <c r="B11384" s="9" t="s">
        <v>16676</v>
      </c>
      <c r="C11384" s="9" t="s">
        <v>16677</v>
      </c>
      <c r="D11384" s="9" t="s">
        <v>98</v>
      </c>
      <c r="E11384" s="6" t="s">
        <v>16680</v>
      </c>
      <c r="F11384" s="9"/>
    </row>
    <row r="11385" ht="33.75" customHeight="1">
      <c r="A11385" s="7">
        <v>487.0</v>
      </c>
      <c r="B11385" s="9" t="s">
        <v>16676</v>
      </c>
      <c r="C11385" s="9" t="s">
        <v>16677</v>
      </c>
      <c r="D11385" s="9" t="s">
        <v>99</v>
      </c>
      <c r="E11385" s="6" t="s">
        <v>16680</v>
      </c>
      <c r="F11385" s="9"/>
    </row>
    <row r="11386" ht="33.75" customHeight="1">
      <c r="A11386" s="7">
        <v>487.0</v>
      </c>
      <c r="B11386" s="9" t="s">
        <v>16676</v>
      </c>
      <c r="C11386" s="9" t="s">
        <v>16677</v>
      </c>
      <c r="D11386" s="9" t="s">
        <v>101</v>
      </c>
      <c r="E11386" s="6" t="s">
        <v>16681</v>
      </c>
      <c r="F11386" s="9"/>
    </row>
    <row r="11387" ht="33.75" customHeight="1">
      <c r="A11387" s="7">
        <v>487.0</v>
      </c>
      <c r="B11387" s="9" t="s">
        <v>16676</v>
      </c>
      <c r="C11387" s="9" t="s">
        <v>16677</v>
      </c>
      <c r="D11387" s="9" t="s">
        <v>105</v>
      </c>
      <c r="E11387" s="6" t="s">
        <v>16680</v>
      </c>
      <c r="F11387" s="9"/>
    </row>
    <row r="11388" ht="33.75" customHeight="1">
      <c r="A11388" s="7">
        <v>487.0</v>
      </c>
      <c r="B11388" s="9" t="s">
        <v>16676</v>
      </c>
      <c r="C11388" s="9" t="s">
        <v>16677</v>
      </c>
      <c r="D11388" s="9" t="s">
        <v>107</v>
      </c>
      <c r="E11388" s="6" t="s">
        <v>16681</v>
      </c>
      <c r="F11388" s="9"/>
    </row>
    <row r="11389" ht="33.75" customHeight="1">
      <c r="A11389" s="7">
        <v>487.0</v>
      </c>
      <c r="B11389" s="9" t="s">
        <v>16676</v>
      </c>
      <c r="C11389" s="9" t="s">
        <v>16677</v>
      </c>
      <c r="D11389" s="9" t="s">
        <v>109</v>
      </c>
      <c r="E11389" s="6" t="s">
        <v>16680</v>
      </c>
      <c r="F11389" s="9"/>
    </row>
    <row r="11390" ht="33.75" customHeight="1">
      <c r="A11390" s="7">
        <v>487.0</v>
      </c>
      <c r="B11390" s="9" t="s">
        <v>16676</v>
      </c>
      <c r="C11390" s="9" t="s">
        <v>16677</v>
      </c>
      <c r="D11390" s="9" t="s">
        <v>1577</v>
      </c>
      <c r="E11390" s="6" t="s">
        <v>16682</v>
      </c>
      <c r="F11390" s="9"/>
    </row>
    <row r="11391" ht="33.75" customHeight="1">
      <c r="A11391" s="7">
        <v>488.0</v>
      </c>
      <c r="B11391" s="9" t="s">
        <v>16683</v>
      </c>
      <c r="C11391" s="9" t="s">
        <v>16684</v>
      </c>
      <c r="D11391" s="9" t="s">
        <v>81</v>
      </c>
      <c r="E11391" s="6" t="s">
        <v>16685</v>
      </c>
      <c r="F11391" t="inlineStr" s="10">
        <is>
          <t xml:space="preserve">Cresselian siivistä vapautuu kiiltäviä hiukkasia kuin huntu. Sen sanotaan edustavan kuunsirppiä. Neljänneskuun ympärysöinä sen pyrstöstä lähtevät revontulet ulottuvat ja aaltoilevat kauniisti. Ne, jotka nukkuvat CRESSELIAn höyhenen kanssa, näkevät varmasti iloisia unia. Ne, jotka nukkuvat Cresselian höyhen sylissä, näkevät varmasti iloisia unia. Cresselia muistuttaa kuunsirppiä. Se jättää jälkeensä kirkkaan valoviivan lentäessään yötaivaan halki. Uskallan väittää, että se muistuttaa Linnunradan luonutta taivaallista neitoa.</t>
        </is>
      </c>
    </row>
    <row r="11392" ht="33.75" customHeight="1">
      <c r="A11392" s="7">
        <v>488.0</v>
      </c>
      <c r="B11392" s="9" t="s">
        <v>16683</v>
      </c>
      <c r="C11392" s="9" t="s">
        <v>16684</v>
      </c>
      <c r="D11392" s="9" t="s">
        <v>84</v>
      </c>
      <c r="E11392" s="6" t="s">
        <v>16685</v>
      </c>
      <c r="F11392" s="9"/>
    </row>
    <row r="11393" ht="33.75" customHeight="1">
      <c r="A11393" s="7">
        <v>488.0</v>
      </c>
      <c r="B11393" s="9" t="s">
        <v>16683</v>
      </c>
      <c r="C11393" s="9" t="s">
        <v>16684</v>
      </c>
      <c r="D11393" s="9" t="s">
        <v>87</v>
      </c>
      <c r="E11393" s="6" t="s">
        <v>16687</v>
      </c>
      <c r="F11393" s="9"/>
    </row>
    <row r="11394" ht="33.75" customHeight="1">
      <c r="A11394" s="7">
        <v>488.0</v>
      </c>
      <c r="B11394" s="9" t="s">
        <v>16683</v>
      </c>
      <c r="C11394" s="9" t="s">
        <v>16684</v>
      </c>
      <c r="D11394" s="9" t="s">
        <v>89</v>
      </c>
      <c r="E11394" s="6" t="s">
        <v>16688</v>
      </c>
      <c r="F11394" s="9"/>
    </row>
    <row r="11395" ht="33.75" customHeight="1">
      <c r="A11395" s="7">
        <v>488.0</v>
      </c>
      <c r="B11395" s="9" t="s">
        <v>16683</v>
      </c>
      <c r="C11395" s="9" t="s">
        <v>16684</v>
      </c>
      <c r="D11395" s="9" t="s">
        <v>91</v>
      </c>
      <c r="E11395" s="6" t="s">
        <v>16688</v>
      </c>
      <c r="F11395" s="9"/>
    </row>
    <row r="11396" ht="33.75" customHeight="1">
      <c r="A11396" s="7">
        <v>488.0</v>
      </c>
      <c r="B11396" s="9" t="s">
        <v>16683</v>
      </c>
      <c r="C11396" s="9" t="s">
        <v>16684</v>
      </c>
      <c r="D11396" s="9" t="s">
        <v>93</v>
      </c>
      <c r="E11396" s="6" t="s">
        <v>16687</v>
      </c>
      <c r="F11396" s="9"/>
    </row>
    <row r="11397" ht="33.75" customHeight="1">
      <c r="A11397" s="7">
        <v>488.0</v>
      </c>
      <c r="B11397" s="9" t="s">
        <v>16683</v>
      </c>
      <c r="C11397" s="9" t="s">
        <v>16684</v>
      </c>
      <c r="D11397" s="9" t="s">
        <v>95</v>
      </c>
      <c r="E11397" s="6" t="s">
        <v>16687</v>
      </c>
      <c r="F11397" s="9"/>
    </row>
    <row r="11398" ht="33.75" customHeight="1">
      <c r="A11398" s="7">
        <v>488.0</v>
      </c>
      <c r="B11398" s="9" t="s">
        <v>16683</v>
      </c>
      <c r="C11398" s="9" t="s">
        <v>16684</v>
      </c>
      <c r="D11398" s="9" t="s">
        <v>98</v>
      </c>
      <c r="E11398" s="6" t="s">
        <v>16687</v>
      </c>
      <c r="F11398" s="9"/>
    </row>
    <row r="11399" ht="33.75" customHeight="1">
      <c r="A11399" s="7">
        <v>488.0</v>
      </c>
      <c r="B11399" s="9" t="s">
        <v>16683</v>
      </c>
      <c r="C11399" s="9" t="s">
        <v>16684</v>
      </c>
      <c r="D11399" s="9" t="s">
        <v>99</v>
      </c>
      <c r="E11399" s="6" t="s">
        <v>16687</v>
      </c>
      <c r="F11399" s="9"/>
    </row>
    <row r="11400" ht="33.75" customHeight="1">
      <c r="A11400" s="7">
        <v>488.0</v>
      </c>
      <c r="B11400" s="9" t="s">
        <v>16683</v>
      </c>
      <c r="C11400" s="9" t="s">
        <v>16684</v>
      </c>
      <c r="D11400" s="9" t="s">
        <v>101</v>
      </c>
      <c r="E11400" s="6" t="s">
        <v>16685</v>
      </c>
      <c r="F11400" s="9"/>
    </row>
    <row r="11401" ht="33.75" customHeight="1">
      <c r="A11401" s="7">
        <v>488.0</v>
      </c>
      <c r="B11401" s="9" t="s">
        <v>16683</v>
      </c>
      <c r="C11401" s="9" t="s">
        <v>16684</v>
      </c>
      <c r="D11401" s="9" t="s">
        <v>105</v>
      </c>
      <c r="E11401" s="6" t="s">
        <v>16689</v>
      </c>
      <c r="F11401" s="9"/>
    </row>
    <row r="11402" ht="33.75" customHeight="1">
      <c r="A11402" s="7">
        <v>488.0</v>
      </c>
      <c r="B11402" s="9" t="s">
        <v>16683</v>
      </c>
      <c r="C11402" s="9" t="s">
        <v>16684</v>
      </c>
      <c r="D11402" s="9" t="s">
        <v>107</v>
      </c>
      <c r="E11402" s="6" t="s">
        <v>16685</v>
      </c>
      <c r="F11402" s="9"/>
    </row>
    <row r="11403" ht="33.75" customHeight="1">
      <c r="A11403" s="7">
        <v>488.0</v>
      </c>
      <c r="B11403" s="9" t="s">
        <v>16683</v>
      </c>
      <c r="C11403" s="9" t="s">
        <v>16684</v>
      </c>
      <c r="D11403" s="9" t="s">
        <v>109</v>
      </c>
      <c r="E11403" s="6" t="s">
        <v>16689</v>
      </c>
      <c r="F11403" s="9"/>
    </row>
    <row r="11404" ht="33.75" customHeight="1">
      <c r="A11404" s="7">
        <v>488.0</v>
      </c>
      <c r="B11404" s="9" t="s">
        <v>16683</v>
      </c>
      <c r="C11404" s="9" t="s">
        <v>16684</v>
      </c>
      <c r="D11404" s="9" t="s">
        <v>1577</v>
      </c>
      <c r="E11404" s="6" t="s">
        <v>16690</v>
      </c>
      <c r="F11404" s="9"/>
    </row>
    <row r="11405" ht="33.75" customHeight="1">
      <c r="A11405" s="7">
        <v>489.0</v>
      </c>
      <c r="B11405" s="9" t="s">
        <v>16692</v>
      </c>
      <c r="C11405" s="9" t="s">
        <v>16693</v>
      </c>
      <c r="D11405" s="9" t="s">
        <v>81</v>
      </c>
      <c r="E11405" s="6" t="s">
        <v>16694</v>
      </c>
      <c r="F11405" t="inlineStr" s="10">
        <is>
          <t xml:space="preserve">Lämpimissä merissä elävä Pokémon. Se täyttää päänsä päällä olevan kelluntapussin ajelehtiakseen ja etsiäkseen ruokaa. Se ajelehtii lämpimissä merissä. Se palaa aina syntymäpaikalleen, olipa se ajelehtinut kuinka kauas tahansa. Kun vesi lämpenee, ne täyttävät kelluntapussin päähänsä ja ajelehtivat hitaasti merellä laumoissa. Sen voi nähdä kelluvan avomerellä lämpiminä vuodenaikoina. Sen turkoosi ruumis sulautuu meriveteen – loogisesti ajatellen kyseessä on puolustusmekanismi luonnollisia saalistajia vastaan.</t>
        </is>
      </c>
    </row>
    <row r="11406" ht="33.75" customHeight="1">
      <c r="A11406" s="7">
        <v>489.0</v>
      </c>
      <c r="B11406" s="9" t="s">
        <v>16692</v>
      </c>
      <c r="C11406" s="9" t="s">
        <v>16693</v>
      </c>
      <c r="D11406" s="9" t="s">
        <v>84</v>
      </c>
      <c r="E11406" s="6" t="s">
        <v>16694</v>
      </c>
      <c r="F11406" s="9"/>
    </row>
    <row r="11407" ht="33.75" customHeight="1">
      <c r="A11407" s="7">
        <v>489.0</v>
      </c>
      <c r="B11407" s="9" t="s">
        <v>16692</v>
      </c>
      <c r="C11407" s="9" t="s">
        <v>16693</v>
      </c>
      <c r="D11407" s="9" t="s">
        <v>87</v>
      </c>
      <c r="E11407" s="6" t="s">
        <v>16695</v>
      </c>
      <c r="F11407" s="9"/>
    </row>
    <row r="11408" ht="33.75" customHeight="1">
      <c r="A11408" s="7">
        <v>489.0</v>
      </c>
      <c r="B11408" s="9" t="s">
        <v>16692</v>
      </c>
      <c r="C11408" s="9" t="s">
        <v>16693</v>
      </c>
      <c r="D11408" s="9" t="s">
        <v>89</v>
      </c>
      <c r="E11408" s="6" t="s">
        <v>16696</v>
      </c>
      <c r="F11408" s="9"/>
    </row>
    <row r="11409" ht="33.75" customHeight="1">
      <c r="A11409" s="7">
        <v>489.0</v>
      </c>
      <c r="B11409" s="9" t="s">
        <v>16692</v>
      </c>
      <c r="C11409" s="9" t="s">
        <v>16693</v>
      </c>
      <c r="D11409" s="9" t="s">
        <v>91</v>
      </c>
      <c r="E11409" s="6" t="s">
        <v>16696</v>
      </c>
      <c r="F11409" s="9"/>
    </row>
    <row r="11410" ht="33.75" customHeight="1">
      <c r="A11410" s="7">
        <v>489.0</v>
      </c>
      <c r="B11410" s="9" t="s">
        <v>16692</v>
      </c>
      <c r="C11410" s="9" t="s">
        <v>16693</v>
      </c>
      <c r="D11410" s="9" t="s">
        <v>93</v>
      </c>
      <c r="E11410" s="6" t="s">
        <v>16695</v>
      </c>
      <c r="F11410" s="9"/>
    </row>
    <row r="11411" ht="33.75" customHeight="1">
      <c r="A11411" s="7">
        <v>489.0</v>
      </c>
      <c r="B11411" s="9" t="s">
        <v>16692</v>
      </c>
      <c r="C11411" s="9" t="s">
        <v>16693</v>
      </c>
      <c r="D11411" s="9" t="s">
        <v>95</v>
      </c>
      <c r="E11411" s="6" t="s">
        <v>16695</v>
      </c>
      <c r="F11411" s="9"/>
    </row>
    <row r="11412" ht="33.75" customHeight="1">
      <c r="A11412" s="7">
        <v>489.0</v>
      </c>
      <c r="B11412" s="9" t="s">
        <v>16692</v>
      </c>
      <c r="C11412" s="9" t="s">
        <v>16693</v>
      </c>
      <c r="D11412" s="9" t="s">
        <v>98</v>
      </c>
      <c r="E11412" s="6" t="s">
        <v>16695</v>
      </c>
      <c r="F11412" s="9"/>
    </row>
    <row r="11413" ht="33.75" customHeight="1">
      <c r="A11413" s="7">
        <v>489.0</v>
      </c>
      <c r="B11413" s="9" t="s">
        <v>16692</v>
      </c>
      <c r="C11413" s="9" t="s">
        <v>16693</v>
      </c>
      <c r="D11413" s="9" t="s">
        <v>99</v>
      </c>
      <c r="E11413" s="6" t="s">
        <v>16695</v>
      </c>
      <c r="F11413" s="9"/>
    </row>
    <row r="11414" ht="33.75" customHeight="1">
      <c r="A11414" s="7">
        <v>489.0</v>
      </c>
      <c r="B11414" s="9" t="s">
        <v>16692</v>
      </c>
      <c r="C11414" s="9" t="s">
        <v>16693</v>
      </c>
      <c r="D11414" s="9" t="s">
        <v>101</v>
      </c>
      <c r="E11414" s="6" t="s">
        <v>16696</v>
      </c>
      <c r="F11414" s="9"/>
    </row>
    <row r="11415" ht="33.75" customHeight="1">
      <c r="A11415" s="7">
        <v>489.0</v>
      </c>
      <c r="B11415" s="9" t="s">
        <v>16692</v>
      </c>
      <c r="C11415" s="9" t="s">
        <v>16693</v>
      </c>
      <c r="D11415" s="9" t="s">
        <v>105</v>
      </c>
      <c r="E11415" s="6" t="s">
        <v>16695</v>
      </c>
      <c r="F11415" s="9"/>
    </row>
    <row r="11416" ht="33.75" customHeight="1">
      <c r="A11416" s="7">
        <v>489.0</v>
      </c>
      <c r="B11416" s="9" t="s">
        <v>16692</v>
      </c>
      <c r="C11416" s="9" t="s">
        <v>16693</v>
      </c>
      <c r="D11416" s="9" t="s">
        <v>107</v>
      </c>
      <c r="E11416" s="6" t="s">
        <v>16696</v>
      </c>
      <c r="F11416" s="9"/>
    </row>
    <row r="11417" ht="33.75" customHeight="1">
      <c r="A11417" s="7">
        <v>489.0</v>
      </c>
      <c r="B11417" s="9" t="s">
        <v>16692</v>
      </c>
      <c r="C11417" s="9" t="s">
        <v>16693</v>
      </c>
      <c r="D11417" s="9" t="s">
        <v>109</v>
      </c>
      <c r="E11417" s="6" t="s">
        <v>16695</v>
      </c>
      <c r="F11417" s="9"/>
    </row>
    <row r="11418" ht="33.75" customHeight="1">
      <c r="A11418" s="7">
        <v>489.0</v>
      </c>
      <c r="B11418" s="9" t="s">
        <v>16692</v>
      </c>
      <c r="C11418" s="9" t="s">
        <v>16693</v>
      </c>
      <c r="D11418" s="9" t="s">
        <v>1577</v>
      </c>
      <c r="E11418" s="6" t="s">
        <v>16697</v>
      </c>
      <c r="F11418" s="9"/>
    </row>
    <row r="11419" ht="33.75" customHeight="1">
      <c r="A11419" s="7">
        <v>490.0</v>
      </c>
      <c r="B11419" s="9" t="s">
        <v>16698</v>
      </c>
      <c r="C11419" s="9" t="s">
        <v>16699</v>
      </c>
      <c r="D11419" s="9" t="s">
        <v>81</v>
      </c>
      <c r="E11419" s="6" t="s">
        <v>16700</v>
      </c>
      <c r="F11419" t="inlineStr" s="10">
        <is>
          <t xml:space="preserve">Kylmällä merenpohjalla syntynyt se ui pitkiäkin matkoja palatakseen syntymäpaikkaansa. Vesi muodostaa 80 % sen kehosta. Ympäristö vaikuttaa tähän Pokémoniin helposti. Se syntyy ihmeellisellä voimalla, jonka avulla se voi luoda yhteyden minkä tahansa tyyppiseen Pokémoniin. Se aloittaa elämänsä ihmeellisellä voimalla, jonka avulla se voi muodostaa yhteyden minkä tahansa tyyppiseen Pokémoniin. Huhujen mukaan Manaphy vaeltaa valtamerien yli ja vierailee Hisuin rannikkovesillä vain harvoin. Vaikka Manaphy muistuttaa Phionea, se on myös melko erilainen. Näiden kahden välinen suhde on epäselvä.</t>
        </is>
      </c>
    </row>
    <row r="11420" ht="33.75" customHeight="1">
      <c r="A11420" s="7">
        <v>490.0</v>
      </c>
      <c r="B11420" s="9" t="s">
        <v>16698</v>
      </c>
      <c r="C11420" s="9" t="s">
        <v>16699</v>
      </c>
      <c r="D11420" s="9" t="s">
        <v>84</v>
      </c>
      <c r="E11420" s="6" t="s">
        <v>16701</v>
      </c>
      <c r="F11420" s="9"/>
    </row>
    <row r="11421" ht="33.75" customHeight="1">
      <c r="A11421" s="7">
        <v>490.0</v>
      </c>
      <c r="B11421" s="9" t="s">
        <v>16698</v>
      </c>
      <c r="C11421" s="9" t="s">
        <v>16699</v>
      </c>
      <c r="D11421" s="9" t="s">
        <v>87</v>
      </c>
      <c r="E11421" s="6" t="s">
        <v>16702</v>
      </c>
      <c r="F11421" s="9"/>
    </row>
    <row r="11422" ht="33.75" customHeight="1">
      <c r="A11422" s="7">
        <v>490.0</v>
      </c>
      <c r="B11422" s="9" t="s">
        <v>16698</v>
      </c>
      <c r="C11422" s="9" t="s">
        <v>16699</v>
      </c>
      <c r="D11422" s="9" t="s">
        <v>89</v>
      </c>
      <c r="E11422" s="6" t="s">
        <v>16703</v>
      </c>
      <c r="F11422" s="9"/>
    </row>
    <row r="11423" ht="33.75" customHeight="1">
      <c r="A11423" s="7">
        <v>490.0</v>
      </c>
      <c r="B11423" s="9" t="s">
        <v>16698</v>
      </c>
      <c r="C11423" s="9" t="s">
        <v>16699</v>
      </c>
      <c r="D11423" s="9" t="s">
        <v>91</v>
      </c>
      <c r="E11423" s="6" t="s">
        <v>16703</v>
      </c>
      <c r="F11423" s="9"/>
    </row>
    <row r="11424" ht="33.75" customHeight="1">
      <c r="A11424" s="7">
        <v>490.0</v>
      </c>
      <c r="B11424" s="9" t="s">
        <v>16698</v>
      </c>
      <c r="C11424" s="9" t="s">
        <v>16699</v>
      </c>
      <c r="D11424" s="9" t="s">
        <v>93</v>
      </c>
      <c r="E11424" s="6" t="s">
        <v>16702</v>
      </c>
      <c r="F11424" s="9"/>
    </row>
    <row r="11425" ht="33.75" customHeight="1">
      <c r="A11425" s="7">
        <v>490.0</v>
      </c>
      <c r="B11425" s="9" t="s">
        <v>16698</v>
      </c>
      <c r="C11425" s="9" t="s">
        <v>16699</v>
      </c>
      <c r="D11425" s="9" t="s">
        <v>95</v>
      </c>
      <c r="E11425" s="6" t="s">
        <v>16702</v>
      </c>
      <c r="F11425" s="9"/>
    </row>
    <row r="11426" ht="33.75" customHeight="1">
      <c r="A11426" s="7">
        <v>490.0</v>
      </c>
      <c r="B11426" s="9" t="s">
        <v>16698</v>
      </c>
      <c r="C11426" s="9" t="s">
        <v>16699</v>
      </c>
      <c r="D11426" s="9" t="s">
        <v>98</v>
      </c>
      <c r="E11426" s="6" t="s">
        <v>16702</v>
      </c>
      <c r="F11426" s="9"/>
    </row>
    <row r="11427" ht="33.75" customHeight="1">
      <c r="A11427" s="7">
        <v>490.0</v>
      </c>
      <c r="B11427" s="9" t="s">
        <v>16698</v>
      </c>
      <c r="C11427" s="9" t="s">
        <v>16699</v>
      </c>
      <c r="D11427" s="9" t="s">
        <v>99</v>
      </c>
      <c r="E11427" s="6" t="s">
        <v>16702</v>
      </c>
      <c r="F11427" s="9"/>
    </row>
    <row r="11428" ht="33.75" customHeight="1">
      <c r="A11428" s="7">
        <v>490.0</v>
      </c>
      <c r="B11428" s="9" t="s">
        <v>16698</v>
      </c>
      <c r="C11428" s="9" t="s">
        <v>16699</v>
      </c>
      <c r="D11428" s="9" t="s">
        <v>101</v>
      </c>
      <c r="E11428" s="6" t="s">
        <v>16702</v>
      </c>
      <c r="F11428" s="9"/>
    </row>
    <row r="11429" ht="33.75" customHeight="1">
      <c r="A11429" s="7">
        <v>490.0</v>
      </c>
      <c r="B11429" s="9" t="s">
        <v>16698</v>
      </c>
      <c r="C11429" s="9" t="s">
        <v>16699</v>
      </c>
      <c r="D11429" s="9" t="s">
        <v>105</v>
      </c>
      <c r="E11429" s="6" t="s">
        <v>16703</v>
      </c>
      <c r="F11429" s="9"/>
    </row>
    <row r="11430" ht="33.75" customHeight="1">
      <c r="A11430" s="7">
        <v>490.0</v>
      </c>
      <c r="B11430" s="9" t="s">
        <v>16698</v>
      </c>
      <c r="C11430" s="9" t="s">
        <v>16699</v>
      </c>
      <c r="D11430" s="9" t="s">
        <v>107</v>
      </c>
      <c r="E11430" s="6" t="s">
        <v>16702</v>
      </c>
      <c r="F11430" s="9"/>
    </row>
    <row r="11431" ht="33.75" customHeight="1">
      <c r="A11431" s="7">
        <v>490.0</v>
      </c>
      <c r="B11431" s="9" t="s">
        <v>16698</v>
      </c>
      <c r="C11431" s="9" t="s">
        <v>16699</v>
      </c>
      <c r="D11431" s="9" t="s">
        <v>109</v>
      </c>
      <c r="E11431" s="6" t="s">
        <v>16703</v>
      </c>
      <c r="F11431" s="9"/>
    </row>
    <row r="11432" ht="33.75" customHeight="1">
      <c r="A11432" s="7">
        <v>490.0</v>
      </c>
      <c r="B11432" s="9" t="s">
        <v>16698</v>
      </c>
      <c r="C11432" s="9" t="s">
        <v>16699</v>
      </c>
      <c r="D11432" s="9" t="s">
        <v>1577</v>
      </c>
      <c r="E11432" s="6" t="s">
        <v>16704</v>
      </c>
      <c r="F11432" s="9"/>
    </row>
    <row r="11433" ht="33.75" customHeight="1">
      <c r="A11433" s="7">
        <v>491.0</v>
      </c>
      <c r="B11433" s="9" t="s">
        <v>16705</v>
      </c>
      <c r="C11433" s="9" t="s">
        <v>16706</v>
      </c>
      <c r="D11433" s="9" t="s">
        <v>81</v>
      </c>
      <c r="E11433" s="6" t="s">
        <v>16708</v>
      </c>
      <c r="F11433" t="inlineStr" s="10">
        <is>
          <t xml:space="preserve">Darkrai voi tuudittaa ihmiset uneen ja saada heidät näkemään unia. Se on aktiivinen uudenkuun öinä. Tarinan mukaan tämä Pokémon saa ihmiset näkemään kauhistuttavia painajaisia ​​kuuttomina öinä. Suojellakseen itseään se vaivaa ympärillään olevia painajaisilla. Se ei kuitenkaan tarkoita mitään pahaa. Se ajaa ihmisiä ja Pokémoneja pois reviiriltään aiheuttamalla heille syvän, painajaismaisen unen. Kuuttomana yönä sattui outo tapaus, jossa jokainen kylän asukas näki painajaisia. Kyläläiset todistivat Darkrain ilmestyneen heille näissä painajaisissa.</t>
        </is>
      </c>
    </row>
    <row r="11434" ht="33.75" customHeight="1">
      <c r="A11434" s="7">
        <v>491.0</v>
      </c>
      <c r="B11434" s="9" t="s">
        <v>16705</v>
      </c>
      <c r="C11434" s="9" t="s">
        <v>16706</v>
      </c>
      <c r="D11434" s="9" t="s">
        <v>84</v>
      </c>
      <c r="E11434" s="6" t="s">
        <v>16709</v>
      </c>
      <c r="F11434" s="9"/>
    </row>
    <row r="11435" ht="33.75" customHeight="1">
      <c r="A11435" s="7">
        <v>491.0</v>
      </c>
      <c r="B11435" s="9" t="s">
        <v>16705</v>
      </c>
      <c r="C11435" s="9" t="s">
        <v>16706</v>
      </c>
      <c r="D11435" s="9" t="s">
        <v>87</v>
      </c>
      <c r="E11435" s="6" t="s">
        <v>16710</v>
      </c>
      <c r="F11435" s="9"/>
    </row>
    <row r="11436" ht="33.75" customHeight="1">
      <c r="A11436" s="7">
        <v>491.0</v>
      </c>
      <c r="B11436" s="9" t="s">
        <v>16705</v>
      </c>
      <c r="C11436" s="9" t="s">
        <v>16706</v>
      </c>
      <c r="D11436" s="9" t="s">
        <v>89</v>
      </c>
      <c r="E11436" s="6" t="s">
        <v>16711</v>
      </c>
      <c r="F11436" s="9"/>
    </row>
    <row r="11437" ht="33.75" customHeight="1">
      <c r="A11437" s="7">
        <v>491.0</v>
      </c>
      <c r="B11437" s="9" t="s">
        <v>16705</v>
      </c>
      <c r="C11437" s="9" t="s">
        <v>16706</v>
      </c>
      <c r="D11437" s="9" t="s">
        <v>91</v>
      </c>
      <c r="E11437" s="6" t="s">
        <v>16711</v>
      </c>
      <c r="F11437" s="9"/>
    </row>
    <row r="11438" ht="33.75" customHeight="1">
      <c r="A11438" s="7">
        <v>491.0</v>
      </c>
      <c r="B11438" s="9" t="s">
        <v>16705</v>
      </c>
      <c r="C11438" s="9" t="s">
        <v>16706</v>
      </c>
      <c r="D11438" s="9" t="s">
        <v>93</v>
      </c>
      <c r="E11438" s="6" t="s">
        <v>16710</v>
      </c>
      <c r="F11438" s="9"/>
    </row>
    <row r="11439" ht="33.75" customHeight="1">
      <c r="A11439" s="7">
        <v>491.0</v>
      </c>
      <c r="B11439" s="9" t="s">
        <v>16705</v>
      </c>
      <c r="C11439" s="9" t="s">
        <v>16706</v>
      </c>
      <c r="D11439" s="9" t="s">
        <v>95</v>
      </c>
      <c r="E11439" s="6" t="s">
        <v>16710</v>
      </c>
      <c r="F11439" s="9"/>
    </row>
    <row r="11440" ht="33.75" customHeight="1">
      <c r="A11440" s="7">
        <v>491.0</v>
      </c>
      <c r="B11440" s="9" t="s">
        <v>16705</v>
      </c>
      <c r="C11440" s="9" t="s">
        <v>16706</v>
      </c>
      <c r="D11440" s="9" t="s">
        <v>98</v>
      </c>
      <c r="E11440" s="6" t="s">
        <v>16710</v>
      </c>
      <c r="F11440" s="9"/>
    </row>
    <row r="11441" ht="33.75" customHeight="1">
      <c r="A11441" s="7">
        <v>491.0</v>
      </c>
      <c r="B11441" s="9" t="s">
        <v>16705</v>
      </c>
      <c r="C11441" s="9" t="s">
        <v>16706</v>
      </c>
      <c r="D11441" s="9" t="s">
        <v>99</v>
      </c>
      <c r="E11441" s="6" t="s">
        <v>16710</v>
      </c>
      <c r="F11441" s="9"/>
    </row>
    <row r="11442" ht="33.75" customHeight="1">
      <c r="A11442" s="7">
        <v>491.0</v>
      </c>
      <c r="B11442" s="9" t="s">
        <v>16705</v>
      </c>
      <c r="C11442" s="9" t="s">
        <v>16706</v>
      </c>
      <c r="D11442" s="9" t="s">
        <v>101</v>
      </c>
      <c r="E11442" s="6" t="s">
        <v>16711</v>
      </c>
      <c r="F11442" s="9"/>
    </row>
    <row r="11443" ht="33.75" customHeight="1">
      <c r="A11443" s="7">
        <v>491.0</v>
      </c>
      <c r="B11443" s="9" t="s">
        <v>16705</v>
      </c>
      <c r="C11443" s="9" t="s">
        <v>16706</v>
      </c>
      <c r="D11443" s="9" t="s">
        <v>105</v>
      </c>
      <c r="E11443" s="6" t="s">
        <v>16708</v>
      </c>
      <c r="F11443" s="9"/>
    </row>
    <row r="11444" ht="33.75" customHeight="1">
      <c r="A11444" s="7">
        <v>491.0</v>
      </c>
      <c r="B11444" s="9" t="s">
        <v>16705</v>
      </c>
      <c r="C11444" s="9" t="s">
        <v>16706</v>
      </c>
      <c r="D11444" s="9" t="s">
        <v>107</v>
      </c>
      <c r="E11444" s="6" t="s">
        <v>16711</v>
      </c>
      <c r="F11444" s="9"/>
    </row>
    <row r="11445" ht="33.75" customHeight="1">
      <c r="A11445" s="7">
        <v>491.0</v>
      </c>
      <c r="B11445" s="9" t="s">
        <v>16705</v>
      </c>
      <c r="C11445" s="9" t="s">
        <v>16706</v>
      </c>
      <c r="D11445" s="9" t="s">
        <v>109</v>
      </c>
      <c r="E11445" s="6" t="s">
        <v>16708</v>
      </c>
      <c r="F11445" s="9"/>
    </row>
    <row r="11446" ht="33.75" customHeight="1">
      <c r="A11446" s="7">
        <v>491.0</v>
      </c>
      <c r="B11446" s="9" t="s">
        <v>16705</v>
      </c>
      <c r="C11446" s="9" t="s">
        <v>16706</v>
      </c>
      <c r="D11446" s="9" t="s">
        <v>1577</v>
      </c>
      <c r="E11446" s="6" t="s">
        <v>16712</v>
      </c>
      <c r="F11446" s="9"/>
    </row>
    <row r="11447" ht="33.75" customHeight="1">
      <c r="A11447" s="7">
        <v>492.0</v>
      </c>
      <c r="B11447" s="9" t="s">
        <v>16713</v>
      </c>
      <c r="C11447" s="9" t="s">
        <v>16714</v>
      </c>
      <c r="D11447" s="9" t="s">
        <v>81</v>
      </c>
      <c r="E11447" s="6" t="s">
        <v>16715</v>
      </c>
      <c r="F11447" t="inlineStr" s="10">
        <is>
          <t xml:space="preserve">Shaymin elää kukkalaikuissa ja välttää havaitsemisen käpertymällä näyttämään kukkivalta kasvilta. Se voi liuottaa ilmassa olevia myrkkyjä ja muuttaa pilalle menneen maan välittömästi reheväksi kukkapelloksi. Kukat kaikkialla sen kehossa puhkeavat kukkaan, jos sitä halataan hellästi ja se tuntee kiitollisuutta. Gracidean kukinta antaa sille lentovoiman. Kiitollisuuden tunteet ovat sen viesti. Kun vuodenaikojen vaihtuminen tuo julman talven loppuun ja iloiset ihmiset kiittävät taivasta, Shaymin ilmestyy ja peittää kuihtuneen maan kukilla.</t>
        </is>
      </c>
    </row>
    <row r="11448" ht="33.75" customHeight="1">
      <c r="A11448" s="7">
        <v>492.0</v>
      </c>
      <c r="B11448" s="9" t="s">
        <v>16713</v>
      </c>
      <c r="C11448" s="9" t="s">
        <v>16714</v>
      </c>
      <c r="D11448" s="9" t="s">
        <v>84</v>
      </c>
      <c r="E11448" s="6" t="s">
        <v>16716</v>
      </c>
      <c r="F11448" s="9"/>
    </row>
    <row r="11449" ht="33.75" customHeight="1">
      <c r="A11449" s="7">
        <v>492.0</v>
      </c>
      <c r="B11449" s="9" t="s">
        <v>16713</v>
      </c>
      <c r="C11449" s="9" t="s">
        <v>16714</v>
      </c>
      <c r="D11449" s="9" t="s">
        <v>87</v>
      </c>
      <c r="E11449" s="6" t="s">
        <v>16717</v>
      </c>
      <c r="F11449" s="9"/>
    </row>
    <row r="11450" ht="33.75" customHeight="1">
      <c r="A11450" s="7">
        <v>492.0</v>
      </c>
      <c r="B11450" s="9" t="s">
        <v>16713</v>
      </c>
      <c r="C11450" s="9" t="s">
        <v>16714</v>
      </c>
      <c r="D11450" s="9" t="s">
        <v>89</v>
      </c>
      <c r="E11450" s="6" t="s">
        <v>16718</v>
      </c>
      <c r="F11450" s="9"/>
    </row>
    <row r="11451" ht="33.75" customHeight="1">
      <c r="A11451" s="7">
        <v>492.0</v>
      </c>
      <c r="B11451" s="9" t="s">
        <v>16713</v>
      </c>
      <c r="C11451" s="9" t="s">
        <v>16714</v>
      </c>
      <c r="D11451" s="9" t="s">
        <v>91</v>
      </c>
      <c r="E11451" s="6" t="s">
        <v>16718</v>
      </c>
      <c r="F11451" s="9"/>
    </row>
    <row r="11452" ht="33.75" customHeight="1">
      <c r="A11452" s="7">
        <v>492.0</v>
      </c>
      <c r="B11452" s="9" t="s">
        <v>16713</v>
      </c>
      <c r="C11452" s="9" t="s">
        <v>16714</v>
      </c>
      <c r="D11452" s="9" t="s">
        <v>93</v>
      </c>
      <c r="E11452" s="6" t="s">
        <v>16717</v>
      </c>
      <c r="F11452" s="9"/>
    </row>
    <row r="11453" ht="33.75" customHeight="1">
      <c r="A11453" s="7">
        <v>492.0</v>
      </c>
      <c r="B11453" s="9" t="s">
        <v>16713</v>
      </c>
      <c r="C11453" s="9" t="s">
        <v>16714</v>
      </c>
      <c r="D11453" s="9" t="s">
        <v>95</v>
      </c>
      <c r="E11453" s="6" t="s">
        <v>16717</v>
      </c>
      <c r="F11453" s="9"/>
    </row>
    <row r="11454" ht="33.75" customHeight="1">
      <c r="A11454" s="7">
        <v>492.0</v>
      </c>
      <c r="B11454" s="9" t="s">
        <v>16713</v>
      </c>
      <c r="C11454" s="9" t="s">
        <v>16714</v>
      </c>
      <c r="D11454" s="9" t="s">
        <v>98</v>
      </c>
      <c r="E11454" s="6" t="s">
        <v>16717</v>
      </c>
      <c r="F11454" s="9"/>
    </row>
    <row r="11455" ht="33.75" customHeight="1">
      <c r="A11455" s="7">
        <v>492.0</v>
      </c>
      <c r="B11455" s="9" t="s">
        <v>16713</v>
      </c>
      <c r="C11455" s="9" t="s">
        <v>16714</v>
      </c>
      <c r="D11455" s="9" t="s">
        <v>99</v>
      </c>
      <c r="E11455" s="6" t="s">
        <v>16717</v>
      </c>
      <c r="F11455" s="9"/>
    </row>
    <row r="11456" ht="33.75" customHeight="1">
      <c r="A11456" s="7">
        <v>492.0</v>
      </c>
      <c r="B11456" s="9" t="s">
        <v>16713</v>
      </c>
      <c r="C11456" s="9" t="s">
        <v>16714</v>
      </c>
      <c r="D11456" s="9" t="s">
        <v>101</v>
      </c>
      <c r="E11456" s="6" t="s">
        <v>16716</v>
      </c>
      <c r="F11456" s="9"/>
    </row>
    <row r="11457" ht="33.75" customHeight="1">
      <c r="A11457" s="7">
        <v>492.0</v>
      </c>
      <c r="B11457" s="9" t="s">
        <v>16713</v>
      </c>
      <c r="C11457" s="9" t="s">
        <v>16714</v>
      </c>
      <c r="D11457" s="9" t="s">
        <v>105</v>
      </c>
      <c r="E11457" s="6" t="s">
        <v>16718</v>
      </c>
      <c r="F11457" s="9"/>
    </row>
    <row r="11458" ht="33.75" customHeight="1">
      <c r="A11458" s="7">
        <v>492.0</v>
      </c>
      <c r="B11458" s="9" t="s">
        <v>16713</v>
      </c>
      <c r="C11458" s="9" t="s">
        <v>16714</v>
      </c>
      <c r="D11458" s="9" t="s">
        <v>107</v>
      </c>
      <c r="E11458" s="6" t="s">
        <v>16716</v>
      </c>
      <c r="F11458" s="9"/>
    </row>
    <row r="11459" ht="33.75" customHeight="1">
      <c r="A11459" s="7">
        <v>492.0</v>
      </c>
      <c r="B11459" s="9" t="s">
        <v>16713</v>
      </c>
      <c r="C11459" s="9" t="s">
        <v>16714</v>
      </c>
      <c r="D11459" s="9" t="s">
        <v>109</v>
      </c>
      <c r="E11459" s="6" t="s">
        <v>16718</v>
      </c>
      <c r="F11459" s="9"/>
    </row>
    <row r="11460" ht="33.75" customHeight="1">
      <c r="A11460" s="7">
        <v>492.0</v>
      </c>
      <c r="B11460" s="9" t="s">
        <v>16713</v>
      </c>
      <c r="C11460" s="9" t="s">
        <v>16714</v>
      </c>
      <c r="D11460" s="9" t="s">
        <v>1577</v>
      </c>
      <c r="E11460" s="6" t="s">
        <v>16720</v>
      </c>
      <c r="F11460" s="9"/>
    </row>
    <row r="11461" ht="33.75" customHeight="1">
      <c r="A11461" s="7">
        <v>493.0</v>
      </c>
      <c r="B11461" s="9" t="s">
        <v>16721</v>
      </c>
      <c r="C11461" s="9" t="s">
        <v>16722</v>
      </c>
      <c r="D11461" s="9" t="s">
        <v>81</v>
      </c>
      <c r="E11461" s="6" t="s">
        <v>16723</v>
      </c>
      <c r="F11461" t="inlineStr" s="10">
        <is>
          <t xml:space="preserve">Mytologiassa sitä kuvataan Pokémonina, joka muovasi maailmankaikkeuden tuhannella kädellään. Mytologiassa kerrotaan, että tämä Pokémon syntyi ennen kuin maailmankaikkeutta edes oli olemassa. Sen sanotaan nousseen munasta paikassa, jossa ei ollut mitään, ja muovanneen sitten maailman. Sinnohin legendojen mukaan tämä Pokémon nousi munasta ja muovasi kaiken, mitä tässä maailmassa on. Sen sanotaan nousseen munasta paikassa, jossa ei ollut mitään, ja muovannut maailmaa. Se on taivaallinen lähde, josta virtaa Hisuin ylle loistava valo. Sen hohde opastaa ja suojelee kaikkia Pokémoneja. Hisuin mytologiassa Arceus on kaiken luoja.</t>
        </is>
      </c>
    </row>
    <row r="11462" ht="33.75" customHeight="1">
      <c r="A11462" s="7">
        <v>493.0</v>
      </c>
      <c r="B11462" s="9" t="s">
        <v>16721</v>
      </c>
      <c r="C11462" s="9" t="s">
        <v>16722</v>
      </c>
      <c r="D11462" s="9" t="s">
        <v>84</v>
      </c>
      <c r="E11462" s="6" t="s">
        <v>16724</v>
      </c>
      <c r="F11462" s="9"/>
    </row>
    <row r="11463" ht="33.75" customHeight="1">
      <c r="A11463" s="7">
        <v>493.0</v>
      </c>
      <c r="B11463" s="9" t="s">
        <v>16721</v>
      </c>
      <c r="C11463" s="9" t="s">
        <v>16722</v>
      </c>
      <c r="D11463" s="9" t="s">
        <v>87</v>
      </c>
      <c r="E11463" s="6" t="s">
        <v>16725</v>
      </c>
      <c r="F11463" s="9"/>
    </row>
    <row r="11464" ht="33.75" customHeight="1">
      <c r="A11464" s="7">
        <v>493.0</v>
      </c>
      <c r="B11464" s="9" t="s">
        <v>16721</v>
      </c>
      <c r="C11464" s="9" t="s">
        <v>16722</v>
      </c>
      <c r="D11464" s="9" t="s">
        <v>89</v>
      </c>
      <c r="E11464" s="6" t="s">
        <v>16726</v>
      </c>
      <c r="F11464" s="9"/>
    </row>
    <row r="11465" ht="33.75" customHeight="1">
      <c r="A11465" s="7">
        <v>493.0</v>
      </c>
      <c r="B11465" s="9" t="s">
        <v>16721</v>
      </c>
      <c r="C11465" s="9" t="s">
        <v>16722</v>
      </c>
      <c r="D11465" s="9" t="s">
        <v>91</v>
      </c>
      <c r="E11465" s="6" t="s">
        <v>16726</v>
      </c>
      <c r="F11465" s="9"/>
    </row>
    <row r="11466" ht="33.75" customHeight="1">
      <c r="A11466" s="7">
        <v>493.0</v>
      </c>
      <c r="B11466" s="9" t="s">
        <v>16721</v>
      </c>
      <c r="C11466" s="9" t="s">
        <v>16722</v>
      </c>
      <c r="D11466" s="9" t="s">
        <v>93</v>
      </c>
      <c r="E11466" s="6" t="s">
        <v>16725</v>
      </c>
      <c r="F11466" s="9"/>
    </row>
    <row r="11467" ht="33.75" customHeight="1">
      <c r="A11467" s="7">
        <v>493.0</v>
      </c>
      <c r="B11467" s="9" t="s">
        <v>16721</v>
      </c>
      <c r="C11467" s="9" t="s">
        <v>16722</v>
      </c>
      <c r="D11467" s="9" t="s">
        <v>95</v>
      </c>
      <c r="E11467" s="6" t="s">
        <v>16725</v>
      </c>
      <c r="F11467" s="9"/>
    </row>
    <row r="11468" ht="33.75" customHeight="1">
      <c r="A11468" s="7">
        <v>493.0</v>
      </c>
      <c r="B11468" s="9" t="s">
        <v>16721</v>
      </c>
      <c r="C11468" s="9" t="s">
        <v>16722</v>
      </c>
      <c r="D11468" s="9" t="s">
        <v>98</v>
      </c>
      <c r="E11468" s="6" t="s">
        <v>16727</v>
      </c>
      <c r="F11468" s="9"/>
    </row>
    <row r="11469" ht="33.75" customHeight="1">
      <c r="A11469" s="7">
        <v>493.0</v>
      </c>
      <c r="B11469" s="9" t="s">
        <v>16721</v>
      </c>
      <c r="C11469" s="9" t="s">
        <v>16722</v>
      </c>
      <c r="D11469" s="9" t="s">
        <v>99</v>
      </c>
      <c r="E11469" s="6" t="s">
        <v>16727</v>
      </c>
      <c r="F11469" s="9"/>
    </row>
    <row r="11470" ht="33.75" customHeight="1">
      <c r="A11470" s="7">
        <v>493.0</v>
      </c>
      <c r="B11470" s="9" t="s">
        <v>16721</v>
      </c>
      <c r="C11470" s="9" t="s">
        <v>16722</v>
      </c>
      <c r="D11470" s="9" t="s">
        <v>101</v>
      </c>
      <c r="E11470" s="6" t="s">
        <v>16726</v>
      </c>
      <c r="F11470" s="9"/>
    </row>
    <row r="11471" ht="33.75" customHeight="1">
      <c r="A11471" s="7">
        <v>493.0</v>
      </c>
      <c r="B11471" s="9" t="s">
        <v>16721</v>
      </c>
      <c r="C11471" s="9" t="s">
        <v>16722</v>
      </c>
      <c r="D11471" s="9" t="s">
        <v>105</v>
      </c>
      <c r="E11471" s="6" t="s">
        <v>16724</v>
      </c>
      <c r="F11471" s="9"/>
    </row>
    <row r="11472" ht="33.75" customHeight="1">
      <c r="A11472" s="7">
        <v>493.0</v>
      </c>
      <c r="B11472" s="9" t="s">
        <v>16721</v>
      </c>
      <c r="C11472" s="9" t="s">
        <v>16722</v>
      </c>
      <c r="D11472" s="9" t="s">
        <v>107</v>
      </c>
      <c r="E11472" s="6" t="s">
        <v>16726</v>
      </c>
      <c r="F11472" s="9"/>
    </row>
    <row r="11473" ht="33.75" customHeight="1">
      <c r="A11473" s="7">
        <v>493.0</v>
      </c>
      <c r="B11473" s="9" t="s">
        <v>16721</v>
      </c>
      <c r="C11473" s="9" t="s">
        <v>16722</v>
      </c>
      <c r="D11473" s="9" t="s">
        <v>109</v>
      </c>
      <c r="E11473" s="6" t="s">
        <v>16724</v>
      </c>
      <c r="F11473" s="9"/>
    </row>
    <row r="11474" ht="33.75" customHeight="1">
      <c r="A11474" s="7">
        <v>493.0</v>
      </c>
      <c r="B11474" s="9" t="s">
        <v>16721</v>
      </c>
      <c r="C11474" s="9" t="s">
        <v>16722</v>
      </c>
      <c r="D11474" s="9" t="s">
        <v>1577</v>
      </c>
      <c r="E11474" s="6" t="s">
        <v>16728</v>
      </c>
      <c r="F11474" s="9"/>
    </row>
    <row r="11475" ht="33.75" customHeight="1">
      <c r="A11475" s="7">
        <v>494.0</v>
      </c>
      <c r="B11475" s="9" t="s">
        <v>16729</v>
      </c>
      <c r="C11475" s="9" t="s">
        <v>16730</v>
      </c>
      <c r="D11475" s="9" t="s">
        <v>93</v>
      </c>
      <c r="E11475" s="6" t="s">
        <v>16732</v>
      </c>
      <c r="F11475" t="inlineStr" s="10">
        <is>
          <t xml:space="preserve">Tämä Pokémon tuo voiton. Sanotaan, että Victinin kanssa kouluttajat voittavat aina, kohtaamisen tyypistä riippumatta. Se luo kehoonsa rajattoman energiavarannon, jota se jakaa sitä koskettavien kanssa. Kun se jakaa luomaansa ääretöntä energiaa, koko olennon keho on täynnä voimaa.</t>
        </is>
      </c>
    </row>
    <row r="11476" ht="33.75" customHeight="1">
      <c r="A11476" s="7">
        <v>494.0</v>
      </c>
      <c r="B11476" s="9" t="s">
        <v>16729</v>
      </c>
      <c r="C11476" s="9" t="s">
        <v>16730</v>
      </c>
      <c r="D11476" s="9" t="s">
        <v>95</v>
      </c>
      <c r="E11476" s="6" t="s">
        <v>16733</v>
      </c>
      <c r="F11476" s="9"/>
    </row>
    <row r="11477" ht="33.75" customHeight="1">
      <c r="A11477" s="7">
        <v>494.0</v>
      </c>
      <c r="B11477" s="9" t="s">
        <v>16729</v>
      </c>
      <c r="C11477" s="9" t="s">
        <v>16730</v>
      </c>
      <c r="D11477" s="9" t="s">
        <v>98</v>
      </c>
      <c r="E11477" s="6" t="s">
        <v>16734</v>
      </c>
      <c r="F11477" s="9"/>
    </row>
    <row r="11478" ht="33.75" customHeight="1">
      <c r="A11478" s="7">
        <v>494.0</v>
      </c>
      <c r="B11478" s="9" t="s">
        <v>16729</v>
      </c>
      <c r="C11478" s="9" t="s">
        <v>16730</v>
      </c>
      <c r="D11478" s="9" t="s">
        <v>99</v>
      </c>
      <c r="E11478" s="6" t="s">
        <v>16734</v>
      </c>
      <c r="F11478" s="9"/>
    </row>
    <row r="11479" ht="33.75" customHeight="1">
      <c r="A11479" s="7">
        <v>494.0</v>
      </c>
      <c r="B11479" s="9" t="s">
        <v>16729</v>
      </c>
      <c r="C11479" s="9" t="s">
        <v>16730</v>
      </c>
      <c r="D11479" s="9" t="s">
        <v>101</v>
      </c>
      <c r="E11479" s="6" t="s">
        <v>16732</v>
      </c>
      <c r="F11479" s="9"/>
    </row>
    <row r="11480" ht="33.75" customHeight="1">
      <c r="A11480" s="7">
        <v>494.0</v>
      </c>
      <c r="B11480" s="9" t="s">
        <v>16729</v>
      </c>
      <c r="C11480" s="9" t="s">
        <v>16730</v>
      </c>
      <c r="D11480" s="9" t="s">
        <v>105</v>
      </c>
      <c r="E11480" s="6" t="s">
        <v>16734</v>
      </c>
      <c r="F11480" s="9"/>
    </row>
    <row r="11481" ht="33.75" customHeight="1">
      <c r="A11481" s="7">
        <v>494.0</v>
      </c>
      <c r="B11481" s="9" t="s">
        <v>16729</v>
      </c>
      <c r="C11481" s="9" t="s">
        <v>16730</v>
      </c>
      <c r="D11481" s="9" t="s">
        <v>107</v>
      </c>
      <c r="E11481" s="6" t="s">
        <v>16732</v>
      </c>
      <c r="F11481" s="9"/>
    </row>
    <row r="11482" ht="33.75" customHeight="1">
      <c r="A11482" s="7">
        <v>494.0</v>
      </c>
      <c r="B11482" s="9" t="s">
        <v>16729</v>
      </c>
      <c r="C11482" s="9" t="s">
        <v>16730</v>
      </c>
      <c r="D11482" s="9" t="s">
        <v>109</v>
      </c>
      <c r="E11482" s="6" t="s">
        <v>16734</v>
      </c>
      <c r="F11482" s="9"/>
    </row>
    <row r="11483" ht="33.75" customHeight="1">
      <c r="A11483" s="7">
        <v>495.0</v>
      </c>
      <c r="B11483" s="9" t="s">
        <v>16735</v>
      </c>
      <c r="C11483" s="9" t="s">
        <v>16736</v>
      </c>
      <c r="D11483" s="9" t="s">
        <v>93</v>
      </c>
      <c r="E11483" s="6" t="s">
        <v>16737</v>
      </c>
      <c r="F11483" t="inlineStr" s="10">
        <is>
          <t xml:space="preserve">Snivy on hyvin älykäs ja rauhallinen. Altistuminen runsaalle auringonvalolle tekee sen liikkeistä nopeampia. Ne fotosyntetisoivat kylpemällä häntäänsä auringonvalossa. Kun ne voivat huonosti, niiden häntä painuu alas. Auringonvalo tekee sen liikkeistä nopeampia. Se käyttää köynnöksiä taitavammin kuin käsiään.</t>
        </is>
      </c>
    </row>
    <row r="11484" ht="33.75" customHeight="1">
      <c r="A11484" s="7">
        <v>495.0</v>
      </c>
      <c r="B11484" s="9" t="s">
        <v>16735</v>
      </c>
      <c r="C11484" s="9" t="s">
        <v>16736</v>
      </c>
      <c r="D11484" s="9" t="s">
        <v>95</v>
      </c>
      <c r="E11484" s="6" t="s">
        <v>16738</v>
      </c>
      <c r="F11484" s="9"/>
    </row>
    <row r="11485" ht="33.75" customHeight="1">
      <c r="A11485" s="7">
        <v>495.0</v>
      </c>
      <c r="B11485" s="9" t="s">
        <v>16735</v>
      </c>
      <c r="C11485" s="9" t="s">
        <v>16736</v>
      </c>
      <c r="D11485" s="9" t="s">
        <v>98</v>
      </c>
      <c r="E11485" s="6" t="s">
        <v>16739</v>
      </c>
      <c r="F11485" s="9"/>
    </row>
    <row r="11486" ht="33.75" customHeight="1">
      <c r="A11486" s="7">
        <v>495.0</v>
      </c>
      <c r="B11486" s="9" t="s">
        <v>16735</v>
      </c>
      <c r="C11486" s="9" t="s">
        <v>16736</v>
      </c>
      <c r="D11486" s="9" t="s">
        <v>99</v>
      </c>
      <c r="E11486" s="6" t="s">
        <v>16739</v>
      </c>
      <c r="F11486" s="9"/>
    </row>
    <row r="11487" ht="33.75" customHeight="1">
      <c r="A11487" s="7">
        <v>495.0</v>
      </c>
      <c r="B11487" s="9" t="s">
        <v>16735</v>
      </c>
      <c r="C11487" s="9" t="s">
        <v>16736</v>
      </c>
      <c r="D11487" s="9" t="s">
        <v>101</v>
      </c>
      <c r="E11487" s="6" t="s">
        <v>16739</v>
      </c>
      <c r="F11487" s="9"/>
    </row>
    <row r="11488" ht="33.75" customHeight="1">
      <c r="A11488" s="7">
        <v>495.0</v>
      </c>
      <c r="B11488" s="9" t="s">
        <v>16735</v>
      </c>
      <c r="C11488" s="9" t="s">
        <v>16736</v>
      </c>
      <c r="D11488" s="9" t="s">
        <v>105</v>
      </c>
      <c r="E11488" s="6" t="s">
        <v>16738</v>
      </c>
      <c r="F11488" s="9"/>
    </row>
    <row r="11489" ht="33.75" customHeight="1">
      <c r="A11489" s="7">
        <v>495.0</v>
      </c>
      <c r="B11489" s="9" t="s">
        <v>16735</v>
      </c>
      <c r="C11489" s="9" t="s">
        <v>16736</v>
      </c>
      <c r="D11489" s="9" t="s">
        <v>107</v>
      </c>
      <c r="E11489" s="6" t="s">
        <v>16739</v>
      </c>
      <c r="F11489" s="9"/>
    </row>
    <row r="11490" ht="33.75" customHeight="1">
      <c r="A11490" s="7">
        <v>495.0</v>
      </c>
      <c r="B11490" s="9" t="s">
        <v>16735</v>
      </c>
      <c r="C11490" s="9" t="s">
        <v>16736</v>
      </c>
      <c r="D11490" s="9" t="s">
        <v>109</v>
      </c>
      <c r="E11490" s="6" t="s">
        <v>16738</v>
      </c>
      <c r="F11490" s="9"/>
    </row>
    <row r="11491" ht="33.75" customHeight="1">
      <c r="A11491" s="7">
        <v>496.0</v>
      </c>
      <c r="B11491" s="9" t="s">
        <v>16741</v>
      </c>
      <c r="C11491" s="9" t="s">
        <v>16736</v>
      </c>
      <c r="D11491" s="9" t="s">
        <v>93</v>
      </c>
      <c r="E11491" s="6" t="s">
        <v>16742</v>
      </c>
      <c r="F11491" t="inlineStr" s="10">
        <is>
          <t xml:space="preserve">Servine liikkuu maassa kuin liukuen. Sen nopeat liikkeet hämmentävät vihollisiaan ja hyökkää sitten köynnösruoskalla. Ne välttävät hyökkäyksiä uppoutumalla tiheän kasvillisuuden varjoihin. Ne kostavat mestarillisilla ruoskintatekniikoilla. Kun se likaantuu, sen lehtiä ei voida käyttää fotosynteesiin, joten se pitää itsensä aina puhtaana.</t>
        </is>
      </c>
    </row>
    <row r="11492" ht="33.75" customHeight="1">
      <c r="A11492" s="7">
        <v>496.0</v>
      </c>
      <c r="B11492" s="9" t="s">
        <v>16741</v>
      </c>
      <c r="C11492" s="9" t="s">
        <v>16736</v>
      </c>
      <c r="D11492" s="9" t="s">
        <v>95</v>
      </c>
      <c r="E11492" s="6" t="s">
        <v>16743</v>
      </c>
      <c r="F11492" s="9"/>
    </row>
    <row r="11493" ht="33.75" customHeight="1">
      <c r="A11493" s="7">
        <v>496.0</v>
      </c>
      <c r="B11493" s="9" t="s">
        <v>16741</v>
      </c>
      <c r="C11493" s="9" t="s">
        <v>16736</v>
      </c>
      <c r="D11493" s="9" t="s">
        <v>98</v>
      </c>
      <c r="E11493" s="6" t="s">
        <v>16744</v>
      </c>
      <c r="F11493" s="9"/>
    </row>
    <row r="11494" ht="33.75" customHeight="1">
      <c r="A11494" s="7">
        <v>496.0</v>
      </c>
      <c r="B11494" s="9" t="s">
        <v>16741</v>
      </c>
      <c r="C11494" s="9" t="s">
        <v>16736</v>
      </c>
      <c r="D11494" s="9" t="s">
        <v>99</v>
      </c>
      <c r="E11494" s="6" t="s">
        <v>16744</v>
      </c>
      <c r="F11494" s="9"/>
    </row>
    <row r="11495" ht="33.75" customHeight="1">
      <c r="A11495" s="7">
        <v>496.0</v>
      </c>
      <c r="B11495" s="9" t="s">
        <v>16741</v>
      </c>
      <c r="C11495" s="9" t="s">
        <v>16736</v>
      </c>
      <c r="D11495" s="9" t="s">
        <v>101</v>
      </c>
      <c r="E11495" s="6" t="s">
        <v>16742</v>
      </c>
      <c r="F11495" s="9"/>
    </row>
    <row r="11496" ht="33.75" customHeight="1">
      <c r="A11496" s="7">
        <v>496.0</v>
      </c>
      <c r="B11496" s="9" t="s">
        <v>16741</v>
      </c>
      <c r="C11496" s="9" t="s">
        <v>16736</v>
      </c>
      <c r="D11496" s="9" t="s">
        <v>105</v>
      </c>
      <c r="E11496" s="6" t="s">
        <v>16744</v>
      </c>
      <c r="F11496" s="9"/>
    </row>
    <row r="11497" ht="33.75" customHeight="1">
      <c r="A11497" s="7">
        <v>496.0</v>
      </c>
      <c r="B11497" s="9" t="s">
        <v>16741</v>
      </c>
      <c r="C11497" s="9" t="s">
        <v>16736</v>
      </c>
      <c r="D11497" s="9" t="s">
        <v>107</v>
      </c>
      <c r="E11497" s="6" t="s">
        <v>16742</v>
      </c>
      <c r="F11497" s="9"/>
    </row>
    <row r="11498" ht="33.75" customHeight="1">
      <c r="A11498" s="7">
        <v>496.0</v>
      </c>
      <c r="B11498" s="9" t="s">
        <v>16741</v>
      </c>
      <c r="C11498" s="9" t="s">
        <v>16736</v>
      </c>
      <c r="D11498" s="9" t="s">
        <v>109</v>
      </c>
      <c r="E11498" s="6" t="s">
        <v>16744</v>
      </c>
      <c r="F11498" s="9"/>
    </row>
    <row r="11499" ht="33.75" customHeight="1">
      <c r="A11499" s="7">
        <v>497.0</v>
      </c>
      <c r="B11499" s="9" t="s">
        <v>16745</v>
      </c>
      <c r="C11499" s="9" t="s">
        <v>11638</v>
      </c>
      <c r="D11499" s="9" t="s">
        <v>93</v>
      </c>
      <c r="E11499" s="6" t="s">
        <v>16746</v>
      </c>
      <c r="F11499" t="inlineStr" s="10">
        <is>
          <t xml:space="preserve">Serperior voi pysäyttää vastustajiensa liikkeet pelkällä häikäisyllä. Se ottaa vastaan ​​auringon energiaa ja vahvistaa sitä sisäisesti. He nostavat päätään pelotellakseen vastustajia, mutta antavat kaikkensa vain taistellessaan voimakasta vastustajaa vastaan. Se antaa kaikkensa vain vahvoja vastustajia vastaan, joita Serperiorin jalojen silmien tuijotus ei hätkähdä.</t>
        </is>
      </c>
    </row>
    <row r="11500" ht="33.75" customHeight="1">
      <c r="A11500" s="7">
        <v>497.0</v>
      </c>
      <c r="B11500" s="9" t="s">
        <v>16745</v>
      </c>
      <c r="C11500" s="9" t="s">
        <v>11638</v>
      </c>
      <c r="D11500" s="9" t="s">
        <v>95</v>
      </c>
      <c r="E11500" s="6" t="s">
        <v>16747</v>
      </c>
      <c r="F11500" s="9"/>
    </row>
    <row r="11501" ht="33.75" customHeight="1">
      <c r="A11501" s="7">
        <v>497.0</v>
      </c>
      <c r="B11501" s="9" t="s">
        <v>16745</v>
      </c>
      <c r="C11501" s="9" t="s">
        <v>11638</v>
      </c>
      <c r="D11501" s="9" t="s">
        <v>98</v>
      </c>
      <c r="E11501" s="6" t="s">
        <v>16748</v>
      </c>
      <c r="F11501" s="9"/>
    </row>
    <row r="11502" ht="33.75" customHeight="1">
      <c r="A11502" s="7">
        <v>497.0</v>
      </c>
      <c r="B11502" s="9" t="s">
        <v>16745</v>
      </c>
      <c r="C11502" s="9" t="s">
        <v>11638</v>
      </c>
      <c r="D11502" s="9" t="s">
        <v>99</v>
      </c>
      <c r="E11502" s="6" t="s">
        <v>16748</v>
      </c>
      <c r="F11502" s="9"/>
    </row>
    <row r="11503" ht="33.75" customHeight="1">
      <c r="A11503" s="7">
        <v>497.0</v>
      </c>
      <c r="B11503" s="9" t="s">
        <v>16745</v>
      </c>
      <c r="C11503" s="9" t="s">
        <v>11638</v>
      </c>
      <c r="D11503" s="9" t="s">
        <v>101</v>
      </c>
      <c r="E11503" s="6" t="s">
        <v>16748</v>
      </c>
      <c r="F11503" s="9"/>
    </row>
    <row r="11504" ht="33.75" customHeight="1">
      <c r="A11504" s="7">
        <v>497.0</v>
      </c>
      <c r="B11504" s="9" t="s">
        <v>16745</v>
      </c>
      <c r="C11504" s="9" t="s">
        <v>11638</v>
      </c>
      <c r="D11504" s="9" t="s">
        <v>105</v>
      </c>
      <c r="E11504" s="6" t="s">
        <v>16746</v>
      </c>
      <c r="F11504" s="9"/>
    </row>
    <row r="11505" ht="33.75" customHeight="1">
      <c r="A11505" s="7">
        <v>497.0</v>
      </c>
      <c r="B11505" s="9" t="s">
        <v>16745</v>
      </c>
      <c r="C11505" s="9" t="s">
        <v>11638</v>
      </c>
      <c r="D11505" s="9" t="s">
        <v>107</v>
      </c>
      <c r="E11505" s="6" t="s">
        <v>16748</v>
      </c>
      <c r="F11505" s="9"/>
    </row>
    <row r="11506" ht="33.75" customHeight="1">
      <c r="A11506" s="7">
        <v>497.0</v>
      </c>
      <c r="B11506" s="9" t="s">
        <v>16745</v>
      </c>
      <c r="C11506" s="9" t="s">
        <v>11638</v>
      </c>
      <c r="D11506" s="9" t="s">
        <v>109</v>
      </c>
      <c r="E11506" s="6" t="s">
        <v>16746</v>
      </c>
      <c r="F11506" s="9"/>
    </row>
    <row r="11507" ht="33.75" customHeight="1">
      <c r="A11507" s="7">
        <v>498.0</v>
      </c>
      <c r="B11507" s="9" t="s">
        <v>16750</v>
      </c>
      <c r="C11507" s="9" t="s">
        <v>16751</v>
      </c>
      <c r="D11507" s="9" t="s">
        <v>93</v>
      </c>
      <c r="E11507" s="6" t="s">
        <v>16752</v>
      </c>
      <c r="F11507" t="inlineStr" s="10">
        <is>
          <t xml:space="preserve">Tepig pystyy taitavasti väistelemään vihollistensa hyökkäyksiä ampumalla nenästään tulipalloja. Se paahtaa marjoja ennen kuin syö ne. Se puhaltaa tulta nenänsä kautta. Kun se vilustuu, tulesta tulee pikimustaa savua. Se rakastaa paahdettujen marjojen syömistä, mutta joskus se innostuu liikaa ja polttaa ne rapeiksi.</t>
        </is>
      </c>
    </row>
    <row r="11508" ht="33.75" customHeight="1">
      <c r="A11508" s="7">
        <v>498.0</v>
      </c>
      <c r="B11508" s="9" t="s">
        <v>16750</v>
      </c>
      <c r="C11508" s="9" t="s">
        <v>16751</v>
      </c>
      <c r="D11508" s="9" t="s">
        <v>95</v>
      </c>
      <c r="E11508" s="6" t="s">
        <v>16753</v>
      </c>
      <c r="F11508" s="9"/>
    </row>
    <row r="11509" ht="33.75" customHeight="1">
      <c r="A11509" s="7">
        <v>498.0</v>
      </c>
      <c r="B11509" s="9" t="s">
        <v>16750</v>
      </c>
      <c r="C11509" s="9" t="s">
        <v>16751</v>
      </c>
      <c r="D11509" s="9" t="s">
        <v>98</v>
      </c>
      <c r="E11509" s="6" t="s">
        <v>16754</v>
      </c>
      <c r="F11509" s="9"/>
    </row>
    <row r="11510" ht="33.75" customHeight="1">
      <c r="A11510" s="7">
        <v>498.0</v>
      </c>
      <c r="B11510" s="9" t="s">
        <v>16750</v>
      </c>
      <c r="C11510" s="9" t="s">
        <v>16751</v>
      </c>
      <c r="D11510" s="9" t="s">
        <v>99</v>
      </c>
      <c r="E11510" s="6" t="s">
        <v>16754</v>
      </c>
      <c r="F11510" s="9"/>
    </row>
    <row r="11511" ht="33.75" customHeight="1">
      <c r="A11511" s="7">
        <v>498.0</v>
      </c>
      <c r="B11511" s="9" t="s">
        <v>16750</v>
      </c>
      <c r="C11511" s="9" t="s">
        <v>16751</v>
      </c>
      <c r="D11511" s="9" t="s">
        <v>101</v>
      </c>
      <c r="E11511" s="6" t="s">
        <v>16752</v>
      </c>
      <c r="F11511" s="9"/>
    </row>
    <row r="11512" ht="33.75" customHeight="1">
      <c r="A11512" s="7">
        <v>498.0</v>
      </c>
      <c r="B11512" s="9" t="s">
        <v>16750</v>
      </c>
      <c r="C11512" s="9" t="s">
        <v>16751</v>
      </c>
      <c r="D11512" s="9" t="s">
        <v>105</v>
      </c>
      <c r="E11512" s="6" t="s">
        <v>16754</v>
      </c>
      <c r="F11512" s="9"/>
    </row>
    <row r="11513" ht="33.75" customHeight="1">
      <c r="A11513" s="7">
        <v>498.0</v>
      </c>
      <c r="B11513" s="9" t="s">
        <v>16750</v>
      </c>
      <c r="C11513" s="9" t="s">
        <v>16751</v>
      </c>
      <c r="D11513" s="9" t="s">
        <v>107</v>
      </c>
      <c r="E11513" s="6" t="s">
        <v>16752</v>
      </c>
      <c r="F11513" s="9"/>
    </row>
    <row r="11514" ht="33.75" customHeight="1">
      <c r="A11514" s="7">
        <v>498.0</v>
      </c>
      <c r="B11514" s="9" t="s">
        <v>16750</v>
      </c>
      <c r="C11514" s="9" t="s">
        <v>16751</v>
      </c>
      <c r="D11514" s="9" t="s">
        <v>109</v>
      </c>
      <c r="E11514" s="6" t="s">
        <v>16754</v>
      </c>
      <c r="F11514" s="9"/>
    </row>
    <row r="11515" ht="33.75" customHeight="1">
      <c r="A11515" s="7">
        <v>499.0</v>
      </c>
      <c r="B11515" s="9" t="s">
        <v>16756</v>
      </c>
      <c r="C11515" s="9" t="s">
        <v>16751</v>
      </c>
      <c r="D11515" s="9" t="s">
        <v>93</v>
      </c>
      <c r="E11515" s="6" t="s">
        <v>16757</v>
      </c>
      <c r="F11515" t="inlineStr" s="10">
        <is>
          <t xml:space="preserve">Kun Pigniten sisäinen tuli leimahtaa, sen liikkeet terävöityvät ja nopeutuvat. Hädässä se päästää savua. Kaikesta, mitä se syö, tulee polttoainetta sen vatsassa olevalle liekille. Kun se suuttuu, liekin voimakkuus kasvaa. Mitä enemmän se syö, sitä enemmän polttoainetta sillä on vatsassaan olevan tulen vahvistamiseen. Tämä täyttää sen entistä suuremmalla voimalla.</t>
        </is>
      </c>
    </row>
    <row r="11516" ht="33.75" customHeight="1">
      <c r="A11516" s="7">
        <v>499.0</v>
      </c>
      <c r="B11516" s="9" t="s">
        <v>16756</v>
      </c>
      <c r="C11516" s="9" t="s">
        <v>16751</v>
      </c>
      <c r="D11516" s="9" t="s">
        <v>95</v>
      </c>
      <c r="E11516" s="6" t="s">
        <v>16758</v>
      </c>
      <c r="F11516" s="9"/>
    </row>
    <row r="11517" ht="33.75" customHeight="1">
      <c r="A11517" s="7">
        <v>499.0</v>
      </c>
      <c r="B11517" s="9" t="s">
        <v>16756</v>
      </c>
      <c r="C11517" s="9" t="s">
        <v>16751</v>
      </c>
      <c r="D11517" s="9" t="s">
        <v>98</v>
      </c>
      <c r="E11517" s="6" t="s">
        <v>16759</v>
      </c>
      <c r="F11517" s="9"/>
    </row>
    <row r="11518" ht="33.75" customHeight="1">
      <c r="A11518" s="7">
        <v>499.0</v>
      </c>
      <c r="B11518" s="9" t="s">
        <v>16756</v>
      </c>
      <c r="C11518" s="9" t="s">
        <v>16751</v>
      </c>
      <c r="D11518" s="9" t="s">
        <v>99</v>
      </c>
      <c r="E11518" s="6" t="s">
        <v>16759</v>
      </c>
      <c r="F11518" s="9"/>
    </row>
    <row r="11519" ht="33.75" customHeight="1">
      <c r="A11519" s="7">
        <v>499.0</v>
      </c>
      <c r="B11519" s="9" t="s">
        <v>16756</v>
      </c>
      <c r="C11519" s="9" t="s">
        <v>16751</v>
      </c>
      <c r="D11519" s="9" t="s">
        <v>101</v>
      </c>
      <c r="E11519" s="6" t="s">
        <v>16759</v>
      </c>
      <c r="F11519" s="9"/>
    </row>
    <row r="11520" ht="33.75" customHeight="1">
      <c r="A11520" s="7">
        <v>499.0</v>
      </c>
      <c r="B11520" s="9" t="s">
        <v>16756</v>
      </c>
      <c r="C11520" s="9" t="s">
        <v>16751</v>
      </c>
      <c r="D11520" s="9" t="s">
        <v>105</v>
      </c>
      <c r="E11520" s="6" t="s">
        <v>16757</v>
      </c>
      <c r="F11520" s="9"/>
    </row>
    <row r="11521" ht="33.75" customHeight="1">
      <c r="A11521" s="7">
        <v>499.0</v>
      </c>
      <c r="B11521" s="9" t="s">
        <v>16756</v>
      </c>
      <c r="C11521" s="9" t="s">
        <v>16751</v>
      </c>
      <c r="D11521" s="9" t="s">
        <v>107</v>
      </c>
      <c r="E11521" s="6" t="s">
        <v>16759</v>
      </c>
      <c r="F11521" s="9"/>
    </row>
    <row r="11522" ht="33.75" customHeight="1">
      <c r="A11522" s="7">
        <v>499.0</v>
      </c>
      <c r="B11522" s="9" t="s">
        <v>16756</v>
      </c>
      <c r="C11522" s="9" t="s">
        <v>16751</v>
      </c>
      <c r="D11522" s="9" t="s">
        <v>109</v>
      </c>
      <c r="E11522" s="6" t="s">
        <v>16757</v>
      </c>
      <c r="F11522" s="9"/>
    </row>
    <row r="11523" ht="33.75" customHeight="1">
      <c r="A11523" s="7">
        <v>500.0</v>
      </c>
      <c r="B11523" s="9" t="s">
        <v>16760</v>
      </c>
      <c r="C11523" s="9" t="s">
        <v>16761</v>
      </c>
      <c r="D11523" s="9" t="s">
        <v>93</v>
      </c>
      <c r="E11523" s="6" t="s">
        <v>16762</v>
      </c>
      <c r="F11523" t="inlineStr" s="10">
        <is>
          <t xml:space="preserve">Emboar voi iskeä tulisen iskun sytyttämällä nyrkkinsä tuleen tulisella leuallaan. Se välittää syvästi ystävistään. Se on oppinut nopeat ja tehokkaat taisteluliikkeet. Sille kasvaa tuliparta. Leimuava tuliparta on todiste siitä, että se on tulessa. Se on taitava käyttämään monia eri liikkeitä.</t>
        </is>
      </c>
    </row>
    <row r="11524" ht="33.75" customHeight="1">
      <c r="A11524" s="7">
        <v>500.0</v>
      </c>
      <c r="B11524" s="9" t="s">
        <v>16760</v>
      </c>
      <c r="C11524" s="9" t="s">
        <v>16761</v>
      </c>
      <c r="D11524" s="9" t="s">
        <v>95</v>
      </c>
      <c r="E11524" s="6" t="s">
        <v>16763</v>
      </c>
      <c r="F11524" s="9"/>
    </row>
    <row r="11525" ht="33.75" customHeight="1">
      <c r="A11525" s="7">
        <v>500.0</v>
      </c>
      <c r="B11525" s="9" t="s">
        <v>16760</v>
      </c>
      <c r="C11525" s="9" t="s">
        <v>16761</v>
      </c>
      <c r="D11525" s="9" t="s">
        <v>98</v>
      </c>
      <c r="E11525" s="6" t="s">
        <v>16764</v>
      </c>
      <c r="F11525" s="9"/>
    </row>
    <row r="11526" ht="33.75" customHeight="1">
      <c r="A11526" s="7">
        <v>500.0</v>
      </c>
      <c r="B11526" s="9" t="s">
        <v>16760</v>
      </c>
      <c r="C11526" s="9" t="s">
        <v>16761</v>
      </c>
      <c r="D11526" s="9" t="s">
        <v>99</v>
      </c>
      <c r="E11526" s="6" t="s">
        <v>16764</v>
      </c>
      <c r="F11526" s="9"/>
    </row>
    <row r="11527" ht="33.75" customHeight="1">
      <c r="A11527" s="7">
        <v>500.0</v>
      </c>
      <c r="B11527" s="9" t="s">
        <v>16760</v>
      </c>
      <c r="C11527" s="9" t="s">
        <v>16761</v>
      </c>
      <c r="D11527" s="9" t="s">
        <v>101</v>
      </c>
      <c r="E11527" s="6" t="s">
        <v>16762</v>
      </c>
      <c r="F11527" s="9"/>
    </row>
    <row r="11528" ht="33.75" customHeight="1">
      <c r="A11528" s="7">
        <v>500.0</v>
      </c>
      <c r="B11528" s="9" t="s">
        <v>16760</v>
      </c>
      <c r="C11528" s="9" t="s">
        <v>16761</v>
      </c>
      <c r="D11528" s="9" t="s">
        <v>105</v>
      </c>
      <c r="E11528" s="6" t="s">
        <v>16763</v>
      </c>
      <c r="F11528" s="9"/>
    </row>
    <row r="11529" ht="33.75" customHeight="1">
      <c r="A11529" s="7">
        <v>500.0</v>
      </c>
      <c r="B11529" s="9" t="s">
        <v>16760</v>
      </c>
      <c r="C11529" s="9" t="s">
        <v>16761</v>
      </c>
      <c r="D11529" s="9" t="s">
        <v>107</v>
      </c>
      <c r="E11529" s="6" t="s">
        <v>16762</v>
      </c>
      <c r="F11529" s="9"/>
    </row>
    <row r="11530" ht="33.75" customHeight="1">
      <c r="A11530" s="7">
        <v>500.0</v>
      </c>
      <c r="B11530" s="9" t="s">
        <v>16760</v>
      </c>
      <c r="C11530" s="9" t="s">
        <v>16761</v>
      </c>
      <c r="D11530" s="9" t="s">
        <v>109</v>
      </c>
      <c r="E11530" s="6" t="s">
        <v>16763</v>
      </c>
      <c r="F11530" s="9"/>
    </row>
    <row r="11531" ht="33.75" customHeight="1">
      <c r="A11531" s="7">
        <v>501.0</v>
      </c>
      <c r="B11531" s="9" t="s">
        <v>16766</v>
      </c>
      <c r="C11531" s="9" t="s">
        <v>16767</v>
      </c>
      <c r="D11531" s="9" t="s">
        <v>93</v>
      </c>
      <c r="E11531" s="6" t="s">
        <v>16768</v>
      </c>
      <c r="F11531" t="inlineStr" s="10">
        <is>
          <t xml:space="preserve">Oshawott taistelee käyttäen vatsallaan olevaa simpukkaa. Vastauksena hyökkäykseen se kostaa välittömästi viiltäen. Sen vatsassa oleva simpukka on tehty samoista osista kuin kynnet. Se irrottaa simpukan käyttääkseen sitä teränä. Sen vatsassa olevaa kampasimpukkaa ei käytetä vain taisteluun – sitä voidaan käyttää myös kovien marjojen rikkomiseen. Tämä Unova-alueen Pokémon käyttää vatsassaan olevaa kuorta aseena vihollistensa kaatamiseen. Siksi olen antanut tälle kuorelle nimen "scalchop".</t>
        </is>
      </c>
    </row>
    <row r="11532" ht="33.75" customHeight="1">
      <c r="A11532" s="7">
        <v>501.0</v>
      </c>
      <c r="B11532" s="9" t="s">
        <v>16766</v>
      </c>
      <c r="C11532" s="9" t="s">
        <v>16767</v>
      </c>
      <c r="D11532" s="9" t="s">
        <v>95</v>
      </c>
      <c r="E11532" s="6" t="s">
        <v>16769</v>
      </c>
      <c r="F11532" s="9"/>
    </row>
    <row r="11533" ht="33.75" customHeight="1">
      <c r="A11533" s="7">
        <v>501.0</v>
      </c>
      <c r="B11533" s="9" t="s">
        <v>16766</v>
      </c>
      <c r="C11533" s="9" t="s">
        <v>16767</v>
      </c>
      <c r="D11533" s="9" t="s">
        <v>98</v>
      </c>
      <c r="E11533" s="6" t="s">
        <v>16770</v>
      </c>
      <c r="F11533" s="9"/>
    </row>
    <row r="11534" ht="33.75" customHeight="1">
      <c r="A11534" s="7">
        <v>501.0</v>
      </c>
      <c r="B11534" s="9" t="s">
        <v>16766</v>
      </c>
      <c r="C11534" s="9" t="s">
        <v>16767</v>
      </c>
      <c r="D11534" s="9" t="s">
        <v>99</v>
      </c>
      <c r="E11534" s="6" t="s">
        <v>16770</v>
      </c>
      <c r="F11534" s="9"/>
    </row>
    <row r="11535" ht="33.75" customHeight="1">
      <c r="A11535" s="7">
        <v>501.0</v>
      </c>
      <c r="B11535" s="9" t="s">
        <v>16766</v>
      </c>
      <c r="C11535" s="9" t="s">
        <v>16767</v>
      </c>
      <c r="D11535" s="9" t="s">
        <v>101</v>
      </c>
      <c r="E11535" s="6" t="s">
        <v>16770</v>
      </c>
      <c r="F11535" s="9"/>
    </row>
    <row r="11536" ht="33.75" customHeight="1">
      <c r="A11536" s="7">
        <v>501.0</v>
      </c>
      <c r="B11536" s="9" t="s">
        <v>16766</v>
      </c>
      <c r="C11536" s="9" t="s">
        <v>16767</v>
      </c>
      <c r="D11536" s="9" t="s">
        <v>105</v>
      </c>
      <c r="E11536" s="6" t="s">
        <v>16768</v>
      </c>
      <c r="F11536" s="9"/>
    </row>
    <row r="11537" ht="33.75" customHeight="1">
      <c r="A11537" s="7">
        <v>501.0</v>
      </c>
      <c r="B11537" s="9" t="s">
        <v>16766</v>
      </c>
      <c r="C11537" s="9" t="s">
        <v>16767</v>
      </c>
      <c r="D11537" s="9" t="s">
        <v>107</v>
      </c>
      <c r="E11537" s="6" t="s">
        <v>16770</v>
      </c>
      <c r="F11537" s="9"/>
    </row>
    <row r="11538" ht="33.75" customHeight="1">
      <c r="A11538" s="7">
        <v>501.0</v>
      </c>
      <c r="B11538" s="9" t="s">
        <v>16766</v>
      </c>
      <c r="C11538" s="9" t="s">
        <v>16767</v>
      </c>
      <c r="D11538" s="9" t="s">
        <v>109</v>
      </c>
      <c r="E11538" s="6" t="s">
        <v>16768</v>
      </c>
      <c r="F11538" s="9"/>
    </row>
    <row r="11539" ht="33.75" customHeight="1">
      <c r="A11539" s="7">
        <v>501.0</v>
      </c>
      <c r="B11539" s="9" t="s">
        <v>16766</v>
      </c>
      <c r="C11539" s="9" t="s">
        <v>16767</v>
      </c>
      <c r="D11539" s="9" t="s">
        <v>1577</v>
      </c>
      <c r="E11539" s="6" t="s">
        <v>16772</v>
      </c>
      <c r="F11539" s="9"/>
    </row>
    <row r="11540" ht="33.75" customHeight="1">
      <c r="A11540" s="7">
        <v>502.0</v>
      </c>
      <c r="B11540" s="9" t="s">
        <v>16773</v>
      </c>
      <c r="C11540" s="9" t="s">
        <v>16774</v>
      </c>
      <c r="D11540" s="9" t="s">
        <v>93</v>
      </c>
      <c r="E11540" s="6" t="s">
        <v>16775</v>
      </c>
      <c r="F11540" t="inlineStr" s="10">
        <is>
          <t xml:space="preserve">Tiukan koulutuksen avulla se oppii virtaavan kaksoiskalskop-tekniikkansa. Kalkkunaleikkuutekniikat vaihtelevat Dewottin mukaan. Yritys ei koskaan laiminlyö kakkunsa huoltoa. Tiukan harjoittelun seurauksena jokainen Dewott oppii erilaisia ​​​​tapoja käyttää kampasimpukoita. Sen hienostunut kaksoisleikkauksen tekniikka on todennäköisesti päivittäisen harjoittelun tulos, ja se voi saada jopa terän mestarit pakenemaan tappion uhatessa.</t>
        </is>
      </c>
    </row>
    <row r="11541" ht="33.75" customHeight="1">
      <c r="A11541" s="7">
        <v>502.0</v>
      </c>
      <c r="B11541" s="9" t="s">
        <v>16773</v>
      </c>
      <c r="C11541" s="9" t="s">
        <v>16774</v>
      </c>
      <c r="D11541" s="9" t="s">
        <v>95</v>
      </c>
      <c r="E11541" s="6" t="s">
        <v>16776</v>
      </c>
      <c r="F11541" s="9"/>
    </row>
    <row r="11542" ht="33.75" customHeight="1">
      <c r="A11542" s="7">
        <v>502.0</v>
      </c>
      <c r="B11542" s="9" t="s">
        <v>16773</v>
      </c>
      <c r="C11542" s="9" t="s">
        <v>16774</v>
      </c>
      <c r="D11542" s="9" t="s">
        <v>98</v>
      </c>
      <c r="E11542" s="6" t="s">
        <v>16777</v>
      </c>
      <c r="F11542" s="9"/>
    </row>
    <row r="11543" ht="33.75" customHeight="1">
      <c r="A11543" s="7">
        <v>502.0</v>
      </c>
      <c r="B11543" s="9" t="s">
        <v>16773</v>
      </c>
      <c r="C11543" s="9" t="s">
        <v>16774</v>
      </c>
      <c r="D11543" s="9" t="s">
        <v>99</v>
      </c>
      <c r="E11543" s="6" t="s">
        <v>16777</v>
      </c>
      <c r="F11543" s="9"/>
    </row>
    <row r="11544" ht="33.75" customHeight="1">
      <c r="A11544" s="7">
        <v>502.0</v>
      </c>
      <c r="B11544" s="9" t="s">
        <v>16773</v>
      </c>
      <c r="C11544" s="9" t="s">
        <v>16774</v>
      </c>
      <c r="D11544" s="9" t="s">
        <v>101</v>
      </c>
      <c r="E11544" s="6" t="s">
        <v>16775</v>
      </c>
      <c r="F11544" s="9"/>
    </row>
    <row r="11545" ht="33.75" customHeight="1">
      <c r="A11545" s="7">
        <v>502.0</v>
      </c>
      <c r="B11545" s="9" t="s">
        <v>16773</v>
      </c>
      <c r="C11545" s="9" t="s">
        <v>16774</v>
      </c>
      <c r="D11545" s="9" t="s">
        <v>105</v>
      </c>
      <c r="E11545" s="6" t="s">
        <v>16777</v>
      </c>
      <c r="F11545" s="9"/>
    </row>
    <row r="11546" ht="33.75" customHeight="1">
      <c r="A11546" s="7">
        <v>502.0</v>
      </c>
      <c r="B11546" s="9" t="s">
        <v>16773</v>
      </c>
      <c r="C11546" s="9" t="s">
        <v>16774</v>
      </c>
      <c r="D11546" s="9" t="s">
        <v>107</v>
      </c>
      <c r="E11546" s="6" t="s">
        <v>16775</v>
      </c>
      <c r="F11546" s="9"/>
    </row>
    <row r="11547" ht="33.75" customHeight="1">
      <c r="A11547" s="7">
        <v>502.0</v>
      </c>
      <c r="B11547" s="9" t="s">
        <v>16773</v>
      </c>
      <c r="C11547" s="9" t="s">
        <v>16774</v>
      </c>
      <c r="D11547" s="9" t="s">
        <v>109</v>
      </c>
      <c r="E11547" s="6" t="s">
        <v>16777</v>
      </c>
      <c r="F11547" s="9"/>
    </row>
    <row r="11548" ht="33.75" customHeight="1">
      <c r="A11548" s="7">
        <v>502.0</v>
      </c>
      <c r="B11548" s="9" t="s">
        <v>16773</v>
      </c>
      <c r="C11548" s="9" t="s">
        <v>16774</v>
      </c>
      <c r="D11548" s="9" t="s">
        <v>1577</v>
      </c>
      <c r="E11548" s="6" t="s">
        <v>16778</v>
      </c>
      <c r="F11548" s="9"/>
    </row>
    <row r="11549" ht="33.75" customHeight="1">
      <c r="A11549" s="7">
        <v>503.0</v>
      </c>
      <c r="B11549" s="9" t="s">
        <v>16779</v>
      </c>
      <c r="C11549" s="9" t="s">
        <v>16780</v>
      </c>
      <c r="D11549" s="9" t="s">
        <v>93</v>
      </c>
      <c r="E11549" s="6" t="s">
        <v>16781</v>
      </c>
      <c r="F11549" t="inlineStr" s="10">
        <is>
          <t xml:space="preserve">Yksikin Samurottin haarniskaan kuuluvan miekan heilautus voi kaataa vastustajan. Yksinkertainen katse yhdeltä heistä hiljentää kaikki. Osa sen etummaisten jalkojen panssaroista muuttuu jättimäiseksi miekaksi. Pelkkä sen huuto riittää pelottelemaan useimpia vihollisia. Sinä aikana, kun vihollinen räpäyttää silmänsä, se voi vetää puoleensa ja sulloa etujalkoihinsa kiinnitetyt merimitarit. Kovasydäminen ja terän taitava käyttäytyminen, tämä harvinainen Samurottin muoto on Pokémonien evoluution tulos Hisuin alueella. Sen myrskyisät iskut iskeytyvät vihollisiin kuin lakkaamattomat jyskyttävät aallot.</t>
        </is>
      </c>
    </row>
    <row r="11550" ht="33.75" customHeight="1">
      <c r="A11550" s="7">
        <v>503.0</v>
      </c>
      <c r="B11550" s="9" t="s">
        <v>16779</v>
      </c>
      <c r="C11550" s="9" t="s">
        <v>16780</v>
      </c>
      <c r="D11550" s="9" t="s">
        <v>95</v>
      </c>
      <c r="E11550" s="6" t="s">
        <v>16782</v>
      </c>
      <c r="F11550" s="9"/>
    </row>
    <row r="11551" ht="33.75" customHeight="1">
      <c r="A11551" s="7">
        <v>503.0</v>
      </c>
      <c r="B11551" s="9" t="s">
        <v>16779</v>
      </c>
      <c r="C11551" s="9" t="s">
        <v>16780</v>
      </c>
      <c r="D11551" s="9" t="s">
        <v>98</v>
      </c>
      <c r="E11551" s="6" t="s">
        <v>16783</v>
      </c>
      <c r="F11551" s="9"/>
    </row>
    <row r="11552" ht="33.75" customHeight="1">
      <c r="A11552" s="7">
        <v>503.0</v>
      </c>
      <c r="B11552" s="9" t="s">
        <v>16779</v>
      </c>
      <c r="C11552" s="9" t="s">
        <v>16780</v>
      </c>
      <c r="D11552" s="9" t="s">
        <v>99</v>
      </c>
      <c r="E11552" s="6" t="s">
        <v>16783</v>
      </c>
      <c r="F11552" s="9"/>
    </row>
    <row r="11553" ht="33.75" customHeight="1">
      <c r="A11553" s="7">
        <v>503.0</v>
      </c>
      <c r="B11553" s="9" t="s">
        <v>16779</v>
      </c>
      <c r="C11553" s="9" t="s">
        <v>16780</v>
      </c>
      <c r="D11553" s="9" t="s">
        <v>101</v>
      </c>
      <c r="E11553" s="6" t="s">
        <v>16783</v>
      </c>
      <c r="F11553" s="9"/>
    </row>
    <row r="11554" ht="33.75" customHeight="1">
      <c r="A11554" s="7">
        <v>503.0</v>
      </c>
      <c r="B11554" s="9" t="s">
        <v>16779</v>
      </c>
      <c r="C11554" s="9" t="s">
        <v>16780</v>
      </c>
      <c r="D11554" s="9" t="s">
        <v>105</v>
      </c>
      <c r="E11554" s="6" t="s">
        <v>16781</v>
      </c>
      <c r="F11554" s="9"/>
    </row>
    <row r="11555" ht="33.75" customHeight="1">
      <c r="A11555" s="7">
        <v>503.0</v>
      </c>
      <c r="B11555" s="9" t="s">
        <v>16779</v>
      </c>
      <c r="C11555" s="9" t="s">
        <v>16780</v>
      </c>
      <c r="D11555" s="9" t="s">
        <v>107</v>
      </c>
      <c r="E11555" s="6" t="s">
        <v>16783</v>
      </c>
      <c r="F11555" s="9"/>
    </row>
    <row r="11556" ht="33.75" customHeight="1">
      <c r="A11556" s="7">
        <v>503.0</v>
      </c>
      <c r="B11556" s="9" t="s">
        <v>16779</v>
      </c>
      <c r="C11556" s="9" t="s">
        <v>16780</v>
      </c>
      <c r="D11556" s="9" t="s">
        <v>109</v>
      </c>
      <c r="E11556" s="6" t="s">
        <v>16781</v>
      </c>
      <c r="F11556" s="9"/>
    </row>
    <row r="11557" ht="33.75" customHeight="1">
      <c r="A11557" s="7">
        <v>503.0</v>
      </c>
      <c r="B11557" s="9" t="s">
        <v>16779</v>
      </c>
      <c r="C11557" s="9" t="s">
        <v>16780</v>
      </c>
      <c r="D11557" s="9" t="s">
        <v>1577</v>
      </c>
      <c r="E11557" s="6" t="s">
        <v>16785</v>
      </c>
      <c r="F11557" s="9"/>
    </row>
    <row r="11558" ht="33.75" customHeight="1">
      <c r="A11558" s="7">
        <v>504.0</v>
      </c>
      <c r="B11558" s="9" t="s">
        <v>16786</v>
      </c>
      <c r="C11558" s="9" t="s">
        <v>9820</v>
      </c>
      <c r="D11558" s="9" t="s">
        <v>93</v>
      </c>
      <c r="E11558" s="6" t="s">
        <v>16787</v>
      </c>
      <c r="F11558" t="inlineStr" s="10">
        <is>
          <t xml:space="preserve">Poskipusseissa säilytettävän ruoan avulla ne voivat pitää vahtia päiväkausia. Ne käyttävät häntäänsä kommunikoidakseen muiden kanssa. Ne ovat erittäin varovaisia ​​ja vuorottelevat pitääkseen pesäänsä jatkuvasti silmällä. Ilman tähystäjää ne tuntevat olonsa epävarmaksi. Erittäin varovainen, yksi niistä on aina valppaana, mutta se ei huomaa takaa tulevaa vihollista.</t>
        </is>
      </c>
    </row>
    <row r="11559" ht="33.75" customHeight="1">
      <c r="A11559" s="7">
        <v>504.0</v>
      </c>
      <c r="B11559" s="9" t="s">
        <v>16786</v>
      </c>
      <c r="C11559" s="9" t="s">
        <v>9820</v>
      </c>
      <c r="D11559" s="9" t="s">
        <v>95</v>
      </c>
      <c r="E11559" s="6" t="s">
        <v>16788</v>
      </c>
      <c r="F11559" s="9"/>
    </row>
    <row r="11560" ht="33.75" customHeight="1">
      <c r="A11560" s="7">
        <v>504.0</v>
      </c>
      <c r="B11560" s="9" t="s">
        <v>16786</v>
      </c>
      <c r="C11560" s="9" t="s">
        <v>9820</v>
      </c>
      <c r="D11560" s="9" t="s">
        <v>98</v>
      </c>
      <c r="E11560" s="6" t="s">
        <v>16789</v>
      </c>
      <c r="F11560" s="9"/>
    </row>
    <row r="11561" ht="33.75" customHeight="1">
      <c r="A11561" s="7">
        <v>504.0</v>
      </c>
      <c r="B11561" s="9" t="s">
        <v>16786</v>
      </c>
      <c r="C11561" s="9" t="s">
        <v>9820</v>
      </c>
      <c r="D11561" s="9" t="s">
        <v>99</v>
      </c>
      <c r="E11561" s="6" t="s">
        <v>16789</v>
      </c>
      <c r="F11561" s="9"/>
    </row>
    <row r="11562" ht="33.75" customHeight="1">
      <c r="A11562" s="7">
        <v>504.0</v>
      </c>
      <c r="B11562" s="9" t="s">
        <v>16786</v>
      </c>
      <c r="C11562" s="9" t="s">
        <v>9820</v>
      </c>
      <c r="D11562" s="9" t="s">
        <v>101</v>
      </c>
      <c r="E11562" s="6" t="s">
        <v>16787</v>
      </c>
      <c r="F11562" s="9"/>
    </row>
    <row r="11563" ht="33.75" customHeight="1">
      <c r="A11563" s="7">
        <v>504.0</v>
      </c>
      <c r="B11563" s="9" t="s">
        <v>16786</v>
      </c>
      <c r="C11563" s="9" t="s">
        <v>9820</v>
      </c>
      <c r="D11563" s="9" t="s">
        <v>105</v>
      </c>
      <c r="E11563" s="6" t="s">
        <v>16789</v>
      </c>
      <c r="F11563" s="9"/>
    </row>
    <row r="11564" ht="33.75" customHeight="1">
      <c r="A11564" s="7">
        <v>504.0</v>
      </c>
      <c r="B11564" s="9" t="s">
        <v>16786</v>
      </c>
      <c r="C11564" s="9" t="s">
        <v>9820</v>
      </c>
      <c r="D11564" s="9" t="s">
        <v>107</v>
      </c>
      <c r="E11564" s="6" t="s">
        <v>16787</v>
      </c>
      <c r="F11564" s="9"/>
    </row>
    <row r="11565" ht="33.75" customHeight="1">
      <c r="A11565" s="7">
        <v>504.0</v>
      </c>
      <c r="B11565" s="9" t="s">
        <v>16786</v>
      </c>
      <c r="C11565" s="9" t="s">
        <v>9820</v>
      </c>
      <c r="D11565" s="9" t="s">
        <v>109</v>
      </c>
      <c r="E11565" s="6" t="s">
        <v>16789</v>
      </c>
      <c r="F11565" s="9"/>
    </row>
    <row r="11566" ht="33.75" customHeight="1">
      <c r="A11566" s="7">
        <v>505.0</v>
      </c>
      <c r="B11566" s="9" t="s">
        <v>16790</v>
      </c>
      <c r="C11566" s="9" t="s">
        <v>16791</v>
      </c>
      <c r="D11566" s="9" t="s">
        <v>93</v>
      </c>
      <c r="E11566" s="6" t="s">
        <v>16792</v>
      </c>
      <c r="F11566" t="inlineStr" s="10">
        <is>
          <t xml:space="preserve">Nähdessään vihollisen ne nostavat pyrstönsä pystyyn ja sylkevät poskipussissaan säilytettyjen marjojen siemenet. Ne saavat ruumiinsa kuviot kiiltäviksi uhkatakseen saalistajia. Tarkka näkö auttaa niitä näkemään pimeässä. Luminesoivan aineen avulla se saa silmänsä ja vartalonsa hehkumaan ja tainnuttaa hyökkäävät vastustajat.</t>
        </is>
      </c>
    </row>
    <row r="11567" ht="33.75" customHeight="1">
      <c r="A11567" s="7">
        <v>505.0</v>
      </c>
      <c r="B11567" s="9" t="s">
        <v>16790</v>
      </c>
      <c r="C11567" s="9" t="s">
        <v>16791</v>
      </c>
      <c r="D11567" s="9" t="s">
        <v>95</v>
      </c>
      <c r="E11567" s="6" t="s">
        <v>16793</v>
      </c>
      <c r="F11567" s="9"/>
    </row>
    <row r="11568" ht="33.75" customHeight="1">
      <c r="A11568" s="7">
        <v>505.0</v>
      </c>
      <c r="B11568" s="9" t="s">
        <v>16790</v>
      </c>
      <c r="C11568" s="9" t="s">
        <v>16791</v>
      </c>
      <c r="D11568" s="9" t="s">
        <v>98</v>
      </c>
      <c r="E11568" s="6" t="s">
        <v>16794</v>
      </c>
      <c r="F11568" s="9"/>
    </row>
    <row r="11569" ht="33.75" customHeight="1">
      <c r="A11569" s="7">
        <v>505.0</v>
      </c>
      <c r="B11569" s="9" t="s">
        <v>16790</v>
      </c>
      <c r="C11569" s="9" t="s">
        <v>16791</v>
      </c>
      <c r="D11569" s="9" t="s">
        <v>99</v>
      </c>
      <c r="E11569" s="6" t="s">
        <v>16794</v>
      </c>
      <c r="F11569" s="9"/>
    </row>
    <row r="11570" ht="33.75" customHeight="1">
      <c r="A11570" s="7">
        <v>505.0</v>
      </c>
      <c r="B11570" s="9" t="s">
        <v>16790</v>
      </c>
      <c r="C11570" s="9" t="s">
        <v>16791</v>
      </c>
      <c r="D11570" s="9" t="s">
        <v>101</v>
      </c>
      <c r="E11570" s="6" t="s">
        <v>16794</v>
      </c>
      <c r="F11570" s="9"/>
    </row>
    <row r="11571" ht="33.75" customHeight="1">
      <c r="A11571" s="7">
        <v>505.0</v>
      </c>
      <c r="B11571" s="9" t="s">
        <v>16790</v>
      </c>
      <c r="C11571" s="9" t="s">
        <v>16791</v>
      </c>
      <c r="D11571" s="9" t="s">
        <v>105</v>
      </c>
      <c r="E11571" s="6" t="s">
        <v>16792</v>
      </c>
      <c r="F11571" s="9"/>
    </row>
    <row r="11572" ht="33.75" customHeight="1">
      <c r="A11572" s="7">
        <v>505.0</v>
      </c>
      <c r="B11572" s="9" t="s">
        <v>16790</v>
      </c>
      <c r="C11572" s="9" t="s">
        <v>16791</v>
      </c>
      <c r="D11572" s="9" t="s">
        <v>107</v>
      </c>
      <c r="E11572" s="6" t="s">
        <v>16794</v>
      </c>
      <c r="F11572" s="9"/>
    </row>
    <row r="11573" ht="33.75" customHeight="1">
      <c r="A11573" s="7">
        <v>505.0</v>
      </c>
      <c r="B11573" s="9" t="s">
        <v>16790</v>
      </c>
      <c r="C11573" s="9" t="s">
        <v>16791</v>
      </c>
      <c r="D11573" s="9" t="s">
        <v>109</v>
      </c>
      <c r="E11573" s="6" t="s">
        <v>16792</v>
      </c>
      <c r="F11573" s="9"/>
    </row>
    <row r="11574" ht="33.75" customHeight="1">
      <c r="A11574" s="7">
        <v>506.0</v>
      </c>
      <c r="B11574" s="9" t="s">
        <v>16796</v>
      </c>
      <c r="C11574" s="9" t="s">
        <v>3459</v>
      </c>
      <c r="D11574" s="9" t="s">
        <v>93</v>
      </c>
      <c r="E11574" s="6" t="s">
        <v>16797</v>
      </c>
      <c r="F11574" t="inlineStr" s="10">
        <is>
          <t xml:space="preserve">Lillipup kohtaa vahvoja vastustajia suurella rohkeudella. Mutta taistelussa epäedullisessa asemassa tämä älykäs Pokémon pakenee. Sen kasvojen ympärillä olevat pitkät hiukset tarjoavat hämmästyttävän tutkan, jonka avulla se aistii ympäristönsä hienovaraisia ​​muutoksia. Vaikka se on erittäin rohkea Pokémon, se on myös tarpeeksi älykäs testatakseen vihollisensa voimat ja välttääkseen taistelun. Koska se ei hauku, se on erittäin suosittu kerrostaloissa asuvien kouluttajien keskuudessa. Sen kasvoja ympäröivä pitkä turkki toimii tutkana, jonka avulla se voi tutkia vastustajiensa kuntoa. Tällä Pokémonilla on erinomainen harkintakyky. Jos se päättää, ettei pysty voittamaan vastustajaa, se kääntää välittömästi pyrstönsä ja lähtee hyökkäykseen. Tämä Pokémon on suosittu aloittelijoiden keskuudessa, koska se on älykäs, tottelee kouluttajansa käskyjä ja on helppo kasvattaa. Tämä Pokémon on rohkea mutta myös varovainen. Se käyttää kasvojaan peittävää pehmeää turkkia kerätäkseen tietoa ympäristöstään. Tämä Pokémon on paljon kirkkaampi kuin keskivertolapsi, eikä Lillipup unohda saamaansa rakkautta tai kärsimäänsä kaltoinkohtelua.</t>
        </is>
      </c>
    </row>
    <row r="11575" ht="33.75" customHeight="1">
      <c r="A11575" s="7">
        <v>506.0</v>
      </c>
      <c r="B11575" s="9" t="s">
        <v>16796</v>
      </c>
      <c r="C11575" s="9" t="s">
        <v>3459</v>
      </c>
      <c r="D11575" s="9" t="s">
        <v>95</v>
      </c>
      <c r="E11575" s="6" t="s">
        <v>16798</v>
      </c>
      <c r="F11575" s="9"/>
    </row>
    <row r="11576" ht="33.75" customHeight="1">
      <c r="A11576" s="7">
        <v>506.0</v>
      </c>
      <c r="B11576" s="9" t="s">
        <v>16796</v>
      </c>
      <c r="C11576" s="9" t="s">
        <v>3459</v>
      </c>
      <c r="D11576" s="9" t="s">
        <v>98</v>
      </c>
      <c r="E11576" s="6" t="s">
        <v>16799</v>
      </c>
      <c r="F11576" s="9"/>
    </row>
    <row r="11577" ht="33.75" customHeight="1">
      <c r="A11577" s="7">
        <v>506.0</v>
      </c>
      <c r="B11577" s="9" t="s">
        <v>16796</v>
      </c>
      <c r="C11577" s="9" t="s">
        <v>3459</v>
      </c>
      <c r="D11577" s="9" t="s">
        <v>99</v>
      </c>
      <c r="E11577" s="6" t="s">
        <v>16799</v>
      </c>
      <c r="F11577" s="9"/>
    </row>
    <row r="11578" ht="33.75" customHeight="1">
      <c r="A11578" s="7">
        <v>506.0</v>
      </c>
      <c r="B11578" s="9" t="s">
        <v>16796</v>
      </c>
      <c r="C11578" s="9" t="s">
        <v>3459</v>
      </c>
      <c r="D11578" s="9" t="s">
        <v>101</v>
      </c>
      <c r="E11578" s="6" t="s">
        <v>16798</v>
      </c>
      <c r="F11578" s="9"/>
    </row>
    <row r="11579" ht="33.75" customHeight="1">
      <c r="A11579" s="7">
        <v>506.0</v>
      </c>
      <c r="B11579" s="9" t="s">
        <v>16796</v>
      </c>
      <c r="C11579" s="9" t="s">
        <v>3459</v>
      </c>
      <c r="D11579" s="9" t="s">
        <v>105</v>
      </c>
      <c r="E11579" s="6" t="s">
        <v>16799</v>
      </c>
      <c r="F11579" s="9"/>
    </row>
    <row r="11580" ht="33.75" customHeight="1">
      <c r="A11580" s="7">
        <v>506.0</v>
      </c>
      <c r="B11580" s="9" t="s">
        <v>16796</v>
      </c>
      <c r="C11580" s="9" t="s">
        <v>3459</v>
      </c>
      <c r="D11580" s="9" t="s">
        <v>107</v>
      </c>
      <c r="E11580" s="6" t="s">
        <v>16798</v>
      </c>
      <c r="F11580" s="9"/>
    </row>
    <row r="11581" ht="33.75" customHeight="1">
      <c r="A11581" s="7">
        <v>506.0</v>
      </c>
      <c r="B11581" s="9" t="s">
        <v>16796</v>
      </c>
      <c r="C11581" s="9" t="s">
        <v>3459</v>
      </c>
      <c r="D11581" s="9" t="s">
        <v>109</v>
      </c>
      <c r="E11581" s="6" t="s">
        <v>16799</v>
      </c>
      <c r="F11581" s="9"/>
    </row>
    <row r="11582" ht="33.75" customHeight="1">
      <c r="A11582" s="7">
        <v>506.0</v>
      </c>
      <c r="B11582" s="9" t="s">
        <v>16796</v>
      </c>
      <c r="C11582" s="9" t="s">
        <v>3459</v>
      </c>
      <c r="D11582" s="9" t="s">
        <v>637</v>
      </c>
      <c r="E11582" s="6" t="s">
        <v>16800</v>
      </c>
      <c r="F11582" s="9"/>
    </row>
    <row r="11583" ht="33.75" customHeight="1">
      <c r="A11583" s="7">
        <v>506.0</v>
      </c>
      <c r="B11583" s="9" t="s">
        <v>16796</v>
      </c>
      <c r="C11583" s="9" t="s">
        <v>3459</v>
      </c>
      <c r="D11583" s="9" t="s">
        <v>642</v>
      </c>
      <c r="E11583" s="6" t="s">
        <v>16801</v>
      </c>
      <c r="F11583" s="9"/>
    </row>
    <row r="11584" ht="33.75" customHeight="1">
      <c r="A11584" s="7">
        <v>506.0</v>
      </c>
      <c r="B11584" s="9" t="s">
        <v>16796</v>
      </c>
      <c r="C11584" s="9" t="s">
        <v>3459</v>
      </c>
      <c r="D11584" s="9" t="s">
        <v>647</v>
      </c>
      <c r="E11584" s="6" t="s">
        <v>16802</v>
      </c>
      <c r="F11584" s="9"/>
    </row>
    <row r="11585" ht="33.75" customHeight="1">
      <c r="A11585" s="7">
        <v>506.0</v>
      </c>
      <c r="B11585" s="9" t="s">
        <v>16796</v>
      </c>
      <c r="C11585" s="9" t="s">
        <v>3459</v>
      </c>
      <c r="D11585" s="9" t="s">
        <v>652</v>
      </c>
      <c r="E11585" s="6" t="s">
        <v>16803</v>
      </c>
      <c r="F11585" s="9"/>
    </row>
    <row r="11586" ht="33.75" customHeight="1">
      <c r="A11586" s="7">
        <v>506.0</v>
      </c>
      <c r="B11586" s="9" t="s">
        <v>16796</v>
      </c>
      <c r="C11586" s="9" t="s">
        <v>3459</v>
      </c>
      <c r="D11586" s="9" t="s">
        <v>114</v>
      </c>
      <c r="E11586" s="6" t="s">
        <v>16804</v>
      </c>
      <c r="F11586" s="9"/>
    </row>
    <row r="11587" ht="33.75" customHeight="1">
      <c r="A11587" s="7">
        <v>506.0</v>
      </c>
      <c r="B11587" s="9" t="s">
        <v>16796</v>
      </c>
      <c r="C11587" s="9" t="s">
        <v>3459</v>
      </c>
      <c r="D11587" s="9" t="s">
        <v>117</v>
      </c>
      <c r="E11587" s="6" t="s">
        <v>16805</v>
      </c>
      <c r="F11587" s="9"/>
    </row>
    <row r="11588" ht="33.75" customHeight="1">
      <c r="A11588" s="7">
        <v>507.0</v>
      </c>
      <c r="B11588" s="9" t="s">
        <v>16806</v>
      </c>
      <c r="C11588" s="9" t="s">
        <v>16807</v>
      </c>
      <c r="D11588" s="9" t="s">
        <v>93</v>
      </c>
      <c r="E11588" s="6" t="s">
        <v>16808</v>
      </c>
      <c r="F11588" t="inlineStr" s="10">
        <is>
          <t xml:space="preserve">Sillä on musta, viittamainen turkki, joka on erittäin kova ja vähentää Herdierin saamaa vahinkoa. Se noudattaa uskollisesti kouluttajansa käskyjä. Se on auttanut kouluttajia kasvattamaan Pokémoneja jo iät ja ajat. Tämä erittäin uskollinen Pokémon auttaa kouluttajia ja pitää huolta myös muista Pokémoneista. Sen tiheä musta turkki kasvaa jatkuvasti. Sen kovan turkin hoitaminen on kallista, joten tämän Pokémonin kouluttaminen on hankalaa. Tämä Pokémon tottelee isäntänsä käskyjä uskollisesti. Se kuitenkin kieltäytyy kuuntelemasta mitään, mitä sanoo henkilö, jota se ei kunnioita. Mitä pidemmäksi sen musta turkki kasvaa, sitä kovempaa ja läpäisemättömämpää siitä tulee. Kynnet ja torahampaat eivät pääse helposti lävistämään sitä. Se on elänyt ihmisten keskuudessa niin kauan, että sen kuvia voi löytää luolien seiniltä kauan, kauan sitten. Herdier on erittäin älykäs ja ystävällinen Pokémon. Niin älykäs, että on olemassa teoria, jonka mukaan Herdier oli ensimmäinen Pokémon, joka teki parisuhteita ihmisten kanssa. Tämän Pokémonin vartaloa peittävä musta turkki on tiheä ja joustava. Jopa terävät torahampaat kimpoavat siitä irti.</t>
        </is>
      </c>
    </row>
    <row r="11589" ht="33.75" customHeight="1">
      <c r="A11589" s="7">
        <v>507.0</v>
      </c>
      <c r="B11589" s="9" t="s">
        <v>16806</v>
      </c>
      <c r="C11589" s="9" t="s">
        <v>16807</v>
      </c>
      <c r="D11589" s="9" t="s">
        <v>95</v>
      </c>
      <c r="E11589" s="6" t="s">
        <v>16809</v>
      </c>
      <c r="F11589" s="9"/>
    </row>
    <row r="11590" ht="33.75" customHeight="1">
      <c r="A11590" s="7">
        <v>507.0</v>
      </c>
      <c r="B11590" s="9" t="s">
        <v>16806</v>
      </c>
      <c r="C11590" s="9" t="s">
        <v>16807</v>
      </c>
      <c r="D11590" s="9" t="s">
        <v>98</v>
      </c>
      <c r="E11590" s="6" t="s">
        <v>16810</v>
      </c>
      <c r="F11590" s="9"/>
    </row>
    <row r="11591" ht="33.75" customHeight="1">
      <c r="A11591" s="7">
        <v>507.0</v>
      </c>
      <c r="B11591" s="9" t="s">
        <v>16806</v>
      </c>
      <c r="C11591" s="9" t="s">
        <v>16807</v>
      </c>
      <c r="D11591" s="9" t="s">
        <v>99</v>
      </c>
      <c r="E11591" s="6" t="s">
        <v>16810</v>
      </c>
      <c r="F11591" s="9"/>
    </row>
    <row r="11592" ht="33.75" customHeight="1">
      <c r="A11592" s="7">
        <v>507.0</v>
      </c>
      <c r="B11592" s="9" t="s">
        <v>16806</v>
      </c>
      <c r="C11592" s="9" t="s">
        <v>16807</v>
      </c>
      <c r="D11592" s="9" t="s">
        <v>101</v>
      </c>
      <c r="E11592" s="6" t="s">
        <v>16810</v>
      </c>
      <c r="F11592" s="9"/>
    </row>
    <row r="11593" ht="33.75" customHeight="1">
      <c r="A11593" s="7">
        <v>507.0</v>
      </c>
      <c r="B11593" s="9" t="s">
        <v>16806</v>
      </c>
      <c r="C11593" s="9" t="s">
        <v>16807</v>
      </c>
      <c r="D11593" s="9" t="s">
        <v>105</v>
      </c>
      <c r="E11593" s="6" t="s">
        <v>16808</v>
      </c>
      <c r="F11593" s="9"/>
    </row>
    <row r="11594" ht="33.75" customHeight="1">
      <c r="A11594" s="7">
        <v>507.0</v>
      </c>
      <c r="B11594" s="9" t="s">
        <v>16806</v>
      </c>
      <c r="C11594" s="9" t="s">
        <v>16807</v>
      </c>
      <c r="D11594" s="9" t="s">
        <v>107</v>
      </c>
      <c r="E11594" s="6" t="s">
        <v>16810</v>
      </c>
      <c r="F11594" s="9"/>
    </row>
    <row r="11595" ht="33.75" customHeight="1">
      <c r="A11595" s="7">
        <v>507.0</v>
      </c>
      <c r="B11595" s="9" t="s">
        <v>16806</v>
      </c>
      <c r="C11595" s="9" t="s">
        <v>16807</v>
      </c>
      <c r="D11595" s="9" t="s">
        <v>109</v>
      </c>
      <c r="E11595" s="6" t="s">
        <v>16808</v>
      </c>
      <c r="F11595" s="9"/>
    </row>
    <row r="11596" ht="33.75" customHeight="1">
      <c r="A11596" s="7">
        <v>507.0</v>
      </c>
      <c r="B11596" s="9" t="s">
        <v>16806</v>
      </c>
      <c r="C11596" s="9" t="s">
        <v>16807</v>
      </c>
      <c r="D11596" s="9" t="s">
        <v>637</v>
      </c>
      <c r="E11596" s="6" t="s">
        <v>16812</v>
      </c>
      <c r="F11596" s="9"/>
    </row>
    <row r="11597" ht="33.75" customHeight="1">
      <c r="A11597" s="7">
        <v>507.0</v>
      </c>
      <c r="B11597" s="9" t="s">
        <v>16806</v>
      </c>
      <c r="C11597" s="9" t="s">
        <v>16807</v>
      </c>
      <c r="D11597" s="9" t="s">
        <v>642</v>
      </c>
      <c r="E11597" s="6" t="s">
        <v>16813</v>
      </c>
      <c r="F11597" s="9"/>
    </row>
    <row r="11598" ht="33.75" customHeight="1">
      <c r="A11598" s="7">
        <v>507.0</v>
      </c>
      <c r="B11598" s="9" t="s">
        <v>16806</v>
      </c>
      <c r="C11598" s="9" t="s">
        <v>16807</v>
      </c>
      <c r="D11598" s="9" t="s">
        <v>647</v>
      </c>
      <c r="E11598" s="6" t="s">
        <v>16814</v>
      </c>
      <c r="F11598" s="9"/>
    </row>
    <row r="11599" ht="33.75" customHeight="1">
      <c r="A11599" s="7">
        <v>507.0</v>
      </c>
      <c r="B11599" s="9" t="s">
        <v>16806</v>
      </c>
      <c r="C11599" s="9" t="s">
        <v>16807</v>
      </c>
      <c r="D11599" s="9" t="s">
        <v>652</v>
      </c>
      <c r="E11599" s="6" t="s">
        <v>16815</v>
      </c>
      <c r="F11599" s="9"/>
    </row>
    <row r="11600" ht="33.75" customHeight="1">
      <c r="A11600" s="7">
        <v>507.0</v>
      </c>
      <c r="B11600" s="9" t="s">
        <v>16806</v>
      </c>
      <c r="C11600" s="9" t="s">
        <v>16807</v>
      </c>
      <c r="D11600" s="9" t="s">
        <v>114</v>
      </c>
      <c r="E11600" s="6" t="s">
        <v>16816</v>
      </c>
      <c r="F11600" s="9"/>
    </row>
    <row r="11601" ht="33.75" customHeight="1">
      <c r="A11601" s="7">
        <v>507.0</v>
      </c>
      <c r="B11601" s="9" t="s">
        <v>16806</v>
      </c>
      <c r="C11601" s="9" t="s">
        <v>16807</v>
      </c>
      <c r="D11601" s="9" t="s">
        <v>117</v>
      </c>
      <c r="E11601" s="6" t="s">
        <v>16817</v>
      </c>
      <c r="F11601" s="9"/>
    </row>
    <row r="11602" ht="33.75" customHeight="1">
      <c r="A11602" s="7">
        <v>508.0</v>
      </c>
      <c r="B11602" s="9" t="s">
        <v>16818</v>
      </c>
      <c r="C11602" s="9" t="s">
        <v>16819</v>
      </c>
      <c r="D11602" s="9" t="s">
        <v>93</v>
      </c>
      <c r="E11602" s="6" t="s">
        <v>16820</v>
      </c>
      <c r="F11602" t="inlineStr" s="10">
        <is>
          <t xml:space="preserve">Stoutland pelastaa vuorilla lumimyrskyjen vuoksi jumiin jääneitä ihmisiä. Sen pörröinen turkki suojaa sitä kylmältä. Tämä äärimmäisen viisas Pokémon on erinomaista merelle tai vuorille jääneiden ihmisten pelastamisessa. Sen pitkään turkkiin kääriytyminen on niin mukavaa, että ihminen pärjää hyvin jopa yön yli talvisella vuorella. Älykäs, hyväluonteinen ja urhea, se on luotettava kumppani pelastusryhmissä. Tämän viisaan Pokémonin kanssa ei ole huolta siitä, että se hyökkäisi ihmisten kimppuun. Jotkut vanhemmat jopa uskovat sen lastenhoitajaksi. Se ei välitä kylmästä pitkän ja lämpimän turkkinsa ansiosta. Alolassa asuva Stoutland näyttää hieman epämukavalta. Sen turkki on pitkä ja paksu. Kauan sitten kylmillä alueilla jokaisessa taloudessa pidettiin stoutlandinkoiraa. Nämä Pokémonit tuntuvat nauttivan ihmisten kanssa elämisestä. Jopa luonnossa pyydystetty Stoutland lämpenee ihmisille noin kolmessa päivässä. Stoutland on valtavan ylpeä vaikuttavista viiksistään. Sanotaan, että viiksien pituus määrää lajin sosiaalisen aseman.</t>
        </is>
      </c>
    </row>
    <row r="11603" ht="33.75" customHeight="1">
      <c r="A11603" s="7">
        <v>508.0</v>
      </c>
      <c r="B11603" s="9" t="s">
        <v>16818</v>
      </c>
      <c r="C11603" s="9" t="s">
        <v>16819</v>
      </c>
      <c r="D11603" s="9" t="s">
        <v>95</v>
      </c>
      <c r="E11603" s="6" t="s">
        <v>16821</v>
      </c>
      <c r="F11603" s="9"/>
    </row>
    <row r="11604" ht="33.75" customHeight="1">
      <c r="A11604" s="7">
        <v>508.0</v>
      </c>
      <c r="B11604" s="9" t="s">
        <v>16818</v>
      </c>
      <c r="C11604" s="9" t="s">
        <v>16819</v>
      </c>
      <c r="D11604" s="9" t="s">
        <v>98</v>
      </c>
      <c r="E11604" s="6" t="s">
        <v>16822</v>
      </c>
      <c r="F11604" s="9"/>
    </row>
    <row r="11605" ht="33.75" customHeight="1">
      <c r="A11605" s="7">
        <v>508.0</v>
      </c>
      <c r="B11605" s="9" t="s">
        <v>16818</v>
      </c>
      <c r="C11605" s="9" t="s">
        <v>16819</v>
      </c>
      <c r="D11605" s="9" t="s">
        <v>99</v>
      </c>
      <c r="E11605" s="6" t="s">
        <v>16822</v>
      </c>
      <c r="F11605" s="9"/>
    </row>
    <row r="11606" ht="33.75" customHeight="1">
      <c r="A11606" s="7">
        <v>508.0</v>
      </c>
      <c r="B11606" s="9" t="s">
        <v>16818</v>
      </c>
      <c r="C11606" s="9" t="s">
        <v>16819</v>
      </c>
      <c r="D11606" s="9" t="s">
        <v>101</v>
      </c>
      <c r="E11606" s="6" t="s">
        <v>16820</v>
      </c>
      <c r="F11606" s="9"/>
    </row>
    <row r="11607" ht="33.75" customHeight="1">
      <c r="A11607" s="7">
        <v>508.0</v>
      </c>
      <c r="B11607" s="9" t="s">
        <v>16818</v>
      </c>
      <c r="C11607" s="9" t="s">
        <v>16819</v>
      </c>
      <c r="D11607" s="9" t="s">
        <v>105</v>
      </c>
      <c r="E11607" s="6" t="s">
        <v>16822</v>
      </c>
      <c r="F11607" s="9"/>
    </row>
    <row r="11608" ht="33.75" customHeight="1">
      <c r="A11608" s="7">
        <v>508.0</v>
      </c>
      <c r="B11608" s="9" t="s">
        <v>16818</v>
      </c>
      <c r="C11608" s="9" t="s">
        <v>16819</v>
      </c>
      <c r="D11608" s="9" t="s">
        <v>107</v>
      </c>
      <c r="E11608" s="6" t="s">
        <v>16820</v>
      </c>
      <c r="F11608" s="9"/>
    </row>
    <row r="11609" ht="33.75" customHeight="1">
      <c r="A11609" s="7">
        <v>508.0</v>
      </c>
      <c r="B11609" s="9" t="s">
        <v>16818</v>
      </c>
      <c r="C11609" s="9" t="s">
        <v>16819</v>
      </c>
      <c r="D11609" s="9" t="s">
        <v>109</v>
      </c>
      <c r="E11609" s="6" t="s">
        <v>16822</v>
      </c>
      <c r="F11609" s="9"/>
    </row>
    <row r="11610" ht="33.75" customHeight="1">
      <c r="A11610" s="7">
        <v>508.0</v>
      </c>
      <c r="B11610" s="9" t="s">
        <v>16818</v>
      </c>
      <c r="C11610" s="9" t="s">
        <v>16819</v>
      </c>
      <c r="D11610" s="9" t="s">
        <v>637</v>
      </c>
      <c r="E11610" s="6" t="s">
        <v>16824</v>
      </c>
      <c r="F11610" s="9"/>
    </row>
    <row r="11611" ht="33.75" customHeight="1">
      <c r="A11611" s="7">
        <v>508.0</v>
      </c>
      <c r="B11611" s="9" t="s">
        <v>16818</v>
      </c>
      <c r="C11611" s="9" t="s">
        <v>16819</v>
      </c>
      <c r="D11611" s="9" t="s">
        <v>642</v>
      </c>
      <c r="E11611" s="6" t="s">
        <v>16825</v>
      </c>
      <c r="F11611" s="9"/>
    </row>
    <row r="11612" ht="33.75" customHeight="1">
      <c r="A11612" s="7">
        <v>508.0</v>
      </c>
      <c r="B11612" s="9" t="s">
        <v>16818</v>
      </c>
      <c r="C11612" s="9" t="s">
        <v>16819</v>
      </c>
      <c r="D11612" s="9" t="s">
        <v>647</v>
      </c>
      <c r="E11612" s="6" t="s">
        <v>16826</v>
      </c>
      <c r="F11612" s="9"/>
    </row>
    <row r="11613" ht="33.75" customHeight="1">
      <c r="A11613" s="7">
        <v>508.0</v>
      </c>
      <c r="B11613" s="9" t="s">
        <v>16818</v>
      </c>
      <c r="C11613" s="9" t="s">
        <v>16819</v>
      </c>
      <c r="D11613" s="9" t="s">
        <v>652</v>
      </c>
      <c r="E11613" s="6" t="s">
        <v>16827</v>
      </c>
      <c r="F11613" s="9"/>
    </row>
    <row r="11614" ht="33.75" customHeight="1">
      <c r="A11614" s="7">
        <v>508.0</v>
      </c>
      <c r="B11614" s="9" t="s">
        <v>16818</v>
      </c>
      <c r="C11614" s="9" t="s">
        <v>16819</v>
      </c>
      <c r="D11614" s="9" t="s">
        <v>114</v>
      </c>
      <c r="E11614" s="6" t="s">
        <v>16828</v>
      </c>
      <c r="F11614" s="9"/>
    </row>
    <row r="11615" ht="33.75" customHeight="1">
      <c r="A11615" s="7">
        <v>508.0</v>
      </c>
      <c r="B11615" s="9" t="s">
        <v>16818</v>
      </c>
      <c r="C11615" s="9" t="s">
        <v>16819</v>
      </c>
      <c r="D11615" s="9" t="s">
        <v>117</v>
      </c>
      <c r="E11615" s="6" t="s">
        <v>16829</v>
      </c>
      <c r="F11615" s="9"/>
    </row>
    <row r="11616" ht="33.75" customHeight="1">
      <c r="A11616" s="7">
        <v>509.0</v>
      </c>
      <c r="B11616" s="9" t="s">
        <v>16830</v>
      </c>
      <c r="C11616" s="9" t="s">
        <v>14018</v>
      </c>
      <c r="D11616" s="9" t="s">
        <v>93</v>
      </c>
      <c r="E11616" s="6" t="s">
        <v>16831</v>
      </c>
      <c r="F11616" t="inlineStr" s="10">
        <is>
          <t xml:space="preserve">He varastavat ihmisiltä huvikseen, mutta uhrit antavat heille anteeksi. Heidän petollisen söpö temppunsa on täydellinen. Sen suloinen ele on juoni. Kun uhrit menettävät vartijansa, he huomaavat tavaroidensa varastettuina. Se hyökkää terävillä kynsillä. Heidän söpö eleensä on juoni. He huijaavat ihmisiä ja varastavat heidän arvoesineitään vain nähdäkseen heidän ilmeensä. Se varastaa tavaroita ihmisiltä vain huvittaakseen itseään heidän turhautumisellaan. Tämän Pokémonin ja Nickitin välillä on kilpailuhenki. Vastustajat, jotka innostuvat sen suloisesta käytöksestä, saavat osakseen pistäviä raapaisuja sen kynsistä ja pistävää ylpeyttä sen naurusta.</t>
        </is>
      </c>
    </row>
    <row r="11617" ht="33.75" customHeight="1">
      <c r="A11617" s="7">
        <v>509.0</v>
      </c>
      <c r="B11617" s="9" t="s">
        <v>16830</v>
      </c>
      <c r="C11617" s="9" t="s">
        <v>14018</v>
      </c>
      <c r="D11617" s="9" t="s">
        <v>95</v>
      </c>
      <c r="E11617" s="6" t="s">
        <v>16832</v>
      </c>
      <c r="F11617" s="9"/>
    </row>
    <row r="11618" ht="33.75" customHeight="1">
      <c r="A11618" s="7">
        <v>509.0</v>
      </c>
      <c r="B11618" s="9" t="s">
        <v>16830</v>
      </c>
      <c r="C11618" s="9" t="s">
        <v>14018</v>
      </c>
      <c r="D11618" s="9" t="s">
        <v>98</v>
      </c>
      <c r="E11618" s="6" t="s">
        <v>16833</v>
      </c>
      <c r="F11618" s="9"/>
    </row>
    <row r="11619" ht="33.75" customHeight="1">
      <c r="A11619" s="7">
        <v>509.0</v>
      </c>
      <c r="B11619" s="9" t="s">
        <v>16830</v>
      </c>
      <c r="C11619" s="9" t="s">
        <v>14018</v>
      </c>
      <c r="D11619" s="9" t="s">
        <v>99</v>
      </c>
      <c r="E11619" s="6" t="s">
        <v>16833</v>
      </c>
      <c r="F11619" s="9"/>
    </row>
    <row r="11620" ht="33.75" customHeight="1">
      <c r="A11620" s="7">
        <v>509.0</v>
      </c>
      <c r="B11620" s="9" t="s">
        <v>16830</v>
      </c>
      <c r="C11620" s="9" t="s">
        <v>14018</v>
      </c>
      <c r="D11620" s="9" t="s">
        <v>101</v>
      </c>
      <c r="E11620" s="6" t="s">
        <v>16832</v>
      </c>
      <c r="F11620" s="9"/>
    </row>
    <row r="11621" ht="33.75" customHeight="1">
      <c r="A11621" s="7">
        <v>509.0</v>
      </c>
      <c r="B11621" s="9" t="s">
        <v>16830</v>
      </c>
      <c r="C11621" s="9" t="s">
        <v>14018</v>
      </c>
      <c r="D11621" s="9" t="s">
        <v>105</v>
      </c>
      <c r="E11621" s="6" t="s">
        <v>16831</v>
      </c>
      <c r="F11621" s="9"/>
    </row>
    <row r="11622" ht="33.75" customHeight="1">
      <c r="A11622" s="7">
        <v>509.0</v>
      </c>
      <c r="B11622" s="9" t="s">
        <v>16830</v>
      </c>
      <c r="C11622" s="9" t="s">
        <v>14018</v>
      </c>
      <c r="D11622" s="9" t="s">
        <v>107</v>
      </c>
      <c r="E11622" s="6" t="s">
        <v>16832</v>
      </c>
      <c r="F11622" s="9"/>
    </row>
    <row r="11623" ht="33.75" customHeight="1">
      <c r="A11623" s="7">
        <v>509.0</v>
      </c>
      <c r="B11623" s="9" t="s">
        <v>16830</v>
      </c>
      <c r="C11623" s="9" t="s">
        <v>14018</v>
      </c>
      <c r="D11623" s="9" t="s">
        <v>109</v>
      </c>
      <c r="E11623" s="6" t="s">
        <v>16831</v>
      </c>
      <c r="F11623" s="9"/>
    </row>
    <row r="11624" ht="33.75" customHeight="1">
      <c r="A11624" s="7">
        <v>509.0</v>
      </c>
      <c r="B11624" s="9" t="s">
        <v>16830</v>
      </c>
      <c r="C11624" s="9" t="s">
        <v>14018</v>
      </c>
      <c r="D11624" s="9" t="s">
        <v>114</v>
      </c>
      <c r="E11624" s="6" t="s">
        <v>16834</v>
      </c>
      <c r="F11624" s="9"/>
    </row>
    <row r="11625" ht="33.75" customHeight="1">
      <c r="A11625" s="7">
        <v>509.0</v>
      </c>
      <c r="B11625" s="9" t="s">
        <v>16830</v>
      </c>
      <c r="C11625" s="9" t="s">
        <v>14018</v>
      </c>
      <c r="D11625" s="9" t="s">
        <v>117</v>
      </c>
      <c r="E11625" s="6" t="s">
        <v>16835</v>
      </c>
      <c r="F11625" s="9"/>
    </row>
    <row r="11626" ht="33.75" customHeight="1">
      <c r="A11626" s="7">
        <v>510.0</v>
      </c>
      <c r="B11626" s="9" t="s">
        <v>16836</v>
      </c>
      <c r="C11626" s="9" t="s">
        <v>16837</v>
      </c>
      <c r="D11626" s="9" t="s">
        <v>93</v>
      </c>
      <c r="E11626" s="6" t="s">
        <v>16838</v>
      </c>
      <c r="F11626" t="inlineStr" s="10">
        <is>
          <t xml:space="preserve">Nämä Pokémonit katoavat ja ilmestyvät yllättäen. Monet kouluttajat ihastuvat niiden kauniiseen muotoon ja turkkiin. Se hiipii salaa kohteensa luo ja iskee takaapäin ennen kuin uhrilla on aikaa reagoida. Niiden kaunis muoto johtuu niiden kehittämistä lihaksista. Ne juoksevat äänettömästi yössä. Älä anna sen upean turkin ja elegantin hahmon hämätä. Tämä on oikukas ja ilkeä Pokémon. Tämä viekas Pokémon hiipii saaliinsa taakse päästämättä yhtään ääntä. Se kilpailee Thievulin kanssa reviiristä.</t>
        </is>
      </c>
    </row>
    <row r="11627" ht="33.75" customHeight="1">
      <c r="A11627" s="7">
        <v>510.0</v>
      </c>
      <c r="B11627" s="9" t="s">
        <v>16836</v>
      </c>
      <c r="C11627" s="9" t="s">
        <v>16837</v>
      </c>
      <c r="D11627" s="9" t="s">
        <v>95</v>
      </c>
      <c r="E11627" s="6" t="s">
        <v>16840</v>
      </c>
      <c r="F11627" s="9"/>
    </row>
    <row r="11628" ht="33.75" customHeight="1">
      <c r="A11628" s="7">
        <v>510.0</v>
      </c>
      <c r="B11628" s="9" t="s">
        <v>16836</v>
      </c>
      <c r="C11628" s="9" t="s">
        <v>16837</v>
      </c>
      <c r="D11628" s="9" t="s">
        <v>98</v>
      </c>
      <c r="E11628" s="6" t="s">
        <v>16841</v>
      </c>
      <c r="F11628" s="9"/>
    </row>
    <row r="11629" ht="33.75" customHeight="1">
      <c r="A11629" s="7">
        <v>510.0</v>
      </c>
      <c r="B11629" s="9" t="s">
        <v>16836</v>
      </c>
      <c r="C11629" s="9" t="s">
        <v>16837</v>
      </c>
      <c r="D11629" s="9" t="s">
        <v>99</v>
      </c>
      <c r="E11629" s="6" t="s">
        <v>16841</v>
      </c>
      <c r="F11629" s="9"/>
    </row>
    <row r="11630" ht="33.75" customHeight="1">
      <c r="A11630" s="7">
        <v>510.0</v>
      </c>
      <c r="B11630" s="9" t="s">
        <v>16836</v>
      </c>
      <c r="C11630" s="9" t="s">
        <v>16837</v>
      </c>
      <c r="D11630" s="9" t="s">
        <v>101</v>
      </c>
      <c r="E11630" s="6" t="s">
        <v>16841</v>
      </c>
      <c r="F11630" s="9"/>
    </row>
    <row r="11631" ht="33.75" customHeight="1">
      <c r="A11631" s="7">
        <v>510.0</v>
      </c>
      <c r="B11631" s="9" t="s">
        <v>16836</v>
      </c>
      <c r="C11631" s="9" t="s">
        <v>16837</v>
      </c>
      <c r="D11631" s="9" t="s">
        <v>105</v>
      </c>
      <c r="E11631" s="6" t="s">
        <v>16840</v>
      </c>
      <c r="F11631" s="9"/>
    </row>
    <row r="11632" ht="33.75" customHeight="1">
      <c r="A11632" s="7">
        <v>510.0</v>
      </c>
      <c r="B11632" s="9" t="s">
        <v>16836</v>
      </c>
      <c r="C11632" s="9" t="s">
        <v>16837</v>
      </c>
      <c r="D11632" s="9" t="s">
        <v>107</v>
      </c>
      <c r="E11632" s="6" t="s">
        <v>16841</v>
      </c>
      <c r="F11632" s="9"/>
    </row>
    <row r="11633" ht="33.75" customHeight="1">
      <c r="A11633" s="7">
        <v>510.0</v>
      </c>
      <c r="B11633" s="9" t="s">
        <v>16836</v>
      </c>
      <c r="C11633" s="9" t="s">
        <v>16837</v>
      </c>
      <c r="D11633" s="9" t="s">
        <v>109</v>
      </c>
      <c r="E11633" s="6" t="s">
        <v>16840</v>
      </c>
      <c r="F11633" s="9"/>
    </row>
    <row r="11634" ht="33.75" customHeight="1">
      <c r="A11634" s="7">
        <v>510.0</v>
      </c>
      <c r="B11634" s="9" t="s">
        <v>16836</v>
      </c>
      <c r="C11634" s="9" t="s">
        <v>16837</v>
      </c>
      <c r="D11634" s="9" t="s">
        <v>114</v>
      </c>
      <c r="E11634" s="6" t="s">
        <v>16842</v>
      </c>
      <c r="F11634" s="9"/>
    </row>
    <row r="11635" ht="33.75" customHeight="1">
      <c r="A11635" s="7">
        <v>510.0</v>
      </c>
      <c r="B11635" s="9" t="s">
        <v>16836</v>
      </c>
      <c r="C11635" s="9" t="s">
        <v>16837</v>
      </c>
      <c r="D11635" s="9" t="s">
        <v>117</v>
      </c>
      <c r="E11635" s="6" t="s">
        <v>16843</v>
      </c>
      <c r="F11635" s="9"/>
    </row>
    <row r="11636" ht="33.75" customHeight="1">
      <c r="A11636" s="7">
        <v>511.0</v>
      </c>
      <c r="B11636" s="9" t="s">
        <v>16844</v>
      </c>
      <c r="C11636" s="9" t="s">
        <v>16845</v>
      </c>
      <c r="D11636" s="9" t="s">
        <v>93</v>
      </c>
      <c r="E11636" s="6" t="s">
        <v>16846</v>
      </c>
      <c r="F11636" t="inlineStr" s="10">
        <is>
          <t xml:space="preserve">Tämä Pokémon asuu syvällä metsässä. Lehden syöminen sen päästä pyyhkäisee väsymyksen pois kuin taikaiskusta. Se jakaa päänsä päällä olevan lehden väsyneen näköisten Pokémonien kanssa. Näiden lehtien tiedetään lievittävän stressiä. Se on hyvä löytämään marjoja ja kerää niitä kaikkialta. Se on niin ystävällinen, että jakaa niitä ystävien kanssa.</t>
        </is>
      </c>
    </row>
    <row r="11637" ht="33.75" customHeight="1">
      <c r="A11637" s="7">
        <v>511.0</v>
      </c>
      <c r="B11637" s="9" t="s">
        <v>16844</v>
      </c>
      <c r="C11637" s="9" t="s">
        <v>16845</v>
      </c>
      <c r="D11637" s="9" t="s">
        <v>95</v>
      </c>
      <c r="E11637" s="6" t="s">
        <v>16847</v>
      </c>
      <c r="F11637" s="9"/>
    </row>
    <row r="11638" ht="33.75" customHeight="1">
      <c r="A11638" s="7">
        <v>511.0</v>
      </c>
      <c r="B11638" s="9" t="s">
        <v>16844</v>
      </c>
      <c r="C11638" s="9" t="s">
        <v>16845</v>
      </c>
      <c r="D11638" s="9" t="s">
        <v>98</v>
      </c>
      <c r="E11638" s="6" t="s">
        <v>16848</v>
      </c>
      <c r="F11638" s="9"/>
    </row>
    <row r="11639" ht="33.75" customHeight="1">
      <c r="A11639" s="7">
        <v>511.0</v>
      </c>
      <c r="B11639" s="9" t="s">
        <v>16844</v>
      </c>
      <c r="C11639" s="9" t="s">
        <v>16845</v>
      </c>
      <c r="D11639" s="9" t="s">
        <v>99</v>
      </c>
      <c r="E11639" s="6" t="s">
        <v>16848</v>
      </c>
      <c r="F11639" s="9"/>
    </row>
    <row r="11640" ht="33.75" customHeight="1">
      <c r="A11640" s="7">
        <v>511.0</v>
      </c>
      <c r="B11640" s="9" t="s">
        <v>16844</v>
      </c>
      <c r="C11640" s="9" t="s">
        <v>16845</v>
      </c>
      <c r="D11640" s="9" t="s">
        <v>101</v>
      </c>
      <c r="E11640" s="6" t="s">
        <v>16847</v>
      </c>
      <c r="F11640" s="9"/>
    </row>
    <row r="11641" ht="33.75" customHeight="1">
      <c r="A11641" s="7">
        <v>511.0</v>
      </c>
      <c r="B11641" s="9" t="s">
        <v>16844</v>
      </c>
      <c r="C11641" s="9" t="s">
        <v>16845</v>
      </c>
      <c r="D11641" s="9" t="s">
        <v>105</v>
      </c>
      <c r="E11641" s="6" t="s">
        <v>16848</v>
      </c>
      <c r="F11641" s="9"/>
    </row>
    <row r="11642" ht="33.75" customHeight="1">
      <c r="A11642" s="7">
        <v>511.0</v>
      </c>
      <c r="B11642" s="9" t="s">
        <v>16844</v>
      </c>
      <c r="C11642" s="9" t="s">
        <v>16845</v>
      </c>
      <c r="D11642" s="9" t="s">
        <v>107</v>
      </c>
      <c r="E11642" s="6" t="s">
        <v>16847</v>
      </c>
      <c r="F11642" s="9"/>
    </row>
    <row r="11643" ht="33.75" customHeight="1">
      <c r="A11643" s="7">
        <v>511.0</v>
      </c>
      <c r="B11643" s="9" t="s">
        <v>16844</v>
      </c>
      <c r="C11643" s="9" t="s">
        <v>16845</v>
      </c>
      <c r="D11643" s="9" t="s">
        <v>109</v>
      </c>
      <c r="E11643" s="6" t="s">
        <v>16848</v>
      </c>
      <c r="F11643" s="9"/>
    </row>
    <row r="11644" ht="33.75" customHeight="1">
      <c r="A11644" s="7">
        <v>512.0</v>
      </c>
      <c r="B11644" s="9" t="s">
        <v>16850</v>
      </c>
      <c r="C11644" s="9" t="s">
        <v>16851</v>
      </c>
      <c r="D11644" s="9" t="s">
        <v>93</v>
      </c>
      <c r="E11644" s="6" t="s">
        <v>16852</v>
      </c>
      <c r="F11644" t="inlineStr" s="10">
        <is>
          <t xml:space="preserve">Simisage on luonteeltaan ärhäkkä ja taistelee heiluttamalla piikkistä häntäänsä villisti ympäriinsä. Sen päässä kasvava lehti on hyvin karvas. Se hyökkää vihollisten kimppuun piikkien peittämän häntänsä iskuilla. Tämä Pokémon on luonteeltaan villi. Se iskee vihollisiaan piikkien peittämällä pyrstöllä. Sen päässä oleva lehti on karvas.</t>
        </is>
      </c>
    </row>
    <row r="11645" ht="33.75" customHeight="1">
      <c r="A11645" s="7">
        <v>512.0</v>
      </c>
      <c r="B11645" s="9" t="s">
        <v>16850</v>
      </c>
      <c r="C11645" s="9" t="s">
        <v>16851</v>
      </c>
      <c r="D11645" s="9" t="s">
        <v>95</v>
      </c>
      <c r="E11645" s="6" t="s">
        <v>16853</v>
      </c>
      <c r="F11645" s="9"/>
    </row>
    <row r="11646" ht="33.75" customHeight="1">
      <c r="A11646" s="7">
        <v>512.0</v>
      </c>
      <c r="B11646" s="9" t="s">
        <v>16850</v>
      </c>
      <c r="C11646" s="9" t="s">
        <v>16851</v>
      </c>
      <c r="D11646" s="9" t="s">
        <v>98</v>
      </c>
      <c r="E11646" s="6" t="s">
        <v>16854</v>
      </c>
      <c r="F11646" s="9"/>
    </row>
    <row r="11647" ht="33.75" customHeight="1">
      <c r="A11647" s="7">
        <v>512.0</v>
      </c>
      <c r="B11647" s="9" t="s">
        <v>16850</v>
      </c>
      <c r="C11647" s="9" t="s">
        <v>16851</v>
      </c>
      <c r="D11647" s="9" t="s">
        <v>99</v>
      </c>
      <c r="E11647" s="6" t="s">
        <v>16854</v>
      </c>
      <c r="F11647" s="9"/>
    </row>
    <row r="11648" ht="33.75" customHeight="1">
      <c r="A11648" s="7">
        <v>512.0</v>
      </c>
      <c r="B11648" s="9" t="s">
        <v>16850</v>
      </c>
      <c r="C11648" s="9" t="s">
        <v>16851</v>
      </c>
      <c r="D11648" s="9" t="s">
        <v>101</v>
      </c>
      <c r="E11648" s="6" t="s">
        <v>16853</v>
      </c>
      <c r="F11648" s="9"/>
    </row>
    <row r="11649" ht="33.75" customHeight="1">
      <c r="A11649" s="7">
        <v>512.0</v>
      </c>
      <c r="B11649" s="9" t="s">
        <v>16850</v>
      </c>
      <c r="C11649" s="9" t="s">
        <v>16851</v>
      </c>
      <c r="D11649" s="9" t="s">
        <v>105</v>
      </c>
      <c r="E11649" s="6" t="s">
        <v>16852</v>
      </c>
      <c r="F11649" s="9"/>
    </row>
    <row r="11650" ht="33.75" customHeight="1">
      <c r="A11650" s="7">
        <v>512.0</v>
      </c>
      <c r="B11650" s="9" t="s">
        <v>16850</v>
      </c>
      <c r="C11650" s="9" t="s">
        <v>16851</v>
      </c>
      <c r="D11650" s="9" t="s">
        <v>107</v>
      </c>
      <c r="E11650" s="6" t="s">
        <v>16853</v>
      </c>
      <c r="F11650" s="9"/>
    </row>
    <row r="11651" ht="33.75" customHeight="1">
      <c r="A11651" s="7">
        <v>512.0</v>
      </c>
      <c r="B11651" s="9" t="s">
        <v>16850</v>
      </c>
      <c r="C11651" s="9" t="s">
        <v>16851</v>
      </c>
      <c r="D11651" s="9" t="s">
        <v>109</v>
      </c>
      <c r="E11651" s="6" t="s">
        <v>16852</v>
      </c>
      <c r="F11651" s="9"/>
    </row>
    <row r="11652" ht="33.75" customHeight="1">
      <c r="A11652" s="7">
        <v>513.0</v>
      </c>
      <c r="B11652" s="9" t="s">
        <v>16855</v>
      </c>
      <c r="C11652" s="9" t="s">
        <v>16856</v>
      </c>
      <c r="D11652" s="9" t="s">
        <v>93</v>
      </c>
      <c r="E11652" s="6" t="s">
        <v>16857</v>
      </c>
      <c r="F11652" t="inlineStr" s="10">
        <is>
          <t xml:space="preserve">Kun se on suuttunut, Pansearin pään tupsun lämpötila nousee 600° F:een. Se käyttää tupsuaan marjojen paahtamiseen. Tämä Pokémon elää tulivuorten luolissa. Sen päässä olevan tupsun tuli voi lämpötilan nousta 184°C:een. Se on hyvin älykäs ja paahtaa marjat ennen syömistä. Se auttaa mielellään ihmisiä. Sen päässä olevan tupsun tuli voi saavuttaa 600 celsiusasteen lämpötilan.</t>
        </is>
      </c>
    </row>
    <row r="11653" ht="33.75" customHeight="1">
      <c r="A11653" s="7">
        <v>513.0</v>
      </c>
      <c r="B11653" s="9" t="s">
        <v>16855</v>
      </c>
      <c r="C11653" s="9" t="s">
        <v>16856</v>
      </c>
      <c r="D11653" s="9" t="s">
        <v>95</v>
      </c>
      <c r="E11653" s="6" t="s">
        <v>16858</v>
      </c>
      <c r="F11653" s="9"/>
    </row>
    <row r="11654" ht="33.75" customHeight="1">
      <c r="A11654" s="7">
        <v>513.0</v>
      </c>
      <c r="B11654" s="9" t="s">
        <v>16855</v>
      </c>
      <c r="C11654" s="9" t="s">
        <v>16856</v>
      </c>
      <c r="D11654" s="9" t="s">
        <v>98</v>
      </c>
      <c r="E11654" s="6" t="s">
        <v>16859</v>
      </c>
      <c r="F11654" s="9"/>
    </row>
    <row r="11655" ht="33.75" customHeight="1">
      <c r="A11655" s="7">
        <v>513.0</v>
      </c>
      <c r="B11655" s="9" t="s">
        <v>16855</v>
      </c>
      <c r="C11655" s="9" t="s">
        <v>16856</v>
      </c>
      <c r="D11655" s="9" t="s">
        <v>99</v>
      </c>
      <c r="E11655" s="6" t="s">
        <v>16859</v>
      </c>
      <c r="F11655" s="9"/>
    </row>
    <row r="11656" ht="33.75" customHeight="1">
      <c r="A11656" s="7">
        <v>513.0</v>
      </c>
      <c r="B11656" s="9" t="s">
        <v>16855</v>
      </c>
      <c r="C11656" s="9" t="s">
        <v>16856</v>
      </c>
      <c r="D11656" s="9" t="s">
        <v>101</v>
      </c>
      <c r="E11656" s="6" t="s">
        <v>16859</v>
      </c>
      <c r="F11656" s="9"/>
    </row>
    <row r="11657" ht="33.75" customHeight="1">
      <c r="A11657" s="7">
        <v>513.0</v>
      </c>
      <c r="B11657" s="9" t="s">
        <v>16855</v>
      </c>
      <c r="C11657" s="9" t="s">
        <v>16856</v>
      </c>
      <c r="D11657" s="9" t="s">
        <v>105</v>
      </c>
      <c r="E11657" s="6" t="s">
        <v>16860</v>
      </c>
      <c r="F11657" s="9"/>
    </row>
    <row r="11658" ht="33.75" customHeight="1">
      <c r="A11658" s="7">
        <v>513.0</v>
      </c>
      <c r="B11658" s="9" t="s">
        <v>16855</v>
      </c>
      <c r="C11658" s="9" t="s">
        <v>16856</v>
      </c>
      <c r="D11658" s="9" t="s">
        <v>107</v>
      </c>
      <c r="E11658" s="6" t="s">
        <v>16859</v>
      </c>
      <c r="F11658" s="9"/>
    </row>
    <row r="11659" ht="33.75" customHeight="1">
      <c r="A11659" s="7">
        <v>513.0</v>
      </c>
      <c r="B11659" s="9" t="s">
        <v>16855</v>
      </c>
      <c r="C11659" s="9" t="s">
        <v>16856</v>
      </c>
      <c r="D11659" s="9" t="s">
        <v>109</v>
      </c>
      <c r="E11659" s="6" t="s">
        <v>16860</v>
      </c>
      <c r="F11659" s="9"/>
    </row>
    <row r="11660" ht="33.75" customHeight="1">
      <c r="A11660" s="7">
        <v>514.0</v>
      </c>
      <c r="B11660" s="9" t="s">
        <v>16861</v>
      </c>
      <c r="C11660" s="9" t="s">
        <v>16862</v>
      </c>
      <c r="D11660" s="9" t="s">
        <v>93</v>
      </c>
      <c r="E11660" s="6" t="s">
        <v>16863</v>
      </c>
      <c r="F11660" t="inlineStr" s="10">
        <is>
          <t xml:space="preserve">Simisear rakastaa makeisia, koska niistä tulee energiaa sen kehossa palavalle tulelle. Sen ruumiissa palaa liekki. Se sirottelee päästään ja hännästään hiiliä polttaakseen vastustajiaan. Kun se innostuu, sen päästä ja hännästä nousee hiillosta ja se kuumenee. Jostain syystä se rakastaa makeisia.</t>
        </is>
      </c>
    </row>
    <row r="11661" ht="33.75" customHeight="1">
      <c r="A11661" s="7">
        <v>514.0</v>
      </c>
      <c r="B11661" s="9" t="s">
        <v>16861</v>
      </c>
      <c r="C11661" s="9" t="s">
        <v>16862</v>
      </c>
      <c r="D11661" s="9" t="s">
        <v>95</v>
      </c>
      <c r="E11661" s="6" t="s">
        <v>16864</v>
      </c>
      <c r="F11661" s="9"/>
    </row>
    <row r="11662" ht="33.75" customHeight="1">
      <c r="A11662" s="7">
        <v>514.0</v>
      </c>
      <c r="B11662" s="9" t="s">
        <v>16861</v>
      </c>
      <c r="C11662" s="9" t="s">
        <v>16862</v>
      </c>
      <c r="D11662" s="9" t="s">
        <v>98</v>
      </c>
      <c r="E11662" s="6" t="s">
        <v>16865</v>
      </c>
      <c r="F11662" s="9"/>
    </row>
    <row r="11663" ht="33.75" customHeight="1">
      <c r="A11663" s="7">
        <v>514.0</v>
      </c>
      <c r="B11663" s="9" t="s">
        <v>16861</v>
      </c>
      <c r="C11663" s="9" t="s">
        <v>16862</v>
      </c>
      <c r="D11663" s="9" t="s">
        <v>99</v>
      </c>
      <c r="E11663" s="6" t="s">
        <v>16865</v>
      </c>
      <c r="F11663" s="9"/>
    </row>
    <row r="11664" ht="33.75" customHeight="1">
      <c r="A11664" s="7">
        <v>514.0</v>
      </c>
      <c r="B11664" s="9" t="s">
        <v>16861</v>
      </c>
      <c r="C11664" s="9" t="s">
        <v>16862</v>
      </c>
      <c r="D11664" s="9" t="s">
        <v>101</v>
      </c>
      <c r="E11664" s="6" t="s">
        <v>16864</v>
      </c>
      <c r="F11664" s="9"/>
    </row>
    <row r="11665" ht="33.75" customHeight="1">
      <c r="A11665" s="7">
        <v>514.0</v>
      </c>
      <c r="B11665" s="9" t="s">
        <v>16861</v>
      </c>
      <c r="C11665" s="9" t="s">
        <v>16862</v>
      </c>
      <c r="D11665" s="9" t="s">
        <v>105</v>
      </c>
      <c r="E11665" s="6" t="s">
        <v>16865</v>
      </c>
      <c r="F11665" s="9"/>
    </row>
    <row r="11666" ht="33.75" customHeight="1">
      <c r="A11666" s="7">
        <v>514.0</v>
      </c>
      <c r="B11666" s="9" t="s">
        <v>16861</v>
      </c>
      <c r="C11666" s="9" t="s">
        <v>16862</v>
      </c>
      <c r="D11666" s="9" t="s">
        <v>107</v>
      </c>
      <c r="E11666" s="6" t="s">
        <v>16864</v>
      </c>
      <c r="F11666" s="9"/>
    </row>
    <row r="11667" ht="33.75" customHeight="1">
      <c r="A11667" s="7">
        <v>514.0</v>
      </c>
      <c r="B11667" s="9" t="s">
        <v>16861</v>
      </c>
      <c r="C11667" s="9" t="s">
        <v>16862</v>
      </c>
      <c r="D11667" s="9" t="s">
        <v>109</v>
      </c>
      <c r="E11667" s="6" t="s">
        <v>16865</v>
      </c>
      <c r="F11667" s="9"/>
    </row>
    <row r="11668" ht="33.75" customHeight="1">
      <c r="A11668" s="7">
        <v>515.0</v>
      </c>
      <c r="B11668" s="9" t="s">
        <v>16867</v>
      </c>
      <c r="C11668" s="9" t="s">
        <v>16868</v>
      </c>
      <c r="D11668" s="9" t="s">
        <v>93</v>
      </c>
      <c r="E11668" s="6" t="s">
        <v>16869</v>
      </c>
      <c r="F11668" t="inlineStr" s="10">
        <is>
          <t xml:space="preserve">Panpourin pään päällä olevan tupsun sisällä oleva vesi on täynnä ravinteita. Kasvit, jotka saavat sen vettä, kasvavat suuriksi. Se ei viihdy kuivissa ympäristöissä. Se pitää itsensä kosteana ampumalla pään tupsussa varastoitunutta vettä pyrstöstään. Sen pään tupsun sisällä oleva vesi on täynnä ravinteita. Se kastelee kasveja sillä häntäänsä käyttäen.</t>
        </is>
      </c>
    </row>
    <row r="11669" ht="33.75" customHeight="1">
      <c r="A11669" s="7">
        <v>515.0</v>
      </c>
      <c r="B11669" s="9" t="s">
        <v>16867</v>
      </c>
      <c r="C11669" s="9" t="s">
        <v>16868</v>
      </c>
      <c r="D11669" s="9" t="s">
        <v>95</v>
      </c>
      <c r="E11669" s="6" t="s">
        <v>16870</v>
      </c>
      <c r="F11669" s="9"/>
    </row>
    <row r="11670" ht="33.75" customHeight="1">
      <c r="A11670" s="7">
        <v>515.0</v>
      </c>
      <c r="B11670" s="9" t="s">
        <v>16867</v>
      </c>
      <c r="C11670" s="9" t="s">
        <v>16868</v>
      </c>
      <c r="D11670" s="9" t="s">
        <v>98</v>
      </c>
      <c r="E11670" s="6" t="s">
        <v>16871</v>
      </c>
      <c r="F11670" s="9"/>
    </row>
    <row r="11671" ht="33.75" customHeight="1">
      <c r="A11671" s="7">
        <v>515.0</v>
      </c>
      <c r="B11671" s="9" t="s">
        <v>16867</v>
      </c>
      <c r="C11671" s="9" t="s">
        <v>16868</v>
      </c>
      <c r="D11671" s="9" t="s">
        <v>99</v>
      </c>
      <c r="E11671" s="6" t="s">
        <v>16871</v>
      </c>
      <c r="F11671" s="9"/>
    </row>
    <row r="11672" ht="33.75" customHeight="1">
      <c r="A11672" s="7">
        <v>515.0</v>
      </c>
      <c r="B11672" s="9" t="s">
        <v>16867</v>
      </c>
      <c r="C11672" s="9" t="s">
        <v>16868</v>
      </c>
      <c r="D11672" s="9" t="s">
        <v>101</v>
      </c>
      <c r="E11672" s="6" t="s">
        <v>16871</v>
      </c>
      <c r="F11672" s="9"/>
    </row>
    <row r="11673" ht="33.75" customHeight="1">
      <c r="A11673" s="7">
        <v>515.0</v>
      </c>
      <c r="B11673" s="9" t="s">
        <v>16867</v>
      </c>
      <c r="C11673" s="9" t="s">
        <v>16868</v>
      </c>
      <c r="D11673" s="9" t="s">
        <v>105</v>
      </c>
      <c r="E11673" s="6" t="s">
        <v>16869</v>
      </c>
      <c r="F11673" s="9"/>
    </row>
    <row r="11674" ht="33.75" customHeight="1">
      <c r="A11674" s="7">
        <v>515.0</v>
      </c>
      <c r="B11674" s="9" t="s">
        <v>16867</v>
      </c>
      <c r="C11674" s="9" t="s">
        <v>16868</v>
      </c>
      <c r="D11674" s="9" t="s">
        <v>107</v>
      </c>
      <c r="E11674" s="6" t="s">
        <v>16871</v>
      </c>
      <c r="F11674" s="9"/>
    </row>
    <row r="11675" ht="33.75" customHeight="1">
      <c r="A11675" s="7">
        <v>515.0</v>
      </c>
      <c r="B11675" s="9" t="s">
        <v>16867</v>
      </c>
      <c r="C11675" s="9" t="s">
        <v>16868</v>
      </c>
      <c r="D11675" s="9" t="s">
        <v>109</v>
      </c>
      <c r="E11675" s="6" t="s">
        <v>16869</v>
      </c>
      <c r="F11675" s="9"/>
    </row>
    <row r="11676" ht="33.75" customHeight="1">
      <c r="A11676" s="7">
        <v>516.0</v>
      </c>
      <c r="B11676" s="9" t="s">
        <v>16872</v>
      </c>
      <c r="C11676" s="9" t="s">
        <v>16873</v>
      </c>
      <c r="D11676" s="9" t="s">
        <v>93</v>
      </c>
      <c r="E11676" s="6" t="s">
        <v>16874</v>
      </c>
      <c r="F11676" t="inlineStr" s="10">
        <is>
          <t xml:space="preserve">Simipourin päässä oleva tupsu pitää vettä. Kun pinta on vähissä, se täydentää tupsua imemällä vettä pyrstöllään. Sen pyrstöstä purkautuva korkeapaineinen vesi on niin voimakasta, että se voi tuhota betoniseinän. Se viihtyy paikoissa, joissa on puhdasta vettä. Kun sen tupsu on vähissä, se täydentää sitä imemällä vettä pyrstöllään.</t>
        </is>
      </c>
    </row>
    <row r="11677" ht="33.75" customHeight="1">
      <c r="A11677" s="7">
        <v>516.0</v>
      </c>
      <c r="B11677" s="9" t="s">
        <v>16872</v>
      </c>
      <c r="C11677" s="9" t="s">
        <v>16873</v>
      </c>
      <c r="D11677" s="9" t="s">
        <v>95</v>
      </c>
      <c r="E11677" s="6" t="s">
        <v>16875</v>
      </c>
      <c r="F11677" s="9"/>
    </row>
    <row r="11678" ht="33.75" customHeight="1">
      <c r="A11678" s="7">
        <v>516.0</v>
      </c>
      <c r="B11678" s="9" t="s">
        <v>16872</v>
      </c>
      <c r="C11678" s="9" t="s">
        <v>16873</v>
      </c>
      <c r="D11678" s="9" t="s">
        <v>98</v>
      </c>
      <c r="E11678" s="6" t="s">
        <v>16876</v>
      </c>
      <c r="F11678" s="9"/>
    </row>
    <row r="11679" ht="33.75" customHeight="1">
      <c r="A11679" s="7">
        <v>516.0</v>
      </c>
      <c r="B11679" s="9" t="s">
        <v>16872</v>
      </c>
      <c r="C11679" s="9" t="s">
        <v>16873</v>
      </c>
      <c r="D11679" s="9" t="s">
        <v>99</v>
      </c>
      <c r="E11679" s="6" t="s">
        <v>16876</v>
      </c>
      <c r="F11679" s="9"/>
    </row>
    <row r="11680" ht="33.75" customHeight="1">
      <c r="A11680" s="7">
        <v>516.0</v>
      </c>
      <c r="B11680" s="9" t="s">
        <v>16872</v>
      </c>
      <c r="C11680" s="9" t="s">
        <v>16873</v>
      </c>
      <c r="D11680" s="9" t="s">
        <v>101</v>
      </c>
      <c r="E11680" s="6" t="s">
        <v>16875</v>
      </c>
      <c r="F11680" s="9"/>
    </row>
    <row r="11681" ht="33.75" customHeight="1">
      <c r="A11681" s="7">
        <v>516.0</v>
      </c>
      <c r="B11681" s="9" t="s">
        <v>16872</v>
      </c>
      <c r="C11681" s="9" t="s">
        <v>16873</v>
      </c>
      <c r="D11681" s="9" t="s">
        <v>105</v>
      </c>
      <c r="E11681" s="6" t="s">
        <v>16876</v>
      </c>
      <c r="F11681" s="9"/>
    </row>
    <row r="11682" ht="33.75" customHeight="1">
      <c r="A11682" s="7">
        <v>516.0</v>
      </c>
      <c r="B11682" s="9" t="s">
        <v>16872</v>
      </c>
      <c r="C11682" s="9" t="s">
        <v>16873</v>
      </c>
      <c r="D11682" s="9" t="s">
        <v>107</v>
      </c>
      <c r="E11682" s="6" t="s">
        <v>16875</v>
      </c>
      <c r="F11682" s="9"/>
    </row>
    <row r="11683" ht="33.75" customHeight="1">
      <c r="A11683" s="7">
        <v>516.0</v>
      </c>
      <c r="B11683" s="9" t="s">
        <v>16872</v>
      </c>
      <c r="C11683" s="9" t="s">
        <v>16873</v>
      </c>
      <c r="D11683" s="9" t="s">
        <v>109</v>
      </c>
      <c r="E11683" s="6" t="s">
        <v>16876</v>
      </c>
      <c r="F11683" s="9"/>
    </row>
    <row r="11684" ht="33.75" customHeight="1">
      <c r="A11684" s="7">
        <v>517.0</v>
      </c>
      <c r="B11684" s="9" t="s">
        <v>16878</v>
      </c>
      <c r="C11684" s="9" t="s">
        <v>16879</v>
      </c>
      <c r="D11684" s="9" t="s">
        <v>93</v>
      </c>
      <c r="E11684" s="6" t="s">
        <v>16880</v>
      </c>
      <c r="F11684" t="inlineStr" s="10">
        <is>
          <t xml:space="preserve">Munnat leijuvat aina ilmassa. Ihmiset, joiden unet ne syövät, unohtavat, mistä unissa oli kyse. Se syö ihmisten ja Pokémonien unia. Kun se syö miellyttävän unen, se työntää ulos vaaleanpunaista usvaa. Tämä Pokémon ilmestyy painajaisia ​​näkevien ihmisten ja Pokémonien eteen ja syö nuo unet. Myöhään yöllä se ilmestyy ihmisten tyynyjen viereen. Unien syödessään sen kehon kuviot hehkuvat himmeästi. Se syö unia ja vapauttaa usvaa. Sumu on vaaleanpunaista, kun se syö hyvää unta, ja mustaa, kun se syö painajaista.</t>
        </is>
      </c>
    </row>
    <row r="11685" ht="33.75" customHeight="1">
      <c r="A11685" s="7">
        <v>517.0</v>
      </c>
      <c r="B11685" s="9" t="s">
        <v>16878</v>
      </c>
      <c r="C11685" s="9" t="s">
        <v>16879</v>
      </c>
      <c r="D11685" s="9" t="s">
        <v>95</v>
      </c>
      <c r="E11685" s="6" t="s">
        <v>16881</v>
      </c>
      <c r="F11685" s="9"/>
    </row>
    <row r="11686" ht="33.75" customHeight="1">
      <c r="A11686" s="7">
        <v>517.0</v>
      </c>
      <c r="B11686" s="9" t="s">
        <v>16878</v>
      </c>
      <c r="C11686" s="9" t="s">
        <v>16879</v>
      </c>
      <c r="D11686" s="9" t="s">
        <v>98</v>
      </c>
      <c r="E11686" s="6" t="s">
        <v>16882</v>
      </c>
      <c r="F11686" s="9"/>
    </row>
    <row r="11687" ht="33.75" customHeight="1">
      <c r="A11687" s="7">
        <v>517.0</v>
      </c>
      <c r="B11687" s="9" t="s">
        <v>16878</v>
      </c>
      <c r="C11687" s="9" t="s">
        <v>16879</v>
      </c>
      <c r="D11687" s="9" t="s">
        <v>99</v>
      </c>
      <c r="E11687" s="6" t="s">
        <v>16882</v>
      </c>
      <c r="F11687" s="9"/>
    </row>
    <row r="11688" ht="33.75" customHeight="1">
      <c r="A11688" s="7">
        <v>517.0</v>
      </c>
      <c r="B11688" s="9" t="s">
        <v>16878</v>
      </c>
      <c r="C11688" s="9" t="s">
        <v>16879</v>
      </c>
      <c r="D11688" s="9" t="s">
        <v>101</v>
      </c>
      <c r="E11688" s="6" t="s">
        <v>16882</v>
      </c>
      <c r="F11688" s="9"/>
    </row>
    <row r="11689" ht="33.75" customHeight="1">
      <c r="A11689" s="7">
        <v>517.0</v>
      </c>
      <c r="B11689" s="9" t="s">
        <v>16878</v>
      </c>
      <c r="C11689" s="9" t="s">
        <v>16879</v>
      </c>
      <c r="D11689" s="9" t="s">
        <v>105</v>
      </c>
      <c r="E11689" s="6" t="s">
        <v>16881</v>
      </c>
      <c r="F11689" s="9"/>
    </row>
    <row r="11690" ht="33.75" customHeight="1">
      <c r="A11690" s="7">
        <v>517.0</v>
      </c>
      <c r="B11690" s="9" t="s">
        <v>16878</v>
      </c>
      <c r="C11690" s="9" t="s">
        <v>16879</v>
      </c>
      <c r="D11690" s="9" t="s">
        <v>107</v>
      </c>
      <c r="E11690" s="6" t="s">
        <v>16882</v>
      </c>
      <c r="F11690" s="9"/>
    </row>
    <row r="11691" ht="33.75" customHeight="1">
      <c r="A11691" s="7">
        <v>517.0</v>
      </c>
      <c r="B11691" s="9" t="s">
        <v>16878</v>
      </c>
      <c r="C11691" s="9" t="s">
        <v>16879</v>
      </c>
      <c r="D11691" s="9" t="s">
        <v>109</v>
      </c>
      <c r="E11691" s="6" t="s">
        <v>16881</v>
      </c>
      <c r="F11691" s="9"/>
    </row>
    <row r="11692" ht="33.75" customHeight="1">
      <c r="A11692" s="7">
        <v>517.0</v>
      </c>
      <c r="B11692" s="9" t="s">
        <v>16878</v>
      </c>
      <c r="C11692" s="9" t="s">
        <v>16879</v>
      </c>
      <c r="D11692" s="9" t="s">
        <v>114</v>
      </c>
      <c r="E11692" s="6" t="s">
        <v>16883</v>
      </c>
      <c r="F11692" s="9"/>
    </row>
    <row r="11693" ht="33.75" customHeight="1">
      <c r="A11693" s="7">
        <v>517.0</v>
      </c>
      <c r="B11693" s="9" t="s">
        <v>16878</v>
      </c>
      <c r="C11693" s="9" t="s">
        <v>16879</v>
      </c>
      <c r="D11693" s="9" t="s">
        <v>117</v>
      </c>
      <c r="E11693" s="6" t="s">
        <v>16884</v>
      </c>
      <c r="F11693" s="9"/>
    </row>
    <row r="11694" ht="33.75" customHeight="1">
      <c r="A11694" s="7">
        <v>518.0</v>
      </c>
      <c r="B11694" s="9" t="s">
        <v>16885</v>
      </c>
      <c r="C11694" s="9" t="s">
        <v>16886</v>
      </c>
      <c r="D11694" s="9" t="s">
        <v>93</v>
      </c>
      <c r="E11694" s="6" t="s">
        <v>16887</v>
      </c>
      <c r="F11694" t="inlineStr" s="10">
        <is>
          <t xml:space="preserve">Heidän otsastaan ​​purkautuva usva on täynnä ihmisten ja Pokémonien unia. Otsastaan ​​tulevalla sumulla se voi luoda muotoja syömistään unista. Sen otsasta tuleva unisumu muuttuu moniin eri väreihin syödyn unen mukaan. Kun sen ruumiista lähtee synkkiä usvia, älä mene liian lähelle. Jos teet niin, painajaisistasi tulee totta. Se torkkuu ja näkee unia koko ajan. On parasta antaa sen olla rauhassa, jos se on juuri herännyt, sillä se on kauhea ärtyisä, kun se herätetään juuri unesta.</t>
        </is>
      </c>
    </row>
    <row r="11695" ht="33.75" customHeight="1">
      <c r="A11695" s="7">
        <v>518.0</v>
      </c>
      <c r="B11695" s="9" t="s">
        <v>16885</v>
      </c>
      <c r="C11695" s="9" t="s">
        <v>16886</v>
      </c>
      <c r="D11695" s="9" t="s">
        <v>95</v>
      </c>
      <c r="E11695" s="6" t="s">
        <v>16888</v>
      </c>
      <c r="F11695" s="9"/>
    </row>
    <row r="11696" ht="33.75" customHeight="1">
      <c r="A11696" s="7">
        <v>518.0</v>
      </c>
      <c r="B11696" s="9" t="s">
        <v>16885</v>
      </c>
      <c r="C11696" s="9" t="s">
        <v>16886</v>
      </c>
      <c r="D11696" s="9" t="s">
        <v>98</v>
      </c>
      <c r="E11696" s="6" t="s">
        <v>16889</v>
      </c>
      <c r="F11696" s="9"/>
    </row>
    <row r="11697" ht="33.75" customHeight="1">
      <c r="A11697" s="7">
        <v>518.0</v>
      </c>
      <c r="B11697" s="9" t="s">
        <v>16885</v>
      </c>
      <c r="C11697" s="9" t="s">
        <v>16886</v>
      </c>
      <c r="D11697" s="9" t="s">
        <v>99</v>
      </c>
      <c r="E11697" s="6" t="s">
        <v>16889</v>
      </c>
      <c r="F11697" s="9"/>
    </row>
    <row r="11698" ht="33.75" customHeight="1">
      <c r="A11698" s="7">
        <v>518.0</v>
      </c>
      <c r="B11698" s="9" t="s">
        <v>16885</v>
      </c>
      <c r="C11698" s="9" t="s">
        <v>16886</v>
      </c>
      <c r="D11698" s="9" t="s">
        <v>101</v>
      </c>
      <c r="E11698" s="6" t="s">
        <v>16887</v>
      </c>
      <c r="F11698" s="9"/>
    </row>
    <row r="11699" ht="33.75" customHeight="1">
      <c r="A11699" s="7">
        <v>518.0</v>
      </c>
      <c r="B11699" s="9" t="s">
        <v>16885</v>
      </c>
      <c r="C11699" s="9" t="s">
        <v>16886</v>
      </c>
      <c r="D11699" s="9" t="s">
        <v>105</v>
      </c>
      <c r="E11699" s="6" t="s">
        <v>16889</v>
      </c>
      <c r="F11699" s="9"/>
    </row>
    <row r="11700" ht="33.75" customHeight="1">
      <c r="A11700" s="7">
        <v>518.0</v>
      </c>
      <c r="B11700" s="9" t="s">
        <v>16885</v>
      </c>
      <c r="C11700" s="9" t="s">
        <v>16886</v>
      </c>
      <c r="D11700" s="9" t="s">
        <v>107</v>
      </c>
      <c r="E11700" s="6" t="s">
        <v>16887</v>
      </c>
      <c r="F11700" s="9"/>
    </row>
    <row r="11701" ht="33.75" customHeight="1">
      <c r="A11701" s="7">
        <v>518.0</v>
      </c>
      <c r="B11701" s="9" t="s">
        <v>16885</v>
      </c>
      <c r="C11701" s="9" t="s">
        <v>16886</v>
      </c>
      <c r="D11701" s="9" t="s">
        <v>109</v>
      </c>
      <c r="E11701" s="6" t="s">
        <v>16889</v>
      </c>
      <c r="F11701" s="9"/>
    </row>
    <row r="11702" ht="33.75" customHeight="1">
      <c r="A11702" s="7">
        <v>518.0</v>
      </c>
      <c r="B11702" s="9" t="s">
        <v>16885</v>
      </c>
      <c r="C11702" s="9" t="s">
        <v>16886</v>
      </c>
      <c r="D11702" s="9" t="s">
        <v>114</v>
      </c>
      <c r="E11702" s="6" t="s">
        <v>16890</v>
      </c>
      <c r="F11702" s="9"/>
    </row>
    <row r="11703" ht="33.75" customHeight="1">
      <c r="A11703" s="7">
        <v>518.0</v>
      </c>
      <c r="B11703" s="9" t="s">
        <v>16885</v>
      </c>
      <c r="C11703" s="9" t="s">
        <v>16886</v>
      </c>
      <c r="D11703" s="9" t="s">
        <v>117</v>
      </c>
      <c r="E11703" s="6" t="s">
        <v>16891</v>
      </c>
      <c r="F11703" s="9"/>
    </row>
    <row r="11704" ht="33.75" customHeight="1">
      <c r="A11704" s="7">
        <v>519.0</v>
      </c>
      <c r="B11704" s="9" t="s">
        <v>16892</v>
      </c>
      <c r="C11704" s="9" t="s">
        <v>16893</v>
      </c>
      <c r="D11704" s="9" t="s">
        <v>93</v>
      </c>
      <c r="E11704" s="6" t="s">
        <v>16894</v>
      </c>
      <c r="F11704" t="inlineStr" s="10">
        <is>
          <t xml:space="preserve">Jokainen noudattaa kouluttajansa käskyjä parhaansa mukaan, mutta joskus ne eivät ymmärrä monimutkaisia ​​komentoja. Nämä Pokémonit asuvat kaupungeissa. Ne ovat tottuneet ihmisiin. Parvet kokoontuvat usein puistoihin ja aukioille. Tämä hyvin hajamielinen Pokémon odottaa uutta käskyä kouluttajaltaan, vaikka sillä jo on sellainen. Minne ihmiset menevät, nämä Pokémonit seuraavat. Jos levität niille ruokaa, ole varovainen – niitä voi kerääntyä useita satoja kerralla. Se on hajamielinen eikä kovin älykäs, mutta monet kouluttajat rakastavat sitä joka tapauksessa sen ystävällisyyden ja vilpittömyyden vuoksi.</t>
        </is>
      </c>
    </row>
    <row r="11705" ht="33.75" customHeight="1">
      <c r="A11705" s="7">
        <v>519.0</v>
      </c>
      <c r="B11705" s="9" t="s">
        <v>16892</v>
      </c>
      <c r="C11705" s="9" t="s">
        <v>16893</v>
      </c>
      <c r="D11705" s="9" t="s">
        <v>95</v>
      </c>
      <c r="E11705" s="6" t="s">
        <v>16895</v>
      </c>
      <c r="F11705" s="9"/>
    </row>
    <row r="11706" ht="33.75" customHeight="1">
      <c r="A11706" s="7">
        <v>519.0</v>
      </c>
      <c r="B11706" s="9" t="s">
        <v>16892</v>
      </c>
      <c r="C11706" s="9" t="s">
        <v>16893</v>
      </c>
      <c r="D11706" s="9" t="s">
        <v>98</v>
      </c>
      <c r="E11706" s="6" t="s">
        <v>16897</v>
      </c>
      <c r="F11706" s="9"/>
    </row>
    <row r="11707" ht="33.75" customHeight="1">
      <c r="A11707" s="7">
        <v>519.0</v>
      </c>
      <c r="B11707" s="9" t="s">
        <v>16892</v>
      </c>
      <c r="C11707" s="9" t="s">
        <v>16893</v>
      </c>
      <c r="D11707" s="9" t="s">
        <v>99</v>
      </c>
      <c r="E11707" s="6" t="s">
        <v>16897</v>
      </c>
      <c r="F11707" s="9"/>
    </row>
    <row r="11708" ht="33.75" customHeight="1">
      <c r="A11708" s="7">
        <v>519.0</v>
      </c>
      <c r="B11708" s="9" t="s">
        <v>16892</v>
      </c>
      <c r="C11708" s="9" t="s">
        <v>16893</v>
      </c>
      <c r="D11708" s="9" t="s">
        <v>101</v>
      </c>
      <c r="E11708" s="6" t="s">
        <v>16897</v>
      </c>
      <c r="F11708" s="9"/>
    </row>
    <row r="11709" ht="33.75" customHeight="1">
      <c r="A11709" s="7">
        <v>519.0</v>
      </c>
      <c r="B11709" s="9" t="s">
        <v>16892</v>
      </c>
      <c r="C11709" s="9" t="s">
        <v>16893</v>
      </c>
      <c r="D11709" s="9" t="s">
        <v>105</v>
      </c>
      <c r="E11709" s="6" t="s">
        <v>16895</v>
      </c>
      <c r="F11709" s="9"/>
    </row>
    <row r="11710" ht="33.75" customHeight="1">
      <c r="A11710" s="7">
        <v>519.0</v>
      </c>
      <c r="B11710" s="9" t="s">
        <v>16892</v>
      </c>
      <c r="C11710" s="9" t="s">
        <v>16893</v>
      </c>
      <c r="D11710" s="9" t="s">
        <v>107</v>
      </c>
      <c r="E11710" s="6" t="s">
        <v>16897</v>
      </c>
      <c r="F11710" s="9"/>
    </row>
    <row r="11711" ht="33.75" customHeight="1">
      <c r="A11711" s="7">
        <v>519.0</v>
      </c>
      <c r="B11711" s="9" t="s">
        <v>16892</v>
      </c>
      <c r="C11711" s="9" t="s">
        <v>16893</v>
      </c>
      <c r="D11711" s="9" t="s">
        <v>109</v>
      </c>
      <c r="E11711" s="6" t="s">
        <v>16895</v>
      </c>
      <c r="F11711" s="9"/>
    </row>
    <row r="11712" ht="33.75" customHeight="1">
      <c r="A11712" s="7">
        <v>519.0</v>
      </c>
      <c r="B11712" s="9" t="s">
        <v>16892</v>
      </c>
      <c r="C11712" s="9" t="s">
        <v>16893</v>
      </c>
      <c r="D11712" s="9" t="s">
        <v>114</v>
      </c>
      <c r="E11712" s="6" t="s">
        <v>16898</v>
      </c>
      <c r="F11712" s="9"/>
    </row>
    <row r="11713" ht="33.75" customHeight="1">
      <c r="A11713" s="7">
        <v>519.0</v>
      </c>
      <c r="B11713" s="9" t="s">
        <v>16892</v>
      </c>
      <c r="C11713" s="9" t="s">
        <v>16893</v>
      </c>
      <c r="D11713" s="9" t="s">
        <v>117</v>
      </c>
      <c r="E11713" s="6" t="s">
        <v>16899</v>
      </c>
      <c r="F11713" s="9"/>
    </row>
    <row r="11714" ht="33.75" customHeight="1">
      <c r="A11714" s="7">
        <v>520.0</v>
      </c>
      <c r="B11714" s="9" t="s">
        <v>16900</v>
      </c>
      <c r="C11714" s="9" t="s">
        <v>16901</v>
      </c>
      <c r="D11714" s="9" t="s">
        <v>93</v>
      </c>
      <c r="E11714" s="6" t="s">
        <v>16902</v>
      </c>
      <c r="F11714" t="inlineStr" s="10">
        <is>
          <t xml:space="preserve">Tranquill voi palata kouluttajansa sijaintiin riippumatta niiden välisestä etäisyydestä. Monet ihmiset uskovat, että syvällä metsässä, jossa Tranquillit asuvat, on rauhallinen paikka, jossa ei ole sotaa. Minne tahansa maailmassa se meneekin, se tietää missä sen pesä on, joten se ei koskaan erota kouluttajastaan. Se voi lentää kohtalaisen nopeasti. Matkan pituudesta riippumatta se löytää aina tiensä takaisin isäntänsä luo ja pesäänsä. Näillä kirkkailla Pokémoneilla on tarkka muisti. Ilmeisesti lähetit valitsevat heidät usein kumppaneikseen.</t>
        </is>
      </c>
    </row>
    <row r="11715" ht="33.75" customHeight="1">
      <c r="A11715" s="7">
        <v>520.0</v>
      </c>
      <c r="B11715" s="9" t="s">
        <v>16900</v>
      </c>
      <c r="C11715" s="9" t="s">
        <v>16901</v>
      </c>
      <c r="D11715" s="9" t="s">
        <v>95</v>
      </c>
      <c r="E11715" s="6" t="s">
        <v>16903</v>
      </c>
      <c r="F11715" s="9"/>
    </row>
    <row r="11716" ht="33.75" customHeight="1">
      <c r="A11716" s="7">
        <v>520.0</v>
      </c>
      <c r="B11716" s="9" t="s">
        <v>16900</v>
      </c>
      <c r="C11716" s="9" t="s">
        <v>16901</v>
      </c>
      <c r="D11716" s="9" t="s">
        <v>98</v>
      </c>
      <c r="E11716" s="6" t="s">
        <v>16904</v>
      </c>
      <c r="F11716" s="9"/>
    </row>
    <row r="11717" ht="33.75" customHeight="1">
      <c r="A11717" s="7">
        <v>520.0</v>
      </c>
      <c r="B11717" s="9" t="s">
        <v>16900</v>
      </c>
      <c r="C11717" s="9" t="s">
        <v>16901</v>
      </c>
      <c r="D11717" s="9" t="s">
        <v>99</v>
      </c>
      <c r="E11717" s="6" t="s">
        <v>16904</v>
      </c>
      <c r="F11717" s="9"/>
    </row>
    <row r="11718" ht="33.75" customHeight="1">
      <c r="A11718" s="7">
        <v>520.0</v>
      </c>
      <c r="B11718" s="9" t="s">
        <v>16900</v>
      </c>
      <c r="C11718" s="9" t="s">
        <v>16901</v>
      </c>
      <c r="D11718" s="9" t="s">
        <v>101</v>
      </c>
      <c r="E11718" s="6" t="s">
        <v>16903</v>
      </c>
      <c r="F11718" s="9"/>
    </row>
    <row r="11719" ht="33.75" customHeight="1">
      <c r="A11719" s="7">
        <v>520.0</v>
      </c>
      <c r="B11719" s="9" t="s">
        <v>16900</v>
      </c>
      <c r="C11719" s="9" t="s">
        <v>16901</v>
      </c>
      <c r="D11719" s="9" t="s">
        <v>105</v>
      </c>
      <c r="E11719" s="6" t="s">
        <v>16904</v>
      </c>
      <c r="F11719" s="9"/>
    </row>
    <row r="11720" ht="33.75" customHeight="1">
      <c r="A11720" s="7">
        <v>520.0</v>
      </c>
      <c r="B11720" s="9" t="s">
        <v>16900</v>
      </c>
      <c r="C11720" s="9" t="s">
        <v>16901</v>
      </c>
      <c r="D11720" s="9" t="s">
        <v>107</v>
      </c>
      <c r="E11720" s="6" t="s">
        <v>16903</v>
      </c>
      <c r="F11720" s="9"/>
    </row>
    <row r="11721" ht="33.75" customHeight="1">
      <c r="A11721" s="7">
        <v>520.0</v>
      </c>
      <c r="B11721" s="9" t="s">
        <v>16900</v>
      </c>
      <c r="C11721" s="9" t="s">
        <v>16901</v>
      </c>
      <c r="D11721" s="9" t="s">
        <v>109</v>
      </c>
      <c r="E11721" s="6" t="s">
        <v>16904</v>
      </c>
      <c r="F11721" s="9"/>
    </row>
    <row r="11722" ht="33.75" customHeight="1">
      <c r="A11722" s="7">
        <v>520.0</v>
      </c>
      <c r="B11722" s="9" t="s">
        <v>16900</v>
      </c>
      <c r="C11722" s="9" t="s">
        <v>16901</v>
      </c>
      <c r="D11722" s="9" t="s">
        <v>114</v>
      </c>
      <c r="E11722" s="6" t="s">
        <v>16905</v>
      </c>
      <c r="F11722" s="9"/>
    </row>
    <row r="11723" ht="33.75" customHeight="1">
      <c r="A11723" s="7">
        <v>520.0</v>
      </c>
      <c r="B11723" s="9" t="s">
        <v>16900</v>
      </c>
      <c r="C11723" s="9" t="s">
        <v>16901</v>
      </c>
      <c r="D11723" s="9" t="s">
        <v>117</v>
      </c>
      <c r="E11723" s="6" t="s">
        <v>16906</v>
      </c>
      <c r="F11723" s="9"/>
    </row>
    <row r="11724" ht="33.75" customHeight="1">
      <c r="A11724" s="7">
        <v>521.0</v>
      </c>
      <c r="B11724" s="9" t="s">
        <v>16907</v>
      </c>
      <c r="C11724" s="9" t="s">
        <v>16908</v>
      </c>
      <c r="D11724" s="9" t="s">
        <v>93</v>
      </c>
      <c r="E11724" s="6" t="s">
        <v>16909</v>
      </c>
      <c r="F11724" t="inlineStr" s="10">
        <is>
          <t xml:space="preserve">Koiraat heiluttavat pään höyhenpeitettään uhkatakseen vastustajia. Naaraiden lentokyky ylittää koiraiden kyvyt. Uroksilla on höyhenpeite päässään. Ne eivät koskaan anna itsensä tuntea läheisyyttä kenellekään muulle kuin kouluttajalleen. Urokset heiluttavat höyhenpeitettään päänsä päällä uhkatakseen muita, mutta naaraat ovat parempia lentäjiä. Unfezant ovat poikkeuksellisen hyviä lentäjiä. Naaraat tunnetaan kestävyydestään, kun taas urokset päihittävät ne nopeudessa. Tämä Pokémon on älykäs ja äärimmäisen ylpeä. Ihmiset istuvat ylös ja huomaavat sen, jos sinusta tulee sellaisen kouluttaja.</t>
        </is>
      </c>
    </row>
    <row r="11725" ht="33.75" customHeight="1">
      <c r="A11725" s="7">
        <v>521.0</v>
      </c>
      <c r="B11725" s="9" t="s">
        <v>16907</v>
      </c>
      <c r="C11725" s="9" t="s">
        <v>16908</v>
      </c>
      <c r="D11725" s="9" t="s">
        <v>95</v>
      </c>
      <c r="E11725" s="6" t="s">
        <v>16910</v>
      </c>
      <c r="F11725" s="9"/>
    </row>
    <row r="11726" ht="33.75" customHeight="1">
      <c r="A11726" s="7">
        <v>521.0</v>
      </c>
      <c r="B11726" s="9" t="s">
        <v>16907</v>
      </c>
      <c r="C11726" s="9" t="s">
        <v>16908</v>
      </c>
      <c r="D11726" s="9" t="s">
        <v>98</v>
      </c>
      <c r="E11726" s="6" t="s">
        <v>16912</v>
      </c>
      <c r="F11726" s="9"/>
    </row>
    <row r="11727" ht="33.75" customHeight="1">
      <c r="A11727" s="7">
        <v>521.0</v>
      </c>
      <c r="B11727" s="9" t="s">
        <v>16907</v>
      </c>
      <c r="C11727" s="9" t="s">
        <v>16908</v>
      </c>
      <c r="D11727" s="9" t="s">
        <v>99</v>
      </c>
      <c r="E11727" s="6" t="s">
        <v>16912</v>
      </c>
      <c r="F11727" s="9"/>
    </row>
    <row r="11728" ht="33.75" customHeight="1">
      <c r="A11728" s="7">
        <v>521.0</v>
      </c>
      <c r="B11728" s="9" t="s">
        <v>16907</v>
      </c>
      <c r="C11728" s="9" t="s">
        <v>16908</v>
      </c>
      <c r="D11728" s="9" t="s">
        <v>101</v>
      </c>
      <c r="E11728" s="6" t="s">
        <v>16909</v>
      </c>
      <c r="F11728" s="9"/>
    </row>
    <row r="11729" ht="33.75" customHeight="1">
      <c r="A11729" s="7">
        <v>521.0</v>
      </c>
      <c r="B11729" s="9" t="s">
        <v>16907</v>
      </c>
      <c r="C11729" s="9" t="s">
        <v>16908</v>
      </c>
      <c r="D11729" s="9" t="s">
        <v>105</v>
      </c>
      <c r="E11729" s="6" t="s">
        <v>16910</v>
      </c>
      <c r="F11729" s="9"/>
    </row>
    <row r="11730" ht="33.75" customHeight="1">
      <c r="A11730" s="7">
        <v>521.0</v>
      </c>
      <c r="B11730" s="9" t="s">
        <v>16907</v>
      </c>
      <c r="C11730" s="9" t="s">
        <v>16908</v>
      </c>
      <c r="D11730" s="9" t="s">
        <v>107</v>
      </c>
      <c r="E11730" s="6" t="s">
        <v>16909</v>
      </c>
      <c r="F11730" s="9"/>
    </row>
    <row r="11731" ht="33.75" customHeight="1">
      <c r="A11731" s="7">
        <v>521.0</v>
      </c>
      <c r="B11731" s="9" t="s">
        <v>16907</v>
      </c>
      <c r="C11731" s="9" t="s">
        <v>16908</v>
      </c>
      <c r="D11731" s="9" t="s">
        <v>109</v>
      </c>
      <c r="E11731" s="6" t="s">
        <v>16910</v>
      </c>
      <c r="F11731" s="9"/>
    </row>
    <row r="11732" ht="33.75" customHeight="1">
      <c r="A11732" s="7">
        <v>521.0</v>
      </c>
      <c r="B11732" s="9" t="s">
        <v>16907</v>
      </c>
      <c r="C11732" s="9" t="s">
        <v>16908</v>
      </c>
      <c r="D11732" s="9" t="s">
        <v>114</v>
      </c>
      <c r="E11732" s="6" t="s">
        <v>16913</v>
      </c>
      <c r="F11732" s="9"/>
    </row>
    <row r="11733" ht="33.75" customHeight="1">
      <c r="A11733" s="7">
        <v>521.0</v>
      </c>
      <c r="B11733" s="9" t="s">
        <v>16907</v>
      </c>
      <c r="C11733" s="9" t="s">
        <v>16908</v>
      </c>
      <c r="D11733" s="9" t="s">
        <v>117</v>
      </c>
      <c r="E11733" s="6" t="s">
        <v>16914</v>
      </c>
      <c r="F11733" s="9"/>
    </row>
    <row r="11734" ht="33.75" customHeight="1">
      <c r="A11734" s="7">
        <v>522.0</v>
      </c>
      <c r="B11734" s="9" t="s">
        <v>16915</v>
      </c>
      <c r="C11734" s="9" t="s">
        <v>16916</v>
      </c>
      <c r="D11734" s="9" t="s">
        <v>93</v>
      </c>
      <c r="E11734" s="6" t="s">
        <v>16917</v>
      </c>
      <c r="F11734" t="inlineStr" s="10">
        <is>
          <t xml:space="preserve">Blitzlen harja kiiltää, kun se purkaa sähköä. Ne käyttävät välkkyviä harjaansa kommunikoidakseen keskenään. Kun ukkospilvet peittävät taivaan, se ilmestyy. Se voi osua salamoihin harjallaan ja varastoida sähköä. Ne käyttävät näiden välähdysten taajuutta ja rytmiä kommunikoidakseen.</t>
        </is>
      </c>
    </row>
    <row r="11735" ht="33.75" customHeight="1">
      <c r="A11735" s="7">
        <v>522.0</v>
      </c>
      <c r="B11735" s="9" t="s">
        <v>16915</v>
      </c>
      <c r="C11735" s="9" t="s">
        <v>16916</v>
      </c>
      <c r="D11735" s="9" t="s">
        <v>95</v>
      </c>
      <c r="E11735" s="6" t="s">
        <v>16918</v>
      </c>
      <c r="F11735" s="9"/>
    </row>
    <row r="11736" ht="33.75" customHeight="1">
      <c r="A11736" s="7">
        <v>522.0</v>
      </c>
      <c r="B11736" s="9" t="s">
        <v>16915</v>
      </c>
      <c r="C11736" s="9" t="s">
        <v>16916</v>
      </c>
      <c r="D11736" s="9" t="s">
        <v>98</v>
      </c>
      <c r="E11736" s="6" t="s">
        <v>16919</v>
      </c>
      <c r="F11736" s="9"/>
    </row>
    <row r="11737" ht="33.75" customHeight="1">
      <c r="A11737" s="7">
        <v>522.0</v>
      </c>
      <c r="B11737" s="9" t="s">
        <v>16915</v>
      </c>
      <c r="C11737" s="9" t="s">
        <v>16916</v>
      </c>
      <c r="D11737" s="9" t="s">
        <v>99</v>
      </c>
      <c r="E11737" s="6" t="s">
        <v>16919</v>
      </c>
      <c r="F11737" s="9"/>
    </row>
    <row r="11738" ht="33.75" customHeight="1">
      <c r="A11738" s="7">
        <v>522.0</v>
      </c>
      <c r="B11738" s="9" t="s">
        <v>16915</v>
      </c>
      <c r="C11738" s="9" t="s">
        <v>16916</v>
      </c>
      <c r="D11738" s="9" t="s">
        <v>101</v>
      </c>
      <c r="E11738" s="6" t="s">
        <v>16918</v>
      </c>
      <c r="F11738" s="9"/>
    </row>
    <row r="11739" ht="33.75" customHeight="1">
      <c r="A11739" s="7">
        <v>522.0</v>
      </c>
      <c r="B11739" s="9" t="s">
        <v>16915</v>
      </c>
      <c r="C11739" s="9" t="s">
        <v>16916</v>
      </c>
      <c r="D11739" s="9" t="s">
        <v>105</v>
      </c>
      <c r="E11739" s="6" t="s">
        <v>16919</v>
      </c>
      <c r="F11739" s="9"/>
    </row>
    <row r="11740" ht="33.75" customHeight="1">
      <c r="A11740" s="7">
        <v>522.0</v>
      </c>
      <c r="B11740" s="9" t="s">
        <v>16915</v>
      </c>
      <c r="C11740" s="9" t="s">
        <v>16916</v>
      </c>
      <c r="D11740" s="9" t="s">
        <v>107</v>
      </c>
      <c r="E11740" s="6" t="s">
        <v>16918</v>
      </c>
      <c r="F11740" s="9"/>
    </row>
    <row r="11741" ht="33.75" customHeight="1">
      <c r="A11741" s="7">
        <v>522.0</v>
      </c>
      <c r="B11741" s="9" t="s">
        <v>16915</v>
      </c>
      <c r="C11741" s="9" t="s">
        <v>16916</v>
      </c>
      <c r="D11741" s="9" t="s">
        <v>109</v>
      </c>
      <c r="E11741" s="6" t="s">
        <v>16919</v>
      </c>
      <c r="F11741" s="9"/>
    </row>
    <row r="11742" ht="33.75" customHeight="1">
      <c r="A11742" s="7">
        <v>523.0</v>
      </c>
      <c r="B11742" s="9" t="s">
        <v>16920</v>
      </c>
      <c r="C11742" s="9" t="s">
        <v>8487</v>
      </c>
      <c r="D11742" s="9" t="s">
        <v>93</v>
      </c>
      <c r="E11742" s="6" t="s">
        <v>16921</v>
      </c>
      <c r="F11742" t="inlineStr" s="10">
        <is>
          <t xml:space="preserve">Niillä on salaman kaltaisia ​​liikkeitä. Kun Zebstrika juoksee täydellä vauhdilla, ukkosen jyrinä kaikuu. Tämä ärtyisä Pokémon on vaarallinen, koska vihaisena se ampuu salamoita harjastaan ​​kaikkiin suuntiin. Kun tämä ärhäkkä Pokémon villiintyy, se ampuu salamoita harjastaan ​​kaikkiin suuntiin.</t>
        </is>
      </c>
    </row>
    <row r="11743" ht="33.75" customHeight="1">
      <c r="A11743" s="7">
        <v>523.0</v>
      </c>
      <c r="B11743" s="9" t="s">
        <v>16920</v>
      </c>
      <c r="C11743" s="9" t="s">
        <v>8487</v>
      </c>
      <c r="D11743" s="9" t="s">
        <v>95</v>
      </c>
      <c r="E11743" s="6" t="s">
        <v>16922</v>
      </c>
      <c r="F11743" s="9"/>
    </row>
    <row r="11744" ht="33.75" customHeight="1">
      <c r="A11744" s="7">
        <v>523.0</v>
      </c>
      <c r="B11744" s="9" t="s">
        <v>16920</v>
      </c>
      <c r="C11744" s="9" t="s">
        <v>8487</v>
      </c>
      <c r="D11744" s="9" t="s">
        <v>98</v>
      </c>
      <c r="E11744" s="6" t="s">
        <v>16923</v>
      </c>
      <c r="F11744" s="9"/>
    </row>
    <row r="11745" ht="33.75" customHeight="1">
      <c r="A11745" s="7">
        <v>523.0</v>
      </c>
      <c r="B11745" s="9" t="s">
        <v>16920</v>
      </c>
      <c r="C11745" s="9" t="s">
        <v>8487</v>
      </c>
      <c r="D11745" s="9" t="s">
        <v>99</v>
      </c>
      <c r="E11745" s="6" t="s">
        <v>16923</v>
      </c>
      <c r="F11745" s="9"/>
    </row>
    <row r="11746" ht="33.75" customHeight="1">
      <c r="A11746" s="7">
        <v>523.0</v>
      </c>
      <c r="B11746" s="9" t="s">
        <v>16920</v>
      </c>
      <c r="C11746" s="9" t="s">
        <v>8487</v>
      </c>
      <c r="D11746" s="9" t="s">
        <v>101</v>
      </c>
      <c r="E11746" s="6" t="s">
        <v>16923</v>
      </c>
      <c r="F11746" s="9"/>
    </row>
    <row r="11747" ht="33.75" customHeight="1">
      <c r="A11747" s="7">
        <v>523.0</v>
      </c>
      <c r="B11747" s="9" t="s">
        <v>16920</v>
      </c>
      <c r="C11747" s="9" t="s">
        <v>8487</v>
      </c>
      <c r="D11747" s="9" t="s">
        <v>105</v>
      </c>
      <c r="E11747" s="6" t="s">
        <v>16921</v>
      </c>
      <c r="F11747" s="9"/>
    </row>
    <row r="11748" ht="33.75" customHeight="1">
      <c r="A11748" s="7">
        <v>523.0</v>
      </c>
      <c r="B11748" s="9" t="s">
        <v>16920</v>
      </c>
      <c r="C11748" s="9" t="s">
        <v>8487</v>
      </c>
      <c r="D11748" s="9" t="s">
        <v>107</v>
      </c>
      <c r="E11748" s="6" t="s">
        <v>16923</v>
      </c>
      <c r="F11748" s="9"/>
    </row>
    <row r="11749" ht="33.75" customHeight="1">
      <c r="A11749" s="7">
        <v>523.0</v>
      </c>
      <c r="B11749" s="9" t="s">
        <v>16920</v>
      </c>
      <c r="C11749" s="9" t="s">
        <v>8487</v>
      </c>
      <c r="D11749" s="9" t="s">
        <v>109</v>
      </c>
      <c r="E11749" s="6" t="s">
        <v>16921</v>
      </c>
      <c r="F11749" s="9"/>
    </row>
    <row r="11750" ht="33.75" customHeight="1">
      <c r="A11750" s="7">
        <v>524.0</v>
      </c>
      <c r="B11750" s="9" t="s">
        <v>16924</v>
      </c>
      <c r="C11750" s="9" t="s">
        <v>16925</v>
      </c>
      <c r="D11750" s="9" t="s">
        <v>93</v>
      </c>
      <c r="E11750" s="6" t="s">
        <v>16926</v>
      </c>
      <c r="F11750" t="inlineStr" s="10">
        <is>
          <t xml:space="preserve">Roggenrolan korva on kuusikulmainen. Maan alla puristettuna sen ruumis on teräskova. Ne löydettiin sata vuotta sitten maanjäristyksen aiheuttamasta halkeamasta. Jokaisen sisällä on energiaydin. Kuusikulmainen reikä on sen korva. Sillä on taipumus kävellä äänen tulevaan suuntaan. Syvällä maan alla syntynyt se vertaa itseään samankaltaisiin lajeihin, kuten Geodudeen ja Carbinkiin, asettuakseen aloilleen sen suhteen, millä on kovin ruumis. Kuusikulmainen ontelo on sen korva. Se kävelee kuulemiensa äänien suuntaan, mutta jos äänet loppuvat, se panikoi ja kaatuu. Syvällä korvassa on energiaydin, joten jos työnnät kätesi sinne, Roggenrola suuttuu kovasti! Se löydettiin paljaan kalliokerroksen halkeamasta. Sen runko on peräisin useiden satojen vuosien takaa peräisin olevasta maasta. Se on yhtä kovaa kuin teräs, mutta pitkäaikainen liotus vedessä pehmentää sitä ilmeisesti hieman. Kun se havaitsee äänen, se alkaa liikkua. Sen sisällä oleva energiaydin tekee tästä Pokémonista hieman lämpimän koskettaa.</t>
        </is>
      </c>
    </row>
    <row r="11751" ht="33.75" customHeight="1">
      <c r="A11751" s="7">
        <v>524.0</v>
      </c>
      <c r="B11751" s="9" t="s">
        <v>16924</v>
      </c>
      <c r="C11751" s="9" t="s">
        <v>16925</v>
      </c>
      <c r="D11751" s="9" t="s">
        <v>95</v>
      </c>
      <c r="E11751" s="6" t="s">
        <v>16927</v>
      </c>
      <c r="F11751" s="9"/>
    </row>
    <row r="11752" ht="33.75" customHeight="1">
      <c r="A11752" s="7">
        <v>524.0</v>
      </c>
      <c r="B11752" s="9" t="s">
        <v>16924</v>
      </c>
      <c r="C11752" s="9" t="s">
        <v>16925</v>
      </c>
      <c r="D11752" s="9" t="s">
        <v>98</v>
      </c>
      <c r="E11752" s="6" t="s">
        <v>16928</v>
      </c>
      <c r="F11752" s="9"/>
    </row>
    <row r="11753" ht="33.75" customHeight="1">
      <c r="A11753" s="7">
        <v>524.0</v>
      </c>
      <c r="B11753" s="9" t="s">
        <v>16924</v>
      </c>
      <c r="C11753" s="9" t="s">
        <v>16925</v>
      </c>
      <c r="D11753" s="9" t="s">
        <v>99</v>
      </c>
      <c r="E11753" s="6" t="s">
        <v>16928</v>
      </c>
      <c r="F11753" s="9"/>
    </row>
    <row r="11754" ht="33.75" customHeight="1">
      <c r="A11754" s="7">
        <v>524.0</v>
      </c>
      <c r="B11754" s="9" t="s">
        <v>16924</v>
      </c>
      <c r="C11754" s="9" t="s">
        <v>16925</v>
      </c>
      <c r="D11754" s="9" t="s">
        <v>101</v>
      </c>
      <c r="E11754" s="6" t="s">
        <v>16926</v>
      </c>
      <c r="F11754" s="9"/>
    </row>
    <row r="11755" ht="33.75" customHeight="1">
      <c r="A11755" s="7">
        <v>524.0</v>
      </c>
      <c r="B11755" s="9" t="s">
        <v>16924</v>
      </c>
      <c r="C11755" s="9" t="s">
        <v>16925</v>
      </c>
      <c r="D11755" s="9" t="s">
        <v>105</v>
      </c>
      <c r="E11755" s="6" t="s">
        <v>16927</v>
      </c>
      <c r="F11755" s="9"/>
    </row>
    <row r="11756" ht="33.75" customHeight="1">
      <c r="A11756" s="7">
        <v>524.0</v>
      </c>
      <c r="B11756" s="9" t="s">
        <v>16924</v>
      </c>
      <c r="C11756" s="9" t="s">
        <v>16925</v>
      </c>
      <c r="D11756" s="9" t="s">
        <v>107</v>
      </c>
      <c r="E11756" s="6" t="s">
        <v>16926</v>
      </c>
      <c r="F11756" s="9"/>
    </row>
    <row r="11757" ht="33.75" customHeight="1">
      <c r="A11757" s="7">
        <v>524.0</v>
      </c>
      <c r="B11757" s="9" t="s">
        <v>16924</v>
      </c>
      <c r="C11757" s="9" t="s">
        <v>16925</v>
      </c>
      <c r="D11757" s="9" t="s">
        <v>109</v>
      </c>
      <c r="E11757" s="6" t="s">
        <v>16927</v>
      </c>
      <c r="F11757" s="9"/>
    </row>
    <row r="11758" ht="33.75" customHeight="1">
      <c r="A11758" s="7">
        <v>524.0</v>
      </c>
      <c r="B11758" s="9" t="s">
        <v>16924</v>
      </c>
      <c r="C11758" s="9" t="s">
        <v>16925</v>
      </c>
      <c r="D11758" s="9" t="s">
        <v>637</v>
      </c>
      <c r="E11758" s="6" t="s">
        <v>16930</v>
      </c>
      <c r="F11758" s="9"/>
    </row>
    <row r="11759" ht="33.75" customHeight="1">
      <c r="A11759" s="7">
        <v>524.0</v>
      </c>
      <c r="B11759" s="9" t="s">
        <v>16924</v>
      </c>
      <c r="C11759" s="9" t="s">
        <v>16925</v>
      </c>
      <c r="D11759" s="9" t="s">
        <v>642</v>
      </c>
      <c r="E11759" s="6" t="s">
        <v>16931</v>
      </c>
      <c r="F11759" s="9"/>
    </row>
    <row r="11760" ht="33.75" customHeight="1">
      <c r="A11760" s="7">
        <v>524.0</v>
      </c>
      <c r="B11760" s="9" t="s">
        <v>16924</v>
      </c>
      <c r="C11760" s="9" t="s">
        <v>16925</v>
      </c>
      <c r="D11760" s="9" t="s">
        <v>647</v>
      </c>
      <c r="E11760" s="6" t="s">
        <v>16932</v>
      </c>
      <c r="F11760" s="9"/>
    </row>
    <row r="11761" ht="33.75" customHeight="1">
      <c r="A11761" s="7">
        <v>524.0</v>
      </c>
      <c r="B11761" s="9" t="s">
        <v>16924</v>
      </c>
      <c r="C11761" s="9" t="s">
        <v>16925</v>
      </c>
      <c r="D11761" s="9" t="s">
        <v>652</v>
      </c>
      <c r="E11761" s="6" t="s">
        <v>16933</v>
      </c>
      <c r="F11761" s="9"/>
    </row>
    <row r="11762" ht="33.75" customHeight="1">
      <c r="A11762" s="7">
        <v>524.0</v>
      </c>
      <c r="B11762" s="9" t="s">
        <v>16924</v>
      </c>
      <c r="C11762" s="9" t="s">
        <v>16925</v>
      </c>
      <c r="D11762" s="9" t="s">
        <v>114</v>
      </c>
      <c r="E11762" s="6" t="s">
        <v>16934</v>
      </c>
      <c r="F11762" s="9"/>
    </row>
    <row r="11763" ht="33.75" customHeight="1">
      <c r="A11763" s="7">
        <v>524.0</v>
      </c>
      <c r="B11763" s="9" t="s">
        <v>16924</v>
      </c>
      <c r="C11763" s="9" t="s">
        <v>16925</v>
      </c>
      <c r="D11763" s="9" t="s">
        <v>117</v>
      </c>
      <c r="E11763" s="6" t="s">
        <v>16935</v>
      </c>
      <c r="F11763" s="9"/>
    </row>
    <row r="11764" ht="33.75" customHeight="1">
      <c r="A11764" s="7">
        <v>525.0</v>
      </c>
      <c r="B11764" s="9" t="s">
        <v>16936</v>
      </c>
      <c r="C11764" s="9" t="s">
        <v>16937</v>
      </c>
      <c r="D11764" s="9" t="s">
        <v>93</v>
      </c>
      <c r="E11764" s="6" t="s">
        <v>16938</v>
      </c>
      <c r="F11764" t="inlineStr" s="10">
        <is>
          <t xml:space="preserve">Kun se pursuaa voimaa, Boldoren kehon oranssi kristalli hehkuu. Se etsii maanalaista vettä luolista. Koska sen energia oli liian suuri pidäteltäväksi, energia vuoti ja muodosti oransseja kiteitä. Kun se on terve, sen ydin työntyy ulos. Aina samaan suuntaan katsoen se liikkuu nopeasti edestä taakse ja vasemmalta oikealle. Sen oranssi kide on energiamassa. Yksi kristallinpalanen riittäisi polttoaineeksi sadalle kippiautolle. Se tutkii luolia etsien maanalaista vettä. Se ei viihdy veden lähellä, joten tämä Pokémon on erittäin varovainen sen nielemisessä. Sen kehosta pursuava energia on muuttunut oransseiksi kiteiksi, jotka ovat tarpeeksi kovia rikkomaan timantteja. Sen oranssit kiteet ovat voimakkaita energiamöykkyjä. Ne ovat arvokkaita, joten Boldorea joskus kohdistetaan niiden vuoksi. Jos näet sen oranssien kiteiden alkavan hehkua, ole varovainen. Se on ampumaisillaan energiapurskeita. Se on riippuvainen äänestä seuratakseen lähiympäristöään. Vihaisena se hyökkää muuttamatta koskaan suuntaa, johon se katsoo.</t>
        </is>
      </c>
    </row>
    <row r="11765" ht="33.75" customHeight="1">
      <c r="A11765" s="7">
        <v>525.0</v>
      </c>
      <c r="B11765" s="9" t="s">
        <v>16936</v>
      </c>
      <c r="C11765" s="9" t="s">
        <v>16937</v>
      </c>
      <c r="D11765" s="9" t="s">
        <v>95</v>
      </c>
      <c r="E11765" s="6" t="s">
        <v>16939</v>
      </c>
      <c r="F11765" s="9"/>
    </row>
    <row r="11766" ht="33.75" customHeight="1">
      <c r="A11766" s="7">
        <v>525.0</v>
      </c>
      <c r="B11766" s="9" t="s">
        <v>16936</v>
      </c>
      <c r="C11766" s="9" t="s">
        <v>16937</v>
      </c>
      <c r="D11766" s="9" t="s">
        <v>98</v>
      </c>
      <c r="E11766" s="6" t="s">
        <v>16940</v>
      </c>
      <c r="F11766" s="9"/>
    </row>
    <row r="11767" ht="33.75" customHeight="1">
      <c r="A11767" s="7">
        <v>525.0</v>
      </c>
      <c r="B11767" s="9" t="s">
        <v>16936</v>
      </c>
      <c r="C11767" s="9" t="s">
        <v>16937</v>
      </c>
      <c r="D11767" s="9" t="s">
        <v>99</v>
      </c>
      <c r="E11767" s="6" t="s">
        <v>16940</v>
      </c>
      <c r="F11767" s="9"/>
    </row>
    <row r="11768" ht="33.75" customHeight="1">
      <c r="A11768" s="7">
        <v>525.0</v>
      </c>
      <c r="B11768" s="9" t="s">
        <v>16936</v>
      </c>
      <c r="C11768" s="9" t="s">
        <v>16937</v>
      </c>
      <c r="D11768" s="9" t="s">
        <v>101</v>
      </c>
      <c r="E11768" s="6" t="s">
        <v>16939</v>
      </c>
      <c r="F11768" s="9"/>
    </row>
    <row r="11769" ht="33.75" customHeight="1">
      <c r="A11769" s="7">
        <v>525.0</v>
      </c>
      <c r="B11769" s="9" t="s">
        <v>16936</v>
      </c>
      <c r="C11769" s="9" t="s">
        <v>16937</v>
      </c>
      <c r="D11769" s="9" t="s">
        <v>105</v>
      </c>
      <c r="E11769" s="6" t="s">
        <v>16940</v>
      </c>
      <c r="F11769" s="9"/>
    </row>
    <row r="11770" ht="33.75" customHeight="1">
      <c r="A11770" s="7">
        <v>525.0</v>
      </c>
      <c r="B11770" s="9" t="s">
        <v>16936</v>
      </c>
      <c r="C11770" s="9" t="s">
        <v>16937</v>
      </c>
      <c r="D11770" s="9" t="s">
        <v>107</v>
      </c>
      <c r="E11770" s="6" t="s">
        <v>16939</v>
      </c>
      <c r="F11770" s="9"/>
    </row>
    <row r="11771" ht="33.75" customHeight="1">
      <c r="A11771" s="7">
        <v>525.0</v>
      </c>
      <c r="B11771" s="9" t="s">
        <v>16936</v>
      </c>
      <c r="C11771" s="9" t="s">
        <v>16937</v>
      </c>
      <c r="D11771" s="9" t="s">
        <v>109</v>
      </c>
      <c r="E11771" s="6" t="s">
        <v>16940</v>
      </c>
      <c r="F11771" s="9"/>
    </row>
    <row r="11772" ht="33.75" customHeight="1">
      <c r="A11772" s="7">
        <v>525.0</v>
      </c>
      <c r="B11772" s="9" t="s">
        <v>16936</v>
      </c>
      <c r="C11772" s="9" t="s">
        <v>16937</v>
      </c>
      <c r="D11772" s="9" t="s">
        <v>637</v>
      </c>
      <c r="E11772" s="6" t="s">
        <v>16941</v>
      </c>
      <c r="F11772" s="9"/>
    </row>
    <row r="11773" ht="33.75" customHeight="1">
      <c r="A11773" s="7">
        <v>525.0</v>
      </c>
      <c r="B11773" s="9" t="s">
        <v>16936</v>
      </c>
      <c r="C11773" s="9" t="s">
        <v>16937</v>
      </c>
      <c r="D11773" s="9" t="s">
        <v>642</v>
      </c>
      <c r="E11773" s="6" t="s">
        <v>16942</v>
      </c>
      <c r="F11773" s="9"/>
    </row>
    <row r="11774" ht="33.75" customHeight="1">
      <c r="A11774" s="7">
        <v>525.0</v>
      </c>
      <c r="B11774" s="9" t="s">
        <v>16936</v>
      </c>
      <c r="C11774" s="9" t="s">
        <v>16937</v>
      </c>
      <c r="D11774" s="9" t="s">
        <v>647</v>
      </c>
      <c r="E11774" s="6" t="s">
        <v>16943</v>
      </c>
      <c r="F11774" s="9"/>
    </row>
    <row r="11775" ht="33.75" customHeight="1">
      <c r="A11775" s="7">
        <v>525.0</v>
      </c>
      <c r="B11775" s="9" t="s">
        <v>16936</v>
      </c>
      <c r="C11775" s="9" t="s">
        <v>16937</v>
      </c>
      <c r="D11775" s="9" t="s">
        <v>652</v>
      </c>
      <c r="E11775" s="6" t="s">
        <v>16944</v>
      </c>
      <c r="F11775" s="9"/>
    </row>
    <row r="11776" ht="33.75" customHeight="1">
      <c r="A11776" s="7">
        <v>525.0</v>
      </c>
      <c r="B11776" s="9" t="s">
        <v>16936</v>
      </c>
      <c r="C11776" s="9" t="s">
        <v>16937</v>
      </c>
      <c r="D11776" s="9" t="s">
        <v>114</v>
      </c>
      <c r="E11776" s="6" t="s">
        <v>16945</v>
      </c>
      <c r="F11776" s="9"/>
    </row>
    <row r="11777" ht="33.75" customHeight="1">
      <c r="A11777" s="7">
        <v>525.0</v>
      </c>
      <c r="B11777" s="9" t="s">
        <v>16936</v>
      </c>
      <c r="C11777" s="9" t="s">
        <v>16937</v>
      </c>
      <c r="D11777" s="9" t="s">
        <v>117</v>
      </c>
      <c r="E11777" s="6" t="s">
        <v>16946</v>
      </c>
      <c r="F11777" s="9"/>
    </row>
    <row r="11778" ht="33.75" customHeight="1">
      <c r="A11778" s="7">
        <v>526.0</v>
      </c>
      <c r="B11778" s="9" t="s">
        <v>16947</v>
      </c>
      <c r="C11778" s="9" t="s">
        <v>16948</v>
      </c>
      <c r="D11778" s="9" t="s">
        <v>93</v>
      </c>
      <c r="E11778" s="6" t="s">
        <v>16949</v>
      </c>
      <c r="F11778" t="inlineStr" s="10">
        <is>
          <t xml:space="preserve">Sisäisen ytimensä energian puristaminen antaa sille mahdollisuuden ampua hyökkäys, joka kykenee räjäyttämään vuoren pois. Sen oranssien kiteiden imemä aurinkoenergia voimistuu sisäisesti ja purkautuu sen suusta. Sen absorboimat auringonsäteet käsitellään sen energiaytimessä ja laukaistaan ​​valopallona. Sen auringonsäteistä lähtevät energiapurkaukset ovat pelottavan voimakkaita. Se ei kuitenkaan pysty ampumaan niitä yöllä tai sateisina päivinä. Tunnettu raskaasta hevosvoimastaan, tämä Pokémon on suosittu työpari rakennustyöntekijöille. Kun se purkaa energiaa täydellä voimallaan, voima luo lukemattomia halkeamia sen kehoon. Se imee itseensä auringonvalon säteitä ja lähettää energiaa. Se piilee yleensä syvällä pinnan alla. Tätä sitkeää Pokémonia voi usein löytää rakennustyömailta ja kaivoksista työskentelemässä ihmisten ja Copperajahin rinnalla. Vaikka sen energiapurkaukset voivat räjäyttää pois kippiauton, niillä on rajoituksensa – ne voidaan laukaista vain auringonpaisteessa.</t>
        </is>
      </c>
    </row>
    <row r="11779" ht="33.75" customHeight="1">
      <c r="A11779" s="7">
        <v>526.0</v>
      </c>
      <c r="B11779" s="9" t="s">
        <v>16947</v>
      </c>
      <c r="C11779" s="9" t="s">
        <v>16948</v>
      </c>
      <c r="D11779" s="9" t="s">
        <v>95</v>
      </c>
      <c r="E11779" s="6" t="s">
        <v>16950</v>
      </c>
      <c r="F11779" s="9"/>
    </row>
    <row r="11780" ht="33.75" customHeight="1">
      <c r="A11780" s="7">
        <v>526.0</v>
      </c>
      <c r="B11780" s="9" t="s">
        <v>16947</v>
      </c>
      <c r="C11780" s="9" t="s">
        <v>16948</v>
      </c>
      <c r="D11780" s="9" t="s">
        <v>98</v>
      </c>
      <c r="E11780" s="6" t="s">
        <v>16952</v>
      </c>
      <c r="F11780" s="9"/>
    </row>
    <row r="11781" ht="33.75" customHeight="1">
      <c r="A11781" s="7">
        <v>526.0</v>
      </c>
      <c r="B11781" s="9" t="s">
        <v>16947</v>
      </c>
      <c r="C11781" s="9" t="s">
        <v>16948</v>
      </c>
      <c r="D11781" s="9" t="s">
        <v>99</v>
      </c>
      <c r="E11781" s="6" t="s">
        <v>16952</v>
      </c>
      <c r="F11781" s="9"/>
    </row>
    <row r="11782" ht="33.75" customHeight="1">
      <c r="A11782" s="7">
        <v>526.0</v>
      </c>
      <c r="B11782" s="9" t="s">
        <v>16947</v>
      </c>
      <c r="C11782" s="9" t="s">
        <v>16948</v>
      </c>
      <c r="D11782" s="9" t="s">
        <v>101</v>
      </c>
      <c r="E11782" s="6" t="s">
        <v>16952</v>
      </c>
      <c r="F11782" s="9"/>
    </row>
    <row r="11783" ht="33.75" customHeight="1">
      <c r="A11783" s="7">
        <v>526.0</v>
      </c>
      <c r="B11783" s="9" t="s">
        <v>16947</v>
      </c>
      <c r="C11783" s="9" t="s">
        <v>16948</v>
      </c>
      <c r="D11783" s="9" t="s">
        <v>105</v>
      </c>
      <c r="E11783" s="6" t="s">
        <v>16949</v>
      </c>
      <c r="F11783" s="9"/>
    </row>
    <row r="11784" ht="33.75" customHeight="1">
      <c r="A11784" s="7">
        <v>526.0</v>
      </c>
      <c r="B11784" s="9" t="s">
        <v>16947</v>
      </c>
      <c r="C11784" s="9" t="s">
        <v>16948</v>
      </c>
      <c r="D11784" s="9" t="s">
        <v>107</v>
      </c>
      <c r="E11784" s="6" t="s">
        <v>16952</v>
      </c>
      <c r="F11784" s="9"/>
    </row>
    <row r="11785" ht="33.75" customHeight="1">
      <c r="A11785" s="7">
        <v>526.0</v>
      </c>
      <c r="B11785" s="9" t="s">
        <v>16947</v>
      </c>
      <c r="C11785" s="9" t="s">
        <v>16948</v>
      </c>
      <c r="D11785" s="9" t="s">
        <v>109</v>
      </c>
      <c r="E11785" s="6" t="s">
        <v>16949</v>
      </c>
      <c r="F11785" s="9"/>
    </row>
    <row r="11786" ht="33.75" customHeight="1">
      <c r="A11786" s="7">
        <v>526.0</v>
      </c>
      <c r="B11786" s="9" t="s">
        <v>16947</v>
      </c>
      <c r="C11786" s="9" t="s">
        <v>16948</v>
      </c>
      <c r="D11786" s="9" t="s">
        <v>637</v>
      </c>
      <c r="E11786" s="6" t="s">
        <v>16953</v>
      </c>
      <c r="F11786" s="9"/>
    </row>
    <row r="11787" ht="33.75" customHeight="1">
      <c r="A11787" s="7">
        <v>526.0</v>
      </c>
      <c r="B11787" s="9" t="s">
        <v>16947</v>
      </c>
      <c r="C11787" s="9" t="s">
        <v>16948</v>
      </c>
      <c r="D11787" s="9" t="s">
        <v>642</v>
      </c>
      <c r="E11787" s="6" t="s">
        <v>16954</v>
      </c>
      <c r="F11787" s="9"/>
    </row>
    <row r="11788" ht="33.75" customHeight="1">
      <c r="A11788" s="7">
        <v>526.0</v>
      </c>
      <c r="B11788" s="9" t="s">
        <v>16947</v>
      </c>
      <c r="C11788" s="9" t="s">
        <v>16948</v>
      </c>
      <c r="D11788" s="9" t="s">
        <v>647</v>
      </c>
      <c r="E11788" s="6" t="s">
        <v>16955</v>
      </c>
      <c r="F11788" s="9"/>
    </row>
    <row r="11789" ht="33.75" customHeight="1">
      <c r="A11789" s="7">
        <v>526.0</v>
      </c>
      <c r="B11789" s="9" t="s">
        <v>16947</v>
      </c>
      <c r="C11789" s="9" t="s">
        <v>16948</v>
      </c>
      <c r="D11789" s="9" t="s">
        <v>652</v>
      </c>
      <c r="E11789" s="6" t="s">
        <v>16956</v>
      </c>
      <c r="F11789" s="9"/>
    </row>
    <row r="11790" ht="33.75" customHeight="1">
      <c r="A11790" s="7">
        <v>526.0</v>
      </c>
      <c r="B11790" s="9" t="s">
        <v>16947</v>
      </c>
      <c r="C11790" s="9" t="s">
        <v>16948</v>
      </c>
      <c r="D11790" s="9" t="s">
        <v>114</v>
      </c>
      <c r="E11790" s="6" t="s">
        <v>16957</v>
      </c>
      <c r="F11790" s="9"/>
    </row>
    <row r="11791" ht="33.75" customHeight="1">
      <c r="A11791" s="7">
        <v>526.0</v>
      </c>
      <c r="B11791" s="9" t="s">
        <v>16947</v>
      </c>
      <c r="C11791" s="9" t="s">
        <v>16948</v>
      </c>
      <c r="D11791" s="9" t="s">
        <v>117</v>
      </c>
      <c r="E11791" s="6" t="s">
        <v>16958</v>
      </c>
      <c r="F11791" s="9"/>
    </row>
    <row r="11792" ht="33.75" customHeight="1">
      <c r="A11792" s="7">
        <v>527.0</v>
      </c>
      <c r="B11792" s="9" t="s">
        <v>16959</v>
      </c>
      <c r="C11792" s="9" t="s">
        <v>2488</v>
      </c>
      <c r="D11792" s="9" t="s">
        <v>93</v>
      </c>
      <c r="E11792" s="6" t="s">
        <v>16960</v>
      </c>
      <c r="F11792" t="inlineStr" s="10">
        <is>
          <t xml:space="preserve">Woobatin elinympäristö on pimeitä metsiä ja luolia. Se lähettää kuonostaan ​​ultraääniaaltoja oppiakseen ympäristöstään. Sierainten kautta tuleva imu mahdollistaa sen tarttumisen luolan seiniin nukkuessaan. Se jättää jälkeensä sydämenmuotoisen jäljen. Woobatin kiinnittämisen jälkeen kehoon jäävän sydämenmuotoisen merkin sanotaan tuovan onnea. Jos luolan sisällä katsot ylös ja näet seinillä paljon sydämenmuotoisia merkkejä, se on todiste siitä, että woobatit asuvat siellä. Se lähettää ultraääniaaltoja leijaillessaan ympäriinsä etsien saalistaan ​​– ötökkä-Pokémonia.</t>
        </is>
      </c>
    </row>
    <row r="11793" ht="33.75" customHeight="1">
      <c r="A11793" s="7">
        <v>527.0</v>
      </c>
      <c r="B11793" s="9" t="s">
        <v>16959</v>
      </c>
      <c r="C11793" s="9" t="s">
        <v>2488</v>
      </c>
      <c r="D11793" s="9" t="s">
        <v>95</v>
      </c>
      <c r="E11793" s="6" t="s">
        <v>16961</v>
      </c>
      <c r="F11793" s="9"/>
    </row>
    <row r="11794" ht="33.75" customHeight="1">
      <c r="A11794" s="7">
        <v>527.0</v>
      </c>
      <c r="B11794" s="9" t="s">
        <v>16959</v>
      </c>
      <c r="C11794" s="9" t="s">
        <v>2488</v>
      </c>
      <c r="D11794" s="9" t="s">
        <v>98</v>
      </c>
      <c r="E11794" s="6" t="s">
        <v>16962</v>
      </c>
      <c r="F11794" s="9"/>
    </row>
    <row r="11795" ht="33.75" customHeight="1">
      <c r="A11795" s="7">
        <v>527.0</v>
      </c>
      <c r="B11795" s="9" t="s">
        <v>16959</v>
      </c>
      <c r="C11795" s="9" t="s">
        <v>2488</v>
      </c>
      <c r="D11795" s="9" t="s">
        <v>99</v>
      </c>
      <c r="E11795" s="6" t="s">
        <v>16962</v>
      </c>
      <c r="F11795" s="9"/>
    </row>
    <row r="11796" ht="33.75" customHeight="1">
      <c r="A11796" s="7">
        <v>527.0</v>
      </c>
      <c r="B11796" s="9" t="s">
        <v>16959</v>
      </c>
      <c r="C11796" s="9" t="s">
        <v>2488</v>
      </c>
      <c r="D11796" s="9" t="s">
        <v>101</v>
      </c>
      <c r="E11796" s="6" t="s">
        <v>16960</v>
      </c>
      <c r="F11796" s="9"/>
    </row>
    <row r="11797" ht="33.75" customHeight="1">
      <c r="A11797" s="7">
        <v>527.0</v>
      </c>
      <c r="B11797" s="9" t="s">
        <v>16959</v>
      </c>
      <c r="C11797" s="9" t="s">
        <v>2488</v>
      </c>
      <c r="D11797" s="9" t="s">
        <v>105</v>
      </c>
      <c r="E11797" s="6" t="s">
        <v>16962</v>
      </c>
      <c r="F11797" s="9"/>
    </row>
    <row r="11798" ht="33.75" customHeight="1">
      <c r="A11798" s="7">
        <v>527.0</v>
      </c>
      <c r="B11798" s="9" t="s">
        <v>16959</v>
      </c>
      <c r="C11798" s="9" t="s">
        <v>2488</v>
      </c>
      <c r="D11798" s="9" t="s">
        <v>107</v>
      </c>
      <c r="E11798" s="6" t="s">
        <v>16960</v>
      </c>
      <c r="F11798" s="9"/>
    </row>
    <row r="11799" ht="33.75" customHeight="1">
      <c r="A11799" s="7">
        <v>527.0</v>
      </c>
      <c r="B11799" s="9" t="s">
        <v>16959</v>
      </c>
      <c r="C11799" s="9" t="s">
        <v>2488</v>
      </c>
      <c r="D11799" s="9" t="s">
        <v>109</v>
      </c>
      <c r="E11799" s="6" t="s">
        <v>16962</v>
      </c>
      <c r="F11799" s="9"/>
    </row>
    <row r="11800" ht="33.75" customHeight="1">
      <c r="A11800" s="7">
        <v>527.0</v>
      </c>
      <c r="B11800" s="9" t="s">
        <v>16959</v>
      </c>
      <c r="C11800" s="9" t="s">
        <v>2488</v>
      </c>
      <c r="D11800" s="9" t="s">
        <v>114</v>
      </c>
      <c r="E11800" s="6" t="s">
        <v>16964</v>
      </c>
      <c r="F11800" s="9"/>
    </row>
    <row r="11801" ht="33.75" customHeight="1">
      <c r="A11801" s="7">
        <v>527.0</v>
      </c>
      <c r="B11801" s="9" t="s">
        <v>16959</v>
      </c>
      <c r="C11801" s="9" t="s">
        <v>2488</v>
      </c>
      <c r="D11801" s="9" t="s">
        <v>117</v>
      </c>
      <c r="E11801" s="6" t="s">
        <v>16965</v>
      </c>
      <c r="F11801" s="9"/>
    </row>
    <row r="11802" ht="33.75" customHeight="1">
      <c r="A11802" s="7">
        <v>528.0</v>
      </c>
      <c r="B11802" s="9" t="s">
        <v>16966</v>
      </c>
      <c r="C11802" s="9" t="s">
        <v>16967</v>
      </c>
      <c r="D11802" s="9" t="s">
        <v>93</v>
      </c>
      <c r="E11802" s="6" t="s">
        <v>16968</v>
      </c>
      <c r="F11802" t="inlineStr" s="10">
        <is>
          <t xml:space="preserve">Swoobat lähettää nenästään eri taajuuksilla olevia ääniaaltoja, joista osa on niin voimakkaita, että ne voivat tuhota kiviä. Jokainen, joka joutuu kosketuksiin seurustelevan miehen lähettämien ultraääniaaltojen kanssa, kokee positiivisen mielialan muutoksen. Se ravistelee häntäänsä voimakkaasti, kun se lähettää ultraääniaaltoja, jotka ovat riittävän voimakkaita muuttamaan betonin raunioiksi. Voimakkaiden ääniaaltojen lähettäminen väsyttää sen. Sen jälkeen se ei pysty lentämään vähään aikaan. Tämän Pokémonin nenän suotuisa muoto ilmeisesti sai jotkut alueet pitämään Swoobatia onnen symbolina.</t>
        </is>
      </c>
    </row>
    <row r="11803" ht="33.75" customHeight="1">
      <c r="A11803" s="7">
        <v>528.0</v>
      </c>
      <c r="B11803" s="9" t="s">
        <v>16966</v>
      </c>
      <c r="C11803" s="9" t="s">
        <v>16967</v>
      </c>
      <c r="D11803" s="9" t="s">
        <v>95</v>
      </c>
      <c r="E11803" s="6" t="s">
        <v>16969</v>
      </c>
      <c r="F11803" s="9"/>
    </row>
    <row r="11804" ht="33.75" customHeight="1">
      <c r="A11804" s="7">
        <v>528.0</v>
      </c>
      <c r="B11804" s="9" t="s">
        <v>16966</v>
      </c>
      <c r="C11804" s="9" t="s">
        <v>16967</v>
      </c>
      <c r="D11804" s="9" t="s">
        <v>98</v>
      </c>
      <c r="E11804" s="6" t="s">
        <v>16970</v>
      </c>
      <c r="F11804" s="9"/>
    </row>
    <row r="11805" ht="33.75" customHeight="1">
      <c r="A11805" s="7">
        <v>528.0</v>
      </c>
      <c r="B11805" s="9" t="s">
        <v>16966</v>
      </c>
      <c r="C11805" s="9" t="s">
        <v>16967</v>
      </c>
      <c r="D11805" s="9" t="s">
        <v>99</v>
      </c>
      <c r="E11805" s="6" t="s">
        <v>16970</v>
      </c>
      <c r="F11805" s="9"/>
    </row>
    <row r="11806" ht="33.75" customHeight="1">
      <c r="A11806" s="7">
        <v>528.0</v>
      </c>
      <c r="B11806" s="9" t="s">
        <v>16966</v>
      </c>
      <c r="C11806" s="9" t="s">
        <v>16967</v>
      </c>
      <c r="D11806" s="9" t="s">
        <v>101</v>
      </c>
      <c r="E11806" s="6" t="s">
        <v>16970</v>
      </c>
      <c r="F11806" s="9"/>
    </row>
    <row r="11807" ht="33.75" customHeight="1">
      <c r="A11807" s="7">
        <v>528.0</v>
      </c>
      <c r="B11807" s="9" t="s">
        <v>16966</v>
      </c>
      <c r="C11807" s="9" t="s">
        <v>16967</v>
      </c>
      <c r="D11807" s="9" t="s">
        <v>105</v>
      </c>
      <c r="E11807" s="6" t="s">
        <v>16969</v>
      </c>
      <c r="F11807" s="9"/>
    </row>
    <row r="11808" ht="33.75" customHeight="1">
      <c r="A11808" s="7">
        <v>528.0</v>
      </c>
      <c r="B11808" s="9" t="s">
        <v>16966</v>
      </c>
      <c r="C11808" s="9" t="s">
        <v>16967</v>
      </c>
      <c r="D11808" s="9" t="s">
        <v>107</v>
      </c>
      <c r="E11808" s="6" t="s">
        <v>16970</v>
      </c>
      <c r="F11808" s="9"/>
    </row>
    <row r="11809" ht="33.75" customHeight="1">
      <c r="A11809" s="7">
        <v>528.0</v>
      </c>
      <c r="B11809" s="9" t="s">
        <v>16966</v>
      </c>
      <c r="C11809" s="9" t="s">
        <v>16967</v>
      </c>
      <c r="D11809" s="9" t="s">
        <v>109</v>
      </c>
      <c r="E11809" s="6" t="s">
        <v>16969</v>
      </c>
      <c r="F11809" s="9"/>
    </row>
    <row r="11810" ht="33.75" customHeight="1">
      <c r="A11810" s="7">
        <v>528.0</v>
      </c>
      <c r="B11810" s="9" t="s">
        <v>16966</v>
      </c>
      <c r="C11810" s="9" t="s">
        <v>16967</v>
      </c>
      <c r="D11810" s="9" t="s">
        <v>114</v>
      </c>
      <c r="E11810" s="6" t="s">
        <v>16971</v>
      </c>
      <c r="F11810" s="9"/>
    </row>
    <row r="11811" ht="33.75" customHeight="1">
      <c r="A11811" s="7">
        <v>528.0</v>
      </c>
      <c r="B11811" s="9" t="s">
        <v>16966</v>
      </c>
      <c r="C11811" s="9" t="s">
        <v>16967</v>
      </c>
      <c r="D11811" s="9" t="s">
        <v>117</v>
      </c>
      <c r="E11811" s="6" t="s">
        <v>16972</v>
      </c>
      <c r="F11811" s="9"/>
    </row>
    <row r="11812" ht="33.75" customHeight="1">
      <c r="A11812" s="7">
        <v>529.0</v>
      </c>
      <c r="B11812" s="9" t="s">
        <v>16973</v>
      </c>
      <c r="C11812" s="9" t="s">
        <v>2954</v>
      </c>
      <c r="D11812" s="9" t="s">
        <v>93</v>
      </c>
      <c r="E11812" s="6" t="s">
        <v>16974</v>
      </c>
      <c r="F11812" t="inlineStr" s="10">
        <is>
          <t xml:space="preserve">Drilbur voi kaivaa maan läpi 48 km/h nopeudella. Se voisi antaa maanpäälliselle autolle hyvän kilpailun. Se kulkee nopeasti maaperän läpi laittamalla molemmat kynnet yhteen ja pyörimällä suurella nopeudella. Pyörittämällä ruumistaan ​​se voi kaivaa suoraan maan läpi 48 km/h nopeudella. Se tuo kyntensä yhteen ja pyörähtelee ympäriinsä kovalla nopeudella ennen kuin ryntää saalistaan ​​kohti. Se on kaivaja, joka kaivaa kynsillään maata. Se vahingoittaa vihanneskasveja, joten monet maanviljelijät eivät pidä siitä paljoakaan.</t>
        </is>
      </c>
    </row>
    <row r="11813" ht="33.75" customHeight="1">
      <c r="A11813" s="7">
        <v>529.0</v>
      </c>
      <c r="B11813" s="9" t="s">
        <v>16973</v>
      </c>
      <c r="C11813" s="9" t="s">
        <v>2954</v>
      </c>
      <c r="D11813" s="9" t="s">
        <v>95</v>
      </c>
      <c r="E11813" s="6" t="s">
        <v>16975</v>
      </c>
      <c r="F11813" s="9"/>
    </row>
    <row r="11814" ht="33.75" customHeight="1">
      <c r="A11814" s="7">
        <v>529.0</v>
      </c>
      <c r="B11814" s="9" t="s">
        <v>16973</v>
      </c>
      <c r="C11814" s="9" t="s">
        <v>2954</v>
      </c>
      <c r="D11814" s="9" t="s">
        <v>98</v>
      </c>
      <c r="E11814" s="6" t="s">
        <v>16976</v>
      </c>
      <c r="F11814" s="9"/>
    </row>
    <row r="11815" ht="33.75" customHeight="1">
      <c r="A11815" s="7">
        <v>529.0</v>
      </c>
      <c r="B11815" s="9" t="s">
        <v>16973</v>
      </c>
      <c r="C11815" s="9" t="s">
        <v>2954</v>
      </c>
      <c r="D11815" s="9" t="s">
        <v>99</v>
      </c>
      <c r="E11815" s="6" t="s">
        <v>16976</v>
      </c>
      <c r="F11815" s="9"/>
    </row>
    <row r="11816" ht="33.75" customHeight="1">
      <c r="A11816" s="7">
        <v>529.0</v>
      </c>
      <c r="B11816" s="9" t="s">
        <v>16973</v>
      </c>
      <c r="C11816" s="9" t="s">
        <v>2954</v>
      </c>
      <c r="D11816" s="9" t="s">
        <v>101</v>
      </c>
      <c r="E11816" s="6" t="s">
        <v>16975</v>
      </c>
      <c r="F11816" s="9"/>
    </row>
    <row r="11817" ht="33.75" customHeight="1">
      <c r="A11817" s="7">
        <v>529.0</v>
      </c>
      <c r="B11817" s="9" t="s">
        <v>16973</v>
      </c>
      <c r="C11817" s="9" t="s">
        <v>2954</v>
      </c>
      <c r="D11817" s="9" t="s">
        <v>105</v>
      </c>
      <c r="E11817" s="6" t="s">
        <v>16976</v>
      </c>
      <c r="F11817" s="9"/>
    </row>
    <row r="11818" ht="33.75" customHeight="1">
      <c r="A11818" s="7">
        <v>529.0</v>
      </c>
      <c r="B11818" s="9" t="s">
        <v>16973</v>
      </c>
      <c r="C11818" s="9" t="s">
        <v>2954</v>
      </c>
      <c r="D11818" s="9" t="s">
        <v>107</v>
      </c>
      <c r="E11818" s="6" t="s">
        <v>16975</v>
      </c>
      <c r="F11818" s="9"/>
    </row>
    <row r="11819" ht="33.75" customHeight="1">
      <c r="A11819" s="7">
        <v>529.0</v>
      </c>
      <c r="B11819" s="9" t="s">
        <v>16973</v>
      </c>
      <c r="C11819" s="9" t="s">
        <v>2954</v>
      </c>
      <c r="D11819" s="9" t="s">
        <v>109</v>
      </c>
      <c r="E11819" s="6" t="s">
        <v>16976</v>
      </c>
      <c r="F11819" s="9"/>
    </row>
    <row r="11820" ht="33.75" customHeight="1">
      <c r="A11820" s="7">
        <v>529.0</v>
      </c>
      <c r="B11820" s="9" t="s">
        <v>16973</v>
      </c>
      <c r="C11820" s="9" t="s">
        <v>2954</v>
      </c>
      <c r="D11820" s="9" t="s">
        <v>114</v>
      </c>
      <c r="E11820" s="6" t="s">
        <v>16978</v>
      </c>
      <c r="F11820" s="9"/>
    </row>
    <row r="11821" ht="33.75" customHeight="1">
      <c r="A11821" s="7">
        <v>529.0</v>
      </c>
      <c r="B11821" s="9" t="s">
        <v>16973</v>
      </c>
      <c r="C11821" s="9" t="s">
        <v>2954</v>
      </c>
      <c r="D11821" s="9" t="s">
        <v>117</v>
      </c>
      <c r="E11821" s="6" t="s">
        <v>16979</v>
      </c>
      <c r="F11821" s="9"/>
    </row>
    <row r="11822" ht="33.75" customHeight="1">
      <c r="A11822" s="7">
        <v>530.0</v>
      </c>
      <c r="B11822" s="9" t="s">
        <v>16980</v>
      </c>
      <c r="C11822" s="9" t="s">
        <v>16981</v>
      </c>
      <c r="D11822" s="9" t="s">
        <v>93</v>
      </c>
      <c r="E11822" s="6" t="s">
        <v>16982</v>
      </c>
      <c r="F11822" t="inlineStr" s="10">
        <is>
          <t xml:space="preserve">Excadrill voi auttaa tunnelien rakentamisessa. Sen pora on kehittynyt teräkseksi, joka on riittävän vahvaa poratakseen rautalevyjen läpi. Yli 90 metrin syvyydessä ne rakentavat sokkelomaisia ​​pesiä. Niiden toiminta voi olla tuhoisaa metrotunneleille. Teräksisten kynsiensä ja päänsä ansiosta se voi porata teräslevyn läpi sen paksuudesta riippumatta. Ei ole harvinaista, että luonnostaan ​​muodostuneilta näyttävät tunnelit ovat itse asiassa Excadrillin jatkuvan kaivamisen tulosta. Porakuninkaana tunnettu Pokémon voi kaivaa tunneleita maastossa yli 145 km/h nopeudella.</t>
        </is>
      </c>
    </row>
    <row r="11823" ht="33.75" customHeight="1">
      <c r="A11823" s="7">
        <v>530.0</v>
      </c>
      <c r="B11823" s="9" t="s">
        <v>16980</v>
      </c>
      <c r="C11823" s="9" t="s">
        <v>16981</v>
      </c>
      <c r="D11823" s="9" t="s">
        <v>95</v>
      </c>
      <c r="E11823" s="6" t="s">
        <v>16983</v>
      </c>
      <c r="F11823" s="9"/>
    </row>
    <row r="11824" ht="33.75" customHeight="1">
      <c r="A11824" s="7">
        <v>530.0</v>
      </c>
      <c r="B11824" s="9" t="s">
        <v>16980</v>
      </c>
      <c r="C11824" s="9" t="s">
        <v>16981</v>
      </c>
      <c r="D11824" s="9" t="s">
        <v>98</v>
      </c>
      <c r="E11824" s="6" t="s">
        <v>16984</v>
      </c>
      <c r="F11824" s="9"/>
    </row>
    <row r="11825" ht="33.75" customHeight="1">
      <c r="A11825" s="7">
        <v>530.0</v>
      </c>
      <c r="B11825" s="9" t="s">
        <v>16980</v>
      </c>
      <c r="C11825" s="9" t="s">
        <v>16981</v>
      </c>
      <c r="D11825" s="9" t="s">
        <v>99</v>
      </c>
      <c r="E11825" s="6" t="s">
        <v>16984</v>
      </c>
      <c r="F11825" s="9"/>
    </row>
    <row r="11826" ht="33.75" customHeight="1">
      <c r="A11826" s="7">
        <v>530.0</v>
      </c>
      <c r="B11826" s="9" t="s">
        <v>16980</v>
      </c>
      <c r="C11826" s="9" t="s">
        <v>16981</v>
      </c>
      <c r="D11826" s="9" t="s">
        <v>101</v>
      </c>
      <c r="E11826" s="6" t="s">
        <v>16982</v>
      </c>
      <c r="F11826" s="9"/>
    </row>
    <row r="11827" ht="33.75" customHeight="1">
      <c r="A11827" s="7">
        <v>530.0</v>
      </c>
      <c r="B11827" s="9" t="s">
        <v>16980</v>
      </c>
      <c r="C11827" s="9" t="s">
        <v>16981</v>
      </c>
      <c r="D11827" s="9" t="s">
        <v>105</v>
      </c>
      <c r="E11827" s="6" t="s">
        <v>16983</v>
      </c>
      <c r="F11827" s="9"/>
    </row>
    <row r="11828" ht="33.75" customHeight="1">
      <c r="A11828" s="7">
        <v>530.0</v>
      </c>
      <c r="B11828" s="9" t="s">
        <v>16980</v>
      </c>
      <c r="C11828" s="9" t="s">
        <v>16981</v>
      </c>
      <c r="D11828" s="9" t="s">
        <v>107</v>
      </c>
      <c r="E11828" s="6" t="s">
        <v>16982</v>
      </c>
      <c r="F11828" s="9"/>
    </row>
    <row r="11829" ht="33.75" customHeight="1">
      <c r="A11829" s="7">
        <v>530.0</v>
      </c>
      <c r="B11829" s="9" t="s">
        <v>16980</v>
      </c>
      <c r="C11829" s="9" t="s">
        <v>16981</v>
      </c>
      <c r="D11829" s="9" t="s">
        <v>109</v>
      </c>
      <c r="E11829" s="6" t="s">
        <v>16983</v>
      </c>
      <c r="F11829" s="9"/>
    </row>
    <row r="11830" ht="33.75" customHeight="1">
      <c r="A11830" s="7">
        <v>530.0</v>
      </c>
      <c r="B11830" s="9" t="s">
        <v>16980</v>
      </c>
      <c r="C11830" s="9" t="s">
        <v>16981</v>
      </c>
      <c r="D11830" s="9" t="s">
        <v>114</v>
      </c>
      <c r="E11830" s="6" t="s">
        <v>16985</v>
      </c>
      <c r="F11830" s="9"/>
    </row>
    <row r="11831" ht="33.75" customHeight="1">
      <c r="A11831" s="7">
        <v>530.0</v>
      </c>
      <c r="B11831" s="9" t="s">
        <v>16980</v>
      </c>
      <c r="C11831" s="9" t="s">
        <v>16981</v>
      </c>
      <c r="D11831" s="9" t="s">
        <v>117</v>
      </c>
      <c r="E11831" s="6" t="s">
        <v>16986</v>
      </c>
      <c r="F11831" s="9"/>
    </row>
    <row r="11832" ht="33.75" customHeight="1">
      <c r="A11832" s="7">
        <v>531.0</v>
      </c>
      <c r="B11832" s="9" t="s">
        <v>16987</v>
      </c>
      <c r="C11832" s="9" t="s">
        <v>16988</v>
      </c>
      <c r="D11832" s="9" t="s">
        <v>93</v>
      </c>
      <c r="E11832" s="6" t="s">
        <v>16989</v>
      </c>
      <c r="F11832" t="inlineStr" s="10">
        <is>
          <t xml:space="preserve">Audino koskettaa muita korvissaan olevilla tuntosarvilla ja käyttää heidän sydämenlyöntejään kertoakseen, miltä heistä tuntuu. Sen kuuloaisti on hämmästyttävä. Sillä on tutkan kaltainen kyky ymmärtää ympäristöään pienten äänien avulla. Korvissaan olevien tuntosarvien avulla se voi kertoa, miltä joku tuntuu tai milloin muna saattaa kuoriutua. Audinon kuulo on erinomainen. Edes yli mailin päässä vierivä pikkukivi ei pääse Audinon korvilta pakoon. Tällä Pokémonilla on hyvä sydän. Tuntumalla tuntoreillään Audino voi arvioida muiden olentojen tunteita ja fyysistä kuntoa.</t>
        </is>
      </c>
    </row>
    <row r="11833" ht="33.75" customHeight="1">
      <c r="A11833" s="7">
        <v>531.0</v>
      </c>
      <c r="B11833" s="9" t="s">
        <v>16987</v>
      </c>
      <c r="C11833" s="9" t="s">
        <v>16988</v>
      </c>
      <c r="D11833" s="9" t="s">
        <v>95</v>
      </c>
      <c r="E11833" s="6" t="s">
        <v>16990</v>
      </c>
      <c r="F11833" s="9"/>
    </row>
    <row r="11834" ht="33.75" customHeight="1">
      <c r="A11834" s="7">
        <v>531.0</v>
      </c>
      <c r="B11834" s="9" t="s">
        <v>16987</v>
      </c>
      <c r="C11834" s="9" t="s">
        <v>16988</v>
      </c>
      <c r="D11834" s="9" t="s">
        <v>98</v>
      </c>
      <c r="E11834" s="6" t="s">
        <v>16991</v>
      </c>
      <c r="F11834" s="9"/>
    </row>
    <row r="11835" ht="33.75" customHeight="1">
      <c r="A11835" s="7">
        <v>531.0</v>
      </c>
      <c r="B11835" s="9" t="s">
        <v>16987</v>
      </c>
      <c r="C11835" s="9" t="s">
        <v>16988</v>
      </c>
      <c r="D11835" s="9" t="s">
        <v>99</v>
      </c>
      <c r="E11835" s="6" t="s">
        <v>16991</v>
      </c>
      <c r="F11835" s="9"/>
    </row>
    <row r="11836" ht="33.75" customHeight="1">
      <c r="A11836" s="7">
        <v>531.0</v>
      </c>
      <c r="B11836" s="9" t="s">
        <v>16987</v>
      </c>
      <c r="C11836" s="9" t="s">
        <v>16988</v>
      </c>
      <c r="D11836" s="9" t="s">
        <v>101</v>
      </c>
      <c r="E11836" s="6" t="s">
        <v>16991</v>
      </c>
      <c r="F11836" s="9"/>
    </row>
    <row r="11837" ht="33.75" customHeight="1">
      <c r="A11837" s="7">
        <v>531.0</v>
      </c>
      <c r="B11837" s="9" t="s">
        <v>16987</v>
      </c>
      <c r="C11837" s="9" t="s">
        <v>16988</v>
      </c>
      <c r="D11837" s="9" t="s">
        <v>105</v>
      </c>
      <c r="E11837" s="6" t="s">
        <v>16989</v>
      </c>
      <c r="F11837" s="9"/>
    </row>
    <row r="11838" ht="33.75" customHeight="1">
      <c r="A11838" s="7">
        <v>531.0</v>
      </c>
      <c r="B11838" s="9" t="s">
        <v>16987</v>
      </c>
      <c r="C11838" s="9" t="s">
        <v>16988</v>
      </c>
      <c r="D11838" s="9" t="s">
        <v>107</v>
      </c>
      <c r="E11838" s="6" t="s">
        <v>16991</v>
      </c>
      <c r="F11838" s="9"/>
    </row>
    <row r="11839" ht="33.75" customHeight="1">
      <c r="A11839" s="7">
        <v>531.0</v>
      </c>
      <c r="B11839" s="9" t="s">
        <v>16987</v>
      </c>
      <c r="C11839" s="9" t="s">
        <v>16988</v>
      </c>
      <c r="D11839" s="9" t="s">
        <v>109</v>
      </c>
      <c r="E11839" s="6" t="s">
        <v>16989</v>
      </c>
      <c r="F11839" s="9"/>
    </row>
    <row r="11840" ht="33.75" customHeight="1">
      <c r="A11840" s="7">
        <v>531.0</v>
      </c>
      <c r="B11840" s="9" t="s">
        <v>16987</v>
      </c>
      <c r="C11840" s="9" t="s">
        <v>16988</v>
      </c>
      <c r="D11840" s="9" t="s">
        <v>114</v>
      </c>
      <c r="E11840" s="6" t="s">
        <v>16993</v>
      </c>
      <c r="F11840" s="9"/>
    </row>
    <row r="11841" ht="33.75" customHeight="1">
      <c r="A11841" s="7">
        <v>531.0</v>
      </c>
      <c r="B11841" s="9" t="s">
        <v>16987</v>
      </c>
      <c r="C11841" s="9" t="s">
        <v>16988</v>
      </c>
      <c r="D11841" s="9" t="s">
        <v>117</v>
      </c>
      <c r="E11841" s="6" t="s">
        <v>16994</v>
      </c>
      <c r="F11841" s="9"/>
    </row>
    <row r="11842" ht="33.75" customHeight="1">
      <c r="A11842" s="7">
        <v>532.0</v>
      </c>
      <c r="B11842" s="9" t="s">
        <v>16995</v>
      </c>
      <c r="C11842" s="9" t="s">
        <v>16996</v>
      </c>
      <c r="D11842" s="9" t="s">
        <v>93</v>
      </c>
      <c r="E11842" s="6" t="s">
        <v>16997</v>
      </c>
      <c r="F11842" t="inlineStr" s="10">
        <is>
          <t xml:space="preserve">Timburr taistelee heiluttamalla puupalaa. Se on lähellä kehittymistä, kun se pystyy käsittelemään puutavaraa vaikeuksitta. Nämä Pokémonit ilmestyvät rakennustyömaille ja auttavat rakentamisessa. Ne kantavat aina suorakaiteen muotoisia tukkeja. Ne kantavat aina mukanaan suorakaiteen muotoisia tukkeja ja auttavat rakentamisessa. Kasvaessaan ne kantavat isompia tukkeja. Se rakastaa auttamista rakennusprojekteissa. Se rakastaa sitä niin paljon, että jos sade pysäyttää työn, se heilauttaa tukkiaan ja heittää kiukkukohtauksen. Timburrit, jotka ovat alkaneet kuljettaa noin kolme kertaa itseään suurempia tukkeja, ovat lähes valmiita kehittymään.</t>
        </is>
      </c>
    </row>
    <row r="11843" ht="33.75" customHeight="1">
      <c r="A11843" s="7">
        <v>532.0</v>
      </c>
      <c r="B11843" s="9" t="s">
        <v>16995</v>
      </c>
      <c r="C11843" s="9" t="s">
        <v>16996</v>
      </c>
      <c r="D11843" s="9" t="s">
        <v>95</v>
      </c>
      <c r="E11843" s="6" t="s">
        <v>16998</v>
      </c>
      <c r="F11843" s="9"/>
    </row>
    <row r="11844" ht="33.75" customHeight="1">
      <c r="A11844" s="7">
        <v>532.0</v>
      </c>
      <c r="B11844" s="9" t="s">
        <v>16995</v>
      </c>
      <c r="C11844" s="9" t="s">
        <v>16996</v>
      </c>
      <c r="D11844" s="9" t="s">
        <v>98</v>
      </c>
      <c r="E11844" s="6" t="s">
        <v>16999</v>
      </c>
      <c r="F11844" s="9"/>
    </row>
    <row r="11845" ht="33.75" customHeight="1">
      <c r="A11845" s="7">
        <v>532.0</v>
      </c>
      <c r="B11845" s="9" t="s">
        <v>16995</v>
      </c>
      <c r="C11845" s="9" t="s">
        <v>16996</v>
      </c>
      <c r="D11845" s="9" t="s">
        <v>99</v>
      </c>
      <c r="E11845" s="6" t="s">
        <v>16999</v>
      </c>
      <c r="F11845" s="9"/>
    </row>
    <row r="11846" ht="33.75" customHeight="1">
      <c r="A11846" s="7">
        <v>532.0</v>
      </c>
      <c r="B11846" s="9" t="s">
        <v>16995</v>
      </c>
      <c r="C11846" s="9" t="s">
        <v>16996</v>
      </c>
      <c r="D11846" s="9" t="s">
        <v>101</v>
      </c>
      <c r="E11846" s="6" t="s">
        <v>16998</v>
      </c>
      <c r="F11846" s="9"/>
    </row>
    <row r="11847" ht="33.75" customHeight="1">
      <c r="A11847" s="7">
        <v>532.0</v>
      </c>
      <c r="B11847" s="9" t="s">
        <v>16995</v>
      </c>
      <c r="C11847" s="9" t="s">
        <v>16996</v>
      </c>
      <c r="D11847" s="9" t="s">
        <v>105</v>
      </c>
      <c r="E11847" s="6" t="s">
        <v>16999</v>
      </c>
      <c r="F11847" s="9"/>
    </row>
    <row r="11848" ht="33.75" customHeight="1">
      <c r="A11848" s="7">
        <v>532.0</v>
      </c>
      <c r="B11848" s="9" t="s">
        <v>16995</v>
      </c>
      <c r="C11848" s="9" t="s">
        <v>16996</v>
      </c>
      <c r="D11848" s="9" t="s">
        <v>107</v>
      </c>
      <c r="E11848" s="6" t="s">
        <v>16998</v>
      </c>
      <c r="F11848" s="9"/>
    </row>
    <row r="11849" ht="33.75" customHeight="1">
      <c r="A11849" s="7">
        <v>532.0</v>
      </c>
      <c r="B11849" s="9" t="s">
        <v>16995</v>
      </c>
      <c r="C11849" s="9" t="s">
        <v>16996</v>
      </c>
      <c r="D11849" s="9" t="s">
        <v>109</v>
      </c>
      <c r="E11849" s="6" t="s">
        <v>16999</v>
      </c>
      <c r="F11849" s="9"/>
    </row>
    <row r="11850" ht="33.75" customHeight="1">
      <c r="A11850" s="7">
        <v>532.0</v>
      </c>
      <c r="B11850" s="9" t="s">
        <v>16995</v>
      </c>
      <c r="C11850" s="9" t="s">
        <v>16996</v>
      </c>
      <c r="D11850" s="9" t="s">
        <v>114</v>
      </c>
      <c r="E11850" s="6" t="s">
        <v>17000</v>
      </c>
      <c r="F11850" s="9"/>
    </row>
    <row r="11851" ht="33.75" customHeight="1">
      <c r="A11851" s="7">
        <v>532.0</v>
      </c>
      <c r="B11851" s="9" t="s">
        <v>16995</v>
      </c>
      <c r="C11851" s="9" t="s">
        <v>16996</v>
      </c>
      <c r="D11851" s="9" t="s">
        <v>117</v>
      </c>
      <c r="E11851" s="6" t="s">
        <v>17001</v>
      </c>
      <c r="F11851" s="9"/>
    </row>
    <row r="11852" ht="33.75" customHeight="1">
      <c r="A11852" s="7">
        <v>533.0</v>
      </c>
      <c r="B11852" s="9" t="s">
        <v>17002</v>
      </c>
      <c r="C11852" s="9" t="s">
        <v>16996</v>
      </c>
      <c r="D11852" s="9" t="s">
        <v>93</v>
      </c>
      <c r="E11852" s="6" t="s">
        <v>17003</v>
      </c>
      <c r="F11852" t="inlineStr" s="10">
        <is>
          <t xml:space="preserve">Tämä Pokémon on niin lihaksikas ja vahvarakenteinen, ettei edes painijaryhmä saa sitä liikahtamaan tuumaakaan. Ne vahvistavat kehojaan kantamalla teräspalkkeja. Ne esittelevät suuria lihaksiaan ystävilleen. Vahvistettujen vartaloiden ansiosta he käyttävät taitavasti teräspalkkeja rakennusten purkamiseen. Se esittelee lihaksiaan Machokelle ja muille Gurdurreille. Jos se ei täytä muiden Pokémonien tasoa, se pysyy jonkin aikaa alhaalla. Gurdurr on loistavia purkamisessa – rakentaminen ei ole sen vahvuus. Joka tapauksessa tämän Pokémonin metallipalkin käsittelytavassa on taitoa.</t>
        </is>
      </c>
    </row>
    <row r="11853" ht="33.75" customHeight="1">
      <c r="A11853" s="7">
        <v>533.0</v>
      </c>
      <c r="B11853" s="9" t="s">
        <v>17002</v>
      </c>
      <c r="C11853" s="9" t="s">
        <v>16996</v>
      </c>
      <c r="D11853" s="9" t="s">
        <v>95</v>
      </c>
      <c r="E11853" s="6" t="s">
        <v>17005</v>
      </c>
      <c r="F11853" s="9"/>
    </row>
    <row r="11854" ht="33.75" customHeight="1">
      <c r="A11854" s="7">
        <v>533.0</v>
      </c>
      <c r="B11854" s="9" t="s">
        <v>17002</v>
      </c>
      <c r="C11854" s="9" t="s">
        <v>16996</v>
      </c>
      <c r="D11854" s="9" t="s">
        <v>98</v>
      </c>
      <c r="E11854" s="6" t="s">
        <v>17006</v>
      </c>
      <c r="F11854" s="9"/>
    </row>
    <row r="11855" ht="33.75" customHeight="1">
      <c r="A11855" s="7">
        <v>533.0</v>
      </c>
      <c r="B11855" s="9" t="s">
        <v>17002</v>
      </c>
      <c r="C11855" s="9" t="s">
        <v>16996</v>
      </c>
      <c r="D11855" s="9" t="s">
        <v>99</v>
      </c>
      <c r="E11855" s="6" t="s">
        <v>17006</v>
      </c>
      <c r="F11855" s="9"/>
    </row>
    <row r="11856" ht="33.75" customHeight="1">
      <c r="A11856" s="7">
        <v>533.0</v>
      </c>
      <c r="B11856" s="9" t="s">
        <v>17002</v>
      </c>
      <c r="C11856" s="9" t="s">
        <v>16996</v>
      </c>
      <c r="D11856" s="9" t="s">
        <v>101</v>
      </c>
      <c r="E11856" s="6" t="s">
        <v>17006</v>
      </c>
      <c r="F11856" s="9"/>
    </row>
    <row r="11857" ht="33.75" customHeight="1">
      <c r="A11857" s="7">
        <v>533.0</v>
      </c>
      <c r="B11857" s="9" t="s">
        <v>17002</v>
      </c>
      <c r="C11857" s="9" t="s">
        <v>16996</v>
      </c>
      <c r="D11857" s="9" t="s">
        <v>105</v>
      </c>
      <c r="E11857" s="6" t="s">
        <v>17003</v>
      </c>
      <c r="F11857" s="9"/>
    </row>
    <row r="11858" ht="33.75" customHeight="1">
      <c r="A11858" s="7">
        <v>533.0</v>
      </c>
      <c r="B11858" s="9" t="s">
        <v>17002</v>
      </c>
      <c r="C11858" s="9" t="s">
        <v>16996</v>
      </c>
      <c r="D11858" s="9" t="s">
        <v>107</v>
      </c>
      <c r="E11858" s="6" t="s">
        <v>17006</v>
      </c>
      <c r="F11858" s="9"/>
    </row>
    <row r="11859" ht="33.75" customHeight="1">
      <c r="A11859" s="7">
        <v>533.0</v>
      </c>
      <c r="B11859" s="9" t="s">
        <v>17002</v>
      </c>
      <c r="C11859" s="9" t="s">
        <v>16996</v>
      </c>
      <c r="D11859" s="9" t="s">
        <v>109</v>
      </c>
      <c r="E11859" s="6" t="s">
        <v>17003</v>
      </c>
      <c r="F11859" s="9"/>
    </row>
    <row r="11860" ht="33.75" customHeight="1">
      <c r="A11860" s="7">
        <v>533.0</v>
      </c>
      <c r="B11860" s="9" t="s">
        <v>17002</v>
      </c>
      <c r="C11860" s="9" t="s">
        <v>16996</v>
      </c>
      <c r="D11860" s="9" t="s">
        <v>114</v>
      </c>
      <c r="E11860" s="6" t="s">
        <v>17007</v>
      </c>
      <c r="F11860" s="9"/>
    </row>
    <row r="11861" ht="33.75" customHeight="1">
      <c r="A11861" s="7">
        <v>533.0</v>
      </c>
      <c r="B11861" s="9" t="s">
        <v>17002</v>
      </c>
      <c r="C11861" s="9" t="s">
        <v>16996</v>
      </c>
      <c r="D11861" s="9" t="s">
        <v>117</v>
      </c>
      <c r="E11861" s="6" t="s">
        <v>17008</v>
      </c>
      <c r="F11861" s="9"/>
    </row>
    <row r="11862" ht="33.75" customHeight="1">
      <c r="A11862" s="7">
        <v>534.0</v>
      </c>
      <c r="B11862" s="9" t="s">
        <v>17009</v>
      </c>
      <c r="C11862" s="9" t="s">
        <v>16996</v>
      </c>
      <c r="D11862" s="9" t="s">
        <v>93</v>
      </c>
      <c r="E11862" s="6" t="s">
        <v>17010</v>
      </c>
      <c r="F11862" t="inlineStr" s="10">
        <is>
          <t xml:space="preserve">Conkeldurrin uskotaan opettaneen ihmisille betonin valmistuksen yli 2 000 vuotta sitten. He käyttävät betonipylväitä kävelykeppeinä. He osaavat liikkeitä, joiden avulla he voivat heiluttaa pylväitä vapaasti taistelussa. Voiman varaan luottamisen sijaan he hallitsevat liikkeitä, jotka hyödyntävät pyörivän betonin keskipakoisvoimaa. Conkeldurrin sekoittama betoni on paljon kestävämpää kuin tavallinen betoni, vaikka materiaalien koostumus olisi sama. Kaikin voimin tämä Pokémon heittää betonipilarinsa syrjään ja hyppää vastustajien kimppuun moukaroimaan heitä nyrkeillään.</t>
        </is>
      </c>
    </row>
    <row r="11863" ht="33.75" customHeight="1">
      <c r="A11863" s="7">
        <v>534.0</v>
      </c>
      <c r="B11863" s="9" t="s">
        <v>17009</v>
      </c>
      <c r="C11863" s="9" t="s">
        <v>16996</v>
      </c>
      <c r="D11863" s="9" t="s">
        <v>95</v>
      </c>
      <c r="E11863" s="6" t="s">
        <v>17011</v>
      </c>
      <c r="F11863" s="9"/>
    </row>
    <row r="11864" ht="33.75" customHeight="1">
      <c r="A11864" s="7">
        <v>534.0</v>
      </c>
      <c r="B11864" s="9" t="s">
        <v>17009</v>
      </c>
      <c r="C11864" s="9" t="s">
        <v>16996</v>
      </c>
      <c r="D11864" s="9" t="s">
        <v>98</v>
      </c>
      <c r="E11864" s="6" t="s">
        <v>17012</v>
      </c>
      <c r="F11864" s="9"/>
    </row>
    <row r="11865" ht="33.75" customHeight="1">
      <c r="A11865" s="7">
        <v>534.0</v>
      </c>
      <c r="B11865" s="9" t="s">
        <v>17009</v>
      </c>
      <c r="C11865" s="9" t="s">
        <v>16996</v>
      </c>
      <c r="D11865" s="9" t="s">
        <v>99</v>
      </c>
      <c r="E11865" s="6" t="s">
        <v>17012</v>
      </c>
      <c r="F11865" s="9"/>
    </row>
    <row r="11866" ht="33.75" customHeight="1">
      <c r="A11866" s="7">
        <v>534.0</v>
      </c>
      <c r="B11866" s="9" t="s">
        <v>17009</v>
      </c>
      <c r="C11866" s="9" t="s">
        <v>16996</v>
      </c>
      <c r="D11866" s="9" t="s">
        <v>101</v>
      </c>
      <c r="E11866" s="6" t="s">
        <v>17010</v>
      </c>
      <c r="F11866" s="9"/>
    </row>
    <row r="11867" ht="33.75" customHeight="1">
      <c r="A11867" s="7">
        <v>534.0</v>
      </c>
      <c r="B11867" s="9" t="s">
        <v>17009</v>
      </c>
      <c r="C11867" s="9" t="s">
        <v>16996</v>
      </c>
      <c r="D11867" s="9" t="s">
        <v>105</v>
      </c>
      <c r="E11867" s="6" t="s">
        <v>17012</v>
      </c>
      <c r="F11867" s="9"/>
    </row>
    <row r="11868" ht="33.75" customHeight="1">
      <c r="A11868" s="7">
        <v>534.0</v>
      </c>
      <c r="B11868" s="9" t="s">
        <v>17009</v>
      </c>
      <c r="C11868" s="9" t="s">
        <v>16996</v>
      </c>
      <c r="D11868" s="9" t="s">
        <v>107</v>
      </c>
      <c r="E11868" s="6" t="s">
        <v>17010</v>
      </c>
      <c r="F11868" s="9"/>
    </row>
    <row r="11869" ht="33.75" customHeight="1">
      <c r="A11869" s="7">
        <v>534.0</v>
      </c>
      <c r="B11869" s="9" t="s">
        <v>17009</v>
      </c>
      <c r="C11869" s="9" t="s">
        <v>16996</v>
      </c>
      <c r="D11869" s="9" t="s">
        <v>109</v>
      </c>
      <c r="E11869" s="6" t="s">
        <v>17012</v>
      </c>
      <c r="F11869" s="9"/>
    </row>
    <row r="11870" ht="33.75" customHeight="1">
      <c r="A11870" s="7">
        <v>534.0</v>
      </c>
      <c r="B11870" s="9" t="s">
        <v>17009</v>
      </c>
      <c r="C11870" s="9" t="s">
        <v>16996</v>
      </c>
      <c r="D11870" s="9" t="s">
        <v>114</v>
      </c>
      <c r="E11870" s="6" t="s">
        <v>17013</v>
      </c>
      <c r="F11870" s="9"/>
    </row>
    <row r="11871" ht="33.75" customHeight="1">
      <c r="A11871" s="7">
        <v>534.0</v>
      </c>
      <c r="B11871" s="9" t="s">
        <v>17009</v>
      </c>
      <c r="C11871" s="9" t="s">
        <v>16996</v>
      </c>
      <c r="D11871" s="9" t="s">
        <v>117</v>
      </c>
      <c r="E11871" s="6" t="s">
        <v>17014</v>
      </c>
      <c r="F11871" s="9"/>
    </row>
    <row r="11872" ht="33.75" customHeight="1">
      <c r="A11872" s="7">
        <v>535.0</v>
      </c>
      <c r="B11872" s="9" t="s">
        <v>17015</v>
      </c>
      <c r="C11872" s="9" t="s">
        <v>3587</v>
      </c>
      <c r="D11872" s="9" t="s">
        <v>93</v>
      </c>
      <c r="E11872" s="6" t="s">
        <v>17016</v>
      </c>
      <c r="F11872" t="inlineStr" s="10">
        <is>
          <t xml:space="preserve">Ne varoittavat muita vaarasta tärisyttämällä poskiaan luodakseen korkean äänen. Värähtelemällä poskiaan se lähettää ihmisille huomaamattomia ääniaaltoja. Se käyttää näiden äänien rytmiä puhuakseen. Värähtelemällä poskiaan se lähettää ihmisille huomaamattomia ääniaaltoja ja varoittaa muita vaarasta. Veden pinnalla kulkevat sulavat väreilyt ovat varma merkki siitä, että Tympolet laulavat alhaalla korkeilla äänillä. Se käyttää ääniaaltoja kommunikoidakseen muiden lajitovereidensa kanssa. Ihmiset ja muut Pokémon-lajit eivät kuule sen varoitushuutoja.</t>
        </is>
      </c>
    </row>
    <row r="11873" ht="33.75" customHeight="1">
      <c r="A11873" s="7">
        <v>535.0</v>
      </c>
      <c r="B11873" s="9" t="s">
        <v>17015</v>
      </c>
      <c r="C11873" s="9" t="s">
        <v>3587</v>
      </c>
      <c r="D11873" s="9" t="s">
        <v>95</v>
      </c>
      <c r="E11873" s="6" t="s">
        <v>17017</v>
      </c>
      <c r="F11873" s="9"/>
    </row>
    <row r="11874" ht="33.75" customHeight="1">
      <c r="A11874" s="7">
        <v>535.0</v>
      </c>
      <c r="B11874" s="9" t="s">
        <v>17015</v>
      </c>
      <c r="C11874" s="9" t="s">
        <v>3587</v>
      </c>
      <c r="D11874" s="9" t="s">
        <v>98</v>
      </c>
      <c r="E11874" s="6" t="s">
        <v>17018</v>
      </c>
      <c r="F11874" s="9"/>
    </row>
    <row r="11875" ht="33.75" customHeight="1">
      <c r="A11875" s="7">
        <v>535.0</v>
      </c>
      <c r="B11875" s="9" t="s">
        <v>17015</v>
      </c>
      <c r="C11875" s="9" t="s">
        <v>3587</v>
      </c>
      <c r="D11875" s="9" t="s">
        <v>99</v>
      </c>
      <c r="E11875" s="6" t="s">
        <v>17018</v>
      </c>
      <c r="F11875" s="9"/>
    </row>
    <row r="11876" ht="33.75" customHeight="1">
      <c r="A11876" s="7">
        <v>535.0</v>
      </c>
      <c r="B11876" s="9" t="s">
        <v>17015</v>
      </c>
      <c r="C11876" s="9" t="s">
        <v>3587</v>
      </c>
      <c r="D11876" s="9" t="s">
        <v>101</v>
      </c>
      <c r="E11876" s="6" t="s">
        <v>17018</v>
      </c>
      <c r="F11876" s="9"/>
    </row>
    <row r="11877" ht="33.75" customHeight="1">
      <c r="A11877" s="7">
        <v>535.0</v>
      </c>
      <c r="B11877" s="9" t="s">
        <v>17015</v>
      </c>
      <c r="C11877" s="9" t="s">
        <v>3587</v>
      </c>
      <c r="D11877" s="9" t="s">
        <v>105</v>
      </c>
      <c r="E11877" s="6" t="s">
        <v>17017</v>
      </c>
      <c r="F11877" s="9"/>
    </row>
    <row r="11878" ht="33.75" customHeight="1">
      <c r="A11878" s="7">
        <v>535.0</v>
      </c>
      <c r="B11878" s="9" t="s">
        <v>17015</v>
      </c>
      <c r="C11878" s="9" t="s">
        <v>3587</v>
      </c>
      <c r="D11878" s="9" t="s">
        <v>107</v>
      </c>
      <c r="E11878" s="6" t="s">
        <v>17018</v>
      </c>
      <c r="F11878" s="9"/>
    </row>
    <row r="11879" ht="33.75" customHeight="1">
      <c r="A11879" s="7">
        <v>535.0</v>
      </c>
      <c r="B11879" s="9" t="s">
        <v>17015</v>
      </c>
      <c r="C11879" s="9" t="s">
        <v>3587</v>
      </c>
      <c r="D11879" s="9" t="s">
        <v>109</v>
      </c>
      <c r="E11879" s="6" t="s">
        <v>17017</v>
      </c>
      <c r="F11879" s="9"/>
    </row>
    <row r="11880" ht="33.75" customHeight="1">
      <c r="A11880" s="7">
        <v>535.0</v>
      </c>
      <c r="B11880" s="9" t="s">
        <v>17015</v>
      </c>
      <c r="C11880" s="9" t="s">
        <v>3587</v>
      </c>
      <c r="D11880" s="9" t="s">
        <v>114</v>
      </c>
      <c r="E11880" s="6" t="s">
        <v>17020</v>
      </c>
      <c r="F11880" s="9"/>
    </row>
    <row r="11881" ht="33.75" customHeight="1">
      <c r="A11881" s="7">
        <v>535.0</v>
      </c>
      <c r="B11881" s="9" t="s">
        <v>17015</v>
      </c>
      <c r="C11881" s="9" t="s">
        <v>3587</v>
      </c>
      <c r="D11881" s="9" t="s">
        <v>117</v>
      </c>
      <c r="E11881" s="6" t="s">
        <v>17021</v>
      </c>
      <c r="F11881" s="9"/>
    </row>
    <row r="11882" ht="33.75" customHeight="1">
      <c r="A11882" s="7">
        <v>536.0</v>
      </c>
      <c r="B11882" s="9" t="s">
        <v>17022</v>
      </c>
      <c r="C11882" s="9" t="s">
        <v>14757</v>
      </c>
      <c r="D11882" s="9" t="s">
        <v>93</v>
      </c>
      <c r="E11882" s="6" t="s">
        <v>17023</v>
      </c>
      <c r="F11882" t="inlineStr" s="10">
        <is>
          <t xml:space="preserve">Kun ne tärisyttävät päänsä kohoumia, ne voivat aiheuttaa aaltoja vedessä tai maanjäristyksen kaltaisia ​​värähtelyjä maalla. Se elää vedessä ja maalla. Se käyttää pitkää, tahmeaa kieltään saaliin pyydystämiseen. Se käyttää pitkää, tahmeaa kieltään lamauttaakseen vastustajansa. Se heikentää saalistaan ​​ääniaalloilla, jotka ovat niin voimakkaita, että ne aiheuttavat päänsärkyä, ja sitten se kietoutuu tahmeaan kieleensä. Toisinaan niiden huuto on korvaan miellyttävää. Suuremmilla kyhmyillä kehossaan olevat Palpitoadit voivat laulaa laajemmalla äänialalla.</t>
        </is>
      </c>
    </row>
    <row r="11883" ht="33.75" customHeight="1">
      <c r="A11883" s="7">
        <v>536.0</v>
      </c>
      <c r="B11883" s="9" t="s">
        <v>17022</v>
      </c>
      <c r="C11883" s="9" t="s">
        <v>14757</v>
      </c>
      <c r="D11883" s="9" t="s">
        <v>95</v>
      </c>
      <c r="E11883" s="6" t="s">
        <v>17024</v>
      </c>
      <c r="F11883" s="9"/>
    </row>
    <row r="11884" ht="33.75" customHeight="1">
      <c r="A11884" s="7">
        <v>536.0</v>
      </c>
      <c r="B11884" s="9" t="s">
        <v>17022</v>
      </c>
      <c r="C11884" s="9" t="s">
        <v>14757</v>
      </c>
      <c r="D11884" s="9" t="s">
        <v>98</v>
      </c>
      <c r="E11884" s="6" t="s">
        <v>17025</v>
      </c>
      <c r="F11884" s="9"/>
    </row>
    <row r="11885" ht="33.75" customHeight="1">
      <c r="A11885" s="7">
        <v>536.0</v>
      </c>
      <c r="B11885" s="9" t="s">
        <v>17022</v>
      </c>
      <c r="C11885" s="9" t="s">
        <v>14757</v>
      </c>
      <c r="D11885" s="9" t="s">
        <v>99</v>
      </c>
      <c r="E11885" s="6" t="s">
        <v>17025</v>
      </c>
      <c r="F11885" s="9"/>
    </row>
    <row r="11886" ht="33.75" customHeight="1">
      <c r="A11886" s="7">
        <v>536.0</v>
      </c>
      <c r="B11886" s="9" t="s">
        <v>17022</v>
      </c>
      <c r="C11886" s="9" t="s">
        <v>14757</v>
      </c>
      <c r="D11886" s="9" t="s">
        <v>101</v>
      </c>
      <c r="E11886" s="6" t="s">
        <v>17023</v>
      </c>
      <c r="F11886" s="9"/>
    </row>
    <row r="11887" ht="33.75" customHeight="1">
      <c r="A11887" s="7">
        <v>536.0</v>
      </c>
      <c r="B11887" s="9" t="s">
        <v>17022</v>
      </c>
      <c r="C11887" s="9" t="s">
        <v>14757</v>
      </c>
      <c r="D11887" s="9" t="s">
        <v>105</v>
      </c>
      <c r="E11887" s="6" t="s">
        <v>17025</v>
      </c>
      <c r="F11887" s="9"/>
    </row>
    <row r="11888" ht="33.75" customHeight="1">
      <c r="A11888" s="7">
        <v>536.0</v>
      </c>
      <c r="B11888" s="9" t="s">
        <v>17022</v>
      </c>
      <c r="C11888" s="9" t="s">
        <v>14757</v>
      </c>
      <c r="D11888" s="9" t="s">
        <v>107</v>
      </c>
      <c r="E11888" s="6" t="s">
        <v>17023</v>
      </c>
      <c r="F11888" s="9"/>
    </row>
    <row r="11889" ht="33.75" customHeight="1">
      <c r="A11889" s="7">
        <v>536.0</v>
      </c>
      <c r="B11889" s="9" t="s">
        <v>17022</v>
      </c>
      <c r="C11889" s="9" t="s">
        <v>14757</v>
      </c>
      <c r="D11889" s="9" t="s">
        <v>109</v>
      </c>
      <c r="E11889" s="6" t="s">
        <v>17025</v>
      </c>
      <c r="F11889" s="9"/>
    </row>
    <row r="11890" ht="33.75" customHeight="1">
      <c r="A11890" s="7">
        <v>536.0</v>
      </c>
      <c r="B11890" s="9" t="s">
        <v>17022</v>
      </c>
      <c r="C11890" s="9" t="s">
        <v>14757</v>
      </c>
      <c r="D11890" s="9" t="s">
        <v>114</v>
      </c>
      <c r="E11890" s="6" t="s">
        <v>17026</v>
      </c>
      <c r="F11890" s="9"/>
    </row>
    <row r="11891" ht="33.75" customHeight="1">
      <c r="A11891" s="7">
        <v>536.0</v>
      </c>
      <c r="B11891" s="9" t="s">
        <v>17022</v>
      </c>
      <c r="C11891" s="9" t="s">
        <v>14757</v>
      </c>
      <c r="D11891" s="9" t="s">
        <v>117</v>
      </c>
      <c r="E11891" s="6" t="s">
        <v>17027</v>
      </c>
      <c r="F11891" s="9"/>
    </row>
    <row r="11892" ht="33.75" customHeight="1">
      <c r="A11892" s="7">
        <v>537.0</v>
      </c>
      <c r="B11892" s="9" t="s">
        <v>17028</v>
      </c>
      <c r="C11892" s="9" t="s">
        <v>14757</v>
      </c>
      <c r="D11892" s="9" t="s">
        <v>93</v>
      </c>
      <c r="E11892" s="6" t="s">
        <v>17029</v>
      </c>
      <c r="F11892" t="inlineStr" s="10">
        <is>
          <t xml:space="preserve">Ne ampuvat lamauttavaa nestettä pään iskuista. Ne käyttävät tärinää satuttaakseen vastustajiaan. Se lisää iskujensa voimaa värisemällä nyrkkiensä töyssyjä. Se voi muuttaa lohkareen raunioiksi yhdellä iskulla. Antamalla voimaa töyssyihinsä se luo värähtelyjä ja lisää iskujensa voimaa. Kehon kuoppien värähtely aiheuttaa maanjäristyksen kaltaisia ​​vapinoita. Seismitoad ja Croagunk ovat samankaltaisia ​​lajeja. Tämä Pokémon on suosittu vanhusten keskuudessa, jotka sanovat sen kyhmyjen värähtelyjen olevan loistavia hieronnoissa.</t>
        </is>
      </c>
    </row>
    <row r="11893" ht="33.75" customHeight="1">
      <c r="A11893" s="7">
        <v>537.0</v>
      </c>
      <c r="B11893" s="9" t="s">
        <v>17028</v>
      </c>
      <c r="C11893" s="9" t="s">
        <v>14757</v>
      </c>
      <c r="D11893" s="9" t="s">
        <v>95</v>
      </c>
      <c r="E11893" s="6" t="s">
        <v>17030</v>
      </c>
      <c r="F11893" s="9"/>
    </row>
    <row r="11894" ht="33.75" customHeight="1">
      <c r="A11894" s="7">
        <v>537.0</v>
      </c>
      <c r="B11894" s="9" t="s">
        <v>17028</v>
      </c>
      <c r="C11894" s="9" t="s">
        <v>14757</v>
      </c>
      <c r="D11894" s="9" t="s">
        <v>98</v>
      </c>
      <c r="E11894" s="6" t="s">
        <v>17031</v>
      </c>
      <c r="F11894" s="9"/>
    </row>
    <row r="11895" ht="33.75" customHeight="1">
      <c r="A11895" s="7">
        <v>537.0</v>
      </c>
      <c r="B11895" s="9" t="s">
        <v>17028</v>
      </c>
      <c r="C11895" s="9" t="s">
        <v>14757</v>
      </c>
      <c r="D11895" s="9" t="s">
        <v>99</v>
      </c>
      <c r="E11895" s="6" t="s">
        <v>17031</v>
      </c>
      <c r="F11895" s="9"/>
    </row>
    <row r="11896" ht="33.75" customHeight="1">
      <c r="A11896" s="7">
        <v>537.0</v>
      </c>
      <c r="B11896" s="9" t="s">
        <v>17028</v>
      </c>
      <c r="C11896" s="9" t="s">
        <v>14757</v>
      </c>
      <c r="D11896" s="9" t="s">
        <v>101</v>
      </c>
      <c r="E11896" s="6" t="s">
        <v>17030</v>
      </c>
      <c r="F11896" s="9"/>
    </row>
    <row r="11897" ht="33.75" customHeight="1">
      <c r="A11897" s="7">
        <v>537.0</v>
      </c>
      <c r="B11897" s="9" t="s">
        <v>17028</v>
      </c>
      <c r="C11897" s="9" t="s">
        <v>14757</v>
      </c>
      <c r="D11897" s="9" t="s">
        <v>105</v>
      </c>
      <c r="E11897" s="6" t="s">
        <v>17029</v>
      </c>
      <c r="F11897" s="9"/>
    </row>
    <row r="11898" ht="33.75" customHeight="1">
      <c r="A11898" s="7">
        <v>537.0</v>
      </c>
      <c r="B11898" s="9" t="s">
        <v>17028</v>
      </c>
      <c r="C11898" s="9" t="s">
        <v>14757</v>
      </c>
      <c r="D11898" s="9" t="s">
        <v>107</v>
      </c>
      <c r="E11898" s="6" t="s">
        <v>17030</v>
      </c>
      <c r="F11898" s="9"/>
    </row>
    <row r="11899" ht="33.75" customHeight="1">
      <c r="A11899" s="7">
        <v>537.0</v>
      </c>
      <c r="B11899" s="9" t="s">
        <v>17028</v>
      </c>
      <c r="C11899" s="9" t="s">
        <v>14757</v>
      </c>
      <c r="D11899" s="9" t="s">
        <v>109</v>
      </c>
      <c r="E11899" s="6" t="s">
        <v>17029</v>
      </c>
      <c r="F11899" s="9"/>
    </row>
    <row r="11900" ht="33.75" customHeight="1">
      <c r="A11900" s="7">
        <v>537.0</v>
      </c>
      <c r="B11900" s="9" t="s">
        <v>17028</v>
      </c>
      <c r="C11900" s="9" t="s">
        <v>14757</v>
      </c>
      <c r="D11900" s="9" t="s">
        <v>114</v>
      </c>
      <c r="E11900" s="6" t="s">
        <v>17033</v>
      </c>
      <c r="F11900" s="9"/>
    </row>
    <row r="11901" ht="33.75" customHeight="1">
      <c r="A11901" s="7">
        <v>537.0</v>
      </c>
      <c r="B11901" s="9" t="s">
        <v>17028</v>
      </c>
      <c r="C11901" s="9" t="s">
        <v>14757</v>
      </c>
      <c r="D11901" s="9" t="s">
        <v>117</v>
      </c>
      <c r="E11901" s="6" t="s">
        <v>17034</v>
      </c>
      <c r="F11901" s="9"/>
    </row>
    <row r="11902" ht="33.75" customHeight="1">
      <c r="A11902" s="7">
        <v>538.0</v>
      </c>
      <c r="B11902" s="9" t="s">
        <v>17035</v>
      </c>
      <c r="C11902" s="9" t="s">
        <v>17036</v>
      </c>
      <c r="D11902" s="9" t="s">
        <v>93</v>
      </c>
      <c r="E11902" s="6" t="s">
        <v>17037</v>
      </c>
      <c r="F11902" t="inlineStr" s="10">
        <is>
          <t xml:space="preserve">Kun se kiristää vyötään, siitä tulee vahvempi. Villi Throh käyttää köynnöksiä omien vyöidensä kutomiseen. Kohdatessaan itseään suurempia vihollisia, ne yrittävät heittää ne. Ne matkustavat aina viiden hengen laumoissa. Kun se kohtaa itseään suuremman vihollisen, se haluaa heittää sen. Se vaihtaa vyötä vahvistuessaan. Se suorittaa heittoliikkeitä ensiluokkaisella taidolla. Monien taisteluiden aikana Throhin vyö tummuu sen imeytyessä kantajansa hikeen. He harjoittelevat viiden hengen ryhmissä. Jokainen jäsen, joka ei pysy perässä, heittää vyönsä pois ja poistuu ryhmästä.</t>
        </is>
      </c>
    </row>
    <row r="11903" ht="33.75" customHeight="1">
      <c r="A11903" s="7">
        <v>538.0</v>
      </c>
      <c r="B11903" s="9" t="s">
        <v>17035</v>
      </c>
      <c r="C11903" s="9" t="s">
        <v>17036</v>
      </c>
      <c r="D11903" s="9" t="s">
        <v>95</v>
      </c>
      <c r="E11903" s="6" t="s">
        <v>17038</v>
      </c>
      <c r="F11903" s="9"/>
    </row>
    <row r="11904" ht="33.75" customHeight="1">
      <c r="A11904" s="7">
        <v>538.0</v>
      </c>
      <c r="B11904" s="9" t="s">
        <v>17035</v>
      </c>
      <c r="C11904" s="9" t="s">
        <v>17036</v>
      </c>
      <c r="D11904" s="9" t="s">
        <v>98</v>
      </c>
      <c r="E11904" s="6" t="s">
        <v>17039</v>
      </c>
      <c r="F11904" s="9"/>
    </row>
    <row r="11905" ht="33.75" customHeight="1">
      <c r="A11905" s="7">
        <v>538.0</v>
      </c>
      <c r="B11905" s="9" t="s">
        <v>17035</v>
      </c>
      <c r="C11905" s="9" t="s">
        <v>17036</v>
      </c>
      <c r="D11905" s="9" t="s">
        <v>99</v>
      </c>
      <c r="E11905" s="6" t="s">
        <v>17039</v>
      </c>
      <c r="F11905" s="9"/>
    </row>
    <row r="11906" ht="33.75" customHeight="1">
      <c r="A11906" s="7">
        <v>538.0</v>
      </c>
      <c r="B11906" s="9" t="s">
        <v>17035</v>
      </c>
      <c r="C11906" s="9" t="s">
        <v>17036</v>
      </c>
      <c r="D11906" s="9" t="s">
        <v>101</v>
      </c>
      <c r="E11906" s="6" t="s">
        <v>17037</v>
      </c>
      <c r="F11906" s="9"/>
    </row>
    <row r="11907" ht="33.75" customHeight="1">
      <c r="A11907" s="7">
        <v>538.0</v>
      </c>
      <c r="B11907" s="9" t="s">
        <v>17035</v>
      </c>
      <c r="C11907" s="9" t="s">
        <v>17036</v>
      </c>
      <c r="D11907" s="9" t="s">
        <v>105</v>
      </c>
      <c r="E11907" s="6" t="s">
        <v>17039</v>
      </c>
      <c r="F11907" s="9"/>
    </row>
    <row r="11908" ht="33.75" customHeight="1">
      <c r="A11908" s="7">
        <v>538.0</v>
      </c>
      <c r="B11908" s="9" t="s">
        <v>17035</v>
      </c>
      <c r="C11908" s="9" t="s">
        <v>17036</v>
      </c>
      <c r="D11908" s="9" t="s">
        <v>107</v>
      </c>
      <c r="E11908" s="6" t="s">
        <v>17037</v>
      </c>
      <c r="F11908" s="9"/>
    </row>
    <row r="11909" ht="33.75" customHeight="1">
      <c r="A11909" s="7">
        <v>538.0</v>
      </c>
      <c r="B11909" s="9" t="s">
        <v>17035</v>
      </c>
      <c r="C11909" s="9" t="s">
        <v>17036</v>
      </c>
      <c r="D11909" s="9" t="s">
        <v>109</v>
      </c>
      <c r="E11909" s="6" t="s">
        <v>17039</v>
      </c>
      <c r="F11909" s="9"/>
    </row>
    <row r="11910" ht="33.75" customHeight="1">
      <c r="A11910" s="7">
        <v>538.0</v>
      </c>
      <c r="B11910" s="9" t="s">
        <v>17035</v>
      </c>
      <c r="C11910" s="9" t="s">
        <v>17036</v>
      </c>
      <c r="D11910" s="9" t="s">
        <v>114</v>
      </c>
      <c r="E11910" s="6" t="s">
        <v>17040</v>
      </c>
      <c r="F11910" s="9"/>
    </row>
    <row r="11911" ht="33.75" customHeight="1">
      <c r="A11911" s="7">
        <v>538.0</v>
      </c>
      <c r="B11911" s="9" t="s">
        <v>17035</v>
      </c>
      <c r="C11911" s="9" t="s">
        <v>17036</v>
      </c>
      <c r="D11911" s="9" t="s">
        <v>117</v>
      </c>
      <c r="E11911" s="6" t="s">
        <v>17041</v>
      </c>
      <c r="F11911" s="9"/>
    </row>
    <row r="11912" ht="33.75" customHeight="1">
      <c r="A11912" s="7">
        <v>539.0</v>
      </c>
      <c r="B11912" s="9" t="s">
        <v>17042</v>
      </c>
      <c r="C11912" s="9" t="s">
        <v>17043</v>
      </c>
      <c r="D11912" s="9" t="s">
        <v>93</v>
      </c>
      <c r="E11912" s="6" t="s">
        <v>17045</v>
      </c>
      <c r="F11912" t="inlineStr" s="10">
        <is>
          <t xml:space="preserve">Sawkin lyöntien ääni lohkareissa ja puissa kuuluu aina vuorilta, joilla he harjoittelevat. Vyön sitominen saa heidät energisoitumaan ja tekee lyönneistään tuhoisampia. Harjoittelun häiritseminen suututtaa heitä. Haluten vahvimman karate-osuuden, he eristäytyvät vuorille ja harjoittelevat nukkumatta. Jos näet vuorilla sahaharjoittelijan harjoittelemassa voimanjanossaan, on parasta ohittaa se hiljaa. Viimeiseen asti itsensä harjoitelleen Sawkin karateniskut voivat halkaista jopa meren.</t>
        </is>
      </c>
    </row>
    <row r="11913" ht="33.75" customHeight="1">
      <c r="A11913" s="7">
        <v>539.0</v>
      </c>
      <c r="B11913" s="9" t="s">
        <v>17042</v>
      </c>
      <c r="C11913" s="9" t="s">
        <v>17043</v>
      </c>
      <c r="D11913" s="9" t="s">
        <v>95</v>
      </c>
      <c r="E11913" s="6" t="s">
        <v>17046</v>
      </c>
      <c r="F11913" s="9"/>
    </row>
    <row r="11914" ht="33.75" customHeight="1">
      <c r="A11914" s="7">
        <v>539.0</v>
      </c>
      <c r="B11914" s="9" t="s">
        <v>17042</v>
      </c>
      <c r="C11914" s="9" t="s">
        <v>17043</v>
      </c>
      <c r="D11914" s="9" t="s">
        <v>98</v>
      </c>
      <c r="E11914" s="6" t="s">
        <v>17047</v>
      </c>
      <c r="F11914" s="9"/>
    </row>
    <row r="11915" ht="33.75" customHeight="1">
      <c r="A11915" s="7">
        <v>539.0</v>
      </c>
      <c r="B11915" s="9" t="s">
        <v>17042</v>
      </c>
      <c r="C11915" s="9" t="s">
        <v>17043</v>
      </c>
      <c r="D11915" s="9" t="s">
        <v>99</v>
      </c>
      <c r="E11915" s="6" t="s">
        <v>17047</v>
      </c>
      <c r="F11915" s="9"/>
    </row>
    <row r="11916" ht="33.75" customHeight="1">
      <c r="A11916" s="7">
        <v>539.0</v>
      </c>
      <c r="B11916" s="9" t="s">
        <v>17042</v>
      </c>
      <c r="C11916" s="9" t="s">
        <v>17043</v>
      </c>
      <c r="D11916" s="9" t="s">
        <v>101</v>
      </c>
      <c r="E11916" s="6" t="s">
        <v>17047</v>
      </c>
      <c r="F11916" s="9"/>
    </row>
    <row r="11917" ht="33.75" customHeight="1">
      <c r="A11917" s="7">
        <v>539.0</v>
      </c>
      <c r="B11917" s="9" t="s">
        <v>17042</v>
      </c>
      <c r="C11917" s="9" t="s">
        <v>17043</v>
      </c>
      <c r="D11917" s="9" t="s">
        <v>105</v>
      </c>
      <c r="E11917" s="6" t="s">
        <v>17046</v>
      </c>
      <c r="F11917" s="9"/>
    </row>
    <row r="11918" ht="33.75" customHeight="1">
      <c r="A11918" s="7">
        <v>539.0</v>
      </c>
      <c r="B11918" s="9" t="s">
        <v>17042</v>
      </c>
      <c r="C11918" s="9" t="s">
        <v>17043</v>
      </c>
      <c r="D11918" s="9" t="s">
        <v>107</v>
      </c>
      <c r="E11918" s="6" t="s">
        <v>17047</v>
      </c>
      <c r="F11918" s="9"/>
    </row>
    <row r="11919" ht="33.75" customHeight="1">
      <c r="A11919" s="7">
        <v>539.0</v>
      </c>
      <c r="B11919" s="9" t="s">
        <v>17042</v>
      </c>
      <c r="C11919" s="9" t="s">
        <v>17043</v>
      </c>
      <c r="D11919" s="9" t="s">
        <v>109</v>
      </c>
      <c r="E11919" s="6" t="s">
        <v>17046</v>
      </c>
      <c r="F11919" s="9"/>
    </row>
    <row r="11920" ht="33.75" customHeight="1">
      <c r="A11920" s="7">
        <v>539.0</v>
      </c>
      <c r="B11920" s="9" t="s">
        <v>17042</v>
      </c>
      <c r="C11920" s="9" t="s">
        <v>17043</v>
      </c>
      <c r="D11920" s="9" t="s">
        <v>114</v>
      </c>
      <c r="E11920" s="6" t="s">
        <v>17048</v>
      </c>
      <c r="F11920" s="9"/>
    </row>
    <row r="11921" ht="33.75" customHeight="1">
      <c r="A11921" s="7">
        <v>539.0</v>
      </c>
      <c r="B11921" s="9" t="s">
        <v>17042</v>
      </c>
      <c r="C11921" s="9" t="s">
        <v>17043</v>
      </c>
      <c r="D11921" s="9" t="s">
        <v>117</v>
      </c>
      <c r="E11921" s="6" t="s">
        <v>17049</v>
      </c>
      <c r="F11921" s="9"/>
    </row>
    <row r="11922" ht="33.75" customHeight="1">
      <c r="A11922" s="7">
        <v>540.0</v>
      </c>
      <c r="B11922" s="9" t="s">
        <v>17050</v>
      </c>
      <c r="C11922" s="9" t="s">
        <v>17051</v>
      </c>
      <c r="D11922" s="9" t="s">
        <v>93</v>
      </c>
      <c r="E11922" s="6" t="s">
        <v>17052</v>
      </c>
      <c r="F11922" t="inlineStr" s="10">
        <is>
          <t xml:space="preserve">Leavanny pukee Sewaddlen vaatteisiin, jotka he tekivät sille kuoriutumisen yhteydessä. Se piilottaa päänsä huppuunsa nukkuessaan. Tämä Pokémon tekee itselleen vaatteita. Se pureskelee lehtiä ja ompelee ne suustaan ​​pursuavalla tahmealla langalla. Koska tämä Pokémon tekee omat vaatteensa lehdistä, se on suosittu maskotti muotisuunnittelijoille.</t>
        </is>
      </c>
    </row>
    <row r="11923" ht="33.75" customHeight="1">
      <c r="A11923" s="7">
        <v>540.0</v>
      </c>
      <c r="B11923" s="9" t="s">
        <v>17050</v>
      </c>
      <c r="C11923" s="9" t="s">
        <v>17051</v>
      </c>
      <c r="D11923" s="9" t="s">
        <v>95</v>
      </c>
      <c r="E11923" s="6" t="s">
        <v>17053</v>
      </c>
      <c r="F11923" s="9"/>
    </row>
    <row r="11924" ht="33.75" customHeight="1">
      <c r="A11924" s="7">
        <v>540.0</v>
      </c>
      <c r="B11924" s="9" t="s">
        <v>17050</v>
      </c>
      <c r="C11924" s="9" t="s">
        <v>17051</v>
      </c>
      <c r="D11924" s="9" t="s">
        <v>98</v>
      </c>
      <c r="E11924" s="6" t="s">
        <v>17054</v>
      </c>
      <c r="F11924" s="9"/>
    </row>
    <row r="11925" ht="33.75" customHeight="1">
      <c r="A11925" s="7">
        <v>540.0</v>
      </c>
      <c r="B11925" s="9" t="s">
        <v>17050</v>
      </c>
      <c r="C11925" s="9" t="s">
        <v>17051</v>
      </c>
      <c r="D11925" s="9" t="s">
        <v>99</v>
      </c>
      <c r="E11925" s="6" t="s">
        <v>17054</v>
      </c>
      <c r="F11925" s="9"/>
    </row>
    <row r="11926" ht="33.75" customHeight="1">
      <c r="A11926" s="7">
        <v>540.0</v>
      </c>
      <c r="B11926" s="9" t="s">
        <v>17050</v>
      </c>
      <c r="C11926" s="9" t="s">
        <v>17051</v>
      </c>
      <c r="D11926" s="9" t="s">
        <v>101</v>
      </c>
      <c r="E11926" s="6" t="s">
        <v>17053</v>
      </c>
      <c r="F11926" s="9"/>
    </row>
    <row r="11927" ht="33.75" customHeight="1">
      <c r="A11927" s="7">
        <v>540.0</v>
      </c>
      <c r="B11927" s="9" t="s">
        <v>17050</v>
      </c>
      <c r="C11927" s="9" t="s">
        <v>17051</v>
      </c>
      <c r="D11927" s="9" t="s">
        <v>105</v>
      </c>
      <c r="E11927" s="6" t="s">
        <v>17054</v>
      </c>
      <c r="F11927" s="9"/>
    </row>
    <row r="11928" ht="33.75" customHeight="1">
      <c r="A11928" s="7">
        <v>540.0</v>
      </c>
      <c r="B11928" s="9" t="s">
        <v>17050</v>
      </c>
      <c r="C11928" s="9" t="s">
        <v>17051</v>
      </c>
      <c r="D11928" s="9" t="s">
        <v>107</v>
      </c>
      <c r="E11928" s="6" t="s">
        <v>17053</v>
      </c>
      <c r="F11928" s="9"/>
    </row>
    <row r="11929" ht="33.75" customHeight="1">
      <c r="A11929" s="7">
        <v>540.0</v>
      </c>
      <c r="B11929" s="9" t="s">
        <v>17050</v>
      </c>
      <c r="C11929" s="9" t="s">
        <v>17051</v>
      </c>
      <c r="D11929" s="9" t="s">
        <v>109</v>
      </c>
      <c r="E11929" s="6" t="s">
        <v>17054</v>
      </c>
      <c r="F11929" s="9"/>
    </row>
    <row r="11930" ht="33.75" customHeight="1">
      <c r="A11930" s="7">
        <v>541.0</v>
      </c>
      <c r="B11930" s="9" t="s">
        <v>17056</v>
      </c>
      <c r="C11930" s="9" t="s">
        <v>17057</v>
      </c>
      <c r="D11930" s="9" t="s">
        <v>93</v>
      </c>
      <c r="E11930" s="6" t="s">
        <v>17058</v>
      </c>
      <c r="F11930" t="inlineStr" s="10">
        <is>
          <t xml:space="preserve">Metsissä, joissa swadloon-linnut elävät, on upeat lehdet, koska niiden pudonneista lehdistä tuottamat ravinteet ravitsevat kasvillisuutta. Se suojaa itseään kylmältä kääriytymällä lehtiin. Se pysyy liikkeellä ja syö lehtiä metsissä. Se viihtyy pimeissä ja kosteissa paikoissa ja viettää koko päivän syöden ympärillään olevia pudonneita lehtiä.</t>
        </is>
      </c>
    </row>
    <row r="11931" ht="33.75" customHeight="1">
      <c r="A11931" s="7">
        <v>541.0</v>
      </c>
      <c r="B11931" s="9" t="s">
        <v>17056</v>
      </c>
      <c r="C11931" s="9" t="s">
        <v>17057</v>
      </c>
      <c r="D11931" s="9" t="s">
        <v>95</v>
      </c>
      <c r="E11931" s="6" t="s">
        <v>17059</v>
      </c>
      <c r="F11931" s="9"/>
    </row>
    <row r="11932" ht="33.75" customHeight="1">
      <c r="A11932" s="7">
        <v>541.0</v>
      </c>
      <c r="B11932" s="9" t="s">
        <v>17056</v>
      </c>
      <c r="C11932" s="9" t="s">
        <v>17057</v>
      </c>
      <c r="D11932" s="9" t="s">
        <v>98</v>
      </c>
      <c r="E11932" s="6" t="s">
        <v>17060</v>
      </c>
      <c r="F11932" s="9"/>
    </row>
    <row r="11933" ht="33.75" customHeight="1">
      <c r="A11933" s="7">
        <v>541.0</v>
      </c>
      <c r="B11933" s="9" t="s">
        <v>17056</v>
      </c>
      <c r="C11933" s="9" t="s">
        <v>17057</v>
      </c>
      <c r="D11933" s="9" t="s">
        <v>99</v>
      </c>
      <c r="E11933" s="6" t="s">
        <v>17060</v>
      </c>
      <c r="F11933" s="9"/>
    </row>
    <row r="11934" ht="33.75" customHeight="1">
      <c r="A11934" s="7">
        <v>541.0</v>
      </c>
      <c r="B11934" s="9" t="s">
        <v>17056</v>
      </c>
      <c r="C11934" s="9" t="s">
        <v>17057</v>
      </c>
      <c r="D11934" s="9" t="s">
        <v>101</v>
      </c>
      <c r="E11934" s="6" t="s">
        <v>17058</v>
      </c>
      <c r="F11934" s="9"/>
    </row>
    <row r="11935" ht="33.75" customHeight="1">
      <c r="A11935" s="7">
        <v>541.0</v>
      </c>
      <c r="B11935" s="9" t="s">
        <v>17056</v>
      </c>
      <c r="C11935" s="9" t="s">
        <v>17057</v>
      </c>
      <c r="D11935" s="9" t="s">
        <v>105</v>
      </c>
      <c r="E11935" s="6" t="s">
        <v>17059</v>
      </c>
      <c r="F11935" s="9"/>
    </row>
    <row r="11936" ht="33.75" customHeight="1">
      <c r="A11936" s="7">
        <v>541.0</v>
      </c>
      <c r="B11936" s="9" t="s">
        <v>17056</v>
      </c>
      <c r="C11936" s="9" t="s">
        <v>17057</v>
      </c>
      <c r="D11936" s="9" t="s">
        <v>107</v>
      </c>
      <c r="E11936" s="6" t="s">
        <v>17058</v>
      </c>
      <c r="F11936" s="9"/>
    </row>
    <row r="11937" ht="33.75" customHeight="1">
      <c r="A11937" s="7">
        <v>541.0</v>
      </c>
      <c r="B11937" s="9" t="s">
        <v>17056</v>
      </c>
      <c r="C11937" s="9" t="s">
        <v>17057</v>
      </c>
      <c r="D11937" s="9" t="s">
        <v>109</v>
      </c>
      <c r="E11937" s="6" t="s">
        <v>17059</v>
      </c>
      <c r="F11937" s="9"/>
    </row>
    <row r="11938" ht="33.75" customHeight="1">
      <c r="A11938" s="7">
        <v>542.0</v>
      </c>
      <c r="B11938" s="9" t="s">
        <v>17061</v>
      </c>
      <c r="C11938" s="9" t="s">
        <v>17062</v>
      </c>
      <c r="D11938" s="9" t="s">
        <v>93</v>
      </c>
      <c r="E11938" s="6" t="s">
        <v>17063</v>
      </c>
      <c r="F11938" t="inlineStr" s="10">
        <is>
          <t xml:space="preserve">Löydettyään pienen Pokémonin se kutoo sille vaatteita lehdistä käyttäen käsivarsissaan olevia leikkureita ja tahmeaa silkkiä. Se pitää munansa lämpiminä käymislehtien lämmön avulla. Se käyttää lehtiä myös lämpimien kääreiden tekemiseen Sewaddlelle. Löydettyään pienen Pokémonin se kutoo sille vaatteita lehdistä käyttämällä suustaan ​​erittyvää tahmeaa silkkiä.</t>
        </is>
      </c>
    </row>
    <row r="11939" ht="33.75" customHeight="1">
      <c r="A11939" s="7">
        <v>542.0</v>
      </c>
      <c r="B11939" s="9" t="s">
        <v>17061</v>
      </c>
      <c r="C11939" s="9" t="s">
        <v>17062</v>
      </c>
      <c r="D11939" s="9" t="s">
        <v>95</v>
      </c>
      <c r="E11939" s="6" t="s">
        <v>17064</v>
      </c>
      <c r="F11939" s="9"/>
    </row>
    <row r="11940" ht="33.75" customHeight="1">
      <c r="A11940" s="7">
        <v>542.0</v>
      </c>
      <c r="B11940" s="9" t="s">
        <v>17061</v>
      </c>
      <c r="C11940" s="9" t="s">
        <v>17062</v>
      </c>
      <c r="D11940" s="9" t="s">
        <v>98</v>
      </c>
      <c r="E11940" s="6" t="s">
        <v>17065</v>
      </c>
      <c r="F11940" s="9"/>
    </row>
    <row r="11941" ht="33.75" customHeight="1">
      <c r="A11941" s="7">
        <v>542.0</v>
      </c>
      <c r="B11941" s="9" t="s">
        <v>17061</v>
      </c>
      <c r="C11941" s="9" t="s">
        <v>17062</v>
      </c>
      <c r="D11941" s="9" t="s">
        <v>99</v>
      </c>
      <c r="E11941" s="6" t="s">
        <v>17065</v>
      </c>
      <c r="F11941" s="9"/>
    </row>
    <row r="11942" ht="33.75" customHeight="1">
      <c r="A11942" s="7">
        <v>542.0</v>
      </c>
      <c r="B11942" s="9" t="s">
        <v>17061</v>
      </c>
      <c r="C11942" s="9" t="s">
        <v>17062</v>
      </c>
      <c r="D11942" s="9" t="s">
        <v>101</v>
      </c>
      <c r="E11942" s="6" t="s">
        <v>17065</v>
      </c>
      <c r="F11942" s="9"/>
    </row>
    <row r="11943" ht="33.75" customHeight="1">
      <c r="A11943" s="7">
        <v>542.0</v>
      </c>
      <c r="B11943" s="9" t="s">
        <v>17061</v>
      </c>
      <c r="C11943" s="9" t="s">
        <v>17062</v>
      </c>
      <c r="D11943" s="9" t="s">
        <v>105</v>
      </c>
      <c r="E11943" s="6" t="s">
        <v>17064</v>
      </c>
      <c r="F11943" s="9"/>
    </row>
    <row r="11944" ht="33.75" customHeight="1">
      <c r="A11944" s="7">
        <v>542.0</v>
      </c>
      <c r="B11944" s="9" t="s">
        <v>17061</v>
      </c>
      <c r="C11944" s="9" t="s">
        <v>17062</v>
      </c>
      <c r="D11944" s="9" t="s">
        <v>107</v>
      </c>
      <c r="E11944" s="6" t="s">
        <v>17065</v>
      </c>
      <c r="F11944" s="9"/>
    </row>
    <row r="11945" ht="33.75" customHeight="1">
      <c r="A11945" s="7">
        <v>542.0</v>
      </c>
      <c r="B11945" s="9" t="s">
        <v>17061</v>
      </c>
      <c r="C11945" s="9" t="s">
        <v>17062</v>
      </c>
      <c r="D11945" s="9" t="s">
        <v>109</v>
      </c>
      <c r="E11945" s="6" t="s">
        <v>17064</v>
      </c>
      <c r="F11945" s="9"/>
    </row>
    <row r="11946" ht="33.75" customHeight="1">
      <c r="A11946" s="7">
        <v>543.0</v>
      </c>
      <c r="B11946" s="9" t="s">
        <v>17066</v>
      </c>
      <c r="C11946" s="9" t="s">
        <v>17067</v>
      </c>
      <c r="D11946" s="9" t="s">
        <v>93</v>
      </c>
      <c r="E11946" s="6" t="s">
        <v>17068</v>
      </c>
      <c r="F11946" t="inlineStr" s="10">
        <is>
          <t xml:space="preserve">Venipeden purema ruiskuttaa voimakasta myrkkyä, joka riittää halvaannuttamaan sitä saalistavat suuret lintu-Pokémonit. Se havaitsee ympäristönsä tapahtumat käyttämällä pään ja hännän tuntosarvia. Se on raa'an aggressiivinen. Pään ja hännän tuntosarvien avulla se havaitsee ilmassa olevia värähtelyjä määrittääkseen saaliinsa sijainnin ja tilan. Venipede ja Sizzlipede ovat samankaltaisia ​​lajeja, mutta kun ne kohtaavat, syntyy valtava taistelu. Sen torahampaat ovat erittäin myrkylliset. Jos tämä Pokémon löytää saaliin, jonka se luulee voivansa syödä, se hyppää sen kimppuun ajattelematta, miten asiat voisivat päättyä.</t>
        </is>
      </c>
    </row>
    <row r="11947" ht="33.75" customHeight="1">
      <c r="A11947" s="7">
        <v>543.0</v>
      </c>
      <c r="B11947" s="9" t="s">
        <v>17066</v>
      </c>
      <c r="C11947" s="9" t="s">
        <v>17067</v>
      </c>
      <c r="D11947" s="9" t="s">
        <v>95</v>
      </c>
      <c r="E11947" s="6" t="s">
        <v>17069</v>
      </c>
      <c r="F11947" s="9"/>
    </row>
    <row r="11948" ht="33.75" customHeight="1">
      <c r="A11948" s="7">
        <v>543.0</v>
      </c>
      <c r="B11948" s="9" t="s">
        <v>17066</v>
      </c>
      <c r="C11948" s="9" t="s">
        <v>17067</v>
      </c>
      <c r="D11948" s="9" t="s">
        <v>98</v>
      </c>
      <c r="E11948" s="6" t="s">
        <v>17071</v>
      </c>
      <c r="F11948" s="9"/>
    </row>
    <row r="11949" ht="33.75" customHeight="1">
      <c r="A11949" s="7">
        <v>543.0</v>
      </c>
      <c r="B11949" s="9" t="s">
        <v>17066</v>
      </c>
      <c r="C11949" s="9" t="s">
        <v>17067</v>
      </c>
      <c r="D11949" s="9" t="s">
        <v>99</v>
      </c>
      <c r="E11949" s="6" t="s">
        <v>17071</v>
      </c>
      <c r="F11949" s="9"/>
    </row>
    <row r="11950" ht="33.75" customHeight="1">
      <c r="A11950" s="7">
        <v>543.0</v>
      </c>
      <c r="B11950" s="9" t="s">
        <v>17066</v>
      </c>
      <c r="C11950" s="9" t="s">
        <v>17067</v>
      </c>
      <c r="D11950" s="9" t="s">
        <v>101</v>
      </c>
      <c r="E11950" s="6" t="s">
        <v>17069</v>
      </c>
      <c r="F11950" s="9"/>
    </row>
    <row r="11951" ht="33.75" customHeight="1">
      <c r="A11951" s="7">
        <v>543.0</v>
      </c>
      <c r="B11951" s="9" t="s">
        <v>17066</v>
      </c>
      <c r="C11951" s="9" t="s">
        <v>17067</v>
      </c>
      <c r="D11951" s="9" t="s">
        <v>105</v>
      </c>
      <c r="E11951" s="6" t="s">
        <v>17068</v>
      </c>
      <c r="F11951" s="9"/>
    </row>
    <row r="11952" ht="33.75" customHeight="1">
      <c r="A11952" s="7">
        <v>543.0</v>
      </c>
      <c r="B11952" s="9" t="s">
        <v>17066</v>
      </c>
      <c r="C11952" s="9" t="s">
        <v>17067</v>
      </c>
      <c r="D11952" s="9" t="s">
        <v>107</v>
      </c>
      <c r="E11952" s="6" t="s">
        <v>17069</v>
      </c>
      <c r="F11952" s="9"/>
    </row>
    <row r="11953" ht="33.75" customHeight="1">
      <c r="A11953" s="7">
        <v>543.0</v>
      </c>
      <c r="B11953" s="9" t="s">
        <v>17066</v>
      </c>
      <c r="C11953" s="9" t="s">
        <v>17067</v>
      </c>
      <c r="D11953" s="9" t="s">
        <v>109</v>
      </c>
      <c r="E11953" s="6" t="s">
        <v>17068</v>
      </c>
      <c r="F11953" s="9"/>
    </row>
    <row r="11954" ht="33.75" customHeight="1">
      <c r="A11954" s="7">
        <v>543.0</v>
      </c>
      <c r="B11954" s="9" t="s">
        <v>17066</v>
      </c>
      <c r="C11954" s="9" t="s">
        <v>17067</v>
      </c>
      <c r="D11954" s="9" t="s">
        <v>114</v>
      </c>
      <c r="E11954" s="6" t="s">
        <v>17072</v>
      </c>
      <c r="F11954" s="9"/>
    </row>
    <row r="11955" ht="33.75" customHeight="1">
      <c r="A11955" s="7">
        <v>543.0</v>
      </c>
      <c r="B11955" s="9" t="s">
        <v>17066</v>
      </c>
      <c r="C11955" s="9" t="s">
        <v>17067</v>
      </c>
      <c r="D11955" s="9" t="s">
        <v>117</v>
      </c>
      <c r="E11955" s="6" t="s">
        <v>17073</v>
      </c>
      <c r="F11955" s="9"/>
    </row>
    <row r="11956" ht="33.75" customHeight="1">
      <c r="A11956" s="7">
        <v>544.0</v>
      </c>
      <c r="B11956" s="9" t="s">
        <v>17074</v>
      </c>
      <c r="C11956" s="9" t="s">
        <v>17075</v>
      </c>
      <c r="D11956" s="9" t="s">
        <v>93</v>
      </c>
      <c r="E11956" s="6" t="s">
        <v>17076</v>
      </c>
      <c r="F11956" t="inlineStr" s="10">
        <is>
          <t xml:space="preserve">Kovan kuoren suojaamana se pyörittää ruumistaan ​​kuin pyörää ja törmää raivokkaasti vihollistensa päälle. Se on yleensä liikkumaton, mutta hyökkäyksen sattuessa se pyörii suurella nopeudella ja törmää sitten vastustajaansa. Se varastoi energiaa evoluutiota varten ja pysyy paikallaan. Mutta kun saalistajat lähestyvät, se liikkuu ja iskee niitä myrkkypiikeillä. Tämä Pokémon pyörii nopeasti ja syöksyy vastustajiensa kimppuun. Sen huippunopeus on hieman yli 95 km/h. Whirlipede suojaa itseään tukevalla kuorella ja myrkyllisillä piikkeillä samalla kun se varastoi evoluutioon tarvitsemaansa energiaa.</t>
        </is>
      </c>
    </row>
    <row r="11957" ht="33.75" customHeight="1">
      <c r="A11957" s="7">
        <v>544.0</v>
      </c>
      <c r="B11957" s="9" t="s">
        <v>17074</v>
      </c>
      <c r="C11957" s="9" t="s">
        <v>17075</v>
      </c>
      <c r="D11957" s="9" t="s">
        <v>95</v>
      </c>
      <c r="E11957" s="6" t="s">
        <v>17077</v>
      </c>
      <c r="F11957" s="9"/>
    </row>
    <row r="11958" ht="33.75" customHeight="1">
      <c r="A11958" s="7">
        <v>544.0</v>
      </c>
      <c r="B11958" s="9" t="s">
        <v>17074</v>
      </c>
      <c r="C11958" s="9" t="s">
        <v>17075</v>
      </c>
      <c r="D11958" s="9" t="s">
        <v>98</v>
      </c>
      <c r="E11958" s="6" t="s">
        <v>17078</v>
      </c>
      <c r="F11958" s="9"/>
    </row>
    <row r="11959" ht="33.75" customHeight="1">
      <c r="A11959" s="7">
        <v>544.0</v>
      </c>
      <c r="B11959" s="9" t="s">
        <v>17074</v>
      </c>
      <c r="C11959" s="9" t="s">
        <v>17075</v>
      </c>
      <c r="D11959" s="9" t="s">
        <v>99</v>
      </c>
      <c r="E11959" s="6" t="s">
        <v>17078</v>
      </c>
      <c r="F11959" s="9"/>
    </row>
    <row r="11960" ht="33.75" customHeight="1">
      <c r="A11960" s="7">
        <v>544.0</v>
      </c>
      <c r="B11960" s="9" t="s">
        <v>17074</v>
      </c>
      <c r="C11960" s="9" t="s">
        <v>17075</v>
      </c>
      <c r="D11960" s="9" t="s">
        <v>101</v>
      </c>
      <c r="E11960" s="6" t="s">
        <v>17076</v>
      </c>
      <c r="F11960" s="9"/>
    </row>
    <row r="11961" ht="33.75" customHeight="1">
      <c r="A11961" s="7">
        <v>544.0</v>
      </c>
      <c r="B11961" s="9" t="s">
        <v>17074</v>
      </c>
      <c r="C11961" s="9" t="s">
        <v>17075</v>
      </c>
      <c r="D11961" s="9" t="s">
        <v>105</v>
      </c>
      <c r="E11961" s="6" t="s">
        <v>17077</v>
      </c>
      <c r="F11961" s="9"/>
    </row>
    <row r="11962" ht="33.75" customHeight="1">
      <c r="A11962" s="7">
        <v>544.0</v>
      </c>
      <c r="B11962" s="9" t="s">
        <v>17074</v>
      </c>
      <c r="C11962" s="9" t="s">
        <v>17075</v>
      </c>
      <c r="D11962" s="9" t="s">
        <v>107</v>
      </c>
      <c r="E11962" s="6" t="s">
        <v>17076</v>
      </c>
      <c r="F11962" s="9"/>
    </row>
    <row r="11963" ht="33.75" customHeight="1">
      <c r="A11963" s="7">
        <v>544.0</v>
      </c>
      <c r="B11963" s="9" t="s">
        <v>17074</v>
      </c>
      <c r="C11963" s="9" t="s">
        <v>17075</v>
      </c>
      <c r="D11963" s="9" t="s">
        <v>109</v>
      </c>
      <c r="E11963" s="6" t="s">
        <v>17077</v>
      </c>
      <c r="F11963" s="9"/>
    </row>
    <row r="11964" ht="33.75" customHeight="1">
      <c r="A11964" s="7">
        <v>544.0</v>
      </c>
      <c r="B11964" s="9" t="s">
        <v>17074</v>
      </c>
      <c r="C11964" s="9" t="s">
        <v>17075</v>
      </c>
      <c r="D11964" s="9" t="s">
        <v>114</v>
      </c>
      <c r="E11964" s="6" t="s">
        <v>17079</v>
      </c>
      <c r="F11964" s="9"/>
    </row>
    <row r="11965" ht="33.75" customHeight="1">
      <c r="A11965" s="7">
        <v>544.0</v>
      </c>
      <c r="B11965" s="9" t="s">
        <v>17074</v>
      </c>
      <c r="C11965" s="9" t="s">
        <v>17075</v>
      </c>
      <c r="D11965" s="9" t="s">
        <v>117</v>
      </c>
      <c r="E11965" s="6" t="s">
        <v>17080</v>
      </c>
      <c r="F11965" s="9"/>
    </row>
    <row r="11966" ht="33.75" customHeight="1">
      <c r="A11966" s="7">
        <v>545.0</v>
      </c>
      <c r="B11966" s="9" t="s">
        <v>17081</v>
      </c>
      <c r="C11966" s="9" t="s">
        <v>17082</v>
      </c>
      <c r="D11966" s="9" t="s">
        <v>93</v>
      </c>
      <c r="E11966" s="6" t="s">
        <v>17083</v>
      </c>
      <c r="F11966" t="inlineStr" s="10">
        <is>
          <t xml:space="preserve">Nopeilla liikkeillä se jahtaa vihollisiaan ja hyökkää armottomasti sarvillaan, kunnes se voittaa. Erittäin aggressiivinen, se käyttää kaulansa lähellä olevia kynsiä kaivautuakseen vastustajiinsa ja myrkyttääkseen heidät. Se puristaa saalistaan ​​kaulansa kynsillä, kunnes se lakkaa liikkumasta. Sitten se tappaa sen tappavalla myrkyllä. Scolipede tarttuu saaliiseensa kaulassaan olevilla kynsillä ennen kuin paiskaa ne maahan ja pistää niitä kynsiensä myrkyllisillä piikkeillä. Scolipedet käyvät rajuja aluetaisteluita Centiskorchin kanssa. Yhden taistelun päätteeksi voittaja antaa häviäjälle aterian.</t>
        </is>
      </c>
    </row>
    <row r="11967" ht="33.75" customHeight="1">
      <c r="A11967" s="7">
        <v>545.0</v>
      </c>
      <c r="B11967" s="9" t="s">
        <v>17081</v>
      </c>
      <c r="C11967" s="9" t="s">
        <v>17082</v>
      </c>
      <c r="D11967" s="9" t="s">
        <v>95</v>
      </c>
      <c r="E11967" s="6" t="s">
        <v>17084</v>
      </c>
      <c r="F11967" s="9"/>
    </row>
    <row r="11968" ht="33.75" customHeight="1">
      <c r="A11968" s="7">
        <v>545.0</v>
      </c>
      <c r="B11968" s="9" t="s">
        <v>17081</v>
      </c>
      <c r="C11968" s="9" t="s">
        <v>17082</v>
      </c>
      <c r="D11968" s="9" t="s">
        <v>98</v>
      </c>
      <c r="E11968" s="6" t="s">
        <v>17085</v>
      </c>
      <c r="F11968" s="9"/>
    </row>
    <row r="11969" ht="33.75" customHeight="1">
      <c r="A11969" s="7">
        <v>545.0</v>
      </c>
      <c r="B11969" s="9" t="s">
        <v>17081</v>
      </c>
      <c r="C11969" s="9" t="s">
        <v>17082</v>
      </c>
      <c r="D11969" s="9" t="s">
        <v>99</v>
      </c>
      <c r="E11969" s="6" t="s">
        <v>17085</v>
      </c>
      <c r="F11969" s="9"/>
    </row>
    <row r="11970" ht="33.75" customHeight="1">
      <c r="A11970" s="7">
        <v>545.0</v>
      </c>
      <c r="B11970" s="9" t="s">
        <v>17081</v>
      </c>
      <c r="C11970" s="9" t="s">
        <v>17082</v>
      </c>
      <c r="D11970" s="9" t="s">
        <v>101</v>
      </c>
      <c r="E11970" s="6" t="s">
        <v>17085</v>
      </c>
      <c r="F11970" s="9"/>
    </row>
    <row r="11971" ht="33.75" customHeight="1">
      <c r="A11971" s="7">
        <v>545.0</v>
      </c>
      <c r="B11971" s="9" t="s">
        <v>17081</v>
      </c>
      <c r="C11971" s="9" t="s">
        <v>17082</v>
      </c>
      <c r="D11971" s="9" t="s">
        <v>105</v>
      </c>
      <c r="E11971" s="6" t="s">
        <v>17083</v>
      </c>
      <c r="F11971" s="9"/>
    </row>
    <row r="11972" ht="33.75" customHeight="1">
      <c r="A11972" s="7">
        <v>545.0</v>
      </c>
      <c r="B11972" s="9" t="s">
        <v>17081</v>
      </c>
      <c r="C11972" s="9" t="s">
        <v>17082</v>
      </c>
      <c r="D11972" s="9" t="s">
        <v>107</v>
      </c>
      <c r="E11972" s="6" t="s">
        <v>17085</v>
      </c>
      <c r="F11972" s="9"/>
    </row>
    <row r="11973" ht="33.75" customHeight="1">
      <c r="A11973" s="7">
        <v>545.0</v>
      </c>
      <c r="B11973" s="9" t="s">
        <v>17081</v>
      </c>
      <c r="C11973" s="9" t="s">
        <v>17082</v>
      </c>
      <c r="D11973" s="9" t="s">
        <v>109</v>
      </c>
      <c r="E11973" s="6" t="s">
        <v>17083</v>
      </c>
      <c r="F11973" s="9"/>
    </row>
    <row r="11974" ht="33.75" customHeight="1">
      <c r="A11974" s="7">
        <v>545.0</v>
      </c>
      <c r="B11974" s="9" t="s">
        <v>17081</v>
      </c>
      <c r="C11974" s="9" t="s">
        <v>17082</v>
      </c>
      <c r="D11974" s="9" t="s">
        <v>114</v>
      </c>
      <c r="E11974" s="6" t="s">
        <v>17086</v>
      </c>
      <c r="F11974" s="9"/>
    </row>
    <row r="11975" ht="33.75" customHeight="1">
      <c r="A11975" s="7">
        <v>545.0</v>
      </c>
      <c r="B11975" s="9" t="s">
        <v>17081</v>
      </c>
      <c r="C11975" s="9" t="s">
        <v>17082</v>
      </c>
      <c r="D11975" s="9" t="s">
        <v>117</v>
      </c>
      <c r="E11975" s="6" t="s">
        <v>17088</v>
      </c>
      <c r="F11975" s="9"/>
    </row>
    <row r="11976" ht="33.75" customHeight="1">
      <c r="A11976" s="7">
        <v>546.0</v>
      </c>
      <c r="B11976" s="9" t="s">
        <v>17089</v>
      </c>
      <c r="C11976" s="9" t="s">
        <v>17090</v>
      </c>
      <c r="D11976" s="9" t="s">
        <v>93</v>
      </c>
      <c r="E11976" s="6" t="s">
        <v>17091</v>
      </c>
      <c r="F11976" t="inlineStr" s="10">
        <is>
          <t xml:space="preserve">Hyökkäyksen sattuessa se pakenee ampumalla ulos vanua. Vanu toimii houkuttimena hyökkääjän häiritsemiseksi. Ne menevät minne tuuli ne vie. Sateisina päivinä niiden ruumiit ovat painavampia, joten ne hakeutuvat suojaan suurten puiden alle. Ehkäpä siksi, että he tuntevat olonsa mukavammaksi ryhmässä, he pysyttelevät löytämiensä ihmisten seurassa. Lopulta he näyttävätkin pilveltä. Kun se löytää muita samanlaisia, ne pysyvät yhdessä. Kun niitä on kertynyt tarpeeksi, massa muistuttaa kumpupilveä. Cottoneen puuvillalla täytetyt tyynyt ja sängyt ovat pehmeitä ja muhkeita, kevyitä ja ilmavia – kaiken kaikkiaan huippulaatua. Suojautuakseen se ampuu puuvillaa ulos kehostaan. Kun se kastuu sateessa, sen puuvilla kostuu ja painaa, eikä se pysty liikkumaan yhtä hyvin. Hyökkäyksen sattuessa se työntää ulos vanua kehostaan ​​luodakseen harhautuksen. Menetetty vanu kasvaa nopeasti takaisin. Se ampuu puuvillaa kehostaan ​​suojautuakseen. Jos se joutuu hurrikaanin voimakkuuden omaavien tuulien iskiessä, se voi lentää toiselle puolelle maapalloa. Cottooneen ja Eldegossin puuvillan yhdistäminen tuottaa hienoa kangasta, jota monet luksusmerkit arvostavat.</t>
        </is>
      </c>
    </row>
    <row r="11977" ht="33.75" customHeight="1">
      <c r="A11977" s="7">
        <v>546.0</v>
      </c>
      <c r="B11977" s="9" t="s">
        <v>17089</v>
      </c>
      <c r="C11977" s="9" t="s">
        <v>17090</v>
      </c>
      <c r="D11977" s="9" t="s">
        <v>95</v>
      </c>
      <c r="E11977" s="6" t="s">
        <v>17092</v>
      </c>
      <c r="F11977" s="9"/>
    </row>
    <row r="11978" ht="33.75" customHeight="1">
      <c r="A11978" s="7">
        <v>546.0</v>
      </c>
      <c r="B11978" s="9" t="s">
        <v>17089</v>
      </c>
      <c r="C11978" s="9" t="s">
        <v>17090</v>
      </c>
      <c r="D11978" s="9" t="s">
        <v>98</v>
      </c>
      <c r="E11978" s="6" t="s">
        <v>17093</v>
      </c>
      <c r="F11978" s="9"/>
    </row>
    <row r="11979" ht="33.75" customHeight="1">
      <c r="A11979" s="7">
        <v>546.0</v>
      </c>
      <c r="B11979" s="9" t="s">
        <v>17089</v>
      </c>
      <c r="C11979" s="9" t="s">
        <v>17090</v>
      </c>
      <c r="D11979" s="9" t="s">
        <v>99</v>
      </c>
      <c r="E11979" s="6" t="s">
        <v>17093</v>
      </c>
      <c r="F11979" s="9"/>
    </row>
    <row r="11980" ht="33.75" customHeight="1">
      <c r="A11980" s="7">
        <v>546.0</v>
      </c>
      <c r="B11980" s="9" t="s">
        <v>17089</v>
      </c>
      <c r="C11980" s="9" t="s">
        <v>17090</v>
      </c>
      <c r="D11980" s="9" t="s">
        <v>101</v>
      </c>
      <c r="E11980" s="6" t="s">
        <v>17091</v>
      </c>
      <c r="F11980" s="9"/>
    </row>
    <row r="11981" ht="33.75" customHeight="1">
      <c r="A11981" s="7">
        <v>546.0</v>
      </c>
      <c r="B11981" s="9" t="s">
        <v>17089</v>
      </c>
      <c r="C11981" s="9" t="s">
        <v>17090</v>
      </c>
      <c r="D11981" s="9" t="s">
        <v>105</v>
      </c>
      <c r="E11981" s="6" t="s">
        <v>17093</v>
      </c>
      <c r="F11981" s="9"/>
    </row>
    <row r="11982" ht="33.75" customHeight="1">
      <c r="A11982" s="7">
        <v>546.0</v>
      </c>
      <c r="B11982" s="9" t="s">
        <v>17089</v>
      </c>
      <c r="C11982" s="9" t="s">
        <v>17090</v>
      </c>
      <c r="D11982" s="9" t="s">
        <v>107</v>
      </c>
      <c r="E11982" s="6" t="s">
        <v>17091</v>
      </c>
      <c r="F11982" s="9"/>
    </row>
    <row r="11983" ht="33.75" customHeight="1">
      <c r="A11983" s="7">
        <v>546.0</v>
      </c>
      <c r="B11983" s="9" t="s">
        <v>17089</v>
      </c>
      <c r="C11983" s="9" t="s">
        <v>17090</v>
      </c>
      <c r="D11983" s="9" t="s">
        <v>109</v>
      </c>
      <c r="E11983" s="6" t="s">
        <v>17093</v>
      </c>
      <c r="F11983" s="9"/>
    </row>
    <row r="11984" ht="33.75" customHeight="1">
      <c r="A11984" s="7">
        <v>546.0</v>
      </c>
      <c r="B11984" s="9" t="s">
        <v>17089</v>
      </c>
      <c r="C11984" s="9" t="s">
        <v>17090</v>
      </c>
      <c r="D11984" s="9" t="s">
        <v>637</v>
      </c>
      <c r="E11984" s="6" t="s">
        <v>17094</v>
      </c>
      <c r="F11984" s="9"/>
    </row>
    <row r="11985" ht="33.75" customHeight="1">
      <c r="A11985" s="7">
        <v>546.0</v>
      </c>
      <c r="B11985" s="9" t="s">
        <v>17089</v>
      </c>
      <c r="C11985" s="9" t="s">
        <v>17090</v>
      </c>
      <c r="D11985" s="9" t="s">
        <v>642</v>
      </c>
      <c r="E11985" s="6" t="s">
        <v>17095</v>
      </c>
      <c r="F11985" s="9"/>
    </row>
    <row r="11986" ht="33.75" customHeight="1">
      <c r="A11986" s="7">
        <v>546.0</v>
      </c>
      <c r="B11986" s="9" t="s">
        <v>17089</v>
      </c>
      <c r="C11986" s="9" t="s">
        <v>17090</v>
      </c>
      <c r="D11986" s="9" t="s">
        <v>647</v>
      </c>
      <c r="E11986" s="6" t="s">
        <v>17096</v>
      </c>
      <c r="F11986" s="9"/>
    </row>
    <row r="11987" ht="33.75" customHeight="1">
      <c r="A11987" s="7">
        <v>546.0</v>
      </c>
      <c r="B11987" s="9" t="s">
        <v>17089</v>
      </c>
      <c r="C11987" s="9" t="s">
        <v>17090</v>
      </c>
      <c r="D11987" s="9" t="s">
        <v>652</v>
      </c>
      <c r="E11987" s="6" t="s">
        <v>17097</v>
      </c>
      <c r="F11987" s="9"/>
    </row>
    <row r="11988" ht="33.75" customHeight="1">
      <c r="A11988" s="7">
        <v>546.0</v>
      </c>
      <c r="B11988" s="9" t="s">
        <v>17089</v>
      </c>
      <c r="C11988" s="9" t="s">
        <v>17090</v>
      </c>
      <c r="D11988" s="9" t="s">
        <v>114</v>
      </c>
      <c r="E11988" s="6" t="s">
        <v>17098</v>
      </c>
      <c r="F11988" s="9"/>
    </row>
    <row r="11989" ht="33.75" customHeight="1">
      <c r="A11989" s="7">
        <v>546.0</v>
      </c>
      <c r="B11989" s="9" t="s">
        <v>17089</v>
      </c>
      <c r="C11989" s="9" t="s">
        <v>17090</v>
      </c>
      <c r="D11989" s="9" t="s">
        <v>117</v>
      </c>
      <c r="E11989" s="6" t="s">
        <v>17099</v>
      </c>
      <c r="F11989" s="9"/>
    </row>
    <row r="11990" ht="33.75" customHeight="1">
      <c r="A11990" s="7">
        <v>547.0</v>
      </c>
      <c r="B11990" s="9" t="s">
        <v>17100</v>
      </c>
      <c r="C11990" s="9" t="s">
        <v>17101</v>
      </c>
      <c r="D11990" s="9" t="s">
        <v>93</v>
      </c>
      <c r="E11990" s="6" t="s">
        <v>17102</v>
      </c>
      <c r="F11990" t="inlineStr" s="10">
        <is>
          <t xml:space="preserve">Kuten tuuli, se voi pujahtaa mistä tahansa raosta, olipa se kuinka pieni tahansa. Se jättää jälkeensä valkoisia nukkapalloja. Ne ilmestyvät pyörremyrskyjen selässä. Nämä Pokémonit hiipivät raoista taloihin ja aiheuttavat kaikenlaista pahaa. Ne ilmestyvät pyörremyrskyjen mukana. Ne tekevät kepposia, kuten siirtelevät huonekaluja ja jättävät vanupalloja koteihin. Se lipuu tuulen mukana ja livahtaa ihmisten koteihin. Muutettuaan huoneen pumpulimaiseksi sotkuksi se kikattaa itsekseen ja lähtee pois. Tämä Pokémon ilmestyy ratsastaen tuulen päällä. Mutta jos tuuli yltyy, se puhaltaa puuvillan pois tämän Pokémonin päästä. Tämä riesa hiipii ihmisten koteihin, piilottaa sinne tärkeitä tavaroita ja levittää puuvillaa kaikkialle. Whimsicott ei asu kiinteässä paikassa. Se liitelee ympäriinsä pyörteilevissä tuulissa ja ilmestyy kaikkialle tekemään kepposiaan. Se sipaisee puuvillaa kaikkialle pilallaan. Jos se kastuu, siitä tulee liian raskas liikuteltavaksi, eikä sillä ole muuta vaihtoehtoa kuin vastata ilkikurisuuteensa. Niin kauan kuin tämä Pokémon kylpee auringonvalossa, sen puuvilla kasvaa. Jos puuvillanöyhtää kertyy liikaa, Whimsicott repii sen irti ja hajottaa sen.</t>
        </is>
      </c>
    </row>
    <row r="11991" ht="33.75" customHeight="1">
      <c r="A11991" s="7">
        <v>547.0</v>
      </c>
      <c r="B11991" s="9" t="s">
        <v>17100</v>
      </c>
      <c r="C11991" s="9" t="s">
        <v>17101</v>
      </c>
      <c r="D11991" s="9" t="s">
        <v>95</v>
      </c>
      <c r="E11991" s="6" t="s">
        <v>17103</v>
      </c>
      <c r="F11991" s="9"/>
    </row>
    <row r="11992" ht="33.75" customHeight="1">
      <c r="A11992" s="7">
        <v>547.0</v>
      </c>
      <c r="B11992" s="9" t="s">
        <v>17100</v>
      </c>
      <c r="C11992" s="9" t="s">
        <v>17101</v>
      </c>
      <c r="D11992" s="9" t="s">
        <v>98</v>
      </c>
      <c r="E11992" s="6" t="s">
        <v>17104</v>
      </c>
      <c r="F11992" s="9"/>
    </row>
    <row r="11993" ht="33.75" customHeight="1">
      <c r="A11993" s="7">
        <v>547.0</v>
      </c>
      <c r="B11993" s="9" t="s">
        <v>17100</v>
      </c>
      <c r="C11993" s="9" t="s">
        <v>17101</v>
      </c>
      <c r="D11993" s="9" t="s">
        <v>99</v>
      </c>
      <c r="E11993" s="6" t="s">
        <v>17104</v>
      </c>
      <c r="F11993" s="9"/>
    </row>
    <row r="11994" ht="33.75" customHeight="1">
      <c r="A11994" s="7">
        <v>547.0</v>
      </c>
      <c r="B11994" s="9" t="s">
        <v>17100</v>
      </c>
      <c r="C11994" s="9" t="s">
        <v>17101</v>
      </c>
      <c r="D11994" s="9" t="s">
        <v>101</v>
      </c>
      <c r="E11994" s="6" t="s">
        <v>17104</v>
      </c>
      <c r="F11994" s="9"/>
    </row>
    <row r="11995" ht="33.75" customHeight="1">
      <c r="A11995" s="7">
        <v>547.0</v>
      </c>
      <c r="B11995" s="9" t="s">
        <v>17100</v>
      </c>
      <c r="C11995" s="9" t="s">
        <v>17101</v>
      </c>
      <c r="D11995" s="9" t="s">
        <v>105</v>
      </c>
      <c r="E11995" s="6" t="s">
        <v>17102</v>
      </c>
      <c r="F11995" s="9"/>
    </row>
    <row r="11996" ht="33.75" customHeight="1">
      <c r="A11996" s="7">
        <v>547.0</v>
      </c>
      <c r="B11996" s="9" t="s">
        <v>17100</v>
      </c>
      <c r="C11996" s="9" t="s">
        <v>17101</v>
      </c>
      <c r="D11996" s="9" t="s">
        <v>107</v>
      </c>
      <c r="E11996" s="6" t="s">
        <v>17104</v>
      </c>
      <c r="F11996" s="9"/>
    </row>
    <row r="11997" ht="33.75" customHeight="1">
      <c r="A11997" s="7">
        <v>547.0</v>
      </c>
      <c r="B11997" s="9" t="s">
        <v>17100</v>
      </c>
      <c r="C11997" s="9" t="s">
        <v>17101</v>
      </c>
      <c r="D11997" s="9" t="s">
        <v>109</v>
      </c>
      <c r="E11997" s="6" t="s">
        <v>17102</v>
      </c>
      <c r="F11997" s="9"/>
    </row>
    <row r="11998" ht="33.75" customHeight="1">
      <c r="A11998" s="7">
        <v>547.0</v>
      </c>
      <c r="B11998" s="9" t="s">
        <v>17100</v>
      </c>
      <c r="C11998" s="9" t="s">
        <v>17101</v>
      </c>
      <c r="D11998" s="9" t="s">
        <v>637</v>
      </c>
      <c r="E11998" s="6" t="s">
        <v>17106</v>
      </c>
      <c r="F11998" s="9"/>
    </row>
    <row r="11999" ht="33.75" customHeight="1">
      <c r="A11999" s="7">
        <v>547.0</v>
      </c>
      <c r="B11999" s="9" t="s">
        <v>17100</v>
      </c>
      <c r="C11999" s="9" t="s">
        <v>17101</v>
      </c>
      <c r="D11999" s="9" t="s">
        <v>642</v>
      </c>
      <c r="E11999" s="6" t="s">
        <v>17107</v>
      </c>
      <c r="F11999" s="9"/>
    </row>
    <row r="12000" ht="33.75" customHeight="1">
      <c r="A12000" s="7">
        <v>547.0</v>
      </c>
      <c r="B12000" s="9" t="s">
        <v>17100</v>
      </c>
      <c r="C12000" s="9" t="s">
        <v>17101</v>
      </c>
      <c r="D12000" s="9" t="s">
        <v>647</v>
      </c>
      <c r="E12000" s="6" t="s">
        <v>17108</v>
      </c>
      <c r="F12000" s="9"/>
    </row>
    <row r="12001" ht="33.75" customHeight="1">
      <c r="A12001" s="7">
        <v>547.0</v>
      </c>
      <c r="B12001" s="9" t="s">
        <v>17100</v>
      </c>
      <c r="C12001" s="9" t="s">
        <v>17101</v>
      </c>
      <c r="D12001" s="9" t="s">
        <v>652</v>
      </c>
      <c r="E12001" s="6" t="s">
        <v>17109</v>
      </c>
      <c r="F12001" s="9"/>
    </row>
    <row r="12002" ht="33.75" customHeight="1">
      <c r="A12002" s="7">
        <v>547.0</v>
      </c>
      <c r="B12002" s="9" t="s">
        <v>17100</v>
      </c>
      <c r="C12002" s="9" t="s">
        <v>17101</v>
      </c>
      <c r="D12002" s="9" t="s">
        <v>114</v>
      </c>
      <c r="E12002" s="6" t="s">
        <v>17110</v>
      </c>
      <c r="F12002" s="9"/>
    </row>
    <row r="12003" ht="33.75" customHeight="1">
      <c r="A12003" s="7">
        <v>547.0</v>
      </c>
      <c r="B12003" s="9" t="s">
        <v>17100</v>
      </c>
      <c r="C12003" s="9" t="s">
        <v>17101</v>
      </c>
      <c r="D12003" s="9" t="s">
        <v>117</v>
      </c>
      <c r="E12003" s="6" t="s">
        <v>17111</v>
      </c>
      <c r="F12003" s="9"/>
    </row>
    <row r="12004" ht="33.75" customHeight="1">
      <c r="A12004" s="7">
        <v>548.0</v>
      </c>
      <c r="B12004" s="9" t="s">
        <v>17112</v>
      </c>
      <c r="C12004" s="9" t="s">
        <v>17113</v>
      </c>
      <c r="D12004" s="9" t="s">
        <v>93</v>
      </c>
      <c r="E12004" s="6" t="s">
        <v>17114</v>
      </c>
      <c r="F12004" t="inlineStr" s="10">
        <is>
          <t xml:space="preserve">Petililin päässä olevat lehdet ovat hyvin karvaita. Yhden tällaisen lehden syömisen tiedetään virkistävän väsynyttä kehoa. Koska ne suosivat kosteaa ja ravinnepitoista maaperää, alueet, joilla Petilil-heimon lajit elävät, tunnetaan hyvinä kasvien kasvattamiseen. Sen päässä olevat lehdet kasvavat takaisin, vaikka ne putoaisivatkin pois. Nämä karvaat lehdet virkistävät niitä, jotka niitä syövät. Vaikka sen päässä olevat lehdet ovat niin kitkeriä, että ne aiheuttavat huimausta, ne lievittävät väsymystä – varsinkin keitettyinä. Leikkaamalla säännöllisesti sen pään lehtiä, tästä Pokémonista voidaan kasvattaa hieno pyöreä muoto. Jotkut sanovat, että jos kuivaat lehdet sen päästä, keität ne ja juot haudukkeen, elinvoimasi palaa, joten Petilil on suosittu vanhusten keskuudessa. Ne pitävät puhtaasta vedestä ja maaperästä. Kun niiden elinympäristö huononee, koko lauma nousee ylös ja muuttaa uudelle alueelle. Petililiä esiintyy puhtaan veden lähteiden lähellä. Tämän Pokémonin päästä keitettyjen lehtien ansiosta syntyy nestettä, jota joskus käytetään hyönteiskarkotteena. Mitä tummempi Petililin lehtien väri on, sitä terveempi Pokémon on. Petilil tekee joskus kotinsa hyvin hoidetulla pellolla tai kukkapenkissä. Sen päässä olevia lehtiä arvostetaan suuresti lääkinnällisiin tarkoituksiin. Kuivaa lehdet auringossa, keitä ne ja juo sitten katkeraa keittoa saadaksesi huomattavan tehokkaan lievityksen väsymykseen.</t>
        </is>
      </c>
    </row>
    <row r="12005" ht="33.75" customHeight="1">
      <c r="A12005" s="7">
        <v>548.0</v>
      </c>
      <c r="B12005" s="9" t="s">
        <v>17112</v>
      </c>
      <c r="C12005" s="9" t="s">
        <v>17113</v>
      </c>
      <c r="D12005" s="9" t="s">
        <v>95</v>
      </c>
      <c r="E12005" s="6" t="s">
        <v>17115</v>
      </c>
      <c r="F12005" s="9"/>
    </row>
    <row r="12006" ht="33.75" customHeight="1">
      <c r="A12006" s="7">
        <v>548.0</v>
      </c>
      <c r="B12006" s="9" t="s">
        <v>17112</v>
      </c>
      <c r="C12006" s="9" t="s">
        <v>17113</v>
      </c>
      <c r="D12006" s="9" t="s">
        <v>98</v>
      </c>
      <c r="E12006" s="6" t="s">
        <v>17116</v>
      </c>
      <c r="F12006" s="9"/>
    </row>
    <row r="12007" ht="33.75" customHeight="1">
      <c r="A12007" s="7">
        <v>548.0</v>
      </c>
      <c r="B12007" s="9" t="s">
        <v>17112</v>
      </c>
      <c r="C12007" s="9" t="s">
        <v>17113</v>
      </c>
      <c r="D12007" s="9" t="s">
        <v>99</v>
      </c>
      <c r="E12007" s="6" t="s">
        <v>17116</v>
      </c>
      <c r="F12007" s="9"/>
    </row>
    <row r="12008" ht="33.75" customHeight="1">
      <c r="A12008" s="7">
        <v>548.0</v>
      </c>
      <c r="B12008" s="9" t="s">
        <v>17112</v>
      </c>
      <c r="C12008" s="9" t="s">
        <v>17113</v>
      </c>
      <c r="D12008" s="9" t="s">
        <v>101</v>
      </c>
      <c r="E12008" s="6" t="s">
        <v>17114</v>
      </c>
      <c r="F12008" s="9"/>
    </row>
    <row r="12009" ht="33.75" customHeight="1">
      <c r="A12009" s="7">
        <v>548.0</v>
      </c>
      <c r="B12009" s="9" t="s">
        <v>17112</v>
      </c>
      <c r="C12009" s="9" t="s">
        <v>17113</v>
      </c>
      <c r="D12009" s="9" t="s">
        <v>105</v>
      </c>
      <c r="E12009" s="6" t="s">
        <v>17115</v>
      </c>
      <c r="F12009" s="9"/>
    </row>
    <row r="12010" ht="33.75" customHeight="1">
      <c r="A12010" s="7">
        <v>548.0</v>
      </c>
      <c r="B12010" s="9" t="s">
        <v>17112</v>
      </c>
      <c r="C12010" s="9" t="s">
        <v>17113</v>
      </c>
      <c r="D12010" s="9" t="s">
        <v>107</v>
      </c>
      <c r="E12010" s="6" t="s">
        <v>17114</v>
      </c>
      <c r="F12010" s="9"/>
    </row>
    <row r="12011" ht="33.75" customHeight="1">
      <c r="A12011" s="7">
        <v>548.0</v>
      </c>
      <c r="B12011" s="9" t="s">
        <v>17112</v>
      </c>
      <c r="C12011" s="9" t="s">
        <v>17113</v>
      </c>
      <c r="D12011" s="9" t="s">
        <v>109</v>
      </c>
      <c r="E12011" s="6" t="s">
        <v>17115</v>
      </c>
      <c r="F12011" s="9"/>
    </row>
    <row r="12012" ht="33.75" customHeight="1">
      <c r="A12012" s="7">
        <v>548.0</v>
      </c>
      <c r="B12012" s="9" t="s">
        <v>17112</v>
      </c>
      <c r="C12012" s="9" t="s">
        <v>17113</v>
      </c>
      <c r="D12012" s="9" t="s">
        <v>637</v>
      </c>
      <c r="E12012" s="6" t="s">
        <v>17117</v>
      </c>
      <c r="F12012" s="9"/>
    </row>
    <row r="12013" ht="33.75" customHeight="1">
      <c r="A12013" s="7">
        <v>548.0</v>
      </c>
      <c r="B12013" s="9" t="s">
        <v>17112</v>
      </c>
      <c r="C12013" s="9" t="s">
        <v>17113</v>
      </c>
      <c r="D12013" s="9" t="s">
        <v>642</v>
      </c>
      <c r="E12013" s="6" t="s">
        <v>17118</v>
      </c>
      <c r="F12013" s="9"/>
    </row>
    <row r="12014" ht="33.75" customHeight="1">
      <c r="A12014" s="7">
        <v>548.0</v>
      </c>
      <c r="B12014" s="9" t="s">
        <v>17112</v>
      </c>
      <c r="C12014" s="9" t="s">
        <v>17113</v>
      </c>
      <c r="D12014" s="9" t="s">
        <v>647</v>
      </c>
      <c r="E12014" s="6" t="s">
        <v>17119</v>
      </c>
      <c r="F12014" s="9"/>
    </row>
    <row r="12015" ht="33.75" customHeight="1">
      <c r="A12015" s="7">
        <v>548.0</v>
      </c>
      <c r="B12015" s="9" t="s">
        <v>17112</v>
      </c>
      <c r="C12015" s="9" t="s">
        <v>17113</v>
      </c>
      <c r="D12015" s="9" t="s">
        <v>652</v>
      </c>
      <c r="E12015" s="6" t="s">
        <v>17120</v>
      </c>
      <c r="F12015" s="9"/>
    </row>
    <row r="12016" ht="33.75" customHeight="1">
      <c r="A12016" s="7">
        <v>548.0</v>
      </c>
      <c r="B12016" s="9" t="s">
        <v>17112</v>
      </c>
      <c r="C12016" s="9" t="s">
        <v>17113</v>
      </c>
      <c r="D12016" s="9" t="s">
        <v>114</v>
      </c>
      <c r="E12016" s="6" t="s">
        <v>17121</v>
      </c>
      <c r="F12016" s="9"/>
    </row>
    <row r="12017" ht="33.75" customHeight="1">
      <c r="A12017" s="7">
        <v>548.0</v>
      </c>
      <c r="B12017" s="9" t="s">
        <v>17112</v>
      </c>
      <c r="C12017" s="9" t="s">
        <v>17113</v>
      </c>
      <c r="D12017" s="9" t="s">
        <v>117</v>
      </c>
      <c r="E12017" s="6" t="s">
        <v>17122</v>
      </c>
      <c r="F12017" s="9"/>
    </row>
    <row r="12018" ht="33.75" customHeight="1">
      <c r="A12018" s="7">
        <v>548.0</v>
      </c>
      <c r="B12018" s="9" t="s">
        <v>17112</v>
      </c>
      <c r="C12018" s="9" t="s">
        <v>17113</v>
      </c>
      <c r="D12018" s="9" t="s">
        <v>1577</v>
      </c>
      <c r="E12018" s="6" t="s">
        <v>17123</v>
      </c>
      <c r="F12018" s="9"/>
    </row>
    <row r="12019" ht="33.75" customHeight="1">
      <c r="A12019" s="7">
        <v>549.0</v>
      </c>
      <c r="B12019" s="9" t="s">
        <v>17124</v>
      </c>
      <c r="C12019" s="9" t="s">
        <v>15922</v>
      </c>
      <c r="D12019" s="9" t="s">
        <v>93</v>
      </c>
      <c r="E12019" s="6" t="s">
        <v>17125</v>
      </c>
      <c r="F12019" t="inlineStr" s="10">
        <is>
          <t xml:space="preserve">Jopa kokeneet kouluttajat kohtaavat haasteen saadakseen Lilligantin kauniin kukan kukkimaan. Tämä Pokémon on suosittu julkkisten keskuudessa. Pään päällä olevan köynnöksen tuoksulla on rentouttava vaikutus. Se kuihtuu, jos kouluttaja ei pidä siitä hyvää huolta. Pään päällä olevan seppeleen tuoksulla on rentouttava vaikutus, mutta sen hoitaminen on erittäin vaikeaa. Riippumatta siitä, kuinka paljon aikaa ja rahaa sen kasvattamiseen käytetään, sen kukat ovat kauneimmillaan, kun ne kukkivat luonnossa. Heti kun se löytää uroksen kumppanikseen, sen päässä oleva kaunis kukka tummuu, kuihtuu ja kuihtuu pois. Sen kukan tuoksu vaihtelee hieman riippuen kasvupaikasta. Tuoksun nuuhkiminen rauhoittaa sydäntä ja mieltä. Muut Pokémonit pitävät siitä paljon sen kauneuden vuoksi. Sen päässä oleva kukka tarvitsee jatkuvaa hoitoa, tai se kuihtuu ja mätänee pian. Uskotaan, että jopa ensiluokkaisilla puutarhureilla on vaikeuksia saada Lilligantin päässä oleva kukka kukkimaan. Lilligant-kukista valmistetuilla eteerisillä öljyillä on ylellinen tuoksu, mutta ne ovat myös uskomattoman kalliita. Epäilen, että sen hyvin kehittyneet jalat ovat seurausta elämästä paksun lumen peittämillä vuorilla. Sen kukkakruunusta leijuva tuoksu rohkaisee lähellä olevia.</t>
        </is>
      </c>
    </row>
    <row r="12020" ht="33.75" customHeight="1">
      <c r="A12020" s="7">
        <v>549.0</v>
      </c>
      <c r="B12020" s="9" t="s">
        <v>17124</v>
      </c>
      <c r="C12020" s="9" t="s">
        <v>15922</v>
      </c>
      <c r="D12020" s="9" t="s">
        <v>95</v>
      </c>
      <c r="E12020" s="6" t="s">
        <v>17126</v>
      </c>
      <c r="F12020" s="9"/>
    </row>
    <row r="12021" ht="33.75" customHeight="1">
      <c r="A12021" s="7">
        <v>549.0</v>
      </c>
      <c r="B12021" s="9" t="s">
        <v>17124</v>
      </c>
      <c r="C12021" s="9" t="s">
        <v>15922</v>
      </c>
      <c r="D12021" s="9" t="s">
        <v>98</v>
      </c>
      <c r="E12021" s="6" t="s">
        <v>17128</v>
      </c>
      <c r="F12021" s="9"/>
    </row>
    <row r="12022" ht="33.75" customHeight="1">
      <c r="A12022" s="7">
        <v>549.0</v>
      </c>
      <c r="B12022" s="9" t="s">
        <v>17124</v>
      </c>
      <c r="C12022" s="9" t="s">
        <v>15922</v>
      </c>
      <c r="D12022" s="9" t="s">
        <v>99</v>
      </c>
      <c r="E12022" s="6" t="s">
        <v>17128</v>
      </c>
      <c r="F12022" s="9"/>
    </row>
    <row r="12023" ht="33.75" customHeight="1">
      <c r="A12023" s="7">
        <v>549.0</v>
      </c>
      <c r="B12023" s="9" t="s">
        <v>17124</v>
      </c>
      <c r="C12023" s="9" t="s">
        <v>15922</v>
      </c>
      <c r="D12023" s="9" t="s">
        <v>101</v>
      </c>
      <c r="E12023" s="6" t="s">
        <v>17126</v>
      </c>
      <c r="F12023" s="9"/>
    </row>
    <row r="12024" ht="33.75" customHeight="1">
      <c r="A12024" s="7">
        <v>549.0</v>
      </c>
      <c r="B12024" s="9" t="s">
        <v>17124</v>
      </c>
      <c r="C12024" s="9" t="s">
        <v>15922</v>
      </c>
      <c r="D12024" s="9" t="s">
        <v>105</v>
      </c>
      <c r="E12024" s="6" t="s">
        <v>17125</v>
      </c>
      <c r="F12024" s="9"/>
    </row>
    <row r="12025" ht="33.75" customHeight="1">
      <c r="A12025" s="7">
        <v>549.0</v>
      </c>
      <c r="B12025" s="9" t="s">
        <v>17124</v>
      </c>
      <c r="C12025" s="9" t="s">
        <v>15922</v>
      </c>
      <c r="D12025" s="9" t="s">
        <v>107</v>
      </c>
      <c r="E12025" s="6" t="s">
        <v>17126</v>
      </c>
      <c r="F12025" s="9"/>
    </row>
    <row r="12026" ht="33.75" customHeight="1">
      <c r="A12026" s="7">
        <v>549.0</v>
      </c>
      <c r="B12026" s="9" t="s">
        <v>17124</v>
      </c>
      <c r="C12026" s="9" t="s">
        <v>15922</v>
      </c>
      <c r="D12026" s="9" t="s">
        <v>109</v>
      </c>
      <c r="E12026" s="6" t="s">
        <v>17125</v>
      </c>
      <c r="F12026" s="9"/>
    </row>
    <row r="12027" ht="33.75" customHeight="1">
      <c r="A12027" s="7">
        <v>549.0</v>
      </c>
      <c r="B12027" s="9" t="s">
        <v>17124</v>
      </c>
      <c r="C12027" s="9" t="s">
        <v>15922</v>
      </c>
      <c r="D12027" s="9" t="s">
        <v>637</v>
      </c>
      <c r="E12027" s="6" t="s">
        <v>17129</v>
      </c>
      <c r="F12027" s="9"/>
    </row>
    <row r="12028" ht="33.75" customHeight="1">
      <c r="A12028" s="7">
        <v>549.0</v>
      </c>
      <c r="B12028" s="9" t="s">
        <v>17124</v>
      </c>
      <c r="C12028" s="9" t="s">
        <v>15922</v>
      </c>
      <c r="D12028" s="9" t="s">
        <v>642</v>
      </c>
      <c r="E12028" s="6" t="s">
        <v>17130</v>
      </c>
      <c r="F12028" s="9"/>
    </row>
    <row r="12029" ht="33.75" customHeight="1">
      <c r="A12029" s="7">
        <v>549.0</v>
      </c>
      <c r="B12029" s="9" t="s">
        <v>17124</v>
      </c>
      <c r="C12029" s="9" t="s">
        <v>15922</v>
      </c>
      <c r="D12029" s="9" t="s">
        <v>647</v>
      </c>
      <c r="E12029" s="6" t="s">
        <v>17131</v>
      </c>
      <c r="F12029" s="9"/>
    </row>
    <row r="12030" ht="33.75" customHeight="1">
      <c r="A12030" s="7">
        <v>549.0</v>
      </c>
      <c r="B12030" s="9" t="s">
        <v>17124</v>
      </c>
      <c r="C12030" s="9" t="s">
        <v>15922</v>
      </c>
      <c r="D12030" s="9" t="s">
        <v>652</v>
      </c>
      <c r="E12030" s="6" t="s">
        <v>17132</v>
      </c>
      <c r="F12030" s="9"/>
    </row>
    <row r="12031" ht="33.75" customHeight="1">
      <c r="A12031" s="7">
        <v>549.0</v>
      </c>
      <c r="B12031" s="9" t="s">
        <v>17124</v>
      </c>
      <c r="C12031" s="9" t="s">
        <v>15922</v>
      </c>
      <c r="D12031" s="9" t="s">
        <v>114</v>
      </c>
      <c r="E12031" s="6" t="s">
        <v>17133</v>
      </c>
      <c r="F12031" s="9"/>
    </row>
    <row r="12032" ht="33.75" customHeight="1">
      <c r="A12032" s="7">
        <v>549.0</v>
      </c>
      <c r="B12032" s="9" t="s">
        <v>17124</v>
      </c>
      <c r="C12032" s="9" t="s">
        <v>15922</v>
      </c>
      <c r="D12032" s="9" t="s">
        <v>117</v>
      </c>
      <c r="E12032" s="6" t="s">
        <v>17134</v>
      </c>
      <c r="F12032" s="9"/>
    </row>
    <row r="12033" ht="33.75" customHeight="1">
      <c r="A12033" s="7">
        <v>549.0</v>
      </c>
      <c r="B12033" s="9" t="s">
        <v>17124</v>
      </c>
      <c r="C12033" s="9" t="s">
        <v>15922</v>
      </c>
      <c r="D12033" s="9" t="s">
        <v>1577</v>
      </c>
      <c r="E12033" s="6" t="s">
        <v>17135</v>
      </c>
      <c r="F12033" s="9"/>
    </row>
    <row r="12034" ht="33.75" customHeight="1">
      <c r="A12034" s="7">
        <v>550.0</v>
      </c>
      <c r="B12034" s="9" t="s">
        <v>17136</v>
      </c>
      <c r="C12034" s="9" t="s">
        <v>17137</v>
      </c>
      <c r="D12034" s="9" t="s">
        <v>93</v>
      </c>
      <c r="E12034" s="6" t="s">
        <v>17138</v>
      </c>
      <c r="F12034" t="inlineStr" s="10">
        <is>
          <t xml:space="preserve">Punainen ja sininen baskuliini tulevat niin huonosti toimeen keskenään, että ne alkavat tapella välittömästi. Nämä Pokémonit ovat hyvin vihamielisiä. Punainen ja sininen baskuliini eivät yleensä tule toimeen keskenään, mutta joskus toisen koulukunnan jäsenet seurustelevat toisen koulukunnan jäsenten kanssa. Puna- ja siniraitaiset baskuliinit ovat erittäin väkivaltaisia ​​ja tappelevat aina. Ne ovat myös huomattavan maukkaita. Villit, väkivaltaiset Pokémonit, punainen ja sininen Basculin taistelevat jatkuvasti toisiaan vastaan ​​reviiristä. Kun baskuliiniparvi ilmestyy järveen, kaikki muu katoaa paitsi Corphish ja Crawdaunt. Niin väkivaltaisia ​​baskuliinit ovat. Kalastajat rakastavat tätä Pokémonia, joka taistelee koukussa. Ja aina on lisää saalista – monet päästävät niitä laittomasti järviin. Ennen vanhaan sitä tarjottiin usein ruokapöydässä. Punaraidallisen baskulinin liha on rasvaista, ja se on suositumpaa nuorten keskuudessa. Vaikka se eroaa muista baskuliinirotuisista monessa suhteessa, mukaan lukien käytökseltään – tämä on lempeä – olen luokittelenut sen alueelliseksi muodoksi ottaen huomioon laajan kirjon yhteisiä ominaisuuksia.</t>
        </is>
      </c>
    </row>
    <row r="12035" ht="33.75" customHeight="1">
      <c r="A12035" s="7">
        <v>550.0</v>
      </c>
      <c r="B12035" s="9" t="s">
        <v>17136</v>
      </c>
      <c r="C12035" s="9" t="s">
        <v>17137</v>
      </c>
      <c r="D12035" s="9" t="s">
        <v>95</v>
      </c>
      <c r="E12035" s="6" t="s">
        <v>17139</v>
      </c>
      <c r="F12035" s="9"/>
    </row>
    <row r="12036" ht="33.75" customHeight="1">
      <c r="A12036" s="7">
        <v>550.0</v>
      </c>
      <c r="B12036" s="9" t="s">
        <v>17136</v>
      </c>
      <c r="C12036" s="9" t="s">
        <v>17137</v>
      </c>
      <c r="D12036" s="9" t="s">
        <v>98</v>
      </c>
      <c r="E12036" s="6" t="s">
        <v>17140</v>
      </c>
      <c r="F12036" s="9"/>
    </row>
    <row r="12037" ht="33.75" customHeight="1">
      <c r="A12037" s="7">
        <v>550.0</v>
      </c>
      <c r="B12037" s="9" t="s">
        <v>17136</v>
      </c>
      <c r="C12037" s="9" t="s">
        <v>17137</v>
      </c>
      <c r="D12037" s="9" t="s">
        <v>99</v>
      </c>
      <c r="E12037" s="6" t="s">
        <v>17140</v>
      </c>
      <c r="F12037" s="9"/>
    </row>
    <row r="12038" ht="33.75" customHeight="1">
      <c r="A12038" s="7">
        <v>550.0</v>
      </c>
      <c r="B12038" s="9" t="s">
        <v>17136</v>
      </c>
      <c r="C12038" s="9" t="s">
        <v>17137</v>
      </c>
      <c r="D12038" s="9" t="s">
        <v>101</v>
      </c>
      <c r="E12038" s="6" t="s">
        <v>17140</v>
      </c>
      <c r="F12038" s="9"/>
    </row>
    <row r="12039" ht="33.75" customHeight="1">
      <c r="A12039" s="7">
        <v>550.0</v>
      </c>
      <c r="B12039" s="9" t="s">
        <v>17136</v>
      </c>
      <c r="C12039" s="9" t="s">
        <v>17137</v>
      </c>
      <c r="D12039" s="9" t="s">
        <v>105</v>
      </c>
      <c r="E12039" s="6" t="s">
        <v>17139</v>
      </c>
      <c r="F12039" s="9"/>
    </row>
    <row r="12040" ht="33.75" customHeight="1">
      <c r="A12040" s="7">
        <v>550.0</v>
      </c>
      <c r="B12040" s="9" t="s">
        <v>17136</v>
      </c>
      <c r="C12040" s="9" t="s">
        <v>17137</v>
      </c>
      <c r="D12040" s="9" t="s">
        <v>107</v>
      </c>
      <c r="E12040" s="6" t="s">
        <v>17140</v>
      </c>
      <c r="F12040" s="9"/>
    </row>
    <row r="12041" ht="33.75" customHeight="1">
      <c r="A12041" s="7">
        <v>550.0</v>
      </c>
      <c r="B12041" s="9" t="s">
        <v>17136</v>
      </c>
      <c r="C12041" s="9" t="s">
        <v>17137</v>
      </c>
      <c r="D12041" s="9" t="s">
        <v>109</v>
      </c>
      <c r="E12041" s="6" t="s">
        <v>17139</v>
      </c>
      <c r="F12041" s="9"/>
    </row>
    <row r="12042" ht="33.75" customHeight="1">
      <c r="A12042" s="7">
        <v>550.0</v>
      </c>
      <c r="B12042" s="9" t="s">
        <v>17136</v>
      </c>
      <c r="C12042" s="9" t="s">
        <v>17137</v>
      </c>
      <c r="D12042" s="9" t="s">
        <v>647</v>
      </c>
      <c r="E12042" s="6" t="s">
        <v>17141</v>
      </c>
      <c r="F12042" s="9"/>
    </row>
    <row r="12043" ht="33.75" customHeight="1">
      <c r="A12043" s="7">
        <v>550.0</v>
      </c>
      <c r="B12043" s="9" t="s">
        <v>17136</v>
      </c>
      <c r="C12043" s="9" t="s">
        <v>17137</v>
      </c>
      <c r="D12043" s="9" t="s">
        <v>652</v>
      </c>
      <c r="E12043" s="6" t="s">
        <v>17142</v>
      </c>
      <c r="F12043" s="9"/>
    </row>
    <row r="12044" ht="33.75" customHeight="1">
      <c r="A12044" s="7">
        <v>550.0</v>
      </c>
      <c r="B12044" s="9" t="s">
        <v>17136</v>
      </c>
      <c r="C12044" s="9" t="s">
        <v>17137</v>
      </c>
      <c r="D12044" s="9" t="s">
        <v>114</v>
      </c>
      <c r="E12044" s="6" t="s">
        <v>17143</v>
      </c>
      <c r="F12044" s="9"/>
    </row>
    <row r="12045" ht="33.75" customHeight="1">
      <c r="A12045" s="7">
        <v>550.0</v>
      </c>
      <c r="B12045" s="9" t="s">
        <v>17136</v>
      </c>
      <c r="C12045" s="9" t="s">
        <v>17137</v>
      </c>
      <c r="D12045" s="9" t="s">
        <v>117</v>
      </c>
      <c r="E12045" s="6" t="s">
        <v>17144</v>
      </c>
      <c r="F12045" s="9"/>
    </row>
    <row r="12046" ht="33.75" customHeight="1">
      <c r="A12046" s="7">
        <v>550.0</v>
      </c>
      <c r="B12046" s="9" t="s">
        <v>17136</v>
      </c>
      <c r="C12046" s="9" t="s">
        <v>17137</v>
      </c>
      <c r="D12046" s="9" t="s">
        <v>1577</v>
      </c>
      <c r="E12046" s="6" t="s">
        <v>17145</v>
      </c>
      <c r="F12046" s="9"/>
    </row>
    <row r="12047" ht="33.75" customHeight="1">
      <c r="A12047" s="7">
        <v>551.0</v>
      </c>
      <c r="B12047" s="9" t="s">
        <v>17146</v>
      </c>
      <c r="C12047" s="9" t="s">
        <v>17147</v>
      </c>
      <c r="D12047" s="9" t="s">
        <v>93</v>
      </c>
      <c r="E12047" s="6" t="s">
        <v>17148</v>
      </c>
      <c r="F12047" t="inlineStr" s="10">
        <is>
          <t xml:space="preserve">Ne elävät aavikon hiekkaan hautautuneina. Auringon lämmittämä hiekka estää niiden ruumiinlämpöä laskemasta. Se liikkuu hiekan pinnan alapuolella lukuun ottamatta nenäänsä ja silmiään. Tumma kalvo suojaa sen silmiä auringolta. Ne elävät piilossa kuumien aavikon hiekkojen alla estääkseen ruumiinlämpönsä laskemisen. Se upottautuu hiekkaan ja liikkuu kuin uisi. Tämä viisas käytös estää vihollisiaan löytämästä sitä ja ylläpitää sen lämpötilaa. Se piiloutuu hiekkaan ja jyskyttää kaikkien sen yli varomatta kävelevien saaliiden jalkoja. Sen lempiruoka on Trapinch. Alola, jossa on lämmintä ympäri vuoden, on mukava ympäristö tälle Pokémonille. Joskus näet sen jopa aavikoiden ulkopuolella. Sandile ei ole vieläkään hyvä metsästämään, joten se syö enimmäkseen aavikolla romahtaneita asioita. Sitä kutsutaan "aavikon puhdistajaksi". Aavikko kylmenee yöllä, joten auringon laskiessa tämä Pokémon kaivautuu syvälle hiekkaan ja nukkuu auringonnousuun asti. Sandile on pieni, mutta sen jalat ja alavartalo ovat voimakkaat. Työntäen hiekkaa sivuun liikkuessaan Sandile liikkuu aavikon halki kuin uisi.</t>
        </is>
      </c>
    </row>
    <row r="12048" ht="33.75" customHeight="1">
      <c r="A12048" s="7">
        <v>551.0</v>
      </c>
      <c r="B12048" s="9" t="s">
        <v>17146</v>
      </c>
      <c r="C12048" s="9" t="s">
        <v>17147</v>
      </c>
      <c r="D12048" s="9" t="s">
        <v>95</v>
      </c>
      <c r="E12048" s="6" t="s">
        <v>17149</v>
      </c>
      <c r="F12048" s="9"/>
    </row>
    <row r="12049" ht="33.75" customHeight="1">
      <c r="A12049" s="7">
        <v>551.0</v>
      </c>
      <c r="B12049" s="9" t="s">
        <v>17146</v>
      </c>
      <c r="C12049" s="9" t="s">
        <v>17147</v>
      </c>
      <c r="D12049" s="9" t="s">
        <v>98</v>
      </c>
      <c r="E12049" s="6" t="s">
        <v>17150</v>
      </c>
      <c r="F12049" s="9"/>
    </row>
    <row r="12050" ht="33.75" customHeight="1">
      <c r="A12050" s="7">
        <v>551.0</v>
      </c>
      <c r="B12050" s="9" t="s">
        <v>17146</v>
      </c>
      <c r="C12050" s="9" t="s">
        <v>17147</v>
      </c>
      <c r="D12050" s="9" t="s">
        <v>99</v>
      </c>
      <c r="E12050" s="6" t="s">
        <v>17150</v>
      </c>
      <c r="F12050" s="9"/>
    </row>
    <row r="12051" ht="33.75" customHeight="1">
      <c r="A12051" s="7">
        <v>551.0</v>
      </c>
      <c r="B12051" s="9" t="s">
        <v>17146</v>
      </c>
      <c r="C12051" s="9" t="s">
        <v>17147</v>
      </c>
      <c r="D12051" s="9" t="s">
        <v>101</v>
      </c>
      <c r="E12051" s="6" t="s">
        <v>17149</v>
      </c>
      <c r="F12051" s="9"/>
    </row>
    <row r="12052" ht="33.75" customHeight="1">
      <c r="A12052" s="7">
        <v>551.0</v>
      </c>
      <c r="B12052" s="9" t="s">
        <v>17146</v>
      </c>
      <c r="C12052" s="9" t="s">
        <v>17147</v>
      </c>
      <c r="D12052" s="9" t="s">
        <v>105</v>
      </c>
      <c r="E12052" s="6" t="s">
        <v>17148</v>
      </c>
      <c r="F12052" s="9"/>
    </row>
    <row r="12053" ht="33.75" customHeight="1">
      <c r="A12053" s="7">
        <v>551.0</v>
      </c>
      <c r="B12053" s="9" t="s">
        <v>17146</v>
      </c>
      <c r="C12053" s="9" t="s">
        <v>17147</v>
      </c>
      <c r="D12053" s="9" t="s">
        <v>107</v>
      </c>
      <c r="E12053" s="6" t="s">
        <v>17149</v>
      </c>
      <c r="F12053" s="9"/>
    </row>
    <row r="12054" ht="33.75" customHeight="1">
      <c r="A12054" s="7">
        <v>551.0</v>
      </c>
      <c r="B12054" s="9" t="s">
        <v>17146</v>
      </c>
      <c r="C12054" s="9" t="s">
        <v>17147</v>
      </c>
      <c r="D12054" s="9" t="s">
        <v>109</v>
      </c>
      <c r="E12054" s="6" t="s">
        <v>17148</v>
      </c>
      <c r="F12054" s="9"/>
    </row>
    <row r="12055" ht="33.75" customHeight="1">
      <c r="A12055" s="7">
        <v>551.0</v>
      </c>
      <c r="B12055" s="9" t="s">
        <v>17146</v>
      </c>
      <c r="C12055" s="9" t="s">
        <v>17147</v>
      </c>
      <c r="D12055" s="9" t="s">
        <v>637</v>
      </c>
      <c r="E12055" s="6" t="s">
        <v>17152</v>
      </c>
      <c r="F12055" s="9"/>
    </row>
    <row r="12056" ht="33.75" customHeight="1">
      <c r="A12056" s="7">
        <v>551.0</v>
      </c>
      <c r="B12056" s="9" t="s">
        <v>17146</v>
      </c>
      <c r="C12056" s="9" t="s">
        <v>17147</v>
      </c>
      <c r="D12056" s="9" t="s">
        <v>642</v>
      </c>
      <c r="E12056" s="6" t="s">
        <v>17153</v>
      </c>
      <c r="F12056" s="9"/>
    </row>
    <row r="12057" ht="33.75" customHeight="1">
      <c r="A12057" s="7">
        <v>551.0</v>
      </c>
      <c r="B12057" s="9" t="s">
        <v>17146</v>
      </c>
      <c r="C12057" s="9" t="s">
        <v>17147</v>
      </c>
      <c r="D12057" s="9" t="s">
        <v>647</v>
      </c>
      <c r="E12057" s="6" t="s">
        <v>17154</v>
      </c>
      <c r="F12057" s="9"/>
    </row>
    <row r="12058" ht="33.75" customHeight="1">
      <c r="A12058" s="7">
        <v>551.0</v>
      </c>
      <c r="B12058" s="9" t="s">
        <v>17146</v>
      </c>
      <c r="C12058" s="9" t="s">
        <v>17147</v>
      </c>
      <c r="D12058" s="9" t="s">
        <v>652</v>
      </c>
      <c r="E12058" s="6" t="s">
        <v>17155</v>
      </c>
      <c r="F12058" s="9"/>
    </row>
    <row r="12059" ht="33.75" customHeight="1">
      <c r="A12059" s="7">
        <v>551.0</v>
      </c>
      <c r="B12059" s="9" t="s">
        <v>17146</v>
      </c>
      <c r="C12059" s="9" t="s">
        <v>17147</v>
      </c>
      <c r="D12059" s="9" t="s">
        <v>114</v>
      </c>
      <c r="E12059" s="6" t="s">
        <v>17156</v>
      </c>
      <c r="F12059" s="9"/>
    </row>
    <row r="12060" ht="33.75" customHeight="1">
      <c r="A12060" s="7">
        <v>551.0</v>
      </c>
      <c r="B12060" s="9" t="s">
        <v>17146</v>
      </c>
      <c r="C12060" s="9" t="s">
        <v>17147</v>
      </c>
      <c r="D12060" s="9" t="s">
        <v>117</v>
      </c>
      <c r="E12060" s="6" t="s">
        <v>17157</v>
      </c>
      <c r="F12060" s="9"/>
    </row>
    <row r="12061" ht="33.75" customHeight="1">
      <c r="A12061" s="7">
        <v>552.0</v>
      </c>
      <c r="B12061" s="9" t="s">
        <v>17158</v>
      </c>
      <c r="C12061" s="9" t="s">
        <v>17147</v>
      </c>
      <c r="D12061" s="9" t="s">
        <v>93</v>
      </c>
      <c r="E12061" s="6" t="s">
        <v>17159</v>
      </c>
      <c r="F12061" t="inlineStr" s="10">
        <is>
          <t xml:space="preserve">Ne elävät muutaman yksilön ryhmissä. Suojakalvot suojaavat niiden silmiä hiekkamyrskyiltä. Sen silmiä peittävä erityinen kalvo aistii esineiden lämmön, joten se voi nähdä ympäristönsä jopa pimeässä. Ohuiden kalvojen suojaamina niiden silmät näkevät jopa yösydämessä. Ne liikkuvat muutaman yksilön ryhmissä. Naaras on usein ryhmän johtaja, ja koiraat keräävät ruokaa. Silmiä peittävän erityisen kalvon ansiosta se näkee ympäristönsä selvästi, jopa keskellä yötä. Krokorok vihaa sitä todella, kun sen ruumis kylmenee. Öisin, kun lämpötila laskee, se kaivautuu syvälle aavikon hiekkaan. Se hautaa osan saaliistaan ​​hiekkaan käyttääkseen sitä hätäateriana, kun sen metsästys ei onnistu. Krokorokilla on erikoistuneet silmät, joiden avulla se näkee pimeässä. Tämän kyvyn ansiosta Krokorok voi metsästää keskellä yötä eksymättä. Vaikka tällä Pokémonilla on erikoistuneet silmät, joiden avulla se näkee pimeässä, Krokorok ei liiku paljon yöllä – aavikko kylmenee auringonlaskun jälkeen.</t>
        </is>
      </c>
    </row>
    <row r="12062" ht="33.75" customHeight="1">
      <c r="A12062" s="7">
        <v>552.0</v>
      </c>
      <c r="B12062" s="9" t="s">
        <v>17158</v>
      </c>
      <c r="C12062" s="9" t="s">
        <v>17147</v>
      </c>
      <c r="D12062" s="9" t="s">
        <v>95</v>
      </c>
      <c r="E12062" s="6" t="s">
        <v>17160</v>
      </c>
      <c r="F12062" s="9"/>
    </row>
    <row r="12063" ht="33.75" customHeight="1">
      <c r="A12063" s="7">
        <v>552.0</v>
      </c>
      <c r="B12063" s="9" t="s">
        <v>17158</v>
      </c>
      <c r="C12063" s="9" t="s">
        <v>17147</v>
      </c>
      <c r="D12063" s="9" t="s">
        <v>98</v>
      </c>
      <c r="E12063" s="6" t="s">
        <v>17161</v>
      </c>
      <c r="F12063" s="9"/>
    </row>
    <row r="12064" ht="33.75" customHeight="1">
      <c r="A12064" s="7">
        <v>552.0</v>
      </c>
      <c r="B12064" s="9" t="s">
        <v>17158</v>
      </c>
      <c r="C12064" s="9" t="s">
        <v>17147</v>
      </c>
      <c r="D12064" s="9" t="s">
        <v>99</v>
      </c>
      <c r="E12064" s="6" t="s">
        <v>17161</v>
      </c>
      <c r="F12064" s="9"/>
    </row>
    <row r="12065" ht="33.75" customHeight="1">
      <c r="A12065" s="7">
        <v>552.0</v>
      </c>
      <c r="B12065" s="9" t="s">
        <v>17158</v>
      </c>
      <c r="C12065" s="9" t="s">
        <v>17147</v>
      </c>
      <c r="D12065" s="9" t="s">
        <v>101</v>
      </c>
      <c r="E12065" s="6" t="s">
        <v>17159</v>
      </c>
      <c r="F12065" s="9"/>
    </row>
    <row r="12066" ht="33.75" customHeight="1">
      <c r="A12066" s="7">
        <v>552.0</v>
      </c>
      <c r="B12066" s="9" t="s">
        <v>17158</v>
      </c>
      <c r="C12066" s="9" t="s">
        <v>17147</v>
      </c>
      <c r="D12066" s="9" t="s">
        <v>105</v>
      </c>
      <c r="E12066" s="6" t="s">
        <v>17160</v>
      </c>
      <c r="F12066" s="9"/>
    </row>
    <row r="12067" ht="33.75" customHeight="1">
      <c r="A12067" s="7">
        <v>552.0</v>
      </c>
      <c r="B12067" s="9" t="s">
        <v>17158</v>
      </c>
      <c r="C12067" s="9" t="s">
        <v>17147</v>
      </c>
      <c r="D12067" s="9" t="s">
        <v>107</v>
      </c>
      <c r="E12067" s="6" t="s">
        <v>17159</v>
      </c>
      <c r="F12067" s="9"/>
    </row>
    <row r="12068" ht="33.75" customHeight="1">
      <c r="A12068" s="7">
        <v>552.0</v>
      </c>
      <c r="B12068" s="9" t="s">
        <v>17158</v>
      </c>
      <c r="C12068" s="9" t="s">
        <v>17147</v>
      </c>
      <c r="D12068" s="9" t="s">
        <v>109</v>
      </c>
      <c r="E12068" s="6" t="s">
        <v>17160</v>
      </c>
      <c r="F12068" s="9"/>
    </row>
    <row r="12069" ht="33.75" customHeight="1">
      <c r="A12069" s="7">
        <v>552.0</v>
      </c>
      <c r="B12069" s="9" t="s">
        <v>17158</v>
      </c>
      <c r="C12069" s="9" t="s">
        <v>17147</v>
      </c>
      <c r="D12069" s="9" t="s">
        <v>637</v>
      </c>
      <c r="E12069" s="6" t="s">
        <v>17162</v>
      </c>
      <c r="F12069" s="9"/>
    </row>
    <row r="12070" ht="33.75" customHeight="1">
      <c r="A12070" s="7">
        <v>552.0</v>
      </c>
      <c r="B12070" s="9" t="s">
        <v>17158</v>
      </c>
      <c r="C12070" s="9" t="s">
        <v>17147</v>
      </c>
      <c r="D12070" s="9" t="s">
        <v>642</v>
      </c>
      <c r="E12070" s="6" t="s">
        <v>17163</v>
      </c>
      <c r="F12070" s="9"/>
    </row>
    <row r="12071" ht="33.75" customHeight="1">
      <c r="A12071" s="7">
        <v>552.0</v>
      </c>
      <c r="B12071" s="9" t="s">
        <v>17158</v>
      </c>
      <c r="C12071" s="9" t="s">
        <v>17147</v>
      </c>
      <c r="D12071" s="9" t="s">
        <v>647</v>
      </c>
      <c r="E12071" s="6" t="s">
        <v>17164</v>
      </c>
      <c r="F12071" s="9"/>
    </row>
    <row r="12072" ht="33.75" customHeight="1">
      <c r="A12072" s="7">
        <v>552.0</v>
      </c>
      <c r="B12072" s="9" t="s">
        <v>17158</v>
      </c>
      <c r="C12072" s="9" t="s">
        <v>17147</v>
      </c>
      <c r="D12072" s="9" t="s">
        <v>652</v>
      </c>
      <c r="E12072" s="6" t="s">
        <v>17165</v>
      </c>
      <c r="F12072" s="9"/>
    </row>
    <row r="12073" ht="33.75" customHeight="1">
      <c r="A12073" s="7">
        <v>552.0</v>
      </c>
      <c r="B12073" s="9" t="s">
        <v>17158</v>
      </c>
      <c r="C12073" s="9" t="s">
        <v>17147</v>
      </c>
      <c r="D12073" s="9" t="s">
        <v>114</v>
      </c>
      <c r="E12073" s="6" t="s">
        <v>17166</v>
      </c>
      <c r="F12073" s="9"/>
    </row>
    <row r="12074" ht="33.75" customHeight="1">
      <c r="A12074" s="7">
        <v>552.0</v>
      </c>
      <c r="B12074" s="9" t="s">
        <v>17158</v>
      </c>
      <c r="C12074" s="9" t="s">
        <v>17147</v>
      </c>
      <c r="D12074" s="9" t="s">
        <v>117</v>
      </c>
      <c r="E12074" s="6" t="s">
        <v>17167</v>
      </c>
      <c r="F12074" s="9"/>
    </row>
    <row r="12075" ht="33.75" customHeight="1">
      <c r="A12075" s="7">
        <v>553.0</v>
      </c>
      <c r="B12075" s="9" t="s">
        <v>17168</v>
      </c>
      <c r="C12075" s="9" t="s">
        <v>17169</v>
      </c>
      <c r="D12075" s="9" t="s">
        <v>93</v>
      </c>
      <c r="E12075" s="6" t="s">
        <v>17170</v>
      </c>
      <c r="F12075" t="inlineStr" s="10">
        <is>
          <t xml:space="preserve">Ne eivät koskaan päästä saalista karkuun. Niiden leuat ovat niin voimakkaat, että ne voivat murskata auton korin. Se voi laajentaa silmiensä tarkennusaluetta, jolloin se voi nähdä kaukana olevia esineitä aivan kuin se käyttäisi kiikareita. Hyvin väkivaltaisia ​​Pokémoneja, jotka yrittävät tukahduttaa kaiken, mikä liikkuu heidän silmiensä edessä. Sen ainutlaatuinen näkökyky pystyy havaitsemaan pienen saaliin yli 50 kilometrin päästä, jopa hiekkamyrskyn keskellä. Puristettuaan saaliinsa voimakkailla leuoillaan se kiertää ruumistaan ​​ja repii sen kahtia. Kun se havaitsee saaliin, jopa yli 50 kilometrin etäisyydeltä, se ui aavikon läpi kuin vesi, hyppää sitten ulos ja jyrää sen. Se piiloutuu Flygonin nostattamiin hiekkamyrskyihin ja odottaa kärsivällisesti saaliin ilmestymistä. Tämä Pokémon tunnetaan nimellä Hiekan Kiusaaja. Krookodilen mahtavat leuat voivat purra raskaiden rautalevyjen läpi lähes ilman ponnisteluja. Vaikka Krookodile on hirvittävän aggressiivinen, sillä on myös kärsivällisyyttä pysyä piilossa hiekan alla päiväkausia väijymässä saalista.</t>
        </is>
      </c>
    </row>
    <row r="12076" ht="33.75" customHeight="1">
      <c r="A12076" s="7">
        <v>553.0</v>
      </c>
      <c r="B12076" s="9" t="s">
        <v>17168</v>
      </c>
      <c r="C12076" s="9" t="s">
        <v>17169</v>
      </c>
      <c r="D12076" s="9" t="s">
        <v>95</v>
      </c>
      <c r="E12076" s="6" t="s">
        <v>17171</v>
      </c>
      <c r="F12076" s="9"/>
    </row>
    <row r="12077" ht="33.75" customHeight="1">
      <c r="A12077" s="7">
        <v>553.0</v>
      </c>
      <c r="B12077" s="9" t="s">
        <v>17168</v>
      </c>
      <c r="C12077" s="9" t="s">
        <v>17169</v>
      </c>
      <c r="D12077" s="9" t="s">
        <v>98</v>
      </c>
      <c r="E12077" s="6" t="s">
        <v>17172</v>
      </c>
      <c r="F12077" s="9"/>
    </row>
    <row r="12078" ht="33.75" customHeight="1">
      <c r="A12078" s="7">
        <v>553.0</v>
      </c>
      <c r="B12078" s="9" t="s">
        <v>17168</v>
      </c>
      <c r="C12078" s="9" t="s">
        <v>17169</v>
      </c>
      <c r="D12078" s="9" t="s">
        <v>99</v>
      </c>
      <c r="E12078" s="6" t="s">
        <v>17172</v>
      </c>
      <c r="F12078" s="9"/>
    </row>
    <row r="12079" ht="33.75" customHeight="1">
      <c r="A12079" s="7">
        <v>553.0</v>
      </c>
      <c r="B12079" s="9" t="s">
        <v>17168</v>
      </c>
      <c r="C12079" s="9" t="s">
        <v>17169</v>
      </c>
      <c r="D12079" s="9" t="s">
        <v>101</v>
      </c>
      <c r="E12079" s="6" t="s">
        <v>17172</v>
      </c>
      <c r="F12079" s="9"/>
    </row>
    <row r="12080" ht="33.75" customHeight="1">
      <c r="A12080" s="7">
        <v>553.0</v>
      </c>
      <c r="B12080" s="9" t="s">
        <v>17168</v>
      </c>
      <c r="C12080" s="9" t="s">
        <v>17169</v>
      </c>
      <c r="D12080" s="9" t="s">
        <v>105</v>
      </c>
      <c r="E12080" s="6" t="s">
        <v>17170</v>
      </c>
      <c r="F12080" s="9"/>
    </row>
    <row r="12081" ht="33.75" customHeight="1">
      <c r="A12081" s="7">
        <v>553.0</v>
      </c>
      <c r="B12081" s="9" t="s">
        <v>17168</v>
      </c>
      <c r="C12081" s="9" t="s">
        <v>17169</v>
      </c>
      <c r="D12081" s="9" t="s">
        <v>107</v>
      </c>
      <c r="E12081" s="6" t="s">
        <v>17172</v>
      </c>
      <c r="F12081" s="9"/>
    </row>
    <row r="12082" ht="33.75" customHeight="1">
      <c r="A12082" s="7">
        <v>553.0</v>
      </c>
      <c r="B12082" s="9" t="s">
        <v>17168</v>
      </c>
      <c r="C12082" s="9" t="s">
        <v>17169</v>
      </c>
      <c r="D12082" s="9" t="s">
        <v>109</v>
      </c>
      <c r="E12082" s="6" t="s">
        <v>17170</v>
      </c>
      <c r="F12082" s="9"/>
    </row>
    <row r="12083" ht="33.75" customHeight="1">
      <c r="A12083" s="7">
        <v>553.0</v>
      </c>
      <c r="B12083" s="9" t="s">
        <v>17168</v>
      </c>
      <c r="C12083" s="9" t="s">
        <v>17169</v>
      </c>
      <c r="D12083" s="9" t="s">
        <v>637</v>
      </c>
      <c r="E12083" s="6" t="s">
        <v>17174</v>
      </c>
      <c r="F12083" s="9"/>
    </row>
    <row r="12084" ht="33.75" customHeight="1">
      <c r="A12084" s="7">
        <v>553.0</v>
      </c>
      <c r="B12084" s="9" t="s">
        <v>17168</v>
      </c>
      <c r="C12084" s="9" t="s">
        <v>17169</v>
      </c>
      <c r="D12084" s="9" t="s">
        <v>642</v>
      </c>
      <c r="E12084" s="6" t="s">
        <v>17175</v>
      </c>
      <c r="F12084" s="9"/>
    </row>
    <row r="12085" ht="33.75" customHeight="1">
      <c r="A12085" s="7">
        <v>553.0</v>
      </c>
      <c r="B12085" s="9" t="s">
        <v>17168</v>
      </c>
      <c r="C12085" s="9" t="s">
        <v>17169</v>
      </c>
      <c r="D12085" s="9" t="s">
        <v>647</v>
      </c>
      <c r="E12085" s="6" t="s">
        <v>17176</v>
      </c>
      <c r="F12085" s="9"/>
    </row>
    <row r="12086" ht="33.75" customHeight="1">
      <c r="A12086" s="7">
        <v>553.0</v>
      </c>
      <c r="B12086" s="9" t="s">
        <v>17168</v>
      </c>
      <c r="C12086" s="9" t="s">
        <v>17169</v>
      </c>
      <c r="D12086" s="9" t="s">
        <v>652</v>
      </c>
      <c r="E12086" s="6" t="s">
        <v>17177</v>
      </c>
      <c r="F12086" s="9"/>
    </row>
    <row r="12087" ht="33.75" customHeight="1">
      <c r="A12087" s="7">
        <v>553.0</v>
      </c>
      <c r="B12087" s="9" t="s">
        <v>17168</v>
      </c>
      <c r="C12087" s="9" t="s">
        <v>17169</v>
      </c>
      <c r="D12087" s="9" t="s">
        <v>114</v>
      </c>
      <c r="E12087" s="6" t="s">
        <v>17178</v>
      </c>
      <c r="F12087" s="9"/>
    </row>
    <row r="12088" ht="33.75" customHeight="1">
      <c r="A12088" s="7">
        <v>553.0</v>
      </c>
      <c r="B12088" s="9" t="s">
        <v>17168</v>
      </c>
      <c r="C12088" s="9" t="s">
        <v>17169</v>
      </c>
      <c r="D12088" s="9" t="s">
        <v>117</v>
      </c>
      <c r="E12088" s="6" t="s">
        <v>17179</v>
      </c>
      <c r="F12088" s="9"/>
    </row>
    <row r="12089" ht="33.75" customHeight="1">
      <c r="A12089" s="7">
        <v>554.0</v>
      </c>
      <c r="B12089" s="9" t="s">
        <v>17180</v>
      </c>
      <c r="C12089" s="9" t="s">
        <v>17181</v>
      </c>
      <c r="D12089" s="9" t="s">
        <v>93</v>
      </c>
      <c r="E12089" s="6" t="s">
        <v>17182</v>
      </c>
      <c r="F12089" t="inlineStr" s="10">
        <is>
          <t xml:space="preserve">Kun Darumakan sisäinen tuli palaa, se ei voi rauhoittua ja se juoksee ympäriinsä. Kun tuli hiipuu, se nukahtaa. Darumakan ulosteet ovat kuumia, joten ihmiset laittoivat niitä vaatteisiinsa pysyäkseen lämpiminä. Nukkuessaan se vetää raajansa ruumistaan ​​vasten ja sen sisäinen tulipalo laskee 500°C:een. Nukkuessaan se vetää raajansa ruumiiseensa ja sen sisäinen tuli laskee 1 100 celsiusasteeseen. Se saa voimansa kehossaan palavasta tulesta. Jos tuli hiipuu, tämä Pokémon nukahtaa välittömästi. Tämä suosittu onnen symboli ei koskaan kaadu nukkuessaan, kuinka sitä sitten työnnetään tai vedetäänkään.</t>
        </is>
      </c>
    </row>
    <row r="12090" ht="33.75" customHeight="1">
      <c r="A12090" s="7">
        <v>554.0</v>
      </c>
      <c r="B12090" s="9" t="s">
        <v>17180</v>
      </c>
      <c r="C12090" s="9" t="s">
        <v>17181</v>
      </c>
      <c r="D12090" s="9" t="s">
        <v>95</v>
      </c>
      <c r="E12090" s="6" t="s">
        <v>17183</v>
      </c>
      <c r="F12090" s="9"/>
    </row>
    <row r="12091" ht="33.75" customHeight="1">
      <c r="A12091" s="7">
        <v>554.0</v>
      </c>
      <c r="B12091" s="9" t="s">
        <v>17180</v>
      </c>
      <c r="C12091" s="9" t="s">
        <v>17181</v>
      </c>
      <c r="D12091" s="9" t="s">
        <v>98</v>
      </c>
      <c r="E12091" s="6" t="s">
        <v>17184</v>
      </c>
      <c r="F12091" s="9"/>
    </row>
    <row r="12092" ht="33.75" customHeight="1">
      <c r="A12092" s="7">
        <v>554.0</v>
      </c>
      <c r="B12092" s="9" t="s">
        <v>17180</v>
      </c>
      <c r="C12092" s="9" t="s">
        <v>17181</v>
      </c>
      <c r="D12092" s="9" t="s">
        <v>99</v>
      </c>
      <c r="E12092" s="6" t="s">
        <v>17184</v>
      </c>
      <c r="F12092" s="9"/>
    </row>
    <row r="12093" ht="33.75" customHeight="1">
      <c r="A12093" s="7">
        <v>554.0</v>
      </c>
      <c r="B12093" s="9" t="s">
        <v>17180</v>
      </c>
      <c r="C12093" s="9" t="s">
        <v>17181</v>
      </c>
      <c r="D12093" s="9" t="s">
        <v>101</v>
      </c>
      <c r="E12093" s="6" t="s">
        <v>17183</v>
      </c>
      <c r="F12093" s="9"/>
    </row>
    <row r="12094" ht="33.75" customHeight="1">
      <c r="A12094" s="7">
        <v>554.0</v>
      </c>
      <c r="B12094" s="9" t="s">
        <v>17180</v>
      </c>
      <c r="C12094" s="9" t="s">
        <v>17181</v>
      </c>
      <c r="D12094" s="9" t="s">
        <v>105</v>
      </c>
      <c r="E12094" s="6" t="s">
        <v>17185</v>
      </c>
      <c r="F12094" s="9"/>
    </row>
    <row r="12095" ht="33.75" customHeight="1">
      <c r="A12095" s="7">
        <v>554.0</v>
      </c>
      <c r="B12095" s="9" t="s">
        <v>17180</v>
      </c>
      <c r="C12095" s="9" t="s">
        <v>17181</v>
      </c>
      <c r="D12095" s="9" t="s">
        <v>107</v>
      </c>
      <c r="E12095" s="6" t="s">
        <v>17183</v>
      </c>
      <c r="F12095" s="9"/>
    </row>
    <row r="12096" ht="33.75" customHeight="1">
      <c r="A12096" s="7">
        <v>554.0</v>
      </c>
      <c r="B12096" s="9" t="s">
        <v>17180</v>
      </c>
      <c r="C12096" s="9" t="s">
        <v>17181</v>
      </c>
      <c r="D12096" s="9" t="s">
        <v>109</v>
      </c>
      <c r="E12096" s="6" t="s">
        <v>17185</v>
      </c>
      <c r="F12096" s="9"/>
    </row>
    <row r="12097" ht="33.75" customHeight="1">
      <c r="A12097" s="7">
        <v>554.0</v>
      </c>
      <c r="B12097" s="9" t="s">
        <v>17180</v>
      </c>
      <c r="C12097" s="9" t="s">
        <v>17181</v>
      </c>
      <c r="D12097" s="9" t="s">
        <v>114</v>
      </c>
      <c r="E12097" s="6" t="s">
        <v>17186</v>
      </c>
      <c r="F12097" s="9"/>
    </row>
    <row r="12098" ht="33.75" customHeight="1">
      <c r="A12098" s="7">
        <v>554.0</v>
      </c>
      <c r="B12098" s="9" t="s">
        <v>17180</v>
      </c>
      <c r="C12098" s="9" t="s">
        <v>17181</v>
      </c>
      <c r="D12098" s="9" t="s">
        <v>117</v>
      </c>
      <c r="E12098" s="6" t="s">
        <v>17187</v>
      </c>
      <c r="F12098" s="9"/>
    </row>
    <row r="12099" ht="33.75" customHeight="1">
      <c r="A12099" s="7">
        <v>555.0</v>
      </c>
      <c r="B12099" s="9" t="s">
        <v>17188</v>
      </c>
      <c r="C12099" s="9" t="s">
        <v>13820</v>
      </c>
      <c r="D12099" s="9" t="s">
        <v>93</v>
      </c>
      <c r="E12099" s="6" t="s">
        <v>17190</v>
      </c>
      <c r="F12099" t="inlineStr" s="10">
        <is>
          <t xml:space="preserve">Darmanitanin sisäinen tuli palaa 2 500 °F:n lämpötilassa, mikä tuottaa riittävästi tehoa tuhota kippiauton yhdellä iskulla. Taistelussa heikentyneenä se muuttuu kivipatsaaksi. Sitten se terävöittää mieltään ja jatkaa taistelua henkisesti. Kun ihminen loukkaantuu raivokkaassa taistelussa, se kovettuu kiven kaltaiseksi muodoksi. Sitten se meditoi ja terävöittää mieltään. Sen sisäinen tuli palaa 2 500 Fahrenheit-asteessa, mikä tuottaa riittävästi tehoa tuhota kippiauton yhdellä iskulla. Tämän kuumaverisen Pokémonin paksut käsivarret pystyvät iskemään niin, että ne voisivat tuhota jopa kippiauton. Tämän Pokémonin voimataso nousee sen tulen lämpötilan noustessa, joka voi nousta 2 500 celsiusasteeseen.</t>
        </is>
      </c>
    </row>
    <row r="12100" ht="33.75" customHeight="1">
      <c r="A12100" s="7">
        <v>555.0</v>
      </c>
      <c r="B12100" s="9" t="s">
        <v>17188</v>
      </c>
      <c r="C12100" s="9" t="s">
        <v>13820</v>
      </c>
      <c r="D12100" s="9" t="s">
        <v>95</v>
      </c>
      <c r="E12100" s="6" t="s">
        <v>17191</v>
      </c>
      <c r="F12100" s="9"/>
    </row>
    <row r="12101" ht="33.75" customHeight="1">
      <c r="A12101" s="7">
        <v>555.0</v>
      </c>
      <c r="B12101" s="9" t="s">
        <v>17188</v>
      </c>
      <c r="C12101" s="9" t="s">
        <v>13820</v>
      </c>
      <c r="D12101" s="9" t="s">
        <v>98</v>
      </c>
      <c r="E12101" s="6" t="s">
        <v>17192</v>
      </c>
      <c r="F12101" s="9"/>
    </row>
    <row r="12102" ht="33.75" customHeight="1">
      <c r="A12102" s="7">
        <v>555.0</v>
      </c>
      <c r="B12102" s="9" t="s">
        <v>17188</v>
      </c>
      <c r="C12102" s="9" t="s">
        <v>13820</v>
      </c>
      <c r="D12102" s="9" t="s">
        <v>99</v>
      </c>
      <c r="E12102" s="6" t="s">
        <v>17192</v>
      </c>
      <c r="F12102" s="9"/>
    </row>
    <row r="12103" ht="33.75" customHeight="1">
      <c r="A12103" s="7">
        <v>555.0</v>
      </c>
      <c r="B12103" s="9" t="s">
        <v>17188</v>
      </c>
      <c r="C12103" s="9" t="s">
        <v>13820</v>
      </c>
      <c r="D12103" s="9" t="s">
        <v>101</v>
      </c>
      <c r="E12103" s="6" t="s">
        <v>17192</v>
      </c>
      <c r="F12103" s="9"/>
    </row>
    <row r="12104" ht="33.75" customHeight="1">
      <c r="A12104" s="7">
        <v>555.0</v>
      </c>
      <c r="B12104" s="9" t="s">
        <v>17188</v>
      </c>
      <c r="C12104" s="9" t="s">
        <v>13820</v>
      </c>
      <c r="D12104" s="9" t="s">
        <v>105</v>
      </c>
      <c r="E12104" s="6" t="s">
        <v>17193</v>
      </c>
      <c r="F12104" s="9"/>
    </row>
    <row r="12105" ht="33.75" customHeight="1">
      <c r="A12105" s="7">
        <v>555.0</v>
      </c>
      <c r="B12105" s="9" t="s">
        <v>17188</v>
      </c>
      <c r="C12105" s="9" t="s">
        <v>13820</v>
      </c>
      <c r="D12105" s="9" t="s">
        <v>107</v>
      </c>
      <c r="E12105" s="6" t="s">
        <v>17192</v>
      </c>
      <c r="F12105" s="9"/>
    </row>
    <row r="12106" ht="33.75" customHeight="1">
      <c r="A12106" s="7">
        <v>555.0</v>
      </c>
      <c r="B12106" s="9" t="s">
        <v>17188</v>
      </c>
      <c r="C12106" s="9" t="s">
        <v>13820</v>
      </c>
      <c r="D12106" s="9" t="s">
        <v>109</v>
      </c>
      <c r="E12106" s="6" t="s">
        <v>17193</v>
      </c>
      <c r="F12106" s="9"/>
    </row>
    <row r="12107" ht="33.75" customHeight="1">
      <c r="A12107" s="7">
        <v>555.0</v>
      </c>
      <c r="B12107" s="9" t="s">
        <v>17188</v>
      </c>
      <c r="C12107" s="9" t="s">
        <v>13820</v>
      </c>
      <c r="D12107" s="9" t="s">
        <v>114</v>
      </c>
      <c r="E12107" s="6" t="s">
        <v>17194</v>
      </c>
      <c r="F12107" s="9"/>
    </row>
    <row r="12108" ht="33.75" customHeight="1">
      <c r="A12108" s="7">
        <v>555.0</v>
      </c>
      <c r="B12108" s="9" t="s">
        <v>17188</v>
      </c>
      <c r="C12108" s="9" t="s">
        <v>13820</v>
      </c>
      <c r="D12108" s="9" t="s">
        <v>117</v>
      </c>
      <c r="E12108" s="6" t="s">
        <v>17195</v>
      </c>
      <c r="F12108" s="9"/>
    </row>
    <row r="12109" ht="33.75" customHeight="1">
      <c r="A12109" s="7">
        <v>556.0</v>
      </c>
      <c r="B12109" s="9" t="s">
        <v>17196</v>
      </c>
      <c r="C12109" s="9" t="s">
        <v>14790</v>
      </c>
      <c r="D12109" s="9" t="s">
        <v>93</v>
      </c>
      <c r="E12109" s="6" t="s">
        <v>17197</v>
      </c>
      <c r="F12109" t="inlineStr" s="10">
        <is>
          <t xml:space="preserve">Maractus käyttää nopeatempoista laulua ja tanssia ajaakseen pois lintu-Pokémonit, jotka saalistavat sen kukkasiemeniä. Kuivat alueet ovat niiden elinympäristöä. Ne liikkuvat rytmisesti ja tuottavat ääntä, joka muistuttaa marakasseja. Kun se liikkuu rytmisesti, se päästää marakassien kaltaisen äänen, joka saa yllättyneen Pokémonin pakenemaan. Äänillä, jotka voitaisiin erehtyä luulemaan marakassien helistimeksi, se luo iloisen rytmin, säikäyttäen lintu-Pokémoneja ja saamalla ne lentämään kiireesti pois. Kerran vuodessa tämä Pokémon levittää siemeniään. Ne ovat täynnä ravinteita, mikä tekee niistä arvokkaan ravinnonlähteen aavikolla.</t>
        </is>
      </c>
    </row>
    <row r="12110" ht="33.75" customHeight="1">
      <c r="A12110" s="7">
        <v>556.0</v>
      </c>
      <c r="B12110" s="9" t="s">
        <v>17196</v>
      </c>
      <c r="C12110" s="9" t="s">
        <v>14790</v>
      </c>
      <c r="D12110" s="9" t="s">
        <v>95</v>
      </c>
      <c r="E12110" s="6" t="s">
        <v>17198</v>
      </c>
      <c r="F12110" s="9"/>
    </row>
    <row r="12111" ht="33.75" customHeight="1">
      <c r="A12111" s="7">
        <v>556.0</v>
      </c>
      <c r="B12111" s="9" t="s">
        <v>17196</v>
      </c>
      <c r="C12111" s="9" t="s">
        <v>14790</v>
      </c>
      <c r="D12111" s="9" t="s">
        <v>98</v>
      </c>
      <c r="E12111" s="6" t="s">
        <v>17199</v>
      </c>
      <c r="F12111" s="9"/>
    </row>
    <row r="12112" ht="33.75" customHeight="1">
      <c r="A12112" s="7">
        <v>556.0</v>
      </c>
      <c r="B12112" s="9" t="s">
        <v>17196</v>
      </c>
      <c r="C12112" s="9" t="s">
        <v>14790</v>
      </c>
      <c r="D12112" s="9" t="s">
        <v>99</v>
      </c>
      <c r="E12112" s="6" t="s">
        <v>17199</v>
      </c>
      <c r="F12112" s="9"/>
    </row>
    <row r="12113" ht="33.75" customHeight="1">
      <c r="A12113" s="7">
        <v>556.0</v>
      </c>
      <c r="B12113" s="9" t="s">
        <v>17196</v>
      </c>
      <c r="C12113" s="9" t="s">
        <v>14790</v>
      </c>
      <c r="D12113" s="9" t="s">
        <v>101</v>
      </c>
      <c r="E12113" s="6" t="s">
        <v>17197</v>
      </c>
      <c r="F12113" s="9"/>
    </row>
    <row r="12114" ht="33.75" customHeight="1">
      <c r="A12114" s="7">
        <v>556.0</v>
      </c>
      <c r="B12114" s="9" t="s">
        <v>17196</v>
      </c>
      <c r="C12114" s="9" t="s">
        <v>14790</v>
      </c>
      <c r="D12114" s="9" t="s">
        <v>105</v>
      </c>
      <c r="E12114" s="6" t="s">
        <v>17198</v>
      </c>
      <c r="F12114" s="9"/>
    </row>
    <row r="12115" ht="33.75" customHeight="1">
      <c r="A12115" s="7">
        <v>556.0</v>
      </c>
      <c r="B12115" s="9" t="s">
        <v>17196</v>
      </c>
      <c r="C12115" s="9" t="s">
        <v>14790</v>
      </c>
      <c r="D12115" s="9" t="s">
        <v>107</v>
      </c>
      <c r="E12115" s="6" t="s">
        <v>17197</v>
      </c>
      <c r="F12115" s="9"/>
    </row>
    <row r="12116" ht="33.75" customHeight="1">
      <c r="A12116" s="7">
        <v>556.0</v>
      </c>
      <c r="B12116" s="9" t="s">
        <v>17196</v>
      </c>
      <c r="C12116" s="9" t="s">
        <v>14790</v>
      </c>
      <c r="D12116" s="9" t="s">
        <v>109</v>
      </c>
      <c r="E12116" s="6" t="s">
        <v>17198</v>
      </c>
      <c r="F12116" s="9"/>
    </row>
    <row r="12117" ht="33.75" customHeight="1">
      <c r="A12117" s="7">
        <v>556.0</v>
      </c>
      <c r="B12117" s="9" t="s">
        <v>17196</v>
      </c>
      <c r="C12117" s="9" t="s">
        <v>14790</v>
      </c>
      <c r="D12117" s="9" t="s">
        <v>114</v>
      </c>
      <c r="E12117" s="6" t="s">
        <v>17200</v>
      </c>
      <c r="F12117" s="9"/>
    </row>
    <row r="12118" ht="33.75" customHeight="1">
      <c r="A12118" s="7">
        <v>556.0</v>
      </c>
      <c r="B12118" s="9" t="s">
        <v>17196</v>
      </c>
      <c r="C12118" s="9" t="s">
        <v>14790</v>
      </c>
      <c r="D12118" s="9" t="s">
        <v>117</v>
      </c>
      <c r="E12118" s="6" t="s">
        <v>17202</v>
      </c>
      <c r="F12118" s="9"/>
    </row>
    <row r="12119" ht="33.75" customHeight="1">
      <c r="A12119" s="7">
        <v>557.0</v>
      </c>
      <c r="B12119" s="9" t="s">
        <v>17203</v>
      </c>
      <c r="C12119" s="9" t="s">
        <v>17204</v>
      </c>
      <c r="D12119" s="9" t="s">
        <v>93</v>
      </c>
      <c r="E12119" s="6" t="s">
        <v>17205</v>
      </c>
      <c r="F12119" t="inlineStr" s="10">
        <is>
          <t xml:space="preserve">Tämä Pokémon voi helposti sulattaa reikiä kovissa kivissä suustaan ​​erittyvällä nesteellä. Se tekee reiän sopivaan kiveen. Jos kivi rikkoutuu, Pokémon pysyy levottomana, kunnes löytää korvaavan. Löydettyään sopivan kokoisen kiven se erittää suustaan ​​nestettä avatakseen reiän, johon se voi ryömiä. Kun se löytää kiven, se tekee siihen reiän ja käyttää sitä kotinaan. Tämä Pokémon on Roggenrolan ja Rolycolyn luonnollinen vihollinen. Se yrittää ensin löytää kiven, jossa asua, mutta jos sopivia kiviä ei löydy, Dwebble voi muuttaa Hippowdonin satamiin.</t>
        </is>
      </c>
    </row>
    <row r="12120" ht="33.75" customHeight="1">
      <c r="A12120" s="7">
        <v>557.0</v>
      </c>
      <c r="B12120" s="9" t="s">
        <v>17203</v>
      </c>
      <c r="C12120" s="9" t="s">
        <v>17204</v>
      </c>
      <c r="D12120" s="9" t="s">
        <v>95</v>
      </c>
      <c r="E12120" s="6" t="s">
        <v>17206</v>
      </c>
      <c r="F12120" s="9"/>
    </row>
    <row r="12121" ht="33.75" customHeight="1">
      <c r="A12121" s="7">
        <v>557.0</v>
      </c>
      <c r="B12121" s="9" t="s">
        <v>17203</v>
      </c>
      <c r="C12121" s="9" t="s">
        <v>17204</v>
      </c>
      <c r="D12121" s="9" t="s">
        <v>98</v>
      </c>
      <c r="E12121" s="6" t="s">
        <v>17207</v>
      </c>
      <c r="F12121" s="9"/>
    </row>
    <row r="12122" ht="33.75" customHeight="1">
      <c r="A12122" s="7">
        <v>557.0</v>
      </c>
      <c r="B12122" s="9" t="s">
        <v>17203</v>
      </c>
      <c r="C12122" s="9" t="s">
        <v>17204</v>
      </c>
      <c r="D12122" s="9" t="s">
        <v>99</v>
      </c>
      <c r="E12122" s="6" t="s">
        <v>17207</v>
      </c>
      <c r="F12122" s="9"/>
    </row>
    <row r="12123" ht="33.75" customHeight="1">
      <c r="A12123" s="7">
        <v>557.0</v>
      </c>
      <c r="B12123" s="9" t="s">
        <v>17203</v>
      </c>
      <c r="C12123" s="9" t="s">
        <v>17204</v>
      </c>
      <c r="D12123" s="9" t="s">
        <v>101</v>
      </c>
      <c r="E12123" s="6" t="s">
        <v>17206</v>
      </c>
      <c r="F12123" s="9"/>
    </row>
    <row r="12124" ht="33.75" customHeight="1">
      <c r="A12124" s="7">
        <v>557.0</v>
      </c>
      <c r="B12124" s="9" t="s">
        <v>17203</v>
      </c>
      <c r="C12124" s="9" t="s">
        <v>17204</v>
      </c>
      <c r="D12124" s="9" t="s">
        <v>105</v>
      </c>
      <c r="E12124" s="6" t="s">
        <v>17207</v>
      </c>
      <c r="F12124" s="9"/>
    </row>
    <row r="12125" ht="33.75" customHeight="1">
      <c r="A12125" s="7">
        <v>557.0</v>
      </c>
      <c r="B12125" s="9" t="s">
        <v>17203</v>
      </c>
      <c r="C12125" s="9" t="s">
        <v>17204</v>
      </c>
      <c r="D12125" s="9" t="s">
        <v>107</v>
      </c>
      <c r="E12125" s="6" t="s">
        <v>17206</v>
      </c>
      <c r="F12125" s="9"/>
    </row>
    <row r="12126" ht="33.75" customHeight="1">
      <c r="A12126" s="7">
        <v>557.0</v>
      </c>
      <c r="B12126" s="9" t="s">
        <v>17203</v>
      </c>
      <c r="C12126" s="9" t="s">
        <v>17204</v>
      </c>
      <c r="D12126" s="9" t="s">
        <v>109</v>
      </c>
      <c r="E12126" s="6" t="s">
        <v>17207</v>
      </c>
      <c r="F12126" s="9"/>
    </row>
    <row r="12127" ht="33.75" customHeight="1">
      <c r="A12127" s="7">
        <v>557.0</v>
      </c>
      <c r="B12127" s="9" t="s">
        <v>17203</v>
      </c>
      <c r="C12127" s="9" t="s">
        <v>17204</v>
      </c>
      <c r="D12127" s="9" t="s">
        <v>114</v>
      </c>
      <c r="E12127" s="6" t="s">
        <v>17208</v>
      </c>
      <c r="F12127" s="9"/>
    </row>
    <row r="12128" ht="33.75" customHeight="1">
      <c r="A12128" s="7">
        <v>557.0</v>
      </c>
      <c r="B12128" s="9" t="s">
        <v>17203</v>
      </c>
      <c r="C12128" s="9" t="s">
        <v>17204</v>
      </c>
      <c r="D12128" s="9" t="s">
        <v>117</v>
      </c>
      <c r="E12128" s="6" t="s">
        <v>17209</v>
      </c>
      <c r="F12128" s="9"/>
    </row>
    <row r="12129" ht="33.75" customHeight="1">
      <c r="A12129" s="7">
        <v>558.0</v>
      </c>
      <c r="B12129" s="9" t="s">
        <v>17210</v>
      </c>
      <c r="C12129" s="9" t="s">
        <v>17211</v>
      </c>
      <c r="D12129" s="9" t="s">
        <v>93</v>
      </c>
      <c r="E12129" s="6" t="s">
        <v>17212</v>
      </c>
      <c r="F12129" t="inlineStr" s="10">
        <is>
          <t xml:space="preserve">Alueesta kilpaillen Crustle taistelee raa'asti. Se, jonka lohkare rikkoutuu, häviää taistelun. Sillä on valtavan vahvat jalat, joiden ansiosta se voi kantaa raskaita laattoja monien päivien ajan, jopa kuivaa maata ylittäessään. Kun sen lohkare hajoaa aluetaisteluissa, se tuntee olonsa epävarmaksi ja alkaa heiketä. Tämä erittäin reviiritietoinen Pokémon viihtyy kuivassa ilmastossa. Se ei tule ulos lohkareestaan ​​sateisina päivinä. Sen paksut kynnet ovat sen mahtavimmat aseet. Ne ovat niin voimakkaita, että ne voivat murskata Rhyperiorin kilpen.</t>
        </is>
      </c>
    </row>
    <row r="12130" ht="33.75" customHeight="1">
      <c r="A12130" s="7">
        <v>558.0</v>
      </c>
      <c r="B12130" s="9" t="s">
        <v>17210</v>
      </c>
      <c r="C12130" s="9" t="s">
        <v>17211</v>
      </c>
      <c r="D12130" s="9" t="s">
        <v>95</v>
      </c>
      <c r="E12130" s="6" t="s">
        <v>17213</v>
      </c>
      <c r="F12130" s="9"/>
    </row>
    <row r="12131" ht="33.75" customHeight="1">
      <c r="A12131" s="7">
        <v>558.0</v>
      </c>
      <c r="B12131" s="9" t="s">
        <v>17210</v>
      </c>
      <c r="C12131" s="9" t="s">
        <v>17211</v>
      </c>
      <c r="D12131" s="9" t="s">
        <v>98</v>
      </c>
      <c r="E12131" s="6" t="s">
        <v>17214</v>
      </c>
      <c r="F12131" s="9"/>
    </row>
    <row r="12132" ht="33.75" customHeight="1">
      <c r="A12132" s="7">
        <v>558.0</v>
      </c>
      <c r="B12132" s="9" t="s">
        <v>17210</v>
      </c>
      <c r="C12132" s="9" t="s">
        <v>17211</v>
      </c>
      <c r="D12132" s="9" t="s">
        <v>99</v>
      </c>
      <c r="E12132" s="6" t="s">
        <v>17214</v>
      </c>
      <c r="F12132" s="9"/>
    </row>
    <row r="12133" ht="33.75" customHeight="1">
      <c r="A12133" s="7">
        <v>558.0</v>
      </c>
      <c r="B12133" s="9" t="s">
        <v>17210</v>
      </c>
      <c r="C12133" s="9" t="s">
        <v>17211</v>
      </c>
      <c r="D12133" s="9" t="s">
        <v>101</v>
      </c>
      <c r="E12133" s="6" t="s">
        <v>17213</v>
      </c>
      <c r="F12133" s="9"/>
    </row>
    <row r="12134" ht="33.75" customHeight="1">
      <c r="A12134" s="7">
        <v>558.0</v>
      </c>
      <c r="B12134" s="9" t="s">
        <v>17210</v>
      </c>
      <c r="C12134" s="9" t="s">
        <v>17211</v>
      </c>
      <c r="D12134" s="9" t="s">
        <v>105</v>
      </c>
      <c r="E12134" s="6" t="s">
        <v>17212</v>
      </c>
      <c r="F12134" s="9"/>
    </row>
    <row r="12135" ht="33.75" customHeight="1">
      <c r="A12135" s="7">
        <v>558.0</v>
      </c>
      <c r="B12135" s="9" t="s">
        <v>17210</v>
      </c>
      <c r="C12135" s="9" t="s">
        <v>17211</v>
      </c>
      <c r="D12135" s="9" t="s">
        <v>107</v>
      </c>
      <c r="E12135" s="6" t="s">
        <v>17213</v>
      </c>
      <c r="F12135" s="9"/>
    </row>
    <row r="12136" ht="33.75" customHeight="1">
      <c r="A12136" s="7">
        <v>558.0</v>
      </c>
      <c r="B12136" s="9" t="s">
        <v>17210</v>
      </c>
      <c r="C12136" s="9" t="s">
        <v>17211</v>
      </c>
      <c r="D12136" s="9" t="s">
        <v>109</v>
      </c>
      <c r="E12136" s="6" t="s">
        <v>17212</v>
      </c>
      <c r="F12136" s="9"/>
    </row>
    <row r="12137" ht="33.75" customHeight="1">
      <c r="A12137" s="7">
        <v>558.0</v>
      </c>
      <c r="B12137" s="9" t="s">
        <v>17210</v>
      </c>
      <c r="C12137" s="9" t="s">
        <v>17211</v>
      </c>
      <c r="D12137" s="9" t="s">
        <v>114</v>
      </c>
      <c r="E12137" s="6" t="s">
        <v>17215</v>
      </c>
      <c r="F12137" s="9"/>
    </row>
    <row r="12138" ht="33.75" customHeight="1">
      <c r="A12138" s="7">
        <v>558.0</v>
      </c>
      <c r="B12138" s="9" t="s">
        <v>17210</v>
      </c>
      <c r="C12138" s="9" t="s">
        <v>17211</v>
      </c>
      <c r="D12138" s="9" t="s">
        <v>117</v>
      </c>
      <c r="E12138" s="6" t="s">
        <v>17216</v>
      </c>
      <c r="F12138" s="9"/>
    </row>
    <row r="12139" ht="33.75" customHeight="1">
      <c r="A12139" s="7">
        <v>559.0</v>
      </c>
      <c r="B12139" s="9" t="s">
        <v>17217</v>
      </c>
      <c r="C12139" s="9" t="s">
        <v>17218</v>
      </c>
      <c r="D12139" s="9" t="s">
        <v>93</v>
      </c>
      <c r="E12139" s="6" t="s">
        <v>17219</v>
      </c>
      <c r="F12139" t="inlineStr" s="10">
        <is>
          <t xml:space="preserve">Scraggyn iho on kumimaisesti kimmoisa, joten se voi vähentää vaurioita vetämällä nahkaansa puolustuskeinoin kaulaansa kohti. Se iskee välittömästi päähän ketä tahansa, joka kohtaa sen katsekontaktin. Sen kallo on valtavan paksu. Ylpeänä tukevasta kallostaan ​​se iskee yhtäkkiä päällään kaikkea, mutta painonsa tekee siitä myös epävakaan. He liikkuvat pienissä ryhmissä ja kävelevät laiskasti ympäriinsä. Jokainen, joka katsoo heitä silmiin, saa päähän iskun. Se venyttelee roikkuvaa ihoaan kaulaansa asti suojatakseen itseään. Mitä roikkuvampi sen iho, sitä enemmän kunnioitusta se saa. Jos se kohtaa katseesi, ole varovainen! Mikään eikä kukaan ole turvassa tämän hankalan Pokémonin holtittomilta pääniskuilta. Se suojaa itseään kestävällä ihollaan. Tämän Pokémonin uskotaan kehittyvän, kun sen iho on venynyt kokonaan.</t>
        </is>
      </c>
    </row>
    <row r="12140" ht="33.75" customHeight="1">
      <c r="A12140" s="7">
        <v>559.0</v>
      </c>
      <c r="B12140" s="9" t="s">
        <v>17217</v>
      </c>
      <c r="C12140" s="9" t="s">
        <v>17218</v>
      </c>
      <c r="D12140" s="9" t="s">
        <v>95</v>
      </c>
      <c r="E12140" s="6" t="s">
        <v>17220</v>
      </c>
      <c r="F12140" s="9"/>
    </row>
    <row r="12141" ht="33.75" customHeight="1">
      <c r="A12141" s="7">
        <v>559.0</v>
      </c>
      <c r="B12141" s="9" t="s">
        <v>17217</v>
      </c>
      <c r="C12141" s="9" t="s">
        <v>17218</v>
      </c>
      <c r="D12141" s="9" t="s">
        <v>98</v>
      </c>
      <c r="E12141" s="6" t="s">
        <v>17221</v>
      </c>
      <c r="F12141" s="9"/>
    </row>
    <row r="12142" ht="33.75" customHeight="1">
      <c r="A12142" s="7">
        <v>559.0</v>
      </c>
      <c r="B12142" s="9" t="s">
        <v>17217</v>
      </c>
      <c r="C12142" s="9" t="s">
        <v>17218</v>
      </c>
      <c r="D12142" s="9" t="s">
        <v>99</v>
      </c>
      <c r="E12142" s="6" t="s">
        <v>17221</v>
      </c>
      <c r="F12142" s="9"/>
    </row>
    <row r="12143" ht="33.75" customHeight="1">
      <c r="A12143" s="7">
        <v>559.0</v>
      </c>
      <c r="B12143" s="9" t="s">
        <v>17217</v>
      </c>
      <c r="C12143" s="9" t="s">
        <v>17218</v>
      </c>
      <c r="D12143" s="9" t="s">
        <v>101</v>
      </c>
      <c r="E12143" s="6" t="s">
        <v>17219</v>
      </c>
      <c r="F12143" s="9"/>
    </row>
    <row r="12144" ht="33.75" customHeight="1">
      <c r="A12144" s="7">
        <v>559.0</v>
      </c>
      <c r="B12144" s="9" t="s">
        <v>17217</v>
      </c>
      <c r="C12144" s="9" t="s">
        <v>17218</v>
      </c>
      <c r="D12144" s="9" t="s">
        <v>105</v>
      </c>
      <c r="E12144" s="6" t="s">
        <v>17221</v>
      </c>
      <c r="F12144" s="9"/>
    </row>
    <row r="12145" ht="33.75" customHeight="1">
      <c r="A12145" s="7">
        <v>559.0</v>
      </c>
      <c r="B12145" s="9" t="s">
        <v>17217</v>
      </c>
      <c r="C12145" s="9" t="s">
        <v>17218</v>
      </c>
      <c r="D12145" s="9" t="s">
        <v>107</v>
      </c>
      <c r="E12145" s="6" t="s">
        <v>17219</v>
      </c>
      <c r="F12145" s="9"/>
    </row>
    <row r="12146" ht="33.75" customHeight="1">
      <c r="A12146" s="7">
        <v>559.0</v>
      </c>
      <c r="B12146" s="9" t="s">
        <v>17217</v>
      </c>
      <c r="C12146" s="9" t="s">
        <v>17218</v>
      </c>
      <c r="D12146" s="9" t="s">
        <v>109</v>
      </c>
      <c r="E12146" s="6" t="s">
        <v>17221</v>
      </c>
      <c r="F12146" s="9"/>
    </row>
    <row r="12147" ht="33.75" customHeight="1">
      <c r="A12147" s="7">
        <v>559.0</v>
      </c>
      <c r="B12147" s="9" t="s">
        <v>17217</v>
      </c>
      <c r="C12147" s="9" t="s">
        <v>17218</v>
      </c>
      <c r="D12147" s="9" t="s">
        <v>647</v>
      </c>
      <c r="E12147" s="6" t="s">
        <v>17223</v>
      </c>
      <c r="F12147" s="9"/>
    </row>
    <row r="12148" ht="33.75" customHeight="1">
      <c r="A12148" s="7">
        <v>559.0</v>
      </c>
      <c r="B12148" s="9" t="s">
        <v>17217</v>
      </c>
      <c r="C12148" s="9" t="s">
        <v>17218</v>
      </c>
      <c r="D12148" s="9" t="s">
        <v>652</v>
      </c>
      <c r="E12148" s="6" t="s">
        <v>17224</v>
      </c>
      <c r="F12148" s="9"/>
    </row>
    <row r="12149" ht="33.75" customHeight="1">
      <c r="A12149" s="7">
        <v>559.0</v>
      </c>
      <c r="B12149" s="9" t="s">
        <v>17217</v>
      </c>
      <c r="C12149" s="9" t="s">
        <v>17218</v>
      </c>
      <c r="D12149" s="9" t="s">
        <v>114</v>
      </c>
      <c r="E12149" s="6" t="s">
        <v>17225</v>
      </c>
      <c r="F12149" s="9"/>
    </row>
    <row r="12150" ht="33.75" customHeight="1">
      <c r="A12150" s="7">
        <v>559.0</v>
      </c>
      <c r="B12150" s="9" t="s">
        <v>17217</v>
      </c>
      <c r="C12150" s="9" t="s">
        <v>17218</v>
      </c>
      <c r="D12150" s="9" t="s">
        <v>117</v>
      </c>
      <c r="E12150" s="6" t="s">
        <v>17226</v>
      </c>
      <c r="F12150" s="9"/>
    </row>
    <row r="12151" ht="33.75" customHeight="1">
      <c r="A12151" s="7">
        <v>560.0</v>
      </c>
      <c r="B12151" s="9" t="s">
        <v>17227</v>
      </c>
      <c r="C12151" s="9" t="s">
        <v>17228</v>
      </c>
      <c r="D12151" s="9" t="s">
        <v>93</v>
      </c>
      <c r="E12151" s="6" t="s">
        <v>17229</v>
      </c>
      <c r="F12151" t="inlineStr" s="10">
        <is>
          <t xml:space="preserve">Ne pieksevät laumoittain kaikkea, mikä osuu niiden alueelle. Jokainen voi sylkeä suustaan ​​hapanta nestettä. Se voi murskata betonilohkoja potkuhyökkäyksillään. Se, jolla on suurin harja, on ryhmänjohtaja. Se vetää irronnutta nahkaansa ylös suojatakseen itseään potkiessaan. Mitä suurempi harja, sitä arvostetumpi se on. Tämä Pokémon saattaa olla töykeä, mutta se pitää erittäin hyvää huolta perheestään, ystävistään ja reviiristään. Se pilkkaa vastustajiaan sylkemällä. Sillä on tietty reviiri, josta se ei poistu koko elämänsä aikana. Vaikka tämän Pokémonin potkut saattavat tuntua puolivilttimiltä, ​​niissä on tarpeeksi voimaa murskata Conkeldurrin betonipilarit. Vaikka tämä Pokémon tunnetaan enimmäkseen aggressiivisen roiston luonteestaan, se pitää erittäin hyvää huolta perheestään, ystävistään ja reviiristään.</t>
        </is>
      </c>
    </row>
    <row r="12152" ht="33.75" customHeight="1">
      <c r="A12152" s="7">
        <v>560.0</v>
      </c>
      <c r="B12152" s="9" t="s">
        <v>17227</v>
      </c>
      <c r="C12152" s="9" t="s">
        <v>17228</v>
      </c>
      <c r="D12152" s="9" t="s">
        <v>95</v>
      </c>
      <c r="E12152" s="6" t="s">
        <v>17230</v>
      </c>
      <c r="F12152" s="9"/>
    </row>
    <row r="12153" ht="33.75" customHeight="1">
      <c r="A12153" s="7">
        <v>560.0</v>
      </c>
      <c r="B12153" s="9" t="s">
        <v>17227</v>
      </c>
      <c r="C12153" s="9" t="s">
        <v>17228</v>
      </c>
      <c r="D12153" s="9" t="s">
        <v>98</v>
      </c>
      <c r="E12153" s="6" t="s">
        <v>17231</v>
      </c>
      <c r="F12153" s="9"/>
    </row>
    <row r="12154" ht="33.75" customHeight="1">
      <c r="A12154" s="7">
        <v>560.0</v>
      </c>
      <c r="B12154" s="9" t="s">
        <v>17227</v>
      </c>
      <c r="C12154" s="9" t="s">
        <v>17228</v>
      </c>
      <c r="D12154" s="9" t="s">
        <v>99</v>
      </c>
      <c r="E12154" s="6" t="s">
        <v>17231</v>
      </c>
      <c r="F12154" s="9"/>
    </row>
    <row r="12155" ht="33.75" customHeight="1">
      <c r="A12155" s="7">
        <v>560.0</v>
      </c>
      <c r="B12155" s="9" t="s">
        <v>17227</v>
      </c>
      <c r="C12155" s="9" t="s">
        <v>17228</v>
      </c>
      <c r="D12155" s="9" t="s">
        <v>101</v>
      </c>
      <c r="E12155" s="6" t="s">
        <v>17231</v>
      </c>
      <c r="F12155" s="9"/>
    </row>
    <row r="12156" ht="33.75" customHeight="1">
      <c r="A12156" s="7">
        <v>560.0</v>
      </c>
      <c r="B12156" s="9" t="s">
        <v>17227</v>
      </c>
      <c r="C12156" s="9" t="s">
        <v>17228</v>
      </c>
      <c r="D12156" s="9" t="s">
        <v>105</v>
      </c>
      <c r="E12156" s="6" t="s">
        <v>17230</v>
      </c>
      <c r="F12156" s="9"/>
    </row>
    <row r="12157" ht="33.75" customHeight="1">
      <c r="A12157" s="7">
        <v>560.0</v>
      </c>
      <c r="B12157" s="9" t="s">
        <v>17227</v>
      </c>
      <c r="C12157" s="9" t="s">
        <v>17228</v>
      </c>
      <c r="D12157" s="9" t="s">
        <v>107</v>
      </c>
      <c r="E12157" s="6" t="s">
        <v>17231</v>
      </c>
      <c r="F12157" s="9"/>
    </row>
    <row r="12158" ht="33.75" customHeight="1">
      <c r="A12158" s="7">
        <v>560.0</v>
      </c>
      <c r="B12158" s="9" t="s">
        <v>17227</v>
      </c>
      <c r="C12158" s="9" t="s">
        <v>17228</v>
      </c>
      <c r="D12158" s="9" t="s">
        <v>109</v>
      </c>
      <c r="E12158" s="6" t="s">
        <v>17230</v>
      </c>
      <c r="F12158" s="9"/>
    </row>
    <row r="12159" ht="33.75" customHeight="1">
      <c r="A12159" s="7">
        <v>560.0</v>
      </c>
      <c r="B12159" s="9" t="s">
        <v>17227</v>
      </c>
      <c r="C12159" s="9" t="s">
        <v>17228</v>
      </c>
      <c r="D12159" s="9" t="s">
        <v>647</v>
      </c>
      <c r="E12159" s="6" t="s">
        <v>17232</v>
      </c>
      <c r="F12159" s="9"/>
    </row>
    <row r="12160" ht="33.75" customHeight="1">
      <c r="A12160" s="7">
        <v>560.0</v>
      </c>
      <c r="B12160" s="9" t="s">
        <v>17227</v>
      </c>
      <c r="C12160" s="9" t="s">
        <v>17228</v>
      </c>
      <c r="D12160" s="9" t="s">
        <v>652</v>
      </c>
      <c r="E12160" s="6" t="s">
        <v>17233</v>
      </c>
      <c r="F12160" s="9"/>
    </row>
    <row r="12161" ht="33.75" customHeight="1">
      <c r="A12161" s="7">
        <v>560.0</v>
      </c>
      <c r="B12161" s="9" t="s">
        <v>17227</v>
      </c>
      <c r="C12161" s="9" t="s">
        <v>17228</v>
      </c>
      <c r="D12161" s="9" t="s">
        <v>114</v>
      </c>
      <c r="E12161" s="6" t="s">
        <v>17234</v>
      </c>
      <c r="F12161" s="9"/>
    </row>
    <row r="12162" ht="33.75" customHeight="1">
      <c r="A12162" s="7">
        <v>560.0</v>
      </c>
      <c r="B12162" s="9" t="s">
        <v>17227</v>
      </c>
      <c r="C12162" s="9" t="s">
        <v>17228</v>
      </c>
      <c r="D12162" s="9" t="s">
        <v>117</v>
      </c>
      <c r="E12162" s="6" t="s">
        <v>17235</v>
      </c>
      <c r="F12162" s="9"/>
    </row>
    <row r="12163" ht="33.75" customHeight="1">
      <c r="A12163" s="7">
        <v>561.0</v>
      </c>
      <c r="B12163" s="9" t="s">
        <v>17236</v>
      </c>
      <c r="C12163" s="9" t="s">
        <v>17237</v>
      </c>
      <c r="D12163" s="9" t="s">
        <v>93</v>
      </c>
      <c r="E12163" s="6" t="s">
        <v>17238</v>
      </c>
      <c r="F12163" t="inlineStr" s="10">
        <is>
          <t xml:space="preserve">He eivät koskaan vaihda lentoreittiään, koska heidän muistonsa muinaisen kaupungin vartioinnista pysyvät vakaina. Muinaisen kaupungin vartijoina he käyttävät psyykkistä voimaansa hyökätäkseen alueelleen tunkeutuvien vihollisten kimppuun. Muinaisen kaupungin vartijoina he lentävät aina samaa reittiä pitäen silmällä hyökkääjiä. Psyykkisten voimien ansiosta nämä Pokémonit osaavat lentää. Jotkut sanovat heidän olleen muinaisen kaupungin suojelijoita. Toiset sanovat heidän olleen suojelijoiden lähettiläitä. Sigilyphin lennon autiomaassa tehtiin löytö. Hiekan alta löytyi mahdollisesti muinaisen kaupungin rauniot.</t>
        </is>
      </c>
    </row>
    <row r="12164" ht="33.75" customHeight="1">
      <c r="A12164" s="7">
        <v>561.0</v>
      </c>
      <c r="B12164" s="9" t="s">
        <v>17236</v>
      </c>
      <c r="C12164" s="9" t="s">
        <v>17237</v>
      </c>
      <c r="D12164" s="9" t="s">
        <v>95</v>
      </c>
      <c r="E12164" s="6" t="s">
        <v>17239</v>
      </c>
      <c r="F12164" s="9"/>
    </row>
    <row r="12165" ht="33.75" customHeight="1">
      <c r="A12165" s="7">
        <v>561.0</v>
      </c>
      <c r="B12165" s="9" t="s">
        <v>17236</v>
      </c>
      <c r="C12165" s="9" t="s">
        <v>17237</v>
      </c>
      <c r="D12165" s="9" t="s">
        <v>98</v>
      </c>
      <c r="E12165" s="6" t="s">
        <v>17240</v>
      </c>
      <c r="F12165" s="9"/>
    </row>
    <row r="12166" ht="33.75" customHeight="1">
      <c r="A12166" s="7">
        <v>561.0</v>
      </c>
      <c r="B12166" s="9" t="s">
        <v>17236</v>
      </c>
      <c r="C12166" s="9" t="s">
        <v>17237</v>
      </c>
      <c r="D12166" s="9" t="s">
        <v>99</v>
      </c>
      <c r="E12166" s="6" t="s">
        <v>17240</v>
      </c>
      <c r="F12166" s="9"/>
    </row>
    <row r="12167" ht="33.75" customHeight="1">
      <c r="A12167" s="7">
        <v>561.0</v>
      </c>
      <c r="B12167" s="9" t="s">
        <v>17236</v>
      </c>
      <c r="C12167" s="9" t="s">
        <v>17237</v>
      </c>
      <c r="D12167" s="9" t="s">
        <v>101</v>
      </c>
      <c r="E12167" s="6" t="s">
        <v>17239</v>
      </c>
      <c r="F12167" s="9"/>
    </row>
    <row r="12168" ht="33.75" customHeight="1">
      <c r="A12168" s="7">
        <v>561.0</v>
      </c>
      <c r="B12168" s="9" t="s">
        <v>17236</v>
      </c>
      <c r="C12168" s="9" t="s">
        <v>17237</v>
      </c>
      <c r="D12168" s="9" t="s">
        <v>105</v>
      </c>
      <c r="E12168" s="6" t="s">
        <v>17240</v>
      </c>
      <c r="F12168" s="9"/>
    </row>
    <row r="12169" ht="33.75" customHeight="1">
      <c r="A12169" s="7">
        <v>561.0</v>
      </c>
      <c r="B12169" s="9" t="s">
        <v>17236</v>
      </c>
      <c r="C12169" s="9" t="s">
        <v>17237</v>
      </c>
      <c r="D12169" s="9" t="s">
        <v>107</v>
      </c>
      <c r="E12169" s="6" t="s">
        <v>17239</v>
      </c>
      <c r="F12169" s="9"/>
    </row>
    <row r="12170" ht="33.75" customHeight="1">
      <c r="A12170" s="7">
        <v>561.0</v>
      </c>
      <c r="B12170" s="9" t="s">
        <v>17236</v>
      </c>
      <c r="C12170" s="9" t="s">
        <v>17237</v>
      </c>
      <c r="D12170" s="9" t="s">
        <v>109</v>
      </c>
      <c r="E12170" s="6" t="s">
        <v>17240</v>
      </c>
      <c r="F12170" s="9"/>
    </row>
    <row r="12171" ht="33.75" customHeight="1">
      <c r="A12171" s="7">
        <v>561.0</v>
      </c>
      <c r="B12171" s="9" t="s">
        <v>17236</v>
      </c>
      <c r="C12171" s="9" t="s">
        <v>17237</v>
      </c>
      <c r="D12171" s="9" t="s">
        <v>114</v>
      </c>
      <c r="E12171" s="6" t="s">
        <v>17241</v>
      </c>
      <c r="F12171" s="9"/>
    </row>
    <row r="12172" ht="33.75" customHeight="1">
      <c r="A12172" s="7">
        <v>561.0</v>
      </c>
      <c r="B12172" s="9" t="s">
        <v>17236</v>
      </c>
      <c r="C12172" s="9" t="s">
        <v>17237</v>
      </c>
      <c r="D12172" s="9" t="s">
        <v>117</v>
      </c>
      <c r="E12172" s="6" t="s">
        <v>17242</v>
      </c>
      <c r="F12172" s="9"/>
    </row>
    <row r="12173" ht="33.75" customHeight="1">
      <c r="A12173" s="7">
        <v>562.0</v>
      </c>
      <c r="B12173" s="9" t="s">
        <v>17243</v>
      </c>
      <c r="C12173" s="9" t="s">
        <v>17244</v>
      </c>
      <c r="D12173" s="9" t="s">
        <v>93</v>
      </c>
      <c r="E12173" s="6" t="s">
        <v>17245</v>
      </c>
      <c r="F12173" t="inlineStr" s="10">
        <is>
          <t xml:space="preserve">Jokaisella niistä on naamio, joka oli niiden kasvot silloin, kun ne olivat ihmisiä. Joskus ne katsovat sitä ja itkevät. Nämä Pokémonit syntyivät menneinä aikoina haudoissa olleiden ihmisten hengistä. Jokainen säilyttää muistoja entisestä elämästään. Nämä Pokémonit syntyivät hautoihin haudattujen ihmisten hengistä. Se vaeltaa öisin raunioiden läpi kantaen naamiota, jonka sanotaan olleen sen kasvot, kun se oli vielä ihminen. Muinaisen ajan ihmisen hengestä tuli tämä Pokémon. Se vaeltelee raunioiden läpi etsien jotakuta, joka tuntee sen kasvot.</t>
        </is>
      </c>
    </row>
    <row r="12174" ht="33.75" customHeight="1">
      <c r="A12174" s="7">
        <v>562.0</v>
      </c>
      <c r="B12174" s="9" t="s">
        <v>17243</v>
      </c>
      <c r="C12174" s="9" t="s">
        <v>17244</v>
      </c>
      <c r="D12174" s="9" t="s">
        <v>95</v>
      </c>
      <c r="E12174" s="6" t="s">
        <v>17246</v>
      </c>
      <c r="F12174" s="9"/>
    </row>
    <row r="12175" ht="33.75" customHeight="1">
      <c r="A12175" s="7">
        <v>562.0</v>
      </c>
      <c r="B12175" s="9" t="s">
        <v>17243</v>
      </c>
      <c r="C12175" s="9" t="s">
        <v>17244</v>
      </c>
      <c r="D12175" s="9" t="s">
        <v>98</v>
      </c>
      <c r="E12175" s="6" t="s">
        <v>17248</v>
      </c>
      <c r="F12175" s="9"/>
    </row>
    <row r="12176" ht="33.75" customHeight="1">
      <c r="A12176" s="7">
        <v>562.0</v>
      </c>
      <c r="B12176" s="9" t="s">
        <v>17243</v>
      </c>
      <c r="C12176" s="9" t="s">
        <v>17244</v>
      </c>
      <c r="D12176" s="9" t="s">
        <v>99</v>
      </c>
      <c r="E12176" s="6" t="s">
        <v>17248</v>
      </c>
      <c r="F12176" s="9"/>
    </row>
    <row r="12177" ht="33.75" customHeight="1">
      <c r="A12177" s="7">
        <v>562.0</v>
      </c>
      <c r="B12177" s="9" t="s">
        <v>17243</v>
      </c>
      <c r="C12177" s="9" t="s">
        <v>17244</v>
      </c>
      <c r="D12177" s="9" t="s">
        <v>101</v>
      </c>
      <c r="E12177" s="6" t="s">
        <v>17248</v>
      </c>
      <c r="F12177" s="9"/>
    </row>
    <row r="12178" ht="33.75" customHeight="1">
      <c r="A12178" s="7">
        <v>562.0</v>
      </c>
      <c r="B12178" s="9" t="s">
        <v>17243</v>
      </c>
      <c r="C12178" s="9" t="s">
        <v>17244</v>
      </c>
      <c r="D12178" s="9" t="s">
        <v>105</v>
      </c>
      <c r="E12178" s="6" t="s">
        <v>17245</v>
      </c>
      <c r="F12178" s="9"/>
    </row>
    <row r="12179" ht="33.75" customHeight="1">
      <c r="A12179" s="7">
        <v>562.0</v>
      </c>
      <c r="B12179" s="9" t="s">
        <v>17243</v>
      </c>
      <c r="C12179" s="9" t="s">
        <v>17244</v>
      </c>
      <c r="D12179" s="9" t="s">
        <v>107</v>
      </c>
      <c r="E12179" s="6" t="s">
        <v>17248</v>
      </c>
      <c r="F12179" s="9"/>
    </row>
    <row r="12180" ht="33.75" customHeight="1">
      <c r="A12180" s="7">
        <v>562.0</v>
      </c>
      <c r="B12180" s="9" t="s">
        <v>17243</v>
      </c>
      <c r="C12180" s="9" t="s">
        <v>17244</v>
      </c>
      <c r="D12180" s="9" t="s">
        <v>109</v>
      </c>
      <c r="E12180" s="6" t="s">
        <v>17245</v>
      </c>
      <c r="F12180" s="9"/>
    </row>
    <row r="12181" ht="33.75" customHeight="1">
      <c r="A12181" s="7">
        <v>562.0</v>
      </c>
      <c r="B12181" s="9" t="s">
        <v>17243</v>
      </c>
      <c r="C12181" s="9" t="s">
        <v>17244</v>
      </c>
      <c r="D12181" s="9" t="s">
        <v>114</v>
      </c>
      <c r="E12181" s="6" t="s">
        <v>17249</v>
      </c>
      <c r="F12181" s="9"/>
    </row>
    <row r="12182" ht="33.75" customHeight="1">
      <c r="A12182" s="7">
        <v>562.0</v>
      </c>
      <c r="B12182" s="9" t="s">
        <v>17243</v>
      </c>
      <c r="C12182" s="9" t="s">
        <v>17244</v>
      </c>
      <c r="D12182" s="9" t="s">
        <v>117</v>
      </c>
      <c r="E12182" s="6" t="s">
        <v>17250</v>
      </c>
      <c r="F12182" s="9"/>
    </row>
    <row r="12183" ht="33.75" customHeight="1">
      <c r="A12183" s="7">
        <v>563.0</v>
      </c>
      <c r="B12183" s="9" t="s">
        <v>17251</v>
      </c>
      <c r="C12183" s="9" t="s">
        <v>17252</v>
      </c>
      <c r="D12183" s="9" t="s">
        <v>93</v>
      </c>
      <c r="E12183" s="6" t="s">
        <v>17253</v>
      </c>
      <c r="F12183" t="inlineStr" s="10">
        <is>
          <t xml:space="preserve">On sanottu, että ne nielevät lähelle tulevat ja muuttavat heidät muumioiksi. Ne syövät mielellään kultahippuja. He teeskentelevät olevansa koristeellisia arkkuja opettaakseen haudanryöstäjille läksyjä. Heidän ruumiinsa on peitetty puhtaalla kullalla. Haudanryöstäjät, jotka erehtyvät luulemaan niitä oikeiksi arkuiksi ja menevät liian lähelle, jäävät loukkuun niiden ruumiisiin. Tämän Pokémonin vartalo on kimaltelevan kultainen. Ihmisten mukaan se ei enää muista olleensa kerran ihminen. Muinaisissa haudoissa on monia Cofagriguksen kuvia. Ne symboloivat menneiden aikojen kuninkaiden vaurautta.</t>
        </is>
      </c>
    </row>
    <row r="12184" ht="33.75" customHeight="1">
      <c r="A12184" s="7">
        <v>563.0</v>
      </c>
      <c r="B12184" s="9" t="s">
        <v>17251</v>
      </c>
      <c r="C12184" s="9" t="s">
        <v>17252</v>
      </c>
      <c r="D12184" s="9" t="s">
        <v>95</v>
      </c>
      <c r="E12184" s="6" t="s">
        <v>17254</v>
      </c>
      <c r="F12184" s="9"/>
    </row>
    <row r="12185" ht="33.75" customHeight="1">
      <c r="A12185" s="7">
        <v>563.0</v>
      </c>
      <c r="B12185" s="9" t="s">
        <v>17251</v>
      </c>
      <c r="C12185" s="9" t="s">
        <v>17252</v>
      </c>
      <c r="D12185" s="9" t="s">
        <v>98</v>
      </c>
      <c r="E12185" s="6" t="s">
        <v>17255</v>
      </c>
      <c r="F12185" s="9"/>
    </row>
    <row r="12186" ht="33.75" customHeight="1">
      <c r="A12186" s="7">
        <v>563.0</v>
      </c>
      <c r="B12186" s="9" t="s">
        <v>17251</v>
      </c>
      <c r="C12186" s="9" t="s">
        <v>17252</v>
      </c>
      <c r="D12186" s="9" t="s">
        <v>99</v>
      </c>
      <c r="E12186" s="6" t="s">
        <v>17255</v>
      </c>
      <c r="F12186" s="9"/>
    </row>
    <row r="12187" ht="33.75" customHeight="1">
      <c r="A12187" s="7">
        <v>563.0</v>
      </c>
      <c r="B12187" s="9" t="s">
        <v>17251</v>
      </c>
      <c r="C12187" s="9" t="s">
        <v>17252</v>
      </c>
      <c r="D12187" s="9" t="s">
        <v>101</v>
      </c>
      <c r="E12187" s="6" t="s">
        <v>17253</v>
      </c>
      <c r="F12187" s="9"/>
    </row>
    <row r="12188" ht="33.75" customHeight="1">
      <c r="A12188" s="7">
        <v>563.0</v>
      </c>
      <c r="B12188" s="9" t="s">
        <v>17251</v>
      </c>
      <c r="C12188" s="9" t="s">
        <v>17252</v>
      </c>
      <c r="D12188" s="9" t="s">
        <v>105</v>
      </c>
      <c r="E12188" s="6" t="s">
        <v>17255</v>
      </c>
      <c r="F12188" s="9"/>
    </row>
    <row r="12189" ht="33.75" customHeight="1">
      <c r="A12189" s="7">
        <v>563.0</v>
      </c>
      <c r="B12189" s="9" t="s">
        <v>17251</v>
      </c>
      <c r="C12189" s="9" t="s">
        <v>17252</v>
      </c>
      <c r="D12189" s="9" t="s">
        <v>107</v>
      </c>
      <c r="E12189" s="6" t="s">
        <v>17253</v>
      </c>
      <c r="F12189" s="9"/>
    </row>
    <row r="12190" ht="33.75" customHeight="1">
      <c r="A12190" s="7">
        <v>563.0</v>
      </c>
      <c r="B12190" s="9" t="s">
        <v>17251</v>
      </c>
      <c r="C12190" s="9" t="s">
        <v>17252</v>
      </c>
      <c r="D12190" s="9" t="s">
        <v>109</v>
      </c>
      <c r="E12190" s="6" t="s">
        <v>17255</v>
      </c>
      <c r="F12190" s="9"/>
    </row>
    <row r="12191" ht="33.75" customHeight="1">
      <c r="A12191" s="7">
        <v>563.0</v>
      </c>
      <c r="B12191" s="9" t="s">
        <v>17251</v>
      </c>
      <c r="C12191" s="9" t="s">
        <v>17252</v>
      </c>
      <c r="D12191" s="9" t="s">
        <v>114</v>
      </c>
      <c r="E12191" s="6" t="s">
        <v>17256</v>
      </c>
      <c r="F12191" s="9"/>
    </row>
    <row r="12192" ht="33.75" customHeight="1">
      <c r="A12192" s="7">
        <v>563.0</v>
      </c>
      <c r="B12192" s="9" t="s">
        <v>17251</v>
      </c>
      <c r="C12192" s="9" t="s">
        <v>17252</v>
      </c>
      <c r="D12192" s="9" t="s">
        <v>117</v>
      </c>
      <c r="E12192" s="6" t="s">
        <v>17257</v>
      </c>
      <c r="F12192" s="9"/>
    </row>
    <row r="12193" ht="33.75" customHeight="1">
      <c r="A12193" s="7">
        <v>564.0</v>
      </c>
      <c r="B12193" s="9" t="s">
        <v>17258</v>
      </c>
      <c r="C12193" s="9" t="s">
        <v>17259</v>
      </c>
      <c r="D12193" s="9" t="s">
        <v>93</v>
      </c>
      <c r="E12193" s="6" t="s">
        <v>17260</v>
      </c>
      <c r="F12193" t="inlineStr" s="10">
        <is>
          <t xml:space="preserve">Fossiilista ennallistettu Pokémon voi sukeltaa yli 800 metrin syvyyteen. Noin 100 miljoonaa vuotta sitten nämä Pokémonit uivat valtamerissä. Niiden uskotaan myös menneen maihin hyökkäämään saaliinsa kimppuun. Tämä Pokémon palautettiin fossiilista. Se ui taitavasti ja sukelsi yli 800 metrin syvyyteen. Sen luuston rakenteen tutkimusten perusteella se voi ilmeisesti sukeltaa yli 800 metrin syvyyteen meressä. Sen sanotaan olevan useimpien kilpikonna-Pokémonien esi-isä, ja se eli lämpimissä merissä noin sata miljoonaa vuotta sitten. Se on ennallistettu muinaisesta fossiilista. Tirtouga eli meressä, mutta tuli maihin etsimään saalista. Sen metsästysalueet kattoivat laajan alueen maalta yli 800 metrin syvyyteen meressä. Tämä Pokémon asutti muinaisia ​​meriä. Vaikka se osaa vain ryömiä, se nousee edelleen maihin etsimään saalista. Tirtougaa pidetään monien kilpikonna-Pokémonien esi-isänä. Se herätettiin henkiin fossiilista.</t>
        </is>
      </c>
    </row>
    <row r="12194" ht="33.75" customHeight="1">
      <c r="A12194" s="7">
        <v>564.0</v>
      </c>
      <c r="B12194" s="9" t="s">
        <v>17258</v>
      </c>
      <c r="C12194" s="9" t="s">
        <v>17259</v>
      </c>
      <c r="D12194" s="9" t="s">
        <v>95</v>
      </c>
      <c r="E12194" s="6" t="s">
        <v>17261</v>
      </c>
      <c r="F12194" s="9"/>
    </row>
    <row r="12195" ht="33.75" customHeight="1">
      <c r="A12195" s="7">
        <v>564.0</v>
      </c>
      <c r="B12195" s="9" t="s">
        <v>17258</v>
      </c>
      <c r="C12195" s="9" t="s">
        <v>17259</v>
      </c>
      <c r="D12195" s="9" t="s">
        <v>98</v>
      </c>
      <c r="E12195" s="6" t="s">
        <v>17262</v>
      </c>
      <c r="F12195" s="9"/>
    </row>
    <row r="12196" ht="33.75" customHeight="1">
      <c r="A12196" s="7">
        <v>564.0</v>
      </c>
      <c r="B12196" s="9" t="s">
        <v>17258</v>
      </c>
      <c r="C12196" s="9" t="s">
        <v>17259</v>
      </c>
      <c r="D12196" s="9" t="s">
        <v>99</v>
      </c>
      <c r="E12196" s="6" t="s">
        <v>17262</v>
      </c>
      <c r="F12196" s="9"/>
    </row>
    <row r="12197" ht="33.75" customHeight="1">
      <c r="A12197" s="7">
        <v>564.0</v>
      </c>
      <c r="B12197" s="9" t="s">
        <v>17258</v>
      </c>
      <c r="C12197" s="9" t="s">
        <v>17259</v>
      </c>
      <c r="D12197" s="9" t="s">
        <v>101</v>
      </c>
      <c r="E12197" s="6" t="s">
        <v>17261</v>
      </c>
      <c r="F12197" s="9"/>
    </row>
    <row r="12198" ht="33.75" customHeight="1">
      <c r="A12198" s="7">
        <v>564.0</v>
      </c>
      <c r="B12198" s="9" t="s">
        <v>17258</v>
      </c>
      <c r="C12198" s="9" t="s">
        <v>17259</v>
      </c>
      <c r="D12198" s="9" t="s">
        <v>105</v>
      </c>
      <c r="E12198" s="6" t="s">
        <v>17260</v>
      </c>
      <c r="F12198" s="9"/>
    </row>
    <row r="12199" ht="33.75" customHeight="1">
      <c r="A12199" s="7">
        <v>564.0</v>
      </c>
      <c r="B12199" s="9" t="s">
        <v>17258</v>
      </c>
      <c r="C12199" s="9" t="s">
        <v>17259</v>
      </c>
      <c r="D12199" s="9" t="s">
        <v>107</v>
      </c>
      <c r="E12199" s="6" t="s">
        <v>17261</v>
      </c>
      <c r="F12199" s="9"/>
    </row>
    <row r="12200" ht="33.75" customHeight="1">
      <c r="A12200" s="7">
        <v>564.0</v>
      </c>
      <c r="B12200" s="9" t="s">
        <v>17258</v>
      </c>
      <c r="C12200" s="9" t="s">
        <v>17259</v>
      </c>
      <c r="D12200" s="9" t="s">
        <v>109</v>
      </c>
      <c r="E12200" s="6" t="s">
        <v>17260</v>
      </c>
      <c r="F12200" s="9"/>
    </row>
    <row r="12201" ht="33.75" customHeight="1">
      <c r="A12201" s="7">
        <v>564.0</v>
      </c>
      <c r="B12201" s="9" t="s">
        <v>17258</v>
      </c>
      <c r="C12201" s="9" t="s">
        <v>17259</v>
      </c>
      <c r="D12201" s="9" t="s">
        <v>637</v>
      </c>
      <c r="E12201" s="6" t="s">
        <v>17263</v>
      </c>
      <c r="F12201" s="9"/>
    </row>
    <row r="12202" ht="33.75" customHeight="1">
      <c r="A12202" s="7">
        <v>564.0</v>
      </c>
      <c r="B12202" s="9" t="s">
        <v>17258</v>
      </c>
      <c r="C12202" s="9" t="s">
        <v>17259</v>
      </c>
      <c r="D12202" s="9" t="s">
        <v>642</v>
      </c>
      <c r="E12202" s="6" t="s">
        <v>17264</v>
      </c>
      <c r="F12202" s="9"/>
    </row>
    <row r="12203" ht="33.75" customHeight="1">
      <c r="A12203" s="7">
        <v>564.0</v>
      </c>
      <c r="B12203" s="9" t="s">
        <v>17258</v>
      </c>
      <c r="C12203" s="9" t="s">
        <v>17259</v>
      </c>
      <c r="D12203" s="9" t="s">
        <v>647</v>
      </c>
      <c r="E12203" s="6" t="s">
        <v>17265</v>
      </c>
      <c r="F12203" s="9"/>
    </row>
    <row r="12204" ht="33.75" customHeight="1">
      <c r="A12204" s="7">
        <v>564.0</v>
      </c>
      <c r="B12204" s="9" t="s">
        <v>17258</v>
      </c>
      <c r="C12204" s="9" t="s">
        <v>17259</v>
      </c>
      <c r="D12204" s="9" t="s">
        <v>652</v>
      </c>
      <c r="E12204" s="6" t="s">
        <v>17267</v>
      </c>
      <c r="F12204" s="9"/>
    </row>
    <row r="12205" ht="33.75" customHeight="1">
      <c r="A12205" s="7">
        <v>564.0</v>
      </c>
      <c r="B12205" s="9" t="s">
        <v>17258</v>
      </c>
      <c r="C12205" s="9" t="s">
        <v>17259</v>
      </c>
      <c r="D12205" s="9" t="s">
        <v>114</v>
      </c>
      <c r="E12205" s="6" t="s">
        <v>17268</v>
      </c>
      <c r="F12205" s="9"/>
    </row>
    <row r="12206" ht="33.75" customHeight="1">
      <c r="A12206" s="7">
        <v>564.0</v>
      </c>
      <c r="B12206" s="9" t="s">
        <v>17258</v>
      </c>
      <c r="C12206" s="9" t="s">
        <v>17259</v>
      </c>
      <c r="D12206" s="9" t="s">
        <v>117</v>
      </c>
      <c r="E12206" s="6" t="s">
        <v>17269</v>
      </c>
      <c r="F12206" s="9"/>
    </row>
    <row r="12207" ht="33.75" customHeight="1">
      <c r="A12207" s="7">
        <v>565.0</v>
      </c>
      <c r="B12207" s="9" t="s">
        <v>17270</v>
      </c>
      <c r="C12207" s="9" t="s">
        <v>17259</v>
      </c>
      <c r="D12207" s="9" t="s">
        <v>93</v>
      </c>
      <c r="E12207" s="6" t="s">
        <v>17271</v>
      </c>
      <c r="F12207" t="inlineStr" s="10">
        <is>
          <t xml:space="preserve">Ne voivat elää sekä meressä että maalla. Yhden niistä läimäys riittää avaamaan reiän tankkerin pohjaan. Uskomattoman vahvat leukansa ansiosta ne voivat pureskella teräspalkkeja ja kiviä saaliinsa ohella. Se kykeni tyrmäämään vihollisen yhdellä kehittyneistä eturaajoistaan ​​ja pureskelemaan sen, kuorineen ja luineen kaikkineen. Se rakensi tukevan kuorensa murskaamalla ja nielemällä saaliinsa kovia kuoria tai luita. Tämä Pokémon on aktiivinen sekä maalla että merellä, ja se raahaa maalla olevan saaliinsa veteen tappaakseen sen. Sen leuat ovat pelottavan voimakkaat. Se voisi syödä Omastarin ja Omanyten kokonaisina välittämättä niiden kuorista lainkaan. Carracosta syö saaliinsa viimeisetkin palat, jopa kuoret ja luut, vahvistaakseen tukevaa kuortaan entisestään. Carracosta ahmii saaliinsa kokonaan – luut, kuoret ja kaiken. Tämän ansiosta Carracostan oma kuori kasvaa paksuksi ja tukevaksi. Tämä Pokémon nousee vedestä etsimään saalista, vaikka se liikkuu hitaammin maalla.</t>
        </is>
      </c>
    </row>
    <row r="12208" ht="33.75" customHeight="1">
      <c r="A12208" s="7">
        <v>565.0</v>
      </c>
      <c r="B12208" s="9" t="s">
        <v>17270</v>
      </c>
      <c r="C12208" s="9" t="s">
        <v>17259</v>
      </c>
      <c r="D12208" s="9" t="s">
        <v>95</v>
      </c>
      <c r="E12208" s="6" t="s">
        <v>17272</v>
      </c>
      <c r="F12208" s="9"/>
    </row>
    <row r="12209" ht="33.75" customHeight="1">
      <c r="A12209" s="7">
        <v>565.0</v>
      </c>
      <c r="B12209" s="9" t="s">
        <v>17270</v>
      </c>
      <c r="C12209" s="9" t="s">
        <v>17259</v>
      </c>
      <c r="D12209" s="9" t="s">
        <v>98</v>
      </c>
      <c r="E12209" s="6" t="s">
        <v>17273</v>
      </c>
      <c r="F12209" s="9"/>
    </row>
    <row r="12210" ht="33.75" customHeight="1">
      <c r="A12210" s="7">
        <v>565.0</v>
      </c>
      <c r="B12210" s="9" t="s">
        <v>17270</v>
      </c>
      <c r="C12210" s="9" t="s">
        <v>17259</v>
      </c>
      <c r="D12210" s="9" t="s">
        <v>99</v>
      </c>
      <c r="E12210" s="6" t="s">
        <v>17273</v>
      </c>
      <c r="F12210" s="9"/>
    </row>
    <row r="12211" ht="33.75" customHeight="1">
      <c r="A12211" s="7">
        <v>565.0</v>
      </c>
      <c r="B12211" s="9" t="s">
        <v>17270</v>
      </c>
      <c r="C12211" s="9" t="s">
        <v>17259</v>
      </c>
      <c r="D12211" s="9" t="s">
        <v>101</v>
      </c>
      <c r="E12211" s="6" t="s">
        <v>17271</v>
      </c>
      <c r="F12211" s="9"/>
    </row>
    <row r="12212" ht="33.75" customHeight="1">
      <c r="A12212" s="7">
        <v>565.0</v>
      </c>
      <c r="B12212" s="9" t="s">
        <v>17270</v>
      </c>
      <c r="C12212" s="9" t="s">
        <v>17259</v>
      </c>
      <c r="D12212" s="9" t="s">
        <v>105</v>
      </c>
      <c r="E12212" s="6" t="s">
        <v>17273</v>
      </c>
      <c r="F12212" s="9"/>
    </row>
    <row r="12213" ht="33.75" customHeight="1">
      <c r="A12213" s="7">
        <v>565.0</v>
      </c>
      <c r="B12213" s="9" t="s">
        <v>17270</v>
      </c>
      <c r="C12213" s="9" t="s">
        <v>17259</v>
      </c>
      <c r="D12213" s="9" t="s">
        <v>107</v>
      </c>
      <c r="E12213" s="6" t="s">
        <v>17271</v>
      </c>
      <c r="F12213" s="9"/>
    </row>
    <row r="12214" ht="33.75" customHeight="1">
      <c r="A12214" s="7">
        <v>565.0</v>
      </c>
      <c r="B12214" s="9" t="s">
        <v>17270</v>
      </c>
      <c r="C12214" s="9" t="s">
        <v>17259</v>
      </c>
      <c r="D12214" s="9" t="s">
        <v>109</v>
      </c>
      <c r="E12214" s="6" t="s">
        <v>17273</v>
      </c>
      <c r="F12214" s="9"/>
    </row>
    <row r="12215" ht="33.75" customHeight="1">
      <c r="A12215" s="7">
        <v>565.0</v>
      </c>
      <c r="B12215" s="9" t="s">
        <v>17270</v>
      </c>
      <c r="C12215" s="9" t="s">
        <v>17259</v>
      </c>
      <c r="D12215" s="9" t="s">
        <v>637</v>
      </c>
      <c r="E12215" s="6" t="s">
        <v>17274</v>
      </c>
      <c r="F12215" s="9"/>
    </row>
    <row r="12216" ht="33.75" customHeight="1">
      <c r="A12216" s="7">
        <v>565.0</v>
      </c>
      <c r="B12216" s="9" t="s">
        <v>17270</v>
      </c>
      <c r="C12216" s="9" t="s">
        <v>17259</v>
      </c>
      <c r="D12216" s="9" t="s">
        <v>642</v>
      </c>
      <c r="E12216" s="6" t="s">
        <v>17275</v>
      </c>
      <c r="F12216" s="9"/>
    </row>
    <row r="12217" ht="33.75" customHeight="1">
      <c r="A12217" s="7">
        <v>565.0</v>
      </c>
      <c r="B12217" s="9" t="s">
        <v>17270</v>
      </c>
      <c r="C12217" s="9" t="s">
        <v>17259</v>
      </c>
      <c r="D12217" s="9" t="s">
        <v>647</v>
      </c>
      <c r="E12217" s="6" t="s">
        <v>17276</v>
      </c>
      <c r="F12217" s="9"/>
    </row>
    <row r="12218" ht="33.75" customHeight="1">
      <c r="A12218" s="7">
        <v>565.0</v>
      </c>
      <c r="B12218" s="9" t="s">
        <v>17270</v>
      </c>
      <c r="C12218" s="9" t="s">
        <v>17259</v>
      </c>
      <c r="D12218" s="9" t="s">
        <v>652</v>
      </c>
      <c r="E12218" s="6" t="s">
        <v>17277</v>
      </c>
      <c r="F12218" s="9"/>
    </row>
    <row r="12219" ht="33.75" customHeight="1">
      <c r="A12219" s="7">
        <v>565.0</v>
      </c>
      <c r="B12219" s="9" t="s">
        <v>17270</v>
      </c>
      <c r="C12219" s="9" t="s">
        <v>17259</v>
      </c>
      <c r="D12219" s="9" t="s">
        <v>114</v>
      </c>
      <c r="E12219" s="6" t="s">
        <v>17278</v>
      </c>
      <c r="F12219" s="9"/>
    </row>
    <row r="12220" ht="33.75" customHeight="1">
      <c r="A12220" s="7">
        <v>565.0</v>
      </c>
      <c r="B12220" s="9" t="s">
        <v>17270</v>
      </c>
      <c r="C12220" s="9" t="s">
        <v>17259</v>
      </c>
      <c r="D12220" s="9" t="s">
        <v>117</v>
      </c>
      <c r="E12220" s="6" t="s">
        <v>17279</v>
      </c>
      <c r="F12220" s="9"/>
    </row>
    <row r="12221" ht="33.75" customHeight="1">
      <c r="A12221" s="7">
        <v>566.0</v>
      </c>
      <c r="B12221" s="9" t="s">
        <v>17280</v>
      </c>
      <c r="C12221" s="9" t="s">
        <v>17281</v>
      </c>
      <c r="D12221" s="9" t="s">
        <v>93</v>
      </c>
      <c r="E12221" s="6" t="s">
        <v>17282</v>
      </c>
      <c r="F12221" t="inlineStr" s="10">
        <is>
          <t xml:space="preserve">Niiden sanotaan olevan lintu-Pokémonien esi-isiä, eivätkä ne kyenneet lentämään ja liikkuivat hyppimällä oksalta toiselle. Fossiilista herätetyn Pokémonin uskotaan olevan kaikkien lintu-Pokémonien esi-isä. Se herätettiin henkiin muinaisesta fossiilista. Koska se ei pystynyt lentämään, se eli puiden latvoissa ja hyppi oksalta toiselle. Se on kaikkien lintu-Pokémonien esi-isä. Archen itse ei osannut lentää, vaan se liikkui hyppimällä puun latvasta toiseen. Kaikesta päätellen lentokyvyttömänä se kykeni liitämään alas korkeiden puiden latvoista napatakseen saaliinsa. Aiemmin kaikkien lintu-Pokémonien esi-isäksi luultu Pokémon ei ehkä pidä paikkaansa. Fossiilista ennallistettu tämä muinainen lintu-Pokémon on siivet, mutta ei osaa vielä lentää. Tämä Pokémon onnistuttiin palauttamaan fossiilista. Kuten tutkimukset ovat osoittaneet, Archen ei pysty lentämään. Mutta se on erittäin hyvä hyppäämään. Archenin sanotaan olevan lintu-Pokémonien esi-isä. Se eli puiden latvoissa syöden marjoja ja ötökkä-Pokémoneja.</t>
        </is>
      </c>
    </row>
    <row r="12222" ht="33.75" customHeight="1">
      <c r="A12222" s="7">
        <v>566.0</v>
      </c>
      <c r="B12222" s="9" t="s">
        <v>17280</v>
      </c>
      <c r="C12222" s="9" t="s">
        <v>17281</v>
      </c>
      <c r="D12222" s="9" t="s">
        <v>95</v>
      </c>
      <c r="E12222" s="6" t="s">
        <v>17283</v>
      </c>
      <c r="F12222" s="9"/>
    </row>
    <row r="12223" ht="33.75" customHeight="1">
      <c r="A12223" s="7">
        <v>566.0</v>
      </c>
      <c r="B12223" s="9" t="s">
        <v>17280</v>
      </c>
      <c r="C12223" s="9" t="s">
        <v>17281</v>
      </c>
      <c r="D12223" s="9" t="s">
        <v>98</v>
      </c>
      <c r="E12223" s="6" t="s">
        <v>17284</v>
      </c>
      <c r="F12223" s="9"/>
    </row>
    <row r="12224" ht="33.75" customHeight="1">
      <c r="A12224" s="7">
        <v>566.0</v>
      </c>
      <c r="B12224" s="9" t="s">
        <v>17280</v>
      </c>
      <c r="C12224" s="9" t="s">
        <v>17281</v>
      </c>
      <c r="D12224" s="9" t="s">
        <v>99</v>
      </c>
      <c r="E12224" s="6" t="s">
        <v>17284</v>
      </c>
      <c r="F12224" s="9"/>
    </row>
    <row r="12225" ht="33.75" customHeight="1">
      <c r="A12225" s="7">
        <v>566.0</v>
      </c>
      <c r="B12225" s="9" t="s">
        <v>17280</v>
      </c>
      <c r="C12225" s="9" t="s">
        <v>17281</v>
      </c>
      <c r="D12225" s="9" t="s">
        <v>101</v>
      </c>
      <c r="E12225" s="6" t="s">
        <v>17283</v>
      </c>
      <c r="F12225" s="9"/>
    </row>
    <row r="12226" ht="33.75" customHeight="1">
      <c r="A12226" s="7">
        <v>566.0</v>
      </c>
      <c r="B12226" s="9" t="s">
        <v>17280</v>
      </c>
      <c r="C12226" s="9" t="s">
        <v>17281</v>
      </c>
      <c r="D12226" s="9" t="s">
        <v>105</v>
      </c>
      <c r="E12226" s="6" t="s">
        <v>17282</v>
      </c>
      <c r="F12226" s="9"/>
    </row>
    <row r="12227" ht="33.75" customHeight="1">
      <c r="A12227" s="7">
        <v>566.0</v>
      </c>
      <c r="B12227" s="9" t="s">
        <v>17280</v>
      </c>
      <c r="C12227" s="9" t="s">
        <v>17281</v>
      </c>
      <c r="D12227" s="9" t="s">
        <v>107</v>
      </c>
      <c r="E12227" s="6" t="s">
        <v>17283</v>
      </c>
      <c r="F12227" s="9"/>
    </row>
    <row r="12228" ht="33.75" customHeight="1">
      <c r="A12228" s="7">
        <v>566.0</v>
      </c>
      <c r="B12228" s="9" t="s">
        <v>17280</v>
      </c>
      <c r="C12228" s="9" t="s">
        <v>17281</v>
      </c>
      <c r="D12228" s="9" t="s">
        <v>109</v>
      </c>
      <c r="E12228" s="6" t="s">
        <v>17282</v>
      </c>
      <c r="F12228" s="9"/>
    </row>
    <row r="12229" ht="33.75" customHeight="1">
      <c r="A12229" s="7">
        <v>566.0</v>
      </c>
      <c r="B12229" s="9" t="s">
        <v>17280</v>
      </c>
      <c r="C12229" s="9" t="s">
        <v>17281</v>
      </c>
      <c r="D12229" s="9" t="s">
        <v>637</v>
      </c>
      <c r="E12229" s="6" t="s">
        <v>17285</v>
      </c>
      <c r="F12229" s="9"/>
    </row>
    <row r="12230" ht="33.75" customHeight="1">
      <c r="A12230" s="7">
        <v>566.0</v>
      </c>
      <c r="B12230" s="9" t="s">
        <v>17280</v>
      </c>
      <c r="C12230" s="9" t="s">
        <v>17281</v>
      </c>
      <c r="D12230" s="9" t="s">
        <v>642</v>
      </c>
      <c r="E12230" s="6" t="s">
        <v>17286</v>
      </c>
      <c r="F12230" s="9"/>
    </row>
    <row r="12231" ht="33.75" customHeight="1">
      <c r="A12231" s="7">
        <v>566.0</v>
      </c>
      <c r="B12231" s="9" t="s">
        <v>17280</v>
      </c>
      <c r="C12231" s="9" t="s">
        <v>17281</v>
      </c>
      <c r="D12231" s="9" t="s">
        <v>647</v>
      </c>
      <c r="E12231" s="6" t="s">
        <v>17288</v>
      </c>
      <c r="F12231" s="9"/>
    </row>
    <row r="12232" ht="33.75" customHeight="1">
      <c r="A12232" s="7">
        <v>566.0</v>
      </c>
      <c r="B12232" s="9" t="s">
        <v>17280</v>
      </c>
      <c r="C12232" s="9" t="s">
        <v>17281</v>
      </c>
      <c r="D12232" s="9" t="s">
        <v>652</v>
      </c>
      <c r="E12232" s="6" t="s">
        <v>17289</v>
      </c>
      <c r="F12232" s="9"/>
    </row>
    <row r="12233" ht="33.75" customHeight="1">
      <c r="A12233" s="7">
        <v>566.0</v>
      </c>
      <c r="B12233" s="9" t="s">
        <v>17280</v>
      </c>
      <c r="C12233" s="9" t="s">
        <v>17281</v>
      </c>
      <c r="D12233" s="9" t="s">
        <v>114</v>
      </c>
      <c r="E12233" s="6" t="s">
        <v>17290</v>
      </c>
      <c r="F12233" s="9"/>
    </row>
    <row r="12234" ht="33.75" customHeight="1">
      <c r="A12234" s="7">
        <v>566.0</v>
      </c>
      <c r="B12234" s="9" t="s">
        <v>17280</v>
      </c>
      <c r="C12234" s="9" t="s">
        <v>17281</v>
      </c>
      <c r="D12234" s="9" t="s">
        <v>117</v>
      </c>
      <c r="E12234" s="6" t="s">
        <v>17291</v>
      </c>
      <c r="F12234" s="9"/>
    </row>
    <row r="12235" ht="33.75" customHeight="1">
      <c r="A12235" s="7">
        <v>567.0</v>
      </c>
      <c r="B12235" s="9" t="s">
        <v>17292</v>
      </c>
      <c r="C12235" s="9" t="s">
        <v>17281</v>
      </c>
      <c r="D12235" s="9" t="s">
        <v>93</v>
      </c>
      <c r="E12235" s="6" t="s">
        <v>17293</v>
      </c>
      <c r="F12235" t="inlineStr" s="10">
        <is>
          <t xml:space="preserve">Ne ovat älykkäitä ja tekevät yhteistyötä saaliin nappaamiseksi. Maasta ne lähtevät lentoon vauhdilla. Se juoksee paremmin kuin lentää. Se pyydystää saalistaan ​​liikkumalla auton nopeuden veroisella nopeudella. Se nousee ilmaan juosten 40 km/h nopeudella. Vaikka ne ilmeisesti pystyivät lentämään, ne juoksivat yleensä maata pitkin, keskimäärin noin 40 km/h nopeudella. Ne metsästivät parvissa. Kun yksi arkeops oli ajanut saaliinsa nurkkaan, toinen hyökkäsi sen kimppuun. Tämän muinaisen Pokémonin höyhenpeite on herkkä, joten jos kukaan muu kuin kokenut ammattilainen yrittää ennallistaa sitä, hän epäonnistuu. Lintu-Pokémonin esi-isäksi sanotun lihakset, joita se käyttää siipiensä räpyttelyyn, ovat vielä heikot, joten se tarvitsee pitkän kiitoradan päästäkseen lentoon. Se tarvitsee hyvän lähdön lähteäkseen lentoon. Jos Archeops haluaa lentää, sen on ensin juostava lähes 40 km/h nopeudella ja rakennettava vauhtia noin 4 kilometrin matkan aikana. Vaikka Archeops kykeni lentämään, se oli ilmeisesti parempi metsästämään maassa.</t>
        </is>
      </c>
    </row>
    <row r="12236" ht="33.75" customHeight="1">
      <c r="A12236" s="7">
        <v>567.0</v>
      </c>
      <c r="B12236" s="9" t="s">
        <v>17292</v>
      </c>
      <c r="C12236" s="9" t="s">
        <v>17281</v>
      </c>
      <c r="D12236" s="9" t="s">
        <v>95</v>
      </c>
      <c r="E12236" s="6" t="s">
        <v>17294</v>
      </c>
      <c r="F12236" s="9"/>
    </row>
    <row r="12237" ht="33.75" customHeight="1">
      <c r="A12237" s="7">
        <v>567.0</v>
      </c>
      <c r="B12237" s="9" t="s">
        <v>17292</v>
      </c>
      <c r="C12237" s="9" t="s">
        <v>17281</v>
      </c>
      <c r="D12237" s="9" t="s">
        <v>98</v>
      </c>
      <c r="E12237" s="6" t="s">
        <v>17295</v>
      </c>
      <c r="F12237" s="9"/>
    </row>
    <row r="12238" ht="33.75" customHeight="1">
      <c r="A12238" s="7">
        <v>567.0</v>
      </c>
      <c r="B12238" s="9" t="s">
        <v>17292</v>
      </c>
      <c r="C12238" s="9" t="s">
        <v>17281</v>
      </c>
      <c r="D12238" s="9" t="s">
        <v>99</v>
      </c>
      <c r="E12238" s="6" t="s">
        <v>17295</v>
      </c>
      <c r="F12238" s="9"/>
    </row>
    <row r="12239" ht="33.75" customHeight="1">
      <c r="A12239" s="7">
        <v>567.0</v>
      </c>
      <c r="B12239" s="9" t="s">
        <v>17292</v>
      </c>
      <c r="C12239" s="9" t="s">
        <v>17281</v>
      </c>
      <c r="D12239" s="9" t="s">
        <v>101</v>
      </c>
      <c r="E12239" s="6" t="s">
        <v>17293</v>
      </c>
      <c r="F12239" s="9"/>
    </row>
    <row r="12240" ht="33.75" customHeight="1">
      <c r="A12240" s="7">
        <v>567.0</v>
      </c>
      <c r="B12240" s="9" t="s">
        <v>17292</v>
      </c>
      <c r="C12240" s="9" t="s">
        <v>17281</v>
      </c>
      <c r="D12240" s="9" t="s">
        <v>105</v>
      </c>
      <c r="E12240" s="6" t="s">
        <v>17295</v>
      </c>
      <c r="F12240" s="9"/>
    </row>
    <row r="12241" ht="33.75" customHeight="1">
      <c r="A12241" s="7">
        <v>567.0</v>
      </c>
      <c r="B12241" s="9" t="s">
        <v>17292</v>
      </c>
      <c r="C12241" s="9" t="s">
        <v>17281</v>
      </c>
      <c r="D12241" s="9" t="s">
        <v>107</v>
      </c>
      <c r="E12241" s="6" t="s">
        <v>17293</v>
      </c>
      <c r="F12241" s="9"/>
    </row>
    <row r="12242" ht="33.75" customHeight="1">
      <c r="A12242" s="7">
        <v>567.0</v>
      </c>
      <c r="B12242" s="9" t="s">
        <v>17292</v>
      </c>
      <c r="C12242" s="9" t="s">
        <v>17281</v>
      </c>
      <c r="D12242" s="9" t="s">
        <v>109</v>
      </c>
      <c r="E12242" s="6" t="s">
        <v>17295</v>
      </c>
      <c r="F12242" s="9"/>
    </row>
    <row r="12243" ht="33.75" customHeight="1">
      <c r="A12243" s="7">
        <v>567.0</v>
      </c>
      <c r="B12243" s="9" t="s">
        <v>17292</v>
      </c>
      <c r="C12243" s="9" t="s">
        <v>17281</v>
      </c>
      <c r="D12243" s="9" t="s">
        <v>637</v>
      </c>
      <c r="E12243" s="6" t="s">
        <v>17296</v>
      </c>
      <c r="F12243" s="9"/>
    </row>
    <row r="12244" ht="33.75" customHeight="1">
      <c r="A12244" s="7">
        <v>567.0</v>
      </c>
      <c r="B12244" s="9" t="s">
        <v>17292</v>
      </c>
      <c r="C12244" s="9" t="s">
        <v>17281</v>
      </c>
      <c r="D12244" s="9" t="s">
        <v>642</v>
      </c>
      <c r="E12244" s="6" t="s">
        <v>17297</v>
      </c>
      <c r="F12244" s="9"/>
    </row>
    <row r="12245" ht="33.75" customHeight="1">
      <c r="A12245" s="7">
        <v>567.0</v>
      </c>
      <c r="B12245" s="9" t="s">
        <v>17292</v>
      </c>
      <c r="C12245" s="9" t="s">
        <v>17281</v>
      </c>
      <c r="D12245" s="9" t="s">
        <v>647</v>
      </c>
      <c r="E12245" s="6" t="s">
        <v>17298</v>
      </c>
      <c r="F12245" s="9"/>
    </row>
    <row r="12246" ht="33.75" customHeight="1">
      <c r="A12246" s="7">
        <v>567.0</v>
      </c>
      <c r="B12246" s="9" t="s">
        <v>17292</v>
      </c>
      <c r="C12246" s="9" t="s">
        <v>17281</v>
      </c>
      <c r="D12246" s="9" t="s">
        <v>652</v>
      </c>
      <c r="E12246" s="6" t="s">
        <v>17299</v>
      </c>
      <c r="F12246" s="9"/>
    </row>
    <row r="12247" ht="33.75" customHeight="1">
      <c r="A12247" s="7">
        <v>567.0</v>
      </c>
      <c r="B12247" s="9" t="s">
        <v>17292</v>
      </c>
      <c r="C12247" s="9" t="s">
        <v>17281</v>
      </c>
      <c r="D12247" s="9" t="s">
        <v>114</v>
      </c>
      <c r="E12247" s="6" t="s">
        <v>17300</v>
      </c>
      <c r="F12247" s="9"/>
    </row>
    <row r="12248" ht="33.75" customHeight="1">
      <c r="A12248" s="7">
        <v>567.0</v>
      </c>
      <c r="B12248" s="9" t="s">
        <v>17292</v>
      </c>
      <c r="C12248" s="9" t="s">
        <v>17281</v>
      </c>
      <c r="D12248" s="9" t="s">
        <v>117</v>
      </c>
      <c r="E12248" s="6" t="s">
        <v>17301</v>
      </c>
      <c r="F12248" s="9"/>
    </row>
    <row r="12249" ht="33.75" customHeight="1">
      <c r="A12249" s="7">
        <v>568.0</v>
      </c>
      <c r="B12249" s="9" t="s">
        <v>17302</v>
      </c>
      <c r="C12249" s="9" t="s">
        <v>17303</v>
      </c>
      <c r="D12249" s="9" t="s">
        <v>93</v>
      </c>
      <c r="E12249" s="6" t="s">
        <v>17304</v>
      </c>
      <c r="F12249" t="inlineStr" s="10">
        <is>
          <t xml:space="preserve">Niiden röyhtäilemän kaasun hengittäminen saa sinut nukkumaan viikon. Ne suosivat epähygieenisiä paikkoja. Roskapussien ja teollisuusjätteen yhdistelmä aiheutti kemiallisen reaktion, joka loi tämän Pokémonin. Koska ne haluavat lisää roskaa, ne seuraavat roskaajia. Ne röyhtäilevät aina myrkyllistä kaasua. He pitävät eniten epähygieenisistä paikoista. Heidät voi havaita Alolassa, usein Grimerin jahdatessa heitä. Se ahmii roskia vatsaansa täyteen. Sitten se röyhtäilee myrkyllistä kaasua. Epäonninen kaasun tuulahdus vie ihmisen sairaalaan. Siitä vuotaa myrkyllistä kaasua sen hengittäessä. Se, joka haistaa tuon löyhkän, kuolaa. Jos nuori Pokémon tai lapsi hengittää sisään Trubbishin röyhtäilemää myrkyllistä kaasua, se voi olla hengenvaarallinen tilanne. Sen lempipaikat ovat epähygieenisiä. Jos jätät roskat lojumaan ympäriinsä, saatat jopa löytää yhden näistä Pokémoneista asumasta huoneessasi. Tämä Pokémon syntyi roskakassista täytetystä pussista. Galarian Weezing nauttii Trubbishin röyhtäilevistä höyryistä.</t>
        </is>
      </c>
    </row>
    <row r="12250" ht="33.75" customHeight="1">
      <c r="A12250" s="7">
        <v>568.0</v>
      </c>
      <c r="B12250" s="9" t="s">
        <v>17302</v>
      </c>
      <c r="C12250" s="9" t="s">
        <v>17303</v>
      </c>
      <c r="D12250" s="9" t="s">
        <v>95</v>
      </c>
      <c r="E12250" s="6" t="s">
        <v>17305</v>
      </c>
      <c r="F12250" s="9"/>
    </row>
    <row r="12251" ht="33.75" customHeight="1">
      <c r="A12251" s="7">
        <v>568.0</v>
      </c>
      <c r="B12251" s="9" t="s">
        <v>17302</v>
      </c>
      <c r="C12251" s="9" t="s">
        <v>17303</v>
      </c>
      <c r="D12251" s="9" t="s">
        <v>98</v>
      </c>
      <c r="E12251" s="6" t="s">
        <v>17306</v>
      </c>
      <c r="F12251" s="9"/>
    </row>
    <row r="12252" ht="33.75" customHeight="1">
      <c r="A12252" s="7">
        <v>568.0</v>
      </c>
      <c r="B12252" s="9" t="s">
        <v>17302</v>
      </c>
      <c r="C12252" s="9" t="s">
        <v>17303</v>
      </c>
      <c r="D12252" s="9" t="s">
        <v>99</v>
      </c>
      <c r="E12252" s="6" t="s">
        <v>17306</v>
      </c>
      <c r="F12252" s="9"/>
    </row>
    <row r="12253" ht="33.75" customHeight="1">
      <c r="A12253" s="7">
        <v>568.0</v>
      </c>
      <c r="B12253" s="9" t="s">
        <v>17302</v>
      </c>
      <c r="C12253" s="9" t="s">
        <v>17303</v>
      </c>
      <c r="D12253" s="9" t="s">
        <v>101</v>
      </c>
      <c r="E12253" s="6" t="s">
        <v>17305</v>
      </c>
      <c r="F12253" s="9"/>
    </row>
    <row r="12254" ht="33.75" customHeight="1">
      <c r="A12254" s="7">
        <v>568.0</v>
      </c>
      <c r="B12254" s="9" t="s">
        <v>17302</v>
      </c>
      <c r="C12254" s="9" t="s">
        <v>17303</v>
      </c>
      <c r="D12254" s="9" t="s">
        <v>105</v>
      </c>
      <c r="E12254" s="6" t="s">
        <v>17304</v>
      </c>
      <c r="F12254" s="9"/>
    </row>
    <row r="12255" ht="33.75" customHeight="1">
      <c r="A12255" s="7">
        <v>568.0</v>
      </c>
      <c r="B12255" s="9" t="s">
        <v>17302</v>
      </c>
      <c r="C12255" s="9" t="s">
        <v>17303</v>
      </c>
      <c r="D12255" s="9" t="s">
        <v>107</v>
      </c>
      <c r="E12255" s="6" t="s">
        <v>17305</v>
      </c>
      <c r="F12255" s="9"/>
    </row>
    <row r="12256" ht="33.75" customHeight="1">
      <c r="A12256" s="7">
        <v>568.0</v>
      </c>
      <c r="B12256" s="9" t="s">
        <v>17302</v>
      </c>
      <c r="C12256" s="9" t="s">
        <v>17303</v>
      </c>
      <c r="D12256" s="9" t="s">
        <v>109</v>
      </c>
      <c r="E12256" s="6" t="s">
        <v>17304</v>
      </c>
      <c r="F12256" s="9"/>
    </row>
    <row r="12257" ht="33.75" customHeight="1">
      <c r="A12257" s="7">
        <v>568.0</v>
      </c>
      <c r="B12257" s="9" t="s">
        <v>17302</v>
      </c>
      <c r="C12257" s="9" t="s">
        <v>17303</v>
      </c>
      <c r="D12257" s="9" t="s">
        <v>637</v>
      </c>
      <c r="E12257" s="6" t="s">
        <v>17308</v>
      </c>
      <c r="F12257" s="9"/>
    </row>
    <row r="12258" ht="33.75" customHeight="1">
      <c r="A12258" s="7">
        <v>568.0</v>
      </c>
      <c r="B12258" s="9" t="s">
        <v>17302</v>
      </c>
      <c r="C12258" s="9" t="s">
        <v>17303</v>
      </c>
      <c r="D12258" s="9" t="s">
        <v>642</v>
      </c>
      <c r="E12258" s="6" t="s">
        <v>17309</v>
      </c>
      <c r="F12258" s="9"/>
    </row>
    <row r="12259" ht="33.75" customHeight="1">
      <c r="A12259" s="7">
        <v>568.0</v>
      </c>
      <c r="B12259" s="9" t="s">
        <v>17302</v>
      </c>
      <c r="C12259" s="9" t="s">
        <v>17303</v>
      </c>
      <c r="D12259" s="9" t="s">
        <v>647</v>
      </c>
      <c r="E12259" s="6" t="s">
        <v>17310</v>
      </c>
      <c r="F12259" s="9"/>
    </row>
    <row r="12260" ht="33.75" customHeight="1">
      <c r="A12260" s="7">
        <v>568.0</v>
      </c>
      <c r="B12260" s="9" t="s">
        <v>17302</v>
      </c>
      <c r="C12260" s="9" t="s">
        <v>17303</v>
      </c>
      <c r="D12260" s="9" t="s">
        <v>652</v>
      </c>
      <c r="E12260" s="6" t="s">
        <v>17311</v>
      </c>
      <c r="F12260" s="9"/>
    </row>
    <row r="12261" ht="33.75" customHeight="1">
      <c r="A12261" s="7">
        <v>568.0</v>
      </c>
      <c r="B12261" s="9" t="s">
        <v>17302</v>
      </c>
      <c r="C12261" s="9" t="s">
        <v>17303</v>
      </c>
      <c r="D12261" s="9" t="s">
        <v>114</v>
      </c>
      <c r="E12261" s="6" t="s">
        <v>17312</v>
      </c>
      <c r="F12261" s="9"/>
    </row>
    <row r="12262" ht="33.75" customHeight="1">
      <c r="A12262" s="7">
        <v>568.0</v>
      </c>
      <c r="B12262" s="9" t="s">
        <v>17302</v>
      </c>
      <c r="C12262" s="9" t="s">
        <v>17303</v>
      </c>
      <c r="D12262" s="9" t="s">
        <v>117</v>
      </c>
      <c r="E12262" s="6" t="s">
        <v>17313</v>
      </c>
      <c r="F12262" s="9"/>
    </row>
    <row r="12263" ht="33.75" customHeight="1">
      <c r="A12263" s="7">
        <v>569.0</v>
      </c>
      <c r="B12263" s="9" t="s">
        <v>17314</v>
      </c>
      <c r="C12263" s="9" t="s">
        <v>17315</v>
      </c>
      <c r="D12263" s="9" t="s">
        <v>93</v>
      </c>
      <c r="E12263" s="6" t="s">
        <v>17316</v>
      </c>
      <c r="F12263" t="inlineStr" s="10">
        <is>
          <t xml:space="preserve">Garbodor puristaa vastustajia vasemmalla kädellään ja viimeistelee heidät suustaan ​​​​purkautuvalla pahanhajuisella myrkkykaasulla. Ne imevät itseensä roskia ja tekevät niistä osan kehoaan. Ne ampuvat myrkyllistä nestettä oikean kätensä sormenpäistä. Roskien syöminen tuottaa heidän kehoonsa uudenlaisia ​​myrkyllisiä kaasuja ja nesteitä. Varo myrkyllistä nestettä, jota se ampuu oikeasta käsivarrestaan. Jos edes pieni osa siitä joutuu päällesi, koet tuntemattoman toksiinin vaikutukset. Jonkin aikaa niiden määrä kasvoi räjähdysmäisesti Alolassa. Grimerin saapumisen jälkeen niiden populaatio on vähentynyt dramaattisesti. Se lukitsee vastustajat paikoilleen vasemmalla kädellään ja lamauttaa heidät kastelemalla heidän kehonsa kokonaan myrkyllisellä nesteellä. Jotkut sanovat, että syy siihen, miksi Garbodorit Alolassa ovat hieman vahvempia kuin heidän vastustajansa muualla, on Mukin, heidän luonnollisen vihollisensa, läsnäolo. Tämä Pokémon syö roskaa, joka muuttuu myrkylliseksi sen kehossa. Myrkyn pääkomponentti riippuu syödyn roskan tyypistä. Sen oikeasta käsivarresta purkautuva myrkyllinen neste on niin myrkyllistä, että se voi tappaa heikentyneen olennon välittömästi.</t>
        </is>
      </c>
    </row>
    <row r="12264" ht="33.75" customHeight="1">
      <c r="A12264" s="7">
        <v>569.0</v>
      </c>
      <c r="B12264" s="9" t="s">
        <v>17314</v>
      </c>
      <c r="C12264" s="9" t="s">
        <v>17315</v>
      </c>
      <c r="D12264" s="9" t="s">
        <v>95</v>
      </c>
      <c r="E12264" s="6" t="s">
        <v>17317</v>
      </c>
      <c r="F12264" s="9"/>
    </row>
    <row r="12265" ht="33.75" customHeight="1">
      <c r="A12265" s="7">
        <v>569.0</v>
      </c>
      <c r="B12265" s="9" t="s">
        <v>17314</v>
      </c>
      <c r="C12265" s="9" t="s">
        <v>17315</v>
      </c>
      <c r="D12265" s="9" t="s">
        <v>98</v>
      </c>
      <c r="E12265" s="6" t="s">
        <v>17318</v>
      </c>
      <c r="F12265" s="9"/>
    </row>
    <row r="12266" ht="33.75" customHeight="1">
      <c r="A12266" s="7">
        <v>569.0</v>
      </c>
      <c r="B12266" s="9" t="s">
        <v>17314</v>
      </c>
      <c r="C12266" s="9" t="s">
        <v>17315</v>
      </c>
      <c r="D12266" s="9" t="s">
        <v>99</v>
      </c>
      <c r="E12266" s="6" t="s">
        <v>17318</v>
      </c>
      <c r="F12266" s="9"/>
    </row>
    <row r="12267" ht="33.75" customHeight="1">
      <c r="A12267" s="7">
        <v>569.0</v>
      </c>
      <c r="B12267" s="9" t="s">
        <v>17314</v>
      </c>
      <c r="C12267" s="9" t="s">
        <v>17315</v>
      </c>
      <c r="D12267" s="9" t="s">
        <v>101</v>
      </c>
      <c r="E12267" s="6" t="s">
        <v>17316</v>
      </c>
      <c r="F12267" s="9"/>
    </row>
    <row r="12268" ht="33.75" customHeight="1">
      <c r="A12268" s="7">
        <v>569.0</v>
      </c>
      <c r="B12268" s="9" t="s">
        <v>17314</v>
      </c>
      <c r="C12268" s="9" t="s">
        <v>17315</v>
      </c>
      <c r="D12268" s="9" t="s">
        <v>105</v>
      </c>
      <c r="E12268" s="6" t="s">
        <v>17318</v>
      </c>
      <c r="F12268" s="9"/>
    </row>
    <row r="12269" ht="33.75" customHeight="1">
      <c r="A12269" s="7">
        <v>569.0</v>
      </c>
      <c r="B12269" s="9" t="s">
        <v>17314</v>
      </c>
      <c r="C12269" s="9" t="s">
        <v>17315</v>
      </c>
      <c r="D12269" s="9" t="s">
        <v>107</v>
      </c>
      <c r="E12269" s="6" t="s">
        <v>17316</v>
      </c>
      <c r="F12269" s="9"/>
    </row>
    <row r="12270" ht="33.75" customHeight="1">
      <c r="A12270" s="7">
        <v>569.0</v>
      </c>
      <c r="B12270" s="9" t="s">
        <v>17314</v>
      </c>
      <c r="C12270" s="9" t="s">
        <v>17315</v>
      </c>
      <c r="D12270" s="9" t="s">
        <v>109</v>
      </c>
      <c r="E12270" s="6" t="s">
        <v>17318</v>
      </c>
      <c r="F12270" s="9"/>
    </row>
    <row r="12271" ht="33.75" customHeight="1">
      <c r="A12271" s="7">
        <v>569.0</v>
      </c>
      <c r="B12271" s="9" t="s">
        <v>17314</v>
      </c>
      <c r="C12271" s="9" t="s">
        <v>17315</v>
      </c>
      <c r="D12271" s="9" t="s">
        <v>637</v>
      </c>
      <c r="E12271" s="6" t="s">
        <v>17319</v>
      </c>
      <c r="F12271" s="9"/>
    </row>
    <row r="12272" ht="33.75" customHeight="1">
      <c r="A12272" s="7">
        <v>569.0</v>
      </c>
      <c r="B12272" s="9" t="s">
        <v>17314</v>
      </c>
      <c r="C12272" s="9" t="s">
        <v>17315</v>
      </c>
      <c r="D12272" s="9" t="s">
        <v>642</v>
      </c>
      <c r="E12272" s="6" t="s">
        <v>17320</v>
      </c>
      <c r="F12272" s="9"/>
    </row>
    <row r="12273" ht="33.75" customHeight="1">
      <c r="A12273" s="7">
        <v>569.0</v>
      </c>
      <c r="B12273" s="9" t="s">
        <v>17314</v>
      </c>
      <c r="C12273" s="9" t="s">
        <v>17315</v>
      </c>
      <c r="D12273" s="9" t="s">
        <v>647</v>
      </c>
      <c r="E12273" s="6" t="s">
        <v>17321</v>
      </c>
      <c r="F12273" s="9"/>
    </row>
    <row r="12274" ht="33.75" customHeight="1">
      <c r="A12274" s="7">
        <v>569.0</v>
      </c>
      <c r="B12274" s="9" t="s">
        <v>17314</v>
      </c>
      <c r="C12274" s="9" t="s">
        <v>17315</v>
      </c>
      <c r="D12274" s="9" t="s">
        <v>652</v>
      </c>
      <c r="E12274" s="6" t="s">
        <v>17322</v>
      </c>
      <c r="F12274" s="9"/>
    </row>
    <row r="12275" ht="33.75" customHeight="1">
      <c r="A12275" s="7">
        <v>569.0</v>
      </c>
      <c r="B12275" s="9" t="s">
        <v>17314</v>
      </c>
      <c r="C12275" s="9" t="s">
        <v>17315</v>
      </c>
      <c r="D12275" s="9" t="s">
        <v>114</v>
      </c>
      <c r="E12275" s="6" t="s">
        <v>17323</v>
      </c>
      <c r="F12275" s="9"/>
    </row>
    <row r="12276" ht="33.75" customHeight="1">
      <c r="A12276" s="7">
        <v>569.0</v>
      </c>
      <c r="B12276" s="9" t="s">
        <v>17314</v>
      </c>
      <c r="C12276" s="9" t="s">
        <v>17315</v>
      </c>
      <c r="D12276" s="9" t="s">
        <v>117</v>
      </c>
      <c r="E12276" s="6" t="s">
        <v>17324</v>
      </c>
      <c r="F12276" s="9"/>
    </row>
    <row r="12277" ht="33.75" customHeight="1">
      <c r="A12277" s="7">
        <v>570.0</v>
      </c>
      <c r="B12277" s="9" t="s">
        <v>17325</v>
      </c>
      <c r="C12277" s="9" t="s">
        <v>17326</v>
      </c>
      <c r="D12277" s="9" t="s">
        <v>93</v>
      </c>
      <c r="E12277" s="6" t="s">
        <v>17327</v>
      </c>
      <c r="F12277" t="inlineStr" s="10">
        <is>
          <t xml:space="preserve">Zorua muuttaa muotonsa toisten ihmisten muotoon yllättääkseen heidät. Ilmeisesti se usein muuttuu hiljaiseksi lapseksi. Suojellakseen itseään vaaralta he piilottavat todellisen identiteettinsä muuttumalla ihmisiksi ja Pokémoneiksi. Se muuttuu näyttämään aivan viholliseltaan, huijaa sitä ja käyttää sitten tilaisuutta hyväkseen paetakseen. Tällä Pokémonilla on pelkurimainen luonne, joten ystäviensä poissa ollessa se pysyy aina muuttuneena joksikin muuksi. Jos normaalisti puhelias lapsi yhtäkkiä lakkaa puhumasta, Zorua on saattanut korvata hänet. Zorua on arka Pokémon. Tämä luonne näyttää johtaneen Zoruan kykyyn ottaa muiden olentojen muotoja. Zorua muuttuu joskus ihmiseksi ja menee kaupunkeihin etsimään ruokaa. Kun Zorua tekee näin, se yleensä ottaa lapsen muodon. Kerran edesmennyt sielu, joka on palannut elämään Hisuissa. Ansaitsee voimansa kaunasta, joka nousee energiana sen päähän ja ottaa vihollisten hahmot. Tällä tavoin Zorua purkaa viipyilevää pahuuttaan.</t>
        </is>
      </c>
    </row>
    <row r="12278" ht="33.75" customHeight="1">
      <c r="A12278" s="7">
        <v>570.0</v>
      </c>
      <c r="B12278" s="9" t="s">
        <v>17325</v>
      </c>
      <c r="C12278" s="9" t="s">
        <v>17326</v>
      </c>
      <c r="D12278" s="9" t="s">
        <v>95</v>
      </c>
      <c r="E12278" s="6" t="s">
        <v>17328</v>
      </c>
      <c r="F12278" s="9"/>
    </row>
    <row r="12279" ht="33.75" customHeight="1">
      <c r="A12279" s="7">
        <v>570.0</v>
      </c>
      <c r="B12279" s="9" t="s">
        <v>17325</v>
      </c>
      <c r="C12279" s="9" t="s">
        <v>17326</v>
      </c>
      <c r="D12279" s="9" t="s">
        <v>98</v>
      </c>
      <c r="E12279" s="6" t="s">
        <v>17330</v>
      </c>
      <c r="F12279" s="9"/>
    </row>
    <row r="12280" ht="33.75" customHeight="1">
      <c r="A12280" s="7">
        <v>570.0</v>
      </c>
      <c r="B12280" s="9" t="s">
        <v>17325</v>
      </c>
      <c r="C12280" s="9" t="s">
        <v>17326</v>
      </c>
      <c r="D12280" s="9" t="s">
        <v>99</v>
      </c>
      <c r="E12280" s="6" t="s">
        <v>17330</v>
      </c>
      <c r="F12280" s="9"/>
    </row>
    <row r="12281" ht="33.75" customHeight="1">
      <c r="A12281" s="7">
        <v>570.0</v>
      </c>
      <c r="B12281" s="9" t="s">
        <v>17325</v>
      </c>
      <c r="C12281" s="9" t="s">
        <v>17326</v>
      </c>
      <c r="D12281" s="9" t="s">
        <v>101</v>
      </c>
      <c r="E12281" s="6" t="s">
        <v>17330</v>
      </c>
      <c r="F12281" s="9"/>
    </row>
    <row r="12282" ht="33.75" customHeight="1">
      <c r="A12282" s="7">
        <v>570.0</v>
      </c>
      <c r="B12282" s="9" t="s">
        <v>17325</v>
      </c>
      <c r="C12282" s="9" t="s">
        <v>17326</v>
      </c>
      <c r="D12282" s="9" t="s">
        <v>105</v>
      </c>
      <c r="E12282" s="6" t="s">
        <v>17328</v>
      </c>
      <c r="F12282" s="9"/>
    </row>
    <row r="12283" ht="33.75" customHeight="1">
      <c r="A12283" s="7">
        <v>570.0</v>
      </c>
      <c r="B12283" s="9" t="s">
        <v>17325</v>
      </c>
      <c r="C12283" s="9" t="s">
        <v>17326</v>
      </c>
      <c r="D12283" s="9" t="s">
        <v>107</v>
      </c>
      <c r="E12283" s="6" t="s">
        <v>17330</v>
      </c>
      <c r="F12283" s="9"/>
    </row>
    <row r="12284" ht="33.75" customHeight="1">
      <c r="A12284" s="7">
        <v>570.0</v>
      </c>
      <c r="B12284" s="9" t="s">
        <v>17325</v>
      </c>
      <c r="C12284" s="9" t="s">
        <v>17326</v>
      </c>
      <c r="D12284" s="9" t="s">
        <v>109</v>
      </c>
      <c r="E12284" s="6" t="s">
        <v>17328</v>
      </c>
      <c r="F12284" s="9"/>
    </row>
    <row r="12285" ht="33.75" customHeight="1">
      <c r="A12285" s="7">
        <v>570.0</v>
      </c>
      <c r="B12285" s="9" t="s">
        <v>17325</v>
      </c>
      <c r="C12285" s="9" t="s">
        <v>17326</v>
      </c>
      <c r="D12285" s="9" t="s">
        <v>647</v>
      </c>
      <c r="E12285" s="6" t="s">
        <v>17331</v>
      </c>
      <c r="F12285" s="9"/>
    </row>
    <row r="12286" ht="33.75" customHeight="1">
      <c r="A12286" s="7">
        <v>570.0</v>
      </c>
      <c r="B12286" s="9" t="s">
        <v>17325</v>
      </c>
      <c r="C12286" s="9" t="s">
        <v>17326</v>
      </c>
      <c r="D12286" s="9" t="s">
        <v>652</v>
      </c>
      <c r="E12286" s="6" t="s">
        <v>17332</v>
      </c>
      <c r="F12286" s="9"/>
    </row>
    <row r="12287" ht="33.75" customHeight="1">
      <c r="A12287" s="7">
        <v>570.0</v>
      </c>
      <c r="B12287" s="9" t="s">
        <v>17325</v>
      </c>
      <c r="C12287" s="9" t="s">
        <v>17326</v>
      </c>
      <c r="D12287" s="9" t="s">
        <v>114</v>
      </c>
      <c r="E12287" s="6" t="s">
        <v>17333</v>
      </c>
      <c r="F12287" s="9"/>
    </row>
    <row r="12288" ht="33.75" customHeight="1">
      <c r="A12288" s="7">
        <v>570.0</v>
      </c>
      <c r="B12288" s="9" t="s">
        <v>17325</v>
      </c>
      <c r="C12288" s="9" t="s">
        <v>17326</v>
      </c>
      <c r="D12288" s="9" t="s">
        <v>117</v>
      </c>
      <c r="E12288" s="6" t="s">
        <v>17334</v>
      </c>
      <c r="F12288" s="9"/>
    </row>
    <row r="12289" ht="33.75" customHeight="1">
      <c r="A12289" s="7">
        <v>570.0</v>
      </c>
      <c r="B12289" s="9" t="s">
        <v>17325</v>
      </c>
      <c r="C12289" s="9" t="s">
        <v>17326</v>
      </c>
      <c r="D12289" s="9" t="s">
        <v>1577</v>
      </c>
      <c r="E12289" s="6" t="s">
        <v>17335</v>
      </c>
      <c r="F12289" s="9"/>
    </row>
    <row r="12290" ht="33.75" customHeight="1">
      <c r="A12290" s="7">
        <v>571.0</v>
      </c>
      <c r="B12290" s="9" t="s">
        <v>17336</v>
      </c>
      <c r="C12290" s="9" t="s">
        <v>17337</v>
      </c>
      <c r="D12290" s="9" t="s">
        <v>93</v>
      </c>
      <c r="E12290" s="6" t="s">
        <v>17338</v>
      </c>
      <c r="F12290" t="inlineStr" s="10">
        <is>
          <t xml:space="preserve">Näiden Pokémonien väliset siteet ovat erittäin vahvat. Se suojelee laumansa turvallisuutta huijaamalla vastustajiaan. Jokaisella on kyky huijata suuri joukko ihmisiä samanaikaisesti. He suojelevat pesäänsä illuusiomaisemilla. Tarinoiden mukaan Zoroarkin kiinniottamista yrittäneet jäivät illuusion vangiksi ja heitä rangaistiin. Se ei ainoastaan ​​muuta itseään – sillä on myös voima saada sadat ihmiset näkemään illuusiot. Jos se luulee ihmisten löytävän sen pesän, Zoroark näyttää niille näkyjä, jotka saavat ne vaeltelemaan metsässä. Tämä Pokémon välittää syvästi muista kaltaisistaan ​​ja se loihtii kauhistuttavia illuusioita pitääkseen pesänsä ja pakkaustaan ​​turvassa. Yksinäisyyden taakkaa keventääkseen yksinäiset kouluttajat käskevät Zoroarkia näyttämään heille illuusioita. Sekalaisen valkoisen turkkinsa ansiosta se näyttää kuoleman ruumiillistumalta. Omasta turvallisuudestaan ​​välittämättä Zoroark hyökkää arkkivihollistensa kimppuun niin voimakkaalla katkeralla energialla, että se viiltää Zoroarkin omaa ruumista.</t>
        </is>
      </c>
    </row>
    <row r="12291" ht="33.75" customHeight="1">
      <c r="A12291" s="7">
        <v>571.0</v>
      </c>
      <c r="B12291" s="9" t="s">
        <v>17336</v>
      </c>
      <c r="C12291" s="9" t="s">
        <v>17337</v>
      </c>
      <c r="D12291" s="9" t="s">
        <v>95</v>
      </c>
      <c r="E12291" s="6" t="s">
        <v>17339</v>
      </c>
      <c r="F12291" s="9"/>
    </row>
    <row r="12292" ht="33.75" customHeight="1">
      <c r="A12292" s="7">
        <v>571.0</v>
      </c>
      <c r="B12292" s="9" t="s">
        <v>17336</v>
      </c>
      <c r="C12292" s="9" t="s">
        <v>17337</v>
      </c>
      <c r="D12292" s="9" t="s">
        <v>98</v>
      </c>
      <c r="E12292" s="6" t="s">
        <v>17340</v>
      </c>
      <c r="F12292" s="9"/>
    </row>
    <row r="12293" ht="33.75" customHeight="1">
      <c r="A12293" s="7">
        <v>571.0</v>
      </c>
      <c r="B12293" s="9" t="s">
        <v>17336</v>
      </c>
      <c r="C12293" s="9" t="s">
        <v>17337</v>
      </c>
      <c r="D12293" s="9" t="s">
        <v>99</v>
      </c>
      <c r="E12293" s="6" t="s">
        <v>17340</v>
      </c>
      <c r="F12293" s="9"/>
    </row>
    <row r="12294" ht="33.75" customHeight="1">
      <c r="A12294" s="7">
        <v>571.0</v>
      </c>
      <c r="B12294" s="9" t="s">
        <v>17336</v>
      </c>
      <c r="C12294" s="9" t="s">
        <v>17337</v>
      </c>
      <c r="D12294" s="9" t="s">
        <v>101</v>
      </c>
      <c r="E12294" s="6" t="s">
        <v>17339</v>
      </c>
      <c r="F12294" s="9"/>
    </row>
    <row r="12295" ht="33.75" customHeight="1">
      <c r="A12295" s="7">
        <v>571.0</v>
      </c>
      <c r="B12295" s="9" t="s">
        <v>17336</v>
      </c>
      <c r="C12295" s="9" t="s">
        <v>17337</v>
      </c>
      <c r="D12295" s="9" t="s">
        <v>105</v>
      </c>
      <c r="E12295" s="6" t="s">
        <v>17338</v>
      </c>
      <c r="F12295" s="9"/>
    </row>
    <row r="12296" ht="33.75" customHeight="1">
      <c r="A12296" s="7">
        <v>571.0</v>
      </c>
      <c r="B12296" s="9" t="s">
        <v>17336</v>
      </c>
      <c r="C12296" s="9" t="s">
        <v>17337</v>
      </c>
      <c r="D12296" s="9" t="s">
        <v>107</v>
      </c>
      <c r="E12296" s="6" t="s">
        <v>17339</v>
      </c>
      <c r="F12296" s="9"/>
    </row>
    <row r="12297" ht="33.75" customHeight="1">
      <c r="A12297" s="7">
        <v>571.0</v>
      </c>
      <c r="B12297" s="9" t="s">
        <v>17336</v>
      </c>
      <c r="C12297" s="9" t="s">
        <v>17337</v>
      </c>
      <c r="D12297" s="9" t="s">
        <v>109</v>
      </c>
      <c r="E12297" s="6" t="s">
        <v>17338</v>
      </c>
      <c r="F12297" s="9"/>
    </row>
    <row r="12298" ht="33.75" customHeight="1">
      <c r="A12298" s="7">
        <v>571.0</v>
      </c>
      <c r="B12298" s="9" t="s">
        <v>17336</v>
      </c>
      <c r="C12298" s="9" t="s">
        <v>17337</v>
      </c>
      <c r="D12298" s="9" t="s">
        <v>647</v>
      </c>
      <c r="E12298" s="6" t="s">
        <v>17341</v>
      </c>
      <c r="F12298" s="9"/>
    </row>
    <row r="12299" ht="33.75" customHeight="1">
      <c r="A12299" s="7">
        <v>571.0</v>
      </c>
      <c r="B12299" s="9" t="s">
        <v>17336</v>
      </c>
      <c r="C12299" s="9" t="s">
        <v>17337</v>
      </c>
      <c r="D12299" s="9" t="s">
        <v>652</v>
      </c>
      <c r="E12299" s="6" t="s">
        <v>17342</v>
      </c>
      <c r="F12299" s="9"/>
    </row>
    <row r="12300" ht="33.75" customHeight="1">
      <c r="A12300" s="7">
        <v>571.0</v>
      </c>
      <c r="B12300" s="9" t="s">
        <v>17336</v>
      </c>
      <c r="C12300" s="9" t="s">
        <v>17337</v>
      </c>
      <c r="D12300" s="9" t="s">
        <v>114</v>
      </c>
      <c r="E12300" s="6" t="s">
        <v>17343</v>
      </c>
      <c r="F12300" s="9"/>
    </row>
    <row r="12301" ht="33.75" customHeight="1">
      <c r="A12301" s="7">
        <v>571.0</v>
      </c>
      <c r="B12301" s="9" t="s">
        <v>17336</v>
      </c>
      <c r="C12301" s="9" t="s">
        <v>17337</v>
      </c>
      <c r="D12301" s="9" t="s">
        <v>117</v>
      </c>
      <c r="E12301" s="6" t="s">
        <v>17344</v>
      </c>
      <c r="F12301" s="9"/>
    </row>
    <row r="12302" ht="33.75" customHeight="1">
      <c r="A12302" s="7">
        <v>571.0</v>
      </c>
      <c r="B12302" s="9" t="s">
        <v>17336</v>
      </c>
      <c r="C12302" s="9" t="s">
        <v>17337</v>
      </c>
      <c r="D12302" s="9" t="s">
        <v>1577</v>
      </c>
      <c r="E12302" s="6" t="s">
        <v>17345</v>
      </c>
      <c r="F12302" s="9"/>
    </row>
    <row r="12303" ht="33.75" customHeight="1">
      <c r="A12303" s="7">
        <v>572.0</v>
      </c>
      <c r="B12303" s="9" t="s">
        <v>17346</v>
      </c>
      <c r="C12303" s="9" t="s">
        <v>17347</v>
      </c>
      <c r="D12303" s="9" t="s">
        <v>93</v>
      </c>
      <c r="E12303" s="6" t="s">
        <v>17348</v>
      </c>
      <c r="F12303" t="inlineStr" s="10">
        <is>
          <t xml:space="preserve">Ne tervehtivät toisiaan hieromalla toisiaan hännillään, jotka pidetään aina hyvin hoidettuina ja puhtaina. Nämä Pokémonit viihtyvät siistissä elinympäristössä. Ne lakaisevat ja pölyttävät aina käyttäen häntäänsä luutana. Minccinot tervehtivät toisiaan harjaamalla toisiaan huolellisesti hännällään. Puhtausfriikki, joka ei salli pienintäkään sotkua, käyttää häntäänsä kuin moppia puhdistaakseen perusteellisesti kaiken lian. Kun Minccinon häntä on likaantunut itsepuhdistuksen tai pesän siivouksen seurauksena, se pesee häntäänsä kokonaisen päivän puhtaassa lähdevedessä. Se, miten se harjaa lian pois hännällään, voi olla hyödyllinen siivouksessa. Mutta sen keskittyminen tahrattomuuteen voi tehdä siivoamisesta hankalampaa. Ne silittävät toisiaan hännällään tervehdyksenä. Näistä kahdesta se, jonka häntä on pörröisempi, on hieman kerskailevampi.</t>
        </is>
      </c>
    </row>
    <row r="12304" ht="33.75" customHeight="1">
      <c r="A12304" s="7">
        <v>572.0</v>
      </c>
      <c r="B12304" s="9" t="s">
        <v>17346</v>
      </c>
      <c r="C12304" s="9" t="s">
        <v>17347</v>
      </c>
      <c r="D12304" s="9" t="s">
        <v>95</v>
      </c>
      <c r="E12304" s="6" t="s">
        <v>17349</v>
      </c>
      <c r="F12304" s="9"/>
    </row>
    <row r="12305" ht="33.75" customHeight="1">
      <c r="A12305" s="7">
        <v>572.0</v>
      </c>
      <c r="B12305" s="9" t="s">
        <v>17346</v>
      </c>
      <c r="C12305" s="9" t="s">
        <v>17347</v>
      </c>
      <c r="D12305" s="9" t="s">
        <v>98</v>
      </c>
      <c r="E12305" s="6" t="s">
        <v>17350</v>
      </c>
      <c r="F12305" s="9"/>
    </row>
    <row r="12306" ht="33.75" customHeight="1">
      <c r="A12306" s="7">
        <v>572.0</v>
      </c>
      <c r="B12306" s="9" t="s">
        <v>17346</v>
      </c>
      <c r="C12306" s="9" t="s">
        <v>17347</v>
      </c>
      <c r="D12306" s="9" t="s">
        <v>99</v>
      </c>
      <c r="E12306" s="6" t="s">
        <v>17350</v>
      </c>
      <c r="F12306" s="9"/>
    </row>
    <row r="12307" ht="33.75" customHeight="1">
      <c r="A12307" s="7">
        <v>572.0</v>
      </c>
      <c r="B12307" s="9" t="s">
        <v>17346</v>
      </c>
      <c r="C12307" s="9" t="s">
        <v>17347</v>
      </c>
      <c r="D12307" s="9" t="s">
        <v>101</v>
      </c>
      <c r="E12307" s="6" t="s">
        <v>17350</v>
      </c>
      <c r="F12307" s="9"/>
    </row>
    <row r="12308" ht="33.75" customHeight="1">
      <c r="A12308" s="7">
        <v>572.0</v>
      </c>
      <c r="B12308" s="9" t="s">
        <v>17346</v>
      </c>
      <c r="C12308" s="9" t="s">
        <v>17347</v>
      </c>
      <c r="D12308" s="9" t="s">
        <v>105</v>
      </c>
      <c r="E12308" s="6" t="s">
        <v>17349</v>
      </c>
      <c r="F12308" s="9"/>
    </row>
    <row r="12309" ht="33.75" customHeight="1">
      <c r="A12309" s="7">
        <v>572.0</v>
      </c>
      <c r="B12309" s="9" t="s">
        <v>17346</v>
      </c>
      <c r="C12309" s="9" t="s">
        <v>17347</v>
      </c>
      <c r="D12309" s="9" t="s">
        <v>107</v>
      </c>
      <c r="E12309" s="6" t="s">
        <v>17350</v>
      </c>
      <c r="F12309" s="9"/>
    </row>
    <row r="12310" ht="33.75" customHeight="1">
      <c r="A12310" s="7">
        <v>572.0</v>
      </c>
      <c r="B12310" s="9" t="s">
        <v>17346</v>
      </c>
      <c r="C12310" s="9" t="s">
        <v>17347</v>
      </c>
      <c r="D12310" s="9" t="s">
        <v>109</v>
      </c>
      <c r="E12310" s="6" t="s">
        <v>17349</v>
      </c>
      <c r="F12310" s="9"/>
    </row>
    <row r="12311" ht="33.75" customHeight="1">
      <c r="A12311" s="7">
        <v>572.0</v>
      </c>
      <c r="B12311" s="9" t="s">
        <v>17346</v>
      </c>
      <c r="C12311" s="9" t="s">
        <v>17347</v>
      </c>
      <c r="D12311" s="9" t="s">
        <v>647</v>
      </c>
      <c r="E12311" s="6" t="s">
        <v>17351</v>
      </c>
      <c r="F12311" s="9"/>
    </row>
    <row r="12312" ht="33.75" customHeight="1">
      <c r="A12312" s="7">
        <v>572.0</v>
      </c>
      <c r="B12312" s="9" t="s">
        <v>17346</v>
      </c>
      <c r="C12312" s="9" t="s">
        <v>17347</v>
      </c>
      <c r="D12312" s="9" t="s">
        <v>652</v>
      </c>
      <c r="E12312" s="6" t="s">
        <v>17352</v>
      </c>
      <c r="F12312" s="9"/>
    </row>
    <row r="12313" ht="33.75" customHeight="1">
      <c r="A12313" s="7">
        <v>572.0</v>
      </c>
      <c r="B12313" s="9" t="s">
        <v>17346</v>
      </c>
      <c r="C12313" s="9" t="s">
        <v>17347</v>
      </c>
      <c r="D12313" s="9" t="s">
        <v>114</v>
      </c>
      <c r="E12313" s="6" t="s">
        <v>17353</v>
      </c>
      <c r="F12313" s="9"/>
    </row>
    <row r="12314" ht="33.75" customHeight="1">
      <c r="A12314" s="7">
        <v>572.0</v>
      </c>
      <c r="B12314" s="9" t="s">
        <v>17346</v>
      </c>
      <c r="C12314" s="9" t="s">
        <v>17347</v>
      </c>
      <c r="D12314" s="9" t="s">
        <v>117</v>
      </c>
      <c r="E12314" s="6" t="s">
        <v>17354</v>
      </c>
      <c r="F12314" s="9"/>
    </row>
    <row r="12315" ht="33.75" customHeight="1">
      <c r="A12315" s="7">
        <v>573.0</v>
      </c>
      <c r="B12315" s="9" t="s">
        <v>17355</v>
      </c>
      <c r="C12315" s="9" t="s">
        <v>17356</v>
      </c>
      <c r="D12315" s="9" t="s">
        <v>93</v>
      </c>
      <c r="E12315" s="6" t="s">
        <v>17357</v>
      </c>
      <c r="F12315" t="inlineStr" s="10">
        <is>
          <t xml:space="preserve">Niiden valkoinen turkki on päällystetty erityisellä öljyllä, jonka avulla ne voivat torjua hyökkäykset helposti. Niiden valkoinen turkki tuntuu ihanalta koskettaa. Niiden turkki hylkii pölyä ja estää staattisen sähkön kertymisen. Cinccinon vartalo on päällystetty erityisellä öljyllä, joka auttaa sitä torjumaan hyökkäyksiä, kuten lyöntejä. Sen turkin valkoiset osat ovat peittyneet sen kehosta erittyvään öljyyn, joten tämä Pokémon voi liukua suoraan pois vihollistensa hyökkäyksiltä. Sen sisältä tihkuva öljy on todella pehmeää. Tämä öljy on tehokas hoitokeino ihmisille, joita vaivaa huono iho. Sen ruumis erittää öljyä, jota tämä Pokémon levittää pesänsä päälle suojaamaan sitä pölyltä. Cinccino ei siedä edes hitustakaan tätä öljyä. Erityinen öljy, joka imeytyy niiden turkkiin, auttaa niitä välttämään hyökkäyksiä. Öljystä saa markkinoilla korkean hinnan.</t>
        </is>
      </c>
    </row>
    <row r="12316" ht="33.75" customHeight="1">
      <c r="A12316" s="7">
        <v>573.0</v>
      </c>
      <c r="B12316" s="9" t="s">
        <v>17355</v>
      </c>
      <c r="C12316" s="9" t="s">
        <v>17356</v>
      </c>
      <c r="D12316" s="9" t="s">
        <v>95</v>
      </c>
      <c r="E12316" s="6" t="s">
        <v>17358</v>
      </c>
      <c r="F12316" s="9"/>
    </row>
    <row r="12317" ht="33.75" customHeight="1">
      <c r="A12317" s="7">
        <v>573.0</v>
      </c>
      <c r="B12317" s="9" t="s">
        <v>17355</v>
      </c>
      <c r="C12317" s="9" t="s">
        <v>17356</v>
      </c>
      <c r="D12317" s="9" t="s">
        <v>98</v>
      </c>
      <c r="E12317" s="6" t="s">
        <v>17359</v>
      </c>
      <c r="F12317" s="9"/>
    </row>
    <row r="12318" ht="33.75" customHeight="1">
      <c r="A12318" s="7">
        <v>573.0</v>
      </c>
      <c r="B12318" s="9" t="s">
        <v>17355</v>
      </c>
      <c r="C12318" s="9" t="s">
        <v>17356</v>
      </c>
      <c r="D12318" s="9" t="s">
        <v>99</v>
      </c>
      <c r="E12318" s="6" t="s">
        <v>17359</v>
      </c>
      <c r="F12318" s="9"/>
    </row>
    <row r="12319" ht="33.75" customHeight="1">
      <c r="A12319" s="7">
        <v>573.0</v>
      </c>
      <c r="B12319" s="9" t="s">
        <v>17355</v>
      </c>
      <c r="C12319" s="9" t="s">
        <v>17356</v>
      </c>
      <c r="D12319" s="9" t="s">
        <v>101</v>
      </c>
      <c r="E12319" s="6" t="s">
        <v>17358</v>
      </c>
      <c r="F12319" s="9"/>
    </row>
    <row r="12320" ht="33.75" customHeight="1">
      <c r="A12320" s="7">
        <v>573.0</v>
      </c>
      <c r="B12320" s="9" t="s">
        <v>17355</v>
      </c>
      <c r="C12320" s="9" t="s">
        <v>17356</v>
      </c>
      <c r="D12320" s="9" t="s">
        <v>105</v>
      </c>
      <c r="E12320" s="6" t="s">
        <v>17359</v>
      </c>
      <c r="F12320" s="9"/>
    </row>
    <row r="12321" ht="33.75" customHeight="1">
      <c r="A12321" s="7">
        <v>573.0</v>
      </c>
      <c r="B12321" s="9" t="s">
        <v>17355</v>
      </c>
      <c r="C12321" s="9" t="s">
        <v>17356</v>
      </c>
      <c r="D12321" s="9" t="s">
        <v>107</v>
      </c>
      <c r="E12321" s="6" t="s">
        <v>17358</v>
      </c>
      <c r="F12321" s="9"/>
    </row>
    <row r="12322" ht="33.75" customHeight="1">
      <c r="A12322" s="7">
        <v>573.0</v>
      </c>
      <c r="B12322" s="9" t="s">
        <v>17355</v>
      </c>
      <c r="C12322" s="9" t="s">
        <v>17356</v>
      </c>
      <c r="D12322" s="9" t="s">
        <v>109</v>
      </c>
      <c r="E12322" s="6" t="s">
        <v>17359</v>
      </c>
      <c r="F12322" s="9"/>
    </row>
    <row r="12323" ht="33.75" customHeight="1">
      <c r="A12323" s="7">
        <v>573.0</v>
      </c>
      <c r="B12323" s="9" t="s">
        <v>17355</v>
      </c>
      <c r="C12323" s="9" t="s">
        <v>17356</v>
      </c>
      <c r="D12323" s="9" t="s">
        <v>647</v>
      </c>
      <c r="E12323" s="6" t="s">
        <v>17361</v>
      </c>
      <c r="F12323" s="9"/>
    </row>
    <row r="12324" ht="33.75" customHeight="1">
      <c r="A12324" s="7">
        <v>573.0</v>
      </c>
      <c r="B12324" s="9" t="s">
        <v>17355</v>
      </c>
      <c r="C12324" s="9" t="s">
        <v>17356</v>
      </c>
      <c r="D12324" s="9" t="s">
        <v>652</v>
      </c>
      <c r="E12324" s="6" t="s">
        <v>17362</v>
      </c>
      <c r="F12324" s="9"/>
    </row>
    <row r="12325" ht="33.75" customHeight="1">
      <c r="A12325" s="7">
        <v>573.0</v>
      </c>
      <c r="B12325" s="9" t="s">
        <v>17355</v>
      </c>
      <c r="C12325" s="9" t="s">
        <v>17356</v>
      </c>
      <c r="D12325" s="9" t="s">
        <v>114</v>
      </c>
      <c r="E12325" s="6" t="s">
        <v>17363</v>
      </c>
      <c r="F12325" s="9"/>
    </row>
    <row r="12326" ht="33.75" customHeight="1">
      <c r="A12326" s="7">
        <v>573.0</v>
      </c>
      <c r="B12326" s="9" t="s">
        <v>17355</v>
      </c>
      <c r="C12326" s="9" t="s">
        <v>17356</v>
      </c>
      <c r="D12326" s="9" t="s">
        <v>117</v>
      </c>
      <c r="E12326" s="6" t="s">
        <v>17364</v>
      </c>
      <c r="F12326" s="9"/>
    </row>
    <row r="12327" ht="33.75" customHeight="1">
      <c r="A12327" s="7">
        <v>574.0</v>
      </c>
      <c r="B12327" s="9" t="s">
        <v>17365</v>
      </c>
      <c r="C12327" s="9" t="s">
        <v>17366</v>
      </c>
      <c r="D12327" s="9" t="s">
        <v>93</v>
      </c>
      <c r="E12327" s="6" t="s">
        <v>17367</v>
      </c>
      <c r="F12327" t="inlineStr" s="10">
        <is>
          <t xml:space="preserve">Heidän nauhamaiset tuntosarvensa lisäävät heidän psyykkistä voimaansa. He tuijottavat aina jotakin. He tarkkailevat tarkasti sekä kouluttajia että Pokémoneja. Ilmeisesti he katsovat jotakin, minkä vain Gothita voi nähdä. Se tuijottaa kaikkea intensiivisesti. Se voi olla niin pakkomielteisen tarkkaileva, ettei se huomaa hyökkäyksiä. Vaikka he ovat vasta vauvoja, heidän nauhamaisissa tuntosarvissaan on varastoituneena psyykkistä voimaa, ja joskus he käyttävät tätä voimaa taisteluun. Vaikka ketään ei näyttäisi olevan lähellä, Gothita voi silti kuulla vaimean huudon. Monet uskovat sen puhuvan jollekin, minkä vain se voi nähdä.</t>
        </is>
      </c>
    </row>
    <row r="12328" ht="33.75" customHeight="1">
      <c r="A12328" s="7">
        <v>574.0</v>
      </c>
      <c r="B12328" s="9" t="s">
        <v>17365</v>
      </c>
      <c r="C12328" s="9" t="s">
        <v>17366</v>
      </c>
      <c r="D12328" s="9" t="s">
        <v>95</v>
      </c>
      <c r="E12328" s="6" t="s">
        <v>17368</v>
      </c>
      <c r="F12328" s="9"/>
    </row>
    <row r="12329" ht="33.75" customHeight="1">
      <c r="A12329" s="7">
        <v>574.0</v>
      </c>
      <c r="B12329" s="9" t="s">
        <v>17365</v>
      </c>
      <c r="C12329" s="9" t="s">
        <v>17366</v>
      </c>
      <c r="D12329" s="9" t="s">
        <v>98</v>
      </c>
      <c r="E12329" s="6" t="s">
        <v>17369</v>
      </c>
      <c r="F12329" s="9"/>
    </row>
    <row r="12330" ht="33.75" customHeight="1">
      <c r="A12330" s="7">
        <v>574.0</v>
      </c>
      <c r="B12330" s="9" t="s">
        <v>17365</v>
      </c>
      <c r="C12330" s="9" t="s">
        <v>17366</v>
      </c>
      <c r="D12330" s="9" t="s">
        <v>99</v>
      </c>
      <c r="E12330" s="6" t="s">
        <v>17369</v>
      </c>
      <c r="F12330" s="9"/>
    </row>
    <row r="12331" ht="33.75" customHeight="1">
      <c r="A12331" s="7">
        <v>574.0</v>
      </c>
      <c r="B12331" s="9" t="s">
        <v>17365</v>
      </c>
      <c r="C12331" s="9" t="s">
        <v>17366</v>
      </c>
      <c r="D12331" s="9" t="s">
        <v>101</v>
      </c>
      <c r="E12331" s="6" t="s">
        <v>17367</v>
      </c>
      <c r="F12331" s="9"/>
    </row>
    <row r="12332" ht="33.75" customHeight="1">
      <c r="A12332" s="7">
        <v>574.0</v>
      </c>
      <c r="B12332" s="9" t="s">
        <v>17365</v>
      </c>
      <c r="C12332" s="9" t="s">
        <v>17366</v>
      </c>
      <c r="D12332" s="9" t="s">
        <v>105</v>
      </c>
      <c r="E12332" s="6" t="s">
        <v>17368</v>
      </c>
      <c r="F12332" s="9"/>
    </row>
    <row r="12333" ht="33.75" customHeight="1">
      <c r="A12333" s="7">
        <v>574.0</v>
      </c>
      <c r="B12333" s="9" t="s">
        <v>17365</v>
      </c>
      <c r="C12333" s="9" t="s">
        <v>17366</v>
      </c>
      <c r="D12333" s="9" t="s">
        <v>107</v>
      </c>
      <c r="E12333" s="6" t="s">
        <v>17367</v>
      </c>
      <c r="F12333" s="9"/>
    </row>
    <row r="12334" ht="33.75" customHeight="1">
      <c r="A12334" s="7">
        <v>574.0</v>
      </c>
      <c r="B12334" s="9" t="s">
        <v>17365</v>
      </c>
      <c r="C12334" s="9" t="s">
        <v>17366</v>
      </c>
      <c r="D12334" s="9" t="s">
        <v>109</v>
      </c>
      <c r="E12334" s="6" t="s">
        <v>17368</v>
      </c>
      <c r="F12334" s="9"/>
    </row>
    <row r="12335" ht="33.75" customHeight="1">
      <c r="A12335" s="7">
        <v>574.0</v>
      </c>
      <c r="B12335" s="9" t="s">
        <v>17365</v>
      </c>
      <c r="C12335" s="9" t="s">
        <v>17366</v>
      </c>
      <c r="D12335" s="9" t="s">
        <v>114</v>
      </c>
      <c r="E12335" s="6" t="s">
        <v>17370</v>
      </c>
      <c r="F12335" s="9"/>
    </row>
    <row r="12336" ht="33.75" customHeight="1">
      <c r="A12336" s="7">
        <v>574.0</v>
      </c>
      <c r="B12336" s="9" t="s">
        <v>17365</v>
      </c>
      <c r="C12336" s="9" t="s">
        <v>17366</v>
      </c>
      <c r="D12336" s="9" t="s">
        <v>117</v>
      </c>
      <c r="E12336" s="6" t="s">
        <v>17371</v>
      </c>
      <c r="F12336" s="9"/>
    </row>
    <row r="12337" ht="33.75" customHeight="1">
      <c r="A12337" s="7">
        <v>575.0</v>
      </c>
      <c r="B12337" s="9" t="s">
        <v>17372</v>
      </c>
      <c r="C12337" s="9" t="s">
        <v>14711</v>
      </c>
      <c r="D12337" s="9" t="s">
        <v>93</v>
      </c>
      <c r="E12337" s="6" t="s">
        <v>17373</v>
      </c>
      <c r="F12337" t="inlineStr" s="10">
        <is>
          <t xml:space="preserve">He käyttävät hypnoosia ihmisten ja Pokémonien hallitsemiseen. Tarinoita Gothoritoista, jotka johtavat ihmisiä harhaan, kerrotaan joka nurkalla. Tähtienvalo on heidän voimansa lähde. Yöllä he merkitsevät tähtien sijainteja käyttämällä psyykkistä voimaa kivien kelluttamiseen. Monien vanhojen tarinoiden mukaan se luo itselleen ystäviä hallitsemalla nukkuvia lapsia tähtikirkkaina öinä. Sanotaan, että kun tähdet loistavat yötaivaalla, tämä Pokémon ajaa nukkuvat lapset pois. Jotkut kutsuvat sitä Rangaistuksen Noidaksi. Öinä, jolloin tähdet loistavat, tämän Pokémonin psyykkinen voima on vahvimmillaan. Ei tiedetä, mikä yhteys Gothoritalla on suurempaan universumiin.</t>
        </is>
      </c>
    </row>
    <row r="12338" ht="33.75" customHeight="1">
      <c r="A12338" s="7">
        <v>575.0</v>
      </c>
      <c r="B12338" s="9" t="s">
        <v>17372</v>
      </c>
      <c r="C12338" s="9" t="s">
        <v>14711</v>
      </c>
      <c r="D12338" s="9" t="s">
        <v>95</v>
      </c>
      <c r="E12338" s="6" t="s">
        <v>17374</v>
      </c>
      <c r="F12338" s="9"/>
    </row>
    <row r="12339" ht="33.75" customHeight="1">
      <c r="A12339" s="7">
        <v>575.0</v>
      </c>
      <c r="B12339" s="9" t="s">
        <v>17372</v>
      </c>
      <c r="C12339" s="9" t="s">
        <v>14711</v>
      </c>
      <c r="D12339" s="9" t="s">
        <v>98</v>
      </c>
      <c r="E12339" s="6" t="s">
        <v>17375</v>
      </c>
      <c r="F12339" s="9"/>
    </row>
    <row r="12340" ht="33.75" customHeight="1">
      <c r="A12340" s="7">
        <v>575.0</v>
      </c>
      <c r="B12340" s="9" t="s">
        <v>17372</v>
      </c>
      <c r="C12340" s="9" t="s">
        <v>14711</v>
      </c>
      <c r="D12340" s="9" t="s">
        <v>99</v>
      </c>
      <c r="E12340" s="6" t="s">
        <v>17375</v>
      </c>
      <c r="F12340" s="9"/>
    </row>
    <row r="12341" ht="33.75" customHeight="1">
      <c r="A12341" s="7">
        <v>575.0</v>
      </c>
      <c r="B12341" s="9" t="s">
        <v>17372</v>
      </c>
      <c r="C12341" s="9" t="s">
        <v>14711</v>
      </c>
      <c r="D12341" s="9" t="s">
        <v>101</v>
      </c>
      <c r="E12341" s="6" t="s">
        <v>17374</v>
      </c>
      <c r="F12341" s="9"/>
    </row>
    <row r="12342" ht="33.75" customHeight="1">
      <c r="A12342" s="7">
        <v>575.0</v>
      </c>
      <c r="B12342" s="9" t="s">
        <v>17372</v>
      </c>
      <c r="C12342" s="9" t="s">
        <v>14711</v>
      </c>
      <c r="D12342" s="9" t="s">
        <v>105</v>
      </c>
      <c r="E12342" s="6" t="s">
        <v>17375</v>
      </c>
      <c r="F12342" s="9"/>
    </row>
    <row r="12343" ht="33.75" customHeight="1">
      <c r="A12343" s="7">
        <v>575.0</v>
      </c>
      <c r="B12343" s="9" t="s">
        <v>17372</v>
      </c>
      <c r="C12343" s="9" t="s">
        <v>14711</v>
      </c>
      <c r="D12343" s="9" t="s">
        <v>107</v>
      </c>
      <c r="E12343" s="6" t="s">
        <v>17374</v>
      </c>
      <c r="F12343" s="9"/>
    </row>
    <row r="12344" ht="33.75" customHeight="1">
      <c r="A12344" s="7">
        <v>575.0</v>
      </c>
      <c r="B12344" s="9" t="s">
        <v>17372</v>
      </c>
      <c r="C12344" s="9" t="s">
        <v>14711</v>
      </c>
      <c r="D12344" s="9" t="s">
        <v>109</v>
      </c>
      <c r="E12344" s="6" t="s">
        <v>17375</v>
      </c>
      <c r="F12344" s="9"/>
    </row>
    <row r="12345" ht="33.75" customHeight="1">
      <c r="A12345" s="7">
        <v>575.0</v>
      </c>
      <c r="B12345" s="9" t="s">
        <v>17372</v>
      </c>
      <c r="C12345" s="9" t="s">
        <v>14711</v>
      </c>
      <c r="D12345" s="9" t="s">
        <v>114</v>
      </c>
      <c r="E12345" s="6" t="s">
        <v>17377</v>
      </c>
      <c r="F12345" s="9"/>
    </row>
    <row r="12346" ht="33.75" customHeight="1">
      <c r="A12346" s="7">
        <v>575.0</v>
      </c>
      <c r="B12346" s="9" t="s">
        <v>17372</v>
      </c>
      <c r="C12346" s="9" t="s">
        <v>14711</v>
      </c>
      <c r="D12346" s="9" t="s">
        <v>117</v>
      </c>
      <c r="E12346" s="6" t="s">
        <v>17378</v>
      </c>
      <c r="F12346" s="9"/>
    </row>
    <row r="12347" ht="33.75" customHeight="1">
      <c r="A12347" s="7">
        <v>576.0</v>
      </c>
      <c r="B12347" s="9" t="s">
        <v>17379</v>
      </c>
      <c r="C12347" s="9" t="s">
        <v>17380</v>
      </c>
      <c r="D12347" s="9" t="s">
        <v>93</v>
      </c>
      <c r="E12347" s="6" t="s">
        <v>17381</v>
      </c>
      <c r="F12347" t="inlineStr" s="10">
        <is>
          <t xml:space="preserve">Tuhansien valovuosien päässä olevat tähtitaivaat näkyvät avaruudessa, jota niiden voimakas psyykkinen voima vääristää. He voivat ennustaa tulevaisuutta tähtien sijainnin ja liikkeen perusteella. He voivat nähdä kouluttajien eliniän. Se näkee tulevaisuuden tähtien liikkeestä. Kun se saa tietää kouluttajansa eliniän, se itkee surusta. Sillä on valtava psyykkinen voima, mutta se ei pidä konflikteista. Se pystyy myös ennustamaan tulevaisuutta tähtien liikkeiden perusteella. Rikollinen, jolle gothitelle näytti kohtalonsa, katosi samana päivänä eikä häntä enää koskaan nähty.</t>
        </is>
      </c>
    </row>
    <row r="12348" ht="33.75" customHeight="1">
      <c r="A12348" s="7">
        <v>576.0</v>
      </c>
      <c r="B12348" s="9" t="s">
        <v>17379</v>
      </c>
      <c r="C12348" s="9" t="s">
        <v>17380</v>
      </c>
      <c r="D12348" s="9" t="s">
        <v>95</v>
      </c>
      <c r="E12348" s="6" t="s">
        <v>17382</v>
      </c>
      <c r="F12348" s="9"/>
    </row>
    <row r="12349" ht="33.75" customHeight="1">
      <c r="A12349" s="7">
        <v>576.0</v>
      </c>
      <c r="B12349" s="9" t="s">
        <v>17379</v>
      </c>
      <c r="C12349" s="9" t="s">
        <v>17380</v>
      </c>
      <c r="D12349" s="9" t="s">
        <v>98</v>
      </c>
      <c r="E12349" s="6" t="s">
        <v>17383</v>
      </c>
      <c r="F12349" s="9"/>
    </row>
    <row r="12350" ht="33.75" customHeight="1">
      <c r="A12350" s="7">
        <v>576.0</v>
      </c>
      <c r="B12350" s="9" t="s">
        <v>17379</v>
      </c>
      <c r="C12350" s="9" t="s">
        <v>17380</v>
      </c>
      <c r="D12350" s="9" t="s">
        <v>99</v>
      </c>
      <c r="E12350" s="6" t="s">
        <v>17383</v>
      </c>
      <c r="F12350" s="9"/>
    </row>
    <row r="12351" ht="33.75" customHeight="1">
      <c r="A12351" s="7">
        <v>576.0</v>
      </c>
      <c r="B12351" s="9" t="s">
        <v>17379</v>
      </c>
      <c r="C12351" s="9" t="s">
        <v>17380</v>
      </c>
      <c r="D12351" s="9" t="s">
        <v>101</v>
      </c>
      <c r="E12351" s="6" t="s">
        <v>17381</v>
      </c>
      <c r="F12351" s="9"/>
    </row>
    <row r="12352" ht="33.75" customHeight="1">
      <c r="A12352" s="7">
        <v>576.0</v>
      </c>
      <c r="B12352" s="9" t="s">
        <v>17379</v>
      </c>
      <c r="C12352" s="9" t="s">
        <v>17380</v>
      </c>
      <c r="D12352" s="9" t="s">
        <v>105</v>
      </c>
      <c r="E12352" s="6" t="s">
        <v>17382</v>
      </c>
      <c r="F12352" s="9"/>
    </row>
    <row r="12353" ht="33.75" customHeight="1">
      <c r="A12353" s="7">
        <v>576.0</v>
      </c>
      <c r="B12353" s="9" t="s">
        <v>17379</v>
      </c>
      <c r="C12353" s="9" t="s">
        <v>17380</v>
      </c>
      <c r="D12353" s="9" t="s">
        <v>107</v>
      </c>
      <c r="E12353" s="6" t="s">
        <v>17381</v>
      </c>
      <c r="F12353" s="9"/>
    </row>
    <row r="12354" ht="33.75" customHeight="1">
      <c r="A12354" s="7">
        <v>576.0</v>
      </c>
      <c r="B12354" s="9" t="s">
        <v>17379</v>
      </c>
      <c r="C12354" s="9" t="s">
        <v>17380</v>
      </c>
      <c r="D12354" s="9" t="s">
        <v>109</v>
      </c>
      <c r="E12354" s="6" t="s">
        <v>17382</v>
      </c>
      <c r="F12354" s="9"/>
    </row>
    <row r="12355" ht="33.75" customHeight="1">
      <c r="A12355" s="7">
        <v>576.0</v>
      </c>
      <c r="B12355" s="9" t="s">
        <v>17379</v>
      </c>
      <c r="C12355" s="9" t="s">
        <v>17380</v>
      </c>
      <c r="D12355" s="9" t="s">
        <v>114</v>
      </c>
      <c r="E12355" s="6" t="s">
        <v>17384</v>
      </c>
      <c r="F12355" s="9"/>
    </row>
    <row r="12356" ht="33.75" customHeight="1">
      <c r="A12356" s="7">
        <v>576.0</v>
      </c>
      <c r="B12356" s="9" t="s">
        <v>17379</v>
      </c>
      <c r="C12356" s="9" t="s">
        <v>17380</v>
      </c>
      <c r="D12356" s="9" t="s">
        <v>117</v>
      </c>
      <c r="E12356" s="6" t="s">
        <v>17385</v>
      </c>
      <c r="F12356" s="9"/>
    </row>
    <row r="12357" ht="33.75" customHeight="1">
      <c r="A12357" s="7">
        <v>577.0</v>
      </c>
      <c r="B12357" s="9" t="s">
        <v>17386</v>
      </c>
      <c r="C12357" s="9" t="s">
        <v>17387</v>
      </c>
      <c r="D12357" s="9" t="s">
        <v>93</v>
      </c>
      <c r="E12357" s="6" t="s">
        <v>17388</v>
      </c>
      <c r="F12357" t="inlineStr" s="10">
        <is>
          <t xml:space="preserve">He ajavat hyökkääjät pois päästämällä psyykkisiä voimia. He voivat käyttää telepatiaa puhuakseen muiden kanssa. Koska niiden ruumiit ovat erityisen nesteen peitossa, ne voivat selviytyä missä tahansa ympäristössä. Koska niiden ruumiit ovat peittyneet erityiseen nesteeseen, ne pärjäävät missä tahansa ympäristössä, olipa se kuinka ankara tahansa. Se kommunikoi muiden kanssa telepaattisesti. Sen ruumis on nesteen peitossa, mutta jos se saa kovan iskun, neste vuotaa ulos. Monet sanovat, että tämän Pokémonin kehoa peittävä erityinen neste mahdollistaisi sen selviytymisen avaruuden tyhjiössä.</t>
        </is>
      </c>
    </row>
    <row r="12358" ht="33.75" customHeight="1">
      <c r="A12358" s="7">
        <v>577.0</v>
      </c>
      <c r="B12358" s="9" t="s">
        <v>17386</v>
      </c>
      <c r="C12358" s="9" t="s">
        <v>17387</v>
      </c>
      <c r="D12358" s="9" t="s">
        <v>95</v>
      </c>
      <c r="E12358" s="6" t="s">
        <v>17389</v>
      </c>
      <c r="F12358" s="9"/>
    </row>
    <row r="12359" ht="33.75" customHeight="1">
      <c r="A12359" s="7">
        <v>577.0</v>
      </c>
      <c r="B12359" s="9" t="s">
        <v>17386</v>
      </c>
      <c r="C12359" s="9" t="s">
        <v>17387</v>
      </c>
      <c r="D12359" s="9" t="s">
        <v>98</v>
      </c>
      <c r="E12359" s="6" t="s">
        <v>17390</v>
      </c>
      <c r="F12359" s="9"/>
    </row>
    <row r="12360" ht="33.75" customHeight="1">
      <c r="A12360" s="7">
        <v>577.0</v>
      </c>
      <c r="B12360" s="9" t="s">
        <v>17386</v>
      </c>
      <c r="C12360" s="9" t="s">
        <v>17387</v>
      </c>
      <c r="D12360" s="9" t="s">
        <v>99</v>
      </c>
      <c r="E12360" s="6" t="s">
        <v>17390</v>
      </c>
      <c r="F12360" s="9"/>
    </row>
    <row r="12361" ht="33.75" customHeight="1">
      <c r="A12361" s="7">
        <v>577.0</v>
      </c>
      <c r="B12361" s="9" t="s">
        <v>17386</v>
      </c>
      <c r="C12361" s="9" t="s">
        <v>17387</v>
      </c>
      <c r="D12361" s="9" t="s">
        <v>101</v>
      </c>
      <c r="E12361" s="6" t="s">
        <v>17390</v>
      </c>
      <c r="F12361" s="9"/>
    </row>
    <row r="12362" ht="33.75" customHeight="1">
      <c r="A12362" s="7">
        <v>577.0</v>
      </c>
      <c r="B12362" s="9" t="s">
        <v>17386</v>
      </c>
      <c r="C12362" s="9" t="s">
        <v>17387</v>
      </c>
      <c r="D12362" s="9" t="s">
        <v>105</v>
      </c>
      <c r="E12362" s="6" t="s">
        <v>17388</v>
      </c>
      <c r="F12362" s="9"/>
    </row>
    <row r="12363" ht="33.75" customHeight="1">
      <c r="A12363" s="7">
        <v>577.0</v>
      </c>
      <c r="B12363" s="9" t="s">
        <v>17386</v>
      </c>
      <c r="C12363" s="9" t="s">
        <v>17387</v>
      </c>
      <c r="D12363" s="9" t="s">
        <v>107</v>
      </c>
      <c r="E12363" s="6" t="s">
        <v>17390</v>
      </c>
      <c r="F12363" s="9"/>
    </row>
    <row r="12364" ht="33.75" customHeight="1">
      <c r="A12364" s="7">
        <v>577.0</v>
      </c>
      <c r="B12364" s="9" t="s">
        <v>17386</v>
      </c>
      <c r="C12364" s="9" t="s">
        <v>17387</v>
      </c>
      <c r="D12364" s="9" t="s">
        <v>109</v>
      </c>
      <c r="E12364" s="6" t="s">
        <v>17388</v>
      </c>
      <c r="F12364" s="9"/>
    </row>
    <row r="12365" ht="33.75" customHeight="1">
      <c r="A12365" s="7">
        <v>577.0</v>
      </c>
      <c r="B12365" s="9" t="s">
        <v>17386</v>
      </c>
      <c r="C12365" s="9" t="s">
        <v>17387</v>
      </c>
      <c r="D12365" s="9" t="s">
        <v>114</v>
      </c>
      <c r="E12365" s="6" t="s">
        <v>17391</v>
      </c>
      <c r="F12365" s="9"/>
    </row>
    <row r="12366" ht="33.75" customHeight="1">
      <c r="A12366" s="7">
        <v>577.0</v>
      </c>
      <c r="B12366" s="9" t="s">
        <v>17386</v>
      </c>
      <c r="C12366" s="9" t="s">
        <v>17387</v>
      </c>
      <c r="D12366" s="9" t="s">
        <v>117</v>
      </c>
      <c r="E12366" s="6" t="s">
        <v>17392</v>
      </c>
      <c r="F12366" s="9"/>
    </row>
    <row r="12367" ht="33.75" customHeight="1">
      <c r="A12367" s="7">
        <v>578.0</v>
      </c>
      <c r="B12367" s="9" t="s">
        <v>17393</v>
      </c>
      <c r="C12367" s="9" t="s">
        <v>17394</v>
      </c>
      <c r="D12367" s="9" t="s">
        <v>93</v>
      </c>
      <c r="E12367" s="6" t="s">
        <v>17395</v>
      </c>
      <c r="F12367" t="inlineStr" s="10">
        <is>
          <t xml:space="preserve">Koska niillä on kaksi eriytynyttä aivoa, ne yrittävät ajoittain yhtäkkiä tehdä kaksi eri asiaa kerralla. Kun heidän aivonsa, jotka ovat nyt jakautuneet kahtia, ajattelevat samoja ajatuksia, nämä Pokémonit osoittavat maksimaalista voimaansa. Kun heidän kaksi jakautunutta aivoaan ajattelevat samoja ajatuksia, heidän psyykkinen voimansa maksimoituu. Sen psyykkisen voiman oletetaan voivan kattaa yli 800 metrin kantaman – mutta vain jos sen kaksi aivoa pystyvät toimimaan yhdessä. Sen aivot ovat jakautuneet kahtia, ja nämä kaksi puoliskoa ajattelevat harvoin samalla tavalla. Sen teot ovat täysin arvaamattomia.</t>
        </is>
      </c>
    </row>
    <row r="12368" ht="33.75" customHeight="1">
      <c r="A12368" s="7">
        <v>578.0</v>
      </c>
      <c r="B12368" s="9" t="s">
        <v>17393</v>
      </c>
      <c r="C12368" s="9" t="s">
        <v>17394</v>
      </c>
      <c r="D12368" s="9" t="s">
        <v>95</v>
      </c>
      <c r="E12368" s="6" t="s">
        <v>17396</v>
      </c>
      <c r="F12368" s="9"/>
    </row>
    <row r="12369" ht="33.75" customHeight="1">
      <c r="A12369" s="7">
        <v>578.0</v>
      </c>
      <c r="B12369" s="9" t="s">
        <v>17393</v>
      </c>
      <c r="C12369" s="9" t="s">
        <v>17394</v>
      </c>
      <c r="D12369" s="9" t="s">
        <v>98</v>
      </c>
      <c r="E12369" s="6" t="s">
        <v>17397</v>
      </c>
      <c r="F12369" s="9"/>
    </row>
    <row r="12370" ht="33.75" customHeight="1">
      <c r="A12370" s="7">
        <v>578.0</v>
      </c>
      <c r="B12370" s="9" t="s">
        <v>17393</v>
      </c>
      <c r="C12370" s="9" t="s">
        <v>17394</v>
      </c>
      <c r="D12370" s="9" t="s">
        <v>99</v>
      </c>
      <c r="E12370" s="6" t="s">
        <v>17397</v>
      </c>
      <c r="F12370" s="9"/>
    </row>
    <row r="12371" ht="33.75" customHeight="1">
      <c r="A12371" s="7">
        <v>578.0</v>
      </c>
      <c r="B12371" s="9" t="s">
        <v>17393</v>
      </c>
      <c r="C12371" s="9" t="s">
        <v>17394</v>
      </c>
      <c r="D12371" s="9" t="s">
        <v>101</v>
      </c>
      <c r="E12371" s="6" t="s">
        <v>17395</v>
      </c>
      <c r="F12371" s="9"/>
    </row>
    <row r="12372" ht="33.75" customHeight="1">
      <c r="A12372" s="7">
        <v>578.0</v>
      </c>
      <c r="B12372" s="9" t="s">
        <v>17393</v>
      </c>
      <c r="C12372" s="9" t="s">
        <v>17394</v>
      </c>
      <c r="D12372" s="9" t="s">
        <v>105</v>
      </c>
      <c r="E12372" s="6" t="s">
        <v>17397</v>
      </c>
      <c r="F12372" s="9"/>
    </row>
    <row r="12373" ht="33.75" customHeight="1">
      <c r="A12373" s="7">
        <v>578.0</v>
      </c>
      <c r="B12373" s="9" t="s">
        <v>17393</v>
      </c>
      <c r="C12373" s="9" t="s">
        <v>17394</v>
      </c>
      <c r="D12373" s="9" t="s">
        <v>107</v>
      </c>
      <c r="E12373" s="6" t="s">
        <v>17395</v>
      </c>
      <c r="F12373" s="9"/>
    </row>
    <row r="12374" ht="33.75" customHeight="1">
      <c r="A12374" s="7">
        <v>578.0</v>
      </c>
      <c r="B12374" s="9" t="s">
        <v>17393</v>
      </c>
      <c r="C12374" s="9" t="s">
        <v>17394</v>
      </c>
      <c r="D12374" s="9" t="s">
        <v>109</v>
      </c>
      <c r="E12374" s="6" t="s">
        <v>17397</v>
      </c>
      <c r="F12374" s="9"/>
    </row>
    <row r="12375" ht="33.75" customHeight="1">
      <c r="A12375" s="7">
        <v>578.0</v>
      </c>
      <c r="B12375" s="9" t="s">
        <v>17393</v>
      </c>
      <c r="C12375" s="9" t="s">
        <v>17394</v>
      </c>
      <c r="D12375" s="9" t="s">
        <v>114</v>
      </c>
      <c r="E12375" s="6" t="s">
        <v>17399</v>
      </c>
      <c r="F12375" s="9"/>
    </row>
    <row r="12376" ht="33.75" customHeight="1">
      <c r="A12376" s="7">
        <v>578.0</v>
      </c>
      <c r="B12376" s="9" t="s">
        <v>17393</v>
      </c>
      <c r="C12376" s="9" t="s">
        <v>17394</v>
      </c>
      <c r="D12376" s="9" t="s">
        <v>117</v>
      </c>
      <c r="E12376" s="6" t="s">
        <v>17400</v>
      </c>
      <c r="F12376" s="9"/>
    </row>
    <row r="12377" ht="33.75" customHeight="1">
      <c r="A12377" s="7">
        <v>579.0</v>
      </c>
      <c r="B12377" s="9" t="s">
        <v>17401</v>
      </c>
      <c r="C12377" s="9" t="s">
        <v>17402</v>
      </c>
      <c r="D12377" s="9" t="s">
        <v>93</v>
      </c>
      <c r="E12377" s="6" t="s">
        <v>17403</v>
      </c>
      <c r="F12377" t="inlineStr" s="10">
        <is>
          <t xml:space="preserve">Kun Reuniclus kättelee, heidän aivojensa välille muodostuu verkosto, joka lisää heidän psyykkistä voimaansa. Nämä huomattavan älykkäät Pokémonit taistelevat käyttämällä käsivarsia, jotka pystyvät murskaamaan kiven. He käyttävät psyykkistä voimaa hallitakseen käsivarsiaan, jotka on tehty erityisestä nesteestä. He voivat murskata lohkareita psyykkisesti. Vaikka se voisi käyttää psyykkisiä kykyjään taistelussa, tämä Pokémon mieluummin heiluttaa voimakkaita käsiään voittaakseen vastustajat alistumaan. Sanotaan, että Reuniclus-nestettä juomalla saa viisautta. Ongelmana on, että neste on erittäin myrkyllistä kaikelle muulle paitsi itse Reuniclus-nesteelle.</t>
        </is>
      </c>
    </row>
    <row r="12378" ht="33.75" customHeight="1">
      <c r="A12378" s="7">
        <v>579.0</v>
      </c>
      <c r="B12378" s="9" t="s">
        <v>17401</v>
      </c>
      <c r="C12378" s="9" t="s">
        <v>17402</v>
      </c>
      <c r="D12378" s="9" t="s">
        <v>95</v>
      </c>
      <c r="E12378" s="6" t="s">
        <v>17404</v>
      </c>
      <c r="F12378" s="9"/>
    </row>
    <row r="12379" ht="33.75" customHeight="1">
      <c r="A12379" s="7">
        <v>579.0</v>
      </c>
      <c r="B12379" s="9" t="s">
        <v>17401</v>
      </c>
      <c r="C12379" s="9" t="s">
        <v>17402</v>
      </c>
      <c r="D12379" s="9" t="s">
        <v>98</v>
      </c>
      <c r="E12379" s="6" t="s">
        <v>17405</v>
      </c>
      <c r="F12379" s="9"/>
    </row>
    <row r="12380" ht="33.75" customHeight="1">
      <c r="A12380" s="7">
        <v>579.0</v>
      </c>
      <c r="B12380" s="9" t="s">
        <v>17401</v>
      </c>
      <c r="C12380" s="9" t="s">
        <v>17402</v>
      </c>
      <c r="D12380" s="9" t="s">
        <v>99</v>
      </c>
      <c r="E12380" s="6" t="s">
        <v>17405</v>
      </c>
      <c r="F12380" s="9"/>
    </row>
    <row r="12381" ht="33.75" customHeight="1">
      <c r="A12381" s="7">
        <v>579.0</v>
      </c>
      <c r="B12381" s="9" t="s">
        <v>17401</v>
      </c>
      <c r="C12381" s="9" t="s">
        <v>17402</v>
      </c>
      <c r="D12381" s="9" t="s">
        <v>101</v>
      </c>
      <c r="E12381" s="6" t="s">
        <v>17405</v>
      </c>
      <c r="F12381" s="9"/>
    </row>
    <row r="12382" ht="33.75" customHeight="1">
      <c r="A12382" s="7">
        <v>579.0</v>
      </c>
      <c r="B12382" s="9" t="s">
        <v>17401</v>
      </c>
      <c r="C12382" s="9" t="s">
        <v>17402</v>
      </c>
      <c r="D12382" s="9" t="s">
        <v>105</v>
      </c>
      <c r="E12382" s="6" t="s">
        <v>17403</v>
      </c>
      <c r="F12382" s="9"/>
    </row>
    <row r="12383" ht="33.75" customHeight="1">
      <c r="A12383" s="7">
        <v>579.0</v>
      </c>
      <c r="B12383" s="9" t="s">
        <v>17401</v>
      </c>
      <c r="C12383" s="9" t="s">
        <v>17402</v>
      </c>
      <c r="D12383" s="9" t="s">
        <v>107</v>
      </c>
      <c r="E12383" s="6" t="s">
        <v>17405</v>
      </c>
      <c r="F12383" s="9"/>
    </row>
    <row r="12384" ht="33.75" customHeight="1">
      <c r="A12384" s="7">
        <v>579.0</v>
      </c>
      <c r="B12384" s="9" t="s">
        <v>17401</v>
      </c>
      <c r="C12384" s="9" t="s">
        <v>17402</v>
      </c>
      <c r="D12384" s="9" t="s">
        <v>109</v>
      </c>
      <c r="E12384" s="6" t="s">
        <v>17403</v>
      </c>
      <c r="F12384" s="9"/>
    </row>
    <row r="12385" ht="33.75" customHeight="1">
      <c r="A12385" s="7">
        <v>579.0</v>
      </c>
      <c r="B12385" s="9" t="s">
        <v>17401</v>
      </c>
      <c r="C12385" s="9" t="s">
        <v>17402</v>
      </c>
      <c r="D12385" s="9" t="s">
        <v>114</v>
      </c>
      <c r="E12385" s="6" t="s">
        <v>17406</v>
      </c>
      <c r="F12385" s="9"/>
    </row>
    <row r="12386" ht="33.75" customHeight="1">
      <c r="A12386" s="7">
        <v>579.0</v>
      </c>
      <c r="B12386" s="9" t="s">
        <v>17401</v>
      </c>
      <c r="C12386" s="9" t="s">
        <v>17402</v>
      </c>
      <c r="D12386" s="9" t="s">
        <v>117</v>
      </c>
      <c r="E12386" s="6" t="s">
        <v>17407</v>
      </c>
      <c r="F12386" s="9"/>
    </row>
    <row r="12387" ht="33.75" customHeight="1">
      <c r="A12387" s="7">
        <v>580.0</v>
      </c>
      <c r="B12387" s="9" t="s">
        <v>17408</v>
      </c>
      <c r="C12387" s="9" t="s">
        <v>14081</v>
      </c>
      <c r="D12387" s="9" t="s">
        <v>93</v>
      </c>
      <c r="E12387" s="6" t="s">
        <v>17409</v>
      </c>
      <c r="F12387" t="inlineStr" s="10">
        <is>
          <t xml:space="preserve">Nämä lintu-Pokémonit ovat erinomaisia ​​sukeltajia. Ne uivat vedessä syöden lempiruokaansa – turvetta. Hyökkäyksen sattuessa se roiskii vettä höyhenillään ja pakenee suihkeen suihkeen suojissa. Ne ovat parempia uimaan kuin lentämään, ja ne syövät mielellään lempiruokaansa, turvetta, sukeltaessaan veden alle.</t>
        </is>
      </c>
    </row>
    <row r="12388" ht="33.75" customHeight="1">
      <c r="A12388" s="7">
        <v>580.0</v>
      </c>
      <c r="B12388" s="9" t="s">
        <v>17408</v>
      </c>
      <c r="C12388" s="9" t="s">
        <v>14081</v>
      </c>
      <c r="D12388" s="9" t="s">
        <v>95</v>
      </c>
      <c r="E12388" s="6" t="s">
        <v>17410</v>
      </c>
      <c r="F12388" s="9"/>
    </row>
    <row r="12389" ht="33.75" customHeight="1">
      <c r="A12389" s="7">
        <v>580.0</v>
      </c>
      <c r="B12389" s="9" t="s">
        <v>17408</v>
      </c>
      <c r="C12389" s="9" t="s">
        <v>14081</v>
      </c>
      <c r="D12389" s="9" t="s">
        <v>98</v>
      </c>
      <c r="E12389" s="6" t="s">
        <v>17411</v>
      </c>
      <c r="F12389" s="9"/>
    </row>
    <row r="12390" ht="33.75" customHeight="1">
      <c r="A12390" s="7">
        <v>580.0</v>
      </c>
      <c r="B12390" s="9" t="s">
        <v>17408</v>
      </c>
      <c r="C12390" s="9" t="s">
        <v>14081</v>
      </c>
      <c r="D12390" s="9" t="s">
        <v>99</v>
      </c>
      <c r="E12390" s="6" t="s">
        <v>17411</v>
      </c>
      <c r="F12390" s="9"/>
    </row>
    <row r="12391" ht="33.75" customHeight="1">
      <c r="A12391" s="7">
        <v>580.0</v>
      </c>
      <c r="B12391" s="9" t="s">
        <v>17408</v>
      </c>
      <c r="C12391" s="9" t="s">
        <v>14081</v>
      </c>
      <c r="D12391" s="9" t="s">
        <v>101</v>
      </c>
      <c r="E12391" s="6" t="s">
        <v>17410</v>
      </c>
      <c r="F12391" s="9"/>
    </row>
    <row r="12392" ht="33.75" customHeight="1">
      <c r="A12392" s="7">
        <v>580.0</v>
      </c>
      <c r="B12392" s="9" t="s">
        <v>17408</v>
      </c>
      <c r="C12392" s="9" t="s">
        <v>14081</v>
      </c>
      <c r="D12392" s="9" t="s">
        <v>105</v>
      </c>
      <c r="E12392" s="6" t="s">
        <v>17411</v>
      </c>
      <c r="F12392" s="9"/>
    </row>
    <row r="12393" ht="33.75" customHeight="1">
      <c r="A12393" s="7">
        <v>580.0</v>
      </c>
      <c r="B12393" s="9" t="s">
        <v>17408</v>
      </c>
      <c r="C12393" s="9" t="s">
        <v>14081</v>
      </c>
      <c r="D12393" s="9" t="s">
        <v>107</v>
      </c>
      <c r="E12393" s="6" t="s">
        <v>17410</v>
      </c>
      <c r="F12393" s="9"/>
    </row>
    <row r="12394" ht="33.75" customHeight="1">
      <c r="A12394" s="7">
        <v>580.0</v>
      </c>
      <c r="B12394" s="9" t="s">
        <v>17408</v>
      </c>
      <c r="C12394" s="9" t="s">
        <v>14081</v>
      </c>
      <c r="D12394" s="9" t="s">
        <v>109</v>
      </c>
      <c r="E12394" s="6" t="s">
        <v>17411</v>
      </c>
      <c r="F12394" s="9"/>
    </row>
    <row r="12395" ht="33.75" customHeight="1">
      <c r="A12395" s="7">
        <v>581.0</v>
      </c>
      <c r="B12395" s="9" t="s">
        <v>17412</v>
      </c>
      <c r="C12395" s="9" t="s">
        <v>17413</v>
      </c>
      <c r="D12395" s="9" t="s">
        <v>93</v>
      </c>
      <c r="E12395" s="6" t="s">
        <v>17414</v>
      </c>
      <c r="F12395" t="inlineStr" s="10">
        <is>
          <t xml:space="preserve">Swannat alkavat tanssia hämärän laskeutuessa. Keskellä tanssiva on parven johtaja. Se antaa nokallaan teräviä ja voimakkaita nokkaiskuja. Se heilauttaa pitkää kaulaansa antaakseen voimakkaita toistuvia iskuja. Tyylikkäästä ulkonäöstään huolimatta ne voivat räpytellä siipiään voimakkaasti ja lentää tuhansia kilometrejä.</t>
        </is>
      </c>
    </row>
    <row r="12396" ht="33.75" customHeight="1">
      <c r="A12396" s="7">
        <v>581.0</v>
      </c>
      <c r="B12396" s="9" t="s">
        <v>17412</v>
      </c>
      <c r="C12396" s="9" t="s">
        <v>17413</v>
      </c>
      <c r="D12396" s="9" t="s">
        <v>95</v>
      </c>
      <c r="E12396" s="6" t="s">
        <v>17415</v>
      </c>
      <c r="F12396" s="9"/>
    </row>
    <row r="12397" ht="33.75" customHeight="1">
      <c r="A12397" s="7">
        <v>581.0</v>
      </c>
      <c r="B12397" s="9" t="s">
        <v>17412</v>
      </c>
      <c r="C12397" s="9" t="s">
        <v>17413</v>
      </c>
      <c r="D12397" s="9" t="s">
        <v>98</v>
      </c>
      <c r="E12397" s="6" t="s">
        <v>17416</v>
      </c>
      <c r="F12397" s="9"/>
    </row>
    <row r="12398" ht="33.75" customHeight="1">
      <c r="A12398" s="7">
        <v>581.0</v>
      </c>
      <c r="B12398" s="9" t="s">
        <v>17412</v>
      </c>
      <c r="C12398" s="9" t="s">
        <v>17413</v>
      </c>
      <c r="D12398" s="9" t="s">
        <v>99</v>
      </c>
      <c r="E12398" s="6" t="s">
        <v>17416</v>
      </c>
      <c r="F12398" s="9"/>
    </row>
    <row r="12399" ht="33.75" customHeight="1">
      <c r="A12399" s="7">
        <v>581.0</v>
      </c>
      <c r="B12399" s="9" t="s">
        <v>17412</v>
      </c>
      <c r="C12399" s="9" t="s">
        <v>17413</v>
      </c>
      <c r="D12399" s="9" t="s">
        <v>101</v>
      </c>
      <c r="E12399" s="6" t="s">
        <v>17416</v>
      </c>
      <c r="F12399" s="9"/>
    </row>
    <row r="12400" ht="33.75" customHeight="1">
      <c r="A12400" s="7">
        <v>581.0</v>
      </c>
      <c r="B12400" s="9" t="s">
        <v>17412</v>
      </c>
      <c r="C12400" s="9" t="s">
        <v>17413</v>
      </c>
      <c r="D12400" s="9" t="s">
        <v>105</v>
      </c>
      <c r="E12400" s="6" t="s">
        <v>17414</v>
      </c>
      <c r="F12400" s="9"/>
    </row>
    <row r="12401" ht="33.75" customHeight="1">
      <c r="A12401" s="7">
        <v>581.0</v>
      </c>
      <c r="B12401" s="9" t="s">
        <v>17412</v>
      </c>
      <c r="C12401" s="9" t="s">
        <v>17413</v>
      </c>
      <c r="D12401" s="9" t="s">
        <v>107</v>
      </c>
      <c r="E12401" s="6" t="s">
        <v>17416</v>
      </c>
      <c r="F12401" s="9"/>
    </row>
    <row r="12402" ht="33.75" customHeight="1">
      <c r="A12402" s="7">
        <v>581.0</v>
      </c>
      <c r="B12402" s="9" t="s">
        <v>17412</v>
      </c>
      <c r="C12402" s="9" t="s">
        <v>17413</v>
      </c>
      <c r="D12402" s="9" t="s">
        <v>109</v>
      </c>
      <c r="E12402" s="6" t="s">
        <v>17414</v>
      </c>
      <c r="F12402" s="9"/>
    </row>
    <row r="12403" ht="33.75" customHeight="1">
      <c r="A12403" s="7">
        <v>582.0</v>
      </c>
      <c r="B12403" s="9" t="s">
        <v>17417</v>
      </c>
      <c r="C12403" s="9" t="s">
        <v>16516</v>
      </c>
      <c r="D12403" s="9" t="s">
        <v>93</v>
      </c>
      <c r="E12403" s="6" t="s">
        <v>17418</v>
      </c>
      <c r="F12403" t="inlineStr" s="10">
        <is>
          <t xml:space="preserve">Niiden hengityksen lämpötila on -58° F. Ne luovat lumikiteitä ja saavat lumen satamaan ympärillään oleville alueille. Tämä Pokémon muodostui jääpuikoista, jotka kylpivät aamuauringon energiassa. Se nukkuu lumen peitossa. Teoriassa tämä Pokémon muodostui jääpuikoista, jotka kylpivät aamuauringon energiassa. Niiden hengityksen lämpötila on -58 Fahrenheit-astetta. Jääpuikosta syntynyt Pokémon käyttää pakkashengitystään jääkiteiden tekemiseen, jotka aiheuttavat lumen satamista. Se tuntuu miellyttävän viileältä halattaessa. Lämpimien alueiden kotitaloudet arvostavat tätä Pokémonia. Se hengittää ulos kylmää ilmaa, jonka lämpötila on –27 celsiusastetta. Lämpimässä paikassa se kutistuu vähitellen. Kun aamuaurinko osui jääpuikkoon, se ei halunnut sulaa, ja näin vanilliitti syntyi. Yöllä se hautautuu lumeen nukkuakseen. Koska se ei selviä kuumilla alueilla, se tekee olonsa mukavaksi hengittämällä ulos niin kylmää ilmaa, että se aiheuttaa lunta. Se kaivautuu lumeen nukkuakseen. Tämän Pokémonin oletetaan syntyneen jääpuikosta. Se syöksee ulos -27 celsiusasteen jääkylmää ilmaa tehdäkseen olonsa mukavammaksi.</t>
        </is>
      </c>
    </row>
    <row r="12404" ht="33.75" customHeight="1">
      <c r="A12404" s="7">
        <v>582.0</v>
      </c>
      <c r="B12404" s="9" t="s">
        <v>17417</v>
      </c>
      <c r="C12404" s="9" t="s">
        <v>16516</v>
      </c>
      <c r="D12404" s="9" t="s">
        <v>95</v>
      </c>
      <c r="E12404" s="6" t="s">
        <v>17419</v>
      </c>
      <c r="F12404" s="9"/>
    </row>
    <row r="12405" ht="33.75" customHeight="1">
      <c r="A12405" s="7">
        <v>582.0</v>
      </c>
      <c r="B12405" s="9" t="s">
        <v>17417</v>
      </c>
      <c r="C12405" s="9" t="s">
        <v>16516</v>
      </c>
      <c r="D12405" s="9" t="s">
        <v>98</v>
      </c>
      <c r="E12405" s="6" t="s">
        <v>17420</v>
      </c>
      <c r="F12405" s="9"/>
    </row>
    <row r="12406" ht="33.75" customHeight="1">
      <c r="A12406" s="7">
        <v>582.0</v>
      </c>
      <c r="B12406" s="9" t="s">
        <v>17417</v>
      </c>
      <c r="C12406" s="9" t="s">
        <v>16516</v>
      </c>
      <c r="D12406" s="9" t="s">
        <v>99</v>
      </c>
      <c r="E12406" s="6" t="s">
        <v>17420</v>
      </c>
      <c r="F12406" s="9"/>
    </row>
    <row r="12407" ht="33.75" customHeight="1">
      <c r="A12407" s="7">
        <v>582.0</v>
      </c>
      <c r="B12407" s="9" t="s">
        <v>17417</v>
      </c>
      <c r="C12407" s="9" t="s">
        <v>16516</v>
      </c>
      <c r="D12407" s="9" t="s">
        <v>101</v>
      </c>
      <c r="E12407" s="6" t="s">
        <v>17421</v>
      </c>
      <c r="F12407" s="9"/>
    </row>
    <row r="12408" ht="33.75" customHeight="1">
      <c r="A12408" s="7">
        <v>582.0</v>
      </c>
      <c r="B12408" s="9" t="s">
        <v>17417</v>
      </c>
      <c r="C12408" s="9" t="s">
        <v>16516</v>
      </c>
      <c r="D12408" s="9" t="s">
        <v>105</v>
      </c>
      <c r="E12408" s="6" t="s">
        <v>17419</v>
      </c>
      <c r="F12408" s="9"/>
    </row>
    <row r="12409" ht="33.75" customHeight="1">
      <c r="A12409" s="7">
        <v>582.0</v>
      </c>
      <c r="B12409" s="9" t="s">
        <v>17417</v>
      </c>
      <c r="C12409" s="9" t="s">
        <v>16516</v>
      </c>
      <c r="D12409" s="9" t="s">
        <v>107</v>
      </c>
      <c r="E12409" s="6" t="s">
        <v>17421</v>
      </c>
      <c r="F12409" s="9"/>
    </row>
    <row r="12410" ht="33.75" customHeight="1">
      <c r="A12410" s="7">
        <v>582.0</v>
      </c>
      <c r="B12410" s="9" t="s">
        <v>17417</v>
      </c>
      <c r="C12410" s="9" t="s">
        <v>16516</v>
      </c>
      <c r="D12410" s="9" t="s">
        <v>109</v>
      </c>
      <c r="E12410" s="6" t="s">
        <v>17419</v>
      </c>
      <c r="F12410" s="9"/>
    </row>
    <row r="12411" ht="33.75" customHeight="1">
      <c r="A12411" s="7">
        <v>582.0</v>
      </c>
      <c r="B12411" s="9" t="s">
        <v>17417</v>
      </c>
      <c r="C12411" s="9" t="s">
        <v>16516</v>
      </c>
      <c r="D12411" s="9" t="s">
        <v>637</v>
      </c>
      <c r="E12411" s="6" t="s">
        <v>17423</v>
      </c>
      <c r="F12411" s="9"/>
    </row>
    <row r="12412" ht="33.75" customHeight="1">
      <c r="A12412" s="7">
        <v>582.0</v>
      </c>
      <c r="B12412" s="9" t="s">
        <v>17417</v>
      </c>
      <c r="C12412" s="9" t="s">
        <v>16516</v>
      </c>
      <c r="D12412" s="9" t="s">
        <v>642</v>
      </c>
      <c r="E12412" s="6" t="s">
        <v>17424</v>
      </c>
      <c r="F12412" s="9"/>
    </row>
    <row r="12413" ht="33.75" customHeight="1">
      <c r="A12413" s="7">
        <v>582.0</v>
      </c>
      <c r="B12413" s="9" t="s">
        <v>17417</v>
      </c>
      <c r="C12413" s="9" t="s">
        <v>16516</v>
      </c>
      <c r="D12413" s="9" t="s">
        <v>647</v>
      </c>
      <c r="E12413" s="6" t="s">
        <v>17425</v>
      </c>
      <c r="F12413" s="9"/>
    </row>
    <row r="12414" ht="33.75" customHeight="1">
      <c r="A12414" s="7">
        <v>582.0</v>
      </c>
      <c r="B12414" s="9" t="s">
        <v>17417</v>
      </c>
      <c r="C12414" s="9" t="s">
        <v>16516</v>
      </c>
      <c r="D12414" s="9" t="s">
        <v>652</v>
      </c>
      <c r="E12414" s="6" t="s">
        <v>17426</v>
      </c>
      <c r="F12414" s="9"/>
    </row>
    <row r="12415" ht="33.75" customHeight="1">
      <c r="A12415" s="7">
        <v>582.0</v>
      </c>
      <c r="B12415" s="9" t="s">
        <v>17417</v>
      </c>
      <c r="C12415" s="9" t="s">
        <v>16516</v>
      </c>
      <c r="D12415" s="9" t="s">
        <v>114</v>
      </c>
      <c r="E12415" s="6" t="s">
        <v>17427</v>
      </c>
      <c r="F12415" s="9"/>
    </row>
    <row r="12416" ht="33.75" customHeight="1">
      <c r="A12416" s="7">
        <v>582.0</v>
      </c>
      <c r="B12416" s="9" t="s">
        <v>17417</v>
      </c>
      <c r="C12416" s="9" t="s">
        <v>16516</v>
      </c>
      <c r="D12416" s="9" t="s">
        <v>117</v>
      </c>
      <c r="E12416" s="6" t="s">
        <v>17428</v>
      </c>
      <c r="F12416" s="9"/>
    </row>
    <row r="12417" ht="33.75" customHeight="1">
      <c r="A12417" s="7">
        <v>583.0</v>
      </c>
      <c r="B12417" s="9" t="s">
        <v>17429</v>
      </c>
      <c r="C12417" s="9" t="s">
        <v>17430</v>
      </c>
      <c r="D12417" s="9" t="s">
        <v>93</v>
      </c>
      <c r="E12417" s="6" t="s">
        <v>17431</v>
      </c>
      <c r="F12417" t="inlineStr" s="10">
        <is>
          <t xml:space="preserve">Lumiset vuoret ovat tämän Pokémonin elinympäristö. Muinaisen jääkauden aikana ne muuttivat eteläisille alueille. Se piiloutuu vihollisen katseilta luomalla monia pieniä jäähiukkasia ja piiloutumalla niiden joukkoon. Ne viilentävät ympäröivää ilmaa ja luovat jäähiukkasia, joita ne käyttävät vihollistensa jäädyttämiseen. Kuumat päivät sulattavat sen ruumiin. Se voidaan palauttaa pakastamalla se uudelleen, mutta prosessi jättää sen ruumiin hieman vääristyneeksi. Tämä Pokémon on ollut olemassa jääkaudesta lähtien. Se hallitsee jäähiukkasia, jäädyttää vastustajansa ja murskaa heidät pääniskulla. Se suihkuttaa vihollisiaan jääjyväsillä jäädyttääkseen heidät. Useimmat Alolan vaniljaiset ovat keskimääräistä pienempiä. Tämä reipas Pokémon selvisi jääkaudesta. Se on uskomattoman suosittu erittäin kuumilla alueilla. Juomalla puhdasta vettä se kasvattaa jäistä vartaloaan. Tätä Pokémonia voi olla vaikea löytää lämpiminä ja aurinkoisina päivinä. Se puhaltaa vihollisia kylmällä ilmalla, jonka lämpötila nousee −75 celsiusasteeseen, ja jäädyttää heidät jähmettyneiksi. Mutta se säästää heidän henkensä sen jälkeen – se on kiltti Pokémon.</t>
        </is>
      </c>
    </row>
    <row r="12418" ht="33.75" customHeight="1">
      <c r="A12418" s="7">
        <v>583.0</v>
      </c>
      <c r="B12418" s="9" t="s">
        <v>17429</v>
      </c>
      <c r="C12418" s="9" t="s">
        <v>17430</v>
      </c>
      <c r="D12418" s="9" t="s">
        <v>95</v>
      </c>
      <c r="E12418" s="6" t="s">
        <v>17432</v>
      </c>
      <c r="F12418" s="9"/>
    </row>
    <row r="12419" ht="33.75" customHeight="1">
      <c r="A12419" s="7">
        <v>583.0</v>
      </c>
      <c r="B12419" s="9" t="s">
        <v>17429</v>
      </c>
      <c r="C12419" s="9" t="s">
        <v>17430</v>
      </c>
      <c r="D12419" s="9" t="s">
        <v>98</v>
      </c>
      <c r="E12419" s="6" t="s">
        <v>17433</v>
      </c>
      <c r="F12419" s="9"/>
    </row>
    <row r="12420" ht="33.75" customHeight="1">
      <c r="A12420" s="7">
        <v>583.0</v>
      </c>
      <c r="B12420" s="9" t="s">
        <v>17429</v>
      </c>
      <c r="C12420" s="9" t="s">
        <v>17430</v>
      </c>
      <c r="D12420" s="9" t="s">
        <v>99</v>
      </c>
      <c r="E12420" s="6" t="s">
        <v>17433</v>
      </c>
      <c r="F12420" s="9"/>
    </row>
    <row r="12421" ht="33.75" customHeight="1">
      <c r="A12421" s="7">
        <v>583.0</v>
      </c>
      <c r="B12421" s="9" t="s">
        <v>17429</v>
      </c>
      <c r="C12421" s="9" t="s">
        <v>17430</v>
      </c>
      <c r="D12421" s="9" t="s">
        <v>101</v>
      </c>
      <c r="E12421" s="6" t="s">
        <v>17433</v>
      </c>
      <c r="F12421" s="9"/>
    </row>
    <row r="12422" ht="33.75" customHeight="1">
      <c r="A12422" s="7">
        <v>583.0</v>
      </c>
      <c r="B12422" s="9" t="s">
        <v>17429</v>
      </c>
      <c r="C12422" s="9" t="s">
        <v>17430</v>
      </c>
      <c r="D12422" s="9" t="s">
        <v>105</v>
      </c>
      <c r="E12422" s="6" t="s">
        <v>17431</v>
      </c>
      <c r="F12422" s="9"/>
    </row>
    <row r="12423" ht="33.75" customHeight="1">
      <c r="A12423" s="7">
        <v>583.0</v>
      </c>
      <c r="B12423" s="9" t="s">
        <v>17429</v>
      </c>
      <c r="C12423" s="9" t="s">
        <v>17430</v>
      </c>
      <c r="D12423" s="9" t="s">
        <v>107</v>
      </c>
      <c r="E12423" s="6" t="s">
        <v>17433</v>
      </c>
      <c r="F12423" s="9"/>
    </row>
    <row r="12424" ht="33.75" customHeight="1">
      <c r="A12424" s="7">
        <v>583.0</v>
      </c>
      <c r="B12424" s="9" t="s">
        <v>17429</v>
      </c>
      <c r="C12424" s="9" t="s">
        <v>17430</v>
      </c>
      <c r="D12424" s="9" t="s">
        <v>109</v>
      </c>
      <c r="E12424" s="6" t="s">
        <v>17431</v>
      </c>
      <c r="F12424" s="9"/>
    </row>
    <row r="12425" ht="33.75" customHeight="1">
      <c r="A12425" s="7">
        <v>583.0</v>
      </c>
      <c r="B12425" s="9" t="s">
        <v>17429</v>
      </c>
      <c r="C12425" s="9" t="s">
        <v>17430</v>
      </c>
      <c r="D12425" s="9" t="s">
        <v>637</v>
      </c>
      <c r="E12425" s="6" t="s">
        <v>17434</v>
      </c>
      <c r="F12425" s="9"/>
    </row>
    <row r="12426" ht="33.75" customHeight="1">
      <c r="A12426" s="7">
        <v>583.0</v>
      </c>
      <c r="B12426" s="9" t="s">
        <v>17429</v>
      </c>
      <c r="C12426" s="9" t="s">
        <v>17430</v>
      </c>
      <c r="D12426" s="9" t="s">
        <v>642</v>
      </c>
      <c r="E12426" s="6" t="s">
        <v>17435</v>
      </c>
      <c r="F12426" s="9"/>
    </row>
    <row r="12427" ht="33.75" customHeight="1">
      <c r="A12427" s="7">
        <v>583.0</v>
      </c>
      <c r="B12427" s="9" t="s">
        <v>17429</v>
      </c>
      <c r="C12427" s="9" t="s">
        <v>17430</v>
      </c>
      <c r="D12427" s="9" t="s">
        <v>647</v>
      </c>
      <c r="E12427" s="6" t="s">
        <v>17436</v>
      </c>
      <c r="F12427" s="9"/>
    </row>
    <row r="12428" ht="33.75" customHeight="1">
      <c r="A12428" s="7">
        <v>583.0</v>
      </c>
      <c r="B12428" s="9" t="s">
        <v>17429</v>
      </c>
      <c r="C12428" s="9" t="s">
        <v>17430</v>
      </c>
      <c r="D12428" s="9" t="s">
        <v>652</v>
      </c>
      <c r="E12428" s="6" t="s">
        <v>17437</v>
      </c>
      <c r="F12428" s="9"/>
    </row>
    <row r="12429" ht="33.75" customHeight="1">
      <c r="A12429" s="7">
        <v>583.0</v>
      </c>
      <c r="B12429" s="9" t="s">
        <v>17429</v>
      </c>
      <c r="C12429" s="9" t="s">
        <v>17430</v>
      </c>
      <c r="D12429" s="9" t="s">
        <v>114</v>
      </c>
      <c r="E12429" s="6" t="s">
        <v>17438</v>
      </c>
      <c r="F12429" s="9"/>
    </row>
    <row r="12430" ht="33.75" customHeight="1">
      <c r="A12430" s="7">
        <v>583.0</v>
      </c>
      <c r="B12430" s="9" t="s">
        <v>17429</v>
      </c>
      <c r="C12430" s="9" t="s">
        <v>17430</v>
      </c>
      <c r="D12430" s="9" t="s">
        <v>117</v>
      </c>
      <c r="E12430" s="6" t="s">
        <v>17439</v>
      </c>
      <c r="F12430" s="9"/>
    </row>
    <row r="12431" ht="33.75" customHeight="1">
      <c r="A12431" s="7">
        <v>584.0</v>
      </c>
      <c r="B12431" s="9" t="s">
        <v>17440</v>
      </c>
      <c r="C12431" s="9" t="s">
        <v>17441</v>
      </c>
      <c r="D12431" s="9" t="s">
        <v>93</v>
      </c>
      <c r="E12431" s="6" t="s">
        <v>17442</v>
      </c>
      <c r="F12431" t="inlineStr" s="10">
        <is>
          <t xml:space="preserve">Nielemällä suuria määriä vettä ne muodostavat lumipilviä kehoonsa ja hyökkäävät vihollistensa kimppuun rajuilla lumimyrskyillä. Jos molemmat päät suuttuvat samanaikaisesti, tämä Pokémon lähettää lumimyrskyn, joka hautaa kaiken lumeen. Nielemällä suuria määriä vettä ne muodostavat lumipilviä kehoonsa ja vihaisina aiheuttavat rajuja lumimyrskyjä. Kummallakin sen kahdella päällä on aivot, ja kun ne ovat yhteisymmärryksessä, se hyökkää vihollistensa kimppuun puhaltamalla ulos rajua lumimyrskyä. Vaikka se menettäisi toisen päänsä, se voi elää suhteellisen ongelmattomasti. Se tekee lumipilviä ruumiinsa sisään. Se puhaltaa lumimyrskyjä kahdesta suustaan. Se voi luoda lunta minne tahansa, joten se saa paljon rakkautta hiihtäjiltä ja lumilautailijoilta. Vanilluxe syntyy, kun kaksi päivänvalossa puoliksi sulanutta vaniljaa tarttuvat toisiinsa ja jäätyvät yhteen yön kylmässä paluussa. Kun sen viha saavuttaa rajansa, tämä Pokémon päästää valloilleen rajua lumimyrskyä, joka jäädyttää kaikki sen ympärillä olevat olennot, olivatpa ne ystäviä tai vihollisia. Ihmiset uskovat, että tämä Pokémon muodostui, kun kaksi Vanillishia tarttui yhteen. Sen ruumiinlämpö on noin -5 celsiusastetta.</t>
        </is>
      </c>
    </row>
    <row r="12432" ht="33.75" customHeight="1">
      <c r="A12432" s="7">
        <v>584.0</v>
      </c>
      <c r="B12432" s="9" t="s">
        <v>17440</v>
      </c>
      <c r="C12432" s="9" t="s">
        <v>17441</v>
      </c>
      <c r="D12432" s="9" t="s">
        <v>95</v>
      </c>
      <c r="E12432" s="6" t="s">
        <v>17443</v>
      </c>
      <c r="F12432" s="9"/>
    </row>
    <row r="12433" ht="33.75" customHeight="1">
      <c r="A12433" s="7">
        <v>584.0</v>
      </c>
      <c r="B12433" s="9" t="s">
        <v>17440</v>
      </c>
      <c r="C12433" s="9" t="s">
        <v>17441</v>
      </c>
      <c r="D12433" s="9" t="s">
        <v>98</v>
      </c>
      <c r="E12433" s="6" t="s">
        <v>17444</v>
      </c>
      <c r="F12433" s="9"/>
    </row>
    <row r="12434" ht="33.75" customHeight="1">
      <c r="A12434" s="7">
        <v>584.0</v>
      </c>
      <c r="B12434" s="9" t="s">
        <v>17440</v>
      </c>
      <c r="C12434" s="9" t="s">
        <v>17441</v>
      </c>
      <c r="D12434" s="9" t="s">
        <v>99</v>
      </c>
      <c r="E12434" s="6" t="s">
        <v>17444</v>
      </c>
      <c r="F12434" s="9"/>
    </row>
    <row r="12435" ht="33.75" customHeight="1">
      <c r="A12435" s="7">
        <v>584.0</v>
      </c>
      <c r="B12435" s="9" t="s">
        <v>17440</v>
      </c>
      <c r="C12435" s="9" t="s">
        <v>17441</v>
      </c>
      <c r="D12435" s="9" t="s">
        <v>101</v>
      </c>
      <c r="E12435" s="6" t="s">
        <v>17443</v>
      </c>
      <c r="F12435" s="9"/>
    </row>
    <row r="12436" ht="33.75" customHeight="1">
      <c r="A12436" s="7">
        <v>584.0</v>
      </c>
      <c r="B12436" s="9" t="s">
        <v>17440</v>
      </c>
      <c r="C12436" s="9" t="s">
        <v>17441</v>
      </c>
      <c r="D12436" s="9" t="s">
        <v>105</v>
      </c>
      <c r="E12436" s="6" t="s">
        <v>17444</v>
      </c>
      <c r="F12436" s="9"/>
    </row>
    <row r="12437" ht="33.75" customHeight="1">
      <c r="A12437" s="7">
        <v>584.0</v>
      </c>
      <c r="B12437" s="9" t="s">
        <v>17440</v>
      </c>
      <c r="C12437" s="9" t="s">
        <v>17441</v>
      </c>
      <c r="D12437" s="9" t="s">
        <v>107</v>
      </c>
      <c r="E12437" s="6" t="s">
        <v>17443</v>
      </c>
      <c r="F12437" s="9"/>
    </row>
    <row r="12438" ht="33.75" customHeight="1">
      <c r="A12438" s="7">
        <v>584.0</v>
      </c>
      <c r="B12438" s="9" t="s">
        <v>17440</v>
      </c>
      <c r="C12438" s="9" t="s">
        <v>17441</v>
      </c>
      <c r="D12438" s="9" t="s">
        <v>109</v>
      </c>
      <c r="E12438" s="6" t="s">
        <v>17444</v>
      </c>
      <c r="F12438" s="9"/>
    </row>
    <row r="12439" ht="33.75" customHeight="1">
      <c r="A12439" s="7">
        <v>584.0</v>
      </c>
      <c r="B12439" s="9" t="s">
        <v>17440</v>
      </c>
      <c r="C12439" s="9" t="s">
        <v>17441</v>
      </c>
      <c r="D12439" s="9" t="s">
        <v>637</v>
      </c>
      <c r="E12439" s="6" t="s">
        <v>17446</v>
      </c>
      <c r="F12439" s="9"/>
    </row>
    <row r="12440" ht="33.75" customHeight="1">
      <c r="A12440" s="7">
        <v>584.0</v>
      </c>
      <c r="B12440" s="9" t="s">
        <v>17440</v>
      </c>
      <c r="C12440" s="9" t="s">
        <v>17441</v>
      </c>
      <c r="D12440" s="9" t="s">
        <v>642</v>
      </c>
      <c r="E12440" s="6" t="s">
        <v>17447</v>
      </c>
      <c r="F12440" s="9"/>
    </row>
    <row r="12441" ht="33.75" customHeight="1">
      <c r="A12441" s="7">
        <v>584.0</v>
      </c>
      <c r="B12441" s="9" t="s">
        <v>17440</v>
      </c>
      <c r="C12441" s="9" t="s">
        <v>17441</v>
      </c>
      <c r="D12441" s="9" t="s">
        <v>647</v>
      </c>
      <c r="E12441" s="6" t="s">
        <v>17448</v>
      </c>
      <c r="F12441" s="9"/>
    </row>
    <row r="12442" ht="33.75" customHeight="1">
      <c r="A12442" s="7">
        <v>584.0</v>
      </c>
      <c r="B12442" s="9" t="s">
        <v>17440</v>
      </c>
      <c r="C12442" s="9" t="s">
        <v>17441</v>
      </c>
      <c r="D12442" s="9" t="s">
        <v>652</v>
      </c>
      <c r="E12442" s="6" t="s">
        <v>17449</v>
      </c>
      <c r="F12442" s="9"/>
    </row>
    <row r="12443" ht="33.75" customHeight="1">
      <c r="A12443" s="7">
        <v>584.0</v>
      </c>
      <c r="B12443" s="9" t="s">
        <v>17440</v>
      </c>
      <c r="C12443" s="9" t="s">
        <v>17441</v>
      </c>
      <c r="D12443" s="9" t="s">
        <v>114</v>
      </c>
      <c r="E12443" s="6" t="s">
        <v>17450</v>
      </c>
      <c r="F12443" s="9"/>
    </row>
    <row r="12444" ht="33.75" customHeight="1">
      <c r="A12444" s="7">
        <v>584.0</v>
      </c>
      <c r="B12444" s="9" t="s">
        <v>17440</v>
      </c>
      <c r="C12444" s="9" t="s">
        <v>17441</v>
      </c>
      <c r="D12444" s="9" t="s">
        <v>117</v>
      </c>
      <c r="E12444" s="6" t="s">
        <v>17451</v>
      </c>
      <c r="F12444" s="9"/>
    </row>
    <row r="12445" ht="33.75" customHeight="1">
      <c r="A12445" s="7">
        <v>585.0</v>
      </c>
      <c r="B12445" s="9" t="s">
        <v>17452</v>
      </c>
      <c r="C12445" s="9" t="s">
        <v>17453</v>
      </c>
      <c r="D12445" s="9" t="s">
        <v>93</v>
      </c>
      <c r="E12445" s="6" t="s">
        <v>17454</v>
      </c>
      <c r="F12445" t="inlineStr" s="10">
        <is>
          <t xml:space="preserve">Niiden turkin väri ja tuoksu muuttuvat vuoristoruohon värin mukaan. Kun ne tuntevat vihamielisyyttä, ne piiloutuvat ruohikkoon. Vuodenaikojen vaihtuminen muuttaa tämän Pokémonin turkin väriä ja tuoksua. Ihmiset käyttävät sitä vuodenaikojen merkitsemiseen. Niiden väritys muuttuu vuodenaikojen mukaan, ja lämpötila ja kosteus voivat vaikuttaa siihen hieman.</t>
        </is>
      </c>
    </row>
    <row r="12446" ht="33.75" customHeight="1">
      <c r="A12446" s="7">
        <v>585.0</v>
      </c>
      <c r="B12446" s="9" t="s">
        <v>17452</v>
      </c>
      <c r="C12446" s="9" t="s">
        <v>17453</v>
      </c>
      <c r="D12446" s="9" t="s">
        <v>95</v>
      </c>
      <c r="E12446" s="6" t="s">
        <v>17455</v>
      </c>
      <c r="F12446" s="9"/>
    </row>
    <row r="12447" ht="33.75" customHeight="1">
      <c r="A12447" s="7">
        <v>585.0</v>
      </c>
      <c r="B12447" s="9" t="s">
        <v>17452</v>
      </c>
      <c r="C12447" s="9" t="s">
        <v>17453</v>
      </c>
      <c r="D12447" s="9" t="s">
        <v>98</v>
      </c>
      <c r="E12447" s="6" t="s">
        <v>17457</v>
      </c>
      <c r="F12447" s="9"/>
    </row>
    <row r="12448" ht="33.75" customHeight="1">
      <c r="A12448" s="7">
        <v>585.0</v>
      </c>
      <c r="B12448" s="9" t="s">
        <v>17452</v>
      </c>
      <c r="C12448" s="9" t="s">
        <v>17453</v>
      </c>
      <c r="D12448" s="9" t="s">
        <v>99</v>
      </c>
      <c r="E12448" s="6" t="s">
        <v>17457</v>
      </c>
      <c r="F12448" s="9"/>
    </row>
    <row r="12449" ht="33.75" customHeight="1">
      <c r="A12449" s="7">
        <v>585.0</v>
      </c>
      <c r="B12449" s="9" t="s">
        <v>17452</v>
      </c>
      <c r="C12449" s="9" t="s">
        <v>17453</v>
      </c>
      <c r="D12449" s="9" t="s">
        <v>101</v>
      </c>
      <c r="E12449" s="6" t="s">
        <v>17457</v>
      </c>
      <c r="F12449" s="9"/>
    </row>
    <row r="12450" ht="33.75" customHeight="1">
      <c r="A12450" s="7">
        <v>585.0</v>
      </c>
      <c r="B12450" s="9" t="s">
        <v>17452</v>
      </c>
      <c r="C12450" s="9" t="s">
        <v>17453</v>
      </c>
      <c r="D12450" s="9" t="s">
        <v>105</v>
      </c>
      <c r="E12450" s="6" t="s">
        <v>17455</v>
      </c>
      <c r="F12450" s="9"/>
    </row>
    <row r="12451" ht="33.75" customHeight="1">
      <c r="A12451" s="7">
        <v>585.0</v>
      </c>
      <c r="B12451" s="9" t="s">
        <v>17452</v>
      </c>
      <c r="C12451" s="9" t="s">
        <v>17453</v>
      </c>
      <c r="D12451" s="9" t="s">
        <v>107</v>
      </c>
      <c r="E12451" s="6" t="s">
        <v>17457</v>
      </c>
      <c r="F12451" s="9"/>
    </row>
    <row r="12452" ht="33.75" customHeight="1">
      <c r="A12452" s="7">
        <v>585.0</v>
      </c>
      <c r="B12452" s="9" t="s">
        <v>17452</v>
      </c>
      <c r="C12452" s="9" t="s">
        <v>17453</v>
      </c>
      <c r="D12452" s="9" t="s">
        <v>109</v>
      </c>
      <c r="E12452" s="6" t="s">
        <v>17455</v>
      </c>
      <c r="F12452" s="9"/>
    </row>
    <row r="12453" ht="33.75" customHeight="1">
      <c r="A12453" s="7">
        <v>586.0</v>
      </c>
      <c r="B12453" s="9" t="s">
        <v>17458</v>
      </c>
      <c r="C12453" s="9" t="s">
        <v>17453</v>
      </c>
      <c r="D12453" s="9" t="s">
        <v>93</v>
      </c>
      <c r="E12453" s="6" t="s">
        <v>17459</v>
      </c>
      <c r="F12453" t="inlineStr" s="10">
        <is>
          <t xml:space="preserve">Ne muuttavat vuodenaikojen mukaan. Ihmiset voivat päätellä vuodenajan katsomalla Sawsbuckin sarvia. Sen sarvissa kasvavat kasvit vaihtuvat vuodenajan mukaan. Lauman johtajilla on upeat sarvet. Ne muuttavat vuodenaikojen mukaan, joten jotkut kutsuvat Sawsbuckeja kevään airut.</t>
        </is>
      </c>
    </row>
    <row r="12454" ht="33.75" customHeight="1">
      <c r="A12454" s="7">
        <v>586.0</v>
      </c>
      <c r="B12454" s="9" t="s">
        <v>17458</v>
      </c>
      <c r="C12454" s="9" t="s">
        <v>17453</v>
      </c>
      <c r="D12454" s="9" t="s">
        <v>95</v>
      </c>
      <c r="E12454" s="6" t="s">
        <v>17460</v>
      </c>
      <c r="F12454" s="9"/>
    </row>
    <row r="12455" ht="33.75" customHeight="1">
      <c r="A12455" s="7">
        <v>586.0</v>
      </c>
      <c r="B12455" s="9" t="s">
        <v>17458</v>
      </c>
      <c r="C12455" s="9" t="s">
        <v>17453</v>
      </c>
      <c r="D12455" s="9" t="s">
        <v>98</v>
      </c>
      <c r="E12455" s="6" t="s">
        <v>17461</v>
      </c>
      <c r="F12455" s="9"/>
    </row>
    <row r="12456" ht="33.75" customHeight="1">
      <c r="A12456" s="7">
        <v>586.0</v>
      </c>
      <c r="B12456" s="9" t="s">
        <v>17458</v>
      </c>
      <c r="C12456" s="9" t="s">
        <v>17453</v>
      </c>
      <c r="D12456" s="9" t="s">
        <v>99</v>
      </c>
      <c r="E12456" s="6" t="s">
        <v>17461</v>
      </c>
      <c r="F12456" s="9"/>
    </row>
    <row r="12457" ht="33.75" customHeight="1">
      <c r="A12457" s="7">
        <v>586.0</v>
      </c>
      <c r="B12457" s="9" t="s">
        <v>17458</v>
      </c>
      <c r="C12457" s="9" t="s">
        <v>17453</v>
      </c>
      <c r="D12457" s="9" t="s">
        <v>101</v>
      </c>
      <c r="E12457" s="6" t="s">
        <v>17459</v>
      </c>
      <c r="F12457" s="9"/>
    </row>
    <row r="12458" ht="33.75" customHeight="1">
      <c r="A12458" s="7">
        <v>586.0</v>
      </c>
      <c r="B12458" s="9" t="s">
        <v>17458</v>
      </c>
      <c r="C12458" s="9" t="s">
        <v>17453</v>
      </c>
      <c r="D12458" s="9" t="s">
        <v>105</v>
      </c>
      <c r="E12458" s="6" t="s">
        <v>17461</v>
      </c>
      <c r="F12458" s="9"/>
    </row>
    <row r="12459" ht="33.75" customHeight="1">
      <c r="A12459" s="7">
        <v>586.0</v>
      </c>
      <c r="B12459" s="9" t="s">
        <v>17458</v>
      </c>
      <c r="C12459" s="9" t="s">
        <v>17453</v>
      </c>
      <c r="D12459" s="9" t="s">
        <v>107</v>
      </c>
      <c r="E12459" s="6" t="s">
        <v>17459</v>
      </c>
      <c r="F12459" s="9"/>
    </row>
    <row r="12460" ht="33.75" customHeight="1">
      <c r="A12460" s="7">
        <v>586.0</v>
      </c>
      <c r="B12460" s="9" t="s">
        <v>17458</v>
      </c>
      <c r="C12460" s="9" t="s">
        <v>17453</v>
      </c>
      <c r="D12460" s="9" t="s">
        <v>109</v>
      </c>
      <c r="E12460" s="6" t="s">
        <v>17461</v>
      </c>
      <c r="F12460" s="9"/>
    </row>
    <row r="12461" ht="33.75" customHeight="1">
      <c r="A12461" s="7">
        <v>587.0</v>
      </c>
      <c r="B12461" s="9" t="s">
        <v>17462</v>
      </c>
      <c r="C12461" s="9" t="s">
        <v>17463</v>
      </c>
      <c r="D12461" s="9" t="s">
        <v>93</v>
      </c>
      <c r="E12461" s="6" t="s">
        <v>17464</v>
      </c>
      <c r="F12461" t="inlineStr" s="10">
        <is>
          <t xml:space="preserve">Emolgan poskien sähköpusseissa tuotettu energia varastoituu sen kalvon sisään ja vapautuu sen liukuessa. Ne elävät puiden latvoissa ja liitelevät viitan kaltaisen kalvon sisäpuolella purkaen samalla sähköä. Se liukuu ojennettua kalvoaan pitkin ja antaa sähköiskuja vihollisille poskissaan olevien pussien varastoimalla sähköllä. Se liitää viittamaisen kalvonsa avulla. Siitä säteilee sähköenergiaa, joka sähköistää niin sen ystäviä kuin vihollisiakin. Se grillaa marjoja ja ärsyttää Pokémoneja sähköiskuilla ja tekee niistä aterian. Se pesii yleensä Pikipekin puihin kaivamissa rei'issä. Ne varastoivat sähköä lentääkseen ilmassa. Kun ukkonen jyrisee yöllä, niitä on joskus melkein tarpeeksi peittämään taivaan. Lentäessään se levittää sähköä ympärilleen, joten lintu-Pokémonit pysyvät etäällä. Siksi Emolga voi pitää kaiken ruokansa itsellään. Emolga rätisee sähköä leijaillessaan ilmassa. Tämä Pokémon on söpö, mutta se voi aiheuttaa paljon ongelmia. Tämä Pokémon rakastaa makeita marjoja. Joskus se tunkee poskensa täyteen ruokaa niin paljon, ettei pysty lentämään kunnolla.</t>
        </is>
      </c>
    </row>
    <row r="12462" ht="33.75" customHeight="1">
      <c r="A12462" s="7">
        <v>587.0</v>
      </c>
      <c r="B12462" s="9" t="s">
        <v>17462</v>
      </c>
      <c r="C12462" s="9" t="s">
        <v>17463</v>
      </c>
      <c r="D12462" s="9" t="s">
        <v>95</v>
      </c>
      <c r="E12462" s="6" t="s">
        <v>17465</v>
      </c>
      <c r="F12462" s="9"/>
    </row>
    <row r="12463" ht="33.75" customHeight="1">
      <c r="A12463" s="7">
        <v>587.0</v>
      </c>
      <c r="B12463" s="9" t="s">
        <v>17462</v>
      </c>
      <c r="C12463" s="9" t="s">
        <v>17463</v>
      </c>
      <c r="D12463" s="9" t="s">
        <v>98</v>
      </c>
      <c r="E12463" s="6" t="s">
        <v>17466</v>
      </c>
      <c r="F12463" s="9"/>
    </row>
    <row r="12464" ht="33.75" customHeight="1">
      <c r="A12464" s="7">
        <v>587.0</v>
      </c>
      <c r="B12464" s="9" t="s">
        <v>17462</v>
      </c>
      <c r="C12464" s="9" t="s">
        <v>17463</v>
      </c>
      <c r="D12464" s="9" t="s">
        <v>99</v>
      </c>
      <c r="E12464" s="6" t="s">
        <v>17466</v>
      </c>
      <c r="F12464" s="9"/>
    </row>
    <row r="12465" ht="33.75" customHeight="1">
      <c r="A12465" s="7">
        <v>587.0</v>
      </c>
      <c r="B12465" s="9" t="s">
        <v>17462</v>
      </c>
      <c r="C12465" s="9" t="s">
        <v>17463</v>
      </c>
      <c r="D12465" s="9" t="s">
        <v>101</v>
      </c>
      <c r="E12465" s="6" t="s">
        <v>17465</v>
      </c>
      <c r="F12465" s="9"/>
    </row>
    <row r="12466" ht="33.75" customHeight="1">
      <c r="A12466" s="7">
        <v>587.0</v>
      </c>
      <c r="B12466" s="9" t="s">
        <v>17462</v>
      </c>
      <c r="C12466" s="9" t="s">
        <v>17463</v>
      </c>
      <c r="D12466" s="9" t="s">
        <v>105</v>
      </c>
      <c r="E12466" s="6" t="s">
        <v>17464</v>
      </c>
      <c r="F12466" s="9"/>
    </row>
    <row r="12467" ht="33.75" customHeight="1">
      <c r="A12467" s="7">
        <v>587.0</v>
      </c>
      <c r="B12467" s="9" t="s">
        <v>17462</v>
      </c>
      <c r="C12467" s="9" t="s">
        <v>17463</v>
      </c>
      <c r="D12467" s="9" t="s">
        <v>107</v>
      </c>
      <c r="E12467" s="6" t="s">
        <v>17465</v>
      </c>
      <c r="F12467" s="9"/>
    </row>
    <row r="12468" ht="33.75" customHeight="1">
      <c r="A12468" s="7">
        <v>587.0</v>
      </c>
      <c r="B12468" s="9" t="s">
        <v>17462</v>
      </c>
      <c r="C12468" s="9" t="s">
        <v>17463</v>
      </c>
      <c r="D12468" s="9" t="s">
        <v>109</v>
      </c>
      <c r="E12468" s="6" t="s">
        <v>17464</v>
      </c>
      <c r="F12468" s="9"/>
    </row>
    <row r="12469" ht="33.75" customHeight="1">
      <c r="A12469" s="7">
        <v>587.0</v>
      </c>
      <c r="B12469" s="9" t="s">
        <v>17462</v>
      </c>
      <c r="C12469" s="9" t="s">
        <v>17463</v>
      </c>
      <c r="D12469" s="9" t="s">
        <v>637</v>
      </c>
      <c r="E12469" s="6" t="s">
        <v>17467</v>
      </c>
      <c r="F12469" s="9"/>
    </row>
    <row r="12470" ht="33.75" customHeight="1">
      <c r="A12470" s="7">
        <v>587.0</v>
      </c>
      <c r="B12470" s="9" t="s">
        <v>17462</v>
      </c>
      <c r="C12470" s="9" t="s">
        <v>17463</v>
      </c>
      <c r="D12470" s="9" t="s">
        <v>642</v>
      </c>
      <c r="E12470" s="6" t="s">
        <v>17468</v>
      </c>
      <c r="F12470" s="9"/>
    </row>
    <row r="12471" ht="33.75" customHeight="1">
      <c r="A12471" s="7">
        <v>587.0</v>
      </c>
      <c r="B12471" s="9" t="s">
        <v>17462</v>
      </c>
      <c r="C12471" s="9" t="s">
        <v>17463</v>
      </c>
      <c r="D12471" s="9" t="s">
        <v>647</v>
      </c>
      <c r="E12471" s="6" t="s">
        <v>17469</v>
      </c>
      <c r="F12471" s="9"/>
    </row>
    <row r="12472" ht="33.75" customHeight="1">
      <c r="A12472" s="7">
        <v>587.0</v>
      </c>
      <c r="B12472" s="9" t="s">
        <v>17462</v>
      </c>
      <c r="C12472" s="9" t="s">
        <v>17463</v>
      </c>
      <c r="D12472" s="9" t="s">
        <v>652</v>
      </c>
      <c r="E12472" s="6" t="s">
        <v>17471</v>
      </c>
      <c r="F12472" s="9"/>
    </row>
    <row r="12473" ht="33.75" customHeight="1">
      <c r="A12473" s="7">
        <v>587.0</v>
      </c>
      <c r="B12473" s="9" t="s">
        <v>17462</v>
      </c>
      <c r="C12473" s="9" t="s">
        <v>17463</v>
      </c>
      <c r="D12473" s="9" t="s">
        <v>114</v>
      </c>
      <c r="E12473" s="6" t="s">
        <v>17472</v>
      </c>
      <c r="F12473" s="9"/>
    </row>
    <row r="12474" ht="33.75" customHeight="1">
      <c r="A12474" s="7">
        <v>587.0</v>
      </c>
      <c r="B12474" s="9" t="s">
        <v>17462</v>
      </c>
      <c r="C12474" s="9" t="s">
        <v>17463</v>
      </c>
      <c r="D12474" s="9" t="s">
        <v>117</v>
      </c>
      <c r="E12474" s="6" t="s">
        <v>17473</v>
      </c>
      <c r="F12474" s="9"/>
    </row>
    <row r="12475" ht="33.75" customHeight="1">
      <c r="A12475" s="7">
        <v>588.0</v>
      </c>
      <c r="B12475" s="9" t="s">
        <v>17474</v>
      </c>
      <c r="C12475" s="9" t="s">
        <v>17475</v>
      </c>
      <c r="D12475" s="9" t="s">
        <v>93</v>
      </c>
      <c r="E12475" s="6" t="s">
        <v>17476</v>
      </c>
      <c r="F12475" t="inlineStr" s="10">
        <is>
          <t xml:space="preserve">Nämä salaperäiset Pokémonit kehittyvät, kun ne saavat sähköistä stimulaatiota ollessaan samassa paikassa Shelmetin kanssa. Tuntiessaan uhatuksi ne sylkevät hapanta nestettä ajaakseen hyökkääjät pois. Tämä Pokémon kohdistaa kohteekseen Shelmetin. Jostain syystä ne kehittyvät, kun ne saavat sähköenergiaa hyökätessään Shelmetin kimppuun. Sen outo fysiologia reagoi sähköenergiaan mielenkiintoisilla tavoilla. Shelmetin läsnäolo saa tämän Pokémonin kehittymään. Se sylkee suustaan ​​nestettä, joka sulaa Shelmetin kuoren läpi. Karrablast ei syö kuorta – se syö vain sisällön.</t>
        </is>
      </c>
    </row>
    <row r="12476" ht="33.75" customHeight="1">
      <c r="A12476" s="7">
        <v>588.0</v>
      </c>
      <c r="B12476" s="9" t="s">
        <v>17474</v>
      </c>
      <c r="C12476" s="9" t="s">
        <v>17475</v>
      </c>
      <c r="D12476" s="9" t="s">
        <v>95</v>
      </c>
      <c r="E12476" s="6" t="s">
        <v>17477</v>
      </c>
      <c r="F12476" s="9"/>
    </row>
    <row r="12477" ht="33.75" customHeight="1">
      <c r="A12477" s="7">
        <v>588.0</v>
      </c>
      <c r="B12477" s="9" t="s">
        <v>17474</v>
      </c>
      <c r="C12477" s="9" t="s">
        <v>17475</v>
      </c>
      <c r="D12477" s="9" t="s">
        <v>98</v>
      </c>
      <c r="E12477" s="6" t="s">
        <v>17478</v>
      </c>
      <c r="F12477" s="9"/>
    </row>
    <row r="12478" ht="33.75" customHeight="1">
      <c r="A12478" s="7">
        <v>588.0</v>
      </c>
      <c r="B12478" s="9" t="s">
        <v>17474</v>
      </c>
      <c r="C12478" s="9" t="s">
        <v>17475</v>
      </c>
      <c r="D12478" s="9" t="s">
        <v>99</v>
      </c>
      <c r="E12478" s="6" t="s">
        <v>17478</v>
      </c>
      <c r="F12478" s="9"/>
    </row>
    <row r="12479" ht="33.75" customHeight="1">
      <c r="A12479" s="7">
        <v>588.0</v>
      </c>
      <c r="B12479" s="9" t="s">
        <v>17474</v>
      </c>
      <c r="C12479" s="9" t="s">
        <v>17475</v>
      </c>
      <c r="D12479" s="9" t="s">
        <v>101</v>
      </c>
      <c r="E12479" s="6" t="s">
        <v>17476</v>
      </c>
      <c r="F12479" s="9"/>
    </row>
    <row r="12480" ht="33.75" customHeight="1">
      <c r="A12480" s="7">
        <v>588.0</v>
      </c>
      <c r="B12480" s="9" t="s">
        <v>17474</v>
      </c>
      <c r="C12480" s="9" t="s">
        <v>17475</v>
      </c>
      <c r="D12480" s="9" t="s">
        <v>105</v>
      </c>
      <c r="E12480" s="6" t="s">
        <v>17478</v>
      </c>
      <c r="F12480" s="9"/>
    </row>
    <row r="12481" ht="33.75" customHeight="1">
      <c r="A12481" s="7">
        <v>588.0</v>
      </c>
      <c r="B12481" s="9" t="s">
        <v>17474</v>
      </c>
      <c r="C12481" s="9" t="s">
        <v>17475</v>
      </c>
      <c r="D12481" s="9" t="s">
        <v>107</v>
      </c>
      <c r="E12481" s="6" t="s">
        <v>17476</v>
      </c>
      <c r="F12481" s="9"/>
    </row>
    <row r="12482" ht="33.75" customHeight="1">
      <c r="A12482" s="7">
        <v>588.0</v>
      </c>
      <c r="B12482" s="9" t="s">
        <v>17474</v>
      </c>
      <c r="C12482" s="9" t="s">
        <v>17475</v>
      </c>
      <c r="D12482" s="9" t="s">
        <v>109</v>
      </c>
      <c r="E12482" s="6" t="s">
        <v>17478</v>
      </c>
      <c r="F12482" s="9"/>
    </row>
    <row r="12483" ht="33.75" customHeight="1">
      <c r="A12483" s="7">
        <v>588.0</v>
      </c>
      <c r="B12483" s="9" t="s">
        <v>17474</v>
      </c>
      <c r="C12483" s="9" t="s">
        <v>17475</v>
      </c>
      <c r="D12483" s="9" t="s">
        <v>114</v>
      </c>
      <c r="E12483" s="6" t="s">
        <v>17479</v>
      </c>
      <c r="F12483" s="9"/>
    </row>
    <row r="12484" ht="33.75" customHeight="1">
      <c r="A12484" s="7">
        <v>588.0</v>
      </c>
      <c r="B12484" s="9" t="s">
        <v>17474</v>
      </c>
      <c r="C12484" s="9" t="s">
        <v>17475</v>
      </c>
      <c r="D12484" s="9" t="s">
        <v>117</v>
      </c>
      <c r="E12484" s="6" t="s">
        <v>17480</v>
      </c>
      <c r="F12484" s="9"/>
    </row>
    <row r="12485" ht="33.75" customHeight="1">
      <c r="A12485" s="7">
        <v>589.0</v>
      </c>
      <c r="B12485" s="9" t="s">
        <v>17481</v>
      </c>
      <c r="C12485" s="9" t="s">
        <v>17482</v>
      </c>
      <c r="D12485" s="9" t="s">
        <v>93</v>
      </c>
      <c r="E12485" s="6" t="s">
        <v>17483</v>
      </c>
      <c r="F12485" t="inlineStr" s="10">
        <is>
          <t xml:space="preserve">Ne lentävät ympäriinsä kovaa vauhtia iskien terävillä keihäillään. Jopa vaikeuksissa ne kohtaavat vastustajat rohkeasti. Nämä Pokémonit kehittyvät käyttämällä Shelmetin kuoripeitettä. Teräspanssari suojaa koko niiden kehoa. Yllään Shelmetiltä varastamansa kuoripeitteen he puolustautuvat ja hyökkäävät kahdella keihällä. He käyttävät Shelmetiltä varastamiaan kranaatteja aseistautumiseen ja suojaamiseen. He ovat erittäin suosittuja Pokémoneja Galarin alueella. Se hyökkää vihollistensa kimppuun keihäät ampumavalmiina. Kuva yhdestä sen kaksintaisteluista on tallennettu kuuluisaan maalaukseen, jossa Escavalier ottaa yhteen Sirfetch’din kanssa.</t>
        </is>
      </c>
    </row>
    <row r="12486" ht="33.75" customHeight="1">
      <c r="A12486" s="7">
        <v>589.0</v>
      </c>
      <c r="B12486" s="9" t="s">
        <v>17481</v>
      </c>
      <c r="C12486" s="9" t="s">
        <v>17482</v>
      </c>
      <c r="D12486" s="9" t="s">
        <v>95</v>
      </c>
      <c r="E12486" s="6" t="s">
        <v>17484</v>
      </c>
      <c r="F12486" s="9"/>
    </row>
    <row r="12487" ht="33.75" customHeight="1">
      <c r="A12487" s="7">
        <v>589.0</v>
      </c>
      <c r="B12487" s="9" t="s">
        <v>17481</v>
      </c>
      <c r="C12487" s="9" t="s">
        <v>17482</v>
      </c>
      <c r="D12487" s="9" t="s">
        <v>98</v>
      </c>
      <c r="E12487" s="6" t="s">
        <v>17485</v>
      </c>
      <c r="F12487" s="9"/>
    </row>
    <row r="12488" ht="33.75" customHeight="1">
      <c r="A12488" s="7">
        <v>589.0</v>
      </c>
      <c r="B12488" s="9" t="s">
        <v>17481</v>
      </c>
      <c r="C12488" s="9" t="s">
        <v>17482</v>
      </c>
      <c r="D12488" s="9" t="s">
        <v>99</v>
      </c>
      <c r="E12488" s="6" t="s">
        <v>17485</v>
      </c>
      <c r="F12488" s="9"/>
    </row>
    <row r="12489" ht="33.75" customHeight="1">
      <c r="A12489" s="7">
        <v>589.0</v>
      </c>
      <c r="B12489" s="9" t="s">
        <v>17481</v>
      </c>
      <c r="C12489" s="9" t="s">
        <v>17482</v>
      </c>
      <c r="D12489" s="9" t="s">
        <v>101</v>
      </c>
      <c r="E12489" s="6" t="s">
        <v>17485</v>
      </c>
      <c r="F12489" s="9"/>
    </row>
    <row r="12490" ht="33.75" customHeight="1">
      <c r="A12490" s="7">
        <v>589.0</v>
      </c>
      <c r="B12490" s="9" t="s">
        <v>17481</v>
      </c>
      <c r="C12490" s="9" t="s">
        <v>17482</v>
      </c>
      <c r="D12490" s="9" t="s">
        <v>105</v>
      </c>
      <c r="E12490" s="6" t="s">
        <v>17484</v>
      </c>
      <c r="F12490" s="9"/>
    </row>
    <row r="12491" ht="33.75" customHeight="1">
      <c r="A12491" s="7">
        <v>589.0</v>
      </c>
      <c r="B12491" s="9" t="s">
        <v>17481</v>
      </c>
      <c r="C12491" s="9" t="s">
        <v>17482</v>
      </c>
      <c r="D12491" s="9" t="s">
        <v>107</v>
      </c>
      <c r="E12491" s="6" t="s">
        <v>17485</v>
      </c>
      <c r="F12491" s="9"/>
    </row>
    <row r="12492" ht="33.75" customHeight="1">
      <c r="A12492" s="7">
        <v>589.0</v>
      </c>
      <c r="B12492" s="9" t="s">
        <v>17481</v>
      </c>
      <c r="C12492" s="9" t="s">
        <v>17482</v>
      </c>
      <c r="D12492" s="9" t="s">
        <v>109</v>
      </c>
      <c r="E12492" s="6" t="s">
        <v>17484</v>
      </c>
      <c r="F12492" s="9"/>
    </row>
    <row r="12493" ht="33.75" customHeight="1">
      <c r="A12493" s="7">
        <v>589.0</v>
      </c>
      <c r="B12493" s="9" t="s">
        <v>17481</v>
      </c>
      <c r="C12493" s="9" t="s">
        <v>17482</v>
      </c>
      <c r="D12493" s="9" t="s">
        <v>114</v>
      </c>
      <c r="E12493" s="6" t="s">
        <v>17486</v>
      </c>
      <c r="F12493" s="9"/>
    </row>
    <row r="12494" ht="33.75" customHeight="1">
      <c r="A12494" s="7">
        <v>589.0</v>
      </c>
      <c r="B12494" s="9" t="s">
        <v>17481</v>
      </c>
      <c r="C12494" s="9" t="s">
        <v>17482</v>
      </c>
      <c r="D12494" s="9" t="s">
        <v>117</v>
      </c>
      <c r="E12494" s="6" t="s">
        <v>17487</v>
      </c>
      <c r="F12494" s="9"/>
    </row>
    <row r="12495" ht="33.75" customHeight="1">
      <c r="A12495" s="7">
        <v>590.0</v>
      </c>
      <c r="B12495" s="9" t="s">
        <v>17488</v>
      </c>
      <c r="C12495" s="9" t="s">
        <v>2749</v>
      </c>
      <c r="D12495" s="9" t="s">
        <v>93</v>
      </c>
      <c r="E12495" s="6" t="s">
        <v>17489</v>
      </c>
      <c r="F12495" t="inlineStr" s="10">
        <is>
          <t xml:space="preserve">Foongus houkuttelee ihmisiä luokseen Poképallokuviollaan ja vapauttaa sitten myrkyllisiä itiöitä. Miksi se muistuttaa Poképalloa, ei tiedetä. Jostain syystä tämä Pokémon muistuttaa Poképalloa. Ne vapauttavat myrkyllisiä itiöitä karkottaakseen ne, jotka yrittävät saada ne kiinni. Se houkuttelee Pokémoneja kuviollaan, joka näyttää aivan Poképallolta, ja vapauttaa sitten myrkkyitiöitä. Kukaan ei tiedä, mitä Foonguksen Poképallon kaltainen kuvio tarkoittaa tai miksi Foonguksella on se. Tämän Pokémonin käsistä vapautuvat itiöt ovat erittäin myrkyllisiä, mutta perusteellisesti kuivattuina itiöitä voidaan käyttää vatsalääkkeenä.</t>
        </is>
      </c>
    </row>
    <row r="12496" ht="33.75" customHeight="1">
      <c r="A12496" s="7">
        <v>590.0</v>
      </c>
      <c r="B12496" s="9" t="s">
        <v>17488</v>
      </c>
      <c r="C12496" s="9" t="s">
        <v>2749</v>
      </c>
      <c r="D12496" s="9" t="s">
        <v>95</v>
      </c>
      <c r="E12496" s="6" t="s">
        <v>17490</v>
      </c>
      <c r="F12496" s="9"/>
    </row>
    <row r="12497" ht="33.75" customHeight="1">
      <c r="A12497" s="7">
        <v>590.0</v>
      </c>
      <c r="B12497" s="9" t="s">
        <v>17488</v>
      </c>
      <c r="C12497" s="9" t="s">
        <v>2749</v>
      </c>
      <c r="D12497" s="9" t="s">
        <v>98</v>
      </c>
      <c r="E12497" s="6" t="s">
        <v>17491</v>
      </c>
      <c r="F12497" s="9"/>
    </row>
    <row r="12498" ht="33.75" customHeight="1">
      <c r="A12498" s="7">
        <v>590.0</v>
      </c>
      <c r="B12498" s="9" t="s">
        <v>17488</v>
      </c>
      <c r="C12498" s="9" t="s">
        <v>2749</v>
      </c>
      <c r="D12498" s="9" t="s">
        <v>99</v>
      </c>
      <c r="E12498" s="6" t="s">
        <v>17491</v>
      </c>
      <c r="F12498" s="9"/>
    </row>
    <row r="12499" ht="33.75" customHeight="1">
      <c r="A12499" s="7">
        <v>590.0</v>
      </c>
      <c r="B12499" s="9" t="s">
        <v>17488</v>
      </c>
      <c r="C12499" s="9" t="s">
        <v>2749</v>
      </c>
      <c r="D12499" s="9" t="s">
        <v>101</v>
      </c>
      <c r="E12499" s="6" t="s">
        <v>17489</v>
      </c>
      <c r="F12499" s="9"/>
    </row>
    <row r="12500" ht="33.75" customHeight="1">
      <c r="A12500" s="7">
        <v>590.0</v>
      </c>
      <c r="B12500" s="9" t="s">
        <v>17488</v>
      </c>
      <c r="C12500" s="9" t="s">
        <v>2749</v>
      </c>
      <c r="D12500" s="9" t="s">
        <v>105</v>
      </c>
      <c r="E12500" s="6" t="s">
        <v>17491</v>
      </c>
      <c r="F12500" s="9"/>
    </row>
    <row r="12501" ht="33.75" customHeight="1">
      <c r="A12501" s="7">
        <v>590.0</v>
      </c>
      <c r="B12501" s="9" t="s">
        <v>17488</v>
      </c>
      <c r="C12501" s="9" t="s">
        <v>2749</v>
      </c>
      <c r="D12501" s="9" t="s">
        <v>107</v>
      </c>
      <c r="E12501" s="6" t="s">
        <v>17489</v>
      </c>
      <c r="F12501" s="9"/>
    </row>
    <row r="12502" ht="33.75" customHeight="1">
      <c r="A12502" s="7">
        <v>590.0</v>
      </c>
      <c r="B12502" s="9" t="s">
        <v>17488</v>
      </c>
      <c r="C12502" s="9" t="s">
        <v>2749</v>
      </c>
      <c r="D12502" s="9" t="s">
        <v>109</v>
      </c>
      <c r="E12502" s="6" t="s">
        <v>17491</v>
      </c>
      <c r="F12502" s="9"/>
    </row>
    <row r="12503" ht="33.75" customHeight="1">
      <c r="A12503" s="7">
        <v>590.0</v>
      </c>
      <c r="B12503" s="9" t="s">
        <v>17488</v>
      </c>
      <c r="C12503" s="9" t="s">
        <v>2749</v>
      </c>
      <c r="D12503" s="9" t="s">
        <v>114</v>
      </c>
      <c r="E12503" s="6" t="s">
        <v>17493</v>
      </c>
      <c r="F12503" s="9"/>
    </row>
    <row r="12504" ht="33.75" customHeight="1">
      <c r="A12504" s="7">
        <v>590.0</v>
      </c>
      <c r="B12504" s="9" t="s">
        <v>17488</v>
      </c>
      <c r="C12504" s="9" t="s">
        <v>2749</v>
      </c>
      <c r="D12504" s="9" t="s">
        <v>117</v>
      </c>
      <c r="E12504" s="6" t="s">
        <v>17494</v>
      </c>
      <c r="F12504" s="9"/>
    </row>
    <row r="12505" ht="33.75" customHeight="1">
      <c r="A12505" s="7">
        <v>591.0</v>
      </c>
      <c r="B12505" s="9" t="s">
        <v>17495</v>
      </c>
      <c r="C12505" s="9" t="s">
        <v>2749</v>
      </c>
      <c r="D12505" s="9" t="s">
        <v>93</v>
      </c>
      <c r="E12505" s="6" t="s">
        <v>17496</v>
      </c>
      <c r="F12505" t="inlineStr" s="10">
        <is>
          <t xml:space="preserve">Amoonguss houkuttelee saalista lähelle tanssimalla ja heiluttamalla Poké-palloja muistuttavia käsivarsikorkkejaan huojuvalla liikkeellä. Ne esittelevät Poké Ball -lippiksiään houkutellakseen saalista, mutta hyvin harvat Pokémonit antavat tämän hämätä. Se liikuttaa molempien käsivarsien lakkeja ja tanssii houkutellakseen saalista. Se pitää kosteista paikoista. Tämä Pokémon suihkuttaa myrkyllisiä itiöitä vihollistensa päälle. Jos itiöitä ei huuhdella pois nopeasti, ne kasvavat sieniksi minne ikinä ne laskeutuvatkin. Amoonguss ei yleensä liiku paljon. Se seisoo usein paikallaan maahan pudotettujen Poképallojen lähellä.</t>
        </is>
      </c>
    </row>
    <row r="12506" ht="33.75" customHeight="1">
      <c r="A12506" s="7">
        <v>591.0</v>
      </c>
      <c r="B12506" s="9" t="s">
        <v>17495</v>
      </c>
      <c r="C12506" s="9" t="s">
        <v>2749</v>
      </c>
      <c r="D12506" s="9" t="s">
        <v>95</v>
      </c>
      <c r="E12506" s="6" t="s">
        <v>17497</v>
      </c>
      <c r="F12506" s="9"/>
    </row>
    <row r="12507" ht="33.75" customHeight="1">
      <c r="A12507" s="7">
        <v>591.0</v>
      </c>
      <c r="B12507" s="9" t="s">
        <v>17495</v>
      </c>
      <c r="C12507" s="9" t="s">
        <v>2749</v>
      </c>
      <c r="D12507" s="9" t="s">
        <v>98</v>
      </c>
      <c r="E12507" s="6" t="s">
        <v>17498</v>
      </c>
      <c r="F12507" s="9"/>
    </row>
    <row r="12508" ht="33.75" customHeight="1">
      <c r="A12508" s="7">
        <v>591.0</v>
      </c>
      <c r="B12508" s="9" t="s">
        <v>17495</v>
      </c>
      <c r="C12508" s="9" t="s">
        <v>2749</v>
      </c>
      <c r="D12508" s="9" t="s">
        <v>99</v>
      </c>
      <c r="E12508" s="6" t="s">
        <v>17498</v>
      </c>
      <c r="F12508" s="9"/>
    </row>
    <row r="12509" ht="33.75" customHeight="1">
      <c r="A12509" s="7">
        <v>591.0</v>
      </c>
      <c r="B12509" s="9" t="s">
        <v>17495</v>
      </c>
      <c r="C12509" s="9" t="s">
        <v>2749</v>
      </c>
      <c r="D12509" s="9" t="s">
        <v>101</v>
      </c>
      <c r="E12509" s="6" t="s">
        <v>17497</v>
      </c>
      <c r="F12509" s="9"/>
    </row>
    <row r="12510" ht="33.75" customHeight="1">
      <c r="A12510" s="7">
        <v>591.0</v>
      </c>
      <c r="B12510" s="9" t="s">
        <v>17495</v>
      </c>
      <c r="C12510" s="9" t="s">
        <v>2749</v>
      </c>
      <c r="D12510" s="9" t="s">
        <v>105</v>
      </c>
      <c r="E12510" s="6" t="s">
        <v>17496</v>
      </c>
      <c r="F12510" s="9"/>
    </row>
    <row r="12511" ht="33.75" customHeight="1">
      <c r="A12511" s="7">
        <v>591.0</v>
      </c>
      <c r="B12511" s="9" t="s">
        <v>17495</v>
      </c>
      <c r="C12511" s="9" t="s">
        <v>2749</v>
      </c>
      <c r="D12511" s="9" t="s">
        <v>107</v>
      </c>
      <c r="E12511" s="6" t="s">
        <v>17497</v>
      </c>
      <c r="F12511" s="9"/>
    </row>
    <row r="12512" ht="33.75" customHeight="1">
      <c r="A12512" s="7">
        <v>591.0</v>
      </c>
      <c r="B12512" s="9" t="s">
        <v>17495</v>
      </c>
      <c r="C12512" s="9" t="s">
        <v>2749</v>
      </c>
      <c r="D12512" s="9" t="s">
        <v>109</v>
      </c>
      <c r="E12512" s="6" t="s">
        <v>17496</v>
      </c>
      <c r="F12512" s="9"/>
    </row>
    <row r="12513" ht="33.75" customHeight="1">
      <c r="A12513" s="7">
        <v>591.0</v>
      </c>
      <c r="B12513" s="9" t="s">
        <v>17495</v>
      </c>
      <c r="C12513" s="9" t="s">
        <v>2749</v>
      </c>
      <c r="D12513" s="9" t="s">
        <v>114</v>
      </c>
      <c r="E12513" s="6" t="s">
        <v>17500</v>
      </c>
      <c r="F12513" s="9"/>
    </row>
    <row r="12514" ht="33.75" customHeight="1">
      <c r="A12514" s="7">
        <v>591.0</v>
      </c>
      <c r="B12514" s="9" t="s">
        <v>17495</v>
      </c>
      <c r="C12514" s="9" t="s">
        <v>2749</v>
      </c>
      <c r="D12514" s="9" t="s">
        <v>117</v>
      </c>
      <c r="E12514" s="6" t="s">
        <v>17501</v>
      </c>
      <c r="F12514" s="9"/>
    </row>
    <row r="12515" ht="33.75" customHeight="1">
      <c r="A12515" s="7">
        <v>592.0</v>
      </c>
      <c r="B12515" s="9" t="s">
        <v>17502</v>
      </c>
      <c r="C12515" s="9" t="s">
        <v>17503</v>
      </c>
      <c r="D12515" s="9" t="s">
        <v>93</v>
      </c>
      <c r="E12515" s="6" t="s">
        <v>17504</v>
      </c>
      <c r="F12515" t="inlineStr" s="10">
        <is>
          <t xml:space="preserve">Ohuet, hunnun kaltaiset käsivartensa kiedottuina vastustajansa ruumiin ympärille se vajoaa merenpohjaan. Ne lamauttavat saaliinsa myrkyllä ​​ja raahaavat sen sitten alas luoliinsa, kahdeksan kilometriä maanpinnan alapuolelle. Jos sen hunnun kaltaiset käsivarret tainnuttavat ja kietovat vihollisen ympärilleen, vihollinen raahataan kilometrien syvyyksiin pinnan alle eikä koskaan palaa. Se kietoo hunnumaiset käsivartensa ja jalkansa ohi uivan saaliinsa ympärille ja vetää ne alas meren syvyyksiin. Käyttämällä näkymättömiä myrkkypiikkejä hunnun kaltaisissa käsivarsissaan ja jaloissaan se halvaantaa vihollisensa ja saa heidät hukkumaan. Se kietoo saaliinsa hunnunkaltaisiin käsivarsiinsa ja vetää sen syvyyksiin, kahdeksan kilometriä merenpinnan alapuolelle. Legendan mukaan uponneen muinaisen kaupungin asukkaat muuttuivat näiksi Pokémoneiksi.</t>
        </is>
      </c>
    </row>
    <row r="12516" ht="33.75" customHeight="1">
      <c r="A12516" s="7">
        <v>592.0</v>
      </c>
      <c r="B12516" s="9" t="s">
        <v>17502</v>
      </c>
      <c r="C12516" s="9" t="s">
        <v>17503</v>
      </c>
      <c r="D12516" s="9" t="s">
        <v>95</v>
      </c>
      <c r="E12516" s="6" t="s">
        <v>17505</v>
      </c>
      <c r="F12516" s="9"/>
    </row>
    <row r="12517" ht="33.75" customHeight="1">
      <c r="A12517" s="7">
        <v>592.0</v>
      </c>
      <c r="B12517" s="9" t="s">
        <v>17502</v>
      </c>
      <c r="C12517" s="9" t="s">
        <v>17503</v>
      </c>
      <c r="D12517" s="9" t="s">
        <v>98</v>
      </c>
      <c r="E12517" s="6" t="s">
        <v>17506</v>
      </c>
      <c r="F12517" s="9"/>
    </row>
    <row r="12518" ht="33.75" customHeight="1">
      <c r="A12518" s="7">
        <v>592.0</v>
      </c>
      <c r="B12518" s="9" t="s">
        <v>17502</v>
      </c>
      <c r="C12518" s="9" t="s">
        <v>17503</v>
      </c>
      <c r="D12518" s="9" t="s">
        <v>99</v>
      </c>
      <c r="E12518" s="6" t="s">
        <v>17506</v>
      </c>
      <c r="F12518" s="9"/>
    </row>
    <row r="12519" ht="33.75" customHeight="1">
      <c r="A12519" s="7">
        <v>592.0</v>
      </c>
      <c r="B12519" s="9" t="s">
        <v>17502</v>
      </c>
      <c r="C12519" s="9" t="s">
        <v>17503</v>
      </c>
      <c r="D12519" s="9" t="s">
        <v>101</v>
      </c>
      <c r="E12519" s="6" t="s">
        <v>17505</v>
      </c>
      <c r="F12519" s="9"/>
    </row>
    <row r="12520" ht="33.75" customHeight="1">
      <c r="A12520" s="7">
        <v>592.0</v>
      </c>
      <c r="B12520" s="9" t="s">
        <v>17502</v>
      </c>
      <c r="C12520" s="9" t="s">
        <v>17503</v>
      </c>
      <c r="D12520" s="9" t="s">
        <v>105</v>
      </c>
      <c r="E12520" s="6" t="s">
        <v>17506</v>
      </c>
      <c r="F12520" s="9"/>
    </row>
    <row r="12521" ht="33.75" customHeight="1">
      <c r="A12521" s="7">
        <v>592.0</v>
      </c>
      <c r="B12521" s="9" t="s">
        <v>17502</v>
      </c>
      <c r="C12521" s="9" t="s">
        <v>17503</v>
      </c>
      <c r="D12521" s="9" t="s">
        <v>107</v>
      </c>
      <c r="E12521" s="6" t="s">
        <v>17505</v>
      </c>
      <c r="F12521" s="9"/>
    </row>
    <row r="12522" ht="33.75" customHeight="1">
      <c r="A12522" s="7">
        <v>592.0</v>
      </c>
      <c r="B12522" s="9" t="s">
        <v>17502</v>
      </c>
      <c r="C12522" s="9" t="s">
        <v>17503</v>
      </c>
      <c r="D12522" s="9" t="s">
        <v>109</v>
      </c>
      <c r="E12522" s="6" t="s">
        <v>17506</v>
      </c>
      <c r="F12522" s="9"/>
    </row>
    <row r="12523" ht="33.75" customHeight="1">
      <c r="A12523" s="7">
        <v>592.0</v>
      </c>
      <c r="B12523" s="9" t="s">
        <v>17502</v>
      </c>
      <c r="C12523" s="9" t="s">
        <v>17503</v>
      </c>
      <c r="D12523" s="9" t="s">
        <v>647</v>
      </c>
      <c r="E12523" s="6" t="s">
        <v>17508</v>
      </c>
      <c r="F12523" s="9"/>
    </row>
    <row r="12524" ht="33.75" customHeight="1">
      <c r="A12524" s="7">
        <v>592.0</v>
      </c>
      <c r="B12524" s="9" t="s">
        <v>17502</v>
      </c>
      <c r="C12524" s="9" t="s">
        <v>17503</v>
      </c>
      <c r="D12524" s="9" t="s">
        <v>652</v>
      </c>
      <c r="E12524" s="6" t="s">
        <v>17509</v>
      </c>
      <c r="F12524" s="9"/>
    </row>
    <row r="12525" ht="33.75" customHeight="1">
      <c r="A12525" s="7">
        <v>592.0</v>
      </c>
      <c r="B12525" s="9" t="s">
        <v>17502</v>
      </c>
      <c r="C12525" s="9" t="s">
        <v>17503</v>
      </c>
      <c r="D12525" s="9" t="s">
        <v>114</v>
      </c>
      <c r="E12525" s="6" t="s">
        <v>17510</v>
      </c>
      <c r="F12525" s="9"/>
    </row>
    <row r="12526" ht="33.75" customHeight="1">
      <c r="A12526" s="7">
        <v>592.0</v>
      </c>
      <c r="B12526" s="9" t="s">
        <v>17502</v>
      </c>
      <c r="C12526" s="9" t="s">
        <v>17503</v>
      </c>
      <c r="D12526" s="9" t="s">
        <v>117</v>
      </c>
      <c r="E12526" s="6" t="s">
        <v>17511</v>
      </c>
      <c r="F12526" s="9"/>
    </row>
    <row r="12527" ht="33.75" customHeight="1">
      <c r="A12527" s="7">
        <v>593.0</v>
      </c>
      <c r="B12527" s="9" t="s">
        <v>17512</v>
      </c>
      <c r="C12527" s="9" t="s">
        <v>17503</v>
      </c>
      <c r="D12527" s="9" t="s">
        <v>93</v>
      </c>
      <c r="E12527" s="6" t="s">
        <v>17513</v>
      </c>
      <c r="F12527" t="inlineStr" s="10">
        <is>
          <t xml:space="preserve">Jellicentin elinympäristöön vaeltelevien laivojen ja miehistön kohtalo: kaikki uponneet, kaikki kadonneet, kaikki katosivat. Ne liikkuvat poistamalla kehostaan ​​imeytynyttä merivettä. Niiden lempiruoka on elämänenergia. Sen runko on enimmäkseen merivettä. Kerrotaan, että merenpohjaan on uponnut laivojen linna. Jellicent hengailee aina hienojen risteilyalusten ja tankkereiden lähellä toivoen raahaavansa saaliinsa pois. Kalastajat pelkäävät Jellicentiä. Huhujen mukaan se raahaa heidät mereen ja varastaa heidän henkensä. Suurin osa tämän Pokémonin ruumiinrakenteesta on identtinen meriveden kanssa. Se tekee uponneista laivoista pesänsä. Aina kun täysikuu on yötaivaalla, Jellicent-parvet kokoontuvat merenpinnan lähelle odottamaan saaliinsa ilmestymistä.</t>
        </is>
      </c>
    </row>
    <row r="12528" ht="33.75" customHeight="1">
      <c r="A12528" s="7">
        <v>593.0</v>
      </c>
      <c r="B12528" s="9" t="s">
        <v>17512</v>
      </c>
      <c r="C12528" s="9" t="s">
        <v>17503</v>
      </c>
      <c r="D12528" s="9" t="s">
        <v>95</v>
      </c>
      <c r="E12528" s="6" t="s">
        <v>17514</v>
      </c>
      <c r="F12528" s="9"/>
    </row>
    <row r="12529" ht="33.75" customHeight="1">
      <c r="A12529" s="7">
        <v>593.0</v>
      </c>
      <c r="B12529" s="9" t="s">
        <v>17512</v>
      </c>
      <c r="C12529" s="9" t="s">
        <v>17503</v>
      </c>
      <c r="D12529" s="9" t="s">
        <v>98</v>
      </c>
      <c r="E12529" s="6" t="s">
        <v>17515</v>
      </c>
      <c r="F12529" s="9"/>
    </row>
    <row r="12530" ht="33.75" customHeight="1">
      <c r="A12530" s="7">
        <v>593.0</v>
      </c>
      <c r="B12530" s="9" t="s">
        <v>17512</v>
      </c>
      <c r="C12530" s="9" t="s">
        <v>17503</v>
      </c>
      <c r="D12530" s="9" t="s">
        <v>99</v>
      </c>
      <c r="E12530" s="6" t="s">
        <v>17515</v>
      </c>
      <c r="F12530" s="9"/>
    </row>
    <row r="12531" ht="33.75" customHeight="1">
      <c r="A12531" s="7">
        <v>593.0</v>
      </c>
      <c r="B12531" s="9" t="s">
        <v>17512</v>
      </c>
      <c r="C12531" s="9" t="s">
        <v>17503</v>
      </c>
      <c r="D12531" s="9" t="s">
        <v>101</v>
      </c>
      <c r="E12531" s="6" t="s">
        <v>17515</v>
      </c>
      <c r="F12531" s="9"/>
    </row>
    <row r="12532" ht="33.75" customHeight="1">
      <c r="A12532" s="7">
        <v>593.0</v>
      </c>
      <c r="B12532" s="9" t="s">
        <v>17512</v>
      </c>
      <c r="C12532" s="9" t="s">
        <v>17503</v>
      </c>
      <c r="D12532" s="9" t="s">
        <v>105</v>
      </c>
      <c r="E12532" s="6" t="s">
        <v>17513</v>
      </c>
      <c r="F12532" s="9"/>
    </row>
    <row r="12533" ht="33.75" customHeight="1">
      <c r="A12533" s="7">
        <v>593.0</v>
      </c>
      <c r="B12533" s="9" t="s">
        <v>17512</v>
      </c>
      <c r="C12533" s="9" t="s">
        <v>17503</v>
      </c>
      <c r="D12533" s="9" t="s">
        <v>107</v>
      </c>
      <c r="E12533" s="6" t="s">
        <v>17515</v>
      </c>
      <c r="F12533" s="9"/>
    </row>
    <row r="12534" ht="33.75" customHeight="1">
      <c r="A12534" s="7">
        <v>593.0</v>
      </c>
      <c r="B12534" s="9" t="s">
        <v>17512</v>
      </c>
      <c r="C12534" s="9" t="s">
        <v>17503</v>
      </c>
      <c r="D12534" s="9" t="s">
        <v>109</v>
      </c>
      <c r="E12534" s="6" t="s">
        <v>17513</v>
      </c>
      <c r="F12534" s="9"/>
    </row>
    <row r="12535" ht="33.75" customHeight="1">
      <c r="A12535" s="7">
        <v>593.0</v>
      </c>
      <c r="B12535" s="9" t="s">
        <v>17512</v>
      </c>
      <c r="C12535" s="9" t="s">
        <v>17503</v>
      </c>
      <c r="D12535" s="9" t="s">
        <v>647</v>
      </c>
      <c r="E12535" s="6" t="s">
        <v>17516</v>
      </c>
      <c r="F12535" s="9"/>
    </row>
    <row r="12536" ht="33.75" customHeight="1">
      <c r="A12536" s="7">
        <v>593.0</v>
      </c>
      <c r="B12536" s="9" t="s">
        <v>17512</v>
      </c>
      <c r="C12536" s="9" t="s">
        <v>17503</v>
      </c>
      <c r="D12536" s="9" t="s">
        <v>652</v>
      </c>
      <c r="E12536" s="6" t="s">
        <v>17517</v>
      </c>
      <c r="F12536" s="9"/>
    </row>
    <row r="12537" ht="33.75" customHeight="1">
      <c r="A12537" s="7">
        <v>593.0</v>
      </c>
      <c r="B12537" s="9" t="s">
        <v>17512</v>
      </c>
      <c r="C12537" s="9" t="s">
        <v>17503</v>
      </c>
      <c r="D12537" s="9" t="s">
        <v>114</v>
      </c>
      <c r="E12537" s="6" t="s">
        <v>17518</v>
      </c>
      <c r="F12537" s="9"/>
    </row>
    <row r="12538" ht="33.75" customHeight="1">
      <c r="A12538" s="7">
        <v>593.0</v>
      </c>
      <c r="B12538" s="9" t="s">
        <v>17512</v>
      </c>
      <c r="C12538" s="9" t="s">
        <v>17503</v>
      </c>
      <c r="D12538" s="9" t="s">
        <v>117</v>
      </c>
      <c r="E12538" s="6" t="s">
        <v>17519</v>
      </c>
      <c r="F12538" s="9"/>
    </row>
    <row r="12539" ht="33.75" customHeight="1">
      <c r="A12539" s="7">
        <v>594.0</v>
      </c>
      <c r="B12539" s="9" t="s">
        <v>17520</v>
      </c>
      <c r="C12539" s="9" t="s">
        <v>17521</v>
      </c>
      <c r="D12539" s="9" t="s">
        <v>93</v>
      </c>
      <c r="E12539" s="6" t="s">
        <v>17522</v>
      </c>
      <c r="F12539" t="inlineStr" s="10">
        <is>
          <t xml:space="preserve">Alomomolaa ympäröivällä erityisellä kalvolla on kyky parantaa haavoja. Ne kelluvat avomerellä. Löytäessään haavoittuneen Pokémonin ne syleilevät sitä ja tuovat sen rannalle. Se pitää loukkaantuneita ja heikkoja Pokémoneja hellästi evissään. Sen erityinen kalvo parantaa niiden haavat. Se käyttää erityistä limaansa sulkeakseen loukkaantuneiden Pokémonien haavat. Tämän käyttäytymisen syy on edelleen tuntematon. Monet vesi-Pokémonit kerääntyvät Alomomolan ympäristöön. Kalastajat ottavat niitä mukaan pitkille matkoille, sillä jos sinulla on Alomomola mukanasi, lääkäriä tai lääkkeitä ei tarvita. Syy siihen, miksi se auttaa heikentyneessä tilassa olevia Pokémoneja, on se, että kaikki niitä seuraavat Pokémonit voivat hyökätä myös Alomomolaa vastaan.</t>
        </is>
      </c>
    </row>
    <row r="12540" ht="33.75" customHeight="1">
      <c r="A12540" s="7">
        <v>594.0</v>
      </c>
      <c r="B12540" s="9" t="s">
        <v>17520</v>
      </c>
      <c r="C12540" s="9" t="s">
        <v>17521</v>
      </c>
      <c r="D12540" s="9" t="s">
        <v>95</v>
      </c>
      <c r="E12540" s="6" t="s">
        <v>17523</v>
      </c>
      <c r="F12540" s="9"/>
    </row>
    <row r="12541" ht="33.75" customHeight="1">
      <c r="A12541" s="7">
        <v>594.0</v>
      </c>
      <c r="B12541" s="9" t="s">
        <v>17520</v>
      </c>
      <c r="C12541" s="9" t="s">
        <v>17521</v>
      </c>
      <c r="D12541" s="9" t="s">
        <v>98</v>
      </c>
      <c r="E12541" s="6" t="s">
        <v>17524</v>
      </c>
      <c r="F12541" s="9"/>
    </row>
    <row r="12542" ht="33.75" customHeight="1">
      <c r="A12542" s="7">
        <v>594.0</v>
      </c>
      <c r="B12542" s="9" t="s">
        <v>17520</v>
      </c>
      <c r="C12542" s="9" t="s">
        <v>17521</v>
      </c>
      <c r="D12542" s="9" t="s">
        <v>99</v>
      </c>
      <c r="E12542" s="6" t="s">
        <v>17524</v>
      </c>
      <c r="F12542" s="9"/>
    </row>
    <row r="12543" ht="33.75" customHeight="1">
      <c r="A12543" s="7">
        <v>594.0</v>
      </c>
      <c r="B12543" s="9" t="s">
        <v>17520</v>
      </c>
      <c r="C12543" s="9" t="s">
        <v>17521</v>
      </c>
      <c r="D12543" s="9" t="s">
        <v>101</v>
      </c>
      <c r="E12543" s="6" t="s">
        <v>17523</v>
      </c>
      <c r="F12543" s="9"/>
    </row>
    <row r="12544" ht="33.75" customHeight="1">
      <c r="A12544" s="7">
        <v>594.0</v>
      </c>
      <c r="B12544" s="9" t="s">
        <v>17520</v>
      </c>
      <c r="C12544" s="9" t="s">
        <v>17521</v>
      </c>
      <c r="D12544" s="9" t="s">
        <v>105</v>
      </c>
      <c r="E12544" s="6" t="s">
        <v>17524</v>
      </c>
      <c r="F12544" s="9"/>
    </row>
    <row r="12545" ht="33.75" customHeight="1">
      <c r="A12545" s="7">
        <v>594.0</v>
      </c>
      <c r="B12545" s="9" t="s">
        <v>17520</v>
      </c>
      <c r="C12545" s="9" t="s">
        <v>17521</v>
      </c>
      <c r="D12545" s="9" t="s">
        <v>107</v>
      </c>
      <c r="E12545" s="6" t="s">
        <v>17523</v>
      </c>
      <c r="F12545" s="9"/>
    </row>
    <row r="12546" ht="33.75" customHeight="1">
      <c r="A12546" s="7">
        <v>594.0</v>
      </c>
      <c r="B12546" s="9" t="s">
        <v>17520</v>
      </c>
      <c r="C12546" s="9" t="s">
        <v>17521</v>
      </c>
      <c r="D12546" s="9" t="s">
        <v>109</v>
      </c>
      <c r="E12546" s="6" t="s">
        <v>17524</v>
      </c>
      <c r="F12546" s="9"/>
    </row>
    <row r="12547" ht="33.75" customHeight="1">
      <c r="A12547" s="7">
        <v>594.0</v>
      </c>
      <c r="B12547" s="9" t="s">
        <v>17520</v>
      </c>
      <c r="C12547" s="9" t="s">
        <v>17521</v>
      </c>
      <c r="D12547" s="9" t="s">
        <v>637</v>
      </c>
      <c r="E12547" s="6" t="s">
        <v>17526</v>
      </c>
      <c r="F12547" s="9"/>
    </row>
    <row r="12548" ht="33.75" customHeight="1">
      <c r="A12548" s="7">
        <v>594.0</v>
      </c>
      <c r="B12548" s="9" t="s">
        <v>17520</v>
      </c>
      <c r="C12548" s="9" t="s">
        <v>17521</v>
      </c>
      <c r="D12548" s="9" t="s">
        <v>642</v>
      </c>
      <c r="E12548" s="6" t="s">
        <v>17527</v>
      </c>
      <c r="F12548" s="9"/>
    </row>
    <row r="12549" ht="33.75" customHeight="1">
      <c r="A12549" s="7">
        <v>594.0</v>
      </c>
      <c r="B12549" s="9" t="s">
        <v>17520</v>
      </c>
      <c r="C12549" s="9" t="s">
        <v>17521</v>
      </c>
      <c r="D12549" s="9" t="s">
        <v>647</v>
      </c>
      <c r="E12549" s="6" t="s">
        <v>17528</v>
      </c>
      <c r="F12549" s="9"/>
    </row>
    <row r="12550" ht="33.75" customHeight="1">
      <c r="A12550" s="7">
        <v>594.0</v>
      </c>
      <c r="B12550" s="9" t="s">
        <v>17520</v>
      </c>
      <c r="C12550" s="9" t="s">
        <v>17521</v>
      </c>
      <c r="D12550" s="9" t="s">
        <v>652</v>
      </c>
      <c r="E12550" s="6" t="s">
        <v>17529</v>
      </c>
      <c r="F12550" s="9"/>
    </row>
    <row r="12551" ht="33.75" customHeight="1">
      <c r="A12551" s="7">
        <v>595.0</v>
      </c>
      <c r="B12551" s="9" t="s">
        <v>17530</v>
      </c>
      <c r="C12551" s="9" t="s">
        <v>17531</v>
      </c>
      <c r="D12551" s="9" t="s">
        <v>93</v>
      </c>
      <c r="E12551" s="6" t="s">
        <v>17532</v>
      </c>
      <c r="F12551" t="inlineStr" s="10">
        <is>
          <t xml:space="preserve">Kaupungeissa asuvat joltikit ovat oppineet tekniikan sähkön imemiseksi talojen pistorasioista. Ne kiinnittyvät suurikokoisiin Pokémoneihin ja imevät staattista sähköä, jota ne varastoivat sähköpussiin. Koska se ei pysty tuottamaan omaa sähköä, se tarttuu suurikokoisiin Pokémoneihin ja imee staattista sähköä. Joltikin voi löytää roikkumasta muissa Pokémoneissa. Se imee staattista sähköä, koska se ei pysty itse tuottamaan latausta. Joltik tarttuu muihin Pokémoneihin ja imee staattista sähköä. Ne tarttuvat usein Yamperin takaosaan.</t>
        </is>
      </c>
    </row>
    <row r="12552" ht="33.75" customHeight="1">
      <c r="A12552" s="7">
        <v>595.0</v>
      </c>
      <c r="B12552" s="9" t="s">
        <v>17530</v>
      </c>
      <c r="C12552" s="9" t="s">
        <v>17531</v>
      </c>
      <c r="D12552" s="9" t="s">
        <v>95</v>
      </c>
      <c r="E12552" s="6" t="s">
        <v>17533</v>
      </c>
      <c r="F12552" s="9"/>
    </row>
    <row r="12553" ht="33.75" customHeight="1">
      <c r="A12553" s="7">
        <v>595.0</v>
      </c>
      <c r="B12553" s="9" t="s">
        <v>17530</v>
      </c>
      <c r="C12553" s="9" t="s">
        <v>17531</v>
      </c>
      <c r="D12553" s="9" t="s">
        <v>98</v>
      </c>
      <c r="E12553" s="6" t="s">
        <v>17534</v>
      </c>
      <c r="F12553" s="9"/>
    </row>
    <row r="12554" ht="33.75" customHeight="1">
      <c r="A12554" s="7">
        <v>595.0</v>
      </c>
      <c r="B12554" s="9" t="s">
        <v>17530</v>
      </c>
      <c r="C12554" s="9" t="s">
        <v>17531</v>
      </c>
      <c r="D12554" s="9" t="s">
        <v>99</v>
      </c>
      <c r="E12554" s="6" t="s">
        <v>17534</v>
      </c>
      <c r="F12554" s="9"/>
    </row>
    <row r="12555" ht="33.75" customHeight="1">
      <c r="A12555" s="7">
        <v>595.0</v>
      </c>
      <c r="B12555" s="9" t="s">
        <v>17530</v>
      </c>
      <c r="C12555" s="9" t="s">
        <v>17531</v>
      </c>
      <c r="D12555" s="9" t="s">
        <v>101</v>
      </c>
      <c r="E12555" s="6" t="s">
        <v>17534</v>
      </c>
      <c r="F12555" s="9"/>
    </row>
    <row r="12556" ht="33.75" customHeight="1">
      <c r="A12556" s="7">
        <v>595.0</v>
      </c>
      <c r="B12556" s="9" t="s">
        <v>17530</v>
      </c>
      <c r="C12556" s="9" t="s">
        <v>17531</v>
      </c>
      <c r="D12556" s="9" t="s">
        <v>105</v>
      </c>
      <c r="E12556" s="6" t="s">
        <v>17533</v>
      </c>
      <c r="F12556" s="9"/>
    </row>
    <row r="12557" ht="33.75" customHeight="1">
      <c r="A12557" s="7">
        <v>595.0</v>
      </c>
      <c r="B12557" s="9" t="s">
        <v>17530</v>
      </c>
      <c r="C12557" s="9" t="s">
        <v>17531</v>
      </c>
      <c r="D12557" s="9" t="s">
        <v>107</v>
      </c>
      <c r="E12557" s="6" t="s">
        <v>17534</v>
      </c>
      <c r="F12557" s="9"/>
    </row>
    <row r="12558" ht="33.75" customHeight="1">
      <c r="A12558" s="7">
        <v>595.0</v>
      </c>
      <c r="B12558" s="9" t="s">
        <v>17530</v>
      </c>
      <c r="C12558" s="9" t="s">
        <v>17531</v>
      </c>
      <c r="D12558" s="9" t="s">
        <v>109</v>
      </c>
      <c r="E12558" s="6" t="s">
        <v>17533</v>
      </c>
      <c r="F12558" s="9"/>
    </row>
    <row r="12559" ht="33.75" customHeight="1">
      <c r="A12559" s="7">
        <v>595.0</v>
      </c>
      <c r="B12559" s="9" t="s">
        <v>17530</v>
      </c>
      <c r="C12559" s="9" t="s">
        <v>17531</v>
      </c>
      <c r="D12559" s="9" t="s">
        <v>114</v>
      </c>
      <c r="E12559" s="6" t="s">
        <v>17535</v>
      </c>
      <c r="F12559" s="9"/>
    </row>
    <row r="12560" ht="33.75" customHeight="1">
      <c r="A12560" s="7">
        <v>595.0</v>
      </c>
      <c r="B12560" s="9" t="s">
        <v>17530</v>
      </c>
      <c r="C12560" s="9" t="s">
        <v>17531</v>
      </c>
      <c r="D12560" s="9" t="s">
        <v>117</v>
      </c>
      <c r="E12560" s="6" t="s">
        <v>17536</v>
      </c>
      <c r="F12560" s="9"/>
    </row>
    <row r="12561" ht="33.75" customHeight="1">
      <c r="A12561" s="7">
        <v>596.0</v>
      </c>
      <c r="B12561" s="9" t="s">
        <v>17537</v>
      </c>
      <c r="C12561" s="9" t="s">
        <v>17538</v>
      </c>
      <c r="D12561" s="9" t="s">
        <v>93</v>
      </c>
      <c r="E12561" s="6" t="s">
        <v>17539</v>
      </c>
      <c r="F12561" t="inlineStr" s="10">
        <is>
          <t xml:space="preserve">Hyökkäyksen aikana ne luovat sähköisen esteen sylkemällä ulos monia sähköisesti varautuneita lankoja. Ne käyttävät sähköisesti varattua verkkoa saaliinsa pyydystämiseen. Vaikka se on sähköiskun lamauttama, ne syövät sitä verkkaisesti. Se luo sähköistetystä silkistä esteitä, jotka tainnuttavat vihollisia. Tämä toimii sekä aseena että puolustuksena. Se ampuu vatsastaan ​​sähköistettyä turkkia hyökkäyskeinonaan. Turkin osumat voivat johtaa kolmen kokonaisen päivän ja yön halvaantumiseen. Se asettaa sähköistetyistä langoista koostuvia ansoja lintu-Pokémonien pesien lähelle ja pyrkii pyydystämään poikasia, jotka eivät vielä osaa lentää.</t>
        </is>
      </c>
    </row>
    <row r="12562" ht="33.75" customHeight="1">
      <c r="A12562" s="7">
        <v>596.0</v>
      </c>
      <c r="B12562" s="9" t="s">
        <v>17537</v>
      </c>
      <c r="C12562" s="9" t="s">
        <v>17538</v>
      </c>
      <c r="D12562" s="9" t="s">
        <v>95</v>
      </c>
      <c r="E12562" s="6" t="s">
        <v>17541</v>
      </c>
      <c r="F12562" s="9"/>
    </row>
    <row r="12563" ht="33.75" customHeight="1">
      <c r="A12563" s="7">
        <v>596.0</v>
      </c>
      <c r="B12563" s="9" t="s">
        <v>17537</v>
      </c>
      <c r="C12563" s="9" t="s">
        <v>17538</v>
      </c>
      <c r="D12563" s="9" t="s">
        <v>98</v>
      </c>
      <c r="E12563" s="6" t="s">
        <v>17542</v>
      </c>
      <c r="F12563" s="9"/>
    </row>
    <row r="12564" ht="33.75" customHeight="1">
      <c r="A12564" s="7">
        <v>596.0</v>
      </c>
      <c r="B12564" s="9" t="s">
        <v>17537</v>
      </c>
      <c r="C12564" s="9" t="s">
        <v>17538</v>
      </c>
      <c r="D12564" s="9" t="s">
        <v>99</v>
      </c>
      <c r="E12564" s="6" t="s">
        <v>17542</v>
      </c>
      <c r="F12564" s="9"/>
    </row>
    <row r="12565" ht="33.75" customHeight="1">
      <c r="A12565" s="7">
        <v>596.0</v>
      </c>
      <c r="B12565" s="9" t="s">
        <v>17537</v>
      </c>
      <c r="C12565" s="9" t="s">
        <v>17538</v>
      </c>
      <c r="D12565" s="9" t="s">
        <v>101</v>
      </c>
      <c r="E12565" s="6" t="s">
        <v>17541</v>
      </c>
      <c r="F12565" s="9"/>
    </row>
    <row r="12566" ht="33.75" customHeight="1">
      <c r="A12566" s="7">
        <v>596.0</v>
      </c>
      <c r="B12566" s="9" t="s">
        <v>17537</v>
      </c>
      <c r="C12566" s="9" t="s">
        <v>17538</v>
      </c>
      <c r="D12566" s="9" t="s">
        <v>105</v>
      </c>
      <c r="E12566" s="6" t="s">
        <v>17539</v>
      </c>
      <c r="F12566" s="9"/>
    </row>
    <row r="12567" ht="33.75" customHeight="1">
      <c r="A12567" s="7">
        <v>596.0</v>
      </c>
      <c r="B12567" s="9" t="s">
        <v>17537</v>
      </c>
      <c r="C12567" s="9" t="s">
        <v>17538</v>
      </c>
      <c r="D12567" s="9" t="s">
        <v>107</v>
      </c>
      <c r="E12567" s="6" t="s">
        <v>17541</v>
      </c>
      <c r="F12567" s="9"/>
    </row>
    <row r="12568" ht="33.75" customHeight="1">
      <c r="A12568" s="7">
        <v>596.0</v>
      </c>
      <c r="B12568" s="9" t="s">
        <v>17537</v>
      </c>
      <c r="C12568" s="9" t="s">
        <v>17538</v>
      </c>
      <c r="D12568" s="9" t="s">
        <v>109</v>
      </c>
      <c r="E12568" s="6" t="s">
        <v>17539</v>
      </c>
      <c r="F12568" s="9"/>
    </row>
    <row r="12569" ht="33.75" customHeight="1">
      <c r="A12569" s="7">
        <v>596.0</v>
      </c>
      <c r="B12569" s="9" t="s">
        <v>17537</v>
      </c>
      <c r="C12569" s="9" t="s">
        <v>17538</v>
      </c>
      <c r="D12569" s="9" t="s">
        <v>114</v>
      </c>
      <c r="E12569" s="6" t="s">
        <v>17543</v>
      </c>
      <c r="F12569" s="9"/>
    </row>
    <row r="12570" ht="33.75" customHeight="1">
      <c r="A12570" s="7">
        <v>596.0</v>
      </c>
      <c r="B12570" s="9" t="s">
        <v>17537</v>
      </c>
      <c r="C12570" s="9" t="s">
        <v>17538</v>
      </c>
      <c r="D12570" s="9" t="s">
        <v>117</v>
      </c>
      <c r="E12570" s="6" t="s">
        <v>17544</v>
      </c>
      <c r="F12570" s="9"/>
    </row>
    <row r="12571" ht="33.75" customHeight="1">
      <c r="A12571" s="7">
        <v>597.0</v>
      </c>
      <c r="B12571" s="9" t="s">
        <v>17545</v>
      </c>
      <c r="C12571" s="9" t="s">
        <v>17546</v>
      </c>
      <c r="D12571" s="9" t="s">
        <v>93</v>
      </c>
      <c r="E12571" s="6" t="s">
        <v>17547</v>
      </c>
      <c r="F12571" t="inlineStr" s="10">
        <is>
          <t xml:space="preserve">Uhkaatun hyökkäyksen sattuessa se hyökkää ampumalla piikkien sarjan, mikä antaa sille mahdollisuuden paeta vierimällä pois. Ne työntävät piikkinsä luolan seiniin ja imevät itseensä kalliosta löytämiään mineraaleja. Se imee itseensä kalliosta löytämäänsä rautaa roikkuessaan katossa. Se ampuu piikkejä vaarassa. Se puolustaa itseään ampumalla piikkejä, mutta sen tähtäys ei ole aluksi kovin hyvä. Vasta paljon harjoittelun jälkeen se paranee. Sammalluolat ovat niiden suosimia asuinpaikkoja. Sammalissa olevat entsyymit auttavat Ferroseedin piikkien kasvamaan suuriksi ja vahvoiksi.</t>
        </is>
      </c>
    </row>
    <row r="12572" ht="33.75" customHeight="1">
      <c r="A12572" s="7">
        <v>597.0</v>
      </c>
      <c r="B12572" s="9" t="s">
        <v>17545</v>
      </c>
      <c r="C12572" s="9" t="s">
        <v>17546</v>
      </c>
      <c r="D12572" s="9" t="s">
        <v>95</v>
      </c>
      <c r="E12572" s="6" t="s">
        <v>17548</v>
      </c>
      <c r="F12572" s="9"/>
    </row>
    <row r="12573" ht="33.75" customHeight="1">
      <c r="A12573" s="7">
        <v>597.0</v>
      </c>
      <c r="B12573" s="9" t="s">
        <v>17545</v>
      </c>
      <c r="C12573" s="9" t="s">
        <v>17546</v>
      </c>
      <c r="D12573" s="9" t="s">
        <v>98</v>
      </c>
      <c r="E12573" s="6" t="s">
        <v>17549</v>
      </c>
      <c r="F12573" s="9"/>
    </row>
    <row r="12574" ht="33.75" customHeight="1">
      <c r="A12574" s="7">
        <v>597.0</v>
      </c>
      <c r="B12574" s="9" t="s">
        <v>17545</v>
      </c>
      <c r="C12574" s="9" t="s">
        <v>17546</v>
      </c>
      <c r="D12574" s="9" t="s">
        <v>99</v>
      </c>
      <c r="E12574" s="6" t="s">
        <v>17549</v>
      </c>
      <c r="F12574" s="9"/>
    </row>
    <row r="12575" ht="33.75" customHeight="1">
      <c r="A12575" s="7">
        <v>597.0</v>
      </c>
      <c r="B12575" s="9" t="s">
        <v>17545</v>
      </c>
      <c r="C12575" s="9" t="s">
        <v>17546</v>
      </c>
      <c r="D12575" s="9" t="s">
        <v>101</v>
      </c>
      <c r="E12575" s="6" t="s">
        <v>17547</v>
      </c>
      <c r="F12575" s="9"/>
    </row>
    <row r="12576" ht="33.75" customHeight="1">
      <c r="A12576" s="7">
        <v>597.0</v>
      </c>
      <c r="B12576" s="9" t="s">
        <v>17545</v>
      </c>
      <c r="C12576" s="9" t="s">
        <v>17546</v>
      </c>
      <c r="D12576" s="9" t="s">
        <v>105</v>
      </c>
      <c r="E12576" s="6" t="s">
        <v>17549</v>
      </c>
      <c r="F12576" s="9"/>
    </row>
    <row r="12577" ht="33.75" customHeight="1">
      <c r="A12577" s="7">
        <v>597.0</v>
      </c>
      <c r="B12577" s="9" t="s">
        <v>17545</v>
      </c>
      <c r="C12577" s="9" t="s">
        <v>17546</v>
      </c>
      <c r="D12577" s="9" t="s">
        <v>107</v>
      </c>
      <c r="E12577" s="6" t="s">
        <v>17547</v>
      </c>
      <c r="F12577" s="9"/>
    </row>
    <row r="12578" ht="33.75" customHeight="1">
      <c r="A12578" s="7">
        <v>597.0</v>
      </c>
      <c r="B12578" s="9" t="s">
        <v>17545</v>
      </c>
      <c r="C12578" s="9" t="s">
        <v>17546</v>
      </c>
      <c r="D12578" s="9" t="s">
        <v>109</v>
      </c>
      <c r="E12578" s="6" t="s">
        <v>17549</v>
      </c>
      <c r="F12578" s="9"/>
    </row>
    <row r="12579" ht="33.75" customHeight="1">
      <c r="A12579" s="7">
        <v>597.0</v>
      </c>
      <c r="B12579" s="9" t="s">
        <v>17545</v>
      </c>
      <c r="C12579" s="9" t="s">
        <v>17546</v>
      </c>
      <c r="D12579" s="9" t="s">
        <v>114</v>
      </c>
      <c r="E12579" s="6" t="s">
        <v>17550</v>
      </c>
      <c r="F12579" s="9"/>
    </row>
    <row r="12580" ht="33.75" customHeight="1">
      <c r="A12580" s="7">
        <v>597.0</v>
      </c>
      <c r="B12580" s="9" t="s">
        <v>17545</v>
      </c>
      <c r="C12580" s="9" t="s">
        <v>17546</v>
      </c>
      <c r="D12580" s="9" t="s">
        <v>117</v>
      </c>
      <c r="E12580" s="6" t="s">
        <v>17551</v>
      </c>
      <c r="F12580" s="9"/>
    </row>
    <row r="12581" ht="33.75" customHeight="1">
      <c r="A12581" s="7">
        <v>598.0</v>
      </c>
      <c r="B12581" s="9" t="s">
        <v>17552</v>
      </c>
      <c r="C12581" s="9" t="s">
        <v>17553</v>
      </c>
      <c r="D12581" s="9" t="s">
        <v>93</v>
      </c>
      <c r="E12581" s="6" t="s">
        <v>17554</v>
      </c>
      <c r="F12581" t="inlineStr" s="10">
        <is>
          <t xml:space="preserve">Ferrothorn taistelee heilumalla kolmen piikkisen tuntosarunsa ympäri. Näiden teräspiikkien osuma voi muuttaa lohkareen raunioiksi. Ne kiinnittyvät luolien kattoihin ja ampuvat teräspiikkejä niiden ali kulkeviin kohteisiin. Heilahtelemalla kolmen piikkisen tuntosarunsa ympäri ja ampumalla piikkejä se voi tuhota vastustajan. Tämä Pokémon raapii piikkinsä kiviä pitkin ja käyttää sitten tuntosarviensa kärkiä imeäkseen kivestä löytämiään ravinteita. Sen piikit ovat kovempia kuin teräs. Tämä Pokémon ryömii kallioseinämien yli iskemällä tunnustelemiensa piikit kiveen.</t>
        </is>
      </c>
    </row>
    <row r="12582" ht="33.75" customHeight="1">
      <c r="A12582" s="7">
        <v>598.0</v>
      </c>
      <c r="B12582" s="9" t="s">
        <v>17552</v>
      </c>
      <c r="C12582" s="9" t="s">
        <v>17553</v>
      </c>
      <c r="D12582" s="9" t="s">
        <v>95</v>
      </c>
      <c r="E12582" s="6" t="s">
        <v>17555</v>
      </c>
      <c r="F12582" s="9"/>
    </row>
    <row r="12583" ht="33.75" customHeight="1">
      <c r="A12583" s="7">
        <v>598.0</v>
      </c>
      <c r="B12583" s="9" t="s">
        <v>17552</v>
      </c>
      <c r="C12583" s="9" t="s">
        <v>17553</v>
      </c>
      <c r="D12583" s="9" t="s">
        <v>98</v>
      </c>
      <c r="E12583" s="6" t="s">
        <v>17556</v>
      </c>
      <c r="F12583" s="9"/>
    </row>
    <row r="12584" ht="33.75" customHeight="1">
      <c r="A12584" s="7">
        <v>598.0</v>
      </c>
      <c r="B12584" s="9" t="s">
        <v>17552</v>
      </c>
      <c r="C12584" s="9" t="s">
        <v>17553</v>
      </c>
      <c r="D12584" s="9" t="s">
        <v>99</v>
      </c>
      <c r="E12584" s="6" t="s">
        <v>17556</v>
      </c>
      <c r="F12584" s="9"/>
    </row>
    <row r="12585" ht="33.75" customHeight="1">
      <c r="A12585" s="7">
        <v>598.0</v>
      </c>
      <c r="B12585" s="9" t="s">
        <v>17552</v>
      </c>
      <c r="C12585" s="9" t="s">
        <v>17553</v>
      </c>
      <c r="D12585" s="9" t="s">
        <v>101</v>
      </c>
      <c r="E12585" s="6" t="s">
        <v>17556</v>
      </c>
      <c r="F12585" s="9"/>
    </row>
    <row r="12586" ht="33.75" customHeight="1">
      <c r="A12586" s="7">
        <v>598.0</v>
      </c>
      <c r="B12586" s="9" t="s">
        <v>17552</v>
      </c>
      <c r="C12586" s="9" t="s">
        <v>17553</v>
      </c>
      <c r="D12586" s="9" t="s">
        <v>105</v>
      </c>
      <c r="E12586" s="6" t="s">
        <v>17555</v>
      </c>
      <c r="F12586" s="9"/>
    </row>
    <row r="12587" ht="33.75" customHeight="1">
      <c r="A12587" s="7">
        <v>598.0</v>
      </c>
      <c r="B12587" s="9" t="s">
        <v>17552</v>
      </c>
      <c r="C12587" s="9" t="s">
        <v>17553</v>
      </c>
      <c r="D12587" s="9" t="s">
        <v>107</v>
      </c>
      <c r="E12587" s="6" t="s">
        <v>17556</v>
      </c>
      <c r="F12587" s="9"/>
    </row>
    <row r="12588" ht="33.75" customHeight="1">
      <c r="A12588" s="7">
        <v>598.0</v>
      </c>
      <c r="B12588" s="9" t="s">
        <v>17552</v>
      </c>
      <c r="C12588" s="9" t="s">
        <v>17553</v>
      </c>
      <c r="D12588" s="9" t="s">
        <v>109</v>
      </c>
      <c r="E12588" s="6" t="s">
        <v>17555</v>
      </c>
      <c r="F12588" s="9"/>
    </row>
    <row r="12589" ht="33.75" customHeight="1">
      <c r="A12589" s="7">
        <v>598.0</v>
      </c>
      <c r="B12589" s="9" t="s">
        <v>17552</v>
      </c>
      <c r="C12589" s="9" t="s">
        <v>17553</v>
      </c>
      <c r="D12589" s="9" t="s">
        <v>114</v>
      </c>
      <c r="E12589" s="6" t="s">
        <v>17558</v>
      </c>
      <c r="F12589" s="9"/>
    </row>
    <row r="12590" ht="33.75" customHeight="1">
      <c r="A12590" s="7">
        <v>598.0</v>
      </c>
      <c r="B12590" s="9" t="s">
        <v>17552</v>
      </c>
      <c r="C12590" s="9" t="s">
        <v>17553</v>
      </c>
      <c r="D12590" s="9" t="s">
        <v>117</v>
      </c>
      <c r="E12590" s="6" t="s">
        <v>17559</v>
      </c>
      <c r="F12590" s="9"/>
    </row>
    <row r="12591" ht="33.75" customHeight="1">
      <c r="A12591" s="7">
        <v>599.0</v>
      </c>
      <c r="B12591" s="9" t="s">
        <v>17560</v>
      </c>
      <c r="C12591" s="9" t="s">
        <v>17561</v>
      </c>
      <c r="D12591" s="9" t="s">
        <v>93</v>
      </c>
      <c r="E12591" s="6" t="s">
        <v>17562</v>
      </c>
      <c r="F12591" t="inlineStr" s="10">
        <is>
          <t xml:space="preserve">Kaksi toisiinsa kytkeytyvää miniratasta on ennalta määrätty. Kumpikin kimpoaa muista minirattaista kytkeytymättä toisiinsa. Kahden ruumiin lukittuminen toisiinsa ja pyöriminen ympäri tuottaa niiden tarvitseman energian elääkseen. Kaksi kappaletta muodostavat kiinteän parin. Ne pyörivät toistensa ympäri tuottaakseen energiaa. Tämän Pokémonin kaksi minihammasta ovat lähempänä toisiaan kuin kaksoset. Ne sopivat hyvin yhteen vain yhdessä. Klinkin epäillään olleen inspiraationa muinaisten ihmisten keksinnölle ensimmäiset vaihteet.</t>
        </is>
      </c>
    </row>
    <row r="12592" ht="33.75" customHeight="1">
      <c r="A12592" s="7">
        <v>599.0</v>
      </c>
      <c r="B12592" s="9" t="s">
        <v>17560</v>
      </c>
      <c r="C12592" s="9" t="s">
        <v>17561</v>
      </c>
      <c r="D12592" s="9" t="s">
        <v>95</v>
      </c>
      <c r="E12592" s="6" t="s">
        <v>17563</v>
      </c>
      <c r="F12592" s="9"/>
    </row>
    <row r="12593" ht="33.75" customHeight="1">
      <c r="A12593" s="7">
        <v>599.0</v>
      </c>
      <c r="B12593" s="9" t="s">
        <v>17560</v>
      </c>
      <c r="C12593" s="9" t="s">
        <v>17561</v>
      </c>
      <c r="D12593" s="9" t="s">
        <v>98</v>
      </c>
      <c r="E12593" s="6" t="s">
        <v>17564</v>
      </c>
      <c r="F12593" s="9"/>
    </row>
    <row r="12594" ht="33.75" customHeight="1">
      <c r="A12594" s="7">
        <v>599.0</v>
      </c>
      <c r="B12594" s="9" t="s">
        <v>17560</v>
      </c>
      <c r="C12594" s="9" t="s">
        <v>17561</v>
      </c>
      <c r="D12594" s="9" t="s">
        <v>99</v>
      </c>
      <c r="E12594" s="6" t="s">
        <v>17564</v>
      </c>
      <c r="F12594" s="9"/>
    </row>
    <row r="12595" ht="33.75" customHeight="1">
      <c r="A12595" s="7">
        <v>599.0</v>
      </c>
      <c r="B12595" s="9" t="s">
        <v>17560</v>
      </c>
      <c r="C12595" s="9" t="s">
        <v>17561</v>
      </c>
      <c r="D12595" s="9" t="s">
        <v>101</v>
      </c>
      <c r="E12595" s="6" t="s">
        <v>17563</v>
      </c>
      <c r="F12595" s="9"/>
    </row>
    <row r="12596" ht="33.75" customHeight="1">
      <c r="A12596" s="7">
        <v>599.0</v>
      </c>
      <c r="B12596" s="9" t="s">
        <v>17560</v>
      </c>
      <c r="C12596" s="9" t="s">
        <v>17561</v>
      </c>
      <c r="D12596" s="9" t="s">
        <v>105</v>
      </c>
      <c r="E12596" s="6" t="s">
        <v>17562</v>
      </c>
      <c r="F12596" s="9"/>
    </row>
    <row r="12597" ht="33.75" customHeight="1">
      <c r="A12597" s="7">
        <v>599.0</v>
      </c>
      <c r="B12597" s="9" t="s">
        <v>17560</v>
      </c>
      <c r="C12597" s="9" t="s">
        <v>17561</v>
      </c>
      <c r="D12597" s="9" t="s">
        <v>107</v>
      </c>
      <c r="E12597" s="6" t="s">
        <v>17563</v>
      </c>
      <c r="F12597" s="9"/>
    </row>
    <row r="12598" ht="33.75" customHeight="1">
      <c r="A12598" s="7">
        <v>599.0</v>
      </c>
      <c r="B12598" s="9" t="s">
        <v>17560</v>
      </c>
      <c r="C12598" s="9" t="s">
        <v>17561</v>
      </c>
      <c r="D12598" s="9" t="s">
        <v>109</v>
      </c>
      <c r="E12598" s="6" t="s">
        <v>17562</v>
      </c>
      <c r="F12598" s="9"/>
    </row>
    <row r="12599" ht="33.75" customHeight="1">
      <c r="A12599" s="7">
        <v>599.0</v>
      </c>
      <c r="B12599" s="9" t="s">
        <v>17560</v>
      </c>
      <c r="C12599" s="9" t="s">
        <v>17561</v>
      </c>
      <c r="D12599" s="9" t="s">
        <v>114</v>
      </c>
      <c r="E12599" s="6" t="s">
        <v>17565</v>
      </c>
      <c r="F12599" s="9"/>
    </row>
    <row r="12600" ht="33.75" customHeight="1">
      <c r="A12600" s="7">
        <v>599.0</v>
      </c>
      <c r="B12600" s="9" t="s">
        <v>17560</v>
      </c>
      <c r="C12600" s="9" t="s">
        <v>17561</v>
      </c>
      <c r="D12600" s="9" t="s">
        <v>117</v>
      </c>
      <c r="E12600" s="6" t="s">
        <v>17566</v>
      </c>
      <c r="F12600" s="9"/>
    </row>
    <row r="12601" ht="33.75" customHeight="1">
      <c r="A12601" s="7">
        <v>600.0</v>
      </c>
      <c r="B12601" s="9" t="s">
        <v>17567</v>
      </c>
      <c r="C12601" s="9" t="s">
        <v>17561</v>
      </c>
      <c r="D12601" s="9" t="s">
        <v>93</v>
      </c>
      <c r="E12601" s="6" t="s">
        <v>17568</v>
      </c>
      <c r="F12601" t="inlineStr" s="10">
        <is>
          <t xml:space="preserve">Muuttamalla pyörimissuuntaansa se viestii tunteistaan ​​muille. Vihaisena se pyörii nopeammin. Pyöriviä minirattaita pyöritetään suurella nopeudella ja ammutaan toistuvasti pois. On vaarallista, jos rattaat eivät palaa takaisin. Sen rungon muodostavat minivaruste ja iso varuste. Jos vihollista kohti laukaisema minivaruste ei palaa, se kuolee. Kun Klang antaa kaikkensa, minigear yhdistyy täydellisesti ison gearin ulompaan osaan, ja tämän Pokémonin pyörimisnopeus kasvaa jyrkästi. Monet Galarin alueen yritykset valitsevat Klangin logokseen. Tätä Pokémonia pidetään teollisen teknologian symbolina.</t>
        </is>
      </c>
    </row>
    <row r="12602" ht="33.75" customHeight="1">
      <c r="A12602" s="7">
        <v>600.0</v>
      </c>
      <c r="B12602" s="9" t="s">
        <v>17567</v>
      </c>
      <c r="C12602" s="9" t="s">
        <v>17561</v>
      </c>
      <c r="D12602" s="9" t="s">
        <v>95</v>
      </c>
      <c r="E12602" s="6" t="s">
        <v>17569</v>
      </c>
      <c r="F12602" s="9"/>
    </row>
    <row r="12603" ht="33.75" customHeight="1">
      <c r="A12603" s="7">
        <v>600.0</v>
      </c>
      <c r="B12603" s="9" t="s">
        <v>17567</v>
      </c>
      <c r="C12603" s="9" t="s">
        <v>17561</v>
      </c>
      <c r="D12603" s="9" t="s">
        <v>98</v>
      </c>
      <c r="E12603" s="6" t="s">
        <v>17571</v>
      </c>
      <c r="F12603" s="9"/>
    </row>
    <row r="12604" ht="33.75" customHeight="1">
      <c r="A12604" s="7">
        <v>600.0</v>
      </c>
      <c r="B12604" s="9" t="s">
        <v>17567</v>
      </c>
      <c r="C12604" s="9" t="s">
        <v>17561</v>
      </c>
      <c r="D12604" s="9" t="s">
        <v>99</v>
      </c>
      <c r="E12604" s="6" t="s">
        <v>17571</v>
      </c>
      <c r="F12604" s="9"/>
    </row>
    <row r="12605" ht="33.75" customHeight="1">
      <c r="A12605" s="7">
        <v>600.0</v>
      </c>
      <c r="B12605" s="9" t="s">
        <v>17567</v>
      </c>
      <c r="C12605" s="9" t="s">
        <v>17561</v>
      </c>
      <c r="D12605" s="9" t="s">
        <v>101</v>
      </c>
      <c r="E12605" s="6" t="s">
        <v>17568</v>
      </c>
      <c r="F12605" s="9"/>
    </row>
    <row r="12606" ht="33.75" customHeight="1">
      <c r="A12606" s="7">
        <v>600.0</v>
      </c>
      <c r="B12606" s="9" t="s">
        <v>17567</v>
      </c>
      <c r="C12606" s="9" t="s">
        <v>17561</v>
      </c>
      <c r="D12606" s="9" t="s">
        <v>105</v>
      </c>
      <c r="E12606" s="6" t="s">
        <v>17571</v>
      </c>
      <c r="F12606" s="9"/>
    </row>
    <row r="12607" ht="33.75" customHeight="1">
      <c r="A12607" s="7">
        <v>600.0</v>
      </c>
      <c r="B12607" s="9" t="s">
        <v>17567</v>
      </c>
      <c r="C12607" s="9" t="s">
        <v>17561</v>
      </c>
      <c r="D12607" s="9" t="s">
        <v>107</v>
      </c>
      <c r="E12607" s="6" t="s">
        <v>17568</v>
      </c>
      <c r="F12607" s="9"/>
    </row>
    <row r="12608" ht="33.75" customHeight="1">
      <c r="A12608" s="7">
        <v>600.0</v>
      </c>
      <c r="B12608" s="9" t="s">
        <v>17567</v>
      </c>
      <c r="C12608" s="9" t="s">
        <v>17561</v>
      </c>
      <c r="D12608" s="9" t="s">
        <v>109</v>
      </c>
      <c r="E12608" s="6" t="s">
        <v>17571</v>
      </c>
      <c r="F12608" s="9"/>
    </row>
    <row r="12609" ht="33.75" customHeight="1">
      <c r="A12609" s="7">
        <v>600.0</v>
      </c>
      <c r="B12609" s="9" t="s">
        <v>17567</v>
      </c>
      <c r="C12609" s="9" t="s">
        <v>17561</v>
      </c>
      <c r="D12609" s="9" t="s">
        <v>114</v>
      </c>
      <c r="E12609" s="6" t="s">
        <v>17572</v>
      </c>
      <c r="F12609" s="9"/>
    </row>
    <row r="12610" ht="33.75" customHeight="1">
      <c r="A12610" s="7">
        <v>600.0</v>
      </c>
      <c r="B12610" s="9" t="s">
        <v>17567</v>
      </c>
      <c r="C12610" s="9" t="s">
        <v>17561</v>
      </c>
      <c r="D12610" s="9" t="s">
        <v>117</v>
      </c>
      <c r="E12610" s="6" t="s">
        <v>17573</v>
      </c>
      <c r="F12610" s="9"/>
    </row>
    <row r="12611" ht="33.75" customHeight="1">
      <c r="A12611" s="7">
        <v>601.0</v>
      </c>
      <c r="B12611" s="9" t="s">
        <v>17574</v>
      </c>
      <c r="C12611" s="9" t="s">
        <v>17561</v>
      </c>
      <c r="D12611" s="9" t="s">
        <v>93</v>
      </c>
      <c r="E12611" s="6" t="s">
        <v>17575</v>
      </c>
      <c r="F12611" t="inlineStr" s="10">
        <is>
          <t xml:space="preserve">Klinklangin punainen ydin toimii energiasäiliönä. Se ampuu ladattua energiaa piikkiensä kautta alueelle. Punaisella ytimellä varustettua hammasratasta pyöritetään suurella nopeudella nopeaa energian latausta varten. Miniratas pyörii suurella nopeudella. Sitten punaisen ytimen energia lataa minirattaan, jotta se on valmis ampumaan. Piikeistään se laukaisee voimakkaita sähköpurkauksia. Sen punainen ydin sisältää valtavan määrän energiaa. Tämän Pokémonin kolme hammasratasta pyörivät kovaa vauhtia. Sen uusi piikkinen hammasratas ei ole elävä olento.</t>
        </is>
      </c>
    </row>
    <row r="12612" ht="33.75" customHeight="1">
      <c r="A12612" s="7">
        <v>601.0</v>
      </c>
      <c r="B12612" s="9" t="s">
        <v>17574</v>
      </c>
      <c r="C12612" s="9" t="s">
        <v>17561</v>
      </c>
      <c r="D12612" s="9" t="s">
        <v>95</v>
      </c>
      <c r="E12612" s="6" t="s">
        <v>17576</v>
      </c>
      <c r="F12612" s="9"/>
    </row>
    <row r="12613" ht="33.75" customHeight="1">
      <c r="A12613" s="7">
        <v>601.0</v>
      </c>
      <c r="B12613" s="9" t="s">
        <v>17574</v>
      </c>
      <c r="C12613" s="9" t="s">
        <v>17561</v>
      </c>
      <c r="D12613" s="9" t="s">
        <v>98</v>
      </c>
      <c r="E12613" s="6" t="s">
        <v>17577</v>
      </c>
      <c r="F12613" s="9"/>
    </row>
    <row r="12614" ht="33.75" customHeight="1">
      <c r="A12614" s="7">
        <v>601.0</v>
      </c>
      <c r="B12614" s="9" t="s">
        <v>17574</v>
      </c>
      <c r="C12614" s="9" t="s">
        <v>17561</v>
      </c>
      <c r="D12614" s="9" t="s">
        <v>99</v>
      </c>
      <c r="E12614" s="6" t="s">
        <v>17577</v>
      </c>
      <c r="F12614" s="9"/>
    </row>
    <row r="12615" ht="33.75" customHeight="1">
      <c r="A12615" s="7">
        <v>601.0</v>
      </c>
      <c r="B12615" s="9" t="s">
        <v>17574</v>
      </c>
      <c r="C12615" s="9" t="s">
        <v>17561</v>
      </c>
      <c r="D12615" s="9" t="s">
        <v>101</v>
      </c>
      <c r="E12615" s="6" t="s">
        <v>17576</v>
      </c>
      <c r="F12615" s="9"/>
    </row>
    <row r="12616" ht="33.75" customHeight="1">
      <c r="A12616" s="7">
        <v>601.0</v>
      </c>
      <c r="B12616" s="9" t="s">
        <v>17574</v>
      </c>
      <c r="C12616" s="9" t="s">
        <v>17561</v>
      </c>
      <c r="D12616" s="9" t="s">
        <v>105</v>
      </c>
      <c r="E12616" s="6" t="s">
        <v>17575</v>
      </c>
      <c r="F12616" s="9"/>
    </row>
    <row r="12617" ht="33.75" customHeight="1">
      <c r="A12617" s="7">
        <v>601.0</v>
      </c>
      <c r="B12617" s="9" t="s">
        <v>17574</v>
      </c>
      <c r="C12617" s="9" t="s">
        <v>17561</v>
      </c>
      <c r="D12617" s="9" t="s">
        <v>107</v>
      </c>
      <c r="E12617" s="6" t="s">
        <v>17576</v>
      </c>
      <c r="F12617" s="9"/>
    </row>
    <row r="12618" ht="33.75" customHeight="1">
      <c r="A12618" s="7">
        <v>601.0</v>
      </c>
      <c r="B12618" s="9" t="s">
        <v>17574</v>
      </c>
      <c r="C12618" s="9" t="s">
        <v>17561</v>
      </c>
      <c r="D12618" s="9" t="s">
        <v>109</v>
      </c>
      <c r="E12618" s="6" t="s">
        <v>17575</v>
      </c>
      <c r="F12618" s="9"/>
    </row>
    <row r="12619" ht="33.75" customHeight="1">
      <c r="A12619" s="7">
        <v>601.0</v>
      </c>
      <c r="B12619" s="9" t="s">
        <v>17574</v>
      </c>
      <c r="C12619" s="9" t="s">
        <v>17561</v>
      </c>
      <c r="D12619" s="9" t="s">
        <v>114</v>
      </c>
      <c r="E12619" s="6" t="s">
        <v>17578</v>
      </c>
      <c r="F12619" s="9"/>
    </row>
    <row r="12620" ht="33.75" customHeight="1">
      <c r="A12620" s="7">
        <v>601.0</v>
      </c>
      <c r="B12620" s="9" t="s">
        <v>17574</v>
      </c>
      <c r="C12620" s="9" t="s">
        <v>17561</v>
      </c>
      <c r="D12620" s="9" t="s">
        <v>117</v>
      </c>
      <c r="E12620" s="6" t="s">
        <v>17580</v>
      </c>
      <c r="F12620" s="9"/>
    </row>
    <row r="12621" ht="33.75" customHeight="1">
      <c r="A12621" s="7">
        <v>602.0</v>
      </c>
      <c r="B12621" s="9" t="s">
        <v>17581</v>
      </c>
      <c r="C12621" s="9" t="s">
        <v>17582</v>
      </c>
      <c r="D12621" s="9" t="s">
        <v>93</v>
      </c>
      <c r="E12621" s="6" t="s">
        <v>17583</v>
      </c>
      <c r="F12621" t="inlineStr" s="10">
        <is>
          <t xml:space="preserve">Vaikka yhdellä yksinään ei ole paljon voimaa, useiden Tynamojen ketju voi olla yhtä voimakas kuin salama. Nämä Pokémonit liikkuvat parvissa. Niillä on sähköä tuottava elin, joten ne purkavat sähköä vaarassa. Yksinään voi lähettää vain pienen sähkövirran, joten joukko heitä kokoontuu laukaisemaan voimakkaan sähköiskun.</t>
        </is>
      </c>
    </row>
    <row r="12622" ht="33.75" customHeight="1">
      <c r="A12622" s="7">
        <v>602.0</v>
      </c>
      <c r="B12622" s="9" t="s">
        <v>17581</v>
      </c>
      <c r="C12622" s="9" t="s">
        <v>17582</v>
      </c>
      <c r="D12622" s="9" t="s">
        <v>95</v>
      </c>
      <c r="E12622" s="6" t="s">
        <v>17584</v>
      </c>
      <c r="F12622" s="9"/>
    </row>
    <row r="12623" ht="33.75" customHeight="1">
      <c r="A12623" s="7">
        <v>602.0</v>
      </c>
      <c r="B12623" s="9" t="s">
        <v>17581</v>
      </c>
      <c r="C12623" s="9" t="s">
        <v>17582</v>
      </c>
      <c r="D12623" s="9" t="s">
        <v>98</v>
      </c>
      <c r="E12623" s="6" t="s">
        <v>17585</v>
      </c>
      <c r="F12623" s="9"/>
    </row>
    <row r="12624" ht="33.75" customHeight="1">
      <c r="A12624" s="7">
        <v>602.0</v>
      </c>
      <c r="B12624" s="9" t="s">
        <v>17581</v>
      </c>
      <c r="C12624" s="9" t="s">
        <v>17582</v>
      </c>
      <c r="D12624" s="9" t="s">
        <v>99</v>
      </c>
      <c r="E12624" s="6" t="s">
        <v>17585</v>
      </c>
      <c r="F12624" s="9"/>
    </row>
    <row r="12625" ht="33.75" customHeight="1">
      <c r="A12625" s="7">
        <v>602.0</v>
      </c>
      <c r="B12625" s="9" t="s">
        <v>17581</v>
      </c>
      <c r="C12625" s="9" t="s">
        <v>17582</v>
      </c>
      <c r="D12625" s="9" t="s">
        <v>101</v>
      </c>
      <c r="E12625" s="6" t="s">
        <v>17583</v>
      </c>
      <c r="F12625" s="9"/>
    </row>
    <row r="12626" ht="33.75" customHeight="1">
      <c r="A12626" s="7">
        <v>602.0</v>
      </c>
      <c r="B12626" s="9" t="s">
        <v>17581</v>
      </c>
      <c r="C12626" s="9" t="s">
        <v>17582</v>
      </c>
      <c r="D12626" s="9" t="s">
        <v>105</v>
      </c>
      <c r="E12626" s="6" t="s">
        <v>17585</v>
      </c>
      <c r="F12626" s="9"/>
    </row>
    <row r="12627" ht="33.75" customHeight="1">
      <c r="A12627" s="7">
        <v>602.0</v>
      </c>
      <c r="B12627" s="9" t="s">
        <v>17581</v>
      </c>
      <c r="C12627" s="9" t="s">
        <v>17582</v>
      </c>
      <c r="D12627" s="9" t="s">
        <v>107</v>
      </c>
      <c r="E12627" s="6" t="s">
        <v>17583</v>
      </c>
      <c r="F12627" s="9"/>
    </row>
    <row r="12628" ht="33.75" customHeight="1">
      <c r="A12628" s="7">
        <v>602.0</v>
      </c>
      <c r="B12628" s="9" t="s">
        <v>17581</v>
      </c>
      <c r="C12628" s="9" t="s">
        <v>17582</v>
      </c>
      <c r="D12628" s="9" t="s">
        <v>109</v>
      </c>
      <c r="E12628" s="6" t="s">
        <v>17585</v>
      </c>
      <c r="F12628" s="9"/>
    </row>
    <row r="12629" ht="33.75" customHeight="1">
      <c r="A12629" s="7">
        <v>603.0</v>
      </c>
      <c r="B12629" s="9" t="s">
        <v>17586</v>
      </c>
      <c r="C12629" s="9" t="s">
        <v>17582</v>
      </c>
      <c r="D12629" s="9" t="s">
        <v>93</v>
      </c>
      <c r="E12629" s="6" t="s">
        <v>17587</v>
      </c>
      <c r="F12629" t="inlineStr" s="10">
        <is>
          <t xml:space="preserve">Ne kiemurtelevat vihollisten ympärille ja antavat heille sähköiskuja sähköä tuottavilla elimillä, jotka näyttävät yksinkertaisesti pyöreiltä kuvioilta. Näillä Pokémoneilla on suuri ruokahalu. Kun ne havaitsevat saaliinsa, ne hyökkäävät sen kimppuun ja lamauttavat sen sähköllä. Se kietoutuu saaliinsa ympärille ja lamauttaa sen kylkiensä pyöreiden täplien sähköiskulla. Sitten se jyrää.</t>
        </is>
      </c>
    </row>
    <row r="12630" ht="33.75" customHeight="1">
      <c r="A12630" s="7">
        <v>603.0</v>
      </c>
      <c r="B12630" s="9" t="s">
        <v>17586</v>
      </c>
      <c r="C12630" s="9" t="s">
        <v>17582</v>
      </c>
      <c r="D12630" s="9" t="s">
        <v>95</v>
      </c>
      <c r="E12630" s="6" t="s">
        <v>17588</v>
      </c>
      <c r="F12630" s="9"/>
    </row>
    <row r="12631" ht="33.75" customHeight="1">
      <c r="A12631" s="7">
        <v>603.0</v>
      </c>
      <c r="B12631" s="9" t="s">
        <v>17586</v>
      </c>
      <c r="C12631" s="9" t="s">
        <v>17582</v>
      </c>
      <c r="D12631" s="9" t="s">
        <v>98</v>
      </c>
      <c r="E12631" s="6" t="s">
        <v>17589</v>
      </c>
      <c r="F12631" s="9"/>
    </row>
    <row r="12632" ht="33.75" customHeight="1">
      <c r="A12632" s="7">
        <v>603.0</v>
      </c>
      <c r="B12632" s="9" t="s">
        <v>17586</v>
      </c>
      <c r="C12632" s="9" t="s">
        <v>17582</v>
      </c>
      <c r="D12632" s="9" t="s">
        <v>99</v>
      </c>
      <c r="E12632" s="6" t="s">
        <v>17589</v>
      </c>
      <c r="F12632" s="9"/>
    </row>
    <row r="12633" ht="33.75" customHeight="1">
      <c r="A12633" s="7">
        <v>603.0</v>
      </c>
      <c r="B12633" s="9" t="s">
        <v>17586</v>
      </c>
      <c r="C12633" s="9" t="s">
        <v>17582</v>
      </c>
      <c r="D12633" s="9" t="s">
        <v>101</v>
      </c>
      <c r="E12633" s="6" t="s">
        <v>17589</v>
      </c>
      <c r="F12633" s="9"/>
    </row>
    <row r="12634" ht="33.75" customHeight="1">
      <c r="A12634" s="7">
        <v>603.0</v>
      </c>
      <c r="B12634" s="9" t="s">
        <v>17586</v>
      </c>
      <c r="C12634" s="9" t="s">
        <v>17582</v>
      </c>
      <c r="D12634" s="9" t="s">
        <v>105</v>
      </c>
      <c r="E12634" s="6" t="s">
        <v>17588</v>
      </c>
      <c r="F12634" s="9"/>
    </row>
    <row r="12635" ht="33.75" customHeight="1">
      <c r="A12635" s="7">
        <v>603.0</v>
      </c>
      <c r="B12635" s="9" t="s">
        <v>17586</v>
      </c>
      <c r="C12635" s="9" t="s">
        <v>17582</v>
      </c>
      <c r="D12635" s="9" t="s">
        <v>107</v>
      </c>
      <c r="E12635" s="6" t="s">
        <v>17589</v>
      </c>
      <c r="F12635" s="9"/>
    </row>
    <row r="12636" ht="33.75" customHeight="1">
      <c r="A12636" s="7">
        <v>603.0</v>
      </c>
      <c r="B12636" s="9" t="s">
        <v>17586</v>
      </c>
      <c r="C12636" s="9" t="s">
        <v>17582</v>
      </c>
      <c r="D12636" s="9" t="s">
        <v>109</v>
      </c>
      <c r="E12636" s="6" t="s">
        <v>17588</v>
      </c>
      <c r="F12636" s="9"/>
    </row>
    <row r="12637" ht="33.75" customHeight="1">
      <c r="A12637" s="7">
        <v>604.0</v>
      </c>
      <c r="B12637" s="9" t="s">
        <v>17591</v>
      </c>
      <c r="C12637" s="9" t="s">
        <v>17582</v>
      </c>
      <c r="D12637" s="9" t="s">
        <v>93</v>
      </c>
      <c r="E12637" s="6" t="s">
        <v>17592</v>
      </c>
      <c r="F12637" t="inlineStr" s="10">
        <is>
          <t xml:space="preserve">Ne ryömivät merestä käsivarsiensa avulla. Ne hyökkäävät saaliin kimppuun rannalla ja raahaavat sen välittömästi mereen. Imusuillaan ne imevät saalista. Sitten ne käyttävät kulmahampaitaan sähköiskun antamiseen saaliille. Se tarttuu saaliiseen imukivellään, uppoaa kulmahampaisiinsa ja antaa saaliille voimakkaan sähköiskun.</t>
        </is>
      </c>
    </row>
    <row r="12638" ht="33.75" customHeight="1">
      <c r="A12638" s="7">
        <v>604.0</v>
      </c>
      <c r="B12638" s="9" t="s">
        <v>17591</v>
      </c>
      <c r="C12638" s="9" t="s">
        <v>17582</v>
      </c>
      <c r="D12638" s="9" t="s">
        <v>95</v>
      </c>
      <c r="E12638" s="6" t="s">
        <v>17593</v>
      </c>
      <c r="F12638" s="9"/>
    </row>
    <row r="12639" ht="33.75" customHeight="1">
      <c r="A12639" s="7">
        <v>604.0</v>
      </c>
      <c r="B12639" s="9" t="s">
        <v>17591</v>
      </c>
      <c r="C12639" s="9" t="s">
        <v>17582</v>
      </c>
      <c r="D12639" s="9" t="s">
        <v>98</v>
      </c>
      <c r="E12639" s="6" t="s">
        <v>17594</v>
      </c>
      <c r="F12639" s="9"/>
    </row>
    <row r="12640" ht="33.75" customHeight="1">
      <c r="A12640" s="7">
        <v>604.0</v>
      </c>
      <c r="B12640" s="9" t="s">
        <v>17591</v>
      </c>
      <c r="C12640" s="9" t="s">
        <v>17582</v>
      </c>
      <c r="D12640" s="9" t="s">
        <v>99</v>
      </c>
      <c r="E12640" s="6" t="s">
        <v>17594</v>
      </c>
      <c r="F12640" s="9"/>
    </row>
    <row r="12641" ht="33.75" customHeight="1">
      <c r="A12641" s="7">
        <v>604.0</v>
      </c>
      <c r="B12641" s="9" t="s">
        <v>17591</v>
      </c>
      <c r="C12641" s="9" t="s">
        <v>17582</v>
      </c>
      <c r="D12641" s="9" t="s">
        <v>101</v>
      </c>
      <c r="E12641" s="6" t="s">
        <v>17593</v>
      </c>
      <c r="F12641" s="9"/>
    </row>
    <row r="12642" ht="33.75" customHeight="1">
      <c r="A12642" s="7">
        <v>604.0</v>
      </c>
      <c r="B12642" s="9" t="s">
        <v>17591</v>
      </c>
      <c r="C12642" s="9" t="s">
        <v>17582</v>
      </c>
      <c r="D12642" s="9" t="s">
        <v>105</v>
      </c>
      <c r="E12642" s="6" t="s">
        <v>17592</v>
      </c>
      <c r="F12642" s="9"/>
    </row>
    <row r="12643" ht="33.75" customHeight="1">
      <c r="A12643" s="7">
        <v>604.0</v>
      </c>
      <c r="B12643" s="9" t="s">
        <v>17591</v>
      </c>
      <c r="C12643" s="9" t="s">
        <v>17582</v>
      </c>
      <c r="D12643" s="9" t="s">
        <v>107</v>
      </c>
      <c r="E12643" s="6" t="s">
        <v>17593</v>
      </c>
      <c r="F12643" s="9"/>
    </row>
    <row r="12644" ht="33.75" customHeight="1">
      <c r="A12644" s="7">
        <v>604.0</v>
      </c>
      <c r="B12644" s="9" t="s">
        <v>17591</v>
      </c>
      <c r="C12644" s="9" t="s">
        <v>17582</v>
      </c>
      <c r="D12644" s="9" t="s">
        <v>109</v>
      </c>
      <c r="E12644" s="6" t="s">
        <v>17592</v>
      </c>
      <c r="F12644" s="9"/>
    </row>
    <row r="12645" ht="33.75" customHeight="1">
      <c r="A12645" s="7">
        <v>605.0</v>
      </c>
      <c r="B12645" s="9" t="s">
        <v>17596</v>
      </c>
      <c r="C12645" s="9" t="s">
        <v>17597</v>
      </c>
      <c r="D12645" s="9" t="s">
        <v>93</v>
      </c>
      <c r="E12645" s="6" t="s">
        <v>17598</v>
      </c>
      <c r="F12645" t="inlineStr" s="10">
        <is>
          <t xml:space="preserve">Elgyem käyttää vahvaa psyykkistä voimaansa puristaakseen vastustajansa aivoja aiheuttaen sietämätöntä päänsärkyä. Tätä Pokémonia ei ollut koskaan nähty, ennen kuin se ilmestyi kaukaa aavikolta 50 vuotta sitten. Huhut sen alkuperästä liittyvät ufon maahansyöksypaikkaan aavikolla 50 vuotta sitten. Se hallitsee valtavaa psyykkistä voimaa. Useimmat raportit avaruusolentojen havainnoista ovat itse asiassa vain ihmisten erehdyksessä luulleet Elgyemin avaruusolennoksi. Tämä Pokémon on mysteerin verhoama. Sen sanotaan ilmestyneen noin 50 vuotta sitten taivaalta pudonneesta UFOsta. Jos tämä Pokémon seisoo television lähellä, ruudulle ilmestyy outoja maisemia. Maiseman sanotaan olevan sen kodista. Tämä Pokémon löydettiin noin 50 vuotta sitten. Sen pitkälle kehittynyt aivot mahdollistavat sen psyykkisten voimiensa käyttämisen.</t>
        </is>
      </c>
    </row>
    <row r="12646" ht="33.75" customHeight="1">
      <c r="A12646" s="7">
        <v>605.0</v>
      </c>
      <c r="B12646" s="9" t="s">
        <v>17596</v>
      </c>
      <c r="C12646" s="9" t="s">
        <v>17597</v>
      </c>
      <c r="D12646" s="9" t="s">
        <v>95</v>
      </c>
      <c r="E12646" s="6" t="s">
        <v>17599</v>
      </c>
      <c r="F12646" s="9"/>
    </row>
    <row r="12647" ht="33.75" customHeight="1">
      <c r="A12647" s="7">
        <v>605.0</v>
      </c>
      <c r="B12647" s="9" t="s">
        <v>17596</v>
      </c>
      <c r="C12647" s="9" t="s">
        <v>17597</v>
      </c>
      <c r="D12647" s="9" t="s">
        <v>98</v>
      </c>
      <c r="E12647" s="6" t="s">
        <v>17600</v>
      </c>
      <c r="F12647" s="9"/>
    </row>
    <row r="12648" ht="33.75" customHeight="1">
      <c r="A12648" s="7">
        <v>605.0</v>
      </c>
      <c r="B12648" s="9" t="s">
        <v>17596</v>
      </c>
      <c r="C12648" s="9" t="s">
        <v>17597</v>
      </c>
      <c r="D12648" s="9" t="s">
        <v>99</v>
      </c>
      <c r="E12648" s="6" t="s">
        <v>17600</v>
      </c>
      <c r="F12648" s="9"/>
    </row>
    <row r="12649" ht="33.75" customHeight="1">
      <c r="A12649" s="7">
        <v>605.0</v>
      </c>
      <c r="B12649" s="9" t="s">
        <v>17596</v>
      </c>
      <c r="C12649" s="9" t="s">
        <v>17597</v>
      </c>
      <c r="D12649" s="9" t="s">
        <v>101</v>
      </c>
      <c r="E12649" s="6" t="s">
        <v>17598</v>
      </c>
      <c r="F12649" s="9"/>
    </row>
    <row r="12650" ht="33.75" customHeight="1">
      <c r="A12650" s="7">
        <v>605.0</v>
      </c>
      <c r="B12650" s="9" t="s">
        <v>17596</v>
      </c>
      <c r="C12650" s="9" t="s">
        <v>17597</v>
      </c>
      <c r="D12650" s="9" t="s">
        <v>105</v>
      </c>
      <c r="E12650" s="6" t="s">
        <v>17600</v>
      </c>
      <c r="F12650" s="9"/>
    </row>
    <row r="12651" ht="33.75" customHeight="1">
      <c r="A12651" s="7">
        <v>605.0</v>
      </c>
      <c r="B12651" s="9" t="s">
        <v>17596</v>
      </c>
      <c r="C12651" s="9" t="s">
        <v>17597</v>
      </c>
      <c r="D12651" s="9" t="s">
        <v>107</v>
      </c>
      <c r="E12651" s="6" t="s">
        <v>17598</v>
      </c>
      <c r="F12651" s="9"/>
    </row>
    <row r="12652" ht="33.75" customHeight="1">
      <c r="A12652" s="7">
        <v>605.0</v>
      </c>
      <c r="B12652" s="9" t="s">
        <v>17596</v>
      </c>
      <c r="C12652" s="9" t="s">
        <v>17597</v>
      </c>
      <c r="D12652" s="9" t="s">
        <v>109</v>
      </c>
      <c r="E12652" s="6" t="s">
        <v>17600</v>
      </c>
      <c r="F12652" s="9"/>
    </row>
    <row r="12653" ht="33.75" customHeight="1">
      <c r="A12653" s="7">
        <v>605.0</v>
      </c>
      <c r="B12653" s="9" t="s">
        <v>17596</v>
      </c>
      <c r="C12653" s="9" t="s">
        <v>17597</v>
      </c>
      <c r="D12653" s="9" t="s">
        <v>647</v>
      </c>
      <c r="E12653" s="6" t="s">
        <v>17602</v>
      </c>
      <c r="F12653" s="9"/>
    </row>
    <row r="12654" ht="33.75" customHeight="1">
      <c r="A12654" s="7">
        <v>605.0</v>
      </c>
      <c r="B12654" s="9" t="s">
        <v>17596</v>
      </c>
      <c r="C12654" s="9" t="s">
        <v>17597</v>
      </c>
      <c r="D12654" s="9" t="s">
        <v>652</v>
      </c>
      <c r="E12654" s="6" t="s">
        <v>17603</v>
      </c>
      <c r="F12654" s="9"/>
    </row>
    <row r="12655" ht="33.75" customHeight="1">
      <c r="A12655" s="7">
        <v>605.0</v>
      </c>
      <c r="B12655" s="9" t="s">
        <v>17596</v>
      </c>
      <c r="C12655" s="9" t="s">
        <v>17597</v>
      </c>
      <c r="D12655" s="9" t="s">
        <v>114</v>
      </c>
      <c r="E12655" s="6" t="s">
        <v>17604</v>
      </c>
      <c r="F12655" s="9"/>
    </row>
    <row r="12656" ht="33.75" customHeight="1">
      <c r="A12656" s="7">
        <v>605.0</v>
      </c>
      <c r="B12656" s="9" t="s">
        <v>17596</v>
      </c>
      <c r="C12656" s="9" t="s">
        <v>17597</v>
      </c>
      <c r="D12656" s="9" t="s">
        <v>117</v>
      </c>
      <c r="E12656" s="6" t="s">
        <v>17605</v>
      </c>
      <c r="F12656" s="9"/>
    </row>
    <row r="12657" ht="33.75" customHeight="1">
      <c r="A12657" s="7">
        <v>606.0</v>
      </c>
      <c r="B12657" s="9" t="s">
        <v>17606</v>
      </c>
      <c r="C12657" s="9" t="s">
        <v>17597</v>
      </c>
      <c r="D12657" s="9" t="s">
        <v>93</v>
      </c>
      <c r="E12657" s="6" t="s">
        <v>17607</v>
      </c>
      <c r="F12657" t="inlineStr" s="10">
        <is>
          <t xml:space="preserve">Beheeyem voi manipuloida vastustajan muistia. Ilmeisesti se kommunikoi väläyttämällä kolmea eriväristä sormeaan. Se käyttää psyykkistä voimaa hallitakseen vastustajan aivoja ja peukaloidakseen sen muistoja. Ilmeisesti se kommunikoi vilkuttamalla kolmea sormeaan, mutta näitä eleitä ei ole vielä dekoodattu. Psyykkisten voimiensa avulla se kirjoittaa vastustajiensa muistot uudelleen. Sinunkin muistosi ovat ehkä jo kirjoitettu uudelleen. Sillä on vahvat psyykkiset voimat. Kolmea eri väriä välkkyvien sormiensa avulla se hallitsee vastustajiaan ja kirjoittaa heidän muistojaan uudelleen. Aina kun Beheeyem vierailee maatilalla, Dubwool katoaa mystisesti. Tämä Pokémon, jota joskus löytyy ajelehtimasta vehnäpeltojen yllä, voi hallita vastustajiensa muistoja.</t>
        </is>
      </c>
    </row>
    <row r="12658" ht="33.75" customHeight="1">
      <c r="A12658" s="7">
        <v>606.0</v>
      </c>
      <c r="B12658" s="9" t="s">
        <v>17606</v>
      </c>
      <c r="C12658" s="9" t="s">
        <v>17597</v>
      </c>
      <c r="D12658" s="9" t="s">
        <v>95</v>
      </c>
      <c r="E12658" s="6" t="s">
        <v>17608</v>
      </c>
      <c r="F12658" s="9"/>
    </row>
    <row r="12659" ht="33.75" customHeight="1">
      <c r="A12659" s="7">
        <v>606.0</v>
      </c>
      <c r="B12659" s="9" t="s">
        <v>17606</v>
      </c>
      <c r="C12659" s="9" t="s">
        <v>17597</v>
      </c>
      <c r="D12659" s="9" t="s">
        <v>98</v>
      </c>
      <c r="E12659" s="6" t="s">
        <v>17609</v>
      </c>
      <c r="F12659" s="9"/>
    </row>
    <row r="12660" ht="33.75" customHeight="1">
      <c r="A12660" s="7">
        <v>606.0</v>
      </c>
      <c r="B12660" s="9" t="s">
        <v>17606</v>
      </c>
      <c r="C12660" s="9" t="s">
        <v>17597</v>
      </c>
      <c r="D12660" s="9" t="s">
        <v>99</v>
      </c>
      <c r="E12660" s="6" t="s">
        <v>17609</v>
      </c>
      <c r="F12660" s="9"/>
    </row>
    <row r="12661" ht="33.75" customHeight="1">
      <c r="A12661" s="7">
        <v>606.0</v>
      </c>
      <c r="B12661" s="9" t="s">
        <v>17606</v>
      </c>
      <c r="C12661" s="9" t="s">
        <v>17597</v>
      </c>
      <c r="D12661" s="9" t="s">
        <v>101</v>
      </c>
      <c r="E12661" s="6" t="s">
        <v>17609</v>
      </c>
      <c r="F12661" s="9"/>
    </row>
    <row r="12662" ht="33.75" customHeight="1">
      <c r="A12662" s="7">
        <v>606.0</v>
      </c>
      <c r="B12662" s="9" t="s">
        <v>17606</v>
      </c>
      <c r="C12662" s="9" t="s">
        <v>17597</v>
      </c>
      <c r="D12662" s="9" t="s">
        <v>105</v>
      </c>
      <c r="E12662" s="6" t="s">
        <v>17608</v>
      </c>
      <c r="F12662" s="9"/>
    </row>
    <row r="12663" ht="33.75" customHeight="1">
      <c r="A12663" s="7">
        <v>606.0</v>
      </c>
      <c r="B12663" s="9" t="s">
        <v>17606</v>
      </c>
      <c r="C12663" s="9" t="s">
        <v>17597</v>
      </c>
      <c r="D12663" s="9" t="s">
        <v>107</v>
      </c>
      <c r="E12663" s="6" t="s">
        <v>17609</v>
      </c>
      <c r="F12663" s="9"/>
    </row>
    <row r="12664" ht="33.75" customHeight="1">
      <c r="A12664" s="7">
        <v>606.0</v>
      </c>
      <c r="B12664" s="9" t="s">
        <v>17606</v>
      </c>
      <c r="C12664" s="9" t="s">
        <v>17597</v>
      </c>
      <c r="D12664" s="9" t="s">
        <v>109</v>
      </c>
      <c r="E12664" s="6" t="s">
        <v>17608</v>
      </c>
      <c r="F12664" s="9"/>
    </row>
    <row r="12665" ht="33.75" customHeight="1">
      <c r="A12665" s="7">
        <v>606.0</v>
      </c>
      <c r="B12665" s="9" t="s">
        <v>17606</v>
      </c>
      <c r="C12665" s="9" t="s">
        <v>17597</v>
      </c>
      <c r="D12665" s="9" t="s">
        <v>647</v>
      </c>
      <c r="E12665" s="6" t="s">
        <v>17610</v>
      </c>
      <c r="F12665" s="9"/>
    </row>
    <row r="12666" ht="33.75" customHeight="1">
      <c r="A12666" s="7">
        <v>606.0</v>
      </c>
      <c r="B12666" s="9" t="s">
        <v>17606</v>
      </c>
      <c r="C12666" s="9" t="s">
        <v>17597</v>
      </c>
      <c r="D12666" s="9" t="s">
        <v>652</v>
      </c>
      <c r="E12666" s="6" t="s">
        <v>17612</v>
      </c>
      <c r="F12666" s="9"/>
    </row>
    <row r="12667" ht="33.75" customHeight="1">
      <c r="A12667" s="7">
        <v>606.0</v>
      </c>
      <c r="B12667" s="9" t="s">
        <v>17606</v>
      </c>
      <c r="C12667" s="9" t="s">
        <v>17597</v>
      </c>
      <c r="D12667" s="9" t="s">
        <v>114</v>
      </c>
      <c r="E12667" s="6" t="s">
        <v>17613</v>
      </c>
      <c r="F12667" s="9"/>
    </row>
    <row r="12668" ht="33.75" customHeight="1">
      <c r="A12668" s="7">
        <v>606.0</v>
      </c>
      <c r="B12668" s="9" t="s">
        <v>17606</v>
      </c>
      <c r="C12668" s="9" t="s">
        <v>17597</v>
      </c>
      <c r="D12668" s="9" t="s">
        <v>117</v>
      </c>
      <c r="E12668" s="6" t="s">
        <v>17614</v>
      </c>
      <c r="F12668" s="9"/>
    </row>
    <row r="12669" ht="33.75" customHeight="1">
      <c r="A12669" s="7">
        <v>607.0</v>
      </c>
      <c r="B12669" s="9" t="s">
        <v>17615</v>
      </c>
      <c r="C12669" s="9" t="s">
        <v>17616</v>
      </c>
      <c r="D12669" s="9" t="s">
        <v>93</v>
      </c>
      <c r="E12669" s="6" t="s">
        <v>17617</v>
      </c>
      <c r="F12669" t="inlineStr" s="10">
        <is>
          <t xml:space="preserve">Litwick loistaa valoa, joka imee ihmisten ja Pokémonien elämänenergiaa, josta tulee Litwickin polttama polttoaine. Loistaessaan valoa ja teeskennellessään olevansa opas, se imee itseensä elämänvoiman kaikilta, jotka sitä seuraavat. Sen liekki on yleensä sammunut, mutta se alkaa loistaa, kun se imee elämänvoimaa ihmisistä tai Pokémoneista. Sen päässä oleva liekki pitää sen kehon hieman lämpimänä. Tämä Pokémon ottaa kadonneita lapsia kädestä ohjatakseen heidät henkimaailmaan. Mitä nuorempaa elämää tämä Pokémon imee, sitä kirkkaampi ja aavemainen liekki sen päässä palaa.</t>
        </is>
      </c>
    </row>
    <row r="12670" ht="33.75" customHeight="1">
      <c r="A12670" s="7">
        <v>607.0</v>
      </c>
      <c r="B12670" s="9" t="s">
        <v>17615</v>
      </c>
      <c r="C12670" s="9" t="s">
        <v>17616</v>
      </c>
      <c r="D12670" s="9" t="s">
        <v>95</v>
      </c>
      <c r="E12670" s="6" t="s">
        <v>17618</v>
      </c>
      <c r="F12670" s="9"/>
    </row>
    <row r="12671" ht="33.75" customHeight="1">
      <c r="A12671" s="7">
        <v>607.0</v>
      </c>
      <c r="B12671" s="9" t="s">
        <v>17615</v>
      </c>
      <c r="C12671" s="9" t="s">
        <v>17616</v>
      </c>
      <c r="D12671" s="9" t="s">
        <v>98</v>
      </c>
      <c r="E12671" s="6" t="s">
        <v>17619</v>
      </c>
      <c r="F12671" s="9"/>
    </row>
    <row r="12672" ht="33.75" customHeight="1">
      <c r="A12672" s="7">
        <v>607.0</v>
      </c>
      <c r="B12672" s="9" t="s">
        <v>17615</v>
      </c>
      <c r="C12672" s="9" t="s">
        <v>17616</v>
      </c>
      <c r="D12672" s="9" t="s">
        <v>99</v>
      </c>
      <c r="E12672" s="6" t="s">
        <v>17619</v>
      </c>
      <c r="F12672" s="9"/>
    </row>
    <row r="12673" ht="33.75" customHeight="1">
      <c r="A12673" s="7">
        <v>607.0</v>
      </c>
      <c r="B12673" s="9" t="s">
        <v>17615</v>
      </c>
      <c r="C12673" s="9" t="s">
        <v>17616</v>
      </c>
      <c r="D12673" s="9" t="s">
        <v>101</v>
      </c>
      <c r="E12673" s="6" t="s">
        <v>17618</v>
      </c>
      <c r="F12673" s="9"/>
    </row>
    <row r="12674" ht="33.75" customHeight="1">
      <c r="A12674" s="7">
        <v>607.0</v>
      </c>
      <c r="B12674" s="9" t="s">
        <v>17615</v>
      </c>
      <c r="C12674" s="9" t="s">
        <v>17616</v>
      </c>
      <c r="D12674" s="9" t="s">
        <v>105</v>
      </c>
      <c r="E12674" s="6" t="s">
        <v>17617</v>
      </c>
      <c r="F12674" s="9"/>
    </row>
    <row r="12675" ht="33.75" customHeight="1">
      <c r="A12675" s="7">
        <v>607.0</v>
      </c>
      <c r="B12675" s="9" t="s">
        <v>17615</v>
      </c>
      <c r="C12675" s="9" t="s">
        <v>17616</v>
      </c>
      <c r="D12675" s="9" t="s">
        <v>107</v>
      </c>
      <c r="E12675" s="6" t="s">
        <v>17618</v>
      </c>
      <c r="F12675" s="9"/>
    </row>
    <row r="12676" ht="33.75" customHeight="1">
      <c r="A12676" s="7">
        <v>607.0</v>
      </c>
      <c r="B12676" s="9" t="s">
        <v>17615</v>
      </c>
      <c r="C12676" s="9" t="s">
        <v>17616</v>
      </c>
      <c r="D12676" s="9" t="s">
        <v>109</v>
      </c>
      <c r="E12676" s="6" t="s">
        <v>17617</v>
      </c>
      <c r="F12676" s="9"/>
    </row>
    <row r="12677" ht="33.75" customHeight="1">
      <c r="A12677" s="7">
        <v>607.0</v>
      </c>
      <c r="B12677" s="9" t="s">
        <v>17615</v>
      </c>
      <c r="C12677" s="9" t="s">
        <v>17616</v>
      </c>
      <c r="D12677" s="9" t="s">
        <v>114</v>
      </c>
      <c r="E12677" s="6" t="s">
        <v>17620</v>
      </c>
      <c r="F12677" s="9"/>
    </row>
    <row r="12678" ht="33.75" customHeight="1">
      <c r="A12678" s="7">
        <v>607.0</v>
      </c>
      <c r="B12678" s="9" t="s">
        <v>17615</v>
      </c>
      <c r="C12678" s="9" t="s">
        <v>17616</v>
      </c>
      <c r="D12678" s="9" t="s">
        <v>117</v>
      </c>
      <c r="E12678" s="6" t="s">
        <v>17621</v>
      </c>
      <c r="F12678" s="9"/>
    </row>
    <row r="12679" ht="33.75" customHeight="1">
      <c r="A12679" s="7">
        <v>608.0</v>
      </c>
      <c r="B12679" s="9" t="s">
        <v>17622</v>
      </c>
      <c r="C12679" s="9" t="s">
        <v>17623</v>
      </c>
      <c r="D12679" s="9" t="s">
        <v>93</v>
      </c>
      <c r="E12679" s="6" t="s">
        <v>17624</v>
      </c>
      <c r="F12679" t="inlineStr" s="10">
        <is>
          <t xml:space="preserve">Tätä pahaenteistä Pokémonia pelätään. Se vaeltaa kaupunkien halki etsien kaatuneiden henkiä. Se saapuu lähellä kuoleman hetkeä ja varastaa hengen ruumiilta. Sen imemät henget ruokkivat sen tuhoisaa tulta. Se leijuu sairaaloiden ympärillä odottaen ihmisten kuolemaa. Tämä Pokémon ilmestyy juuri ennen jonkun kuolemaa, joten sitä pelätään kuoleman lähettiläänä. Se väijyy kaupungeissa teeskennellen olevansa lamppu. Löydettyään jonkun, jonka kuolema on lähellä, se seuraa hiljaa hänen perässään.</t>
        </is>
      </c>
    </row>
    <row r="12680" ht="33.75" customHeight="1">
      <c r="A12680" s="7">
        <v>608.0</v>
      </c>
      <c r="B12680" s="9" t="s">
        <v>17622</v>
      </c>
      <c r="C12680" s="9" t="s">
        <v>17623</v>
      </c>
      <c r="D12680" s="9" t="s">
        <v>95</v>
      </c>
      <c r="E12680" s="6" t="s">
        <v>17626</v>
      </c>
      <c r="F12680" s="9"/>
    </row>
    <row r="12681" ht="33.75" customHeight="1">
      <c r="A12681" s="7">
        <v>608.0</v>
      </c>
      <c r="B12681" s="9" t="s">
        <v>17622</v>
      </c>
      <c r="C12681" s="9" t="s">
        <v>17623</v>
      </c>
      <c r="D12681" s="9" t="s">
        <v>98</v>
      </c>
      <c r="E12681" s="6" t="s">
        <v>17627</v>
      </c>
      <c r="F12681" s="9"/>
    </row>
    <row r="12682" ht="33.75" customHeight="1">
      <c r="A12682" s="7">
        <v>608.0</v>
      </c>
      <c r="B12682" s="9" t="s">
        <v>17622</v>
      </c>
      <c r="C12682" s="9" t="s">
        <v>17623</v>
      </c>
      <c r="D12682" s="9" t="s">
        <v>99</v>
      </c>
      <c r="E12682" s="6" t="s">
        <v>17627</v>
      </c>
      <c r="F12682" s="9"/>
    </row>
    <row r="12683" ht="33.75" customHeight="1">
      <c r="A12683" s="7">
        <v>608.0</v>
      </c>
      <c r="B12683" s="9" t="s">
        <v>17622</v>
      </c>
      <c r="C12683" s="9" t="s">
        <v>17623</v>
      </c>
      <c r="D12683" s="9" t="s">
        <v>101</v>
      </c>
      <c r="E12683" s="6" t="s">
        <v>17627</v>
      </c>
      <c r="F12683" s="9"/>
    </row>
    <row r="12684" ht="33.75" customHeight="1">
      <c r="A12684" s="7">
        <v>608.0</v>
      </c>
      <c r="B12684" s="9" t="s">
        <v>17622</v>
      </c>
      <c r="C12684" s="9" t="s">
        <v>17623</v>
      </c>
      <c r="D12684" s="9" t="s">
        <v>105</v>
      </c>
      <c r="E12684" s="6" t="s">
        <v>17626</v>
      </c>
      <c r="F12684" s="9"/>
    </row>
    <row r="12685" ht="33.75" customHeight="1">
      <c r="A12685" s="7">
        <v>608.0</v>
      </c>
      <c r="B12685" s="9" t="s">
        <v>17622</v>
      </c>
      <c r="C12685" s="9" t="s">
        <v>17623</v>
      </c>
      <c r="D12685" s="9" t="s">
        <v>107</v>
      </c>
      <c r="E12685" s="6" t="s">
        <v>17627</v>
      </c>
      <c r="F12685" s="9"/>
    </row>
    <row r="12686" ht="33.75" customHeight="1">
      <c r="A12686" s="7">
        <v>608.0</v>
      </c>
      <c r="B12686" s="9" t="s">
        <v>17622</v>
      </c>
      <c r="C12686" s="9" t="s">
        <v>17623</v>
      </c>
      <c r="D12686" s="9" t="s">
        <v>109</v>
      </c>
      <c r="E12686" s="6" t="s">
        <v>17626</v>
      </c>
      <c r="F12686" s="9"/>
    </row>
    <row r="12687" ht="33.75" customHeight="1">
      <c r="A12687" s="7">
        <v>608.0</v>
      </c>
      <c r="B12687" s="9" t="s">
        <v>17622</v>
      </c>
      <c r="C12687" s="9" t="s">
        <v>17623</v>
      </c>
      <c r="D12687" s="9" t="s">
        <v>114</v>
      </c>
      <c r="E12687" s="6" t="s">
        <v>17628</v>
      </c>
      <c r="F12687" s="9"/>
    </row>
    <row r="12688" ht="33.75" customHeight="1">
      <c r="A12688" s="7">
        <v>608.0</v>
      </c>
      <c r="B12688" s="9" t="s">
        <v>17622</v>
      </c>
      <c r="C12688" s="9" t="s">
        <v>17623</v>
      </c>
      <c r="D12688" s="9" t="s">
        <v>117</v>
      </c>
      <c r="E12688" s="6" t="s">
        <v>17629</v>
      </c>
      <c r="F12688" s="9"/>
    </row>
    <row r="12689" ht="33.75" customHeight="1">
      <c r="A12689" s="7">
        <v>609.0</v>
      </c>
      <c r="B12689" s="9" t="s">
        <v>17630</v>
      </c>
      <c r="C12689" s="9" t="s">
        <v>17631</v>
      </c>
      <c r="D12689" s="9" t="s">
        <v>93</v>
      </c>
      <c r="E12689" s="6" t="s">
        <v>17632</v>
      </c>
      <c r="F12689" t="inlineStr" s="10">
        <is>
          <t xml:space="preserve">Chandelure imee itseensä hengen, jonka se sitten polttaa. Heiluttamalla liekkejä käsivarsillaan se saa vihollisensa hypnoottiseen transsiin. Kattokruunun liekissä kulutettu henki polttaa sen ja ruumis jää jälkeensä. Sen pahaenteisessä liekissä palaneet henget eksyvät ja vaeltavat tässä maailmassa ikuisesti. Tämä Pokémon kummittelee rapistuneissa kartanoissa. Se heiluttelee käsiään hypnotisoidakseen vastustajat liekkiensä pahaenteisellä tanssilla. Kattokruunuilla valojen sijaan valaistuissa kodeissa hautajaiset olivat jatkuva tapahtuma – tai niin ainakin sanotaan.</t>
        </is>
      </c>
    </row>
    <row r="12690" ht="33.75" customHeight="1">
      <c r="A12690" s="7">
        <v>609.0</v>
      </c>
      <c r="B12690" s="9" t="s">
        <v>17630</v>
      </c>
      <c r="C12690" s="9" t="s">
        <v>17631</v>
      </c>
      <c r="D12690" s="9" t="s">
        <v>95</v>
      </c>
      <c r="E12690" s="6" t="s">
        <v>17633</v>
      </c>
      <c r="F12690" s="9"/>
    </row>
    <row r="12691" ht="33.75" customHeight="1">
      <c r="A12691" s="7">
        <v>609.0</v>
      </c>
      <c r="B12691" s="9" t="s">
        <v>17630</v>
      </c>
      <c r="C12691" s="9" t="s">
        <v>17631</v>
      </c>
      <c r="D12691" s="9" t="s">
        <v>98</v>
      </c>
      <c r="E12691" s="6" t="s">
        <v>17634</v>
      </c>
      <c r="F12691" s="9"/>
    </row>
    <row r="12692" ht="33.75" customHeight="1">
      <c r="A12692" s="7">
        <v>609.0</v>
      </c>
      <c r="B12692" s="9" t="s">
        <v>17630</v>
      </c>
      <c r="C12692" s="9" t="s">
        <v>17631</v>
      </c>
      <c r="D12692" s="9" t="s">
        <v>99</v>
      </c>
      <c r="E12692" s="6" t="s">
        <v>17634</v>
      </c>
      <c r="F12692" s="9"/>
    </row>
    <row r="12693" ht="33.75" customHeight="1">
      <c r="A12693" s="7">
        <v>609.0</v>
      </c>
      <c r="B12693" s="9" t="s">
        <v>17630</v>
      </c>
      <c r="C12693" s="9" t="s">
        <v>17631</v>
      </c>
      <c r="D12693" s="9" t="s">
        <v>101</v>
      </c>
      <c r="E12693" s="6" t="s">
        <v>17633</v>
      </c>
      <c r="F12693" s="9"/>
    </row>
    <row r="12694" ht="33.75" customHeight="1">
      <c r="A12694" s="7">
        <v>609.0</v>
      </c>
      <c r="B12694" s="9" t="s">
        <v>17630</v>
      </c>
      <c r="C12694" s="9" t="s">
        <v>17631</v>
      </c>
      <c r="D12694" s="9" t="s">
        <v>105</v>
      </c>
      <c r="E12694" s="6" t="s">
        <v>17634</v>
      </c>
      <c r="F12694" s="9"/>
    </row>
    <row r="12695" ht="33.75" customHeight="1">
      <c r="A12695" s="7">
        <v>609.0</v>
      </c>
      <c r="B12695" s="9" t="s">
        <v>17630</v>
      </c>
      <c r="C12695" s="9" t="s">
        <v>17631</v>
      </c>
      <c r="D12695" s="9" t="s">
        <v>107</v>
      </c>
      <c r="E12695" s="6" t="s">
        <v>17633</v>
      </c>
      <c r="F12695" s="9"/>
    </row>
    <row r="12696" ht="33.75" customHeight="1">
      <c r="A12696" s="7">
        <v>609.0</v>
      </c>
      <c r="B12696" s="9" t="s">
        <v>17630</v>
      </c>
      <c r="C12696" s="9" t="s">
        <v>17631</v>
      </c>
      <c r="D12696" s="9" t="s">
        <v>109</v>
      </c>
      <c r="E12696" s="6" t="s">
        <v>17634</v>
      </c>
      <c r="F12696" s="9"/>
    </row>
    <row r="12697" ht="33.75" customHeight="1">
      <c r="A12697" s="7">
        <v>609.0</v>
      </c>
      <c r="B12697" s="9" t="s">
        <v>17630</v>
      </c>
      <c r="C12697" s="9" t="s">
        <v>17631</v>
      </c>
      <c r="D12697" s="9" t="s">
        <v>114</v>
      </c>
      <c r="E12697" s="6" t="s">
        <v>17636</v>
      </c>
      <c r="F12697" s="9"/>
    </row>
    <row r="12698" ht="33.75" customHeight="1">
      <c r="A12698" s="7">
        <v>609.0</v>
      </c>
      <c r="B12698" s="9" t="s">
        <v>17630</v>
      </c>
      <c r="C12698" s="9" t="s">
        <v>17631</v>
      </c>
      <c r="D12698" s="9" t="s">
        <v>117</v>
      </c>
      <c r="E12698" s="6" t="s">
        <v>17637</v>
      </c>
      <c r="F12698" s="9"/>
    </row>
    <row r="12699" ht="33.75" customHeight="1">
      <c r="A12699" s="7">
        <v>610.0</v>
      </c>
      <c r="B12699" s="9" t="s">
        <v>17638</v>
      </c>
      <c r="C12699" s="9" t="s">
        <v>17639</v>
      </c>
      <c r="D12699" s="9" t="s">
        <v>93</v>
      </c>
      <c r="E12699" s="6" t="s">
        <v>17640</v>
      </c>
      <c r="F12699" t="inlineStr" s="10">
        <is>
          <t xml:space="preserve">Ne murskaavat syömänsä marjat syömillään syöksyhampailla. Toistuva uudelleenkasvu tekee niiden syöksyhampaista vahvat ja terävät. Ne merkitsevät reviirinsä jättämällä puihin viiltoja syöksyhampaillaan. Jos syöksyhammas katkeaa, uusi kasvaa nopeasti tilalle. Sen suuret syöksyhampaat katkeavat helposti, mutta joka kerta kun ne kasvavat takaisin, ne kasvavat kovempina ja tukevampina. Nämä Pokémonit pesivät maassa ja murskaavat kovia marjoja syöksyhampaillaan. Marjojen murskaaminen on myös tapa, jolla ne testaavat toistensa voimia. Ne leikkivät keskenään lyömällä suuria syöksyhampaitaan yhteen. Niiden syöksyhampaat katkeavat joskus, mutta ne kasvavat takaisin niin nopeasti, ettei siitä ole huolta.</t>
        </is>
      </c>
    </row>
    <row r="12700" ht="33.75" customHeight="1">
      <c r="A12700" s="7">
        <v>610.0</v>
      </c>
      <c r="B12700" s="9" t="s">
        <v>17638</v>
      </c>
      <c r="C12700" s="9" t="s">
        <v>17639</v>
      </c>
      <c r="D12700" s="9" t="s">
        <v>95</v>
      </c>
      <c r="E12700" s="6" t="s">
        <v>17641</v>
      </c>
      <c r="F12700" s="9"/>
    </row>
    <row r="12701" ht="33.75" customHeight="1">
      <c r="A12701" s="7">
        <v>610.0</v>
      </c>
      <c r="B12701" s="9" t="s">
        <v>17638</v>
      </c>
      <c r="C12701" s="9" t="s">
        <v>17639</v>
      </c>
      <c r="D12701" s="9" t="s">
        <v>98</v>
      </c>
      <c r="E12701" s="6" t="s">
        <v>17642</v>
      </c>
      <c r="F12701" s="9"/>
    </row>
    <row r="12702" ht="33.75" customHeight="1">
      <c r="A12702" s="7">
        <v>610.0</v>
      </c>
      <c r="B12702" s="9" t="s">
        <v>17638</v>
      </c>
      <c r="C12702" s="9" t="s">
        <v>17639</v>
      </c>
      <c r="D12702" s="9" t="s">
        <v>99</v>
      </c>
      <c r="E12702" s="6" t="s">
        <v>17642</v>
      </c>
      <c r="F12702" s="9"/>
    </row>
    <row r="12703" ht="33.75" customHeight="1">
      <c r="A12703" s="7">
        <v>610.0</v>
      </c>
      <c r="B12703" s="9" t="s">
        <v>17638</v>
      </c>
      <c r="C12703" s="9" t="s">
        <v>17639</v>
      </c>
      <c r="D12703" s="9" t="s">
        <v>101</v>
      </c>
      <c r="E12703" s="6" t="s">
        <v>17640</v>
      </c>
      <c r="F12703" s="9"/>
    </row>
    <row r="12704" ht="33.75" customHeight="1">
      <c r="A12704" s="7">
        <v>610.0</v>
      </c>
      <c r="B12704" s="9" t="s">
        <v>17638</v>
      </c>
      <c r="C12704" s="9" t="s">
        <v>17639</v>
      </c>
      <c r="D12704" s="9" t="s">
        <v>105</v>
      </c>
      <c r="E12704" s="6" t="s">
        <v>17641</v>
      </c>
      <c r="F12704" s="9"/>
    </row>
    <row r="12705" ht="33.75" customHeight="1">
      <c r="A12705" s="7">
        <v>610.0</v>
      </c>
      <c r="B12705" s="9" t="s">
        <v>17638</v>
      </c>
      <c r="C12705" s="9" t="s">
        <v>17639</v>
      </c>
      <c r="D12705" s="9" t="s">
        <v>107</v>
      </c>
      <c r="E12705" s="6" t="s">
        <v>17640</v>
      </c>
      <c r="F12705" s="9"/>
    </row>
    <row r="12706" ht="33.75" customHeight="1">
      <c r="A12706" s="7">
        <v>610.0</v>
      </c>
      <c r="B12706" s="9" t="s">
        <v>17638</v>
      </c>
      <c r="C12706" s="9" t="s">
        <v>17639</v>
      </c>
      <c r="D12706" s="9" t="s">
        <v>109</v>
      </c>
      <c r="E12706" s="6" t="s">
        <v>17641</v>
      </c>
      <c r="F12706" s="9"/>
    </row>
    <row r="12707" ht="33.75" customHeight="1">
      <c r="A12707" s="7">
        <v>610.0</v>
      </c>
      <c r="B12707" s="9" t="s">
        <v>17638</v>
      </c>
      <c r="C12707" s="9" t="s">
        <v>17639</v>
      </c>
      <c r="D12707" s="9" t="s">
        <v>114</v>
      </c>
      <c r="E12707" s="6" t="s">
        <v>17643</v>
      </c>
      <c r="F12707" s="9"/>
    </row>
    <row r="12708" ht="33.75" customHeight="1">
      <c r="A12708" s="7">
        <v>610.0</v>
      </c>
      <c r="B12708" s="9" t="s">
        <v>17638</v>
      </c>
      <c r="C12708" s="9" t="s">
        <v>17639</v>
      </c>
      <c r="D12708" s="9" t="s">
        <v>117</v>
      </c>
      <c r="E12708" s="6" t="s">
        <v>17644</v>
      </c>
      <c r="F12708" s="9"/>
    </row>
    <row r="12709" ht="33.75" customHeight="1">
      <c r="A12709" s="7">
        <v>611.0</v>
      </c>
      <c r="B12709" s="9" t="s">
        <v>17645</v>
      </c>
      <c r="C12709" s="9" t="s">
        <v>17646</v>
      </c>
      <c r="D12709" s="9" t="s">
        <v>93</v>
      </c>
      <c r="E12709" s="6" t="s">
        <v>17647</v>
      </c>
      <c r="F12709" t="inlineStr" s="10">
        <is>
          <t xml:space="preserve">Koska katkennut syöksyhammas ei kasva takaisin, ne teroittavat syöksyhampaitaan ahkerasti joen kivillä taistelun jälkeen. Niiden syöksyhampaat voivat rikkoa kiviä. Fraxurejen väliset aluetaistelut voivat olla erittäin väkivaltaisia. Katkennut syöksyhammas ei kasva takaisin, joten se teroittaa syöksyhampaitaan ahkerasti jokikivillä taistelun päätyttyä. Taistelun jälkeen tämä Pokémon teroittaa huolellisesti syöksyhampaitaan jokikivillä. Sen täytyy huolehtia syöksyhampaistaan ​​– jos yksi niistä katkeaa, se ei koskaan kasva takaisin. Sen iho on yhtä kova kuin haarniska. Fraxuren lempistrategia on taklata vastustajiaan ja samalla pistää heitä syöksyhampaillaan.</t>
        </is>
      </c>
    </row>
    <row r="12710" ht="33.75" customHeight="1">
      <c r="A12710" s="7">
        <v>611.0</v>
      </c>
      <c r="B12710" s="9" t="s">
        <v>17645</v>
      </c>
      <c r="C12710" s="9" t="s">
        <v>17646</v>
      </c>
      <c r="D12710" s="9" t="s">
        <v>95</v>
      </c>
      <c r="E12710" s="6" t="s">
        <v>17648</v>
      </c>
      <c r="F12710" s="9"/>
    </row>
    <row r="12711" ht="33.75" customHeight="1">
      <c r="A12711" s="7">
        <v>611.0</v>
      </c>
      <c r="B12711" s="9" t="s">
        <v>17645</v>
      </c>
      <c r="C12711" s="9" t="s">
        <v>17646</v>
      </c>
      <c r="D12711" s="9" t="s">
        <v>98</v>
      </c>
      <c r="E12711" s="6" t="s">
        <v>17649</v>
      </c>
      <c r="F12711" s="9"/>
    </row>
    <row r="12712" ht="33.75" customHeight="1">
      <c r="A12712" s="7">
        <v>611.0</v>
      </c>
      <c r="B12712" s="9" t="s">
        <v>17645</v>
      </c>
      <c r="C12712" s="9" t="s">
        <v>17646</v>
      </c>
      <c r="D12712" s="9" t="s">
        <v>99</v>
      </c>
      <c r="E12712" s="6" t="s">
        <v>17649</v>
      </c>
      <c r="F12712" s="9"/>
    </row>
    <row r="12713" ht="33.75" customHeight="1">
      <c r="A12713" s="7">
        <v>611.0</v>
      </c>
      <c r="B12713" s="9" t="s">
        <v>17645</v>
      </c>
      <c r="C12713" s="9" t="s">
        <v>17646</v>
      </c>
      <c r="D12713" s="9" t="s">
        <v>101</v>
      </c>
      <c r="E12713" s="6" t="s">
        <v>17648</v>
      </c>
      <c r="F12713" s="9"/>
    </row>
    <row r="12714" ht="33.75" customHeight="1">
      <c r="A12714" s="7">
        <v>611.0</v>
      </c>
      <c r="B12714" s="9" t="s">
        <v>17645</v>
      </c>
      <c r="C12714" s="9" t="s">
        <v>17646</v>
      </c>
      <c r="D12714" s="9" t="s">
        <v>105</v>
      </c>
      <c r="E12714" s="6" t="s">
        <v>17649</v>
      </c>
      <c r="F12714" s="9"/>
    </row>
    <row r="12715" ht="33.75" customHeight="1">
      <c r="A12715" s="7">
        <v>611.0</v>
      </c>
      <c r="B12715" s="9" t="s">
        <v>17645</v>
      </c>
      <c r="C12715" s="9" t="s">
        <v>17646</v>
      </c>
      <c r="D12715" s="9" t="s">
        <v>107</v>
      </c>
      <c r="E12715" s="6" t="s">
        <v>17648</v>
      </c>
      <c r="F12715" s="9"/>
    </row>
    <row r="12716" ht="33.75" customHeight="1">
      <c r="A12716" s="7">
        <v>611.0</v>
      </c>
      <c r="B12716" s="9" t="s">
        <v>17645</v>
      </c>
      <c r="C12716" s="9" t="s">
        <v>17646</v>
      </c>
      <c r="D12716" s="9" t="s">
        <v>109</v>
      </c>
      <c r="E12716" s="6" t="s">
        <v>17649</v>
      </c>
      <c r="F12716" s="9"/>
    </row>
    <row r="12717" ht="33.75" customHeight="1">
      <c r="A12717" s="7">
        <v>611.0</v>
      </c>
      <c r="B12717" s="9" t="s">
        <v>17645</v>
      </c>
      <c r="C12717" s="9" t="s">
        <v>17646</v>
      </c>
      <c r="D12717" s="9" t="s">
        <v>114</v>
      </c>
      <c r="E12717" s="6" t="s">
        <v>17651</v>
      </c>
      <c r="F12717" s="9"/>
    </row>
    <row r="12718" ht="33.75" customHeight="1">
      <c r="A12718" s="7">
        <v>611.0</v>
      </c>
      <c r="B12718" s="9" t="s">
        <v>17645</v>
      </c>
      <c r="C12718" s="9" t="s">
        <v>17646</v>
      </c>
      <c r="D12718" s="9" t="s">
        <v>117</v>
      </c>
      <c r="E12718" s="6" t="s">
        <v>17652</v>
      </c>
      <c r="F12718" s="9"/>
    </row>
    <row r="12719" ht="33.75" customHeight="1">
      <c r="A12719" s="7">
        <v>612.0</v>
      </c>
      <c r="B12719" s="9" t="s">
        <v>17653</v>
      </c>
      <c r="C12719" s="9" t="s">
        <v>17646</v>
      </c>
      <c r="D12719" s="9" t="s">
        <v>93</v>
      </c>
      <c r="E12719" s="6" t="s">
        <v>17654</v>
      </c>
      <c r="F12719" t="inlineStr" s="10">
        <is>
          <t xml:space="preserve">Ne ovat ystävällisiä, mutta voivat olla armottomia puolustaessaan aluettaan. Ne haastavat viholliset terästä leikkaavilla syöksyhampailla. Niiden tukevat syöksyhampaat pysyvät terävinä, vaikka niitä käytettäisiin teräspalkkien leikkaamiseen. Nämä Pokémonit ovat suojattuja kovalla haarniskalla. Sen syöksyhampaat ovat uskomattoman tuhoisia. Ne voivat helposti viiltää paksun ja tukevan teräspylvään läpi joka kerta. Sen sitkeät syöksyhampaat ovat sen ylpeydenaihe. Se nuolee likaa ottaakseen itseensä mineraaleja, joita se tarvitsee pitääkseen syöksyhampaat huippukunnossa. Vaikka se on yleensä hyväsydäminen, se voi olla kauhistuttava suuttuessaan. Haxorus käsittelee vihollisiaan syöksyhampailla, jotka voivat viiltää teräspalkkeja.</t>
        </is>
      </c>
    </row>
    <row r="12720" ht="33.75" customHeight="1">
      <c r="A12720" s="7">
        <v>612.0</v>
      </c>
      <c r="B12720" s="9" t="s">
        <v>17653</v>
      </c>
      <c r="C12720" s="9" t="s">
        <v>17646</v>
      </c>
      <c r="D12720" s="9" t="s">
        <v>95</v>
      </c>
      <c r="E12720" s="6" t="s">
        <v>17655</v>
      </c>
      <c r="F12720" s="9"/>
    </row>
    <row r="12721" ht="33.75" customHeight="1">
      <c r="A12721" s="7">
        <v>612.0</v>
      </c>
      <c r="B12721" s="9" t="s">
        <v>17653</v>
      </c>
      <c r="C12721" s="9" t="s">
        <v>17646</v>
      </c>
      <c r="D12721" s="9" t="s">
        <v>98</v>
      </c>
      <c r="E12721" s="6" t="s">
        <v>17656</v>
      </c>
      <c r="F12721" s="9"/>
    </row>
    <row r="12722" ht="33.75" customHeight="1">
      <c r="A12722" s="7">
        <v>612.0</v>
      </c>
      <c r="B12722" s="9" t="s">
        <v>17653</v>
      </c>
      <c r="C12722" s="9" t="s">
        <v>17646</v>
      </c>
      <c r="D12722" s="9" t="s">
        <v>99</v>
      </c>
      <c r="E12722" s="6" t="s">
        <v>17656</v>
      </c>
      <c r="F12722" s="9"/>
    </row>
    <row r="12723" ht="33.75" customHeight="1">
      <c r="A12723" s="7">
        <v>612.0</v>
      </c>
      <c r="B12723" s="9" t="s">
        <v>17653</v>
      </c>
      <c r="C12723" s="9" t="s">
        <v>17646</v>
      </c>
      <c r="D12723" s="9" t="s">
        <v>101</v>
      </c>
      <c r="E12723" s="6" t="s">
        <v>17654</v>
      </c>
      <c r="F12723" s="9"/>
    </row>
    <row r="12724" ht="33.75" customHeight="1">
      <c r="A12724" s="7">
        <v>612.0</v>
      </c>
      <c r="B12724" s="9" t="s">
        <v>17653</v>
      </c>
      <c r="C12724" s="9" t="s">
        <v>17646</v>
      </c>
      <c r="D12724" s="9" t="s">
        <v>105</v>
      </c>
      <c r="E12724" s="6" t="s">
        <v>17655</v>
      </c>
      <c r="F12724" s="9"/>
    </row>
    <row r="12725" ht="33.75" customHeight="1">
      <c r="A12725" s="7">
        <v>612.0</v>
      </c>
      <c r="B12725" s="9" t="s">
        <v>17653</v>
      </c>
      <c r="C12725" s="9" t="s">
        <v>17646</v>
      </c>
      <c r="D12725" s="9" t="s">
        <v>107</v>
      </c>
      <c r="E12725" s="6" t="s">
        <v>17654</v>
      </c>
      <c r="F12725" s="9"/>
    </row>
    <row r="12726" ht="33.75" customHeight="1">
      <c r="A12726" s="7">
        <v>612.0</v>
      </c>
      <c r="B12726" s="9" t="s">
        <v>17653</v>
      </c>
      <c r="C12726" s="9" t="s">
        <v>17646</v>
      </c>
      <c r="D12726" s="9" t="s">
        <v>109</v>
      </c>
      <c r="E12726" s="6" t="s">
        <v>17655</v>
      </c>
      <c r="F12726" s="9"/>
    </row>
    <row r="12727" ht="33.75" customHeight="1">
      <c r="A12727" s="7">
        <v>612.0</v>
      </c>
      <c r="B12727" s="9" t="s">
        <v>17653</v>
      </c>
      <c r="C12727" s="9" t="s">
        <v>17646</v>
      </c>
      <c r="D12727" s="9" t="s">
        <v>114</v>
      </c>
      <c r="E12727" s="6" t="s">
        <v>17658</v>
      </c>
      <c r="F12727" s="9"/>
    </row>
    <row r="12728" ht="33.75" customHeight="1">
      <c r="A12728" s="7">
        <v>612.0</v>
      </c>
      <c r="B12728" s="9" t="s">
        <v>17653</v>
      </c>
      <c r="C12728" s="9" t="s">
        <v>17646</v>
      </c>
      <c r="D12728" s="9" t="s">
        <v>117</v>
      </c>
      <c r="E12728" s="6" t="s">
        <v>17659</v>
      </c>
      <c r="F12728" s="9"/>
    </row>
    <row r="12729" ht="33.75" customHeight="1">
      <c r="A12729" s="7">
        <v>613.0</v>
      </c>
      <c r="B12729" s="9" t="s">
        <v>17660</v>
      </c>
      <c r="C12729" s="9" t="s">
        <v>17661</v>
      </c>
      <c r="D12729" s="9" t="s">
        <v>93</v>
      </c>
      <c r="E12729" s="6" t="s">
        <v>17663</v>
      </c>
      <c r="F12729" t="inlineStr" s="10">
        <is>
          <t xml:space="preserve">Kun se voi huonosti, Cubchoon lima muuttuu vetiseksi ja sen jäämäisten liikkeiden voima heikkenee. Sen nenä vuotaa jatkuvasti. Se nuuhtelee räkää takaisin, koska lima tarjoaa raaka-aineen sen liikkeille. Heidän räkänsä on terveyden barometri. Terveenä heidän räkänsä on tahmeaa ja heidän jäänliikkeidensä voima kasvaa. Kun tämä Pokémon on hyvässä kunnossa, sen räkä paksuuntuu ja tahmeutuu. Se sivelee räkäänsä kenen tahansa päälle, josta se ei pidä. Se niiskaa ennen liikkeen suorittamista ja käyttää jäätävää räkäänsä antaakseen jäisen elementin mille tahansa liikkeelle, joka sitä tarvitsee.</t>
        </is>
      </c>
    </row>
    <row r="12730" ht="33.75" customHeight="1">
      <c r="A12730" s="7">
        <v>613.0</v>
      </c>
      <c r="B12730" s="9" t="s">
        <v>17660</v>
      </c>
      <c r="C12730" s="9" t="s">
        <v>17661</v>
      </c>
      <c r="D12730" s="9" t="s">
        <v>95</v>
      </c>
      <c r="E12730" s="6" t="s">
        <v>17664</v>
      </c>
      <c r="F12730" s="9"/>
    </row>
    <row r="12731" ht="33.75" customHeight="1">
      <c r="A12731" s="7">
        <v>613.0</v>
      </c>
      <c r="B12731" s="9" t="s">
        <v>17660</v>
      </c>
      <c r="C12731" s="9" t="s">
        <v>17661</v>
      </c>
      <c r="D12731" s="9" t="s">
        <v>98</v>
      </c>
      <c r="E12731" s="6" t="s">
        <v>17665</v>
      </c>
      <c r="F12731" s="9"/>
    </row>
    <row r="12732" ht="33.75" customHeight="1">
      <c r="A12732" s="7">
        <v>613.0</v>
      </c>
      <c r="B12732" s="9" t="s">
        <v>17660</v>
      </c>
      <c r="C12732" s="9" t="s">
        <v>17661</v>
      </c>
      <c r="D12732" s="9" t="s">
        <v>99</v>
      </c>
      <c r="E12732" s="6" t="s">
        <v>17665</v>
      </c>
      <c r="F12732" s="9"/>
    </row>
    <row r="12733" ht="33.75" customHeight="1">
      <c r="A12733" s="7">
        <v>613.0</v>
      </c>
      <c r="B12733" s="9" t="s">
        <v>17660</v>
      </c>
      <c r="C12733" s="9" t="s">
        <v>17661</v>
      </c>
      <c r="D12733" s="9" t="s">
        <v>101</v>
      </c>
      <c r="E12733" s="6" t="s">
        <v>17664</v>
      </c>
      <c r="F12733" s="9"/>
    </row>
    <row r="12734" ht="33.75" customHeight="1">
      <c r="A12734" s="7">
        <v>613.0</v>
      </c>
      <c r="B12734" s="9" t="s">
        <v>17660</v>
      </c>
      <c r="C12734" s="9" t="s">
        <v>17661</v>
      </c>
      <c r="D12734" s="9" t="s">
        <v>105</v>
      </c>
      <c r="E12734" s="6" t="s">
        <v>17665</v>
      </c>
      <c r="F12734" s="9"/>
    </row>
    <row r="12735" ht="33.75" customHeight="1">
      <c r="A12735" s="7">
        <v>613.0</v>
      </c>
      <c r="B12735" s="9" t="s">
        <v>17660</v>
      </c>
      <c r="C12735" s="9" t="s">
        <v>17661</v>
      </c>
      <c r="D12735" s="9" t="s">
        <v>107</v>
      </c>
      <c r="E12735" s="6" t="s">
        <v>17664</v>
      </c>
      <c r="F12735" s="9"/>
    </row>
    <row r="12736" ht="33.75" customHeight="1">
      <c r="A12736" s="7">
        <v>613.0</v>
      </c>
      <c r="B12736" s="9" t="s">
        <v>17660</v>
      </c>
      <c r="C12736" s="9" t="s">
        <v>17661</v>
      </c>
      <c r="D12736" s="9" t="s">
        <v>109</v>
      </c>
      <c r="E12736" s="6" t="s">
        <v>17665</v>
      </c>
      <c r="F12736" s="9"/>
    </row>
    <row r="12737" ht="33.75" customHeight="1">
      <c r="A12737" s="7">
        <v>613.0</v>
      </c>
      <c r="B12737" s="9" t="s">
        <v>17660</v>
      </c>
      <c r="C12737" s="9" t="s">
        <v>17661</v>
      </c>
      <c r="D12737" s="9" t="s">
        <v>114</v>
      </c>
      <c r="E12737" s="6" t="s">
        <v>17667</v>
      </c>
      <c r="F12737" s="9"/>
    </row>
    <row r="12738" ht="33.75" customHeight="1">
      <c r="A12738" s="7">
        <v>613.0</v>
      </c>
      <c r="B12738" s="9" t="s">
        <v>17660</v>
      </c>
      <c r="C12738" s="9" t="s">
        <v>17661</v>
      </c>
      <c r="D12738" s="9" t="s">
        <v>117</v>
      </c>
      <c r="E12738" s="6" t="s">
        <v>17668</v>
      </c>
      <c r="F12738" s="9"/>
    </row>
    <row r="12739" ht="33.75" customHeight="1">
      <c r="A12739" s="7">
        <v>614.0</v>
      </c>
      <c r="B12739" s="9" t="s">
        <v>17669</v>
      </c>
      <c r="C12739" s="9" t="s">
        <v>17670</v>
      </c>
      <c r="D12739" s="9" t="s">
        <v>93</v>
      </c>
      <c r="E12739" s="6" t="s">
        <v>17671</v>
      </c>
      <c r="F12739" t="inlineStr" s="10">
        <is>
          <t xml:space="preserve">Beartic voi jäädyttää hengityksensä milloin tahansa. Se on erittäin taitava vedessä, ui pohjoisilla merillä ja pyydystää saalista. Se jäädyttää hengityksensä luodakseen jäästä kulmahampaita ja kynsiä taistelua varten. Kylmät pohjoiset alueet ovat sen elinympäristö. Ne rakastavat pohjoisen kylmiä meriä. Ne luovat polkuja valtamerten yli jäädyttämällä oman hengityksensä. Se ui kylmissä merissä etsien saalista. Jäätyneestä hengityksestään se muodostaa jäisiä hampaita, jotka ovat kovempia kuin teräs. Se ui energisesti kylmissä merissä. Väsyessään se jäädyttää meriveden hengityksellään, jotta se voi levätä jäällä.</t>
        </is>
      </c>
    </row>
    <row r="12740" ht="33.75" customHeight="1">
      <c r="A12740" s="7">
        <v>614.0</v>
      </c>
      <c r="B12740" s="9" t="s">
        <v>17669</v>
      </c>
      <c r="C12740" s="9" t="s">
        <v>17670</v>
      </c>
      <c r="D12740" s="9" t="s">
        <v>95</v>
      </c>
      <c r="E12740" s="6" t="s">
        <v>17672</v>
      </c>
      <c r="F12740" s="9"/>
    </row>
    <row r="12741" ht="33.75" customHeight="1">
      <c r="A12741" s="7">
        <v>614.0</v>
      </c>
      <c r="B12741" s="9" t="s">
        <v>17669</v>
      </c>
      <c r="C12741" s="9" t="s">
        <v>17670</v>
      </c>
      <c r="D12741" s="9" t="s">
        <v>98</v>
      </c>
      <c r="E12741" s="6" t="s">
        <v>17673</v>
      </c>
      <c r="F12741" s="9"/>
    </row>
    <row r="12742" ht="33.75" customHeight="1">
      <c r="A12742" s="7">
        <v>614.0</v>
      </c>
      <c r="B12742" s="9" t="s">
        <v>17669</v>
      </c>
      <c r="C12742" s="9" t="s">
        <v>17670</v>
      </c>
      <c r="D12742" s="9" t="s">
        <v>99</v>
      </c>
      <c r="E12742" s="6" t="s">
        <v>17673</v>
      </c>
      <c r="F12742" s="9"/>
    </row>
    <row r="12743" ht="33.75" customHeight="1">
      <c r="A12743" s="7">
        <v>614.0</v>
      </c>
      <c r="B12743" s="9" t="s">
        <v>17669</v>
      </c>
      <c r="C12743" s="9" t="s">
        <v>17670</v>
      </c>
      <c r="D12743" s="9" t="s">
        <v>101</v>
      </c>
      <c r="E12743" s="6" t="s">
        <v>17673</v>
      </c>
      <c r="F12743" s="9"/>
    </row>
    <row r="12744" ht="33.75" customHeight="1">
      <c r="A12744" s="7">
        <v>614.0</v>
      </c>
      <c r="B12744" s="9" t="s">
        <v>17669</v>
      </c>
      <c r="C12744" s="9" t="s">
        <v>17670</v>
      </c>
      <c r="D12744" s="9" t="s">
        <v>105</v>
      </c>
      <c r="E12744" s="6" t="s">
        <v>17672</v>
      </c>
      <c r="F12744" s="9"/>
    </row>
    <row r="12745" ht="33.75" customHeight="1">
      <c r="A12745" s="7">
        <v>614.0</v>
      </c>
      <c r="B12745" s="9" t="s">
        <v>17669</v>
      </c>
      <c r="C12745" s="9" t="s">
        <v>17670</v>
      </c>
      <c r="D12745" s="9" t="s">
        <v>107</v>
      </c>
      <c r="E12745" s="6" t="s">
        <v>17673</v>
      </c>
      <c r="F12745" s="9"/>
    </row>
    <row r="12746" ht="33.75" customHeight="1">
      <c r="A12746" s="7">
        <v>614.0</v>
      </c>
      <c r="B12746" s="9" t="s">
        <v>17669</v>
      </c>
      <c r="C12746" s="9" t="s">
        <v>17670</v>
      </c>
      <c r="D12746" s="9" t="s">
        <v>109</v>
      </c>
      <c r="E12746" s="6" t="s">
        <v>17672</v>
      </c>
      <c r="F12746" s="9"/>
    </row>
    <row r="12747" ht="33.75" customHeight="1">
      <c r="A12747" s="7">
        <v>614.0</v>
      </c>
      <c r="B12747" s="9" t="s">
        <v>17669</v>
      </c>
      <c r="C12747" s="9" t="s">
        <v>17670</v>
      </c>
      <c r="D12747" s="9" t="s">
        <v>114</v>
      </c>
      <c r="E12747" s="6" t="s">
        <v>17675</v>
      </c>
      <c r="F12747" s="9"/>
    </row>
    <row r="12748" ht="33.75" customHeight="1">
      <c r="A12748" s="7">
        <v>614.0</v>
      </c>
      <c r="B12748" s="9" t="s">
        <v>17669</v>
      </c>
      <c r="C12748" s="9" t="s">
        <v>17670</v>
      </c>
      <c r="D12748" s="9" t="s">
        <v>117</v>
      </c>
      <c r="E12748" s="6" t="s">
        <v>17677</v>
      </c>
      <c r="F12748" s="9"/>
    </row>
    <row r="12749" ht="33.75" customHeight="1">
      <c r="A12749" s="7">
        <v>615.0</v>
      </c>
      <c r="B12749" s="9" t="s">
        <v>17678</v>
      </c>
      <c r="C12749" s="9" t="s">
        <v>17679</v>
      </c>
      <c r="D12749" s="9" t="s">
        <v>93</v>
      </c>
      <c r="E12749" s="6" t="s">
        <v>17680</v>
      </c>
      <c r="F12749" t="inlineStr" s="10">
        <is>
          <t xml:space="preserve">Kun Cryogonalin ruumiinlämpö nousee, se muuttuu höyryksi ja katoaa. Kun sen lämpötila laskee, se palaa jääksi. Ne syntyvät lumipilvissä. Ne käyttävät jääkiteistä tehtyjä ketjuja saaliin pyydystämiseen. Ne koostuvat jääkiteistä. Ne pyydystävät saaliinsa jääketjuilla, jotka jäätyvät -75 °C:seen. Ne pyydystävät saaliinsa jääketjuilla, jotka jäätyvät -75 celsiusasteeseen. Jäisillä ketjuillaan Cryogonal jäädyttää kohtaamansa ihmiset. Sitten se vie uhrinsa jonnekin tuntemattomaan. Kun sää kuumenee, nämä Pokémonit muuttuvat vesihöyryksi. Kryogonaaleja ei juurikaan nähdä kesällä.</t>
        </is>
      </c>
    </row>
    <row r="12750" ht="33.75" customHeight="1">
      <c r="A12750" s="7">
        <v>615.0</v>
      </c>
      <c r="B12750" s="9" t="s">
        <v>17678</v>
      </c>
      <c r="C12750" s="9" t="s">
        <v>17679</v>
      </c>
      <c r="D12750" s="9" t="s">
        <v>95</v>
      </c>
      <c r="E12750" s="6" t="s">
        <v>17681</v>
      </c>
      <c r="F12750" s="9"/>
    </row>
    <row r="12751" ht="33.75" customHeight="1">
      <c r="A12751" s="7">
        <v>615.0</v>
      </c>
      <c r="B12751" s="9" t="s">
        <v>17678</v>
      </c>
      <c r="C12751" s="9" t="s">
        <v>17679</v>
      </c>
      <c r="D12751" s="9" t="s">
        <v>98</v>
      </c>
      <c r="E12751" s="6" t="s">
        <v>17682</v>
      </c>
      <c r="F12751" s="9"/>
    </row>
    <row r="12752" ht="33.75" customHeight="1">
      <c r="A12752" s="7">
        <v>615.0</v>
      </c>
      <c r="B12752" s="9" t="s">
        <v>17678</v>
      </c>
      <c r="C12752" s="9" t="s">
        <v>17679</v>
      </c>
      <c r="D12752" s="9" t="s">
        <v>99</v>
      </c>
      <c r="E12752" s="6" t="s">
        <v>17682</v>
      </c>
      <c r="F12752" s="9"/>
    </row>
    <row r="12753" ht="33.75" customHeight="1">
      <c r="A12753" s="7">
        <v>615.0</v>
      </c>
      <c r="B12753" s="9" t="s">
        <v>17678</v>
      </c>
      <c r="C12753" s="9" t="s">
        <v>17679</v>
      </c>
      <c r="D12753" s="9" t="s">
        <v>101</v>
      </c>
      <c r="E12753" s="6" t="s">
        <v>17681</v>
      </c>
      <c r="F12753" s="9"/>
    </row>
    <row r="12754" ht="33.75" customHeight="1">
      <c r="A12754" s="7">
        <v>615.0</v>
      </c>
      <c r="B12754" s="9" t="s">
        <v>17678</v>
      </c>
      <c r="C12754" s="9" t="s">
        <v>17679</v>
      </c>
      <c r="D12754" s="9" t="s">
        <v>105</v>
      </c>
      <c r="E12754" s="6" t="s">
        <v>17684</v>
      </c>
      <c r="F12754" s="9"/>
    </row>
    <row r="12755" ht="33.75" customHeight="1">
      <c r="A12755" s="7">
        <v>615.0</v>
      </c>
      <c r="B12755" s="9" t="s">
        <v>17678</v>
      </c>
      <c r="C12755" s="9" t="s">
        <v>17679</v>
      </c>
      <c r="D12755" s="9" t="s">
        <v>107</v>
      </c>
      <c r="E12755" s="6" t="s">
        <v>17681</v>
      </c>
      <c r="F12755" s="9"/>
    </row>
    <row r="12756" ht="33.75" customHeight="1">
      <c r="A12756" s="7">
        <v>615.0</v>
      </c>
      <c r="B12756" s="9" t="s">
        <v>17678</v>
      </c>
      <c r="C12756" s="9" t="s">
        <v>17679</v>
      </c>
      <c r="D12756" s="9" t="s">
        <v>109</v>
      </c>
      <c r="E12756" s="6" t="s">
        <v>17684</v>
      </c>
      <c r="F12756" s="9"/>
    </row>
    <row r="12757" ht="33.75" customHeight="1">
      <c r="A12757" s="7">
        <v>615.0</v>
      </c>
      <c r="B12757" s="9" t="s">
        <v>17678</v>
      </c>
      <c r="C12757" s="9" t="s">
        <v>17679</v>
      </c>
      <c r="D12757" s="9" t="s">
        <v>114</v>
      </c>
      <c r="E12757" s="6" t="s">
        <v>17685</v>
      </c>
      <c r="F12757" s="9"/>
    </row>
    <row r="12758" ht="33.75" customHeight="1">
      <c r="A12758" s="7">
        <v>615.0</v>
      </c>
      <c r="B12758" s="9" t="s">
        <v>17678</v>
      </c>
      <c r="C12758" s="9" t="s">
        <v>17679</v>
      </c>
      <c r="D12758" s="9" t="s">
        <v>117</v>
      </c>
      <c r="E12758" s="6" t="s">
        <v>17686</v>
      </c>
      <c r="F12758" s="9"/>
    </row>
    <row r="12759" ht="33.75" customHeight="1">
      <c r="A12759" s="7">
        <v>616.0</v>
      </c>
      <c r="B12759" s="9" t="s">
        <v>17687</v>
      </c>
      <c r="C12759" s="9" t="s">
        <v>17688</v>
      </c>
      <c r="D12759" s="9" t="s">
        <v>93</v>
      </c>
      <c r="E12759" s="6" t="s">
        <v>17689</v>
      </c>
      <c r="F12759" t="inlineStr" s="10">
        <is>
          <t xml:space="preserve">Hyökätessä se puolustautuu sulkemalla kuorensa kannen. Se voi sylkeä tahmeaa, myrkyllistä nestettä. Se kehittyy, kun se kylpee sähkönkaltaisessa energiassa yhdessä Karrablastin kanssa. Syy on edelleen tuntematon. Kun se ja Karrablast ovat yhdessä ja molemmat saavat sähköistä stimulaatiota, ne molemmat kehittyvät. Hyökätessä se sulkee kuorensa kannen tiiviisti. Tämä reaktio ei kuitenkaan suojaa sitä Karrablasteilta, koska ne voivat silti päästä kuoreen. Sillä on outo fysiologia, joka reagoi sähköön. Yhdessä Karrablastin kanssa Shelmet kehittyy jostain syystä.</t>
        </is>
      </c>
    </row>
    <row r="12760" ht="33.75" customHeight="1">
      <c r="A12760" s="7">
        <v>616.0</v>
      </c>
      <c r="B12760" s="9" t="s">
        <v>17687</v>
      </c>
      <c r="C12760" s="9" t="s">
        <v>17688</v>
      </c>
      <c r="D12760" s="9" t="s">
        <v>95</v>
      </c>
      <c r="E12760" s="6" t="s">
        <v>17691</v>
      </c>
      <c r="F12760" s="9"/>
    </row>
    <row r="12761" ht="33.75" customHeight="1">
      <c r="A12761" s="7">
        <v>616.0</v>
      </c>
      <c r="B12761" s="9" t="s">
        <v>17687</v>
      </c>
      <c r="C12761" s="9" t="s">
        <v>17688</v>
      </c>
      <c r="D12761" s="9" t="s">
        <v>98</v>
      </c>
      <c r="E12761" s="6" t="s">
        <v>17692</v>
      </c>
      <c r="F12761" s="9"/>
    </row>
    <row r="12762" ht="33.75" customHeight="1">
      <c r="A12762" s="7">
        <v>616.0</v>
      </c>
      <c r="B12762" s="9" t="s">
        <v>17687</v>
      </c>
      <c r="C12762" s="9" t="s">
        <v>17688</v>
      </c>
      <c r="D12762" s="9" t="s">
        <v>99</v>
      </c>
      <c r="E12762" s="6" t="s">
        <v>17692</v>
      </c>
      <c r="F12762" s="9"/>
    </row>
    <row r="12763" ht="33.75" customHeight="1">
      <c r="A12763" s="7">
        <v>616.0</v>
      </c>
      <c r="B12763" s="9" t="s">
        <v>17687</v>
      </c>
      <c r="C12763" s="9" t="s">
        <v>17688</v>
      </c>
      <c r="D12763" s="9" t="s">
        <v>101</v>
      </c>
      <c r="E12763" s="6" t="s">
        <v>17692</v>
      </c>
      <c r="F12763" s="9"/>
    </row>
    <row r="12764" ht="33.75" customHeight="1">
      <c r="A12764" s="7">
        <v>616.0</v>
      </c>
      <c r="B12764" s="9" t="s">
        <v>17687</v>
      </c>
      <c r="C12764" s="9" t="s">
        <v>17688</v>
      </c>
      <c r="D12764" s="9" t="s">
        <v>105</v>
      </c>
      <c r="E12764" s="6" t="s">
        <v>17691</v>
      </c>
      <c r="F12764" s="9"/>
    </row>
    <row r="12765" ht="33.75" customHeight="1">
      <c r="A12765" s="7">
        <v>616.0</v>
      </c>
      <c r="B12765" s="9" t="s">
        <v>17687</v>
      </c>
      <c r="C12765" s="9" t="s">
        <v>17688</v>
      </c>
      <c r="D12765" s="9" t="s">
        <v>107</v>
      </c>
      <c r="E12765" s="6" t="s">
        <v>17692</v>
      </c>
      <c r="F12765" s="9"/>
    </row>
    <row r="12766" ht="33.75" customHeight="1">
      <c r="A12766" s="7">
        <v>616.0</v>
      </c>
      <c r="B12766" s="9" t="s">
        <v>17687</v>
      </c>
      <c r="C12766" s="9" t="s">
        <v>17688</v>
      </c>
      <c r="D12766" s="9" t="s">
        <v>109</v>
      </c>
      <c r="E12766" s="6" t="s">
        <v>17691</v>
      </c>
      <c r="F12766" s="9"/>
    </row>
    <row r="12767" ht="33.75" customHeight="1">
      <c r="A12767" s="7">
        <v>616.0</v>
      </c>
      <c r="B12767" s="9" t="s">
        <v>17687</v>
      </c>
      <c r="C12767" s="9" t="s">
        <v>17688</v>
      </c>
      <c r="D12767" s="9" t="s">
        <v>114</v>
      </c>
      <c r="E12767" s="6" t="s">
        <v>17694</v>
      </c>
      <c r="F12767" s="9"/>
    </row>
    <row r="12768" ht="33.75" customHeight="1">
      <c r="A12768" s="7">
        <v>616.0</v>
      </c>
      <c r="B12768" s="9" t="s">
        <v>17687</v>
      </c>
      <c r="C12768" s="9" t="s">
        <v>17688</v>
      </c>
      <c r="D12768" s="9" t="s">
        <v>117</v>
      </c>
      <c r="E12768" s="6" t="s">
        <v>17695</v>
      </c>
      <c r="F12768" s="9"/>
    </row>
    <row r="12769" ht="33.75" customHeight="1">
      <c r="A12769" s="7">
        <v>617.0</v>
      </c>
      <c r="B12769" s="9" t="s">
        <v>17696</v>
      </c>
      <c r="C12769" s="9" t="s">
        <v>17697</v>
      </c>
      <c r="D12769" s="9" t="s">
        <v>93</v>
      </c>
      <c r="E12769" s="6" t="s">
        <v>17698</v>
      </c>
      <c r="F12769" t="inlineStr" s="10">
        <is>
          <t xml:space="preserve">Kun Accelgorin ruumis kuivuu, se heikkenee. Niinpä nestehukan estämiseksi se käärii itsensä useisiin ohuisiin kalvokerroksiin. Poistattuaan raskaan kuorensa siitä tulee erittäin kevyt ja se voi taistella ninjan kaltaisilla liikkeillä. Niinpä se kietoo itsensä suojakalvon ympärille sylkeessään myrkkyä. Se liikkuu sokaisevalla nopeudella ja heittää myrkkyä vihollisten päälle. Accelgorin käyttäminen päähenkilönä on varma tapa tehdä elokuvasta tai sarjakuvasta suosittu. Kuoriensa hylkääminen teki siitä ketterän. Estääkseen nestehukan se kietoo ruumiinsa kalvonauhoihin.</t>
        </is>
      </c>
    </row>
    <row r="12770" ht="33.75" customHeight="1">
      <c r="A12770" s="7">
        <v>617.0</v>
      </c>
      <c r="B12770" s="9" t="s">
        <v>17696</v>
      </c>
      <c r="C12770" s="9" t="s">
        <v>17697</v>
      </c>
      <c r="D12770" s="9" t="s">
        <v>95</v>
      </c>
      <c r="E12770" s="6" t="s">
        <v>17699</v>
      </c>
      <c r="F12770" s="9"/>
    </row>
    <row r="12771" ht="33.75" customHeight="1">
      <c r="A12771" s="7">
        <v>617.0</v>
      </c>
      <c r="B12771" s="9" t="s">
        <v>17696</v>
      </c>
      <c r="C12771" s="9" t="s">
        <v>17697</v>
      </c>
      <c r="D12771" s="9" t="s">
        <v>98</v>
      </c>
      <c r="E12771" s="6" t="s">
        <v>17700</v>
      </c>
      <c r="F12771" s="9"/>
    </row>
    <row r="12772" ht="33.75" customHeight="1">
      <c r="A12772" s="7">
        <v>617.0</v>
      </c>
      <c r="B12772" s="9" t="s">
        <v>17696</v>
      </c>
      <c r="C12772" s="9" t="s">
        <v>17697</v>
      </c>
      <c r="D12772" s="9" t="s">
        <v>99</v>
      </c>
      <c r="E12772" s="6" t="s">
        <v>17700</v>
      </c>
      <c r="F12772" s="9"/>
    </row>
    <row r="12773" ht="33.75" customHeight="1">
      <c r="A12773" s="7">
        <v>617.0</v>
      </c>
      <c r="B12773" s="9" t="s">
        <v>17696</v>
      </c>
      <c r="C12773" s="9" t="s">
        <v>17697</v>
      </c>
      <c r="D12773" s="9" t="s">
        <v>101</v>
      </c>
      <c r="E12773" s="6" t="s">
        <v>17699</v>
      </c>
      <c r="F12773" s="9"/>
    </row>
    <row r="12774" ht="33.75" customHeight="1">
      <c r="A12774" s="7">
        <v>617.0</v>
      </c>
      <c r="B12774" s="9" t="s">
        <v>17696</v>
      </c>
      <c r="C12774" s="9" t="s">
        <v>17697</v>
      </c>
      <c r="D12774" s="9" t="s">
        <v>105</v>
      </c>
      <c r="E12774" s="6" t="s">
        <v>17698</v>
      </c>
      <c r="F12774" s="9"/>
    </row>
    <row r="12775" ht="33.75" customHeight="1">
      <c r="A12775" s="7">
        <v>617.0</v>
      </c>
      <c r="B12775" s="9" t="s">
        <v>17696</v>
      </c>
      <c r="C12775" s="9" t="s">
        <v>17697</v>
      </c>
      <c r="D12775" s="9" t="s">
        <v>107</v>
      </c>
      <c r="E12775" s="6" t="s">
        <v>17699</v>
      </c>
      <c r="F12775" s="9"/>
    </row>
    <row r="12776" ht="33.75" customHeight="1">
      <c r="A12776" s="7">
        <v>617.0</v>
      </c>
      <c r="B12776" s="9" t="s">
        <v>17696</v>
      </c>
      <c r="C12776" s="9" t="s">
        <v>17697</v>
      </c>
      <c r="D12776" s="9" t="s">
        <v>109</v>
      </c>
      <c r="E12776" s="6" t="s">
        <v>17698</v>
      </c>
      <c r="F12776" s="9"/>
    </row>
    <row r="12777" ht="33.75" customHeight="1">
      <c r="A12777" s="7">
        <v>617.0</v>
      </c>
      <c r="B12777" s="9" t="s">
        <v>17696</v>
      </c>
      <c r="C12777" s="9" t="s">
        <v>17697</v>
      </c>
      <c r="D12777" s="9" t="s">
        <v>114</v>
      </c>
      <c r="E12777" s="6" t="s">
        <v>17702</v>
      </c>
      <c r="F12777" s="9"/>
    </row>
    <row r="12778" ht="33.75" customHeight="1">
      <c r="A12778" s="7">
        <v>617.0</v>
      </c>
      <c r="B12778" s="9" t="s">
        <v>17696</v>
      </c>
      <c r="C12778" s="9" t="s">
        <v>17697</v>
      </c>
      <c r="D12778" s="9" t="s">
        <v>117</v>
      </c>
      <c r="E12778" s="6" t="s">
        <v>17703</v>
      </c>
      <c r="F12778" s="9"/>
    </row>
    <row r="12779" ht="33.75" customHeight="1">
      <c r="A12779" s="7">
        <v>618.0</v>
      </c>
      <c r="B12779" s="9" t="s">
        <v>17704</v>
      </c>
      <c r="C12779" s="9" t="s">
        <v>17705</v>
      </c>
      <c r="D12779" s="9" t="s">
        <v>93</v>
      </c>
      <c r="E12779" s="6" t="s">
        <v>17706</v>
      </c>
      <c r="F12779" t="inlineStr" s="10">
        <is>
          <t xml:space="preserve">Stunfiskin iho on erittäin kova, joten se ei vahingoitu, vaikka sumopainijat astuisivat sen päälle. Se hymyilee lähettäessään sähköä. Se piiloutuu merenrannan mutaan. Sitten se odottaa. Kun saalis koskettaa sitä, se lähettää sähköiskun. Kun vastustajaa ei saada lamaannutettua, se vääntyy odottamattomalla nopeudella ja syöksyy pois. Mutatasangoilla elävien bakteerien ansiosta tämä Pokémon kehitti elimet, joita se käyttää sähkön tuottamiseen. Jostain syystä tämä Pokémon hymyilee hieman, kun se lähettää voimakkaan sähkövirran kehonsa keltaisista merkinnöistä.</t>
        </is>
      </c>
    </row>
    <row r="12780" ht="33.75" customHeight="1">
      <c r="A12780" s="7">
        <v>618.0</v>
      </c>
      <c r="B12780" s="9" t="s">
        <v>17704</v>
      </c>
      <c r="C12780" s="9" t="s">
        <v>17705</v>
      </c>
      <c r="D12780" s="9" t="s">
        <v>95</v>
      </c>
      <c r="E12780" s="6" t="s">
        <v>17707</v>
      </c>
      <c r="F12780" s="9"/>
    </row>
    <row r="12781" ht="33.75" customHeight="1">
      <c r="A12781" s="7">
        <v>618.0</v>
      </c>
      <c r="B12781" s="9" t="s">
        <v>17704</v>
      </c>
      <c r="C12781" s="9" t="s">
        <v>17705</v>
      </c>
      <c r="D12781" s="9" t="s">
        <v>98</v>
      </c>
      <c r="E12781" s="6" t="s">
        <v>17708</v>
      </c>
      <c r="F12781" s="9"/>
    </row>
    <row r="12782" ht="33.75" customHeight="1">
      <c r="A12782" s="7">
        <v>618.0</v>
      </c>
      <c r="B12782" s="9" t="s">
        <v>17704</v>
      </c>
      <c r="C12782" s="9" t="s">
        <v>17705</v>
      </c>
      <c r="D12782" s="9" t="s">
        <v>99</v>
      </c>
      <c r="E12782" s="6" t="s">
        <v>17708</v>
      </c>
      <c r="F12782" s="9"/>
    </row>
    <row r="12783" ht="33.75" customHeight="1">
      <c r="A12783" s="7">
        <v>618.0</v>
      </c>
      <c r="B12783" s="9" t="s">
        <v>17704</v>
      </c>
      <c r="C12783" s="9" t="s">
        <v>17705</v>
      </c>
      <c r="D12783" s="9" t="s">
        <v>101</v>
      </c>
      <c r="E12783" s="6" t="s">
        <v>17706</v>
      </c>
      <c r="F12783" s="9"/>
    </row>
    <row r="12784" ht="33.75" customHeight="1">
      <c r="A12784" s="7">
        <v>618.0</v>
      </c>
      <c r="B12784" s="9" t="s">
        <v>17704</v>
      </c>
      <c r="C12784" s="9" t="s">
        <v>17705</v>
      </c>
      <c r="D12784" s="9" t="s">
        <v>105</v>
      </c>
      <c r="E12784" s="6" t="s">
        <v>17707</v>
      </c>
      <c r="F12784" s="9"/>
    </row>
    <row r="12785" ht="33.75" customHeight="1">
      <c r="A12785" s="7">
        <v>618.0</v>
      </c>
      <c r="B12785" s="9" t="s">
        <v>17704</v>
      </c>
      <c r="C12785" s="9" t="s">
        <v>17705</v>
      </c>
      <c r="D12785" s="9" t="s">
        <v>107</v>
      </c>
      <c r="E12785" s="6" t="s">
        <v>17706</v>
      </c>
      <c r="F12785" s="9"/>
    </row>
    <row r="12786" ht="33.75" customHeight="1">
      <c r="A12786" s="7">
        <v>618.0</v>
      </c>
      <c r="B12786" s="9" t="s">
        <v>17704</v>
      </c>
      <c r="C12786" s="9" t="s">
        <v>17705</v>
      </c>
      <c r="D12786" s="9" t="s">
        <v>109</v>
      </c>
      <c r="E12786" s="6" t="s">
        <v>17707</v>
      </c>
      <c r="F12786" s="9"/>
    </row>
    <row r="12787" ht="33.75" customHeight="1">
      <c r="A12787" s="7">
        <v>618.0</v>
      </c>
      <c r="B12787" s="9" t="s">
        <v>17704</v>
      </c>
      <c r="C12787" s="9" t="s">
        <v>17705</v>
      </c>
      <c r="D12787" s="9" t="s">
        <v>114</v>
      </c>
      <c r="E12787" s="6" t="s">
        <v>17710</v>
      </c>
      <c r="F12787" s="9"/>
    </row>
    <row r="12788" ht="33.75" customHeight="1">
      <c r="A12788" s="7">
        <v>618.0</v>
      </c>
      <c r="B12788" s="9" t="s">
        <v>17704</v>
      </c>
      <c r="C12788" s="9" t="s">
        <v>17705</v>
      </c>
      <c r="D12788" s="9" t="s">
        <v>117</v>
      </c>
      <c r="E12788" s="6" t="s">
        <v>17711</v>
      </c>
      <c r="F12788" s="9"/>
    </row>
    <row r="12789" ht="33.75" customHeight="1">
      <c r="A12789" s="7">
        <v>619.0</v>
      </c>
      <c r="B12789" s="9" t="s">
        <v>17712</v>
      </c>
      <c r="C12789" s="9" t="s">
        <v>17713</v>
      </c>
      <c r="D12789" s="9" t="s">
        <v>93</v>
      </c>
      <c r="E12789" s="6" t="s">
        <v>17714</v>
      </c>
      <c r="F12789" t="inlineStr" s="10">
        <is>
          <t xml:space="preserve">Taisteluissa ne hallitsevat jatkuvilla ja virtaavilla hyökkäyksillä. Terävillä kynsillään ne viiltävät vihollisia. He ovat hallinneet elegantteja komboja. Keskittyessään heidän taisteluliikkeensä nopeutuvat ja tarkentuvat. Se on ylpeä nopeudestaan, jolla se pystyy käyttämään liikkeitään. Minkä se menettää voimassa, sen se korvaa määrällä. Ne voi usein nähdä laumoissa aamulla, hitaasti liikuttamassa kehoaan useiden asentojen läpi. He eristäytyvät vuorilla ja omistautuvat harjoittelulle. Heidän potkujensa ja lyöntiensä muoto vaihtelee laumasta toiseen. Yhdessä minuutissa hyvin koulutettu mienfoo voi hakata käsillään yli 100 kertaa. Vaikka Mienfoo on pieni, sen luonne on raju. Jokainen olento, joka lähestyy Mienfoota huolettomasti, saa osakseen sarjan tyylikkäitä hyökkäyksiä.</t>
        </is>
      </c>
    </row>
    <row r="12790" ht="33.75" customHeight="1">
      <c r="A12790" s="7">
        <v>619.0</v>
      </c>
      <c r="B12790" s="9" t="s">
        <v>17712</v>
      </c>
      <c r="C12790" s="9" t="s">
        <v>17713</v>
      </c>
      <c r="D12790" s="9" t="s">
        <v>95</v>
      </c>
      <c r="E12790" s="6" t="s">
        <v>17715</v>
      </c>
      <c r="F12790" s="9"/>
    </row>
    <row r="12791" ht="33.75" customHeight="1">
      <c r="A12791" s="7">
        <v>619.0</v>
      </c>
      <c r="B12791" s="9" t="s">
        <v>17712</v>
      </c>
      <c r="C12791" s="9" t="s">
        <v>17713</v>
      </c>
      <c r="D12791" s="9" t="s">
        <v>98</v>
      </c>
      <c r="E12791" s="6" t="s">
        <v>17716</v>
      </c>
      <c r="F12791" s="9"/>
    </row>
    <row r="12792" ht="33.75" customHeight="1">
      <c r="A12792" s="7">
        <v>619.0</v>
      </c>
      <c r="B12792" s="9" t="s">
        <v>17712</v>
      </c>
      <c r="C12792" s="9" t="s">
        <v>17713</v>
      </c>
      <c r="D12792" s="9" t="s">
        <v>99</v>
      </c>
      <c r="E12792" s="6" t="s">
        <v>17716</v>
      </c>
      <c r="F12792" s="9"/>
    </row>
    <row r="12793" ht="33.75" customHeight="1">
      <c r="A12793" s="7">
        <v>619.0</v>
      </c>
      <c r="B12793" s="9" t="s">
        <v>17712</v>
      </c>
      <c r="C12793" s="9" t="s">
        <v>17713</v>
      </c>
      <c r="D12793" s="9" t="s">
        <v>101</v>
      </c>
      <c r="E12793" s="6" t="s">
        <v>17716</v>
      </c>
      <c r="F12793" s="9"/>
    </row>
    <row r="12794" ht="33.75" customHeight="1">
      <c r="A12794" s="7">
        <v>619.0</v>
      </c>
      <c r="B12794" s="9" t="s">
        <v>17712</v>
      </c>
      <c r="C12794" s="9" t="s">
        <v>17713</v>
      </c>
      <c r="D12794" s="9" t="s">
        <v>105</v>
      </c>
      <c r="E12794" s="6" t="s">
        <v>17714</v>
      </c>
      <c r="F12794" s="9"/>
    </row>
    <row r="12795" ht="33.75" customHeight="1">
      <c r="A12795" s="7">
        <v>619.0</v>
      </c>
      <c r="B12795" s="9" t="s">
        <v>17712</v>
      </c>
      <c r="C12795" s="9" t="s">
        <v>17713</v>
      </c>
      <c r="D12795" s="9" t="s">
        <v>107</v>
      </c>
      <c r="E12795" s="6" t="s">
        <v>17716</v>
      </c>
      <c r="F12795" s="9"/>
    </row>
    <row r="12796" ht="33.75" customHeight="1">
      <c r="A12796" s="7">
        <v>619.0</v>
      </c>
      <c r="B12796" s="9" t="s">
        <v>17712</v>
      </c>
      <c r="C12796" s="9" t="s">
        <v>17713</v>
      </c>
      <c r="D12796" s="9" t="s">
        <v>109</v>
      </c>
      <c r="E12796" s="6" t="s">
        <v>17714</v>
      </c>
      <c r="F12796" s="9"/>
    </row>
    <row r="12797" ht="33.75" customHeight="1">
      <c r="A12797" s="7">
        <v>619.0</v>
      </c>
      <c r="B12797" s="9" t="s">
        <v>17712</v>
      </c>
      <c r="C12797" s="9" t="s">
        <v>17713</v>
      </c>
      <c r="D12797" s="9" t="s">
        <v>647</v>
      </c>
      <c r="E12797" s="6" t="s">
        <v>17718</v>
      </c>
      <c r="F12797" s="9"/>
    </row>
    <row r="12798" ht="33.75" customHeight="1">
      <c r="A12798" s="7">
        <v>619.0</v>
      </c>
      <c r="B12798" s="9" t="s">
        <v>17712</v>
      </c>
      <c r="C12798" s="9" t="s">
        <v>17713</v>
      </c>
      <c r="D12798" s="9" t="s">
        <v>652</v>
      </c>
      <c r="E12798" s="6" t="s">
        <v>17719</v>
      </c>
      <c r="F12798" s="9"/>
    </row>
    <row r="12799" ht="33.75" customHeight="1">
      <c r="A12799" s="7">
        <v>619.0</v>
      </c>
      <c r="B12799" s="9" t="s">
        <v>17712</v>
      </c>
      <c r="C12799" s="9" t="s">
        <v>17713</v>
      </c>
      <c r="D12799" s="9" t="s">
        <v>114</v>
      </c>
      <c r="E12799" s="6" t="s">
        <v>17720</v>
      </c>
      <c r="F12799" s="9"/>
    </row>
    <row r="12800" ht="33.75" customHeight="1">
      <c r="A12800" s="7">
        <v>619.0</v>
      </c>
      <c r="B12800" s="9" t="s">
        <v>17712</v>
      </c>
      <c r="C12800" s="9" t="s">
        <v>17713</v>
      </c>
      <c r="D12800" s="9" t="s">
        <v>117</v>
      </c>
      <c r="E12800" s="6" t="s">
        <v>17721</v>
      </c>
      <c r="F12800" s="9"/>
    </row>
    <row r="12801" ht="33.75" customHeight="1">
      <c r="A12801" s="7">
        <v>620.0</v>
      </c>
      <c r="B12801" s="9" t="s">
        <v>17722</v>
      </c>
      <c r="C12801" s="9" t="s">
        <v>17713</v>
      </c>
      <c r="D12801" s="9" t="s">
        <v>93</v>
      </c>
      <c r="E12801" s="6" t="s">
        <v>17723</v>
      </c>
      <c r="F12801" t="inlineStr" s="10">
        <is>
          <t xml:space="preserve">Mienshao käyttää käsivarsiensa turkkia kuin ruoskaa. Sen käsivarsihyökkäykset tulevat niin nopeasti, ettei niitä edes näe. He käyttävät käsivarsiensa pitkää turkkia ruoskana lyödäkseen vastustajiaan. Käyttäen käsiensä pitkää turkkia kuin ruoskaa, se käynnistää yhdistelmähyökkäyksiä, joita kerran alennettuaan kukaan ei voi pysäyttää. Se hukuttaa vastustajansa jatkuvilla hyökkäyksillä ja kerää sitten hitaasti voimaa ennen viimeistelyiskun antamista. Kun Mienshao päästää omituisen valituksen, olet vaarassa. Potkujen ja iskujen sarja, jota on liian vaikea nähdä, on päästettämässä valloilleen! Kun Mienshao kohtaa todella haastavan vastustajan, se keventää itseään puremalla karvat pois käsivarsistaan. Tämän Pokémonin häikäisevän nopeasti lähettämät potkut voivat murskata massiivisia lohkareita pieniksi palasiksi.</t>
        </is>
      </c>
    </row>
    <row r="12802" ht="33.75" customHeight="1">
      <c r="A12802" s="7">
        <v>620.0</v>
      </c>
      <c r="B12802" s="9" t="s">
        <v>17722</v>
      </c>
      <c r="C12802" s="9" t="s">
        <v>17713</v>
      </c>
      <c r="D12802" s="9" t="s">
        <v>95</v>
      </c>
      <c r="E12802" s="6" t="s">
        <v>17725</v>
      </c>
      <c r="F12802" s="9"/>
    </row>
    <row r="12803" ht="33.75" customHeight="1">
      <c r="A12803" s="7">
        <v>620.0</v>
      </c>
      <c r="B12803" s="9" t="s">
        <v>17722</v>
      </c>
      <c r="C12803" s="9" t="s">
        <v>17713</v>
      </c>
      <c r="D12803" s="9" t="s">
        <v>98</v>
      </c>
      <c r="E12803" s="6" t="s">
        <v>17726</v>
      </c>
      <c r="F12803" s="9"/>
    </row>
    <row r="12804" ht="33.75" customHeight="1">
      <c r="A12804" s="7">
        <v>620.0</v>
      </c>
      <c r="B12804" s="9" t="s">
        <v>17722</v>
      </c>
      <c r="C12804" s="9" t="s">
        <v>17713</v>
      </c>
      <c r="D12804" s="9" t="s">
        <v>99</v>
      </c>
      <c r="E12804" s="6" t="s">
        <v>17726</v>
      </c>
      <c r="F12804" s="9"/>
    </row>
    <row r="12805" ht="33.75" customHeight="1">
      <c r="A12805" s="7">
        <v>620.0</v>
      </c>
      <c r="B12805" s="9" t="s">
        <v>17722</v>
      </c>
      <c r="C12805" s="9" t="s">
        <v>17713</v>
      </c>
      <c r="D12805" s="9" t="s">
        <v>101</v>
      </c>
      <c r="E12805" s="6" t="s">
        <v>17723</v>
      </c>
      <c r="F12805" s="9"/>
    </row>
    <row r="12806" ht="33.75" customHeight="1">
      <c r="A12806" s="7">
        <v>620.0</v>
      </c>
      <c r="B12806" s="9" t="s">
        <v>17722</v>
      </c>
      <c r="C12806" s="9" t="s">
        <v>17713</v>
      </c>
      <c r="D12806" s="9" t="s">
        <v>105</v>
      </c>
      <c r="E12806" s="6" t="s">
        <v>17726</v>
      </c>
      <c r="F12806" s="9"/>
    </row>
    <row r="12807" ht="33.75" customHeight="1">
      <c r="A12807" s="7">
        <v>620.0</v>
      </c>
      <c r="B12807" s="9" t="s">
        <v>17722</v>
      </c>
      <c r="C12807" s="9" t="s">
        <v>17713</v>
      </c>
      <c r="D12807" s="9" t="s">
        <v>107</v>
      </c>
      <c r="E12807" s="6" t="s">
        <v>17723</v>
      </c>
      <c r="F12807" s="9"/>
    </row>
    <row r="12808" ht="33.75" customHeight="1">
      <c r="A12808" s="7">
        <v>620.0</v>
      </c>
      <c r="B12808" s="9" t="s">
        <v>17722</v>
      </c>
      <c r="C12808" s="9" t="s">
        <v>17713</v>
      </c>
      <c r="D12808" s="9" t="s">
        <v>109</v>
      </c>
      <c r="E12808" s="6" t="s">
        <v>17726</v>
      </c>
      <c r="F12808" s="9"/>
    </row>
    <row r="12809" ht="33.75" customHeight="1">
      <c r="A12809" s="7">
        <v>620.0</v>
      </c>
      <c r="B12809" s="9" t="s">
        <v>17722</v>
      </c>
      <c r="C12809" s="9" t="s">
        <v>17713</v>
      </c>
      <c r="D12809" s="9" t="s">
        <v>647</v>
      </c>
      <c r="E12809" s="6" t="s">
        <v>17727</v>
      </c>
      <c r="F12809" s="9"/>
    </row>
    <row r="12810" ht="33.75" customHeight="1">
      <c r="A12810" s="7">
        <v>620.0</v>
      </c>
      <c r="B12810" s="9" t="s">
        <v>17722</v>
      </c>
      <c r="C12810" s="9" t="s">
        <v>17713</v>
      </c>
      <c r="D12810" s="9" t="s">
        <v>652</v>
      </c>
      <c r="E12810" s="6" t="s">
        <v>17728</v>
      </c>
      <c r="F12810" s="9"/>
    </row>
    <row r="12811" ht="33.75" customHeight="1">
      <c r="A12811" s="7">
        <v>620.0</v>
      </c>
      <c r="B12811" s="9" t="s">
        <v>17722</v>
      </c>
      <c r="C12811" s="9" t="s">
        <v>17713</v>
      </c>
      <c r="D12811" s="9" t="s">
        <v>114</v>
      </c>
      <c r="E12811" s="6" t="s">
        <v>17729</v>
      </c>
      <c r="F12811" s="9"/>
    </row>
    <row r="12812" ht="33.75" customHeight="1">
      <c r="A12812" s="7">
        <v>620.0</v>
      </c>
      <c r="B12812" s="9" t="s">
        <v>17722</v>
      </c>
      <c r="C12812" s="9" t="s">
        <v>17713</v>
      </c>
      <c r="D12812" s="9" t="s">
        <v>117</v>
      </c>
      <c r="E12812" s="6" t="s">
        <v>17730</v>
      </c>
      <c r="F12812" s="9"/>
    </row>
    <row r="12813" ht="33.75" customHeight="1">
      <c r="A12813" s="7">
        <v>621.0</v>
      </c>
      <c r="B12813" s="9" t="s">
        <v>17731</v>
      </c>
      <c r="C12813" s="9" t="s">
        <v>16185</v>
      </c>
      <c r="D12813" s="9" t="s">
        <v>93</v>
      </c>
      <c r="E12813" s="6" t="s">
        <v>17732</v>
      </c>
      <c r="F12813" t="inlineStr" s="10">
        <is>
          <t xml:space="preserve">Druddigon lämmittää ruumistaan ​​imemällä auringonvaloa siivillään. Kun sen ruumiinlämpö laskee, se ei voi enää liikkua. Se juoksee ahtaissa luolissa ja pyydystää saalista terävillä kynsillään. Sen kasvojen iho on kovempaa kuin kiven. Se kulkee Excadrillin ja Onixin muodostamien kapeiden tunnelien läpi. Se käyttää teräviä kynsiään saaliin pyydystämiseen. Sen kasvojen punainen iho on kovempaa kuin kallio. Kapeissa luolissa se asettuu vihollisiaan vastaan ​​ja hyökkää kasvot edellä suoraan heitä kohti. Se tunkeutuu tunneleihin, jotka Pokémonit, kuten Diglett ja Dugtrio, ovat kaivaneet, ja odottaa hiljaa saaliin kulkevan läpi. Druddigon asuu luolissa, mutta se ei koskaan jätä auringonottoa väliin – se ei pysty liikkumaan, jos sen ruumis kylmenee liikaa. Druddigonit ovat ilkeitä ja ovelia. Ne asettuvat asumaan muiden Pokémonien kaivamiin pesiin ja pitävät varastettuja pesiä ominaan.</t>
        </is>
      </c>
    </row>
    <row r="12814" ht="33.75" customHeight="1">
      <c r="A12814" s="7">
        <v>621.0</v>
      </c>
      <c r="B12814" s="9" t="s">
        <v>17731</v>
      </c>
      <c r="C12814" s="9" t="s">
        <v>16185</v>
      </c>
      <c r="D12814" s="9" t="s">
        <v>95</v>
      </c>
      <c r="E12814" s="6" t="s">
        <v>17733</v>
      </c>
      <c r="F12814" s="9"/>
    </row>
    <row r="12815" ht="33.75" customHeight="1">
      <c r="A12815" s="7">
        <v>621.0</v>
      </c>
      <c r="B12815" s="9" t="s">
        <v>17731</v>
      </c>
      <c r="C12815" s="9" t="s">
        <v>16185</v>
      </c>
      <c r="D12815" s="9" t="s">
        <v>98</v>
      </c>
      <c r="E12815" s="6" t="s">
        <v>17735</v>
      </c>
      <c r="F12815" s="9"/>
    </row>
    <row r="12816" ht="33.75" customHeight="1">
      <c r="A12816" s="7">
        <v>621.0</v>
      </c>
      <c r="B12816" s="9" t="s">
        <v>17731</v>
      </c>
      <c r="C12816" s="9" t="s">
        <v>16185</v>
      </c>
      <c r="D12816" s="9" t="s">
        <v>99</v>
      </c>
      <c r="E12816" s="6" t="s">
        <v>17735</v>
      </c>
      <c r="F12816" s="9"/>
    </row>
    <row r="12817" ht="33.75" customHeight="1">
      <c r="A12817" s="7">
        <v>621.0</v>
      </c>
      <c r="B12817" s="9" t="s">
        <v>17731</v>
      </c>
      <c r="C12817" s="9" t="s">
        <v>16185</v>
      </c>
      <c r="D12817" s="9" t="s">
        <v>101</v>
      </c>
      <c r="E12817" s="6" t="s">
        <v>17733</v>
      </c>
      <c r="F12817" s="9"/>
    </row>
    <row r="12818" ht="33.75" customHeight="1">
      <c r="A12818" s="7">
        <v>621.0</v>
      </c>
      <c r="B12818" s="9" t="s">
        <v>17731</v>
      </c>
      <c r="C12818" s="9" t="s">
        <v>16185</v>
      </c>
      <c r="D12818" s="9" t="s">
        <v>105</v>
      </c>
      <c r="E12818" s="6" t="s">
        <v>17732</v>
      </c>
      <c r="F12818" s="9"/>
    </row>
    <row r="12819" ht="33.75" customHeight="1">
      <c r="A12819" s="7">
        <v>621.0</v>
      </c>
      <c r="B12819" s="9" t="s">
        <v>17731</v>
      </c>
      <c r="C12819" s="9" t="s">
        <v>16185</v>
      </c>
      <c r="D12819" s="9" t="s">
        <v>107</v>
      </c>
      <c r="E12819" s="6" t="s">
        <v>17733</v>
      </c>
      <c r="F12819" s="9"/>
    </row>
    <row r="12820" ht="33.75" customHeight="1">
      <c r="A12820" s="7">
        <v>621.0</v>
      </c>
      <c r="B12820" s="9" t="s">
        <v>17731</v>
      </c>
      <c r="C12820" s="9" t="s">
        <v>16185</v>
      </c>
      <c r="D12820" s="9" t="s">
        <v>109</v>
      </c>
      <c r="E12820" s="6" t="s">
        <v>17732</v>
      </c>
      <c r="F12820" s="9"/>
    </row>
    <row r="12821" ht="33.75" customHeight="1">
      <c r="A12821" s="7">
        <v>621.0</v>
      </c>
      <c r="B12821" s="9" t="s">
        <v>17731</v>
      </c>
      <c r="C12821" s="9" t="s">
        <v>16185</v>
      </c>
      <c r="D12821" s="9" t="s">
        <v>647</v>
      </c>
      <c r="E12821" s="6" t="s">
        <v>17736</v>
      </c>
      <c r="F12821" s="9"/>
    </row>
    <row r="12822" ht="33.75" customHeight="1">
      <c r="A12822" s="7">
        <v>621.0</v>
      </c>
      <c r="B12822" s="9" t="s">
        <v>17731</v>
      </c>
      <c r="C12822" s="9" t="s">
        <v>16185</v>
      </c>
      <c r="D12822" s="9" t="s">
        <v>652</v>
      </c>
      <c r="E12822" s="6" t="s">
        <v>17737</v>
      </c>
      <c r="F12822" s="9"/>
    </row>
    <row r="12823" ht="33.75" customHeight="1">
      <c r="A12823" s="7">
        <v>621.0</v>
      </c>
      <c r="B12823" s="9" t="s">
        <v>17731</v>
      </c>
      <c r="C12823" s="9" t="s">
        <v>16185</v>
      </c>
      <c r="D12823" s="9" t="s">
        <v>114</v>
      </c>
      <c r="E12823" s="6" t="s">
        <v>17738</v>
      </c>
      <c r="F12823" s="9"/>
    </row>
    <row r="12824" ht="33.75" customHeight="1">
      <c r="A12824" s="7">
        <v>621.0</v>
      </c>
      <c r="B12824" s="9" t="s">
        <v>17731</v>
      </c>
      <c r="C12824" s="9" t="s">
        <v>16185</v>
      </c>
      <c r="D12824" s="9" t="s">
        <v>117</v>
      </c>
      <c r="E12824" s="6" t="s">
        <v>17739</v>
      </c>
      <c r="F12824" s="9"/>
    </row>
    <row r="12825" ht="33.75" customHeight="1">
      <c r="A12825" s="7">
        <v>622.0</v>
      </c>
      <c r="B12825" s="9" t="s">
        <v>17740</v>
      </c>
      <c r="C12825" s="9" t="s">
        <v>17741</v>
      </c>
      <c r="D12825" s="9" t="s">
        <v>93</v>
      </c>
      <c r="E12825" s="6" t="s">
        <v>17742</v>
      </c>
      <c r="F12825" t="inlineStr" s="10">
        <is>
          <t xml:space="preserve">Golettin sisällä palava energia mahdollistaa sen liikkumisen, mutta kukaan ei ole vielä pystynyt tunnistamaan tätä energiaa. Näiden Pokémonien uskotaan olevan muinaisen ja salaperäisen sivilisaation tieteen luomia. Muinainen tiede muovasi tämän Pokémonin savesta. Se on ollut aktiivinen tuhansia vuosia. Sen liikkeet saavat voimansa salaperäisestä energiasta. Se on liikkunut jatkuvasti muinaisista ajoista lähtien, joten sen voima saattaa pian loppua. Vaikka muinaiset ihmiset ilmeisesti rakensivat sen työskentelemällä saven kanssa, sen energian lähde on epäselvä. Ne veistettiin savesta muinaisina aikoina. Kukaan ei tiedä miksi, mutta jotkut niistä pyrkivät jatkuvasti rivittämään lohkareita. Tämä Pokémon luotiin savesta. Se sai käskyjä isännältään tuhansia vuosia sitten, ja se noudattaa näitä käskyjä edelleen.</t>
        </is>
      </c>
    </row>
    <row r="12826" ht="33.75" customHeight="1">
      <c r="A12826" s="7">
        <v>622.0</v>
      </c>
      <c r="B12826" s="9" t="s">
        <v>17740</v>
      </c>
      <c r="C12826" s="9" t="s">
        <v>17741</v>
      </c>
      <c r="D12826" s="9" t="s">
        <v>95</v>
      </c>
      <c r="E12826" s="6" t="s">
        <v>17744</v>
      </c>
      <c r="F12826" s="9"/>
    </row>
    <row r="12827" ht="33.75" customHeight="1">
      <c r="A12827" s="7">
        <v>622.0</v>
      </c>
      <c r="B12827" s="9" t="s">
        <v>17740</v>
      </c>
      <c r="C12827" s="9" t="s">
        <v>17741</v>
      </c>
      <c r="D12827" s="9" t="s">
        <v>98</v>
      </c>
      <c r="E12827" s="6" t="s">
        <v>17745</v>
      </c>
      <c r="F12827" s="9"/>
    </row>
    <row r="12828" ht="33.75" customHeight="1">
      <c r="A12828" s="7">
        <v>622.0</v>
      </c>
      <c r="B12828" s="9" t="s">
        <v>17740</v>
      </c>
      <c r="C12828" s="9" t="s">
        <v>17741</v>
      </c>
      <c r="D12828" s="9" t="s">
        <v>99</v>
      </c>
      <c r="E12828" s="6" t="s">
        <v>17745</v>
      </c>
      <c r="F12828" s="9"/>
    </row>
    <row r="12829" ht="33.75" customHeight="1">
      <c r="A12829" s="7">
        <v>622.0</v>
      </c>
      <c r="B12829" s="9" t="s">
        <v>17740</v>
      </c>
      <c r="C12829" s="9" t="s">
        <v>17741</v>
      </c>
      <c r="D12829" s="9" t="s">
        <v>101</v>
      </c>
      <c r="E12829" s="6" t="s">
        <v>17742</v>
      </c>
      <c r="F12829" s="9"/>
    </row>
    <row r="12830" ht="33.75" customHeight="1">
      <c r="A12830" s="7">
        <v>622.0</v>
      </c>
      <c r="B12830" s="9" t="s">
        <v>17740</v>
      </c>
      <c r="C12830" s="9" t="s">
        <v>17741</v>
      </c>
      <c r="D12830" s="9" t="s">
        <v>105</v>
      </c>
      <c r="E12830" s="6" t="s">
        <v>17745</v>
      </c>
      <c r="F12830" s="9"/>
    </row>
    <row r="12831" ht="33.75" customHeight="1">
      <c r="A12831" s="7">
        <v>622.0</v>
      </c>
      <c r="B12831" s="9" t="s">
        <v>17740</v>
      </c>
      <c r="C12831" s="9" t="s">
        <v>17741</v>
      </c>
      <c r="D12831" s="9" t="s">
        <v>107</v>
      </c>
      <c r="E12831" s="6" t="s">
        <v>17742</v>
      </c>
      <c r="F12831" s="9"/>
    </row>
    <row r="12832" ht="33.75" customHeight="1">
      <c r="A12832" s="7">
        <v>622.0</v>
      </c>
      <c r="B12832" s="9" t="s">
        <v>17740</v>
      </c>
      <c r="C12832" s="9" t="s">
        <v>17741</v>
      </c>
      <c r="D12832" s="9" t="s">
        <v>109</v>
      </c>
      <c r="E12832" s="6" t="s">
        <v>17745</v>
      </c>
      <c r="F12832" s="9"/>
    </row>
    <row r="12833" ht="33.75" customHeight="1">
      <c r="A12833" s="7">
        <v>622.0</v>
      </c>
      <c r="B12833" s="9" t="s">
        <v>17740</v>
      </c>
      <c r="C12833" s="9" t="s">
        <v>17741</v>
      </c>
      <c r="D12833" s="9" t="s">
        <v>647</v>
      </c>
      <c r="E12833" s="6" t="s">
        <v>17746</v>
      </c>
      <c r="F12833" s="9"/>
    </row>
    <row r="12834" ht="33.75" customHeight="1">
      <c r="A12834" s="7">
        <v>622.0</v>
      </c>
      <c r="B12834" s="9" t="s">
        <v>17740</v>
      </c>
      <c r="C12834" s="9" t="s">
        <v>17741</v>
      </c>
      <c r="D12834" s="9" t="s">
        <v>652</v>
      </c>
      <c r="E12834" s="6" t="s">
        <v>17747</v>
      </c>
      <c r="F12834" s="9"/>
    </row>
    <row r="12835" ht="33.75" customHeight="1">
      <c r="A12835" s="7">
        <v>622.0</v>
      </c>
      <c r="B12835" s="9" t="s">
        <v>17740</v>
      </c>
      <c r="C12835" s="9" t="s">
        <v>17741</v>
      </c>
      <c r="D12835" s="9" t="s">
        <v>114</v>
      </c>
      <c r="E12835" s="6" t="s">
        <v>17748</v>
      </c>
      <c r="F12835" s="9"/>
    </row>
    <row r="12836" ht="33.75" customHeight="1">
      <c r="A12836" s="7">
        <v>622.0</v>
      </c>
      <c r="B12836" s="9" t="s">
        <v>17740</v>
      </c>
      <c r="C12836" s="9" t="s">
        <v>17741</v>
      </c>
      <c r="D12836" s="9" t="s">
        <v>117</v>
      </c>
      <c r="E12836" s="6" t="s">
        <v>17750</v>
      </c>
      <c r="F12836" s="9"/>
    </row>
    <row r="12837" ht="33.75" customHeight="1">
      <c r="A12837" s="7">
        <v>623.0</v>
      </c>
      <c r="B12837" s="9" t="s">
        <v>17751</v>
      </c>
      <c r="C12837" s="9" t="s">
        <v>17741</v>
      </c>
      <c r="D12837" s="9" t="s">
        <v>93</v>
      </c>
      <c r="E12837" s="6" t="s">
        <v>17752</v>
      </c>
      <c r="F12837" t="inlineStr" s="10">
        <is>
          <t xml:space="preserve">Golurk lentää taivaalla Machin nopeudella. Rintakehän sinetin poistaminen saa sen sisäisen energian hallitsemattomaksi. Kerrotaan, että muinaiset ihmiset, jotka loivat Golurkit, määräsivät ne suojelemaan ihmisiä ja Pokémoneja. Golurk-hahmot luotiin suojelemaan ihmisiä ja Pokémoneja. Ne toimivat salaperäisellä energialla. Jotkut sanovat, että muinaiset ihmiset keksivät golurkin työmieheksi. Se noudattaa isäntänsä käskyjä uskollisesti. Kun sen rinnassa oleva sinetti poistetaan, se raivoaa umpimähkään ja muuttaa koko ympäröivän kaupungin rauniovuoreksi. Muinaisten linnojen seiniin rakennetut tykistötasot toimivat orrina, joilta Golurk pystyi ampumaan energiasäteitä. On olemassa teoria, jonka mukaan Golurkin sisällä on ikiliikkuja, jotka tuottavat rajattomasti energiaa, mutta tätä uskomusta ei ole todistettu.</t>
        </is>
      </c>
    </row>
    <row r="12838" ht="33.75" customHeight="1">
      <c r="A12838" s="7">
        <v>623.0</v>
      </c>
      <c r="B12838" s="9" t="s">
        <v>17751</v>
      </c>
      <c r="C12838" s="9" t="s">
        <v>17741</v>
      </c>
      <c r="D12838" s="9" t="s">
        <v>95</v>
      </c>
      <c r="E12838" s="6" t="s">
        <v>17753</v>
      </c>
      <c r="F12838" s="9"/>
    </row>
    <row r="12839" ht="33.75" customHeight="1">
      <c r="A12839" s="7">
        <v>623.0</v>
      </c>
      <c r="B12839" s="9" t="s">
        <v>17751</v>
      </c>
      <c r="C12839" s="9" t="s">
        <v>17741</v>
      </c>
      <c r="D12839" s="9" t="s">
        <v>98</v>
      </c>
      <c r="E12839" s="6" t="s">
        <v>17754</v>
      </c>
      <c r="F12839" s="9"/>
    </row>
    <row r="12840" ht="33.75" customHeight="1">
      <c r="A12840" s="7">
        <v>623.0</v>
      </c>
      <c r="B12840" s="9" t="s">
        <v>17751</v>
      </c>
      <c r="C12840" s="9" t="s">
        <v>17741</v>
      </c>
      <c r="D12840" s="9" t="s">
        <v>99</v>
      </c>
      <c r="E12840" s="6" t="s">
        <v>17754</v>
      </c>
      <c r="F12840" s="9"/>
    </row>
    <row r="12841" ht="33.75" customHeight="1">
      <c r="A12841" s="7">
        <v>623.0</v>
      </c>
      <c r="B12841" s="9" t="s">
        <v>17751</v>
      </c>
      <c r="C12841" s="9" t="s">
        <v>17741</v>
      </c>
      <c r="D12841" s="9" t="s">
        <v>101</v>
      </c>
      <c r="E12841" s="6" t="s">
        <v>17753</v>
      </c>
      <c r="F12841" s="9"/>
    </row>
    <row r="12842" ht="33.75" customHeight="1">
      <c r="A12842" s="7">
        <v>623.0</v>
      </c>
      <c r="B12842" s="9" t="s">
        <v>17751</v>
      </c>
      <c r="C12842" s="9" t="s">
        <v>17741</v>
      </c>
      <c r="D12842" s="9" t="s">
        <v>105</v>
      </c>
      <c r="E12842" s="6" t="s">
        <v>17752</v>
      </c>
      <c r="F12842" s="9"/>
    </row>
    <row r="12843" ht="33.75" customHeight="1">
      <c r="A12843" s="7">
        <v>623.0</v>
      </c>
      <c r="B12843" s="9" t="s">
        <v>17751</v>
      </c>
      <c r="C12843" s="9" t="s">
        <v>17741</v>
      </c>
      <c r="D12843" s="9" t="s">
        <v>107</v>
      </c>
      <c r="E12843" s="6" t="s">
        <v>17753</v>
      </c>
      <c r="F12843" s="9"/>
    </row>
    <row r="12844" ht="33.75" customHeight="1">
      <c r="A12844" s="7">
        <v>623.0</v>
      </c>
      <c r="B12844" s="9" t="s">
        <v>17751</v>
      </c>
      <c r="C12844" s="9" t="s">
        <v>17741</v>
      </c>
      <c r="D12844" s="9" t="s">
        <v>109</v>
      </c>
      <c r="E12844" s="6" t="s">
        <v>17752</v>
      </c>
      <c r="F12844" s="9"/>
    </row>
    <row r="12845" ht="33.75" customHeight="1">
      <c r="A12845" s="7">
        <v>623.0</v>
      </c>
      <c r="B12845" s="9" t="s">
        <v>17751</v>
      </c>
      <c r="C12845" s="9" t="s">
        <v>17741</v>
      </c>
      <c r="D12845" s="9" t="s">
        <v>647</v>
      </c>
      <c r="E12845" s="6" t="s">
        <v>17755</v>
      </c>
      <c r="F12845" s="9"/>
    </row>
    <row r="12846" ht="33.75" customHeight="1">
      <c r="A12846" s="7">
        <v>623.0</v>
      </c>
      <c r="B12846" s="9" t="s">
        <v>17751</v>
      </c>
      <c r="C12846" s="9" t="s">
        <v>17741</v>
      </c>
      <c r="D12846" s="9" t="s">
        <v>652</v>
      </c>
      <c r="E12846" s="6" t="s">
        <v>17756</v>
      </c>
      <c r="F12846" s="9"/>
    </row>
    <row r="12847" ht="33.75" customHeight="1">
      <c r="A12847" s="7">
        <v>623.0</v>
      </c>
      <c r="B12847" s="9" t="s">
        <v>17751</v>
      </c>
      <c r="C12847" s="9" t="s">
        <v>17741</v>
      </c>
      <c r="D12847" s="9" t="s">
        <v>114</v>
      </c>
      <c r="E12847" s="6" t="s">
        <v>17758</v>
      </c>
      <c r="F12847" s="9"/>
    </row>
    <row r="12848" ht="33.75" customHeight="1">
      <c r="A12848" s="7">
        <v>623.0</v>
      </c>
      <c r="B12848" s="9" t="s">
        <v>17751</v>
      </c>
      <c r="C12848" s="9" t="s">
        <v>17741</v>
      </c>
      <c r="D12848" s="9" t="s">
        <v>117</v>
      </c>
      <c r="E12848" s="6" t="s">
        <v>17759</v>
      </c>
      <c r="F12848" s="9"/>
    </row>
    <row r="12849" ht="33.75" customHeight="1">
      <c r="A12849" s="7">
        <v>624.0</v>
      </c>
      <c r="B12849" s="9" t="s">
        <v>17760</v>
      </c>
      <c r="C12849" s="9" t="s">
        <v>17761</v>
      </c>
      <c r="D12849" s="9" t="s">
        <v>93</v>
      </c>
      <c r="E12849" s="6" t="s">
        <v>17762</v>
      </c>
      <c r="F12849" t="inlineStr" s="10">
        <is>
          <t xml:space="preserve">Terät muodostavat koko tämän Pokémonin kehon. Jos taistelu tylsyttää terät, se teroittaa ne joen varrella olevilla kivillä. Ne taistelevat Bisharpin käskystä. Ne takertuvat saaliiseensa ja aiheuttavat vahinkoa upottamalla siihen teränsä. Ryhmät eivät välitä vammoistaan ​​ja hyökkäävät upottamalla ruumiitaan peittävät terät saaliiseensa. Silpottuaan saaliinsa se teroittaa teränsä joen varrella olevalla kivellä. Jokaisella panttilainaajalla on oma suosikkiteroituskivi. Se noudattaa Bisharpin käskyjä tarkasti hyökätessään vihollisten kimppuun. Viilrettyään vastustajan Pawniard kilahtaa molemmilla terällään yhteen. Se käyttää jokikiviä ylläpitääkseen vartaloaan peittävien terien teräviä teriä. Näiden teroitettujen terien avulla se voi kaataa vastustajia. Näiden Pokémonien paketti muodostuu palvelemaan Bisharp-pomoa. Jokainen panssaripiiri harjoittelee ahkerasti ja haaveilee jonain päivänä johtoaseman ottamisesta.</t>
        </is>
      </c>
    </row>
    <row r="12850" ht="33.75" customHeight="1">
      <c r="A12850" s="7">
        <v>624.0</v>
      </c>
      <c r="B12850" s="9" t="s">
        <v>17760</v>
      </c>
      <c r="C12850" s="9" t="s">
        <v>17761</v>
      </c>
      <c r="D12850" s="9" t="s">
        <v>95</v>
      </c>
      <c r="E12850" s="6" t="s">
        <v>17763</v>
      </c>
      <c r="F12850" s="9"/>
    </row>
    <row r="12851" ht="33.75" customHeight="1">
      <c r="A12851" s="7">
        <v>624.0</v>
      </c>
      <c r="B12851" s="9" t="s">
        <v>17760</v>
      </c>
      <c r="C12851" s="9" t="s">
        <v>17761</v>
      </c>
      <c r="D12851" s="9" t="s">
        <v>98</v>
      </c>
      <c r="E12851" s="6" t="s">
        <v>17764</v>
      </c>
      <c r="F12851" s="9"/>
    </row>
    <row r="12852" ht="33.75" customHeight="1">
      <c r="A12852" s="7">
        <v>624.0</v>
      </c>
      <c r="B12852" s="9" t="s">
        <v>17760</v>
      </c>
      <c r="C12852" s="9" t="s">
        <v>17761</v>
      </c>
      <c r="D12852" s="9" t="s">
        <v>99</v>
      </c>
      <c r="E12852" s="6" t="s">
        <v>17764</v>
      </c>
      <c r="F12852" s="9"/>
    </row>
    <row r="12853" ht="33.75" customHeight="1">
      <c r="A12853" s="7">
        <v>624.0</v>
      </c>
      <c r="B12853" s="9" t="s">
        <v>17760</v>
      </c>
      <c r="C12853" s="9" t="s">
        <v>17761</v>
      </c>
      <c r="D12853" s="9" t="s">
        <v>101</v>
      </c>
      <c r="E12853" s="6" t="s">
        <v>17762</v>
      </c>
      <c r="F12853" s="9"/>
    </row>
    <row r="12854" ht="33.75" customHeight="1">
      <c r="A12854" s="7">
        <v>624.0</v>
      </c>
      <c r="B12854" s="9" t="s">
        <v>17760</v>
      </c>
      <c r="C12854" s="9" t="s">
        <v>17761</v>
      </c>
      <c r="D12854" s="9" t="s">
        <v>105</v>
      </c>
      <c r="E12854" s="6" t="s">
        <v>17764</v>
      </c>
      <c r="F12854" s="9"/>
    </row>
    <row r="12855" ht="33.75" customHeight="1">
      <c r="A12855" s="7">
        <v>624.0</v>
      </c>
      <c r="B12855" s="9" t="s">
        <v>17760</v>
      </c>
      <c r="C12855" s="9" t="s">
        <v>17761</v>
      </c>
      <c r="D12855" s="9" t="s">
        <v>107</v>
      </c>
      <c r="E12855" s="6" t="s">
        <v>17762</v>
      </c>
      <c r="F12855" s="9"/>
    </row>
    <row r="12856" ht="33.75" customHeight="1">
      <c r="A12856" s="7">
        <v>624.0</v>
      </c>
      <c r="B12856" s="9" t="s">
        <v>17760</v>
      </c>
      <c r="C12856" s="9" t="s">
        <v>17761</v>
      </c>
      <c r="D12856" s="9" t="s">
        <v>109</v>
      </c>
      <c r="E12856" s="6" t="s">
        <v>17764</v>
      </c>
      <c r="F12856" s="9"/>
    </row>
    <row r="12857" ht="33.75" customHeight="1">
      <c r="A12857" s="7">
        <v>624.0</v>
      </c>
      <c r="B12857" s="9" t="s">
        <v>17760</v>
      </c>
      <c r="C12857" s="9" t="s">
        <v>17761</v>
      </c>
      <c r="D12857" s="9" t="s">
        <v>647</v>
      </c>
      <c r="E12857" s="6" t="s">
        <v>17765</v>
      </c>
      <c r="F12857" s="9"/>
    </row>
    <row r="12858" ht="33.75" customHeight="1">
      <c r="A12858" s="7">
        <v>624.0</v>
      </c>
      <c r="B12858" s="9" t="s">
        <v>17760</v>
      </c>
      <c r="C12858" s="9" t="s">
        <v>17761</v>
      </c>
      <c r="D12858" s="9" t="s">
        <v>652</v>
      </c>
      <c r="E12858" s="6" t="s">
        <v>17766</v>
      </c>
      <c r="F12858" s="9"/>
    </row>
    <row r="12859" ht="33.75" customHeight="1">
      <c r="A12859" s="7">
        <v>624.0</v>
      </c>
      <c r="B12859" s="9" t="s">
        <v>17760</v>
      </c>
      <c r="C12859" s="9" t="s">
        <v>17761</v>
      </c>
      <c r="D12859" s="9" t="s">
        <v>114</v>
      </c>
      <c r="E12859" s="6" t="s">
        <v>17767</v>
      </c>
      <c r="F12859" s="9"/>
    </row>
    <row r="12860" ht="33.75" customHeight="1">
      <c r="A12860" s="7">
        <v>624.0</v>
      </c>
      <c r="B12860" s="9" t="s">
        <v>17760</v>
      </c>
      <c r="C12860" s="9" t="s">
        <v>17761</v>
      </c>
      <c r="D12860" s="9" t="s">
        <v>117</v>
      </c>
      <c r="E12860" s="6" t="s">
        <v>17768</v>
      </c>
      <c r="F12860" s="9"/>
    </row>
    <row r="12861" ht="33.75" customHeight="1">
      <c r="A12861" s="7">
        <v>625.0</v>
      </c>
      <c r="B12861" s="9" t="s">
        <v>17769</v>
      </c>
      <c r="C12861" s="9" t="s">
        <v>17770</v>
      </c>
      <c r="D12861" s="9" t="s">
        <v>93</v>
      </c>
      <c r="E12861" s="6" t="s">
        <v>17771</v>
      </c>
      <c r="F12861" t="inlineStr" s="10">
        <is>
          <t xml:space="preserve">Bisharp johtaa panttilainaajien ryhmää. Se taistelee pomon tittelistä, mutta jos se häviää, se ajetaan pois ryhmästä. Bisharp jahtaa saalista suuren panttilaumajoukon seurassa. Sitten Bisharp viimeistelee saaliin. Tämä armoton Pokémon käskee Pawniard-ryhmän ajamaan saaliinsa liikkumattomaksi. Sitten se siirtyy lähemmäksi ja viimeistelee saaliin. Olipa Bisharp kuinka vahva tahansa, sanotaan, että jos sen päässä oleva terä lohkeaa, se vetäytyy pomon asemastaan. Bisharp ei edes muuta ilmettään antaessaan vastustajalle viimeisen iskun. Sitä seuraa suuri Pawniard-joukko. Bisharp pitää tarkasti silmällä sen kätyreitä varmistaakseen, ettei kukaan heistä edes ajattele pettävänsä sitä. Bisharpin ja Fraxuren välille puhkeaa väkivaltaisia ​​konflikteja teroituskivien löytymispaikoista.</t>
        </is>
      </c>
    </row>
    <row r="12862" ht="33.75" customHeight="1">
      <c r="A12862" s="7">
        <v>625.0</v>
      </c>
      <c r="B12862" s="9" t="s">
        <v>17769</v>
      </c>
      <c r="C12862" s="9" t="s">
        <v>17770</v>
      </c>
      <c r="D12862" s="9" t="s">
        <v>95</v>
      </c>
      <c r="E12862" s="6" t="s">
        <v>17772</v>
      </c>
      <c r="F12862" s="9"/>
    </row>
    <row r="12863" ht="33.75" customHeight="1">
      <c r="A12863" s="7">
        <v>625.0</v>
      </c>
      <c r="B12863" s="9" t="s">
        <v>17769</v>
      </c>
      <c r="C12863" s="9" t="s">
        <v>17770</v>
      </c>
      <c r="D12863" s="9" t="s">
        <v>98</v>
      </c>
      <c r="E12863" s="6" t="s">
        <v>17773</v>
      </c>
      <c r="F12863" s="9"/>
    </row>
    <row r="12864" ht="33.75" customHeight="1">
      <c r="A12864" s="7">
        <v>625.0</v>
      </c>
      <c r="B12864" s="9" t="s">
        <v>17769</v>
      </c>
      <c r="C12864" s="9" t="s">
        <v>17770</v>
      </c>
      <c r="D12864" s="9" t="s">
        <v>99</v>
      </c>
      <c r="E12864" s="6" t="s">
        <v>17773</v>
      </c>
      <c r="F12864" s="9"/>
    </row>
    <row r="12865" ht="33.75" customHeight="1">
      <c r="A12865" s="7">
        <v>625.0</v>
      </c>
      <c r="B12865" s="9" t="s">
        <v>17769</v>
      </c>
      <c r="C12865" s="9" t="s">
        <v>17770</v>
      </c>
      <c r="D12865" s="9" t="s">
        <v>101</v>
      </c>
      <c r="E12865" s="6" t="s">
        <v>17773</v>
      </c>
      <c r="F12865" s="9"/>
    </row>
    <row r="12866" ht="33.75" customHeight="1">
      <c r="A12866" s="7">
        <v>625.0</v>
      </c>
      <c r="B12866" s="9" t="s">
        <v>17769</v>
      </c>
      <c r="C12866" s="9" t="s">
        <v>17770</v>
      </c>
      <c r="D12866" s="9" t="s">
        <v>105</v>
      </c>
      <c r="E12866" s="6" t="s">
        <v>17772</v>
      </c>
      <c r="F12866" s="9"/>
    </row>
    <row r="12867" ht="33.75" customHeight="1">
      <c r="A12867" s="7">
        <v>625.0</v>
      </c>
      <c r="B12867" s="9" t="s">
        <v>17769</v>
      </c>
      <c r="C12867" s="9" t="s">
        <v>17770</v>
      </c>
      <c r="D12867" s="9" t="s">
        <v>107</v>
      </c>
      <c r="E12867" s="6" t="s">
        <v>17773</v>
      </c>
      <c r="F12867" s="9"/>
    </row>
    <row r="12868" ht="33.75" customHeight="1">
      <c r="A12868" s="7">
        <v>625.0</v>
      </c>
      <c r="B12868" s="9" t="s">
        <v>17769</v>
      </c>
      <c r="C12868" s="9" t="s">
        <v>17770</v>
      </c>
      <c r="D12868" s="9" t="s">
        <v>109</v>
      </c>
      <c r="E12868" s="6" t="s">
        <v>17772</v>
      </c>
      <c r="F12868" s="9"/>
    </row>
    <row r="12869" ht="33.75" customHeight="1">
      <c r="A12869" s="7">
        <v>625.0</v>
      </c>
      <c r="B12869" s="9" t="s">
        <v>17769</v>
      </c>
      <c r="C12869" s="9" t="s">
        <v>17770</v>
      </c>
      <c r="D12869" s="9" t="s">
        <v>647</v>
      </c>
      <c r="E12869" s="6" t="s">
        <v>17775</v>
      </c>
      <c r="F12869" s="9"/>
    </row>
    <row r="12870" ht="33.75" customHeight="1">
      <c r="A12870" s="7">
        <v>625.0</v>
      </c>
      <c r="B12870" s="9" t="s">
        <v>17769</v>
      </c>
      <c r="C12870" s="9" t="s">
        <v>17770</v>
      </c>
      <c r="D12870" s="9" t="s">
        <v>652</v>
      </c>
      <c r="E12870" s="6" t="s">
        <v>17776</v>
      </c>
      <c r="F12870" s="9"/>
    </row>
    <row r="12871" ht="33.75" customHeight="1">
      <c r="A12871" s="7">
        <v>625.0</v>
      </c>
      <c r="B12871" s="9" t="s">
        <v>17769</v>
      </c>
      <c r="C12871" s="9" t="s">
        <v>17770</v>
      </c>
      <c r="D12871" s="9" t="s">
        <v>114</v>
      </c>
      <c r="E12871" s="6" t="s">
        <v>17777</v>
      </c>
      <c r="F12871" s="9"/>
    </row>
    <row r="12872" ht="33.75" customHeight="1">
      <c r="A12872" s="7">
        <v>625.0</v>
      </c>
      <c r="B12872" s="9" t="s">
        <v>17769</v>
      </c>
      <c r="C12872" s="9" t="s">
        <v>17770</v>
      </c>
      <c r="D12872" s="9" t="s">
        <v>117</v>
      </c>
      <c r="E12872" s="6" t="s">
        <v>17778</v>
      </c>
      <c r="F12872" s="9"/>
    </row>
    <row r="12873" ht="33.75" customHeight="1">
      <c r="A12873" s="7">
        <v>626.0</v>
      </c>
      <c r="B12873" s="9" t="s">
        <v>17779</v>
      </c>
      <c r="C12873" s="9" t="s">
        <v>17780</v>
      </c>
      <c r="D12873" s="9" t="s">
        <v>93</v>
      </c>
      <c r="E12873" s="6" t="s">
        <v>17781</v>
      </c>
      <c r="F12873" t="inlineStr" s="10">
        <is>
          <t xml:space="preserve">Niiden pörröinen turkki imee itseensä vahinkoa, vaikka ne iskeisivät vihollisiin raivokkaalla pääniskulla. Ne rynnistävät villisti ja iskevät päällään kaikkea. Niiden pääniskuilla on tarpeeksi tuhovoimaa suistaa juna raiteilta. Niiden tiedetään rynnäköivän niin villisti, että jos juna tulisi heidän alueelleen, ne lennättäisivät sen lentoon. Nämä Pokémonit voivat murskata auton pelkällä pääniskulla. Bouffalanteilla, joilla on enemmän hiuksia päässä, on korkeammat asemat laumassa. Nämä Pokémonit elävät noin 20 yksilön laumoissa. Lauman pettävät bouffalantit menettävät jostain syystä hiuksensa.</t>
        </is>
      </c>
    </row>
    <row r="12874" ht="33.75" customHeight="1">
      <c r="A12874" s="7">
        <v>626.0</v>
      </c>
      <c r="B12874" s="9" t="s">
        <v>17779</v>
      </c>
      <c r="C12874" s="9" t="s">
        <v>17780</v>
      </c>
      <c r="D12874" s="9" t="s">
        <v>95</v>
      </c>
      <c r="E12874" s="6" t="s">
        <v>17782</v>
      </c>
      <c r="F12874" s="9"/>
    </row>
    <row r="12875" ht="33.75" customHeight="1">
      <c r="A12875" s="7">
        <v>626.0</v>
      </c>
      <c r="B12875" s="9" t="s">
        <v>17779</v>
      </c>
      <c r="C12875" s="9" t="s">
        <v>17780</v>
      </c>
      <c r="D12875" s="9" t="s">
        <v>98</v>
      </c>
      <c r="E12875" s="6" t="s">
        <v>17783</v>
      </c>
      <c r="F12875" s="9"/>
    </row>
    <row r="12876" ht="33.75" customHeight="1">
      <c r="A12876" s="7">
        <v>626.0</v>
      </c>
      <c r="B12876" s="9" t="s">
        <v>17779</v>
      </c>
      <c r="C12876" s="9" t="s">
        <v>17780</v>
      </c>
      <c r="D12876" s="9" t="s">
        <v>99</v>
      </c>
      <c r="E12876" s="6" t="s">
        <v>17783</v>
      </c>
      <c r="F12876" s="9"/>
    </row>
    <row r="12877" ht="33.75" customHeight="1">
      <c r="A12877" s="7">
        <v>626.0</v>
      </c>
      <c r="B12877" s="9" t="s">
        <v>17779</v>
      </c>
      <c r="C12877" s="9" t="s">
        <v>17780</v>
      </c>
      <c r="D12877" s="9" t="s">
        <v>101</v>
      </c>
      <c r="E12877" s="6" t="s">
        <v>17782</v>
      </c>
      <c r="F12877" s="9"/>
    </row>
    <row r="12878" ht="33.75" customHeight="1">
      <c r="A12878" s="7">
        <v>626.0</v>
      </c>
      <c r="B12878" s="9" t="s">
        <v>17779</v>
      </c>
      <c r="C12878" s="9" t="s">
        <v>17780</v>
      </c>
      <c r="D12878" s="9" t="s">
        <v>105</v>
      </c>
      <c r="E12878" s="6" t="s">
        <v>17781</v>
      </c>
      <c r="F12878" s="9"/>
    </row>
    <row r="12879" ht="33.75" customHeight="1">
      <c r="A12879" s="7">
        <v>626.0</v>
      </c>
      <c r="B12879" s="9" t="s">
        <v>17779</v>
      </c>
      <c r="C12879" s="9" t="s">
        <v>17780</v>
      </c>
      <c r="D12879" s="9" t="s">
        <v>107</v>
      </c>
      <c r="E12879" s="6" t="s">
        <v>17782</v>
      </c>
      <c r="F12879" s="9"/>
    </row>
    <row r="12880" ht="33.75" customHeight="1">
      <c r="A12880" s="7">
        <v>626.0</v>
      </c>
      <c r="B12880" s="9" t="s">
        <v>17779</v>
      </c>
      <c r="C12880" s="9" t="s">
        <v>17780</v>
      </c>
      <c r="D12880" s="9" t="s">
        <v>109</v>
      </c>
      <c r="E12880" s="6" t="s">
        <v>17781</v>
      </c>
      <c r="F12880" s="9"/>
    </row>
    <row r="12881" ht="33.75" customHeight="1">
      <c r="A12881" s="7">
        <v>626.0</v>
      </c>
      <c r="B12881" s="9" t="s">
        <v>17779</v>
      </c>
      <c r="C12881" s="9" t="s">
        <v>17780</v>
      </c>
      <c r="D12881" s="9" t="s">
        <v>114</v>
      </c>
      <c r="E12881" s="6" t="s">
        <v>17785</v>
      </c>
      <c r="F12881" s="9"/>
    </row>
    <row r="12882" ht="33.75" customHeight="1">
      <c r="A12882" s="7">
        <v>626.0</v>
      </c>
      <c r="B12882" s="9" t="s">
        <v>17779</v>
      </c>
      <c r="C12882" s="9" t="s">
        <v>17780</v>
      </c>
      <c r="D12882" s="9" t="s">
        <v>117</v>
      </c>
      <c r="E12882" s="6" t="s">
        <v>17786</v>
      </c>
      <c r="F12882" s="9"/>
    </row>
    <row r="12883" ht="33.75" customHeight="1">
      <c r="A12883" s="7">
        <v>627.0</v>
      </c>
      <c r="B12883" s="9" t="s">
        <v>17787</v>
      </c>
      <c r="C12883" s="9" t="s">
        <v>17788</v>
      </c>
      <c r="D12883" s="9" t="s">
        <v>93</v>
      </c>
      <c r="E12883" s="6" t="s">
        <v>17789</v>
      </c>
      <c r="F12883" t="inlineStr" s="10">
        <is>
          <t xml:space="preserve">Ne murskaavat marjoja kynsillään. Ne kestävät rohkeasti vastustajan voimasta riippumatta. He haastavat mitä tahansa, jopa vahvoja vastustajia, pelottomasti. Heidän tiheät taistelunsa auttavat heitä vahvistumaan. Se kestää massiivisia vastustajia, ei rohkeudesta, vaan holtittomuudesta. Mutta juuri niin se vahvistuu. He aloittavat tappelut umpimähkään. Heistä tulee vahvempia ja voimakkaampia joka kerta, kun he pyörtyvät tai loukkaantuvat. Terävillä kynsillään tämä Pokémon lävistää saaliinsa ja nokkii sitä. Vaikka se syö myös marjoja, se on sydämeltään lihansyöjä. Voimakkaiden jalkojensa ja tukevien kynsiensä ansiosta se voi rikkoa jopa Shellderin kovat kuoret ja nyppää niiden sisukset irti. Luonnostaan ​​soturina tunnettu hirviö haastaa vanhempansa taisteluun pian kuoriutumisensa jälkeen saadakseen heidän hyväksyntänsä. Jos se havaittaa vahvan Pokémonin, Rufflet ei voi vastustaa kiusausta haastaa sitä taisteluun. Mutta jos Rufflet häviää, se alkaa itkeä. Taistelunhaluinen Pokémon on valmis tappelemaan ketä tahansa vastaan. Sen kynnet voivat murskata kovia marjoja. Sen tipumainen ulkonäkö peittää sen tulisuuden. Se haastaa vanhempansa joka tilaisuudessa, epätoivoisesti todistaakseen voimansa.</t>
        </is>
      </c>
    </row>
    <row r="12884" ht="33.75" customHeight="1">
      <c r="A12884" s="7">
        <v>627.0</v>
      </c>
      <c r="B12884" s="9" t="s">
        <v>17787</v>
      </c>
      <c r="C12884" s="9" t="s">
        <v>17788</v>
      </c>
      <c r="D12884" s="9" t="s">
        <v>95</v>
      </c>
      <c r="E12884" s="6" t="s">
        <v>17790</v>
      </c>
      <c r="F12884" s="9"/>
    </row>
    <row r="12885" ht="33.75" customHeight="1">
      <c r="A12885" s="7">
        <v>627.0</v>
      </c>
      <c r="B12885" s="9" t="s">
        <v>17787</v>
      </c>
      <c r="C12885" s="9" t="s">
        <v>17788</v>
      </c>
      <c r="D12885" s="9" t="s">
        <v>98</v>
      </c>
      <c r="E12885" s="6" t="s">
        <v>17791</v>
      </c>
      <c r="F12885" s="9"/>
    </row>
    <row r="12886" ht="33.75" customHeight="1">
      <c r="A12886" s="7">
        <v>627.0</v>
      </c>
      <c r="B12886" s="9" t="s">
        <v>17787</v>
      </c>
      <c r="C12886" s="9" t="s">
        <v>17788</v>
      </c>
      <c r="D12886" s="9" t="s">
        <v>99</v>
      </c>
      <c r="E12886" s="6" t="s">
        <v>17791</v>
      </c>
      <c r="F12886" s="9"/>
    </row>
    <row r="12887" ht="33.75" customHeight="1">
      <c r="A12887" s="7">
        <v>627.0</v>
      </c>
      <c r="B12887" s="9" t="s">
        <v>17787</v>
      </c>
      <c r="C12887" s="9" t="s">
        <v>17788</v>
      </c>
      <c r="D12887" s="9" t="s">
        <v>101</v>
      </c>
      <c r="E12887" s="6" t="s">
        <v>17789</v>
      </c>
      <c r="F12887" s="9"/>
    </row>
    <row r="12888" ht="33.75" customHeight="1">
      <c r="A12888" s="7">
        <v>627.0</v>
      </c>
      <c r="B12888" s="9" t="s">
        <v>17787</v>
      </c>
      <c r="C12888" s="9" t="s">
        <v>17788</v>
      </c>
      <c r="D12888" s="9" t="s">
        <v>105</v>
      </c>
      <c r="E12888" s="6" t="s">
        <v>17790</v>
      </c>
      <c r="F12888" s="9"/>
    </row>
    <row r="12889" ht="33.75" customHeight="1">
      <c r="A12889" s="7">
        <v>627.0</v>
      </c>
      <c r="B12889" s="9" t="s">
        <v>17787</v>
      </c>
      <c r="C12889" s="9" t="s">
        <v>17788</v>
      </c>
      <c r="D12889" s="9" t="s">
        <v>107</v>
      </c>
      <c r="E12889" s="6" t="s">
        <v>17789</v>
      </c>
      <c r="F12889" s="9"/>
    </row>
    <row r="12890" ht="33.75" customHeight="1">
      <c r="A12890" s="7">
        <v>627.0</v>
      </c>
      <c r="B12890" s="9" t="s">
        <v>17787</v>
      </c>
      <c r="C12890" s="9" t="s">
        <v>17788</v>
      </c>
      <c r="D12890" s="9" t="s">
        <v>109</v>
      </c>
      <c r="E12890" s="6" t="s">
        <v>17790</v>
      </c>
      <c r="F12890" s="9"/>
    </row>
    <row r="12891" ht="33.75" customHeight="1">
      <c r="A12891" s="7">
        <v>627.0</v>
      </c>
      <c r="B12891" s="9" t="s">
        <v>17787</v>
      </c>
      <c r="C12891" s="9" t="s">
        <v>17788</v>
      </c>
      <c r="D12891" s="9" t="s">
        <v>637</v>
      </c>
      <c r="E12891" s="6" t="s">
        <v>17793</v>
      </c>
      <c r="F12891" s="9"/>
    </row>
    <row r="12892" ht="33.75" customHeight="1">
      <c r="A12892" s="7">
        <v>627.0</v>
      </c>
      <c r="B12892" s="9" t="s">
        <v>17787</v>
      </c>
      <c r="C12892" s="9" t="s">
        <v>17788</v>
      </c>
      <c r="D12892" s="9" t="s">
        <v>642</v>
      </c>
      <c r="E12892" s="6" t="s">
        <v>17794</v>
      </c>
      <c r="F12892" s="9"/>
    </row>
    <row r="12893" ht="33.75" customHeight="1">
      <c r="A12893" s="7">
        <v>627.0</v>
      </c>
      <c r="B12893" s="9" t="s">
        <v>17787</v>
      </c>
      <c r="C12893" s="9" t="s">
        <v>17788</v>
      </c>
      <c r="D12893" s="9" t="s">
        <v>647</v>
      </c>
      <c r="E12893" s="6" t="s">
        <v>17795</v>
      </c>
      <c r="F12893" s="9"/>
    </row>
    <row r="12894" ht="33.75" customHeight="1">
      <c r="A12894" s="7">
        <v>627.0</v>
      </c>
      <c r="B12894" s="9" t="s">
        <v>17787</v>
      </c>
      <c r="C12894" s="9" t="s">
        <v>17788</v>
      </c>
      <c r="D12894" s="9" t="s">
        <v>652</v>
      </c>
      <c r="E12894" s="6" t="s">
        <v>17797</v>
      </c>
      <c r="F12894" s="9"/>
    </row>
    <row r="12895" ht="33.75" customHeight="1">
      <c r="A12895" s="7">
        <v>627.0</v>
      </c>
      <c r="B12895" s="9" t="s">
        <v>17787</v>
      </c>
      <c r="C12895" s="9" t="s">
        <v>17788</v>
      </c>
      <c r="D12895" s="9" t="s">
        <v>114</v>
      </c>
      <c r="E12895" s="6" t="s">
        <v>17798</v>
      </c>
      <c r="F12895" s="9"/>
    </row>
    <row r="12896" ht="33.75" customHeight="1">
      <c r="A12896" s="7">
        <v>627.0</v>
      </c>
      <c r="B12896" s="9" t="s">
        <v>17787</v>
      </c>
      <c r="C12896" s="9" t="s">
        <v>17788</v>
      </c>
      <c r="D12896" s="9" t="s">
        <v>117</v>
      </c>
      <c r="E12896" s="6" t="s">
        <v>17799</v>
      </c>
      <c r="F12896" s="9"/>
    </row>
    <row r="12897" ht="33.75" customHeight="1">
      <c r="A12897" s="7">
        <v>627.0</v>
      </c>
      <c r="B12897" s="9" t="s">
        <v>17787</v>
      </c>
      <c r="C12897" s="9" t="s">
        <v>17788</v>
      </c>
      <c r="D12897" s="9" t="s">
        <v>1577</v>
      </c>
      <c r="E12897" s="6" t="s">
        <v>17800</v>
      </c>
      <c r="F12897" s="9"/>
    </row>
    <row r="12898" ht="33.75" customHeight="1">
      <c r="A12898" s="7">
        <v>628.0</v>
      </c>
      <c r="B12898" s="9" t="s">
        <v>17801</v>
      </c>
      <c r="C12898" s="9" t="s">
        <v>17802</v>
      </c>
      <c r="D12898" s="9" t="s">
        <v>93</v>
      </c>
      <c r="E12898" s="6" t="s">
        <v>17803</v>
      </c>
      <c r="F12898" t="inlineStr" s="10">
        <is>
          <t xml:space="preserve">He taistelevat ystäviensä puolesta ajattelematta lainkaan omaa vaaraansa. Autoa voi kuljettaa lentäessään. Mitä enemmän arpia heillä on, sitä enemmän kunnioitusta nämä urheat taivaan sotilaat saavat tovereiltaan. Ystäviensä vuoksi tämä urhea taivaan soturi ei lopeta taistelua, vaikka loukkaantuisikin. Rohkean luonteensa ansiosta se ei pelkää mitään – ei edes kuolemaa. Muinaiset alolaiset kunnioittivat sitä ja kutsuivat sitä "taivaan sankariksi". Uskotaan, että ihmiset häiritsivät niiden elinympäristöjä menneisyydessä, joten Braviary yhdisti voimansa taistellakseen vastaan. Mitä enemmän arpia sillä on edessään, sitä sankarillisempana sitä pidetään. Lauma pilkkaa niitä, joilla on paljon arpia selässään. "Taivaan sankarina" tunnettu Pokémon on niin ylpeä ja rohkea, ettei se koskaan peräänny, edes loukkaantuneena. Rohkeudestaan ​​ja ylpeydestään tunnettua majesteettista Pokémonia käytetään usein motiivina erilaisissa symboleissa. Koska tämä Pokémon on tulipäinen ja aggressiivinen, Corviknight on ottanut kulkuvälineen roolin Galarissa. Verenhyytävä taisteluhuuto huutaen tämä valtava ja hurja lintu-Pokémon lähtee metsästämään. Se räjäyttää järviä paineaalloilla ja nappaa sitten mukaansa kaikki veden pinnalle kelluvat saaliit.</t>
        </is>
      </c>
    </row>
    <row r="12899" ht="33.75" customHeight="1">
      <c r="A12899" s="7">
        <v>628.0</v>
      </c>
      <c r="B12899" s="9" t="s">
        <v>17801</v>
      </c>
      <c r="C12899" s="9" t="s">
        <v>17802</v>
      </c>
      <c r="D12899" s="9" t="s">
        <v>95</v>
      </c>
      <c r="E12899" s="6" t="s">
        <v>17804</v>
      </c>
      <c r="F12899" s="9"/>
    </row>
    <row r="12900" ht="33.75" customHeight="1">
      <c r="A12900" s="7">
        <v>628.0</v>
      </c>
      <c r="B12900" s="9" t="s">
        <v>17801</v>
      </c>
      <c r="C12900" s="9" t="s">
        <v>17802</v>
      </c>
      <c r="D12900" s="9" t="s">
        <v>98</v>
      </c>
      <c r="E12900" s="6" t="s">
        <v>17805</v>
      </c>
      <c r="F12900" s="9"/>
    </row>
    <row r="12901" ht="33.75" customHeight="1">
      <c r="A12901" s="7">
        <v>628.0</v>
      </c>
      <c r="B12901" s="9" t="s">
        <v>17801</v>
      </c>
      <c r="C12901" s="9" t="s">
        <v>17802</v>
      </c>
      <c r="D12901" s="9" t="s">
        <v>99</v>
      </c>
      <c r="E12901" s="6" t="s">
        <v>17805</v>
      </c>
      <c r="F12901" s="9"/>
    </row>
    <row r="12902" ht="33.75" customHeight="1">
      <c r="A12902" s="7">
        <v>628.0</v>
      </c>
      <c r="B12902" s="9" t="s">
        <v>17801</v>
      </c>
      <c r="C12902" s="9" t="s">
        <v>17802</v>
      </c>
      <c r="D12902" s="9" t="s">
        <v>101</v>
      </c>
      <c r="E12902" s="6" t="s">
        <v>17805</v>
      </c>
      <c r="F12902" s="9"/>
    </row>
    <row r="12903" ht="33.75" customHeight="1">
      <c r="A12903" s="7">
        <v>628.0</v>
      </c>
      <c r="B12903" s="9" t="s">
        <v>17801</v>
      </c>
      <c r="C12903" s="9" t="s">
        <v>17802</v>
      </c>
      <c r="D12903" s="9" t="s">
        <v>105</v>
      </c>
      <c r="E12903" s="6" t="s">
        <v>17803</v>
      </c>
      <c r="F12903" s="9"/>
    </row>
    <row r="12904" ht="33.75" customHeight="1">
      <c r="A12904" s="7">
        <v>628.0</v>
      </c>
      <c r="B12904" s="9" t="s">
        <v>17801</v>
      </c>
      <c r="C12904" s="9" t="s">
        <v>17802</v>
      </c>
      <c r="D12904" s="9" t="s">
        <v>107</v>
      </c>
      <c r="E12904" s="6" t="s">
        <v>17805</v>
      </c>
      <c r="F12904" s="9"/>
    </row>
    <row r="12905" ht="33.75" customHeight="1">
      <c r="A12905" s="7">
        <v>628.0</v>
      </c>
      <c r="B12905" s="9" t="s">
        <v>17801</v>
      </c>
      <c r="C12905" s="9" t="s">
        <v>17802</v>
      </c>
      <c r="D12905" s="9" t="s">
        <v>109</v>
      </c>
      <c r="E12905" s="6" t="s">
        <v>17803</v>
      </c>
      <c r="F12905" s="9"/>
    </row>
    <row r="12906" ht="33.75" customHeight="1">
      <c r="A12906" s="7">
        <v>628.0</v>
      </c>
      <c r="B12906" s="9" t="s">
        <v>17801</v>
      </c>
      <c r="C12906" s="9" t="s">
        <v>17802</v>
      </c>
      <c r="D12906" s="9" t="s">
        <v>637</v>
      </c>
      <c r="E12906" s="6" t="s">
        <v>17807</v>
      </c>
      <c r="F12906" s="9"/>
    </row>
    <row r="12907" ht="33.75" customHeight="1">
      <c r="A12907" s="7">
        <v>628.0</v>
      </c>
      <c r="B12907" s="9" t="s">
        <v>17801</v>
      </c>
      <c r="C12907" s="9" t="s">
        <v>17802</v>
      </c>
      <c r="D12907" s="9" t="s">
        <v>642</v>
      </c>
      <c r="E12907" s="6" t="s">
        <v>17808</v>
      </c>
      <c r="F12907" s="9"/>
    </row>
    <row r="12908" ht="33.75" customHeight="1">
      <c r="A12908" s="7">
        <v>628.0</v>
      </c>
      <c r="B12908" s="9" t="s">
        <v>17801</v>
      </c>
      <c r="C12908" s="9" t="s">
        <v>17802</v>
      </c>
      <c r="D12908" s="9" t="s">
        <v>647</v>
      </c>
      <c r="E12908" s="6" t="s">
        <v>17809</v>
      </c>
      <c r="F12908" s="9"/>
    </row>
    <row r="12909" ht="33.75" customHeight="1">
      <c r="A12909" s="7">
        <v>628.0</v>
      </c>
      <c r="B12909" s="9" t="s">
        <v>17801</v>
      </c>
      <c r="C12909" s="9" t="s">
        <v>17802</v>
      </c>
      <c r="D12909" s="9" t="s">
        <v>652</v>
      </c>
      <c r="E12909" s="6" t="s">
        <v>17810</v>
      </c>
      <c r="F12909" s="9"/>
    </row>
    <row r="12910" ht="33.75" customHeight="1">
      <c r="A12910" s="7">
        <v>628.0</v>
      </c>
      <c r="B12910" s="9" t="s">
        <v>17801</v>
      </c>
      <c r="C12910" s="9" t="s">
        <v>17802</v>
      </c>
      <c r="D12910" s="9" t="s">
        <v>114</v>
      </c>
      <c r="E12910" s="6" t="s">
        <v>17811</v>
      </c>
      <c r="F12910" s="9"/>
    </row>
    <row r="12911" ht="33.75" customHeight="1">
      <c r="A12911" s="7">
        <v>628.0</v>
      </c>
      <c r="B12911" s="9" t="s">
        <v>17801</v>
      </c>
      <c r="C12911" s="9" t="s">
        <v>17802</v>
      </c>
      <c r="D12911" s="9" t="s">
        <v>117</v>
      </c>
      <c r="E12911" s="6" t="s">
        <v>17812</v>
      </c>
      <c r="F12911" s="9"/>
    </row>
    <row r="12912" ht="33.75" customHeight="1">
      <c r="A12912" s="7">
        <v>628.0</v>
      </c>
      <c r="B12912" s="9" t="s">
        <v>17801</v>
      </c>
      <c r="C12912" s="9" t="s">
        <v>17802</v>
      </c>
      <c r="D12912" s="9" t="s">
        <v>1577</v>
      </c>
      <c r="E12912" s="6" t="s">
        <v>17813</v>
      </c>
      <c r="F12912" s="9"/>
    </row>
    <row r="12913" ht="33.75" customHeight="1">
      <c r="A12913" s="7">
        <v>629.0</v>
      </c>
      <c r="B12913" s="9" t="s">
        <v>17814</v>
      </c>
      <c r="C12913" s="9" t="s">
        <v>17815</v>
      </c>
      <c r="D12913" s="9" t="s">
        <v>93</v>
      </c>
      <c r="E12913" s="6" t="s">
        <v>17816</v>
      </c>
      <c r="F12913" t="inlineStr" s="10">
        <is>
          <t xml:space="preserve">Vullabyn siivet ovat liian pienet lentääkseen. Kun sen kehityksen aika lähestyy, se hylkää luut, joita se käytti. Ne yleensä suojaavat takamuksiaan löytämillään sopivilla luilla. Ne jahtaavat heikkoja Pokémoneja. Niiden siivet ovat liian pienet lentääkseen. Ne suojaavat takaosiaan Mandibuzzin keräämillä luilla. Se suojaa pulleaa takamustaan ​​syömänsä saaliin luilla. Kasvaessaan se korvaa luut. Se ei osaa vielä lentää ja sen täytyy odottaa, kunnes sen siivet ovat kehittyneet enemmän. Koska se on vielä leikkisä iässä, se hyppii ympäriinsä reippaasti. Mandibuzz antaa sille sen kantamat luut. Vullabyn siivet ovat lyhyet, joten se ei osaa vielä lentää, mutta se hyppii ympäriinsä unelmoiden avoimista taivaista. Sen terve ruokahalu johtaa näkyviin kasvupyrähdyksiin. Sen on usein uusittava kuluneita luita koon kasvaessa. Se käyttää luuta suojanaan takapuolellaan. Se usein riitelee muiden lajitovereidensa kanssa erityisen mukavista luista. Vullabyt kasvavat nopeasti. Luut, jotka ovat käyneet liian pieniksi vanhemmille Vullabyille, siirtyvät usein nuoremmille pesässä.</t>
        </is>
      </c>
    </row>
    <row r="12914" ht="33.75" customHeight="1">
      <c r="A12914" s="7">
        <v>629.0</v>
      </c>
      <c r="B12914" s="9" t="s">
        <v>17814</v>
      </c>
      <c r="C12914" s="9" t="s">
        <v>17815</v>
      </c>
      <c r="D12914" s="9" t="s">
        <v>95</v>
      </c>
      <c r="E12914" s="6" t="s">
        <v>17817</v>
      </c>
      <c r="F12914" s="9"/>
    </row>
    <row r="12915" ht="33.75" customHeight="1">
      <c r="A12915" s="7">
        <v>629.0</v>
      </c>
      <c r="B12915" s="9" t="s">
        <v>17814</v>
      </c>
      <c r="C12915" s="9" t="s">
        <v>17815</v>
      </c>
      <c r="D12915" s="9" t="s">
        <v>98</v>
      </c>
      <c r="E12915" s="6" t="s">
        <v>17818</v>
      </c>
      <c r="F12915" s="9"/>
    </row>
    <row r="12916" ht="33.75" customHeight="1">
      <c r="A12916" s="7">
        <v>629.0</v>
      </c>
      <c r="B12916" s="9" t="s">
        <v>17814</v>
      </c>
      <c r="C12916" s="9" t="s">
        <v>17815</v>
      </c>
      <c r="D12916" s="9" t="s">
        <v>99</v>
      </c>
      <c r="E12916" s="6" t="s">
        <v>17818</v>
      </c>
      <c r="F12916" s="9"/>
    </row>
    <row r="12917" ht="33.75" customHeight="1">
      <c r="A12917" s="7">
        <v>629.0</v>
      </c>
      <c r="B12917" s="9" t="s">
        <v>17814</v>
      </c>
      <c r="C12917" s="9" t="s">
        <v>17815</v>
      </c>
      <c r="D12917" s="9" t="s">
        <v>101</v>
      </c>
      <c r="E12917" s="6" t="s">
        <v>17816</v>
      </c>
      <c r="F12917" s="9"/>
    </row>
    <row r="12918" ht="33.75" customHeight="1">
      <c r="A12918" s="7">
        <v>629.0</v>
      </c>
      <c r="B12918" s="9" t="s">
        <v>17814</v>
      </c>
      <c r="C12918" s="9" t="s">
        <v>17815</v>
      </c>
      <c r="D12918" s="9" t="s">
        <v>105</v>
      </c>
      <c r="E12918" s="6" t="s">
        <v>17818</v>
      </c>
      <c r="F12918" s="9"/>
    </row>
    <row r="12919" ht="33.75" customHeight="1">
      <c r="A12919" s="7">
        <v>629.0</v>
      </c>
      <c r="B12919" s="9" t="s">
        <v>17814</v>
      </c>
      <c r="C12919" s="9" t="s">
        <v>17815</v>
      </c>
      <c r="D12919" s="9" t="s">
        <v>107</v>
      </c>
      <c r="E12919" s="6" t="s">
        <v>17816</v>
      </c>
      <c r="F12919" s="9"/>
    </row>
    <row r="12920" ht="33.75" customHeight="1">
      <c r="A12920" s="7">
        <v>629.0</v>
      </c>
      <c r="B12920" s="9" t="s">
        <v>17814</v>
      </c>
      <c r="C12920" s="9" t="s">
        <v>17815</v>
      </c>
      <c r="D12920" s="9" t="s">
        <v>109</v>
      </c>
      <c r="E12920" s="6" t="s">
        <v>17818</v>
      </c>
      <c r="F12920" s="9"/>
    </row>
    <row r="12921" ht="33.75" customHeight="1">
      <c r="A12921" s="7">
        <v>629.0</v>
      </c>
      <c r="B12921" s="9" t="s">
        <v>17814</v>
      </c>
      <c r="C12921" s="9" t="s">
        <v>17815</v>
      </c>
      <c r="D12921" s="9" t="s">
        <v>637</v>
      </c>
      <c r="E12921" s="6" t="s">
        <v>17820</v>
      </c>
      <c r="F12921" s="9"/>
    </row>
    <row r="12922" ht="33.75" customHeight="1">
      <c r="A12922" s="7">
        <v>629.0</v>
      </c>
      <c r="B12922" s="9" t="s">
        <v>17814</v>
      </c>
      <c r="C12922" s="9" t="s">
        <v>17815</v>
      </c>
      <c r="D12922" s="9" t="s">
        <v>642</v>
      </c>
      <c r="E12922" s="6" t="s">
        <v>17821</v>
      </c>
      <c r="F12922" s="9"/>
    </row>
    <row r="12923" ht="33.75" customHeight="1">
      <c r="A12923" s="7">
        <v>629.0</v>
      </c>
      <c r="B12923" s="9" t="s">
        <v>17814</v>
      </c>
      <c r="C12923" s="9" t="s">
        <v>17815</v>
      </c>
      <c r="D12923" s="9" t="s">
        <v>647</v>
      </c>
      <c r="E12923" s="6" t="s">
        <v>17822</v>
      </c>
      <c r="F12923" s="9"/>
    </row>
    <row r="12924" ht="33.75" customHeight="1">
      <c r="A12924" s="7">
        <v>629.0</v>
      </c>
      <c r="B12924" s="9" t="s">
        <v>17814</v>
      </c>
      <c r="C12924" s="9" t="s">
        <v>17815</v>
      </c>
      <c r="D12924" s="9" t="s">
        <v>652</v>
      </c>
      <c r="E12924" s="6" t="s">
        <v>17823</v>
      </c>
      <c r="F12924" s="9"/>
    </row>
    <row r="12925" ht="33.75" customHeight="1">
      <c r="A12925" s="7">
        <v>629.0</v>
      </c>
      <c r="B12925" s="9" t="s">
        <v>17814</v>
      </c>
      <c r="C12925" s="9" t="s">
        <v>17815</v>
      </c>
      <c r="D12925" s="9" t="s">
        <v>114</v>
      </c>
      <c r="E12925" s="6" t="s">
        <v>17824</v>
      </c>
      <c r="F12925" s="9"/>
    </row>
    <row r="12926" ht="33.75" customHeight="1">
      <c r="A12926" s="7">
        <v>629.0</v>
      </c>
      <c r="B12926" s="9" t="s">
        <v>17814</v>
      </c>
      <c r="C12926" s="9" t="s">
        <v>17815</v>
      </c>
      <c r="D12926" s="9" t="s">
        <v>117</v>
      </c>
      <c r="E12926" s="6" t="s">
        <v>17825</v>
      </c>
      <c r="F12926" s="9"/>
    </row>
    <row r="12927" ht="33.75" customHeight="1">
      <c r="A12927" s="7">
        <v>630.0</v>
      </c>
      <c r="B12927" s="9" t="s">
        <v>17826</v>
      </c>
      <c r="C12927" s="9" t="s">
        <v>17827</v>
      </c>
      <c r="D12927" s="9" t="s">
        <v>93</v>
      </c>
      <c r="E12927" s="6" t="s">
        <v>17828</v>
      </c>
      <c r="F12927" t="inlineStr" s="10">
        <is>
          <t xml:space="preserve">Mandibuzz tekee pesän löytämistään luista. Se nappaa heikentyneen saaliin kynsiinsä ja raahaa sen luista tehtyyn pesäänsä. Taivaalta katsellen ne syöksyvät iskemään maassa oleviin heikentyneisiin Pokémoneihin. Ne koristelevat itsensä luilla. Ne lentävät ympyrää taivaalla. Nähtyään saaliin ne hyökkäävät ja kantavat sen vaivattomasti takaisin pesäänsä. Ne koristelevat itsensä kauniisti luilla. Tämän oletetaan olevan yritys houkutella uroksia, mutta yhtäkään Mandibuzz-urosta ei ole koskaan löydetty. Se kiertää taivaalla pitäen silmällä heikentyneitä Pokémoneja. Sen paras ruoka on Cubone. Se järjestelee taitavasti saaliinsa luut rakentaakseen pesänsä. Suurin osa luista on kuboneja. Se etsii aina ruokaa Vullabylle. Löytäessään heikon Pokémonin Mandibuzz syöksyy sen suoraan pesälleen. Vaikka se on hieman veijarimainen, tämä Pokémon ottaa eksyneet Vullabyt siipiensä suojaan ja huolehtii niistä, kunnes ne ovat valmiita lähtemään pesästä. He koristavat itsensä luilla. Heidän keskuudessaan näyttää olevan muotitrendejä, kun erilaiset luut tulevat ja menevät suosioon.</t>
        </is>
      </c>
    </row>
    <row r="12928" ht="33.75" customHeight="1">
      <c r="A12928" s="7">
        <v>630.0</v>
      </c>
      <c r="B12928" s="9" t="s">
        <v>17826</v>
      </c>
      <c r="C12928" s="9" t="s">
        <v>17827</v>
      </c>
      <c r="D12928" s="9" t="s">
        <v>95</v>
      </c>
      <c r="E12928" s="6" t="s">
        <v>17829</v>
      </c>
      <c r="F12928" s="9"/>
    </row>
    <row r="12929" ht="33.75" customHeight="1">
      <c r="A12929" s="7">
        <v>630.0</v>
      </c>
      <c r="B12929" s="9" t="s">
        <v>17826</v>
      </c>
      <c r="C12929" s="9" t="s">
        <v>17827</v>
      </c>
      <c r="D12929" s="9" t="s">
        <v>98</v>
      </c>
      <c r="E12929" s="6" t="s">
        <v>17831</v>
      </c>
      <c r="F12929" s="9"/>
    </row>
    <row r="12930" ht="33.75" customHeight="1">
      <c r="A12930" s="7">
        <v>630.0</v>
      </c>
      <c r="B12930" s="9" t="s">
        <v>17826</v>
      </c>
      <c r="C12930" s="9" t="s">
        <v>17827</v>
      </c>
      <c r="D12930" s="9" t="s">
        <v>99</v>
      </c>
      <c r="E12930" s="6" t="s">
        <v>17831</v>
      </c>
      <c r="F12930" s="9"/>
    </row>
    <row r="12931" ht="33.75" customHeight="1">
      <c r="A12931" s="7">
        <v>630.0</v>
      </c>
      <c r="B12931" s="9" t="s">
        <v>17826</v>
      </c>
      <c r="C12931" s="9" t="s">
        <v>17827</v>
      </c>
      <c r="D12931" s="9" t="s">
        <v>101</v>
      </c>
      <c r="E12931" s="6" t="s">
        <v>17831</v>
      </c>
      <c r="F12931" s="9"/>
    </row>
    <row r="12932" ht="33.75" customHeight="1">
      <c r="A12932" s="7">
        <v>630.0</v>
      </c>
      <c r="B12932" s="9" t="s">
        <v>17826</v>
      </c>
      <c r="C12932" s="9" t="s">
        <v>17827</v>
      </c>
      <c r="D12932" s="9" t="s">
        <v>105</v>
      </c>
      <c r="E12932" s="6" t="s">
        <v>17829</v>
      </c>
      <c r="F12932" s="9"/>
    </row>
    <row r="12933" ht="33.75" customHeight="1">
      <c r="A12933" s="7">
        <v>630.0</v>
      </c>
      <c r="B12933" s="9" t="s">
        <v>17826</v>
      </c>
      <c r="C12933" s="9" t="s">
        <v>17827</v>
      </c>
      <c r="D12933" s="9" t="s">
        <v>107</v>
      </c>
      <c r="E12933" s="6" t="s">
        <v>17831</v>
      </c>
      <c r="F12933" s="9"/>
    </row>
    <row r="12934" ht="33.75" customHeight="1">
      <c r="A12934" s="7">
        <v>630.0</v>
      </c>
      <c r="B12934" s="9" t="s">
        <v>17826</v>
      </c>
      <c r="C12934" s="9" t="s">
        <v>17827</v>
      </c>
      <c r="D12934" s="9" t="s">
        <v>109</v>
      </c>
      <c r="E12934" s="6" t="s">
        <v>17829</v>
      </c>
      <c r="F12934" s="9"/>
    </row>
    <row r="12935" ht="33.75" customHeight="1">
      <c r="A12935" s="7">
        <v>630.0</v>
      </c>
      <c r="B12935" s="9" t="s">
        <v>17826</v>
      </c>
      <c r="C12935" s="9" t="s">
        <v>17827</v>
      </c>
      <c r="D12935" s="9" t="s">
        <v>637</v>
      </c>
      <c r="E12935" s="6" t="s">
        <v>17832</v>
      </c>
      <c r="F12935" s="9"/>
    </row>
    <row r="12936" ht="33.75" customHeight="1">
      <c r="A12936" s="7">
        <v>630.0</v>
      </c>
      <c r="B12936" s="9" t="s">
        <v>17826</v>
      </c>
      <c r="C12936" s="9" t="s">
        <v>17827</v>
      </c>
      <c r="D12936" s="9" t="s">
        <v>642</v>
      </c>
      <c r="E12936" s="6" t="s">
        <v>17833</v>
      </c>
      <c r="F12936" s="9"/>
    </row>
    <row r="12937" ht="33.75" customHeight="1">
      <c r="A12937" s="7">
        <v>630.0</v>
      </c>
      <c r="B12937" s="9" t="s">
        <v>17826</v>
      </c>
      <c r="C12937" s="9" t="s">
        <v>17827</v>
      </c>
      <c r="D12937" s="9" t="s">
        <v>647</v>
      </c>
      <c r="E12937" s="6" t="s">
        <v>17834</v>
      </c>
      <c r="F12937" s="9"/>
    </row>
    <row r="12938" ht="33.75" customHeight="1">
      <c r="A12938" s="7">
        <v>630.0</v>
      </c>
      <c r="B12938" s="9" t="s">
        <v>17826</v>
      </c>
      <c r="C12938" s="9" t="s">
        <v>17827</v>
      </c>
      <c r="D12938" s="9" t="s">
        <v>652</v>
      </c>
      <c r="E12938" s="6" t="s">
        <v>17836</v>
      </c>
      <c r="F12938" s="9"/>
    </row>
    <row r="12939" ht="33.75" customHeight="1">
      <c r="A12939" s="7">
        <v>630.0</v>
      </c>
      <c r="B12939" s="9" t="s">
        <v>17826</v>
      </c>
      <c r="C12939" s="9" t="s">
        <v>17827</v>
      </c>
      <c r="D12939" s="9" t="s">
        <v>114</v>
      </c>
      <c r="E12939" s="6" t="s">
        <v>17837</v>
      </c>
      <c r="F12939" s="9"/>
    </row>
    <row r="12940" ht="33.75" customHeight="1">
      <c r="A12940" s="7">
        <v>630.0</v>
      </c>
      <c r="B12940" s="9" t="s">
        <v>17826</v>
      </c>
      <c r="C12940" s="9" t="s">
        <v>17827</v>
      </c>
      <c r="D12940" s="9" t="s">
        <v>117</v>
      </c>
      <c r="E12940" s="6" t="s">
        <v>17838</v>
      </c>
      <c r="F12940" s="9"/>
    </row>
    <row r="12941" ht="33.75" customHeight="1">
      <c r="A12941" s="7">
        <v>631.0</v>
      </c>
      <c r="B12941" s="9" t="s">
        <v>17839</v>
      </c>
      <c r="C12941" s="9" t="s">
        <v>17840</v>
      </c>
      <c r="D12941" s="9" t="s">
        <v>93</v>
      </c>
      <c r="E12941" s="6" t="s">
        <v>17841</v>
      </c>
      <c r="F12941" t="inlineStr" s="10">
        <is>
          <t xml:space="preserve">Heatmor hengittää pyrstössään olevan reiän läpi samalla kun se palaa sisäisellä tulella. Durant on sen saalis. Erittäin kuumilla, liekkien peittämillä kielillään ne polttavat Durantin teräsruumiit ja kuluttavat heidän sisuskalunsa. Se vetää ilmaa sisäänsä pyrstönsä kautta, muuttaa sen tuleksi ja käyttää sitä kielenään. Se sulattaa Durantin ja syö heidät. Sen pyrstössä on reikä, jonka avulla se vetää sisään tulen palamiseen tarvittavaa ilmaa. Jos reikä tukkeutuu, tämä Pokémon sairastuu. Liekki toimii sen kielenä, sulattaen Durantin kovan kuoren läpi, jotta Heatmor voi ahmia heidän sisuskalunsa.</t>
        </is>
      </c>
    </row>
    <row r="12942" ht="33.75" customHeight="1">
      <c r="A12942" s="7">
        <v>631.0</v>
      </c>
      <c r="B12942" s="9" t="s">
        <v>17839</v>
      </c>
      <c r="C12942" s="9" t="s">
        <v>17840</v>
      </c>
      <c r="D12942" s="9" t="s">
        <v>95</v>
      </c>
      <c r="E12942" s="6" t="s">
        <v>17842</v>
      </c>
      <c r="F12942" s="9"/>
    </row>
    <row r="12943" ht="33.75" customHeight="1">
      <c r="A12943" s="7">
        <v>631.0</v>
      </c>
      <c r="B12943" s="9" t="s">
        <v>17839</v>
      </c>
      <c r="C12943" s="9" t="s">
        <v>17840</v>
      </c>
      <c r="D12943" s="9" t="s">
        <v>98</v>
      </c>
      <c r="E12943" s="6" t="s">
        <v>17843</v>
      </c>
      <c r="F12943" s="9"/>
    </row>
    <row r="12944" ht="33.75" customHeight="1">
      <c r="A12944" s="7">
        <v>631.0</v>
      </c>
      <c r="B12944" s="9" t="s">
        <v>17839</v>
      </c>
      <c r="C12944" s="9" t="s">
        <v>17840</v>
      </c>
      <c r="D12944" s="9" t="s">
        <v>99</v>
      </c>
      <c r="E12944" s="6" t="s">
        <v>17843</v>
      </c>
      <c r="F12944" s="9"/>
    </row>
    <row r="12945" ht="33.75" customHeight="1">
      <c r="A12945" s="7">
        <v>631.0</v>
      </c>
      <c r="B12945" s="9" t="s">
        <v>17839</v>
      </c>
      <c r="C12945" s="9" t="s">
        <v>17840</v>
      </c>
      <c r="D12945" s="9" t="s">
        <v>101</v>
      </c>
      <c r="E12945" s="6" t="s">
        <v>17842</v>
      </c>
      <c r="F12945" s="9"/>
    </row>
    <row r="12946" ht="33.75" customHeight="1">
      <c r="A12946" s="7">
        <v>631.0</v>
      </c>
      <c r="B12946" s="9" t="s">
        <v>17839</v>
      </c>
      <c r="C12946" s="9" t="s">
        <v>17840</v>
      </c>
      <c r="D12946" s="9" t="s">
        <v>105</v>
      </c>
      <c r="E12946" s="6" t="s">
        <v>17843</v>
      </c>
      <c r="F12946" s="9"/>
    </row>
    <row r="12947" ht="33.75" customHeight="1">
      <c r="A12947" s="7">
        <v>631.0</v>
      </c>
      <c r="B12947" s="9" t="s">
        <v>17839</v>
      </c>
      <c r="C12947" s="9" t="s">
        <v>17840</v>
      </c>
      <c r="D12947" s="9" t="s">
        <v>107</v>
      </c>
      <c r="E12947" s="6" t="s">
        <v>17842</v>
      </c>
      <c r="F12947" s="9"/>
    </row>
    <row r="12948" ht="33.75" customHeight="1">
      <c r="A12948" s="7">
        <v>631.0</v>
      </c>
      <c r="B12948" s="9" t="s">
        <v>17839</v>
      </c>
      <c r="C12948" s="9" t="s">
        <v>17840</v>
      </c>
      <c r="D12948" s="9" t="s">
        <v>109</v>
      </c>
      <c r="E12948" s="6" t="s">
        <v>17843</v>
      </c>
      <c r="F12948" s="9"/>
    </row>
    <row r="12949" ht="33.75" customHeight="1">
      <c r="A12949" s="7">
        <v>631.0</v>
      </c>
      <c r="B12949" s="9" t="s">
        <v>17839</v>
      </c>
      <c r="C12949" s="9" t="s">
        <v>17840</v>
      </c>
      <c r="D12949" s="9" t="s">
        <v>114</v>
      </c>
      <c r="E12949" s="6" t="s">
        <v>17844</v>
      </c>
      <c r="F12949" s="9"/>
    </row>
    <row r="12950" ht="33.75" customHeight="1">
      <c r="A12950" s="7">
        <v>631.0</v>
      </c>
      <c r="B12950" s="9" t="s">
        <v>17839</v>
      </c>
      <c r="C12950" s="9" t="s">
        <v>17840</v>
      </c>
      <c r="D12950" s="9" t="s">
        <v>117</v>
      </c>
      <c r="E12950" s="6" t="s">
        <v>17845</v>
      </c>
      <c r="F12950" s="9"/>
    </row>
    <row r="12951" ht="33.75" customHeight="1">
      <c r="A12951" s="7">
        <v>632.0</v>
      </c>
      <c r="B12951" s="9" t="s">
        <v>17846</v>
      </c>
      <c r="C12951" s="9" t="s">
        <v>17847</v>
      </c>
      <c r="D12951" s="9" t="s">
        <v>93</v>
      </c>
      <c r="E12951" s="6" t="s">
        <v>17848</v>
      </c>
      <c r="F12951" t="inlineStr" s="10">
        <is>
          <t xml:space="preserve">Ne hyökkäävät ryhmissä suojaten itseään teräspanssaroilla Heatmorilta. Durant kaivaa pesiä vuorille. He rakentavat monimutkaiset, toisiinsa yhteydessä olevat tunnelit sokkeloiksi. Yksilöillä on erilainen rooli luonnollisen saalistajansa, Heatmorin, ajamisessa pois yhdyskunnastaan. Ne munivat syvälle pesiinsä. Kun Heatmor hyökkää niiden kimppuun, ne kostavat käyttämällä valtavia leukojaan. Suurten leukojensa avulla nämä Pokémonit voivat murskata tiensä kiven läpi. Ne työskentelevät yhdessä suojellakseen muniaan Sandacondalta.</t>
        </is>
      </c>
    </row>
    <row r="12952" ht="33.75" customHeight="1">
      <c r="A12952" s="7">
        <v>632.0</v>
      </c>
      <c r="B12952" s="9" t="s">
        <v>17846</v>
      </c>
      <c r="C12952" s="9" t="s">
        <v>17847</v>
      </c>
      <c r="D12952" s="9" t="s">
        <v>95</v>
      </c>
      <c r="E12952" s="6" t="s">
        <v>17849</v>
      </c>
      <c r="F12952" s="9"/>
    </row>
    <row r="12953" ht="33.75" customHeight="1">
      <c r="A12953" s="7">
        <v>632.0</v>
      </c>
      <c r="B12953" s="9" t="s">
        <v>17846</v>
      </c>
      <c r="C12953" s="9" t="s">
        <v>17847</v>
      </c>
      <c r="D12953" s="9" t="s">
        <v>98</v>
      </c>
      <c r="E12953" s="6" t="s">
        <v>17850</v>
      </c>
      <c r="F12953" s="9"/>
    </row>
    <row r="12954" ht="33.75" customHeight="1">
      <c r="A12954" s="7">
        <v>632.0</v>
      </c>
      <c r="B12954" s="9" t="s">
        <v>17846</v>
      </c>
      <c r="C12954" s="9" t="s">
        <v>17847</v>
      </c>
      <c r="D12954" s="9" t="s">
        <v>99</v>
      </c>
      <c r="E12954" s="6" t="s">
        <v>17850</v>
      </c>
      <c r="F12954" s="9"/>
    </row>
    <row r="12955" ht="33.75" customHeight="1">
      <c r="A12955" s="7">
        <v>632.0</v>
      </c>
      <c r="B12955" s="9" t="s">
        <v>17846</v>
      </c>
      <c r="C12955" s="9" t="s">
        <v>17847</v>
      </c>
      <c r="D12955" s="9" t="s">
        <v>101</v>
      </c>
      <c r="E12955" s="6" t="s">
        <v>17850</v>
      </c>
      <c r="F12955" s="9"/>
    </row>
    <row r="12956" ht="33.75" customHeight="1">
      <c r="A12956" s="7">
        <v>632.0</v>
      </c>
      <c r="B12956" s="9" t="s">
        <v>17846</v>
      </c>
      <c r="C12956" s="9" t="s">
        <v>17847</v>
      </c>
      <c r="D12956" s="9" t="s">
        <v>105</v>
      </c>
      <c r="E12956" s="6" t="s">
        <v>17848</v>
      </c>
      <c r="F12956" s="9"/>
    </row>
    <row r="12957" ht="33.75" customHeight="1">
      <c r="A12957" s="7">
        <v>632.0</v>
      </c>
      <c r="B12957" s="9" t="s">
        <v>17846</v>
      </c>
      <c r="C12957" s="9" t="s">
        <v>17847</v>
      </c>
      <c r="D12957" s="9" t="s">
        <v>107</v>
      </c>
      <c r="E12957" s="6" t="s">
        <v>17850</v>
      </c>
      <c r="F12957" s="9"/>
    </row>
    <row r="12958" ht="33.75" customHeight="1">
      <c r="A12958" s="7">
        <v>632.0</v>
      </c>
      <c r="B12958" s="9" t="s">
        <v>17846</v>
      </c>
      <c r="C12958" s="9" t="s">
        <v>17847</v>
      </c>
      <c r="D12958" s="9" t="s">
        <v>109</v>
      </c>
      <c r="E12958" s="6" t="s">
        <v>17848</v>
      </c>
      <c r="F12958" s="9"/>
    </row>
    <row r="12959" ht="33.75" customHeight="1">
      <c r="A12959" s="7">
        <v>632.0</v>
      </c>
      <c r="B12959" s="9" t="s">
        <v>17846</v>
      </c>
      <c r="C12959" s="9" t="s">
        <v>17847</v>
      </c>
      <c r="D12959" s="9" t="s">
        <v>114</v>
      </c>
      <c r="E12959" s="6" t="s">
        <v>17852</v>
      </c>
      <c r="F12959" s="9"/>
    </row>
    <row r="12960" ht="33.75" customHeight="1">
      <c r="A12960" s="7">
        <v>632.0</v>
      </c>
      <c r="B12960" s="9" t="s">
        <v>17846</v>
      </c>
      <c r="C12960" s="9" t="s">
        <v>17847</v>
      </c>
      <c r="D12960" s="9" t="s">
        <v>117</v>
      </c>
      <c r="E12960" s="6" t="s">
        <v>17853</v>
      </c>
      <c r="F12960" s="9"/>
    </row>
    <row r="12961" ht="33.75" customHeight="1">
      <c r="A12961" s="7">
        <v>633.0</v>
      </c>
      <c r="B12961" s="9" t="s">
        <v>17854</v>
      </c>
      <c r="C12961" s="9" t="s">
        <v>17855</v>
      </c>
      <c r="D12961" s="9" t="s">
        <v>93</v>
      </c>
      <c r="E12961" s="6" t="s">
        <v>17856</v>
      </c>
      <c r="F12961" t="inlineStr" s="10">
        <is>
          <t xml:space="preserve">Deino puree kaikkea, eikä se ole nirso syöjä. Sen varomaton lähestyminen on vaarallista. Ne eivät näe, joten ne tarttuvat ja purevat oppiakseen tuntemaan ympäristönsä. Niiden ruumiit ovat täynnä haavoja. Näkökyvyn puuttuessa sillä ei ole tietoa ympäristöstään, joten se törmää esineisiin ja syö kaikkea liikkuvaa. Kun se kohtaa jonkin, sen ensimmäinen halu on yleensä purra sitä. Jos se pitää mausta, se painaa siihen liittyvän tuoksun mieleensä. Koska se ei näe, tämä Pokémon puree jatkuvasti kaikkea mihin se koskee ja yrittää pysyä ajan tasalla ympäristöstään.</t>
        </is>
      </c>
    </row>
    <row r="12962" ht="33.75" customHeight="1">
      <c r="A12962" s="7">
        <v>633.0</v>
      </c>
      <c r="B12962" s="9" t="s">
        <v>17854</v>
      </c>
      <c r="C12962" s="9" t="s">
        <v>17855</v>
      </c>
      <c r="D12962" s="9" t="s">
        <v>95</v>
      </c>
      <c r="E12962" s="6" t="s">
        <v>17857</v>
      </c>
      <c r="F12962" s="9"/>
    </row>
    <row r="12963" ht="33.75" customHeight="1">
      <c r="A12963" s="7">
        <v>633.0</v>
      </c>
      <c r="B12963" s="9" t="s">
        <v>17854</v>
      </c>
      <c r="C12963" s="9" t="s">
        <v>17855</v>
      </c>
      <c r="D12963" s="9" t="s">
        <v>98</v>
      </c>
      <c r="E12963" s="6" t="s">
        <v>17858</v>
      </c>
      <c r="F12963" s="9"/>
    </row>
    <row r="12964" ht="33.75" customHeight="1">
      <c r="A12964" s="7">
        <v>633.0</v>
      </c>
      <c r="B12964" s="9" t="s">
        <v>17854</v>
      </c>
      <c r="C12964" s="9" t="s">
        <v>17855</v>
      </c>
      <c r="D12964" s="9" t="s">
        <v>99</v>
      </c>
      <c r="E12964" s="6" t="s">
        <v>17858</v>
      </c>
      <c r="F12964" s="9"/>
    </row>
    <row r="12965" ht="33.75" customHeight="1">
      <c r="A12965" s="7">
        <v>633.0</v>
      </c>
      <c r="B12965" s="9" t="s">
        <v>17854</v>
      </c>
      <c r="C12965" s="9" t="s">
        <v>17855</v>
      </c>
      <c r="D12965" s="9" t="s">
        <v>101</v>
      </c>
      <c r="E12965" s="6" t="s">
        <v>17857</v>
      </c>
      <c r="F12965" s="9"/>
    </row>
    <row r="12966" ht="33.75" customHeight="1">
      <c r="A12966" s="7">
        <v>633.0</v>
      </c>
      <c r="B12966" s="9" t="s">
        <v>17854</v>
      </c>
      <c r="C12966" s="9" t="s">
        <v>17855</v>
      </c>
      <c r="D12966" s="9" t="s">
        <v>105</v>
      </c>
      <c r="E12966" s="6" t="s">
        <v>17858</v>
      </c>
      <c r="F12966" s="9"/>
    </row>
    <row r="12967" ht="33.75" customHeight="1">
      <c r="A12967" s="7">
        <v>633.0</v>
      </c>
      <c r="B12967" s="9" t="s">
        <v>17854</v>
      </c>
      <c r="C12967" s="9" t="s">
        <v>17855</v>
      </c>
      <c r="D12967" s="9" t="s">
        <v>107</v>
      </c>
      <c r="E12967" s="6" t="s">
        <v>17857</v>
      </c>
      <c r="F12967" s="9"/>
    </row>
    <row r="12968" ht="33.75" customHeight="1">
      <c r="A12968" s="7">
        <v>633.0</v>
      </c>
      <c r="B12968" s="9" t="s">
        <v>17854</v>
      </c>
      <c r="C12968" s="9" t="s">
        <v>17855</v>
      </c>
      <c r="D12968" s="9" t="s">
        <v>109</v>
      </c>
      <c r="E12968" s="6" t="s">
        <v>17858</v>
      </c>
      <c r="F12968" s="9"/>
    </row>
    <row r="12969" ht="33.75" customHeight="1">
      <c r="A12969" s="7">
        <v>633.0</v>
      </c>
      <c r="B12969" s="9" t="s">
        <v>17854</v>
      </c>
      <c r="C12969" s="9" t="s">
        <v>17855</v>
      </c>
      <c r="D12969" s="9" t="s">
        <v>114</v>
      </c>
      <c r="E12969" s="6" t="s">
        <v>17860</v>
      </c>
      <c r="F12969" s="9"/>
    </row>
    <row r="12970" ht="33.75" customHeight="1">
      <c r="A12970" s="7">
        <v>633.0</v>
      </c>
      <c r="B12970" s="9" t="s">
        <v>17854</v>
      </c>
      <c r="C12970" s="9" t="s">
        <v>17855</v>
      </c>
      <c r="D12970" s="9" t="s">
        <v>117</v>
      </c>
      <c r="E12970" s="6" t="s">
        <v>17861</v>
      </c>
      <c r="F12970" s="9"/>
    </row>
    <row r="12971" ht="33.75" customHeight="1">
      <c r="A12971" s="7">
        <v>634.0</v>
      </c>
      <c r="B12971" s="9" t="s">
        <v>17862</v>
      </c>
      <c r="C12971" s="9" t="s">
        <v>17137</v>
      </c>
      <c r="D12971" s="9" t="s">
        <v>93</v>
      </c>
      <c r="E12971" s="6" t="s">
        <v>17863</v>
      </c>
      <c r="F12971" t="inlineStr" s="10">
        <is>
          <t xml:space="preserve">Syötyään kaiken reviirinsä ruoan se siirtyy toiselle alueelle. Sen kaksi päätä eivät tule toimeen keskenään. Koska niiden kaksi päätä eivät tule toimeen keskenään ja kilpailevat keskenään ruoasta, ne syövät aina liikaa. Kaksi päätä eivät tule toimeen keskenään. Se, joka syö enemmän, saa olla johtaja. Saalismetsästyksessä Zweilous vaeltelee reviiriään pitkin, ja sen kaksi päätä kiistelevät usein siitä, kumpaan suuntaan mennä. Heidän kaksi päätään taistelevat keskenään yhdestä ainoasta ruokapalasta. Zweilou't ovat täynnä arpia, vaikka eivät taistelekaan muiden kanssa.</t>
        </is>
      </c>
    </row>
    <row r="12972" ht="33.75" customHeight="1">
      <c r="A12972" s="7">
        <v>634.0</v>
      </c>
      <c r="B12972" s="9" t="s">
        <v>17862</v>
      </c>
      <c r="C12972" s="9" t="s">
        <v>17137</v>
      </c>
      <c r="D12972" s="9" t="s">
        <v>95</v>
      </c>
      <c r="E12972" s="6" t="s">
        <v>17864</v>
      </c>
      <c r="F12972" s="9"/>
    </row>
    <row r="12973" ht="33.75" customHeight="1">
      <c r="A12973" s="7">
        <v>634.0</v>
      </c>
      <c r="B12973" s="9" t="s">
        <v>17862</v>
      </c>
      <c r="C12973" s="9" t="s">
        <v>17137</v>
      </c>
      <c r="D12973" s="9" t="s">
        <v>98</v>
      </c>
      <c r="E12973" s="6" t="s">
        <v>17865</v>
      </c>
      <c r="F12973" s="9"/>
    </row>
    <row r="12974" ht="33.75" customHeight="1">
      <c r="A12974" s="7">
        <v>634.0</v>
      </c>
      <c r="B12974" s="9" t="s">
        <v>17862</v>
      </c>
      <c r="C12974" s="9" t="s">
        <v>17137</v>
      </c>
      <c r="D12974" s="9" t="s">
        <v>99</v>
      </c>
      <c r="E12974" s="6" t="s">
        <v>17865</v>
      </c>
      <c r="F12974" s="9"/>
    </row>
    <row r="12975" ht="33.75" customHeight="1">
      <c r="A12975" s="7">
        <v>634.0</v>
      </c>
      <c r="B12975" s="9" t="s">
        <v>17862</v>
      </c>
      <c r="C12975" s="9" t="s">
        <v>17137</v>
      </c>
      <c r="D12975" s="9" t="s">
        <v>101</v>
      </c>
      <c r="E12975" s="6" t="s">
        <v>17865</v>
      </c>
      <c r="F12975" s="9"/>
    </row>
    <row r="12976" ht="33.75" customHeight="1">
      <c r="A12976" s="7">
        <v>634.0</v>
      </c>
      <c r="B12976" s="9" t="s">
        <v>17862</v>
      </c>
      <c r="C12976" s="9" t="s">
        <v>17137</v>
      </c>
      <c r="D12976" s="9" t="s">
        <v>105</v>
      </c>
      <c r="E12976" s="6" t="s">
        <v>17863</v>
      </c>
      <c r="F12976" s="9"/>
    </row>
    <row r="12977" ht="33.75" customHeight="1">
      <c r="A12977" s="7">
        <v>634.0</v>
      </c>
      <c r="B12977" s="9" t="s">
        <v>17862</v>
      </c>
      <c r="C12977" s="9" t="s">
        <v>17137</v>
      </c>
      <c r="D12977" s="9" t="s">
        <v>107</v>
      </c>
      <c r="E12977" s="6" t="s">
        <v>17865</v>
      </c>
      <c r="F12977" s="9"/>
    </row>
    <row r="12978" ht="33.75" customHeight="1">
      <c r="A12978" s="7">
        <v>634.0</v>
      </c>
      <c r="B12978" s="9" t="s">
        <v>17862</v>
      </c>
      <c r="C12978" s="9" t="s">
        <v>17137</v>
      </c>
      <c r="D12978" s="9" t="s">
        <v>109</v>
      </c>
      <c r="E12978" s="6" t="s">
        <v>17863</v>
      </c>
      <c r="F12978" s="9"/>
    </row>
    <row r="12979" ht="33.75" customHeight="1">
      <c r="A12979" s="7">
        <v>634.0</v>
      </c>
      <c r="B12979" s="9" t="s">
        <v>17862</v>
      </c>
      <c r="C12979" s="9" t="s">
        <v>17137</v>
      </c>
      <c r="D12979" s="9" t="s">
        <v>114</v>
      </c>
      <c r="E12979" s="6" t="s">
        <v>17866</v>
      </c>
      <c r="F12979" s="9"/>
    </row>
    <row r="12980" ht="33.75" customHeight="1">
      <c r="A12980" s="7">
        <v>634.0</v>
      </c>
      <c r="B12980" s="9" t="s">
        <v>17862</v>
      </c>
      <c r="C12980" s="9" t="s">
        <v>17137</v>
      </c>
      <c r="D12980" s="9" t="s">
        <v>117</v>
      </c>
      <c r="E12980" s="6" t="s">
        <v>17867</v>
      </c>
      <c r="F12980" s="9"/>
    </row>
    <row r="12981" ht="33.75" customHeight="1">
      <c r="A12981" s="7">
        <v>635.0</v>
      </c>
      <c r="B12981" s="9" t="s">
        <v>17868</v>
      </c>
      <c r="C12981" s="9" t="s">
        <v>14605</v>
      </c>
      <c r="D12981" s="9" t="s">
        <v>93</v>
      </c>
      <c r="E12981" s="6" t="s">
        <v>17870</v>
      </c>
      <c r="F12981" t="inlineStr" s="10">
        <is>
          <t xml:space="preserve">Tämä raaka Pokémon matkustaa taivaalla kuudella siivellään. Kaikki liikkuva vaikuttaa sille viholliselta, mikä laukaisee sen hyökkäyksen. Heidän käsivarsissaan olevilla päillä ei ole aivoja. He käyttävät kaikkia kolmea päätä kaiken kuluttamiseen ja tuhoamiseen. Se reagoi liikkeeseen hyökkäämällä. Tämä pelottava, kolmipäinen Pokémon ahmii kaiken tieltään! Hydreigonin tuhoamista kylistä on olemassa lukuisia tarinoita. Se puree kaikkea mikä liikkuu. Kolme päätä vuorotellen iskevät hampaitaan vastustajaan. Heidän hyökkäyksensä eivät hidastu ennen kuin kohde kaatuu.</t>
        </is>
      </c>
    </row>
    <row r="12982" ht="33.75" customHeight="1">
      <c r="A12982" s="7">
        <v>635.0</v>
      </c>
      <c r="B12982" s="9" t="s">
        <v>17868</v>
      </c>
      <c r="C12982" s="9" t="s">
        <v>14605</v>
      </c>
      <c r="D12982" s="9" t="s">
        <v>95</v>
      </c>
      <c r="E12982" s="6" t="s">
        <v>17871</v>
      </c>
      <c r="F12982" s="9"/>
    </row>
    <row r="12983" ht="33.75" customHeight="1">
      <c r="A12983" s="7">
        <v>635.0</v>
      </c>
      <c r="B12983" s="9" t="s">
        <v>17868</v>
      </c>
      <c r="C12983" s="9" t="s">
        <v>14605</v>
      </c>
      <c r="D12983" s="9" t="s">
        <v>98</v>
      </c>
      <c r="E12983" s="6" t="s">
        <v>17872</v>
      </c>
      <c r="F12983" s="9"/>
    </row>
    <row r="12984" ht="33.75" customHeight="1">
      <c r="A12984" s="7">
        <v>635.0</v>
      </c>
      <c r="B12984" s="9" t="s">
        <v>17868</v>
      </c>
      <c r="C12984" s="9" t="s">
        <v>14605</v>
      </c>
      <c r="D12984" s="9" t="s">
        <v>99</v>
      </c>
      <c r="E12984" s="6" t="s">
        <v>17872</v>
      </c>
      <c r="F12984" s="9"/>
    </row>
    <row r="12985" ht="33.75" customHeight="1">
      <c r="A12985" s="7">
        <v>635.0</v>
      </c>
      <c r="B12985" s="9" t="s">
        <v>17868</v>
      </c>
      <c r="C12985" s="9" t="s">
        <v>14605</v>
      </c>
      <c r="D12985" s="9" t="s">
        <v>101</v>
      </c>
      <c r="E12985" s="6" t="s">
        <v>17871</v>
      </c>
      <c r="F12985" s="9"/>
    </row>
    <row r="12986" ht="33.75" customHeight="1">
      <c r="A12986" s="7">
        <v>635.0</v>
      </c>
      <c r="B12986" s="9" t="s">
        <v>17868</v>
      </c>
      <c r="C12986" s="9" t="s">
        <v>14605</v>
      </c>
      <c r="D12986" s="9" t="s">
        <v>105</v>
      </c>
      <c r="E12986" s="6" t="s">
        <v>17872</v>
      </c>
      <c r="F12986" s="9"/>
    </row>
    <row r="12987" ht="33.75" customHeight="1">
      <c r="A12987" s="7">
        <v>635.0</v>
      </c>
      <c r="B12987" s="9" t="s">
        <v>17868</v>
      </c>
      <c r="C12987" s="9" t="s">
        <v>14605</v>
      </c>
      <c r="D12987" s="9" t="s">
        <v>107</v>
      </c>
      <c r="E12987" s="6" t="s">
        <v>17871</v>
      </c>
      <c r="F12987" s="9"/>
    </row>
    <row r="12988" ht="33.75" customHeight="1">
      <c r="A12988" s="7">
        <v>635.0</v>
      </c>
      <c r="B12988" s="9" t="s">
        <v>17868</v>
      </c>
      <c r="C12988" s="9" t="s">
        <v>14605</v>
      </c>
      <c r="D12988" s="9" t="s">
        <v>109</v>
      </c>
      <c r="E12988" s="6" t="s">
        <v>17872</v>
      </c>
      <c r="F12988" s="9"/>
    </row>
    <row r="12989" ht="33.75" customHeight="1">
      <c r="A12989" s="7">
        <v>635.0</v>
      </c>
      <c r="B12989" s="9" t="s">
        <v>17868</v>
      </c>
      <c r="C12989" s="9" t="s">
        <v>14605</v>
      </c>
      <c r="D12989" s="9" t="s">
        <v>114</v>
      </c>
      <c r="E12989" s="6" t="s">
        <v>17873</v>
      </c>
      <c r="F12989" s="9"/>
    </row>
    <row r="12990" ht="33.75" customHeight="1">
      <c r="A12990" s="7">
        <v>635.0</v>
      </c>
      <c r="B12990" s="9" t="s">
        <v>17868</v>
      </c>
      <c r="C12990" s="9" t="s">
        <v>14605</v>
      </c>
      <c r="D12990" s="9" t="s">
        <v>117</v>
      </c>
      <c r="E12990" s="6" t="s">
        <v>17874</v>
      </c>
      <c r="F12990" s="9"/>
    </row>
    <row r="12991" ht="33.75" customHeight="1">
      <c r="A12991" s="7">
        <v>636.0</v>
      </c>
      <c r="B12991" s="9" t="s">
        <v>17875</v>
      </c>
      <c r="C12991" s="9" t="s">
        <v>17876</v>
      </c>
      <c r="D12991" s="9" t="s">
        <v>93</v>
      </c>
      <c r="E12991" s="6" t="s">
        <v>17877</v>
      </c>
      <c r="F12991" t="inlineStr" s="10">
        <is>
          <t xml:space="preserve">Tämän Pokémonin uskottiin syntyneen auringosta. Kehittyessään koko sen ruumis on liekkien peitossa. Tulivuorten juurelle ne rakentavat kotinsa. Ne ampuvat tulta viidestä sarvestaan ​​torjuakseen hyökkäävät viholliset. Sen sanotaan syntyneen auringosta, se syöksee tulta sarvistaan ​​ja kääriytyy tuliseen koteloon kehittyessään. Taistellessaan vastustajia vastaan ​​se suihkuttaa tulta viidestä sarvestaan. Liekkien maksimilämpötila voi nousta lähes 5 500 celsiusasteeseen. Se suojaa itseään liekillä. Kauan sitten ihmiset uskoivat, että Larvestalla oli pesä auringossa. Muinaisten aikojen ihmiset uskoivat, että Larvesta putosi auringosta. Larvestan ruumis on kauttaaltaan lämmin. Se syöksyy sarviensa kärjistä tulta pelotellakseen saalistajia ja säikyttääkseen saalista.</t>
        </is>
      </c>
    </row>
    <row r="12992" ht="33.75" customHeight="1">
      <c r="A12992" s="7">
        <v>636.0</v>
      </c>
      <c r="B12992" s="9" t="s">
        <v>17875</v>
      </c>
      <c r="C12992" s="9" t="s">
        <v>17876</v>
      </c>
      <c r="D12992" s="9" t="s">
        <v>95</v>
      </c>
      <c r="E12992" s="6" t="s">
        <v>17878</v>
      </c>
      <c r="F12992" s="9"/>
    </row>
    <row r="12993" ht="33.75" customHeight="1">
      <c r="A12993" s="7">
        <v>636.0</v>
      </c>
      <c r="B12993" s="9" t="s">
        <v>17875</v>
      </c>
      <c r="C12993" s="9" t="s">
        <v>17876</v>
      </c>
      <c r="D12993" s="9" t="s">
        <v>98</v>
      </c>
      <c r="E12993" s="6" t="s">
        <v>17879</v>
      </c>
      <c r="F12993" s="9"/>
    </row>
    <row r="12994" ht="33.75" customHeight="1">
      <c r="A12994" s="7">
        <v>636.0</v>
      </c>
      <c r="B12994" s="9" t="s">
        <v>17875</v>
      </c>
      <c r="C12994" s="9" t="s">
        <v>17876</v>
      </c>
      <c r="D12994" s="9" t="s">
        <v>99</v>
      </c>
      <c r="E12994" s="6" t="s">
        <v>17879</v>
      </c>
      <c r="F12994" s="9"/>
    </row>
    <row r="12995" ht="33.75" customHeight="1">
      <c r="A12995" s="7">
        <v>636.0</v>
      </c>
      <c r="B12995" s="9" t="s">
        <v>17875</v>
      </c>
      <c r="C12995" s="9" t="s">
        <v>17876</v>
      </c>
      <c r="D12995" s="9" t="s">
        <v>101</v>
      </c>
      <c r="E12995" s="6" t="s">
        <v>17879</v>
      </c>
      <c r="F12995" s="9"/>
    </row>
    <row r="12996" ht="33.75" customHeight="1">
      <c r="A12996" s="7">
        <v>636.0</v>
      </c>
      <c r="B12996" s="9" t="s">
        <v>17875</v>
      </c>
      <c r="C12996" s="9" t="s">
        <v>17876</v>
      </c>
      <c r="D12996" s="9" t="s">
        <v>105</v>
      </c>
      <c r="E12996" s="6" t="s">
        <v>17878</v>
      </c>
      <c r="F12996" s="9"/>
    </row>
    <row r="12997" ht="33.75" customHeight="1">
      <c r="A12997" s="7">
        <v>636.0</v>
      </c>
      <c r="B12997" s="9" t="s">
        <v>17875</v>
      </c>
      <c r="C12997" s="9" t="s">
        <v>17876</v>
      </c>
      <c r="D12997" s="9" t="s">
        <v>107</v>
      </c>
      <c r="E12997" s="6" t="s">
        <v>17879</v>
      </c>
      <c r="F12997" s="9"/>
    </row>
    <row r="12998" ht="33.75" customHeight="1">
      <c r="A12998" s="7">
        <v>636.0</v>
      </c>
      <c r="B12998" s="9" t="s">
        <v>17875</v>
      </c>
      <c r="C12998" s="9" t="s">
        <v>17876</v>
      </c>
      <c r="D12998" s="9" t="s">
        <v>109</v>
      </c>
      <c r="E12998" s="6" t="s">
        <v>17878</v>
      </c>
      <c r="F12998" s="9"/>
    </row>
    <row r="12999" ht="33.75" customHeight="1">
      <c r="A12999" s="7">
        <v>636.0</v>
      </c>
      <c r="B12999" s="9" t="s">
        <v>17875</v>
      </c>
      <c r="C12999" s="9" t="s">
        <v>17876</v>
      </c>
      <c r="D12999" s="9" t="s">
        <v>647</v>
      </c>
      <c r="E12999" s="6" t="s">
        <v>17880</v>
      </c>
      <c r="F12999" s="9"/>
    </row>
    <row r="13000" ht="33.75" customHeight="1">
      <c r="A13000" s="7">
        <v>636.0</v>
      </c>
      <c r="B13000" s="9" t="s">
        <v>17875</v>
      </c>
      <c r="C13000" s="9" t="s">
        <v>17876</v>
      </c>
      <c r="D13000" s="9" t="s">
        <v>652</v>
      </c>
      <c r="E13000" s="6" t="s">
        <v>17881</v>
      </c>
      <c r="F13000" s="9"/>
    </row>
    <row r="13001" ht="33.75" customHeight="1">
      <c r="A13001" s="7">
        <v>636.0</v>
      </c>
      <c r="B13001" s="9" t="s">
        <v>17875</v>
      </c>
      <c r="C13001" s="9" t="s">
        <v>17876</v>
      </c>
      <c r="D13001" s="9" t="s">
        <v>114</v>
      </c>
      <c r="E13001" s="6" t="s">
        <v>17882</v>
      </c>
      <c r="F13001" s="9"/>
    </row>
    <row r="13002" ht="33.75" customHeight="1">
      <c r="A13002" s="7">
        <v>636.0</v>
      </c>
      <c r="B13002" s="9" t="s">
        <v>17875</v>
      </c>
      <c r="C13002" s="9" t="s">
        <v>17876</v>
      </c>
      <c r="D13002" s="9" t="s">
        <v>117</v>
      </c>
      <c r="E13002" s="6" t="s">
        <v>17883</v>
      </c>
      <c r="F13002" s="9"/>
    </row>
    <row r="13003" ht="33.75" customHeight="1">
      <c r="A13003" s="7">
        <v>637.0</v>
      </c>
      <c r="B13003" s="9" t="s">
        <v>17884</v>
      </c>
      <c r="C13003" s="9" t="s">
        <v>11328</v>
      </c>
      <c r="D13003" s="9" t="s">
        <v>93</v>
      </c>
      <c r="E13003" s="6" t="s">
        <v>17886</v>
      </c>
      <c r="F13003" t="inlineStr" s="10">
        <is>
          <t xml:space="preserve">Kun tulivuoren tuhka tummensi ilmakehän, sanotaan, että Volcaronan tuli tarjosi korvaajan auringolle. Tulimeri peittää heidän taisteluidensa ympäristön, sillä he käyttävät kuutta siipeään sirotellakseen hiilisuomujaan. Sen uskotaan olevan auringon ruumiillistuma, ja se ilmestyi purevan kylmänä talvena ja pelasti Pokémonit jäätymiseltä. Lentäessään se levittää liekehtiviä suomujaan. Muinaiset ihmiset pelkäsivät sitä ja kutsuivat sitä "auringon raivoksi". Legendan mukaan se kuoriutui liekehtivästä kotelosta pelastaakseen kylmästä kärsiviä ihmisiä ja Pokémoneja. Tulivuori levittää palavia hilseitä. Jotkut sanovat sen tekevän tämän sytyttääkseen tulipaloja. Toiset sanovat sen yrittävän pelastaa kylmyydestä kärsiviä. Tämä Pokémon nousee raivoavien liekkien muodostamasta kotelosta. Muinaiset seinämaalaukset kuvaavat Volcaronaa tulen jumaluutena.</t>
        </is>
      </c>
    </row>
    <row r="13004" ht="33.75" customHeight="1">
      <c r="A13004" s="7">
        <v>637.0</v>
      </c>
      <c r="B13004" s="9" t="s">
        <v>17884</v>
      </c>
      <c r="C13004" s="9" t="s">
        <v>11328</v>
      </c>
      <c r="D13004" s="9" t="s">
        <v>95</v>
      </c>
      <c r="E13004" s="6" t="s">
        <v>17887</v>
      </c>
      <c r="F13004" s="9"/>
    </row>
    <row r="13005" ht="33.75" customHeight="1">
      <c r="A13005" s="7">
        <v>637.0</v>
      </c>
      <c r="B13005" s="9" t="s">
        <v>17884</v>
      </c>
      <c r="C13005" s="9" t="s">
        <v>11328</v>
      </c>
      <c r="D13005" s="9" t="s">
        <v>98</v>
      </c>
      <c r="E13005" s="6" t="s">
        <v>17888</v>
      </c>
      <c r="F13005" s="9"/>
    </row>
    <row r="13006" ht="33.75" customHeight="1">
      <c r="A13006" s="7">
        <v>637.0</v>
      </c>
      <c r="B13006" s="9" t="s">
        <v>17884</v>
      </c>
      <c r="C13006" s="9" t="s">
        <v>11328</v>
      </c>
      <c r="D13006" s="9" t="s">
        <v>99</v>
      </c>
      <c r="E13006" s="6" t="s">
        <v>17888</v>
      </c>
      <c r="F13006" s="9"/>
    </row>
    <row r="13007" ht="33.75" customHeight="1">
      <c r="A13007" s="7">
        <v>637.0</v>
      </c>
      <c r="B13007" s="9" t="s">
        <v>17884</v>
      </c>
      <c r="C13007" s="9" t="s">
        <v>11328</v>
      </c>
      <c r="D13007" s="9" t="s">
        <v>101</v>
      </c>
      <c r="E13007" s="6" t="s">
        <v>17887</v>
      </c>
      <c r="F13007" s="9"/>
    </row>
    <row r="13008" ht="33.75" customHeight="1">
      <c r="A13008" s="7">
        <v>637.0</v>
      </c>
      <c r="B13008" s="9" t="s">
        <v>17884</v>
      </c>
      <c r="C13008" s="9" t="s">
        <v>11328</v>
      </c>
      <c r="D13008" s="9" t="s">
        <v>105</v>
      </c>
      <c r="E13008" s="6" t="s">
        <v>17886</v>
      </c>
      <c r="F13008" s="9"/>
    </row>
    <row r="13009" ht="33.75" customHeight="1">
      <c r="A13009" s="7">
        <v>637.0</v>
      </c>
      <c r="B13009" s="9" t="s">
        <v>17884</v>
      </c>
      <c r="C13009" s="9" t="s">
        <v>11328</v>
      </c>
      <c r="D13009" s="9" t="s">
        <v>107</v>
      </c>
      <c r="E13009" s="6" t="s">
        <v>17887</v>
      </c>
      <c r="F13009" s="9"/>
    </row>
    <row r="13010" ht="33.75" customHeight="1">
      <c r="A13010" s="7">
        <v>637.0</v>
      </c>
      <c r="B13010" s="9" t="s">
        <v>17884</v>
      </c>
      <c r="C13010" s="9" t="s">
        <v>11328</v>
      </c>
      <c r="D13010" s="9" t="s">
        <v>109</v>
      </c>
      <c r="E13010" s="6" t="s">
        <v>17886</v>
      </c>
      <c r="F13010" s="9"/>
    </row>
    <row r="13011" ht="33.75" customHeight="1">
      <c r="A13011" s="7">
        <v>637.0</v>
      </c>
      <c r="B13011" s="9" t="s">
        <v>17884</v>
      </c>
      <c r="C13011" s="9" t="s">
        <v>11328</v>
      </c>
      <c r="D13011" s="9" t="s">
        <v>647</v>
      </c>
      <c r="E13011" s="6" t="s">
        <v>17889</v>
      </c>
      <c r="F13011" s="9"/>
    </row>
    <row r="13012" ht="33.75" customHeight="1">
      <c r="A13012" s="7">
        <v>637.0</v>
      </c>
      <c r="B13012" s="9" t="s">
        <v>17884</v>
      </c>
      <c r="C13012" s="9" t="s">
        <v>11328</v>
      </c>
      <c r="D13012" s="9" t="s">
        <v>652</v>
      </c>
      <c r="E13012" s="6" t="s">
        <v>17890</v>
      </c>
      <c r="F13012" s="9"/>
    </row>
    <row r="13013" ht="33.75" customHeight="1">
      <c r="A13013" s="7">
        <v>637.0</v>
      </c>
      <c r="B13013" s="9" t="s">
        <v>17884</v>
      </c>
      <c r="C13013" s="9" t="s">
        <v>11328</v>
      </c>
      <c r="D13013" s="9" t="s">
        <v>114</v>
      </c>
      <c r="E13013" s="6" t="s">
        <v>17891</v>
      </c>
      <c r="F13013" s="9"/>
    </row>
    <row r="13014" ht="33.75" customHeight="1">
      <c r="A13014" s="7">
        <v>637.0</v>
      </c>
      <c r="B13014" s="9" t="s">
        <v>17884</v>
      </c>
      <c r="C13014" s="9" t="s">
        <v>11328</v>
      </c>
      <c r="D13014" s="9" t="s">
        <v>117</v>
      </c>
      <c r="E13014" s="6" t="s">
        <v>17892</v>
      </c>
      <c r="F13014" s="9"/>
    </row>
    <row r="13015" ht="33.75" customHeight="1">
      <c r="A13015" s="7">
        <v>638.0</v>
      </c>
      <c r="B13015" s="9" t="s">
        <v>17893</v>
      </c>
      <c r="C13015" s="9" t="s">
        <v>17894</v>
      </c>
      <c r="D13015" s="9" t="s">
        <v>93</v>
      </c>
      <c r="E13015" s="6" t="s">
        <v>17895</v>
      </c>
      <c r="F13015" t="inlineStr" s="10">
        <is>
          <t xml:space="preserve">Tämä legendaarinen Pokémon taisteli ihmisiä vastaan ​​suojellakseen Pokémoneja. Sen persoonallisuus on rauhallinen ja maltillinen. Sen vartalo ja sydän ovat terästä. Sen loisto riittää saamaan jopa kurittoman Pokémonin tottelemaan sitä. Sillä on teräsrunko ja -sydän. Se työskenteli liittolaistensa kanssa rangaistakseen ihmisiä, kun he satuttivat Pokémoneja. Tämä Pokémon esiintyy legendassa Terrakionin ja Virizionin rinnalla taistelemassa ihmisiä vastaan ​​puolustaakseen Unova-alueen Pokémoneja. Syntymästään lähtien tämä Pokémon säteilee johtajan olemusta. Sen läsnäolo rauhoittaa jopa ilkeät viholliset.</t>
        </is>
      </c>
    </row>
    <row r="13016" ht="33.75" customHeight="1">
      <c r="A13016" s="7">
        <v>638.0</v>
      </c>
      <c r="B13016" s="9" t="s">
        <v>17893</v>
      </c>
      <c r="C13016" s="9" t="s">
        <v>17894</v>
      </c>
      <c r="D13016" s="9" t="s">
        <v>95</v>
      </c>
      <c r="E13016" s="6" t="s">
        <v>17896</v>
      </c>
      <c r="F13016" s="9"/>
    </row>
    <row r="13017" ht="33.75" customHeight="1">
      <c r="A13017" s="7">
        <v>638.0</v>
      </c>
      <c r="B13017" s="9" t="s">
        <v>17893</v>
      </c>
      <c r="C13017" s="9" t="s">
        <v>17894</v>
      </c>
      <c r="D13017" s="9" t="s">
        <v>98</v>
      </c>
      <c r="E13017" s="6" t="s">
        <v>17898</v>
      </c>
      <c r="F13017" s="9"/>
    </row>
    <row r="13018" ht="33.75" customHeight="1">
      <c r="A13018" s="7">
        <v>638.0</v>
      </c>
      <c r="B13018" s="9" t="s">
        <v>17893</v>
      </c>
      <c r="C13018" s="9" t="s">
        <v>17894</v>
      </c>
      <c r="D13018" s="9" t="s">
        <v>99</v>
      </c>
      <c r="E13018" s="6" t="s">
        <v>17898</v>
      </c>
      <c r="F13018" s="9"/>
    </row>
    <row r="13019" ht="33.75" customHeight="1">
      <c r="A13019" s="7">
        <v>638.0</v>
      </c>
      <c r="B13019" s="9" t="s">
        <v>17893</v>
      </c>
      <c r="C13019" s="9" t="s">
        <v>17894</v>
      </c>
      <c r="D13019" s="9" t="s">
        <v>101</v>
      </c>
      <c r="E13019" s="6" t="s">
        <v>17896</v>
      </c>
      <c r="F13019" s="9"/>
    </row>
    <row r="13020" ht="33.75" customHeight="1">
      <c r="A13020" s="7">
        <v>638.0</v>
      </c>
      <c r="B13020" s="9" t="s">
        <v>17893</v>
      </c>
      <c r="C13020" s="9" t="s">
        <v>17894</v>
      </c>
      <c r="D13020" s="9" t="s">
        <v>105</v>
      </c>
      <c r="E13020" s="6" t="s">
        <v>17898</v>
      </c>
      <c r="F13020" s="9"/>
    </row>
    <row r="13021" ht="33.75" customHeight="1">
      <c r="A13021" s="7">
        <v>638.0</v>
      </c>
      <c r="B13021" s="9" t="s">
        <v>17893</v>
      </c>
      <c r="C13021" s="9" t="s">
        <v>17894</v>
      </c>
      <c r="D13021" s="9" t="s">
        <v>107</v>
      </c>
      <c r="E13021" s="6" t="s">
        <v>17896</v>
      </c>
      <c r="F13021" s="9"/>
    </row>
    <row r="13022" ht="33.75" customHeight="1">
      <c r="A13022" s="7">
        <v>638.0</v>
      </c>
      <c r="B13022" s="9" t="s">
        <v>17893</v>
      </c>
      <c r="C13022" s="9" t="s">
        <v>17894</v>
      </c>
      <c r="D13022" s="9" t="s">
        <v>109</v>
      </c>
      <c r="E13022" s="6" t="s">
        <v>17898</v>
      </c>
      <c r="F13022" s="9"/>
    </row>
    <row r="13023" ht="33.75" customHeight="1">
      <c r="A13023" s="7">
        <v>638.0</v>
      </c>
      <c r="B13023" s="9" t="s">
        <v>17893</v>
      </c>
      <c r="C13023" s="9" t="s">
        <v>17894</v>
      </c>
      <c r="D13023" s="9" t="s">
        <v>114</v>
      </c>
      <c r="E13023" s="6" t="s">
        <v>17899</v>
      </c>
      <c r="F13023" s="9"/>
    </row>
    <row r="13024" ht="33.75" customHeight="1">
      <c r="A13024" s="7">
        <v>638.0</v>
      </c>
      <c r="B13024" s="9" t="s">
        <v>17893</v>
      </c>
      <c r="C13024" s="9" t="s">
        <v>17894</v>
      </c>
      <c r="D13024" s="9" t="s">
        <v>117</v>
      </c>
      <c r="E13024" s="6" t="s">
        <v>17900</v>
      </c>
      <c r="F13024" s="9"/>
    </row>
    <row r="13025" ht="33.75" customHeight="1">
      <c r="A13025" s="7">
        <v>639.0</v>
      </c>
      <c r="B13025" s="9" t="s">
        <v>17901</v>
      </c>
      <c r="C13025" s="9" t="s">
        <v>16185</v>
      </c>
      <c r="D13025" s="9" t="s">
        <v>93</v>
      </c>
      <c r="E13025" s="6" t="s">
        <v>17902</v>
      </c>
      <c r="F13025" t="inlineStr" s="10">
        <is>
          <t xml:space="preserve">Tämä Pokémon tuli puolustamaan Pokémoneja, jotka olivat menettäneet kotinsa ihmisten välisessä sodassa. Sen latauksen voima on riittävä murtamaan jättimäisen linnan muurin läpi yhdellä iskulla. Tästä Pokémonista kerrotaan legendoissa. Legendan mukaan tämä Pokémon käytti ilmiömäistä voimaansa tuhotakseen linnan suojellakseen Pokémoneja. Sillä on ilmiömäinen voima. Se murskaa armottomasti kenet tahansa tai minkä tahansa, joka kiusaa pieniä Pokémoneja. Unovanin legendan mukaan Terrakion taisteli ihmisiä vastaan ​​suojellakseen muita Pokémoneja.</t>
        </is>
      </c>
    </row>
    <row r="13026" ht="33.75" customHeight="1">
      <c r="A13026" s="7">
        <v>639.0</v>
      </c>
      <c r="B13026" s="9" t="s">
        <v>17901</v>
      </c>
      <c r="C13026" s="9" t="s">
        <v>16185</v>
      </c>
      <c r="D13026" s="9" t="s">
        <v>95</v>
      </c>
      <c r="E13026" s="6" t="s">
        <v>17903</v>
      </c>
      <c r="F13026" s="9"/>
    </row>
    <row r="13027" ht="33.75" customHeight="1">
      <c r="A13027" s="7">
        <v>639.0</v>
      </c>
      <c r="B13027" s="9" t="s">
        <v>17901</v>
      </c>
      <c r="C13027" s="9" t="s">
        <v>16185</v>
      </c>
      <c r="D13027" s="9" t="s">
        <v>98</v>
      </c>
      <c r="E13027" s="6" t="s">
        <v>17904</v>
      </c>
      <c r="F13027" s="9"/>
    </row>
    <row r="13028" ht="33.75" customHeight="1">
      <c r="A13028" s="7">
        <v>639.0</v>
      </c>
      <c r="B13028" s="9" t="s">
        <v>17901</v>
      </c>
      <c r="C13028" s="9" t="s">
        <v>16185</v>
      </c>
      <c r="D13028" s="9" t="s">
        <v>99</v>
      </c>
      <c r="E13028" s="6" t="s">
        <v>17904</v>
      </c>
      <c r="F13028" s="9"/>
    </row>
    <row r="13029" ht="33.75" customHeight="1">
      <c r="A13029" s="7">
        <v>639.0</v>
      </c>
      <c r="B13029" s="9" t="s">
        <v>17901</v>
      </c>
      <c r="C13029" s="9" t="s">
        <v>16185</v>
      </c>
      <c r="D13029" s="9" t="s">
        <v>101</v>
      </c>
      <c r="E13029" s="6" t="s">
        <v>17903</v>
      </c>
      <c r="F13029" s="9"/>
    </row>
    <row r="13030" ht="33.75" customHeight="1">
      <c r="A13030" s="7">
        <v>639.0</v>
      </c>
      <c r="B13030" s="9" t="s">
        <v>17901</v>
      </c>
      <c r="C13030" s="9" t="s">
        <v>16185</v>
      </c>
      <c r="D13030" s="9" t="s">
        <v>105</v>
      </c>
      <c r="E13030" s="6" t="s">
        <v>17904</v>
      </c>
      <c r="F13030" s="9"/>
    </row>
    <row r="13031" ht="33.75" customHeight="1">
      <c r="A13031" s="7">
        <v>639.0</v>
      </c>
      <c r="B13031" s="9" t="s">
        <v>17901</v>
      </c>
      <c r="C13031" s="9" t="s">
        <v>16185</v>
      </c>
      <c r="D13031" s="9" t="s">
        <v>107</v>
      </c>
      <c r="E13031" s="6" t="s">
        <v>17903</v>
      </c>
      <c r="F13031" s="9"/>
    </row>
    <row r="13032" ht="33.75" customHeight="1">
      <c r="A13032" s="7">
        <v>639.0</v>
      </c>
      <c r="B13032" s="9" t="s">
        <v>17901</v>
      </c>
      <c r="C13032" s="9" t="s">
        <v>16185</v>
      </c>
      <c r="D13032" s="9" t="s">
        <v>109</v>
      </c>
      <c r="E13032" s="6" t="s">
        <v>17904</v>
      </c>
      <c r="F13032" s="9"/>
    </row>
    <row r="13033" ht="33.75" customHeight="1">
      <c r="A13033" s="7">
        <v>639.0</v>
      </c>
      <c r="B13033" s="9" t="s">
        <v>17901</v>
      </c>
      <c r="C13033" s="9" t="s">
        <v>16185</v>
      </c>
      <c r="D13033" s="9" t="s">
        <v>114</v>
      </c>
      <c r="E13033" s="6" t="s">
        <v>17906</v>
      </c>
      <c r="F13033" s="9"/>
    </row>
    <row r="13034" ht="33.75" customHeight="1">
      <c r="A13034" s="7">
        <v>639.0</v>
      </c>
      <c r="B13034" s="9" t="s">
        <v>17901</v>
      </c>
      <c r="C13034" s="9" t="s">
        <v>16185</v>
      </c>
      <c r="D13034" s="9" t="s">
        <v>117</v>
      </c>
      <c r="E13034" s="6" t="s">
        <v>17907</v>
      </c>
      <c r="F13034" s="9"/>
    </row>
    <row r="13035" ht="33.75" customHeight="1">
      <c r="A13035" s="7">
        <v>640.0</v>
      </c>
      <c r="B13035" s="9" t="s">
        <v>17908</v>
      </c>
      <c r="C13035" s="9" t="s">
        <v>17909</v>
      </c>
      <c r="D13035" s="9" t="s">
        <v>93</v>
      </c>
      <c r="E13035" s="6" t="s">
        <v>17910</v>
      </c>
      <c r="F13035" t="inlineStr" s="10">
        <is>
          <t xml:space="preserve">Tämä Pokémon taisteli ihmisiä vastaan ​​suojellakseen ystäviään. Siitä kertovat legendat kulkevat edelleen sukupolvelta toiselle. Sen päässä kasvaa terävät sarvet. Pyörretuulen kaltaisilla liikkeillä se hämmentää ja viiltää vastustajia nopeasti. Legendojen mukaan tämä Pokémon hämmensi vastustajia nopeilla liikkeillään. Legendan mukaan tämä Pokémon työskentelee yhdessä Cobalionin ja Terrakionin kanssa suojellakseen Unova-alueen Pokémoneja. Se syöksyy vastustajien ympäri nopeilla liikkeillä ja viiltää heidät sarvillaan.</t>
        </is>
      </c>
    </row>
    <row r="13036" ht="33.75" customHeight="1">
      <c r="A13036" s="7">
        <v>640.0</v>
      </c>
      <c r="B13036" s="9" t="s">
        <v>17908</v>
      </c>
      <c r="C13036" s="9" t="s">
        <v>17909</v>
      </c>
      <c r="D13036" s="9" t="s">
        <v>95</v>
      </c>
      <c r="E13036" s="6" t="s">
        <v>17911</v>
      </c>
      <c r="F13036" s="9"/>
    </row>
    <row r="13037" ht="33.75" customHeight="1">
      <c r="A13037" s="7">
        <v>640.0</v>
      </c>
      <c r="B13037" s="9" t="s">
        <v>17908</v>
      </c>
      <c r="C13037" s="9" t="s">
        <v>17909</v>
      </c>
      <c r="D13037" s="9" t="s">
        <v>98</v>
      </c>
      <c r="E13037" s="6" t="s">
        <v>17912</v>
      </c>
      <c r="F13037" s="9"/>
    </row>
    <row r="13038" ht="33.75" customHeight="1">
      <c r="A13038" s="7">
        <v>640.0</v>
      </c>
      <c r="B13038" s="9" t="s">
        <v>17908</v>
      </c>
      <c r="C13038" s="9" t="s">
        <v>17909</v>
      </c>
      <c r="D13038" s="9" t="s">
        <v>99</v>
      </c>
      <c r="E13038" s="6" t="s">
        <v>17912</v>
      </c>
      <c r="F13038" s="9"/>
    </row>
    <row r="13039" ht="33.75" customHeight="1">
      <c r="A13039" s="7">
        <v>640.0</v>
      </c>
      <c r="B13039" s="9" t="s">
        <v>17908</v>
      </c>
      <c r="C13039" s="9" t="s">
        <v>17909</v>
      </c>
      <c r="D13039" s="9" t="s">
        <v>101</v>
      </c>
      <c r="E13039" s="6" t="s">
        <v>17911</v>
      </c>
      <c r="F13039" s="9"/>
    </row>
    <row r="13040" ht="33.75" customHeight="1">
      <c r="A13040" s="7">
        <v>640.0</v>
      </c>
      <c r="B13040" s="9" t="s">
        <v>17908</v>
      </c>
      <c r="C13040" s="9" t="s">
        <v>17909</v>
      </c>
      <c r="D13040" s="9" t="s">
        <v>105</v>
      </c>
      <c r="E13040" s="6" t="s">
        <v>17912</v>
      </c>
      <c r="F13040" s="9"/>
    </row>
    <row r="13041" ht="33.75" customHeight="1">
      <c r="A13041" s="7">
        <v>640.0</v>
      </c>
      <c r="B13041" s="9" t="s">
        <v>17908</v>
      </c>
      <c r="C13041" s="9" t="s">
        <v>17909</v>
      </c>
      <c r="D13041" s="9" t="s">
        <v>107</v>
      </c>
      <c r="E13041" s="6" t="s">
        <v>17911</v>
      </c>
      <c r="F13041" s="9"/>
    </row>
    <row r="13042" ht="33.75" customHeight="1">
      <c r="A13042" s="7">
        <v>640.0</v>
      </c>
      <c r="B13042" s="9" t="s">
        <v>17908</v>
      </c>
      <c r="C13042" s="9" t="s">
        <v>17909</v>
      </c>
      <c r="D13042" s="9" t="s">
        <v>109</v>
      </c>
      <c r="E13042" s="6" t="s">
        <v>17912</v>
      </c>
      <c r="F13042" s="9"/>
    </row>
    <row r="13043" ht="33.75" customHeight="1">
      <c r="A13043" s="7">
        <v>640.0</v>
      </c>
      <c r="B13043" s="9" t="s">
        <v>17908</v>
      </c>
      <c r="C13043" s="9" t="s">
        <v>17909</v>
      </c>
      <c r="D13043" s="9" t="s">
        <v>114</v>
      </c>
      <c r="E13043" s="6" t="s">
        <v>17913</v>
      </c>
      <c r="F13043" s="9"/>
    </row>
    <row r="13044" ht="33.75" customHeight="1">
      <c r="A13044" s="7">
        <v>640.0</v>
      </c>
      <c r="B13044" s="9" t="s">
        <v>17908</v>
      </c>
      <c r="C13044" s="9" t="s">
        <v>17909</v>
      </c>
      <c r="D13044" s="9" t="s">
        <v>117</v>
      </c>
      <c r="E13044" s="6" t="s">
        <v>17914</v>
      </c>
      <c r="F13044" s="9"/>
    </row>
    <row r="13045" ht="33.75" customHeight="1">
      <c r="A13045" s="7">
        <v>641.0</v>
      </c>
      <c r="B13045" s="9" t="s">
        <v>17915</v>
      </c>
      <c r="C13045" s="9" t="s">
        <v>17916</v>
      </c>
      <c r="D13045" s="9" t="s">
        <v>93</v>
      </c>
      <c r="E13045" s="6" t="s">
        <v>17917</v>
      </c>
      <c r="F13045" t="inlineStr" s="10">
        <is>
          <t xml:space="preserve">Tornadusin ruumiin alaosa on energiapilven ympäröimä. Se kiitää taivaan halki 320 km/h nopeudella. Tornadus purkaa pyrstöstään valtavasti energiaa aiheuttaen ankaria myrskyjä. Sen voima on niin suuri, että se voi räjäyttää taloja pois. Se lentää joka suuntaan ja luo niin voimakkaita tuulia, että ne puhaltavat kaiken pois. Tämän myrskyjä lietsovan Pokémonin sanotaan aiheuttavan vuodenaikojen vaihtumisen piiskaamalla ilmaa. Epäilen sen ihmismäisen muodon olevan valehahmo.</t>
        </is>
      </c>
    </row>
    <row r="13046" ht="33.75" customHeight="1">
      <c r="A13046" s="7">
        <v>641.0</v>
      </c>
      <c r="B13046" s="9" t="s">
        <v>17915</v>
      </c>
      <c r="C13046" s="9" t="s">
        <v>17916</v>
      </c>
      <c r="D13046" s="9" t="s">
        <v>95</v>
      </c>
      <c r="E13046" s="6" t="s">
        <v>17918</v>
      </c>
      <c r="F13046" s="9"/>
    </row>
    <row r="13047" ht="33.75" customHeight="1">
      <c r="A13047" s="7">
        <v>641.0</v>
      </c>
      <c r="B13047" s="9" t="s">
        <v>17915</v>
      </c>
      <c r="C13047" s="9" t="s">
        <v>17916</v>
      </c>
      <c r="D13047" s="9" t="s">
        <v>98</v>
      </c>
      <c r="E13047" s="6" t="s">
        <v>17919</v>
      </c>
      <c r="F13047" s="9"/>
    </row>
    <row r="13048" ht="33.75" customHeight="1">
      <c r="A13048" s="7">
        <v>641.0</v>
      </c>
      <c r="B13048" s="9" t="s">
        <v>17915</v>
      </c>
      <c r="C13048" s="9" t="s">
        <v>17916</v>
      </c>
      <c r="D13048" s="9" t="s">
        <v>99</v>
      </c>
      <c r="E13048" s="6" t="s">
        <v>17919</v>
      </c>
      <c r="F13048" s="9"/>
    </row>
    <row r="13049" ht="33.75" customHeight="1">
      <c r="A13049" s="7">
        <v>641.0</v>
      </c>
      <c r="B13049" s="9" t="s">
        <v>17915</v>
      </c>
      <c r="C13049" s="9" t="s">
        <v>17916</v>
      </c>
      <c r="D13049" s="9" t="s">
        <v>101</v>
      </c>
      <c r="E13049" s="6" t="s">
        <v>17917</v>
      </c>
      <c r="F13049" s="9"/>
    </row>
    <row r="13050" ht="33.75" customHeight="1">
      <c r="A13050" s="7">
        <v>641.0</v>
      </c>
      <c r="B13050" s="9" t="s">
        <v>17915</v>
      </c>
      <c r="C13050" s="9" t="s">
        <v>17916</v>
      </c>
      <c r="D13050" s="9" t="s">
        <v>105</v>
      </c>
      <c r="E13050" s="6" t="s">
        <v>17918</v>
      </c>
      <c r="F13050" s="9"/>
    </row>
    <row r="13051" ht="33.75" customHeight="1">
      <c r="A13051" s="7">
        <v>641.0</v>
      </c>
      <c r="B13051" s="9" t="s">
        <v>17915</v>
      </c>
      <c r="C13051" s="9" t="s">
        <v>17916</v>
      </c>
      <c r="D13051" s="9" t="s">
        <v>107</v>
      </c>
      <c r="E13051" s="6" t="s">
        <v>17917</v>
      </c>
      <c r="F13051" s="9"/>
    </row>
    <row r="13052" ht="33.75" customHeight="1">
      <c r="A13052" s="7">
        <v>641.0</v>
      </c>
      <c r="B13052" s="9" t="s">
        <v>17915</v>
      </c>
      <c r="C13052" s="9" t="s">
        <v>17916</v>
      </c>
      <c r="D13052" s="9" t="s">
        <v>109</v>
      </c>
      <c r="E13052" s="6" t="s">
        <v>17918</v>
      </c>
      <c r="F13052" s="9"/>
    </row>
    <row r="13053" ht="33.75" customHeight="1">
      <c r="A13053" s="7">
        <v>641.0</v>
      </c>
      <c r="B13053" s="9" t="s">
        <v>17915</v>
      </c>
      <c r="C13053" s="9" t="s">
        <v>17916</v>
      </c>
      <c r="D13053" s="9" t="s">
        <v>1577</v>
      </c>
      <c r="E13053" s="6" t="s">
        <v>17921</v>
      </c>
      <c r="F13053" s="9"/>
    </row>
    <row r="13054" ht="33.75" customHeight="1">
      <c r="A13054" s="7">
        <v>642.0</v>
      </c>
      <c r="B13054" s="9" t="s">
        <v>17922</v>
      </c>
      <c r="C13054" s="9" t="s">
        <v>17923</v>
      </c>
      <c r="D13054" s="9" t="s">
        <v>93</v>
      </c>
      <c r="E13054" s="6" t="s">
        <v>17924</v>
      </c>
      <c r="F13054" t="inlineStr" s="10">
        <is>
          <t xml:space="preserve">Lukemattomat hiiltyneet jäänteet turmelevat maisemaa paikoissa, joiden läpi Thundurus on kulkenut. Sen pyrstön piikit lähettävät valtavia salamoita. Se lentää Unova-alueen ympäri ampuen salamoita. Se lentää ympäriinsä ja ampuu salamoita kaikkialle aiheuttaen metsäpaloja. Siksi sitä ei pidetä hyvänä. Sanotaan, että tämä sähkönkantaja on käynyt sotaa arkkivihollisensa Tornaduksen kanssa muinaisista ajoista lähtien. Sen sinkoamat salamat lävistävät maan ja rikastuttavat maaperää.</t>
        </is>
      </c>
    </row>
    <row r="13055" ht="33.75" customHeight="1">
      <c r="A13055" s="7">
        <v>642.0</v>
      </c>
      <c r="B13055" s="9" t="s">
        <v>17922</v>
      </c>
      <c r="C13055" s="9" t="s">
        <v>17923</v>
      </c>
      <c r="D13055" s="9" t="s">
        <v>95</v>
      </c>
      <c r="E13055" s="6" t="s">
        <v>17925</v>
      </c>
      <c r="F13055" s="9"/>
    </row>
    <row r="13056" ht="33.75" customHeight="1">
      <c r="A13056" s="7">
        <v>642.0</v>
      </c>
      <c r="B13056" s="9" t="s">
        <v>17922</v>
      </c>
      <c r="C13056" s="9" t="s">
        <v>17923</v>
      </c>
      <c r="D13056" s="9" t="s">
        <v>98</v>
      </c>
      <c r="E13056" s="6" t="s">
        <v>17926</v>
      </c>
      <c r="F13056" s="9"/>
    </row>
    <row r="13057" ht="33.75" customHeight="1">
      <c r="A13057" s="7">
        <v>642.0</v>
      </c>
      <c r="B13057" s="9" t="s">
        <v>17922</v>
      </c>
      <c r="C13057" s="9" t="s">
        <v>17923</v>
      </c>
      <c r="D13057" s="9" t="s">
        <v>99</v>
      </c>
      <c r="E13057" s="6" t="s">
        <v>17926</v>
      </c>
      <c r="F13057" s="9"/>
    </row>
    <row r="13058" ht="33.75" customHeight="1">
      <c r="A13058" s="7">
        <v>642.0</v>
      </c>
      <c r="B13058" s="9" t="s">
        <v>17922</v>
      </c>
      <c r="C13058" s="9" t="s">
        <v>17923</v>
      </c>
      <c r="D13058" s="9" t="s">
        <v>101</v>
      </c>
      <c r="E13058" s="6" t="s">
        <v>17925</v>
      </c>
      <c r="F13058" s="9"/>
    </row>
    <row r="13059" ht="33.75" customHeight="1">
      <c r="A13059" s="7">
        <v>642.0</v>
      </c>
      <c r="B13059" s="9" t="s">
        <v>17922</v>
      </c>
      <c r="C13059" s="9" t="s">
        <v>17923</v>
      </c>
      <c r="D13059" s="9" t="s">
        <v>105</v>
      </c>
      <c r="E13059" s="6" t="s">
        <v>17926</v>
      </c>
      <c r="F13059" s="9"/>
    </row>
    <row r="13060" ht="33.75" customHeight="1">
      <c r="A13060" s="7">
        <v>642.0</v>
      </c>
      <c r="B13060" s="9" t="s">
        <v>17922</v>
      </c>
      <c r="C13060" s="9" t="s">
        <v>17923</v>
      </c>
      <c r="D13060" s="9" t="s">
        <v>107</v>
      </c>
      <c r="E13060" s="6" t="s">
        <v>17925</v>
      </c>
      <c r="F13060" s="9"/>
    </row>
    <row r="13061" ht="33.75" customHeight="1">
      <c r="A13061" s="7">
        <v>642.0</v>
      </c>
      <c r="B13061" s="9" t="s">
        <v>17922</v>
      </c>
      <c r="C13061" s="9" t="s">
        <v>17923</v>
      </c>
      <c r="D13061" s="9" t="s">
        <v>109</v>
      </c>
      <c r="E13061" s="6" t="s">
        <v>17926</v>
      </c>
      <c r="F13061" s="9"/>
    </row>
    <row r="13062" ht="33.75" customHeight="1">
      <c r="A13062" s="7">
        <v>642.0</v>
      </c>
      <c r="B13062" s="9" t="s">
        <v>17922</v>
      </c>
      <c r="C13062" s="9" t="s">
        <v>17923</v>
      </c>
      <c r="D13062" s="9" t="s">
        <v>1577</v>
      </c>
      <c r="E13062" s="6" t="s">
        <v>17927</v>
      </c>
      <c r="F13062" s="9"/>
    </row>
    <row r="13063" ht="33.75" customHeight="1">
      <c r="A13063" s="7">
        <v>643.0</v>
      </c>
      <c r="B13063" s="9" t="s">
        <v>17928</v>
      </c>
      <c r="C13063" s="9" t="s">
        <v>17929</v>
      </c>
      <c r="D13063" s="9" t="s">
        <v>93</v>
      </c>
      <c r="E13063" s="6" t="s">
        <v>17930</v>
      </c>
      <c r="F13063" t="inlineStr" s="10">
        <is>
          <t xml:space="preserve">Tämä Pokémon esiintyy legendoissa. Se lähettää liekkejä ilmaan pyrstöstään ja polttaa kaiken ympärillään. Kun Reshiramin pyrstö leimahtaa, lämpöenergia liikuttaa ilmakehää ja muuttaa maailman säätä. Tämä legendaarinen Pokémon voi polttaa maailman tulella. Se auttaa niitä, jotka haluavat rakentaa totuuden maailman. Liekit sylkevät sen pyrstöstä sen lentäessä taivaalla kuin suihkukone. Sanotaan, että tämä Pokémon polttaa maailman. Myytin mukaan, jos ihmiset jättävät totuuden huomiotta ja antavat ahneuden vallata itsensä, Reshiram saapuu polttamaan heidän valtakuntansa maan tasalle.</t>
        </is>
      </c>
    </row>
    <row r="13064" ht="33.75" customHeight="1">
      <c r="A13064" s="7">
        <v>643.0</v>
      </c>
      <c r="B13064" s="9" t="s">
        <v>17928</v>
      </c>
      <c r="C13064" s="9" t="s">
        <v>17929</v>
      </c>
      <c r="D13064" s="9" t="s">
        <v>95</v>
      </c>
      <c r="E13064" s="6" t="s">
        <v>17931</v>
      </c>
      <c r="F13064" s="9"/>
    </row>
    <row r="13065" ht="33.75" customHeight="1">
      <c r="A13065" s="7">
        <v>643.0</v>
      </c>
      <c r="B13065" s="9" t="s">
        <v>17928</v>
      </c>
      <c r="C13065" s="9" t="s">
        <v>17929</v>
      </c>
      <c r="D13065" s="9" t="s">
        <v>98</v>
      </c>
      <c r="E13065" s="6" t="s">
        <v>17932</v>
      </c>
      <c r="F13065" s="9"/>
    </row>
    <row r="13066" ht="33.75" customHeight="1">
      <c r="A13066" s="7">
        <v>643.0</v>
      </c>
      <c r="B13066" s="9" t="s">
        <v>17928</v>
      </c>
      <c r="C13066" s="9" t="s">
        <v>17929</v>
      </c>
      <c r="D13066" s="9" t="s">
        <v>99</v>
      </c>
      <c r="E13066" s="6" t="s">
        <v>17932</v>
      </c>
      <c r="F13066" s="9"/>
    </row>
    <row r="13067" ht="33.75" customHeight="1">
      <c r="A13067" s="7">
        <v>643.0</v>
      </c>
      <c r="B13067" s="9" t="s">
        <v>17928</v>
      </c>
      <c r="C13067" s="9" t="s">
        <v>17929</v>
      </c>
      <c r="D13067" s="9" t="s">
        <v>101</v>
      </c>
      <c r="E13067" s="6" t="s">
        <v>17932</v>
      </c>
      <c r="F13067" s="9"/>
    </row>
    <row r="13068" ht="33.75" customHeight="1">
      <c r="A13068" s="7">
        <v>643.0</v>
      </c>
      <c r="B13068" s="9" t="s">
        <v>17928</v>
      </c>
      <c r="C13068" s="9" t="s">
        <v>17929</v>
      </c>
      <c r="D13068" s="9" t="s">
        <v>105</v>
      </c>
      <c r="E13068" s="6" t="s">
        <v>17931</v>
      </c>
      <c r="F13068" s="9"/>
    </row>
    <row r="13069" ht="33.75" customHeight="1">
      <c r="A13069" s="7">
        <v>643.0</v>
      </c>
      <c r="B13069" s="9" t="s">
        <v>17928</v>
      </c>
      <c r="C13069" s="9" t="s">
        <v>17929</v>
      </c>
      <c r="D13069" s="9" t="s">
        <v>107</v>
      </c>
      <c r="E13069" s="6" t="s">
        <v>17932</v>
      </c>
      <c r="F13069" s="9"/>
    </row>
    <row r="13070" ht="33.75" customHeight="1">
      <c r="A13070" s="7">
        <v>643.0</v>
      </c>
      <c r="B13070" s="9" t="s">
        <v>17928</v>
      </c>
      <c r="C13070" s="9" t="s">
        <v>17929</v>
      </c>
      <c r="D13070" s="9" t="s">
        <v>109</v>
      </c>
      <c r="E13070" s="6" t="s">
        <v>17931</v>
      </c>
      <c r="F13070" s="9"/>
    </row>
    <row r="13071" ht="33.75" customHeight="1">
      <c r="A13071" s="7">
        <v>643.0</v>
      </c>
      <c r="B13071" s="9" t="s">
        <v>17928</v>
      </c>
      <c r="C13071" s="9" t="s">
        <v>17929</v>
      </c>
      <c r="D13071" s="9" t="s">
        <v>114</v>
      </c>
      <c r="E13071" s="6" t="s">
        <v>17933</v>
      </c>
      <c r="F13071" s="9"/>
    </row>
    <row r="13072" ht="33.75" customHeight="1">
      <c r="A13072" s="7">
        <v>643.0</v>
      </c>
      <c r="B13072" s="9" t="s">
        <v>17928</v>
      </c>
      <c r="C13072" s="9" t="s">
        <v>17929</v>
      </c>
      <c r="D13072" s="9" t="s">
        <v>117</v>
      </c>
      <c r="E13072" s="6" t="s">
        <v>17934</v>
      </c>
      <c r="F13072" s="9"/>
    </row>
    <row r="13073" ht="33.75" customHeight="1">
      <c r="A13073" s="7">
        <v>644.0</v>
      </c>
      <c r="B13073" s="9" t="s">
        <v>17935</v>
      </c>
      <c r="C13073" s="9" t="s">
        <v>17936</v>
      </c>
      <c r="D13073" s="9" t="s">
        <v>93</v>
      </c>
      <c r="E13073" s="6" t="s">
        <v>17937</v>
      </c>
      <c r="F13073" t="inlineStr" s="10">
        <is>
          <t xml:space="preserve">Zekrom kätkeytyy salamapilviin ja lentää Unovan alueella. Se luo sähköä pyrstössään. Tämä Pokémon esiintyy legendoissa. Sen pyrstössä on jättimäinen generaattori, joka tuottaa sähköä. Tämä legendaarinen Pokémon voi polttaa maailman salamoilla. Se auttaa niitä, jotka haluavat rakentaa ihanteellisen maailman. Kun Zekromin pyrstön sisäosa pyörii moottorin tavoin, se voi tuottaa useita salamoita räjäyttääkseen ympäristönsä. Mytologia kertoo meille, että jos ihmiset menettävät sydämensä vanhurskauden, Zekromin salama tuhoaa heidän valtakuntansa.</t>
        </is>
      </c>
    </row>
    <row r="13074" ht="33.75" customHeight="1">
      <c r="A13074" s="7">
        <v>644.0</v>
      </c>
      <c r="B13074" s="9" t="s">
        <v>17935</v>
      </c>
      <c r="C13074" s="9" t="s">
        <v>17936</v>
      </c>
      <c r="D13074" s="9" t="s">
        <v>95</v>
      </c>
      <c r="E13074" s="6" t="s">
        <v>17938</v>
      </c>
      <c r="F13074" s="9"/>
    </row>
    <row r="13075" ht="33.75" customHeight="1">
      <c r="A13075" s="7">
        <v>644.0</v>
      </c>
      <c r="B13075" s="9" t="s">
        <v>17935</v>
      </c>
      <c r="C13075" s="9" t="s">
        <v>17936</v>
      </c>
      <c r="D13075" s="9" t="s">
        <v>98</v>
      </c>
      <c r="E13075" s="6" t="s">
        <v>17940</v>
      </c>
      <c r="F13075" s="9"/>
    </row>
    <row r="13076" ht="33.75" customHeight="1">
      <c r="A13076" s="7">
        <v>644.0</v>
      </c>
      <c r="B13076" s="9" t="s">
        <v>17935</v>
      </c>
      <c r="C13076" s="9" t="s">
        <v>17936</v>
      </c>
      <c r="D13076" s="9" t="s">
        <v>99</v>
      </c>
      <c r="E13076" s="6" t="s">
        <v>17940</v>
      </c>
      <c r="F13076" s="9"/>
    </row>
    <row r="13077" ht="33.75" customHeight="1">
      <c r="A13077" s="7">
        <v>644.0</v>
      </c>
      <c r="B13077" s="9" t="s">
        <v>17935</v>
      </c>
      <c r="C13077" s="9" t="s">
        <v>17936</v>
      </c>
      <c r="D13077" s="9" t="s">
        <v>101</v>
      </c>
      <c r="E13077" s="6" t="s">
        <v>17940</v>
      </c>
      <c r="F13077" s="9"/>
    </row>
    <row r="13078" ht="33.75" customHeight="1">
      <c r="A13078" s="7">
        <v>644.0</v>
      </c>
      <c r="B13078" s="9" t="s">
        <v>17935</v>
      </c>
      <c r="C13078" s="9" t="s">
        <v>17936</v>
      </c>
      <c r="D13078" s="9" t="s">
        <v>105</v>
      </c>
      <c r="E13078" s="6" t="s">
        <v>17937</v>
      </c>
      <c r="F13078" s="9"/>
    </row>
    <row r="13079" ht="33.75" customHeight="1">
      <c r="A13079" s="7">
        <v>644.0</v>
      </c>
      <c r="B13079" s="9" t="s">
        <v>17935</v>
      </c>
      <c r="C13079" s="9" t="s">
        <v>17936</v>
      </c>
      <c r="D13079" s="9" t="s">
        <v>107</v>
      </c>
      <c r="E13079" s="6" t="s">
        <v>17940</v>
      </c>
      <c r="F13079" s="9"/>
    </row>
    <row r="13080" ht="33.75" customHeight="1">
      <c r="A13080" s="7">
        <v>644.0</v>
      </c>
      <c r="B13080" s="9" t="s">
        <v>17935</v>
      </c>
      <c r="C13080" s="9" t="s">
        <v>17936</v>
      </c>
      <c r="D13080" s="9" t="s">
        <v>109</v>
      </c>
      <c r="E13080" s="6" t="s">
        <v>17937</v>
      </c>
      <c r="F13080" s="9"/>
    </row>
    <row r="13081" ht="33.75" customHeight="1">
      <c r="A13081" s="7">
        <v>644.0</v>
      </c>
      <c r="B13081" s="9" t="s">
        <v>17935</v>
      </c>
      <c r="C13081" s="9" t="s">
        <v>17936</v>
      </c>
      <c r="D13081" s="9" t="s">
        <v>114</v>
      </c>
      <c r="E13081" s="6" t="s">
        <v>17941</v>
      </c>
      <c r="F13081" s="9"/>
    </row>
    <row r="13082" ht="33.75" customHeight="1">
      <c r="A13082" s="7">
        <v>644.0</v>
      </c>
      <c r="B13082" s="9" t="s">
        <v>17935</v>
      </c>
      <c r="C13082" s="9" t="s">
        <v>17936</v>
      </c>
      <c r="D13082" s="9" t="s">
        <v>117</v>
      </c>
      <c r="E13082" s="6" t="s">
        <v>17942</v>
      </c>
      <c r="F13082" s="9"/>
    </row>
    <row r="13083" ht="33.75" customHeight="1">
      <c r="A13083" s="7">
        <v>645.0</v>
      </c>
      <c r="B13083" s="9" t="s">
        <v>17943</v>
      </c>
      <c r="C13083" s="9" t="s">
        <v>17944</v>
      </c>
      <c r="D13083" s="9" t="s">
        <v>93</v>
      </c>
      <c r="E13083" s="6" t="s">
        <v>17945</v>
      </c>
      <c r="F13083" t="inlineStr" s="10">
        <is>
          <t xml:space="preserve">Landoruksen vierailemat maat tarjoavat niin runsaan sadon, että sitä on kutsuttu "peltojen vartijaksi". Sen pyrstöstä purkautuva energia lisää maaperän ravinteita, jolloin sadot kasvavat suuriksi. Salaman ja tuulen voimista se luo energiaa, joka antaa ravinteita maaperälle ja tekee maasta runsaan. Kun tuulen ja salaman inkarnaatiot ottavat yhteen, Landorus saapuu tukahduttamaan konfliktin. Myrskyjen ja ukkosen laantuessa maata siunataan varmasti runsaalla sadolla.</t>
        </is>
      </c>
    </row>
    <row r="13084" ht="33.75" customHeight="1">
      <c r="A13084" s="7">
        <v>645.0</v>
      </c>
      <c r="B13084" s="9" t="s">
        <v>17943</v>
      </c>
      <c r="C13084" s="9" t="s">
        <v>17944</v>
      </c>
      <c r="D13084" s="9" t="s">
        <v>95</v>
      </c>
      <c r="E13084" s="6" t="s">
        <v>17946</v>
      </c>
      <c r="F13084" s="9"/>
    </row>
    <row r="13085" ht="33.75" customHeight="1">
      <c r="A13085" s="7">
        <v>645.0</v>
      </c>
      <c r="B13085" s="9" t="s">
        <v>17943</v>
      </c>
      <c r="C13085" s="9" t="s">
        <v>17944</v>
      </c>
      <c r="D13085" s="9" t="s">
        <v>98</v>
      </c>
      <c r="E13085" s="6" t="s">
        <v>17947</v>
      </c>
      <c r="F13085" s="9"/>
    </row>
    <row r="13086" ht="33.75" customHeight="1">
      <c r="A13086" s="7">
        <v>645.0</v>
      </c>
      <c r="B13086" s="9" t="s">
        <v>17943</v>
      </c>
      <c r="C13086" s="9" t="s">
        <v>17944</v>
      </c>
      <c r="D13086" s="9" t="s">
        <v>99</v>
      </c>
      <c r="E13086" s="6" t="s">
        <v>17947</v>
      </c>
      <c r="F13086" s="9"/>
    </row>
    <row r="13087" ht="33.75" customHeight="1">
      <c r="A13087" s="7">
        <v>645.0</v>
      </c>
      <c r="B13087" s="9" t="s">
        <v>17943</v>
      </c>
      <c r="C13087" s="9" t="s">
        <v>17944</v>
      </c>
      <c r="D13087" s="9" t="s">
        <v>101</v>
      </c>
      <c r="E13087" s="6" t="s">
        <v>17945</v>
      </c>
      <c r="F13087" s="9"/>
    </row>
    <row r="13088" ht="33.75" customHeight="1">
      <c r="A13088" s="7">
        <v>645.0</v>
      </c>
      <c r="B13088" s="9" t="s">
        <v>17943</v>
      </c>
      <c r="C13088" s="9" t="s">
        <v>17944</v>
      </c>
      <c r="D13088" s="9" t="s">
        <v>105</v>
      </c>
      <c r="E13088" s="6" t="s">
        <v>17947</v>
      </c>
      <c r="F13088" s="9"/>
    </row>
    <row r="13089" ht="33.75" customHeight="1">
      <c r="A13089" s="7">
        <v>645.0</v>
      </c>
      <c r="B13089" s="9" t="s">
        <v>17943</v>
      </c>
      <c r="C13089" s="9" t="s">
        <v>17944</v>
      </c>
      <c r="D13089" s="9" t="s">
        <v>107</v>
      </c>
      <c r="E13089" s="6" t="s">
        <v>17945</v>
      </c>
      <c r="F13089" s="9"/>
    </row>
    <row r="13090" ht="33.75" customHeight="1">
      <c r="A13090" s="7">
        <v>645.0</v>
      </c>
      <c r="B13090" s="9" t="s">
        <v>17943</v>
      </c>
      <c r="C13090" s="9" t="s">
        <v>17944</v>
      </c>
      <c r="D13090" s="9" t="s">
        <v>109</v>
      </c>
      <c r="E13090" s="6" t="s">
        <v>17947</v>
      </c>
      <c r="F13090" s="9"/>
    </row>
    <row r="13091" ht="33.75" customHeight="1">
      <c r="A13091" s="7">
        <v>645.0</v>
      </c>
      <c r="B13091" s="9" t="s">
        <v>17943</v>
      </c>
      <c r="C13091" s="9" t="s">
        <v>17944</v>
      </c>
      <c r="D13091" s="9" t="s">
        <v>1577</v>
      </c>
      <c r="E13091" s="6" t="s">
        <v>17948</v>
      </c>
      <c r="F13091" s="9"/>
    </row>
    <row r="13092" ht="33.75" customHeight="1">
      <c r="A13092" s="7">
        <v>646.0</v>
      </c>
      <c r="B13092" s="9" t="s">
        <v>17950</v>
      </c>
      <c r="C13092" s="9" t="s">
        <v>17951</v>
      </c>
      <c r="D13092" s="9" t="s">
        <v>93</v>
      </c>
      <c r="E13092" s="6" t="s">
        <v>17952</v>
      </c>
      <c r="F13092" t="inlineStr" s="10">
        <is>
          <t xml:space="preserve">Kyurem tuottaa sisällään voimakkaan, jäätävän energian, mutta sen ruumis jähmettyi, kun energia vuoti ulos. Se voi tuottaa erittäin kylmää ilmaa. Sen ruumis on jäässä. Tämä legendaarinen jää-Pokémon odottaa sankaria täyttämään sen puuttuvat osat totuudella tai ihanteilla. Sen sisällä asuu voima, joka on jopa suurempi kuin Reshiramin tai Zekromin, mutta äärimmäinen kylmyys pitää tuon voiman sidottuna. Näyttää siltä, ​​että tämä Pokémon käyttää jään yli olevia voimiaan jäädyttääkseen oman kehonsa solurakenteensa vakauttamiseksi.</t>
        </is>
      </c>
    </row>
    <row r="13093" ht="33.75" customHeight="1">
      <c r="A13093" s="7">
        <v>646.0</v>
      </c>
      <c r="B13093" s="9" t="s">
        <v>17950</v>
      </c>
      <c r="C13093" s="9" t="s">
        <v>17951</v>
      </c>
      <c r="D13093" s="9" t="s">
        <v>95</v>
      </c>
      <c r="E13093" s="6" t="s">
        <v>17953</v>
      </c>
      <c r="F13093" s="9"/>
    </row>
    <row r="13094" ht="33.75" customHeight="1">
      <c r="A13094" s="7">
        <v>646.0</v>
      </c>
      <c r="B13094" s="9" t="s">
        <v>17950</v>
      </c>
      <c r="C13094" s="9" t="s">
        <v>17951</v>
      </c>
      <c r="D13094" s="9" t="s">
        <v>98</v>
      </c>
      <c r="E13094" s="6" t="s">
        <v>17954</v>
      </c>
      <c r="F13094" s="9"/>
    </row>
    <row r="13095" ht="33.75" customHeight="1">
      <c r="A13095" s="7">
        <v>646.0</v>
      </c>
      <c r="B13095" s="9" t="s">
        <v>17950</v>
      </c>
      <c r="C13095" s="9" t="s">
        <v>17951</v>
      </c>
      <c r="D13095" s="9" t="s">
        <v>99</v>
      </c>
      <c r="E13095" s="6" t="s">
        <v>17954</v>
      </c>
      <c r="F13095" s="9"/>
    </row>
    <row r="13096" ht="33.75" customHeight="1">
      <c r="A13096" s="7">
        <v>646.0</v>
      </c>
      <c r="B13096" s="9" t="s">
        <v>17950</v>
      </c>
      <c r="C13096" s="9" t="s">
        <v>17951</v>
      </c>
      <c r="D13096" s="9" t="s">
        <v>101</v>
      </c>
      <c r="E13096" s="6" t="s">
        <v>17954</v>
      </c>
      <c r="F13096" s="9"/>
    </row>
    <row r="13097" ht="33.75" customHeight="1">
      <c r="A13097" s="7">
        <v>646.0</v>
      </c>
      <c r="B13097" s="9" t="s">
        <v>17950</v>
      </c>
      <c r="C13097" s="9" t="s">
        <v>17951</v>
      </c>
      <c r="D13097" s="9" t="s">
        <v>105</v>
      </c>
      <c r="E13097" s="6" t="s">
        <v>17952</v>
      </c>
      <c r="F13097" s="9"/>
    </row>
    <row r="13098" ht="33.75" customHeight="1">
      <c r="A13098" s="7">
        <v>646.0</v>
      </c>
      <c r="B13098" s="9" t="s">
        <v>17950</v>
      </c>
      <c r="C13098" s="9" t="s">
        <v>17951</v>
      </c>
      <c r="D13098" s="9" t="s">
        <v>107</v>
      </c>
      <c r="E13098" s="6" t="s">
        <v>17954</v>
      </c>
      <c r="F13098" s="9"/>
    </row>
    <row r="13099" ht="33.75" customHeight="1">
      <c r="A13099" s="7">
        <v>646.0</v>
      </c>
      <c r="B13099" s="9" t="s">
        <v>17950</v>
      </c>
      <c r="C13099" s="9" t="s">
        <v>17951</v>
      </c>
      <c r="D13099" s="9" t="s">
        <v>109</v>
      </c>
      <c r="E13099" s="6" t="s">
        <v>17952</v>
      </c>
      <c r="F13099" s="9"/>
    </row>
    <row r="13100" ht="33.75" customHeight="1">
      <c r="A13100" s="7">
        <v>646.0</v>
      </c>
      <c r="B13100" s="9" t="s">
        <v>17950</v>
      </c>
      <c r="C13100" s="9" t="s">
        <v>17951</v>
      </c>
      <c r="D13100" s="9" t="s">
        <v>114</v>
      </c>
      <c r="E13100" s="6" t="s">
        <v>17955</v>
      </c>
      <c r="F13100" s="9"/>
    </row>
    <row r="13101" ht="33.75" customHeight="1">
      <c r="A13101" s="7">
        <v>646.0</v>
      </c>
      <c r="B13101" s="9" t="s">
        <v>17950</v>
      </c>
      <c r="C13101" s="9" t="s">
        <v>17951</v>
      </c>
      <c r="D13101" s="9" t="s">
        <v>117</v>
      </c>
      <c r="E13101" s="6" t="s">
        <v>17956</v>
      </c>
      <c r="F13101" s="9"/>
    </row>
    <row r="13102" ht="33.75" customHeight="1">
      <c r="A13102" s="7">
        <v>647.0</v>
      </c>
      <c r="B13102" s="9" t="s">
        <v>17957</v>
      </c>
      <c r="C13102" s="9" t="s">
        <v>17958</v>
      </c>
      <c r="D13102" s="9" t="s">
        <v>93</v>
      </c>
      <c r="E13102" s="6" t="s">
        <v>17959</v>
      </c>
      <c r="F13102" t="inlineStr" s="10">
        <is>
          <t xml:space="preserve">Keldeo voi liitää veden päällä puhaltamalla vettä kavioistaan. Se on erinomainen jalkaliikkeiden käyttämisessä taisteluissa. Se kulkee halki maailman, virtaa valtamerien ja jokien pintojen yli. Se ilmestyy luonnonkauniille ranta-alueille. Kun se on päättäväinen, sen ruumis täyttyy voimasta ja siitä tulee nopeampi. Sen hypyt ovat silloin liian nopeita seurata. Cobalion, Terrakion ja Virizion opettivat tälle Pokémonille taistelemaan. Se ryntää halki maailman etsien lisää tilaisuuksia koulutuksensa jatkamiseen. He sanovat, että Keldeon täytyy selvitä ankarista taisteluista ja kehittää otsansa sarvi täysin ennen kuin tämän Pokémonin todellinen voima herää.</t>
        </is>
      </c>
    </row>
    <row r="13103" ht="33.75" customHeight="1">
      <c r="A13103" s="7">
        <v>647.0</v>
      </c>
      <c r="B13103" s="9" t="s">
        <v>17957</v>
      </c>
      <c r="C13103" s="9" t="s">
        <v>17958</v>
      </c>
      <c r="D13103" s="9" t="s">
        <v>95</v>
      </c>
      <c r="E13103" s="6" t="s">
        <v>17960</v>
      </c>
      <c r="F13103" s="9"/>
    </row>
    <row r="13104" ht="33.75" customHeight="1">
      <c r="A13104" s="7">
        <v>647.0</v>
      </c>
      <c r="B13104" s="9" t="s">
        <v>17957</v>
      </c>
      <c r="C13104" s="9" t="s">
        <v>17958</v>
      </c>
      <c r="D13104" s="9" t="s">
        <v>98</v>
      </c>
      <c r="E13104" s="6" t="s">
        <v>17961</v>
      </c>
      <c r="F13104" s="9"/>
    </row>
    <row r="13105" ht="33.75" customHeight="1">
      <c r="A13105" s="7">
        <v>647.0</v>
      </c>
      <c r="B13105" s="9" t="s">
        <v>17957</v>
      </c>
      <c r="C13105" s="9" t="s">
        <v>17958</v>
      </c>
      <c r="D13105" s="9" t="s">
        <v>99</v>
      </c>
      <c r="E13105" s="6" t="s">
        <v>17961</v>
      </c>
      <c r="F13105" s="9"/>
    </row>
    <row r="13106" ht="33.75" customHeight="1">
      <c r="A13106" s="7">
        <v>647.0</v>
      </c>
      <c r="B13106" s="9" t="s">
        <v>17957</v>
      </c>
      <c r="C13106" s="9" t="s">
        <v>17958</v>
      </c>
      <c r="D13106" s="9" t="s">
        <v>101</v>
      </c>
      <c r="E13106" s="6" t="s">
        <v>17960</v>
      </c>
      <c r="F13106" s="9"/>
    </row>
    <row r="13107" ht="33.75" customHeight="1">
      <c r="A13107" s="7">
        <v>647.0</v>
      </c>
      <c r="B13107" s="9" t="s">
        <v>17957</v>
      </c>
      <c r="C13107" s="9" t="s">
        <v>17958</v>
      </c>
      <c r="D13107" s="9" t="s">
        <v>105</v>
      </c>
      <c r="E13107" s="6" t="s">
        <v>17961</v>
      </c>
      <c r="F13107" s="9"/>
    </row>
    <row r="13108" ht="33.75" customHeight="1">
      <c r="A13108" s="7">
        <v>647.0</v>
      </c>
      <c r="B13108" s="9" t="s">
        <v>17957</v>
      </c>
      <c r="C13108" s="9" t="s">
        <v>17958</v>
      </c>
      <c r="D13108" s="9" t="s">
        <v>107</v>
      </c>
      <c r="E13108" s="6" t="s">
        <v>17960</v>
      </c>
      <c r="F13108" s="9"/>
    </row>
    <row r="13109" ht="33.75" customHeight="1">
      <c r="A13109" s="7">
        <v>647.0</v>
      </c>
      <c r="B13109" s="9" t="s">
        <v>17957</v>
      </c>
      <c r="C13109" s="9" t="s">
        <v>17958</v>
      </c>
      <c r="D13109" s="9" t="s">
        <v>109</v>
      </c>
      <c r="E13109" s="6" t="s">
        <v>17961</v>
      </c>
      <c r="F13109" s="9"/>
    </row>
    <row r="13110" ht="33.75" customHeight="1">
      <c r="A13110" s="7">
        <v>647.0</v>
      </c>
      <c r="B13110" s="9" t="s">
        <v>17957</v>
      </c>
      <c r="C13110" s="9" t="s">
        <v>17958</v>
      </c>
      <c r="D13110" s="9" t="s">
        <v>114</v>
      </c>
      <c r="E13110" s="6" t="s">
        <v>17962</v>
      </c>
      <c r="F13110" s="9"/>
    </row>
    <row r="13111" ht="33.75" customHeight="1">
      <c r="A13111" s="7">
        <v>647.0</v>
      </c>
      <c r="B13111" s="9" t="s">
        <v>17957</v>
      </c>
      <c r="C13111" s="9" t="s">
        <v>17958</v>
      </c>
      <c r="D13111" s="9" t="s">
        <v>117</v>
      </c>
      <c r="E13111" s="6" t="s">
        <v>17963</v>
      </c>
      <c r="F13111" s="9"/>
    </row>
    <row r="13112" ht="33.75" customHeight="1">
      <c r="A13112" s="7">
        <v>648.0</v>
      </c>
      <c r="B13112" s="9" t="s">
        <v>17964</v>
      </c>
      <c r="C13112" s="9" t="s">
        <v>17965</v>
      </c>
      <c r="D13112" s="9" t="s">
        <v>93</v>
      </c>
      <c r="E13112" s="6" t="s">
        <v>17966</v>
      </c>
      <c r="F13112" t="inlineStr" s="10">
        <is>
          <t xml:space="preserve">Meloettan melodiat lauletaan erityisellä ääntelymenetelmällä, joka voi hallita kuulijoiden tunteita. Monet kuuluisat laulut ovat saaneet inspiraationsa Meloettan soittamista melodioista. Meloettan laulamilla melodioilla on kyky tehdä niitä kuulevat Pokémonit onnellisiksi tai surullisiksi.</t>
        </is>
      </c>
    </row>
    <row r="13113" ht="33.75" customHeight="1">
      <c r="A13113" s="7">
        <v>648.0</v>
      </c>
      <c r="B13113" s="9" t="s">
        <v>17964</v>
      </c>
      <c r="C13113" s="9" t="s">
        <v>17965</v>
      </c>
      <c r="D13113" s="9" t="s">
        <v>95</v>
      </c>
      <c r="E13113" s="6" t="s">
        <v>17968</v>
      </c>
      <c r="F13113" s="9"/>
    </row>
    <row r="13114" ht="33.75" customHeight="1">
      <c r="A13114" s="7">
        <v>648.0</v>
      </c>
      <c r="B13114" s="9" t="s">
        <v>17964</v>
      </c>
      <c r="C13114" s="9" t="s">
        <v>17965</v>
      </c>
      <c r="D13114" s="9" t="s">
        <v>98</v>
      </c>
      <c r="E13114" s="6" t="s">
        <v>17969</v>
      </c>
      <c r="F13114" s="9"/>
    </row>
    <row r="13115" ht="33.75" customHeight="1">
      <c r="A13115" s="7">
        <v>648.0</v>
      </c>
      <c r="B13115" s="9" t="s">
        <v>17964</v>
      </c>
      <c r="C13115" s="9" t="s">
        <v>17965</v>
      </c>
      <c r="D13115" s="9" t="s">
        <v>99</v>
      </c>
      <c r="E13115" s="6" t="s">
        <v>17969</v>
      </c>
      <c r="F13115" s="9"/>
    </row>
    <row r="13116" ht="33.75" customHeight="1">
      <c r="A13116" s="7">
        <v>648.0</v>
      </c>
      <c r="B13116" s="9" t="s">
        <v>17964</v>
      </c>
      <c r="C13116" s="9" t="s">
        <v>17965</v>
      </c>
      <c r="D13116" s="9" t="s">
        <v>101</v>
      </c>
      <c r="E13116" s="6" t="s">
        <v>17969</v>
      </c>
      <c r="F13116" s="9"/>
    </row>
    <row r="13117" ht="33.75" customHeight="1">
      <c r="A13117" s="7">
        <v>648.0</v>
      </c>
      <c r="B13117" s="9" t="s">
        <v>17964</v>
      </c>
      <c r="C13117" s="9" t="s">
        <v>17965</v>
      </c>
      <c r="D13117" s="9" t="s">
        <v>105</v>
      </c>
      <c r="E13117" s="6" t="s">
        <v>17966</v>
      </c>
      <c r="F13117" s="9"/>
    </row>
    <row r="13118" ht="33.75" customHeight="1">
      <c r="A13118" s="7">
        <v>648.0</v>
      </c>
      <c r="B13118" s="9" t="s">
        <v>17964</v>
      </c>
      <c r="C13118" s="9" t="s">
        <v>17965</v>
      </c>
      <c r="D13118" s="9" t="s">
        <v>107</v>
      </c>
      <c r="E13118" s="6" t="s">
        <v>17969</v>
      </c>
      <c r="F13118" s="9"/>
    </row>
    <row r="13119" ht="33.75" customHeight="1">
      <c r="A13119" s="7">
        <v>648.0</v>
      </c>
      <c r="B13119" s="9" t="s">
        <v>17964</v>
      </c>
      <c r="C13119" s="9" t="s">
        <v>17965</v>
      </c>
      <c r="D13119" s="9" t="s">
        <v>109</v>
      </c>
      <c r="E13119" s="6" t="s">
        <v>17966</v>
      </c>
      <c r="F13119" s="9"/>
    </row>
    <row r="13120" ht="33.75" customHeight="1">
      <c r="A13120" s="7">
        <v>649.0</v>
      </c>
      <c r="B13120" s="9" t="s">
        <v>17970</v>
      </c>
      <c r="C13120" s="9" t="s">
        <v>17971</v>
      </c>
      <c r="D13120" s="9" t="s">
        <v>93</v>
      </c>
      <c r="E13120" s="6" t="s">
        <v>17972</v>
      </c>
      <c r="F13120" t="inlineStr" s="10">
        <is>
          <t xml:space="preserve">Yli 300 miljoonaa vuotta sitten sitä pelättiin vahvimpana metsästäjänä. Plasmaryhmä on muokannut sitä. Team Plasma muutti tätä muinaista ötökkä-Pokémonia. He päivittivät sen selässä olevaa tykkiä. Tämä Pokémon oli olemassa 300 miljoonaa vuotta sitten. Plasmatiimi muutti sitä ja kiinnitti tykin sen selkään.</t>
        </is>
      </c>
    </row>
    <row r="13121" ht="33.75" customHeight="1">
      <c r="A13121" s="7">
        <v>649.0</v>
      </c>
      <c r="B13121" s="9" t="s">
        <v>17970</v>
      </c>
      <c r="C13121" s="9" t="s">
        <v>17971</v>
      </c>
      <c r="D13121" s="9" t="s">
        <v>95</v>
      </c>
      <c r="E13121" s="6" t="s">
        <v>17973</v>
      </c>
      <c r="F13121" s="9"/>
    </row>
    <row r="13122" ht="33.75" customHeight="1">
      <c r="A13122" s="7">
        <v>649.0</v>
      </c>
      <c r="B13122" s="9" t="s">
        <v>17970</v>
      </c>
      <c r="C13122" s="9" t="s">
        <v>17971</v>
      </c>
      <c r="D13122" s="9" t="s">
        <v>98</v>
      </c>
      <c r="E13122" s="6" t="s">
        <v>17974</v>
      </c>
      <c r="F13122" s="9"/>
    </row>
    <row r="13123" ht="33.75" customHeight="1">
      <c r="A13123" s="7">
        <v>649.0</v>
      </c>
      <c r="B13123" s="9" t="s">
        <v>17970</v>
      </c>
      <c r="C13123" s="9" t="s">
        <v>17971</v>
      </c>
      <c r="D13123" s="9" t="s">
        <v>99</v>
      </c>
      <c r="E13123" s="6" t="s">
        <v>17974</v>
      </c>
      <c r="F13123" s="9"/>
    </row>
    <row r="13124" ht="33.75" customHeight="1">
      <c r="A13124" s="7">
        <v>649.0</v>
      </c>
      <c r="B13124" s="9" t="s">
        <v>17970</v>
      </c>
      <c r="C13124" s="9" t="s">
        <v>17971</v>
      </c>
      <c r="D13124" s="9" t="s">
        <v>101</v>
      </c>
      <c r="E13124" s="6" t="s">
        <v>17973</v>
      </c>
      <c r="F13124" s="9"/>
    </row>
    <row r="13125" ht="33.75" customHeight="1">
      <c r="A13125" s="7">
        <v>649.0</v>
      </c>
      <c r="B13125" s="9" t="s">
        <v>17970</v>
      </c>
      <c r="C13125" s="9" t="s">
        <v>17971</v>
      </c>
      <c r="D13125" s="9" t="s">
        <v>105</v>
      </c>
      <c r="E13125" s="6" t="s">
        <v>17974</v>
      </c>
      <c r="F13125" s="9"/>
    </row>
    <row r="13126" ht="33.75" customHeight="1">
      <c r="A13126" s="7">
        <v>649.0</v>
      </c>
      <c r="B13126" s="9" t="s">
        <v>17970</v>
      </c>
      <c r="C13126" s="9" t="s">
        <v>17971</v>
      </c>
      <c r="D13126" s="9" t="s">
        <v>107</v>
      </c>
      <c r="E13126" s="6" t="s">
        <v>17973</v>
      </c>
      <c r="F13126" s="9"/>
    </row>
    <row r="13127" ht="33.75" customHeight="1">
      <c r="A13127" s="7">
        <v>649.0</v>
      </c>
      <c r="B13127" s="9" t="s">
        <v>17970</v>
      </c>
      <c r="C13127" s="9" t="s">
        <v>17971</v>
      </c>
      <c r="D13127" s="9" t="s">
        <v>109</v>
      </c>
      <c r="E13127" s="6" t="s">
        <v>17974</v>
      </c>
      <c r="F13127" s="9"/>
    </row>
    <row r="13128" ht="33.75" customHeight="1">
      <c r="A13128" s="7">
        <v>650.0</v>
      </c>
      <c r="B13128" s="9" t="s">
        <v>17975</v>
      </c>
      <c r="C13128" s="9" t="s">
        <v>17976</v>
      </c>
      <c r="D13128" s="9" t="s">
        <v>101</v>
      </c>
      <c r="E13128" s="6" t="s">
        <v>17977</v>
      </c>
      <c r="F13128" t="inlineStr" s="10">
        <is>
          <t xml:space="preserve">Chespinin päässä olevat piikit ovat yleensä pehmeät. Kun se taivuttelee niitä, kärjistä tulee niin kovia ja teräviä, että ne voivat lävistää kiven. Sen pään ja selkärangan peittää niin paksu puukuori, ettei edes kuorma-auton suora osuma säikäyttäisi sitä.</t>
        </is>
      </c>
    </row>
    <row r="13129" ht="33.75" customHeight="1">
      <c r="A13129" s="7">
        <v>650.0</v>
      </c>
      <c r="B13129" s="9" t="s">
        <v>17975</v>
      </c>
      <c r="C13129" s="9" t="s">
        <v>17976</v>
      </c>
      <c r="D13129" s="9" t="s">
        <v>105</v>
      </c>
      <c r="E13129" s="6" t="s">
        <v>17978</v>
      </c>
      <c r="F13129" s="9"/>
    </row>
    <row r="13130" ht="33.75" customHeight="1">
      <c r="A13130" s="7">
        <v>650.0</v>
      </c>
      <c r="B13130" s="9" t="s">
        <v>17975</v>
      </c>
      <c r="C13130" s="9" t="s">
        <v>17976</v>
      </c>
      <c r="D13130" s="9" t="s">
        <v>107</v>
      </c>
      <c r="E13130" s="6" t="s">
        <v>17977</v>
      </c>
      <c r="F13130" s="9"/>
    </row>
    <row r="13131" ht="33.75" customHeight="1">
      <c r="A13131" s="7">
        <v>650.0</v>
      </c>
      <c r="B13131" s="9" t="s">
        <v>17975</v>
      </c>
      <c r="C13131" s="9" t="s">
        <v>17976</v>
      </c>
      <c r="D13131" s="9" t="s">
        <v>109</v>
      </c>
      <c r="E13131" s="6" t="s">
        <v>17978</v>
      </c>
      <c r="F13131" s="9"/>
    </row>
    <row r="13132" ht="33.75" customHeight="1">
      <c r="A13132" s="7">
        <v>651.0</v>
      </c>
      <c r="B13132" s="9" t="s">
        <v>17979</v>
      </c>
      <c r="C13132" s="9" t="s">
        <v>17980</v>
      </c>
      <c r="D13132" s="9" t="s">
        <v>101</v>
      </c>
      <c r="E13132" s="6" t="s">
        <v>17981</v>
      </c>
      <c r="F13132" t="inlineStr" s="10">
        <is>
          <t xml:space="preserve">Quilladin torjuu petoeläinten hyökkäykset tukevan kuorensa avulla. Se tekee vastahyökkäyksiä terävillä piikeillään. Ne vahvistavat alavartaloaan törmäämällä toisiinsa. Ne ovat hyvin ystävällisiä eivätkä aloita tappeluita.</t>
        </is>
      </c>
    </row>
    <row r="13133" ht="33.75" customHeight="1">
      <c r="A13133" s="7">
        <v>651.0</v>
      </c>
      <c r="B13133" s="9" t="s">
        <v>17979</v>
      </c>
      <c r="C13133" s="9" t="s">
        <v>17980</v>
      </c>
      <c r="D13133" s="9" t="s">
        <v>105</v>
      </c>
      <c r="E13133" s="6" t="s">
        <v>17983</v>
      </c>
      <c r="F13133" s="9"/>
    </row>
    <row r="13134" ht="33.75" customHeight="1">
      <c r="A13134" s="7">
        <v>651.0</v>
      </c>
      <c r="B13134" s="9" t="s">
        <v>17979</v>
      </c>
      <c r="C13134" s="9" t="s">
        <v>17980</v>
      </c>
      <c r="D13134" s="9" t="s">
        <v>107</v>
      </c>
      <c r="E13134" s="6" t="s">
        <v>17981</v>
      </c>
      <c r="F13134" s="9"/>
    </row>
    <row r="13135" ht="33.75" customHeight="1">
      <c r="A13135" s="7">
        <v>651.0</v>
      </c>
      <c r="B13135" s="9" t="s">
        <v>17979</v>
      </c>
      <c r="C13135" s="9" t="s">
        <v>17980</v>
      </c>
      <c r="D13135" s="9" t="s">
        <v>109</v>
      </c>
      <c r="E13135" s="6" t="s">
        <v>17983</v>
      </c>
      <c r="F13135" s="9"/>
    </row>
    <row r="13136" ht="33.75" customHeight="1">
      <c r="A13136" s="7">
        <v>652.0</v>
      </c>
      <c r="B13136" s="9" t="s">
        <v>17984</v>
      </c>
      <c r="C13136" s="9" t="s">
        <v>17980</v>
      </c>
      <c r="D13136" s="9" t="s">
        <v>101</v>
      </c>
      <c r="E13136" s="6" t="s">
        <v>17985</v>
      </c>
      <c r="F13136" t="inlineStr" s="10">
        <is>
          <t xml:space="preserve">Chesnaughtin taklaus on riittävän voimakas kääntämään 50 tonnin painoisen panssarivaunun. Se suojaa liittolaisiaan vaaralta omalla ruumiillaan. Kun se ottaa puolustusasennon nyrkit kasvojensa edessä, se voisi kestää pommiräjähdyksen.</t>
        </is>
      </c>
    </row>
    <row r="13137" ht="33.75" customHeight="1">
      <c r="A13137" s="7">
        <v>652.0</v>
      </c>
      <c r="B13137" s="9" t="s">
        <v>17984</v>
      </c>
      <c r="C13137" s="9" t="s">
        <v>17980</v>
      </c>
      <c r="D13137" s="9" t="s">
        <v>105</v>
      </c>
      <c r="E13137" s="6" t="s">
        <v>17986</v>
      </c>
      <c r="F13137" s="9"/>
    </row>
    <row r="13138" ht="33.75" customHeight="1">
      <c r="A13138" s="7">
        <v>652.0</v>
      </c>
      <c r="B13138" s="9" t="s">
        <v>17984</v>
      </c>
      <c r="C13138" s="9" t="s">
        <v>17980</v>
      </c>
      <c r="D13138" s="9" t="s">
        <v>107</v>
      </c>
      <c r="E13138" s="6" t="s">
        <v>17985</v>
      </c>
      <c r="F13138" s="9"/>
    </row>
    <row r="13139" ht="33.75" customHeight="1">
      <c r="A13139" s="7">
        <v>652.0</v>
      </c>
      <c r="B13139" s="9" t="s">
        <v>17984</v>
      </c>
      <c r="C13139" s="9" t="s">
        <v>17980</v>
      </c>
      <c r="D13139" s="9" t="s">
        <v>109</v>
      </c>
      <c r="E13139" s="6" t="s">
        <v>17986</v>
      </c>
      <c r="F13139" s="9"/>
    </row>
    <row r="13140" ht="33.75" customHeight="1">
      <c r="A13140" s="7">
        <v>653.0</v>
      </c>
      <c r="B13140" s="9" t="s">
        <v>17987</v>
      </c>
      <c r="C13140" s="9" t="s">
        <v>2247</v>
      </c>
      <c r="D13140" s="9" t="s">
        <v>101</v>
      </c>
      <c r="E13140" s="6" t="s">
        <v>17988</v>
      </c>
      <c r="F13140" t="inlineStr" s="10">
        <is>
          <t xml:space="preserve">Oksan syöminen täyttää Fennekinin energialla, ja sen tilavat korvat päästävät ilmaa, joka on kuumempaa kuin 190 celsiusastetta. Kävellessään se mutustaa oksaa välipalan sijasta. Se pelottelee vastustajia puhaltamalla kuumaa ilmaa korvistaan.</t>
        </is>
      </c>
    </row>
    <row r="13141" ht="33.75" customHeight="1">
      <c r="A13141" s="7">
        <v>653.0</v>
      </c>
      <c r="B13141" s="9" t="s">
        <v>17987</v>
      </c>
      <c r="C13141" s="9" t="s">
        <v>2247</v>
      </c>
      <c r="D13141" s="9" t="s">
        <v>105</v>
      </c>
      <c r="E13141" s="6" t="s">
        <v>17989</v>
      </c>
      <c r="F13141" s="9"/>
    </row>
    <row r="13142" ht="33.75" customHeight="1">
      <c r="A13142" s="7">
        <v>653.0</v>
      </c>
      <c r="B13142" s="9" t="s">
        <v>17987</v>
      </c>
      <c r="C13142" s="9" t="s">
        <v>2247</v>
      </c>
      <c r="D13142" s="9" t="s">
        <v>107</v>
      </c>
      <c r="E13142" s="6" t="s">
        <v>17988</v>
      </c>
      <c r="F13142" s="9"/>
    </row>
    <row r="13143" ht="33.75" customHeight="1">
      <c r="A13143" s="7">
        <v>653.0</v>
      </c>
      <c r="B13143" s="9" t="s">
        <v>17987</v>
      </c>
      <c r="C13143" s="9" t="s">
        <v>2247</v>
      </c>
      <c r="D13143" s="9" t="s">
        <v>109</v>
      </c>
      <c r="E13143" s="6" t="s">
        <v>17989</v>
      </c>
      <c r="F13143" s="9"/>
    </row>
    <row r="13144" ht="33.75" customHeight="1">
      <c r="A13144" s="7">
        <v>654.0</v>
      </c>
      <c r="B13144" s="9" t="s">
        <v>17990</v>
      </c>
      <c r="C13144" s="9" t="s">
        <v>2247</v>
      </c>
      <c r="D13144" s="9" t="s">
        <v>101</v>
      </c>
      <c r="E13144" s="6" t="s">
        <v>17991</v>
      </c>
      <c r="F13144" t="inlineStr" s="10">
        <is>
          <t xml:space="preserve">Braixenin pyrstössä on oksa juuttunut. Pyrstökarvojen kitkan vaikutuksesta se sytyttää oksan tuleen ja lähtee taisteluun. Kun oksa nyppäätään irti sen pyrstöstä, kitka sytyttää oksan tuleen. Liekkiä käytetään signaalien lähettämiseen liittolaisilleen.</t>
        </is>
      </c>
    </row>
    <row r="13145" ht="33.75" customHeight="1">
      <c r="A13145" s="7">
        <v>654.0</v>
      </c>
      <c r="B13145" s="9" t="s">
        <v>17990</v>
      </c>
      <c r="C13145" s="9" t="s">
        <v>2247</v>
      </c>
      <c r="D13145" s="9" t="s">
        <v>105</v>
      </c>
      <c r="E13145" s="6" t="s">
        <v>17992</v>
      </c>
      <c r="F13145" s="9"/>
    </row>
    <row r="13146" ht="33.75" customHeight="1">
      <c r="A13146" s="7">
        <v>654.0</v>
      </c>
      <c r="B13146" s="9" t="s">
        <v>17990</v>
      </c>
      <c r="C13146" s="9" t="s">
        <v>2247</v>
      </c>
      <c r="D13146" s="9" t="s">
        <v>107</v>
      </c>
      <c r="E13146" s="6" t="s">
        <v>17991</v>
      </c>
      <c r="F13146" s="9"/>
    </row>
    <row r="13147" ht="33.75" customHeight="1">
      <c r="A13147" s="7">
        <v>654.0</v>
      </c>
      <c r="B13147" s="9" t="s">
        <v>17990</v>
      </c>
      <c r="C13147" s="9" t="s">
        <v>2247</v>
      </c>
      <c r="D13147" s="9" t="s">
        <v>109</v>
      </c>
      <c r="E13147" s="6" t="s">
        <v>17992</v>
      </c>
      <c r="F13147" s="9"/>
    </row>
    <row r="13148" ht="33.75" customHeight="1">
      <c r="A13148" s="7">
        <v>655.0</v>
      </c>
      <c r="B13148" s="9" t="s">
        <v>17993</v>
      </c>
      <c r="C13148" s="9" t="s">
        <v>2247</v>
      </c>
      <c r="D13148" s="9" t="s">
        <v>101</v>
      </c>
      <c r="E13148" s="6" t="s">
        <v>17994</v>
      </c>
      <c r="F13148" t="inlineStr" s="10">
        <is>
          <t xml:space="preserve">Delphox tuijottaa oksansa kärjessä olevaa liekkiä saavuttaakseen keskittyneen tilan, jonka avulla se voi nähdä tulevaisuuteen. Käyttäen psyykkistä voimaa se luo 5 400 Fahrenheit-asteen tulisen pyörteen ja polttaa tähän liekkipyörteeseen ajautuneet viholliset.</t>
        </is>
      </c>
    </row>
    <row r="13149" ht="33.75" customHeight="1">
      <c r="A13149" s="7">
        <v>655.0</v>
      </c>
      <c r="B13149" s="9" t="s">
        <v>17993</v>
      </c>
      <c r="C13149" s="9" t="s">
        <v>2247</v>
      </c>
      <c r="D13149" s="9" t="s">
        <v>105</v>
      </c>
      <c r="E13149" s="6" t="s">
        <v>17995</v>
      </c>
      <c r="F13149" s="9"/>
    </row>
    <row r="13150" ht="33.75" customHeight="1">
      <c r="A13150" s="7">
        <v>655.0</v>
      </c>
      <c r="B13150" s="9" t="s">
        <v>17993</v>
      </c>
      <c r="C13150" s="9" t="s">
        <v>2247</v>
      </c>
      <c r="D13150" s="9" t="s">
        <v>107</v>
      </c>
      <c r="E13150" s="6" t="s">
        <v>17994</v>
      </c>
      <c r="F13150" s="9"/>
    </row>
    <row r="13151" ht="33.75" customHeight="1">
      <c r="A13151" s="7">
        <v>655.0</v>
      </c>
      <c r="B13151" s="9" t="s">
        <v>17993</v>
      </c>
      <c r="C13151" s="9" t="s">
        <v>2247</v>
      </c>
      <c r="D13151" s="9" t="s">
        <v>109</v>
      </c>
      <c r="E13151" s="6" t="s">
        <v>17995</v>
      </c>
      <c r="F13151" s="9"/>
    </row>
    <row r="13152" ht="33.75" customHeight="1">
      <c r="A13152" s="7">
        <v>656.0</v>
      </c>
      <c r="B13152" s="9" t="s">
        <v>17996</v>
      </c>
      <c r="C13152" s="9" t="s">
        <v>17997</v>
      </c>
      <c r="D13152" s="9" t="s">
        <v>101</v>
      </c>
      <c r="E13152" s="6" t="s">
        <v>17998</v>
      </c>
      <c r="F13152" t="inlineStr" s="10">
        <is>
          <t xml:space="preserve">Froakie erittää joustavia kuplia rinnastaan ​​ja selästään. Kuplat vähentävät vahinkoa, jota se muuten saisi hyökkäyksen sattuessa. Se suojaa ihoaan peittämällä kehonsa herkillä kuplilla. Onnellisella letkeällä ilmallaan se pitää silmällä ympäristöään.</t>
        </is>
      </c>
    </row>
    <row r="13153" ht="33.75" customHeight="1">
      <c r="A13153" s="7">
        <v>656.0</v>
      </c>
      <c r="B13153" s="9" t="s">
        <v>17996</v>
      </c>
      <c r="C13153" s="9" t="s">
        <v>17997</v>
      </c>
      <c r="D13153" s="9" t="s">
        <v>105</v>
      </c>
      <c r="E13153" s="6" t="s">
        <v>17999</v>
      </c>
      <c r="F13153" s="9"/>
    </row>
    <row r="13154" ht="33.75" customHeight="1">
      <c r="A13154" s="7">
        <v>656.0</v>
      </c>
      <c r="B13154" s="9" t="s">
        <v>17996</v>
      </c>
      <c r="C13154" s="9" t="s">
        <v>17997</v>
      </c>
      <c r="D13154" s="9" t="s">
        <v>107</v>
      </c>
      <c r="E13154" s="6" t="s">
        <v>17998</v>
      </c>
      <c r="F13154" s="9"/>
    </row>
    <row r="13155" ht="33.75" customHeight="1">
      <c r="A13155" s="7">
        <v>656.0</v>
      </c>
      <c r="B13155" s="9" t="s">
        <v>17996</v>
      </c>
      <c r="C13155" s="9" t="s">
        <v>17997</v>
      </c>
      <c r="D13155" s="9" t="s">
        <v>109</v>
      </c>
      <c r="E13155" s="6" t="s">
        <v>17999</v>
      </c>
      <c r="F13155" s="9"/>
    </row>
    <row r="13156" ht="33.75" customHeight="1">
      <c r="A13156" s="7">
        <v>657.0</v>
      </c>
      <c r="B13156" s="9" t="s">
        <v>18001</v>
      </c>
      <c r="C13156" s="9" t="s">
        <v>17997</v>
      </c>
      <c r="D13156" s="9" t="s">
        <v>101</v>
      </c>
      <c r="E13156" s="6" t="s">
        <v>18002</v>
      </c>
      <c r="F13156" t="inlineStr" s="10">
        <is>
          <t xml:space="preserve">Frogadier voi heittää kuplien peittämiä kiviä tarkasti ja osua tyhjiin tölkkeihin jopa noin 30 metrin päähän. Sen nopeus on vertaansa vailla. Se voi kiivetä yli 600 metrin korkuiseen torniin minuutissa.</t>
        </is>
      </c>
    </row>
    <row r="13157" ht="33.75" customHeight="1">
      <c r="A13157" s="7">
        <v>657.0</v>
      </c>
      <c r="B13157" s="9" t="s">
        <v>18001</v>
      </c>
      <c r="C13157" s="9" t="s">
        <v>17997</v>
      </c>
      <c r="D13157" s="9" t="s">
        <v>105</v>
      </c>
      <c r="E13157" s="6" t="s">
        <v>18003</v>
      </c>
      <c r="F13157" s="9"/>
    </row>
    <row r="13158" ht="33.75" customHeight="1">
      <c r="A13158" s="7">
        <v>657.0</v>
      </c>
      <c r="B13158" s="9" t="s">
        <v>18001</v>
      </c>
      <c r="C13158" s="9" t="s">
        <v>17997</v>
      </c>
      <c r="D13158" s="9" t="s">
        <v>107</v>
      </c>
      <c r="E13158" s="6" t="s">
        <v>18002</v>
      </c>
      <c r="F13158" s="9"/>
    </row>
    <row r="13159" ht="33.75" customHeight="1">
      <c r="A13159" s="7">
        <v>657.0</v>
      </c>
      <c r="B13159" s="9" t="s">
        <v>18001</v>
      </c>
      <c r="C13159" s="9" t="s">
        <v>17997</v>
      </c>
      <c r="D13159" s="9" t="s">
        <v>109</v>
      </c>
      <c r="E13159" s="6" t="s">
        <v>18003</v>
      </c>
      <c r="F13159" s="9"/>
    </row>
    <row r="13160" ht="33.75" customHeight="1">
      <c r="A13160" s="7">
        <v>658.0</v>
      </c>
      <c r="B13160" s="9" t="s">
        <v>18004</v>
      </c>
      <c r="C13160" s="9" t="s">
        <v>14235</v>
      </c>
      <c r="D13160" s="9" t="s">
        <v>101</v>
      </c>
      <c r="E13160" s="6" t="s">
        <v>18005</v>
      </c>
      <c r="F13160" t="inlineStr" s="10">
        <is>
          <t xml:space="preserve">Greninja luo heittotähtiä puristetusta vedestä. Kun se pyörittää ja heittää niitä suurella nopeudella, nämä tähdet voivat halkaista metallin kahtia. Se ilmestyy ja katoaa ninjan armollisuudella. Se leikittelee vihollistensa kanssa nopeilla liikkeillä ja viiltää heitä terävimmällä vesimäärällä heittävillä tähdillä.</t>
        </is>
      </c>
    </row>
    <row r="13161" ht="33.75" customHeight="1">
      <c r="A13161" s="7">
        <v>658.0</v>
      </c>
      <c r="B13161" s="9" t="s">
        <v>18004</v>
      </c>
      <c r="C13161" s="9" t="s">
        <v>14235</v>
      </c>
      <c r="D13161" s="9" t="s">
        <v>105</v>
      </c>
      <c r="E13161" s="6" t="s">
        <v>18006</v>
      </c>
      <c r="F13161" s="9"/>
    </row>
    <row r="13162" ht="33.75" customHeight="1">
      <c r="A13162" s="7">
        <v>658.0</v>
      </c>
      <c r="B13162" s="9" t="s">
        <v>18004</v>
      </c>
      <c r="C13162" s="9" t="s">
        <v>14235</v>
      </c>
      <c r="D13162" s="9" t="s">
        <v>107</v>
      </c>
      <c r="E13162" s="6" t="s">
        <v>18005</v>
      </c>
      <c r="F13162" s="9"/>
    </row>
    <row r="13163" ht="33.75" customHeight="1">
      <c r="A13163" s="7">
        <v>658.0</v>
      </c>
      <c r="B13163" s="9" t="s">
        <v>18004</v>
      </c>
      <c r="C13163" s="9" t="s">
        <v>14235</v>
      </c>
      <c r="D13163" s="9" t="s">
        <v>109</v>
      </c>
      <c r="E13163" s="6" t="s">
        <v>18006</v>
      </c>
      <c r="F13163" s="9"/>
    </row>
    <row r="13164" ht="33.75" customHeight="1">
      <c r="A13164" s="7">
        <v>659.0</v>
      </c>
      <c r="B13164" s="9" t="s">
        <v>18007</v>
      </c>
      <c r="C13164" s="9" t="s">
        <v>18008</v>
      </c>
      <c r="D13164" s="9" t="s">
        <v>101</v>
      </c>
      <c r="E13164" s="6" t="s">
        <v>18009</v>
      </c>
      <c r="F13164" t="inlineStr" s="10">
        <is>
          <t xml:space="preserve">Ne kaivavat kolojaan suurilla korvillaan. Ne kaivavat niitä koko yön. Sen korvat ovat kuin lapiolla. Kuoppien kaivaminen vahvistaa sen korvia niin paljon, että ne voivat katkaista paksut juuret vaivattomasti. Se on erinomainen kuoppien kaivaja. Korviaan käyttäen se voi kaivaa 10 metriä syvän pesän yhdessä yössä. Se on hyvin herkkä vaaralle. Corviknightin räpyttelyn ääni saa Bunnelbyn kaivamaan kuopan piiloutuakseen maan alle hetkessä.</t>
        </is>
      </c>
    </row>
    <row r="13165" ht="33.75" customHeight="1">
      <c r="A13165" s="7">
        <v>659.0</v>
      </c>
      <c r="B13165" s="9" t="s">
        <v>18007</v>
      </c>
      <c r="C13165" s="9" t="s">
        <v>18008</v>
      </c>
      <c r="D13165" s="9" t="s">
        <v>105</v>
      </c>
      <c r="E13165" s="6" t="s">
        <v>18010</v>
      </c>
      <c r="F13165" s="9"/>
    </row>
    <row r="13166" ht="33.75" customHeight="1">
      <c r="A13166" s="7">
        <v>659.0</v>
      </c>
      <c r="B13166" s="9" t="s">
        <v>18007</v>
      </c>
      <c r="C13166" s="9" t="s">
        <v>18008</v>
      </c>
      <c r="D13166" s="9" t="s">
        <v>107</v>
      </c>
      <c r="E13166" s="6" t="s">
        <v>18009</v>
      </c>
      <c r="F13166" s="9"/>
    </row>
    <row r="13167" ht="33.75" customHeight="1">
      <c r="A13167" s="7">
        <v>659.0</v>
      </c>
      <c r="B13167" s="9" t="s">
        <v>18007</v>
      </c>
      <c r="C13167" s="9" t="s">
        <v>18008</v>
      </c>
      <c r="D13167" s="9" t="s">
        <v>109</v>
      </c>
      <c r="E13167" s="6" t="s">
        <v>18010</v>
      </c>
      <c r="F13167" s="9"/>
    </row>
    <row r="13168" ht="33.75" customHeight="1">
      <c r="A13168" s="7">
        <v>659.0</v>
      </c>
      <c r="B13168" s="9" t="s">
        <v>18007</v>
      </c>
      <c r="C13168" s="9" t="s">
        <v>18008</v>
      </c>
      <c r="D13168" s="9" t="s">
        <v>114</v>
      </c>
      <c r="E13168" s="6" t="s">
        <v>18012</v>
      </c>
      <c r="F13168" s="9"/>
    </row>
    <row r="13169" ht="33.75" customHeight="1">
      <c r="A13169" s="7">
        <v>659.0</v>
      </c>
      <c r="B13169" s="9" t="s">
        <v>18007</v>
      </c>
      <c r="C13169" s="9" t="s">
        <v>18008</v>
      </c>
      <c r="D13169" s="9" t="s">
        <v>117</v>
      </c>
      <c r="E13169" s="6" t="s">
        <v>18013</v>
      </c>
      <c r="F13169" s="9"/>
    </row>
    <row r="13170" ht="33.75" customHeight="1">
      <c r="A13170" s="7">
        <v>660.0</v>
      </c>
      <c r="B13170" s="9" t="s">
        <v>18014</v>
      </c>
      <c r="C13170" s="9" t="s">
        <v>18008</v>
      </c>
      <c r="D13170" s="9" t="s">
        <v>101</v>
      </c>
      <c r="E13170" s="6" t="s">
        <v>18015</v>
      </c>
      <c r="F13170" t="inlineStr" s="10">
        <is>
          <t xml:space="preserve">Voimakkaiden korviensa ansiosta ne voivat nostaa vaivattomasti tonnin tai jopa suurempia lohkareita. Ne voivat olla suureksi avuksi rakennustyömailla. Yhtä tehokas kuin kaivinkone, sen korvat voivat jauhaa tiheän kallioperän rouheeksi. Kaivamisen jälkeen se lekottelee laiskasti. Kaivinkoneen tehon ansiosta se voi kaivaa tiheän kallioperän läpi. Se on valtava apu tunnelinrakennuksessa. Sen vatsan turkki pitää lämmön poikkeuksellisen hyvin. Ihmiset tekivät ennen raskaita talvivaatteita tämän Pokémonin karvasta.</t>
        </is>
      </c>
    </row>
    <row r="13171" ht="33.75" customHeight="1">
      <c r="A13171" s="7">
        <v>660.0</v>
      </c>
      <c r="B13171" s="9" t="s">
        <v>18014</v>
      </c>
      <c r="C13171" s="9" t="s">
        <v>18008</v>
      </c>
      <c r="D13171" s="9" t="s">
        <v>105</v>
      </c>
      <c r="E13171" s="6" t="s">
        <v>18016</v>
      </c>
      <c r="F13171" s="9"/>
    </row>
    <row r="13172" ht="33.75" customHeight="1">
      <c r="A13172" s="7">
        <v>660.0</v>
      </c>
      <c r="B13172" s="9" t="s">
        <v>18014</v>
      </c>
      <c r="C13172" s="9" t="s">
        <v>18008</v>
      </c>
      <c r="D13172" s="9" t="s">
        <v>107</v>
      </c>
      <c r="E13172" s="6" t="s">
        <v>18015</v>
      </c>
      <c r="F13172" s="9"/>
    </row>
    <row r="13173" ht="33.75" customHeight="1">
      <c r="A13173" s="7">
        <v>660.0</v>
      </c>
      <c r="B13173" s="9" t="s">
        <v>18014</v>
      </c>
      <c r="C13173" s="9" t="s">
        <v>18008</v>
      </c>
      <c r="D13173" s="9" t="s">
        <v>109</v>
      </c>
      <c r="E13173" s="6" t="s">
        <v>18016</v>
      </c>
      <c r="F13173" s="9"/>
    </row>
    <row r="13174" ht="33.75" customHeight="1">
      <c r="A13174" s="7">
        <v>660.0</v>
      </c>
      <c r="B13174" s="9" t="s">
        <v>18014</v>
      </c>
      <c r="C13174" s="9" t="s">
        <v>18008</v>
      </c>
      <c r="D13174" s="9" t="s">
        <v>114</v>
      </c>
      <c r="E13174" s="6" t="s">
        <v>18017</v>
      </c>
      <c r="F13174" s="9"/>
    </row>
    <row r="13175" ht="33.75" customHeight="1">
      <c r="A13175" s="7">
        <v>660.0</v>
      </c>
      <c r="B13175" s="9" t="s">
        <v>18014</v>
      </c>
      <c r="C13175" s="9" t="s">
        <v>18008</v>
      </c>
      <c r="D13175" s="9" t="s">
        <v>117</v>
      </c>
      <c r="E13175" s="6" t="s">
        <v>18018</v>
      </c>
      <c r="F13175" s="9"/>
    </row>
    <row r="13176" ht="33.75" customHeight="1">
      <c r="A13176" s="7">
        <v>661.0</v>
      </c>
      <c r="B13176" s="9" t="s">
        <v>18019</v>
      </c>
      <c r="C13176" s="9" t="s">
        <v>18020</v>
      </c>
      <c r="D13176" s="9" t="s">
        <v>101</v>
      </c>
      <c r="E13176" s="6" t="s">
        <v>18021</v>
      </c>
      <c r="F13176" t="inlineStr" s="10">
        <is>
          <t xml:space="preserve">Nämä ystävälliset Pokémonit lähettävät signaaleja toisilleen kauniilla viserryksillä ja pyrstön ja höyhenen liikkeillä. Kauniista ja sointuvasta äänestään huolimatta se on armoton alueelleen tunkeileville tunkeilijoille. Tämä ystävällinen Pokémon on helppo kouluttaa. Mutta taisteluun astuessa se näyttää raivoisan puolensa. Kun se on innoissaan, sen lämpötila voi kaksinkertaistua, mikä lisää hormonien tuotantoa kehossa. Vaikka se onkin ystävällinen Pokémon, jos kosket siihen odottamatta, se kuumentaa kehonsa hetkessä ja poltat itsesi. Sen ruumis on aina lämmin. Kylmillä alueilla asuvat kouluttajat ilmeisesti nukkuvat sen kanssa sängyssään. Sen melodiset huudot ovat itse asiassa varoitusmerkkejä. Fletchling nokkii armottomasti kaikkea, mikä astuu sen alueelle. Kun tämä Pokémon innostuu, sen ruumiinlämpö nousee jyrkästi. Jos kosket Fletchlingiin paljain käsin, saatat saada palovamman.</t>
        </is>
      </c>
    </row>
    <row r="13177" ht="33.75" customHeight="1">
      <c r="A13177" s="7">
        <v>661.0</v>
      </c>
      <c r="B13177" s="9" t="s">
        <v>18019</v>
      </c>
      <c r="C13177" s="9" t="s">
        <v>18020</v>
      </c>
      <c r="D13177" s="9" t="s">
        <v>105</v>
      </c>
      <c r="E13177" s="6" t="s">
        <v>18022</v>
      </c>
      <c r="F13177" s="9"/>
    </row>
    <row r="13178" ht="33.75" customHeight="1">
      <c r="A13178" s="7">
        <v>661.0</v>
      </c>
      <c r="B13178" s="9" t="s">
        <v>18019</v>
      </c>
      <c r="C13178" s="9" t="s">
        <v>18020</v>
      </c>
      <c r="D13178" s="9" t="s">
        <v>107</v>
      </c>
      <c r="E13178" s="6" t="s">
        <v>18021</v>
      </c>
      <c r="F13178" s="9"/>
    </row>
    <row r="13179" ht="33.75" customHeight="1">
      <c r="A13179" s="7">
        <v>661.0</v>
      </c>
      <c r="B13179" s="9" t="s">
        <v>18019</v>
      </c>
      <c r="C13179" s="9" t="s">
        <v>18020</v>
      </c>
      <c r="D13179" s="9" t="s">
        <v>109</v>
      </c>
      <c r="E13179" s="6" t="s">
        <v>18022</v>
      </c>
      <c r="F13179" s="9"/>
    </row>
    <row r="13180" ht="33.75" customHeight="1">
      <c r="A13180" s="7">
        <v>661.0</v>
      </c>
      <c r="B13180" s="9" t="s">
        <v>18019</v>
      </c>
      <c r="C13180" s="9" t="s">
        <v>18020</v>
      </c>
      <c r="D13180" s="9" t="s">
        <v>637</v>
      </c>
      <c r="E13180" s="6" t="s">
        <v>18024</v>
      </c>
      <c r="F13180" s="9"/>
    </row>
    <row r="13181" ht="33.75" customHeight="1">
      <c r="A13181" s="7">
        <v>661.0</v>
      </c>
      <c r="B13181" s="9" t="s">
        <v>18019</v>
      </c>
      <c r="C13181" s="9" t="s">
        <v>18020</v>
      </c>
      <c r="D13181" s="9" t="s">
        <v>642</v>
      </c>
      <c r="E13181" s="6" t="s">
        <v>18025</v>
      </c>
      <c r="F13181" s="9"/>
    </row>
    <row r="13182" ht="33.75" customHeight="1">
      <c r="A13182" s="7">
        <v>661.0</v>
      </c>
      <c r="B13182" s="9" t="s">
        <v>18019</v>
      </c>
      <c r="C13182" s="9" t="s">
        <v>18020</v>
      </c>
      <c r="D13182" s="9" t="s">
        <v>647</v>
      </c>
      <c r="E13182" s="6" t="s">
        <v>18026</v>
      </c>
      <c r="F13182" s="9"/>
    </row>
    <row r="13183" ht="33.75" customHeight="1">
      <c r="A13183" s="7">
        <v>661.0</v>
      </c>
      <c r="B13183" s="9" t="s">
        <v>18019</v>
      </c>
      <c r="C13183" s="9" t="s">
        <v>18020</v>
      </c>
      <c r="D13183" s="9" t="s">
        <v>652</v>
      </c>
      <c r="E13183" s="6" t="s">
        <v>18027</v>
      </c>
      <c r="F13183" s="9"/>
    </row>
    <row r="13184" ht="33.75" customHeight="1">
      <c r="A13184" s="7">
        <v>661.0</v>
      </c>
      <c r="B13184" s="9" t="s">
        <v>18019</v>
      </c>
      <c r="C13184" s="9" t="s">
        <v>18020</v>
      </c>
      <c r="D13184" s="9" t="s">
        <v>114</v>
      </c>
      <c r="E13184" s="6" t="s">
        <v>18028</v>
      </c>
      <c r="F13184" s="9"/>
    </row>
    <row r="13185" ht="33.75" customHeight="1">
      <c r="A13185" s="7">
        <v>661.0</v>
      </c>
      <c r="B13185" s="9" t="s">
        <v>18019</v>
      </c>
      <c r="C13185" s="9" t="s">
        <v>18020</v>
      </c>
      <c r="D13185" s="9" t="s">
        <v>117</v>
      </c>
      <c r="E13185" s="6" t="s">
        <v>18029</v>
      </c>
      <c r="F13185" s="9"/>
    </row>
    <row r="13186" ht="33.75" customHeight="1">
      <c r="A13186" s="7">
        <v>662.0</v>
      </c>
      <c r="B13186" s="9" t="s">
        <v>18030</v>
      </c>
      <c r="C13186" s="9" t="s">
        <v>16862</v>
      </c>
      <c r="D13186" s="9" t="s">
        <v>101</v>
      </c>
      <c r="E13186" s="6" t="s">
        <v>18031</v>
      </c>
      <c r="F13186" t="inlineStr" s="10">
        <is>
          <t xml:space="preserve">Nokastaan ​​se työntää ulos hiiliä, jotka sytyttävät korkean ruohon tuleen. Sitten se hyökkää hämmentyneen saaliin kimppuun, joka ponnahtaa esiin ruohosta. Mitä kuumempi sen vatsassa oleva liekkipussi on, sitä nopeammin se voi lentää, mutta tulen sytyttämiseen menee jonkin aikaa. Nokastaan ​​se ampuu saalistaan ​​hiiliä. Kun se on saanut saaliinsa kiinni, se grillaa ne kuumalla lämmöllä ennen kuin herkutelee niillä. Se ei siedä muiden Fletchinder-heimon jäsenten saapumista alueelleen, jonka säde on useita maileja. Se sirottelee hiiliä korkeaan ruohoon. Sitten liekkien säikäyttämät Bug-Pokémonit lentävät esiin, ja Fletchinder hotkaisee ne. Sen nopeus heti nousun jälkeen asettaa sen jo kaikkien lintu-Pokémonien huippunopeuteen. Fletchinder heittää hiiliä saaliinsa pesään. Kun saalis hyppää ulos, Fletchinderin terävät kynnet viimeistelevät sen. Fletchinder-pokémonit ovat äärimmäisen reviiritietoisia ja aggressiivisia. Nämä Pokémonit taistelevat keskenään ruokailupaikoista.</t>
        </is>
      </c>
    </row>
    <row r="13187" ht="33.75" customHeight="1">
      <c r="A13187" s="7">
        <v>662.0</v>
      </c>
      <c r="B13187" s="9" t="s">
        <v>18030</v>
      </c>
      <c r="C13187" s="9" t="s">
        <v>16862</v>
      </c>
      <c r="D13187" s="9" t="s">
        <v>105</v>
      </c>
      <c r="E13187" s="6" t="s">
        <v>18032</v>
      </c>
      <c r="F13187" s="9"/>
    </row>
    <row r="13188" ht="33.75" customHeight="1">
      <c r="A13188" s="7">
        <v>662.0</v>
      </c>
      <c r="B13188" s="9" t="s">
        <v>18030</v>
      </c>
      <c r="C13188" s="9" t="s">
        <v>16862</v>
      </c>
      <c r="D13188" s="9" t="s">
        <v>107</v>
      </c>
      <c r="E13188" s="6" t="s">
        <v>18031</v>
      </c>
      <c r="F13188" s="9"/>
    </row>
    <row r="13189" ht="33.75" customHeight="1">
      <c r="A13189" s="7">
        <v>662.0</v>
      </c>
      <c r="B13189" s="9" t="s">
        <v>18030</v>
      </c>
      <c r="C13189" s="9" t="s">
        <v>16862</v>
      </c>
      <c r="D13189" s="9" t="s">
        <v>109</v>
      </c>
      <c r="E13189" s="6" t="s">
        <v>18032</v>
      </c>
      <c r="F13189" s="9"/>
    </row>
    <row r="13190" ht="33.75" customHeight="1">
      <c r="A13190" s="7">
        <v>662.0</v>
      </c>
      <c r="B13190" s="9" t="s">
        <v>18030</v>
      </c>
      <c r="C13190" s="9" t="s">
        <v>16862</v>
      </c>
      <c r="D13190" s="9" t="s">
        <v>637</v>
      </c>
      <c r="E13190" s="6" t="s">
        <v>18033</v>
      </c>
      <c r="F13190" s="9"/>
    </row>
    <row r="13191" ht="33.75" customHeight="1">
      <c r="A13191" s="7">
        <v>662.0</v>
      </c>
      <c r="B13191" s="9" t="s">
        <v>18030</v>
      </c>
      <c r="C13191" s="9" t="s">
        <v>16862</v>
      </c>
      <c r="D13191" s="9" t="s">
        <v>642</v>
      </c>
      <c r="E13191" s="6" t="s">
        <v>18035</v>
      </c>
      <c r="F13191" s="9"/>
    </row>
    <row r="13192" ht="33.75" customHeight="1">
      <c r="A13192" s="7">
        <v>662.0</v>
      </c>
      <c r="B13192" s="9" t="s">
        <v>18030</v>
      </c>
      <c r="C13192" s="9" t="s">
        <v>16862</v>
      </c>
      <c r="D13192" s="9" t="s">
        <v>647</v>
      </c>
      <c r="E13192" s="6" t="s">
        <v>18036</v>
      </c>
      <c r="F13192" s="9"/>
    </row>
    <row r="13193" ht="33.75" customHeight="1">
      <c r="A13193" s="7">
        <v>662.0</v>
      </c>
      <c r="B13193" s="9" t="s">
        <v>18030</v>
      </c>
      <c r="C13193" s="9" t="s">
        <v>16862</v>
      </c>
      <c r="D13193" s="9" t="s">
        <v>652</v>
      </c>
      <c r="E13193" s="6" t="s">
        <v>18037</v>
      </c>
      <c r="F13193" s="9"/>
    </row>
    <row r="13194" ht="33.75" customHeight="1">
      <c r="A13194" s="7">
        <v>662.0</v>
      </c>
      <c r="B13194" s="9" t="s">
        <v>18030</v>
      </c>
      <c r="C13194" s="9" t="s">
        <v>16862</v>
      </c>
      <c r="D13194" s="9" t="s">
        <v>114</v>
      </c>
      <c r="E13194" s="6" t="s">
        <v>18038</v>
      </c>
      <c r="F13194" s="9"/>
    </row>
    <row r="13195" ht="33.75" customHeight="1">
      <c r="A13195" s="7">
        <v>662.0</v>
      </c>
      <c r="B13195" s="9" t="s">
        <v>18030</v>
      </c>
      <c r="C13195" s="9" t="s">
        <v>16862</v>
      </c>
      <c r="D13195" s="9" t="s">
        <v>117</v>
      </c>
      <c r="E13195" s="6" t="s">
        <v>18039</v>
      </c>
      <c r="F13195" s="9"/>
    </row>
    <row r="13196" ht="33.75" customHeight="1">
      <c r="A13196" s="7">
        <v>663.0</v>
      </c>
      <c r="B13196" s="9" t="s">
        <v>18040</v>
      </c>
      <c r="C13196" s="9" t="s">
        <v>18041</v>
      </c>
      <c r="D13196" s="9" t="s">
        <v>101</v>
      </c>
      <c r="E13196" s="6" t="s">
        <v>18042</v>
      </c>
      <c r="F13196" t="inlineStr" s="10">
        <is>
          <t xml:space="preserve">Jännittävän taistelun kuumeessa se suihkuttaa hiiliä höyheniensä välistä ja nousee ilmaan. Saalistaan ​​hyökätessään se voi saavuttaa jopa 500 km/h nopeuden. Se viimeistelee saaliinsa valtavalla potkulla. Sen lempiruokaa ovat wingull ja pikipek. Se hyökkää voimakkaalla potkulla ja tarttuu niihin lujasti kynsiinsä. Se kiitää suoraan saalistaan ​​lähes 500 km/h lentonopeudella, samalla kun tulisia hiiliä leviää sen höyhenten raoista. Sen kovat siivet eivät päästä tulta läpi. Kauan sitten palomiesten varusteet tehtiin Talonflame-siivistä. Lintu-Pokémonit muodostavat suurimman osan sen ruokavaliosta. Se lähestyy kovalla nopeudella ja paiskaa ne maahan voimakkaalla potkullaan. Talonflame saalistaa pääasiassa muita lintu-Pokémoneja. Pelotellakseen vastustajiaan se lähettää hiiliä sylkemällä höyheniensä välistä. Talonflame syöksyy saalista kohti jopa 500 km/h nopeudella ja hyökkää sen kimppuun voimakkailla potkuilla antamatta saaliille mitään mahdollisuutta paeta.</t>
        </is>
      </c>
    </row>
    <row r="13197" ht="33.75" customHeight="1">
      <c r="A13197" s="7">
        <v>663.0</v>
      </c>
      <c r="B13197" s="9" t="s">
        <v>18040</v>
      </c>
      <c r="C13197" s="9" t="s">
        <v>18041</v>
      </c>
      <c r="D13197" s="9" t="s">
        <v>105</v>
      </c>
      <c r="E13197" s="6" t="s">
        <v>18043</v>
      </c>
      <c r="F13197" s="9"/>
    </row>
    <row r="13198" ht="33.75" customHeight="1">
      <c r="A13198" s="7">
        <v>663.0</v>
      </c>
      <c r="B13198" s="9" t="s">
        <v>18040</v>
      </c>
      <c r="C13198" s="9" t="s">
        <v>18041</v>
      </c>
      <c r="D13198" s="9" t="s">
        <v>107</v>
      </c>
      <c r="E13198" s="6" t="s">
        <v>18042</v>
      </c>
      <c r="F13198" s="9"/>
    </row>
    <row r="13199" ht="33.75" customHeight="1">
      <c r="A13199" s="7">
        <v>663.0</v>
      </c>
      <c r="B13199" s="9" t="s">
        <v>18040</v>
      </c>
      <c r="C13199" s="9" t="s">
        <v>18041</v>
      </c>
      <c r="D13199" s="9" t="s">
        <v>109</v>
      </c>
      <c r="E13199" s="6" t="s">
        <v>18043</v>
      </c>
      <c r="F13199" s="9"/>
    </row>
    <row r="13200" ht="33.75" customHeight="1">
      <c r="A13200" s="7">
        <v>663.0</v>
      </c>
      <c r="B13200" s="9" t="s">
        <v>18040</v>
      </c>
      <c r="C13200" s="9" t="s">
        <v>18041</v>
      </c>
      <c r="D13200" s="9" t="s">
        <v>637</v>
      </c>
      <c r="E13200" s="6" t="s">
        <v>18044</v>
      </c>
      <c r="F13200" s="9"/>
    </row>
    <row r="13201" ht="33.75" customHeight="1">
      <c r="A13201" s="7">
        <v>663.0</v>
      </c>
      <c r="B13201" s="9" t="s">
        <v>18040</v>
      </c>
      <c r="C13201" s="9" t="s">
        <v>18041</v>
      </c>
      <c r="D13201" s="9" t="s">
        <v>642</v>
      </c>
      <c r="E13201" s="6" t="s">
        <v>18045</v>
      </c>
      <c r="F13201" s="9"/>
    </row>
    <row r="13202" ht="33.75" customHeight="1">
      <c r="A13202" s="7">
        <v>663.0</v>
      </c>
      <c r="B13202" s="9" t="s">
        <v>18040</v>
      </c>
      <c r="C13202" s="9" t="s">
        <v>18041</v>
      </c>
      <c r="D13202" s="9" t="s">
        <v>647</v>
      </c>
      <c r="E13202" s="6" t="s">
        <v>18046</v>
      </c>
      <c r="F13202" s="9"/>
    </row>
    <row r="13203" ht="33.75" customHeight="1">
      <c r="A13203" s="7">
        <v>663.0</v>
      </c>
      <c r="B13203" s="9" t="s">
        <v>18040</v>
      </c>
      <c r="C13203" s="9" t="s">
        <v>18041</v>
      </c>
      <c r="D13203" s="9" t="s">
        <v>652</v>
      </c>
      <c r="E13203" s="6" t="s">
        <v>18047</v>
      </c>
      <c r="F13203" s="9"/>
    </row>
    <row r="13204" ht="33.75" customHeight="1">
      <c r="A13204" s="7">
        <v>663.0</v>
      </c>
      <c r="B13204" s="9" t="s">
        <v>18040</v>
      </c>
      <c r="C13204" s="9" t="s">
        <v>18041</v>
      </c>
      <c r="D13204" s="9" t="s">
        <v>114</v>
      </c>
      <c r="E13204" s="6" t="s">
        <v>18048</v>
      </c>
      <c r="F13204" s="9"/>
    </row>
    <row r="13205" ht="33.75" customHeight="1">
      <c r="A13205" s="7">
        <v>663.0</v>
      </c>
      <c r="B13205" s="9" t="s">
        <v>18040</v>
      </c>
      <c r="C13205" s="9" t="s">
        <v>18041</v>
      </c>
      <c r="D13205" s="9" t="s">
        <v>117</v>
      </c>
      <c r="E13205" s="6" t="s">
        <v>18049</v>
      </c>
      <c r="F13205" s="9"/>
    </row>
    <row r="13206" ht="33.75" customHeight="1">
      <c r="A13206" s="7">
        <v>664.0</v>
      </c>
      <c r="B13206" s="9" t="s">
        <v>18050</v>
      </c>
      <c r="C13206" s="9" t="s">
        <v>18051</v>
      </c>
      <c r="D13206" s="9" t="s">
        <v>101</v>
      </c>
      <c r="E13206" s="6" t="s">
        <v>18052</v>
      </c>
      <c r="F13206" t="inlineStr" s="10">
        <is>
          <t xml:space="preserve">Lintu-Pokémonin hyökkäyksen kohteeksi joutuessaan se sylkee myrkyllistä mustaa ruutia, joka aiheuttaa osuessaan halvaantumisen. Sen kehoa peittävä jauhe säätelee sen lämpötilaa, joten se voi elää missä tahansa alueella tai ilmastossa.</t>
        </is>
      </c>
    </row>
    <row r="13207" ht="33.75" customHeight="1">
      <c r="A13207" s="7">
        <v>664.0</v>
      </c>
      <c r="B13207" s="9" t="s">
        <v>18050</v>
      </c>
      <c r="C13207" s="9" t="s">
        <v>18051</v>
      </c>
      <c r="D13207" s="9" t="s">
        <v>105</v>
      </c>
      <c r="E13207" s="6" t="s">
        <v>18053</v>
      </c>
      <c r="F13207" s="9"/>
    </row>
    <row r="13208" ht="33.75" customHeight="1">
      <c r="A13208" s="7">
        <v>664.0</v>
      </c>
      <c r="B13208" s="9" t="s">
        <v>18050</v>
      </c>
      <c r="C13208" s="9" t="s">
        <v>18051</v>
      </c>
      <c r="D13208" s="9" t="s">
        <v>107</v>
      </c>
      <c r="E13208" s="6" t="s">
        <v>18052</v>
      </c>
      <c r="F13208" s="9"/>
    </row>
    <row r="13209" ht="33.75" customHeight="1">
      <c r="A13209" s="7">
        <v>664.0</v>
      </c>
      <c r="B13209" s="9" t="s">
        <v>18050</v>
      </c>
      <c r="C13209" s="9" t="s">
        <v>18051</v>
      </c>
      <c r="D13209" s="9" t="s">
        <v>109</v>
      </c>
      <c r="E13209" s="6" t="s">
        <v>18053</v>
      </c>
      <c r="F13209" s="9"/>
    </row>
    <row r="13210" ht="33.75" customHeight="1">
      <c r="A13210" s="7">
        <v>665.0</v>
      </c>
      <c r="B13210" s="9" t="s">
        <v>18055</v>
      </c>
      <c r="C13210" s="9" t="s">
        <v>18051</v>
      </c>
      <c r="D13210" s="9" t="s">
        <v>101</v>
      </c>
      <c r="E13210" s="6" t="s">
        <v>18056</v>
      </c>
      <c r="F13210" t="inlineStr" s="10">
        <is>
          <t xml:space="preserve">Spewpa elää piilossa tiheikön varjoissa. Kun saalistajat hyökkäävät, se nostaa nopeasti karvansa harjakseen yrittäessään uhata niitä. Lintu-Pokémonin nokka ei voi alkaa raapimaan sen vankkaa ruumista. Puolustautuakseen se sylkee jauhetta.</t>
        </is>
      </c>
    </row>
    <row r="13211" ht="33.75" customHeight="1">
      <c r="A13211" s="7">
        <v>665.0</v>
      </c>
      <c r="B13211" s="9" t="s">
        <v>18055</v>
      </c>
      <c r="C13211" s="9" t="s">
        <v>18051</v>
      </c>
      <c r="D13211" s="9" t="s">
        <v>105</v>
      </c>
      <c r="E13211" s="6" t="s">
        <v>18057</v>
      </c>
      <c r="F13211" s="9"/>
    </row>
    <row r="13212" ht="33.75" customHeight="1">
      <c r="A13212" s="7">
        <v>665.0</v>
      </c>
      <c r="B13212" s="9" t="s">
        <v>18055</v>
      </c>
      <c r="C13212" s="9" t="s">
        <v>18051</v>
      </c>
      <c r="D13212" s="9" t="s">
        <v>107</v>
      </c>
      <c r="E13212" s="6" t="s">
        <v>18056</v>
      </c>
      <c r="F13212" s="9"/>
    </row>
    <row r="13213" ht="33.75" customHeight="1">
      <c r="A13213" s="7">
        <v>665.0</v>
      </c>
      <c r="B13213" s="9" t="s">
        <v>18055</v>
      </c>
      <c r="C13213" s="9" t="s">
        <v>18051</v>
      </c>
      <c r="D13213" s="9" t="s">
        <v>109</v>
      </c>
      <c r="E13213" s="6" t="s">
        <v>18057</v>
      </c>
      <c r="F13213" s="9"/>
    </row>
    <row r="13214" ht="33.75" customHeight="1">
      <c r="A13214" s="7">
        <v>666.0</v>
      </c>
      <c r="B13214" s="9" t="s">
        <v>18058</v>
      </c>
      <c r="C13214" s="9" t="s">
        <v>18059</v>
      </c>
      <c r="D13214" s="9" t="s">
        <v>101</v>
      </c>
      <c r="E13214" s="6" t="s">
        <v>18060</v>
      </c>
      <c r="F13214" t="inlineStr" s="10">
        <is>
          <t xml:space="preserve">Monia erilaisia ​​kuvioita omaavia Vivillon-lajikkeita löytyy kaikkialta maailmasta. Näihin kuvioihin vaikuttaa niiden elinympäristön ilmasto. Tämän Pokémonin siipien kuviot riippuvat sen elinympäristön ilmastosta ja topografiasta. Se levittää värikkäitä suomuja.</t>
        </is>
      </c>
    </row>
    <row r="13215" ht="33.75" customHeight="1">
      <c r="A13215" s="7">
        <v>666.0</v>
      </c>
      <c r="B13215" s="9" t="s">
        <v>18058</v>
      </c>
      <c r="C13215" s="9" t="s">
        <v>18059</v>
      </c>
      <c r="D13215" s="9" t="s">
        <v>105</v>
      </c>
      <c r="E13215" s="6" t="s">
        <v>18061</v>
      </c>
      <c r="F13215" s="9"/>
    </row>
    <row r="13216" ht="33.75" customHeight="1">
      <c r="A13216" s="7">
        <v>666.0</v>
      </c>
      <c r="B13216" s="9" t="s">
        <v>18058</v>
      </c>
      <c r="C13216" s="9" t="s">
        <v>18059</v>
      </c>
      <c r="D13216" s="9" t="s">
        <v>107</v>
      </c>
      <c r="E13216" s="6" t="s">
        <v>18060</v>
      </c>
      <c r="F13216" s="9"/>
    </row>
    <row r="13217" ht="33.75" customHeight="1">
      <c r="A13217" s="7">
        <v>666.0</v>
      </c>
      <c r="B13217" s="9" t="s">
        <v>18058</v>
      </c>
      <c r="C13217" s="9" t="s">
        <v>18059</v>
      </c>
      <c r="D13217" s="9" t="s">
        <v>109</v>
      </c>
      <c r="E13217" s="6" t="s">
        <v>18061</v>
      </c>
      <c r="F13217" s="9"/>
    </row>
    <row r="13218" ht="33.75" customHeight="1">
      <c r="A13218" s="7">
        <v>667.0</v>
      </c>
      <c r="B13218" s="9" t="s">
        <v>18063</v>
      </c>
      <c r="C13218" s="9" t="s">
        <v>18064</v>
      </c>
      <c r="D13218" s="9" t="s">
        <v>101</v>
      </c>
      <c r="E13218" s="6" t="s">
        <v>18065</v>
      </c>
      <c r="F13218" t="inlineStr" s="10">
        <is>
          <t xml:space="preserve">Mitä vahvemman vihollisen se kohtaa, sitä enemmän lämpöä purkautuu Litleon harjasta ja sitä enemmän voimaa virtaa sen kehon läpi. Ne lähtevät ylpeydestään omille teilleen ja elävät omilla jaloillaan tullakseen vahvemmiksi. Nämä kuumaveriset Pokémonit ovat nopeita taistelemaan. Nuorena ne elävät ylpeänä. Kun ne pystyvät metsästämään saalista itse, ne häädetään ulos ja niiden on löydettävä oma tietään. Tämä kuumaverinen Pokémon on täynnä uteliaisuutta. Kun se suuttuu tai alkaa taistella, sen lyhyt harja kuumenee.</t>
        </is>
      </c>
    </row>
    <row r="13219" ht="33.75" customHeight="1">
      <c r="A13219" s="7">
        <v>667.0</v>
      </c>
      <c r="B13219" s="9" t="s">
        <v>18063</v>
      </c>
      <c r="C13219" s="9" t="s">
        <v>18064</v>
      </c>
      <c r="D13219" s="9" t="s">
        <v>105</v>
      </c>
      <c r="E13219" s="6" t="s">
        <v>18066</v>
      </c>
      <c r="F13219" s="9"/>
    </row>
    <row r="13220" ht="33.75" customHeight="1">
      <c r="A13220" s="7">
        <v>667.0</v>
      </c>
      <c r="B13220" s="9" t="s">
        <v>18063</v>
      </c>
      <c r="C13220" s="9" t="s">
        <v>18064</v>
      </c>
      <c r="D13220" s="9" t="s">
        <v>107</v>
      </c>
      <c r="E13220" s="6" t="s">
        <v>18065</v>
      </c>
      <c r="F13220" s="9"/>
    </row>
    <row r="13221" ht="33.75" customHeight="1">
      <c r="A13221" s="7">
        <v>667.0</v>
      </c>
      <c r="B13221" s="9" t="s">
        <v>18063</v>
      </c>
      <c r="C13221" s="9" t="s">
        <v>18064</v>
      </c>
      <c r="D13221" s="9" t="s">
        <v>109</v>
      </c>
      <c r="E13221" s="6" t="s">
        <v>18066</v>
      </c>
      <c r="F13221" s="9"/>
    </row>
    <row r="13222" ht="33.75" customHeight="1">
      <c r="A13222" s="7">
        <v>667.0</v>
      </c>
      <c r="B13222" s="9" t="s">
        <v>18063</v>
      </c>
      <c r="C13222" s="9" t="s">
        <v>18064</v>
      </c>
      <c r="D13222" s="9" t="s">
        <v>647</v>
      </c>
      <c r="E13222" s="6" t="s">
        <v>18067</v>
      </c>
      <c r="F13222" s="9"/>
    </row>
    <row r="13223" ht="33.75" customHeight="1">
      <c r="A13223" s="7">
        <v>667.0</v>
      </c>
      <c r="B13223" s="9" t="s">
        <v>18063</v>
      </c>
      <c r="C13223" s="9" t="s">
        <v>18064</v>
      </c>
      <c r="D13223" s="9" t="s">
        <v>652</v>
      </c>
      <c r="E13223" s="6" t="s">
        <v>18068</v>
      </c>
      <c r="F13223" s="9"/>
    </row>
    <row r="13224" ht="33.75" customHeight="1">
      <c r="A13224" s="7">
        <v>668.0</v>
      </c>
      <c r="B13224" s="9" t="s">
        <v>18069</v>
      </c>
      <c r="C13224" s="9" t="s">
        <v>11638</v>
      </c>
      <c r="D13224" s="9" t="s">
        <v>101</v>
      </c>
      <c r="E13224" s="6" t="s">
        <v>18071</v>
      </c>
      <c r="F13224" t="inlineStr" s="10">
        <is>
          <t xml:space="preserve">Koiras, jolla on suurin tuliharja, on lauman johtaja. Yli 3800 celsiusasteen tulisella hengityksellään ne uhkaavat ilkeästi ketä tahansa haastajaa. Naaraat suojelevat lauman pentuja. Urokset ovat yleensä laiskoja, mutta voimakkaan vihollisen hyökkäyksen kohteeksi joutuessaan uros suojelee ystäviään välittämättä omasta turvallisuudestaan. Sen hengityksen lämpötila on yli 10 000 Fahrenheit-astetta, mutta Pyroar ei käytä sitä saaliiseensa. Tämä Pokémon syö mieluiten raakaa lihaa.</t>
        </is>
      </c>
    </row>
    <row r="13225" ht="33.75" customHeight="1">
      <c r="A13225" s="7">
        <v>668.0</v>
      </c>
      <c r="B13225" s="9" t="s">
        <v>18069</v>
      </c>
      <c r="C13225" s="9" t="s">
        <v>11638</v>
      </c>
      <c r="D13225" s="9" t="s">
        <v>105</v>
      </c>
      <c r="E13225" s="6" t="s">
        <v>18072</v>
      </c>
      <c r="F13225" s="9"/>
    </row>
    <row r="13226" ht="33.75" customHeight="1">
      <c r="A13226" s="7">
        <v>668.0</v>
      </c>
      <c r="B13226" s="9" t="s">
        <v>18069</v>
      </c>
      <c r="C13226" s="9" t="s">
        <v>11638</v>
      </c>
      <c r="D13226" s="9" t="s">
        <v>107</v>
      </c>
      <c r="E13226" s="6" t="s">
        <v>18071</v>
      </c>
      <c r="F13226" s="9"/>
    </row>
    <row r="13227" ht="33.75" customHeight="1">
      <c r="A13227" s="7">
        <v>668.0</v>
      </c>
      <c r="B13227" s="9" t="s">
        <v>18069</v>
      </c>
      <c r="C13227" s="9" t="s">
        <v>11638</v>
      </c>
      <c r="D13227" s="9" t="s">
        <v>109</v>
      </c>
      <c r="E13227" s="6" t="s">
        <v>18072</v>
      </c>
      <c r="F13227" s="9"/>
    </row>
    <row r="13228" ht="33.75" customHeight="1">
      <c r="A13228" s="7">
        <v>668.0</v>
      </c>
      <c r="B13228" s="9" t="s">
        <v>18069</v>
      </c>
      <c r="C13228" s="9" t="s">
        <v>11638</v>
      </c>
      <c r="D13228" s="9" t="s">
        <v>647</v>
      </c>
      <c r="E13228" s="6" t="s">
        <v>18073</v>
      </c>
      <c r="F13228" s="9"/>
    </row>
    <row r="13229" ht="33.75" customHeight="1">
      <c r="A13229" s="7">
        <v>668.0</v>
      </c>
      <c r="B13229" s="9" t="s">
        <v>18069</v>
      </c>
      <c r="C13229" s="9" t="s">
        <v>11638</v>
      </c>
      <c r="D13229" s="9" t="s">
        <v>652</v>
      </c>
      <c r="E13229" s="6" t="s">
        <v>18074</v>
      </c>
      <c r="F13229" s="9"/>
    </row>
    <row r="13230" ht="33.75" customHeight="1">
      <c r="A13230" s="7">
        <v>669.0</v>
      </c>
      <c r="B13230" s="9" t="s">
        <v>18075</v>
      </c>
      <c r="C13230" s="9" t="s">
        <v>18076</v>
      </c>
      <c r="D13230" s="9" t="s">
        <v>101</v>
      </c>
      <c r="E13230" s="6" t="s">
        <v>18077</v>
      </c>
      <c r="F13230" t="inlineStr" s="10">
        <is>
          <t xml:space="preserve">Flabébé vetää esiin ja hallitsee kukkien piilevää voimaa. Flabébén kädessään pitelemä kukka on todennäköisesti osa sen kehoa. Löydettyään kukan, josta se pitää, se viipyy sen perässä koko elämänsä. Se kelluu tuulen syleilyssä levottoman sydämen vallassa. Se ei ole turvassa ilman kukan voimaa, mutta se jatkaa matkaansa, kunnes löytää sellaisen, jolla on haluamansa väri ja muoto. Flabébé käyttää kruunua, joka on tehty sen kukasta kerätystä siitepölystä. Kruunulla on piilotettuja parantavia ominaisuuksia.</t>
        </is>
      </c>
    </row>
    <row r="13231" ht="33.75" customHeight="1">
      <c r="A13231" s="7">
        <v>669.0</v>
      </c>
      <c r="B13231" s="9" t="s">
        <v>18075</v>
      </c>
      <c r="C13231" s="9" t="s">
        <v>18076</v>
      </c>
      <c r="D13231" s="9" t="s">
        <v>105</v>
      </c>
      <c r="E13231" s="6" t="s">
        <v>18078</v>
      </c>
      <c r="F13231" s="9"/>
    </row>
    <row r="13232" ht="33.75" customHeight="1">
      <c r="A13232" s="7">
        <v>669.0</v>
      </c>
      <c r="B13232" s="9" t="s">
        <v>18075</v>
      </c>
      <c r="C13232" s="9" t="s">
        <v>18076</v>
      </c>
      <c r="D13232" s="9" t="s">
        <v>107</v>
      </c>
      <c r="E13232" s="6" t="s">
        <v>18077</v>
      </c>
      <c r="F13232" s="9"/>
    </row>
    <row r="13233" ht="33.75" customHeight="1">
      <c r="A13233" s="7">
        <v>669.0</v>
      </c>
      <c r="B13233" s="9" t="s">
        <v>18075</v>
      </c>
      <c r="C13233" s="9" t="s">
        <v>18076</v>
      </c>
      <c r="D13233" s="9" t="s">
        <v>109</v>
      </c>
      <c r="E13233" s="6" t="s">
        <v>18078</v>
      </c>
      <c r="F13233" s="9"/>
    </row>
    <row r="13234" ht="33.75" customHeight="1">
      <c r="A13234" s="7">
        <v>669.0</v>
      </c>
      <c r="B13234" s="9" t="s">
        <v>18075</v>
      </c>
      <c r="C13234" s="9" t="s">
        <v>18076</v>
      </c>
      <c r="D13234" s="9" t="s">
        <v>647</v>
      </c>
      <c r="E13234" s="6" t="s">
        <v>18079</v>
      </c>
      <c r="F13234" s="9"/>
    </row>
    <row r="13235" ht="33.75" customHeight="1">
      <c r="A13235" s="7">
        <v>669.0</v>
      </c>
      <c r="B13235" s="9" t="s">
        <v>18075</v>
      </c>
      <c r="C13235" s="9" t="s">
        <v>18076</v>
      </c>
      <c r="D13235" s="9" t="s">
        <v>652</v>
      </c>
      <c r="E13235" s="6" t="s">
        <v>18080</v>
      </c>
      <c r="F13235" s="9"/>
    </row>
    <row r="13236" ht="33.75" customHeight="1">
      <c r="A13236" s="7">
        <v>670.0</v>
      </c>
      <c r="B13236" s="9" t="s">
        <v>18082</v>
      </c>
      <c r="C13236" s="9" t="s">
        <v>18076</v>
      </c>
      <c r="D13236" s="9" t="s">
        <v>101</v>
      </c>
      <c r="E13236" s="6" t="s">
        <v>18083</v>
      </c>
      <c r="F13236" t="inlineStr" s="10">
        <is>
          <t xml:space="preserve">Floette lepattaa kukkapelloilla ja hoitaa nuutumaan alkavia kukkia. Se ammentaa esiin kukkien piilevän voiman taisteluun. Kun hyvin hoidetun kukkapenkin kukat puhkeavat kukkiin, se ilmestyy ja juhlii elegantilla tanssilla. Se kasvattaa kukkia ja käyttää niitä aseina. Mitä upeampi kukka, sitä enemmän voimaa se sisältää. Se antaa kukille oman voimansa ja kaataa sydämensä niiden hoitamiseen. Floette ei koskaan anna anteeksi kenellekään, joka sotkee ​​kukkapenkin.</t>
        </is>
      </c>
    </row>
    <row r="13237" ht="33.75" customHeight="1">
      <c r="A13237" s="7">
        <v>670.0</v>
      </c>
      <c r="B13237" s="9" t="s">
        <v>18082</v>
      </c>
      <c r="C13237" s="9" t="s">
        <v>18076</v>
      </c>
      <c r="D13237" s="9" t="s">
        <v>105</v>
      </c>
      <c r="E13237" s="6" t="s">
        <v>18084</v>
      </c>
      <c r="F13237" s="9"/>
    </row>
    <row r="13238" ht="33.75" customHeight="1">
      <c r="A13238" s="7">
        <v>670.0</v>
      </c>
      <c r="B13238" s="9" t="s">
        <v>18082</v>
      </c>
      <c r="C13238" s="9" t="s">
        <v>18076</v>
      </c>
      <c r="D13238" s="9" t="s">
        <v>107</v>
      </c>
      <c r="E13238" s="6" t="s">
        <v>18083</v>
      </c>
      <c r="F13238" s="9"/>
    </row>
    <row r="13239" ht="33.75" customHeight="1">
      <c r="A13239" s="7">
        <v>670.0</v>
      </c>
      <c r="B13239" s="9" t="s">
        <v>18082</v>
      </c>
      <c r="C13239" s="9" t="s">
        <v>18076</v>
      </c>
      <c r="D13239" s="9" t="s">
        <v>109</v>
      </c>
      <c r="E13239" s="6" t="s">
        <v>18084</v>
      </c>
      <c r="F13239" s="9"/>
    </row>
    <row r="13240" ht="33.75" customHeight="1">
      <c r="A13240" s="7">
        <v>670.0</v>
      </c>
      <c r="B13240" s="9" t="s">
        <v>18082</v>
      </c>
      <c r="C13240" s="9" t="s">
        <v>18076</v>
      </c>
      <c r="D13240" s="9" t="s">
        <v>647</v>
      </c>
      <c r="E13240" s="6" t="s">
        <v>18085</v>
      </c>
      <c r="F13240" s="9"/>
    </row>
    <row r="13241" ht="33.75" customHeight="1">
      <c r="A13241" s="7">
        <v>670.0</v>
      </c>
      <c r="B13241" s="9" t="s">
        <v>18082</v>
      </c>
      <c r="C13241" s="9" t="s">
        <v>18076</v>
      </c>
      <c r="D13241" s="9" t="s">
        <v>652</v>
      </c>
      <c r="E13241" s="6" t="s">
        <v>18086</v>
      </c>
      <c r="F13241" s="9"/>
    </row>
    <row r="13242" ht="33.75" customHeight="1">
      <c r="A13242" s="7">
        <v>671.0</v>
      </c>
      <c r="B13242" s="9" t="s">
        <v>18087</v>
      </c>
      <c r="C13242" s="9" t="s">
        <v>18088</v>
      </c>
      <c r="D13242" s="9" t="s">
        <v>101</v>
      </c>
      <c r="E13242" s="6" t="s">
        <v>18089</v>
      </c>
      <c r="F13242" t="inlineStr" s="10">
        <is>
          <t xml:space="preserve">Florges väittää upeita kukkapuutarhoja alueekseen ja saa voimansa nauttimalla kukkivien kasvien säteilemästä energiasta. Kauan sitten linnanjohtajat kutsuivat Florgesia luomaan kukkapuutarhoja kaunistamaan linnan alueita. Se hallitsee kasvattamiaan kukkia. Florgesin laukaisemat terälehtien lumimyrskyt ovat kauneudessaan ja voimassaan hämmentäviä. Sen elinikä voi olla useita satoja vuosia. Sen sanotaan omistavan koko elämänsä puutarhojen suojelemiseen.</t>
        </is>
      </c>
    </row>
    <row r="13243" ht="33.75" customHeight="1">
      <c r="A13243" s="7">
        <v>671.0</v>
      </c>
      <c r="B13243" s="9" t="s">
        <v>18087</v>
      </c>
      <c r="C13243" s="9" t="s">
        <v>18088</v>
      </c>
      <c r="D13243" s="9" t="s">
        <v>105</v>
      </c>
      <c r="E13243" s="6" t="s">
        <v>18090</v>
      </c>
      <c r="F13243" s="9"/>
    </row>
    <row r="13244" ht="33.75" customHeight="1">
      <c r="A13244" s="7">
        <v>671.0</v>
      </c>
      <c r="B13244" s="9" t="s">
        <v>18087</v>
      </c>
      <c r="C13244" s="9" t="s">
        <v>18088</v>
      </c>
      <c r="D13244" s="9" t="s">
        <v>107</v>
      </c>
      <c r="E13244" s="6" t="s">
        <v>18089</v>
      </c>
      <c r="F13244" s="9"/>
    </row>
    <row r="13245" ht="33.75" customHeight="1">
      <c r="A13245" s="7">
        <v>671.0</v>
      </c>
      <c r="B13245" s="9" t="s">
        <v>18087</v>
      </c>
      <c r="C13245" s="9" t="s">
        <v>18088</v>
      </c>
      <c r="D13245" s="9" t="s">
        <v>109</v>
      </c>
      <c r="E13245" s="6" t="s">
        <v>18090</v>
      </c>
      <c r="F13245" s="9"/>
    </row>
    <row r="13246" ht="33.75" customHeight="1">
      <c r="A13246" s="7">
        <v>671.0</v>
      </c>
      <c r="B13246" s="9" t="s">
        <v>18087</v>
      </c>
      <c r="C13246" s="9" t="s">
        <v>18088</v>
      </c>
      <c r="D13246" s="9" t="s">
        <v>647</v>
      </c>
      <c r="E13246" s="6" t="s">
        <v>18091</v>
      </c>
      <c r="F13246" s="9"/>
    </row>
    <row r="13247" ht="33.75" customHeight="1">
      <c r="A13247" s="7">
        <v>671.0</v>
      </c>
      <c r="B13247" s="9" t="s">
        <v>18087</v>
      </c>
      <c r="C13247" s="9" t="s">
        <v>18088</v>
      </c>
      <c r="D13247" s="9" t="s">
        <v>652</v>
      </c>
      <c r="E13247" s="6" t="s">
        <v>18092</v>
      </c>
      <c r="F13247" s="9"/>
    </row>
    <row r="13248" ht="33.75" customHeight="1">
      <c r="A13248" s="7">
        <v>672.0</v>
      </c>
      <c r="B13248" s="9" t="s">
        <v>18093</v>
      </c>
      <c r="C13248" s="9" t="s">
        <v>18094</v>
      </c>
      <c r="D13248" s="9" t="s">
        <v>101</v>
      </c>
      <c r="E13248" s="6" t="s">
        <v>18095</v>
      </c>
      <c r="F13248" t="inlineStr" s="10">
        <is>
          <t xml:space="preserve">Skiddon uskotaan olevan yksi ensimmäisistä Pokémoneista, joka eli sopusoinnussa ihmisten kanssa, ja sillä on rauhallinen luonne. Jos sillä on auringonpaistetta ja vettä, sen ei tarvitse syödä, koska se voi tuottaa energiaa selässään olevista lehdistä.</t>
        </is>
      </c>
    </row>
    <row r="13249" ht="33.75" customHeight="1">
      <c r="A13249" s="7">
        <v>672.0</v>
      </c>
      <c r="B13249" s="9" t="s">
        <v>18093</v>
      </c>
      <c r="C13249" s="9" t="s">
        <v>18094</v>
      </c>
      <c r="D13249" s="9" t="s">
        <v>105</v>
      </c>
      <c r="E13249" s="6" t="s">
        <v>18097</v>
      </c>
      <c r="F13249" s="9"/>
    </row>
    <row r="13250" ht="33.75" customHeight="1">
      <c r="A13250" s="7">
        <v>672.0</v>
      </c>
      <c r="B13250" s="9" t="s">
        <v>18093</v>
      </c>
      <c r="C13250" s="9" t="s">
        <v>18094</v>
      </c>
      <c r="D13250" s="9" t="s">
        <v>107</v>
      </c>
      <c r="E13250" s="6" t="s">
        <v>18095</v>
      </c>
      <c r="F13250" s="9"/>
    </row>
    <row r="13251" ht="33.75" customHeight="1">
      <c r="A13251" s="7">
        <v>672.0</v>
      </c>
      <c r="B13251" s="9" t="s">
        <v>18093</v>
      </c>
      <c r="C13251" s="9" t="s">
        <v>18094</v>
      </c>
      <c r="D13251" s="9" t="s">
        <v>109</v>
      </c>
      <c r="E13251" s="6" t="s">
        <v>18097</v>
      </c>
      <c r="F13251" s="9"/>
    </row>
    <row r="13252" ht="33.75" customHeight="1">
      <c r="A13252" s="7">
        <v>673.0</v>
      </c>
      <c r="B13252" s="9" t="s">
        <v>18098</v>
      </c>
      <c r="C13252" s="9" t="s">
        <v>18094</v>
      </c>
      <c r="D13252" s="9" t="s">
        <v>101</v>
      </c>
      <c r="E13252" s="6" t="s">
        <v>18099</v>
      </c>
      <c r="F13252" t="inlineStr" s="10">
        <is>
          <t xml:space="preserve">Gogoat pystyy kertomaan kouluttajansa tunteet hienovaraisista sarviensa otteen muutoksista. Tämä empaattinen aisti antaa niiden juosta kuin yhtenä olentona. Ne asuvat vuoristoalueilla. Lauman johtaja ratkaistaan ​​sarvien yhteentörmäyksessä.</t>
        </is>
      </c>
    </row>
    <row r="13253" ht="33.75" customHeight="1">
      <c r="A13253" s="7">
        <v>673.0</v>
      </c>
      <c r="B13253" s="9" t="s">
        <v>18098</v>
      </c>
      <c r="C13253" s="9" t="s">
        <v>18094</v>
      </c>
      <c r="D13253" s="9" t="s">
        <v>105</v>
      </c>
      <c r="E13253" s="6" t="s">
        <v>18100</v>
      </c>
      <c r="F13253" s="9"/>
    </row>
    <row r="13254" ht="33.75" customHeight="1">
      <c r="A13254" s="7">
        <v>673.0</v>
      </c>
      <c r="B13254" s="9" t="s">
        <v>18098</v>
      </c>
      <c r="C13254" s="9" t="s">
        <v>18094</v>
      </c>
      <c r="D13254" s="9" t="s">
        <v>107</v>
      </c>
      <c r="E13254" s="6" t="s">
        <v>18099</v>
      </c>
      <c r="F13254" s="9"/>
    </row>
    <row r="13255" ht="33.75" customHeight="1">
      <c r="A13255" s="7">
        <v>673.0</v>
      </c>
      <c r="B13255" s="9" t="s">
        <v>18098</v>
      </c>
      <c r="C13255" s="9" t="s">
        <v>18094</v>
      </c>
      <c r="D13255" s="9" t="s">
        <v>109</v>
      </c>
      <c r="E13255" s="6" t="s">
        <v>18100</v>
      </c>
      <c r="F13255" s="9"/>
    </row>
    <row r="13256" ht="33.75" customHeight="1">
      <c r="A13256" s="7">
        <v>674.0</v>
      </c>
      <c r="B13256" s="9" t="s">
        <v>18101</v>
      </c>
      <c r="C13256" s="9" t="s">
        <v>15647</v>
      </c>
      <c r="D13256" s="9" t="s">
        <v>101</v>
      </c>
      <c r="E13256" s="6" t="s">
        <v>18102</v>
      </c>
      <c r="F13256" t="inlineStr" s="10">
        <is>
          <t xml:space="preserve">Pancham tekee parhaansa, jotta vihollisensa ottaisivat sen vakavasti, mutta sen tuijotus ei ole tarpeeksi pelottava. Lehden pureskelu on sen tavaramerkki. Se tekee parhaansa tuijottaakseen ja tehdäkseen pelottavan ilmeen, mutta se ei voi olla virnistämättä, jos joku taputtaa sen päätä. Se kasvaa matkien Pangoron käytöstä, jota se ihailee johtajana. Sen suussa olevalla lehdellä ei ole mitään tarkoitusta, paitsi että se pyrkii näyttämään coolilta. Se on ilkikurinen, joten se ei sovi kovin hyvin kokemattomille kouluttajille. Se seuraa Pangoroa kuin kätyri. Kun Pancham tekee ison virheen, sen lehti otetaan pois. Se yrittää epätoivoisesti pelotella vastustajiaan. Ole kiltti ja teeskentele peloissasi, jos huomaat sen tuijottavan sinua voimakkaasti. Se valitsee isännäkseen Pangoron ja matkii sitten isäntänsä toimia. Näin se oppii taistelemaan ja metsästämään saalista. Pancham haluaa varmistaa, että se otetaan vakavasti, joten se mulkoilee aina muita. Mutta jos se ei keskity, se päätyy hymyilemään.</t>
        </is>
      </c>
    </row>
    <row r="13257" ht="33.75" customHeight="1">
      <c r="A13257" s="7">
        <v>674.0</v>
      </c>
      <c r="B13257" s="9" t="s">
        <v>18101</v>
      </c>
      <c r="C13257" s="9" t="s">
        <v>15647</v>
      </c>
      <c r="D13257" s="9" t="s">
        <v>105</v>
      </c>
      <c r="E13257" s="6" t="s">
        <v>18103</v>
      </c>
      <c r="F13257" s="9"/>
    </row>
    <row r="13258" ht="33.75" customHeight="1">
      <c r="A13258" s="7">
        <v>674.0</v>
      </c>
      <c r="B13258" s="9" t="s">
        <v>18101</v>
      </c>
      <c r="C13258" s="9" t="s">
        <v>15647</v>
      </c>
      <c r="D13258" s="9" t="s">
        <v>107</v>
      </c>
      <c r="E13258" s="6" t="s">
        <v>18102</v>
      </c>
      <c r="F13258" s="9"/>
    </row>
    <row r="13259" ht="33.75" customHeight="1">
      <c r="A13259" s="7">
        <v>674.0</v>
      </c>
      <c r="B13259" s="9" t="s">
        <v>18101</v>
      </c>
      <c r="C13259" s="9" t="s">
        <v>15647</v>
      </c>
      <c r="D13259" s="9" t="s">
        <v>109</v>
      </c>
      <c r="E13259" s="6" t="s">
        <v>18103</v>
      </c>
      <c r="F13259" s="9"/>
    </row>
    <row r="13260" ht="33.75" customHeight="1">
      <c r="A13260" s="7">
        <v>674.0</v>
      </c>
      <c r="B13260" s="9" t="s">
        <v>18101</v>
      </c>
      <c r="C13260" s="9" t="s">
        <v>15647</v>
      </c>
      <c r="D13260" s="9" t="s">
        <v>637</v>
      </c>
      <c r="E13260" s="6" t="s">
        <v>18105</v>
      </c>
      <c r="F13260" s="9"/>
    </row>
    <row r="13261" ht="33.75" customHeight="1">
      <c r="A13261" s="7">
        <v>674.0</v>
      </c>
      <c r="B13261" s="9" t="s">
        <v>18101</v>
      </c>
      <c r="C13261" s="9" t="s">
        <v>15647</v>
      </c>
      <c r="D13261" s="9" t="s">
        <v>642</v>
      </c>
      <c r="E13261" s="6" t="s">
        <v>18106</v>
      </c>
      <c r="F13261" s="9"/>
    </row>
    <row r="13262" ht="33.75" customHeight="1">
      <c r="A13262" s="7">
        <v>674.0</v>
      </c>
      <c r="B13262" s="9" t="s">
        <v>18101</v>
      </c>
      <c r="C13262" s="9" t="s">
        <v>15647</v>
      </c>
      <c r="D13262" s="9" t="s">
        <v>647</v>
      </c>
      <c r="E13262" s="6" t="s">
        <v>18107</v>
      </c>
      <c r="F13262" s="9"/>
    </row>
    <row r="13263" ht="33.75" customHeight="1">
      <c r="A13263" s="7">
        <v>674.0</v>
      </c>
      <c r="B13263" s="9" t="s">
        <v>18101</v>
      </c>
      <c r="C13263" s="9" t="s">
        <v>15647</v>
      </c>
      <c r="D13263" s="9" t="s">
        <v>652</v>
      </c>
      <c r="E13263" s="6" t="s">
        <v>18108</v>
      </c>
      <c r="F13263" s="9"/>
    </row>
    <row r="13264" ht="33.75" customHeight="1">
      <c r="A13264" s="7">
        <v>674.0</v>
      </c>
      <c r="B13264" s="9" t="s">
        <v>18101</v>
      </c>
      <c r="C13264" s="9" t="s">
        <v>15647</v>
      </c>
      <c r="D13264" s="9" t="s">
        <v>114</v>
      </c>
      <c r="E13264" s="6" t="s">
        <v>18109</v>
      </c>
      <c r="F13264" s="9"/>
    </row>
    <row r="13265" ht="33.75" customHeight="1">
      <c r="A13265" s="7">
        <v>674.0</v>
      </c>
      <c r="B13265" s="9" t="s">
        <v>18101</v>
      </c>
      <c r="C13265" s="9" t="s">
        <v>15647</v>
      </c>
      <c r="D13265" s="9" t="s">
        <v>117</v>
      </c>
      <c r="E13265" s="6" t="s">
        <v>18110</v>
      </c>
      <c r="F13265" s="9"/>
    </row>
    <row r="13266" ht="33.75" customHeight="1">
      <c r="A13266" s="7">
        <v>675.0</v>
      </c>
      <c r="B13266" s="9" t="s">
        <v>18111</v>
      </c>
      <c r="C13266" s="9" t="s">
        <v>18112</v>
      </c>
      <c r="D13266" s="9" t="s">
        <v>101</v>
      </c>
      <c r="E13266" s="6" t="s">
        <v>18113</v>
      </c>
      <c r="F13266" t="inlineStr" s="10">
        <is>
          <t xml:space="preserve">Vaikka sillä on väkivaltainen luonne, se ei siedä kiusaamista. Se käyttää suussaan olevaa lehteä aistiakseen vihollistensa liikkeitä. Se syöksyy eteenpäin ja moukaroi vastustajiaan kuin raivohullu, välittämättä mahdollisista osumista. Sen käsivarret ovat niin mahtavat, että ne voisivat katkaista puhelinpylvään. Se ylpeilee erinomaisella fyysisellä voimalla. Pangoron kouluttajaksi haluavilla ei ole muuta vaihtoehtoa kuin keskustella nyrkeillään. Bambulehden pienistä nykäyksistä se päättelee vastustajansa liikkeet. Se on innokas tappelemaan, mutta hyväsydäminen tovereitaan kohtaan. Tämä riehakas Pokémon ylpeilee suurella fyysisellä voimalla. Monet kouluttajatkin ihastuvat sen eloisaan luonteeseen. Pangoro on tyyppiä, joka puhuu nyrkeillään. Se ei sano paljoa, vaan iskee vastustajia niin kovalla voimalla, että se lennättäisi roska-auton lentoon. Tämä Pokémon on nopea suuttumaan, eikä sillä ole ongelmia käyttää suunnatonta voimaansa saadakseen tahtonsa läpi. Se elää kaksintaisteluista Obstagoonia vastaan. Lehtensä avulla Pangoro voi ennustaa vastustajiensa liikkeitä. Se iskee lyönneillä, jotka voivat muuttaa roska-auton romuksi yhdellä iskulla.</t>
        </is>
      </c>
    </row>
    <row r="13267" ht="33.75" customHeight="1">
      <c r="A13267" s="7">
        <v>675.0</v>
      </c>
      <c r="B13267" s="9" t="s">
        <v>18111</v>
      </c>
      <c r="C13267" s="9" t="s">
        <v>18112</v>
      </c>
      <c r="D13267" s="9" t="s">
        <v>105</v>
      </c>
      <c r="E13267" s="6" t="s">
        <v>18114</v>
      </c>
      <c r="F13267" s="9"/>
    </row>
    <row r="13268" ht="33.75" customHeight="1">
      <c r="A13268" s="7">
        <v>675.0</v>
      </c>
      <c r="B13268" s="9" t="s">
        <v>18111</v>
      </c>
      <c r="C13268" s="9" t="s">
        <v>18112</v>
      </c>
      <c r="D13268" s="9" t="s">
        <v>107</v>
      </c>
      <c r="E13268" s="6" t="s">
        <v>18113</v>
      </c>
      <c r="F13268" s="9"/>
    </row>
    <row r="13269" ht="33.75" customHeight="1">
      <c r="A13269" s="7">
        <v>675.0</v>
      </c>
      <c r="B13269" s="9" t="s">
        <v>18111</v>
      </c>
      <c r="C13269" s="9" t="s">
        <v>18112</v>
      </c>
      <c r="D13269" s="9" t="s">
        <v>109</v>
      </c>
      <c r="E13269" s="6" t="s">
        <v>18114</v>
      </c>
      <c r="F13269" s="9"/>
    </row>
    <row r="13270" ht="33.75" customHeight="1">
      <c r="A13270" s="7">
        <v>675.0</v>
      </c>
      <c r="B13270" s="9" t="s">
        <v>18111</v>
      </c>
      <c r="C13270" s="9" t="s">
        <v>18112</v>
      </c>
      <c r="D13270" s="9" t="s">
        <v>637</v>
      </c>
      <c r="E13270" s="6" t="s">
        <v>18115</v>
      </c>
      <c r="F13270" s="9"/>
    </row>
    <row r="13271" ht="33.75" customHeight="1">
      <c r="A13271" s="7">
        <v>675.0</v>
      </c>
      <c r="B13271" s="9" t="s">
        <v>18111</v>
      </c>
      <c r="C13271" s="9" t="s">
        <v>18112</v>
      </c>
      <c r="D13271" s="9" t="s">
        <v>642</v>
      </c>
      <c r="E13271" s="6" t="s">
        <v>18116</v>
      </c>
      <c r="F13271" s="9"/>
    </row>
    <row r="13272" ht="33.75" customHeight="1">
      <c r="A13272" s="7">
        <v>675.0</v>
      </c>
      <c r="B13272" s="9" t="s">
        <v>18111</v>
      </c>
      <c r="C13272" s="9" t="s">
        <v>18112</v>
      </c>
      <c r="D13272" s="9" t="s">
        <v>647</v>
      </c>
      <c r="E13272" s="6" t="s">
        <v>18118</v>
      </c>
      <c r="F13272" s="9"/>
    </row>
    <row r="13273" ht="33.75" customHeight="1">
      <c r="A13273" s="7">
        <v>675.0</v>
      </c>
      <c r="B13273" s="9" t="s">
        <v>18111</v>
      </c>
      <c r="C13273" s="9" t="s">
        <v>18112</v>
      </c>
      <c r="D13273" s="9" t="s">
        <v>652</v>
      </c>
      <c r="E13273" s="6" t="s">
        <v>18119</v>
      </c>
      <c r="F13273" s="9"/>
    </row>
    <row r="13274" ht="33.75" customHeight="1">
      <c r="A13274" s="7">
        <v>675.0</v>
      </c>
      <c r="B13274" s="9" t="s">
        <v>18111</v>
      </c>
      <c r="C13274" s="9" t="s">
        <v>18112</v>
      </c>
      <c r="D13274" s="9" t="s">
        <v>114</v>
      </c>
      <c r="E13274" s="6" t="s">
        <v>18120</v>
      </c>
      <c r="F13274" s="9"/>
    </row>
    <row r="13275" ht="33.75" customHeight="1">
      <c r="A13275" s="7">
        <v>675.0</v>
      </c>
      <c r="B13275" s="9" t="s">
        <v>18111</v>
      </c>
      <c r="C13275" s="9" t="s">
        <v>18112</v>
      </c>
      <c r="D13275" s="9" t="s">
        <v>117</v>
      </c>
      <c r="E13275" s="6" t="s">
        <v>18121</v>
      </c>
      <c r="F13275" s="9"/>
    </row>
    <row r="13276" ht="33.75" customHeight="1">
      <c r="A13276" s="7">
        <v>676.0</v>
      </c>
      <c r="B13276" s="9" t="s">
        <v>18122</v>
      </c>
      <c r="C13276" s="9" t="s">
        <v>18123</v>
      </c>
      <c r="D13276" s="9" t="s">
        <v>101</v>
      </c>
      <c r="E13276" s="6" t="s">
        <v>18124</v>
      </c>
      <c r="F13276" t="inlineStr" s="10">
        <is>
          <t xml:space="preserve">Pörröisen turkin siistiminen ei ainoastaan ​​tee siitä eleganttimpaa, vaan myös lisää Furfroun liikkeiden nopeutta. Historiallisesti Kaloksen alueella nämä Pokémonit olivat kuninkaan nimettyjä suojelijoita. Oli aikakausi, jolloin aateliset kilpailivat siitä, kuka saisi trimmattua furfroujensa turkin mahdollisimman hienoksi. Yksin jätettynä sen turkki kasvaa pidemmäksi ja pidemmäksi, mutta se antaa vain luotettavan henkilön leikata sen.</t>
        </is>
      </c>
    </row>
    <row r="13277" ht="33.75" customHeight="1">
      <c r="A13277" s="7">
        <v>676.0</v>
      </c>
      <c r="B13277" s="9" t="s">
        <v>18122</v>
      </c>
      <c r="C13277" s="9" t="s">
        <v>18123</v>
      </c>
      <c r="D13277" s="9" t="s">
        <v>105</v>
      </c>
      <c r="E13277" s="6" t="s">
        <v>18125</v>
      </c>
      <c r="F13277" s="9"/>
    </row>
    <row r="13278" ht="33.75" customHeight="1">
      <c r="A13278" s="7">
        <v>676.0</v>
      </c>
      <c r="B13278" s="9" t="s">
        <v>18122</v>
      </c>
      <c r="C13278" s="9" t="s">
        <v>18123</v>
      </c>
      <c r="D13278" s="9" t="s">
        <v>107</v>
      </c>
      <c r="E13278" s="6" t="s">
        <v>18124</v>
      </c>
      <c r="F13278" s="9"/>
    </row>
    <row r="13279" ht="33.75" customHeight="1">
      <c r="A13279" s="7">
        <v>676.0</v>
      </c>
      <c r="B13279" s="9" t="s">
        <v>18122</v>
      </c>
      <c r="C13279" s="9" t="s">
        <v>18123</v>
      </c>
      <c r="D13279" s="9" t="s">
        <v>109</v>
      </c>
      <c r="E13279" s="6" t="s">
        <v>18125</v>
      </c>
      <c r="F13279" s="9"/>
    </row>
    <row r="13280" ht="33.75" customHeight="1">
      <c r="A13280" s="7">
        <v>676.0</v>
      </c>
      <c r="B13280" s="9" t="s">
        <v>18122</v>
      </c>
      <c r="C13280" s="9" t="s">
        <v>18123</v>
      </c>
      <c r="D13280" s="9" t="s">
        <v>647</v>
      </c>
      <c r="E13280" s="6" t="s">
        <v>18126</v>
      </c>
      <c r="F13280" s="9"/>
    </row>
    <row r="13281" ht="33.75" customHeight="1">
      <c r="A13281" s="7">
        <v>676.0</v>
      </c>
      <c r="B13281" s="9" t="s">
        <v>18122</v>
      </c>
      <c r="C13281" s="9" t="s">
        <v>18123</v>
      </c>
      <c r="D13281" s="9" t="s">
        <v>652</v>
      </c>
      <c r="E13281" s="6" t="s">
        <v>18127</v>
      </c>
      <c r="F13281" s="9"/>
    </row>
    <row r="13282" ht="33.75" customHeight="1">
      <c r="A13282" s="7">
        <v>677.0</v>
      </c>
      <c r="B13282" s="9" t="s">
        <v>18128</v>
      </c>
      <c r="C13282" s="9" t="s">
        <v>18129</v>
      </c>
      <c r="D13282" s="9" t="s">
        <v>101</v>
      </c>
      <c r="E13282" s="6" t="s">
        <v>18131</v>
      </c>
      <c r="F13282" t="inlineStr" s="10">
        <is>
          <t xml:space="preserve">Elin, joka säteilee voimakasta psyykkistä voimaansa, on suojattu korvillaan estääkseen voiman vuotamisen ulos. Sillä on tarpeeksi psyykkistä energiaa räjäyttääkseen kaiken 300 jalan säteellä itsestään, mutta se ei pysty hallitsemaan omaa voimaansa. Vaikka Espurrin ilme ei muutu, tyhjän katseen takana on intensiivinen kamppailu sen tuhoisan psyykkisen voiman hillitsemiseksi. Espurrissa on tarpeeksi psyykkistä voimaa lähettääkseen painijan lentoon, mutta koska tätä voimaa ei voi hallita, Espurr kokee sen ongelmalliseksi.</t>
        </is>
      </c>
    </row>
    <row r="13283" ht="33.75" customHeight="1">
      <c r="A13283" s="7">
        <v>677.0</v>
      </c>
      <c r="B13283" s="9" t="s">
        <v>18128</v>
      </c>
      <c r="C13283" s="9" t="s">
        <v>18129</v>
      </c>
      <c r="D13283" s="9" t="s">
        <v>105</v>
      </c>
      <c r="E13283" s="6" t="s">
        <v>18132</v>
      </c>
      <c r="F13283" s="9"/>
    </row>
    <row r="13284" ht="33.75" customHeight="1">
      <c r="A13284" s="7">
        <v>677.0</v>
      </c>
      <c r="B13284" s="9" t="s">
        <v>18128</v>
      </c>
      <c r="C13284" s="9" t="s">
        <v>18129</v>
      </c>
      <c r="D13284" s="9" t="s">
        <v>107</v>
      </c>
      <c r="E13284" s="6" t="s">
        <v>18131</v>
      </c>
      <c r="F13284" s="9"/>
    </row>
    <row r="13285" ht="33.75" customHeight="1">
      <c r="A13285" s="7">
        <v>677.0</v>
      </c>
      <c r="B13285" s="9" t="s">
        <v>18128</v>
      </c>
      <c r="C13285" s="9" t="s">
        <v>18129</v>
      </c>
      <c r="D13285" s="9" t="s">
        <v>109</v>
      </c>
      <c r="E13285" s="6" t="s">
        <v>18132</v>
      </c>
      <c r="F13285" s="9"/>
    </row>
    <row r="13286" ht="33.75" customHeight="1">
      <c r="A13286" s="7">
        <v>677.0</v>
      </c>
      <c r="B13286" s="9" t="s">
        <v>18128</v>
      </c>
      <c r="C13286" s="9" t="s">
        <v>18129</v>
      </c>
      <c r="D13286" s="9" t="s">
        <v>114</v>
      </c>
      <c r="E13286" s="6" t="s">
        <v>18133</v>
      </c>
      <c r="F13286" s="9"/>
    </row>
    <row r="13287" ht="33.75" customHeight="1">
      <c r="A13287" s="7">
        <v>677.0</v>
      </c>
      <c r="B13287" s="9" t="s">
        <v>18128</v>
      </c>
      <c r="C13287" s="9" t="s">
        <v>18129</v>
      </c>
      <c r="D13287" s="9" t="s">
        <v>117</v>
      </c>
      <c r="E13287" s="6" t="s">
        <v>18134</v>
      </c>
      <c r="F13287" s="9"/>
    </row>
    <row r="13288" ht="33.75" customHeight="1">
      <c r="A13288" s="7">
        <v>678.0</v>
      </c>
      <c r="B13288" s="9" t="s">
        <v>18135</v>
      </c>
      <c r="C13288" s="9" t="s">
        <v>18136</v>
      </c>
      <c r="D13288" s="9" t="s">
        <v>101</v>
      </c>
      <c r="E13288" s="6" t="s">
        <v>18137</v>
      </c>
      <c r="F13288" t="inlineStr" s="10">
        <is>
          <t xml:space="preserve">Vaaratilanteessa se nostaa korvansa ja vapauttaa tarpeeksi psyykkistä voimaa jauhaakseen 10 tonnin kuorma-auton tomuksi. Sen korvien sisäpuolella olevat silmämunakuviot säteilevät psyykkistä energiaa. Se pitää kuviot tiukasti piilossa, koska tuo voima on liian valtava. Silmän kaltaisten kuvioiden paljastaminen sen korvien sisäpuolella vapauttaa sen psyykkiset voimat. Normaalisti se kuitenkin pitää kuviot piilossa. Urosten puolustusvaisto on voimakas. Juuri suojellessaan itseään tai kumppaneitaan ne päästävät kaiken voimansa valloilleen.</t>
        </is>
      </c>
    </row>
    <row r="13289" ht="33.75" customHeight="1">
      <c r="A13289" s="7">
        <v>678.0</v>
      </c>
      <c r="B13289" s="9" t="s">
        <v>18135</v>
      </c>
      <c r="C13289" s="9" t="s">
        <v>18136</v>
      </c>
      <c r="D13289" s="9" t="s">
        <v>105</v>
      </c>
      <c r="E13289" s="6" t="s">
        <v>18138</v>
      </c>
      <c r="F13289" s="9"/>
    </row>
    <row r="13290" ht="33.75" customHeight="1">
      <c r="A13290" s="7">
        <v>678.0</v>
      </c>
      <c r="B13290" s="9" t="s">
        <v>18135</v>
      </c>
      <c r="C13290" s="9" t="s">
        <v>18136</v>
      </c>
      <c r="D13290" s="9" t="s">
        <v>107</v>
      </c>
      <c r="E13290" s="6" t="s">
        <v>18137</v>
      </c>
      <c r="F13290" s="9"/>
    </row>
    <row r="13291" ht="33.75" customHeight="1">
      <c r="A13291" s="7">
        <v>678.0</v>
      </c>
      <c r="B13291" s="9" t="s">
        <v>18135</v>
      </c>
      <c r="C13291" s="9" t="s">
        <v>18136</v>
      </c>
      <c r="D13291" s="9" t="s">
        <v>109</v>
      </c>
      <c r="E13291" s="6" t="s">
        <v>18138</v>
      </c>
      <c r="F13291" s="9"/>
    </row>
    <row r="13292" ht="33.75" customHeight="1">
      <c r="A13292" s="7">
        <v>678.0</v>
      </c>
      <c r="B13292" s="9" t="s">
        <v>18135</v>
      </c>
      <c r="C13292" s="9" t="s">
        <v>18136</v>
      </c>
      <c r="D13292" s="9" t="s">
        <v>114</v>
      </c>
      <c r="E13292" s="6" t="s">
        <v>18139</v>
      </c>
      <c r="F13292" s="9"/>
    </row>
    <row r="13293" ht="33.75" customHeight="1">
      <c r="A13293" s="7">
        <v>678.0</v>
      </c>
      <c r="B13293" s="9" t="s">
        <v>18135</v>
      </c>
      <c r="C13293" s="9" t="s">
        <v>18136</v>
      </c>
      <c r="D13293" s="9" t="s">
        <v>117</v>
      </c>
      <c r="E13293" s="6" t="s">
        <v>18140</v>
      </c>
      <c r="F13293" s="9"/>
    </row>
    <row r="13294" ht="33.75" customHeight="1">
      <c r="A13294" s="7">
        <v>679.0</v>
      </c>
      <c r="B13294" s="9" t="s">
        <v>18141</v>
      </c>
      <c r="C13294" s="9" t="s">
        <v>18142</v>
      </c>
      <c r="D13294" s="9" t="s">
        <v>101</v>
      </c>
      <c r="E13294" s="6" t="s">
        <v>18143</v>
      </c>
      <c r="F13294" t="inlineStr" s="10">
        <is>
          <t xml:space="preserve">Ilmeisesti tämä Pokémon syntyy, kun kuollut henki asuu miekassa. Se kiinnittyy ihmisiin ja juo heidän elinvoimansa. Jos joku uskaltaa tarttua sen kahvaan, se kietoo sinisen kankaan henkilön käsivarren ympärille ja imee henkilön elämänenergian kokonaan. Honedgen sielu kuului aikoinaan henkilölle, joka tapettiin kauan sitten Honedgen ruumiin muodostavalla miekalla. Miekan kädensijan sininen silmä on Honedgen todellinen ruumis. Vanhalla kankaallaan se imee ihmisten henkiä.</t>
        </is>
      </c>
    </row>
    <row r="13295" ht="33.75" customHeight="1">
      <c r="A13295" s="7">
        <v>679.0</v>
      </c>
      <c r="B13295" s="9" t="s">
        <v>18141</v>
      </c>
      <c r="C13295" s="9" t="s">
        <v>18142</v>
      </c>
      <c r="D13295" s="9" t="s">
        <v>105</v>
      </c>
      <c r="E13295" s="6" t="s">
        <v>18144</v>
      </c>
      <c r="F13295" s="9"/>
    </row>
    <row r="13296" ht="33.75" customHeight="1">
      <c r="A13296" s="7">
        <v>679.0</v>
      </c>
      <c r="B13296" s="9" t="s">
        <v>18141</v>
      </c>
      <c r="C13296" s="9" t="s">
        <v>18142</v>
      </c>
      <c r="D13296" s="9" t="s">
        <v>107</v>
      </c>
      <c r="E13296" s="6" t="s">
        <v>18143</v>
      </c>
      <c r="F13296" s="9"/>
    </row>
    <row r="13297" ht="33.75" customHeight="1">
      <c r="A13297" s="7">
        <v>679.0</v>
      </c>
      <c r="B13297" s="9" t="s">
        <v>18141</v>
      </c>
      <c r="C13297" s="9" t="s">
        <v>18142</v>
      </c>
      <c r="D13297" s="9" t="s">
        <v>109</v>
      </c>
      <c r="E13297" s="6" t="s">
        <v>18144</v>
      </c>
      <c r="F13297" s="9"/>
    </row>
    <row r="13298" ht="33.75" customHeight="1">
      <c r="A13298" s="7">
        <v>679.0</v>
      </c>
      <c r="B13298" s="9" t="s">
        <v>18141</v>
      </c>
      <c r="C13298" s="9" t="s">
        <v>18142</v>
      </c>
      <c r="D13298" s="9" t="s">
        <v>114</v>
      </c>
      <c r="E13298" s="6" t="s">
        <v>18145</v>
      </c>
      <c r="F13298" s="9"/>
    </row>
    <row r="13299" ht="33.75" customHeight="1">
      <c r="A13299" s="7">
        <v>679.0</v>
      </c>
      <c r="B13299" s="9" t="s">
        <v>18141</v>
      </c>
      <c r="C13299" s="9" t="s">
        <v>18142</v>
      </c>
      <c r="D13299" s="9" t="s">
        <v>117</v>
      </c>
      <c r="E13299" s="6" t="s">
        <v>18147</v>
      </c>
      <c r="F13299" s="9"/>
    </row>
    <row r="13300" ht="33.75" customHeight="1">
      <c r="A13300" s="7">
        <v>680.0</v>
      </c>
      <c r="B13300" s="9" t="s">
        <v>18148</v>
      </c>
      <c r="C13300" s="9" t="s">
        <v>18142</v>
      </c>
      <c r="D13300" s="9" t="s">
        <v>101</v>
      </c>
      <c r="E13300" s="6" t="s">
        <v>18149</v>
      </c>
      <c r="F13300" t="inlineStr" s="10">
        <is>
          <t xml:space="preserve">Kun Honedge kehittyy, se jakautuu kahdeksi miekaksi, jotka toimivat telepaattisesti koordinoidakseen hyökkäyksiä ja viiltääkseen vihollisensa suikaleiksi. Sen kahden miekan monimutkaiset hyökkäyskuviot ovat pysäyttämättömiä jopa miekkailussa erittäin taitavalle vastustajalle. Honedge kehittyy kaksosiksi. Miehen terät hankautuvat yhteen ja päästävät metallisen äänen, joka hermostuttaa vastustajia. Nämä kaksi miekkaa käyttävät strategiaa, jossa he vuorottelevat nopeasti hyökkäyksen ja puolustuksen välillä saaliinsa kaatamiseksi.</t>
        </is>
      </c>
    </row>
    <row r="13301" ht="33.75" customHeight="1">
      <c r="A13301" s="7">
        <v>680.0</v>
      </c>
      <c r="B13301" s="9" t="s">
        <v>18148</v>
      </c>
      <c r="C13301" s="9" t="s">
        <v>18142</v>
      </c>
      <c r="D13301" s="9" t="s">
        <v>105</v>
      </c>
      <c r="E13301" s="6" t="s">
        <v>18150</v>
      </c>
      <c r="F13301" s="9"/>
    </row>
    <row r="13302" ht="33.75" customHeight="1">
      <c r="A13302" s="7">
        <v>680.0</v>
      </c>
      <c r="B13302" s="9" t="s">
        <v>18148</v>
      </c>
      <c r="C13302" s="9" t="s">
        <v>18142</v>
      </c>
      <c r="D13302" s="9" t="s">
        <v>107</v>
      </c>
      <c r="E13302" s="6" t="s">
        <v>18149</v>
      </c>
      <c r="F13302" s="9"/>
    </row>
    <row r="13303" ht="33.75" customHeight="1">
      <c r="A13303" s="7">
        <v>680.0</v>
      </c>
      <c r="B13303" s="9" t="s">
        <v>18148</v>
      </c>
      <c r="C13303" s="9" t="s">
        <v>18142</v>
      </c>
      <c r="D13303" s="9" t="s">
        <v>109</v>
      </c>
      <c r="E13303" s="6" t="s">
        <v>18150</v>
      </c>
      <c r="F13303" s="9"/>
    </row>
    <row r="13304" ht="33.75" customHeight="1">
      <c r="A13304" s="7">
        <v>680.0</v>
      </c>
      <c r="B13304" s="9" t="s">
        <v>18148</v>
      </c>
      <c r="C13304" s="9" t="s">
        <v>18142</v>
      </c>
      <c r="D13304" s="9" t="s">
        <v>114</v>
      </c>
      <c r="E13304" s="6" t="s">
        <v>18151</v>
      </c>
      <c r="F13304" s="9"/>
    </row>
    <row r="13305" ht="33.75" customHeight="1">
      <c r="A13305" s="7">
        <v>680.0</v>
      </c>
      <c r="B13305" s="9" t="s">
        <v>18148</v>
      </c>
      <c r="C13305" s="9" t="s">
        <v>18142</v>
      </c>
      <c r="D13305" s="9" t="s">
        <v>117</v>
      </c>
      <c r="E13305" s="6" t="s">
        <v>18152</v>
      </c>
      <c r="F13305" s="9"/>
    </row>
    <row r="13306" ht="33.75" customHeight="1">
      <c r="A13306" s="7">
        <v>681.0</v>
      </c>
      <c r="B13306" s="9" t="s">
        <v>18153</v>
      </c>
      <c r="C13306" s="9" t="s">
        <v>18154</v>
      </c>
      <c r="D13306" s="9" t="s">
        <v>101</v>
      </c>
      <c r="E13306" s="6" t="s">
        <v>18155</v>
      </c>
      <c r="F13306" t="inlineStr" s="10">
        <is>
          <t xml:space="preserve">Näitä Pokémoneja palvelivat sukupolvien ajan kuninkaat, ja ne käyttivät aavemaista voimiaan ihmisten ja Pokémonien manipulointiin ja hallintaan. Ilmeisesti se pystyy havaitsemaan johtajuuden synnynnäiset ominaisuudet. Legendan mukaan kenet tahansa se tunnistaa, siitä tulee kuningas. Tässä puolustusasennossa Aegislash käyttää teräsrunkoaan ja spektrivoimakenttää vähentääkseen minkä tahansa hyökkäyksen vahinkoa. Sen voimakkaat aavemaiset voimat antavat sille mahdollisuuden manipuloida muita. Se käytti aikoinaan voimiaan pakottaakseen ihmisiä ja Pokémoneja rakentamaan mieleisekseen kuningaskunnan.</t>
        </is>
      </c>
    </row>
    <row r="13307" ht="33.75" customHeight="1">
      <c r="A13307" s="7">
        <v>681.0</v>
      </c>
      <c r="B13307" s="9" t="s">
        <v>18153</v>
      </c>
      <c r="C13307" s="9" t="s">
        <v>18154</v>
      </c>
      <c r="D13307" s="9" t="s">
        <v>105</v>
      </c>
      <c r="E13307" s="6" t="s">
        <v>18156</v>
      </c>
      <c r="F13307" s="9"/>
    </row>
    <row r="13308" ht="33.75" customHeight="1">
      <c r="A13308" s="7">
        <v>681.0</v>
      </c>
      <c r="B13308" s="9" t="s">
        <v>18153</v>
      </c>
      <c r="C13308" s="9" t="s">
        <v>18154</v>
      </c>
      <c r="D13308" s="9" t="s">
        <v>107</v>
      </c>
      <c r="E13308" s="6" t="s">
        <v>18155</v>
      </c>
      <c r="F13308" s="9"/>
    </row>
    <row r="13309" ht="33.75" customHeight="1">
      <c r="A13309" s="7">
        <v>681.0</v>
      </c>
      <c r="B13309" s="9" t="s">
        <v>18153</v>
      </c>
      <c r="C13309" s="9" t="s">
        <v>18154</v>
      </c>
      <c r="D13309" s="9" t="s">
        <v>109</v>
      </c>
      <c r="E13309" s="6" t="s">
        <v>18156</v>
      </c>
      <c r="F13309" s="9"/>
    </row>
    <row r="13310" ht="33.75" customHeight="1">
      <c r="A13310" s="7">
        <v>681.0</v>
      </c>
      <c r="B13310" s="9" t="s">
        <v>18153</v>
      </c>
      <c r="C13310" s="9" t="s">
        <v>18154</v>
      </c>
      <c r="D13310" s="9" t="s">
        <v>114</v>
      </c>
      <c r="E13310" s="6" t="s">
        <v>18158</v>
      </c>
      <c r="F13310" s="9"/>
    </row>
    <row r="13311" ht="33.75" customHeight="1">
      <c r="A13311" s="7">
        <v>681.0</v>
      </c>
      <c r="B13311" s="9" t="s">
        <v>18153</v>
      </c>
      <c r="C13311" s="9" t="s">
        <v>18154</v>
      </c>
      <c r="D13311" s="9" t="s">
        <v>117</v>
      </c>
      <c r="E13311" s="6" t="s">
        <v>18159</v>
      </c>
      <c r="F13311" s="9"/>
    </row>
    <row r="13312" ht="33.75" customHeight="1">
      <c r="A13312" s="7">
        <v>682.0</v>
      </c>
      <c r="B13312" s="9" t="s">
        <v>18160</v>
      </c>
      <c r="C13312" s="9" t="s">
        <v>18161</v>
      </c>
      <c r="D13312" s="9" t="s">
        <v>101</v>
      </c>
      <c r="E13312" s="6" t="s">
        <v>18162</v>
      </c>
      <c r="F13312" t="inlineStr" s="10">
        <is>
          <t xml:space="preserve">Spritzee levittää tuoksua, joka lumoaa haistajansa. Tuoksu muuttuu sen mukaan, mitä se on syönyt. Ennen vanhaan kuninkaalliset naiset kantoivat hajuveden sijaan mukanaan Spritzee-tuoksua, josta he pitivät. Tämän Pokémonin kehossa oleva tuoksupussi mahdollistaa sen tuottamisen erilaisilla tuoksuilla. Ruokavalion muutos muuttaa sen tuottamaa tuoksua. Sen tuoksu lumoaa sen haistajat. Aateliset naiset rakastivat Spritzeetä runsaasti.</t>
        </is>
      </c>
    </row>
    <row r="13313" ht="33.75" customHeight="1">
      <c r="A13313" s="7">
        <v>682.0</v>
      </c>
      <c r="B13313" s="9" t="s">
        <v>18160</v>
      </c>
      <c r="C13313" s="9" t="s">
        <v>18161</v>
      </c>
      <c r="D13313" s="9" t="s">
        <v>105</v>
      </c>
      <c r="E13313" s="6" t="s">
        <v>18163</v>
      </c>
      <c r="F13313" s="9"/>
    </row>
    <row r="13314" ht="33.75" customHeight="1">
      <c r="A13314" s="7">
        <v>682.0</v>
      </c>
      <c r="B13314" s="9" t="s">
        <v>18160</v>
      </c>
      <c r="C13314" s="9" t="s">
        <v>18161</v>
      </c>
      <c r="D13314" s="9" t="s">
        <v>107</v>
      </c>
      <c r="E13314" s="6" t="s">
        <v>18162</v>
      </c>
      <c r="F13314" s="9"/>
    </row>
    <row r="13315" ht="33.75" customHeight="1">
      <c r="A13315" s="7">
        <v>682.0</v>
      </c>
      <c r="B13315" s="9" t="s">
        <v>18160</v>
      </c>
      <c r="C13315" s="9" t="s">
        <v>18161</v>
      </c>
      <c r="D13315" s="9" t="s">
        <v>109</v>
      </c>
      <c r="E13315" s="6" t="s">
        <v>18163</v>
      </c>
      <c r="F13315" s="9"/>
    </row>
    <row r="13316" ht="33.75" customHeight="1">
      <c r="A13316" s="7">
        <v>682.0</v>
      </c>
      <c r="B13316" s="9" t="s">
        <v>18160</v>
      </c>
      <c r="C13316" s="9" t="s">
        <v>18161</v>
      </c>
      <c r="D13316" s="9" t="s">
        <v>114</v>
      </c>
      <c r="E13316" s="6" t="s">
        <v>18164</v>
      </c>
      <c r="F13316" s="9"/>
    </row>
    <row r="13317" ht="33.75" customHeight="1">
      <c r="A13317" s="7">
        <v>682.0</v>
      </c>
      <c r="B13317" s="9" t="s">
        <v>18160</v>
      </c>
      <c r="C13317" s="9" t="s">
        <v>18161</v>
      </c>
      <c r="D13317" s="9" t="s">
        <v>117</v>
      </c>
      <c r="E13317" s="6" t="s">
        <v>18165</v>
      </c>
      <c r="F13317" s="9"/>
    </row>
    <row r="13318" ht="33.75" customHeight="1">
      <c r="A13318" s="7">
        <v>683.0</v>
      </c>
      <c r="B13318" s="9" t="s">
        <v>18166</v>
      </c>
      <c r="C13318" s="9" t="s">
        <v>18167</v>
      </c>
      <c r="D13318" s="9" t="s">
        <v>101</v>
      </c>
      <c r="E13318" s="6" t="s">
        <v>18169</v>
      </c>
      <c r="F13318" t="inlineStr" s="10">
        <is>
          <t xml:space="preserve">Aromatisse keksii erilaisia ​​tuoksuja, miellyttäviä ja epämiellyttäviä, ja päästää tuoksuja, joista sen viholliset eivät pidä, saadakseen etulyöntiaseman taistelussa. Sen tuoksu on niin voimakas, että ellei kouluttaja satu todella nauttimaan tuoksusta, hänen on vaikeuksia kävellä sen rinnalla. Sen turkista jatkuvasti leviävä tuoksu on niin voimakas, että tämän Pokémonin seuralaiset menettävät lopulta hajuaistinsa. Aromatissen tuottamat tuoksut vaihtelevat liittolaisia ​​vahvistavista makeista tuoksuista vastustajan taistelutahdon heikentäviin epämiellyttäviin hajuihin.</t>
        </is>
      </c>
    </row>
    <row r="13319" ht="33.75" customHeight="1">
      <c r="A13319" s="7">
        <v>683.0</v>
      </c>
      <c r="B13319" s="9" t="s">
        <v>18166</v>
      </c>
      <c r="C13319" s="9" t="s">
        <v>18167</v>
      </c>
      <c r="D13319" s="9" t="s">
        <v>105</v>
      </c>
      <c r="E13319" s="6" t="s">
        <v>18170</v>
      </c>
      <c r="F13319" s="9"/>
    </row>
    <row r="13320" ht="33.75" customHeight="1">
      <c r="A13320" s="7">
        <v>683.0</v>
      </c>
      <c r="B13320" s="9" t="s">
        <v>18166</v>
      </c>
      <c r="C13320" s="9" t="s">
        <v>18167</v>
      </c>
      <c r="D13320" s="9" t="s">
        <v>107</v>
      </c>
      <c r="E13320" s="6" t="s">
        <v>18169</v>
      </c>
      <c r="F13320" s="9"/>
    </row>
    <row r="13321" ht="33.75" customHeight="1">
      <c r="A13321" s="7">
        <v>683.0</v>
      </c>
      <c r="B13321" s="9" t="s">
        <v>18166</v>
      </c>
      <c r="C13321" s="9" t="s">
        <v>18167</v>
      </c>
      <c r="D13321" s="9" t="s">
        <v>109</v>
      </c>
      <c r="E13321" s="6" t="s">
        <v>18170</v>
      </c>
      <c r="F13321" s="9"/>
    </row>
    <row r="13322" ht="33.75" customHeight="1">
      <c r="A13322" s="7">
        <v>683.0</v>
      </c>
      <c r="B13322" s="9" t="s">
        <v>18166</v>
      </c>
      <c r="C13322" s="9" t="s">
        <v>18167</v>
      </c>
      <c r="D13322" s="9" t="s">
        <v>114</v>
      </c>
      <c r="E13322" s="6" t="s">
        <v>18171</v>
      </c>
      <c r="F13322" s="9"/>
    </row>
    <row r="13323" ht="33.75" customHeight="1">
      <c r="A13323" s="7">
        <v>683.0</v>
      </c>
      <c r="B13323" s="9" t="s">
        <v>18166</v>
      </c>
      <c r="C13323" s="9" t="s">
        <v>18167</v>
      </c>
      <c r="D13323" s="9" t="s">
        <v>117</v>
      </c>
      <c r="E13323" s="6" t="s">
        <v>18172</v>
      </c>
      <c r="F13323" s="9"/>
    </row>
    <row r="13324" ht="33.75" customHeight="1">
      <c r="A13324" s="7">
        <v>684.0</v>
      </c>
      <c r="B13324" s="9" t="s">
        <v>18173</v>
      </c>
      <c r="C13324" s="9" t="s">
        <v>18174</v>
      </c>
      <c r="D13324" s="9" t="s">
        <v>101</v>
      </c>
      <c r="E13324" s="6" t="s">
        <v>18175</v>
      </c>
      <c r="F13324" t="inlineStr" s="10">
        <is>
          <t xml:space="preserve">Takertuakseen vastustajansa taisteluun se pursottaa ulos valkoisia lankoja, jotka ovat yhtä makeita ja tahmeita kuin hattara. Koska se syö vain makeisia, sen turkki on yhtä tahmeaa ja makeaa kuin hattara. Se syö oman painonsa verran sokeria joka päivä. Jos se ei saa tarpeeksi sokeria, siitä tulee uskomattoman ärtyisä. Hattaran makea tuoksu leviää Swirlixin pörröiseen turkkiin. Tämä Pokémon sylkee tahmeaa narua sotkeakseen vihollisensa.</t>
        </is>
      </c>
    </row>
    <row r="13325" ht="33.75" customHeight="1">
      <c r="A13325" s="7">
        <v>684.0</v>
      </c>
      <c r="B13325" s="9" t="s">
        <v>18173</v>
      </c>
      <c r="C13325" s="9" t="s">
        <v>18174</v>
      </c>
      <c r="D13325" s="9" t="s">
        <v>105</v>
      </c>
      <c r="E13325" s="6" t="s">
        <v>18176</v>
      </c>
      <c r="F13325" s="9"/>
    </row>
    <row r="13326" ht="33.75" customHeight="1">
      <c r="A13326" s="7">
        <v>684.0</v>
      </c>
      <c r="B13326" s="9" t="s">
        <v>18173</v>
      </c>
      <c r="C13326" s="9" t="s">
        <v>18174</v>
      </c>
      <c r="D13326" s="9" t="s">
        <v>107</v>
      </c>
      <c r="E13326" s="6" t="s">
        <v>18175</v>
      </c>
      <c r="F13326" s="9"/>
    </row>
    <row r="13327" ht="33.75" customHeight="1">
      <c r="A13327" s="7">
        <v>684.0</v>
      </c>
      <c r="B13327" s="9" t="s">
        <v>18173</v>
      </c>
      <c r="C13327" s="9" t="s">
        <v>18174</v>
      </c>
      <c r="D13327" s="9" t="s">
        <v>109</v>
      </c>
      <c r="E13327" s="6" t="s">
        <v>18176</v>
      </c>
      <c r="F13327" s="9"/>
    </row>
    <row r="13328" ht="33.75" customHeight="1">
      <c r="A13328" s="7">
        <v>684.0</v>
      </c>
      <c r="B13328" s="9" t="s">
        <v>18173</v>
      </c>
      <c r="C13328" s="9" t="s">
        <v>18174</v>
      </c>
      <c r="D13328" s="9" t="s">
        <v>114</v>
      </c>
      <c r="E13328" s="6" t="s">
        <v>18177</v>
      </c>
      <c r="F13328" s="9"/>
    </row>
    <row r="13329" ht="33.75" customHeight="1">
      <c r="A13329" s="7">
        <v>684.0</v>
      </c>
      <c r="B13329" s="9" t="s">
        <v>18173</v>
      </c>
      <c r="C13329" s="9" t="s">
        <v>18174</v>
      </c>
      <c r="D13329" s="9" t="s">
        <v>117</v>
      </c>
      <c r="E13329" s="6" t="s">
        <v>18178</v>
      </c>
      <c r="F13329" s="9"/>
    </row>
    <row r="13330" ht="33.75" customHeight="1">
      <c r="A13330" s="7">
        <v>685.0</v>
      </c>
      <c r="B13330" s="9" t="s">
        <v>18179</v>
      </c>
      <c r="C13330" s="9" t="s">
        <v>18180</v>
      </c>
      <c r="D13330" s="9" t="s">
        <v>101</v>
      </c>
      <c r="E13330" s="6" t="s">
        <v>18181</v>
      </c>
      <c r="F13330" t="inlineStr" s="10">
        <is>
          <t xml:space="preserve">Slurpuff pystyy erottamaan heikoimmatkin tuoksut. Se käyttää herkkää hajuaistiaan auttaessaan leipureita heidän työssään. Sen hajuaisti on sata miljoonaa kertaa parempi kuin ihmisen, joten jo heikoinkin tuoksu kertoo sille kaiken lähiympäristössä. Se on kuin se näkisi nenällään! Haistamalla ihmisen tuoksun se voi haistaa hänen henkisen ja fyysisen tilansa. Toivotaan, että tällä taidolla on monia lääketieteellisiä sovelluksia. Slurpuffin turkki sisältää paljon ilmaa, minkä ansiosta se on pehmeä koskettaa ja kevyempi kuin miltä se näyttää.</t>
        </is>
      </c>
    </row>
    <row r="13331" ht="33.75" customHeight="1">
      <c r="A13331" s="7">
        <v>685.0</v>
      </c>
      <c r="B13331" s="9" t="s">
        <v>18179</v>
      </c>
      <c r="C13331" s="9" t="s">
        <v>18180</v>
      </c>
      <c r="D13331" s="9" t="s">
        <v>105</v>
      </c>
      <c r="E13331" s="6" t="s">
        <v>18182</v>
      </c>
      <c r="F13331" s="9"/>
    </row>
    <row r="13332" ht="33.75" customHeight="1">
      <c r="A13332" s="7">
        <v>685.0</v>
      </c>
      <c r="B13332" s="9" t="s">
        <v>18179</v>
      </c>
      <c r="C13332" s="9" t="s">
        <v>18180</v>
      </c>
      <c r="D13332" s="9" t="s">
        <v>107</v>
      </c>
      <c r="E13332" s="6" t="s">
        <v>18181</v>
      </c>
      <c r="F13332" s="9"/>
    </row>
    <row r="13333" ht="33.75" customHeight="1">
      <c r="A13333" s="7">
        <v>685.0</v>
      </c>
      <c r="B13333" s="9" t="s">
        <v>18179</v>
      </c>
      <c r="C13333" s="9" t="s">
        <v>18180</v>
      </c>
      <c r="D13333" s="9" t="s">
        <v>109</v>
      </c>
      <c r="E13333" s="6" t="s">
        <v>18182</v>
      </c>
      <c r="F13333" s="9"/>
    </row>
    <row r="13334" ht="33.75" customHeight="1">
      <c r="A13334" s="7">
        <v>685.0</v>
      </c>
      <c r="B13334" s="9" t="s">
        <v>18179</v>
      </c>
      <c r="C13334" s="9" t="s">
        <v>18180</v>
      </c>
      <c r="D13334" s="9" t="s">
        <v>114</v>
      </c>
      <c r="E13334" s="6" t="s">
        <v>18183</v>
      </c>
      <c r="F13334" s="9"/>
    </row>
    <row r="13335" ht="33.75" customHeight="1">
      <c r="A13335" s="7">
        <v>685.0</v>
      </c>
      <c r="B13335" s="9" t="s">
        <v>18179</v>
      </c>
      <c r="C13335" s="9" t="s">
        <v>18180</v>
      </c>
      <c r="D13335" s="9" t="s">
        <v>117</v>
      </c>
      <c r="E13335" s="6" t="s">
        <v>18184</v>
      </c>
      <c r="F13335" s="9"/>
    </row>
    <row r="13336" ht="33.75" customHeight="1">
      <c r="A13336" s="7">
        <v>686.0</v>
      </c>
      <c r="B13336" s="9" t="s">
        <v>18185</v>
      </c>
      <c r="C13336" s="9" t="s">
        <v>18186</v>
      </c>
      <c r="D13336" s="9" t="s">
        <v>101</v>
      </c>
      <c r="E13336" s="6" t="s">
        <v>18187</v>
      </c>
      <c r="F13336" t="inlineStr" s="10">
        <is>
          <t xml:space="preserve">Vastustajat, jotka tuijottavat Inkayn vartalossa välkkyviä valopisteitä, hämmentyvät ja menettävät taistelutahtonsa. Se väläyttää kehossaan olevia valoa emittoivia täpliä, mikä kuluttaa vastustajan taistelutahdon. Se käyttää tilaisuuden hyväkseen paeta ja piiloutua. Se vetää saalista lähelleen vilkkuvilla valoillaan ja kietoo sen sitten pitkien lonkeroidensa ympärille ja pitää sen paikallaan. Vaihtaessaan tietoja muiden kaltaistensa kanssa se väläyttää kehossaan olevia valoa emittoivia täpliä monimutkaisessa rytmissä. Se pyörii samalla kun sen luminoivat täplät välkkyvät. Näiden täplien avulla se voi kommunikoida muiden kanssa käyttämällä erilaisia ​​valokuvioita. Altistamalla viholliset hohtavien täplien välkkyvälle valolle Inkay lannistaa heidät ja tarttuu sitten tilaisuuteen paeta.</t>
        </is>
      </c>
    </row>
    <row r="13337" ht="33.75" customHeight="1">
      <c r="A13337" s="7">
        <v>686.0</v>
      </c>
      <c r="B13337" s="9" t="s">
        <v>18185</v>
      </c>
      <c r="C13337" s="9" t="s">
        <v>18186</v>
      </c>
      <c r="D13337" s="9" t="s">
        <v>105</v>
      </c>
      <c r="E13337" s="6" t="s">
        <v>18188</v>
      </c>
      <c r="F13337" s="9"/>
    </row>
    <row r="13338" ht="33.75" customHeight="1">
      <c r="A13338" s="7">
        <v>686.0</v>
      </c>
      <c r="B13338" s="9" t="s">
        <v>18185</v>
      </c>
      <c r="C13338" s="9" t="s">
        <v>18186</v>
      </c>
      <c r="D13338" s="9" t="s">
        <v>107</v>
      </c>
      <c r="E13338" s="6" t="s">
        <v>18187</v>
      </c>
      <c r="F13338" s="9"/>
    </row>
    <row r="13339" ht="33.75" customHeight="1">
      <c r="A13339" s="7">
        <v>686.0</v>
      </c>
      <c r="B13339" s="9" t="s">
        <v>18185</v>
      </c>
      <c r="C13339" s="9" t="s">
        <v>18186</v>
      </c>
      <c r="D13339" s="9" t="s">
        <v>109</v>
      </c>
      <c r="E13339" s="6" t="s">
        <v>18188</v>
      </c>
      <c r="F13339" s="9"/>
    </row>
    <row r="13340" ht="33.75" customHeight="1">
      <c r="A13340" s="7">
        <v>686.0</v>
      </c>
      <c r="B13340" s="9" t="s">
        <v>18185</v>
      </c>
      <c r="C13340" s="9" t="s">
        <v>18186</v>
      </c>
      <c r="D13340" s="9" t="s">
        <v>647</v>
      </c>
      <c r="E13340" s="6" t="s">
        <v>18190</v>
      </c>
      <c r="F13340" s="9"/>
    </row>
    <row r="13341" ht="33.75" customHeight="1">
      <c r="A13341" s="7">
        <v>686.0</v>
      </c>
      <c r="B13341" s="9" t="s">
        <v>18185</v>
      </c>
      <c r="C13341" s="9" t="s">
        <v>18186</v>
      </c>
      <c r="D13341" s="9" t="s">
        <v>652</v>
      </c>
      <c r="E13341" s="6" t="s">
        <v>18191</v>
      </c>
      <c r="F13341" s="9"/>
    </row>
    <row r="13342" ht="33.75" customHeight="1">
      <c r="A13342" s="7">
        <v>686.0</v>
      </c>
      <c r="B13342" s="9" t="s">
        <v>18185</v>
      </c>
      <c r="C13342" s="9" t="s">
        <v>18186</v>
      </c>
      <c r="D13342" s="9" t="s">
        <v>114</v>
      </c>
      <c r="E13342" s="6" t="s">
        <v>18192</v>
      </c>
      <c r="F13342" s="9"/>
    </row>
    <row r="13343" ht="33.75" customHeight="1">
      <c r="A13343" s="7">
        <v>686.0</v>
      </c>
      <c r="B13343" s="9" t="s">
        <v>18185</v>
      </c>
      <c r="C13343" s="9" t="s">
        <v>18186</v>
      </c>
      <c r="D13343" s="9" t="s">
        <v>117</v>
      </c>
      <c r="E13343" s="6" t="s">
        <v>18193</v>
      </c>
      <c r="F13343" s="9"/>
    </row>
    <row r="13344" ht="33.75" customHeight="1">
      <c r="A13344" s="7">
        <v>687.0</v>
      </c>
      <c r="B13344" s="9" t="s">
        <v>18194</v>
      </c>
      <c r="C13344" s="9" t="s">
        <v>18195</v>
      </c>
      <c r="D13344" s="9" t="s">
        <v>101</v>
      </c>
      <c r="E13344" s="6" t="s">
        <v>18196</v>
      </c>
      <c r="F13344" t="inlineStr" s="10">
        <is>
          <t xml:space="preserve">Malamar käyttää kiehtovimpia hypnoottisia voimia kaikista Pokémoneista ja pakottaa muut tekemään mitä tahansa se haluaa. Se houkuttelee saaliinsa lähelle hypnoottisilla liikkeillä, kietoo sitten lonkeronsa sen ympärille ja viimeistelee sen ruoansulatusnesteillä. Kun on kyse vahvasta hypnoosista, on loputon määrä ihmisiä, jotka käyttävät Malamaria ilkeisiin tekoihinsa. Se väläyttää kuviota vartalossaan hallitakseen saalistaan ​​ja houkutellakseen sitä puoleensa. Sen evien reunat ovat erittäin terävät. Sen hohtavien täplien katseleminen aiheuttaa nopeasti hypnoottisen tilan, joka asettaa Malamarin hallintaan. Sanotaan, että Malamarin hypnoottisilla voimilla oli rooli tietyissä historiaa mullistavissa tapahtumissa.</t>
        </is>
      </c>
    </row>
    <row r="13345" ht="33.75" customHeight="1">
      <c r="A13345" s="7">
        <v>687.0</v>
      </c>
      <c r="B13345" s="9" t="s">
        <v>18194</v>
      </c>
      <c r="C13345" s="9" t="s">
        <v>18195</v>
      </c>
      <c r="D13345" s="9" t="s">
        <v>105</v>
      </c>
      <c r="E13345" s="6" t="s">
        <v>18197</v>
      </c>
      <c r="F13345" s="9"/>
    </row>
    <row r="13346" ht="33.75" customHeight="1">
      <c r="A13346" s="7">
        <v>687.0</v>
      </c>
      <c r="B13346" s="9" t="s">
        <v>18194</v>
      </c>
      <c r="C13346" s="9" t="s">
        <v>18195</v>
      </c>
      <c r="D13346" s="9" t="s">
        <v>107</v>
      </c>
      <c r="E13346" s="6" t="s">
        <v>18196</v>
      </c>
      <c r="F13346" s="9"/>
    </row>
    <row r="13347" ht="33.75" customHeight="1">
      <c r="A13347" s="7">
        <v>687.0</v>
      </c>
      <c r="B13347" s="9" t="s">
        <v>18194</v>
      </c>
      <c r="C13347" s="9" t="s">
        <v>18195</v>
      </c>
      <c r="D13347" s="9" t="s">
        <v>109</v>
      </c>
      <c r="E13347" s="6" t="s">
        <v>18197</v>
      </c>
      <c r="F13347" s="9"/>
    </row>
    <row r="13348" ht="33.75" customHeight="1">
      <c r="A13348" s="7">
        <v>687.0</v>
      </c>
      <c r="B13348" s="9" t="s">
        <v>18194</v>
      </c>
      <c r="C13348" s="9" t="s">
        <v>18195</v>
      </c>
      <c r="D13348" s="9" t="s">
        <v>647</v>
      </c>
      <c r="E13348" s="6" t="s">
        <v>18198</v>
      </c>
      <c r="F13348" s="9"/>
    </row>
    <row r="13349" ht="33.75" customHeight="1">
      <c r="A13349" s="7">
        <v>687.0</v>
      </c>
      <c r="B13349" s="9" t="s">
        <v>18194</v>
      </c>
      <c r="C13349" s="9" t="s">
        <v>18195</v>
      </c>
      <c r="D13349" s="9" t="s">
        <v>652</v>
      </c>
      <c r="E13349" s="6" t="s">
        <v>18199</v>
      </c>
      <c r="F13349" s="9"/>
    </row>
    <row r="13350" ht="33.75" customHeight="1">
      <c r="A13350" s="7">
        <v>687.0</v>
      </c>
      <c r="B13350" s="9" t="s">
        <v>18194</v>
      </c>
      <c r="C13350" s="9" t="s">
        <v>18195</v>
      </c>
      <c r="D13350" s="9" t="s">
        <v>114</v>
      </c>
      <c r="E13350" s="6" t="s">
        <v>18200</v>
      </c>
      <c r="F13350" s="9"/>
    </row>
    <row r="13351" ht="33.75" customHeight="1">
      <c r="A13351" s="7">
        <v>687.0</v>
      </c>
      <c r="B13351" s="9" t="s">
        <v>18194</v>
      </c>
      <c r="C13351" s="9" t="s">
        <v>18195</v>
      </c>
      <c r="D13351" s="9" t="s">
        <v>117</v>
      </c>
      <c r="E13351" s="6" t="s">
        <v>18201</v>
      </c>
      <c r="F13351" s="9"/>
    </row>
    <row r="13352" ht="33.75" customHeight="1">
      <c r="A13352" s="7">
        <v>688.0</v>
      </c>
      <c r="B13352" s="9" t="s">
        <v>18202</v>
      </c>
      <c r="C13352" s="9" t="s">
        <v>18203</v>
      </c>
      <c r="D13352" s="9" t="s">
        <v>101</v>
      </c>
      <c r="E13352" s="6" t="s">
        <v>18204</v>
      </c>
      <c r="F13352" t="inlineStr" s="10">
        <is>
          <t xml:space="preserve">Kaksi Binaclea asuu yhdessä samalla kalliolla. Kun he taistelevat, toinen heistä siirtyy toiselle kalliolle. Ne venyttelevät ja sitten supistuvat, vetäen kiviään mukanaan rohkeasti hyppien. Ne syövät rantaan huuhtoutunutta merilevää. Löydettyään sopivan kokoisen kiven, kaksi Binaclea tarttuvat siihen ja alkavat elää yhdessä. Ne tekevät yhteistyötä kerätäkseen ruokaa nousuveden aikana. Jos nämä kaksi eivät toimi hyvin yhdessä, sekä heidän hyökkäyksensä että puolustuksensa hajoavat. Ilman hyvää tiimityötä he eivät selviä.</t>
        </is>
      </c>
    </row>
    <row r="13353" ht="33.75" customHeight="1">
      <c r="A13353" s="7">
        <v>688.0</v>
      </c>
      <c r="B13353" s="9" t="s">
        <v>18202</v>
      </c>
      <c r="C13353" s="9" t="s">
        <v>18203</v>
      </c>
      <c r="D13353" s="9" t="s">
        <v>105</v>
      </c>
      <c r="E13353" s="6" t="s">
        <v>18205</v>
      </c>
      <c r="F13353" s="9"/>
    </row>
    <row r="13354" ht="33.75" customHeight="1">
      <c r="A13354" s="7">
        <v>688.0</v>
      </c>
      <c r="B13354" s="9" t="s">
        <v>18202</v>
      </c>
      <c r="C13354" s="9" t="s">
        <v>18203</v>
      </c>
      <c r="D13354" s="9" t="s">
        <v>107</v>
      </c>
      <c r="E13354" s="6" t="s">
        <v>18204</v>
      </c>
      <c r="F13354" s="9"/>
    </row>
    <row r="13355" ht="33.75" customHeight="1">
      <c r="A13355" s="7">
        <v>688.0</v>
      </c>
      <c r="B13355" s="9" t="s">
        <v>18202</v>
      </c>
      <c r="C13355" s="9" t="s">
        <v>18203</v>
      </c>
      <c r="D13355" s="9" t="s">
        <v>109</v>
      </c>
      <c r="E13355" s="6" t="s">
        <v>18205</v>
      </c>
      <c r="F13355" s="9"/>
    </row>
    <row r="13356" ht="33.75" customHeight="1">
      <c r="A13356" s="7">
        <v>688.0</v>
      </c>
      <c r="B13356" s="9" t="s">
        <v>18202</v>
      </c>
      <c r="C13356" s="9" t="s">
        <v>18203</v>
      </c>
      <c r="D13356" s="9" t="s">
        <v>114</v>
      </c>
      <c r="E13356" s="6" t="s">
        <v>18207</v>
      </c>
      <c r="F13356" s="9"/>
    </row>
    <row r="13357" ht="33.75" customHeight="1">
      <c r="A13357" s="7">
        <v>688.0</v>
      </c>
      <c r="B13357" s="9" t="s">
        <v>18202</v>
      </c>
      <c r="C13357" s="9" t="s">
        <v>18203</v>
      </c>
      <c r="D13357" s="9" t="s">
        <v>117</v>
      </c>
      <c r="E13357" s="6" t="s">
        <v>18208</v>
      </c>
      <c r="F13357" s="9"/>
    </row>
    <row r="13358" ht="33.75" customHeight="1">
      <c r="A13358" s="7">
        <v>689.0</v>
      </c>
      <c r="B13358" s="9" t="s">
        <v>18209</v>
      </c>
      <c r="C13358" s="9" t="s">
        <v>18210</v>
      </c>
      <c r="D13358" s="9" t="s">
        <v>101</v>
      </c>
      <c r="E13358" s="6" t="s">
        <v>18211</v>
      </c>
      <c r="F13358" t="inlineStr" s="10">
        <is>
          <t xml:space="preserve">Kun ne kehittyvät, kaksi Binaclea lisääntyy seitsemäksi. Ne taistelevat seitsemän Binaclen voimalla. Barbaraclen jaloilla ja käsillä on omat mielensä, ja ne liikkuvat itsenäisesti. Yleensä ne kuitenkin noudattavat pään käskyjä. Seitsemän Binaclea yhdistyy muodostaen yhden Barbaraclen. Binacle, joka toimii päänä, antaa käskyjä raajoina toimiville Binacleille. Silmän pitäminen kummassakin kämmenessä antaa sille mahdollisuuden tarkkailla kaikkia suuntia. Hätätilanteessa sen raajat alkavat toimia itsenäisesti varmistaakseen vihollisen tappion.</t>
        </is>
      </c>
    </row>
    <row r="13359" ht="33.75" customHeight="1">
      <c r="A13359" s="7">
        <v>689.0</v>
      </c>
      <c r="B13359" s="9" t="s">
        <v>18209</v>
      </c>
      <c r="C13359" s="9" t="s">
        <v>18210</v>
      </c>
      <c r="D13359" s="9" t="s">
        <v>105</v>
      </c>
      <c r="E13359" s="6" t="s">
        <v>18212</v>
      </c>
      <c r="F13359" s="9"/>
    </row>
    <row r="13360" ht="33.75" customHeight="1">
      <c r="A13360" s="7">
        <v>689.0</v>
      </c>
      <c r="B13360" s="9" t="s">
        <v>18209</v>
      </c>
      <c r="C13360" s="9" t="s">
        <v>18210</v>
      </c>
      <c r="D13360" s="9" t="s">
        <v>107</v>
      </c>
      <c r="E13360" s="6" t="s">
        <v>18211</v>
      </c>
      <c r="F13360" s="9"/>
    </row>
    <row r="13361" ht="33.75" customHeight="1">
      <c r="A13361" s="7">
        <v>689.0</v>
      </c>
      <c r="B13361" s="9" t="s">
        <v>18209</v>
      </c>
      <c r="C13361" s="9" t="s">
        <v>18210</v>
      </c>
      <c r="D13361" s="9" t="s">
        <v>109</v>
      </c>
      <c r="E13361" s="6" t="s">
        <v>18212</v>
      </c>
      <c r="F13361" s="9"/>
    </row>
    <row r="13362" ht="33.75" customHeight="1">
      <c r="A13362" s="7">
        <v>689.0</v>
      </c>
      <c r="B13362" s="9" t="s">
        <v>18209</v>
      </c>
      <c r="C13362" s="9" t="s">
        <v>18210</v>
      </c>
      <c r="D13362" s="9" t="s">
        <v>114</v>
      </c>
      <c r="E13362" s="6" t="s">
        <v>18214</v>
      </c>
      <c r="F13362" s="9"/>
    </row>
    <row r="13363" ht="33.75" customHeight="1">
      <c r="A13363" s="7">
        <v>689.0</v>
      </c>
      <c r="B13363" s="9" t="s">
        <v>18209</v>
      </c>
      <c r="C13363" s="9" t="s">
        <v>18210</v>
      </c>
      <c r="D13363" s="9" t="s">
        <v>117</v>
      </c>
      <c r="E13363" s="6" t="s">
        <v>18215</v>
      </c>
      <c r="F13363" s="9"/>
    </row>
    <row r="13364" ht="33.75" customHeight="1">
      <c r="A13364" s="7">
        <v>690.0</v>
      </c>
      <c r="B13364" s="9" t="s">
        <v>18216</v>
      </c>
      <c r="C13364" s="9" t="s">
        <v>18217</v>
      </c>
      <c r="D13364" s="9" t="s">
        <v>101</v>
      </c>
      <c r="E13364" s="6" t="s">
        <v>18218</v>
      </c>
      <c r="F13364" t="inlineStr" s="10">
        <is>
          <t xml:space="preserve">Mädäntyneeksi merileväksi naamioituneina ne suihkuttavat nestemäistä myrkkyä saaliiseensa, joka lähestyy tietämättään, ja sitten tappavat Skrelpin. Se näyttää aivan mädältä merilevältä. Se piiloutuu vihollisilta ja samalla kerää voimaa evoluutiotaan varten. Se katoaa merilevään ja pysyy täysin paikallaan välttääkseen suurten Pokémonien hyökkäyksiä. Mätämerilevä on sen tärkein ravinnonlähde. Se ei ole hyvä uimaan, joten se takertuu merilevään. Alolan alueella sitä tavataan usein Dhelmisen lähellä. Se ajelehtii meressä sekoittuen kelluvaan merilevään. Kun muut Pokémonit tulevat herkuttelemaan merilevällä, Skrelp herkuttelee niillä. Skrelp näyttää mädäntyneeltä merilevältä, joten se voi sulautua meressä ajelehtivaan merilevään ja välttää vihollisten havaitsemisen.</t>
        </is>
      </c>
    </row>
    <row r="13365" ht="33.75" customHeight="1">
      <c r="A13365" s="7">
        <v>690.0</v>
      </c>
      <c r="B13365" s="9" t="s">
        <v>18216</v>
      </c>
      <c r="C13365" s="9" t="s">
        <v>18217</v>
      </c>
      <c r="D13365" s="9" t="s">
        <v>105</v>
      </c>
      <c r="E13365" s="6" t="s">
        <v>18219</v>
      </c>
      <c r="F13365" s="9"/>
    </row>
    <row r="13366" ht="33.75" customHeight="1">
      <c r="A13366" s="7">
        <v>690.0</v>
      </c>
      <c r="B13366" s="9" t="s">
        <v>18216</v>
      </c>
      <c r="C13366" s="9" t="s">
        <v>18217</v>
      </c>
      <c r="D13366" s="9" t="s">
        <v>107</v>
      </c>
      <c r="E13366" s="6" t="s">
        <v>18218</v>
      </c>
      <c r="F13366" s="9"/>
    </row>
    <row r="13367" ht="33.75" customHeight="1">
      <c r="A13367" s="7">
        <v>690.0</v>
      </c>
      <c r="B13367" s="9" t="s">
        <v>18216</v>
      </c>
      <c r="C13367" s="9" t="s">
        <v>18217</v>
      </c>
      <c r="D13367" s="9" t="s">
        <v>109</v>
      </c>
      <c r="E13367" s="6" t="s">
        <v>18219</v>
      </c>
      <c r="F13367" s="9"/>
    </row>
    <row r="13368" ht="33.75" customHeight="1">
      <c r="A13368" s="7">
        <v>690.0</v>
      </c>
      <c r="B13368" s="9" t="s">
        <v>18216</v>
      </c>
      <c r="C13368" s="9" t="s">
        <v>18217</v>
      </c>
      <c r="D13368" s="9" t="s">
        <v>647</v>
      </c>
      <c r="E13368" s="6" t="s">
        <v>18220</v>
      </c>
      <c r="F13368" s="9"/>
    </row>
    <row r="13369" ht="33.75" customHeight="1">
      <c r="A13369" s="7">
        <v>690.0</v>
      </c>
      <c r="B13369" s="9" t="s">
        <v>18216</v>
      </c>
      <c r="C13369" s="9" t="s">
        <v>18217</v>
      </c>
      <c r="D13369" s="9" t="s">
        <v>652</v>
      </c>
      <c r="E13369" s="6" t="s">
        <v>18221</v>
      </c>
      <c r="F13369" s="9"/>
    </row>
    <row r="13370" ht="33.75" customHeight="1">
      <c r="A13370" s="7">
        <v>690.0</v>
      </c>
      <c r="B13370" s="9" t="s">
        <v>18216</v>
      </c>
      <c r="C13370" s="9" t="s">
        <v>18217</v>
      </c>
      <c r="D13370" s="9" t="s">
        <v>114</v>
      </c>
      <c r="E13370" s="6" t="s">
        <v>18223</v>
      </c>
      <c r="F13370" s="9"/>
    </row>
    <row r="13371" ht="33.75" customHeight="1">
      <c r="A13371" s="7">
        <v>690.0</v>
      </c>
      <c r="B13371" s="9" t="s">
        <v>18216</v>
      </c>
      <c r="C13371" s="9" t="s">
        <v>18217</v>
      </c>
      <c r="D13371" s="9" t="s">
        <v>117</v>
      </c>
      <c r="E13371" s="6" t="s">
        <v>18224</v>
      </c>
      <c r="F13371" s="9"/>
    </row>
    <row r="13372" ht="33.75" customHeight="1">
      <c r="A13372" s="7">
        <v>691.0</v>
      </c>
      <c r="B13372" s="9" t="s">
        <v>18225</v>
      </c>
      <c r="C13372" s="9" t="s">
        <v>18217</v>
      </c>
      <c r="D13372" s="9" t="s">
        <v>101</v>
      </c>
      <c r="E13372" s="6" t="s">
        <v>18226</v>
      </c>
      <c r="F13372" t="inlineStr" s="10">
        <is>
          <t xml:space="preserve">Niiden myrkky on niin vahvaa, että se voi syödä läpi tankkerin rungon, ja ne sylkevät sitä umpimähkään kaikkeen, mikä saapuu niiden alueelle. Tarinoita kerrotaan laivoista, jotka vaeltavat merille, joilla Dragalge asuu, eivätkä koskaan palaa. Tämä ilkeä Pokémon suihkuttaa myrkyllistä nestettä lähelle tulevien vastustajien päälle. Jostain syystä se tulee todella hyvin toimeen Dhelmisen kanssa. Se sekoittuu merilevään väijyttääkseen saalistaan ​​ja tappaa sen sitten myrkyllisellä nesteellä, joka on tarpeeksi vahva sulattamaan metallia. Dragalge käyttää myrkyllistä nestettä, joka kykenee syövyttämään metallia, lähettääkseen alueelleen saapuvat säiliöalukset meren pohjaan. Dragalge tuottaa lohikäärmeen energiaa työntämällä sen päässä olevan höyhenen merenpinnan yläpuolelle ja kylpemällä sitä auringonvalossa.</t>
        </is>
      </c>
    </row>
    <row r="13373" ht="33.75" customHeight="1">
      <c r="A13373" s="7">
        <v>691.0</v>
      </c>
      <c r="B13373" s="9" t="s">
        <v>18225</v>
      </c>
      <c r="C13373" s="9" t="s">
        <v>18217</v>
      </c>
      <c r="D13373" s="9" t="s">
        <v>105</v>
      </c>
      <c r="E13373" s="6" t="s">
        <v>18227</v>
      </c>
      <c r="F13373" s="9"/>
    </row>
    <row r="13374" ht="33.75" customHeight="1">
      <c r="A13374" s="7">
        <v>691.0</v>
      </c>
      <c r="B13374" s="9" t="s">
        <v>18225</v>
      </c>
      <c r="C13374" s="9" t="s">
        <v>18217</v>
      </c>
      <c r="D13374" s="9" t="s">
        <v>107</v>
      </c>
      <c r="E13374" s="6" t="s">
        <v>18226</v>
      </c>
      <c r="F13374" s="9"/>
    </row>
    <row r="13375" ht="33.75" customHeight="1">
      <c r="A13375" s="7">
        <v>691.0</v>
      </c>
      <c r="B13375" s="9" t="s">
        <v>18225</v>
      </c>
      <c r="C13375" s="9" t="s">
        <v>18217</v>
      </c>
      <c r="D13375" s="9" t="s">
        <v>109</v>
      </c>
      <c r="E13375" s="6" t="s">
        <v>18227</v>
      </c>
      <c r="F13375" s="9"/>
    </row>
    <row r="13376" ht="33.75" customHeight="1">
      <c r="A13376" s="7">
        <v>691.0</v>
      </c>
      <c r="B13376" s="9" t="s">
        <v>18225</v>
      </c>
      <c r="C13376" s="9" t="s">
        <v>18217</v>
      </c>
      <c r="D13376" s="9" t="s">
        <v>647</v>
      </c>
      <c r="E13376" s="6" t="s">
        <v>18228</v>
      </c>
      <c r="F13376" s="9"/>
    </row>
    <row r="13377" ht="33.75" customHeight="1">
      <c r="A13377" s="7">
        <v>691.0</v>
      </c>
      <c r="B13377" s="9" t="s">
        <v>18225</v>
      </c>
      <c r="C13377" s="9" t="s">
        <v>18217</v>
      </c>
      <c r="D13377" s="9" t="s">
        <v>652</v>
      </c>
      <c r="E13377" s="6" t="s">
        <v>18229</v>
      </c>
      <c r="F13377" s="9"/>
    </row>
    <row r="13378" ht="33.75" customHeight="1">
      <c r="A13378" s="7">
        <v>691.0</v>
      </c>
      <c r="B13378" s="9" t="s">
        <v>18225</v>
      </c>
      <c r="C13378" s="9" t="s">
        <v>18217</v>
      </c>
      <c r="D13378" s="9" t="s">
        <v>114</v>
      </c>
      <c r="E13378" s="6" t="s">
        <v>18230</v>
      </c>
      <c r="F13378" s="9"/>
    </row>
    <row r="13379" ht="33.75" customHeight="1">
      <c r="A13379" s="7">
        <v>691.0</v>
      </c>
      <c r="B13379" s="9" t="s">
        <v>18225</v>
      </c>
      <c r="C13379" s="9" t="s">
        <v>18217</v>
      </c>
      <c r="D13379" s="9" t="s">
        <v>117</v>
      </c>
      <c r="E13379" s="6" t="s">
        <v>18231</v>
      </c>
      <c r="F13379" s="9"/>
    </row>
    <row r="13380" ht="33.75" customHeight="1">
      <c r="A13380" s="7">
        <v>692.0</v>
      </c>
      <c r="B13380" s="9" t="s">
        <v>18232</v>
      </c>
      <c r="C13380" s="9" t="s">
        <v>18233</v>
      </c>
      <c r="D13380" s="9" t="s">
        <v>101</v>
      </c>
      <c r="E13380" s="6" t="s">
        <v>18234</v>
      </c>
      <c r="F13380" t="inlineStr" s="10">
        <is>
          <t xml:space="preserve">Ne kaatavat lentävän saaliin ampumalla puristettua vettä massiivisista kynsillään kuin ampuisivat pistoolilla. Sisäisen kaasun hallittujen räjähdysten kautta se voi työntää vettä ulos kuin pistoolin laukaus. Lähietäisyydeltä se voi rikkoa kalliota. Sen kynnet irtoavat silloin tällöin, ja se pysyy piilossa, kunnes ne kasvavat takaisin. Sen kynsien liha on niin herkullista! Se liikkuu suihkuttamalla vettä oikeasta pihdeistään. Sillä on huono tasapainoaisti, joten se on surkea uimaan suoraan. Clauncherin kynnet voivat irrota taistelun aikana, mutta ne uusiutuvat. Kynsien sisällä oleva liha on suosittua herkkua Galarissa. Räjäyttämällä oikeaan kynteen kertyvää kaasua tämä Pokémon ampuu vettä kuin luoti. Näin Clauncher kukistaa vihollisensa.</t>
        </is>
      </c>
    </row>
    <row r="13381" ht="33.75" customHeight="1">
      <c r="A13381" s="7">
        <v>692.0</v>
      </c>
      <c r="B13381" s="9" t="s">
        <v>18232</v>
      </c>
      <c r="C13381" s="9" t="s">
        <v>18233</v>
      </c>
      <c r="D13381" s="9" t="s">
        <v>105</v>
      </c>
      <c r="E13381" s="6" t="s">
        <v>18235</v>
      </c>
      <c r="F13381" s="9"/>
    </row>
    <row r="13382" ht="33.75" customHeight="1">
      <c r="A13382" s="7">
        <v>692.0</v>
      </c>
      <c r="B13382" s="9" t="s">
        <v>18232</v>
      </c>
      <c r="C13382" s="9" t="s">
        <v>18233</v>
      </c>
      <c r="D13382" s="9" t="s">
        <v>107</v>
      </c>
      <c r="E13382" s="6" t="s">
        <v>18234</v>
      </c>
      <c r="F13382" s="9"/>
    </row>
    <row r="13383" ht="33.75" customHeight="1">
      <c r="A13383" s="7">
        <v>692.0</v>
      </c>
      <c r="B13383" s="9" t="s">
        <v>18232</v>
      </c>
      <c r="C13383" s="9" t="s">
        <v>18233</v>
      </c>
      <c r="D13383" s="9" t="s">
        <v>109</v>
      </c>
      <c r="E13383" s="6" t="s">
        <v>18235</v>
      </c>
      <c r="F13383" s="9"/>
    </row>
    <row r="13384" ht="33.75" customHeight="1">
      <c r="A13384" s="7">
        <v>692.0</v>
      </c>
      <c r="B13384" s="9" t="s">
        <v>18232</v>
      </c>
      <c r="C13384" s="9" t="s">
        <v>18233</v>
      </c>
      <c r="D13384" s="9" t="s">
        <v>647</v>
      </c>
      <c r="E13384" s="6" t="s">
        <v>18237</v>
      </c>
      <c r="F13384" s="9"/>
    </row>
    <row r="13385" ht="33.75" customHeight="1">
      <c r="A13385" s="7">
        <v>692.0</v>
      </c>
      <c r="B13385" s="9" t="s">
        <v>18232</v>
      </c>
      <c r="C13385" s="9" t="s">
        <v>18233</v>
      </c>
      <c r="D13385" s="9" t="s">
        <v>652</v>
      </c>
      <c r="E13385" s="6" t="s">
        <v>18238</v>
      </c>
      <c r="F13385" s="9"/>
    </row>
    <row r="13386" ht="33.75" customHeight="1">
      <c r="A13386" s="7">
        <v>692.0</v>
      </c>
      <c r="B13386" s="9" t="s">
        <v>18232</v>
      </c>
      <c r="C13386" s="9" t="s">
        <v>18233</v>
      </c>
      <c r="D13386" s="9" t="s">
        <v>114</v>
      </c>
      <c r="E13386" s="6" t="s">
        <v>18239</v>
      </c>
      <c r="F13386" s="9"/>
    </row>
    <row r="13387" ht="33.75" customHeight="1">
      <c r="A13387" s="7">
        <v>692.0</v>
      </c>
      <c r="B13387" s="9" t="s">
        <v>18232</v>
      </c>
      <c r="C13387" s="9" t="s">
        <v>18233</v>
      </c>
      <c r="D13387" s="9" t="s">
        <v>117</v>
      </c>
      <c r="E13387" s="6" t="s">
        <v>18240</v>
      </c>
      <c r="F13387" s="9"/>
    </row>
    <row r="13388" ht="33.75" customHeight="1">
      <c r="A13388" s="7">
        <v>693.0</v>
      </c>
      <c r="B13388" s="9" t="s">
        <v>18241</v>
      </c>
      <c r="C13388" s="9" t="s">
        <v>18242</v>
      </c>
      <c r="D13388" s="9" t="s">
        <v>101</v>
      </c>
      <c r="E13388" s="6" t="s">
        <v>18243</v>
      </c>
      <c r="F13388" t="inlineStr" s="10">
        <is>
          <t xml:space="preserve">Niiden valtavat kynnet ampuvat vesitykinkuulia, jotka ovat riittävän voimakkaita lävistämään tankkereiden rungot. Puristamalla vettä kynnen takaosassa olevasta suuttimesta se voi liikkua 60 solmun nopeudella. Se puristaa imettämäänsä vettä ja puhaltaa sitä sitten niin voimakkaasti, että se pystyy tekemään reiän paksun rautalevyn läpi. Sen oikea käsivarsi on täynnä lihaa. Kun sen pihdit irtoavat, ne viedään muualle ruoanlaittoon. Käytettyään ylisuuren kynteensä tuntosarvia saaliin sijainnin havaitsemiseen, Clawitzer ampuu vettä sisältävän tykinkuulan kohteeseensa. Clawitzerin oikea käsivarsi on tykki, joka ampuu merivedestä valmistettuja ammuksia. Clawitzerin tykin käsivarresta ammutut laukaukset voivat upottaa tankkerin.</t>
        </is>
      </c>
    </row>
    <row r="13389" ht="33.75" customHeight="1">
      <c r="A13389" s="7">
        <v>693.0</v>
      </c>
      <c r="B13389" s="9" t="s">
        <v>18241</v>
      </c>
      <c r="C13389" s="9" t="s">
        <v>18242</v>
      </c>
      <c r="D13389" s="9" t="s">
        <v>105</v>
      </c>
      <c r="E13389" s="6" t="s">
        <v>18244</v>
      </c>
      <c r="F13389" s="9"/>
    </row>
    <row r="13390" ht="33.75" customHeight="1">
      <c r="A13390" s="7">
        <v>693.0</v>
      </c>
      <c r="B13390" s="9" t="s">
        <v>18241</v>
      </c>
      <c r="C13390" s="9" t="s">
        <v>18242</v>
      </c>
      <c r="D13390" s="9" t="s">
        <v>107</v>
      </c>
      <c r="E13390" s="6" t="s">
        <v>18243</v>
      </c>
      <c r="F13390" s="9"/>
    </row>
    <row r="13391" ht="33.75" customHeight="1">
      <c r="A13391" s="7">
        <v>693.0</v>
      </c>
      <c r="B13391" s="9" t="s">
        <v>18241</v>
      </c>
      <c r="C13391" s="9" t="s">
        <v>18242</v>
      </c>
      <c r="D13391" s="9" t="s">
        <v>109</v>
      </c>
      <c r="E13391" s="6" t="s">
        <v>18244</v>
      </c>
      <c r="F13391" s="9"/>
    </row>
    <row r="13392" ht="33.75" customHeight="1">
      <c r="A13392" s="7">
        <v>693.0</v>
      </c>
      <c r="B13392" s="9" t="s">
        <v>18241</v>
      </c>
      <c r="C13392" s="9" t="s">
        <v>18242</v>
      </c>
      <c r="D13392" s="9" t="s">
        <v>647</v>
      </c>
      <c r="E13392" s="6" t="s">
        <v>18245</v>
      </c>
      <c r="F13392" s="9"/>
    </row>
    <row r="13393" ht="33.75" customHeight="1">
      <c r="A13393" s="7">
        <v>693.0</v>
      </c>
      <c r="B13393" s="9" t="s">
        <v>18241</v>
      </c>
      <c r="C13393" s="9" t="s">
        <v>18242</v>
      </c>
      <c r="D13393" s="9" t="s">
        <v>652</v>
      </c>
      <c r="E13393" s="6" t="s">
        <v>18246</v>
      </c>
      <c r="F13393" s="9"/>
    </row>
    <row r="13394" ht="33.75" customHeight="1">
      <c r="A13394" s="7">
        <v>693.0</v>
      </c>
      <c r="B13394" s="9" t="s">
        <v>18241</v>
      </c>
      <c r="C13394" s="9" t="s">
        <v>18242</v>
      </c>
      <c r="D13394" s="9" t="s">
        <v>114</v>
      </c>
      <c r="E13394" s="6" t="s">
        <v>18247</v>
      </c>
      <c r="F13394" s="9"/>
    </row>
    <row r="13395" ht="33.75" customHeight="1">
      <c r="A13395" s="7">
        <v>693.0</v>
      </c>
      <c r="B13395" s="9" t="s">
        <v>18241</v>
      </c>
      <c r="C13395" s="9" t="s">
        <v>18242</v>
      </c>
      <c r="D13395" s="9" t="s">
        <v>117</v>
      </c>
      <c r="E13395" s="6" t="s">
        <v>18248</v>
      </c>
      <c r="F13395" s="9"/>
    </row>
    <row r="13396" ht="33.75" customHeight="1">
      <c r="A13396" s="7">
        <v>694.0</v>
      </c>
      <c r="B13396" s="9" t="s">
        <v>18249</v>
      </c>
      <c r="C13396" s="9" t="s">
        <v>18250</v>
      </c>
      <c r="D13396" s="9" t="s">
        <v>101</v>
      </c>
      <c r="E13396" s="6" t="s">
        <v>18251</v>
      </c>
      <c r="F13396" t="inlineStr" s="10">
        <is>
          <t xml:space="preserve">Ne asettuvat asumaan aavikoihin. Ne voivat tuottaa energiansa paistattelemalla auringossa, joten ruoan syöminen ei ole välttämätöntä. Pään molemmin puolin olevissa kauluksissa on kennoja, jotka tuottavat sähköä auringonvalossa. Levitettyinä sen pään röyhelöt toimivat kuin aurinkopaneelit, jotka tuottavat energian tämän Pokémonin sähköisiin liikkeisiin. Aurinko saa voimansa tämän Pokémonin sähköntuotannosta. Tämän prosessin keskeytyminen rasittaa Helioptilea heikkouden rajalle.</t>
        </is>
      </c>
    </row>
    <row r="13397" ht="33.75" customHeight="1">
      <c r="A13397" s="7">
        <v>694.0</v>
      </c>
      <c r="B13397" s="9" t="s">
        <v>18249</v>
      </c>
      <c r="C13397" s="9" t="s">
        <v>18250</v>
      </c>
      <c r="D13397" s="9" t="s">
        <v>105</v>
      </c>
      <c r="E13397" s="6" t="s">
        <v>18252</v>
      </c>
      <c r="F13397" s="9"/>
    </row>
    <row r="13398" ht="33.75" customHeight="1">
      <c r="A13398" s="7">
        <v>694.0</v>
      </c>
      <c r="B13398" s="9" t="s">
        <v>18249</v>
      </c>
      <c r="C13398" s="9" t="s">
        <v>18250</v>
      </c>
      <c r="D13398" s="9" t="s">
        <v>107</v>
      </c>
      <c r="E13398" s="6" t="s">
        <v>18251</v>
      </c>
      <c r="F13398" s="9"/>
    </row>
    <row r="13399" ht="33.75" customHeight="1">
      <c r="A13399" s="7">
        <v>694.0</v>
      </c>
      <c r="B13399" s="9" t="s">
        <v>18249</v>
      </c>
      <c r="C13399" s="9" t="s">
        <v>18250</v>
      </c>
      <c r="D13399" s="9" t="s">
        <v>109</v>
      </c>
      <c r="E13399" s="6" t="s">
        <v>18252</v>
      </c>
      <c r="F13399" s="9"/>
    </row>
    <row r="13400" ht="33.75" customHeight="1">
      <c r="A13400" s="7">
        <v>694.0</v>
      </c>
      <c r="B13400" s="9" t="s">
        <v>18249</v>
      </c>
      <c r="C13400" s="9" t="s">
        <v>18250</v>
      </c>
      <c r="D13400" s="9" t="s">
        <v>114</v>
      </c>
      <c r="E13400" s="6" t="s">
        <v>18253</v>
      </c>
      <c r="F13400" s="9"/>
    </row>
    <row r="13401" ht="33.75" customHeight="1">
      <c r="A13401" s="7">
        <v>694.0</v>
      </c>
      <c r="B13401" s="9" t="s">
        <v>18249</v>
      </c>
      <c r="C13401" s="9" t="s">
        <v>18250</v>
      </c>
      <c r="D13401" s="9" t="s">
        <v>117</v>
      </c>
      <c r="E13401" s="6" t="s">
        <v>18255</v>
      </c>
      <c r="F13401" s="9"/>
    </row>
    <row r="13402" ht="33.75" customHeight="1">
      <c r="A13402" s="7">
        <v>695.0</v>
      </c>
      <c r="B13402" s="9" t="s">
        <v>18256</v>
      </c>
      <c r="C13402" s="9" t="s">
        <v>18250</v>
      </c>
      <c r="D13402" s="9" t="s">
        <v>101</v>
      </c>
      <c r="E13402" s="6" t="s">
        <v>18257</v>
      </c>
      <c r="F13402" t="inlineStr" s="10">
        <is>
          <t xml:space="preserve">Ne levittävät kauluriaan ja tuottavat energiaa. Yksi ainoa Heliolisk voi tuottaa riittävästi sähköä pilvenpiirtäjän käyttämiseen. Se stimuloi lihaksiaan sähköllä, mikä lisää jalkojen voimaa ja mahdollistaa sen juoksemisen 100 jaardia viidessä sekunnissa. Nykyään kadonnut aavikkokulttuuri vaali näitä Pokémoneja. Sopivasti, kun Heliolisk saapui Galarin alueelle, aarre toi mukanaan. Yksi auringossa paistatteleva heliolisk-hirviö röyhelöineen riittää tuottamaan tarpeeksi sähköä kaupungin virrankulutusta varten.</t>
        </is>
      </c>
    </row>
    <row r="13403" ht="33.75" customHeight="1">
      <c r="A13403" s="7">
        <v>695.0</v>
      </c>
      <c r="B13403" s="9" t="s">
        <v>18256</v>
      </c>
      <c r="C13403" s="9" t="s">
        <v>18250</v>
      </c>
      <c r="D13403" s="9" t="s">
        <v>105</v>
      </c>
      <c r="E13403" s="6" t="s">
        <v>18258</v>
      </c>
      <c r="F13403" s="9"/>
    </row>
    <row r="13404" ht="33.75" customHeight="1">
      <c r="A13404" s="7">
        <v>695.0</v>
      </c>
      <c r="B13404" s="9" t="s">
        <v>18256</v>
      </c>
      <c r="C13404" s="9" t="s">
        <v>18250</v>
      </c>
      <c r="D13404" s="9" t="s">
        <v>107</v>
      </c>
      <c r="E13404" s="6" t="s">
        <v>18257</v>
      </c>
      <c r="F13404" s="9"/>
    </row>
    <row r="13405" ht="33.75" customHeight="1">
      <c r="A13405" s="7">
        <v>695.0</v>
      </c>
      <c r="B13405" s="9" t="s">
        <v>18256</v>
      </c>
      <c r="C13405" s="9" t="s">
        <v>18250</v>
      </c>
      <c r="D13405" s="9" t="s">
        <v>109</v>
      </c>
      <c r="E13405" s="6" t="s">
        <v>18258</v>
      </c>
      <c r="F13405" s="9"/>
    </row>
    <row r="13406" ht="33.75" customHeight="1">
      <c r="A13406" s="7">
        <v>695.0</v>
      </c>
      <c r="B13406" s="9" t="s">
        <v>18256</v>
      </c>
      <c r="C13406" s="9" t="s">
        <v>18250</v>
      </c>
      <c r="D13406" s="9" t="s">
        <v>114</v>
      </c>
      <c r="E13406" s="6" t="s">
        <v>18259</v>
      </c>
      <c r="F13406" s="9"/>
    </row>
    <row r="13407" ht="33.75" customHeight="1">
      <c r="A13407" s="7">
        <v>695.0</v>
      </c>
      <c r="B13407" s="9" t="s">
        <v>18256</v>
      </c>
      <c r="C13407" s="9" t="s">
        <v>18250</v>
      </c>
      <c r="D13407" s="9" t="s">
        <v>117</v>
      </c>
      <c r="E13407" s="6" t="s">
        <v>18260</v>
      </c>
      <c r="F13407" s="9"/>
    </row>
    <row r="13408" ht="33.75" customHeight="1">
      <c r="A13408" s="7">
        <v>696.0</v>
      </c>
      <c r="B13408" s="9" t="s">
        <v>18261</v>
      </c>
      <c r="C13408" s="9" t="s">
        <v>18262</v>
      </c>
      <c r="D13408" s="9" t="s">
        <v>101</v>
      </c>
      <c r="E13408" s="6" t="s">
        <v>18263</v>
      </c>
      <c r="F13408" t="inlineStr" s="10">
        <is>
          <t xml:space="preserve">Tämä Pokémon on palautettu fossiilista. Jos tapahtuu jotain, mistä se ei pidä, se saa raivokohtauksen ja lähtee villiin. Sen valtavilla leuoilla on niin paljon tuhovoimaa, että se voi pureskella auton. Se eli 100 miljoonaa vuotta sitten. Sen suurella leualla on uskomaton tuhovoima. Joidenkin teorioiden mukaan sen entisöity muoto on erilainen kuin se oli muinaisessa muodossaan. Tyrunt on hemmoteltu ja itsekäs. Se saattaa vain yrittää leikkiä, mutta joskus sen leikkikaverit ovat vakavasti loukkaantuneita. Tämä on ikivanha Pokémon, joka on herätetty henkiin nykyaikana. Sillä on väkivaltainen luonne, ja se repii kappaleiksi kaiken, minkä se saa jykevien leukojensa väliin. Tämä Pokémon on itsekäs ja tykkää hemmottelusta. Se voi myös aiheuttaa vakavia haavoja kouluttajalleen pelkästään leikkimällä.</t>
        </is>
      </c>
    </row>
    <row r="13409" ht="33.75" customHeight="1">
      <c r="A13409" s="7">
        <v>696.0</v>
      </c>
      <c r="B13409" s="9" t="s">
        <v>18261</v>
      </c>
      <c r="C13409" s="9" t="s">
        <v>18262</v>
      </c>
      <c r="D13409" s="9" t="s">
        <v>105</v>
      </c>
      <c r="E13409" s="6" t="s">
        <v>18264</v>
      </c>
      <c r="F13409" s="9"/>
    </row>
    <row r="13410" ht="33.75" customHeight="1">
      <c r="A13410" s="7">
        <v>696.0</v>
      </c>
      <c r="B13410" s="9" t="s">
        <v>18261</v>
      </c>
      <c r="C13410" s="9" t="s">
        <v>18262</v>
      </c>
      <c r="D13410" s="9" t="s">
        <v>107</v>
      </c>
      <c r="E13410" s="6" t="s">
        <v>18263</v>
      </c>
      <c r="F13410" s="9"/>
    </row>
    <row r="13411" ht="33.75" customHeight="1">
      <c r="A13411" s="7">
        <v>696.0</v>
      </c>
      <c r="B13411" s="9" t="s">
        <v>18261</v>
      </c>
      <c r="C13411" s="9" t="s">
        <v>18262</v>
      </c>
      <c r="D13411" s="9" t="s">
        <v>109</v>
      </c>
      <c r="E13411" s="6" t="s">
        <v>18264</v>
      </c>
      <c r="F13411" s="9"/>
    </row>
    <row r="13412" ht="33.75" customHeight="1">
      <c r="A13412" s="7">
        <v>696.0</v>
      </c>
      <c r="B13412" s="9" t="s">
        <v>18261</v>
      </c>
      <c r="C13412" s="9" t="s">
        <v>18262</v>
      </c>
      <c r="D13412" s="9" t="s">
        <v>647</v>
      </c>
      <c r="E13412" s="6" t="s">
        <v>18265</v>
      </c>
      <c r="F13412" s="9"/>
    </row>
    <row r="13413" ht="33.75" customHeight="1">
      <c r="A13413" s="7">
        <v>696.0</v>
      </c>
      <c r="B13413" s="9" t="s">
        <v>18261</v>
      </c>
      <c r="C13413" s="9" t="s">
        <v>18262</v>
      </c>
      <c r="D13413" s="9" t="s">
        <v>652</v>
      </c>
      <c r="E13413" s="6" t="s">
        <v>18266</v>
      </c>
      <c r="F13413" s="9"/>
    </row>
    <row r="13414" ht="33.75" customHeight="1">
      <c r="A13414" s="7">
        <v>696.0</v>
      </c>
      <c r="B13414" s="9" t="s">
        <v>18261</v>
      </c>
      <c r="C13414" s="9" t="s">
        <v>18262</v>
      </c>
      <c r="D13414" s="9" t="s">
        <v>114</v>
      </c>
      <c r="E13414" s="6" t="s">
        <v>18267</v>
      </c>
      <c r="F13414" s="9"/>
    </row>
    <row r="13415" ht="33.75" customHeight="1">
      <c r="A13415" s="7">
        <v>696.0</v>
      </c>
      <c r="B13415" s="9" t="s">
        <v>18261</v>
      </c>
      <c r="C13415" s="9" t="s">
        <v>18262</v>
      </c>
      <c r="D13415" s="9" t="s">
        <v>117</v>
      </c>
      <c r="E13415" s="6" t="s">
        <v>18268</v>
      </c>
      <c r="F13415" s="9"/>
    </row>
    <row r="13416" ht="33.75" customHeight="1">
      <c r="A13416" s="7">
        <v>697.0</v>
      </c>
      <c r="B13416" s="9" t="s">
        <v>18269</v>
      </c>
      <c r="C13416" s="9" t="s">
        <v>18270</v>
      </c>
      <c r="D13416" s="9" t="s">
        <v>101</v>
      </c>
      <c r="E13416" s="6" t="s">
        <v>18271</v>
      </c>
      <c r="F13416" t="inlineStr" s="10">
        <is>
          <t xml:space="preserve">Jättimäisten leukojensa ansiosta, jotka pystyivät silppuamaan paksuja metallilevyjä kuin ne olisivat paperia, se oli voittamaton muinaisessa maailmassa, jossa se kerran asui. Mikään ei voinut pysäyttää tätä Pokémonia 100 miljoonaa vuotta sitten, joten se käyttäytyi kuin kuningas. Täydellinen restaurointi on mahdotonta, mikä antaa tilaa teorioille, joiden mukaan koko sen ruumis oli aikoinaan höyhenmäisen takin peitossa. Muinaisen maailman kuningas, se voi helposti murskaa auton valtavien leukojensa tuhoisalla voimalla. Tämä Pokémon on noin 100 000 000 vuoden takaa. Sillä on kuninkaan olemus, se on ilkeä mutta mahtava. Yksi Tyrantrumin massiivisten leukojen puraisu tuhoaa auton. Tämä Pokémon oli antiikin maailman kuningas.</t>
        </is>
      </c>
    </row>
    <row r="13417" ht="33.75" customHeight="1">
      <c r="A13417" s="7">
        <v>697.0</v>
      </c>
      <c r="B13417" s="9" t="s">
        <v>18269</v>
      </c>
      <c r="C13417" s="9" t="s">
        <v>18270</v>
      </c>
      <c r="D13417" s="9" t="s">
        <v>105</v>
      </c>
      <c r="E13417" s="6" t="s">
        <v>18272</v>
      </c>
      <c r="F13417" s="9"/>
    </row>
    <row r="13418" ht="33.75" customHeight="1">
      <c r="A13418" s="7">
        <v>697.0</v>
      </c>
      <c r="B13418" s="9" t="s">
        <v>18269</v>
      </c>
      <c r="C13418" s="9" t="s">
        <v>18270</v>
      </c>
      <c r="D13418" s="9" t="s">
        <v>107</v>
      </c>
      <c r="E13418" s="6" t="s">
        <v>18271</v>
      </c>
      <c r="F13418" s="9"/>
    </row>
    <row r="13419" ht="33.75" customHeight="1">
      <c r="A13419" s="7">
        <v>697.0</v>
      </c>
      <c r="B13419" s="9" t="s">
        <v>18269</v>
      </c>
      <c r="C13419" s="9" t="s">
        <v>18270</v>
      </c>
      <c r="D13419" s="9" t="s">
        <v>109</v>
      </c>
      <c r="E13419" s="6" t="s">
        <v>18272</v>
      </c>
      <c r="F13419" s="9"/>
    </row>
    <row r="13420" ht="33.75" customHeight="1">
      <c r="A13420" s="7">
        <v>697.0</v>
      </c>
      <c r="B13420" s="9" t="s">
        <v>18269</v>
      </c>
      <c r="C13420" s="9" t="s">
        <v>18270</v>
      </c>
      <c r="D13420" s="9" t="s">
        <v>647</v>
      </c>
      <c r="E13420" s="6" t="s">
        <v>18274</v>
      </c>
      <c r="F13420" s="9"/>
    </row>
    <row r="13421" ht="33.75" customHeight="1">
      <c r="A13421" s="7">
        <v>697.0</v>
      </c>
      <c r="B13421" s="9" t="s">
        <v>18269</v>
      </c>
      <c r="C13421" s="9" t="s">
        <v>18270</v>
      </c>
      <c r="D13421" s="9" t="s">
        <v>652</v>
      </c>
      <c r="E13421" s="6" t="s">
        <v>18275</v>
      </c>
      <c r="F13421" s="9"/>
    </row>
    <row r="13422" ht="33.75" customHeight="1">
      <c r="A13422" s="7">
        <v>697.0</v>
      </c>
      <c r="B13422" s="9" t="s">
        <v>18269</v>
      </c>
      <c r="C13422" s="9" t="s">
        <v>18270</v>
      </c>
      <c r="D13422" s="9" t="s">
        <v>114</v>
      </c>
      <c r="E13422" s="6" t="s">
        <v>18276</v>
      </c>
      <c r="F13422" s="9"/>
    </row>
    <row r="13423" ht="33.75" customHeight="1">
      <c r="A13423" s="7">
        <v>697.0</v>
      </c>
      <c r="B13423" s="9" t="s">
        <v>18269</v>
      </c>
      <c r="C13423" s="9" t="s">
        <v>18270</v>
      </c>
      <c r="D13423" s="9" t="s">
        <v>117</v>
      </c>
      <c r="E13423" s="6" t="s">
        <v>18277</v>
      </c>
      <c r="F13423" s="9"/>
    </row>
    <row r="13424" ht="33.75" customHeight="1">
      <c r="A13424" s="7">
        <v>698.0</v>
      </c>
      <c r="B13424" s="9" t="s">
        <v>18278</v>
      </c>
      <c r="C13424" s="9" t="s">
        <v>18279</v>
      </c>
      <c r="D13424" s="9" t="s">
        <v>101</v>
      </c>
      <c r="E13424" s="6" t="s">
        <v>18280</v>
      </c>
      <c r="F13424" t="inlineStr" s="10">
        <is>
          <t xml:space="preserve">Tämä muinainen Pokémon on palautettu osasta Amauran ruumista, joka oli ollut jäässä yli 100 miljoonaa vuotta. Tämä rauhallinen Pokémon eli kylmällä maalla, jossa ei ollut Tyrantrumin kaltaisia ​​väkivaltaisia ​​saalistajia. Se eli muinaisina aikoina kylmillä alueilla. Sanotaan, että kun amaura hirnahtaa, revontulet ilmestyvät yötaivaalle. Amaura saatiin ennalleen onnistuneesti, mutta sen ei odoteta elävän pitkään nykyisen kuumuuden vuoksi. Tämä Pokémon onnistuttiin palauttamaan fossiilista. Aiemmin se eli muiden lajitovereidensa kanssa kylmillä alueilla, joilla oli vähemmän saalistajia. Amaura on ikivanha Pokémon, joka on kuollut sukupuuttoon. Tämän lajin yksilöitä voi joskus löytää jäätyneinä.</t>
        </is>
      </c>
    </row>
    <row r="13425" ht="33.75" customHeight="1">
      <c r="A13425" s="7">
        <v>698.0</v>
      </c>
      <c r="B13425" s="9" t="s">
        <v>18278</v>
      </c>
      <c r="C13425" s="9" t="s">
        <v>18279</v>
      </c>
      <c r="D13425" s="9" t="s">
        <v>105</v>
      </c>
      <c r="E13425" s="6" t="s">
        <v>18281</v>
      </c>
      <c r="F13425" s="9"/>
    </row>
    <row r="13426" ht="33.75" customHeight="1">
      <c r="A13426" s="7">
        <v>698.0</v>
      </c>
      <c r="B13426" s="9" t="s">
        <v>18278</v>
      </c>
      <c r="C13426" s="9" t="s">
        <v>18279</v>
      </c>
      <c r="D13426" s="9" t="s">
        <v>107</v>
      </c>
      <c r="E13426" s="6" t="s">
        <v>18280</v>
      </c>
      <c r="F13426" s="9"/>
    </row>
    <row r="13427" ht="33.75" customHeight="1">
      <c r="A13427" s="7">
        <v>698.0</v>
      </c>
      <c r="B13427" s="9" t="s">
        <v>18278</v>
      </c>
      <c r="C13427" s="9" t="s">
        <v>18279</v>
      </c>
      <c r="D13427" s="9" t="s">
        <v>109</v>
      </c>
      <c r="E13427" s="6" t="s">
        <v>18281</v>
      </c>
      <c r="F13427" s="9"/>
    </row>
    <row r="13428" ht="33.75" customHeight="1">
      <c r="A13428" s="7">
        <v>698.0</v>
      </c>
      <c r="B13428" s="9" t="s">
        <v>18278</v>
      </c>
      <c r="C13428" s="9" t="s">
        <v>18279</v>
      </c>
      <c r="D13428" s="9" t="s">
        <v>647</v>
      </c>
      <c r="E13428" s="6" t="s">
        <v>18282</v>
      </c>
      <c r="F13428" s="9"/>
    </row>
    <row r="13429" ht="33.75" customHeight="1">
      <c r="A13429" s="7">
        <v>698.0</v>
      </c>
      <c r="B13429" s="9" t="s">
        <v>18278</v>
      </c>
      <c r="C13429" s="9" t="s">
        <v>18279</v>
      </c>
      <c r="D13429" s="9" t="s">
        <v>652</v>
      </c>
      <c r="E13429" s="6" t="s">
        <v>18283</v>
      </c>
      <c r="F13429" s="9"/>
    </row>
    <row r="13430" ht="33.75" customHeight="1">
      <c r="A13430" s="7">
        <v>698.0</v>
      </c>
      <c r="B13430" s="9" t="s">
        <v>18278</v>
      </c>
      <c r="C13430" s="9" t="s">
        <v>18279</v>
      </c>
      <c r="D13430" s="9" t="s">
        <v>114</v>
      </c>
      <c r="E13430" s="6" t="s">
        <v>18284</v>
      </c>
      <c r="F13430" s="9"/>
    </row>
    <row r="13431" ht="33.75" customHeight="1">
      <c r="A13431" s="7">
        <v>698.0</v>
      </c>
      <c r="B13431" s="9" t="s">
        <v>18278</v>
      </c>
      <c r="C13431" s="9" t="s">
        <v>18279</v>
      </c>
      <c r="D13431" s="9" t="s">
        <v>117</v>
      </c>
      <c r="E13431" s="6" t="s">
        <v>18285</v>
      </c>
      <c r="F13431" s="9"/>
    </row>
    <row r="13432" ht="33.75" customHeight="1">
      <c r="A13432" s="7">
        <v>699.0</v>
      </c>
      <c r="B13432" s="9" t="s">
        <v>18286</v>
      </c>
      <c r="C13432" s="9" t="s">
        <v>18279</v>
      </c>
      <c r="D13432" s="9" t="s">
        <v>101</v>
      </c>
      <c r="E13432" s="6" t="s">
        <v>18287</v>
      </c>
      <c r="F13432" t="inlineStr" s="10">
        <is>
          <t xml:space="preserve">Aurorusin rungon timantinmuotoiset kiteet puhaltavat ulos jopa -240 celsiusastetta kylmää ilmaa, ympäröiden sen viholliset ja käärien heidät jäähän. Timantinmuotoisten kristalliensa avulla se voi välittömästi luoda jäämuurin estääkseen vastustajan hyökkäyksen. Jäätikön sisältä löydettiin jäätynyt revontuli, aivan kuten se näytti kauan sitten, mistä tuli melkoinen uutistapahtuma. Tämän yleensä hiljaisen ja kiltin Pokémonin pintalämpötila on noin -240 celsiusastetta. Aurorus on palautettu fossiilista. Sanotaan, että kun tämä Pokémon ulvoo, revontulet ilmestyvät yötaivaalle. Raivon vallassa Aurorus säteilee jääkylmää ilmaa, joka peittää kaiken ympärillään jäällä.</t>
        </is>
      </c>
    </row>
    <row r="13433" ht="33.75" customHeight="1">
      <c r="A13433" s="7">
        <v>699.0</v>
      </c>
      <c r="B13433" s="9" t="s">
        <v>18286</v>
      </c>
      <c r="C13433" s="9" t="s">
        <v>18279</v>
      </c>
      <c r="D13433" s="9" t="s">
        <v>105</v>
      </c>
      <c r="E13433" s="6" t="s">
        <v>18288</v>
      </c>
      <c r="F13433" s="9"/>
    </row>
    <row r="13434" ht="33.75" customHeight="1">
      <c r="A13434" s="7">
        <v>699.0</v>
      </c>
      <c r="B13434" s="9" t="s">
        <v>18286</v>
      </c>
      <c r="C13434" s="9" t="s">
        <v>18279</v>
      </c>
      <c r="D13434" s="9" t="s">
        <v>107</v>
      </c>
      <c r="E13434" s="6" t="s">
        <v>18287</v>
      </c>
      <c r="F13434" s="9"/>
    </row>
    <row r="13435" ht="33.75" customHeight="1">
      <c r="A13435" s="7">
        <v>699.0</v>
      </c>
      <c r="B13435" s="9" t="s">
        <v>18286</v>
      </c>
      <c r="C13435" s="9" t="s">
        <v>18279</v>
      </c>
      <c r="D13435" s="9" t="s">
        <v>109</v>
      </c>
      <c r="E13435" s="6" t="s">
        <v>18288</v>
      </c>
      <c r="F13435" s="9"/>
    </row>
    <row r="13436" ht="33.75" customHeight="1">
      <c r="A13436" s="7">
        <v>699.0</v>
      </c>
      <c r="B13436" s="9" t="s">
        <v>18286</v>
      </c>
      <c r="C13436" s="9" t="s">
        <v>18279</v>
      </c>
      <c r="D13436" s="9" t="s">
        <v>647</v>
      </c>
      <c r="E13436" s="6" t="s">
        <v>18289</v>
      </c>
      <c r="F13436" s="9"/>
    </row>
    <row r="13437" ht="33.75" customHeight="1">
      <c r="A13437" s="7">
        <v>699.0</v>
      </c>
      <c r="B13437" s="9" t="s">
        <v>18286</v>
      </c>
      <c r="C13437" s="9" t="s">
        <v>18279</v>
      </c>
      <c r="D13437" s="9" t="s">
        <v>652</v>
      </c>
      <c r="E13437" s="6" t="s">
        <v>18290</v>
      </c>
      <c r="F13437" s="9"/>
    </row>
    <row r="13438" ht="33.75" customHeight="1">
      <c r="A13438" s="7">
        <v>699.0</v>
      </c>
      <c r="B13438" s="9" t="s">
        <v>18286</v>
      </c>
      <c r="C13438" s="9" t="s">
        <v>18279</v>
      </c>
      <c r="D13438" s="9" t="s">
        <v>114</v>
      </c>
      <c r="E13438" s="6" t="s">
        <v>18291</v>
      </c>
      <c r="F13438" s="9"/>
    </row>
    <row r="13439" ht="33.75" customHeight="1">
      <c r="A13439" s="7">
        <v>699.0</v>
      </c>
      <c r="B13439" s="9" t="s">
        <v>18286</v>
      </c>
      <c r="C13439" s="9" t="s">
        <v>18279</v>
      </c>
      <c r="D13439" s="9" t="s">
        <v>117</v>
      </c>
      <c r="E13439" s="6" t="s">
        <v>18292</v>
      </c>
      <c r="F13439" s="9"/>
    </row>
    <row r="13440" ht="33.75" customHeight="1">
      <c r="A13440" s="7">
        <v>700.0</v>
      </c>
      <c r="B13440" s="9" t="s">
        <v>18293</v>
      </c>
      <c r="C13440" s="9" t="s">
        <v>18294</v>
      </c>
      <c r="D13440" s="9" t="s">
        <v>101</v>
      </c>
      <c r="E13440" s="6" t="s">
        <v>18295</v>
      </c>
      <c r="F13440" t="inlineStr" s="10">
        <is>
          <t xml:space="preserve">Sylveon lähettää rauhoittavan auran nauhamaisista tuntosarvistaan ​​rauhoittaakseen taisteluita. Se kietoo nauhamaiset tuntosarunsa rakkaan kouluttajansa käsivarren ympärille ja kävelee hänen kanssaan. Sen nauhamaiset tuntosarvet levittävät auraa, joka heikentää saaliin vihamielisyyttä ja saa sen laskemaan suojansa. Sitten se hyökkää. Kun tämä Pokémon näkee saaliinsa, se pyörittää nauhamaisia ​​tuntosarviaan häiritäkseen huomiota. Hetkeä myöhemmin se hyökkää kimppuun. Kun taistelu syttyy, se hyökkää horjumatta lohikäärme-Pokémonien kimppuun, jotka ovat monta kertaa sitä itseään suurempia. Sylveon kietoo nauhamaiset tuntosarunsa kouluttajansa käsivarren ympärille, koska tämän kosketuksen avulla se pystyy lukemaan kouluttajansa tunteita. Päästämällä vihamielisyyttä pyyhkiviä aaltoja nauhamaisista tuntosarvistaan ​​Sylveon pysäyttää kaikki konfliktit. Galarialaisessa sadussa kuvataan kaunista Sylveonia, joka kukistaa kauhistuttavan lohikäärme-Pokémonin. Se säteilee rauhoittavaa auraa nauhamaisista elimistään. Se kietoo nämä ulokkeet riitelijöiden ympärille palauttaakseen tilanteen välittömästi rauhallisiksi.</t>
        </is>
      </c>
    </row>
    <row r="13441" ht="33.75" customHeight="1">
      <c r="A13441" s="7">
        <v>700.0</v>
      </c>
      <c r="B13441" s="9" t="s">
        <v>18293</v>
      </c>
      <c r="C13441" s="9" t="s">
        <v>18294</v>
      </c>
      <c r="D13441" s="9" t="s">
        <v>105</v>
      </c>
      <c r="E13441" s="6" t="s">
        <v>18296</v>
      </c>
      <c r="F13441" s="9"/>
    </row>
    <row r="13442" ht="33.75" customHeight="1">
      <c r="A13442" s="7">
        <v>700.0</v>
      </c>
      <c r="B13442" s="9" t="s">
        <v>18293</v>
      </c>
      <c r="C13442" s="9" t="s">
        <v>18294</v>
      </c>
      <c r="D13442" s="9" t="s">
        <v>107</v>
      </c>
      <c r="E13442" s="6" t="s">
        <v>18295</v>
      </c>
      <c r="F13442" s="9"/>
    </row>
    <row r="13443" ht="33.75" customHeight="1">
      <c r="A13443" s="7">
        <v>700.0</v>
      </c>
      <c r="B13443" s="9" t="s">
        <v>18293</v>
      </c>
      <c r="C13443" s="9" t="s">
        <v>18294</v>
      </c>
      <c r="D13443" s="9" t="s">
        <v>109</v>
      </c>
      <c r="E13443" s="6" t="s">
        <v>18296</v>
      </c>
      <c r="F13443" s="9"/>
    </row>
    <row r="13444" ht="33.75" customHeight="1">
      <c r="A13444" s="7">
        <v>700.0</v>
      </c>
      <c r="B13444" s="9" t="s">
        <v>18293</v>
      </c>
      <c r="C13444" s="9" t="s">
        <v>18294</v>
      </c>
      <c r="D13444" s="9" t="s">
        <v>637</v>
      </c>
      <c r="E13444" s="6" t="s">
        <v>18298</v>
      </c>
      <c r="F13444" s="9"/>
    </row>
    <row r="13445" ht="33.75" customHeight="1">
      <c r="A13445" s="7">
        <v>700.0</v>
      </c>
      <c r="B13445" s="9" t="s">
        <v>18293</v>
      </c>
      <c r="C13445" s="9" t="s">
        <v>18294</v>
      </c>
      <c r="D13445" s="9" t="s">
        <v>642</v>
      </c>
      <c r="E13445" s="6" t="s">
        <v>18299</v>
      </c>
      <c r="F13445" s="9"/>
    </row>
    <row r="13446" ht="33.75" customHeight="1">
      <c r="A13446" s="7">
        <v>700.0</v>
      </c>
      <c r="B13446" s="9" t="s">
        <v>18293</v>
      </c>
      <c r="C13446" s="9" t="s">
        <v>18294</v>
      </c>
      <c r="D13446" s="9" t="s">
        <v>647</v>
      </c>
      <c r="E13446" s="6" t="s">
        <v>18300</v>
      </c>
      <c r="F13446" s="9"/>
    </row>
    <row r="13447" ht="33.75" customHeight="1">
      <c r="A13447" s="7">
        <v>700.0</v>
      </c>
      <c r="B13447" s="9" t="s">
        <v>18293</v>
      </c>
      <c r="C13447" s="9" t="s">
        <v>18294</v>
      </c>
      <c r="D13447" s="9" t="s">
        <v>652</v>
      </c>
      <c r="E13447" s="6" t="s">
        <v>18301</v>
      </c>
      <c r="F13447" s="9"/>
    </row>
    <row r="13448" ht="33.75" customHeight="1">
      <c r="A13448" s="7">
        <v>700.0</v>
      </c>
      <c r="B13448" s="9" t="s">
        <v>18293</v>
      </c>
      <c r="C13448" s="9" t="s">
        <v>18294</v>
      </c>
      <c r="D13448" s="9" t="s">
        <v>114</v>
      </c>
      <c r="E13448" s="6" t="s">
        <v>18302</v>
      </c>
      <c r="F13448" s="9"/>
    </row>
    <row r="13449" ht="33.75" customHeight="1">
      <c r="A13449" s="7">
        <v>700.0</v>
      </c>
      <c r="B13449" s="9" t="s">
        <v>18293</v>
      </c>
      <c r="C13449" s="9" t="s">
        <v>18294</v>
      </c>
      <c r="D13449" s="9" t="s">
        <v>117</v>
      </c>
      <c r="E13449" s="6" t="s">
        <v>18303</v>
      </c>
      <c r="F13449" s="9"/>
    </row>
    <row r="13450" ht="33.75" customHeight="1">
      <c r="A13450" s="7">
        <v>700.0</v>
      </c>
      <c r="B13450" s="9" t="s">
        <v>18293</v>
      </c>
      <c r="C13450" s="9" t="s">
        <v>18294</v>
      </c>
      <c r="D13450" s="9" t="s">
        <v>1577</v>
      </c>
      <c r="E13450" s="6" t="s">
        <v>18304</v>
      </c>
      <c r="F13450" s="9"/>
    </row>
    <row r="13451" ht="33.75" customHeight="1">
      <c r="A13451" s="7">
        <v>701.0</v>
      </c>
      <c r="B13451" s="9" t="s">
        <v>18305</v>
      </c>
      <c r="C13451" s="9" t="s">
        <v>18306</v>
      </c>
      <c r="D13451" s="9" t="s">
        <v>101</v>
      </c>
      <c r="E13451" s="6" t="s">
        <v>18307</v>
      </c>
      <c r="F13451" t="inlineStr" s="10">
        <is>
          <t xml:space="preserve">Vaikka Hawluchan ruumiinrakenne on pieni, sen taitavat taistelutaidot mahdollistavat sen pysymisen Machampin ja Hariyaman kaltaisten kookkaiden vastustajien perässä. Se hallitsee siipiensä avulla asemaansa ilmassa. Se hyökkää mielellään ylhäältä, mikä on vaikea puolustaa. Se hukuttaa vastustajat nopeilla liikkeillään, mutta joskus se esittelee venettään liian kauan käyttäessään erikoisliikettä ja joutuu ahtaalle. Taistelussa Hawlucha hyppii ketterästi hyödyntäen vastustajiensa sokeita kulmia. Se on myös taitava käyttämään erinomaisia ​​alistumisotteita. Se ajaa vastustajansa uupumukseen ketterillä liikkeillään ja päättää sitten taistelun näyttävällä viimeistelyliikkeellä. Se ottaa aina asennon ennen viimeistelyliikettään. Joskus vastustajat käyttävät tilaisuuden hyväkseen vastahyökkäykseen.</t>
        </is>
      </c>
    </row>
    <row r="13452" ht="33.75" customHeight="1">
      <c r="A13452" s="7">
        <v>701.0</v>
      </c>
      <c r="B13452" s="9" t="s">
        <v>18305</v>
      </c>
      <c r="C13452" s="9" t="s">
        <v>18306</v>
      </c>
      <c r="D13452" s="9" t="s">
        <v>105</v>
      </c>
      <c r="E13452" s="6" t="s">
        <v>18308</v>
      </c>
      <c r="F13452" s="9"/>
    </row>
    <row r="13453" ht="33.75" customHeight="1">
      <c r="A13453" s="7">
        <v>701.0</v>
      </c>
      <c r="B13453" s="9" t="s">
        <v>18305</v>
      </c>
      <c r="C13453" s="9" t="s">
        <v>18306</v>
      </c>
      <c r="D13453" s="9" t="s">
        <v>107</v>
      </c>
      <c r="E13453" s="6" t="s">
        <v>18307</v>
      </c>
      <c r="F13453" s="9"/>
    </row>
    <row r="13454" ht="33.75" customHeight="1">
      <c r="A13454" s="7">
        <v>701.0</v>
      </c>
      <c r="B13454" s="9" t="s">
        <v>18305</v>
      </c>
      <c r="C13454" s="9" t="s">
        <v>18306</v>
      </c>
      <c r="D13454" s="9" t="s">
        <v>109</v>
      </c>
      <c r="E13454" s="6" t="s">
        <v>18308</v>
      </c>
      <c r="F13454" s="9"/>
    </row>
    <row r="13455" ht="33.75" customHeight="1">
      <c r="A13455" s="7">
        <v>701.0</v>
      </c>
      <c r="B13455" s="9" t="s">
        <v>18305</v>
      </c>
      <c r="C13455" s="9" t="s">
        <v>18306</v>
      </c>
      <c r="D13455" s="9" t="s">
        <v>647</v>
      </c>
      <c r="E13455" s="6" t="s">
        <v>18309</v>
      </c>
      <c r="F13455" s="9"/>
    </row>
    <row r="13456" ht="33.75" customHeight="1">
      <c r="A13456" s="7">
        <v>701.0</v>
      </c>
      <c r="B13456" s="9" t="s">
        <v>18305</v>
      </c>
      <c r="C13456" s="9" t="s">
        <v>18306</v>
      </c>
      <c r="D13456" s="9" t="s">
        <v>652</v>
      </c>
      <c r="E13456" s="6" t="s">
        <v>18310</v>
      </c>
      <c r="F13456" s="9"/>
    </row>
    <row r="13457" ht="33.75" customHeight="1">
      <c r="A13457" s="7">
        <v>701.0</v>
      </c>
      <c r="B13457" s="9" t="s">
        <v>18305</v>
      </c>
      <c r="C13457" s="9" t="s">
        <v>18306</v>
      </c>
      <c r="D13457" s="9" t="s">
        <v>114</v>
      </c>
      <c r="E13457" s="6" t="s">
        <v>18311</v>
      </c>
      <c r="F13457" s="9"/>
    </row>
    <row r="13458" ht="33.75" customHeight="1">
      <c r="A13458" s="7">
        <v>701.0</v>
      </c>
      <c r="B13458" s="9" t="s">
        <v>18305</v>
      </c>
      <c r="C13458" s="9" t="s">
        <v>18306</v>
      </c>
      <c r="D13458" s="9" t="s">
        <v>117</v>
      </c>
      <c r="E13458" s="6" t="s">
        <v>18313</v>
      </c>
      <c r="F13458" s="9"/>
    </row>
    <row r="13459" ht="33.75" customHeight="1">
      <c r="A13459" s="7">
        <v>702.0</v>
      </c>
      <c r="B13459" s="9" t="s">
        <v>18314</v>
      </c>
      <c r="C13459" s="9" t="s">
        <v>18315</v>
      </c>
      <c r="D13459" s="9" t="s">
        <v>101</v>
      </c>
      <c r="E13459" s="6" t="s">
        <v>18316</v>
      </c>
      <c r="F13459" t="inlineStr" s="10">
        <is>
          <t xml:space="preserve">Dedennen viikset toimivat antenneina. Lähettämällä ja vastaanottamalla sähköaaltoja se voi kommunikoida muiden kanssa pitkien etäisyyksien päästä. Se käyttää häntäänsä sähkön absorboimiseen voimalaitoksista tai talojen pistorasioista ja sitten se ampuu sähköä viiksiensä avulla. Se hiipii ihmisten koteihin ja varastaa sähköä pistorasioista. Kun sähkölaskusi näyttää olevan pielessä, se on tämän lurjuksen tekosia. Sen ylemmät viikset ovat ympäristöään tarkkailevia antureita. Sen alemmat viikset ovat sähköä lähettäviä elimiä. Dedennen viikset poimivat muiden Dedennen lähettämiä sähköaaltoja. Nämä Pokémonit jakavat keskenään ruoka- tai sähköpaikkoja. Koska Dedenne ei pysty itse tuottamaan paljon sähköä, se varastaa sähköä pistorasioista tai muista sähköisistä Pokémoneista.</t>
        </is>
      </c>
    </row>
    <row r="13460" ht="33.75" customHeight="1">
      <c r="A13460" s="7">
        <v>702.0</v>
      </c>
      <c r="B13460" s="9" t="s">
        <v>18314</v>
      </c>
      <c r="C13460" s="9" t="s">
        <v>18315</v>
      </c>
      <c r="D13460" s="9" t="s">
        <v>105</v>
      </c>
      <c r="E13460" s="6" t="s">
        <v>18317</v>
      </c>
      <c r="F13460" s="9"/>
    </row>
    <row r="13461" ht="33.75" customHeight="1">
      <c r="A13461" s="7">
        <v>702.0</v>
      </c>
      <c r="B13461" s="9" t="s">
        <v>18314</v>
      </c>
      <c r="C13461" s="9" t="s">
        <v>18315</v>
      </c>
      <c r="D13461" s="9" t="s">
        <v>107</v>
      </c>
      <c r="E13461" s="6" t="s">
        <v>18316</v>
      </c>
      <c r="F13461" s="9"/>
    </row>
    <row r="13462" ht="33.75" customHeight="1">
      <c r="A13462" s="7">
        <v>702.0</v>
      </c>
      <c r="B13462" s="9" t="s">
        <v>18314</v>
      </c>
      <c r="C13462" s="9" t="s">
        <v>18315</v>
      </c>
      <c r="D13462" s="9" t="s">
        <v>109</v>
      </c>
      <c r="E13462" s="6" t="s">
        <v>18317</v>
      </c>
      <c r="F13462" s="9"/>
    </row>
    <row r="13463" ht="33.75" customHeight="1">
      <c r="A13463" s="7">
        <v>702.0</v>
      </c>
      <c r="B13463" s="9" t="s">
        <v>18314</v>
      </c>
      <c r="C13463" s="9" t="s">
        <v>18315</v>
      </c>
      <c r="D13463" s="9" t="s">
        <v>647</v>
      </c>
      <c r="E13463" s="6" t="s">
        <v>18318</v>
      </c>
      <c r="F13463" s="9"/>
    </row>
    <row r="13464" ht="33.75" customHeight="1">
      <c r="A13464" s="7">
        <v>702.0</v>
      </c>
      <c r="B13464" s="9" t="s">
        <v>18314</v>
      </c>
      <c r="C13464" s="9" t="s">
        <v>18315</v>
      </c>
      <c r="D13464" s="9" t="s">
        <v>652</v>
      </c>
      <c r="E13464" s="6" t="s">
        <v>18319</v>
      </c>
      <c r="F13464" s="9"/>
    </row>
    <row r="13465" ht="33.75" customHeight="1">
      <c r="A13465" s="7">
        <v>702.0</v>
      </c>
      <c r="B13465" s="9" t="s">
        <v>18314</v>
      </c>
      <c r="C13465" s="9" t="s">
        <v>18315</v>
      </c>
      <c r="D13465" s="9" t="s">
        <v>114</v>
      </c>
      <c r="E13465" s="6" t="s">
        <v>18320</v>
      </c>
      <c r="F13465" s="9"/>
    </row>
    <row r="13466" ht="33.75" customHeight="1">
      <c r="A13466" s="7">
        <v>702.0</v>
      </c>
      <c r="B13466" s="9" t="s">
        <v>18314</v>
      </c>
      <c r="C13466" s="9" t="s">
        <v>18315</v>
      </c>
      <c r="D13466" s="9" t="s">
        <v>117</v>
      </c>
      <c r="E13466" s="6" t="s">
        <v>18321</v>
      </c>
      <c r="F13466" s="9"/>
    </row>
    <row r="13467" ht="33.75" customHeight="1">
      <c r="A13467" s="7">
        <v>703.0</v>
      </c>
      <c r="B13467" s="9" t="s">
        <v>18322</v>
      </c>
      <c r="C13467" s="9" t="s">
        <v>18323</v>
      </c>
      <c r="D13467" s="9" t="s">
        <v>101</v>
      </c>
      <c r="E13467" s="6" t="s">
        <v>18324</v>
      </c>
      <c r="F13467" t="inlineStr" s="10">
        <is>
          <t xml:space="preserve">Syvällä maan alla vallitsevien lämpötilojen ja paineiden vaikutuksesta se ampuu säteitä päässään olevasta kivestä. Se on nukkunut maan alla satoja miljoonia vuosia syntymästään lähtien. Sitä löytyy toisinaan luolien kaivausten yhteydessä. Syvällä maan alla vallitsevien korkeiden lämpötilojen ja paineiden vaikutuksesta se puolustaa itseään ampumalla säteitä ruumiinsa jalokivestä. Vaikka tämä Pokémon ei ole erityisen harvinainen, sen kimalteleva, jalokivillä koristeltu vartalo herättää ihmisten huomion. Jotkut sanovat, että syvällä maailman pinnan alla lauma Carbink-hevosia elää kuningattarensa kanssa jalokivien valtakunnassa. Pitääkseen kehossaan olevat jalokivet tummumattomina, Carbink-laukut käyttävät pehmeitä harjaansa kiillottaakseen toistensa jalokiviä. Hyökkääjien ahdistaessa Carbink pyyhkäisee ne kaikki pois ampumalla korkeaenergisiä säteitä kehoonsa upotetuista jalokivistä. Sanotaan, että jossain päin maailmaa on mineraalisuoni, jossa on suuri lauma uinuvaa hiilihydraattia. Kerrotaan myös, että tällä laumalla on kuningatar.</t>
        </is>
      </c>
    </row>
    <row r="13468" ht="33.75" customHeight="1">
      <c r="A13468" s="7">
        <v>703.0</v>
      </c>
      <c r="B13468" s="9" t="s">
        <v>18322</v>
      </c>
      <c r="C13468" s="9" t="s">
        <v>18323</v>
      </c>
      <c r="D13468" s="9" t="s">
        <v>105</v>
      </c>
      <c r="E13468" s="6" t="s">
        <v>18326</v>
      </c>
      <c r="F13468" s="9"/>
    </row>
    <row r="13469" ht="33.75" customHeight="1">
      <c r="A13469" s="7">
        <v>703.0</v>
      </c>
      <c r="B13469" s="9" t="s">
        <v>18322</v>
      </c>
      <c r="C13469" s="9" t="s">
        <v>18323</v>
      </c>
      <c r="D13469" s="9" t="s">
        <v>107</v>
      </c>
      <c r="E13469" s="6" t="s">
        <v>18324</v>
      </c>
      <c r="F13469" s="9"/>
    </row>
    <row r="13470" ht="33.75" customHeight="1">
      <c r="A13470" s="7">
        <v>703.0</v>
      </c>
      <c r="B13470" s="9" t="s">
        <v>18322</v>
      </c>
      <c r="C13470" s="9" t="s">
        <v>18323</v>
      </c>
      <c r="D13470" s="9" t="s">
        <v>109</v>
      </c>
      <c r="E13470" s="6" t="s">
        <v>18326</v>
      </c>
      <c r="F13470" s="9"/>
    </row>
    <row r="13471" ht="33.75" customHeight="1">
      <c r="A13471" s="7">
        <v>703.0</v>
      </c>
      <c r="B13471" s="9" t="s">
        <v>18322</v>
      </c>
      <c r="C13471" s="9" t="s">
        <v>18323</v>
      </c>
      <c r="D13471" s="9" t="s">
        <v>637</v>
      </c>
      <c r="E13471" s="6" t="s">
        <v>18327</v>
      </c>
      <c r="F13471" s="9"/>
    </row>
    <row r="13472" ht="33.75" customHeight="1">
      <c r="A13472" s="7">
        <v>703.0</v>
      </c>
      <c r="B13472" s="9" t="s">
        <v>18322</v>
      </c>
      <c r="C13472" s="9" t="s">
        <v>18323</v>
      </c>
      <c r="D13472" s="9" t="s">
        <v>642</v>
      </c>
      <c r="E13472" s="6" t="s">
        <v>18328</v>
      </c>
      <c r="F13472" s="9"/>
    </row>
    <row r="13473" ht="33.75" customHeight="1">
      <c r="A13473" s="7">
        <v>703.0</v>
      </c>
      <c r="B13473" s="9" t="s">
        <v>18322</v>
      </c>
      <c r="C13473" s="9" t="s">
        <v>18323</v>
      </c>
      <c r="D13473" s="9" t="s">
        <v>647</v>
      </c>
      <c r="E13473" s="6" t="s">
        <v>18329</v>
      </c>
      <c r="F13473" s="9"/>
    </row>
    <row r="13474" ht="33.75" customHeight="1">
      <c r="A13474" s="7">
        <v>703.0</v>
      </c>
      <c r="B13474" s="9" t="s">
        <v>18322</v>
      </c>
      <c r="C13474" s="9" t="s">
        <v>18323</v>
      </c>
      <c r="D13474" s="9" t="s">
        <v>652</v>
      </c>
      <c r="E13474" s="6" t="s">
        <v>18330</v>
      </c>
      <c r="F13474" s="9"/>
    </row>
    <row r="13475" ht="33.75" customHeight="1">
      <c r="A13475" s="7">
        <v>703.0</v>
      </c>
      <c r="B13475" s="9" t="s">
        <v>18322</v>
      </c>
      <c r="C13475" s="9" t="s">
        <v>18323</v>
      </c>
      <c r="D13475" s="9" t="s">
        <v>114</v>
      </c>
      <c r="E13475" s="6" t="s">
        <v>18331</v>
      </c>
      <c r="F13475" s="9"/>
    </row>
    <row r="13476" ht="33.75" customHeight="1">
      <c r="A13476" s="7">
        <v>703.0</v>
      </c>
      <c r="B13476" s="9" t="s">
        <v>18322</v>
      </c>
      <c r="C13476" s="9" t="s">
        <v>18323</v>
      </c>
      <c r="D13476" s="9" t="s">
        <v>117</v>
      </c>
      <c r="E13476" s="6" t="s">
        <v>18332</v>
      </c>
      <c r="F13476" s="9"/>
    </row>
    <row r="13477" ht="33.75" customHeight="1">
      <c r="A13477" s="7">
        <v>704.0</v>
      </c>
      <c r="B13477" s="9" t="s">
        <v>18333</v>
      </c>
      <c r="C13477" s="9" t="s">
        <v>18334</v>
      </c>
      <c r="D13477" s="9" t="s">
        <v>101</v>
      </c>
      <c r="E13477" s="6" t="s">
        <v>18335</v>
      </c>
      <c r="F13477" t="inlineStr" s="10">
        <is>
          <t xml:space="preserve">Heikoin lohikäärmetyyppinen Pokémon, se elää kosteissa ja varjoisissa paikoissa, joten Goomyn ruumis ei kuivu. Se on peitetty limaisella kalvolla, jonka ansiosta kaikki lyönnit tai potkut liukuvat siitä pois vaaratta. Lohikäärmetyyppisistä Pokémoneista heikoin, se ei pysty hengittämään, jos sen iho kuivuu, joten se pysyttelee varjoisissa paikoissa. Sen suojan lähde on sen limainen, bakteereja täynnä oleva limakalvo. Jokainen, joka koskee siihen, tarvitsee perusteellisen käsienpesun. Se käyttää sarviaan ympäristönsä tarkkailuun. Ne ovat hyvin herkkiä, joten jos tartut niihin, se tuntee voimakkaan iskun eikä pysty liikkumaan. Sen ruumis on enimmäkseen vettä. Jos se kuivuu, se kuolee, joten se istuu aina täysin liikkumatta varjossa. Koska suurin osa sen kehosta on vettä, se kuivuu, jos säästä tulee liian kuiva. Sitä pidetään heikoimpana lohikäärme-Pokémonina. Niiden sarvet ovat tehokkaita antureita. Heti kun Goomy havaitsee merkkejä vihollisista, ne piiloutuvat. Näin ne ovat selvinneet. Goomy piiloutuu puiden varjoon, missä on mukavan kosteaa. Jos sen kehoa peittävä lima kuivuu, Pokémonista tulee välittömästi apaattinen.</t>
        </is>
      </c>
    </row>
    <row r="13478" ht="33.75" customHeight="1">
      <c r="A13478" s="7">
        <v>704.0</v>
      </c>
      <c r="B13478" s="9" t="s">
        <v>18333</v>
      </c>
      <c r="C13478" s="9" t="s">
        <v>18334</v>
      </c>
      <c r="D13478" s="9" t="s">
        <v>105</v>
      </c>
      <c r="E13478" s="6" t="s">
        <v>18336</v>
      </c>
      <c r="F13478" s="9"/>
    </row>
    <row r="13479" ht="33.75" customHeight="1">
      <c r="A13479" s="7">
        <v>704.0</v>
      </c>
      <c r="B13479" s="9" t="s">
        <v>18333</v>
      </c>
      <c r="C13479" s="9" t="s">
        <v>18334</v>
      </c>
      <c r="D13479" s="9" t="s">
        <v>107</v>
      </c>
      <c r="E13479" s="6" t="s">
        <v>18335</v>
      </c>
      <c r="F13479" s="9"/>
    </row>
    <row r="13480" ht="33.75" customHeight="1">
      <c r="A13480" s="7">
        <v>704.0</v>
      </c>
      <c r="B13480" s="9" t="s">
        <v>18333</v>
      </c>
      <c r="C13480" s="9" t="s">
        <v>18334</v>
      </c>
      <c r="D13480" s="9" t="s">
        <v>109</v>
      </c>
      <c r="E13480" s="6" t="s">
        <v>18336</v>
      </c>
      <c r="F13480" s="9"/>
    </row>
    <row r="13481" ht="33.75" customHeight="1">
      <c r="A13481" s="7">
        <v>704.0</v>
      </c>
      <c r="B13481" s="9" t="s">
        <v>18333</v>
      </c>
      <c r="C13481" s="9" t="s">
        <v>18334</v>
      </c>
      <c r="D13481" s="9" t="s">
        <v>637</v>
      </c>
      <c r="E13481" s="6" t="s">
        <v>18337</v>
      </c>
      <c r="F13481" s="9"/>
    </row>
    <row r="13482" ht="33.75" customHeight="1">
      <c r="A13482" s="7">
        <v>704.0</v>
      </c>
      <c r="B13482" s="9" t="s">
        <v>18333</v>
      </c>
      <c r="C13482" s="9" t="s">
        <v>18334</v>
      </c>
      <c r="D13482" s="9" t="s">
        <v>642</v>
      </c>
      <c r="E13482" s="6" t="s">
        <v>18338</v>
      </c>
      <c r="F13482" s="9"/>
    </row>
    <row r="13483" ht="33.75" customHeight="1">
      <c r="A13483" s="7">
        <v>704.0</v>
      </c>
      <c r="B13483" s="9" t="s">
        <v>18333</v>
      </c>
      <c r="C13483" s="9" t="s">
        <v>18334</v>
      </c>
      <c r="D13483" s="9" t="s">
        <v>647</v>
      </c>
      <c r="E13483" s="6" t="s">
        <v>18339</v>
      </c>
      <c r="F13483" s="9"/>
    </row>
    <row r="13484" ht="33.75" customHeight="1">
      <c r="A13484" s="7">
        <v>704.0</v>
      </c>
      <c r="B13484" s="9" t="s">
        <v>18333</v>
      </c>
      <c r="C13484" s="9" t="s">
        <v>18334</v>
      </c>
      <c r="D13484" s="9" t="s">
        <v>652</v>
      </c>
      <c r="E13484" s="6" t="s">
        <v>18340</v>
      </c>
      <c r="F13484" s="9"/>
    </row>
    <row r="13485" ht="33.75" customHeight="1">
      <c r="A13485" s="7">
        <v>704.0</v>
      </c>
      <c r="B13485" s="9" t="s">
        <v>18333</v>
      </c>
      <c r="C13485" s="9" t="s">
        <v>18334</v>
      </c>
      <c r="D13485" s="9" t="s">
        <v>114</v>
      </c>
      <c r="E13485" s="6" t="s">
        <v>18342</v>
      </c>
      <c r="F13485" s="9"/>
    </row>
    <row r="13486" ht="33.75" customHeight="1">
      <c r="A13486" s="7">
        <v>704.0</v>
      </c>
      <c r="B13486" s="9" t="s">
        <v>18333</v>
      </c>
      <c r="C13486" s="9" t="s">
        <v>18334</v>
      </c>
      <c r="D13486" s="9" t="s">
        <v>117</v>
      </c>
      <c r="E13486" s="6" t="s">
        <v>18343</v>
      </c>
      <c r="F13486" s="9"/>
    </row>
    <row r="13487" ht="33.75" customHeight="1">
      <c r="A13487" s="7">
        <v>704.0</v>
      </c>
      <c r="B13487" s="9" t="s">
        <v>18333</v>
      </c>
      <c r="C13487" s="9" t="s">
        <v>18334</v>
      </c>
      <c r="D13487" s="9" t="s">
        <v>1577</v>
      </c>
      <c r="E13487" s="6" t="s">
        <v>18344</v>
      </c>
      <c r="F13487" s="9"/>
    </row>
    <row r="13488" ht="33.75" customHeight="1">
      <c r="A13488" s="7">
        <v>705.0</v>
      </c>
      <c r="B13488" s="9" t="s">
        <v>18345</v>
      </c>
      <c r="C13488" s="9" t="s">
        <v>18334</v>
      </c>
      <c r="D13488" s="9" t="s">
        <v>101</v>
      </c>
      <c r="E13488" s="6" t="s">
        <v>18346</v>
      </c>
      <c r="F13488" t="inlineStr" s="10">
        <is>
          <t xml:space="preserve">Sliggoo ajaa vastustajat pois erittämällä tahmeaa nestettä, joka voi liuottaa mitä tahansa. Sen silmät ovat devolvoituneet, joten se ei näe mitään. Sen neljä sarvea muodostavat tehokkaan tutkajärjestelmän. Se käyttää niitä äänien ja hajujen havaitsemiseen korvien tai nenän sijaan. Sillä on vaikeuksia vetää rajaa ystävien ja ruoan välille. Se yrittää rauhallisesti sulaa ja syödä jopa ne, joiden kanssa se tulee hyvin toimeen. Tämän Pokémonin lima voi liuottaa mitä tahansa. Hampaattomana se suihkuttaa limaa saaliinsa päälle. Kun limaa on liuennut hyvin, se nielee sen. Se ryömii hitaasti. Sen selässä oleva pyörteilevä kohouma on täynnä sen aivoja ja muita elimiä. Sen koko ruumis on peittynyt tahmaiseen limaan, joka voi liuottaa mitä tahansa. Muista laittaa hanskat käteen, jos aiot koskea siihen. Vaikka tämä Pokémon ei ole kovin vahva, sen ruumis on päällystetty syövyttävällä limalla, joka voi sulattaa minkä tahansa läpi, joten saalistajat pysyttelevät siitä erossa. Sen selässä olevassa möykkyssä on sen pieni aivo. Se ajattelee vain ruokaa ja vihollisiltaan pakenemista. Olento, jolla on taipumus melankoliaan. Epäilen, että sen metallinen kuori kehittyi ihon liman reagoidessa Hisuin vedessä olevan raudan kanssa.</t>
        </is>
      </c>
    </row>
    <row r="13489" ht="33.75" customHeight="1">
      <c r="A13489" s="7">
        <v>705.0</v>
      </c>
      <c r="B13489" s="9" t="s">
        <v>18345</v>
      </c>
      <c r="C13489" s="9" t="s">
        <v>18334</v>
      </c>
      <c r="D13489" s="9" t="s">
        <v>105</v>
      </c>
      <c r="E13489" s="6" t="s">
        <v>18347</v>
      </c>
      <c r="F13489" s="9"/>
    </row>
    <row r="13490" ht="33.75" customHeight="1">
      <c r="A13490" s="7">
        <v>705.0</v>
      </c>
      <c r="B13490" s="9" t="s">
        <v>18345</v>
      </c>
      <c r="C13490" s="9" t="s">
        <v>18334</v>
      </c>
      <c r="D13490" s="9" t="s">
        <v>107</v>
      </c>
      <c r="E13490" s="6" t="s">
        <v>18346</v>
      </c>
      <c r="F13490" s="9"/>
    </row>
    <row r="13491" ht="33.75" customHeight="1">
      <c r="A13491" s="7">
        <v>705.0</v>
      </c>
      <c r="B13491" s="9" t="s">
        <v>18345</v>
      </c>
      <c r="C13491" s="9" t="s">
        <v>18334</v>
      </c>
      <c r="D13491" s="9" t="s">
        <v>109</v>
      </c>
      <c r="E13491" s="6" t="s">
        <v>18347</v>
      </c>
      <c r="F13491" s="9"/>
    </row>
    <row r="13492" ht="33.75" customHeight="1">
      <c r="A13492" s="7">
        <v>705.0</v>
      </c>
      <c r="B13492" s="9" t="s">
        <v>18345</v>
      </c>
      <c r="C13492" s="9" t="s">
        <v>18334</v>
      </c>
      <c r="D13492" s="9" t="s">
        <v>637</v>
      </c>
      <c r="E13492" s="6" t="s">
        <v>18348</v>
      </c>
      <c r="F13492" s="9"/>
    </row>
    <row r="13493" ht="33.75" customHeight="1">
      <c r="A13493" s="7">
        <v>705.0</v>
      </c>
      <c r="B13493" s="9" t="s">
        <v>18345</v>
      </c>
      <c r="C13493" s="9" t="s">
        <v>18334</v>
      </c>
      <c r="D13493" s="9" t="s">
        <v>642</v>
      </c>
      <c r="E13493" s="6" t="s">
        <v>18349</v>
      </c>
      <c r="F13493" s="9"/>
    </row>
    <row r="13494" ht="33.75" customHeight="1">
      <c r="A13494" s="7">
        <v>705.0</v>
      </c>
      <c r="B13494" s="9" t="s">
        <v>18345</v>
      </c>
      <c r="C13494" s="9" t="s">
        <v>18334</v>
      </c>
      <c r="D13494" s="9" t="s">
        <v>647</v>
      </c>
      <c r="E13494" s="6" t="s">
        <v>18350</v>
      </c>
      <c r="F13494" s="9"/>
    </row>
    <row r="13495" ht="33.75" customHeight="1">
      <c r="A13495" s="7">
        <v>705.0</v>
      </c>
      <c r="B13495" s="9" t="s">
        <v>18345</v>
      </c>
      <c r="C13495" s="9" t="s">
        <v>18334</v>
      </c>
      <c r="D13495" s="9" t="s">
        <v>652</v>
      </c>
      <c r="E13495" s="6" t="s">
        <v>18352</v>
      </c>
      <c r="F13495" s="9"/>
    </row>
    <row r="13496" ht="33.75" customHeight="1">
      <c r="A13496" s="7">
        <v>705.0</v>
      </c>
      <c r="B13496" s="9" t="s">
        <v>18345</v>
      </c>
      <c r="C13496" s="9" t="s">
        <v>18334</v>
      </c>
      <c r="D13496" s="9" t="s">
        <v>114</v>
      </c>
      <c r="E13496" s="6" t="s">
        <v>18353</v>
      </c>
      <c r="F13496" s="9"/>
    </row>
    <row r="13497" ht="33.75" customHeight="1">
      <c r="A13497" s="7">
        <v>705.0</v>
      </c>
      <c r="B13497" s="9" t="s">
        <v>18345</v>
      </c>
      <c r="C13497" s="9" t="s">
        <v>18334</v>
      </c>
      <c r="D13497" s="9" t="s">
        <v>117</v>
      </c>
      <c r="E13497" s="6" t="s">
        <v>18354</v>
      </c>
      <c r="F13497" s="9"/>
    </row>
    <row r="13498" ht="33.75" customHeight="1">
      <c r="A13498" s="7">
        <v>705.0</v>
      </c>
      <c r="B13498" s="9" t="s">
        <v>18345</v>
      </c>
      <c r="C13498" s="9" t="s">
        <v>18334</v>
      </c>
      <c r="D13498" s="9" t="s">
        <v>1577</v>
      </c>
      <c r="E13498" s="6" t="s">
        <v>18355</v>
      </c>
      <c r="F13498" s="9"/>
    </row>
    <row r="13499" ht="33.75" customHeight="1">
      <c r="A13499" s="7">
        <v>706.0</v>
      </c>
      <c r="B13499" s="9" t="s">
        <v>18356</v>
      </c>
      <c r="C13499" s="9" t="s">
        <v>7342</v>
      </c>
      <c r="D13499" s="9" t="s">
        <v>101</v>
      </c>
      <c r="E13499" s="6" t="s">
        <v>18357</v>
      </c>
      <c r="F13499" t="inlineStr" s="10">
        <is>
          <t xml:space="preserve">Tämä erittäin ystävällinen lohikäärmetyyppinen Pokémon halaa rakasta kouluttajaansa, joka peittyy tahmeaan limaan. Se hyökkää sisäänvedettävien sarvien avulla. Se heittää iskun, joka vastaa sadan ammattinyrkkeilijän voimaa. Hämmästyttävän ystävällinen Pokémon, mutta jos sen jättää oman onnensa nojaan, yksinäisyys voittaa sen ja se vuodattaa tahmaisia ​​kyyneleitä. Sitä kiusataan, koska se on nöyrä. Mutta sitten se, joka sitä kiusoitteli, saa tuntea sen sarvien täyden voiman ja kunnon läimäytyksen sen paksusta hännästä. Se on erittäin ystävällinen ihmisiä kohtaan. Jos kasvat sen lähelle, Goodra halaa sinua tahmealla, limalla peittyneellä ruumiillaan. Älä suutu. Sen limaisen kuoren alla on paksu rasvakerros, ja näiden kahden yhdistelmä saa vihollisten hyökkäykset liukumaan pois. Joskus se ymmärtää ohjeet väärin ja vaikuttaa hämmentyneeltä tai hämmentyneeltä. Monet kouluttajat eivät välitä tästä, ja pitävät tätä käytöstä suloisena. Sen hyökkäysmuoto on sarvien venyttäminen voimakkaasti. Iskut osuvat sata kertaa kovempaan kuin mikään raskaansarjan nyrkkeilijän isku. Kykenee hallitsemaan vapaasti metallisen kuorensa kovuutta. Se inhoaa yksinäisyyttä ja on äärimmäisen takertuva – se raivoaa ja riehuu, jos sille rakkaimmat ihmiset joskus lähtevät sen rinnalta.</t>
        </is>
      </c>
    </row>
    <row r="13500" ht="33.75" customHeight="1">
      <c r="A13500" s="7">
        <v>706.0</v>
      </c>
      <c r="B13500" s="9" t="s">
        <v>18356</v>
      </c>
      <c r="C13500" s="9" t="s">
        <v>7342</v>
      </c>
      <c r="D13500" s="9" t="s">
        <v>105</v>
      </c>
      <c r="E13500" s="6" t="s">
        <v>18358</v>
      </c>
      <c r="F13500" s="9"/>
    </row>
    <row r="13501" ht="33.75" customHeight="1">
      <c r="A13501" s="7">
        <v>706.0</v>
      </c>
      <c r="B13501" s="9" t="s">
        <v>18356</v>
      </c>
      <c r="C13501" s="9" t="s">
        <v>7342</v>
      </c>
      <c r="D13501" s="9" t="s">
        <v>107</v>
      </c>
      <c r="E13501" s="6" t="s">
        <v>18357</v>
      </c>
      <c r="F13501" s="9"/>
    </row>
    <row r="13502" ht="33.75" customHeight="1">
      <c r="A13502" s="7">
        <v>706.0</v>
      </c>
      <c r="B13502" s="9" t="s">
        <v>18356</v>
      </c>
      <c r="C13502" s="9" t="s">
        <v>7342</v>
      </c>
      <c r="D13502" s="9" t="s">
        <v>109</v>
      </c>
      <c r="E13502" s="6" t="s">
        <v>18358</v>
      </c>
      <c r="F13502" s="9"/>
    </row>
    <row r="13503" ht="33.75" customHeight="1">
      <c r="A13503" s="7">
        <v>706.0</v>
      </c>
      <c r="B13503" s="9" t="s">
        <v>18356</v>
      </c>
      <c r="C13503" s="9" t="s">
        <v>7342</v>
      </c>
      <c r="D13503" s="9" t="s">
        <v>637</v>
      </c>
      <c r="E13503" s="6" t="s">
        <v>18359</v>
      </c>
      <c r="F13503" s="9"/>
    </row>
    <row r="13504" ht="33.75" customHeight="1">
      <c r="A13504" s="7">
        <v>706.0</v>
      </c>
      <c r="B13504" s="9" t="s">
        <v>18356</v>
      </c>
      <c r="C13504" s="9" t="s">
        <v>7342</v>
      </c>
      <c r="D13504" s="9" t="s">
        <v>642</v>
      </c>
      <c r="E13504" s="6" t="s">
        <v>18360</v>
      </c>
      <c r="F13504" s="9"/>
    </row>
    <row r="13505" ht="33.75" customHeight="1">
      <c r="A13505" s="7">
        <v>706.0</v>
      </c>
      <c r="B13505" s="9" t="s">
        <v>18356</v>
      </c>
      <c r="C13505" s="9" t="s">
        <v>7342</v>
      </c>
      <c r="D13505" s="9" t="s">
        <v>647</v>
      </c>
      <c r="E13505" s="6" t="s">
        <v>18362</v>
      </c>
      <c r="F13505" s="9"/>
    </row>
    <row r="13506" ht="33.75" customHeight="1">
      <c r="A13506" s="7">
        <v>706.0</v>
      </c>
      <c r="B13506" s="9" t="s">
        <v>18356</v>
      </c>
      <c r="C13506" s="9" t="s">
        <v>7342</v>
      </c>
      <c r="D13506" s="9" t="s">
        <v>652</v>
      </c>
      <c r="E13506" s="6" t="s">
        <v>18363</v>
      </c>
      <c r="F13506" s="9"/>
    </row>
    <row r="13507" ht="33.75" customHeight="1">
      <c r="A13507" s="7">
        <v>706.0</v>
      </c>
      <c r="B13507" s="9" t="s">
        <v>18356</v>
      </c>
      <c r="C13507" s="9" t="s">
        <v>7342</v>
      </c>
      <c r="D13507" s="9" t="s">
        <v>114</v>
      </c>
      <c r="E13507" s="6" t="s">
        <v>18364</v>
      </c>
      <c r="F13507" s="9"/>
    </row>
    <row r="13508" ht="33.75" customHeight="1">
      <c r="A13508" s="7">
        <v>706.0</v>
      </c>
      <c r="B13508" s="9" t="s">
        <v>18356</v>
      </c>
      <c r="C13508" s="9" t="s">
        <v>7342</v>
      </c>
      <c r="D13508" s="9" t="s">
        <v>117</v>
      </c>
      <c r="E13508" s="6" t="s">
        <v>18365</v>
      </c>
      <c r="F13508" s="9"/>
    </row>
    <row r="13509" ht="33.75" customHeight="1">
      <c r="A13509" s="7">
        <v>706.0</v>
      </c>
      <c r="B13509" s="9" t="s">
        <v>18356</v>
      </c>
      <c r="C13509" s="9" t="s">
        <v>7342</v>
      </c>
      <c r="D13509" s="9" t="s">
        <v>1577</v>
      </c>
      <c r="E13509" s="6" t="s">
        <v>18366</v>
      </c>
      <c r="F13509" s="9"/>
    </row>
    <row r="13510" ht="33.75" customHeight="1">
      <c r="A13510" s="7">
        <v>707.0</v>
      </c>
      <c r="B13510" s="9" t="s">
        <v>18367</v>
      </c>
      <c r="C13510" s="9" t="s">
        <v>18368</v>
      </c>
      <c r="D13510" s="9" t="s">
        <v>101</v>
      </c>
      <c r="E13510" s="6" t="s">
        <v>18369</v>
      </c>
      <c r="F13510" t="inlineStr" s="10">
        <is>
          <t xml:space="preserve">Nämä avaintenkeräilijät uhkaavat hyökkääjiä kilisemällä avaimiaan raivokkaasti. Se ei koskaan päästä irti avaimesta, josta se pitää, joten ihmiset antavat sille holvien ja kassakaappien avaimet keinona estää rikoksia. Tällä tasaisen luonteen omaavalla Pokémonilla on tapana kerätä avaimia. Se hiipii ihmisten koteihin varastaakseen heidän avaimensa. Se työntää torvensa metallin rakoihin ja imee itseensä metalli-ioneja. Jostain syystä se kerää avaimia. Vaikka on epäselvää, miksi se kerää avaimia, avaimen antaminen tekee Klefkin erittäin onnelliseksi. Ilmeisesti se kuitenkin pitää vain pääavaimista. Kauan sitten se eli kaivoksissa, mutta kun sen ruokavalion mineraalit vähenivät, Klefki alkoi ilmestyä ihmisasutusalueille. Tämä Pokémon kerää jatkuvasti avaimia. Anna Klefkille tärkeät avaimet, niin Pokémon suojelee niitä tapahtuipa mitä tahansa. Klefki imee metalli-ioneja päänsä päällä olevalla sarvella. Näyttää siltä, ​​että tämä Pokémon rakastaa avaimia niin paljon, että sen pään piti näyttää myös samalta.</t>
        </is>
      </c>
    </row>
    <row r="13511" ht="33.75" customHeight="1">
      <c r="A13511" s="7">
        <v>707.0</v>
      </c>
      <c r="B13511" s="9" t="s">
        <v>18367</v>
      </c>
      <c r="C13511" s="9" t="s">
        <v>18368</v>
      </c>
      <c r="D13511" s="9" t="s">
        <v>105</v>
      </c>
      <c r="E13511" s="6" t="s">
        <v>18370</v>
      </c>
      <c r="F13511" s="9"/>
    </row>
    <row r="13512" ht="33.75" customHeight="1">
      <c r="A13512" s="7">
        <v>707.0</v>
      </c>
      <c r="B13512" s="9" t="s">
        <v>18367</v>
      </c>
      <c r="C13512" s="9" t="s">
        <v>18368</v>
      </c>
      <c r="D13512" s="9" t="s">
        <v>107</v>
      </c>
      <c r="E13512" s="6" t="s">
        <v>18369</v>
      </c>
      <c r="F13512" s="9"/>
    </row>
    <row r="13513" ht="33.75" customHeight="1">
      <c r="A13513" s="7">
        <v>707.0</v>
      </c>
      <c r="B13513" s="9" t="s">
        <v>18367</v>
      </c>
      <c r="C13513" s="9" t="s">
        <v>18368</v>
      </c>
      <c r="D13513" s="9" t="s">
        <v>109</v>
      </c>
      <c r="E13513" s="6" t="s">
        <v>18370</v>
      </c>
      <c r="F13513" s="9"/>
    </row>
    <row r="13514" ht="33.75" customHeight="1">
      <c r="A13514" s="7">
        <v>707.0</v>
      </c>
      <c r="B13514" s="9" t="s">
        <v>18367</v>
      </c>
      <c r="C13514" s="9" t="s">
        <v>18368</v>
      </c>
      <c r="D13514" s="9" t="s">
        <v>637</v>
      </c>
      <c r="E13514" s="6" t="s">
        <v>18372</v>
      </c>
      <c r="F13514" s="9"/>
    </row>
    <row r="13515" ht="33.75" customHeight="1">
      <c r="A13515" s="7">
        <v>707.0</v>
      </c>
      <c r="B13515" s="9" t="s">
        <v>18367</v>
      </c>
      <c r="C13515" s="9" t="s">
        <v>18368</v>
      </c>
      <c r="D13515" s="9" t="s">
        <v>642</v>
      </c>
      <c r="E13515" s="6" t="s">
        <v>18373</v>
      </c>
      <c r="F13515" s="9"/>
    </row>
    <row r="13516" ht="33.75" customHeight="1">
      <c r="A13516" s="7">
        <v>707.0</v>
      </c>
      <c r="B13516" s="9" t="s">
        <v>18367</v>
      </c>
      <c r="C13516" s="9" t="s">
        <v>18368</v>
      </c>
      <c r="D13516" s="9" t="s">
        <v>647</v>
      </c>
      <c r="E13516" s="6" t="s">
        <v>18374</v>
      </c>
      <c r="F13516" s="9"/>
    </row>
    <row r="13517" ht="33.75" customHeight="1">
      <c r="A13517" s="7">
        <v>707.0</v>
      </c>
      <c r="B13517" s="9" t="s">
        <v>18367</v>
      </c>
      <c r="C13517" s="9" t="s">
        <v>18368</v>
      </c>
      <c r="D13517" s="9" t="s">
        <v>652</v>
      </c>
      <c r="E13517" s="6" t="s">
        <v>18375</v>
      </c>
      <c r="F13517" s="9"/>
    </row>
    <row r="13518" ht="33.75" customHeight="1">
      <c r="A13518" s="7">
        <v>707.0</v>
      </c>
      <c r="B13518" s="9" t="s">
        <v>18367</v>
      </c>
      <c r="C13518" s="9" t="s">
        <v>18368</v>
      </c>
      <c r="D13518" s="9" t="s">
        <v>114</v>
      </c>
      <c r="E13518" s="6" t="s">
        <v>18376</v>
      </c>
      <c r="F13518" s="9"/>
    </row>
    <row r="13519" ht="33.75" customHeight="1">
      <c r="A13519" s="7">
        <v>707.0</v>
      </c>
      <c r="B13519" s="9" t="s">
        <v>18367</v>
      </c>
      <c r="C13519" s="9" t="s">
        <v>18368</v>
      </c>
      <c r="D13519" s="9" t="s">
        <v>117</v>
      </c>
      <c r="E13519" s="6" t="s">
        <v>18377</v>
      </c>
      <c r="F13519" s="9"/>
    </row>
    <row r="13520" ht="33.75" customHeight="1">
      <c r="A13520" s="7">
        <v>708.0</v>
      </c>
      <c r="B13520" s="9" t="s">
        <v>18378</v>
      </c>
      <c r="C13520" s="9" t="s">
        <v>18379</v>
      </c>
      <c r="D13520" s="9" t="s">
        <v>101</v>
      </c>
      <c r="E13520" s="6" t="s">
        <v>18380</v>
      </c>
      <c r="F13520" t="inlineStr" s="10">
        <is>
          <t xml:space="preserve">Nämä Pokémonit syntyvät, kun henget ottavat haltuunsa lahoja puunkantoja. Ne mieluummin asuvat hylätyissä metsissä. Vanhojen tarinoiden mukaan nämä Pokémonit ovat metsässä kuolleiden lasten henkien riivaamia tynkiä. Nämä Pokémonit ovat metsässä kuolleiden lasten henkien riivaamia tynkiä. Niiden huuto kuulostaa aavemaisilta kirkaisuilta. Legendan mukaan lääkettä mihin tahansa sairauteen voidaan valmistaa poimimalla sen pään vihreät lehdet, hauduttamalla ne ja keittämällä neste. Matkimalla lapsen ääntä se saa ihmiset eksymään toivottomasti syvälle metsään. Se yrittää ystävystyä heidän kanssaan. Tuntematon henki asettui puunkantoon pesälle ja loi tämän Pokémonin. Sen vihreistä lehdistä voi tehdä ihmelääkkeen. Metsään kadonneen lapsen kuoltua heidän henkensä valtasi puunkannon, mikä aiheutti hengen uudestisyntymisen täksi Pokémoniksi. Ihmislapsen äänellä se huutaa houkutellakseen aikuisia syvälle metsään ja eksyttääkseen heidät puiden sekaan.</t>
        </is>
      </c>
    </row>
    <row r="13521" ht="33.75" customHeight="1">
      <c r="A13521" s="7">
        <v>708.0</v>
      </c>
      <c r="B13521" s="9" t="s">
        <v>18378</v>
      </c>
      <c r="C13521" s="9" t="s">
        <v>18379</v>
      </c>
      <c r="D13521" s="9" t="s">
        <v>105</v>
      </c>
      <c r="E13521" s="6" t="s">
        <v>18381</v>
      </c>
      <c r="F13521" s="9"/>
    </row>
    <row r="13522" ht="33.75" customHeight="1">
      <c r="A13522" s="7">
        <v>708.0</v>
      </c>
      <c r="B13522" s="9" t="s">
        <v>18378</v>
      </c>
      <c r="C13522" s="9" t="s">
        <v>18379</v>
      </c>
      <c r="D13522" s="9" t="s">
        <v>107</v>
      </c>
      <c r="E13522" s="6" t="s">
        <v>18380</v>
      </c>
      <c r="F13522" s="9"/>
    </row>
    <row r="13523" ht="33.75" customHeight="1">
      <c r="A13523" s="7">
        <v>708.0</v>
      </c>
      <c r="B13523" s="9" t="s">
        <v>18378</v>
      </c>
      <c r="C13523" s="9" t="s">
        <v>18379</v>
      </c>
      <c r="D13523" s="9" t="s">
        <v>109</v>
      </c>
      <c r="E13523" s="6" t="s">
        <v>18381</v>
      </c>
      <c r="F13523" s="9"/>
    </row>
    <row r="13524" ht="33.75" customHeight="1">
      <c r="A13524" s="7">
        <v>708.0</v>
      </c>
      <c r="B13524" s="9" t="s">
        <v>18378</v>
      </c>
      <c r="C13524" s="9" t="s">
        <v>18379</v>
      </c>
      <c r="D13524" s="9" t="s">
        <v>637</v>
      </c>
      <c r="E13524" s="6" t="s">
        <v>18383</v>
      </c>
      <c r="F13524" s="9"/>
    </row>
    <row r="13525" ht="33.75" customHeight="1">
      <c r="A13525" s="7">
        <v>708.0</v>
      </c>
      <c r="B13525" s="9" t="s">
        <v>18378</v>
      </c>
      <c r="C13525" s="9" t="s">
        <v>18379</v>
      </c>
      <c r="D13525" s="9" t="s">
        <v>642</v>
      </c>
      <c r="E13525" s="6" t="s">
        <v>18384</v>
      </c>
      <c r="F13525" s="9"/>
    </row>
    <row r="13526" ht="33.75" customHeight="1">
      <c r="A13526" s="7">
        <v>708.0</v>
      </c>
      <c r="B13526" s="9" t="s">
        <v>18378</v>
      </c>
      <c r="C13526" s="9" t="s">
        <v>18379</v>
      </c>
      <c r="D13526" s="9" t="s">
        <v>647</v>
      </c>
      <c r="E13526" s="6" t="s">
        <v>18385</v>
      </c>
      <c r="F13526" s="9"/>
    </row>
    <row r="13527" ht="33.75" customHeight="1">
      <c r="A13527" s="7">
        <v>708.0</v>
      </c>
      <c r="B13527" s="9" t="s">
        <v>18378</v>
      </c>
      <c r="C13527" s="9" t="s">
        <v>18379</v>
      </c>
      <c r="D13527" s="9" t="s">
        <v>652</v>
      </c>
      <c r="E13527" s="6" t="s">
        <v>18386</v>
      </c>
      <c r="F13527" s="9"/>
    </row>
    <row r="13528" ht="33.75" customHeight="1">
      <c r="A13528" s="7">
        <v>708.0</v>
      </c>
      <c r="B13528" s="9" t="s">
        <v>18378</v>
      </c>
      <c r="C13528" s="9" t="s">
        <v>18379</v>
      </c>
      <c r="D13528" s="9" t="s">
        <v>114</v>
      </c>
      <c r="E13528" s="6" t="s">
        <v>18387</v>
      </c>
      <c r="F13528" s="9"/>
    </row>
    <row r="13529" ht="33.75" customHeight="1">
      <c r="A13529" s="7">
        <v>708.0</v>
      </c>
      <c r="B13529" s="9" t="s">
        <v>18378</v>
      </c>
      <c r="C13529" s="9" t="s">
        <v>18379</v>
      </c>
      <c r="D13529" s="9" t="s">
        <v>117</v>
      </c>
      <c r="E13529" s="6" t="s">
        <v>18389</v>
      </c>
      <c r="F13529" s="9"/>
    </row>
    <row r="13530" ht="33.75" customHeight="1">
      <c r="A13530" s="7">
        <v>709.0</v>
      </c>
      <c r="B13530" s="9" t="s">
        <v>18390</v>
      </c>
      <c r="C13530" s="9" t="s">
        <v>18391</v>
      </c>
      <c r="D13530" s="9" t="s">
        <v>101</v>
      </c>
      <c r="E13530" s="6" t="s">
        <v>18392</v>
      </c>
      <c r="F13530" t="inlineStr" s="10">
        <is>
          <t xml:space="preserve">Trevenant voi hallita puita mielensä mukaan. Se vangitsee metsää vahingoittavat ihmiset, jotta he eivät koskaan pääse pois. Se käyttää juuriaan hermostonaan ja hallitsee metsän puita. Se on ystävällinen kehossaan asuville Pokémoneille. Tämän Pokémonin sanotaan ahmivan jokaisen, joka uskaltaa riehua metsässä. Se osoittaa suurta ystävällisyyttä metsän olennoille. Juuriensa kautta se hallitsee muita puita. Tappava kirous langettaa jokaisen, joka kaataa puita metsissä, joissa Trevenantit asuvat. Sitä pelätään metsän aaveena. Metsurit tuovat mukanaan tulilaisia ​​olentoja, joita Trevenant vihaa, tullessaan metsään. Tämä Pokémon hallitsee puita jaloistaan ​​​​lähtevien juurien avulla ja hyökkää kaikkien metsää ryöstävien kimppuun. Ihmiset pelkäävät sitä, koska uskotaan sen syövän kaikki, jotka yrittävät kaataa puita sen metsässä, mutta Pokémoneille, joiden kanssa se jakaa metsänsä, se on ystävällinen. Tämän Pokémonin jalkojen kärjistä ulkonevat pienet juuret voivat tarttua metsän puihin ja antaa Trevenantille hallinnan niistä.</t>
        </is>
      </c>
    </row>
    <row r="13531" ht="33.75" customHeight="1">
      <c r="A13531" s="7">
        <v>709.0</v>
      </c>
      <c r="B13531" s="9" t="s">
        <v>18390</v>
      </c>
      <c r="C13531" s="9" t="s">
        <v>18391</v>
      </c>
      <c r="D13531" s="9" t="s">
        <v>105</v>
      </c>
      <c r="E13531" s="6" t="s">
        <v>18393</v>
      </c>
      <c r="F13531" s="9"/>
    </row>
    <row r="13532" ht="33.75" customHeight="1">
      <c r="A13532" s="7">
        <v>709.0</v>
      </c>
      <c r="B13532" s="9" t="s">
        <v>18390</v>
      </c>
      <c r="C13532" s="9" t="s">
        <v>18391</v>
      </c>
      <c r="D13532" s="9" t="s">
        <v>107</v>
      </c>
      <c r="E13532" s="6" t="s">
        <v>18392</v>
      </c>
      <c r="F13532" s="9"/>
    </row>
    <row r="13533" ht="33.75" customHeight="1">
      <c r="A13533" s="7">
        <v>709.0</v>
      </c>
      <c r="B13533" s="9" t="s">
        <v>18390</v>
      </c>
      <c r="C13533" s="9" t="s">
        <v>18391</v>
      </c>
      <c r="D13533" s="9" t="s">
        <v>109</v>
      </c>
      <c r="E13533" s="6" t="s">
        <v>18393</v>
      </c>
      <c r="F13533" s="9"/>
    </row>
    <row r="13534" ht="33.75" customHeight="1">
      <c r="A13534" s="7">
        <v>709.0</v>
      </c>
      <c r="B13534" s="9" t="s">
        <v>18390</v>
      </c>
      <c r="C13534" s="9" t="s">
        <v>18391</v>
      </c>
      <c r="D13534" s="9" t="s">
        <v>637</v>
      </c>
      <c r="E13534" s="6" t="s">
        <v>18394</v>
      </c>
      <c r="F13534" s="9"/>
    </row>
    <row r="13535" ht="33.75" customHeight="1">
      <c r="A13535" s="7">
        <v>709.0</v>
      </c>
      <c r="B13535" s="9" t="s">
        <v>18390</v>
      </c>
      <c r="C13535" s="9" t="s">
        <v>18391</v>
      </c>
      <c r="D13535" s="9" t="s">
        <v>642</v>
      </c>
      <c r="E13535" s="6" t="s">
        <v>18395</v>
      </c>
      <c r="F13535" s="9"/>
    </row>
    <row r="13536" ht="33.75" customHeight="1">
      <c r="A13536" s="7">
        <v>709.0</v>
      </c>
      <c r="B13536" s="9" t="s">
        <v>18390</v>
      </c>
      <c r="C13536" s="9" t="s">
        <v>18391</v>
      </c>
      <c r="D13536" s="9" t="s">
        <v>647</v>
      </c>
      <c r="E13536" s="6" t="s">
        <v>18396</v>
      </c>
      <c r="F13536" s="9"/>
    </row>
    <row r="13537" ht="33.75" customHeight="1">
      <c r="A13537" s="7">
        <v>709.0</v>
      </c>
      <c r="B13537" s="9" t="s">
        <v>18390</v>
      </c>
      <c r="C13537" s="9" t="s">
        <v>18391</v>
      </c>
      <c r="D13537" s="9" t="s">
        <v>652</v>
      </c>
      <c r="E13537" s="6" t="s">
        <v>18397</v>
      </c>
      <c r="F13537" s="9"/>
    </row>
    <row r="13538" ht="33.75" customHeight="1">
      <c r="A13538" s="7">
        <v>709.0</v>
      </c>
      <c r="B13538" s="9" t="s">
        <v>18390</v>
      </c>
      <c r="C13538" s="9" t="s">
        <v>18391</v>
      </c>
      <c r="D13538" s="9" t="s">
        <v>114</v>
      </c>
      <c r="E13538" s="6" t="s">
        <v>18398</v>
      </c>
      <c r="F13538" s="9"/>
    </row>
    <row r="13539" ht="33.75" customHeight="1">
      <c r="A13539" s="7">
        <v>709.0</v>
      </c>
      <c r="B13539" s="9" t="s">
        <v>18390</v>
      </c>
      <c r="C13539" s="9" t="s">
        <v>18391</v>
      </c>
      <c r="D13539" s="9" t="s">
        <v>117</v>
      </c>
      <c r="E13539" s="6" t="s">
        <v>18399</v>
      </c>
      <c r="F13539" s="9"/>
    </row>
    <row r="13540" ht="33.75" customHeight="1">
      <c r="A13540" s="7">
        <v>710.0</v>
      </c>
      <c r="B13540" s="9" t="s">
        <v>18401</v>
      </c>
      <c r="C13540" s="9" t="s">
        <v>18402</v>
      </c>
      <c r="D13540" s="9" t="s">
        <v>101</v>
      </c>
      <c r="E13540" s="6" t="s">
        <v>18403</v>
      </c>
      <c r="F13540" t="inlineStr" s="10">
        <is>
          <t xml:space="preserve">Kurpitsan ruumiissa asuu tähän maailmaan loukkuun jäänyt henki. Auringon laskiessa siitä tulee levoton ja aktiivinen. Sen sanotaan kuljettavan vaeltelevia henkiä niiden kuuluviin paikkoihin, jotta ne voivat jatkaa matkaansa. Maailmassa vaeltavat henget asetetaan Pumpkaboon ruumiiseen. Sitten ne siirretään tuonpuoleiseen. Kurpitsan rei'istä virtaava valo voi hypnotisoida ja hallita sen näkeviä ihmisiä ja Pokémoneja.</t>
        </is>
      </c>
    </row>
    <row r="13541" ht="33.75" customHeight="1">
      <c r="A13541" s="7">
        <v>710.0</v>
      </c>
      <c r="B13541" s="9" t="s">
        <v>18401</v>
      </c>
      <c r="C13541" s="9" t="s">
        <v>18402</v>
      </c>
      <c r="D13541" s="9" t="s">
        <v>105</v>
      </c>
      <c r="E13541" s="6" t="s">
        <v>18404</v>
      </c>
      <c r="F13541" s="9"/>
    </row>
    <row r="13542" ht="33.75" customHeight="1">
      <c r="A13542" s="7">
        <v>710.0</v>
      </c>
      <c r="B13542" s="9" t="s">
        <v>18401</v>
      </c>
      <c r="C13542" s="9" t="s">
        <v>18402</v>
      </c>
      <c r="D13542" s="9" t="s">
        <v>107</v>
      </c>
      <c r="E13542" s="6" t="s">
        <v>18403</v>
      </c>
      <c r="F13542" s="9"/>
    </row>
    <row r="13543" ht="33.75" customHeight="1">
      <c r="A13543" s="7">
        <v>710.0</v>
      </c>
      <c r="B13543" s="9" t="s">
        <v>18401</v>
      </c>
      <c r="C13543" s="9" t="s">
        <v>18402</v>
      </c>
      <c r="D13543" s="9" t="s">
        <v>109</v>
      </c>
      <c r="E13543" s="6" t="s">
        <v>18404</v>
      </c>
      <c r="F13543" s="9"/>
    </row>
    <row r="13544" ht="33.75" customHeight="1">
      <c r="A13544" s="7">
        <v>710.0</v>
      </c>
      <c r="B13544" s="9" t="s">
        <v>18401</v>
      </c>
      <c r="C13544" s="9" t="s">
        <v>18402</v>
      </c>
      <c r="D13544" s="9" t="s">
        <v>114</v>
      </c>
      <c r="E13544" s="6" t="s">
        <v>18405</v>
      </c>
      <c r="F13544" s="9"/>
    </row>
    <row r="13545" ht="33.75" customHeight="1">
      <c r="A13545" s="7">
        <v>710.0</v>
      </c>
      <c r="B13545" s="9" t="s">
        <v>18401</v>
      </c>
      <c r="C13545" s="9" t="s">
        <v>18402</v>
      </c>
      <c r="D13545" s="9" t="s">
        <v>117</v>
      </c>
      <c r="E13545" s="6" t="s">
        <v>18406</v>
      </c>
      <c r="F13545" s="9"/>
    </row>
    <row r="13546" ht="33.75" customHeight="1">
      <c r="A13546" s="7">
        <v>711.0</v>
      </c>
      <c r="B13546" s="9" t="s">
        <v>18407</v>
      </c>
      <c r="C13546" s="9" t="s">
        <v>18402</v>
      </c>
      <c r="D13546" s="9" t="s">
        <v>101</v>
      </c>
      <c r="E13546" s="6" t="s">
        <v>18408</v>
      </c>
      <c r="F13546" t="inlineStr" s="10">
        <is>
          <t xml:space="preserve">Aavemaisilla äänillä laulaen ne vaeltelevat kaupungin kaduilla uudenkuun yönä. Jokainen, joka kuulee heidän laulunsa, on kirottu. Se kietoo saaliinsa karvaisiin käsivarsiinsa. Se laulaa iloisesti tarkkaillessaan saaliinsa kärsimystä. Sen ruumiista kantautuu aavemaisia ​​huutoja yön keskellä. Äänten sanotaan olevan tuonpuoleisessa kärsivien henkien valitusta. Uudenkuun yön pimeydessä Gourgeist koputtaa. Se, joka avaa oven, tempataan tuonpuoleiseen.</t>
        </is>
      </c>
    </row>
    <row r="13547" ht="33.75" customHeight="1">
      <c r="A13547" s="7">
        <v>711.0</v>
      </c>
      <c r="B13547" s="9" t="s">
        <v>18407</v>
      </c>
      <c r="C13547" s="9" t="s">
        <v>18402</v>
      </c>
      <c r="D13547" s="9" t="s">
        <v>105</v>
      </c>
      <c r="E13547" s="6" t="s">
        <v>18409</v>
      </c>
      <c r="F13547" s="9"/>
    </row>
    <row r="13548" ht="33.75" customHeight="1">
      <c r="A13548" s="7">
        <v>711.0</v>
      </c>
      <c r="B13548" s="9" t="s">
        <v>18407</v>
      </c>
      <c r="C13548" s="9" t="s">
        <v>18402</v>
      </c>
      <c r="D13548" s="9" t="s">
        <v>107</v>
      </c>
      <c r="E13548" s="6" t="s">
        <v>18408</v>
      </c>
      <c r="F13548" s="9"/>
    </row>
    <row r="13549" ht="33.75" customHeight="1">
      <c r="A13549" s="7">
        <v>711.0</v>
      </c>
      <c r="B13549" s="9" t="s">
        <v>18407</v>
      </c>
      <c r="C13549" s="9" t="s">
        <v>18402</v>
      </c>
      <c r="D13549" s="9" t="s">
        <v>109</v>
      </c>
      <c r="E13549" s="6" t="s">
        <v>18409</v>
      </c>
      <c r="F13549" s="9"/>
    </row>
    <row r="13550" ht="33.75" customHeight="1">
      <c r="A13550" s="7">
        <v>711.0</v>
      </c>
      <c r="B13550" s="9" t="s">
        <v>18407</v>
      </c>
      <c r="C13550" s="9" t="s">
        <v>18402</v>
      </c>
      <c r="D13550" s="9" t="s">
        <v>114</v>
      </c>
      <c r="E13550" s="6" t="s">
        <v>18410</v>
      </c>
      <c r="F13550" s="9"/>
    </row>
    <row r="13551" ht="33.75" customHeight="1">
      <c r="A13551" s="7">
        <v>711.0</v>
      </c>
      <c r="B13551" s="9" t="s">
        <v>18407</v>
      </c>
      <c r="C13551" s="9" t="s">
        <v>18402</v>
      </c>
      <c r="D13551" s="9" t="s">
        <v>117</v>
      </c>
      <c r="E13551" s="6" t="s">
        <v>18411</v>
      </c>
      <c r="F13551" s="9"/>
    </row>
    <row r="13552" ht="33.75" customHeight="1">
      <c r="A13552" s="7">
        <v>712.0</v>
      </c>
      <c r="B13552" s="9" t="s">
        <v>18412</v>
      </c>
      <c r="C13552" s="9" t="s">
        <v>18413</v>
      </c>
      <c r="D13552" s="9" t="s">
        <v>101</v>
      </c>
      <c r="E13552" s="6" t="s">
        <v>18414</v>
      </c>
      <c r="F13552" t="inlineStr" s="10">
        <is>
          <t xml:space="preserve">Bergmite estää vastustajien hyökkäykset vartaloaan suojaavalla jäällä. Se käyttää kylmää ilmaa korjatakseen mahdolliset halkeamat uudella jäällä. Käyttämällä -83 celsiusasteen ilmaa ne jäädyttävät vastustajat jähmeiksi. Ne elävät laumoissa lumirajan yläpuolella vuorilla. Ne jäähdyttävät ympäröivän ilman −150 Fahrenheit-asteeseen, jäädyttäen ilmassa olevan veden jääksi, jota ne käyttävät panssarina. Tämä Pokémon elää hyytävän kylmillä alueilla. Se kiinnittää itsensä Avaluggin selkään jäädyttämällä sen jalat paikoilleen. Se elää vuorilla, jotka ovat peittyneet ikuiseen lumeen. Se jäädyttää ilmassa olevan vesihöyryn ja tekee siitä puolustuskypärän.</t>
        </is>
      </c>
    </row>
    <row r="13553" ht="33.75" customHeight="1">
      <c r="A13553" s="7">
        <v>712.0</v>
      </c>
      <c r="B13553" s="9" t="s">
        <v>18412</v>
      </c>
      <c r="C13553" s="9" t="s">
        <v>18413</v>
      </c>
      <c r="D13553" s="9" t="s">
        <v>105</v>
      </c>
      <c r="E13553" s="6" t="s">
        <v>18415</v>
      </c>
      <c r="F13553" s="9"/>
    </row>
    <row r="13554" ht="33.75" customHeight="1">
      <c r="A13554" s="7">
        <v>712.0</v>
      </c>
      <c r="B13554" s="9" t="s">
        <v>18412</v>
      </c>
      <c r="C13554" s="9" t="s">
        <v>18413</v>
      </c>
      <c r="D13554" s="9" t="s">
        <v>107</v>
      </c>
      <c r="E13554" s="6" t="s">
        <v>18414</v>
      </c>
      <c r="F13554" s="9"/>
    </row>
    <row r="13555" ht="33.75" customHeight="1">
      <c r="A13555" s="7">
        <v>712.0</v>
      </c>
      <c r="B13555" s="9" t="s">
        <v>18412</v>
      </c>
      <c r="C13555" s="9" t="s">
        <v>18413</v>
      </c>
      <c r="D13555" s="9" t="s">
        <v>109</v>
      </c>
      <c r="E13555" s="6" t="s">
        <v>18415</v>
      </c>
      <c r="F13555" s="9"/>
    </row>
    <row r="13556" ht="33.75" customHeight="1">
      <c r="A13556" s="7">
        <v>712.0</v>
      </c>
      <c r="B13556" s="9" t="s">
        <v>18412</v>
      </c>
      <c r="C13556" s="9" t="s">
        <v>18413</v>
      </c>
      <c r="D13556" s="9" t="s">
        <v>114</v>
      </c>
      <c r="E13556" s="6" t="s">
        <v>18417</v>
      </c>
      <c r="F13556" s="9"/>
    </row>
    <row r="13557" ht="33.75" customHeight="1">
      <c r="A13557" s="7">
        <v>712.0</v>
      </c>
      <c r="B13557" s="9" t="s">
        <v>18412</v>
      </c>
      <c r="C13557" s="9" t="s">
        <v>18413</v>
      </c>
      <c r="D13557" s="9" t="s">
        <v>117</v>
      </c>
      <c r="E13557" s="6" t="s">
        <v>18418</v>
      </c>
      <c r="F13557" s="9"/>
    </row>
    <row r="13558" ht="33.75" customHeight="1">
      <c r="A13558" s="7">
        <v>712.0</v>
      </c>
      <c r="B13558" s="9" t="s">
        <v>18412</v>
      </c>
      <c r="C13558" s="9" t="s">
        <v>18413</v>
      </c>
      <c r="D13558" s="9" t="s">
        <v>1577</v>
      </c>
      <c r="E13558" s="6" t="s">
        <v>18419</v>
      </c>
      <c r="F13558" s="9"/>
    </row>
    <row r="13559" ht="33.75" customHeight="1">
      <c r="A13559" s="7">
        <v>713.0</v>
      </c>
      <c r="B13559" s="9" t="s">
        <v>18420</v>
      </c>
      <c r="C13559" s="9" t="s">
        <v>15504</v>
      </c>
      <c r="D13559" s="9" t="s">
        <v>101</v>
      </c>
      <c r="E13559" s="6" t="s">
        <v>18421</v>
      </c>
      <c r="F13559" t="inlineStr" s="10">
        <is>
          <t xml:space="preserve">Avaluggin jään peittämä runko on teräskova. Sen kömpelö kehys murskaa kaiken, mikä sen tiellä seisoo. Se, miten useat bergmiitit ovat kerääntyneet sen selkään, saa sen näyttämään jäästä tehdyltä lentotukialukselta. Korkeilla leveysasteilla tätä Pokémonia voi löytää selässään bergmiittiryppäitä sen uidessa jäävuorten lomassa. Avaluggin liikkuessa päivän aikana sen kehon halkeamat syvenevät. Pokémonin keho palaa alkuperäiseen tilaansa yön aikana. Jään panssari peittää sen alaleuan ja voi murskata kivet helposti. Tämä Pokémon kiipeilee jyrkkiä vuoristopolkuja pitkin halkaisten syvän lumen läpi.</t>
        </is>
      </c>
    </row>
    <row r="13560" ht="33.75" customHeight="1">
      <c r="A13560" s="7">
        <v>713.0</v>
      </c>
      <c r="B13560" s="9" t="s">
        <v>18420</v>
      </c>
      <c r="C13560" s="9" t="s">
        <v>15504</v>
      </c>
      <c r="D13560" s="9" t="s">
        <v>105</v>
      </c>
      <c r="E13560" s="6" t="s">
        <v>18422</v>
      </c>
      <c r="F13560" s="9"/>
    </row>
    <row r="13561" ht="33.75" customHeight="1">
      <c r="A13561" s="7">
        <v>713.0</v>
      </c>
      <c r="B13561" s="9" t="s">
        <v>18420</v>
      </c>
      <c r="C13561" s="9" t="s">
        <v>15504</v>
      </c>
      <c r="D13561" s="9" t="s">
        <v>107</v>
      </c>
      <c r="E13561" s="6" t="s">
        <v>18421</v>
      </c>
      <c r="F13561" s="9"/>
    </row>
    <row r="13562" ht="33.75" customHeight="1">
      <c r="A13562" s="7">
        <v>713.0</v>
      </c>
      <c r="B13562" s="9" t="s">
        <v>18420</v>
      </c>
      <c r="C13562" s="9" t="s">
        <v>15504</v>
      </c>
      <c r="D13562" s="9" t="s">
        <v>109</v>
      </c>
      <c r="E13562" s="6" t="s">
        <v>18422</v>
      </c>
      <c r="F13562" s="9"/>
    </row>
    <row r="13563" ht="33.75" customHeight="1">
      <c r="A13563" s="7">
        <v>713.0</v>
      </c>
      <c r="B13563" s="9" t="s">
        <v>18420</v>
      </c>
      <c r="C13563" s="9" t="s">
        <v>15504</v>
      </c>
      <c r="D13563" s="9" t="s">
        <v>114</v>
      </c>
      <c r="E13563" s="6" t="s">
        <v>18423</v>
      </c>
      <c r="F13563" s="9"/>
    </row>
    <row r="13564" ht="33.75" customHeight="1">
      <c r="A13564" s="7">
        <v>713.0</v>
      </c>
      <c r="B13564" s="9" t="s">
        <v>18420</v>
      </c>
      <c r="C13564" s="9" t="s">
        <v>15504</v>
      </c>
      <c r="D13564" s="9" t="s">
        <v>117</v>
      </c>
      <c r="E13564" s="6" t="s">
        <v>18424</v>
      </c>
      <c r="F13564" s="9"/>
    </row>
    <row r="13565" ht="33.75" customHeight="1">
      <c r="A13565" s="7">
        <v>713.0</v>
      </c>
      <c r="B13565" s="9" t="s">
        <v>18420</v>
      </c>
      <c r="C13565" s="9" t="s">
        <v>15504</v>
      </c>
      <c r="D13565" s="9" t="s">
        <v>1577</v>
      </c>
      <c r="E13565" s="6" t="s">
        <v>18426</v>
      </c>
      <c r="F13565" s="9"/>
    </row>
    <row r="13566" ht="33.75" customHeight="1">
      <c r="A13566" s="7">
        <v>714.0</v>
      </c>
      <c r="B13566" s="9" t="s">
        <v>18427</v>
      </c>
      <c r="C13566" s="9" t="s">
        <v>18428</v>
      </c>
      <c r="D13566" s="9" t="s">
        <v>101</v>
      </c>
      <c r="E13566" s="6" t="s">
        <v>18429</v>
      </c>
      <c r="F13566" t="inlineStr" s="10">
        <is>
          <t xml:space="preserve">Ne elävät pikimustissa luolissa. Niiden valtavat korvat voivat lähettää 200 000 hertsin ultraääniaaltoja. Jopa vankkarakenteinen painija saa huimausta eikä pysty seisomaan, jos hän altistuu sen 200 000 hertsin ultraääniaalloille. Hedelmät ovat sen lempiruokia. Tämä herkkusuu poimii huolellisesti vain kypsät hedelmät kaikuluotaimellaan. Se lentää ympäriinsä etsien syötäväksi kelpaavia hedelmiä. Se käyttää ultraääniaaltoja havaitakseen, mitkä hedelmät ovat kypsiä. Illan tultua ne nousevat luolista, joissa ne pesivät päivällä. Ultraääniaaltojensa avulla ne lähtevät metsästämään kypsyneitä hedelmiä. Mikään äänen aallonpituus ei ole Noibatin kyvyn ulkopuolella. Sen tuottamat ultraääniaallot voivat päihittää paljon suurempia Pokémoneja.</t>
        </is>
      </c>
    </row>
    <row r="13567" ht="33.75" customHeight="1">
      <c r="A13567" s="7">
        <v>714.0</v>
      </c>
      <c r="B13567" s="9" t="s">
        <v>18427</v>
      </c>
      <c r="C13567" s="9" t="s">
        <v>18428</v>
      </c>
      <c r="D13567" s="9" t="s">
        <v>105</v>
      </c>
      <c r="E13567" s="6" t="s">
        <v>18430</v>
      </c>
      <c r="F13567" s="9"/>
    </row>
    <row r="13568" ht="33.75" customHeight="1">
      <c r="A13568" s="7">
        <v>714.0</v>
      </c>
      <c r="B13568" s="9" t="s">
        <v>18427</v>
      </c>
      <c r="C13568" s="9" t="s">
        <v>18428</v>
      </c>
      <c r="D13568" s="9" t="s">
        <v>107</v>
      </c>
      <c r="E13568" s="6" t="s">
        <v>18429</v>
      </c>
      <c r="F13568" s="9"/>
    </row>
    <row r="13569" ht="33.75" customHeight="1">
      <c r="A13569" s="7">
        <v>714.0</v>
      </c>
      <c r="B13569" s="9" t="s">
        <v>18427</v>
      </c>
      <c r="C13569" s="9" t="s">
        <v>18428</v>
      </c>
      <c r="D13569" s="9" t="s">
        <v>109</v>
      </c>
      <c r="E13569" s="6" t="s">
        <v>18430</v>
      </c>
      <c r="F13569" s="9"/>
    </row>
    <row r="13570" ht="33.75" customHeight="1">
      <c r="A13570" s="7">
        <v>714.0</v>
      </c>
      <c r="B13570" s="9" t="s">
        <v>18427</v>
      </c>
      <c r="C13570" s="9" t="s">
        <v>18428</v>
      </c>
      <c r="D13570" s="9" t="s">
        <v>647</v>
      </c>
      <c r="E13570" s="6" t="s">
        <v>18431</v>
      </c>
      <c r="F13570" s="9"/>
    </row>
    <row r="13571" ht="33.75" customHeight="1">
      <c r="A13571" s="7">
        <v>714.0</v>
      </c>
      <c r="B13571" s="9" t="s">
        <v>18427</v>
      </c>
      <c r="C13571" s="9" t="s">
        <v>18428</v>
      </c>
      <c r="D13571" s="9" t="s">
        <v>652</v>
      </c>
      <c r="E13571" s="6" t="s">
        <v>18432</v>
      </c>
      <c r="F13571" s="9"/>
    </row>
    <row r="13572" ht="33.75" customHeight="1">
      <c r="A13572" s="7">
        <v>714.0</v>
      </c>
      <c r="B13572" s="9" t="s">
        <v>18427</v>
      </c>
      <c r="C13572" s="9" t="s">
        <v>18428</v>
      </c>
      <c r="D13572" s="9" t="s">
        <v>114</v>
      </c>
      <c r="E13572" s="6" t="s">
        <v>18434</v>
      </c>
      <c r="F13572" s="9"/>
    </row>
    <row r="13573" ht="33.75" customHeight="1">
      <c r="A13573" s="7">
        <v>714.0</v>
      </c>
      <c r="B13573" s="9" t="s">
        <v>18427</v>
      </c>
      <c r="C13573" s="9" t="s">
        <v>18428</v>
      </c>
      <c r="D13573" s="9" t="s">
        <v>117</v>
      </c>
      <c r="E13573" s="6" t="s">
        <v>18435</v>
      </c>
      <c r="F13573" s="9"/>
    </row>
    <row r="13574" ht="33.75" customHeight="1">
      <c r="A13574" s="7">
        <v>715.0</v>
      </c>
      <c r="B13574" s="9" t="s">
        <v>18436</v>
      </c>
      <c r="C13574" s="9" t="s">
        <v>18428</v>
      </c>
      <c r="D13574" s="9" t="s">
        <v>101</v>
      </c>
      <c r="E13574" s="6" t="s">
        <v>18437</v>
      </c>
      <c r="F13574" t="inlineStr" s="10">
        <is>
          <t xml:space="preserve">Ne lentelevät ympäriinsä kuuttomina öinä ja hyökkäävät huolimattoman saaliin kimppuun. Mikään ei voi voittaa niitä pimeässä käydyssä taistelussa. Sen korvista lähtevät ultraääniaallot voivat pilkkoa suuren lohkareen pikkukiviksi. Se syöksyy pimeydestä hyökkäämään. Vaikka sillä on väkivaltainen luonne, jos annat sille kauniin kypsän hedelmän, josta se pitää, Noivernista tulee yhtäkkiä kesy. Tämä kuumaverinen Pokémon hyökkää kaikkea näkemäänsä vastaan ​​ultraääniaalloilla, jotka voivat murskata lohkareita. Aggressiivinen ja julma, tämä Pokémon piinaa armottomasti pimeydessä avuttomia vihollisia. Pimeyden halki lentäen se heikentää vihollisia ultraääniaalloilla, jotka voivat murskata kiven. Sen torahampaat viimeistelevät taistelun.</t>
        </is>
      </c>
    </row>
    <row r="13575" ht="33.75" customHeight="1">
      <c r="A13575" s="7">
        <v>715.0</v>
      </c>
      <c r="B13575" s="9" t="s">
        <v>18436</v>
      </c>
      <c r="C13575" s="9" t="s">
        <v>18428</v>
      </c>
      <c r="D13575" s="9" t="s">
        <v>105</v>
      </c>
      <c r="E13575" s="6" t="s">
        <v>18438</v>
      </c>
      <c r="F13575" s="9"/>
    </row>
    <row r="13576" ht="33.75" customHeight="1">
      <c r="A13576" s="7">
        <v>715.0</v>
      </c>
      <c r="B13576" s="9" t="s">
        <v>18436</v>
      </c>
      <c r="C13576" s="9" t="s">
        <v>18428</v>
      </c>
      <c r="D13576" s="9" t="s">
        <v>107</v>
      </c>
      <c r="E13576" s="6" t="s">
        <v>18437</v>
      </c>
      <c r="F13576" s="9"/>
    </row>
    <row r="13577" ht="33.75" customHeight="1">
      <c r="A13577" s="7">
        <v>715.0</v>
      </c>
      <c r="B13577" s="9" t="s">
        <v>18436</v>
      </c>
      <c r="C13577" s="9" t="s">
        <v>18428</v>
      </c>
      <c r="D13577" s="9" t="s">
        <v>109</v>
      </c>
      <c r="E13577" s="6" t="s">
        <v>18438</v>
      </c>
      <c r="F13577" s="9"/>
    </row>
    <row r="13578" ht="33.75" customHeight="1">
      <c r="A13578" s="7">
        <v>715.0</v>
      </c>
      <c r="B13578" s="9" t="s">
        <v>18436</v>
      </c>
      <c r="C13578" s="9" t="s">
        <v>18428</v>
      </c>
      <c r="D13578" s="9" t="s">
        <v>647</v>
      </c>
      <c r="E13578" s="6" t="s">
        <v>18439</v>
      </c>
      <c r="F13578" s="9"/>
    </row>
    <row r="13579" ht="33.75" customHeight="1">
      <c r="A13579" s="7">
        <v>715.0</v>
      </c>
      <c r="B13579" s="9" t="s">
        <v>18436</v>
      </c>
      <c r="C13579" s="9" t="s">
        <v>18428</v>
      </c>
      <c r="D13579" s="9" t="s">
        <v>652</v>
      </c>
      <c r="E13579" s="6" t="s">
        <v>18440</v>
      </c>
      <c r="F13579" s="9"/>
    </row>
    <row r="13580" ht="33.75" customHeight="1">
      <c r="A13580" s="7">
        <v>715.0</v>
      </c>
      <c r="B13580" s="9" t="s">
        <v>18436</v>
      </c>
      <c r="C13580" s="9" t="s">
        <v>18428</v>
      </c>
      <c r="D13580" s="9" t="s">
        <v>114</v>
      </c>
      <c r="E13580" s="6" t="s">
        <v>18441</v>
      </c>
      <c r="F13580" s="9"/>
    </row>
    <row r="13581" ht="33.75" customHeight="1">
      <c r="A13581" s="7">
        <v>715.0</v>
      </c>
      <c r="B13581" s="9" t="s">
        <v>18436</v>
      </c>
      <c r="C13581" s="9" t="s">
        <v>18428</v>
      </c>
      <c r="D13581" s="9" t="s">
        <v>117</v>
      </c>
      <c r="E13581" s="6" t="s">
        <v>18442</v>
      </c>
      <c r="F13581" s="9"/>
    </row>
    <row r="13582" ht="33.75" customHeight="1">
      <c r="A13582" s="7">
        <v>716.0</v>
      </c>
      <c r="B13582" s="9" t="s">
        <v>18443</v>
      </c>
      <c r="C13582" s="9" t="s">
        <v>18444</v>
      </c>
      <c r="D13582" s="9" t="s">
        <v>101</v>
      </c>
      <c r="E13582" s="6" t="s">
        <v>18445</v>
      </c>
      <c r="F13582" t="inlineStr" s="10">
        <is>
          <t xml:space="preserve">Legendojen mukaan se voi jakaa ikuisen elämän. Se nukkui tuhat vuotta puun muodossa ennen heräämistään henkiin. Kun sen päässä olevat sarvet loistavat seitsemässä värissä, sen sanotaan jakavan iankaikkisen elämän.</t>
        </is>
      </c>
    </row>
    <row r="13583" ht="33.75" customHeight="1">
      <c r="A13583" s="7">
        <v>716.0</v>
      </c>
      <c r="B13583" s="9" t="s">
        <v>18443</v>
      </c>
      <c r="C13583" s="9" t="s">
        <v>18444</v>
      </c>
      <c r="D13583" s="9" t="s">
        <v>105</v>
      </c>
      <c r="E13583" s="6" t="s">
        <v>18446</v>
      </c>
      <c r="F13583" s="9"/>
    </row>
    <row r="13584" ht="33.75" customHeight="1">
      <c r="A13584" s="7">
        <v>716.0</v>
      </c>
      <c r="B13584" s="9" t="s">
        <v>18443</v>
      </c>
      <c r="C13584" s="9" t="s">
        <v>18444</v>
      </c>
      <c r="D13584" s="9" t="s">
        <v>107</v>
      </c>
      <c r="E13584" s="6" t="s">
        <v>18445</v>
      </c>
      <c r="F13584" s="9"/>
    </row>
    <row r="13585" ht="33.75" customHeight="1">
      <c r="A13585" s="7">
        <v>716.0</v>
      </c>
      <c r="B13585" s="9" t="s">
        <v>18443</v>
      </c>
      <c r="C13585" s="9" t="s">
        <v>18444</v>
      </c>
      <c r="D13585" s="9" t="s">
        <v>109</v>
      </c>
      <c r="E13585" s="6" t="s">
        <v>18446</v>
      </c>
      <c r="F13585" s="9"/>
    </row>
    <row r="13586" ht="33.75" customHeight="1">
      <c r="A13586" s="7">
        <v>717.0</v>
      </c>
      <c r="B13586" s="9" t="s">
        <v>18447</v>
      </c>
      <c r="C13586" s="9" t="s">
        <v>18448</v>
      </c>
      <c r="D13586" s="9" t="s">
        <v>101</v>
      </c>
      <c r="E13586" s="6" t="s">
        <v>18449</v>
      </c>
      <c r="F13586" t="inlineStr" s="10">
        <is>
          <t xml:space="preserve">Kun tämän legendaarisen Pokémonin siivet ja pyrstösulat leviävät leveälle ja hehkuvat punaisina, se imee itseensä elävien olentojen elämänvoiman. Kun sen elämä päättyy, se imee itseensä kaikkien elävien olentojen elämänenergian ja muuttuu jälleen koteloksi.</t>
        </is>
      </c>
    </row>
    <row r="13587" ht="33.75" customHeight="1">
      <c r="A13587" s="7">
        <v>717.0</v>
      </c>
      <c r="B13587" s="9" t="s">
        <v>18447</v>
      </c>
      <c r="C13587" s="9" t="s">
        <v>18448</v>
      </c>
      <c r="D13587" s="9" t="s">
        <v>105</v>
      </c>
      <c r="E13587" s="6" t="s">
        <v>18450</v>
      </c>
      <c r="F13587" s="9"/>
    </row>
    <row r="13588" ht="33.75" customHeight="1">
      <c r="A13588" s="7">
        <v>717.0</v>
      </c>
      <c r="B13588" s="9" t="s">
        <v>18447</v>
      </c>
      <c r="C13588" s="9" t="s">
        <v>18448</v>
      </c>
      <c r="D13588" s="9" t="s">
        <v>107</v>
      </c>
      <c r="E13588" s="6" t="s">
        <v>18449</v>
      </c>
      <c r="F13588" s="9"/>
    </row>
    <row r="13589" ht="33.75" customHeight="1">
      <c r="A13589" s="7">
        <v>717.0</v>
      </c>
      <c r="B13589" s="9" t="s">
        <v>18447</v>
      </c>
      <c r="C13589" s="9" t="s">
        <v>18448</v>
      </c>
      <c r="D13589" s="9" t="s">
        <v>109</v>
      </c>
      <c r="E13589" s="6" t="s">
        <v>18450</v>
      </c>
      <c r="F13589" s="9"/>
    </row>
    <row r="13590" ht="33.75" customHeight="1">
      <c r="A13590" s="7">
        <v>718.0</v>
      </c>
      <c r="B13590" s="9" t="s">
        <v>18452</v>
      </c>
      <c r="C13590" s="9" t="s">
        <v>18453</v>
      </c>
      <c r="D13590" s="9" t="s">
        <v>101</v>
      </c>
      <c r="E13590" s="6" t="s">
        <v>18454</v>
      </c>
      <c r="F13590" t="inlineStr" s="10">
        <is>
          <t xml:space="preserve">Kun Kaloksen alueen ekosysteemi ajautuu sekasortoon, se ilmestyy ja paljastaa salaisen voimansa. On oletettu, että se seuraa ekosysteemiä tuhoavia ihmisiä syvältä luolasta, jossa se elää. Tämä on Zygarden muoto, kun se on kerännyt 50 % soluistaan. Se pyyhkäisee pois kaikki vastustajansa, osoittamatta hitustakaan armoa. Sen uskotaan tarkkailevan ekosysteemiä. Huhujen mukaan sen sisällä piilee vielä suurempi voima. Tämä on Zygarden muoto, kun noin puolet sen osista on koottu. Se toimii ekosysteemin valvojana. Jotkut sanovat, että se voi muuttua vielä voimakkaammaksi taistellessaan ekosysteemiä uhkaavia vastaan.</t>
        </is>
      </c>
    </row>
    <row r="13591" ht="33.75" customHeight="1">
      <c r="A13591" s="7">
        <v>718.0</v>
      </c>
      <c r="B13591" s="9" t="s">
        <v>18452</v>
      </c>
      <c r="C13591" s="9" t="s">
        <v>18453</v>
      </c>
      <c r="D13591" s="9" t="s">
        <v>105</v>
      </c>
      <c r="E13591" s="6" t="s">
        <v>18455</v>
      </c>
      <c r="F13591" s="9"/>
    </row>
    <row r="13592" ht="33.75" customHeight="1">
      <c r="A13592" s="7">
        <v>718.0</v>
      </c>
      <c r="B13592" s="9" t="s">
        <v>18452</v>
      </c>
      <c r="C13592" s="9" t="s">
        <v>18453</v>
      </c>
      <c r="D13592" s="9" t="s">
        <v>107</v>
      </c>
      <c r="E13592" s="6" t="s">
        <v>18454</v>
      </c>
      <c r="F13592" s="9"/>
    </row>
    <row r="13593" ht="33.75" customHeight="1">
      <c r="A13593" s="7">
        <v>718.0</v>
      </c>
      <c r="B13593" s="9" t="s">
        <v>18452</v>
      </c>
      <c r="C13593" s="9" t="s">
        <v>18453</v>
      </c>
      <c r="D13593" s="9" t="s">
        <v>109</v>
      </c>
      <c r="E13593" s="6" t="s">
        <v>18455</v>
      </c>
      <c r="F13593" s="9"/>
    </row>
    <row r="13594" ht="33.75" customHeight="1">
      <c r="A13594" s="7">
        <v>718.0</v>
      </c>
      <c r="B13594" s="9" t="s">
        <v>18452</v>
      </c>
      <c r="C13594" s="9" t="s">
        <v>18453</v>
      </c>
      <c r="D13594" s="9" t="s">
        <v>637</v>
      </c>
      <c r="E13594" s="6" t="s">
        <v>18456</v>
      </c>
      <c r="F13594" s="9"/>
    </row>
    <row r="13595" ht="33.75" customHeight="1">
      <c r="A13595" s="7">
        <v>718.0</v>
      </c>
      <c r="B13595" s="9" t="s">
        <v>18452</v>
      </c>
      <c r="C13595" s="9" t="s">
        <v>18453</v>
      </c>
      <c r="D13595" s="9" t="s">
        <v>642</v>
      </c>
      <c r="E13595" s="6" t="s">
        <v>18457</v>
      </c>
      <c r="F13595" s="9"/>
    </row>
    <row r="13596" ht="33.75" customHeight="1">
      <c r="A13596" s="7">
        <v>718.0</v>
      </c>
      <c r="B13596" s="9" t="s">
        <v>18452</v>
      </c>
      <c r="C13596" s="9" t="s">
        <v>18453</v>
      </c>
      <c r="D13596" s="9" t="s">
        <v>647</v>
      </c>
      <c r="E13596" s="6" t="s">
        <v>18458</v>
      </c>
      <c r="F13596" s="9"/>
    </row>
    <row r="13597" ht="33.75" customHeight="1">
      <c r="A13597" s="7">
        <v>718.0</v>
      </c>
      <c r="B13597" s="9" t="s">
        <v>18452</v>
      </c>
      <c r="C13597" s="9" t="s">
        <v>18453</v>
      </c>
      <c r="D13597" s="9" t="s">
        <v>652</v>
      </c>
      <c r="E13597" s="6" t="s">
        <v>18459</v>
      </c>
      <c r="F13597" s="9"/>
    </row>
    <row r="13598" ht="33.75" customHeight="1">
      <c r="A13598" s="7">
        <v>719.0</v>
      </c>
      <c r="B13598" s="9" t="s">
        <v>18460</v>
      </c>
      <c r="C13598" s="9" t="s">
        <v>18323</v>
      </c>
      <c r="D13598" s="9" t="s">
        <v>101</v>
      </c>
      <c r="E13598" s="6" t="s">
        <v>18461</v>
      </c>
      <c r="F13598" t="inlineStr" s="10">
        <is>
          <t xml:space="preserve">Carbinkin äkillisen muodonmuutoksen, Diancien vaaleanpunaisen, kimaltelevan vartalon, sanotaan olevan maailman ihanin näky. Se voi hetkessä luoda paljon timantteja puristamalla ilmassa olevaa hiiltä käsiensä välissä.</t>
        </is>
      </c>
    </row>
    <row r="13599" ht="33.75" customHeight="1">
      <c r="A13599" s="7">
        <v>719.0</v>
      </c>
      <c r="B13599" s="9" t="s">
        <v>18460</v>
      </c>
      <c r="C13599" s="9" t="s">
        <v>18323</v>
      </c>
      <c r="D13599" s="9" t="s">
        <v>105</v>
      </c>
      <c r="E13599" s="6" t="s">
        <v>18462</v>
      </c>
      <c r="F13599" s="9"/>
    </row>
    <row r="13600" ht="33.75" customHeight="1">
      <c r="A13600" s="7">
        <v>719.0</v>
      </c>
      <c r="B13600" s="9" t="s">
        <v>18460</v>
      </c>
      <c r="C13600" s="9" t="s">
        <v>18323</v>
      </c>
      <c r="D13600" s="9" t="s">
        <v>107</v>
      </c>
      <c r="E13600" s="6" t="s">
        <v>18461</v>
      </c>
      <c r="F13600" s="9"/>
    </row>
    <row r="13601" ht="33.75" customHeight="1">
      <c r="A13601" s="7">
        <v>719.0</v>
      </c>
      <c r="B13601" s="9" t="s">
        <v>18460</v>
      </c>
      <c r="C13601" s="9" t="s">
        <v>18323</v>
      </c>
      <c r="D13601" s="9" t="s">
        <v>109</v>
      </c>
      <c r="E13601" s="6" t="s">
        <v>18462</v>
      </c>
      <c r="F13601" s="9"/>
    </row>
    <row r="13602" ht="33.75" customHeight="1">
      <c r="A13602" s="7">
        <v>720.0</v>
      </c>
      <c r="B13602" s="9" t="s">
        <v>18463</v>
      </c>
      <c r="C13602" s="9" t="s">
        <v>18464</v>
      </c>
      <c r="D13602" s="9" t="s">
        <v>101</v>
      </c>
      <c r="E13602" s="6" t="s">
        <v>18465</v>
      </c>
      <c r="F13602" t="inlineStr" s="10">
        <is>
          <t xml:space="preserve">Tämä häirikkö lähettää mitä tahansa kaukaisiin paikkoihin silmukan avulla, joka voi vääristää avaruutta. Se kerää asioita, joista se pitää, ja lähettää ne silmukkansa läpi teleportatakseen ne salaiseen paikkaan. Todellisessa muodossaan sillä on valtava voima. Sen ahneutta kuvaavat legendat kertovat, kuinka se kerran vei kokonaisen linnan mukanaan saadakseen sen sisältä piilotetun aarteen. Sen sanotaan pystyvän kaappaamaan mitä tahansa kuudella renkaallaan ja kuudella valtavalla käsivarrellaan. Voimansa sinetöityä se muuttuu paljon pienemmäksi.</t>
        </is>
      </c>
    </row>
    <row r="13603" ht="33.75" customHeight="1">
      <c r="A13603" s="7">
        <v>720.0</v>
      </c>
      <c r="B13603" s="9" t="s">
        <v>18463</v>
      </c>
      <c r="C13603" s="9" t="s">
        <v>18464</v>
      </c>
      <c r="D13603" s="9" t="s">
        <v>105</v>
      </c>
      <c r="E13603" s="6" t="s">
        <v>18466</v>
      </c>
      <c r="F13603" s="9"/>
    </row>
    <row r="13604" ht="33.75" customHeight="1">
      <c r="A13604" s="7">
        <v>720.0</v>
      </c>
      <c r="B13604" s="9" t="s">
        <v>18463</v>
      </c>
      <c r="C13604" s="9" t="s">
        <v>18464</v>
      </c>
      <c r="D13604" s="9" t="s">
        <v>107</v>
      </c>
      <c r="E13604" s="6" t="s">
        <v>18467</v>
      </c>
      <c r="F13604" s="9"/>
    </row>
    <row r="13605" ht="33.75" customHeight="1">
      <c r="A13605" s="7">
        <v>720.0</v>
      </c>
      <c r="B13605" s="9" t="s">
        <v>18463</v>
      </c>
      <c r="C13605" s="9" t="s">
        <v>18464</v>
      </c>
      <c r="D13605" s="9" t="s">
        <v>109</v>
      </c>
      <c r="E13605" s="6" t="s">
        <v>18468</v>
      </c>
      <c r="F13605" s="9"/>
    </row>
    <row r="13606" ht="33.75" customHeight="1">
      <c r="A13606" s="7">
        <v>721.0</v>
      </c>
      <c r="B13606" s="9" t="s">
        <v>18469</v>
      </c>
      <c r="C13606" s="9" t="s">
        <v>18470</v>
      </c>
      <c r="D13606" s="9" t="s">
        <v>101</v>
      </c>
      <c r="E13606" s="6" t="s">
        <v>18471</v>
      </c>
      <c r="F13606" t="inlineStr" s="10">
        <is>
          <t xml:space="preserve">Volcanion päästää höyrypilviä ja katoaa tiheään sumuun. Sen sanotaan elävän vuorilla, joilla ihmiset eivät astele. Se purkaa sisäisen höyrynsä selässään olevista käsivarsista. Sillä on tarpeeksi voimaa puhaltaa pois vuoren.</t>
        </is>
      </c>
    </row>
    <row r="13607" ht="33.75" customHeight="1">
      <c r="A13607" s="7">
        <v>721.0</v>
      </c>
      <c r="B13607" s="9" t="s">
        <v>18469</v>
      </c>
      <c r="C13607" s="9" t="s">
        <v>18470</v>
      </c>
      <c r="D13607" s="9" t="s">
        <v>105</v>
      </c>
      <c r="E13607" s="6" t="s">
        <v>18472</v>
      </c>
      <c r="F13607" s="9"/>
    </row>
    <row r="13608" ht="33.75" customHeight="1">
      <c r="A13608" s="7">
        <v>721.0</v>
      </c>
      <c r="B13608" s="9" t="s">
        <v>18469</v>
      </c>
      <c r="C13608" s="9" t="s">
        <v>18470</v>
      </c>
      <c r="D13608" s="9" t="s">
        <v>107</v>
      </c>
      <c r="E13608" s="6" t="s">
        <v>18471</v>
      </c>
      <c r="F13608" s="9"/>
    </row>
    <row r="13609" ht="33.75" customHeight="1">
      <c r="A13609" s="7">
        <v>721.0</v>
      </c>
      <c r="B13609" s="9" t="s">
        <v>18469</v>
      </c>
      <c r="C13609" s="9" t="s">
        <v>18470</v>
      </c>
      <c r="D13609" s="9" t="s">
        <v>109</v>
      </c>
      <c r="E13609" s="6" t="s">
        <v>18472</v>
      </c>
      <c r="F13609" s="9"/>
    </row>
    <row r="13610" ht="33.75" customHeight="1">
      <c r="A13610" s="7">
        <v>722.0</v>
      </c>
      <c r="B13610" s="9" t="s">
        <v>18474</v>
      </c>
      <c r="C13610" s="9" t="s">
        <v>18475</v>
      </c>
      <c r="D13610" s="9" t="s">
        <v>637</v>
      </c>
      <c r="E13610" s="6" t="s">
        <v>18476</v>
      </c>
      <c r="F13610" t="inlineStr" s="10">
        <is>
          <t xml:space="preserve">Tämä varovainen Pokémon käyttää fotosynteesiä energian varastoimiseen päivällä ja aktivoituu yöllä. Se liitää äänettömästi ja lähestyy kohteitaan. Ennen kuin ne edes huomaavat sitä, se alkaa potkia heitä rajusti. Se lähettää terävät höyhenensä lentoon hyökkäyksessä. Sen jalat ovat vahvat, joten myös sen potkut ovat pelottavia. Se tuntuu rennolta ahtaissa ja pimeissä paikoissa ja sen tiedetään käyttävän Trainer’s-taskuaan tai -laukkuaan pesänä. Kaukaa se ampuu teräviä höyheniä lentäessään. Jos vihollinen pääsee liian lähelle, Rowlet vaihtaa taktiikkaa ja antaa rajuja potkuja. Päivällä se kerää energiaa fotosynteesin avulla. Yöllä se lentää äänettömästi taivaalla saalista etsien. Lentää äänettömästi herkillä siivillä. Se on oppinut ampumaan taitavasti tikarinteräviä höyheniä samoista siivistä.</t>
        </is>
      </c>
    </row>
    <row r="13611" ht="33.75" customHeight="1">
      <c r="A13611" s="7">
        <v>722.0</v>
      </c>
      <c r="B13611" s="9" t="s">
        <v>18474</v>
      </c>
      <c r="C13611" s="9" t="s">
        <v>18475</v>
      </c>
      <c r="D13611" s="9" t="s">
        <v>642</v>
      </c>
      <c r="E13611" s="6" t="s">
        <v>18477</v>
      </c>
      <c r="F13611" s="9"/>
    </row>
    <row r="13612" ht="33.75" customHeight="1">
      <c r="A13612" s="7">
        <v>722.0</v>
      </c>
      <c r="B13612" s="9" t="s">
        <v>18474</v>
      </c>
      <c r="C13612" s="9" t="s">
        <v>18475</v>
      </c>
      <c r="D13612" s="9" t="s">
        <v>647</v>
      </c>
      <c r="E13612" s="6" t="s">
        <v>18478</v>
      </c>
      <c r="F13612" s="9"/>
    </row>
    <row r="13613" ht="33.75" customHeight="1">
      <c r="A13613" s="7">
        <v>722.0</v>
      </c>
      <c r="B13613" s="9" t="s">
        <v>18474</v>
      </c>
      <c r="C13613" s="9" t="s">
        <v>18475</v>
      </c>
      <c r="D13613" s="9" t="s">
        <v>652</v>
      </c>
      <c r="E13613" s="6" t="s">
        <v>18479</v>
      </c>
      <c r="F13613" s="9"/>
    </row>
    <row r="13614" ht="33.75" customHeight="1">
      <c r="A13614" s="7">
        <v>722.0</v>
      </c>
      <c r="B13614" s="9" t="s">
        <v>18474</v>
      </c>
      <c r="C13614" s="9" t="s">
        <v>18475</v>
      </c>
      <c r="D13614" s="9" t="s">
        <v>114</v>
      </c>
      <c r="E13614" s="6" t="s">
        <v>18480</v>
      </c>
      <c r="F13614" s="9"/>
    </row>
    <row r="13615" ht="33.75" customHeight="1">
      <c r="A13615" s="7">
        <v>722.0</v>
      </c>
      <c r="B13615" s="9" t="s">
        <v>18474</v>
      </c>
      <c r="C13615" s="9" t="s">
        <v>18475</v>
      </c>
      <c r="D13615" s="9" t="s">
        <v>117</v>
      </c>
      <c r="E13615" s="6" t="s">
        <v>18481</v>
      </c>
      <c r="F13615" s="9"/>
    </row>
    <row r="13616" ht="33.75" customHeight="1">
      <c r="A13616" s="7">
        <v>722.0</v>
      </c>
      <c r="B13616" s="9" t="s">
        <v>18474</v>
      </c>
      <c r="C13616" s="9" t="s">
        <v>18475</v>
      </c>
      <c r="D13616" s="9" t="s">
        <v>1577</v>
      </c>
      <c r="E13616" s="6" t="s">
        <v>18482</v>
      </c>
      <c r="F13616" s="9"/>
    </row>
    <row r="13617" ht="33.75" customHeight="1">
      <c r="A13617" s="7">
        <v>723.0</v>
      </c>
      <c r="B13617" s="9" t="s">
        <v>18483</v>
      </c>
      <c r="C13617" s="9" t="s">
        <v>18484</v>
      </c>
      <c r="D13617" s="9" t="s">
        <v>637</v>
      </c>
      <c r="E13617" s="6" t="s">
        <v>18485</v>
      </c>
      <c r="F13617" t="inlineStr" s="10">
        <is>
          <t xml:space="preserve">Dartrix on hieman näppärä ja viettää vapaa-aikansa siipiään sukitellen. Sen keskittyminen höyhenpeitteensä likaan voi tehdä siitä taistelukyvyttömän. Se heittää teräviä höyheniä, joita kutsutaan terän sulkijoiksi, vihollisia tai saalista kohti. Se osuu harvoin ohi. Tämä narsistinen Pokémon on puhdasverinen friikki. Jos et turkinnu sitä ahkerasti, se lakkaa kuuntelemasta sinua. Se on erittäin herkkä muiden läsnäololle ja pystyy havaitsemaan takanaan seisovat vastustajat ja heittämään teräviä höyheniä tuhotakseen heidät. Se heittää veitsen kaltaisen höyhenen toisensa jälkeen vihollisiaan kohti, ja jokainen osuu tarkasti heikkoon kohtaan. Näitä höyheniä kutsutaan terän sulkimiksi. Se ei koskaan laiminlyö höyhenten puhdistamista. Huolellinen sukiminen pitää sen tyylikkäänä ja sen terän sulkat ovat siistit ja terävät. Se paistattelee säännöllisesti auringonvalossa kerätäkseen voimaa – luultavasti kylmän ilmaston vuoksi. Siipiin kiinnitettyjen teränpiikkien reunat ovat kuitenkin jälleen kerran terävät.</t>
        </is>
      </c>
    </row>
    <row r="13618" ht="33.75" customHeight="1">
      <c r="A13618" s="7">
        <v>723.0</v>
      </c>
      <c r="B13618" s="9" t="s">
        <v>18483</v>
      </c>
      <c r="C13618" s="9" t="s">
        <v>18484</v>
      </c>
      <c r="D13618" s="9" t="s">
        <v>642</v>
      </c>
      <c r="E13618" s="6" t="s">
        <v>18486</v>
      </c>
      <c r="F13618" s="9"/>
    </row>
    <row r="13619" ht="33.75" customHeight="1">
      <c r="A13619" s="7">
        <v>723.0</v>
      </c>
      <c r="B13619" s="9" t="s">
        <v>18483</v>
      </c>
      <c r="C13619" s="9" t="s">
        <v>18484</v>
      </c>
      <c r="D13619" s="9" t="s">
        <v>647</v>
      </c>
      <c r="E13619" s="6" t="s">
        <v>18487</v>
      </c>
      <c r="F13619" s="9"/>
    </row>
    <row r="13620" ht="33.75" customHeight="1">
      <c r="A13620" s="7">
        <v>723.0</v>
      </c>
      <c r="B13620" s="9" t="s">
        <v>18483</v>
      </c>
      <c r="C13620" s="9" t="s">
        <v>18484</v>
      </c>
      <c r="D13620" s="9" t="s">
        <v>652</v>
      </c>
      <c r="E13620" s="6" t="s">
        <v>18488</v>
      </c>
      <c r="F13620" s="9"/>
    </row>
    <row r="13621" ht="33.75" customHeight="1">
      <c r="A13621" s="7">
        <v>723.0</v>
      </c>
      <c r="B13621" s="9" t="s">
        <v>18483</v>
      </c>
      <c r="C13621" s="9" t="s">
        <v>18484</v>
      </c>
      <c r="D13621" s="9" t="s">
        <v>114</v>
      </c>
      <c r="E13621" s="6" t="s">
        <v>18489</v>
      </c>
      <c r="F13621" s="9"/>
    </row>
    <row r="13622" ht="33.75" customHeight="1">
      <c r="A13622" s="7">
        <v>723.0</v>
      </c>
      <c r="B13622" s="9" t="s">
        <v>18483</v>
      </c>
      <c r="C13622" s="9" t="s">
        <v>18484</v>
      </c>
      <c r="D13622" s="9" t="s">
        <v>117</v>
      </c>
      <c r="E13622" s="6" t="s">
        <v>18490</v>
      </c>
      <c r="F13622" s="9"/>
    </row>
    <row r="13623" ht="33.75" customHeight="1">
      <c r="A13623" s="7">
        <v>723.0</v>
      </c>
      <c r="B13623" s="9" t="s">
        <v>18483</v>
      </c>
      <c r="C13623" s="9" t="s">
        <v>18484</v>
      </c>
      <c r="D13623" s="9" t="s">
        <v>1577</v>
      </c>
      <c r="E13623" s="6" t="s">
        <v>18491</v>
      </c>
      <c r="F13623" s="9"/>
    </row>
    <row r="13624" ht="33.75" customHeight="1">
      <c r="A13624" s="7">
        <v>724.0</v>
      </c>
      <c r="B13624" s="9" t="s">
        <v>18492</v>
      </c>
      <c r="C13624" s="9" t="s">
        <v>18493</v>
      </c>
      <c r="D13624" s="9" t="s">
        <v>637</v>
      </c>
      <c r="E13624" s="6" t="s">
        <v>18494</v>
      </c>
      <c r="F13624" t="inlineStr" s="10">
        <is>
          <t xml:space="preserve">Decidueye ampuu nuolikärkiä siivistään niin tarkasti, että ne voivat lävistää kiven yli sadan metrin etäisyydeltä. Vaikka se on pohjimmiltaan viileä ja varovainen, yllätyksenä se valtaa paniikki. Se virittää nuolenkärkensä jänteeseen ja ampuu niitä vastustajia kohti. Kun se ei yksinkertaisesti voi osua harhaan, se nykäisee köynnöstä päänsä ympäri parantaakseen keskittymiskykyään. Decidueye voi virittää ja ampua nuolen vihollista kohti kymmenesosassa sekuntia, joten sen taistelut ratkaistaan ​​silmänräpäyksessä. Kuin jousta heilutellen se ampuu siipiensä höyhenten väliin piilotetut nuolenkärjet. Decidueyen laukaukset eivät koskaan osu harhaan. Se voi virittää ja ampua nuolen sulkakynän kymmenesosassa sekuntia, lävistäen vastustajan heikon kohdan ennen kuin tämä huomaa, mitä tapahtuu. Decidueyen höyhenten rachiseissa oleva ilma eristää Pokémonin Hisuin äärimmäiseltä kylmyydeltä. Tämä on vankka todiste siitä, että ympäristö voi vaikuttaa evoluutioon.</t>
        </is>
      </c>
    </row>
    <row r="13625" ht="33.75" customHeight="1">
      <c r="A13625" s="7">
        <v>724.0</v>
      </c>
      <c r="B13625" s="9" t="s">
        <v>18492</v>
      </c>
      <c r="C13625" s="9" t="s">
        <v>18493</v>
      </c>
      <c r="D13625" s="9" t="s">
        <v>642</v>
      </c>
      <c r="E13625" s="6" t="s">
        <v>18495</v>
      </c>
      <c r="F13625" s="9"/>
    </row>
    <row r="13626" ht="33.75" customHeight="1">
      <c r="A13626" s="7">
        <v>724.0</v>
      </c>
      <c r="B13626" s="9" t="s">
        <v>18492</v>
      </c>
      <c r="C13626" s="9" t="s">
        <v>18493</v>
      </c>
      <c r="D13626" s="9" t="s">
        <v>647</v>
      </c>
      <c r="E13626" s="6" t="s">
        <v>18496</v>
      </c>
      <c r="F13626" s="9"/>
    </row>
    <row r="13627" ht="33.75" customHeight="1">
      <c r="A13627" s="7">
        <v>724.0</v>
      </c>
      <c r="B13627" s="9" t="s">
        <v>18492</v>
      </c>
      <c r="C13627" s="9" t="s">
        <v>18493</v>
      </c>
      <c r="D13627" s="9" t="s">
        <v>652</v>
      </c>
      <c r="E13627" s="6" t="s">
        <v>18497</v>
      </c>
      <c r="F13627" s="9"/>
    </row>
    <row r="13628" ht="33.75" customHeight="1">
      <c r="A13628" s="7">
        <v>724.0</v>
      </c>
      <c r="B13628" s="9" t="s">
        <v>18492</v>
      </c>
      <c r="C13628" s="9" t="s">
        <v>18493</v>
      </c>
      <c r="D13628" s="9" t="s">
        <v>114</v>
      </c>
      <c r="E13628" s="6" t="s">
        <v>18498</v>
      </c>
      <c r="F13628" s="9"/>
    </row>
    <row r="13629" ht="33.75" customHeight="1">
      <c r="A13629" s="7">
        <v>724.0</v>
      </c>
      <c r="B13629" s="9" t="s">
        <v>18492</v>
      </c>
      <c r="C13629" s="9" t="s">
        <v>18493</v>
      </c>
      <c r="D13629" s="9" t="s">
        <v>117</v>
      </c>
      <c r="E13629" s="6" t="s">
        <v>18499</v>
      </c>
      <c r="F13629" s="9"/>
    </row>
    <row r="13630" ht="33.75" customHeight="1">
      <c r="A13630" s="7">
        <v>724.0</v>
      </c>
      <c r="B13630" s="9" t="s">
        <v>18492</v>
      </c>
      <c r="C13630" s="9" t="s">
        <v>18493</v>
      </c>
      <c r="D13630" s="9" t="s">
        <v>1577</v>
      </c>
      <c r="E13630" s="6" t="s">
        <v>18501</v>
      </c>
      <c r="F13630" s="9"/>
    </row>
    <row r="13631" ht="33.75" customHeight="1">
      <c r="A13631" s="7">
        <v>725.0</v>
      </c>
      <c r="B13631" s="9" t="s">
        <v>18502</v>
      </c>
      <c r="C13631" s="9" t="s">
        <v>18503</v>
      </c>
      <c r="D13631" s="9" t="s">
        <v>637</v>
      </c>
      <c r="E13631" s="6" t="s">
        <v>18504</v>
      </c>
      <c r="F13631" t="inlineStr" s="10">
        <is>
          <t xml:space="preserve">Puhdistaessaan itseään se kerää karvoja vatsaansa. Se sytyttää karvat tuleen ja sylkee tulisia hyökkäyksiä, jotka vaihtelevat sen yskimisen mukaan. Se ei anna tunteidensa näkyä helposti. Sen luottamuksen ansaitseminen vie aikaa. Se suosii yksinäisyyttä. Jos yrität liikaa päästää sitä lähelle, se ei avaudu sinulle. Vaikka tulisittekin läheisiksi, liiallinen hellyydenosoitus sille on silti kiellettyä. Sen turkki kasvaa uudelleen kaksi kertaa vuodessa. Kun aika koittaa, Litten sytyttää oman ruumiinsa tuleen ja polttaa vanhan turkin pois. Se käyttää pienimmänkin vapaa-ajan hoitaen turkkiaan kielellään. Irtonaiset karvat kerääntyvät sen vatsaan ja toimivat polttoaineena tulisille liikkeille. Jos yrität silittää Litteniä ennen kuin se luottaa sinuun, se naarmuttaa itseään ikävästi terävillä kynsillään. Ole varovainen.</t>
        </is>
      </c>
    </row>
    <row r="13632" ht="33.75" customHeight="1">
      <c r="A13632" s="7">
        <v>725.0</v>
      </c>
      <c r="B13632" s="9" t="s">
        <v>18502</v>
      </c>
      <c r="C13632" s="9" t="s">
        <v>18503</v>
      </c>
      <c r="D13632" s="9" t="s">
        <v>642</v>
      </c>
      <c r="E13632" s="6" t="s">
        <v>18505</v>
      </c>
      <c r="F13632" s="9"/>
    </row>
    <row r="13633" ht="33.75" customHeight="1">
      <c r="A13633" s="7">
        <v>725.0</v>
      </c>
      <c r="B13633" s="9" t="s">
        <v>18502</v>
      </c>
      <c r="C13633" s="9" t="s">
        <v>18503</v>
      </c>
      <c r="D13633" s="9" t="s">
        <v>647</v>
      </c>
      <c r="E13633" s="6" t="s">
        <v>18506</v>
      </c>
      <c r="F13633" s="9"/>
    </row>
    <row r="13634" ht="33.75" customHeight="1">
      <c r="A13634" s="7">
        <v>725.0</v>
      </c>
      <c r="B13634" s="9" t="s">
        <v>18502</v>
      </c>
      <c r="C13634" s="9" t="s">
        <v>18503</v>
      </c>
      <c r="D13634" s="9" t="s">
        <v>652</v>
      </c>
      <c r="E13634" s="6" t="s">
        <v>18507</v>
      </c>
      <c r="F13634" s="9"/>
    </row>
    <row r="13635" ht="33.75" customHeight="1">
      <c r="A13635" s="7">
        <v>725.0</v>
      </c>
      <c r="B13635" s="9" t="s">
        <v>18502</v>
      </c>
      <c r="C13635" s="9" t="s">
        <v>18503</v>
      </c>
      <c r="D13635" s="9" t="s">
        <v>114</v>
      </c>
      <c r="E13635" s="6" t="s">
        <v>18508</v>
      </c>
      <c r="F13635" s="9"/>
    </row>
    <row r="13636" ht="33.75" customHeight="1">
      <c r="A13636" s="7">
        <v>725.0</v>
      </c>
      <c r="B13636" s="9" t="s">
        <v>18502</v>
      </c>
      <c r="C13636" s="9" t="s">
        <v>18503</v>
      </c>
      <c r="D13636" s="9" t="s">
        <v>117</v>
      </c>
      <c r="E13636" s="6" t="s">
        <v>18509</v>
      </c>
      <c r="F13636" s="9"/>
    </row>
    <row r="13637" ht="33.75" customHeight="1">
      <c r="A13637" s="7">
        <v>726.0</v>
      </c>
      <c r="B13637" s="9" t="s">
        <v>18510</v>
      </c>
      <c r="C13637" s="9" t="s">
        <v>18503</v>
      </c>
      <c r="D13637" s="9" t="s">
        <v>637</v>
      </c>
      <c r="E13637" s="6" t="s">
        <v>18511</v>
      </c>
      <c r="F13637" t="inlineStr" s="10">
        <is>
          <t xml:space="preserve">Kurkussaan se kantaa tulikelloa. Kello soi kirkkaasti aina, kun tämä Pokémon sylkee tulta. Sillä on voimakkaat etujalat. Yhdellä iskulla se voi taivuttaa rautatangon nurinpäin. Se voi käyttäytyä hemmoteltuna, jos se kasvaa lähelle kouluttajaansa. Voimakkaana Pokémonina sen terävät kynnet voivat peittää kouluttajansa koko kehon naarmuilla. Kun sen harja on pystyssä, sen vointi on hyvä. Kun se ei voi hyvin, sen turkki on litteänä. Taistelun keskellä Torracatin kaulassa oleva tulipussi soi kuin kello ja tuottaa tavallista voimakkaampia liekkejä. Kohdatessaan voimakkaan vihollisen, Torracatin taistelutahto nousee ja sen tulikello leimahtaa kuumemmin.</t>
        </is>
      </c>
    </row>
    <row r="13638" ht="33.75" customHeight="1">
      <c r="A13638" s="7">
        <v>726.0</v>
      </c>
      <c r="B13638" s="9" t="s">
        <v>18510</v>
      </c>
      <c r="C13638" s="9" t="s">
        <v>18503</v>
      </c>
      <c r="D13638" s="9" t="s">
        <v>642</v>
      </c>
      <c r="E13638" s="6" t="s">
        <v>18512</v>
      </c>
      <c r="F13638" s="9"/>
    </row>
    <row r="13639" ht="33.75" customHeight="1">
      <c r="A13639" s="7">
        <v>726.0</v>
      </c>
      <c r="B13639" s="9" t="s">
        <v>18510</v>
      </c>
      <c r="C13639" s="9" t="s">
        <v>18503</v>
      </c>
      <c r="D13639" s="9" t="s">
        <v>647</v>
      </c>
      <c r="E13639" s="6" t="s">
        <v>18513</v>
      </c>
      <c r="F13639" s="9"/>
    </row>
    <row r="13640" ht="33.75" customHeight="1">
      <c r="A13640" s="7">
        <v>726.0</v>
      </c>
      <c r="B13640" s="9" t="s">
        <v>18510</v>
      </c>
      <c r="C13640" s="9" t="s">
        <v>18503</v>
      </c>
      <c r="D13640" s="9" t="s">
        <v>652</v>
      </c>
      <c r="E13640" s="6" t="s">
        <v>18514</v>
      </c>
      <c r="F13640" s="9"/>
    </row>
    <row r="13641" ht="33.75" customHeight="1">
      <c r="A13641" s="7">
        <v>726.0</v>
      </c>
      <c r="B13641" s="9" t="s">
        <v>18510</v>
      </c>
      <c r="C13641" s="9" t="s">
        <v>18503</v>
      </c>
      <c r="D13641" s="9" t="s">
        <v>114</v>
      </c>
      <c r="E13641" s="6" t="s">
        <v>18515</v>
      </c>
      <c r="F13641" s="9"/>
    </row>
    <row r="13642" ht="33.75" customHeight="1">
      <c r="A13642" s="7">
        <v>726.0</v>
      </c>
      <c r="B13642" s="9" t="s">
        <v>18510</v>
      </c>
      <c r="C13642" s="9" t="s">
        <v>18503</v>
      </c>
      <c r="D13642" s="9" t="s">
        <v>117</v>
      </c>
      <c r="E13642" s="6" t="s">
        <v>18516</v>
      </c>
      <c r="F13642" s="9"/>
    </row>
    <row r="13643" ht="33.75" customHeight="1">
      <c r="A13643" s="7">
        <v>727.0</v>
      </c>
      <c r="B13643" s="9" t="s">
        <v>18517</v>
      </c>
      <c r="C13643" s="9" t="s">
        <v>18518</v>
      </c>
      <c r="D13643" s="9" t="s">
        <v>637</v>
      </c>
      <c r="E13643" s="6" t="s">
        <v>18519</v>
      </c>
      <c r="F13643" t="inlineStr" s="10">
        <is>
          <t xml:space="preserve">Tällä Pokémonilla on väkivaltainen ja itsekäs luonne. Jos se ei ole sillä tuulella, että haluaisi kuunnella, se jättää kouluttajansa käskyt täysin välinpitämättömästi huomiotta. Heitettyään raivokkaita lyöntejä ja heiteltyään raivokkaita potkuja se viimeistelee vastustajat sylkemällä tulta navastaan. Vaikka se on karkeakäytöksinen ja itsekeskeinen, se pitää kelvottomien vastustajien nujertamisen tylsänä. Vahvemmat vastustajat motivoivat sitä. Kun sen taistelutahto syttyy, liekit sen vyötäröllä kiristyvät erityisen voimakkaasti. Se loistaa väkivaltaisissa ja ehdottomissa taisteluissa. Sen navasta lähtevien liekkien lämpötila ylittää 3 600 Fahrenheit-astetta. Incineroarin karkea ja aggressiivinen käytös on sen huomattavin piirre, mutta tapa, jolla se auttaa pieniä Pokémoneja, osoittaa, että sillä on myös ystävällinen puolensa.</t>
        </is>
      </c>
    </row>
    <row r="13644" ht="33.75" customHeight="1">
      <c r="A13644" s="7">
        <v>727.0</v>
      </c>
      <c r="B13644" s="9" t="s">
        <v>18517</v>
      </c>
      <c r="C13644" s="9" t="s">
        <v>18518</v>
      </c>
      <c r="D13644" s="9" t="s">
        <v>642</v>
      </c>
      <c r="E13644" s="6" t="s">
        <v>18520</v>
      </c>
      <c r="F13644" s="9"/>
    </row>
    <row r="13645" ht="33.75" customHeight="1">
      <c r="A13645" s="7">
        <v>727.0</v>
      </c>
      <c r="B13645" s="9" t="s">
        <v>18517</v>
      </c>
      <c r="C13645" s="9" t="s">
        <v>18518</v>
      </c>
      <c r="D13645" s="9" t="s">
        <v>647</v>
      </c>
      <c r="E13645" s="6" t="s">
        <v>18521</v>
      </c>
      <c r="F13645" s="9"/>
    </row>
    <row r="13646" ht="33.75" customHeight="1">
      <c r="A13646" s="7">
        <v>727.0</v>
      </c>
      <c r="B13646" s="9" t="s">
        <v>18517</v>
      </c>
      <c r="C13646" s="9" t="s">
        <v>18518</v>
      </c>
      <c r="D13646" s="9" t="s">
        <v>652</v>
      </c>
      <c r="E13646" s="6" t="s">
        <v>18522</v>
      </c>
      <c r="F13646" s="9"/>
    </row>
    <row r="13647" ht="33.75" customHeight="1">
      <c r="A13647" s="7">
        <v>727.0</v>
      </c>
      <c r="B13647" s="9" t="s">
        <v>18517</v>
      </c>
      <c r="C13647" s="9" t="s">
        <v>18518</v>
      </c>
      <c r="D13647" s="9" t="s">
        <v>114</v>
      </c>
      <c r="E13647" s="6" t="s">
        <v>18523</v>
      </c>
      <c r="F13647" s="9"/>
    </row>
    <row r="13648" ht="33.75" customHeight="1">
      <c r="A13648" s="7">
        <v>727.0</v>
      </c>
      <c r="B13648" s="9" t="s">
        <v>18517</v>
      </c>
      <c r="C13648" s="9" t="s">
        <v>18518</v>
      </c>
      <c r="D13648" s="9" t="s">
        <v>117</v>
      </c>
      <c r="E13648" s="6" t="s">
        <v>18525</v>
      </c>
      <c r="F13648" s="9"/>
    </row>
    <row r="13649" ht="33.75" customHeight="1">
      <c r="A13649" s="7">
        <v>728.0</v>
      </c>
      <c r="B13649" s="9" t="s">
        <v>18526</v>
      </c>
      <c r="C13649" s="9" t="s">
        <v>5273</v>
      </c>
      <c r="D13649" s="9" t="s">
        <v>637</v>
      </c>
      <c r="E13649" s="6" t="s">
        <v>18527</v>
      </c>
      <c r="F13649" t="inlineStr" s="10">
        <is>
          <t xml:space="preserve">Tämä Pokémon nuuhkaa ruumiinnesteitä nenästään ja puhaltaa ilmapalloja paiskautuakseen vihollisiinsa. Se on kuuluisa ahkerasta työstään. Tämä Pokémon osaa hallita vesikuplia. Se harjoittelee ahkerasti, jotta se voi oppia tekemään isoja kuplia. Ilmapallot, joita se täyttää nenällään, kasvavat suuremmiksi ja suuremmiksi sen harjoitellessa päivä päivältä. Popplio kiipeää pomppivien vesipallojensa päälle hypätäkseen korkeammalle. Se on melkoinen akrobaattinen taistelija! Se luo erityisiä pomppivia ilmapalloja lähettääkseen niitä vastustajiaan kohti. Kun ilmapallot poksahtavat, niiden puhkeamisen pelkkä voima tekee vahinkoa. Jos Popplio haluaa luoda isoja ja voimakkaita ilmapalloja, heidän on oltava sinnikkäitä. Näiden Pokémonien taitojen kehittäminen vaatii päivittäistä harjoittelua.</t>
        </is>
      </c>
    </row>
    <row r="13650" ht="33.75" customHeight="1">
      <c r="A13650" s="7">
        <v>728.0</v>
      </c>
      <c r="B13650" s="9" t="s">
        <v>18526</v>
      </c>
      <c r="C13650" s="9" t="s">
        <v>5273</v>
      </c>
      <c r="D13650" s="9" t="s">
        <v>642</v>
      </c>
      <c r="E13650" s="6" t="s">
        <v>18528</v>
      </c>
      <c r="F13650" s="9"/>
    </row>
    <row r="13651" ht="33.75" customHeight="1">
      <c r="A13651" s="7">
        <v>728.0</v>
      </c>
      <c r="B13651" s="9" t="s">
        <v>18526</v>
      </c>
      <c r="C13651" s="9" t="s">
        <v>5273</v>
      </c>
      <c r="D13651" s="9" t="s">
        <v>647</v>
      </c>
      <c r="E13651" s="6" t="s">
        <v>18529</v>
      </c>
      <c r="F13651" s="9"/>
    </row>
    <row r="13652" ht="33.75" customHeight="1">
      <c r="A13652" s="7">
        <v>728.0</v>
      </c>
      <c r="B13652" s="9" t="s">
        <v>18526</v>
      </c>
      <c r="C13652" s="9" t="s">
        <v>5273</v>
      </c>
      <c r="D13652" s="9" t="s">
        <v>652</v>
      </c>
      <c r="E13652" s="6" t="s">
        <v>18530</v>
      </c>
      <c r="F13652" s="9"/>
    </row>
    <row r="13653" ht="33.75" customHeight="1">
      <c r="A13653" s="7">
        <v>728.0</v>
      </c>
      <c r="B13653" s="9" t="s">
        <v>18526</v>
      </c>
      <c r="C13653" s="9" t="s">
        <v>5273</v>
      </c>
      <c r="D13653" s="9" t="s">
        <v>114</v>
      </c>
      <c r="E13653" s="6" t="s">
        <v>18531</v>
      </c>
      <c r="F13653" s="9"/>
    </row>
    <row r="13654" ht="33.75" customHeight="1">
      <c r="A13654" s="7">
        <v>728.0</v>
      </c>
      <c r="B13654" s="9" t="s">
        <v>18526</v>
      </c>
      <c r="C13654" s="9" t="s">
        <v>5273</v>
      </c>
      <c r="D13654" s="9" t="s">
        <v>117</v>
      </c>
      <c r="E13654" s="6" t="s">
        <v>18532</v>
      </c>
      <c r="F13654" s="9"/>
    </row>
    <row r="13655" ht="33.75" customHeight="1">
      <c r="A13655" s="7">
        <v>729.0</v>
      </c>
      <c r="B13655" s="9" t="s">
        <v>18533</v>
      </c>
      <c r="C13655" s="9" t="s">
        <v>18534</v>
      </c>
      <c r="D13655" s="9" t="s">
        <v>637</v>
      </c>
      <c r="E13655" s="6" t="s">
        <v>18535</v>
      </c>
      <c r="F13655" t="inlineStr" s="10">
        <is>
          <t xml:space="preserve">Taitava tanssija, se luo tanssiessaan vesipallojen sarjan ja pommittaa vihollisiaan reippaasti. Se välittää syvästi seuralaisistaan. Kun sen kouluttaja on alakuloinen, se tanssii iloisen tanssin yrittääkseen auttaa. Se innostuu nähdessään tanssin, jota se ei osaa. Tämä ahkera harjoittelee ahkerasti, kunnes se oppii tanssin. Se hyökkää läimäisemällä vihollisiaan luomillaan räjähtävillä vesipalloilla. Kuin tanssien se väistää taitavasti vihollistensa hyökkäyksiä. Samaan aikaan se on kiireinen muodostaen kasa ilmapalloja hukuttaakseen vihollisensa. Öinä, kun meri on tyyni, Brionne tanssii keskenään heitä johtavan Primarinan laulun tahtiin.</t>
        </is>
      </c>
    </row>
    <row r="13656" ht="33.75" customHeight="1">
      <c r="A13656" s="7">
        <v>729.0</v>
      </c>
      <c r="B13656" s="9" t="s">
        <v>18533</v>
      </c>
      <c r="C13656" s="9" t="s">
        <v>18534</v>
      </c>
      <c r="D13656" s="9" t="s">
        <v>642</v>
      </c>
      <c r="E13656" s="6" t="s">
        <v>18536</v>
      </c>
      <c r="F13656" s="9"/>
    </row>
    <row r="13657" ht="33.75" customHeight="1">
      <c r="A13657" s="7">
        <v>729.0</v>
      </c>
      <c r="B13657" s="9" t="s">
        <v>18533</v>
      </c>
      <c r="C13657" s="9" t="s">
        <v>18534</v>
      </c>
      <c r="D13657" s="9" t="s">
        <v>647</v>
      </c>
      <c r="E13657" s="6" t="s">
        <v>18537</v>
      </c>
      <c r="F13657" s="9"/>
    </row>
    <row r="13658" ht="33.75" customHeight="1">
      <c r="A13658" s="7">
        <v>729.0</v>
      </c>
      <c r="B13658" s="9" t="s">
        <v>18533</v>
      </c>
      <c r="C13658" s="9" t="s">
        <v>18534</v>
      </c>
      <c r="D13658" s="9" t="s">
        <v>652</v>
      </c>
      <c r="E13658" s="6" t="s">
        <v>18538</v>
      </c>
      <c r="F13658" s="9"/>
    </row>
    <row r="13659" ht="33.75" customHeight="1">
      <c r="A13659" s="7">
        <v>729.0</v>
      </c>
      <c r="B13659" s="9" t="s">
        <v>18533</v>
      </c>
      <c r="C13659" s="9" t="s">
        <v>18534</v>
      </c>
      <c r="D13659" s="9" t="s">
        <v>114</v>
      </c>
      <c r="E13659" s="6" t="s">
        <v>18539</v>
      </c>
      <c r="F13659" s="9"/>
    </row>
    <row r="13660" ht="33.75" customHeight="1">
      <c r="A13660" s="7">
        <v>729.0</v>
      </c>
      <c r="B13660" s="9" t="s">
        <v>18533</v>
      </c>
      <c r="C13660" s="9" t="s">
        <v>18534</v>
      </c>
      <c r="D13660" s="9" t="s">
        <v>117</v>
      </c>
      <c r="E13660" s="6" t="s">
        <v>18540</v>
      </c>
      <c r="F13660" s="9"/>
    </row>
    <row r="13661" ht="33.75" customHeight="1">
      <c r="A13661" s="7">
        <v>730.0</v>
      </c>
      <c r="B13661" s="9" t="s">
        <v>18541</v>
      </c>
      <c r="C13661" s="9" t="s">
        <v>18542</v>
      </c>
      <c r="D13661" s="9" t="s">
        <v>637</v>
      </c>
      <c r="E13661" s="6" t="s">
        <v>18543</v>
      </c>
      <c r="F13661" t="inlineStr" s="10">
        <is>
          <t xml:space="preserve">Primarina ohjaa vesipallojaan laululla. Melodian se oppii lajitovereilta ja siirtyy sukupolvelta toiselle. Sen lauluääni on sen tärkein ase taistelussa. Tämän Pokémonin kouluttajan on asetettava kurkkunsa päivittäinen huolto etusijalle hinnalla millä hyvänsä. Primarinalle jokainen taistelu on näyttämö. Se kaataa saaliinsa kauniilla laululla ja tanssilla. Tunnetaan myös laulutähdenä, ja sillä on fantastinen ilme kuutamoöinä johdattaessaan yhdyskuntaansa laulussa. Suullaan se tuottaa ääniaaltoja, jotka kuulostavat kauniilta laululta. Se käyttää ääniaaltoja vesipallojensa ohjaamiseen. Sen laulu ja ilmapallojen tanssi lumoavat yleisön.</t>
        </is>
      </c>
    </row>
    <row r="13662" ht="33.75" customHeight="1">
      <c r="A13662" s="7">
        <v>730.0</v>
      </c>
      <c r="B13662" s="9" t="s">
        <v>18541</v>
      </c>
      <c r="C13662" s="9" t="s">
        <v>18542</v>
      </c>
      <c r="D13662" s="9" t="s">
        <v>642</v>
      </c>
      <c r="E13662" s="6" t="s">
        <v>18544</v>
      </c>
      <c r="F13662" s="9"/>
    </row>
    <row r="13663" ht="33.75" customHeight="1">
      <c r="A13663" s="7">
        <v>730.0</v>
      </c>
      <c r="B13663" s="9" t="s">
        <v>18541</v>
      </c>
      <c r="C13663" s="9" t="s">
        <v>18542</v>
      </c>
      <c r="D13663" s="9" t="s">
        <v>647</v>
      </c>
      <c r="E13663" s="6" t="s">
        <v>18545</v>
      </c>
      <c r="F13663" s="9"/>
    </row>
    <row r="13664" ht="33.75" customHeight="1">
      <c r="A13664" s="7">
        <v>730.0</v>
      </c>
      <c r="B13664" s="9" t="s">
        <v>18541</v>
      </c>
      <c r="C13664" s="9" t="s">
        <v>18542</v>
      </c>
      <c r="D13664" s="9" t="s">
        <v>652</v>
      </c>
      <c r="E13664" s="6" t="s">
        <v>18546</v>
      </c>
      <c r="F13664" s="9"/>
    </row>
    <row r="13665" ht="33.75" customHeight="1">
      <c r="A13665" s="7">
        <v>730.0</v>
      </c>
      <c r="B13665" s="9" t="s">
        <v>18541</v>
      </c>
      <c r="C13665" s="9" t="s">
        <v>18542</v>
      </c>
      <c r="D13665" s="9" t="s">
        <v>114</v>
      </c>
      <c r="E13665" s="6" t="s">
        <v>18547</v>
      </c>
      <c r="F13665" s="9"/>
    </row>
    <row r="13666" ht="33.75" customHeight="1">
      <c r="A13666" s="7">
        <v>730.0</v>
      </c>
      <c r="B13666" s="9" t="s">
        <v>18541</v>
      </c>
      <c r="C13666" s="9" t="s">
        <v>18542</v>
      </c>
      <c r="D13666" s="9" t="s">
        <v>117</v>
      </c>
      <c r="E13666" s="6" t="s">
        <v>18548</v>
      </c>
      <c r="F13666" s="9"/>
    </row>
    <row r="13667" ht="33.75" customHeight="1">
      <c r="A13667" s="7">
        <v>731.0</v>
      </c>
      <c r="B13667" s="9" t="s">
        <v>18549</v>
      </c>
      <c r="C13667" s="9" t="s">
        <v>18550</v>
      </c>
      <c r="D13667" s="9" t="s">
        <v>637</v>
      </c>
      <c r="E13667" s="6" t="s">
        <v>18551</v>
      </c>
      <c r="F13667" t="inlineStr" s="10">
        <is>
          <t xml:space="preserve">Pikipek voi nokkia puuhun reikiä 16 kertaa sekunnissa. Se käyttää reikiä ravinnon varastointiin ja pesimiseen. Tämä Pokémon syö marjoja, joiden ylijääneistä siemenistä se käyttää ammuksia suustaan ​​ampumiinsa hyökkäyksiin. Se nokkii puita kovalla nokallaan. Sen mielialasta tai tilasta voi saada jonkinlaisen käsityksen nokkimisen rytmistä. Se saattaa näyttää hontelolta, mutta sen niskalihakset ovat raskaat. Se voi nokkia puuta 16 kertaa sekunnissa!</t>
        </is>
      </c>
    </row>
    <row r="13668" ht="33.75" customHeight="1">
      <c r="A13668" s="7">
        <v>731.0</v>
      </c>
      <c r="B13668" s="9" t="s">
        <v>18549</v>
      </c>
      <c r="C13668" s="9" t="s">
        <v>18550</v>
      </c>
      <c r="D13668" s="9" t="s">
        <v>642</v>
      </c>
      <c r="E13668" s="6" t="s">
        <v>18553</v>
      </c>
      <c r="F13668" s="9"/>
    </row>
    <row r="13669" ht="33.75" customHeight="1">
      <c r="A13669" s="7">
        <v>731.0</v>
      </c>
      <c r="B13669" s="9" t="s">
        <v>18549</v>
      </c>
      <c r="C13669" s="9" t="s">
        <v>18550</v>
      </c>
      <c r="D13669" s="9" t="s">
        <v>647</v>
      </c>
      <c r="E13669" s="6" t="s">
        <v>18554</v>
      </c>
      <c r="F13669" s="9"/>
    </row>
    <row r="13670" ht="33.75" customHeight="1">
      <c r="A13670" s="7">
        <v>731.0</v>
      </c>
      <c r="B13670" s="9" t="s">
        <v>18549</v>
      </c>
      <c r="C13670" s="9" t="s">
        <v>18550</v>
      </c>
      <c r="D13670" s="9" t="s">
        <v>652</v>
      </c>
      <c r="E13670" s="6" t="s">
        <v>18555</v>
      </c>
      <c r="F13670" s="9"/>
    </row>
    <row r="13671" ht="33.75" customHeight="1">
      <c r="A13671" s="7">
        <v>732.0</v>
      </c>
      <c r="B13671" s="9" t="s">
        <v>18556</v>
      </c>
      <c r="C13671" s="9" t="s">
        <v>18557</v>
      </c>
      <c r="D13671" s="9" t="s">
        <v>637</v>
      </c>
      <c r="E13671" s="6" t="s">
        <v>18558</v>
      </c>
      <c r="F13671" t="inlineStr" s="10">
        <is>
          <t xml:space="preserve">Trumbeak syö marjoja ja varastoi niiden siemeniä nokkaansa. Kohdatessaan vihollisia tai saalista se ampuu kaikki siemenet ryöpyssä. Taivuttamalla nokkaansa se voi tuottaa monenlaisia ​​ääniä ja leimata itsensä meluisaksi riesaksi naapureilleen. Se voi taivuttaa nokkansa kärkeä ja tuottaa yli sata erilaista huutoa mielensä mukaan. Suustaan ​​se ampuu syömiensä marjojen siemeniä. Hajottavista siemenistä kasvaa uusia kasveja.</t>
        </is>
      </c>
    </row>
    <row r="13672" ht="33.75" customHeight="1">
      <c r="A13672" s="7">
        <v>732.0</v>
      </c>
      <c r="B13672" s="9" t="s">
        <v>18556</v>
      </c>
      <c r="C13672" s="9" t="s">
        <v>18557</v>
      </c>
      <c r="D13672" s="9" t="s">
        <v>642</v>
      </c>
      <c r="E13672" s="6" t="s">
        <v>18559</v>
      </c>
      <c r="F13672" s="9"/>
    </row>
    <row r="13673" ht="33.75" customHeight="1">
      <c r="A13673" s="7">
        <v>732.0</v>
      </c>
      <c r="B13673" s="9" t="s">
        <v>18556</v>
      </c>
      <c r="C13673" s="9" t="s">
        <v>18557</v>
      </c>
      <c r="D13673" s="9" t="s">
        <v>647</v>
      </c>
      <c r="E13673" s="6" t="s">
        <v>18560</v>
      </c>
      <c r="F13673" s="9"/>
    </row>
    <row r="13674" ht="33.75" customHeight="1">
      <c r="A13674" s="7">
        <v>732.0</v>
      </c>
      <c r="B13674" s="9" t="s">
        <v>18556</v>
      </c>
      <c r="C13674" s="9" t="s">
        <v>18557</v>
      </c>
      <c r="D13674" s="9" t="s">
        <v>652</v>
      </c>
      <c r="E13674" s="6" t="s">
        <v>18561</v>
      </c>
      <c r="F13674" s="9"/>
    </row>
    <row r="13675" ht="33.75" customHeight="1">
      <c r="A13675" s="7">
        <v>733.0</v>
      </c>
      <c r="B13675" s="9" t="s">
        <v>18562</v>
      </c>
      <c r="C13675" s="9" t="s">
        <v>18563</v>
      </c>
      <c r="D13675" s="9" t="s">
        <v>637</v>
      </c>
      <c r="E13675" s="6" t="s">
        <v>18564</v>
      </c>
      <c r="F13675" t="inlineStr" s="10">
        <is>
          <t xml:space="preserve">Taistellessaan Toucannonin nokka kuumenee. Lämpötila voi helposti ylittää 100 celsiusastetta, mikä aiheuttaa vakavia palovammoja sen osuessa. Sen nokassa oleva kaasu syttyy ja räjähtää lähettäen siemeniä, joilla on tarpeeksi voimaa jauhaa lohkareita. Ne läpsäyttävät nokkaansa muiden lajitovereidensa kanssa kommunikoidakseen. Iskujen voimakkuus ja määrä kertovat toisilleen, miltä ne tuntevat. Tämä Pokémon tunnetaan harmonisten parien muodostamisesta, ja sitä käytetään hääseremonioissa onnenkaluna.</t>
        </is>
      </c>
    </row>
    <row r="13676" ht="33.75" customHeight="1">
      <c r="A13676" s="7">
        <v>733.0</v>
      </c>
      <c r="B13676" s="9" t="s">
        <v>18562</v>
      </c>
      <c r="C13676" s="9" t="s">
        <v>18563</v>
      </c>
      <c r="D13676" s="9" t="s">
        <v>642</v>
      </c>
      <c r="E13676" s="6" t="s">
        <v>18565</v>
      </c>
      <c r="F13676" s="9"/>
    </row>
    <row r="13677" ht="33.75" customHeight="1">
      <c r="A13677" s="7">
        <v>733.0</v>
      </c>
      <c r="B13677" s="9" t="s">
        <v>18562</v>
      </c>
      <c r="C13677" s="9" t="s">
        <v>18563</v>
      </c>
      <c r="D13677" s="9" t="s">
        <v>647</v>
      </c>
      <c r="E13677" s="6" t="s">
        <v>18566</v>
      </c>
      <c r="F13677" s="9"/>
    </row>
    <row r="13678" ht="33.75" customHeight="1">
      <c r="A13678" s="7">
        <v>733.0</v>
      </c>
      <c r="B13678" s="9" t="s">
        <v>18562</v>
      </c>
      <c r="C13678" s="9" t="s">
        <v>18563</v>
      </c>
      <c r="D13678" s="9" t="s">
        <v>652</v>
      </c>
      <c r="E13678" s="6" t="s">
        <v>18567</v>
      </c>
      <c r="F13678" s="9"/>
    </row>
    <row r="13679" ht="33.75" customHeight="1">
      <c r="A13679" s="7">
        <v>734.0</v>
      </c>
      <c r="B13679" s="9" t="s">
        <v>18568</v>
      </c>
      <c r="C13679" s="9" t="s">
        <v>18569</v>
      </c>
      <c r="D13679" s="9" t="s">
        <v>637</v>
      </c>
      <c r="E13679" s="6" t="s">
        <v>18570</v>
      </c>
      <c r="F13679" t="inlineStr" s="10">
        <is>
          <t xml:space="preserve">Terävillä hampaillaan se puree mitä tahansa. Se ei alun perin elänyt Alolassa, vaan se tuotiin toiselta alueelta. Se vaeltelee ympäriinsä loputtomassa ruoan etsinnässä. Hämärän laskeutuessa se romahtaa uupumuksesta ja nukahtaa paikalleen. Sen vatsa vie suurimman osan pitkästä vartalosta. Se on suuri syöjä, joten summa, jonka kouluttajien on käytettävä sen ruokaan, ei ole naurun asia. Vaikka se syö mitä tahansa, se suosii tuoreita eläviä olentoja, joten se marssii kaduilla etsimässä saalista.</t>
        </is>
      </c>
    </row>
    <row r="13680" ht="33.75" customHeight="1">
      <c r="A13680" s="7">
        <v>734.0</v>
      </c>
      <c r="B13680" s="9" t="s">
        <v>18568</v>
      </c>
      <c r="C13680" s="9" t="s">
        <v>18569</v>
      </c>
      <c r="D13680" s="9" t="s">
        <v>642</v>
      </c>
      <c r="E13680" s="6" t="s">
        <v>18571</v>
      </c>
      <c r="F13680" s="9"/>
    </row>
    <row r="13681" ht="33.75" customHeight="1">
      <c r="A13681" s="7">
        <v>734.0</v>
      </c>
      <c r="B13681" s="9" t="s">
        <v>18568</v>
      </c>
      <c r="C13681" s="9" t="s">
        <v>18569</v>
      </c>
      <c r="D13681" s="9" t="s">
        <v>647</v>
      </c>
      <c r="E13681" s="6" t="s">
        <v>18572</v>
      </c>
      <c r="F13681" s="9"/>
    </row>
    <row r="13682" ht="33.75" customHeight="1">
      <c r="A13682" s="7">
        <v>734.0</v>
      </c>
      <c r="B13682" s="9" t="s">
        <v>18568</v>
      </c>
      <c r="C13682" s="9" t="s">
        <v>18569</v>
      </c>
      <c r="D13682" s="9" t="s">
        <v>652</v>
      </c>
      <c r="E13682" s="6" t="s">
        <v>18573</v>
      </c>
      <c r="F13682" s="9"/>
    </row>
    <row r="13683" ht="33.75" customHeight="1">
      <c r="A13683" s="7">
        <v>735.0</v>
      </c>
      <c r="B13683" s="9" t="s">
        <v>18574</v>
      </c>
      <c r="C13683" s="9" t="s">
        <v>18575</v>
      </c>
      <c r="D13683" s="9" t="s">
        <v>637</v>
      </c>
      <c r="E13683" s="6" t="s">
        <v>18576</v>
      </c>
      <c r="F13683" t="inlineStr" s="10">
        <is>
          <t xml:space="preserve">Löydettyään jäljen saaliistaan ​​se tarkkailee kärsivällisesti paikkaa... mutta iltaan mennessä se on aina torkussa. Se rakastaa Rattatan ja Raticaten syömistä illallisella, mutta koska se on päiväsaikaan elävä, se ei koskaan kohtaa niitä. Tämä Pokémon ylpeilee uskomattomalla kärsivällisyydellä. Vaikka sitä ei alun perin löydetty Alolasta, tämä Pokémon tuotiin sinne kauan sitten valtavan Rattata-epidemian aikana. Luonteeltaan kärsivällinen tämä Pokémon menettää itsensä hallinnan ja hyökkää kimppuun kohdatessaan lempiruokansa – Rattatan!</t>
        </is>
      </c>
    </row>
    <row r="13684" ht="33.75" customHeight="1">
      <c r="A13684" s="7">
        <v>735.0</v>
      </c>
      <c r="B13684" s="9" t="s">
        <v>18574</v>
      </c>
      <c r="C13684" s="9" t="s">
        <v>18575</v>
      </c>
      <c r="D13684" s="9" t="s">
        <v>642</v>
      </c>
      <c r="E13684" s="6" t="s">
        <v>18577</v>
      </c>
      <c r="F13684" s="9"/>
    </row>
    <row r="13685" ht="33.75" customHeight="1">
      <c r="A13685" s="7">
        <v>735.0</v>
      </c>
      <c r="B13685" s="9" t="s">
        <v>18574</v>
      </c>
      <c r="C13685" s="9" t="s">
        <v>18575</v>
      </c>
      <c r="D13685" s="9" t="s">
        <v>647</v>
      </c>
      <c r="E13685" s="6" t="s">
        <v>18578</v>
      </c>
      <c r="F13685" s="9"/>
    </row>
    <row r="13686" ht="33.75" customHeight="1">
      <c r="A13686" s="7">
        <v>735.0</v>
      </c>
      <c r="B13686" s="9" t="s">
        <v>18574</v>
      </c>
      <c r="C13686" s="9" t="s">
        <v>18575</v>
      </c>
      <c r="D13686" s="9" t="s">
        <v>652</v>
      </c>
      <c r="E13686" s="6" t="s">
        <v>18579</v>
      </c>
      <c r="F13686" s="9"/>
    </row>
    <row r="13687" ht="33.75" customHeight="1">
      <c r="A13687" s="7">
        <v>736.0</v>
      </c>
      <c r="B13687" s="9" t="s">
        <v>18580</v>
      </c>
      <c r="C13687" s="9" t="s">
        <v>18581</v>
      </c>
      <c r="D13687" s="9" t="s">
        <v>637</v>
      </c>
      <c r="E13687" s="6" t="s">
        <v>18582</v>
      </c>
      <c r="F13687" t="inlineStr" s="10">
        <is>
          <t xml:space="preserve">Grubbinin vahvat leuat mahdollistavat sen kaapimisen puista ja mahlan imemisen. Se elää normaalisti maan alla. Ne kokoontuvat usein sähköisten Pokémonien suosimien paikkojen lähelle välttääkseen lintu-Pokémonien hyökkäykset. Jos löydät sen pesän, älä työnnä kättäsi sisään. Ärtynyt toukka puree sinua. Se sylkee tahmean langan pysäyttääkseen vastustajat heidän raiteillaan ja sitten se tarttuu heihin teräviin, tukeviin leukoihinsa kaataakseen heidät. Sen luonnolliset viholliset, kuten Rookidee, saattavat paeta mieluummin kuin ottaa riskin jäädä kiinni sen suuriin leukoihin, jotka voivat napsauttaa paksuja puiden oksia. Se kaivaa pesiä metsänpohjaan suurilla leuoillaan ja rakastaa makean puunmahlan syömistä.</t>
        </is>
      </c>
    </row>
    <row r="13688" ht="33.75" customHeight="1">
      <c r="A13688" s="7">
        <v>736.0</v>
      </c>
      <c r="B13688" s="9" t="s">
        <v>18580</v>
      </c>
      <c r="C13688" s="9" t="s">
        <v>18581</v>
      </c>
      <c r="D13688" s="9" t="s">
        <v>642</v>
      </c>
      <c r="E13688" s="6" t="s">
        <v>18583</v>
      </c>
      <c r="F13688" s="9"/>
    </row>
    <row r="13689" ht="33.75" customHeight="1">
      <c r="A13689" s="7">
        <v>736.0</v>
      </c>
      <c r="B13689" s="9" t="s">
        <v>18580</v>
      </c>
      <c r="C13689" s="9" t="s">
        <v>18581</v>
      </c>
      <c r="D13689" s="9" t="s">
        <v>647</v>
      </c>
      <c r="E13689" s="6" t="s">
        <v>18584</v>
      </c>
      <c r="F13689" s="9"/>
    </row>
    <row r="13690" ht="33.75" customHeight="1">
      <c r="A13690" s="7">
        <v>736.0</v>
      </c>
      <c r="B13690" s="9" t="s">
        <v>18580</v>
      </c>
      <c r="C13690" s="9" t="s">
        <v>18581</v>
      </c>
      <c r="D13690" s="9" t="s">
        <v>652</v>
      </c>
      <c r="E13690" s="6" t="s">
        <v>18586</v>
      </c>
      <c r="F13690" s="9"/>
    </row>
    <row r="13691" ht="33.75" customHeight="1">
      <c r="A13691" s="7">
        <v>736.0</v>
      </c>
      <c r="B13691" s="9" t="s">
        <v>18580</v>
      </c>
      <c r="C13691" s="9" t="s">
        <v>18581</v>
      </c>
      <c r="D13691" s="9" t="s">
        <v>114</v>
      </c>
      <c r="E13691" s="6" t="s">
        <v>18587</v>
      </c>
      <c r="F13691" s="9"/>
    </row>
    <row r="13692" ht="33.75" customHeight="1">
      <c r="A13692" s="7">
        <v>736.0</v>
      </c>
      <c r="B13692" s="9" t="s">
        <v>18580</v>
      </c>
      <c r="C13692" s="9" t="s">
        <v>18581</v>
      </c>
      <c r="D13692" s="9" t="s">
        <v>117</v>
      </c>
      <c r="E13692" s="6" t="s">
        <v>18588</v>
      </c>
      <c r="F13692" s="9"/>
    </row>
    <row r="13693" ht="33.75" customHeight="1">
      <c r="A13693" s="7">
        <v>737.0</v>
      </c>
      <c r="B13693" s="9" t="s">
        <v>18589</v>
      </c>
      <c r="C13693" s="9" t="s">
        <v>18590</v>
      </c>
      <c r="D13693" s="9" t="s">
        <v>637</v>
      </c>
      <c r="E13693" s="6" t="s">
        <v>18591</v>
      </c>
      <c r="F13693" t="inlineStr" s="10">
        <is>
          <t xml:space="preserve">Charjabugin runko pystyy varastoimaan sähköä. Leirintäretkillä ihmiset ovat kiitollisia siitä, että heillä on sellainen mukanaan. Ruoasta se tuottaa sähköä ja varastoi tämän energian sähköpussiinsa. Se hautautuu pudonneisiin lehtiin ja tuskin liikkuu mutustaen humusta. Jos vahingossa astut sellaisen päälle, saat sähköiskun! Sen tukeva kuori tarjoaa erinomaisen suojan hyökkäyksiä vastaan. Se käyttää sähköä sinnikkäisiin vastustajiin. Vaikka Charjabug suojaa sitä kestävältä kuorelta hyökkäyksiltä, ​​se iskee vihollisiin leukojensa kärjistä purkautuvilla sähköiskuilla. Sen ruoansulatusprosessit muuttavat syömänsä lehdet sähköksi. Sen vatsassa oleva sähköpussi varastoi sähkön myöhempää käyttöä varten.</t>
        </is>
      </c>
    </row>
    <row r="13694" ht="33.75" customHeight="1">
      <c r="A13694" s="7">
        <v>737.0</v>
      </c>
      <c r="B13694" s="9" t="s">
        <v>18589</v>
      </c>
      <c r="C13694" s="9" t="s">
        <v>18590</v>
      </c>
      <c r="D13694" s="9" t="s">
        <v>642</v>
      </c>
      <c r="E13694" s="6" t="s">
        <v>18592</v>
      </c>
      <c r="F13694" s="9"/>
    </row>
    <row r="13695" ht="33.75" customHeight="1">
      <c r="A13695" s="7">
        <v>737.0</v>
      </c>
      <c r="B13695" s="9" t="s">
        <v>18589</v>
      </c>
      <c r="C13695" s="9" t="s">
        <v>18590</v>
      </c>
      <c r="D13695" s="9" t="s">
        <v>647</v>
      </c>
      <c r="E13695" s="6" t="s">
        <v>18593</v>
      </c>
      <c r="F13695" s="9"/>
    </row>
    <row r="13696" ht="33.75" customHeight="1">
      <c r="A13696" s="7">
        <v>737.0</v>
      </c>
      <c r="B13696" s="9" t="s">
        <v>18589</v>
      </c>
      <c r="C13696" s="9" t="s">
        <v>18590</v>
      </c>
      <c r="D13696" s="9" t="s">
        <v>652</v>
      </c>
      <c r="E13696" s="6" t="s">
        <v>18594</v>
      </c>
      <c r="F13696" s="9"/>
    </row>
    <row r="13697" ht="33.75" customHeight="1">
      <c r="A13697" s="7">
        <v>737.0</v>
      </c>
      <c r="B13697" s="9" t="s">
        <v>18589</v>
      </c>
      <c r="C13697" s="9" t="s">
        <v>18590</v>
      </c>
      <c r="D13697" s="9" t="s">
        <v>114</v>
      </c>
      <c r="E13697" s="6" t="s">
        <v>18595</v>
      </c>
      <c r="F13697" s="9"/>
    </row>
    <row r="13698" ht="33.75" customHeight="1">
      <c r="A13698" s="7">
        <v>737.0</v>
      </c>
      <c r="B13698" s="9" t="s">
        <v>18589</v>
      </c>
      <c r="C13698" s="9" t="s">
        <v>18590</v>
      </c>
      <c r="D13698" s="9" t="s">
        <v>117</v>
      </c>
      <c r="E13698" s="6" t="s">
        <v>18596</v>
      </c>
      <c r="F13698" s="9"/>
    </row>
    <row r="13699" ht="33.75" customHeight="1">
      <c r="A13699" s="7">
        <v>738.0</v>
      </c>
      <c r="B13699" s="9" t="s">
        <v>18597</v>
      </c>
      <c r="C13699" s="9" t="s">
        <v>7992</v>
      </c>
      <c r="D13699" s="9" t="s">
        <v>637</v>
      </c>
      <c r="E13699" s="6" t="s">
        <v>18598</v>
      </c>
      <c r="F13699" t="inlineStr" s="10">
        <is>
          <t xml:space="preserve">Vikavolt viuhuu ympäriinsä tähyillen tarkasti aukkoa. Se keskittää sähköenergiaa suuriin leukoihinsa ja käyttää sitä vihollistensa tuhoamiseen. Se tuottaa sähköä vatsassaan olevan sähköisen elimen kautta. Se hukuttaa lintu-Pokémonit sähköenergian säteillä. Sillä on vatsassa sähköä tuottava elin. Se keskittää energiaa vahvoihin leukoihinsa ja lähettää voimakkaita sähköiskuja. Vikavolt hämmentää vastustajia akrobaattisilla lentoliikkeillä. Tämä luo sille mahdollisuuden suorittaa sähkösuihkuhyökkäys. Se kerää sähköä vatsaansa, keskittää sen leukojensa kautta ja lähettää sitten sähköä keskitetyissä säteissä. Jos se kantaa mukanaan Charjabugia vara-akkuna, lentävä Vikavolt voi ampua nopeasti tehokkaita sähkösäteitä.</t>
        </is>
      </c>
    </row>
    <row r="13700" ht="33.75" customHeight="1">
      <c r="A13700" s="7">
        <v>738.0</v>
      </c>
      <c r="B13700" s="9" t="s">
        <v>18597</v>
      </c>
      <c r="C13700" s="9" t="s">
        <v>7992</v>
      </c>
      <c r="D13700" s="9" t="s">
        <v>642</v>
      </c>
      <c r="E13700" s="6" t="s">
        <v>18599</v>
      </c>
      <c r="F13700" s="9"/>
    </row>
    <row r="13701" ht="33.75" customHeight="1">
      <c r="A13701" s="7">
        <v>738.0</v>
      </c>
      <c r="B13701" s="9" t="s">
        <v>18597</v>
      </c>
      <c r="C13701" s="9" t="s">
        <v>7992</v>
      </c>
      <c r="D13701" s="9" t="s">
        <v>647</v>
      </c>
      <c r="E13701" s="6" t="s">
        <v>18600</v>
      </c>
      <c r="F13701" s="9"/>
    </row>
    <row r="13702" ht="33.75" customHeight="1">
      <c r="A13702" s="7">
        <v>738.0</v>
      </c>
      <c r="B13702" s="9" t="s">
        <v>18597</v>
      </c>
      <c r="C13702" s="9" t="s">
        <v>7992</v>
      </c>
      <c r="D13702" s="9" t="s">
        <v>652</v>
      </c>
      <c r="E13702" s="6" t="s">
        <v>18601</v>
      </c>
      <c r="F13702" s="9"/>
    </row>
    <row r="13703" ht="33.75" customHeight="1">
      <c r="A13703" s="7">
        <v>738.0</v>
      </c>
      <c r="B13703" s="9" t="s">
        <v>18597</v>
      </c>
      <c r="C13703" s="9" t="s">
        <v>7992</v>
      </c>
      <c r="D13703" s="9" t="s">
        <v>114</v>
      </c>
      <c r="E13703" s="6" t="s">
        <v>18602</v>
      </c>
      <c r="F13703" s="9"/>
    </row>
    <row r="13704" ht="33.75" customHeight="1">
      <c r="A13704" s="7">
        <v>738.0</v>
      </c>
      <c r="B13704" s="9" t="s">
        <v>18597</v>
      </c>
      <c r="C13704" s="9" t="s">
        <v>7992</v>
      </c>
      <c r="D13704" s="9" t="s">
        <v>117</v>
      </c>
      <c r="E13704" s="6" t="s">
        <v>18603</v>
      </c>
      <c r="F13704" s="9"/>
    </row>
    <row r="13705" ht="33.75" customHeight="1">
      <c r="A13705" s="7">
        <v>739.0</v>
      </c>
      <c r="B13705" s="9" t="s">
        <v>18604</v>
      </c>
      <c r="C13705" s="9" t="s">
        <v>18606</v>
      </c>
      <c r="D13705" s="9" t="s">
        <v>637</v>
      </c>
      <c r="E13705" s="6" t="s">
        <v>18607</v>
      </c>
      <c r="F13705" t="inlineStr" s="10">
        <is>
          <t xml:space="preserve">Suojaten heikkoja kohtiaan pihdeillään se etsii aukkoa ja päästää irti lyöntejä. Hävitessään se vaahtoaa suustaan ​​ja pyörtyy. Se iskee niin paljon, että sen pihdit usein irtoavat liikakäytöstä, mutta ne kasvavat nopeasti takaisin. Se vähä liha, mitä niissä on, on täyteläistä ja herkullista. Sen kovat pihdit sopivat hyvin sekä hyökkäykseen että puolustukseen. Kahden Crabbrawlerin väliset taistelut ovat kuin nyrkkeilyotteluita. Crabrawler on erehtynyt luulemaan Exeggutoria kookospalmuksi ja kiipeämään sen päälle. Raivostunut Exeggutor ravistelee sen pois ja tallaa sen.</t>
        </is>
      </c>
    </row>
    <row r="13706" ht="33.75" customHeight="1">
      <c r="A13706" s="7">
        <v>739.0</v>
      </c>
      <c r="B13706" s="9" t="s">
        <v>18604</v>
      </c>
      <c r="C13706" s="9" t="s">
        <v>18606</v>
      </c>
      <c r="D13706" s="9" t="s">
        <v>642</v>
      </c>
      <c r="E13706" s="6" t="s">
        <v>18608</v>
      </c>
      <c r="F13706" s="9"/>
    </row>
    <row r="13707" ht="33.75" customHeight="1">
      <c r="A13707" s="7">
        <v>739.0</v>
      </c>
      <c r="B13707" s="9" t="s">
        <v>18604</v>
      </c>
      <c r="C13707" s="9" t="s">
        <v>18606</v>
      </c>
      <c r="D13707" s="9" t="s">
        <v>647</v>
      </c>
      <c r="E13707" s="6" t="s">
        <v>18609</v>
      </c>
      <c r="F13707" s="9"/>
    </row>
    <row r="13708" ht="33.75" customHeight="1">
      <c r="A13708" s="7">
        <v>739.0</v>
      </c>
      <c r="B13708" s="9" t="s">
        <v>18604</v>
      </c>
      <c r="C13708" s="9" t="s">
        <v>18606</v>
      </c>
      <c r="D13708" s="9" t="s">
        <v>652</v>
      </c>
      <c r="E13708" s="6" t="s">
        <v>18610</v>
      </c>
      <c r="F13708" s="9"/>
    </row>
    <row r="13709" ht="33.75" customHeight="1">
      <c r="A13709" s="7">
        <v>740.0</v>
      </c>
      <c r="B13709" s="9" t="s">
        <v>18611</v>
      </c>
      <c r="C13709" s="9" t="s">
        <v>18612</v>
      </c>
      <c r="D13709" s="9" t="s">
        <v>637</v>
      </c>
      <c r="E13709" s="6" t="s">
        <v>18613</v>
      </c>
      <c r="F13709" t="inlineStr" s="10">
        <is>
          <t xml:space="preserve">Crabominable tähtäsi huipulle, mutta eksyi ja päätyi lumihuippuiselle vuorelle. Kylmyyden kestämisen vuoksi tämä Pokémon kehittyi ja kasvatti turkkinsa. Se vain lyö umpimähkään. Epätoivon hetkellä se voi katkaista omat pihtinsä ja ampua niitä kuin raketteja. Se varastoi kylmyyttä pihdeissään ja moukaroi vihollisiaan. Se voi jopa murskata paksut jääkuoria palasiksi! Ennen kuin se pysähtyy ajattelemaan, se jo alkaa hakata. On olemassa tietoja siitä, kuinka se on torjunut lumivyöryjä iskujen riehuessa.</t>
        </is>
      </c>
    </row>
    <row r="13710" ht="33.75" customHeight="1">
      <c r="A13710" s="7">
        <v>740.0</v>
      </c>
      <c r="B13710" s="9" t="s">
        <v>18611</v>
      </c>
      <c r="C13710" s="9" t="s">
        <v>18612</v>
      </c>
      <c r="D13710" s="9" t="s">
        <v>642</v>
      </c>
      <c r="E13710" s="6" t="s">
        <v>18614</v>
      </c>
      <c r="F13710" s="9"/>
    </row>
    <row r="13711" ht="33.75" customHeight="1">
      <c r="A13711" s="7">
        <v>740.0</v>
      </c>
      <c r="B13711" s="9" t="s">
        <v>18611</v>
      </c>
      <c r="C13711" s="9" t="s">
        <v>18612</v>
      </c>
      <c r="D13711" s="9" t="s">
        <v>647</v>
      </c>
      <c r="E13711" s="6" t="s">
        <v>18615</v>
      </c>
      <c r="F13711" s="9"/>
    </row>
    <row r="13712" ht="33.75" customHeight="1">
      <c r="A13712" s="7">
        <v>740.0</v>
      </c>
      <c r="B13712" s="9" t="s">
        <v>18611</v>
      </c>
      <c r="C13712" s="9" t="s">
        <v>18612</v>
      </c>
      <c r="D13712" s="9" t="s">
        <v>652</v>
      </c>
      <c r="E13712" s="6" t="s">
        <v>18616</v>
      </c>
      <c r="F13712" s="9"/>
    </row>
    <row r="13713" ht="33.75" customHeight="1">
      <c r="A13713" s="7">
        <v>741.0</v>
      </c>
      <c r="B13713" s="9" t="s">
        <v>18617</v>
      </c>
      <c r="C13713" s="9" t="s">
        <v>18618</v>
      </c>
      <c r="D13713" s="9" t="s">
        <v>637</v>
      </c>
      <c r="E13713" s="6" t="s">
        <v>18619</v>
      </c>
      <c r="F13713" t="inlineStr" s="10">
        <is>
          <t xml:space="preserve">Oricorio lyö siipiään yhteen luodakseen tulta. Kauniin tanssinsa askeleissa se kylvettää vastustajat voimakkaisiin liekkeihin. Tämä Oricorio on siemannut punaista nektaria. Sen intohimoiset tanssiliikkeet saavat viholliset liekkeihin sekä ruumiissa että mielissä. Se voittaa vihollistensa sydämet intohimoisella tanssillaan ja käyttää sitten luomaansa aukkoa polttaakseen heidät liekehtivillä liekeillä. Tämä Oricorio on juonut punaista nektaria. Jos sen kouluttaja antaa väärän käskyn, tämä intohimoinen Pokémon suuttuu raivokkaasti.</t>
        </is>
      </c>
    </row>
    <row r="13714" ht="33.75" customHeight="1">
      <c r="A13714" s="7">
        <v>741.0</v>
      </c>
      <c r="B13714" s="9" t="s">
        <v>18617</v>
      </c>
      <c r="C13714" s="9" t="s">
        <v>18618</v>
      </c>
      <c r="D13714" s="9" t="s">
        <v>642</v>
      </c>
      <c r="E13714" s="6" t="s">
        <v>18620</v>
      </c>
      <c r="F13714" s="9"/>
    </row>
    <row r="13715" ht="33.75" customHeight="1">
      <c r="A13715" s="7">
        <v>741.0</v>
      </c>
      <c r="B13715" s="9" t="s">
        <v>18617</v>
      </c>
      <c r="C13715" s="9" t="s">
        <v>18618</v>
      </c>
      <c r="D13715" s="9" t="s">
        <v>647</v>
      </c>
      <c r="E13715" s="6" t="s">
        <v>18621</v>
      </c>
      <c r="F13715" s="9"/>
    </row>
    <row r="13716" ht="33.75" customHeight="1">
      <c r="A13716" s="7">
        <v>741.0</v>
      </c>
      <c r="B13716" s="9" t="s">
        <v>18617</v>
      </c>
      <c r="C13716" s="9" t="s">
        <v>18618</v>
      </c>
      <c r="D13716" s="9" t="s">
        <v>652</v>
      </c>
      <c r="E13716" s="6" t="s">
        <v>18622</v>
      </c>
      <c r="F13716" s="9"/>
    </row>
    <row r="13717" ht="33.75" customHeight="1">
      <c r="A13717" s="7">
        <v>742.0</v>
      </c>
      <c r="B13717" s="9" t="s">
        <v>18623</v>
      </c>
      <c r="C13717" s="9" t="s">
        <v>18624</v>
      </c>
      <c r="D13717" s="9" t="s">
        <v>637</v>
      </c>
      <c r="E13717" s="6" t="s">
        <v>18625</v>
      </c>
      <c r="F13717" t="inlineStr" s="10">
        <is>
          <t xml:space="preserve">Cutiefly syö kukkien mettä ja siitepölyä. Koska se pystyy aistimaan auroja, se voi tunnistaa, mitkä kukat ovat puhkeamassa kukkaan. Myriadeittain söpöläisiä lepattaa ihmisten yllä, joiden aurat muistuttavat kukkien auroja. Mesi ja siitepöly ovat sen lempiruokaa. Kukkakasveilla se joutuu kahakoihin Butterfreen kanssa ruoasta. Cutiefly pystyy havaitsemaan elävien olentojen auroja. Se lukee niitä taitavasti ennustaakseen vihollistensa liikkeitä ja tehdäkseen heistä naurunalaisia. Voit löytää Cutiefly-perhonen leijumasta Gossifleurin ympärillä yrittämässä saada kiinni Gossifleurin siitepölyä. Vastustajan aura voi kertoa Cutieflylle, mikä vastustajan seuraava liike on. Sitten Cutiefly voi liitää hyökkäyksen ympäri ja iskeä takaisin.</t>
        </is>
      </c>
    </row>
    <row r="13718" ht="33.75" customHeight="1">
      <c r="A13718" s="7">
        <v>742.0</v>
      </c>
      <c r="B13718" s="9" t="s">
        <v>18623</v>
      </c>
      <c r="C13718" s="9" t="s">
        <v>18624</v>
      </c>
      <c r="D13718" s="9" t="s">
        <v>642</v>
      </c>
      <c r="E13718" s="6" t="s">
        <v>18626</v>
      </c>
      <c r="F13718" s="9"/>
    </row>
    <row r="13719" ht="33.75" customHeight="1">
      <c r="A13719" s="7">
        <v>742.0</v>
      </c>
      <c r="B13719" s="9" t="s">
        <v>18623</v>
      </c>
      <c r="C13719" s="9" t="s">
        <v>18624</v>
      </c>
      <c r="D13719" s="9" t="s">
        <v>647</v>
      </c>
      <c r="E13719" s="6" t="s">
        <v>18627</v>
      </c>
      <c r="F13719" s="9"/>
    </row>
    <row r="13720" ht="33.75" customHeight="1">
      <c r="A13720" s="7">
        <v>742.0</v>
      </c>
      <c r="B13720" s="9" t="s">
        <v>18623</v>
      </c>
      <c r="C13720" s="9" t="s">
        <v>18624</v>
      </c>
      <c r="D13720" s="9" t="s">
        <v>652</v>
      </c>
      <c r="E13720" s="6" t="s">
        <v>18628</v>
      </c>
      <c r="F13720" s="9"/>
    </row>
    <row r="13721" ht="33.75" customHeight="1">
      <c r="A13721" s="7">
        <v>742.0</v>
      </c>
      <c r="B13721" s="9" t="s">
        <v>18623</v>
      </c>
      <c r="C13721" s="9" t="s">
        <v>18624</v>
      </c>
      <c r="D13721" s="9" t="s">
        <v>114</v>
      </c>
      <c r="E13721" s="6" t="s">
        <v>18630</v>
      </c>
      <c r="F13721" s="9"/>
    </row>
    <row r="13722" ht="33.75" customHeight="1">
      <c r="A13722" s="7">
        <v>742.0</v>
      </c>
      <c r="B13722" s="9" t="s">
        <v>18623</v>
      </c>
      <c r="C13722" s="9" t="s">
        <v>18624</v>
      </c>
      <c r="D13722" s="9" t="s">
        <v>117</v>
      </c>
      <c r="E13722" s="6" t="s">
        <v>18631</v>
      </c>
      <c r="F13722" s="9"/>
    </row>
    <row r="13723" ht="33.75" customHeight="1">
      <c r="A13723" s="7">
        <v>743.0</v>
      </c>
      <c r="B13723" s="9" t="s">
        <v>18632</v>
      </c>
      <c r="C13723" s="9" t="s">
        <v>18624</v>
      </c>
      <c r="D13723" s="9" t="s">
        <v>637</v>
      </c>
      <c r="E13723" s="6" t="s">
        <v>18633</v>
      </c>
      <c r="F13723" t="inlineStr" s="10">
        <is>
          <t xml:space="preserve">Ribombee käärii siitepölyä möykkyiksi. Siitä muodostuu monia eri lajikkeita, joista osaa käytetään ruoana ja toisia taistelussa. Jotkut Ribombeen siitepölyhuiskauksista ovat erittäin ravitsevia. Niitä myydään joskus ravintolisinä. Sade tekee siitepölystä kosteaa, joten Ribombee vihaa sadetta. Nähdessään uhkaavia pilviä se löytää onkalon puusta, jossa se odottaa liikkumatta. Se voi ennustaa sään kosteustasojen ja tuulen suunnan perusteella. Ribombee paljastaa itsensä vain, kun on muutama kirkas päivä peräkkäin. Se tekee siitepölypuhalluksia siitepölystä ja medestä. Puhallusten vaikutukset riippuvat ainesosien tyypistä ja siitä, kuinka paljon kutakin käytetään. Ribombeet vihaavat kastumista tai satamista. Pilvisellä Galarin alueella niitä näkee hyvin harvoin.</t>
        </is>
      </c>
    </row>
    <row r="13724" ht="33.75" customHeight="1">
      <c r="A13724" s="7">
        <v>743.0</v>
      </c>
      <c r="B13724" s="9" t="s">
        <v>18632</v>
      </c>
      <c r="C13724" s="9" t="s">
        <v>18624</v>
      </c>
      <c r="D13724" s="9" t="s">
        <v>642</v>
      </c>
      <c r="E13724" s="6" t="s">
        <v>18634</v>
      </c>
      <c r="F13724" s="9"/>
    </row>
    <row r="13725" ht="33.75" customHeight="1">
      <c r="A13725" s="7">
        <v>743.0</v>
      </c>
      <c r="B13725" s="9" t="s">
        <v>18632</v>
      </c>
      <c r="C13725" s="9" t="s">
        <v>18624</v>
      </c>
      <c r="D13725" s="9" t="s">
        <v>647</v>
      </c>
      <c r="E13725" s="6" t="s">
        <v>18635</v>
      </c>
      <c r="F13725" s="9"/>
    </row>
    <row r="13726" ht="33.75" customHeight="1">
      <c r="A13726" s="7">
        <v>743.0</v>
      </c>
      <c r="B13726" s="9" t="s">
        <v>18632</v>
      </c>
      <c r="C13726" s="9" t="s">
        <v>18624</v>
      </c>
      <c r="D13726" s="9" t="s">
        <v>652</v>
      </c>
      <c r="E13726" s="6" t="s">
        <v>18636</v>
      </c>
      <c r="F13726" s="9"/>
    </row>
    <row r="13727" ht="33.75" customHeight="1">
      <c r="A13727" s="7">
        <v>743.0</v>
      </c>
      <c r="B13727" s="9" t="s">
        <v>18632</v>
      </c>
      <c r="C13727" s="9" t="s">
        <v>18624</v>
      </c>
      <c r="D13727" s="9" t="s">
        <v>114</v>
      </c>
      <c r="E13727" s="6" t="s">
        <v>18637</v>
      </c>
      <c r="F13727" s="9"/>
    </row>
    <row r="13728" ht="33.75" customHeight="1">
      <c r="A13728" s="7">
        <v>743.0</v>
      </c>
      <c r="B13728" s="9" t="s">
        <v>18632</v>
      </c>
      <c r="C13728" s="9" t="s">
        <v>18624</v>
      </c>
      <c r="D13728" s="9" t="s">
        <v>117</v>
      </c>
      <c r="E13728" s="6" t="s">
        <v>18638</v>
      </c>
      <c r="F13728" s="9"/>
    </row>
    <row r="13729" ht="33.75" customHeight="1">
      <c r="A13729" s="7">
        <v>744.0</v>
      </c>
      <c r="B13729" s="9" t="s">
        <v>18639</v>
      </c>
      <c r="C13729" s="9" t="s">
        <v>3459</v>
      </c>
      <c r="D13729" s="9" t="s">
        <v>637</v>
      </c>
      <c r="E13729" s="6" t="s">
        <v>18640</v>
      </c>
      <c r="F13729" t="inlineStr" s="10">
        <is>
          <t xml:space="preserve">Sitä pidetään hyvänä Pokémonina aloittelijoille ystävällisyytensä vuoksi, mutta Rockruffin luonne karhenee kasvaessaan. Tämä Pokémon on elänyt ihmisten kanssa kauan sitten. Se aistii, milloin sen kouluttaja on alakuloinen, ja pysyy kouluttajansa lähellä. Kehittyessään niiden luonne muuttuu väkivaltaisemmaksi ja aggressiivisemmaksi. Monet kouluttajat kokevat ne liian vaikeiksi käsitellä ja hylkäävät ne. Kun se hieroo niskassaan olevia kiviä sinua vasten, se on todiste sen rakkaudesta sinua kohtaan. Kivet ovat kuitenkin teräviä, joten ele on melko tuskallinen! Tämä Pokémon voi kiintyä erittäin vahvasti kouluttajaansa, mutta sillä on myös tapana purra. Rockruffin kasvattaminen pitkään voi olla haastavaa. Tämä Pokémon pelottelee vastustajia lyömällä maahan kaulassaan olevilla kivillä. Heti kun vastustaja säpsähtää, Rockruff hyökkää.</t>
        </is>
      </c>
    </row>
    <row r="13730" ht="33.75" customHeight="1">
      <c r="A13730" s="7">
        <v>744.0</v>
      </c>
      <c r="B13730" s="9" t="s">
        <v>18639</v>
      </c>
      <c r="C13730" s="9" t="s">
        <v>3459</v>
      </c>
      <c r="D13730" s="9" t="s">
        <v>642</v>
      </c>
      <c r="E13730" s="6" t="s">
        <v>18641</v>
      </c>
      <c r="F13730" s="9"/>
    </row>
    <row r="13731" ht="33.75" customHeight="1">
      <c r="A13731" s="7">
        <v>744.0</v>
      </c>
      <c r="B13731" s="9" t="s">
        <v>18639</v>
      </c>
      <c r="C13731" s="9" t="s">
        <v>3459</v>
      </c>
      <c r="D13731" s="9" t="s">
        <v>647</v>
      </c>
      <c r="E13731" s="6" t="s">
        <v>18642</v>
      </c>
      <c r="F13731" s="9"/>
    </row>
    <row r="13732" ht="33.75" customHeight="1">
      <c r="A13732" s="7">
        <v>744.0</v>
      </c>
      <c r="B13732" s="9" t="s">
        <v>18639</v>
      </c>
      <c r="C13732" s="9" t="s">
        <v>3459</v>
      </c>
      <c r="D13732" s="9" t="s">
        <v>652</v>
      </c>
      <c r="E13732" s="6" t="s">
        <v>18643</v>
      </c>
      <c r="F13732" s="9"/>
    </row>
    <row r="13733" ht="33.75" customHeight="1">
      <c r="A13733" s="7">
        <v>744.0</v>
      </c>
      <c r="B13733" s="9" t="s">
        <v>18639</v>
      </c>
      <c r="C13733" s="9" t="s">
        <v>3459</v>
      </c>
      <c r="D13733" s="9" t="s">
        <v>114</v>
      </c>
      <c r="E13733" s="6" t="s">
        <v>18644</v>
      </c>
      <c r="F13733" s="9"/>
    </row>
    <row r="13734" ht="33.75" customHeight="1">
      <c r="A13734" s="7">
        <v>744.0</v>
      </c>
      <c r="B13734" s="9" t="s">
        <v>18639</v>
      </c>
      <c r="C13734" s="9" t="s">
        <v>3459</v>
      </c>
      <c r="D13734" s="9" t="s">
        <v>117</v>
      </c>
      <c r="E13734" s="6" t="s">
        <v>18645</v>
      </c>
      <c r="F13734" s="9"/>
    </row>
    <row r="13735" ht="33.75" customHeight="1">
      <c r="A13735" s="7">
        <v>745.0</v>
      </c>
      <c r="B13735" s="9" t="s">
        <v>18646</v>
      </c>
      <c r="C13735" s="9" t="s">
        <v>18647</v>
      </c>
      <c r="D13735" s="9" t="s">
        <v>637</v>
      </c>
      <c r="E13735" s="6" t="s">
        <v>18648</v>
      </c>
      <c r="F13735" t="inlineStr" s="10">
        <is>
          <t xml:space="preserve">Lycanrocin nopeat liikkeet hämmentävät vihollisia. Se on hyvin varustautunut kynsillään ja hampaillaan ja käyttää harjansa teräviä kiviä aseina. Kun sitä kasvatetaan oikein nuoresta iästä lähtien, siitä tulee luotettava kumppani, joka ei koskaan petä kouluttajaansa. Sen harjan terävät kivet voivat viiltää kuin veitset. Lycanroc kuluttaa saaliinsa vähitellen ennen kuin lopettaa sen. Sen harjan kivet ovat terävämpiä kuin veitsi. Irtoavia sirpaleita vaalitaan onnenkaluina. Tämä Lycanroc on rauhallinen ja varovainen. Sen harjasta törröttävät kivet ovat partaveitsen teräviä. Nopeilla liikkeillä tämä Pokémon ajaa saaliinsa vähitellen nurkkaan. Lycanrocin torahampaat on aina suunnattu vastustajien heikkoihin kohtiin.</t>
        </is>
      </c>
    </row>
    <row r="13736" ht="33.75" customHeight="1">
      <c r="A13736" s="7">
        <v>745.0</v>
      </c>
      <c r="B13736" s="9" t="s">
        <v>18646</v>
      </c>
      <c r="C13736" s="9" t="s">
        <v>18647</v>
      </c>
      <c r="D13736" s="9" t="s">
        <v>642</v>
      </c>
      <c r="E13736" s="6" t="s">
        <v>18649</v>
      </c>
      <c r="F13736" s="9"/>
    </row>
    <row r="13737" ht="33.75" customHeight="1">
      <c r="A13737" s="7">
        <v>745.0</v>
      </c>
      <c r="B13737" s="9" t="s">
        <v>18646</v>
      </c>
      <c r="C13737" s="9" t="s">
        <v>18647</v>
      </c>
      <c r="D13737" s="9" t="s">
        <v>647</v>
      </c>
      <c r="E13737" s="6" t="s">
        <v>18650</v>
      </c>
      <c r="F13737" s="9"/>
    </row>
    <row r="13738" ht="33.75" customHeight="1">
      <c r="A13738" s="7">
        <v>745.0</v>
      </c>
      <c r="B13738" s="9" t="s">
        <v>18646</v>
      </c>
      <c r="C13738" s="9" t="s">
        <v>18647</v>
      </c>
      <c r="D13738" s="9" t="s">
        <v>652</v>
      </c>
      <c r="E13738" s="6" t="s">
        <v>18651</v>
      </c>
      <c r="F13738" s="9"/>
    </row>
    <row r="13739" ht="33.75" customHeight="1">
      <c r="A13739" s="7">
        <v>745.0</v>
      </c>
      <c r="B13739" s="9" t="s">
        <v>18646</v>
      </c>
      <c r="C13739" s="9" t="s">
        <v>18647</v>
      </c>
      <c r="D13739" s="9" t="s">
        <v>114</v>
      </c>
      <c r="E13739" s="6" t="s">
        <v>18652</v>
      </c>
      <c r="F13739" s="9"/>
    </row>
    <row r="13740" ht="33.75" customHeight="1">
      <c r="A13740" s="7">
        <v>745.0</v>
      </c>
      <c r="B13740" s="9" t="s">
        <v>18646</v>
      </c>
      <c r="C13740" s="9" t="s">
        <v>18647</v>
      </c>
      <c r="D13740" s="9" t="s">
        <v>117</v>
      </c>
      <c r="E13740" s="6" t="s">
        <v>18653</v>
      </c>
      <c r="F13740" s="9"/>
    </row>
    <row r="13741" ht="33.75" customHeight="1">
      <c r="A13741" s="7">
        <v>746.0</v>
      </c>
      <c r="B13741" s="9" t="s">
        <v>18654</v>
      </c>
      <c r="C13741" s="9" t="s">
        <v>18655</v>
      </c>
      <c r="D13741" s="9" t="s">
        <v>637</v>
      </c>
      <c r="E13741" s="6" t="s">
        <v>18656</v>
      </c>
      <c r="F13741" t="inlineStr" s="10">
        <is>
          <t xml:space="preserve">Kun se on vaikeuksissa, Wishiwashin silmät kostuvat ja alkavat loistaa. Loistava valo vetää puoleensa sen tovereita, ja he puolustavat yhdessä vihollisiaan vastaan. Se on kamalan laihaa ja huomattavan maukasta, joten kaikki ovat aina sen perässä. Sattumalta jokainen, joka yrittää kiusata sitä, saa tuskallisen opetuksen. Ne ovat heikkoja, joten ne liikkuvat kouluissa. Ne voidaan kuitenkin usein nähdä myös aivan yksin, eksyneinä koulusta. Ruuhkassa ollessaan sen loistavat silmät vetävät puoleensa muita lajitovereitaan. Sen silmien valo näkyy lähes 40 kilometrin päähän. Yksilöinä he ovat uskomattoman heikkoja. He pystyvät kohtaamaan vastustajat kerääntymällä kouluiksi. Kun se aistii vaaran, sen silmät kostuvat. Sen kyynelten kimallus viestii muille Wishiwasheille, että heidän on kokoontuttava.</t>
        </is>
      </c>
    </row>
    <row r="13742" ht="33.75" customHeight="1">
      <c r="A13742" s="7">
        <v>746.0</v>
      </c>
      <c r="B13742" s="9" t="s">
        <v>18654</v>
      </c>
      <c r="C13742" s="9" t="s">
        <v>18655</v>
      </c>
      <c r="D13742" s="9" t="s">
        <v>642</v>
      </c>
      <c r="E13742" s="6" t="s">
        <v>18658</v>
      </c>
      <c r="F13742" s="9"/>
    </row>
    <row r="13743" ht="33.75" customHeight="1">
      <c r="A13743" s="7">
        <v>746.0</v>
      </c>
      <c r="B13743" s="9" t="s">
        <v>18654</v>
      </c>
      <c r="C13743" s="9" t="s">
        <v>18655</v>
      </c>
      <c r="D13743" s="9" t="s">
        <v>647</v>
      </c>
      <c r="E13743" s="6" t="s">
        <v>18659</v>
      </c>
      <c r="F13743" s="9"/>
    </row>
    <row r="13744" ht="33.75" customHeight="1">
      <c r="A13744" s="7">
        <v>746.0</v>
      </c>
      <c r="B13744" s="9" t="s">
        <v>18654</v>
      </c>
      <c r="C13744" s="9" t="s">
        <v>18655</v>
      </c>
      <c r="D13744" s="9" t="s">
        <v>652</v>
      </c>
      <c r="E13744" s="6" t="s">
        <v>18660</v>
      </c>
      <c r="F13744" s="9"/>
    </row>
    <row r="13745" ht="33.75" customHeight="1">
      <c r="A13745" s="7">
        <v>746.0</v>
      </c>
      <c r="B13745" s="9" t="s">
        <v>18654</v>
      </c>
      <c r="C13745" s="9" t="s">
        <v>18655</v>
      </c>
      <c r="D13745" s="9" t="s">
        <v>114</v>
      </c>
      <c r="E13745" s="6" t="s">
        <v>18661</v>
      </c>
      <c r="F13745" s="9"/>
    </row>
    <row r="13746" ht="33.75" customHeight="1">
      <c r="A13746" s="7">
        <v>746.0</v>
      </c>
      <c r="B13746" s="9" t="s">
        <v>18654</v>
      </c>
      <c r="C13746" s="9" t="s">
        <v>18655</v>
      </c>
      <c r="D13746" s="9" t="s">
        <v>117</v>
      </c>
      <c r="E13746" s="6" t="s">
        <v>18662</v>
      </c>
      <c r="F13746" s="9"/>
    </row>
    <row r="13747" ht="33.75" customHeight="1">
      <c r="A13747" s="7">
        <v>747.0</v>
      </c>
      <c r="B13747" s="9" t="s">
        <v>18663</v>
      </c>
      <c r="C13747" s="9" t="s">
        <v>18664</v>
      </c>
      <c r="D13747" s="9" t="s">
        <v>637</v>
      </c>
      <c r="E13747" s="6" t="s">
        <v>18665</v>
      </c>
      <c r="F13747" t="inlineStr" s="10">
        <is>
          <t xml:space="preserve">Mareanie iskee päässään olevan myrkkypiikin saaliiseensa. Kun saalis on heikentynyt, Mareanie antaa viimeisen iskun kymmenellä lonkerollaan. Sitä tavataan ryömimässä rannoilla ja merenpohjassa. Corsolan päässä kasvava koralli on tälle Pokémonille kuin viiden tähden juhla-ateria. Ne syövät Corsolan oksia, joten käsityöläiset, jotka työskentelevät luonnostaan ​​pudonneiden Corsolan oksien kanssa, vihaavat Mareanie-kanoja. Päätä lukuun ottamatta sen ruumiinosat uusiutuvat nopeasti, jos ne katkaistaan. Hyvin nukutun yön jälkeen Mareanie on taas normaali. Sen piston ensimmäinen oire on tunnottomuus. Seuraava on kutina, joka on niin voimakasta, että on mahdotonta vastustaa halua raapia ihoa. Toisin kuin alolaiset kollegansa, Galarin alueen mareaniet eivät ole vielä tajunneet, että Corsolan oksat ovat herkullisia.</t>
        </is>
      </c>
    </row>
    <row r="13748" ht="33.75" customHeight="1">
      <c r="A13748" s="7">
        <v>747.0</v>
      </c>
      <c r="B13748" s="9" t="s">
        <v>18663</v>
      </c>
      <c r="C13748" s="9" t="s">
        <v>18664</v>
      </c>
      <c r="D13748" s="9" t="s">
        <v>642</v>
      </c>
      <c r="E13748" s="6" t="s">
        <v>18666</v>
      </c>
      <c r="F13748" s="9"/>
    </row>
    <row r="13749" ht="33.75" customHeight="1">
      <c r="A13749" s="7">
        <v>747.0</v>
      </c>
      <c r="B13749" s="9" t="s">
        <v>18663</v>
      </c>
      <c r="C13749" s="9" t="s">
        <v>18664</v>
      </c>
      <c r="D13749" s="9" t="s">
        <v>647</v>
      </c>
      <c r="E13749" s="6" t="s">
        <v>18667</v>
      </c>
      <c r="F13749" s="9"/>
    </row>
    <row r="13750" ht="33.75" customHeight="1">
      <c r="A13750" s="7">
        <v>747.0</v>
      </c>
      <c r="B13750" s="9" t="s">
        <v>18663</v>
      </c>
      <c r="C13750" s="9" t="s">
        <v>18664</v>
      </c>
      <c r="D13750" s="9" t="s">
        <v>652</v>
      </c>
      <c r="E13750" s="6" t="s">
        <v>18668</v>
      </c>
      <c r="F13750" s="9"/>
    </row>
    <row r="13751" ht="33.75" customHeight="1">
      <c r="A13751" s="7">
        <v>747.0</v>
      </c>
      <c r="B13751" s="9" t="s">
        <v>18663</v>
      </c>
      <c r="C13751" s="9" t="s">
        <v>18664</v>
      </c>
      <c r="D13751" s="9" t="s">
        <v>114</v>
      </c>
      <c r="E13751" s="6" t="s">
        <v>18669</v>
      </c>
      <c r="F13751" s="9"/>
    </row>
    <row r="13752" ht="33.75" customHeight="1">
      <c r="A13752" s="7">
        <v>747.0</v>
      </c>
      <c r="B13752" s="9" t="s">
        <v>18663</v>
      </c>
      <c r="C13752" s="9" t="s">
        <v>18664</v>
      </c>
      <c r="D13752" s="9" t="s">
        <v>117</v>
      </c>
      <c r="E13752" s="6" t="s">
        <v>18670</v>
      </c>
      <c r="F13752" s="9"/>
    </row>
    <row r="13753" ht="33.75" customHeight="1">
      <c r="A13753" s="7">
        <v>748.0</v>
      </c>
      <c r="B13753" s="9" t="s">
        <v>18671</v>
      </c>
      <c r="C13753" s="9" t="s">
        <v>18664</v>
      </c>
      <c r="D13753" s="9" t="s">
        <v>637</v>
      </c>
      <c r="E13753" s="6" t="s">
        <v>18672</v>
      </c>
      <c r="F13753" t="inlineStr" s="10">
        <is>
          <t xml:space="preserve">Toxapex ryömii merenpohjaa pitkin 12 jalallaan. Se jättää jälkeensä vanan Corsolan palasista. Toxapexin myrkyn kohteeksi joutuneet kärsivät voimakkaasta kivusta kolmen päivän ja kolmen yön ajan. Toipumisen jälkeen on joitakin jälkivaikutuksia. Hyökätäkseen tämä Pokémon lähettää myrkyllisiä piikkejä vihollisiaan kohti. Lähelle tulevat piikit niitetään alas sen jalkojen kynsillä. 12 jalallaan se luo kupolin suojaan. Vuoroveden virtaus ei vaikuta siellä olevaan Toxapexiin, joten se on erittäin mukava. Selviytyäkseen Galarin kylmissä vesissä tämä Pokémon muodostaa jaloillaan kupolin, joka ympäröi sen ruumiin, jotta se voi kerätä omaa ruumiinlämpöään. Sen kehon myrkkypussissa on niin myrkyllistä myrkkyä, että jopa Wailordin kokoiset Pokémonit kärsivät siitä vielä kolme päivää sen vaikutuksen alkamisen jälkeen.</t>
        </is>
      </c>
    </row>
    <row r="13754" ht="33.75" customHeight="1">
      <c r="A13754" s="7">
        <v>748.0</v>
      </c>
      <c r="B13754" s="9" t="s">
        <v>18671</v>
      </c>
      <c r="C13754" s="9" t="s">
        <v>18664</v>
      </c>
      <c r="D13754" s="9" t="s">
        <v>642</v>
      </c>
      <c r="E13754" s="6" t="s">
        <v>18674</v>
      </c>
      <c r="F13754" s="9"/>
    </row>
    <row r="13755" ht="33.75" customHeight="1">
      <c r="A13755" s="7">
        <v>748.0</v>
      </c>
      <c r="B13755" s="9" t="s">
        <v>18671</v>
      </c>
      <c r="C13755" s="9" t="s">
        <v>18664</v>
      </c>
      <c r="D13755" s="9" t="s">
        <v>647</v>
      </c>
      <c r="E13755" s="6" t="s">
        <v>18675</v>
      </c>
      <c r="F13755" s="9"/>
    </row>
    <row r="13756" ht="33.75" customHeight="1">
      <c r="A13756" s="7">
        <v>748.0</v>
      </c>
      <c r="B13756" s="9" t="s">
        <v>18671</v>
      </c>
      <c r="C13756" s="9" t="s">
        <v>18664</v>
      </c>
      <c r="D13756" s="9" t="s">
        <v>652</v>
      </c>
      <c r="E13756" s="6" t="s">
        <v>18676</v>
      </c>
      <c r="F13756" s="9"/>
    </row>
    <row r="13757" ht="33.75" customHeight="1">
      <c r="A13757" s="7">
        <v>748.0</v>
      </c>
      <c r="B13757" s="9" t="s">
        <v>18671</v>
      </c>
      <c r="C13757" s="9" t="s">
        <v>18664</v>
      </c>
      <c r="D13757" s="9" t="s">
        <v>114</v>
      </c>
      <c r="E13757" s="6" t="s">
        <v>18677</v>
      </c>
      <c r="F13757" s="9"/>
    </row>
    <row r="13758" ht="33.75" customHeight="1">
      <c r="A13758" s="7">
        <v>748.0</v>
      </c>
      <c r="B13758" s="9" t="s">
        <v>18671</v>
      </c>
      <c r="C13758" s="9" t="s">
        <v>18664</v>
      </c>
      <c r="D13758" s="9" t="s">
        <v>117</v>
      </c>
      <c r="E13758" s="6" t="s">
        <v>18678</v>
      </c>
      <c r="F13758" s="9"/>
    </row>
    <row r="13759" ht="33.75" customHeight="1">
      <c r="A13759" s="7">
        <v>749.0</v>
      </c>
      <c r="B13759" s="9" t="s">
        <v>18679</v>
      </c>
      <c r="C13759" s="9" t="s">
        <v>18680</v>
      </c>
      <c r="D13759" s="9" t="s">
        <v>637</v>
      </c>
      <c r="E13759" s="6" t="s">
        <v>18681</v>
      </c>
      <c r="F13759" t="inlineStr" s="10">
        <is>
          <t xml:space="preserve">Mudbrayn kavioihin tarttunut muta parantaa Mudbrayn pitoa ja voimakasta juoksuaskelta. Sillä on itsepäinen ja individualistinen luonne. Maaperän syöminen, mudan tekeminen ja mudassa leikkiminen ovat kaikki osa sen päivittäistä rutiinia. Se rakastaa mudassa leikkimistä. Jos sitä ei suihkuteta mudalla päivittäin, se stressaantuu eikä enää kuuntele kouluttajaansa. Mahtavan voimansa omaava Mudbray voidaan kuormittaa 50 kertaa oman painonsa verran, eikä se haittaa mitään. Jopa 50 kertaa sen oman painon painavat kuormat eivät ole tälle Pokémonille ongelma. Se on taitava käyttämään mutaa hyväkseen. Se syö multaa luodakseen mutaa ja sivelee tätä mutaa kaikkialle jalkoihinsa, mikä antaa niille tarvittavan pidon kävellä epätasaisessa maastossa liukastumatta.</t>
        </is>
      </c>
    </row>
    <row r="13760" ht="33.75" customHeight="1">
      <c r="A13760" s="7">
        <v>749.0</v>
      </c>
      <c r="B13760" s="9" t="s">
        <v>18679</v>
      </c>
      <c r="C13760" s="9" t="s">
        <v>18680</v>
      </c>
      <c r="D13760" s="9" t="s">
        <v>642</v>
      </c>
      <c r="E13760" s="6" t="s">
        <v>18682</v>
      </c>
      <c r="F13760" s="9"/>
    </row>
    <row r="13761" ht="33.75" customHeight="1">
      <c r="A13761" s="7">
        <v>749.0</v>
      </c>
      <c r="B13761" s="9" t="s">
        <v>18679</v>
      </c>
      <c r="C13761" s="9" t="s">
        <v>18680</v>
      </c>
      <c r="D13761" s="9" t="s">
        <v>647</v>
      </c>
      <c r="E13761" s="6" t="s">
        <v>18683</v>
      </c>
      <c r="F13761" s="9"/>
    </row>
    <row r="13762" ht="33.75" customHeight="1">
      <c r="A13762" s="7">
        <v>749.0</v>
      </c>
      <c r="B13762" s="9" t="s">
        <v>18679</v>
      </c>
      <c r="C13762" s="9" t="s">
        <v>18680</v>
      </c>
      <c r="D13762" s="9" t="s">
        <v>652</v>
      </c>
      <c r="E13762" s="6" t="s">
        <v>18684</v>
      </c>
      <c r="F13762" s="9"/>
    </row>
    <row r="13763" ht="33.75" customHeight="1">
      <c r="A13763" s="7">
        <v>749.0</v>
      </c>
      <c r="B13763" s="9" t="s">
        <v>18679</v>
      </c>
      <c r="C13763" s="9" t="s">
        <v>18680</v>
      </c>
      <c r="D13763" s="9" t="s">
        <v>114</v>
      </c>
      <c r="E13763" s="6" t="s">
        <v>18685</v>
      </c>
      <c r="F13763" s="9"/>
    </row>
    <row r="13764" ht="33.75" customHeight="1">
      <c r="A13764" s="7">
        <v>749.0</v>
      </c>
      <c r="B13764" s="9" t="s">
        <v>18679</v>
      </c>
      <c r="C13764" s="9" t="s">
        <v>18680</v>
      </c>
      <c r="D13764" s="9" t="s">
        <v>117</v>
      </c>
      <c r="E13764" s="6" t="s">
        <v>18686</v>
      </c>
      <c r="F13764" s="9"/>
    </row>
    <row r="13765" ht="33.75" customHeight="1">
      <c r="A13765" s="7">
        <v>750.0</v>
      </c>
      <c r="B13765" s="9" t="s">
        <v>18687</v>
      </c>
      <c r="C13765" s="9" t="s">
        <v>18688</v>
      </c>
      <c r="D13765" s="9" t="s">
        <v>637</v>
      </c>
      <c r="E13765" s="6" t="s">
        <v>18689</v>
      </c>
      <c r="F13765" t="inlineStr" s="10">
        <is>
          <t xml:space="preserve">Mudsdale sylkee mutaa, joka kestää sekä tuulta että sadetta, joten vanhojen talojen seinät päällystettiin usein sillä. Sen raskaat, mudassa peitetyt potkut ovat sen paras hyökkäyskeino, ja sillä voi romuttaa suuretkin kuorma-autot hikoilematta. Se pysyy rauhallisena ja liikkumattomana tilanteesta riippumatta. Se sekoittaa suussaan sylkeen likaa muodostaen erityisen mudan. Se voi tarpoa vuoristoteitä lepäämättä kolme päivää ja kolme yötä, koko ajan raahaten 10 tonnin kuormaa. Mudsdalen jalkojen ympärille kovettunut muta kovettuu kiveä kovempaa. Se on niin kovaa, että tämä Pokémon voi romuttaa rekan yhdellä potkulla. Mudsdalella on niin paljon kestävyyttä, että se voisi kantaa yli 10 tonnia Galarin alueen halki ilman lepoa tai unta.</t>
        </is>
      </c>
    </row>
    <row r="13766" ht="33.75" customHeight="1">
      <c r="A13766" s="7">
        <v>750.0</v>
      </c>
      <c r="B13766" s="9" t="s">
        <v>18687</v>
      </c>
      <c r="C13766" s="9" t="s">
        <v>18688</v>
      </c>
      <c r="D13766" s="9" t="s">
        <v>642</v>
      </c>
      <c r="E13766" s="6" t="s">
        <v>18691</v>
      </c>
      <c r="F13766" s="9"/>
    </row>
    <row r="13767" ht="33.75" customHeight="1">
      <c r="A13767" s="7">
        <v>750.0</v>
      </c>
      <c r="B13767" s="9" t="s">
        <v>18687</v>
      </c>
      <c r="C13767" s="9" t="s">
        <v>18688</v>
      </c>
      <c r="D13767" s="9" t="s">
        <v>647</v>
      </c>
      <c r="E13767" s="6" t="s">
        <v>18692</v>
      </c>
      <c r="F13767" s="9"/>
    </row>
    <row r="13768" ht="33.75" customHeight="1">
      <c r="A13768" s="7">
        <v>750.0</v>
      </c>
      <c r="B13768" s="9" t="s">
        <v>18687</v>
      </c>
      <c r="C13768" s="9" t="s">
        <v>18688</v>
      </c>
      <c r="D13768" s="9" t="s">
        <v>652</v>
      </c>
      <c r="E13768" s="6" t="s">
        <v>18693</v>
      </c>
      <c r="F13768" s="9"/>
    </row>
    <row r="13769" ht="33.75" customHeight="1">
      <c r="A13769" s="7">
        <v>750.0</v>
      </c>
      <c r="B13769" s="9" t="s">
        <v>18687</v>
      </c>
      <c r="C13769" s="9" t="s">
        <v>18688</v>
      </c>
      <c r="D13769" s="9" t="s">
        <v>114</v>
      </c>
      <c r="E13769" s="6" t="s">
        <v>18694</v>
      </c>
      <c r="F13769" s="9"/>
    </row>
    <row r="13770" ht="33.75" customHeight="1">
      <c r="A13770" s="7">
        <v>750.0</v>
      </c>
      <c r="B13770" s="9" t="s">
        <v>18687</v>
      </c>
      <c r="C13770" s="9" t="s">
        <v>18688</v>
      </c>
      <c r="D13770" s="9" t="s">
        <v>117</v>
      </c>
      <c r="E13770" s="6" t="s">
        <v>18695</v>
      </c>
      <c r="F13770" s="9"/>
    </row>
    <row r="13771" ht="33.75" customHeight="1">
      <c r="A13771" s="7">
        <v>751.0</v>
      </c>
      <c r="B13771" s="9" t="s">
        <v>18696</v>
      </c>
      <c r="C13771" s="9" t="s">
        <v>18697</v>
      </c>
      <c r="D13771" s="9" t="s">
        <v>637</v>
      </c>
      <c r="E13771" s="6" t="s">
        <v>18698</v>
      </c>
      <c r="F13771" t="inlineStr" s="10">
        <is>
          <t xml:space="preserve">Dewpider ryömii maalle etsimään ruokaa. Sen vesikupla mahdollistaa hengityksen ja suojaa pehmeää päätään. Kohdatessaan vihollisia tai mahdollisen saaliin, tämä Pokémon iskee vesikuplien peittämän päänsä heihin. Kun kaksi kastehämähäkkiä kohtaavat, ne esittelevät vesikupliaan toisilleen. Sitten se, jolla on pienempi kupla, väistyy toisen tieltä. Se voi hengittää vain veteen liuennutta happea, joten sillä on päässään vesikupla kävellessään maalla. Se muodostaa vesikuplan ruumiinsa takaosaan ja peittää sitten päänsä sillä. Toisen kastehämähäkin tapaaminen tarkoittaa vesikuplien koon vertailua. Kastihämähäkki elää normaalisti veden alla. Kun se tulee maihin etsimään ruokaa, se ottaa vettä mukaansa päähänsä muodostuneen kuplan muodossa.</t>
        </is>
      </c>
    </row>
    <row r="13772" ht="33.75" customHeight="1">
      <c r="A13772" s="7">
        <v>751.0</v>
      </c>
      <c r="B13772" s="9" t="s">
        <v>18696</v>
      </c>
      <c r="C13772" s="9" t="s">
        <v>18697</v>
      </c>
      <c r="D13772" s="9" t="s">
        <v>642</v>
      </c>
      <c r="E13772" s="6" t="s">
        <v>18699</v>
      </c>
      <c r="F13772" s="9"/>
    </row>
    <row r="13773" ht="33.75" customHeight="1">
      <c r="A13773" s="7">
        <v>751.0</v>
      </c>
      <c r="B13773" s="9" t="s">
        <v>18696</v>
      </c>
      <c r="C13773" s="9" t="s">
        <v>18697</v>
      </c>
      <c r="D13773" s="9" t="s">
        <v>647</v>
      </c>
      <c r="E13773" s="6" t="s">
        <v>18700</v>
      </c>
      <c r="F13773" s="9"/>
    </row>
    <row r="13774" ht="33.75" customHeight="1">
      <c r="A13774" s="7">
        <v>751.0</v>
      </c>
      <c r="B13774" s="9" t="s">
        <v>18696</v>
      </c>
      <c r="C13774" s="9" t="s">
        <v>18697</v>
      </c>
      <c r="D13774" s="9" t="s">
        <v>652</v>
      </c>
      <c r="E13774" s="6" t="s">
        <v>18701</v>
      </c>
      <c r="F13774" s="9"/>
    </row>
    <row r="13775" ht="33.75" customHeight="1">
      <c r="A13775" s="7">
        <v>751.0</v>
      </c>
      <c r="B13775" s="9" t="s">
        <v>18696</v>
      </c>
      <c r="C13775" s="9" t="s">
        <v>18697</v>
      </c>
      <c r="D13775" s="9" t="s">
        <v>114</v>
      </c>
      <c r="E13775" s="6" t="s">
        <v>18702</v>
      </c>
      <c r="F13775" s="9"/>
    </row>
    <row r="13776" ht="33.75" customHeight="1">
      <c r="A13776" s="7">
        <v>751.0</v>
      </c>
      <c r="B13776" s="9" t="s">
        <v>18696</v>
      </c>
      <c r="C13776" s="9" t="s">
        <v>18697</v>
      </c>
      <c r="D13776" s="9" t="s">
        <v>117</v>
      </c>
      <c r="E13776" s="6" t="s">
        <v>18703</v>
      </c>
      <c r="F13776" s="9"/>
    </row>
    <row r="13777" ht="33.75" customHeight="1">
      <c r="A13777" s="7">
        <v>752.0</v>
      </c>
      <c r="B13777" s="9" t="s">
        <v>18704</v>
      </c>
      <c r="C13777" s="9" t="s">
        <v>18697</v>
      </c>
      <c r="D13777" s="9" t="s">
        <v>637</v>
      </c>
      <c r="E13777" s="6" t="s">
        <v>18705</v>
      </c>
      <c r="F13777" t="inlineStr" s="10">
        <is>
          <t xml:space="preserve">Araquanid suorittaa pääniskuja vesikupla päässään. Pienet Pokémonit imeytyvät kuplaan, jossa ne hukkuvat. Ulkonäöstään huolimatta se välittää muista. Jos se löytää haavoittuvia, heikkoja Pokémoneja, se tuo ne suojelevasti vesikuplaansa. Se viettää yleensä aikansa vedessä. Kun sen vatsa on täynnä, se säilöö hillityn saaliinsa päänsä vesikuplaan. Sillä on tapana säilyttää arvokkaita asioita vesikuplassaan. Jos sen kouluttaja ei ole varuillaan, Araquanid yrittää laittaa ne sen kuplaan! Se laukaisee vesikuplia jaloillaan hukuttaen saaliinsa kupliin. Tämä Pokémon voi sitten nauttia ateriastaan ​​rauhassa. Se toimii Kastehämähäkin hoitajana laittamalla ne omaan kuplaansa ja antamalla niiden syödä jäljelle jääneen ruoan.</t>
        </is>
      </c>
    </row>
    <row r="13778" ht="33.75" customHeight="1">
      <c r="A13778" s="7">
        <v>752.0</v>
      </c>
      <c r="B13778" s="9" t="s">
        <v>18704</v>
      </c>
      <c r="C13778" s="9" t="s">
        <v>18697</v>
      </c>
      <c r="D13778" s="9" t="s">
        <v>642</v>
      </c>
      <c r="E13778" s="6" t="s">
        <v>18706</v>
      </c>
      <c r="F13778" s="9"/>
    </row>
    <row r="13779" ht="33.75" customHeight="1">
      <c r="A13779" s="7">
        <v>752.0</v>
      </c>
      <c r="B13779" s="9" t="s">
        <v>18704</v>
      </c>
      <c r="C13779" s="9" t="s">
        <v>18697</v>
      </c>
      <c r="D13779" s="9" t="s">
        <v>647</v>
      </c>
      <c r="E13779" s="6" t="s">
        <v>18707</v>
      </c>
      <c r="F13779" s="9"/>
    </row>
    <row r="13780" ht="33.75" customHeight="1">
      <c r="A13780" s="7">
        <v>752.0</v>
      </c>
      <c r="B13780" s="9" t="s">
        <v>18704</v>
      </c>
      <c r="C13780" s="9" t="s">
        <v>18697</v>
      </c>
      <c r="D13780" s="9" t="s">
        <v>652</v>
      </c>
      <c r="E13780" s="6" t="s">
        <v>18708</v>
      </c>
      <c r="F13780" s="9"/>
    </row>
    <row r="13781" ht="33.75" customHeight="1">
      <c r="A13781" s="7">
        <v>752.0</v>
      </c>
      <c r="B13781" s="9" t="s">
        <v>18704</v>
      </c>
      <c r="C13781" s="9" t="s">
        <v>18697</v>
      </c>
      <c r="D13781" s="9" t="s">
        <v>114</v>
      </c>
      <c r="E13781" s="6" t="s">
        <v>18709</v>
      </c>
      <c r="F13781" s="9"/>
    </row>
    <row r="13782" ht="33.75" customHeight="1">
      <c r="A13782" s="7">
        <v>752.0</v>
      </c>
      <c r="B13782" s="9" t="s">
        <v>18704</v>
      </c>
      <c r="C13782" s="9" t="s">
        <v>18697</v>
      </c>
      <c r="D13782" s="9" t="s">
        <v>117</v>
      </c>
      <c r="E13782" s="6" t="s">
        <v>18710</v>
      </c>
      <c r="F13782" s="9"/>
    </row>
    <row r="13783" ht="33.75" customHeight="1">
      <c r="A13783" s="7">
        <v>753.0</v>
      </c>
      <c r="B13783" s="9" t="s">
        <v>18711</v>
      </c>
      <c r="C13783" s="9" t="s">
        <v>18712</v>
      </c>
      <c r="D13783" s="9" t="s">
        <v>637</v>
      </c>
      <c r="E13783" s="6" t="s">
        <v>18713</v>
      </c>
      <c r="F13783" t="inlineStr" s="10">
        <is>
          <t xml:space="preserve">Päivällä se nukkuu ja nauttii valosta. Yön laskeutuessa se kävelee ympäriinsä etsien turvallisempaa nukkumapaikkaa. Ne tuoksuvat makealta ja virkistävältä. Söpöläiskäiset kerääntyvät usein lähelle korkeaa ruohoa, jossa Fomantis-perhoset piileskelevät. Auringon noustessa Fomantis levittää neljä lehteään ja kylpee auringonvalossa. Sen pään kärjestä leviää miellyttävä tuoksu. Se rakastaa auringonpaistetta. Kun se paistattelee säännöllisesti auringonvalossa, se kasvaa kirkkaanväriseksi. Auringonvalossa kylpeessään tämä Pokémon erittää miellyttävän makean tuoksun, joka saa ötökkä-Pokémonit kerääntymään sen ympärille. Päivällä Fomantis paistattelee auringonvalossa ja nukkuu rauhallisesti. Yöllä se herää ja liikkuu.</t>
        </is>
      </c>
    </row>
    <row r="13784" ht="33.75" customHeight="1">
      <c r="A13784" s="7">
        <v>753.0</v>
      </c>
      <c r="B13784" s="9" t="s">
        <v>18711</v>
      </c>
      <c r="C13784" s="9" t="s">
        <v>18712</v>
      </c>
      <c r="D13784" s="9" t="s">
        <v>642</v>
      </c>
      <c r="E13784" s="6" t="s">
        <v>18714</v>
      </c>
      <c r="F13784" s="9"/>
    </row>
    <row r="13785" ht="33.75" customHeight="1">
      <c r="A13785" s="7">
        <v>753.0</v>
      </c>
      <c r="B13785" s="9" t="s">
        <v>18711</v>
      </c>
      <c r="C13785" s="9" t="s">
        <v>18712</v>
      </c>
      <c r="D13785" s="9" t="s">
        <v>647</v>
      </c>
      <c r="E13785" s="6" t="s">
        <v>18716</v>
      </c>
      <c r="F13785" s="9"/>
    </row>
    <row r="13786" ht="33.75" customHeight="1">
      <c r="A13786" s="7">
        <v>753.0</v>
      </c>
      <c r="B13786" s="9" t="s">
        <v>18711</v>
      </c>
      <c r="C13786" s="9" t="s">
        <v>18712</v>
      </c>
      <c r="D13786" s="9" t="s">
        <v>652</v>
      </c>
      <c r="E13786" s="6" t="s">
        <v>18717</v>
      </c>
      <c r="F13786" s="9"/>
    </row>
    <row r="13787" ht="33.75" customHeight="1">
      <c r="A13787" s="7">
        <v>753.0</v>
      </c>
      <c r="B13787" s="9" t="s">
        <v>18711</v>
      </c>
      <c r="C13787" s="9" t="s">
        <v>18712</v>
      </c>
      <c r="D13787" s="9" t="s">
        <v>114</v>
      </c>
      <c r="E13787" s="6" t="s">
        <v>18718</v>
      </c>
      <c r="F13787" s="9"/>
    </row>
    <row r="13788" ht="33.75" customHeight="1">
      <c r="A13788" s="7">
        <v>753.0</v>
      </c>
      <c r="B13788" s="9" t="s">
        <v>18711</v>
      </c>
      <c r="C13788" s="9" t="s">
        <v>18712</v>
      </c>
      <c r="D13788" s="9" t="s">
        <v>117</v>
      </c>
      <c r="E13788" s="6" t="s">
        <v>18719</v>
      </c>
      <c r="F13788" s="9"/>
    </row>
    <row r="13789" ht="33.75" customHeight="1">
      <c r="A13789" s="7">
        <v>754.0</v>
      </c>
      <c r="B13789" s="9" t="s">
        <v>18720</v>
      </c>
      <c r="C13789" s="9" t="s">
        <v>18721</v>
      </c>
      <c r="D13789" s="9" t="s">
        <v>637</v>
      </c>
      <c r="E13789" s="6" t="s">
        <v>18722</v>
      </c>
      <c r="F13789" t="inlineStr" s="10">
        <is>
          <t xml:space="preserve">Lurantisin eloisien värien ylläpitäminen vaatii paljon vaivaa, mutta jotkut keräilijät nauttivat tästä työstä ja pitävät sitä harrastuksenaan. Se ampuu sirpinmuotoisista terälehdistään säteitä. Nämä säteet ovat riittävän voimakkaita halkaisemaan paksuja metallilevyjä. Itsepuolustukseksi se teeskentelee olevansa ötökkä-Pokémon. Molemmissa sen käsivarsissa on teräväreunaiset terälehdet. Viiltäessään vihollisiaan se näyttää tanssivan. Sen elegantti ulkonäkö on saanut jotkut kutsumaan sitä lumoavimmaksi ruoho-Pokémoniksi. Tämä Pokémon muistuttaa kaunista kukkaa. Oikein kasvatetulla Lurantiksella on upeat, loistavat värit. Tämän Pokémonin käsivarsien terälehdet ovat ohuet ja superterävät, ja ne voivat ampua lasersäteitä, jos Lurantis kerää valoa ensin.</t>
        </is>
      </c>
    </row>
    <row r="13790" ht="33.75" customHeight="1">
      <c r="A13790" s="7">
        <v>754.0</v>
      </c>
      <c r="B13790" s="9" t="s">
        <v>18720</v>
      </c>
      <c r="C13790" s="9" t="s">
        <v>18721</v>
      </c>
      <c r="D13790" s="9" t="s">
        <v>642</v>
      </c>
      <c r="E13790" s="6" t="s">
        <v>18723</v>
      </c>
      <c r="F13790" s="9"/>
    </row>
    <row r="13791" ht="33.75" customHeight="1">
      <c r="A13791" s="7">
        <v>754.0</v>
      </c>
      <c r="B13791" s="9" t="s">
        <v>18720</v>
      </c>
      <c r="C13791" s="9" t="s">
        <v>18721</v>
      </c>
      <c r="D13791" s="9" t="s">
        <v>647</v>
      </c>
      <c r="E13791" s="6" t="s">
        <v>18724</v>
      </c>
      <c r="F13791" s="9"/>
    </row>
    <row r="13792" ht="33.75" customHeight="1">
      <c r="A13792" s="7">
        <v>754.0</v>
      </c>
      <c r="B13792" s="9" t="s">
        <v>18720</v>
      </c>
      <c r="C13792" s="9" t="s">
        <v>18721</v>
      </c>
      <c r="D13792" s="9" t="s">
        <v>652</v>
      </c>
      <c r="E13792" s="6" t="s">
        <v>18725</v>
      </c>
      <c r="F13792" s="9"/>
    </row>
    <row r="13793" ht="33.75" customHeight="1">
      <c r="A13793" s="7">
        <v>754.0</v>
      </c>
      <c r="B13793" s="9" t="s">
        <v>18720</v>
      </c>
      <c r="C13793" s="9" t="s">
        <v>18721</v>
      </c>
      <c r="D13793" s="9" t="s">
        <v>114</v>
      </c>
      <c r="E13793" s="6" t="s">
        <v>18726</v>
      </c>
      <c r="F13793" s="9"/>
    </row>
    <row r="13794" ht="33.75" customHeight="1">
      <c r="A13794" s="7">
        <v>754.0</v>
      </c>
      <c r="B13794" s="9" t="s">
        <v>18720</v>
      </c>
      <c r="C13794" s="9" t="s">
        <v>18721</v>
      </c>
      <c r="D13794" s="9" t="s">
        <v>117</v>
      </c>
      <c r="E13794" s="6" t="s">
        <v>18727</v>
      </c>
      <c r="F13794" s="9"/>
    </row>
    <row r="13795" ht="33.75" customHeight="1">
      <c r="A13795" s="7">
        <v>755.0</v>
      </c>
      <c r="B13795" s="9" t="s">
        <v>18728</v>
      </c>
      <c r="C13795" s="9" t="s">
        <v>18729</v>
      </c>
      <c r="D13795" s="9" t="s">
        <v>637</v>
      </c>
      <c r="E13795" s="6" t="s">
        <v>18730</v>
      </c>
      <c r="F13795" t="inlineStr" s="10">
        <is>
          <t xml:space="preserve">Morelull levittää itiöitä, jotka välkkyvät ja hehkuvat. Jokainen, joka näkee nämä valot, vaipuu syvään uneen. Päivän nukahtaessaan se ravitsee itseään imemällä puiden juurista. Se herää yön laskeutuessa ja vaeltaa etsimään uutta puuta. Se levittää hohtavia itiöitään ympärilleen. Vaikka ne ovat vaarallisia, yölliset retket metsiin, joissa Morelullit elävät, ovat suosittuja. Se pitää kosteista, pimeistä paikoista. Yön laskeutuessa sen sienten lakkeja täyttävät itiöt hehkuvat. Metsässä asuvat Pokémonit syövät Morelullin pään herkullisia lakkeja. Lakit kasvavat uudelleen yön aikana. Morelullit elävät metsissä, jotka pysyvät pimeinä jopa päivällä. Ne levittävät lepattavia itiöitä, jotka nukuttavat viholliset.</t>
        </is>
      </c>
    </row>
    <row r="13796" ht="33.75" customHeight="1">
      <c r="A13796" s="7">
        <v>755.0</v>
      </c>
      <c r="B13796" s="9" t="s">
        <v>18728</v>
      </c>
      <c r="C13796" s="9" t="s">
        <v>18729</v>
      </c>
      <c r="D13796" s="9" t="s">
        <v>642</v>
      </c>
      <c r="E13796" s="6" t="s">
        <v>18731</v>
      </c>
      <c r="F13796" s="9"/>
    </row>
    <row r="13797" ht="33.75" customHeight="1">
      <c r="A13797" s="7">
        <v>755.0</v>
      </c>
      <c r="B13797" s="9" t="s">
        <v>18728</v>
      </c>
      <c r="C13797" s="9" t="s">
        <v>18729</v>
      </c>
      <c r="D13797" s="9" t="s">
        <v>647</v>
      </c>
      <c r="E13797" s="6" t="s">
        <v>18732</v>
      </c>
      <c r="F13797" s="9"/>
    </row>
    <row r="13798" ht="33.75" customHeight="1">
      <c r="A13798" s="7">
        <v>755.0</v>
      </c>
      <c r="B13798" s="9" t="s">
        <v>18728</v>
      </c>
      <c r="C13798" s="9" t="s">
        <v>18729</v>
      </c>
      <c r="D13798" s="9" t="s">
        <v>652</v>
      </c>
      <c r="E13798" s="6" t="s">
        <v>18733</v>
      </c>
      <c r="F13798" s="9"/>
    </row>
    <row r="13799" ht="33.75" customHeight="1">
      <c r="A13799" s="7">
        <v>755.0</v>
      </c>
      <c r="B13799" s="9" t="s">
        <v>18728</v>
      </c>
      <c r="C13799" s="9" t="s">
        <v>18729</v>
      </c>
      <c r="D13799" s="9" t="s">
        <v>114</v>
      </c>
      <c r="E13799" s="6" t="s">
        <v>18734</v>
      </c>
      <c r="F13799" s="9"/>
    </row>
    <row r="13800" ht="33.75" customHeight="1">
      <c r="A13800" s="7">
        <v>755.0</v>
      </c>
      <c r="B13800" s="9" t="s">
        <v>18728</v>
      </c>
      <c r="C13800" s="9" t="s">
        <v>18729</v>
      </c>
      <c r="D13800" s="9" t="s">
        <v>117</v>
      </c>
      <c r="E13800" s="6" t="s">
        <v>18735</v>
      </c>
      <c r="F13800" s="9"/>
    </row>
    <row r="13801" ht="33.75" customHeight="1">
      <c r="A13801" s="7">
        <v>756.0</v>
      </c>
      <c r="B13801" s="9" t="s">
        <v>18736</v>
      </c>
      <c r="C13801" s="9" t="s">
        <v>18729</v>
      </c>
      <c r="D13801" s="9" t="s">
        <v>637</v>
      </c>
      <c r="E13801" s="6" t="s">
        <v>18737</v>
      </c>
      <c r="F13801" t="inlineStr" s="10">
        <is>
          <t xml:space="preserve">Metsät, joissa shiinoottiset asuvat, ovat petollisia mennä yöllä. Metsän oudot valot hämmentävät ihmisiä, jotka eivät koskaan löydä tietään kotiin. Se erittää välkkyviä itiöitä, jotka aiheuttavat uneliaisuutta. Kun sen saalis nukahtaa, tämä Pokémon imee niiden energiaa. Se nukuttaa saaliinsa ja imee niiden elinvoimaa käsivarsiensa päiden kautta. Jos jokin lajitoveri heikkenee, se auttaa lähettämällä sille elinvoimaa. Kun se alkaa taistella reviiriä Parasectin kanssa, koko alue peittyy kauttaaltaan itiöihin! Sen välkkyvät itiöt houkuttelevat saaliinsa puoleensa ja nukuttavat ne. Kun tämä Pokémon on saanut saaliinsa torkkumaan, se imee niiden energiaa sormenpäillään. Jos näet valon syvällä metsässä yöllä, älä mene lähelle. Shiinotic saa sinut nukahtamaan sikeästi.</t>
        </is>
      </c>
    </row>
    <row r="13802" ht="33.75" customHeight="1">
      <c r="A13802" s="7">
        <v>756.0</v>
      </c>
      <c r="B13802" s="9" t="s">
        <v>18736</v>
      </c>
      <c r="C13802" s="9" t="s">
        <v>18729</v>
      </c>
      <c r="D13802" s="9" t="s">
        <v>642</v>
      </c>
      <c r="E13802" s="6" t="s">
        <v>18738</v>
      </c>
      <c r="F13802" s="9"/>
    </row>
    <row r="13803" ht="33.75" customHeight="1">
      <c r="A13803" s="7">
        <v>756.0</v>
      </c>
      <c r="B13803" s="9" t="s">
        <v>18736</v>
      </c>
      <c r="C13803" s="9" t="s">
        <v>18729</v>
      </c>
      <c r="D13803" s="9" t="s">
        <v>647</v>
      </c>
      <c r="E13803" s="6" t="s">
        <v>18740</v>
      </c>
      <c r="F13803" s="9"/>
    </row>
    <row r="13804" ht="33.75" customHeight="1">
      <c r="A13804" s="7">
        <v>756.0</v>
      </c>
      <c r="B13804" s="9" t="s">
        <v>18736</v>
      </c>
      <c r="C13804" s="9" t="s">
        <v>18729</v>
      </c>
      <c r="D13804" s="9" t="s">
        <v>652</v>
      </c>
      <c r="E13804" s="6" t="s">
        <v>18741</v>
      </c>
      <c r="F13804" s="9"/>
    </row>
    <row r="13805" ht="33.75" customHeight="1">
      <c r="A13805" s="7">
        <v>756.0</v>
      </c>
      <c r="B13805" s="9" t="s">
        <v>18736</v>
      </c>
      <c r="C13805" s="9" t="s">
        <v>18729</v>
      </c>
      <c r="D13805" s="9" t="s">
        <v>114</v>
      </c>
      <c r="E13805" s="6" t="s">
        <v>18742</v>
      </c>
      <c r="F13805" s="9"/>
    </row>
    <row r="13806" ht="33.75" customHeight="1">
      <c r="A13806" s="7">
        <v>756.0</v>
      </c>
      <c r="B13806" s="9" t="s">
        <v>18736</v>
      </c>
      <c r="C13806" s="9" t="s">
        <v>18729</v>
      </c>
      <c r="D13806" s="9" t="s">
        <v>117</v>
      </c>
      <c r="E13806" s="6" t="s">
        <v>18743</v>
      </c>
      <c r="F13806" s="9"/>
    </row>
    <row r="13807" ht="33.75" customHeight="1">
      <c r="A13807" s="7">
        <v>757.0</v>
      </c>
      <c r="B13807" s="9" t="s">
        <v>18744</v>
      </c>
      <c r="C13807" s="9" t="s">
        <v>18745</v>
      </c>
      <c r="D13807" s="9" t="s">
        <v>637</v>
      </c>
      <c r="E13807" s="6" t="s">
        <v>18746</v>
      </c>
      <c r="F13807" t="inlineStr" s="10">
        <is>
          <t xml:space="preserve">Salandit polttaa ruumiinnesteitään muodostaen myrkyllistä kaasua. Kun sen viholliset menettävät suuntavaistonsa hengittäessään kaasua, se hyökkää niiden kimppuun. Tulivuoret tai kuivat, kallioiset paikat ovat sen koti. Se erittää makeanhajuista myrkyllistä kaasua, joka houkuttelee ötökkä-Pokémoneja ja hyökkää niiden kimppuun. Urokset tekevät mitä tahansa naaraat käskevät. Ne antavat naaraille suurimman osan ravinnostaan. Aliravitsemuksen vuoksi urokset eivät pysty kehittymään. Se heikentää vastustajia ja lähettää heidät sekaisin myrkyllisellä kaasullaan. Salandit ei pärjää hyvin Spindan kanssa, koska se on jatkuvasti sekaisin. Sen myrkkypussit tuottavat nestettä, jota tämä Pokémon sitten kuumentaa pyrstönsä liekillä. Tämä prosessi luo Salanditin myrkyllisen kaasun. Tämä salakavala Pokémon hiipii saaliinsa taakse ja lamauttaa sen myrkyllisellä kaasulla ennen kuin saalis edes huomaa Salanditin olevan paikalla.</t>
        </is>
      </c>
    </row>
    <row r="13808" ht="33.75" customHeight="1">
      <c r="A13808" s="7">
        <v>757.0</v>
      </c>
      <c r="B13808" s="9" t="s">
        <v>18744</v>
      </c>
      <c r="C13808" s="9" t="s">
        <v>18745</v>
      </c>
      <c r="D13808" s="9" t="s">
        <v>642</v>
      </c>
      <c r="E13808" s="6" t="s">
        <v>18747</v>
      </c>
      <c r="F13808" s="9"/>
    </row>
    <row r="13809" ht="33.75" customHeight="1">
      <c r="A13809" s="7">
        <v>757.0</v>
      </c>
      <c r="B13809" s="9" t="s">
        <v>18744</v>
      </c>
      <c r="C13809" s="9" t="s">
        <v>18745</v>
      </c>
      <c r="D13809" s="9" t="s">
        <v>647</v>
      </c>
      <c r="E13809" s="6" t="s">
        <v>18748</v>
      </c>
      <c r="F13809" s="9"/>
    </row>
    <row r="13810" ht="33.75" customHeight="1">
      <c r="A13810" s="7">
        <v>757.0</v>
      </c>
      <c r="B13810" s="9" t="s">
        <v>18744</v>
      </c>
      <c r="C13810" s="9" t="s">
        <v>18745</v>
      </c>
      <c r="D13810" s="9" t="s">
        <v>652</v>
      </c>
      <c r="E13810" s="6" t="s">
        <v>18749</v>
      </c>
      <c r="F13810" s="9"/>
    </row>
    <row r="13811" ht="33.75" customHeight="1">
      <c r="A13811" s="7">
        <v>757.0</v>
      </c>
      <c r="B13811" s="9" t="s">
        <v>18744</v>
      </c>
      <c r="C13811" s="9" t="s">
        <v>18745</v>
      </c>
      <c r="D13811" s="9" t="s">
        <v>114</v>
      </c>
      <c r="E13811" s="6" t="s">
        <v>18750</v>
      </c>
      <c r="F13811" s="9"/>
    </row>
    <row r="13812" ht="33.75" customHeight="1">
      <c r="A13812" s="7">
        <v>757.0</v>
      </c>
      <c r="B13812" s="9" t="s">
        <v>18744</v>
      </c>
      <c r="C13812" s="9" t="s">
        <v>18745</v>
      </c>
      <c r="D13812" s="9" t="s">
        <v>117</v>
      </c>
      <c r="E13812" s="6" t="s">
        <v>18751</v>
      </c>
      <c r="F13812" s="9"/>
    </row>
    <row r="13813" ht="33.75" customHeight="1">
      <c r="A13813" s="7">
        <v>758.0</v>
      </c>
      <c r="B13813" s="9" t="s">
        <v>18752</v>
      </c>
      <c r="C13813" s="9" t="s">
        <v>18745</v>
      </c>
      <c r="D13813" s="9" t="s">
        <v>637</v>
      </c>
      <c r="E13813" s="6" t="s">
        <v>18753</v>
      </c>
      <c r="F13813" t="inlineStr" s="10">
        <is>
          <t xml:space="preserve">Jostain syystä vain naaraita on löydetty. Se luo käänteisen haaremin uros Salanditista, jonka kanssa se elää. Feromoneilla täytettyä myrkyllistä kaasua voidaan laimentaa ja käyttää sitä herkullisten hajuvesien valmistuksessa. Salazzle asuu syvällä luolissa ja pakottaa feromoniensa avulla houkuttelemansa salandiitin palvelemaan itseään. Se rankaisee Salanditia, joka ei pystynyt tuomaan sille ruokaa, rajulla läimäytyksellä liekkejä sylkevällä kämmenellään. Vain naaraspuolisia Salazzleja on olemassa. Ne erittävät feromonipitoista kaasua kiehtoakseen Salandit-uroksia. Salazzlejen välisten kilpailujen voittaja ratkaistaan ​​sen perusteella, kummalla on eniten miespuolisia Salandit-hahmoja.</t>
        </is>
      </c>
    </row>
    <row r="13814" ht="33.75" customHeight="1">
      <c r="A13814" s="7">
        <v>758.0</v>
      </c>
      <c r="B13814" s="9" t="s">
        <v>18752</v>
      </c>
      <c r="C13814" s="9" t="s">
        <v>18745</v>
      </c>
      <c r="D13814" s="9" t="s">
        <v>642</v>
      </c>
      <c r="E13814" s="6" t="s">
        <v>18754</v>
      </c>
      <c r="F13814" s="9"/>
    </row>
    <row r="13815" ht="33.75" customHeight="1">
      <c r="A13815" s="7">
        <v>758.0</v>
      </c>
      <c r="B13815" s="9" t="s">
        <v>18752</v>
      </c>
      <c r="C13815" s="9" t="s">
        <v>18745</v>
      </c>
      <c r="D13815" s="9" t="s">
        <v>647</v>
      </c>
      <c r="E13815" s="6" t="s">
        <v>18755</v>
      </c>
      <c r="F13815" s="9"/>
    </row>
    <row r="13816" ht="33.75" customHeight="1">
      <c r="A13816" s="7">
        <v>758.0</v>
      </c>
      <c r="B13816" s="9" t="s">
        <v>18752</v>
      </c>
      <c r="C13816" s="9" t="s">
        <v>18745</v>
      </c>
      <c r="D13816" s="9" t="s">
        <v>652</v>
      </c>
      <c r="E13816" s="6" t="s">
        <v>18756</v>
      </c>
      <c r="F13816" s="9"/>
    </row>
    <row r="13817" ht="33.75" customHeight="1">
      <c r="A13817" s="7">
        <v>758.0</v>
      </c>
      <c r="B13817" s="9" t="s">
        <v>18752</v>
      </c>
      <c r="C13817" s="9" t="s">
        <v>18745</v>
      </c>
      <c r="D13817" s="9" t="s">
        <v>114</v>
      </c>
      <c r="E13817" s="6" t="s">
        <v>18757</v>
      </c>
      <c r="F13817" s="9"/>
    </row>
    <row r="13818" ht="33.75" customHeight="1">
      <c r="A13818" s="7">
        <v>758.0</v>
      </c>
      <c r="B13818" s="9" t="s">
        <v>18752</v>
      </c>
      <c r="C13818" s="9" t="s">
        <v>18745</v>
      </c>
      <c r="D13818" s="9" t="s">
        <v>117</v>
      </c>
      <c r="E13818" s="6" t="s">
        <v>18758</v>
      </c>
      <c r="F13818" s="9"/>
    </row>
    <row r="13819" ht="33.75" customHeight="1">
      <c r="A13819" s="7">
        <v>759.0</v>
      </c>
      <c r="B13819" s="9" t="s">
        <v>18759</v>
      </c>
      <c r="C13819" s="9" t="s">
        <v>18760</v>
      </c>
      <c r="D13819" s="9" t="s">
        <v>637</v>
      </c>
      <c r="E13819" s="6" t="s">
        <v>18761</v>
      </c>
      <c r="F13819" t="inlineStr" s="10">
        <is>
          <t xml:space="preserve">Vaikka se on suloinen ulkonäkönsä puolesta, Stuffulin kädet ja jalat voivat suuttuessaan ja räpytellessään lyödä ammattipainijan levälleen. Kosketus keneltä tahansa muulta kuin tutulta ystävältä saa sen raivokkaaseen vimmaan. Se on uskomattoman vaarallinen Pokémon. Sillä on niin paljon voimaa, että se pystyy halkaisemaan suuria puita kahtia. Sen takaosassa oleva elin vapauttaa hajua, jota se käyttää kommunikoidakseen muiden lajitovereidensa kanssa. Stufful vihaa halailua tai kosketusta millään tavalla. Se rimpuilee, rimpuilee ja vastustelee uskomattomalla voimalla. Sen pörröistä turkkia on ilo silittää, mutta huolimaton käden koskettaminen voi johtaa tuskalliseen kostotoimeen. Tapa, jolla se suojelee itseään heiluttamalla käsiään, voi olla suloinen näky, mutta pysy kaukana. Tämä heiluttelu voi katkaista paksuja puunrunkoja.</t>
        </is>
      </c>
    </row>
    <row r="13820" ht="33.75" customHeight="1">
      <c r="A13820" s="7">
        <v>759.0</v>
      </c>
      <c r="B13820" s="9" t="s">
        <v>18759</v>
      </c>
      <c r="C13820" s="9" t="s">
        <v>18760</v>
      </c>
      <c r="D13820" s="9" t="s">
        <v>642</v>
      </c>
      <c r="E13820" s="6" t="s">
        <v>18762</v>
      </c>
      <c r="F13820" s="9"/>
    </row>
    <row r="13821" ht="33.75" customHeight="1">
      <c r="A13821" s="7">
        <v>759.0</v>
      </c>
      <c r="B13821" s="9" t="s">
        <v>18759</v>
      </c>
      <c r="C13821" s="9" t="s">
        <v>18760</v>
      </c>
      <c r="D13821" s="9" t="s">
        <v>647</v>
      </c>
      <c r="E13821" s="6" t="s">
        <v>18763</v>
      </c>
      <c r="F13821" s="9"/>
    </row>
    <row r="13822" ht="33.75" customHeight="1">
      <c r="A13822" s="7">
        <v>759.0</v>
      </c>
      <c r="B13822" s="9" t="s">
        <v>18759</v>
      </c>
      <c r="C13822" s="9" t="s">
        <v>18760</v>
      </c>
      <c r="D13822" s="9" t="s">
        <v>652</v>
      </c>
      <c r="E13822" s="6" t="s">
        <v>18764</v>
      </c>
      <c r="F13822" s="9"/>
    </row>
    <row r="13823" ht="33.75" customHeight="1">
      <c r="A13823" s="7">
        <v>759.0</v>
      </c>
      <c r="B13823" s="9" t="s">
        <v>18759</v>
      </c>
      <c r="C13823" s="9" t="s">
        <v>18760</v>
      </c>
      <c r="D13823" s="9" t="s">
        <v>114</v>
      </c>
      <c r="E13823" s="6" t="s">
        <v>18765</v>
      </c>
      <c r="F13823" s="9"/>
    </row>
    <row r="13824" ht="33.75" customHeight="1">
      <c r="A13824" s="7">
        <v>759.0</v>
      </c>
      <c r="B13824" s="9" t="s">
        <v>18759</v>
      </c>
      <c r="C13824" s="9" t="s">
        <v>18760</v>
      </c>
      <c r="D13824" s="9" t="s">
        <v>117</v>
      </c>
      <c r="E13824" s="6" t="s">
        <v>18766</v>
      </c>
      <c r="F13824" s="9"/>
    </row>
    <row r="13825" ht="33.75" customHeight="1">
      <c r="A13825" s="7">
        <v>760.0</v>
      </c>
      <c r="B13825" s="9" t="s">
        <v>18767</v>
      </c>
      <c r="C13825" s="9" t="s">
        <v>18768</v>
      </c>
      <c r="D13825" s="9" t="s">
        <v>637</v>
      </c>
      <c r="E13825" s="6" t="s">
        <v>18769</v>
      </c>
      <c r="F13825" t="inlineStr" s="10">
        <is>
          <t xml:space="preserve">Tällä äärimmäisen vaarallisella Pokémonilla on valtava fyysinen voima. Sen elinympäristö on yleensä kielletty. Tällä Pokémonilla on tapana halata seuralaisiaan. Monet kouluttajat ovat lähteneet tästä maailmasta sen jälkeen, kun heidän selkärankansa ovat litistyneet sen halauksesta. Se heiluttaa käsiään villisti pelotellen ja varoittaen. Elämä on ohi kenelle tahansa, joka ei juokse karkuun niin nopeasti kuin mahdollista. Se ylpeilee valtavalla fyysisellä voimalla. Monet ihmiset kutsuvat sitä Alolan alueen vaarallisimmaksi Pokémoniksi. Kun se hyväksyy sinut ystäväkseen, se yrittää osoittaa kiintymyksensä halauksella. Sen tekeminen niin on vaarallista – se voi helposti murskata luusi. Liikkeet, joita se käyttää saaliinsa kaatamiseen, tekisivät jopa kamppailulajien taitajan kateellisiksi. Se sujauttaa alistetun saaliin kainaloonsa kantaakseen sen pesäänsä.</t>
        </is>
      </c>
    </row>
    <row r="13826" ht="33.75" customHeight="1">
      <c r="A13826" s="7">
        <v>760.0</v>
      </c>
      <c r="B13826" s="9" t="s">
        <v>18767</v>
      </c>
      <c r="C13826" s="9" t="s">
        <v>18768</v>
      </c>
      <c r="D13826" s="9" t="s">
        <v>642</v>
      </c>
      <c r="E13826" s="6" t="s">
        <v>18771</v>
      </c>
      <c r="F13826" s="9"/>
    </row>
    <row r="13827" ht="33.75" customHeight="1">
      <c r="A13827" s="7">
        <v>760.0</v>
      </c>
      <c r="B13827" s="9" t="s">
        <v>18767</v>
      </c>
      <c r="C13827" s="9" t="s">
        <v>18768</v>
      </c>
      <c r="D13827" s="9" t="s">
        <v>647</v>
      </c>
      <c r="E13827" s="6" t="s">
        <v>18772</v>
      </c>
      <c r="F13827" s="9"/>
    </row>
    <row r="13828" ht="33.75" customHeight="1">
      <c r="A13828" s="7">
        <v>760.0</v>
      </c>
      <c r="B13828" s="9" t="s">
        <v>18767</v>
      </c>
      <c r="C13828" s="9" t="s">
        <v>18768</v>
      </c>
      <c r="D13828" s="9" t="s">
        <v>652</v>
      </c>
      <c r="E13828" s="6" t="s">
        <v>18773</v>
      </c>
      <c r="F13828" s="9"/>
    </row>
    <row r="13829" ht="33.75" customHeight="1">
      <c r="A13829" s="7">
        <v>760.0</v>
      </c>
      <c r="B13829" s="9" t="s">
        <v>18767</v>
      </c>
      <c r="C13829" s="9" t="s">
        <v>18768</v>
      </c>
      <c r="D13829" s="9" t="s">
        <v>114</v>
      </c>
      <c r="E13829" s="6" t="s">
        <v>18774</v>
      </c>
      <c r="F13829" s="9"/>
    </row>
    <row r="13830" ht="33.75" customHeight="1">
      <c r="A13830" s="7">
        <v>760.0</v>
      </c>
      <c r="B13830" s="9" t="s">
        <v>18767</v>
      </c>
      <c r="C13830" s="9" t="s">
        <v>18768</v>
      </c>
      <c r="D13830" s="9" t="s">
        <v>117</v>
      </c>
      <c r="E13830" s="6" t="s">
        <v>18775</v>
      </c>
      <c r="F13830" s="9"/>
    </row>
    <row r="13831" ht="33.75" customHeight="1">
      <c r="A13831" s="7">
        <v>761.0</v>
      </c>
      <c r="B13831" s="9" t="s">
        <v>18776</v>
      </c>
      <c r="C13831" s="9" t="s">
        <v>15171</v>
      </c>
      <c r="D13831" s="9" t="s">
        <v>637</v>
      </c>
      <c r="E13831" s="6" t="s">
        <v>18777</v>
      </c>
      <c r="F13831" t="inlineStr" s="10">
        <is>
          <t xml:space="preserve">Bounsweetin ruumiista leijuu herkullinen tuoksu. Tukanonit nielaisevat ne usein kokonaisina houkuteltuina tuohon leijuvaan herkullisuuteen. Vaikka Bounsweetin hiki on liian sokerista ihmisravinnoksi, siitä voi tehdä juuri sopivasti makeaa mehua. Makean ja herkullisen tuoksunsa ansiosta lintu-Pokémonit ovat aina sen perässä, mutta se ei ole tarpeeksi älykäs välittääkseen. Se yrittää vastustaa lintu-Pokémonin nielemistä pyörittämällä verholehtiä päänsä ympäri. Se on yleensä tulokseton yritys. Sen ruumiista lähtee makea, hedelmäinen tuoksu, joka on erittäin houkutteleva lintu-Pokémoneille. Hyökkäyksen kohteeksi joutuessaan se erittää makeaa ja herkullista hikeä. Tuoksu vain houkuttelee lisää vihollisia puoleensa.</t>
        </is>
      </c>
    </row>
    <row r="13832" ht="33.75" customHeight="1">
      <c r="A13832" s="7">
        <v>761.0</v>
      </c>
      <c r="B13832" s="9" t="s">
        <v>18776</v>
      </c>
      <c r="C13832" s="9" t="s">
        <v>15171</v>
      </c>
      <c r="D13832" s="9" t="s">
        <v>642</v>
      </c>
      <c r="E13832" s="6" t="s">
        <v>18778</v>
      </c>
      <c r="F13832" s="9"/>
    </row>
    <row r="13833" ht="33.75" customHeight="1">
      <c r="A13833" s="7">
        <v>761.0</v>
      </c>
      <c r="B13833" s="9" t="s">
        <v>18776</v>
      </c>
      <c r="C13833" s="9" t="s">
        <v>15171</v>
      </c>
      <c r="D13833" s="9" t="s">
        <v>647</v>
      </c>
      <c r="E13833" s="6" t="s">
        <v>18779</v>
      </c>
      <c r="F13833" s="9"/>
    </row>
    <row r="13834" ht="33.75" customHeight="1">
      <c r="A13834" s="7">
        <v>761.0</v>
      </c>
      <c r="B13834" s="9" t="s">
        <v>18776</v>
      </c>
      <c r="C13834" s="9" t="s">
        <v>15171</v>
      </c>
      <c r="D13834" s="9" t="s">
        <v>652</v>
      </c>
      <c r="E13834" s="6" t="s">
        <v>18780</v>
      </c>
      <c r="F13834" s="9"/>
    </row>
    <row r="13835" ht="33.75" customHeight="1">
      <c r="A13835" s="7">
        <v>761.0</v>
      </c>
      <c r="B13835" s="9" t="s">
        <v>18776</v>
      </c>
      <c r="C13835" s="9" t="s">
        <v>15171</v>
      </c>
      <c r="D13835" s="9" t="s">
        <v>114</v>
      </c>
      <c r="E13835" s="6" t="s">
        <v>18781</v>
      </c>
      <c r="F13835" s="9"/>
    </row>
    <row r="13836" ht="33.75" customHeight="1">
      <c r="A13836" s="7">
        <v>761.0</v>
      </c>
      <c r="B13836" s="9" t="s">
        <v>18776</v>
      </c>
      <c r="C13836" s="9" t="s">
        <v>15171</v>
      </c>
      <c r="D13836" s="9" t="s">
        <v>117</v>
      </c>
      <c r="E13836" s="6" t="s">
        <v>18782</v>
      </c>
      <c r="F13836" s="9"/>
    </row>
    <row r="13837" ht="33.75" customHeight="1">
      <c r="A13837" s="7">
        <v>762.0</v>
      </c>
      <c r="B13837" s="9" t="s">
        <v>18783</v>
      </c>
      <c r="C13837" s="9" t="s">
        <v>15171</v>
      </c>
      <c r="D13837" s="9" t="s">
        <v>637</v>
      </c>
      <c r="E13837" s="6" t="s">
        <v>18784</v>
      </c>
      <c r="F13837" t="inlineStr" s="10">
        <is>
          <t xml:space="preserve">Steeneen päässä olevat verholehdet kehittyivät suojaamaan sen kehoa. Nämä ovat melko kovia, joten vaikka lintu-Pokémonit nokkisivat sitä, tämä Pokémon on täysin kunnossa. Tämä Pokémon pomppii aina energisesti ympäriinsä. Sen eloisa ulkonäkö ja miellyttävä tuoksu houkuttelevat muita Pokémoneja. Kovat verholehdet suojaavat sitä, joten se leikkii lintu-Pokémonien kanssa huoletta. Ne nokkivat sitä armottomasti, mutta se ei välitä. Se pomppii ympäriinsä heiluttaen verholehtiä päänsä päällä huolettomasti. Ne ovat melko kivuliaita, kun ne läimäyttävät sinua! Sen pyöriessä kuin tanssija, sen ympärille leviää makea tuoksu. Jokainen, joka hengittää tuoksua, tuntee onnen aallon. Jokainen tätä Pokémonia nokkiva Corvisquire saa osakseen läimäyksen verholehdiltä ja terävän potkun.</t>
        </is>
      </c>
    </row>
    <row r="13838" ht="33.75" customHeight="1">
      <c r="A13838" s="7">
        <v>762.0</v>
      </c>
      <c r="B13838" s="9" t="s">
        <v>18783</v>
      </c>
      <c r="C13838" s="9" t="s">
        <v>15171</v>
      </c>
      <c r="D13838" s="9" t="s">
        <v>642</v>
      </c>
      <c r="E13838" s="6" t="s">
        <v>18785</v>
      </c>
      <c r="F13838" s="9"/>
    </row>
    <row r="13839" ht="33.75" customHeight="1">
      <c r="A13839" s="7">
        <v>762.0</v>
      </c>
      <c r="B13839" s="9" t="s">
        <v>18783</v>
      </c>
      <c r="C13839" s="9" t="s">
        <v>15171</v>
      </c>
      <c r="D13839" s="9" t="s">
        <v>647</v>
      </c>
      <c r="E13839" s="6" t="s">
        <v>18786</v>
      </c>
      <c r="F13839" s="9"/>
    </row>
    <row r="13840" ht="33.75" customHeight="1">
      <c r="A13840" s="7">
        <v>762.0</v>
      </c>
      <c r="B13840" s="9" t="s">
        <v>18783</v>
      </c>
      <c r="C13840" s="9" t="s">
        <v>15171</v>
      </c>
      <c r="D13840" s="9" t="s">
        <v>652</v>
      </c>
      <c r="E13840" s="6" t="s">
        <v>18787</v>
      </c>
      <c r="F13840" s="9"/>
    </row>
    <row r="13841" ht="33.75" customHeight="1">
      <c r="A13841" s="7">
        <v>762.0</v>
      </c>
      <c r="B13841" s="9" t="s">
        <v>18783</v>
      </c>
      <c r="C13841" s="9" t="s">
        <v>15171</v>
      </c>
      <c r="D13841" s="9" t="s">
        <v>114</v>
      </c>
      <c r="E13841" s="6" t="s">
        <v>18788</v>
      </c>
      <c r="F13841" s="9"/>
    </row>
    <row r="13842" ht="33.75" customHeight="1">
      <c r="A13842" s="7">
        <v>762.0</v>
      </c>
      <c r="B13842" s="9" t="s">
        <v>18783</v>
      </c>
      <c r="C13842" s="9" t="s">
        <v>15171</v>
      </c>
      <c r="D13842" s="9" t="s">
        <v>117</v>
      </c>
      <c r="E13842" s="6" t="s">
        <v>18789</v>
      </c>
      <c r="F13842" s="9"/>
    </row>
    <row r="13843" ht="33.75" customHeight="1">
      <c r="A13843" s="7">
        <v>763.0</v>
      </c>
      <c r="B13843" s="9" t="s">
        <v>18790</v>
      </c>
      <c r="C13843" s="9" t="s">
        <v>15171</v>
      </c>
      <c r="D13843" s="9" t="s">
        <v>637</v>
      </c>
      <c r="E13843" s="6" t="s">
        <v>18791</v>
      </c>
      <c r="F13843" t="inlineStr" s="10">
        <is>
          <t xml:space="preserve">Tsareenan pitkät, iskevät jalat eivät ole vain näön vuoksi, vaan niitä käytetään taitavaan potkimiseen. Voitossa se pröystäilee potkaisemalla voitetulle ja nauramalla äänekkäästi. Pokémon, joka tunnetaan kauniista, hyvin muotoilluista jaloistaan, esiintyy joskus maskottina kauneushoitoloiden mainoksissa. Suurien ja kauniiden potkujen mestari, se voi tyrmätä jopa potkunyrkkeilyn mestarit yhdellä iskulla. Aggressiivinen persoonallisuus ja potkimisen taito omaava Pokémon kikattelee joka kerta potkaistessaan vastustajaa. Tällä pelätyllä Pokémonilla on pitkät, hoikat jalat ja julma sydän. Se ei osoita armoa tallatessaan vastustajiaan. Pokémonin kovettuneista jalkojen kärjistä tuleva potku jättää vastustajan kehoon ja sieluun paranemattoman haavan.</t>
        </is>
      </c>
    </row>
    <row r="13844" ht="33.75" customHeight="1">
      <c r="A13844" s="7">
        <v>763.0</v>
      </c>
      <c r="B13844" s="9" t="s">
        <v>18790</v>
      </c>
      <c r="C13844" s="9" t="s">
        <v>15171</v>
      </c>
      <c r="D13844" s="9" t="s">
        <v>642</v>
      </c>
      <c r="E13844" s="6" t="s">
        <v>18792</v>
      </c>
      <c r="F13844" s="9"/>
    </row>
    <row r="13845" ht="33.75" customHeight="1">
      <c r="A13845" s="7">
        <v>763.0</v>
      </c>
      <c r="B13845" s="9" t="s">
        <v>18790</v>
      </c>
      <c r="C13845" s="9" t="s">
        <v>15171</v>
      </c>
      <c r="D13845" s="9" t="s">
        <v>647</v>
      </c>
      <c r="E13845" s="6" t="s">
        <v>18793</v>
      </c>
      <c r="F13845" s="9"/>
    </row>
    <row r="13846" ht="33.75" customHeight="1">
      <c r="A13846" s="7">
        <v>763.0</v>
      </c>
      <c r="B13846" s="9" t="s">
        <v>18790</v>
      </c>
      <c r="C13846" s="9" t="s">
        <v>15171</v>
      </c>
      <c r="D13846" s="9" t="s">
        <v>652</v>
      </c>
      <c r="E13846" s="6" t="s">
        <v>18794</v>
      </c>
      <c r="F13846" s="9"/>
    </row>
    <row r="13847" ht="33.75" customHeight="1">
      <c r="A13847" s="7">
        <v>763.0</v>
      </c>
      <c r="B13847" s="9" t="s">
        <v>18790</v>
      </c>
      <c r="C13847" s="9" t="s">
        <v>15171</v>
      </c>
      <c r="D13847" s="9" t="s">
        <v>114</v>
      </c>
      <c r="E13847" s="6" t="s">
        <v>18796</v>
      </c>
      <c r="F13847" s="9"/>
    </row>
    <row r="13848" ht="33.75" customHeight="1">
      <c r="A13848" s="7">
        <v>763.0</v>
      </c>
      <c r="B13848" s="9" t="s">
        <v>18790</v>
      </c>
      <c r="C13848" s="9" t="s">
        <v>15171</v>
      </c>
      <c r="D13848" s="9" t="s">
        <v>117</v>
      </c>
      <c r="E13848" s="6" t="s">
        <v>18797</v>
      </c>
      <c r="F13848" s="9"/>
    </row>
    <row r="13849" ht="33.75" customHeight="1">
      <c r="A13849" s="7">
        <v>764.0</v>
      </c>
      <c r="B13849" s="9" t="s">
        <v>18798</v>
      </c>
      <c r="C13849" s="9" t="s">
        <v>18799</v>
      </c>
      <c r="D13849" s="9" t="s">
        <v>637</v>
      </c>
      <c r="E13849" s="6" t="s">
        <v>18800</v>
      </c>
      <c r="F13849" t="inlineStr" s="10">
        <is>
          <t xml:space="preserve">Comfey kiinnittää kukkia erittäin ravinteikkaaseen köynnökseensä. Tämä elvyttää kukkia ja ne tuottavat aromaattisen tuoksun. Sen köynnöksen kukista tehdyillä kylvyillä on rentouttava vaikutus, joten tämä Pokémon on monien ihmisten suosikki. Se venyttää tahmeita köynnöksiä päästään ja poimii kukkia koristeeksi. Kun sillä ei ole kukkia, se on levoton. Se poimii kukkia ja kiinnittää niitä kehoonsa erittämällään nesteellä. Sen terälehdistä leijuva tuoksu on parantava. Comfey poimii kukkia köynnöksellään ja koristelee itsensä niillä. Jostain syystä kukat eivät kuihtu, kun ne on kiinnitetty Comfeyyn. Nämä Pokémonit tuoksuvat erittäin hyvältä. Kaikilla Comfeyilla on erilaiset kukat, joten jokaisella näistä Pokémoneista on oma yksilöllinen tuoksunsa.</t>
        </is>
      </c>
    </row>
    <row r="13850" ht="33.75" customHeight="1">
      <c r="A13850" s="7">
        <v>764.0</v>
      </c>
      <c r="B13850" s="9" t="s">
        <v>18798</v>
      </c>
      <c r="C13850" s="9" t="s">
        <v>18799</v>
      </c>
      <c r="D13850" s="9" t="s">
        <v>642</v>
      </c>
      <c r="E13850" s="6" t="s">
        <v>18801</v>
      </c>
      <c r="F13850" s="9"/>
    </row>
    <row r="13851" ht="33.75" customHeight="1">
      <c r="A13851" s="7">
        <v>764.0</v>
      </c>
      <c r="B13851" s="9" t="s">
        <v>18798</v>
      </c>
      <c r="C13851" s="9" t="s">
        <v>18799</v>
      </c>
      <c r="D13851" s="9" t="s">
        <v>647</v>
      </c>
      <c r="E13851" s="6" t="s">
        <v>18802</v>
      </c>
      <c r="F13851" s="9"/>
    </row>
    <row r="13852" ht="33.75" customHeight="1">
      <c r="A13852" s="7">
        <v>764.0</v>
      </c>
      <c r="B13852" s="9" t="s">
        <v>18798</v>
      </c>
      <c r="C13852" s="9" t="s">
        <v>18799</v>
      </c>
      <c r="D13852" s="9" t="s">
        <v>652</v>
      </c>
      <c r="E13852" s="6" t="s">
        <v>18803</v>
      </c>
      <c r="F13852" s="9"/>
    </row>
    <row r="13853" ht="33.75" customHeight="1">
      <c r="A13853" s="7">
        <v>764.0</v>
      </c>
      <c r="B13853" s="9" t="s">
        <v>18798</v>
      </c>
      <c r="C13853" s="9" t="s">
        <v>18799</v>
      </c>
      <c r="D13853" s="9" t="s">
        <v>114</v>
      </c>
      <c r="E13853" s="6" t="s">
        <v>18804</v>
      </c>
      <c r="F13853" s="9"/>
    </row>
    <row r="13854" ht="33.75" customHeight="1">
      <c r="A13854" s="7">
        <v>764.0</v>
      </c>
      <c r="B13854" s="9" t="s">
        <v>18798</v>
      </c>
      <c r="C13854" s="9" t="s">
        <v>18799</v>
      </c>
      <c r="D13854" s="9" t="s">
        <v>117</v>
      </c>
      <c r="E13854" s="6" t="s">
        <v>18805</v>
      </c>
      <c r="F13854" s="9"/>
    </row>
    <row r="13855" ht="33.75" customHeight="1">
      <c r="A13855" s="7">
        <v>765.0</v>
      </c>
      <c r="B13855" s="9" t="s">
        <v>18806</v>
      </c>
      <c r="C13855" s="9" t="s">
        <v>18807</v>
      </c>
      <c r="D13855" s="9" t="s">
        <v>637</v>
      </c>
      <c r="E13855" s="6" t="s">
        <v>18808</v>
      </c>
      <c r="F13855" t="inlineStr" s="10">
        <is>
          <t xml:space="preserve">Äärimmäisestä älykkyydestään tunnettu Pokémon halveksii kokemattomia kouluttajia, joten se sopii parhaiten kokeneille kouluttajille. Syvällä viidakossa, korkealla korkeiden lehtien latvustossa, tämä Pokémon asuu. Harvinaisissa tapauksissa se ilmestyy rannalle kilpailemaan älykkyydestä Slowkingin kanssa. Se viettää yleensä aikansa meditoiden puiden latvoissa. Se heittelee Poképalloja ja antaa muille Pokémoneille käskyjä mielensä mukaan. Orangurut eivät tule toimeen keskenään, joten ne käyvät jatkuvasti älytaisteluita selvittääkseen, kumpi on parempi. Lehdistä ja omasta turkistaan ​​tehdyn viuhkansa aaltoilla Oranguru antaa taitavasti ohjeita muille Pokémoneille. Se tuntee metsän läpikotaisin. Jos se kohtaa haavoittuneen Pokémonin, Oranguru kerää lääkekasveja sen hoitamiseksi.</t>
        </is>
      </c>
    </row>
    <row r="13856" ht="33.75" customHeight="1">
      <c r="A13856" s="7">
        <v>765.0</v>
      </c>
      <c r="B13856" s="9" t="s">
        <v>18806</v>
      </c>
      <c r="C13856" s="9" t="s">
        <v>18807</v>
      </c>
      <c r="D13856" s="9" t="s">
        <v>642</v>
      </c>
      <c r="E13856" s="6" t="s">
        <v>18809</v>
      </c>
      <c r="F13856" s="9"/>
    </row>
    <row r="13857" ht="33.75" customHeight="1">
      <c r="A13857" s="7">
        <v>765.0</v>
      </c>
      <c r="B13857" s="9" t="s">
        <v>18806</v>
      </c>
      <c r="C13857" s="9" t="s">
        <v>18807</v>
      </c>
      <c r="D13857" s="9" t="s">
        <v>647</v>
      </c>
      <c r="E13857" s="6" t="s">
        <v>18810</v>
      </c>
      <c r="F13857" s="9"/>
    </row>
    <row r="13858" ht="33.75" customHeight="1">
      <c r="A13858" s="7">
        <v>765.0</v>
      </c>
      <c r="B13858" s="9" t="s">
        <v>18806</v>
      </c>
      <c r="C13858" s="9" t="s">
        <v>18807</v>
      </c>
      <c r="D13858" s="9" t="s">
        <v>652</v>
      </c>
      <c r="E13858" s="6" t="s">
        <v>18811</v>
      </c>
      <c r="F13858" s="9"/>
    </row>
    <row r="13859" ht="33.75" customHeight="1">
      <c r="A13859" s="7">
        <v>765.0</v>
      </c>
      <c r="B13859" s="9" t="s">
        <v>18806</v>
      </c>
      <c r="C13859" s="9" t="s">
        <v>18807</v>
      </c>
      <c r="D13859" s="9" t="s">
        <v>114</v>
      </c>
      <c r="E13859" s="6" t="s">
        <v>18812</v>
      </c>
      <c r="F13859" s="9"/>
    </row>
    <row r="13860" ht="33.75" customHeight="1">
      <c r="A13860" s="7">
        <v>765.0</v>
      </c>
      <c r="B13860" s="9" t="s">
        <v>18806</v>
      </c>
      <c r="C13860" s="9" t="s">
        <v>18807</v>
      </c>
      <c r="D13860" s="9" t="s">
        <v>117</v>
      </c>
      <c r="E13860" s="6" t="s">
        <v>18813</v>
      </c>
      <c r="F13860" s="9"/>
    </row>
    <row r="13861" ht="33.75" customHeight="1">
      <c r="A13861" s="7">
        <v>766.0</v>
      </c>
      <c r="B13861" s="9" t="s">
        <v>18814</v>
      </c>
      <c r="C13861" s="9" t="s">
        <v>18815</v>
      </c>
      <c r="D13861" s="9" t="s">
        <v>637</v>
      </c>
      <c r="E13861" s="6" t="s">
        <v>18816</v>
      </c>
      <c r="F13861" t="inlineStr" s="10">
        <is>
          <t xml:space="preserve">He muodostavat noin 20 henkilön ryhmiä. Heidän keskinäinen siteensä on merkittävä – he eivät koskaan petä toveriaan. He taistelevat kovilla marjoilla saadakseen aseita. Heidän tekniikkansa siirtyvät pomolta ryhmälle sukupolvi toisensa jälkeen. Ne käyttävät sylkeään kiinnittääkseen lehtiä hartioilleen. Lehtien sijainnista voi päätellä, mihin ryhmään ne kuuluvat. Marjat ovat sen aseita ja sen ruokavalion perusta. Se, joka pystyy heittämään marjan kauimmalle, on joukon pomo. He osoittavat hämmästyttävää tiimityötä noudattaen pomonsa käskyjä ja auttavat yhdessä lempimarjojensa etsimisessä. Passimialaiset elävät noin 20 yksilön ryhmissä, joissa jokaisella jäsenellä on oma tehtävänsä. Yhteistyön ansiosta ryhmä selviytyy.</t>
        </is>
      </c>
    </row>
    <row r="13862" ht="33.75" customHeight="1">
      <c r="A13862" s="7">
        <v>766.0</v>
      </c>
      <c r="B13862" s="9" t="s">
        <v>18814</v>
      </c>
      <c r="C13862" s="9" t="s">
        <v>18815</v>
      </c>
      <c r="D13862" s="9" t="s">
        <v>642</v>
      </c>
      <c r="E13862" s="6" t="s">
        <v>18817</v>
      </c>
      <c r="F13862" s="9"/>
    </row>
    <row r="13863" ht="33.75" customHeight="1">
      <c r="A13863" s="7">
        <v>766.0</v>
      </c>
      <c r="B13863" s="9" t="s">
        <v>18814</v>
      </c>
      <c r="C13863" s="9" t="s">
        <v>18815</v>
      </c>
      <c r="D13863" s="9" t="s">
        <v>647</v>
      </c>
      <c r="E13863" s="6" t="s">
        <v>18818</v>
      </c>
      <c r="F13863" s="9"/>
    </row>
    <row r="13864" ht="33.75" customHeight="1">
      <c r="A13864" s="7">
        <v>766.0</v>
      </c>
      <c r="B13864" s="9" t="s">
        <v>18814</v>
      </c>
      <c r="C13864" s="9" t="s">
        <v>18815</v>
      </c>
      <c r="D13864" s="9" t="s">
        <v>652</v>
      </c>
      <c r="E13864" s="6" t="s">
        <v>18819</v>
      </c>
      <c r="F13864" s="9"/>
    </row>
    <row r="13865" ht="33.75" customHeight="1">
      <c r="A13865" s="7">
        <v>766.0</v>
      </c>
      <c r="B13865" s="9" t="s">
        <v>18814</v>
      </c>
      <c r="C13865" s="9" t="s">
        <v>18815</v>
      </c>
      <c r="D13865" s="9" t="s">
        <v>114</v>
      </c>
      <c r="E13865" s="6" t="s">
        <v>18821</v>
      </c>
      <c r="F13865" s="9"/>
    </row>
    <row r="13866" ht="33.75" customHeight="1">
      <c r="A13866" s="7">
        <v>766.0</v>
      </c>
      <c r="B13866" s="9" t="s">
        <v>18814</v>
      </c>
      <c r="C13866" s="9" t="s">
        <v>18815</v>
      </c>
      <c r="D13866" s="9" t="s">
        <v>117</v>
      </c>
      <c r="E13866" s="6" t="s">
        <v>18822</v>
      </c>
      <c r="F13866" s="9"/>
    </row>
    <row r="13867" ht="33.75" customHeight="1">
      <c r="A13867" s="7">
        <v>767.0</v>
      </c>
      <c r="B13867" s="9" t="s">
        <v>18823</v>
      </c>
      <c r="C13867" s="9" t="s">
        <v>18824</v>
      </c>
      <c r="D13867" s="9" t="s">
        <v>637</v>
      </c>
      <c r="E13867" s="6" t="s">
        <v>18825</v>
      </c>
      <c r="F13867" t="inlineStr" s="10">
        <is>
          <t xml:space="preserve">Tämä Pokémon on pelkuri. Sen epätoivoisen syöksyn aikana sen monien jalkojen heiluminen jättää jälkeensä säihkyvän puhtaan polun. Sen elinympäristö vaihtelee rannoista merenpohjiin. Luonnollisena raadonsyöjänä se syö mielellään kaikkea syötävää, olipa se kuinka mätää tahansa. Se poimii kaiken, mitä se löytää maasta. Joskus se löytää kolikoita, joten Murkrow ja Meowth lähtevät sen perään. Hämmästyttävän pelkurimainen Pokémon Wimpod pyörittää jalkojaan kovaa vauhtia paetakseen, jos jokin tulee lähelle. Se on luonnon puhdistaja – se syö kaikkea, myös roskia ja mädäntyneitä asioita. Sen pesän lähellä oleva maa on aina puhdas. Nynnyt kerääntyvät parviin jatkuvasti varoen vaaraa. Ne hajaantuvat heti, kun ne havaitsevat vihollisen läsnäolon.</t>
        </is>
      </c>
    </row>
    <row r="13868" ht="33.75" customHeight="1">
      <c r="A13868" s="7">
        <v>767.0</v>
      </c>
      <c r="B13868" s="9" t="s">
        <v>18823</v>
      </c>
      <c r="C13868" s="9" t="s">
        <v>18824</v>
      </c>
      <c r="D13868" s="9" t="s">
        <v>642</v>
      </c>
      <c r="E13868" s="6" t="s">
        <v>18826</v>
      </c>
      <c r="F13868" s="9"/>
    </row>
    <row r="13869" ht="33.75" customHeight="1">
      <c r="A13869" s="7">
        <v>767.0</v>
      </c>
      <c r="B13869" s="9" t="s">
        <v>18823</v>
      </c>
      <c r="C13869" s="9" t="s">
        <v>18824</v>
      </c>
      <c r="D13869" s="9" t="s">
        <v>647</v>
      </c>
      <c r="E13869" s="6" t="s">
        <v>18827</v>
      </c>
      <c r="F13869" s="9"/>
    </row>
    <row r="13870" ht="33.75" customHeight="1">
      <c r="A13870" s="7">
        <v>767.0</v>
      </c>
      <c r="B13870" s="9" t="s">
        <v>18823</v>
      </c>
      <c r="C13870" s="9" t="s">
        <v>18824</v>
      </c>
      <c r="D13870" s="9" t="s">
        <v>652</v>
      </c>
      <c r="E13870" s="6" t="s">
        <v>18828</v>
      </c>
      <c r="F13870" s="9"/>
    </row>
    <row r="13871" ht="33.75" customHeight="1">
      <c r="A13871" s="7">
        <v>767.0</v>
      </c>
      <c r="B13871" s="9" t="s">
        <v>18823</v>
      </c>
      <c r="C13871" s="9" t="s">
        <v>18824</v>
      </c>
      <c r="D13871" s="9" t="s">
        <v>114</v>
      </c>
      <c r="E13871" s="6" t="s">
        <v>18829</v>
      </c>
      <c r="F13871" s="9"/>
    </row>
    <row r="13872" ht="33.75" customHeight="1">
      <c r="A13872" s="7">
        <v>767.0</v>
      </c>
      <c r="B13872" s="9" t="s">
        <v>18823</v>
      </c>
      <c r="C13872" s="9" t="s">
        <v>18824</v>
      </c>
      <c r="D13872" s="9" t="s">
        <v>117</v>
      </c>
      <c r="E13872" s="6" t="s">
        <v>18830</v>
      </c>
      <c r="F13872" s="9"/>
    </row>
    <row r="13873" ht="33.75" customHeight="1">
      <c r="A13873" s="7">
        <v>768.0</v>
      </c>
      <c r="B13873" s="9" t="s">
        <v>18831</v>
      </c>
      <c r="C13873" s="9" t="s">
        <v>18832</v>
      </c>
      <c r="D13873" s="9" t="s">
        <v>637</v>
      </c>
      <c r="E13873" s="6" t="s">
        <v>18833</v>
      </c>
      <c r="F13873" t="inlineStr" s="10">
        <is>
          <t xml:space="preserve">Jättimäisten terävien kynsiensä välkkyvällä viillolla se halkaisee meriveden – tai jopa ilman – kahtia. Se taistelee taitavasti kuudella kädellään, mutta viettää suurimman osan ajastaan ​​rauhallisesti meditoiden syvällä meren alla olevissa luolissa. Sen vartaloa peittävä kuori on timantinkova. Tämä Pokémon tekee kaikkensa voittaakseen. Sen kynnet, joita se voi ojentaa ja vetää umpeen mielensä mukaan, ovat sen parhaimmat aseet. Golisopodilla on joskus seurassaan Wimpod. Se tekee mitä tahansa voittaakseen, hyödyntää jokaisen tilaisuuden ja viimeistelee vastustajat etujalkojensa pienillä kynsillä. Ne elävät uponneissa laivoissa tai merenpohjan koloissa. Kun Golisopod ja Grapploct taistelevat, häviäjästä tulee voittajan ateria.</t>
        </is>
      </c>
    </row>
    <row r="13874" ht="33.75" customHeight="1">
      <c r="A13874" s="7">
        <v>768.0</v>
      </c>
      <c r="B13874" s="9" t="s">
        <v>18831</v>
      </c>
      <c r="C13874" s="9" t="s">
        <v>18832</v>
      </c>
      <c r="D13874" s="9" t="s">
        <v>642</v>
      </c>
      <c r="E13874" s="6" t="s">
        <v>18834</v>
      </c>
      <c r="F13874" s="9"/>
    </row>
    <row r="13875" ht="33.75" customHeight="1">
      <c r="A13875" s="7">
        <v>768.0</v>
      </c>
      <c r="B13875" s="9" t="s">
        <v>18831</v>
      </c>
      <c r="C13875" s="9" t="s">
        <v>18832</v>
      </c>
      <c r="D13875" s="9" t="s">
        <v>647</v>
      </c>
      <c r="E13875" s="6" t="s">
        <v>18835</v>
      </c>
      <c r="F13875" s="9"/>
    </row>
    <row r="13876" ht="33.75" customHeight="1">
      <c r="A13876" s="7">
        <v>768.0</v>
      </c>
      <c r="B13876" s="9" t="s">
        <v>18831</v>
      </c>
      <c r="C13876" s="9" t="s">
        <v>18832</v>
      </c>
      <c r="D13876" s="9" t="s">
        <v>652</v>
      </c>
      <c r="E13876" s="6" t="s">
        <v>18836</v>
      </c>
      <c r="F13876" s="9"/>
    </row>
    <row r="13877" ht="33.75" customHeight="1">
      <c r="A13877" s="7">
        <v>768.0</v>
      </c>
      <c r="B13877" s="9" t="s">
        <v>18831</v>
      </c>
      <c r="C13877" s="9" t="s">
        <v>18832</v>
      </c>
      <c r="D13877" s="9" t="s">
        <v>114</v>
      </c>
      <c r="E13877" s="6" t="s">
        <v>18837</v>
      </c>
      <c r="F13877" s="9"/>
    </row>
    <row r="13878" ht="33.75" customHeight="1">
      <c r="A13878" s="7">
        <v>768.0</v>
      </c>
      <c r="B13878" s="9" t="s">
        <v>18831</v>
      </c>
      <c r="C13878" s="9" t="s">
        <v>18832</v>
      </c>
      <c r="D13878" s="9" t="s">
        <v>117</v>
      </c>
      <c r="E13878" s="6" t="s">
        <v>18838</v>
      </c>
      <c r="F13878" s="9"/>
    </row>
    <row r="13879" ht="33.75" customHeight="1">
      <c r="A13879" s="7">
        <v>769.0</v>
      </c>
      <c r="B13879" s="9" t="s">
        <v>18839</v>
      </c>
      <c r="C13879" s="9" t="s">
        <v>18840</v>
      </c>
      <c r="D13879" s="9" t="s">
        <v>637</v>
      </c>
      <c r="E13879" s="6" t="s">
        <v>18841</v>
      </c>
      <c r="F13879" t="inlineStr" s="10">
        <is>
          <t xml:space="preserve">Lapsen leikkisästi rakentamasta hiekkakumpasta syntynyt Pokémon ilmentää vainajien kaunoja. Se ottaa vallan jokaisesta, joka laittaa käden sen suuhun. Ja näin se kasvattaa hiekkakumpunsa muodostamaa ruumista. Se pitää päässään olevasta lapiosta, joten Sandygast vakavoituu ja tappelee kaikkia lapsia vastaan, jotka tulevat hakemaan sen takaisin. Jos rakennat hiekkakasoja pelatessasi, tuhoa ne ennen kotiin lähtöä, tai ne voivat joutua Sandgast-hahmojen valtaamiksi. Kuolleiden kaunat ovat ottaneet haltuunsa hiekkakasan ja muuttuneet Pokémoneiksi. Sandygast pitää sen päässä olevasta lapiosta. Sandygast asuttaa pääasiassa rantoja. Se ottaa vallan kenestä tahansa, joka laittaa kätensä sen suuhun, pakottaen heidät kasvattamaan ruumistaan.</t>
        </is>
      </c>
    </row>
    <row r="13880" ht="33.75" customHeight="1">
      <c r="A13880" s="7">
        <v>769.0</v>
      </c>
      <c r="B13880" s="9" t="s">
        <v>18839</v>
      </c>
      <c r="C13880" s="9" t="s">
        <v>18840</v>
      </c>
      <c r="D13880" s="9" t="s">
        <v>642</v>
      </c>
      <c r="E13880" s="6" t="s">
        <v>18842</v>
      </c>
      <c r="F13880" s="9"/>
    </row>
    <row r="13881" ht="33.75" customHeight="1">
      <c r="A13881" s="7">
        <v>769.0</v>
      </c>
      <c r="B13881" s="9" t="s">
        <v>18839</v>
      </c>
      <c r="C13881" s="9" t="s">
        <v>18840</v>
      </c>
      <c r="D13881" s="9" t="s">
        <v>647</v>
      </c>
      <c r="E13881" s="6" t="s">
        <v>18843</v>
      </c>
      <c r="F13881" s="9"/>
    </row>
    <row r="13882" ht="33.75" customHeight="1">
      <c r="A13882" s="7">
        <v>769.0</v>
      </c>
      <c r="B13882" s="9" t="s">
        <v>18839</v>
      </c>
      <c r="C13882" s="9" t="s">
        <v>18840</v>
      </c>
      <c r="D13882" s="9" t="s">
        <v>652</v>
      </c>
      <c r="E13882" s="6" t="s">
        <v>18844</v>
      </c>
      <c r="F13882" s="9"/>
    </row>
    <row r="13883" ht="33.75" customHeight="1">
      <c r="A13883" s="7">
        <v>769.0</v>
      </c>
      <c r="B13883" s="9" t="s">
        <v>18839</v>
      </c>
      <c r="C13883" s="9" t="s">
        <v>18840</v>
      </c>
      <c r="D13883" s="9" t="s">
        <v>114</v>
      </c>
      <c r="E13883" s="6" t="s">
        <v>18845</v>
      </c>
      <c r="F13883" s="9"/>
    </row>
    <row r="13884" ht="33.75" customHeight="1">
      <c r="A13884" s="7">
        <v>769.0</v>
      </c>
      <c r="B13884" s="9" t="s">
        <v>18839</v>
      </c>
      <c r="C13884" s="9" t="s">
        <v>18840</v>
      </c>
      <c r="D13884" s="9" t="s">
        <v>117</v>
      </c>
      <c r="E13884" s="6" t="s">
        <v>18847</v>
      </c>
      <c r="F13884" s="9"/>
    </row>
    <row r="13885" ht="33.75" customHeight="1">
      <c r="A13885" s="7">
        <v>770.0</v>
      </c>
      <c r="B13885" s="9" t="s">
        <v>18848</v>
      </c>
      <c r="C13885" s="9" t="s">
        <v>18849</v>
      </c>
      <c r="D13885" s="9" t="s">
        <v>637</v>
      </c>
      <c r="E13885" s="6" t="s">
        <v>18850</v>
      </c>
      <c r="F13885" t="inlineStr" s="10">
        <is>
          <t xml:space="preserve">Tämän Pokémonin hallitsemat riivatut ihmiset muuttivat hiekkakasansa linnaksi. Sen kehittyessä sen kirousvoima kasvoi yhä vahvemmaksi. Linnan alle on haudattu kasoittain kuivuneita luita niiltä, ​​joiden elinvoiman se on imenyt. Jokaisella sen hiekanjyvästä on oma tahtonsa. Palossand syö pieniä Pokémoneja ja imee niiden elinvoiman niiden ollessa vielä elossa. Kun se on nostattanut hiekkamyrskyn pysäyttääkseen vastustajansa, tämä kauhistuttava Pokémon riistää heiltä elinvoiman. Palossandia kutsutaan Rantapainajaiseksi. Se vetää saaliinsa alas hiekkaan hallitsemalla itse hiekkaa ja imee sitten niiden sielut ulos. Tämä Pokémon elää rannoilla, mutta se vihaa vettä. Palossand ei pysty säilyttämään linnamaista muotoaan, jos rankkasade kastuu sen läpimäräksi.</t>
        </is>
      </c>
    </row>
    <row r="13886" ht="33.75" customHeight="1">
      <c r="A13886" s="7">
        <v>770.0</v>
      </c>
      <c r="B13886" s="9" t="s">
        <v>18848</v>
      </c>
      <c r="C13886" s="9" t="s">
        <v>18849</v>
      </c>
      <c r="D13886" s="9" t="s">
        <v>642</v>
      </c>
      <c r="E13886" s="6" t="s">
        <v>18851</v>
      </c>
      <c r="F13886" s="9"/>
    </row>
    <row r="13887" ht="33.75" customHeight="1">
      <c r="A13887" s="7">
        <v>770.0</v>
      </c>
      <c r="B13887" s="9" t="s">
        <v>18848</v>
      </c>
      <c r="C13887" s="9" t="s">
        <v>18849</v>
      </c>
      <c r="D13887" s="9" t="s">
        <v>647</v>
      </c>
      <c r="E13887" s="6" t="s">
        <v>18852</v>
      </c>
      <c r="F13887" s="9"/>
    </row>
    <row r="13888" ht="33.75" customHeight="1">
      <c r="A13888" s="7">
        <v>770.0</v>
      </c>
      <c r="B13888" s="9" t="s">
        <v>18848</v>
      </c>
      <c r="C13888" s="9" t="s">
        <v>18849</v>
      </c>
      <c r="D13888" s="9" t="s">
        <v>652</v>
      </c>
      <c r="E13888" s="6" t="s">
        <v>18853</v>
      </c>
      <c r="F13888" s="9"/>
    </row>
    <row r="13889" ht="33.75" customHeight="1">
      <c r="A13889" s="7">
        <v>770.0</v>
      </c>
      <c r="B13889" s="9" t="s">
        <v>18848</v>
      </c>
      <c r="C13889" s="9" t="s">
        <v>18849</v>
      </c>
      <c r="D13889" s="9" t="s">
        <v>114</v>
      </c>
      <c r="E13889" s="6" t="s">
        <v>18854</v>
      </c>
      <c r="F13889" s="9"/>
    </row>
    <row r="13890" ht="33.75" customHeight="1">
      <c r="A13890" s="7">
        <v>770.0</v>
      </c>
      <c r="B13890" s="9" t="s">
        <v>18848</v>
      </c>
      <c r="C13890" s="9" t="s">
        <v>18849</v>
      </c>
      <c r="D13890" s="9" t="s">
        <v>117</v>
      </c>
      <c r="E13890" s="6" t="s">
        <v>18855</v>
      </c>
      <c r="F13890" s="9"/>
    </row>
    <row r="13891" ht="33.75" customHeight="1">
      <c r="A13891" s="7">
        <v>771.0</v>
      </c>
      <c r="B13891" s="9" t="s">
        <v>18856</v>
      </c>
      <c r="C13891" s="9" t="s">
        <v>18857</v>
      </c>
      <c r="D13891" s="9" t="s">
        <v>637</v>
      </c>
      <c r="E13891" s="6" t="s">
        <v>18858</v>
      </c>
      <c r="F13891" t="inlineStr" s="10">
        <is>
          <t xml:space="preserve">Pyukumuku elää matalissa merissä, kuten rantojen lähellä. Se voi työntää ulos sisäelimensä, joita se käyttää saaliinsa nielemiseen tai vihollisten torjuntaan. Nämä Pokémonit reunustavat rantoja. Niiden kehoja peittävää tahmeaa limaa voidaan käyttää auringonpolttaman ihon rauhoittamiseen. Kuinka kätevää! Pyukumuku-heittoperinne sai alkunsa tavasta heittää Pyukumuku takaisin mereen sen jälkeen, kun ne huuhtoutuivat rannalle. Sen koko ruumis on peittynyt sen omaan limaan. Jos vahingossa astut sen päälle, liukastut ja se suuttuu ja läimäisee sinua! Se elää lämpimissä, matalissa vesissä. Jos se kohtaa vihollisen, se sylkee sisäelimensä ulos lyödäkseen sitä. Se on peittynyt limakalvoon, joka pitää sen ihon kosteana, jolloin se voi pysyä maalla päiviä kuivumatta.</t>
        </is>
      </c>
    </row>
    <row r="13892" ht="33.75" customHeight="1">
      <c r="A13892" s="7">
        <v>771.0</v>
      </c>
      <c r="B13892" s="9" t="s">
        <v>18856</v>
      </c>
      <c r="C13892" s="9" t="s">
        <v>18857</v>
      </c>
      <c r="D13892" s="9" t="s">
        <v>642</v>
      </c>
      <c r="E13892" s="6" t="s">
        <v>18859</v>
      </c>
      <c r="F13892" s="9"/>
    </row>
    <row r="13893" ht="33.75" customHeight="1">
      <c r="A13893" s="7">
        <v>771.0</v>
      </c>
      <c r="B13893" s="9" t="s">
        <v>18856</v>
      </c>
      <c r="C13893" s="9" t="s">
        <v>18857</v>
      </c>
      <c r="D13893" s="9" t="s">
        <v>647</v>
      </c>
      <c r="E13893" s="6" t="s">
        <v>18860</v>
      </c>
      <c r="F13893" s="9"/>
    </row>
    <row r="13894" ht="33.75" customHeight="1">
      <c r="A13894" s="7">
        <v>771.0</v>
      </c>
      <c r="B13894" s="9" t="s">
        <v>18856</v>
      </c>
      <c r="C13894" s="9" t="s">
        <v>18857</v>
      </c>
      <c r="D13894" s="9" t="s">
        <v>652</v>
      </c>
      <c r="E13894" s="6" t="s">
        <v>18861</v>
      </c>
      <c r="F13894" s="9"/>
    </row>
    <row r="13895" ht="33.75" customHeight="1">
      <c r="A13895" s="7">
        <v>771.0</v>
      </c>
      <c r="B13895" s="9" t="s">
        <v>18856</v>
      </c>
      <c r="C13895" s="9" t="s">
        <v>18857</v>
      </c>
      <c r="D13895" s="9" t="s">
        <v>114</v>
      </c>
      <c r="E13895" s="6" t="s">
        <v>18862</v>
      </c>
      <c r="F13895" s="9"/>
    </row>
    <row r="13896" ht="33.75" customHeight="1">
      <c r="A13896" s="7">
        <v>771.0</v>
      </c>
      <c r="B13896" s="9" t="s">
        <v>18856</v>
      </c>
      <c r="C13896" s="9" t="s">
        <v>18857</v>
      </c>
      <c r="D13896" s="9" t="s">
        <v>117</v>
      </c>
      <c r="E13896" s="6" t="s">
        <v>18863</v>
      </c>
      <c r="F13896" s="9"/>
    </row>
    <row r="13897" ht="33.75" customHeight="1">
      <c r="A13897" s="7">
        <v>772.0</v>
      </c>
      <c r="B13897" s="9" t="s">
        <v>18864</v>
      </c>
      <c r="C13897" s="9" t="s">
        <v>18865</v>
      </c>
      <c r="D13897" s="9" t="s">
        <v>637</v>
      </c>
      <c r="E13897" s="6" t="s">
        <v>18866</v>
      </c>
      <c r="F13897" t="inlineStr" s="10">
        <is>
          <t xml:space="preserve">Type: Nullin raskas kontrollinaamio tukahduttaa sen sisäiset kyvyt. Tällä Pokémonilla on piilotettuja erityisvoimia. Koska tämä synteettinen Pokémon voi riehua, se käyttää naamaria hillitäkseen voimaansa. Tiettyä tehtävää varten kehitetty Pokémon-ase sekosi kokeen aikana, joten se jäädytettiin kryogeenisesti. On olemassa vaara, että se riehuu, joten sen todellinen voima on sinetöity sen hallintanaamion alle. Huhun mukaan huippusalaisten tutkimusmuistiinpanojen varastaminen johti uuden Pokémonin luomiseen Galarin alueella. Se on mallinnettu mahtavan myyttisen Pokémonin mukaan. Sille asetettu naamio rajoittaa sen voimaa pitääkseen sen hallinnassa.</t>
        </is>
      </c>
    </row>
    <row r="13898" ht="33.75" customHeight="1">
      <c r="A13898" s="7">
        <v>772.0</v>
      </c>
      <c r="B13898" s="9" t="s">
        <v>18864</v>
      </c>
      <c r="C13898" s="9" t="s">
        <v>18865</v>
      </c>
      <c r="D13898" s="9" t="s">
        <v>642</v>
      </c>
      <c r="E13898" s="6" t="s">
        <v>18867</v>
      </c>
      <c r="F13898" s="9"/>
    </row>
    <row r="13899" ht="33.75" customHeight="1">
      <c r="A13899" s="7">
        <v>772.0</v>
      </c>
      <c r="B13899" s="9" t="s">
        <v>18864</v>
      </c>
      <c r="C13899" s="9" t="s">
        <v>18865</v>
      </c>
      <c r="D13899" s="9" t="s">
        <v>647</v>
      </c>
      <c r="E13899" s="6" t="s">
        <v>18868</v>
      </c>
      <c r="F13899" s="9"/>
    </row>
    <row r="13900" ht="33.75" customHeight="1">
      <c r="A13900" s="7">
        <v>772.0</v>
      </c>
      <c r="B13900" s="9" t="s">
        <v>18864</v>
      </c>
      <c r="C13900" s="9" t="s">
        <v>18865</v>
      </c>
      <c r="D13900" s="9" t="s">
        <v>652</v>
      </c>
      <c r="E13900" s="6" t="s">
        <v>18870</v>
      </c>
      <c r="F13900" s="9"/>
    </row>
    <row r="13901" ht="33.75" customHeight="1">
      <c r="A13901" s="7">
        <v>772.0</v>
      </c>
      <c r="B13901" s="9" t="s">
        <v>18864</v>
      </c>
      <c r="C13901" s="9" t="s">
        <v>18865</v>
      </c>
      <c r="D13901" s="9" t="s">
        <v>114</v>
      </c>
      <c r="E13901" s="6" t="s">
        <v>18871</v>
      </c>
      <c r="F13901" s="9"/>
    </row>
    <row r="13902" ht="33.75" customHeight="1">
      <c r="A13902" s="7">
        <v>772.0</v>
      </c>
      <c r="B13902" s="9" t="s">
        <v>18864</v>
      </c>
      <c r="C13902" s="9" t="s">
        <v>18865</v>
      </c>
      <c r="D13902" s="9" t="s">
        <v>117</v>
      </c>
      <c r="E13902" s="6" t="s">
        <v>18872</v>
      </c>
      <c r="F13902" s="9"/>
    </row>
    <row r="13903" ht="33.75" customHeight="1">
      <c r="A13903" s="7">
        <v>773.0</v>
      </c>
      <c r="B13903" s="9" t="s">
        <v>18873</v>
      </c>
      <c r="C13903" s="9" t="s">
        <v>18865</v>
      </c>
      <c r="D13903" s="9" t="s">
        <v>637</v>
      </c>
      <c r="E13903" s="6" t="s">
        <v>18874</v>
      </c>
      <c r="F13903" t="inlineStr" s="10">
        <is>
          <t xml:space="preserve">Silvallyn luottamus kumppaniinsa herättää sen. Tämä Pokémon pystyy vaihtamaan tyyppiään, ja tämä joustavuus näkyy hyvin taistelussa. Vaikka sen nimi oli aluksi Tyyppi: Null, poika, joka kehitti sen tähän muotoon, antoi sille nimen, jolla se nykyään tunnetaan. Tämä on sen muoto herättyä ja kehittynyt. Vapauduttuaan raskaasta naamiostaan ​​sen nopeus kasvaa huomattavasti. Kouluttajansa kanssa muodostaman siteen kautta sen tahto vahvistui ja se kykeni tuhoamaan kontrollinaamionsa. Tämän Pokémonin ja sen kouluttajan välinen vahva luottamusside herätti Silvallyn sisällä piilevän voiman. Se voi muuttaa tyyppiään mielensä mukaan. Viimeinen tekijä, joka tarvittiin tämän Pokémonin todellisen voiman vapauttamiseksi, oli vahva side kouluttajaan, johon se luottaa.</t>
        </is>
      </c>
    </row>
    <row r="13904" ht="33.75" customHeight="1">
      <c r="A13904" s="7">
        <v>773.0</v>
      </c>
      <c r="B13904" s="9" t="s">
        <v>18873</v>
      </c>
      <c r="C13904" s="9" t="s">
        <v>18865</v>
      </c>
      <c r="D13904" s="9" t="s">
        <v>642</v>
      </c>
      <c r="E13904" s="6" t="s">
        <v>18875</v>
      </c>
      <c r="F13904" s="9"/>
    </row>
    <row r="13905" ht="33.75" customHeight="1">
      <c r="A13905" s="7">
        <v>773.0</v>
      </c>
      <c r="B13905" s="9" t="s">
        <v>18873</v>
      </c>
      <c r="C13905" s="9" t="s">
        <v>18865</v>
      </c>
      <c r="D13905" s="9" t="s">
        <v>647</v>
      </c>
      <c r="E13905" s="6" t="s">
        <v>18876</v>
      </c>
      <c r="F13905" s="9"/>
    </row>
    <row r="13906" ht="33.75" customHeight="1">
      <c r="A13906" s="7">
        <v>773.0</v>
      </c>
      <c r="B13906" s="9" t="s">
        <v>18873</v>
      </c>
      <c r="C13906" s="9" t="s">
        <v>18865</v>
      </c>
      <c r="D13906" s="9" t="s">
        <v>652</v>
      </c>
      <c r="E13906" s="6" t="s">
        <v>18877</v>
      </c>
      <c r="F13906" s="9"/>
    </row>
    <row r="13907" ht="33.75" customHeight="1">
      <c r="A13907" s="7">
        <v>773.0</v>
      </c>
      <c r="B13907" s="9" t="s">
        <v>18873</v>
      </c>
      <c r="C13907" s="9" t="s">
        <v>18865</v>
      </c>
      <c r="D13907" s="9" t="s">
        <v>114</v>
      </c>
      <c r="E13907" s="6" t="s">
        <v>18878</v>
      </c>
      <c r="F13907" s="9"/>
    </row>
    <row r="13908" ht="33.75" customHeight="1">
      <c r="A13908" s="7">
        <v>773.0</v>
      </c>
      <c r="B13908" s="9" t="s">
        <v>18873</v>
      </c>
      <c r="C13908" s="9" t="s">
        <v>18865</v>
      </c>
      <c r="D13908" s="9" t="s">
        <v>117</v>
      </c>
      <c r="E13908" s="6" t="s">
        <v>18879</v>
      </c>
      <c r="F13908" s="9"/>
    </row>
    <row r="13909" ht="33.75" customHeight="1">
      <c r="A13909" s="7">
        <v>774.0</v>
      </c>
      <c r="B13909" s="9" t="s">
        <v>18880</v>
      </c>
      <c r="C13909" s="9" t="s">
        <v>18881</v>
      </c>
      <c r="D13909" s="9" t="s">
        <v>637</v>
      </c>
      <c r="E13909" s="6" t="s">
        <v>18882</v>
      </c>
      <c r="F13909" t="inlineStr" s="10">
        <is>
          <t xml:space="preserve">Alun perin otsonikerroksessa elänyt se syöksyy maahan, kun Miniorin ruumista ympäröivä kuori kasvaa liian raskaaksi. Voimakkaat iskut voivat pudottaa sen kuorestaan. Tämä Pokémon syntyi mutatoituneista nanopartikkeleista. Se elää otsonikerroksessa, jossa siitä tulee ravintoa vahvemmille Pokémoneille. Kun se yrittää paeta, se putoaa maahan. Vaikka sen ulkokuori on epätavallisen kestävä, maahan putoamisen isku murskaa kuoren palasiksi.</t>
        </is>
      </c>
    </row>
    <row r="13910" ht="33.75" customHeight="1">
      <c r="A13910" s="7">
        <v>774.0</v>
      </c>
      <c r="B13910" s="9" t="s">
        <v>18880</v>
      </c>
      <c r="C13910" s="9" t="s">
        <v>18881</v>
      </c>
      <c r="D13910" s="9" t="s">
        <v>642</v>
      </c>
      <c r="E13910" s="6" t="s">
        <v>18883</v>
      </c>
      <c r="F13910" s="9"/>
    </row>
    <row r="13911" ht="33.75" customHeight="1">
      <c r="A13911" s="7">
        <v>774.0</v>
      </c>
      <c r="B13911" s="9" t="s">
        <v>18880</v>
      </c>
      <c r="C13911" s="9" t="s">
        <v>18881</v>
      </c>
      <c r="D13911" s="9" t="s">
        <v>647</v>
      </c>
      <c r="E13911" s="6" t="s">
        <v>18884</v>
      </c>
      <c r="F13911" s="9"/>
    </row>
    <row r="13912" ht="33.75" customHeight="1">
      <c r="A13912" s="7">
        <v>774.0</v>
      </c>
      <c r="B13912" s="9" t="s">
        <v>18880</v>
      </c>
      <c r="C13912" s="9" t="s">
        <v>18881</v>
      </c>
      <c r="D13912" s="9" t="s">
        <v>652</v>
      </c>
      <c r="E13912" s="6" t="s">
        <v>18885</v>
      </c>
      <c r="F13912" s="9"/>
    </row>
    <row r="13913" ht="33.75" customHeight="1">
      <c r="A13913" s="7">
        <v>775.0</v>
      </c>
      <c r="B13913" s="9" t="s">
        <v>18886</v>
      </c>
      <c r="C13913" s="9" t="s">
        <v>16886</v>
      </c>
      <c r="D13913" s="9" t="s">
        <v>637</v>
      </c>
      <c r="E13913" s="6" t="s">
        <v>18887</v>
      </c>
      <c r="F13913" t="inlineStr" s="10">
        <is>
          <t xml:space="preserve">Komala syntyy unessa ja kuolee unessa. Kaikki sen liikkeet ovat näennäisesti vain sen unissa pyörimisen ja pyörimisen tulosta. Sen vanhemmat antoivat sille sen syntymässä lokin, jota se pitää kädessään. Sen tiedetään myös tarrautuvan ystävällisen kouluttajan käsivarteen. Se nukkuu syntymästään lähtien. Kun se vaipuu syvään uneen, se lakkaa liikkumasta kokonaan. Se pysyy unessa syntymästä kuolemaan sen ruokavaliota muodostavien lehtien rauhoittavien ominaisuuksien seurauksena.</t>
        </is>
      </c>
    </row>
    <row r="13914" ht="33.75" customHeight="1">
      <c r="A13914" s="7">
        <v>775.0</v>
      </c>
      <c r="B13914" s="9" t="s">
        <v>18886</v>
      </c>
      <c r="C13914" s="9" t="s">
        <v>16886</v>
      </c>
      <c r="D13914" s="9" t="s">
        <v>642</v>
      </c>
      <c r="E13914" s="6" t="s">
        <v>18888</v>
      </c>
      <c r="F13914" s="9"/>
    </row>
    <row r="13915" ht="33.75" customHeight="1">
      <c r="A13915" s="7">
        <v>775.0</v>
      </c>
      <c r="B13915" s="9" t="s">
        <v>18886</v>
      </c>
      <c r="C13915" s="9" t="s">
        <v>16886</v>
      </c>
      <c r="D13915" s="9" t="s">
        <v>647</v>
      </c>
      <c r="E13915" s="6" t="s">
        <v>18889</v>
      </c>
      <c r="F13915" s="9"/>
    </row>
    <row r="13916" ht="33.75" customHeight="1">
      <c r="A13916" s="7">
        <v>775.0</v>
      </c>
      <c r="B13916" s="9" t="s">
        <v>18886</v>
      </c>
      <c r="C13916" s="9" t="s">
        <v>16886</v>
      </c>
      <c r="D13916" s="9" t="s">
        <v>652</v>
      </c>
      <c r="E13916" s="6" t="s">
        <v>18890</v>
      </c>
      <c r="F13916" s="9"/>
    </row>
    <row r="13917" ht="33.75" customHeight="1">
      <c r="A13917" s="7">
        <v>776.0</v>
      </c>
      <c r="B13917" s="9" t="s">
        <v>18891</v>
      </c>
      <c r="C13917" s="9" t="s">
        <v>18892</v>
      </c>
      <c r="D13917" s="9" t="s">
        <v>637</v>
      </c>
      <c r="E13917" s="6" t="s">
        <v>18893</v>
      </c>
      <c r="F13917" t="inlineStr" s="10">
        <is>
          <t xml:space="preserve">Turtonatorin selässä oleva kuori on kemiallisesti epävakaa ja räjähtää rajusti, jos siihen isketään. Vatsassa oleva reikä on sen heikko kohta. Se syöskee sieraimistaan ​​tulta ja myrkyllisiä kaasuja. Sen jätökset ovat räjähdysherkkiä ja niitä voidaan käyttää moniin eri tarkoituksiin. Se elää tulivuorissa ja syö rikkiä ja muita mineraaleja. Sen syömän ruoan materiaalit muodostavat sen räjähtävän kuoren perustan. Sen räjähtävä kuori on todellinen vaara, mutta se on herkkä kosteudelle. Sateisina päivinä Turtonator piiloutuu hiljaa luoliin. Kranaatti on peitetty räjähtävillä aineilla sen selästä. Viholliset, jotka uskaltavat hyökätä sen kimppuun, räjähtävät pois valtavalla räjähdyksellä. Rikin syöminen sen vulkaanisessa elinympäristössä aiheuttaa räjähtävien yhdisteiden kehittymistä sen kuoreen. Myös sen ulosteet ovat vaarallisen räjähdysherkkiä.</t>
        </is>
      </c>
    </row>
    <row r="13918" ht="33.75" customHeight="1">
      <c r="A13918" s="7">
        <v>776.0</v>
      </c>
      <c r="B13918" s="9" t="s">
        <v>18891</v>
      </c>
      <c r="C13918" s="9" t="s">
        <v>18892</v>
      </c>
      <c r="D13918" s="9" t="s">
        <v>642</v>
      </c>
      <c r="E13918" s="6" t="s">
        <v>18894</v>
      </c>
      <c r="F13918" s="9"/>
    </row>
    <row r="13919" ht="33.75" customHeight="1">
      <c r="A13919" s="7">
        <v>776.0</v>
      </c>
      <c r="B13919" s="9" t="s">
        <v>18891</v>
      </c>
      <c r="C13919" s="9" t="s">
        <v>18892</v>
      </c>
      <c r="D13919" s="9" t="s">
        <v>647</v>
      </c>
      <c r="E13919" s="6" t="s">
        <v>18895</v>
      </c>
      <c r="F13919" s="9"/>
    </row>
    <row r="13920" ht="33.75" customHeight="1">
      <c r="A13920" s="7">
        <v>776.0</v>
      </c>
      <c r="B13920" s="9" t="s">
        <v>18891</v>
      </c>
      <c r="C13920" s="9" t="s">
        <v>18892</v>
      </c>
      <c r="D13920" s="9" t="s">
        <v>652</v>
      </c>
      <c r="E13920" s="6" t="s">
        <v>18897</v>
      </c>
      <c r="F13920" s="9"/>
    </row>
    <row r="13921" ht="33.75" customHeight="1">
      <c r="A13921" s="7">
        <v>776.0</v>
      </c>
      <c r="B13921" s="9" t="s">
        <v>18891</v>
      </c>
      <c r="C13921" s="9" t="s">
        <v>18892</v>
      </c>
      <c r="D13921" s="9" t="s">
        <v>114</v>
      </c>
      <c r="E13921" s="6" t="s">
        <v>18898</v>
      </c>
      <c r="F13921" s="9"/>
    </row>
    <row r="13922" ht="33.75" customHeight="1">
      <c r="A13922" s="7">
        <v>776.0</v>
      </c>
      <c r="B13922" s="9" t="s">
        <v>18891</v>
      </c>
      <c r="C13922" s="9" t="s">
        <v>18892</v>
      </c>
      <c r="D13922" s="9" t="s">
        <v>117</v>
      </c>
      <c r="E13922" s="6" t="s">
        <v>18899</v>
      </c>
      <c r="F13922" s="9"/>
    </row>
    <row r="13923" ht="33.75" customHeight="1">
      <c r="A13923" s="7">
        <v>777.0</v>
      </c>
      <c r="B13923" s="9" t="s">
        <v>18900</v>
      </c>
      <c r="C13923" s="9" t="s">
        <v>18901</v>
      </c>
      <c r="D13923" s="9" t="s">
        <v>637</v>
      </c>
      <c r="E13923" s="6" t="s">
        <v>18902</v>
      </c>
      <c r="F13923" t="inlineStr" s="10">
        <is>
          <t xml:space="preserve">Togedemarun selän piikikäs turkki on normaalisti levossa. Kun tämä Pokémon levottomaksi muuttuu, sen turkki nousee pystyyn ja iskee hyökkääjiinsä. Sen selässä olevat pitkät karvat toimivat salamanjohtimina. Sen puoleensa vetävät salamaniskut varastoituvat energiana sen sähköpussiin. Kun se on yllättynyt tai levoton, sen selässä olevat 14 piikkiä nousevat tahtomattaan pystyyn. Sen kyky tuottaa sähköä on jonkin verran rajallinen, joten se latautuu antamalla salaman iskeä siihen! Pitkät selkäkarvansa ansiosta tämä Pokémon imee sähköä muilta sähköisiltä Pokémoneilta. Se varastoi imemänsä sähköpussiin. Hädässä se käpertyy palloksi, nostaa piikkikarvansa pystyyn ja purkaa sitten sähköä umpimähkään.</t>
        </is>
      </c>
    </row>
    <row r="13924" ht="33.75" customHeight="1">
      <c r="A13924" s="7">
        <v>777.0</v>
      </c>
      <c r="B13924" s="9" t="s">
        <v>18900</v>
      </c>
      <c r="C13924" s="9" t="s">
        <v>18901</v>
      </c>
      <c r="D13924" s="9" t="s">
        <v>642</v>
      </c>
      <c r="E13924" s="6" t="s">
        <v>18903</v>
      </c>
      <c r="F13924" s="9"/>
    </row>
    <row r="13925" ht="33.75" customHeight="1">
      <c r="A13925" s="7">
        <v>777.0</v>
      </c>
      <c r="B13925" s="9" t="s">
        <v>18900</v>
      </c>
      <c r="C13925" s="9" t="s">
        <v>18901</v>
      </c>
      <c r="D13925" s="9" t="s">
        <v>647</v>
      </c>
      <c r="E13925" s="6" t="s">
        <v>18904</v>
      </c>
      <c r="F13925" s="9"/>
    </row>
    <row r="13926" ht="33.75" customHeight="1">
      <c r="A13926" s="7">
        <v>777.0</v>
      </c>
      <c r="B13926" s="9" t="s">
        <v>18900</v>
      </c>
      <c r="C13926" s="9" t="s">
        <v>18901</v>
      </c>
      <c r="D13926" s="9" t="s">
        <v>652</v>
      </c>
      <c r="E13926" s="6" t="s">
        <v>18905</v>
      </c>
      <c r="F13926" s="9"/>
    </row>
    <row r="13927" ht="33.75" customHeight="1">
      <c r="A13927" s="7">
        <v>777.0</v>
      </c>
      <c r="B13927" s="9" t="s">
        <v>18900</v>
      </c>
      <c r="C13927" s="9" t="s">
        <v>18901</v>
      </c>
      <c r="D13927" s="9" t="s">
        <v>114</v>
      </c>
      <c r="E13927" s="6" t="s">
        <v>18906</v>
      </c>
      <c r="F13927" s="9"/>
    </row>
    <row r="13928" ht="33.75" customHeight="1">
      <c r="A13928" s="7">
        <v>777.0</v>
      </c>
      <c r="B13928" s="9" t="s">
        <v>18900</v>
      </c>
      <c r="C13928" s="9" t="s">
        <v>18901</v>
      </c>
      <c r="D13928" s="9" t="s">
        <v>117</v>
      </c>
      <c r="E13928" s="6" t="s">
        <v>18907</v>
      </c>
      <c r="F13928" s="9"/>
    </row>
    <row r="13929" ht="33.75" customHeight="1">
      <c r="A13929" s="7">
        <v>778.0</v>
      </c>
      <c r="B13929" s="9" t="s">
        <v>18908</v>
      </c>
      <c r="C13929" s="9" t="s">
        <v>18909</v>
      </c>
      <c r="D13929" s="9" t="s">
        <v>637</v>
      </c>
      <c r="E13929" s="6" t="s">
        <v>18910</v>
      </c>
      <c r="F13929" t="inlineStr" s="10">
        <is>
          <t xml:space="preserve">Mimikyun todellinen ulkonäkö on tuntematon. Tutkija, joka näki, mitä sen rätin alla oli, joutui kauhun valtaan ja kuoli järkytykseen. Yksinäinen Pokémon, joka kätkee kauhistuttavan ulkonäkönsä vanhan rätin alle päästäkseen lähemmäksi ihmisiä ja muita Pokémoneja. Vaikka se on hiljainen ja yksinäinen Pokémon, se kiihtyy ja vastustelee rajusti, jos yrität katsoa sen rätin alle. Tuulenpuuska paljasti ohikulkevalle kouluttajalle, mitä tämän Pokémonin rätin alla piilee. Kouluttaja meni kotiin ja kuoli tuskallisesti samana yönä. Se käyttää rättiä, joka on muotoiltu Pikachun asuksi näyttääkseen vähemmän pelottavalta. Valitettavasti asu tekee siitä vain kammottavamman. Eräs tiedemies kurkisti Mimikyun vanhan rätin alle tutkimuksen nimissä. Tiedemies kuoli salaperäiseen tautiin.</t>
        </is>
      </c>
    </row>
    <row r="13930" ht="33.75" customHeight="1">
      <c r="A13930" s="7">
        <v>778.0</v>
      </c>
      <c r="B13930" s="9" t="s">
        <v>18908</v>
      </c>
      <c r="C13930" s="9" t="s">
        <v>18909</v>
      </c>
      <c r="D13930" s="9" t="s">
        <v>642</v>
      </c>
      <c r="E13930" s="6" t="s">
        <v>18911</v>
      </c>
      <c r="F13930" s="9"/>
    </row>
    <row r="13931" ht="33.75" customHeight="1">
      <c r="A13931" s="7">
        <v>778.0</v>
      </c>
      <c r="B13931" s="9" t="s">
        <v>18908</v>
      </c>
      <c r="C13931" s="9" t="s">
        <v>18909</v>
      </c>
      <c r="D13931" s="9" t="s">
        <v>647</v>
      </c>
      <c r="E13931" s="6" t="s">
        <v>18912</v>
      </c>
      <c r="F13931" s="9"/>
    </row>
    <row r="13932" ht="33.75" customHeight="1">
      <c r="A13932" s="7">
        <v>778.0</v>
      </c>
      <c r="B13932" s="9" t="s">
        <v>18908</v>
      </c>
      <c r="C13932" s="9" t="s">
        <v>18909</v>
      </c>
      <c r="D13932" s="9" t="s">
        <v>652</v>
      </c>
      <c r="E13932" s="6" t="s">
        <v>18913</v>
      </c>
      <c r="F13932" s="9"/>
    </row>
    <row r="13933" ht="33.75" customHeight="1">
      <c r="A13933" s="7">
        <v>778.0</v>
      </c>
      <c r="B13933" s="9" t="s">
        <v>18908</v>
      </c>
      <c r="C13933" s="9" t="s">
        <v>18909</v>
      </c>
      <c r="D13933" s="9" t="s">
        <v>114</v>
      </c>
      <c r="E13933" s="6" t="s">
        <v>18914</v>
      </c>
      <c r="F13933" s="9"/>
    </row>
    <row r="13934" ht="33.75" customHeight="1">
      <c r="A13934" s="7">
        <v>778.0</v>
      </c>
      <c r="B13934" s="9" t="s">
        <v>18908</v>
      </c>
      <c r="C13934" s="9" t="s">
        <v>18909</v>
      </c>
      <c r="D13934" s="9" t="s">
        <v>117</v>
      </c>
      <c r="E13934" s="6" t="s">
        <v>18915</v>
      </c>
      <c r="F13934" s="9"/>
    </row>
    <row r="13935" ht="33.75" customHeight="1">
      <c r="A13935" s="7">
        <v>779.0</v>
      </c>
      <c r="B13935" s="9" t="s">
        <v>18916</v>
      </c>
      <c r="C13935" s="9" t="s">
        <v>18917</v>
      </c>
      <c r="D13935" s="9" t="s">
        <v>637</v>
      </c>
      <c r="E13935" s="6" t="s">
        <v>18918</v>
      </c>
      <c r="F13935" t="inlineStr" s="10">
        <is>
          <t xml:space="preserve">Kun se vapauttaa psyykkisen voimansa päänsä kohoumasta, hampaiden narskuttelun rahin kaikuu alueella. Se tainnuttaa saaliinsa psykokineesillä ja jauhaa sen sitten mössöksi vahvoilla hampaillaan. Edes Shellderin kuori ei kestä sitä. Se kaivautuu hiekan alle säteillen psyykkistä voimaa päänsä kohoumasta. Se odottaa saalista tarkkaillessaan aluetta. Sen iho on riittävän paksu torjumaan Mareanien piikit. Voimakkailla hampaillaan Bruxish murskaa piikit ja syö ne.</t>
        </is>
      </c>
    </row>
    <row r="13936" ht="33.75" customHeight="1">
      <c r="A13936" s="7">
        <v>779.0</v>
      </c>
      <c r="B13936" s="9" t="s">
        <v>18916</v>
      </c>
      <c r="C13936" s="9" t="s">
        <v>18917</v>
      </c>
      <c r="D13936" s="9" t="s">
        <v>642</v>
      </c>
      <c r="E13936" s="6" t="s">
        <v>18919</v>
      </c>
      <c r="F13936" s="9"/>
    </row>
    <row r="13937" ht="33.75" customHeight="1">
      <c r="A13937" s="7">
        <v>779.0</v>
      </c>
      <c r="B13937" s="9" t="s">
        <v>18916</v>
      </c>
      <c r="C13937" s="9" t="s">
        <v>18917</v>
      </c>
      <c r="D13937" s="9" t="s">
        <v>647</v>
      </c>
      <c r="E13937" s="6" t="s">
        <v>18920</v>
      </c>
      <c r="F13937" s="9"/>
    </row>
    <row r="13938" ht="33.75" customHeight="1">
      <c r="A13938" s="7">
        <v>779.0</v>
      </c>
      <c r="B13938" s="9" t="s">
        <v>18916</v>
      </c>
      <c r="C13938" s="9" t="s">
        <v>18917</v>
      </c>
      <c r="D13938" s="9" t="s">
        <v>652</v>
      </c>
      <c r="E13938" s="6" t="s">
        <v>18921</v>
      </c>
      <c r="F13938" s="9"/>
    </row>
    <row r="13939" ht="33.75" customHeight="1">
      <c r="A13939" s="7">
        <v>780.0</v>
      </c>
      <c r="B13939" s="9" t="s">
        <v>18922</v>
      </c>
      <c r="C13939" s="9" t="s">
        <v>18923</v>
      </c>
      <c r="D13939" s="9" t="s">
        <v>637</v>
      </c>
      <c r="E13939" s="6" t="s">
        <v>18925</v>
      </c>
      <c r="F13939" t="inlineStr" s="10">
        <is>
          <t xml:space="preserve">Sillä on myötätuntoinen persoonallisuus, mutta jos se suuttuu, se tuhoaa ympäristönsä täysin voimakkaalla hengityksellään. Tämä Pokémon on ystävällinen ihmisille ja rakastaa ennen kaikkea lapsia. Se tulee syvältä vuorilta leikkimään lasten kanssa, joista se pitää kaupungissa. Jos lapsi, jonka kanssa se on ystävystynyt, joutuu kiusatuksi, Drampa löytää kiusaajan talon ja polttaa sen maan tasalle. Se ilmestyy kaupunkeihin ja leikkii lasten kanssa. Drampa suojelee lapsia vaarassa, joten heidän äitiensä ei tarvitse huolehtia. Vuoret, joita se kutsuu kodikseen, ovat lähes kolmen kilometrin korkuisia. Harvinaisissa tapauksissa se laskeutuu alas leikkimään alapuolella olevien kaupunkien lasten kanssa. Drampa on kiltti ja ystävällinen Pokémon – kunnes se suuttuu. Suututtuaan se nostattaa myrskyn ja tekee kaiken ympärillään maan tasalle.</t>
        </is>
      </c>
    </row>
    <row r="13940" ht="33.75" customHeight="1">
      <c r="A13940" s="7">
        <v>780.0</v>
      </c>
      <c r="B13940" s="9" t="s">
        <v>18922</v>
      </c>
      <c r="C13940" s="9" t="s">
        <v>18923</v>
      </c>
      <c r="D13940" s="9" t="s">
        <v>642</v>
      </c>
      <c r="E13940" s="6" t="s">
        <v>18926</v>
      </c>
      <c r="F13940" s="9"/>
    </row>
    <row r="13941" ht="33.75" customHeight="1">
      <c r="A13941" s="7">
        <v>780.0</v>
      </c>
      <c r="B13941" s="9" t="s">
        <v>18922</v>
      </c>
      <c r="C13941" s="9" t="s">
        <v>18923</v>
      </c>
      <c r="D13941" s="9" t="s">
        <v>647</v>
      </c>
      <c r="E13941" s="6" t="s">
        <v>18927</v>
      </c>
      <c r="F13941" s="9"/>
    </row>
    <row r="13942" ht="33.75" customHeight="1">
      <c r="A13942" s="7">
        <v>780.0</v>
      </c>
      <c r="B13942" s="9" t="s">
        <v>18922</v>
      </c>
      <c r="C13942" s="9" t="s">
        <v>18923</v>
      </c>
      <c r="D13942" s="9" t="s">
        <v>652</v>
      </c>
      <c r="E13942" s="6" t="s">
        <v>18928</v>
      </c>
      <c r="F13942" s="9"/>
    </row>
    <row r="13943" ht="33.75" customHeight="1">
      <c r="A13943" s="7">
        <v>780.0</v>
      </c>
      <c r="B13943" s="9" t="s">
        <v>18922</v>
      </c>
      <c r="C13943" s="9" t="s">
        <v>18923</v>
      </c>
      <c r="D13943" s="9" t="s">
        <v>114</v>
      </c>
      <c r="E13943" s="6" t="s">
        <v>18929</v>
      </c>
      <c r="F13943" s="9"/>
    </row>
    <row r="13944" ht="33.75" customHeight="1">
      <c r="A13944" s="7">
        <v>780.0</v>
      </c>
      <c r="B13944" s="9" t="s">
        <v>18922</v>
      </c>
      <c r="C13944" s="9" t="s">
        <v>18923</v>
      </c>
      <c r="D13944" s="9" t="s">
        <v>117</v>
      </c>
      <c r="E13944" s="6" t="s">
        <v>18930</v>
      </c>
      <c r="F13944" s="9"/>
    </row>
    <row r="13945" ht="33.75" customHeight="1">
      <c r="A13945" s="7">
        <v>781.0</v>
      </c>
      <c r="B13945" s="9" t="s">
        <v>18931</v>
      </c>
      <c r="C13945" s="9" t="s">
        <v>18932</v>
      </c>
      <c r="D13945" s="9" t="s">
        <v>637</v>
      </c>
      <c r="E13945" s="6" t="s">
        <v>18933</v>
      </c>
      <c r="F13945" t="inlineStr" s="10">
        <is>
          <t xml:space="preserve">Heilauttaen massiivista ankkuriaan se voi tyrmätä Wailordin yhdellä iskulla. Se, mikä näyttää vihreältä merilevältä, onkin itse asiassa sen ruumis. Aalloissa ajelehtivan merilevän sielu syntyi uudelleen tänä Pokémonina. Se ylläpitää itseään uusilla merenpohjan roskien ja merilevän lisäyksillä. Se käärii saaliinsa vihreään merilevään ja imee niiden elinvoiman. Se jahtaa mielellään vain isoa saalista, kuten Wailordia. Sen ketjumainen vihreä merilevä voi ulottua satojen metrien päähän. Jostain syystä se tulee hyvin toimeen Skrepin kanssa. Kun merilevänpala sekoittui uponneen laivan roskiin, se syntyi uudelleen tähän haamu-Pokémoniin. Laskettuaan ankkurinsa se jää odottamaan saalistaan. Se nappaa suuren Wailordin ja imee sen elinvoiman.</t>
        </is>
      </c>
    </row>
    <row r="13946" ht="33.75" customHeight="1">
      <c r="A13946" s="7">
        <v>781.0</v>
      </c>
      <c r="B13946" s="9" t="s">
        <v>18931</v>
      </c>
      <c r="C13946" s="9" t="s">
        <v>18932</v>
      </c>
      <c r="D13946" s="9" t="s">
        <v>642</v>
      </c>
      <c r="E13946" s="6" t="s">
        <v>18934</v>
      </c>
      <c r="F13946" s="9"/>
    </row>
    <row r="13947" ht="33.75" customHeight="1">
      <c r="A13947" s="7">
        <v>781.0</v>
      </c>
      <c r="B13947" s="9" t="s">
        <v>18931</v>
      </c>
      <c r="C13947" s="9" t="s">
        <v>18932</v>
      </c>
      <c r="D13947" s="9" t="s">
        <v>647</v>
      </c>
      <c r="E13947" s="6" t="s">
        <v>18935</v>
      </c>
      <c r="F13947" s="9"/>
    </row>
    <row r="13948" ht="33.75" customHeight="1">
      <c r="A13948" s="7">
        <v>781.0</v>
      </c>
      <c r="B13948" s="9" t="s">
        <v>18931</v>
      </c>
      <c r="C13948" s="9" t="s">
        <v>18932</v>
      </c>
      <c r="D13948" s="9" t="s">
        <v>652</v>
      </c>
      <c r="E13948" s="6" t="s">
        <v>18936</v>
      </c>
      <c r="F13948" s="9"/>
    </row>
    <row r="13949" ht="33.75" customHeight="1">
      <c r="A13949" s="7">
        <v>781.0</v>
      </c>
      <c r="B13949" s="9" t="s">
        <v>18931</v>
      </c>
      <c r="C13949" s="9" t="s">
        <v>18932</v>
      </c>
      <c r="D13949" s="9" t="s">
        <v>114</v>
      </c>
      <c r="E13949" s="6" t="s">
        <v>18937</v>
      </c>
      <c r="F13949" s="9"/>
    </row>
    <row r="13950" ht="33.75" customHeight="1">
      <c r="A13950" s="7">
        <v>781.0</v>
      </c>
      <c r="B13950" s="9" t="s">
        <v>18931</v>
      </c>
      <c r="C13950" s="9" t="s">
        <v>18932</v>
      </c>
      <c r="D13950" s="9" t="s">
        <v>117</v>
      </c>
      <c r="E13950" s="6" t="s">
        <v>18938</v>
      </c>
      <c r="F13950" s="9"/>
    </row>
    <row r="13951" ht="33.75" customHeight="1">
      <c r="A13951" s="7">
        <v>782.0</v>
      </c>
      <c r="B13951" s="9" t="s">
        <v>18939</v>
      </c>
      <c r="C13951" s="9" t="s">
        <v>18940</v>
      </c>
      <c r="D13951" s="9" t="s">
        <v>637</v>
      </c>
      <c r="E13951" s="6" t="s">
        <v>18941</v>
      </c>
      <c r="F13951" t="inlineStr" s="10">
        <is>
          <t xml:space="preserve">Jangmo-o ilmaisee tunteitaan läpsyttämällä suomujaan. Metalliset äänet kaikuvat korkeiden vuorten läpi, joilla Jangmo-o asuu. Ne elävät vuorilla, joissa ei ole jälkeäkään ihmisistä. Jangmo-ot kasvavat vähitellen taistellessaan toisiaan vastaan. Se läimäyttää päänsä suomuja kiviin tai maahan pelotellakseen vastustajiaan. Se voi myös ottaa yhteyttä ystäviinsä näillä äänillä. Se ei koskaan osoita viholliselle selkäänsä taistelussa. Muinaiset soturit pitivät Jangmo-osta sen urhean luonteen vuoksi ja tekivät siitä omanlaisensa. He oppivat taistelemaan murskaamalla päänsä suomuja yhteen. Kaksintaistelu vahvistaa sekä heidän taitojaan että henkeään. Jangmo-o käyttää suomujaan kommunikoidakseen muiden kaltaistensa kanssa. Sen suomut ovat itse asiassa metallinkovuista turkkia.</t>
        </is>
      </c>
    </row>
    <row r="13952" ht="33.75" customHeight="1">
      <c r="A13952" s="7">
        <v>782.0</v>
      </c>
      <c r="B13952" s="9" t="s">
        <v>18939</v>
      </c>
      <c r="C13952" s="9" t="s">
        <v>18940</v>
      </c>
      <c r="D13952" s="9" t="s">
        <v>642</v>
      </c>
      <c r="E13952" s="6" t="s">
        <v>18942</v>
      </c>
      <c r="F13952" s="9"/>
    </row>
    <row r="13953" ht="33.75" customHeight="1">
      <c r="A13953" s="7">
        <v>782.0</v>
      </c>
      <c r="B13953" s="9" t="s">
        <v>18939</v>
      </c>
      <c r="C13953" s="9" t="s">
        <v>18940</v>
      </c>
      <c r="D13953" s="9" t="s">
        <v>647</v>
      </c>
      <c r="E13953" s="6" t="s">
        <v>18943</v>
      </c>
      <c r="F13953" s="9"/>
    </row>
    <row r="13954" ht="33.75" customHeight="1">
      <c r="A13954" s="7">
        <v>782.0</v>
      </c>
      <c r="B13954" s="9" t="s">
        <v>18939</v>
      </c>
      <c r="C13954" s="9" t="s">
        <v>18940</v>
      </c>
      <c r="D13954" s="9" t="s">
        <v>652</v>
      </c>
      <c r="E13954" s="6" t="s">
        <v>18944</v>
      </c>
      <c r="F13954" s="9"/>
    </row>
    <row r="13955" ht="33.75" customHeight="1">
      <c r="A13955" s="7">
        <v>782.0</v>
      </c>
      <c r="B13955" s="9" t="s">
        <v>18939</v>
      </c>
      <c r="C13955" s="9" t="s">
        <v>18940</v>
      </c>
      <c r="D13955" s="9" t="s">
        <v>114</v>
      </c>
      <c r="E13955" s="6" t="s">
        <v>18945</v>
      </c>
      <c r="F13955" s="9"/>
    </row>
    <row r="13956" ht="33.75" customHeight="1">
      <c r="A13956" s="7">
        <v>782.0</v>
      </c>
      <c r="B13956" s="9" t="s">
        <v>18939</v>
      </c>
      <c r="C13956" s="9" t="s">
        <v>18940</v>
      </c>
      <c r="D13956" s="9" t="s">
        <v>117</v>
      </c>
      <c r="E13956" s="6" t="s">
        <v>18946</v>
      </c>
      <c r="F13956" s="9"/>
    </row>
    <row r="13957" ht="33.75" customHeight="1">
      <c r="A13957" s="7">
        <v>783.0</v>
      </c>
      <c r="B13957" s="9" t="s">
        <v>18947</v>
      </c>
      <c r="C13957" s="9" t="s">
        <v>18940</v>
      </c>
      <c r="D13957" s="9" t="s">
        <v>637</v>
      </c>
      <c r="E13957" s="6" t="s">
        <v>18948</v>
      </c>
      <c r="F13957" t="inlineStr" s="10">
        <is>
          <t xml:space="preserve">Hakamo-o hyppää saaliinsa kimppuun rohkealla huudolla. Sen suomumaiset iskut repivät vastustajat kappaleiksi. Se karvaa ja kasvattaa suomujaan jatkuvasti. Suomut kovenevat ja terävöityvät joka kerta, kun ne kasvavat uudelleen. Se pitää ääntä kalistemalla suomujaan yhteen. Kun rytmi on saavuttanut huippunsa, Hakamo-o hyökkää. Sen irtoavia suomuja voidaan muovata ja käsitellä kattiloiden ja pannujen valmistamiseksi. Ne johtavat lämpöä hyvin, joten ne ovat suosittuja. Sen suomuttomat, arpeutuneet ruumiinosat ovat merkkejä sen vahvuudesta. Se esittelee niitä voitettujen vastustajien edessä. Ennen vihollisten kimppuun hyökkäämistä se lyö suomunsa yhteen ja karjuu. Sen terävät kynnet silpovat vastustajan.</t>
        </is>
      </c>
    </row>
    <row r="13958" ht="33.75" customHeight="1">
      <c r="A13958" s="7">
        <v>783.0</v>
      </c>
      <c r="B13958" s="9" t="s">
        <v>18947</v>
      </c>
      <c r="C13958" s="9" t="s">
        <v>18940</v>
      </c>
      <c r="D13958" s="9" t="s">
        <v>642</v>
      </c>
      <c r="E13958" s="6" t="s">
        <v>18949</v>
      </c>
      <c r="F13958" s="9"/>
    </row>
    <row r="13959" ht="33.75" customHeight="1">
      <c r="A13959" s="7">
        <v>783.0</v>
      </c>
      <c r="B13959" s="9" t="s">
        <v>18947</v>
      </c>
      <c r="C13959" s="9" t="s">
        <v>18940</v>
      </c>
      <c r="D13959" s="9" t="s">
        <v>647</v>
      </c>
      <c r="E13959" s="6" t="s">
        <v>18950</v>
      </c>
      <c r="F13959" s="9"/>
    </row>
    <row r="13960" ht="33.75" customHeight="1">
      <c r="A13960" s="7">
        <v>783.0</v>
      </c>
      <c r="B13960" s="9" t="s">
        <v>18947</v>
      </c>
      <c r="C13960" s="9" t="s">
        <v>18940</v>
      </c>
      <c r="D13960" s="9" t="s">
        <v>652</v>
      </c>
      <c r="E13960" s="6" t="s">
        <v>18951</v>
      </c>
      <c r="F13960" s="9"/>
    </row>
    <row r="13961" ht="33.75" customHeight="1">
      <c r="A13961" s="7">
        <v>783.0</v>
      </c>
      <c r="B13961" s="9" t="s">
        <v>18947</v>
      </c>
      <c r="C13961" s="9" t="s">
        <v>18940</v>
      </c>
      <c r="D13961" s="9" t="s">
        <v>114</v>
      </c>
      <c r="E13961" s="6" t="s">
        <v>18952</v>
      </c>
      <c r="F13961" s="9"/>
    </row>
    <row r="13962" ht="33.75" customHeight="1">
      <c r="A13962" s="7">
        <v>783.0</v>
      </c>
      <c r="B13962" s="9" t="s">
        <v>18947</v>
      </c>
      <c r="C13962" s="9" t="s">
        <v>18940</v>
      </c>
      <c r="D13962" s="9" t="s">
        <v>117</v>
      </c>
      <c r="E13962" s="6" t="s">
        <v>18953</v>
      </c>
      <c r="F13962" s="9"/>
    </row>
    <row r="13963" ht="33.75" customHeight="1">
      <c r="A13963" s="7">
        <v>784.0</v>
      </c>
      <c r="B13963" s="9" t="s">
        <v>18954</v>
      </c>
      <c r="C13963" s="9" t="s">
        <v>18940</v>
      </c>
      <c r="D13963" s="9" t="s">
        <v>637</v>
      </c>
      <c r="E13963" s="6" t="s">
        <v>18955</v>
      </c>
      <c r="F13963" t="inlineStr" s="10">
        <is>
          <t xml:space="preserve">Havaitessaan vihollisia se uhkaa heitä heiluttamalla pyrstössään olevia suomuja. Heikot vastustajat säpsähtelevät ja pakenevat paniikissa. Sen jäykät vaa'at toimivat sekä hyökkäyksessä että puolustuksessa. Ennen vanhaan sen vaakoja käytettiin aseiden ja muiden hyödykkeiden valmistukseen. Kun se ulvoo saaliinsa lopetettuaan, sen juhlivien tovereiden metalliset äänet kuuluvat kaikkialta. Se taistelee urheasti terässuomuilla panssaroituilla nyrkeillään. Kommo-o on erikoistunut yläleikkauksiin. Se räpyttää pyrstösuomujaan hermostuttaakseen vastustajia. Tämä Pokémon taistelee vain niitä vastaan, jotka pysyvät lujina tämän näytöksen edessä. Tietyissä raunioissa on maalauksia muinaisista sotureista, jotka käyttävät Kommo-o-suomuista tehtyjä haarniskoja.</t>
        </is>
      </c>
    </row>
    <row r="13964" ht="33.75" customHeight="1">
      <c r="A13964" s="7">
        <v>784.0</v>
      </c>
      <c r="B13964" s="9" t="s">
        <v>18954</v>
      </c>
      <c r="C13964" s="9" t="s">
        <v>18940</v>
      </c>
      <c r="D13964" s="9" t="s">
        <v>642</v>
      </c>
      <c r="E13964" s="6" t="s">
        <v>18956</v>
      </c>
      <c r="F13964" s="9"/>
    </row>
    <row r="13965" ht="33.75" customHeight="1">
      <c r="A13965" s="7">
        <v>784.0</v>
      </c>
      <c r="B13965" s="9" t="s">
        <v>18954</v>
      </c>
      <c r="C13965" s="9" t="s">
        <v>18940</v>
      </c>
      <c r="D13965" s="9" t="s">
        <v>647</v>
      </c>
      <c r="E13965" s="6" t="s">
        <v>18957</v>
      </c>
      <c r="F13965" s="9"/>
    </row>
    <row r="13966" ht="33.75" customHeight="1">
      <c r="A13966" s="7">
        <v>784.0</v>
      </c>
      <c r="B13966" s="9" t="s">
        <v>18954</v>
      </c>
      <c r="C13966" s="9" t="s">
        <v>18940</v>
      </c>
      <c r="D13966" s="9" t="s">
        <v>652</v>
      </c>
      <c r="E13966" s="6" t="s">
        <v>18958</v>
      </c>
      <c r="F13966" s="9"/>
    </row>
    <row r="13967" ht="33.75" customHeight="1">
      <c r="A13967" s="7">
        <v>784.0</v>
      </c>
      <c r="B13967" s="9" t="s">
        <v>18954</v>
      </c>
      <c r="C13967" s="9" t="s">
        <v>18940</v>
      </c>
      <c r="D13967" s="9" t="s">
        <v>114</v>
      </c>
      <c r="E13967" s="6" t="s">
        <v>18960</v>
      </c>
      <c r="F13967" s="9"/>
    </row>
    <row r="13968" ht="33.75" customHeight="1">
      <c r="A13968" s="7">
        <v>784.0</v>
      </c>
      <c r="B13968" s="9" t="s">
        <v>18954</v>
      </c>
      <c r="C13968" s="9" t="s">
        <v>18940</v>
      </c>
      <c r="D13968" s="9" t="s">
        <v>117</v>
      </c>
      <c r="E13968" s="6" t="s">
        <v>18961</v>
      </c>
      <c r="F13968" s="9"/>
    </row>
    <row r="13969" ht="33.75" customHeight="1">
      <c r="A13969" s="7">
        <v>785.0</v>
      </c>
      <c r="B13969" s="9" t="s">
        <v>18962</v>
      </c>
      <c r="C13969" s="9" t="s">
        <v>18963</v>
      </c>
      <c r="D13969" s="9" t="s">
        <v>637</v>
      </c>
      <c r="E13969" s="6" t="s">
        <v>18964</v>
      </c>
      <c r="F13969" t="inlineStr" s="10">
        <is>
          <t xml:space="preserve">Tämä Melemelen suojelusjumala on täynnä uteliaisuutta. Se kutsuu ukkospilviä ja varastoi niiden salamat kehoonsa. Se hämmentää vihollisiaan lentämällä liian nopeasti silmän seuraamiseksi. Sillä on nopea temperamentti, mutta se unohtaa hetkessä, mikä sen suututti. Vaikka sitä kutsutaan suojelusjumaluuden, jos joku tai Pokémon saa sen huonolle tuulelle, siitä tulee pahansuopa jumaluus ja se hyökkää. Melemelen salamointia heiluttava suojelusjumala Tapu Koko on täynnä uteliaisuutta ja ilmestyy ihmisten eteen aika ajoin.</t>
        </is>
      </c>
    </row>
    <row r="13970" ht="33.75" customHeight="1">
      <c r="A13970" s="7">
        <v>785.0</v>
      </c>
      <c r="B13970" s="9" t="s">
        <v>18962</v>
      </c>
      <c r="C13970" s="9" t="s">
        <v>18963</v>
      </c>
      <c r="D13970" s="9" t="s">
        <v>642</v>
      </c>
      <c r="E13970" s="6" t="s">
        <v>18965</v>
      </c>
      <c r="F13970" s="9"/>
    </row>
    <row r="13971" ht="33.75" customHeight="1">
      <c r="A13971" s="7">
        <v>785.0</v>
      </c>
      <c r="B13971" s="9" t="s">
        <v>18962</v>
      </c>
      <c r="C13971" s="9" t="s">
        <v>18963</v>
      </c>
      <c r="D13971" s="9" t="s">
        <v>647</v>
      </c>
      <c r="E13971" s="6" t="s">
        <v>18966</v>
      </c>
      <c r="F13971" s="9"/>
    </row>
    <row r="13972" ht="33.75" customHeight="1">
      <c r="A13972" s="7">
        <v>785.0</v>
      </c>
      <c r="B13972" s="9" t="s">
        <v>18962</v>
      </c>
      <c r="C13972" s="9" t="s">
        <v>18963</v>
      </c>
      <c r="D13972" s="9" t="s">
        <v>652</v>
      </c>
      <c r="E13972" s="6" t="s">
        <v>18967</v>
      </c>
      <c r="F13972" s="9"/>
    </row>
    <row r="13973" ht="33.75" customHeight="1">
      <c r="A13973" s="7">
        <v>786.0</v>
      </c>
      <c r="B13973" s="9" t="s">
        <v>18968</v>
      </c>
      <c r="C13973" s="9" t="s">
        <v>18963</v>
      </c>
      <c r="D13973" s="9" t="s">
        <v>637</v>
      </c>
      <c r="E13973" s="6" t="s">
        <v>18969</v>
      </c>
      <c r="F13973" t="inlineStr" s="10">
        <is>
          <t xml:space="preserve">Tämä Akalan suojelusjumala on viattoman julma. Kukkien tuoksu on sen energian lähde. Lepätessään se levittää oudosti hohtavia suomujaan. Niiden koskettamisen sanotaan palauttavan terveyden välittömästi. Se parantaa ihmisten ja Pokémonien haavat pirskottamalla niitä kimaltelevilla suomuillaan. Tätä suojelusjumalaa palvotaan Akalalla. Vaikka Tapu Leleä kutsutaan suojelusjumaluuteen, hän ei tunne syyllisyyttä julmasta luonteestaan ​​ja sitä voidaan kuvailla luonnon ruumiillistumaksi.</t>
        </is>
      </c>
    </row>
    <row r="13974" ht="33.75" customHeight="1">
      <c r="A13974" s="7">
        <v>786.0</v>
      </c>
      <c r="B13974" s="9" t="s">
        <v>18968</v>
      </c>
      <c r="C13974" s="9" t="s">
        <v>18963</v>
      </c>
      <c r="D13974" s="9" t="s">
        <v>642</v>
      </c>
      <c r="E13974" s="6" t="s">
        <v>18970</v>
      </c>
      <c r="F13974" s="9"/>
    </row>
    <row r="13975" ht="33.75" customHeight="1">
      <c r="A13975" s="7">
        <v>786.0</v>
      </c>
      <c r="B13975" s="9" t="s">
        <v>18968</v>
      </c>
      <c r="C13975" s="9" t="s">
        <v>18963</v>
      </c>
      <c r="D13975" s="9" t="s">
        <v>647</v>
      </c>
      <c r="E13975" s="6" t="s">
        <v>18971</v>
      </c>
      <c r="F13975" s="9"/>
    </row>
    <row r="13976" ht="33.75" customHeight="1">
      <c r="A13976" s="7">
        <v>786.0</v>
      </c>
      <c r="B13976" s="9" t="s">
        <v>18968</v>
      </c>
      <c r="C13976" s="9" t="s">
        <v>18963</v>
      </c>
      <c r="D13976" s="9" t="s">
        <v>652</v>
      </c>
      <c r="E13976" s="6" t="s">
        <v>18972</v>
      </c>
      <c r="F13976" s="9"/>
    </row>
    <row r="13977" ht="33.75" customHeight="1">
      <c r="A13977" s="7">
        <v>787.0</v>
      </c>
      <c r="B13977" s="9" t="s">
        <v>18973</v>
      </c>
      <c r="C13977" s="9" t="s">
        <v>18963</v>
      </c>
      <c r="D13977" s="9" t="s">
        <v>637</v>
      </c>
      <c r="E13977" s="6" t="s">
        <v>18974</v>
      </c>
      <c r="F13977" t="inlineStr" s="10">
        <is>
          <t xml:space="preserve">Tapu Bulu vetää suuria puita juuristaan ​​ylös ja heiluttelee niitä ympäriinsä. Se saa kasvillisuuden kasvamaan ja sitten se imee energiaa kasvusta. Ula’ulan suojelusjumala on laiska Pokémon. Se käskee kasveja lamauttamaan vihollisensa ja sitten iskee niitä raa'asti sarvillaan. Vaikka sitä kutsutaan suojelusjumaluuden uhriksi, se on tarpeeksi väkivaltainen murskatakseen kenet tahansa, jonka se pitää vihollisena. Se soittaa hännällään soittoääniä kertoakseen muille missä se on, välttäen tarpeettomia konflikteja. Tämä Ula’ulan suojelusjumala hallitsee kasveja.</t>
        </is>
      </c>
    </row>
    <row r="13978" ht="33.75" customHeight="1">
      <c r="A13978" s="7">
        <v>787.0</v>
      </c>
      <c r="B13978" s="9" t="s">
        <v>18973</v>
      </c>
      <c r="C13978" s="9" t="s">
        <v>18963</v>
      </c>
      <c r="D13978" s="9" t="s">
        <v>642</v>
      </c>
      <c r="E13978" s="6" t="s">
        <v>18975</v>
      </c>
      <c r="F13978" s="9"/>
    </row>
    <row r="13979" ht="33.75" customHeight="1">
      <c r="A13979" s="7">
        <v>787.0</v>
      </c>
      <c r="B13979" s="9" t="s">
        <v>18973</v>
      </c>
      <c r="C13979" s="9" t="s">
        <v>18963</v>
      </c>
      <c r="D13979" s="9" t="s">
        <v>647</v>
      </c>
      <c r="E13979" s="6" t="s">
        <v>18976</v>
      </c>
      <c r="F13979" s="9"/>
    </row>
    <row r="13980" ht="33.75" customHeight="1">
      <c r="A13980" s="7">
        <v>787.0</v>
      </c>
      <c r="B13980" s="9" t="s">
        <v>18973</v>
      </c>
      <c r="C13980" s="9" t="s">
        <v>18963</v>
      </c>
      <c r="D13980" s="9" t="s">
        <v>652</v>
      </c>
      <c r="E13980" s="6" t="s">
        <v>18977</v>
      </c>
      <c r="F13980" s="9"/>
    </row>
    <row r="13981" ht="33.75" customHeight="1">
      <c r="A13981" s="7">
        <v>788.0</v>
      </c>
      <c r="B13981" s="9" t="s">
        <v>18978</v>
      </c>
      <c r="C13981" s="9" t="s">
        <v>18963</v>
      </c>
      <c r="D13981" s="9" t="s">
        <v>637</v>
      </c>
      <c r="E13981" s="6" t="s">
        <v>18979</v>
      </c>
      <c r="F13981" t="inlineStr" s="10">
        <is>
          <t xml:space="preserve">Tapu Finin luoma tiheä sumu tuo mukanaan hämmentyneiden vihollistensa tuhon. Merivirrat ovat sen energian lähde. Ponin suojelusjumala, se voi hallita vettä. Ihmisten mukaan se voi luoda puhdasta vettä, joka pesee pois kaiken epäpuhtauden. Tämä Poni-saaren suojelusjumala hallitsee vettä. Koska se asuu syvällä tiheässä sumussa, siitä tuli sekä pelätty että kunnioitettu. Vaikka sitä kutsutaan suojelusjumaluuteen, kauheat onnettomuudet kohtaavat joskus niitä, jotka lähestyvät Tapu Finiä holtittomasti.</t>
        </is>
      </c>
    </row>
    <row r="13982" ht="33.75" customHeight="1">
      <c r="A13982" s="7">
        <v>788.0</v>
      </c>
      <c r="B13982" s="9" t="s">
        <v>18978</v>
      </c>
      <c r="C13982" s="9" t="s">
        <v>18963</v>
      </c>
      <c r="D13982" s="9" t="s">
        <v>642</v>
      </c>
      <c r="E13982" s="6" t="s">
        <v>18980</v>
      </c>
      <c r="F13982" s="9"/>
    </row>
    <row r="13983" ht="33.75" customHeight="1">
      <c r="A13983" s="7">
        <v>788.0</v>
      </c>
      <c r="B13983" s="9" t="s">
        <v>18978</v>
      </c>
      <c r="C13983" s="9" t="s">
        <v>18963</v>
      </c>
      <c r="D13983" s="9" t="s">
        <v>647</v>
      </c>
      <c r="E13983" s="6" t="s">
        <v>18981</v>
      </c>
      <c r="F13983" s="9"/>
    </row>
    <row r="13984" ht="33.75" customHeight="1">
      <c r="A13984" s="7">
        <v>788.0</v>
      </c>
      <c r="B13984" s="9" t="s">
        <v>18978</v>
      </c>
      <c r="C13984" s="9" t="s">
        <v>18963</v>
      </c>
      <c r="D13984" s="9" t="s">
        <v>652</v>
      </c>
      <c r="E13984" s="6" t="s">
        <v>18982</v>
      </c>
      <c r="F13984" s="9"/>
    </row>
    <row r="13985" ht="33.75" customHeight="1">
      <c r="A13985" s="7">
        <v>789.0</v>
      </c>
      <c r="B13985" s="9" t="s">
        <v>18983</v>
      </c>
      <c r="C13985" s="9" t="s">
        <v>18984</v>
      </c>
      <c r="D13985" s="9" t="s">
        <v>637</v>
      </c>
      <c r="E13985" s="6" t="s">
        <v>18985</v>
      </c>
      <c r="F13985" t="inlineStr" s="10">
        <is>
          <t xml:space="preserve">Cosmogin runko on kaasumainen ja hauras. Se kasvaa hitaasti kerätessään pölyä ilmakehästä. Menneinä aikoina sitä kutsuttiin tähtien lapseksi. Sen sanotaan olevan Pokémon toisesta maailmasta, mutta tarkempia tietoja ei tiedetä. Vaikka sen avuton, kaasumainen ruumis voi puhaltaa pois pienimmästäkin tuulenvireestä, se ei näytä välittävän. Onko se Pokémon tästä maailmasta vai ei, on mysteeri. Kun se on jumissa, se livahtaa turvalliseen piilopaikkaan. Tämä Pokémon tuli toisesta universumista. Sen kaasumainen ruumis on niin kevyt, että jopa lempeä tuulenvire voi puhaltaa sen pois. Cosmog on hyvin utelias, mutta ei kovin varovainen, ja usein se asettaa itsensä vaaraan. Jos tilanne alkaa näyttää vaaralliselta, se teleporttautuu pois.</t>
        </is>
      </c>
    </row>
    <row r="13986" ht="33.75" customHeight="1">
      <c r="A13986" s="7">
        <v>789.0</v>
      </c>
      <c r="B13986" s="9" t="s">
        <v>18983</v>
      </c>
      <c r="C13986" s="9" t="s">
        <v>18984</v>
      </c>
      <c r="D13986" s="9" t="s">
        <v>642</v>
      </c>
      <c r="E13986" s="6" t="s">
        <v>18987</v>
      </c>
      <c r="F13986" s="9"/>
    </row>
    <row r="13987" ht="33.75" customHeight="1">
      <c r="A13987" s="7">
        <v>789.0</v>
      </c>
      <c r="B13987" s="9" t="s">
        <v>18983</v>
      </c>
      <c r="C13987" s="9" t="s">
        <v>18984</v>
      </c>
      <c r="D13987" s="9" t="s">
        <v>647</v>
      </c>
      <c r="E13987" s="6" t="s">
        <v>18988</v>
      </c>
      <c r="F13987" s="9"/>
    </row>
    <row r="13988" ht="33.75" customHeight="1">
      <c r="A13988" s="7">
        <v>789.0</v>
      </c>
      <c r="B13988" s="9" t="s">
        <v>18983</v>
      </c>
      <c r="C13988" s="9" t="s">
        <v>18984</v>
      </c>
      <c r="D13988" s="9" t="s">
        <v>652</v>
      </c>
      <c r="E13988" s="6" t="s">
        <v>18989</v>
      </c>
      <c r="F13988" s="9"/>
    </row>
    <row r="13989" ht="33.75" customHeight="1">
      <c r="A13989" s="7">
        <v>789.0</v>
      </c>
      <c r="B13989" s="9" t="s">
        <v>18983</v>
      </c>
      <c r="C13989" s="9" t="s">
        <v>18984</v>
      </c>
      <c r="D13989" s="9" t="s">
        <v>114</v>
      </c>
      <c r="E13989" s="6" t="s">
        <v>18990</v>
      </c>
      <c r="F13989" s="9"/>
    </row>
    <row r="13990" ht="33.75" customHeight="1">
      <c r="A13990" s="7">
        <v>789.0</v>
      </c>
      <c r="B13990" s="9" t="s">
        <v>18983</v>
      </c>
      <c r="C13990" s="9" t="s">
        <v>18984</v>
      </c>
      <c r="D13990" s="9" t="s">
        <v>117</v>
      </c>
      <c r="E13990" s="6" t="s">
        <v>18991</v>
      </c>
      <c r="F13990" s="9"/>
    </row>
    <row r="13991" ht="33.75" customHeight="1">
      <c r="A13991" s="7">
        <v>790.0</v>
      </c>
      <c r="B13991" s="9" t="s">
        <v>18992</v>
      </c>
      <c r="C13991" s="9" t="s">
        <v>18993</v>
      </c>
      <c r="D13991" s="9" t="s">
        <v>637</v>
      </c>
      <c r="E13991" s="6" t="s">
        <v>18994</v>
      </c>
      <c r="F13991" t="inlineStr" s="10">
        <is>
          <t xml:space="preserve">Liikkumattomana kuin kuolleena, Cosmoemin ruumis on himmeän lämmin koskettaa. Kaukaisessa menneisyydessä sitä kutsuttiin tähtien koteloksi. Sen kovan kuoren sisällä olevan mustan ytimen ympärille kerääntyy jotakin. Ihmiset luulevat, että tämä Pokémon saattaa olla peräisin toisesta maailmasta. Alolaa antiikin aikoina hallinnut kuningas kutsui sitä "tähtien koteloksi" ja rakensi alttarin sen palvomiseksi. Valoa absorboidessaan Cosmoem jatkaa kasvuaan. Sen kultainen kuori on yllättävän kiinteä. Tähtien valon imeytyminen ruokkii tämän Pokémonin kasvua. Sitä ympäröivä kuori on kovempi kuin mikään tunnettu materiaali. Se imee pölyä ilmasta hämmästyttävällä nopeudella ja kerryttää vimmatusti energiaa ytimessään valmistautuakseen evoluutioon.</t>
        </is>
      </c>
    </row>
    <row r="13992" ht="33.75" customHeight="1">
      <c r="A13992" s="7">
        <v>790.0</v>
      </c>
      <c r="B13992" s="9" t="s">
        <v>18992</v>
      </c>
      <c r="C13992" s="9" t="s">
        <v>18993</v>
      </c>
      <c r="D13992" s="9" t="s">
        <v>642</v>
      </c>
      <c r="E13992" s="6" t="s">
        <v>18995</v>
      </c>
      <c r="F13992" s="9"/>
    </row>
    <row r="13993" ht="33.75" customHeight="1">
      <c r="A13993" s="7">
        <v>790.0</v>
      </c>
      <c r="B13993" s="9" t="s">
        <v>18992</v>
      </c>
      <c r="C13993" s="9" t="s">
        <v>18993</v>
      </c>
      <c r="D13993" s="9" t="s">
        <v>647</v>
      </c>
      <c r="E13993" s="6" t="s">
        <v>18996</v>
      </c>
      <c r="F13993" s="9"/>
    </row>
    <row r="13994" ht="33.75" customHeight="1">
      <c r="A13994" s="7">
        <v>790.0</v>
      </c>
      <c r="B13994" s="9" t="s">
        <v>18992</v>
      </c>
      <c r="C13994" s="9" t="s">
        <v>18993</v>
      </c>
      <c r="D13994" s="9" t="s">
        <v>652</v>
      </c>
      <c r="E13994" s="6" t="s">
        <v>18997</v>
      </c>
      <c r="F13994" s="9"/>
    </row>
    <row r="13995" ht="33.75" customHeight="1">
      <c r="A13995" s="7">
        <v>790.0</v>
      </c>
      <c r="B13995" s="9" t="s">
        <v>18992</v>
      </c>
      <c r="C13995" s="9" t="s">
        <v>18993</v>
      </c>
      <c r="D13995" s="9" t="s">
        <v>114</v>
      </c>
      <c r="E13995" s="6" t="s">
        <v>18998</v>
      </c>
      <c r="F13995" s="9"/>
    </row>
    <row r="13996" ht="33.75" customHeight="1">
      <c r="A13996" s="7">
        <v>790.0</v>
      </c>
      <c r="B13996" s="9" t="s">
        <v>18992</v>
      </c>
      <c r="C13996" s="9" t="s">
        <v>18993</v>
      </c>
      <c r="D13996" s="9" t="s">
        <v>117</v>
      </c>
      <c r="E13996" s="6" t="s">
        <v>18999</v>
      </c>
      <c r="F13996" s="9"/>
    </row>
    <row r="13997" ht="33.75" customHeight="1">
      <c r="A13997" s="7">
        <v>791.0</v>
      </c>
      <c r="B13997" s="9" t="s">
        <v>19000</v>
      </c>
      <c r="C13997" s="9" t="s">
        <v>19001</v>
      </c>
      <c r="D13997" s="9" t="s">
        <v>637</v>
      </c>
      <c r="E13997" s="6" t="s">
        <v>19002</v>
      </c>
      <c r="F13997" t="inlineStr" s="10">
        <is>
          <t xml:space="preserve">Solgaleon sanotaan elävän toisessa maailmassa. Sen ruumiinpinnasta säteilevä voimakas valo voi saada pimeimmätkin yöt valaisemaan kuin keskipäivä. Tämän Pokémonin sanotaan olevan Cosmogin miespuolinen kehitysaskel. Kolmannen silmänsä aktivoituessa se lähtee toiseen maailmaan. Joskus sen avaamasta Ultra-madonreiästä seuraa, että energiaa ja elämänmuotoja muista maailmoista kutsutaan tänne tähän maailmaan. Kaukaisen menneisyyden kirjoituksissa sitä kutsutaan nimellä "peto, joka syö auringon". Kun valo säteilee kehostaan, tämä Pokémon voi näyttää melkein auringolta. Se karkottaa kaiken pimeyden ja valaisee maailman. Solgaleo tunnettiin aikoinaan nimellä Auringon ahmiva peto. Siitä säteilee rajattomasti valoenergiaa.</t>
        </is>
      </c>
    </row>
    <row r="13998" ht="33.75" customHeight="1">
      <c r="A13998" s="7">
        <v>791.0</v>
      </c>
      <c r="B13998" s="9" t="s">
        <v>19000</v>
      </c>
      <c r="C13998" s="9" t="s">
        <v>19001</v>
      </c>
      <c r="D13998" s="9" t="s">
        <v>642</v>
      </c>
      <c r="E13998" s="6" t="s">
        <v>19003</v>
      </c>
      <c r="F13998" s="9"/>
    </row>
    <row r="13999" ht="33.75" customHeight="1">
      <c r="A13999" s="7">
        <v>791.0</v>
      </c>
      <c r="B13999" s="9" t="s">
        <v>19000</v>
      </c>
      <c r="C13999" s="9" t="s">
        <v>19001</v>
      </c>
      <c r="D13999" s="9" t="s">
        <v>647</v>
      </c>
      <c r="E13999" s="6" t="s">
        <v>19004</v>
      </c>
      <c r="F13999" s="9"/>
    </row>
    <row r="14000" ht="33.75" customHeight="1">
      <c r="A14000" s="7">
        <v>791.0</v>
      </c>
      <c r="B14000" s="9" t="s">
        <v>19000</v>
      </c>
      <c r="C14000" s="9" t="s">
        <v>19001</v>
      </c>
      <c r="D14000" s="9" t="s">
        <v>652</v>
      </c>
      <c r="E14000" s="6" t="s">
        <v>19005</v>
      </c>
      <c r="F14000" s="9"/>
    </row>
    <row r="14001" ht="33.75" customHeight="1">
      <c r="A14001" s="7">
        <v>791.0</v>
      </c>
      <c r="B14001" s="9" t="s">
        <v>19000</v>
      </c>
      <c r="C14001" s="9" t="s">
        <v>19001</v>
      </c>
      <c r="D14001" s="9" t="s">
        <v>114</v>
      </c>
      <c r="E14001" s="6" t="s">
        <v>19007</v>
      </c>
      <c r="F14001" s="9"/>
    </row>
    <row r="14002" ht="33.75" customHeight="1">
      <c r="A14002" s="7">
        <v>791.0</v>
      </c>
      <c r="B14002" s="9" t="s">
        <v>19000</v>
      </c>
      <c r="C14002" s="9" t="s">
        <v>19001</v>
      </c>
      <c r="D14002" s="9" t="s">
        <v>117</v>
      </c>
      <c r="E14002" s="6" t="s">
        <v>19008</v>
      </c>
      <c r="F14002" s="9"/>
    </row>
    <row r="14003" ht="33.75" customHeight="1">
      <c r="A14003" s="7">
        <v>792.0</v>
      </c>
      <c r="B14003" s="9" t="s">
        <v>19009</v>
      </c>
      <c r="C14003" s="9" t="s">
        <v>19010</v>
      </c>
      <c r="D14003" s="9" t="s">
        <v>637</v>
      </c>
      <c r="E14003" s="6" t="s">
        <v>19011</v>
      </c>
      <c r="F14003" t="inlineStr" s="10">
        <is>
          <t xml:space="preserve">Lunalan sanotaan olevan Cosmogin naispuolinen kehitysaskel. Kun sen kolmas silmä aktivoituu, se lentää toiseen maailmaan. Tämän Pokémonin sanotaan elävän toisessa maailmassa, ja se ahmii valoa vetämällä kuuttoman yön pimeän verhon päivän kirkkauden ylle. Siitä on olemassa merkintöjä kauan, kauan sitten menneistä kirjoituksista, jolloin se tunnettiin nimellä ”peto, joka kutsuu kuuta”. Se kutsuu joskus tuntemattomia voimia ja elämänmuotoja tänne maailmaan reikistä, jotka johtavat muihin maailmoihin. Kuun Kutsujana tunnettu Pokémon elää imemällä itseensä kaiken valon ja muuttamalla sen omaksi energiakseen. Se varastaa valon ympäristöstään ja muuttuu sitten täysikuuksi, joka suihkuttaa omaa valoaan yötaivaan yli.</t>
        </is>
      </c>
    </row>
    <row r="14004" ht="33.75" customHeight="1">
      <c r="A14004" s="7">
        <v>792.0</v>
      </c>
      <c r="B14004" s="9" t="s">
        <v>19009</v>
      </c>
      <c r="C14004" s="9" t="s">
        <v>19010</v>
      </c>
      <c r="D14004" s="9" t="s">
        <v>642</v>
      </c>
      <c r="E14004" s="6" t="s">
        <v>19012</v>
      </c>
      <c r="F14004" s="9"/>
    </row>
    <row r="14005" ht="33.75" customHeight="1">
      <c r="A14005" s="7">
        <v>792.0</v>
      </c>
      <c r="B14005" s="9" t="s">
        <v>19009</v>
      </c>
      <c r="C14005" s="9" t="s">
        <v>19010</v>
      </c>
      <c r="D14005" s="9" t="s">
        <v>647</v>
      </c>
      <c r="E14005" s="6" t="s">
        <v>19013</v>
      </c>
      <c r="F14005" s="9"/>
    </row>
    <row r="14006" ht="33.75" customHeight="1">
      <c r="A14006" s="7">
        <v>792.0</v>
      </c>
      <c r="B14006" s="9" t="s">
        <v>19009</v>
      </c>
      <c r="C14006" s="9" t="s">
        <v>19010</v>
      </c>
      <c r="D14006" s="9" t="s">
        <v>652</v>
      </c>
      <c r="E14006" s="6" t="s">
        <v>19014</v>
      </c>
      <c r="F14006" s="9"/>
    </row>
    <row r="14007" ht="33.75" customHeight="1">
      <c r="A14007" s="7">
        <v>792.0</v>
      </c>
      <c r="B14007" s="9" t="s">
        <v>19009</v>
      </c>
      <c r="C14007" s="9" t="s">
        <v>19010</v>
      </c>
      <c r="D14007" s="9" t="s">
        <v>114</v>
      </c>
      <c r="E14007" s="6" t="s">
        <v>19015</v>
      </c>
      <c r="F14007" s="9"/>
    </row>
    <row r="14008" ht="33.75" customHeight="1">
      <c r="A14008" s="7">
        <v>792.0</v>
      </c>
      <c r="B14008" s="9" t="s">
        <v>19009</v>
      </c>
      <c r="C14008" s="9" t="s">
        <v>19010</v>
      </c>
      <c r="D14008" s="9" t="s">
        <v>117</v>
      </c>
      <c r="E14008" s="6" t="s">
        <v>19016</v>
      </c>
      <c r="F14008" s="9"/>
    </row>
    <row r="14009" ht="33.75" customHeight="1">
      <c r="A14009" s="7">
        <v>793.0</v>
      </c>
      <c r="B14009" s="9" t="s">
        <v>19017</v>
      </c>
      <c r="C14009" s="9" t="s">
        <v>19018</v>
      </c>
      <c r="D14009" s="9" t="s">
        <v>637</v>
      </c>
      <c r="E14009" s="6" t="s">
        <v>19019</v>
      </c>
      <c r="F14009" t="inlineStr" s="10">
        <is>
          <t xml:space="preserve">Yksi useista salaperäisistä ultrapedoista. Kadulla ihmiset kertovat nähneensä sen saastuttamien ihmisten muuttuvan yhtäkkiä väkivaltaisiksi. Yksi Ultra-oloista. Ei ole selvää, onko tämä Pokémon älykäs, mutta joskus sen voi havaita käyttäytyvän kuin nuoren tytön. Toisesta maailmasta kotoisin oleva elämänmuoto, jota kutsuttiin UB:ksi, uskotaan tuottavan voimakasta neurotoksiinia. Se ilmestyi tähän maailmaan ultramadonreiästä. Nihilego näyttää olevan loinen, joka elää syömällä ihmisiä ja Pokémoneja.</t>
        </is>
      </c>
    </row>
    <row r="14010" ht="33.75" customHeight="1">
      <c r="A14010" s="7">
        <v>793.0</v>
      </c>
      <c r="B14010" s="9" t="s">
        <v>19017</v>
      </c>
      <c r="C14010" s="9" t="s">
        <v>19018</v>
      </c>
      <c r="D14010" s="9" t="s">
        <v>642</v>
      </c>
      <c r="E14010" s="6" t="s">
        <v>19021</v>
      </c>
      <c r="F14010" s="9"/>
    </row>
    <row r="14011" ht="33.75" customHeight="1">
      <c r="A14011" s="7">
        <v>793.0</v>
      </c>
      <c r="B14011" s="9" t="s">
        <v>19017</v>
      </c>
      <c r="C14011" s="9" t="s">
        <v>19018</v>
      </c>
      <c r="D14011" s="9" t="s">
        <v>647</v>
      </c>
      <c r="E14011" s="6" t="s">
        <v>19022</v>
      </c>
      <c r="F14011" s="9"/>
    </row>
    <row r="14012" ht="33.75" customHeight="1">
      <c r="A14012" s="7">
        <v>793.0</v>
      </c>
      <c r="B14012" s="9" t="s">
        <v>19017</v>
      </c>
      <c r="C14012" s="9" t="s">
        <v>19018</v>
      </c>
      <c r="D14012" s="9" t="s">
        <v>652</v>
      </c>
      <c r="E14012" s="6" t="s">
        <v>19023</v>
      </c>
      <c r="F14012" s="9"/>
    </row>
    <row r="14013" ht="33.75" customHeight="1">
      <c r="A14013" s="7">
        <v>794.0</v>
      </c>
      <c r="B14013" s="9" t="s">
        <v>19024</v>
      </c>
      <c r="C14013" s="9" t="s">
        <v>19025</v>
      </c>
      <c r="D14013" s="9" t="s">
        <v>637</v>
      </c>
      <c r="E14013" s="6" t="s">
        <v>19026</v>
      </c>
      <c r="F14013" t="inlineStr" s="10">
        <is>
          <t xml:space="preserve">Tämä ultrapeto ilmestyi toisesta maailmasta. Se esittelee vartaloaan, mutta onko se kehuskelua vai uhkausta, on epäselvää. Salaperäinen elämänmuoto nimeltä Ultrapeto. Silminnäkijät näkivät sen murskaavan kippiauton yhdellä iskulla. Vaikka se on vieras tälle maailmalle ja vaarallinen täällä, se on ilmeisesti yleinen organismi maailmassa, jossa se normaalisti elää. Buzzwole kulkee ympäriinsä esitellen epätavallisen turvonneita lihaksiaan. Se on eräänlainen ultrapeto.</t>
        </is>
      </c>
    </row>
    <row r="14014" ht="33.75" customHeight="1">
      <c r="A14014" s="7">
        <v>794.0</v>
      </c>
      <c r="B14014" s="9" t="s">
        <v>19024</v>
      </c>
      <c r="C14014" s="9" t="s">
        <v>19025</v>
      </c>
      <c r="D14014" s="9" t="s">
        <v>642</v>
      </c>
      <c r="E14014" s="6" t="s">
        <v>19027</v>
      </c>
      <c r="F14014" s="9"/>
    </row>
    <row r="14015" ht="33.75" customHeight="1">
      <c r="A14015" s="7">
        <v>794.0</v>
      </c>
      <c r="B14015" s="9" t="s">
        <v>19024</v>
      </c>
      <c r="C14015" s="9" t="s">
        <v>19025</v>
      </c>
      <c r="D14015" s="9" t="s">
        <v>647</v>
      </c>
      <c r="E14015" s="6" t="s">
        <v>19028</v>
      </c>
      <c r="F14015" s="9"/>
    </row>
    <row r="14016" ht="33.75" customHeight="1">
      <c r="A14016" s="7">
        <v>794.0</v>
      </c>
      <c r="B14016" s="9" t="s">
        <v>19024</v>
      </c>
      <c r="C14016" s="9" t="s">
        <v>19025</v>
      </c>
      <c r="D14016" s="9" t="s">
        <v>652</v>
      </c>
      <c r="E14016" s="6" t="s">
        <v>19029</v>
      </c>
      <c r="F14016" s="9"/>
    </row>
    <row r="14017" ht="33.75" customHeight="1">
      <c r="A14017" s="7">
        <v>795.0</v>
      </c>
      <c r="B14017" s="9" t="s">
        <v>19030</v>
      </c>
      <c r="C14017" s="9" t="s">
        <v>19031</v>
      </c>
      <c r="D14017" s="9" t="s">
        <v>637</v>
      </c>
      <c r="E14017" s="6" t="s">
        <v>19032</v>
      </c>
      <c r="F14017" t="inlineStr" s="10">
        <is>
          <t xml:space="preserve">Yksi vaarallisista Ultrapedoista, se on nähty juoksevan maan halki valtavalla nopeudella. Yksi ultrapedoista. Se kieltäytyy koskemasta mihinkään, ehkä siksi, että se aistii jonkinlaista epäpuhtautta tässä maailmassa. Elämänmuoto, joka elää toisessa maailmassa, sen ruumis on laiha ja notkea, mutta sillä on myös suuri voima. Vaikka se on vieras tälle maailmalle ja vaarallinen täällä, se on ilmeisesti yleinen organismi maailmassa, jossa se normaalisti elää.</t>
        </is>
      </c>
    </row>
    <row r="14018" ht="33.75" customHeight="1">
      <c r="A14018" s="7">
        <v>795.0</v>
      </c>
      <c r="B14018" s="9" t="s">
        <v>19030</v>
      </c>
      <c r="C14018" s="9" t="s">
        <v>19031</v>
      </c>
      <c r="D14018" s="9" t="s">
        <v>642</v>
      </c>
      <c r="E14018" s="6" t="s">
        <v>19033</v>
      </c>
      <c r="F14018" s="9"/>
    </row>
    <row r="14019" ht="33.75" customHeight="1">
      <c r="A14019" s="7">
        <v>795.0</v>
      </c>
      <c r="B14019" s="9" t="s">
        <v>19030</v>
      </c>
      <c r="C14019" s="9" t="s">
        <v>19031</v>
      </c>
      <c r="D14019" s="9" t="s">
        <v>647</v>
      </c>
      <c r="E14019" s="6" t="s">
        <v>19034</v>
      </c>
      <c r="F14019" s="9"/>
    </row>
    <row r="14020" ht="33.75" customHeight="1">
      <c r="A14020" s="7">
        <v>795.0</v>
      </c>
      <c r="B14020" s="9" t="s">
        <v>19030</v>
      </c>
      <c r="C14020" s="9" t="s">
        <v>19031</v>
      </c>
      <c r="D14020" s="9" t="s">
        <v>652</v>
      </c>
      <c r="E14020" s="6" t="s">
        <v>19028</v>
      </c>
      <c r="F14020" s="9"/>
    </row>
    <row r="14021" ht="33.75" customHeight="1">
      <c r="A14021" s="7">
        <v>796.0</v>
      </c>
      <c r="B14021" s="9" t="s">
        <v>19035</v>
      </c>
      <c r="C14021" s="9" t="s">
        <v>19036</v>
      </c>
      <c r="D14021" s="9" t="s">
        <v>637</v>
      </c>
      <c r="E14021" s="6" t="s">
        <v>19037</v>
      </c>
      <c r="F14021" t="inlineStr" s="10">
        <is>
          <t xml:space="preserve">Yksi salaperäisistä elämänmuodoista, jotka tunnetaan nimellä Ultra Beasts. Silminnäkijöiden mukaan sen koko kehosta lähtee hämmästyttäviä sähköiskuja. Se ilmestyi Ultramadonreiästä. Se hyökkäsi voimalaitokseen, joten ihmiset luulevat sen energisoivan itseään sähköllä. Vaikka se on vieras tälle maailmalle ja vaarallinen täällä, se on ilmeisesti yleinen organismi maailmassa, jossa se normaalisti elää. Niitä on kutsuttu Ultrapedoiksi. Jotkut niistä seisovat liikkumatta kuin puut, kädet ja jalat maassa.</t>
        </is>
      </c>
    </row>
    <row r="14022" ht="33.75" customHeight="1">
      <c r="A14022" s="7">
        <v>796.0</v>
      </c>
      <c r="B14022" s="9" t="s">
        <v>19035</v>
      </c>
      <c r="C14022" s="9" t="s">
        <v>19036</v>
      </c>
      <c r="D14022" s="9" t="s">
        <v>642</v>
      </c>
      <c r="E14022" s="6" t="s">
        <v>19038</v>
      </c>
      <c r="F14022" s="9"/>
    </row>
    <row r="14023" ht="33.75" customHeight="1">
      <c r="A14023" s="7">
        <v>796.0</v>
      </c>
      <c r="B14023" s="9" t="s">
        <v>19035</v>
      </c>
      <c r="C14023" s="9" t="s">
        <v>19036</v>
      </c>
      <c r="D14023" s="9" t="s">
        <v>647</v>
      </c>
      <c r="E14023" s="6" t="s">
        <v>19028</v>
      </c>
      <c r="F14023" s="9"/>
    </row>
    <row r="14024" ht="33.75" customHeight="1">
      <c r="A14024" s="7">
        <v>796.0</v>
      </c>
      <c r="B14024" s="9" t="s">
        <v>19035</v>
      </c>
      <c r="C14024" s="9" t="s">
        <v>19036</v>
      </c>
      <c r="D14024" s="9" t="s">
        <v>652</v>
      </c>
      <c r="E14024" s="6" t="s">
        <v>19039</v>
      </c>
      <c r="F14024" s="9"/>
    </row>
    <row r="14025" ht="33.75" customHeight="1">
      <c r="A14025" s="7">
        <v>797.0</v>
      </c>
      <c r="B14025" s="9" t="s">
        <v>19040</v>
      </c>
      <c r="C14025" s="9" t="s">
        <v>19041</v>
      </c>
      <c r="D14025" s="9" t="s">
        <v>637</v>
      </c>
      <c r="E14025" s="6" t="s">
        <v>19042</v>
      </c>
      <c r="F14025" t="inlineStr" s="10">
        <is>
          <t xml:space="preserve">Celesteela ilmestyi Ultra-madonreiästä. Silminnäkijät näkivät sen lentävän taivaalla suurella nopeudella. Yksi ultrapetolaji. Silminnäkijät ovat nähneet sen polttavan metsän maan tasalle purkamalla kaasua kahdesta käsivarrestaan. Yksi vaarallisista UB-kappaleista, sen molemmista valtavista haaroista voidaan havaita korkeaenergisiä lukemia. Vaikka se on vieras tälle maailmalle ja vaarallinen täällä, se on ilmeisesti yleinen organismi maailmassa, jossa se normaalisti elää.</t>
        </is>
      </c>
    </row>
    <row r="14026" ht="33.75" customHeight="1">
      <c r="A14026" s="7">
        <v>797.0</v>
      </c>
      <c r="B14026" s="9" t="s">
        <v>19040</v>
      </c>
      <c r="C14026" s="9" t="s">
        <v>19041</v>
      </c>
      <c r="D14026" s="9" t="s">
        <v>642</v>
      </c>
      <c r="E14026" s="6" t="s">
        <v>19043</v>
      </c>
      <c r="F14026" s="9"/>
    </row>
    <row r="14027" ht="33.75" customHeight="1">
      <c r="A14027" s="7">
        <v>797.0</v>
      </c>
      <c r="B14027" s="9" t="s">
        <v>19040</v>
      </c>
      <c r="C14027" s="9" t="s">
        <v>19041</v>
      </c>
      <c r="D14027" s="9" t="s">
        <v>647</v>
      </c>
      <c r="E14027" s="6" t="s">
        <v>19044</v>
      </c>
      <c r="F14027" s="9"/>
    </row>
    <row r="14028" ht="33.75" customHeight="1">
      <c r="A14028" s="7">
        <v>797.0</v>
      </c>
      <c r="B14028" s="9" t="s">
        <v>19040</v>
      </c>
      <c r="C14028" s="9" t="s">
        <v>19041</v>
      </c>
      <c r="D14028" s="9" t="s">
        <v>652</v>
      </c>
      <c r="E14028" s="6" t="s">
        <v>19028</v>
      </c>
      <c r="F14028" s="9"/>
    </row>
    <row r="14029" ht="33.75" customHeight="1">
      <c r="A14029" s="7">
        <v>798.0</v>
      </c>
      <c r="B14029" s="9" t="s">
        <v>19045</v>
      </c>
      <c r="C14029" s="9" t="s">
        <v>19046</v>
      </c>
      <c r="D14029" s="9" t="s">
        <v>637</v>
      </c>
      <c r="E14029" s="6" t="s">
        <v>19047</v>
      </c>
      <c r="F14029" t="inlineStr" s="10">
        <is>
          <t xml:space="preserve">Tämä ultrapeto tuli ultramadonreiästä. Se ei näytä hyökkäävän vihollisten kimppuun yksinään, mutta sen terävä ruumis on itsessään vaarallinen ase. Yksi Ultra Beast -elämänmuodoista, sen havaittiin kaatavan jättimäisen terästornin yhdellä teräniskulla. Tämän Ultrapedon paperin ohut vartalo on kuin teroitettu miekka. Vaikka se on vieras tälle maailmalle ja vaarallinen täällä, se on ilmeisesti yleinen organismi maailmassa, jossa se normaalisti elää.</t>
        </is>
      </c>
    </row>
    <row r="14030" ht="33.75" customHeight="1">
      <c r="A14030" s="7">
        <v>798.0</v>
      </c>
      <c r="B14030" s="9" t="s">
        <v>19045</v>
      </c>
      <c r="C14030" s="9" t="s">
        <v>19046</v>
      </c>
      <c r="D14030" s="9" t="s">
        <v>642</v>
      </c>
      <c r="E14030" s="6" t="s">
        <v>19048</v>
      </c>
      <c r="F14030" s="9"/>
    </row>
    <row r="14031" ht="33.75" customHeight="1">
      <c r="A14031" s="7">
        <v>798.0</v>
      </c>
      <c r="B14031" s="9" t="s">
        <v>19045</v>
      </c>
      <c r="C14031" s="9" t="s">
        <v>19046</v>
      </c>
      <c r="D14031" s="9" t="s">
        <v>647</v>
      </c>
      <c r="E14031" s="6" t="s">
        <v>19049</v>
      </c>
      <c r="F14031" s="9"/>
    </row>
    <row r="14032" ht="33.75" customHeight="1">
      <c r="A14032" s="7">
        <v>798.0</v>
      </c>
      <c r="B14032" s="9" t="s">
        <v>19045</v>
      </c>
      <c r="C14032" s="9" t="s">
        <v>19046</v>
      </c>
      <c r="D14032" s="9" t="s">
        <v>652</v>
      </c>
      <c r="E14032" s="6" t="s">
        <v>19028</v>
      </c>
      <c r="F14032" s="9"/>
    </row>
    <row r="14033" ht="33.75" customHeight="1">
      <c r="A14033" s="7">
        <v>799.0</v>
      </c>
      <c r="B14033" s="9" t="s">
        <v>19050</v>
      </c>
      <c r="C14033" s="9" t="s">
        <v>19051</v>
      </c>
      <c r="D14033" s="9" t="s">
        <v>637</v>
      </c>
      <c r="E14033" s="6" t="s">
        <v>19052</v>
      </c>
      <c r="F14033" t="inlineStr" s="10">
        <is>
          <t xml:space="preserve">Raporttien mukaan se on ahminut vuoria ja niellyt kokonaisia ​​rakennuksia. Se on yksi Ultrapedoista. Vaarallinen ultrapeto näyttää syövän jatkuvasti, mutta jostain syystä sen ulosteita ei ole koskaan löydetty. Vaikka se on vieras tälle maailmalle ja vaarallinen täällä, se on ilmeisesti yleinen organismi maailmassa, jossa se normaalisti elää. Tuntematon elämänmuoto nimeltä UB. Se voi olla jatkuvasti nälkäinen – se varmasti ahmii aina jotakin.</t>
        </is>
      </c>
    </row>
    <row r="14034" ht="33.75" customHeight="1">
      <c r="A14034" s="7">
        <v>799.0</v>
      </c>
      <c r="B14034" s="9" t="s">
        <v>19050</v>
      </c>
      <c r="C14034" s="9" t="s">
        <v>19051</v>
      </c>
      <c r="D14034" s="9" t="s">
        <v>642</v>
      </c>
      <c r="E14034" s="6" t="s">
        <v>19053</v>
      </c>
      <c r="F14034" s="9"/>
    </row>
    <row r="14035" ht="33.75" customHeight="1">
      <c r="A14035" s="7">
        <v>799.0</v>
      </c>
      <c r="B14035" s="9" t="s">
        <v>19050</v>
      </c>
      <c r="C14035" s="9" t="s">
        <v>19051</v>
      </c>
      <c r="D14035" s="9" t="s">
        <v>647</v>
      </c>
      <c r="E14035" s="6" t="s">
        <v>19028</v>
      </c>
      <c r="F14035" s="9"/>
    </row>
    <row r="14036" ht="33.75" customHeight="1">
      <c r="A14036" s="7">
        <v>799.0</v>
      </c>
      <c r="B14036" s="9" t="s">
        <v>19050</v>
      </c>
      <c r="C14036" s="9" t="s">
        <v>19051</v>
      </c>
      <c r="D14036" s="9" t="s">
        <v>652</v>
      </c>
      <c r="E14036" s="6" t="s">
        <v>19055</v>
      </c>
      <c r="F14036" s="9"/>
    </row>
    <row r="14037" ht="33.75" customHeight="1">
      <c r="A14037" s="7">
        <v>800.0</v>
      </c>
      <c r="B14037" s="9" t="s">
        <v>19056</v>
      </c>
      <c r="C14037" s="9" t="s">
        <v>19057</v>
      </c>
      <c r="D14037" s="9" t="s">
        <v>637</v>
      </c>
      <c r="E14037" s="6" t="s">
        <v>19058</v>
      </c>
      <c r="F14037" t="inlineStr" s="10">
        <is>
          <t xml:space="preserve">Tämä Ultrapetoja muistuttava elämänmuoto, joka ilmeisesti nukkuu maan alla, on uskottu tulleen toisesta maailmasta muinaisina aikoina. Valo on ilmeisesti sen energian lähde. Sillä on poikkeuksellisen vihamielinen luonne ja se ampuu jatkuvasti lasersäteitä. Se näyttää jotenkin tuskaiselta raivotessaan ympäriinsä etsien valoa, joka toimii sen energiana. Se on ilmeisesti toisesta maailmasta. Valo on sen energian lähde. Jos se ei niele valoa, siihen ja sen pinnalle kertyy epäpuhtauksia, ja Necrozma tummuu ja lakkaa liikkumasta. Se selviää absorboimalla valoa. Pitkän maan alla nukkumisen jälkeen sen sisään kertyi epäpuhtauksia, jotka aiheuttivat sen ruumiin tummumisen. Se tarvitsee valoa selviytyäkseen ja riehuu sitä etsiessään. Sen lasersäteet leikkaavat minkä tahansa palasiksi.</t>
        </is>
      </c>
    </row>
    <row r="14038" ht="33.75" customHeight="1">
      <c r="A14038" s="7">
        <v>800.0</v>
      </c>
      <c r="B14038" s="9" t="s">
        <v>19056</v>
      </c>
      <c r="C14038" s="9" t="s">
        <v>19057</v>
      </c>
      <c r="D14038" s="9" t="s">
        <v>642</v>
      </c>
      <c r="E14038" s="6" t="s">
        <v>19059</v>
      </c>
      <c r="F14038" s="9"/>
    </row>
    <row r="14039" ht="33.75" customHeight="1">
      <c r="A14039" s="7">
        <v>800.0</v>
      </c>
      <c r="B14039" s="9" t="s">
        <v>19056</v>
      </c>
      <c r="C14039" s="9" t="s">
        <v>19057</v>
      </c>
      <c r="D14039" s="9" t="s">
        <v>647</v>
      </c>
      <c r="E14039" s="6" t="s">
        <v>19060</v>
      </c>
      <c r="F14039" s="9"/>
    </row>
    <row r="14040" ht="33.75" customHeight="1">
      <c r="A14040" s="7">
        <v>800.0</v>
      </c>
      <c r="B14040" s="9" t="s">
        <v>19056</v>
      </c>
      <c r="C14040" s="9" t="s">
        <v>19057</v>
      </c>
      <c r="D14040" s="9" t="s">
        <v>652</v>
      </c>
      <c r="E14040" s="6" t="s">
        <v>19061</v>
      </c>
      <c r="F14040" s="9"/>
    </row>
    <row r="14041" ht="33.75" customHeight="1">
      <c r="A14041" s="7">
        <v>800.0</v>
      </c>
      <c r="B14041" s="9" t="s">
        <v>19056</v>
      </c>
      <c r="C14041" s="9" t="s">
        <v>19057</v>
      </c>
      <c r="D14041" s="9" t="s">
        <v>114</v>
      </c>
      <c r="E14041" s="6" t="s">
        <v>19062</v>
      </c>
      <c r="F14041" s="9"/>
    </row>
    <row r="14042" ht="33.75" customHeight="1">
      <c r="A14042" s="7">
        <v>800.0</v>
      </c>
      <c r="B14042" s="9" t="s">
        <v>19056</v>
      </c>
      <c r="C14042" s="9" t="s">
        <v>19057</v>
      </c>
      <c r="D14042" s="9" t="s">
        <v>117</v>
      </c>
      <c r="E14042" s="6" t="s">
        <v>19063</v>
      </c>
      <c r="F14042" s="9"/>
    </row>
    <row r="14043" ht="33.75" customHeight="1">
      <c r="A14043" s="7">
        <v>801.0</v>
      </c>
      <c r="B14043" s="9" t="s">
        <v>19064</v>
      </c>
      <c r="C14043" s="9" t="s">
        <v>19065</v>
      </c>
      <c r="D14043" s="9" t="s">
        <v>637</v>
      </c>
      <c r="E14043" s="6" t="s">
        <v>19066</v>
      </c>
      <c r="F14043" t="inlineStr" s="10">
        <is>
          <t xml:space="preserve">Tämä yli 500 vuotta sitten rakennettu keinotekoinen Pokémon ymmärtää ihmisen puhetta, mutta ei itse pysty puhumaan. Sen mekaaninen ruumis on vain astia. Sen todellinen minä on sen Sielu-Sydän, keinotekoinen sielu. Se synkronoi tietoisuutensa muiden kanssa ymmärtääkseen heidän tunteitaan. Tämä kyky tekee siitä hyödyllisen ihmisten hoitamisessa. Tiedemiehen noin 500 vuotta sitten rakentama Sielu-Sydämeksi kutsuttu osa on varsinainen elämänmuoto.</t>
        </is>
      </c>
    </row>
    <row r="14044" ht="33.75" customHeight="1">
      <c r="A14044" s="7">
        <v>801.0</v>
      </c>
      <c r="B14044" s="9" t="s">
        <v>19064</v>
      </c>
      <c r="C14044" s="9" t="s">
        <v>19065</v>
      </c>
      <c r="D14044" s="9" t="s">
        <v>642</v>
      </c>
      <c r="E14044" s="6" t="s">
        <v>19067</v>
      </c>
      <c r="F14044" s="9"/>
    </row>
    <row r="14045" ht="33.75" customHeight="1">
      <c r="A14045" s="7">
        <v>801.0</v>
      </c>
      <c r="B14045" s="9" t="s">
        <v>19064</v>
      </c>
      <c r="C14045" s="9" t="s">
        <v>19065</v>
      </c>
      <c r="D14045" s="9" t="s">
        <v>647</v>
      </c>
      <c r="E14045" s="6" t="s">
        <v>19068</v>
      </c>
      <c r="F14045" s="9"/>
    </row>
    <row r="14046" ht="33.75" customHeight="1">
      <c r="A14046" s="7">
        <v>801.0</v>
      </c>
      <c r="B14046" s="9" t="s">
        <v>19064</v>
      </c>
      <c r="C14046" s="9" t="s">
        <v>19065</v>
      </c>
      <c r="D14046" s="9" t="s">
        <v>652</v>
      </c>
      <c r="E14046" s="6" t="s">
        <v>19069</v>
      </c>
      <c r="F14046" s="9"/>
    </row>
    <row r="14047" ht="33.75" customHeight="1">
      <c r="A14047" s="7">
        <v>802.0</v>
      </c>
      <c r="B14047" s="9" t="s">
        <v>19070</v>
      </c>
      <c r="C14047" s="9" t="s">
        <v>19071</v>
      </c>
      <c r="D14047" s="9" t="s">
        <v>637</v>
      </c>
      <c r="E14047" s="6" t="s">
        <v>19072</v>
      </c>
      <c r="F14047" t="inlineStr" s="10">
        <is>
          <t xml:space="preserve">Koska se kykeni kätkeytymään varjoihin, se ei koskaan ilmesty ihmisten eteen, joten Marshadowin olemassaolo oli myytin ainesta. Se lymyilee toisten varjoissa kopioiden heidän liikkeitään ja voimiaan. Tämä Pokémon on pelkurimainen ja arasteleva. Se livahtaa toisten varjoihin ja matkii heidän voimiaan ja liikkeitään. Kehittyessään siitä tulee vahvempi kuin ne, joita se matkii. Se vajoaa ihmisten ja Pokémonien varjoihin, missä se voi ymmärtää heidän tunteitaan ja kopioida heidän kykyjään. Vajoamalla kamppailulajien mestarin varjoon ja kopioimalla heidän liikkeitään tämä Pokémon oppi perimmäiset tekniikat. Tämä Pokémon voi piiloutua mihin tahansa varjoon, joten se pysyi pitkään huomaamatta.</t>
        </is>
      </c>
    </row>
    <row r="14048" ht="33.75" customHeight="1">
      <c r="A14048" s="7">
        <v>802.0</v>
      </c>
      <c r="B14048" s="9" t="s">
        <v>19070</v>
      </c>
      <c r="C14048" s="9" t="s">
        <v>19071</v>
      </c>
      <c r="D14048" s="9" t="s">
        <v>642</v>
      </c>
      <c r="E14048" s="6" t="s">
        <v>19073</v>
      </c>
      <c r="F14048" s="9"/>
    </row>
    <row r="14049" ht="33.75" customHeight="1">
      <c r="A14049" s="7">
        <v>802.0</v>
      </c>
      <c r="B14049" s="9" t="s">
        <v>19070</v>
      </c>
      <c r="C14049" s="9" t="s">
        <v>19071</v>
      </c>
      <c r="D14049" s="9" t="s">
        <v>647</v>
      </c>
      <c r="E14049" s="6" t="s">
        <v>19075</v>
      </c>
      <c r="F14049" s="9"/>
    </row>
    <row r="14050" ht="33.75" customHeight="1">
      <c r="A14050" s="7">
        <v>802.0</v>
      </c>
      <c r="B14050" s="9" t="s">
        <v>19070</v>
      </c>
      <c r="C14050" s="9" t="s">
        <v>19071</v>
      </c>
      <c r="D14050" s="9" t="s">
        <v>652</v>
      </c>
      <c r="E14050" s="6" t="s">
        <v>19076</v>
      </c>
      <c r="F14050" s="9"/>
    </row>
    <row r="14051" ht="33.75" customHeight="1">
      <c r="A14051" s="7">
        <v>802.0</v>
      </c>
      <c r="B14051" s="9" t="s">
        <v>19070</v>
      </c>
      <c r="C14051" s="9" t="s">
        <v>19071</v>
      </c>
      <c r="D14051" s="9" t="s">
        <v>114</v>
      </c>
      <c r="E14051" s="6" t="s">
        <v>19077</v>
      </c>
      <c r="F14051" s="9"/>
    </row>
    <row r="14052" ht="33.75" customHeight="1">
      <c r="A14052" s="7">
        <v>802.0</v>
      </c>
      <c r="B14052" s="9" t="s">
        <v>19070</v>
      </c>
      <c r="C14052" s="9" t="s">
        <v>19071</v>
      </c>
      <c r="D14052" s="9" t="s">
        <v>117</v>
      </c>
      <c r="E14052" s="6" t="s">
        <v>19078</v>
      </c>
      <c r="F14052" s="9"/>
    </row>
    <row r="14053" ht="33.75" customHeight="1">
      <c r="A14053" s="7">
        <v>803.0</v>
      </c>
      <c r="B14053" s="9" t="s">
        <v>19079</v>
      </c>
      <c r="C14053" s="9" t="s">
        <v>1779</v>
      </c>
      <c r="D14053" s="9" t="s">
        <v>647</v>
      </c>
      <c r="E14053" s="6" t="s">
        <v>19080</v>
      </c>
      <c r="F14053" t="inlineStr" s="10">
        <is>
          <t xml:space="preserve">Tätä Ultrapetoa pidetään niin paljon, että se valitaan ensimmäiseksi kumppaniksi omaan maailmaansa. Ultrapeto, joka elää eri maailmassa, kikattelee villisti suihkuttaessaan vastustajiinsa myrkkyä päänsä neuloilla.</t>
        </is>
      </c>
    </row>
    <row r="14054" ht="33.75" customHeight="1">
      <c r="A14054" s="7">
        <v>803.0</v>
      </c>
      <c r="B14054" s="9" t="s">
        <v>19079</v>
      </c>
      <c r="C14054" s="9" t="s">
        <v>1779</v>
      </c>
      <c r="D14054" s="9" t="s">
        <v>652</v>
      </c>
      <c r="E14054" s="6" t="s">
        <v>19081</v>
      </c>
      <c r="F14054" s="9"/>
    </row>
    <row r="14055" ht="33.75" customHeight="1">
      <c r="A14055" s="7">
        <v>804.0</v>
      </c>
      <c r="B14055" s="9" t="s">
        <v>19082</v>
      </c>
      <c r="C14055" s="9" t="s">
        <v>1779</v>
      </c>
      <c r="D14055" s="9" t="s">
        <v>647</v>
      </c>
      <c r="E14055" s="6" t="s">
        <v>19083</v>
      </c>
      <c r="F14055" t="inlineStr" s="10">
        <is>
          <t xml:space="preserve">Naganadel varastoi kehoonsa satoja litroja myrkyllistä nestettä. Se on yksi UB-nimisistä eliöistä. Se on eräänlainen Ultrapeto, joka ampuu neuloistaan ​​hehkuvaa, myrkyllistä nestettä. Tämä neste on myös erittäin tarttuvaa.</t>
        </is>
      </c>
    </row>
    <row r="14056" ht="33.75" customHeight="1">
      <c r="A14056" s="7">
        <v>804.0</v>
      </c>
      <c r="B14056" s="9" t="s">
        <v>19082</v>
      </c>
      <c r="C14056" s="9" t="s">
        <v>1779</v>
      </c>
      <c r="D14056" s="9" t="s">
        <v>652</v>
      </c>
      <c r="E14056" s="6" t="s">
        <v>19084</v>
      </c>
      <c r="F14056" s="9"/>
    </row>
    <row r="14057" ht="33.75" customHeight="1">
      <c r="A14057" s="7">
        <v>805.0</v>
      </c>
      <c r="B14057" s="9" t="s">
        <v>19085</v>
      </c>
      <c r="C14057" s="9" t="s">
        <v>19086</v>
      </c>
      <c r="D14057" s="9" t="s">
        <v>647</v>
      </c>
      <c r="E14057" s="6" t="s">
        <v>19087</v>
      </c>
      <c r="F14057" t="inlineStr" s="10">
        <is>
          <t xml:space="preserve">Stakataka ilmestyi ultramadonreiästä. Jokainen niistä näyttää koostuvan monista päällekkäin pinotuista elämänmuodoista. Kun kiviseinät alkoivat liikkua ja hyökätä, eläimen todellinen identiteetti oli tämä salaperäinen elämänmuoto, joka tuo mieleen ultrapedon.</t>
        </is>
      </c>
    </row>
    <row r="14058" ht="33.75" customHeight="1">
      <c r="A14058" s="7">
        <v>805.0</v>
      </c>
      <c r="B14058" s="9" t="s">
        <v>19085</v>
      </c>
      <c r="C14058" s="9" t="s">
        <v>19086</v>
      </c>
      <c r="D14058" s="9" t="s">
        <v>652</v>
      </c>
      <c r="E14058" s="6" t="s">
        <v>19088</v>
      </c>
      <c r="F14058" s="9"/>
    </row>
    <row r="14059" ht="33.75" customHeight="1">
      <c r="A14059" s="7">
        <v>806.0</v>
      </c>
      <c r="B14059" s="9" t="s">
        <v>19089</v>
      </c>
      <c r="C14059" s="9" t="s">
        <v>19090</v>
      </c>
      <c r="D14059" s="9" t="s">
        <v>647</v>
      </c>
      <c r="E14059" s="6" t="s">
        <v>19091</v>
      </c>
      <c r="F14059" t="inlineStr" s="10">
        <is>
          <t xml:space="preserve">Blacephalon luikertelee ihmisiä kohti. Sitten, varoittamatta, se laukaisee oman päänsä räjähdyksen. Se on ilmeisesti eräänlainen ultrapeto. Ultramadonreiästä ilmestynyt UB aiheuttaa räjähdyksiä ja hyödyntää sitten vastustajien yllätystä riistääkseen heiltä elinvoiman.</t>
        </is>
      </c>
    </row>
    <row r="14060" ht="33.75" customHeight="1">
      <c r="A14060" s="7">
        <v>806.0</v>
      </c>
      <c r="B14060" s="9" t="s">
        <v>19089</v>
      </c>
      <c r="C14060" s="9" t="s">
        <v>19090</v>
      </c>
      <c r="D14060" s="9" t="s">
        <v>652</v>
      </c>
      <c r="E14060" s="6" t="s">
        <v>19092</v>
      </c>
      <c r="F14060" s="9"/>
    </row>
    <row r="14061" ht="33.75" customHeight="1">
      <c r="A14061" s="7">
        <v>807.0</v>
      </c>
      <c r="B14061" s="9" t="s">
        <v>19093</v>
      </c>
      <c r="C14061" s="9" t="s">
        <v>19094</v>
      </c>
      <c r="D14061" s="9" t="s">
        <v>647</v>
      </c>
      <c r="E14061" s="6" t="s">
        <v>19095</v>
      </c>
      <c r="F14061" t="inlineStr" s="10">
        <is>
          <t xml:space="preserve">Zeraora sähköistää kyntensä ja repii niillä vastustajansa kappaleiksi. Vaikka he väistäisivätkin sen hyökkäyksen, lentävät kipinät sähköistävät heidät. Se lähestyy vihollisiaan salamannopeudella ja repii heidät sitten raajoista raajaan terävillä kynsillään. Se juoksee salamaniskun lailla ja murskaa vastustajansa korkeajännitteisillä kynsillään. Sähkö kipinöi sen raajojen pohjallisista. Minne tahansa Zeraora juokseekin, siellä välähtää salama ja jyrisee ukkonen.</t>
        </is>
      </c>
    </row>
    <row r="14062" ht="33.75" customHeight="1">
      <c r="A14062" s="7">
        <v>807.0</v>
      </c>
      <c r="B14062" s="9" t="s">
        <v>19093</v>
      </c>
      <c r="C14062" s="9" t="s">
        <v>19094</v>
      </c>
      <c r="D14062" s="9" t="s">
        <v>652</v>
      </c>
      <c r="E14062" s="6" t="s">
        <v>19096</v>
      </c>
      <c r="F14062" s="9"/>
    </row>
    <row r="14063" ht="33.75" customHeight="1">
      <c r="A14063" s="7">
        <v>807.0</v>
      </c>
      <c r="B14063" s="9" t="s">
        <v>19093</v>
      </c>
      <c r="C14063" s="9" t="s">
        <v>19094</v>
      </c>
      <c r="D14063" s="9" t="s">
        <v>114</v>
      </c>
      <c r="E14063" s="6" t="s">
        <v>19098</v>
      </c>
      <c r="F14063" s="9"/>
    </row>
    <row r="14064" ht="33.75" customHeight="1">
      <c r="A14064" s="7">
        <v>807.0</v>
      </c>
      <c r="B14064" s="9" t="s">
        <v>19093</v>
      </c>
      <c r="C14064" s="9" t="s">
        <v>19094</v>
      </c>
      <c r="D14064" s="9" t="s">
        <v>117</v>
      </c>
      <c r="E14064" s="6" t="s">
        <v>19099</v>
      </c>
      <c r="F14064" s="9"/>
    </row>
    <row r="14065" ht="33.75" customHeight="1">
      <c r="A14065" s="7">
        <v>808.0</v>
      </c>
      <c r="B14065" s="9" t="s">
        <v>19100</v>
      </c>
      <c r="C14065" s="9" t="s">
        <v>19101</v>
      </c>
      <c r="D14065" s="9" t="s">
        <v>111</v>
      </c>
      <c r="E14065" s="6" t="s">
        <v>19102</v>
      </c>
      <c r="F14065" t="inlineStr" s="10">
        <is>
          <t xml:space="preserve">Meltan sulattaa maaperästä löytyviä raudan ja muiden metallien hiukkasia, jotta se voi imeä ne sulaan teräsrunkoonsa. Se liuottaa ja syö metallia. Se tuottaa energiaa kiertämällä nestemäistä metallia kehossaan. He elävät ryhmänä, mutta kun aika koittaa, yksi vahva Meltan imee itseensä kaikki muut ja kehittyy.</t>
        </is>
      </c>
    </row>
    <row r="14066" ht="33.75" customHeight="1">
      <c r="A14066" s="7">
        <v>808.0</v>
      </c>
      <c r="B14066" s="9" t="s">
        <v>19100</v>
      </c>
      <c r="C14066" s="9" t="s">
        <v>19101</v>
      </c>
      <c r="D14066" s="9" t="s">
        <v>113</v>
      </c>
      <c r="E14066" s="6" t="s">
        <v>19102</v>
      </c>
      <c r="F14066" s="9"/>
    </row>
    <row r="14067" ht="33.75" customHeight="1">
      <c r="A14067" s="7">
        <v>808.0</v>
      </c>
      <c r="B14067" s="9" t="s">
        <v>19100</v>
      </c>
      <c r="C14067" s="9" t="s">
        <v>19101</v>
      </c>
      <c r="D14067" s="9" t="s">
        <v>114</v>
      </c>
      <c r="E14067" s="6" t="s">
        <v>19103</v>
      </c>
      <c r="F14067" s="9"/>
    </row>
    <row r="14068" ht="33.75" customHeight="1">
      <c r="A14068" s="7">
        <v>808.0</v>
      </c>
      <c r="B14068" s="9" t="s">
        <v>19100</v>
      </c>
      <c r="C14068" s="9" t="s">
        <v>19101</v>
      </c>
      <c r="D14068" s="9" t="s">
        <v>117</v>
      </c>
      <c r="E14068" s="6" t="s">
        <v>19104</v>
      </c>
      <c r="F14068" s="9"/>
    </row>
    <row r="14069" ht="33.75" customHeight="1">
      <c r="A14069" s="7">
        <v>809.0</v>
      </c>
      <c r="B14069" s="9" t="s">
        <v>19105</v>
      </c>
      <c r="C14069" s="9" t="s">
        <v>19101</v>
      </c>
      <c r="D14069" s="9" t="s">
        <v>111</v>
      </c>
      <c r="E14069" s="6" t="s">
        <v>19106</v>
      </c>
      <c r="F14069" t="inlineStr" s="10">
        <is>
          <t xml:space="preserve">Kauan sitten Melmetalin kyvystä luoda rautaa tyhjästä kunnioitettiin sitä, mutta jostain syystä se on herännyt henkiin 3 000 vuoden jälkeen. Elinikänsä lopussa Melmetal ruostuu ja hajoaa. Jäljelle jääneet pienet sirpaleet syntyvät lopulta uudelleen Meltanina. Melmetalin raskaiden kuusiokolokäsivarsien iskujen taustalla on keskipakoisvoima. Melmetalin sanotaan antavan kaikista Pokémoneista voimakkaimmat iskut.</t>
        </is>
      </c>
    </row>
    <row r="14070" ht="33.75" customHeight="1">
      <c r="A14070" s="7">
        <v>809.0</v>
      </c>
      <c r="B14070" s="9" t="s">
        <v>19105</v>
      </c>
      <c r="C14070" s="9" t="s">
        <v>19101</v>
      </c>
      <c r="D14070" s="9" t="s">
        <v>113</v>
      </c>
      <c r="E14070" s="6" t="s">
        <v>19106</v>
      </c>
      <c r="F14070" s="9"/>
    </row>
    <row r="14071" ht="33.75" customHeight="1">
      <c r="A14071" s="7">
        <v>809.0</v>
      </c>
      <c r="B14071" s="9" t="s">
        <v>19105</v>
      </c>
      <c r="C14071" s="9" t="s">
        <v>19101</v>
      </c>
      <c r="D14071" s="9" t="s">
        <v>114</v>
      </c>
      <c r="E14071" s="6" t="s">
        <v>19107</v>
      </c>
      <c r="F14071" s="9"/>
    </row>
    <row r="14072" ht="33.75" customHeight="1">
      <c r="A14072" s="7">
        <v>809.0</v>
      </c>
      <c r="B14072" s="9" t="s">
        <v>19105</v>
      </c>
      <c r="C14072" s="9" t="s">
        <v>19101</v>
      </c>
      <c r="D14072" s="9" t="s">
        <v>117</v>
      </c>
      <c r="E14072" s="6" t="s">
        <v>19108</v>
      </c>
      <c r="F14072" s="9"/>
    </row>
    <row r="14073" ht="33.75" customHeight="1">
      <c r="A14073" s="7">
        <v>810.0</v>
      </c>
      <c r="B14073" s="9" t="s">
        <v>19109</v>
      </c>
      <c r="C14073" s="9" t="s">
        <v>15639</v>
      </c>
      <c r="D14073" s="9" t="s">
        <v>114</v>
      </c>
      <c r="E14073" s="6" t="s">
        <v>19110</v>
      </c>
      <c r="F14073" t="inlineStr" s="10">
        <is>
          <t xml:space="preserve">Kun se käyttää erityistä keppiään tahdin käynnistämiseen, tuotetut ääniaallot kuljettavat elvyttävää energiaa alueen kasveihin ja kukkiin. Se hyökkää nopeilla kepiniskuilla. Iskuessaan hämmästyttävällä nopeudella se saa yhä enemmän energiaa.</t>
        </is>
      </c>
    </row>
    <row r="14074" ht="33.75" customHeight="1">
      <c r="A14074" s="7">
        <v>810.0</v>
      </c>
      <c r="B14074" s="9" t="s">
        <v>19109</v>
      </c>
      <c r="C14074" s="9" t="s">
        <v>15639</v>
      </c>
      <c r="D14074" s="9" t="s">
        <v>117</v>
      </c>
      <c r="E14074" s="6" t="s">
        <v>19111</v>
      </c>
      <c r="F14074" s="9"/>
    </row>
    <row r="14075" ht="33.75" customHeight="1">
      <c r="A14075" s="7">
        <v>811.0</v>
      </c>
      <c r="B14075" s="9" t="s">
        <v>19112</v>
      </c>
      <c r="C14075" s="9" t="s">
        <v>19113</v>
      </c>
      <c r="D14075" s="9" t="s">
        <v>114</v>
      </c>
      <c r="E14075" s="6" t="s">
        <v>19114</v>
      </c>
      <c r="F14075" t="inlineStr" s="10">
        <is>
          <t xml:space="preserve">Mitä nopeammin Thwackey pystyy lyömään rytmin kahdella kepillään, sitä enemmän kunnioitusta se saa tovereiltaan. Kun se rummuttelee nopeita iskuja taistelussa, se uppoutuu rytmiin niin paljon, ettei se edes huomaa tyrmänneensä vastustajansa.</t>
        </is>
      </c>
    </row>
    <row r="14076" ht="33.75" customHeight="1">
      <c r="A14076" s="7">
        <v>811.0</v>
      </c>
      <c r="B14076" s="9" t="s">
        <v>19112</v>
      </c>
      <c r="C14076" s="9" t="s">
        <v>19113</v>
      </c>
      <c r="D14076" s="9" t="s">
        <v>117</v>
      </c>
      <c r="E14076" s="6" t="s">
        <v>19115</v>
      </c>
      <c r="F14076" s="9"/>
    </row>
    <row r="14077" ht="33.75" customHeight="1">
      <c r="A14077" s="7">
        <v>812.0</v>
      </c>
      <c r="B14077" s="9" t="s">
        <v>19116</v>
      </c>
      <c r="C14077" s="9" t="s">
        <v>19117</v>
      </c>
      <c r="D14077" s="9" t="s">
        <v>114</v>
      </c>
      <c r="E14077" s="6" t="s">
        <v>19118</v>
      </c>
      <c r="F14077" t="inlineStr" s="10">
        <is>
          <t xml:space="preserve">Rumpuja nyökkäämällä se hyödyntää erityisen puunkannon voimaa. Kannon juuret seuraavat sen suuntaa taistelussa. Parhaan rumputekniikan hallitsevasta tulee ryhmän pomo. Hänellä on lempeä luonne ja hän arvostaa harmoniaa ryhmänsä sisällä.</t>
        </is>
      </c>
    </row>
    <row r="14078" ht="33.75" customHeight="1">
      <c r="A14078" s="7">
        <v>812.0</v>
      </c>
      <c r="B14078" s="9" t="s">
        <v>19116</v>
      </c>
      <c r="C14078" s="9" t="s">
        <v>19117</v>
      </c>
      <c r="D14078" s="9" t="s">
        <v>117</v>
      </c>
      <c r="E14078" s="6" t="s">
        <v>19119</v>
      </c>
      <c r="F14078" s="9"/>
    </row>
    <row r="14079" ht="33.75" customHeight="1">
      <c r="A14079" s="7">
        <v>813.0</v>
      </c>
      <c r="B14079" s="9" t="s">
        <v>19120</v>
      </c>
      <c r="C14079" s="9" t="s">
        <v>15998</v>
      </c>
      <c r="D14079" s="9" t="s">
        <v>114</v>
      </c>
      <c r="E14079" s="6" t="s">
        <v>19121</v>
      </c>
      <c r="F14079" t="inlineStr" s="10">
        <is>
          <t xml:space="preserve">Juoksemalla tehtävä lämmittely saa tulienergian virtaamaan tämän Pokémonin kehossa. Kun se tapahtuu, se on valmis taistelemaan täydellä teholla. Sillä on erityiset tyynyt tassujen takaosissa ja yksi kuonossa. Kun se on taisteluvalmiina, nämä tyynyt säteilevät valtavasti lämpöä.</t>
        </is>
      </c>
    </row>
    <row r="14080" ht="33.75" customHeight="1">
      <c r="A14080" s="7">
        <v>813.0</v>
      </c>
      <c r="B14080" s="9" t="s">
        <v>19120</v>
      </c>
      <c r="C14080" s="9" t="s">
        <v>15998</v>
      </c>
      <c r="D14080" s="9" t="s">
        <v>117</v>
      </c>
      <c r="E14080" s="6" t="s">
        <v>19122</v>
      </c>
      <c r="F14080" s="9"/>
    </row>
    <row r="14081" ht="33.75" customHeight="1">
      <c r="A14081" s="7">
        <v>814.0</v>
      </c>
      <c r="B14081" s="9" t="s">
        <v>19124</v>
      </c>
      <c r="C14081" s="9" t="s">
        <v>15998</v>
      </c>
      <c r="D14081" s="9" t="s">
        <v>114</v>
      </c>
      <c r="E14081" s="6" t="s">
        <v>19125</v>
      </c>
      <c r="F14081" t="inlineStr" s="10">
        <is>
          <t xml:space="preserve">Rabootin paksu ja pörröinen turkki suojaa sitä kylmältä ja mahdollistaa kuumempien tuliliikkeiden käytön. Se potkailee marjoja suoraan puiden oksilta ja jonglööraa niitä sitten jaloillaan harjoitellen jalkatyötään.</t>
        </is>
      </c>
    </row>
    <row r="14082" ht="33.75" customHeight="1">
      <c r="A14082" s="7">
        <v>814.0</v>
      </c>
      <c r="B14082" s="9" t="s">
        <v>19124</v>
      </c>
      <c r="C14082" s="9" t="s">
        <v>15998</v>
      </c>
      <c r="D14082" s="9" t="s">
        <v>117</v>
      </c>
      <c r="E14082" s="6" t="s">
        <v>19126</v>
      </c>
      <c r="F14082" s="9"/>
    </row>
    <row r="14083" ht="33.75" customHeight="1">
      <c r="A14083" s="7">
        <v>815.0</v>
      </c>
      <c r="B14083" s="9" t="s">
        <v>19127</v>
      </c>
      <c r="C14083" s="9" t="s">
        <v>19128</v>
      </c>
      <c r="D14083" s="9" t="s">
        <v>114</v>
      </c>
      <c r="E14083" s="6" t="s">
        <v>19129</v>
      </c>
      <c r="F14083" t="inlineStr" s="10">
        <is>
          <t xml:space="preserve">Cinderace jonglööraa kiveä jaloillaan muuttaen sen palavaksi jalkapalloksi. Sen laukaukset osuvat vastustajiin lujaa ja polttavat heidät. Se on taitava sekä hyökkäyksessä että puolustuksessa, ja se saa energiaa kannustuksesta. Mutta jos se alkaa näyttäytyä, se voi joutua vaikeaan tilanteeseen.</t>
        </is>
      </c>
    </row>
    <row r="14084" ht="33.75" customHeight="1">
      <c r="A14084" s="7">
        <v>815.0</v>
      </c>
      <c r="B14084" s="9" t="s">
        <v>19127</v>
      </c>
      <c r="C14084" s="9" t="s">
        <v>19128</v>
      </c>
      <c r="D14084" s="9" t="s">
        <v>117</v>
      </c>
      <c r="E14084" s="6" t="s">
        <v>19130</v>
      </c>
      <c r="F14084" s="9"/>
    </row>
    <row r="14085" ht="33.75" customHeight="1">
      <c r="A14085" s="7">
        <v>816.0</v>
      </c>
      <c r="B14085" s="9" t="s">
        <v>19131</v>
      </c>
      <c r="C14085" s="9" t="s">
        <v>19132</v>
      </c>
      <c r="D14085" s="9" t="s">
        <v>114</v>
      </c>
      <c r="E14085" s="6" t="s">
        <v>19133</v>
      </c>
      <c r="F14085" t="inlineStr" s="10">
        <is>
          <t xml:space="preserve">Pelästyessään tämä Pokémon itkee. Sen kyyneleet ovat kemiallisesti yhtä tehokkaita kuin 100 sipulia, eivätkä hyökkääjät pysty vastustamaan itkua. Kastuessaan sen iho vaihtaa väriä, ja tästä Pokémonista tulee näkymätön ikään kuin se olisi naamioitu.</t>
        </is>
      </c>
    </row>
    <row r="14086" ht="33.75" customHeight="1">
      <c r="A14086" s="7">
        <v>816.0</v>
      </c>
      <c r="B14086" s="9" t="s">
        <v>19131</v>
      </c>
      <c r="C14086" s="9" t="s">
        <v>19132</v>
      </c>
      <c r="D14086" s="9" t="s">
        <v>117</v>
      </c>
      <c r="E14086" s="6" t="s">
        <v>19134</v>
      </c>
      <c r="F14086" s="9"/>
    </row>
    <row r="14087" ht="33.75" customHeight="1">
      <c r="A14087" s="7">
        <v>817.0</v>
      </c>
      <c r="B14087" s="9" t="s">
        <v>19135</v>
      </c>
      <c r="C14087" s="9" t="s">
        <v>19132</v>
      </c>
      <c r="D14087" s="9" t="s">
        <v>114</v>
      </c>
      <c r="E14087" s="6" t="s">
        <v>19136</v>
      </c>
      <c r="F14087" t="inlineStr" s="10">
        <is>
          <t xml:space="preserve">Tämä Pokémon on nokkela taistelija, joka taistelee käyttämällä vesipalloja, jotka on luotu Drizzilen kämmenistä erittyvästä kosteudesta. Erittäin älykäs mutta myös hyvin laiska, se pitää viholliset poissa reviiriltään asettamalla ansoja kaikkialle.</t>
        </is>
      </c>
    </row>
    <row r="14088" ht="33.75" customHeight="1">
      <c r="A14088" s="7">
        <v>817.0</v>
      </c>
      <c r="B14088" s="9" t="s">
        <v>19135</v>
      </c>
      <c r="C14088" s="9" t="s">
        <v>19132</v>
      </c>
      <c r="D14088" s="9" t="s">
        <v>117</v>
      </c>
      <c r="E14088" s="6" t="s">
        <v>19137</v>
      </c>
      <c r="F14088" s="9"/>
    </row>
    <row r="14089" ht="33.75" customHeight="1">
      <c r="A14089" s="7">
        <v>818.0</v>
      </c>
      <c r="B14089" s="9" t="s">
        <v>19138</v>
      </c>
      <c r="C14089" s="9" t="s">
        <v>19139</v>
      </c>
      <c r="D14089" s="9" t="s">
        <v>114</v>
      </c>
      <c r="E14089" s="6" t="s">
        <v>19140</v>
      </c>
      <c r="F14089" t="inlineStr" s="10">
        <is>
          <t xml:space="preserve">Sillä on monia piilotettuja ominaisuuksia, kuten sormenpäät, joilla se voi ampua vettä, ja selässä oleva kalvo, jota se voi käyttää liukumiseen ilmassa. Sen vilkkukalvot antavat sen tunnistaa vihollisten heikot kohdat, jotta se voi ampua niitä tarkasti sormenpäistään Mach 3 -nopeudella suihkuavalla vedellä.</t>
        </is>
      </c>
    </row>
    <row r="14090" ht="33.75" customHeight="1">
      <c r="A14090" s="7">
        <v>818.0</v>
      </c>
      <c r="B14090" s="9" t="s">
        <v>19138</v>
      </c>
      <c r="C14090" s="9" t="s">
        <v>19139</v>
      </c>
      <c r="D14090" s="9" t="s">
        <v>117</v>
      </c>
      <c r="E14090" s="6" t="s">
        <v>19141</v>
      </c>
      <c r="F14090" s="9"/>
    </row>
    <row r="14091" ht="33.75" customHeight="1">
      <c r="A14091" s="7">
        <v>819.0</v>
      </c>
      <c r="B14091" s="9" t="s">
        <v>19143</v>
      </c>
      <c r="C14091" s="9" t="s">
        <v>19144</v>
      </c>
      <c r="D14091" s="9" t="s">
        <v>114</v>
      </c>
      <c r="E14091" s="6" t="s">
        <v>19145</v>
      </c>
      <c r="F14091" t="inlineStr" s="10">
        <is>
          <t xml:space="preserve">Tätä Galarin alueella esiintyvää Pokémonia vaivaa, jos Skwovetin posket ovat kokonaan tyhjät marjoista. Se syö marjoja taukoamatta – tapa, joka on tehnyt siitä sitkeämmän kuin miltä se näyttää. Se ilmestyy maatiloille etsimään lisää marjoja.</t>
        </is>
      </c>
    </row>
    <row r="14092" ht="33.75" customHeight="1">
      <c r="A14092" s="7">
        <v>819.0</v>
      </c>
      <c r="B14092" s="9" t="s">
        <v>19143</v>
      </c>
      <c r="C14092" s="9" t="s">
        <v>19144</v>
      </c>
      <c r="D14092" s="9" t="s">
        <v>117</v>
      </c>
      <c r="E14092" s="6" t="s">
        <v>19146</v>
      </c>
      <c r="F14092" s="9"/>
    </row>
    <row r="14093" ht="33.75" customHeight="1">
      <c r="A14093" s="7">
        <v>820.0</v>
      </c>
      <c r="B14093" s="9" t="s">
        <v>19147</v>
      </c>
      <c r="C14093" s="9" t="s">
        <v>19148</v>
      </c>
      <c r="D14093" s="9" t="s">
        <v>114</v>
      </c>
      <c r="E14093" s="6" t="s">
        <v>19149</v>
      </c>
      <c r="F14093" t="inlineStr" s="10">
        <is>
          <t xml:space="preserve">Greedent kätkee marjoja pyrstöönsä – niin paljon marjoja, että ne putoavat ulos jatkuvasti. Mutta tämä Pokémon on hieman hidasälyinen, joten se ei huomaa niiden katoamista. Galarin alueella yleinen Pokémon, jolla on vahvat hampaat ja joka voi pureskella läpi kovimpienkin marjojen kuorien.</t>
        </is>
      </c>
    </row>
    <row r="14094" ht="33.75" customHeight="1">
      <c r="A14094" s="7">
        <v>820.0</v>
      </c>
      <c r="B14094" s="9" t="s">
        <v>19147</v>
      </c>
      <c r="C14094" s="9" t="s">
        <v>19148</v>
      </c>
      <c r="D14094" s="9" t="s">
        <v>117</v>
      </c>
      <c r="E14094" s="6" t="s">
        <v>19150</v>
      </c>
      <c r="F14094" s="9"/>
    </row>
    <row r="14095" ht="33.75" customHeight="1">
      <c r="A14095" s="7">
        <v>821.0</v>
      </c>
      <c r="B14095" s="9" t="s">
        <v>19151</v>
      </c>
      <c r="C14095" s="9" t="s">
        <v>1041</v>
      </c>
      <c r="D14095" s="9" t="s">
        <v>114</v>
      </c>
      <c r="E14095" s="6" t="s">
        <v>19152</v>
      </c>
      <c r="F14095" t="inlineStr" s="10">
        <is>
          <t xml:space="preserve">Rookidee haastaa rohkeasti minkä tahansa vastustajan, olipa tämä kuinka voimakas tahansa. Tämä Pokémon hyötyy jokaisesta taistelusta – jopa tappio lisää sen voimaa hieman. Ketterästi hyppivä pienikokoinen Pokémon hyödyntää pienimmätkin tilaisuudet hämmentääkseen suurempia vastustajia.</t>
        </is>
      </c>
    </row>
    <row r="14096" ht="33.75" customHeight="1">
      <c r="A14096" s="7">
        <v>821.0</v>
      </c>
      <c r="B14096" s="9" t="s">
        <v>19151</v>
      </c>
      <c r="C14096" s="9" t="s">
        <v>1041</v>
      </c>
      <c r="D14096" s="9" t="s">
        <v>117</v>
      </c>
      <c r="E14096" s="6" t="s">
        <v>19153</v>
      </c>
      <c r="F14096" s="9"/>
    </row>
    <row r="14097" ht="33.75" customHeight="1">
      <c r="A14097" s="7">
        <v>822.0</v>
      </c>
      <c r="B14097" s="9" t="s">
        <v>19154</v>
      </c>
      <c r="C14097" s="9" t="s">
        <v>19155</v>
      </c>
      <c r="D14097" s="9" t="s">
        <v>114</v>
      </c>
      <c r="E14097" s="6" t="s">
        <v>19156</v>
      </c>
      <c r="F14097" t="inlineStr" s="10">
        <is>
          <t xml:space="preserve">Nämä Pokémonit ovat tarpeeksi älykkäitä käyttämään työkaluja taistelussa, ja heidän on nähty poimivan kiviä ja heittelevän niitä tai käyttävän köysiä vihollisten käärimiseen. Monien ankarien taisteluiden opetukset ovat opettaneet sille, miten vastustajan vahvuus arvioidaan tarkasti.</t>
        </is>
      </c>
    </row>
    <row r="14098" ht="33.75" customHeight="1">
      <c r="A14098" s="7">
        <v>822.0</v>
      </c>
      <c r="B14098" s="9" t="s">
        <v>19154</v>
      </c>
      <c r="C14098" s="9" t="s">
        <v>19155</v>
      </c>
      <c r="D14098" s="9" t="s">
        <v>117</v>
      </c>
      <c r="E14098" s="6" t="s">
        <v>19157</v>
      </c>
      <c r="F14098" s="9"/>
    </row>
    <row r="14099" ht="33.75" customHeight="1">
      <c r="A14099" s="7">
        <v>823.0</v>
      </c>
      <c r="B14099" s="9" t="s">
        <v>19158</v>
      </c>
      <c r="C14099" s="9" t="s">
        <v>19155</v>
      </c>
      <c r="D14099" s="9" t="s">
        <v>114</v>
      </c>
      <c r="E14099" s="6" t="s">
        <v>19159</v>
      </c>
      <c r="F14099" t="inlineStr" s="10">
        <is>
          <t xml:space="preserve">Tämä Pokémon hallitsee Galarin alueen taivaita. Sen teräsrungon musta kiilto voi ajaa kauhun minkä tahansa vihollisen sydämeen. Suuren älykkyytensä ja lentokykyjensä ansiosta nämä Pokémonit toimivat erittäin menestyksekkäästi Galarin alueen ilmataksinapalveluina.</t>
        </is>
      </c>
    </row>
    <row r="14100" ht="33.75" customHeight="1">
      <c r="A14100" s="7">
        <v>823.0</v>
      </c>
      <c r="B14100" s="9" t="s">
        <v>19158</v>
      </c>
      <c r="C14100" s="9" t="s">
        <v>19155</v>
      </c>
      <c r="D14100" s="9" t="s">
        <v>117</v>
      </c>
      <c r="E14100" s="6" t="s">
        <v>19160</v>
      </c>
      <c r="F14100" s="9"/>
    </row>
    <row r="14101" ht="33.75" customHeight="1">
      <c r="A14101" s="7">
        <v>824.0</v>
      </c>
      <c r="B14101" s="9" t="s">
        <v>19161</v>
      </c>
      <c r="C14101" s="9" t="s">
        <v>18581</v>
      </c>
      <c r="D14101" s="9" t="s">
        <v>114</v>
      </c>
      <c r="E14101" s="6" t="s">
        <v>19162</v>
      </c>
      <c r="F14101" t="inlineStr" s="10">
        <is>
          <t xml:space="preserve">Jatkuva tiedonkerääjänä tämä Pokémon on erittäin älykäs. Erittäin vahva se ei kuitenkaan ole. Usein puutarhoissa tavattavalla Pokémonilla on kehossaan karvoja, joita se käyttää ympäristönsä arvioimiseen.</t>
        </is>
      </c>
    </row>
    <row r="14102" ht="33.75" customHeight="1">
      <c r="A14102" s="7">
        <v>824.0</v>
      </c>
      <c r="B14102" s="9" t="s">
        <v>19161</v>
      </c>
      <c r="C14102" s="9" t="s">
        <v>18581</v>
      </c>
      <c r="D14102" s="9" t="s">
        <v>117</v>
      </c>
      <c r="E14102" s="6" t="s">
        <v>19163</v>
      </c>
      <c r="F14102" s="9"/>
    </row>
    <row r="14103" ht="33.75" customHeight="1">
      <c r="A14103" s="7">
        <v>825.0</v>
      </c>
      <c r="B14103" s="9" t="s">
        <v>19164</v>
      </c>
      <c r="C14103" s="9" t="s">
        <v>19165</v>
      </c>
      <c r="D14103" s="9" t="s">
        <v>114</v>
      </c>
      <c r="E14103" s="6" t="s">
        <v>19166</v>
      </c>
      <c r="F14103" t="inlineStr" s="10">
        <is>
          <t xml:space="preserve">Dottler tuskin liikkuu, mutta on silti elossa. Piiloutuminen kuoressaan ilman ruokaa tai vettä näyttää herättäneen sen psyykkiset voimat. Kasvaessaan kuorensa sisällä se käyttää psyykkisiä kykyjään ulkomaailman tarkkailuun ja evoluutioon valmistautumiseen.</t>
        </is>
      </c>
    </row>
    <row r="14104" ht="33.75" customHeight="1">
      <c r="A14104" s="7">
        <v>825.0</v>
      </c>
      <c r="B14104" s="9" t="s">
        <v>19164</v>
      </c>
      <c r="C14104" s="9" t="s">
        <v>19165</v>
      </c>
      <c r="D14104" s="9" t="s">
        <v>117</v>
      </c>
      <c r="E14104" s="6" t="s">
        <v>19167</v>
      </c>
      <c r="F14104" s="9"/>
    </row>
    <row r="14105" ht="33.75" customHeight="1">
      <c r="A14105" s="7">
        <v>826.0</v>
      </c>
      <c r="B14105" s="9" t="s">
        <v>19168</v>
      </c>
      <c r="C14105" s="9" t="s">
        <v>19169</v>
      </c>
      <c r="D14105" s="9" t="s">
        <v>114</v>
      </c>
      <c r="E14105" s="6" t="s">
        <v>19171</v>
      </c>
      <c r="F14105" t="inlineStr" s="10">
        <is>
          <t xml:space="preserve">Orbeetle on kuuluisa korkeasta älykkyydestään, ja sen aivojen suuri koko on todiste siitä, että sillä on myös valtava psyykkinen voima. Se säteilee psyykkistä energiaa havainnoidakseen ja tutkiakseen ympäristöään – ja sen ympäristö voi sisältää yli kuuden mailin päässä olevia asioita.</t>
        </is>
      </c>
    </row>
    <row r="14106" ht="33.75" customHeight="1">
      <c r="A14106" s="7">
        <v>826.0</v>
      </c>
      <c r="B14106" s="9" t="s">
        <v>19168</v>
      </c>
      <c r="C14106" s="9" t="s">
        <v>19169</v>
      </c>
      <c r="D14106" s="9" t="s">
        <v>117</v>
      </c>
      <c r="E14106" s="6" t="s">
        <v>19172</v>
      </c>
      <c r="F14106" s="9"/>
    </row>
    <row r="14107" ht="33.75" customHeight="1">
      <c r="A14107" s="7">
        <v>827.0</v>
      </c>
      <c r="B14107" s="9" t="s">
        <v>19173</v>
      </c>
      <c r="C14107" s="9" t="s">
        <v>2247</v>
      </c>
      <c r="D14107" s="9" t="s">
        <v>114</v>
      </c>
      <c r="E14107" s="6" t="s">
        <v>19174</v>
      </c>
      <c r="F14107" t="inlineStr" s="10">
        <is>
          <t xml:space="preserve">Pehmeiden tassujensa avulla se ryöstää äänettömästi muiden Pokémonien ruokavarastoja. Se selviytyy epäreilusti hankkimillaan saaliilla. Tämä viekas ja varovainen Pokémon selviää varastamalla ruokaa muilta. Se pyyhkii jälkensä pois hännänheilautuksilla lähtiessään karkuun saaliinsa kanssa.</t>
        </is>
      </c>
    </row>
    <row r="14108" ht="33.75" customHeight="1">
      <c r="A14108" s="7">
        <v>827.0</v>
      </c>
      <c r="B14108" s="9" t="s">
        <v>19173</v>
      </c>
      <c r="C14108" s="9" t="s">
        <v>2247</v>
      </c>
      <c r="D14108" s="9" t="s">
        <v>117</v>
      </c>
      <c r="E14108" s="6" t="s">
        <v>19175</v>
      </c>
      <c r="F14108" s="9"/>
    </row>
    <row r="14109" ht="33.75" customHeight="1">
      <c r="A14109" s="7">
        <v>828.0</v>
      </c>
      <c r="B14109" s="9" t="s">
        <v>19176</v>
      </c>
      <c r="C14109" s="9" t="s">
        <v>2247</v>
      </c>
      <c r="D14109" s="9" t="s">
        <v>114</v>
      </c>
      <c r="E14109" s="6" t="s">
        <v>19177</v>
      </c>
      <c r="F14109" t="inlineStr" s="10">
        <is>
          <t xml:space="preserve">Thievul merkitsee salaa potentiaaliset kohteet hajulla. Seuraamalla hajua se vaanii kohteitaan ja varastaa heiltä juuri silloin, kun he sitä vähiten odottavat. Notkean ruumiinsa ja terävien kynsiensä ansiosta se kulkee ympäriinsä varastaen ruokaa ja munia. Boltund on sen luontainen vihollinen.</t>
        </is>
      </c>
    </row>
    <row r="14110" ht="33.75" customHeight="1">
      <c r="A14110" s="7">
        <v>828.0</v>
      </c>
      <c r="B14110" s="9" t="s">
        <v>19176</v>
      </c>
      <c r="C14110" s="9" t="s">
        <v>2247</v>
      </c>
      <c r="D14110" s="9" t="s">
        <v>117</v>
      </c>
      <c r="E14110" s="6" t="s">
        <v>19178</v>
      </c>
      <c r="F14110" s="9"/>
    </row>
    <row r="14111" ht="33.75" customHeight="1">
      <c r="A14111" s="7">
        <v>829.0</v>
      </c>
      <c r="B14111" s="9" t="s">
        <v>19179</v>
      </c>
      <c r="C14111" s="9" t="s">
        <v>15922</v>
      </c>
      <c r="D14111" s="9" t="s">
        <v>114</v>
      </c>
      <c r="E14111" s="6" t="s">
        <v>19180</v>
      </c>
      <c r="F14111" t="inlineStr" s="10">
        <is>
          <t xml:space="preserve">Gossifleur ankkuroi itsensä maahan yhdellä jalallaan ja paistattelee sitten auringossa. Saatuaan riittävästi auringonvaloa sen terälehdet leviävät ja se kukkii loistokkaasti. Se pyörii tuulessa laulaen iloista laulua. Tämä ihastuttava esitys on hurmannut monia kasvattamaan tämän Pokémonin.</t>
        </is>
      </c>
    </row>
    <row r="14112" ht="33.75" customHeight="1">
      <c r="A14112" s="7">
        <v>829.0</v>
      </c>
      <c r="B14112" s="9" t="s">
        <v>19179</v>
      </c>
      <c r="C14112" s="9" t="s">
        <v>15922</v>
      </c>
      <c r="D14112" s="9" t="s">
        <v>117</v>
      </c>
      <c r="E14112" s="6" t="s">
        <v>19181</v>
      </c>
      <c r="F14112" s="9"/>
    </row>
    <row r="14113" ht="33.75" customHeight="1">
      <c r="A14113" s="7">
        <v>830.0</v>
      </c>
      <c r="B14113" s="9" t="s">
        <v>19182</v>
      </c>
      <c r="C14113" s="9" t="s">
        <v>19183</v>
      </c>
      <c r="D14113" s="9" t="s">
        <v>114</v>
      </c>
      <c r="E14113" s="6" t="s">
        <v>19184</v>
      </c>
      <c r="F14113" t="inlineStr" s="10">
        <is>
          <t xml:space="preserve">Eldegossin puuvillanöyhtään kiinnittyneet siemenet ovat täynnä ravinteita. Se levittää niitä tuulen mukana, jotta kasvit ja muut Pokémonit voivat hyötyä niistä. Tämän Pokémonin päässä olevasta puuvillasta voidaan kehrätä kiiltävää, upeaa lankaa – Galarin alueellista erikoisuutta.</t>
        </is>
      </c>
    </row>
    <row r="14114" ht="33.75" customHeight="1">
      <c r="A14114" s="7">
        <v>830.0</v>
      </c>
      <c r="B14114" s="9" t="s">
        <v>19182</v>
      </c>
      <c r="C14114" s="9" t="s">
        <v>19183</v>
      </c>
      <c r="D14114" s="9" t="s">
        <v>117</v>
      </c>
      <c r="E14114" s="6" t="s">
        <v>19185</v>
      </c>
      <c r="F14114" s="9"/>
    </row>
    <row r="14115" ht="33.75" customHeight="1">
      <c r="A14115" s="7">
        <v>831.0</v>
      </c>
      <c r="B14115" s="9" t="s">
        <v>19186</v>
      </c>
      <c r="C14115" s="9" t="s">
        <v>19187</v>
      </c>
      <c r="D14115" s="9" t="s">
        <v>114</v>
      </c>
      <c r="E14115" s="6" t="s">
        <v>19188</v>
      </c>
      <c r="F14115" t="inlineStr" s="10">
        <is>
          <t xml:space="preserve">Wooloon kihara fleece on niin tehokas tyyny, että tämä Pokémon voi pudota kalliolta ja nousta takaisin alhaalta vahingoittumattomana. Jos sen fleece kasvaa liian pitkäksi, Wooloo ei pysty liikkumaan. Tämän Pokémonin villasta tehty kangas on yllättävän vahvaa.</t>
        </is>
      </c>
    </row>
    <row r="14116" ht="33.75" customHeight="1">
      <c r="A14116" s="7">
        <v>831.0</v>
      </c>
      <c r="B14116" s="9" t="s">
        <v>19186</v>
      </c>
      <c r="C14116" s="9" t="s">
        <v>19187</v>
      </c>
      <c r="D14116" s="9" t="s">
        <v>117</v>
      </c>
      <c r="E14116" s="6" t="s">
        <v>19189</v>
      </c>
      <c r="F14116" s="9"/>
    </row>
    <row r="14117" ht="33.75" customHeight="1">
      <c r="A14117" s="7">
        <v>832.0</v>
      </c>
      <c r="B14117" s="9" t="s">
        <v>19190</v>
      </c>
      <c r="C14117" s="9" t="s">
        <v>19187</v>
      </c>
      <c r="D14117" s="9" t="s">
        <v>114</v>
      </c>
      <c r="E14117" s="6" t="s">
        <v>19191</v>
      </c>
      <c r="F14117" t="inlineStr" s="10">
        <is>
          <t xml:space="preserve">Kudo matto Dubwoolin joustavasta villasta, niin saat jotain lähemmäs trampoliinia. Alat pomppia heti, kun astut sille. Sen majesteettiset sarvet on tarkoitettu vain tekemään vaikutus vastakkaiseen sukupuoleen. Niille ei koskaan ole käyttöä taistelussa.</t>
        </is>
      </c>
    </row>
    <row r="14118" ht="33.75" customHeight="1">
      <c r="A14118" s="7">
        <v>832.0</v>
      </c>
      <c r="B14118" s="9" t="s">
        <v>19190</v>
      </c>
      <c r="C14118" s="9" t="s">
        <v>19187</v>
      </c>
      <c r="D14118" s="9" t="s">
        <v>117</v>
      </c>
      <c r="E14118" s="6" t="s">
        <v>19192</v>
      </c>
      <c r="F14118" s="9"/>
    </row>
    <row r="14119" ht="33.75" customHeight="1">
      <c r="A14119" s="7">
        <v>833.0</v>
      </c>
      <c r="B14119" s="9" t="s">
        <v>19193</v>
      </c>
      <c r="C14119" s="9" t="s">
        <v>19194</v>
      </c>
      <c r="D14119" s="9" t="s">
        <v>114</v>
      </c>
      <c r="E14119" s="6" t="s">
        <v>19195</v>
      </c>
      <c r="F14119" t="inlineStr" s="10">
        <is>
          <t xml:space="preserve">Ilmeisesti hampaiden puhkeamisen kutina ajaa Chewtlen napsahtamaan leukojaan kaikelle edessään olevalle. Se aloittaa taistelut hyökkäämällä kivikovalla sarvellaan, mutta heti kun vastustaja säpsähtää, tämä Pokémon puree alas eikä päästä irti.</t>
        </is>
      </c>
    </row>
    <row r="14120" ht="33.75" customHeight="1">
      <c r="A14120" s="7">
        <v>833.0</v>
      </c>
      <c r="B14120" s="9" t="s">
        <v>19193</v>
      </c>
      <c r="C14120" s="9" t="s">
        <v>19194</v>
      </c>
      <c r="D14120" s="9" t="s">
        <v>117</v>
      </c>
      <c r="E14120" s="6" t="s">
        <v>19197</v>
      </c>
      <c r="F14120" s="9"/>
    </row>
    <row r="14121" ht="33.75" customHeight="1">
      <c r="A14121" s="7">
        <v>834.0</v>
      </c>
      <c r="B14121" s="9" t="s">
        <v>19198</v>
      </c>
      <c r="C14121" s="9" t="s">
        <v>13861</v>
      </c>
      <c r="D14121" s="9" t="s">
        <v>114</v>
      </c>
      <c r="E14121" s="6" t="s">
        <v>19199</v>
      </c>
      <c r="F14121" t="inlineStr" s="10">
        <is>
          <t xml:space="preserve">Terästankojen läpi katkaisevilla leuoillaan tämä erittäin aggressiivinen Pokémon jyrää epäonnista saalistaan. Tämä Pokémon ojentaa nopeasti sisäänvedettävän kaulansa upottaakseen terävät kulmahampaansa kaukaisiin vihollisiin ja kaataakseen ne.</t>
        </is>
      </c>
    </row>
    <row r="14122" ht="33.75" customHeight="1">
      <c r="A14122" s="7">
        <v>834.0</v>
      </c>
      <c r="B14122" s="9" t="s">
        <v>19198</v>
      </c>
      <c r="C14122" s="9" t="s">
        <v>13861</v>
      </c>
      <c r="D14122" s="9" t="s">
        <v>117</v>
      </c>
      <c r="E14122" s="6" t="s">
        <v>19200</v>
      </c>
      <c r="F14122" s="9"/>
    </row>
    <row r="14123" ht="33.75" customHeight="1">
      <c r="A14123" s="7">
        <v>835.0</v>
      </c>
      <c r="B14123" s="9" t="s">
        <v>19201</v>
      </c>
      <c r="C14123" s="9" t="s">
        <v>3459</v>
      </c>
      <c r="D14123" s="9" t="s">
        <v>114</v>
      </c>
      <c r="E14123" s="6" t="s">
        <v>19202</v>
      </c>
      <c r="F14123" t="inlineStr" s="10">
        <is>
          <t xml:space="preserve">Tämä Pokémon on erittäin suosittu paimenkoira Galarin alueella. Juostessaan se tuottaa sähköä hännäntyvestä. Tämä ahne Pokémon auttaa ihmisiä töissä vain, koska se haluaa herkkuja. Juostessaan se rätisee sähköstä.</t>
        </is>
      </c>
    </row>
    <row r="14124" ht="33.75" customHeight="1">
      <c r="A14124" s="7">
        <v>835.0</v>
      </c>
      <c r="B14124" s="9" t="s">
        <v>19201</v>
      </c>
      <c r="C14124" s="9" t="s">
        <v>3459</v>
      </c>
      <c r="D14124" s="9" t="s">
        <v>117</v>
      </c>
      <c r="E14124" s="6" t="s">
        <v>19203</v>
      </c>
      <c r="F14124" s="9"/>
    </row>
    <row r="14125" ht="33.75" customHeight="1">
      <c r="A14125" s="7">
        <v>836.0</v>
      </c>
      <c r="B14125" s="9" t="s">
        <v>19204</v>
      </c>
      <c r="C14125" s="9" t="s">
        <v>19205</v>
      </c>
      <c r="D14125" s="9" t="s">
        <v>114</v>
      </c>
      <c r="E14125" s="6" t="s">
        <v>19206</v>
      </c>
      <c r="F14125" t="inlineStr" s="10">
        <is>
          <t xml:space="preserve">Tämä Pokémon tuottaa sähköä ja kanavoi sitä jalkoihinsa pitääkseen ne vahvoina. Boltund voi juosta tauotta kolme kokonaista päivää. Se lähettää sähköä jalkojensa kautta lisätäkseen niiden voimaa. Huippunopeudella se saavuttaa helposti 80 km/h nopeuden.</t>
        </is>
      </c>
    </row>
    <row r="14126" ht="33.75" customHeight="1">
      <c r="A14126" s="7">
        <v>836.0</v>
      </c>
      <c r="B14126" s="9" t="s">
        <v>19204</v>
      </c>
      <c r="C14126" s="9" t="s">
        <v>19205</v>
      </c>
      <c r="D14126" s="9" t="s">
        <v>117</v>
      </c>
      <c r="E14126" s="6" t="s">
        <v>19207</v>
      </c>
      <c r="F14126" s="9"/>
    </row>
    <row r="14127" ht="33.75" customHeight="1">
      <c r="A14127" s="7">
        <v>837.0</v>
      </c>
      <c r="B14127" s="9" t="s">
        <v>19208</v>
      </c>
      <c r="C14127" s="9" t="s">
        <v>14682</v>
      </c>
      <c r="D14127" s="9" t="s">
        <v>114</v>
      </c>
      <c r="E14127" s="6" t="s">
        <v>19209</v>
      </c>
      <c r="F14127" t="inlineStr" s="10">
        <is>
          <t xml:space="preserve">Suurin osa Rolycolyn ruumiista on koostumukseltaan samaa kuin kivihiilellä. Sopivasti tämä Pokémon löydettiin ensimmäisen kerran hiilikaivoksista noin 400 vuotta sitten. Se voi kiitää ympäriinsä kuin yksipyöräinen, jopa epätasaisessa, kivisessä maastossa. Hiilen palaminen pitää sen käynnissä.</t>
        </is>
      </c>
    </row>
    <row r="14128" ht="33.75" customHeight="1">
      <c r="A14128" s="7">
        <v>837.0</v>
      </c>
      <c r="B14128" s="9" t="s">
        <v>19208</v>
      </c>
      <c r="C14128" s="9" t="s">
        <v>14682</v>
      </c>
      <c r="D14128" s="9" t="s">
        <v>117</v>
      </c>
      <c r="E14128" s="6" t="s">
        <v>19210</v>
      </c>
      <c r="F14128" s="9"/>
    </row>
    <row r="14129" ht="33.75" customHeight="1">
      <c r="A14129" s="7">
        <v>838.0</v>
      </c>
      <c r="B14129" s="9" t="s">
        <v>19211</v>
      </c>
      <c r="C14129" s="9" t="s">
        <v>14682</v>
      </c>
      <c r="D14129" s="9" t="s">
        <v>114</v>
      </c>
      <c r="E14129" s="6" t="s">
        <v>19212</v>
      </c>
      <c r="F14129" t="inlineStr" s="10">
        <is>
          <t xml:space="preserve">Carkol muodostaa hiiltä kehossaan. Tämän Pokémonin pudottama hiili auttoi aikoinaan ruokkimaan Galarin alueen ihmisten elämää. Nopeasti jalkojaan pyörittämällä se voi kulkea yli 29 km/h nopeudella. Sen hengittämien liekkien lämpötila ylittää 700 celsiusastetta.</t>
        </is>
      </c>
    </row>
    <row r="14130" ht="33.75" customHeight="1">
      <c r="A14130" s="7">
        <v>838.0</v>
      </c>
      <c r="B14130" s="9" t="s">
        <v>19211</v>
      </c>
      <c r="C14130" s="9" t="s">
        <v>14682</v>
      </c>
      <c r="D14130" s="9" t="s">
        <v>117</v>
      </c>
      <c r="E14130" s="6" t="s">
        <v>19213</v>
      </c>
      <c r="F14130" s="9"/>
    </row>
    <row r="14131" ht="33.75" customHeight="1">
      <c r="A14131" s="7">
        <v>839.0</v>
      </c>
      <c r="B14131" s="9" t="s">
        <v>19214</v>
      </c>
      <c r="C14131" s="9" t="s">
        <v>14682</v>
      </c>
      <c r="D14131" s="9" t="s">
        <v>114</v>
      </c>
      <c r="E14131" s="6" t="s">
        <v>19215</v>
      </c>
      <c r="F14131" t="inlineStr" s="10">
        <is>
          <t xml:space="preserve">Yleensä siellä on rauhallista, mutta kaivosten vandalismi raivostuttaa. Rikkojat poltetaan liekeissä, joiden lämpötila nousee 2 700 celsiusasteeseen. Taistelun aikana sen hiilivuori hehkuu kirkkaan punaisena ja lähettää kipinöitä, jotka polttavat ympäröivän alueen.</t>
        </is>
      </c>
    </row>
    <row r="14132" ht="33.75" customHeight="1">
      <c r="A14132" s="7">
        <v>839.0</v>
      </c>
      <c r="B14132" s="9" t="s">
        <v>19214</v>
      </c>
      <c r="C14132" s="9" t="s">
        <v>14682</v>
      </c>
      <c r="D14132" s="9" t="s">
        <v>117</v>
      </c>
      <c r="E14132" s="6" t="s">
        <v>19216</v>
      </c>
      <c r="F14132" s="9"/>
    </row>
    <row r="14133" ht="33.75" customHeight="1">
      <c r="A14133" s="7">
        <v>840.0</v>
      </c>
      <c r="B14133" s="9" t="s">
        <v>19217</v>
      </c>
      <c r="C14133" s="9" t="s">
        <v>19218</v>
      </c>
      <c r="D14133" s="9" t="s">
        <v>114</v>
      </c>
      <c r="E14133" s="6" t="s">
        <v>19220</v>
      </c>
      <c r="F14133" t="inlineStr" s="10">
        <is>
          <t xml:space="preserve">Applin viettää koko elämänsä omenan sisällä. Se piiloutuu luonnollisilta vihollisiltaan, lintu-Pokémoneilta, teeskentelemällä olevansa vain omena eikä mitään muuta. Heti syntyttyään se kaivautuu omenaan. Omena ei ainoastaan ​​toimi sen ravinnonlähteenä, vaan hedelmän maku määrää sen kehityksen.</t>
        </is>
      </c>
    </row>
    <row r="14134" ht="33.75" customHeight="1">
      <c r="A14134" s="7">
        <v>840.0</v>
      </c>
      <c r="B14134" s="9" t="s">
        <v>19217</v>
      </c>
      <c r="C14134" s="9" t="s">
        <v>19218</v>
      </c>
      <c r="D14134" s="9" t="s">
        <v>117</v>
      </c>
      <c r="E14134" s="6" t="s">
        <v>19221</v>
      </c>
      <c r="F14134" s="9"/>
    </row>
    <row r="14135" ht="33.75" customHeight="1">
      <c r="A14135" s="7">
        <v>841.0</v>
      </c>
      <c r="B14135" s="9" t="s">
        <v>19222</v>
      </c>
      <c r="C14135" s="9" t="s">
        <v>19223</v>
      </c>
      <c r="D14135" s="9" t="s">
        <v>114</v>
      </c>
      <c r="E14135" s="6" t="s">
        <v>19224</v>
      </c>
      <c r="F14135" t="inlineStr" s="10">
        <is>
          <t xml:space="preserve">Flapple söi happaman omenan, ja se käynnisti sen evoluution. Sen poskissa on happoa, joka voi aiheuttaa kemiallisia palovammoja. Se lentää omenankuoren siivillä ja sylkee voimakasta happoa. Se voi myös muuttaa muotoaan omenan muotoiseksi.</t>
        </is>
      </c>
    </row>
    <row r="14136" ht="33.75" customHeight="1">
      <c r="A14136" s="7">
        <v>841.0</v>
      </c>
      <c r="B14136" s="9" t="s">
        <v>19222</v>
      </c>
      <c r="C14136" s="9" t="s">
        <v>19223</v>
      </c>
      <c r="D14136" s="9" t="s">
        <v>117</v>
      </c>
      <c r="E14136" s="6" t="s">
        <v>19225</v>
      </c>
      <c r="F14136" s="9"/>
    </row>
    <row r="14137" ht="33.75" customHeight="1">
      <c r="A14137" s="7">
        <v>842.0</v>
      </c>
      <c r="B14137" s="9" t="s">
        <v>19226</v>
      </c>
      <c r="C14137" s="9" t="s">
        <v>19227</v>
      </c>
      <c r="D14137" s="9" t="s">
        <v>114</v>
      </c>
      <c r="E14137" s="6" t="s">
        <v>19228</v>
      </c>
      <c r="F14137" t="inlineStr" s="10">
        <is>
          <t xml:space="preserve">Makean omenan syöminen johti Appletunin evoluutioon. Sen kehosta leijuu mekkäinen tuoksu, joka houkuttelee puoleensa sen saalistaman ötökkä-Pokémonin. Sen ruumis on peittynyt makeaan nektariin, ja sen selän nahka on erityisen herkullinen. Lapset söivät sitä ennen välipalana.</t>
        </is>
      </c>
    </row>
    <row r="14138" ht="33.75" customHeight="1">
      <c r="A14138" s="7">
        <v>842.0</v>
      </c>
      <c r="B14138" s="9" t="s">
        <v>19226</v>
      </c>
      <c r="C14138" s="9" t="s">
        <v>19227</v>
      </c>
      <c r="D14138" s="9" t="s">
        <v>117</v>
      </c>
      <c r="E14138" s="6" t="s">
        <v>19229</v>
      </c>
      <c r="F14138" s="9"/>
    </row>
    <row r="14139" ht="33.75" customHeight="1">
      <c r="A14139" s="7">
        <v>843.0</v>
      </c>
      <c r="B14139" s="9" t="s">
        <v>19230</v>
      </c>
      <c r="C14139" s="9" t="s">
        <v>19231</v>
      </c>
      <c r="D14139" s="9" t="s">
        <v>114</v>
      </c>
      <c r="E14139" s="6" t="s">
        <v>19232</v>
      </c>
      <c r="F14139" t="inlineStr" s="10">
        <is>
          <t xml:space="preserve">Kaivaessaan se nielee hiekkaa ja varastoi Silicobran kaulapussiinsa. Pussiin mahtuu yli 7,5 kiloa hiekkaa. Se sylkee hiekkaa sieraimistaan. Vihollisen ollessa sokaistunut se kaivautuu maahan piiloutuakseen.</t>
        </is>
      </c>
    </row>
    <row r="14140" ht="33.75" customHeight="1">
      <c r="A14140" s="7">
        <v>843.0</v>
      </c>
      <c r="B14140" s="9" t="s">
        <v>19230</v>
      </c>
      <c r="C14140" s="9" t="s">
        <v>19231</v>
      </c>
      <c r="D14140" s="9" t="s">
        <v>117</v>
      </c>
      <c r="E14140" s="6" t="s">
        <v>19233</v>
      </c>
      <c r="F14140" s="9"/>
    </row>
    <row r="14141" ht="33.75" customHeight="1">
      <c r="A14141" s="7">
        <v>844.0</v>
      </c>
      <c r="B14141" s="9" t="s">
        <v>19234</v>
      </c>
      <c r="C14141" s="9" t="s">
        <v>19231</v>
      </c>
      <c r="D14141" s="9" t="s">
        <v>114</v>
      </c>
      <c r="E14141" s="6" t="s">
        <v>19235</v>
      </c>
      <c r="F14141" t="inlineStr" s="10">
        <is>
          <t xml:space="preserve">Kun se supistaa ruumistaan, Sandacondan kuonosta suihkuaa yli 100 kiloa hiekkaa. Jos hiekka loppuu, se lannistuu. Sen ainutlaatuinen kelaustapa mahdollistaa hiekan tehokkaamman puhaltamisen hiekkapussistaan.</t>
        </is>
      </c>
    </row>
    <row r="14142" ht="33.75" customHeight="1">
      <c r="A14142" s="7">
        <v>844.0</v>
      </c>
      <c r="B14142" s="9" t="s">
        <v>19234</v>
      </c>
      <c r="C14142" s="9" t="s">
        <v>19231</v>
      </c>
      <c r="D14142" s="9" t="s">
        <v>117</v>
      </c>
      <c r="E14142" s="6" t="s">
        <v>19236</v>
      </c>
      <c r="F14142" s="9"/>
    </row>
    <row r="14143" ht="33.75" customHeight="1">
      <c r="A14143" s="7">
        <v>845.0</v>
      </c>
      <c r="B14143" s="9" t="s">
        <v>19237</v>
      </c>
      <c r="C14143" s="9" t="s">
        <v>19238</v>
      </c>
      <c r="D14143" s="9" t="s">
        <v>114</v>
      </c>
      <c r="E14143" s="6" t="s">
        <v>19239</v>
      </c>
      <c r="F14143" t="inlineStr" s="10">
        <is>
          <t xml:space="preserve">Cramorant on niin vahva, että se voi tyrmätä vastustajia yhdellä iskulla, mutta se saattaa myös unohtaa kesken taistelun, mitä vastaan ​​se taistelee. Tämä nälkäinen Pokémon nielee Arrokudan kokonaisena. Toisinaan se tekee virheen ja yrittää niellä muun Pokémonin kuin suosikkisaaliinsa.</t>
        </is>
      </c>
    </row>
    <row r="14144" ht="33.75" customHeight="1">
      <c r="A14144" s="7">
        <v>845.0</v>
      </c>
      <c r="B14144" s="9" t="s">
        <v>19237</v>
      </c>
      <c r="C14144" s="9" t="s">
        <v>19238</v>
      </c>
      <c r="D14144" s="9" t="s">
        <v>117</v>
      </c>
      <c r="E14144" s="6" t="s">
        <v>19241</v>
      </c>
      <c r="F14144" s="9"/>
    </row>
    <row r="14145" ht="33.75" customHeight="1">
      <c r="A14145" s="7">
        <v>846.0</v>
      </c>
      <c r="B14145" s="9" t="s">
        <v>19242</v>
      </c>
      <c r="C14145" s="9" t="s">
        <v>19243</v>
      </c>
      <c r="D14145" s="9" t="s">
        <v>114</v>
      </c>
      <c r="E14145" s="6" t="s">
        <v>19244</v>
      </c>
      <c r="F14145" t="inlineStr" s="10">
        <is>
          <t xml:space="preserve">Jos se näkee liikettä ympärillään, tämä Pokémon ryntää Arrokudan kimppuun heti teräväkärkisellä leuallaan edellä. Se on erittäin ylpeä leuastaan. Kun se on syönyt vatsansa täyteen, sen liikkeet hidastuvat äärimmäisen hitaasti. Silloin Cramorant nielaisee sen.</t>
        </is>
      </c>
    </row>
    <row r="14146" ht="33.75" customHeight="1">
      <c r="A14146" s="7">
        <v>846.0</v>
      </c>
      <c r="B14146" s="9" t="s">
        <v>19242</v>
      </c>
      <c r="C14146" s="9" t="s">
        <v>19243</v>
      </c>
      <c r="D14146" s="9" t="s">
        <v>117</v>
      </c>
      <c r="E14146" s="6" t="s">
        <v>19245</v>
      </c>
      <c r="F14146" s="9"/>
    </row>
    <row r="14147" ht="33.75" customHeight="1">
      <c r="A14147" s="7">
        <v>847.0</v>
      </c>
      <c r="B14147" s="9" t="s">
        <v>19246</v>
      </c>
      <c r="C14147" s="9" t="s">
        <v>19247</v>
      </c>
      <c r="D14147" s="9" t="s">
        <v>114</v>
      </c>
      <c r="E14147" s="6" t="s">
        <v>19248</v>
      </c>
      <c r="F14147" t="inlineStr" s="10">
        <is>
          <t xml:space="preserve">Tämän Pokémonin leuka on terävä kuin keihäs ja vahva kuin teräs. Ilmeisesti myös Barraskewdan liha on yllättävän maukasta. Se pyörittää pyrstöeviään liikkuakseen eteenpäin, syöksyy eteenpäin yli 100 solmun nopeudella ennen kuin törmää saaliiseen ja iskee siihen.</t>
        </is>
      </c>
    </row>
    <row r="14148" ht="33.75" customHeight="1">
      <c r="A14148" s="7">
        <v>847.0</v>
      </c>
      <c r="B14148" s="9" t="s">
        <v>19246</v>
      </c>
      <c r="C14148" s="9" t="s">
        <v>19247</v>
      </c>
      <c r="D14148" s="9" t="s">
        <v>117</v>
      </c>
      <c r="E14148" s="6" t="s">
        <v>19249</v>
      </c>
      <c r="F14148" s="9"/>
    </row>
    <row r="14149" ht="33.75" customHeight="1">
      <c r="A14149" s="7">
        <v>848.0</v>
      </c>
      <c r="B14149" s="9" t="s">
        <v>19250</v>
      </c>
      <c r="C14149" s="9" t="s">
        <v>19251</v>
      </c>
      <c r="D14149" s="9" t="s">
        <v>114</v>
      </c>
      <c r="E14149" s="6" t="s">
        <v>19252</v>
      </c>
      <c r="F14149" t="inlineStr" s="10">
        <is>
          <t xml:space="preserve">Toxel varastoi myrkkyä sisäiseen myrkkypussiin ja erittää sitä ihonsa läpi. Jos kosket tähän Pokémoniin, tunnet kihelmöintiä. Se muokkaa myrkkynsä kemiallista koostumusta tuottaakseen sähköä. Jännite on heikko, mutta se voi aiheuttaa kihelmöivän halvaantumisen.</t>
        </is>
      </c>
    </row>
    <row r="14150" ht="33.75" customHeight="1">
      <c r="A14150" s="7">
        <v>848.0</v>
      </c>
      <c r="B14150" s="9" t="s">
        <v>19250</v>
      </c>
      <c r="C14150" s="9" t="s">
        <v>19251</v>
      </c>
      <c r="D14150" s="9" t="s">
        <v>117</v>
      </c>
      <c r="E14150" s="6" t="s">
        <v>19254</v>
      </c>
      <c r="F14150" s="9"/>
    </row>
    <row r="14151" ht="33.75" customHeight="1">
      <c r="A14151" s="7">
        <v>849.0</v>
      </c>
      <c r="B14151" s="9" t="s">
        <v>19255</v>
      </c>
      <c r="C14151" s="9" t="s">
        <v>19256</v>
      </c>
      <c r="D14151" s="9" t="s">
        <v>114</v>
      </c>
      <c r="E14151" s="6" t="s">
        <v>19257</v>
      </c>
      <c r="F14151" t="inlineStr" s="10">
        <is>
          <t xml:space="preserve">Kun tämä Pokémon kuulostaa siltä kuin se näppäilisi kitaraa, se itse asiassa raapii rintansa ulokkeita tuottaakseen sähköä. Tämä äkkipikainen ja aggressiivinen Pokémon imee seisovaa vettä itseensä kaikki sen mahdolliset myrkyt.</t>
        </is>
      </c>
    </row>
    <row r="14152" ht="33.75" customHeight="1">
      <c r="A14152" s="7">
        <v>849.0</v>
      </c>
      <c r="B14152" s="9" t="s">
        <v>19255</v>
      </c>
      <c r="C14152" s="9" t="s">
        <v>19256</v>
      </c>
      <c r="D14152" s="9" t="s">
        <v>117</v>
      </c>
      <c r="E14152" s="6" t="s">
        <v>19258</v>
      </c>
      <c r="F14152" s="9"/>
    </row>
    <row r="14153" ht="33.75" customHeight="1">
      <c r="A14153" s="7">
        <v>850.0</v>
      </c>
      <c r="B14153" s="9" t="s">
        <v>19259</v>
      </c>
      <c r="C14153" s="9" t="s">
        <v>19260</v>
      </c>
      <c r="D14153" s="9" t="s">
        <v>114</v>
      </c>
      <c r="E14153" s="6" t="s">
        <v>19261</v>
      </c>
      <c r="F14153" t="inlineStr" s="10">
        <is>
          <t xml:space="preserve">Sizzlipede varastoi syttyvää kaasua kehoonsa ja käyttää sitä lämmön tuottamiseen. Sen vatsan keltaiset alueet kuumenevat erityisen kuumiksi. Se käärii saaliinsa kuumentuneeseen ruumiiseensa ja kypsentää ne kiemuroihinsa. Kun saalis on kypsää, se nakertelee sitä ahneesti viimeiseen palaan asti.</t>
        </is>
      </c>
    </row>
    <row r="14154" ht="33.75" customHeight="1">
      <c r="A14154" s="7">
        <v>850.0</v>
      </c>
      <c r="B14154" s="9" t="s">
        <v>19259</v>
      </c>
      <c r="C14154" s="9" t="s">
        <v>19260</v>
      </c>
      <c r="D14154" s="9" t="s">
        <v>117</v>
      </c>
      <c r="E14154" s="6" t="s">
        <v>19262</v>
      </c>
      <c r="F14154" s="9"/>
    </row>
    <row r="14155" ht="33.75" customHeight="1">
      <c r="A14155" s="7">
        <v>851.0</v>
      </c>
      <c r="B14155" s="9" t="s">
        <v>19263</v>
      </c>
      <c r="C14155" s="9" t="s">
        <v>19260</v>
      </c>
      <c r="D14155" s="9" t="s">
        <v>114</v>
      </c>
      <c r="E14155" s="6" t="s">
        <v>19265</v>
      </c>
      <c r="F14155" t="inlineStr" s="10">
        <is>
          <t xml:space="preserve">Kun se lämpenee, Centiskorchin ruumiinlämpötila nousee noin 600 celsiusasteeseen. Se lyö ruumistaan ​​kuin ruoska ja syöksyy vihollisia kohti. Vaikka sen palava ruumis on jo itsessään vaarallinen, tällä äärimmäisen vihamielisellä Pokémonilla on myös suuret ja erittäin terävät torahampaat.</t>
        </is>
      </c>
    </row>
    <row r="14156" ht="33.75" customHeight="1">
      <c r="A14156" s="7">
        <v>851.0</v>
      </c>
      <c r="B14156" s="9" t="s">
        <v>19263</v>
      </c>
      <c r="C14156" s="9" t="s">
        <v>19260</v>
      </c>
      <c r="D14156" s="9" t="s">
        <v>117</v>
      </c>
      <c r="E14156" s="6" t="s">
        <v>19266</v>
      </c>
      <c r="F14156" s="9"/>
    </row>
    <row r="14157" ht="33.75" customHeight="1">
      <c r="A14157" s="7">
        <v>852.0</v>
      </c>
      <c r="B14157" s="9" t="s">
        <v>19267</v>
      </c>
      <c r="C14157" s="9" t="s">
        <v>19268</v>
      </c>
      <c r="D14157" s="9" t="s">
        <v>114</v>
      </c>
      <c r="E14157" s="6" t="s">
        <v>19269</v>
      </c>
      <c r="F14157" t="inlineStr" s="10">
        <is>
          <t xml:space="preserve">Clobbopus on hyvin utelias, mutta sen tapa tutkia asioita on yrittää lyödä niitä lonkeroillaan. Ruoan etsintä tuo sen maihin. Sen lonkerot repeävät helposti irti, mutta se ei säikähdä silloin – se tietää niiden kasvavan takaisin. Se on suunnilleen yhtä älykäs kuin kolmevuotias.</t>
        </is>
      </c>
    </row>
    <row r="14158" ht="33.75" customHeight="1">
      <c r="A14158" s="7">
        <v>852.0</v>
      </c>
      <c r="B14158" s="9" t="s">
        <v>19267</v>
      </c>
      <c r="C14158" s="9" t="s">
        <v>19268</v>
      </c>
      <c r="D14158" s="9" t="s">
        <v>117</v>
      </c>
      <c r="E14158" s="6" t="s">
        <v>19270</v>
      </c>
      <c r="F14158" s="9"/>
    </row>
    <row r="14159" ht="33.75" customHeight="1">
      <c r="A14159" s="7">
        <v>853.0</v>
      </c>
      <c r="B14159" s="9" t="s">
        <v>19271</v>
      </c>
      <c r="C14159" s="9" t="s">
        <v>19272</v>
      </c>
      <c r="D14159" s="9" t="s">
        <v>114</v>
      </c>
      <c r="E14159" s="6" t="s">
        <v>19274</v>
      </c>
      <c r="F14159" t="inlineStr" s="10">
        <is>
          <t xml:space="preserve">Pelkistä lihaksista koostuva ruumis tekee tämän Pokémonin lonkeroillaan suorittamista painiliikkeistä valtavan voimakkaita. Etsiessään vastustajaa, jota vastaan ​​testata taitojaan, se nousee maihin. Taistelun päätyttyä se palaa mereen.</t>
        </is>
      </c>
    </row>
    <row r="14160" ht="33.75" customHeight="1">
      <c r="A14160" s="7">
        <v>853.0</v>
      </c>
      <c r="B14160" s="9" t="s">
        <v>19271</v>
      </c>
      <c r="C14160" s="9" t="s">
        <v>19272</v>
      </c>
      <c r="D14160" s="9" t="s">
        <v>117</v>
      </c>
      <c r="E14160" s="6" t="s">
        <v>19275</v>
      </c>
      <c r="F14160" s="9"/>
    </row>
    <row r="14161" ht="33.75" customHeight="1">
      <c r="A14161" s="7">
        <v>854.0</v>
      </c>
      <c r="B14161" s="9" t="s">
        <v>19276</v>
      </c>
      <c r="C14161" s="9" t="s">
        <v>19277</v>
      </c>
      <c r="D14161" s="9" t="s">
        <v>114</v>
      </c>
      <c r="E14161" s="6" t="s">
        <v>19278</v>
      </c>
      <c r="F14161" t="inlineStr" s="10">
        <is>
          <t xml:space="preserve">Tämän Pokémonin sanotaan syntyneen, kun yksinäinen henki otti haltuunsa kylmän, teetä yli jääneen kupin. Teekuppi, jossa tämä Pokémon asuu, on kuuluisa antiikkiastiasto. Liikkeellä on monia väärennöksiä.</t>
        </is>
      </c>
    </row>
    <row r="14162" ht="33.75" customHeight="1">
      <c r="A14162" s="7">
        <v>854.0</v>
      </c>
      <c r="B14162" s="9" t="s">
        <v>19276</v>
      </c>
      <c r="C14162" s="9" t="s">
        <v>19277</v>
      </c>
      <c r="D14162" s="9" t="s">
        <v>117</v>
      </c>
      <c r="E14162" s="6" t="s">
        <v>19279</v>
      </c>
      <c r="F14162" s="9"/>
    </row>
    <row r="14163" ht="33.75" customHeight="1">
      <c r="A14163" s="7">
        <v>855.0</v>
      </c>
      <c r="B14163" s="9" t="s">
        <v>19280</v>
      </c>
      <c r="C14163" s="9" t="s">
        <v>19277</v>
      </c>
      <c r="D14163" s="9" t="s">
        <v>114</v>
      </c>
      <c r="E14163" s="6" t="s">
        <v>19281</v>
      </c>
      <c r="F14163" t="inlineStr" s="10">
        <is>
          <t xml:space="preserve">Tämä laji elää antiikkisissa teekannuissa. Useimmat kannut ovat väärennöksiä, mutta harvoin löytyy aitoja teoksia. Jäljelle jääneen mustan teen jättäminen ilman valvontaa pyytää tätä Pokémonia tulemaan ja kaatamaan itsensä teehen, muuttaen teen uudeksi polteageistiksi.</t>
        </is>
      </c>
    </row>
    <row r="14164" ht="33.75" customHeight="1">
      <c r="A14164" s="7">
        <v>855.0</v>
      </c>
      <c r="B14164" s="9" t="s">
        <v>19280</v>
      </c>
      <c r="C14164" s="9" t="s">
        <v>19277</v>
      </c>
      <c r="D14164" s="9" t="s">
        <v>117</v>
      </c>
      <c r="E14164" s="6" t="s">
        <v>19283</v>
      </c>
      <c r="F14164" s="9"/>
    </row>
    <row r="14165" ht="33.75" customHeight="1">
      <c r="A14165" s="7">
        <v>856.0</v>
      </c>
      <c r="B14165" s="9" t="s">
        <v>19284</v>
      </c>
      <c r="C14165" s="9" t="s">
        <v>18923</v>
      </c>
      <c r="D14165" s="9" t="s">
        <v>114</v>
      </c>
      <c r="E14165" s="6" t="s">
        <v>19285</v>
      </c>
      <c r="F14165" t="inlineStr" s="10">
        <is>
          <t xml:space="preserve">Pään ulokkeen kautta se aistii muiden olentojen tunteita. Jos sinulla ei ole rauhallista luonnetta, se ei koskaan lämpene sinua kohtaan. Jos tämä Pokémon aistii voimakkaan tunteen, se juoksee karkuun niin nopeasti kuin pystyy. Se suosii alueita, joilla ei ole ihmisiä.</t>
        </is>
      </c>
    </row>
    <row r="14166" ht="33.75" customHeight="1">
      <c r="A14166" s="7">
        <v>856.0</v>
      </c>
      <c r="B14166" s="9" t="s">
        <v>19284</v>
      </c>
      <c r="C14166" s="9" t="s">
        <v>18923</v>
      </c>
      <c r="D14166" s="9" t="s">
        <v>117</v>
      </c>
      <c r="E14166" s="6" t="s">
        <v>19286</v>
      </c>
      <c r="F14166" s="9"/>
    </row>
    <row r="14167" ht="33.75" customHeight="1">
      <c r="A14167" s="7">
        <v>857.0</v>
      </c>
      <c r="B14167" s="9" t="s">
        <v>19287</v>
      </c>
      <c r="C14167" s="9" t="s">
        <v>18923</v>
      </c>
      <c r="D14167" s="9" t="s">
        <v>114</v>
      </c>
      <c r="E14167" s="6" t="s">
        <v>19288</v>
      </c>
      <c r="F14167" t="inlineStr" s="10">
        <is>
          <t xml:space="preserve">Olitpa kuka tahansa, jos tuot voimakkaita tunteita tämän Pokémonin lähelle, se hiljentää sinut rajusti. Se lyö vihollisia päässään olevilla leteillä saadakseen heidät rauhoittumaan. Yksi isku noista leteistä tyrmäisi ammattinyrkkeilijän.</t>
        </is>
      </c>
    </row>
    <row r="14168" ht="33.75" customHeight="1">
      <c r="A14168" s="7">
        <v>857.0</v>
      </c>
      <c r="B14168" s="9" t="s">
        <v>19287</v>
      </c>
      <c r="C14168" s="9" t="s">
        <v>18923</v>
      </c>
      <c r="D14168" s="9" t="s">
        <v>117</v>
      </c>
      <c r="E14168" s="6" t="s">
        <v>19289</v>
      </c>
      <c r="F14168" s="9"/>
    </row>
    <row r="14169" ht="33.75" customHeight="1">
      <c r="A14169" s="7">
        <v>858.0</v>
      </c>
      <c r="B14169" s="9" t="s">
        <v>19290</v>
      </c>
      <c r="C14169" s="9" t="s">
        <v>19291</v>
      </c>
      <c r="D14169" s="9" t="s">
        <v>114</v>
      </c>
      <c r="E14169" s="6" t="s">
        <v>19292</v>
      </c>
      <c r="F14169" t="inlineStr" s="10">
        <is>
          <t xml:space="preserve">Hatterene säteilee psyykkistä voimaa, joka on niin voimakasta, että se aiheuttaa päänsärkyä ja estää muita lähestymästä. Jos olet liian äänekäs sen lähellä, sen lonkeron kynnet voivat repiä sinut kappaleiksi. Tämä Pokémon tunnetaan myös nimellä Metsän noita.</t>
        </is>
      </c>
    </row>
    <row r="14170" ht="33.75" customHeight="1">
      <c r="A14170" s="7">
        <v>858.0</v>
      </c>
      <c r="B14170" s="9" t="s">
        <v>19290</v>
      </c>
      <c r="C14170" s="9" t="s">
        <v>19291</v>
      </c>
      <c r="D14170" s="9" t="s">
        <v>117</v>
      </c>
      <c r="E14170" s="6" t="s">
        <v>19293</v>
      </c>
      <c r="F14170" s="9"/>
    </row>
    <row r="14171" ht="33.75" customHeight="1">
      <c r="A14171" s="7">
        <v>859.0</v>
      </c>
      <c r="B14171" s="9" t="s">
        <v>19294</v>
      </c>
      <c r="C14171" s="9" t="s">
        <v>14018</v>
      </c>
      <c r="D14171" s="9" t="s">
        <v>114</v>
      </c>
      <c r="E14171" s="6" t="s">
        <v>19295</v>
      </c>
      <c r="F14171" t="inlineStr" s="10">
        <is>
          <t xml:space="preserve">Nenänsä kautta se imee sisäänsä ihmisten ja Pokémonien ärsyyntyneistä lähteitä. Se elää tästä negatiivisesta energiasta. Se hiipii ihmisten koteihin, varastaa tavaroita ja herkuttelee turhautuneiden asukkaiden negatiivisella energialla.</t>
        </is>
      </c>
    </row>
    <row r="14172" ht="33.75" customHeight="1">
      <c r="A14172" s="7">
        <v>859.0</v>
      </c>
      <c r="B14172" s="9" t="s">
        <v>19294</v>
      </c>
      <c r="C14172" s="9" t="s">
        <v>14018</v>
      </c>
      <c r="D14172" s="9" t="s">
        <v>117</v>
      </c>
      <c r="E14172" s="6" t="s">
        <v>19297</v>
      </c>
      <c r="F14172" s="9"/>
    </row>
    <row r="14173" ht="33.75" customHeight="1">
      <c r="A14173" s="7">
        <v>860.0</v>
      </c>
      <c r="B14173" s="9" t="s">
        <v>19298</v>
      </c>
      <c r="C14173" s="9" t="s">
        <v>14018</v>
      </c>
      <c r="D14173" s="9" t="s">
        <v>114</v>
      </c>
      <c r="E14173" s="6" t="s">
        <v>19299</v>
      </c>
      <c r="F14173" t="inlineStr" s="10">
        <is>
          <t xml:space="preserve">Kun se laskeutuu kontalleen ikään kuin anelemaan anteeksiantoa, se yrittää houkutella vastustajia luokseen voidakseen iskeä heitä keihäänmäisillä karvoillaan. Se yrittää oveluudella houkutella ihmisiä metsään. Jotkut uskovat, että sillä on kyky saada sadot kasvamaan.</t>
        </is>
      </c>
    </row>
    <row r="14174" ht="33.75" customHeight="1">
      <c r="A14174" s="7">
        <v>860.0</v>
      </c>
      <c r="B14174" s="9" t="s">
        <v>19298</v>
      </c>
      <c r="C14174" s="9" t="s">
        <v>14018</v>
      </c>
      <c r="D14174" s="9" t="s">
        <v>117</v>
      </c>
      <c r="E14174" s="6" t="s">
        <v>19300</v>
      </c>
      <c r="F14174" s="9"/>
    </row>
    <row r="14175" ht="33.75" customHeight="1">
      <c r="A14175" s="7">
        <v>861.0</v>
      </c>
      <c r="B14175" s="9" t="s">
        <v>19301</v>
      </c>
      <c r="C14175" s="9" t="s">
        <v>19302</v>
      </c>
      <c r="D14175" s="9" t="s">
        <v>114</v>
      </c>
      <c r="E14175" s="6" t="s">
        <v>19303</v>
      </c>
      <c r="F14175" t="inlineStr" s="10">
        <is>
          <t xml:space="preserve">Karvojen kiedotessa Grimmsnarlin vartalon ympärille ja vahvistaen sen lihaksia, tämä Pokémon voi hämmentää jopa Machampia. Sen karvat toimivat kuin lihaskuidut. Kun sen karvat avautuvat, ne tarttuvat vastustajiin ja kietovat heidät ansaan kuin lonkerot.</t>
        </is>
      </c>
    </row>
    <row r="14176" ht="33.75" customHeight="1">
      <c r="A14176" s="7">
        <v>861.0</v>
      </c>
      <c r="B14176" s="9" t="s">
        <v>19301</v>
      </c>
      <c r="C14176" s="9" t="s">
        <v>19302</v>
      </c>
      <c r="D14176" s="9" t="s">
        <v>117</v>
      </c>
      <c r="E14176" s="6" t="s">
        <v>19304</v>
      </c>
      <c r="F14176" s="9"/>
    </row>
    <row r="14177" ht="33.75" customHeight="1">
      <c r="A14177" s="7">
        <v>862.0</v>
      </c>
      <c r="B14177" s="9" t="s">
        <v>19305</v>
      </c>
      <c r="C14177" s="9" t="s">
        <v>19306</v>
      </c>
      <c r="D14177" s="9" t="s">
        <v>114</v>
      </c>
      <c r="E14177" s="6" t="s">
        <v>19307</v>
      </c>
      <c r="F14177" t="inlineStr" s="10">
        <is>
          <t xml:space="preserve">Obstagoonin ääni on häkellyttävän voimakas. Esteellä on taipumus ottaa uhkaava asento ja huutaa – tätä liikettä kutsutaan Esteeksi. Se kehittyi lukuisten taisteluiden jälkeen. Ristiessään käsivartensa se päästää huudon, joka saa minkä tahansa vastustajan säpsähtämään.</t>
        </is>
      </c>
    </row>
    <row r="14178" ht="33.75" customHeight="1">
      <c r="A14178" s="7">
        <v>862.0</v>
      </c>
      <c r="B14178" s="9" t="s">
        <v>19305</v>
      </c>
      <c r="C14178" s="9" t="s">
        <v>19306</v>
      </c>
      <c r="D14178" s="9" t="s">
        <v>117</v>
      </c>
      <c r="E14178" s="6" t="s">
        <v>19308</v>
      </c>
      <c r="F14178" s="9"/>
    </row>
    <row r="14179" ht="33.75" customHeight="1">
      <c r="A14179" s="7">
        <v>863.0</v>
      </c>
      <c r="B14179" s="9" t="s">
        <v>19309</v>
      </c>
      <c r="C14179" s="9" t="s">
        <v>19310</v>
      </c>
      <c r="D14179" s="9" t="s">
        <v>114</v>
      </c>
      <c r="E14179" s="6" t="s">
        <v>19311</v>
      </c>
      <c r="F14179" t="inlineStr" s="10">
        <is>
          <t xml:space="preserve">Rautakypärältä näyttävä Pokémon on itse asiassa kovettunutta hiusta. Tämä Pokémon elää taistelun jännityksestä. Monien taisteluiden jälkeen se kehitti vaaralliset kynnet, jotka ojennettuina muodostavat tikareita.</t>
        </is>
      </c>
    </row>
    <row r="14180" ht="33.75" customHeight="1">
      <c r="A14180" s="7">
        <v>863.0</v>
      </c>
      <c r="B14180" s="9" t="s">
        <v>19309</v>
      </c>
      <c r="C14180" s="9" t="s">
        <v>19310</v>
      </c>
      <c r="D14180" s="9" t="s">
        <v>117</v>
      </c>
      <c r="E14180" s="6" t="s">
        <v>19312</v>
      </c>
      <c r="F14180" s="9"/>
    </row>
    <row r="14181" ht="33.75" customHeight="1">
      <c r="A14181" s="7">
        <v>864.0</v>
      </c>
      <c r="B14181" s="9" t="s">
        <v>19313</v>
      </c>
      <c r="C14181" s="9" t="s">
        <v>12788</v>
      </c>
      <c r="D14181" s="9" t="s">
        <v>114</v>
      </c>
      <c r="E14181" s="6" t="s">
        <v>19314</v>
      </c>
      <c r="F14181" t="inlineStr" s="10">
        <is>
          <t xml:space="preserve">Cursolan kuori pursuaa korostunutta toismaailmallista energiaa. Ektoplasma toimii suojana tämän Pokémonin ydinhengelle. Ole varovainen sen sielua ympäröivän ektoplasmisen ruumiin suhteen. Kosketat sitä ja jäykistyt kuin kivi.</t>
        </is>
      </c>
    </row>
    <row r="14182" ht="33.75" customHeight="1">
      <c r="A14182" s="7">
        <v>864.0</v>
      </c>
      <c r="B14182" s="9" t="s">
        <v>19313</v>
      </c>
      <c r="C14182" s="9" t="s">
        <v>12788</v>
      </c>
      <c r="D14182" s="9" t="s">
        <v>117</v>
      </c>
      <c r="E14182" s="6" t="s">
        <v>19316</v>
      </c>
      <c r="F14182" s="9"/>
    </row>
    <row r="14183" ht="33.75" customHeight="1">
      <c r="A14183" s="7">
        <v>865.0</v>
      </c>
      <c r="B14183" s="9" t="s">
        <v>19317</v>
      </c>
      <c r="C14183" s="9" t="s">
        <v>5058</v>
      </c>
      <c r="D14183" s="9" t="s">
        <v>114</v>
      </c>
      <c r="E14183" s="6" t="s">
        <v>19318</v>
      </c>
      <c r="F14183" t="inlineStr" s="10">
        <is>
          <t xml:space="preserve">Vain useista taisteluista selvinneet Farfetch’dit voivat saavuttaa tämän evoluution. Kun tämän Pokémonin purjo kuihtuu, se vetäytyy taistelusta. Torjuttuaan hyökkäykset kovalla lehtikilvellään se iskee takaisin terävällä purjon varrellaan. Purjon varsi on sekä ase että ruoka.</t>
        </is>
      </c>
    </row>
    <row r="14184" ht="33.75" customHeight="1">
      <c r="A14184" s="7">
        <v>865.0</v>
      </c>
      <c r="B14184" s="9" t="s">
        <v>19317</v>
      </c>
      <c r="C14184" s="9" t="s">
        <v>5058</v>
      </c>
      <c r="D14184" s="9" t="s">
        <v>117</v>
      </c>
      <c r="E14184" s="6" t="s">
        <v>19319</v>
      </c>
      <c r="F14184" s="9"/>
    </row>
    <row r="14185" ht="33.75" customHeight="1">
      <c r="A14185" s="7">
        <v>866.0</v>
      </c>
      <c r="B14185" s="9" t="s">
        <v>19320</v>
      </c>
      <c r="C14185" s="9" t="s">
        <v>19321</v>
      </c>
      <c r="D14185" s="9" t="s">
        <v>114</v>
      </c>
      <c r="E14185" s="6" t="s">
        <v>19322</v>
      </c>
      <c r="F14185" t="inlineStr" s="10">
        <is>
          <t xml:space="preserve">Mr. Rime on erittäin taitava steppaamaan. Se heiluttaa jääkeppiään sulavasti tahdissa. Sen hauskat liikkeet tekevät siitä erittäin suositun. Se vapauttaa psyykkisen voimansa vatsansa kuviosta.</t>
        </is>
      </c>
    </row>
    <row r="14186" ht="33.75" customHeight="1">
      <c r="A14186" s="7">
        <v>866.0</v>
      </c>
      <c r="B14186" s="9" t="s">
        <v>19320</v>
      </c>
      <c r="C14186" s="9" t="s">
        <v>19321</v>
      </c>
      <c r="D14186" s="9" t="s">
        <v>117</v>
      </c>
      <c r="E14186" s="6" t="s">
        <v>19323</v>
      </c>
      <c r="F14186" s="9"/>
    </row>
    <row r="14187" ht="33.75" customHeight="1">
      <c r="A14187" s="7">
        <v>867.0</v>
      </c>
      <c r="B14187" s="9" t="s">
        <v>19324</v>
      </c>
      <c r="C14187" s="9" t="s">
        <v>19325</v>
      </c>
      <c r="D14187" s="9" t="s">
        <v>114</v>
      </c>
      <c r="E14187" s="6" t="s">
        <v>19326</v>
      </c>
      <c r="F14187" t="inlineStr" s="10">
        <is>
          <t xml:space="preserve">Voimakas kirous oli kudottu muinaiseen maalaukseen. Imeytyään itseensä Yamaskin hengen maalaus alkoi liikkua. Älä koskaan koske sen varjomaiseen vartaloon, tai sinulle näytetään siihen kaiverretun kuvan takana olevat kauhistuttavat muistot.</t>
        </is>
      </c>
    </row>
    <row r="14188" ht="33.75" customHeight="1">
      <c r="A14188" s="7">
        <v>867.0</v>
      </c>
      <c r="B14188" s="9" t="s">
        <v>19324</v>
      </c>
      <c r="C14188" s="9" t="s">
        <v>19325</v>
      </c>
      <c r="D14188" s="9" t="s">
        <v>117</v>
      </c>
      <c r="E14188" s="6" t="s">
        <v>19328</v>
      </c>
      <c r="F14188" s="9"/>
    </row>
    <row r="14189" ht="33.75" customHeight="1">
      <c r="A14189" s="7">
        <v>868.0</v>
      </c>
      <c r="B14189" s="9" t="s">
        <v>19329</v>
      </c>
      <c r="C14189" s="9" t="s">
        <v>19330</v>
      </c>
      <c r="D14189" s="9" t="s">
        <v>114</v>
      </c>
      <c r="E14189" s="6" t="s">
        <v>19331</v>
      </c>
      <c r="F14189" t="inlineStr" s="10">
        <is>
          <t xml:space="preserve">Tämä Pokémon syntyi ilmassa olevista makeantuoksuisista hiukkasista. Sen ruumis on tehty kermasta. Sanotaan, että Milceryn vierailema leivonnainen tuo taatusti menestystä ja onnea.</t>
        </is>
      </c>
    </row>
    <row r="14190" ht="33.75" customHeight="1">
      <c r="A14190" s="7">
        <v>868.0</v>
      </c>
      <c r="B14190" s="9" t="s">
        <v>19329</v>
      </c>
      <c r="C14190" s="9" t="s">
        <v>19330</v>
      </c>
      <c r="D14190" s="9" t="s">
        <v>117</v>
      </c>
      <c r="E14190" s="6" t="s">
        <v>19332</v>
      </c>
      <c r="F14190" s="9"/>
    </row>
    <row r="14191" ht="33.75" customHeight="1">
      <c r="A14191" s="7">
        <v>869.0</v>
      </c>
      <c r="B14191" s="9" t="s">
        <v>19333</v>
      </c>
      <c r="C14191" s="9" t="s">
        <v>19330</v>
      </c>
      <c r="D14191" s="9" t="s">
        <v>114</v>
      </c>
      <c r="E14191" s="6" t="s">
        <v>19334</v>
      </c>
      <c r="F14191" t="inlineStr" s="10">
        <is>
          <t xml:space="preserve">Kun se luottaa kouluttajaan, se hemmottelee sitä kermalla koristelluilla marjoilla. Kun Alcremie on tyytyväinen, sen käsistä erittämä kerma muuttuu makeammaksi ja täyteläisemmäksi.</t>
        </is>
      </c>
    </row>
    <row r="14192" ht="33.75" customHeight="1">
      <c r="A14192" s="7">
        <v>869.0</v>
      </c>
      <c r="B14192" s="9" t="s">
        <v>19333</v>
      </c>
      <c r="C14192" s="9" t="s">
        <v>19330</v>
      </c>
      <c r="D14192" s="9" t="s">
        <v>117</v>
      </c>
      <c r="E14192" s="6" t="s">
        <v>19335</v>
      </c>
      <c r="F14192" s="9"/>
    </row>
    <row r="14193" ht="33.75" customHeight="1">
      <c r="A14193" s="7">
        <v>870.0</v>
      </c>
      <c r="B14193" s="9" t="s">
        <v>19337</v>
      </c>
      <c r="C14193" s="9" t="s">
        <v>19338</v>
      </c>
      <c r="D14193" s="9" t="s">
        <v>114</v>
      </c>
      <c r="E14193" s="6" t="s">
        <v>19339</v>
      </c>
      <c r="F14193" t="inlineStr" s="10">
        <is>
          <t xml:space="preserve">Viisi heistä on sotilaita ja yksi on johtokunnan jäseniä. Johtajien käskyt ovat ehdottomat. Heistä kuusi työskentelee yhdessä yhtenä Pokémonina. Tiimityöskentely on myös heidän taistelustrategiansa, ja he muuttavat jatkuvasti muodostelmaansa taistelun aikana.</t>
        </is>
      </c>
    </row>
    <row r="14194" ht="33.75" customHeight="1">
      <c r="A14194" s="7">
        <v>870.0</v>
      </c>
      <c r="B14194" s="9" t="s">
        <v>19337</v>
      </c>
      <c r="C14194" s="9" t="s">
        <v>19338</v>
      </c>
      <c r="D14194" s="9" t="s">
        <v>117</v>
      </c>
      <c r="E14194" s="6" t="s">
        <v>19340</v>
      </c>
      <c r="F14194" s="9"/>
    </row>
    <row r="14195" ht="33.75" customHeight="1">
      <c r="A14195" s="7">
        <v>871.0</v>
      </c>
      <c r="B14195" s="9" t="s">
        <v>19341</v>
      </c>
      <c r="C14195" s="9" t="s">
        <v>19342</v>
      </c>
      <c r="D14195" s="9" t="s">
        <v>114</v>
      </c>
      <c r="E14195" s="6" t="s">
        <v>19343</v>
      </c>
      <c r="F14195" t="inlineStr" s="10">
        <is>
          <t xml:space="preserve">Pincurchin syö merilevää ja kaapii sitä kivistä hampaillaan. Sähkövirta kulkee sen piikkien kärjistä. Se varastoi sähköä kumpaankin selkärankaan. Vaikka toinen katkeaisi, se jatkaa sähkön säteilyä vähintään kolmen tunnin ajan.</t>
        </is>
      </c>
    </row>
    <row r="14196" ht="33.75" customHeight="1">
      <c r="A14196" s="7">
        <v>871.0</v>
      </c>
      <c r="B14196" s="9" t="s">
        <v>19341</v>
      </c>
      <c r="C14196" s="9" t="s">
        <v>19342</v>
      </c>
      <c r="D14196" s="9" t="s">
        <v>117</v>
      </c>
      <c r="E14196" s="6" t="s">
        <v>19344</v>
      </c>
      <c r="F14196" s="9"/>
    </row>
    <row r="14197" ht="33.75" customHeight="1">
      <c r="A14197" s="7">
        <v>872.0</v>
      </c>
      <c r="B14197" s="9" t="s">
        <v>19345</v>
      </c>
      <c r="C14197" s="9" t="s">
        <v>579</v>
      </c>
      <c r="D14197" s="9" t="s">
        <v>114</v>
      </c>
      <c r="E14197" s="6" t="s">
        <v>19346</v>
      </c>
      <c r="F14197" t="inlineStr" s="10">
        <is>
          <t xml:space="preserve">Snom sylkee ulos jääkylmän energian kyllästämää lankaa ja käyttää sitä sitoakseen ruumiinsa oksiin naamioituen jääpuikoksi nukkuessaan. Se syö maahan kasaantuvaa lunta. Mitä enemmän lunta se syö, sitä suuremmiksi ja vaikuttavammiksi sen selässä olevat piikit kasvavat.</t>
        </is>
      </c>
    </row>
    <row r="14198" ht="33.75" customHeight="1">
      <c r="A14198" s="7">
        <v>872.0</v>
      </c>
      <c r="B14198" s="9" t="s">
        <v>19345</v>
      </c>
      <c r="C14198" s="9" t="s">
        <v>579</v>
      </c>
      <c r="D14198" s="9" t="s">
        <v>117</v>
      </c>
      <c r="E14198" s="6" t="s">
        <v>19347</v>
      </c>
      <c r="F14198" s="9"/>
    </row>
    <row r="14199" ht="33.75" customHeight="1">
      <c r="A14199" s="7">
        <v>873.0</v>
      </c>
      <c r="B14199" s="9" t="s">
        <v>19348</v>
      </c>
      <c r="C14199" s="9" t="s">
        <v>19349</v>
      </c>
      <c r="D14199" s="9" t="s">
        <v>114</v>
      </c>
      <c r="E14199" s="6" t="s">
        <v>19350</v>
      </c>
      <c r="F14199" t="inlineStr" s="10">
        <is>
          <t xml:space="preserve">Jäisiä suomuja putoaa Frosmothin siivistä kuin lunta sen lentäessä peltojen ja vuorten yli. Sen siipien lämpötila on alle −290 celsiusastetta. Se ei armahda ketään, joka häpäisee peltoja ja vuoria. Se lentää jäisillä siivillään ja aiheuttaa lumimyrskyn, joka ajaa loukkaajat pois.</t>
        </is>
      </c>
    </row>
    <row r="14200" ht="33.75" customHeight="1">
      <c r="A14200" s="7">
        <v>873.0</v>
      </c>
      <c r="B14200" s="9" t="s">
        <v>19348</v>
      </c>
      <c r="C14200" s="9" t="s">
        <v>19349</v>
      </c>
      <c r="D14200" s="9" t="s">
        <v>117</v>
      </c>
      <c r="E14200" s="6" t="s">
        <v>19351</v>
      </c>
      <c r="F14200" s="9"/>
    </row>
    <row r="14201" ht="33.75" customHeight="1">
      <c r="A14201" s="7">
        <v>874.0</v>
      </c>
      <c r="B14201" s="9" t="s">
        <v>19353</v>
      </c>
      <c r="C14201" s="9" t="s">
        <v>19354</v>
      </c>
      <c r="D14201" s="9" t="s">
        <v>114</v>
      </c>
      <c r="E14201" s="6" t="s">
        <v>19355</v>
      </c>
      <c r="F14201" t="inlineStr" s="10">
        <is>
          <t xml:space="preserve">Stonjourner seisoo ruohoalueilla ja katselee auringon laskeutumista zeniitistä horisonttiin. Tällä Pokémonilla on kyky antaa dynaamisia potkuja. Kerran vuodessa, tiettynä päivänä ja tiettyyn aikaan, he kokoontuvat tyhjästä ja muodostavat ympyrän.</t>
        </is>
      </c>
    </row>
    <row r="14202" ht="33.75" customHeight="1">
      <c r="A14202" s="7">
        <v>874.0</v>
      </c>
      <c r="B14202" s="9" t="s">
        <v>19353</v>
      </c>
      <c r="C14202" s="9" t="s">
        <v>19354</v>
      </c>
      <c r="D14202" s="9" t="s">
        <v>117</v>
      </c>
      <c r="E14202" s="6" t="s">
        <v>19356</v>
      </c>
      <c r="F14202" s="9"/>
    </row>
    <row r="14203" ht="33.75" customHeight="1">
      <c r="A14203" s="7">
        <v>875.0</v>
      </c>
      <c r="B14203" s="9" t="s">
        <v>19357</v>
      </c>
      <c r="C14203" s="9" t="s">
        <v>15661</v>
      </c>
      <c r="D14203" s="9" t="s">
        <v>114</v>
      </c>
      <c r="E14203" s="6" t="s">
        <v>19358</v>
      </c>
      <c r="F14203" t="inlineStr" s="10">
        <is>
          <t xml:space="preserve">Eiscue ajelehti kylmältä paikalta virtaavien merivesien mukana. Se pitää päänsä jatkuvasti jäässä pysyäkseen mukavan kylmänä. Tämä Pokémon pitää lämpöherkän päänsä viileänä jäällä. Se kalastaa ruokansa ja houkuttelee saalista roikottamalla yksittäisiä karvojaan mereen.</t>
        </is>
      </c>
    </row>
    <row r="14204" ht="33.75" customHeight="1">
      <c r="A14204" s="7">
        <v>875.0</v>
      </c>
      <c r="B14204" s="9" t="s">
        <v>19357</v>
      </c>
      <c r="C14204" s="9" t="s">
        <v>15661</v>
      </c>
      <c r="D14204" s="9" t="s">
        <v>117</v>
      </c>
      <c r="E14204" s="6" t="s">
        <v>19359</v>
      </c>
      <c r="F14204" s="9"/>
    </row>
    <row r="14205" ht="33.75" customHeight="1">
      <c r="A14205" s="7">
        <v>876.0</v>
      </c>
      <c r="B14205" s="9" t="s">
        <v>19360</v>
      </c>
      <c r="C14205" s="9" t="s">
        <v>14112</v>
      </c>
      <c r="D14205" s="9" t="s">
        <v>114</v>
      </c>
      <c r="E14205" s="6" t="s">
        <v>19361</v>
      </c>
      <c r="F14205" t="inlineStr" s="10">
        <is>
          <t xml:space="preserve">Indeedee käyttää päässään olevia sarvia aistiakseen muiden tunteita. Urokset toimivat palvelijoinaan ja huolehtivat heidän jokaisesta tarpeestaan. Sarviensa kautta se voi aistia ympärillään olevien olentojen tunteita. Positiiviset tunteet ovat sen voiman lähde.</t>
        </is>
      </c>
    </row>
    <row r="14206" ht="33.75" customHeight="1">
      <c r="A14206" s="7">
        <v>876.0</v>
      </c>
      <c r="B14206" s="9" t="s">
        <v>19360</v>
      </c>
      <c r="C14206" s="9" t="s">
        <v>14112</v>
      </c>
      <c r="D14206" s="9" t="s">
        <v>117</v>
      </c>
      <c r="E14206" s="6" t="s">
        <v>19362</v>
      </c>
      <c r="F14206" s="9"/>
    </row>
    <row r="14207" ht="33.75" customHeight="1">
      <c r="A14207" s="7">
        <v>877.0</v>
      </c>
      <c r="B14207" s="9" t="s">
        <v>19363</v>
      </c>
      <c r="C14207" s="9" t="s">
        <v>19364</v>
      </c>
      <c r="D14207" s="9" t="s">
        <v>114</v>
      </c>
      <c r="E14207" s="6" t="s">
        <v>19365</v>
      </c>
      <c r="F14207" t="inlineStr" s="10">
        <is>
          <t xml:space="preserve">Syödessään taskumaisissa pusseissaan varastoituja siemeniä tämä Pokémon ei ainoastaan ​​tyydytä jatkuvaa nälkäänsä, vaan se myös tuottaa sähköä. Se kantaa mukanaan sähköisesti paahdettuja siemeniä kuin arvokkaita aarteita. Syöpä se kuinka paljon tahansa, se tulee aina pian uudelleen nälkäiseksi.</t>
        </is>
      </c>
    </row>
    <row r="14208" ht="33.75" customHeight="1">
      <c r="A14208" s="7">
        <v>877.0</v>
      </c>
      <c r="B14208" s="9" t="s">
        <v>19363</v>
      </c>
      <c r="C14208" s="9" t="s">
        <v>19364</v>
      </c>
      <c r="D14208" s="9" t="s">
        <v>117</v>
      </c>
      <c r="E14208" s="6" t="s">
        <v>19366</v>
      </c>
      <c r="F14208" s="9"/>
    </row>
    <row r="14209" ht="33.75" customHeight="1">
      <c r="A14209" s="7">
        <v>878.0</v>
      </c>
      <c r="B14209" s="9" t="s">
        <v>19367</v>
      </c>
      <c r="C14209" s="9" t="s">
        <v>19369</v>
      </c>
      <c r="D14209" s="9" t="s">
        <v>114</v>
      </c>
      <c r="E14209" s="6" t="s">
        <v>19370</v>
      </c>
      <c r="F14209" t="inlineStr" s="10">
        <is>
          <t xml:space="preserve">Cufant kaivaa maan ylös rungollaan. Se on myös erittäin vahva ja pystyy kantamaan yli viiden tonnin kuormia ilman ongelmia. Jos työ vaatii vakavaa voimaa, tämä Pokémon loistaa siinä. Sen kuparinvärinen ruumis tummuu sateessa muuttuen eloisan vihreäksi.</t>
        </is>
      </c>
    </row>
    <row r="14210" ht="33.75" customHeight="1">
      <c r="A14210" s="7">
        <v>878.0</v>
      </c>
      <c r="B14210" s="9" t="s">
        <v>19367</v>
      </c>
      <c r="C14210" s="9" t="s">
        <v>19369</v>
      </c>
      <c r="D14210" s="9" t="s">
        <v>117</v>
      </c>
      <c r="E14210" s="6" t="s">
        <v>19371</v>
      </c>
      <c r="F14210" s="9"/>
    </row>
    <row r="14211" ht="33.75" customHeight="1">
      <c r="A14211" s="7">
        <v>879.0</v>
      </c>
      <c r="B14211" s="9" t="s">
        <v>19372</v>
      </c>
      <c r="C14211" s="9" t="s">
        <v>19369</v>
      </c>
      <c r="D14211" s="9" t="s">
        <v>114</v>
      </c>
      <c r="E14211" s="6" t="s">
        <v>19373</v>
      </c>
      <c r="F14211" t="inlineStr" s="10">
        <is>
          <t xml:space="preserve">Ne tulivat toiselta alueelta kauan sitten ja työskentelivät yhdessä ihmisten kanssa. Niiden vihreä iho on vettähylkivä. Nämä Pokémonit elävät laumoissa. Niiden kärsillä on uskomaton otevoima, joka on riittävän vahva murskaamaan jättimäisiä kiviä tomuksi.</t>
        </is>
      </c>
    </row>
    <row r="14212" ht="33.75" customHeight="1">
      <c r="A14212" s="7">
        <v>879.0</v>
      </c>
      <c r="B14212" s="9" t="s">
        <v>19372</v>
      </c>
      <c r="C14212" s="9" t="s">
        <v>19369</v>
      </c>
      <c r="D14212" s="9" t="s">
        <v>117</v>
      </c>
      <c r="E14212" s="6" t="s">
        <v>19374</v>
      </c>
      <c r="F14212" s="9"/>
    </row>
    <row r="14213" ht="33.75" customHeight="1">
      <c r="A14213" s="7">
        <v>880.0</v>
      </c>
      <c r="B14213" s="9" t="s">
        <v>19375</v>
      </c>
      <c r="C14213" s="9" t="s">
        <v>8939</v>
      </c>
      <c r="D14213" s="9" t="s">
        <v>114</v>
      </c>
      <c r="E14213" s="6" t="s">
        <v>19376</v>
      </c>
      <c r="F14213" t="inlineStr" s="10">
        <is>
          <t xml:space="preserve">Muinaisina aikoina se oli lyömätön voimakkaan alavartalonsa ansiosta, mutta se kuoli sukupuuttoon joka tapauksessa, kun se oli ehtyttänyt kaikki kasviperäiset ravinnonlähteensä. Sen hännän voimakkaat lihakset tuottavat sille sähköä. Verrattuna sen alavartaloon sen ylävartalo on aivan liian pieni.</t>
        </is>
      </c>
    </row>
    <row r="14214" ht="33.75" customHeight="1">
      <c r="A14214" s="7">
        <v>880.0</v>
      </c>
      <c r="B14214" s="9" t="s">
        <v>19375</v>
      </c>
      <c r="C14214" s="9" t="s">
        <v>8939</v>
      </c>
      <c r="D14214" s="9" t="s">
        <v>117</v>
      </c>
      <c r="E14214" s="6" t="s">
        <v>19377</v>
      </c>
      <c r="F14214" s="9"/>
    </row>
    <row r="14215" ht="33.75" customHeight="1">
      <c r="A14215" s="7">
        <v>881.0</v>
      </c>
      <c r="B14215" s="9" t="s">
        <v>19378</v>
      </c>
      <c r="C14215" s="9" t="s">
        <v>8939</v>
      </c>
      <c r="D14215" s="9" t="s">
        <v>114</v>
      </c>
      <c r="E14215" s="6" t="s">
        <v>19379</v>
      </c>
      <c r="F14215" t="inlineStr" s="10">
        <is>
          <t xml:space="preserve">Arctozoltin jäätyneen yläosan tärinä tuottaa sen sähköä. Sen on vaikea kävellä ympäriinsä. Tämä Pokémon eli esihistoriallisilla merenrannoilla ja kykeni säilyttämään ruokaa ruumiinsa jään avulla. Se kuoli sukupuuttoon, koska se liikkui niin hitaasti.</t>
        </is>
      </c>
    </row>
    <row r="14216" ht="33.75" customHeight="1">
      <c r="A14216" s="7">
        <v>881.0</v>
      </c>
      <c r="B14216" s="9" t="s">
        <v>19378</v>
      </c>
      <c r="C14216" s="9" t="s">
        <v>8939</v>
      </c>
      <c r="D14216" s="9" t="s">
        <v>117</v>
      </c>
      <c r="E14216" s="6" t="s">
        <v>19381</v>
      </c>
      <c r="F14216" s="9"/>
    </row>
    <row r="14217" ht="33.75" customHeight="1">
      <c r="A14217" s="7">
        <v>882.0</v>
      </c>
      <c r="B14217" s="9" t="s">
        <v>19382</v>
      </c>
      <c r="C14217" s="9" t="s">
        <v>8939</v>
      </c>
      <c r="D14217" s="9" t="s">
        <v>114</v>
      </c>
      <c r="E14217" s="6" t="s">
        <v>19383</v>
      </c>
      <c r="F14217" t="inlineStr" s="10">
        <is>
          <t xml:space="preserve">Voimakkaat jalat ja leuat tekivät siitä aikansa huippupedon. Sen oma saaliin metsästys ajoi sen sukupuuttoon. Sen mahtavat jalat pystyvät juoksemaan yli 64 km/h nopeudella, mutta tämä Pokémon ei voi hengittää, ellei se ole veden alla.</t>
        </is>
      </c>
    </row>
    <row r="14218" ht="33.75" customHeight="1">
      <c r="A14218" s="7">
        <v>882.0</v>
      </c>
      <c r="B14218" s="9" t="s">
        <v>19382</v>
      </c>
      <c r="C14218" s="9" t="s">
        <v>8939</v>
      </c>
      <c r="D14218" s="9" t="s">
        <v>117</v>
      </c>
      <c r="E14218" s="6" t="s">
        <v>19384</v>
      </c>
      <c r="F14218" s="9"/>
    </row>
    <row r="14219" ht="33.75" customHeight="1">
      <c r="A14219" s="7">
        <v>883.0</v>
      </c>
      <c r="B14219" s="9" t="s">
        <v>19385</v>
      </c>
      <c r="C14219" s="9" t="s">
        <v>8939</v>
      </c>
      <c r="D14219" s="9" t="s">
        <v>114</v>
      </c>
      <c r="E14219" s="6" t="s">
        <v>19386</v>
      </c>
      <c r="F14219" t="inlineStr" s="10">
        <is>
          <t xml:space="preserve">Vaikka se pystyy nappaamaan saaliin jäädyttämällä ympäristönsä, sillä on vaikeuksia syödä saalista jälkikäteen, koska Arctovishin suu on pään päällä. Sen kasvojen iho on hyökkäyksille vastustuskykyinen, mutta hengitysvaikeudet tekivät tästä Pokémonista joka tapauksessa sukupuuttoon kuolleen.</t>
        </is>
      </c>
    </row>
    <row r="14220" ht="33.75" customHeight="1">
      <c r="A14220" s="7">
        <v>883.0</v>
      </c>
      <c r="B14220" s="9" t="s">
        <v>19385</v>
      </c>
      <c r="C14220" s="9" t="s">
        <v>8939</v>
      </c>
      <c r="D14220" s="9" t="s">
        <v>117</v>
      </c>
      <c r="E14220" s="6" t="s">
        <v>19387</v>
      </c>
      <c r="F14220" s="9"/>
    </row>
    <row r="14221" ht="33.75" customHeight="1">
      <c r="A14221" s="7">
        <v>884.0</v>
      </c>
      <c r="B14221" s="9" t="s">
        <v>19388</v>
      </c>
      <c r="C14221" s="9" t="s">
        <v>19389</v>
      </c>
      <c r="D14221" s="9" t="s">
        <v>114</v>
      </c>
      <c r="E14221" s="6" t="s">
        <v>19390</v>
      </c>
      <c r="F14221" t="inlineStr" s="10">
        <is>
          <t xml:space="preserve">Duraludonin runko muistuttaa kiillotettua metallia, ja se on sekä kevyt että vahva. Ainoa haittapuoli on, että se ruostuu helposti. Sen ruumiin muodostava erityinen metalli on erittäin kevyttä, joten tällä Pokémonilla on huomattavaa ketteryyttä. Se asuu luolissa, koska se ei pidä sateesta.</t>
        </is>
      </c>
    </row>
    <row r="14222" ht="33.75" customHeight="1">
      <c r="A14222" s="7">
        <v>884.0</v>
      </c>
      <c r="B14222" s="9" t="s">
        <v>19388</v>
      </c>
      <c r="C14222" s="9" t="s">
        <v>19389</v>
      </c>
      <c r="D14222" s="9" t="s">
        <v>117</v>
      </c>
      <c r="E14222" s="6" t="s">
        <v>19392</v>
      </c>
      <c r="F14222" s="9"/>
    </row>
    <row r="14223" ht="33.75" customHeight="1">
      <c r="A14223" s="7">
        <v>885.0</v>
      </c>
      <c r="B14223" s="9" t="s">
        <v>19393</v>
      </c>
      <c r="C14223" s="9" t="s">
        <v>19394</v>
      </c>
      <c r="D14223" s="9" t="s">
        <v>114</v>
      </c>
      <c r="E14223" s="6" t="s">
        <v>19395</v>
      </c>
      <c r="F14223" t="inlineStr" s="10">
        <is>
          <t xml:space="preserve">Synnyttyään uudelleen haamu-Pokémoniksi Dreepy vaeltaa alueilla, joilla se asutti aikoinaan esihistoriallisissa merissä. Jos tämä heikko Pokémon on yksin, pelkkä lapsi voisi voittaa sen. Mutta jos Dreepyllä on ystäviä auttamassa sitä kouluttautumisessa, se voi kehittyä ja tulla paljon vahvemmaksi.</t>
        </is>
      </c>
    </row>
    <row r="14224" ht="33.75" customHeight="1">
      <c r="A14224" s="7">
        <v>885.0</v>
      </c>
      <c r="B14224" s="9" t="s">
        <v>19393</v>
      </c>
      <c r="C14224" s="9" t="s">
        <v>19394</v>
      </c>
      <c r="D14224" s="9" t="s">
        <v>117</v>
      </c>
      <c r="E14224" s="6" t="s">
        <v>19396</v>
      </c>
      <c r="F14224" s="9"/>
    </row>
    <row r="14225" ht="33.75" customHeight="1">
      <c r="A14225" s="7">
        <v>886.0</v>
      </c>
      <c r="B14225" s="9" t="s">
        <v>19397</v>
      </c>
      <c r="C14225" s="9" t="s">
        <v>19398</v>
      </c>
      <c r="D14225" s="9" t="s">
        <v>114</v>
      </c>
      <c r="E14225" s="6" t="s">
        <v>19399</v>
      </c>
      <c r="F14225" t="inlineStr" s="10">
        <is>
          <t xml:space="preserve">Drakloak pystyy lentämään yli 190 km/h nopeudella. Se taistelee Dreepyn rinnalla ja himoitsee heitä, kunnes he kehittyvät onnistuneesti. Ilman päähänsä asetettavaa ja hoidettavaa Dreepyä se levottomaksi muuttuu niin, että se yrittää korvata kadonneen Dreepyn millä tahansa löytämällään Pokémonilla.</t>
        </is>
      </c>
    </row>
    <row r="14226" ht="33.75" customHeight="1">
      <c r="A14226" s="7">
        <v>886.0</v>
      </c>
      <c r="B14226" s="9" t="s">
        <v>19397</v>
      </c>
      <c r="C14226" s="9" t="s">
        <v>19398</v>
      </c>
      <c r="D14226" s="9" t="s">
        <v>117</v>
      </c>
      <c r="E14226" s="6" t="s">
        <v>19401</v>
      </c>
      <c r="F14226" s="9"/>
    </row>
    <row r="14227" ht="33.75" customHeight="1">
      <c r="A14227" s="7">
        <v>887.0</v>
      </c>
      <c r="B14227" s="9" t="s">
        <v>19402</v>
      </c>
      <c r="C14227" s="9" t="s">
        <v>19403</v>
      </c>
      <c r="D14227" s="9" t="s">
        <v>114</v>
      </c>
      <c r="E14227" s="6" t="s">
        <v>19404</v>
      </c>
      <c r="F14227" t="inlineStr" s="10">
        <is>
          <t xml:space="preserve">Kun se ei taistele, se pitää Dreepyn sarviensa rei'issä. Taistelun alkaessa se laukaisee Dreepyn kuin yliääniohjukset. Ilmeisesti Dragapultin sarvien sisällä oleva Dreepy odottaa innolla Mach-nopeuksilla laukaistavaa Dreepyä.</t>
        </is>
      </c>
    </row>
    <row r="14228" ht="33.75" customHeight="1">
      <c r="A14228" s="7">
        <v>887.0</v>
      </c>
      <c r="B14228" s="9" t="s">
        <v>19402</v>
      </c>
      <c r="C14228" s="9" t="s">
        <v>19403</v>
      </c>
      <c r="D14228" s="9" t="s">
        <v>117</v>
      </c>
      <c r="E14228" s="6" t="s">
        <v>19405</v>
      </c>
      <c r="F14228" s="9"/>
    </row>
    <row r="14229" ht="33.75" customHeight="1">
      <c r="A14229" s="7">
        <v>888.0</v>
      </c>
      <c r="B14229" s="9" t="s">
        <v>19406</v>
      </c>
      <c r="C14229" s="9" t="s">
        <v>19407</v>
      </c>
      <c r="D14229" s="9" t="s">
        <v>114</v>
      </c>
      <c r="E14229" s="6" t="s">
        <v>19408</v>
      </c>
      <c r="F14229" t="inlineStr" s="10">
        <is>
          <t xml:space="preserve">Legendaarisena sankarina tunnettu Pokémon imee metallihiukkasia ja muuttaa ne taisteluaseeksi. Tämä Pokémon on nukkunut vuosia. Jotkut sanovat sen olevan Zamazentan isosisko – toiset sanovat, että nämä kaksi Pokémonia ovat kilpailijoita.</t>
        </is>
      </c>
    </row>
    <row r="14230" ht="33.75" customHeight="1">
      <c r="A14230" s="7">
        <v>888.0</v>
      </c>
      <c r="B14230" s="9" t="s">
        <v>19406</v>
      </c>
      <c r="C14230" s="9" t="s">
        <v>19407</v>
      </c>
      <c r="D14230" s="9" t="s">
        <v>117</v>
      </c>
      <c r="E14230" s="6" t="s">
        <v>19409</v>
      </c>
      <c r="F14230" s="9"/>
    </row>
    <row r="14231" ht="33.75" customHeight="1">
      <c r="A14231" s="7">
        <v>889.0</v>
      </c>
      <c r="B14231" s="9" t="s">
        <v>19410</v>
      </c>
      <c r="C14231" s="9" t="s">
        <v>19407</v>
      </c>
      <c r="D14231" s="9" t="s">
        <v>114</v>
      </c>
      <c r="E14231" s="6" t="s">
        <v>19411</v>
      </c>
      <c r="F14231" t="inlineStr" s="10">
        <is>
          <t xml:space="preserve">Menneisyydessä se työskenteli yhdessä kansan kuninkaan kanssa pelastaakseen Galarin alueen. Se imee metallia, jota se sitten käyttää taistelussa. Tämä Pokémon nukkui aionien ajan patsaan muodossa. Se nukkui niin kauan, että ihmiset unohtivat sen olemassaolon.</t>
        </is>
      </c>
    </row>
    <row r="14232" ht="33.75" customHeight="1">
      <c r="A14232" s="7">
        <v>889.0</v>
      </c>
      <c r="B14232" s="9" t="s">
        <v>19410</v>
      </c>
      <c r="C14232" s="9" t="s">
        <v>19407</v>
      </c>
      <c r="D14232" s="9" t="s">
        <v>117</v>
      </c>
      <c r="E14232" s="6" t="s">
        <v>19413</v>
      </c>
      <c r="F14232" s="9"/>
    </row>
    <row r="14233" ht="33.75" customHeight="1">
      <c r="A14233" s="7">
        <v>890.0</v>
      </c>
      <c r="B14233" s="9" t="s">
        <v>19414</v>
      </c>
      <c r="C14233" s="9" t="s">
        <v>19415</v>
      </c>
      <c r="D14233" s="9" t="s">
        <v>114</v>
      </c>
      <c r="E14233" s="6" t="s">
        <v>19416</v>
      </c>
      <c r="F14233" t="inlineStr" s="10">
        <is>
          <t xml:space="preserve">Eternatusin rinnassa oleva ydin imee itseensä Galarin alueen mailta tulevaa energiaa. Tämä energia antaa Eternatuksen pysyä aktiivisena. Se oli meteoriitin sisällä, joka putosi 20 000 vuotta sitten. Tämän Pokémonin ja Dynamax-ilmiön välillä näyttää olevan yhteys.</t>
        </is>
      </c>
    </row>
    <row r="14234" ht="33.75" customHeight="1">
      <c r="A14234" s="7">
        <v>890.0</v>
      </c>
      <c r="B14234" s="9" t="s">
        <v>19414</v>
      </c>
      <c r="C14234" s="9" t="s">
        <v>19415</v>
      </c>
      <c r="D14234" s="9" t="s">
        <v>117</v>
      </c>
      <c r="E14234" s="6" t="s">
        <v>19417</v>
      </c>
      <c r="F14234" s="9"/>
    </row>
    <row r="14235" ht="33.75" customHeight="1">
      <c r="A14235" s="7">
        <v>891.0</v>
      </c>
      <c r="B14235" s="9" t="s">
        <v>19418</v>
      </c>
      <c r="C14235" s="9" t="s">
        <v>19419</v>
      </c>
      <c r="D14235" s="9" t="s">
        <v>114</v>
      </c>
      <c r="E14235" s="6" t="s">
        <v>19420</v>
      </c>
      <c r="F14235" t="inlineStr" s="10">
        <is>
          <t xml:space="preserve">Kubfu harjoittelee ahkerasti täydellistääkseen liikkeitään. Sen hallitsemat liikkeet määräävät, minkä muodon se ottaa kehittyessään. Jos Kubfu vetää sen pitkät valkoiset hiukset päähän, sen taistelutahto voimistuu ja voima kumpuaa sen vatsan syvyyksistä.</t>
        </is>
      </c>
    </row>
    <row r="14236" ht="33.75" customHeight="1">
      <c r="A14236" s="7">
        <v>891.0</v>
      </c>
      <c r="B14236" s="9" t="s">
        <v>19418</v>
      </c>
      <c r="C14236" s="9" t="s">
        <v>19419</v>
      </c>
      <c r="D14236" s="9" t="s">
        <v>117</v>
      </c>
      <c r="E14236" s="6" t="s">
        <v>19421</v>
      </c>
      <c r="F14236" s="9"/>
    </row>
    <row r="14237" ht="33.75" customHeight="1">
      <c r="A14237" s="7">
        <v>892.0</v>
      </c>
      <c r="B14237" s="9" t="s">
        <v>19422</v>
      </c>
      <c r="C14237" s="9" t="s">
        <v>19419</v>
      </c>
      <c r="D14237" s="9" t="s">
        <v>114</v>
      </c>
      <c r="E14237" s="6" t="s">
        <v>19423</v>
      </c>
      <c r="F14237" t="inlineStr" s="10">
        <is>
          <t xml:space="preserve">Tämä Urshifu-muoto uskoo vahvasti yhden osuman tyrmäykseen. Sen strategiana on hypätä lähelle vihollista ja iskeä tuhoisa isku kovetetulla nyrkillä. Kaukaisen alueen vuorilla asuen tämä Pokémon kiitää jyrkkien kallioiden yli harjoitellen jalkojaan ja hioen liikkeitään.</t>
        </is>
      </c>
    </row>
    <row r="14238" ht="33.75" customHeight="1">
      <c r="A14238" s="7">
        <v>892.0</v>
      </c>
      <c r="B14238" s="9" t="s">
        <v>19422</v>
      </c>
      <c r="C14238" s="9" t="s">
        <v>19419</v>
      </c>
      <c r="D14238" s="9" t="s">
        <v>117</v>
      </c>
      <c r="E14238" s="6" t="s">
        <v>19424</v>
      </c>
      <c r="F14238" s="9"/>
    </row>
    <row r="14239" ht="33.75" customHeight="1">
      <c r="A14239" s="7">
        <v>893.0</v>
      </c>
      <c r="B14239" s="9" t="s">
        <v>19426</v>
      </c>
      <c r="C14239" s="9" t="s">
        <v>19427</v>
      </c>
      <c r="D14239" s="9" t="s">
        <v>114</v>
      </c>
      <c r="E14239" s="6" t="s">
        <v>19428</v>
      </c>
      <c r="F14239" t="inlineStr" s="10">
        <is>
          <t xml:space="preserve">Tiheissä metsissä tämä Pokémon elää laumassa muiden lajitovereidensa kanssa. Se on uskomattoman aggressiivinen, ja metsän muut Pokémonit pelkäävät sitä. Kun Zaruden ruumiin köynnökset repeävät irti, niistä tulee maaperän ravinteita. Tämä auttaa metsän kasveja kasvamaan.</t>
        </is>
      </c>
    </row>
    <row r="14240" ht="33.75" customHeight="1">
      <c r="A14240" s="7">
        <v>893.0</v>
      </c>
      <c r="B14240" s="9" t="s">
        <v>19426</v>
      </c>
      <c r="C14240" s="9" t="s">
        <v>19427</v>
      </c>
      <c r="D14240" s="9" t="s">
        <v>117</v>
      </c>
      <c r="E14240" s="6" t="s">
        <v>19429</v>
      </c>
      <c r="F14240" s="9"/>
    </row>
    <row r="14241" ht="33.75" customHeight="1">
      <c r="A14241" s="7">
        <v>894.0</v>
      </c>
      <c r="B14241" s="9" t="s">
        <v>19430</v>
      </c>
      <c r="C14241" s="9" t="s">
        <v>19431</v>
      </c>
      <c r="D14241" s="9" t="s">
        <v>114</v>
      </c>
      <c r="E14241" s="6" t="s">
        <v>19432</v>
      </c>
      <c r="F14241" t="inlineStr" s="10">
        <is>
          <t xml:space="preserve">Tämä Pokémon on sähköenergiaryppä. Sanotaan, että Regielekin kehosta olevien renkaiden poistaminen vapauttaa Pokémonin piilevän voiman. Sen koko keho koostuu yhdestä elimestä, joka tuottaa sähköenergiaa. Regieleki pystyy tuottamaan kaiken Galarin sähkön.</t>
        </is>
      </c>
    </row>
    <row r="14242" ht="33.75" customHeight="1">
      <c r="A14242" s="7">
        <v>894.0</v>
      </c>
      <c r="B14242" s="9" t="s">
        <v>19430</v>
      </c>
      <c r="C14242" s="9" t="s">
        <v>19431</v>
      </c>
      <c r="D14242" s="9" t="s">
        <v>117</v>
      </c>
      <c r="E14242" s="6" t="s">
        <v>19433</v>
      </c>
      <c r="F14242" s="9"/>
    </row>
    <row r="14243" ht="33.75" customHeight="1">
      <c r="A14243" s="7">
        <v>895.0</v>
      </c>
      <c r="B14243" s="9" t="s">
        <v>19434</v>
      </c>
      <c r="C14243" s="9" t="s">
        <v>19435</v>
      </c>
      <c r="D14243" s="9" t="s">
        <v>114</v>
      </c>
      <c r="E14243" s="6" t="s">
        <v>19436</v>
      </c>
      <c r="F14243" t="inlineStr" s="10">
        <is>
          <t xml:space="preserve">Akateemisen teorian mukaan Regidragon käsivarret olivat aikoinaan muinaisen lohikäärme-Pokémonin pää. Teoriaa ei ole vielä todistettu. Sen keho koostuu kiteytyneestä lohikäärmeenergiasta. Regidragolla sanotaan olevan jokaisen lohikäärme-Pokémonin voimat.</t>
        </is>
      </c>
    </row>
    <row r="14244" ht="33.75" customHeight="1">
      <c r="A14244" s="7">
        <v>895.0</v>
      </c>
      <c r="B14244" s="9" t="s">
        <v>19434</v>
      </c>
      <c r="C14244" s="9" t="s">
        <v>19435</v>
      </c>
      <c r="D14244" s="9" t="s">
        <v>117</v>
      </c>
      <c r="E14244" s="6" t="s">
        <v>19437</v>
      </c>
      <c r="F14244" s="9"/>
    </row>
    <row r="14245" ht="33.75" customHeight="1">
      <c r="A14245" s="7">
        <v>896.0</v>
      </c>
      <c r="B14245" s="9" t="s">
        <v>19438</v>
      </c>
      <c r="C14245" s="9" t="s">
        <v>19439</v>
      </c>
      <c r="D14245" s="9" t="s">
        <v>114</v>
      </c>
      <c r="E14245" s="6" t="s">
        <v>19440</v>
      </c>
      <c r="F14245" t="inlineStr" s="10">
        <is>
          <t xml:space="preserve">Glastrier erittää kavioistaan ​​voimakasta kylmyyttä. Se on myös sotaisa Pokémon – se ottaa kaiken, mitä haluaa, väkisin. Glastrierilla on valtava fyysinen voima, ja sen kasvoja peittävä jäänaamio on 100 kertaa kovempi kuin timantti.</t>
        </is>
      </c>
    </row>
    <row r="14246" ht="33.75" customHeight="1">
      <c r="A14246" s="7">
        <v>896.0</v>
      </c>
      <c r="B14246" s="9" t="s">
        <v>19438</v>
      </c>
      <c r="C14246" s="9" t="s">
        <v>19439</v>
      </c>
      <c r="D14246" s="9" t="s">
        <v>117</v>
      </c>
      <c r="E14246" s="6" t="s">
        <v>19441</v>
      </c>
      <c r="F14246" s="9"/>
    </row>
    <row r="14247" ht="33.75" customHeight="1">
      <c r="A14247" s="7">
        <v>897.0</v>
      </c>
      <c r="B14247" s="9" t="s">
        <v>19442</v>
      </c>
      <c r="C14247" s="9" t="s">
        <v>19443</v>
      </c>
      <c r="D14247" s="9" t="s">
        <v>114</v>
      </c>
      <c r="E14247" s="6" t="s">
        <v>19444</v>
      </c>
      <c r="F14247" t="inlineStr" s="10">
        <is>
          <t xml:space="preserve">Spectrier luotaa ympäristöään kaikilla aisteillaan yhtä lukuun ottamatta – se ei käytä näköaistiaan. Aaveen potkujen sanotaan erottavan sielun ruumiista. Yön halki kiitäessään Spectrier imee itseensä nukkuvien olentojen elämänvoiman. Se kaipaa hiljaisuutta ja yksinäisyyttä.</t>
        </is>
      </c>
    </row>
    <row r="14248" ht="33.75" customHeight="1">
      <c r="A14248" s="7">
        <v>897.0</v>
      </c>
      <c r="B14248" s="9" t="s">
        <v>19442</v>
      </c>
      <c r="C14248" s="9" t="s">
        <v>19443</v>
      </c>
      <c r="D14248" s="9" t="s">
        <v>117</v>
      </c>
      <c r="E14248" s="6" t="s">
        <v>19445</v>
      </c>
      <c r="F14248" s="9"/>
    </row>
    <row r="14249" ht="33.75" customHeight="1">
      <c r="A14249" s="7">
        <v>898.0</v>
      </c>
      <c r="B14249" s="9" t="s">
        <v>19446</v>
      </c>
      <c r="C14249" s="9" t="s">
        <v>19447</v>
      </c>
      <c r="D14249" s="9" t="s">
        <v>114</v>
      </c>
      <c r="E14249" s="6" t="s">
        <v>19448</v>
      </c>
      <c r="F14249" t="inlineStr" s="10">
        <is>
          <t xml:space="preserve">Calyrex on armollinen Pokémon, joka kykenee parantamaan ja siunaamaan. Se hallitsi Galarin aluetta menneinä aikoina. Calyrex tunnetaan legendoissa kuninkaana, joka hallitsi Galaria muinaisina aikoina. Sillä on voima saada sydämet korjaamaan ja kasvit kasvattamaan.</t>
        </is>
      </c>
    </row>
    <row r="14250" ht="33.75" customHeight="1">
      <c r="A14250" s="7">
        <v>898.0</v>
      </c>
      <c r="B14250" s="9" t="s">
        <v>19446</v>
      </c>
      <c r="C14250" s="9" t="s">
        <v>19447</v>
      </c>
      <c r="D14250" s="9" t="s">
        <v>117</v>
      </c>
      <c r="E14250" s="6" t="s">
        <v>19449</v>
      </c>
      <c r="F14250" s="9"/>
    </row>
    <row r="14251" ht="33.75" customHeight="1">
      <c r="A14251" s="7">
        <v>899.0</v>
      </c>
      <c r="B14251" s="9" t="s">
        <v>19450</v>
      </c>
      <c r="C14251" s="9" t="s">
        <v>13351</v>
      </c>
      <c r="D14251" s="9" t="s">
        <v>1577</v>
      </c>
      <c r="E14251" s="6" t="s">
        <v>19451</v>
      </c>
      <c r="F14251" t="inlineStr" s="10">
        <is>
          <t xml:space="preserve">Mustat pallot loistavat oudosti, kun Pokémon pystyttää näkymättömiä esteitä. Sen parrasta irtoava turkki pitää lämmön hyvin ja on erittäin hyödyllinen materiaali talvivaatteissa.</t>
        </is>
      </c>
    </row>
    <row r="14252" ht="33.75" customHeight="1">
      <c r="A14252" s="7">
        <v>900.0</v>
      </c>
      <c r="B14252" s="9" t="s">
        <v>19453</v>
      </c>
      <c r="C14252" s="9" t="s">
        <v>19454</v>
      </c>
      <c r="D14252" s="9" t="s">
        <v>1577</v>
      </c>
      <c r="E14252" s="6" t="s">
        <v>19455</v>
      </c>
      <c r="F14252" t="inlineStr" s="10">
        <is>
          <t xml:space="preserve">Väkivaltainen olento, joka kaataa korkeita puita karkeilla kirveillään ja suojaa itseään kovalla kivellä. Jos joku sattuu kohtaamaan tämän Pokémonin erämaassa, ainoa keino on paeta.</t>
        </is>
      </c>
    </row>
    <row r="14253" ht="33.75" customHeight="1">
      <c r="A14253" s="7">
        <v>901.0</v>
      </c>
      <c r="B14253" s="9" t="s">
        <v>19456</v>
      </c>
      <c r="C14253" s="9" t="s">
        <v>19457</v>
      </c>
      <c r="D14253" s="9" t="s">
        <v>1577</v>
      </c>
      <c r="E14253" s="6" t="s">
        <v>19458</v>
      </c>
      <c r="F14253" t="inlineStr" s="10">
        <is>
          <t xml:space="preserve">Uskon, että Hisuin soinen maasto antoi Ursalunalle Ursalunan rotevan fysiikan ja uuden kyvyn manipuloida turvetta mielensä mukaan.</t>
        </is>
      </c>
    </row>
    <row r="14254" ht="33.75" customHeight="1">
      <c r="A14254" s="7">
        <v>902.0</v>
      </c>
      <c r="B14254" s="9" t="s">
        <v>19459</v>
      </c>
      <c r="C14254" s="9" t="s">
        <v>19460</v>
      </c>
      <c r="D14254" s="9" t="s">
        <v>1577</v>
      </c>
      <c r="E14254" s="6" t="s">
        <v>19461</v>
      </c>
      <c r="F14254" t="inlineStr" s="10">
        <is>
          <t xml:space="preserve">Verhoutuu tovereiden sieluihin, jotka menehtyivät ennen kuin olivat saavuttaneet tavoitteensa matkustaa ylävirtaan. Mikään muu laji Hisuin joissa ei ole Basculegionin veroinen.</t>
        </is>
      </c>
    </row>
    <row r="14255" ht="33.75" customHeight="1">
      <c r="A14255" s="7">
        <v>903.0</v>
      </c>
      <c r="B14255" s="9" t="s">
        <v>19462</v>
      </c>
      <c r="C14255" s="9" t="s">
        <v>19463</v>
      </c>
      <c r="D14255" s="9" t="s">
        <v>1577</v>
      </c>
      <c r="E14255" s="6" t="s">
        <v>19464</v>
      </c>
      <c r="F14255" t="inlineStr" s="10">
        <is>
          <t xml:space="preserve">Sneaslerin myrkyllisen myrkyn ja pelottavan fyysisen kyvykkyyden vuoksi mikään muu laji ei voisi toivoa voittavansa sitä jäisillä ylängöillä. Yksinäisyyttä suosiva laji ei muodosta laumoja.</t>
        </is>
      </c>
    </row>
    <row r="14256" ht="33.75" customHeight="1">
      <c r="A14256" s="7">
        <v>904.0</v>
      </c>
      <c r="B14256" s="9" t="s">
        <v>19465</v>
      </c>
      <c r="C14256" s="9" t="s">
        <v>19466</v>
      </c>
      <c r="D14256" s="9" t="s">
        <v>1577</v>
      </c>
      <c r="E14256" s="6" t="s">
        <v>19467</v>
      </c>
      <c r="F14256" t="inlineStr" s="10">
        <is>
          <t xml:space="preserve">Overqwilin keihäänmuotoiset piikit ja raa'a luonne ovat ansainneet sille lempinimen ”merihirviö”. Se ahmii myrkkyä ravinnoksi.</t>
        </is>
      </c>
    </row>
    <row r="14257" ht="33.75" customHeight="1">
      <c r="A14257" s="7">
        <v>905.0</v>
      </c>
      <c r="B14257" s="9" t="s">
        <v>19469</v>
      </c>
      <c r="C14257" s="9" t="s">
        <v>19470</v>
      </c>
      <c r="D14257" s="9" t="s">
        <v>1577</v>
      </c>
      <c r="E14257" s="6" t="s">
        <v>19471</v>
      </c>
      <c r="F14257" t="inlineStr" s="10">
        <is>
          <t xml:space="preserve">Kun se lentää tälle maalle meren toiselta puolelta, katkera talvi päättyy. Legendan mukaan tämän Pokémonin rakkaus synnyttää uuden elämän Hisuin halki.</t>
        </is>
      </c>
    </row>
    <row r="14258" ht="33.75" customHeight="1">
      <c r="A14258" s="7">
        <v>906.0</v>
      </c>
      <c r="B14258" s="9" t="s">
        <v>19472</v>
      </c>
      <c r="C14258" s="9" t="s">
        <v>19473</v>
      </c>
      <c r="D14258" s="9" t="s">
        <v>19474</v>
      </c>
      <c r="E14258" s="6" t="s">
        <v>19475</v>
      </c>
      <c r="F14258" t="inlineStr" s="10">
        <is>
          <t xml:space="preserve">Sprigatiton pörröinen turkki on koostumukseltaan samanlainen kuin kasveilla. Tämä Pokémon pesee kasvonsa usein estääkseen sitä kuivumasta. Sen kehon makea tuoksu lumoaa ympärillä olevat. Tuoksu voimistuu auringossa.</t>
        </is>
      </c>
    </row>
    <row r="14259" ht="33.75" customHeight="1">
      <c r="A14259" s="7">
        <v>906.0</v>
      </c>
      <c r="B14259" s="9" t="s">
        <v>19472</v>
      </c>
      <c r="C14259" s="9" t="s">
        <v>19473</v>
      </c>
      <c r="D14259" s="9" t="s">
        <v>19476</v>
      </c>
      <c r="E14259" s="6" t="s">
        <v>19477</v>
      </c>
      <c r="F14259" s="9"/>
    </row>
    <row r="14260" ht="33.75" customHeight="1">
      <c r="A14260" s="7">
        <v>907.0</v>
      </c>
      <c r="B14260" s="9" t="s">
        <v>19478</v>
      </c>
      <c r="C14260" s="9" t="s">
        <v>19473</v>
      </c>
      <c r="D14260" s="9" t="s">
        <v>19474</v>
      </c>
      <c r="E14260" s="6" t="s">
        <v>19479</v>
      </c>
      <c r="F14260" t="inlineStr" s="10">
        <is>
          <t xml:space="preserve">Floragato käyttää taitavasti pitkän turkin alla piilossa olevaa köynnöstä ja paiskaa kovan kukkanupun vastustajiaan vasten. Floragaton turkin kovuus riippuu Pokémonin mielialasta. Kun Floragato on valmis taisteluun, sen turkista tulee terävä ja neulanterävä.</t>
        </is>
      </c>
    </row>
    <row r="14261" ht="33.75" customHeight="1">
      <c r="A14261" s="7">
        <v>907.0</v>
      </c>
      <c r="B14261" s="9" t="s">
        <v>19478</v>
      </c>
      <c r="C14261" s="9" t="s">
        <v>19473</v>
      </c>
      <c r="D14261" s="9" t="s">
        <v>19476</v>
      </c>
      <c r="E14261" s="6" t="s">
        <v>19480</v>
      </c>
      <c r="F14261" s="9"/>
    </row>
    <row r="14262" ht="33.75" customHeight="1">
      <c r="A14262" s="7">
        <v>908.0</v>
      </c>
      <c r="B14262" s="9" t="s">
        <v>19481</v>
      </c>
      <c r="C14262" s="9" t="s">
        <v>19482</v>
      </c>
      <c r="D14262" s="9" t="s">
        <v>19474</v>
      </c>
      <c r="E14262" s="6" t="s">
        <v>19483</v>
      </c>
      <c r="F14262" t="inlineStr" s="10">
        <is>
          <t xml:space="preserve">Tämä Pokémon käyttää viittansa heijastavaa turkkia naamioidakseen kukkansa varren, luoden illuusion siitä, että kukka leijuu. Taitavasti harhauttamalla se hämäilee vihollisia siitepölyä täynnä olevilla kukkapommeilla. Meowscarada laukaisee pommit ennen kuin viholliset tajuavat, mistä on kyse.</t>
        </is>
      </c>
    </row>
    <row r="14263" ht="33.75" customHeight="1">
      <c r="A14263" s="7">
        <v>908.0</v>
      </c>
      <c r="B14263" s="9" t="s">
        <v>19481</v>
      </c>
      <c r="C14263" s="9" t="s">
        <v>19482</v>
      </c>
      <c r="D14263" s="9" t="s">
        <v>19476</v>
      </c>
      <c r="E14263" s="6" t="s">
        <v>19484</v>
      </c>
      <c r="F14263" s="9"/>
    </row>
    <row r="14264" ht="33.75" customHeight="1">
      <c r="A14264" s="7">
        <v>909.0</v>
      </c>
      <c r="B14264" s="9" t="s">
        <v>19485</v>
      </c>
      <c r="C14264" s="9" t="s">
        <v>19486</v>
      </c>
      <c r="D14264" s="9" t="s">
        <v>19474</v>
      </c>
      <c r="E14264" s="6" t="s">
        <v>19487</v>
      </c>
      <c r="F14264" t="inlineStr" s="10">
        <is>
          <t xml:space="preserve">Fuecoco makaa lämpimillä kivillä ja käyttää neliönmuotoisten suomujensa imemää lämpöä tulienergian luomiseen. Sen liekkipussi on pieni, joten energiaa vuotaa jatkuvasti ulos. Tämä energia vapautuu Fuecocon pään päällä olevasta lommosta ja lepattaa edestakaisin.</t>
        </is>
      </c>
    </row>
    <row r="14265" ht="33.75" customHeight="1">
      <c r="A14265" s="7">
        <v>909.0</v>
      </c>
      <c r="B14265" s="9" t="s">
        <v>19485</v>
      </c>
      <c r="C14265" s="9" t="s">
        <v>19486</v>
      </c>
      <c r="D14265" s="9" t="s">
        <v>19476</v>
      </c>
      <c r="E14265" s="6" t="s">
        <v>19488</v>
      </c>
      <c r="F14265" s="9"/>
    </row>
    <row r="14266" ht="33.75" customHeight="1">
      <c r="A14266" s="7">
        <v>910.0</v>
      </c>
      <c r="B14266" s="9" t="s">
        <v>19489</v>
      </c>
      <c r="C14266" s="9" t="s">
        <v>19486</v>
      </c>
      <c r="D14266" s="9" t="s">
        <v>19474</v>
      </c>
      <c r="E14266" s="6" t="s">
        <v>19490</v>
      </c>
      <c r="F14266" t="inlineStr" s="10">
        <is>
          <t xml:space="preserve">Crocalorin tulienergian ja tulvivan elinvoiman yhdistelmä on saanut aikaan munanmuotoisen tulipallon ilmestymisen Pokémonin päähän. Crocalorin liekkipussin läppä on läheisesti yhteydessä sen äänihuulten kanssa. Tämä Pokémon päästää kurkkuhuudon syljessään liekkejä joka suuntaan.</t>
        </is>
      </c>
    </row>
    <row r="14267" ht="33.75" customHeight="1">
      <c r="A14267" s="7">
        <v>910.0</v>
      </c>
      <c r="B14267" s="9" t="s">
        <v>19489</v>
      </c>
      <c r="C14267" s="9" t="s">
        <v>19486</v>
      </c>
      <c r="D14267" s="9" t="s">
        <v>19476</v>
      </c>
      <c r="E14267" s="6" t="s">
        <v>19491</v>
      </c>
      <c r="F14267" s="9"/>
    </row>
    <row r="14268" ht="33.75" customHeight="1">
      <c r="A14268" s="7">
        <v>911.0</v>
      </c>
      <c r="B14268" s="9" t="s">
        <v>19492</v>
      </c>
      <c r="C14268" s="9" t="s">
        <v>19493</v>
      </c>
      <c r="D14268" s="9" t="s">
        <v>19474</v>
      </c>
      <c r="E14268" s="6" t="s">
        <v>19494</v>
      </c>
      <c r="F14268" t="inlineStr" s="10">
        <is>
          <t xml:space="preserve">Tulinen lintu muuttaa muotoaan Skeledirgen laulaessa. Huhun mukaan lintu syntyi, kun Skeledirgen päässä oleva tulipallo sai sielun. Skeledirgen lempeä laulu rauhoittaa kaikkien sen kuulijoiden sieluja. Se polttaa vihollisensa rapeaksi yli 2 400 celsiusasteen liekeissä.</t>
        </is>
      </c>
    </row>
    <row r="14269" ht="33.75" customHeight="1">
      <c r="A14269" s="7">
        <v>911.0</v>
      </c>
      <c r="B14269" s="9" t="s">
        <v>19492</v>
      </c>
      <c r="C14269" s="9" t="s">
        <v>19493</v>
      </c>
      <c r="D14269" s="9" t="s">
        <v>19476</v>
      </c>
      <c r="E14269" s="6" t="s">
        <v>19495</v>
      </c>
      <c r="F14269" s="9"/>
    </row>
    <row r="14270" ht="33.75" customHeight="1">
      <c r="A14270" s="7">
        <v>912.0</v>
      </c>
      <c r="B14270" s="9" t="s">
        <v>19496</v>
      </c>
      <c r="C14270" s="9" t="s">
        <v>19497</v>
      </c>
      <c r="D14270" s="9" t="s">
        <v>19474</v>
      </c>
      <c r="E14270" s="6" t="s">
        <v>19498</v>
      </c>
      <c r="F14270" t="inlineStr" s="10">
        <is>
          <t xml:space="preserve">Tämä Pokémon muutti Paldeaan kaukaisista maista kauan sitten. Sen höyhenten erittämä geeli hylkii vettä ja likaa. Vahvojen jalkojensa ansiosta se ui helposti jopa nopeasti virtaavissa joissa. Se pitää mielellään asiat siisteinä ja on taipuvainen ylianalysoimaan asioita.</t>
        </is>
      </c>
    </row>
    <row r="14271" ht="33.75" customHeight="1">
      <c r="A14271" s="7">
        <v>912.0</v>
      </c>
      <c r="B14271" s="9" t="s">
        <v>19496</v>
      </c>
      <c r="C14271" s="9" t="s">
        <v>19497</v>
      </c>
      <c r="D14271" s="9" t="s">
        <v>19476</v>
      </c>
      <c r="E14271" s="6" t="s">
        <v>19499</v>
      </c>
      <c r="F14271" s="9"/>
    </row>
    <row r="14272" ht="33.75" customHeight="1">
      <c r="A14272" s="7">
        <v>913.0</v>
      </c>
      <c r="B14272" s="9" t="s">
        <v>19500</v>
      </c>
      <c r="C14272" s="9" t="s">
        <v>19501</v>
      </c>
      <c r="D14272" s="9" t="s">
        <v>19474</v>
      </c>
      <c r="E14272" s="6" t="s">
        <v>19502</v>
      </c>
      <c r="F14272" t="inlineStr" s="10">
        <is>
          <t xml:space="preserve">Nämä Pokémonit juoksevat jatkuvasti matalissa vesissä harjoittaakseen jalkojaan ja kilpailevat sitten keskenään siitä, kuka niistä potkaisee sulavammin. Ahkera Quaxwell tarkkailee eri alueiden ihmisiä ja Pokémoneja ja sisällyttää heidän liikkeitään omiin tanssirutiineihinsa.</t>
        </is>
      </c>
    </row>
    <row r="14273" ht="33.75" customHeight="1">
      <c r="A14273" s="7">
        <v>913.0</v>
      </c>
      <c r="B14273" s="9" t="s">
        <v>19500</v>
      </c>
      <c r="C14273" s="9" t="s">
        <v>19501</v>
      </c>
      <c r="D14273" s="9" t="s">
        <v>19476</v>
      </c>
      <c r="E14273" s="6" t="s">
        <v>19504</v>
      </c>
      <c r="F14273" s="9"/>
    </row>
    <row r="14274" ht="33.75" customHeight="1">
      <c r="A14274" s="7">
        <v>914.0</v>
      </c>
      <c r="B14274" s="9" t="s">
        <v>19505</v>
      </c>
      <c r="C14274" s="9" t="s">
        <v>19506</v>
      </c>
      <c r="D14274" s="9" t="s">
        <v>19474</v>
      </c>
      <c r="E14274" s="6" t="s">
        <v>19507</v>
      </c>
      <c r="F14274" t="inlineStr" s="10">
        <is>
          <t xml:space="preserve">Yksi Quaquavalin potku voi saada kuorma-auton liikkeelle. Tämä Pokémon käyttää voimakkaita jalkojaan esittääkseen iskeviä tansseja kaukaisista maista. Tanssien tavoilla, jotka herättävät mielikuvia kaukaisista paikoista, tämä Pokémon lumoaa kaikki näkevät. Sen koristeelliset vesihöyhenet viiltävät vihollisia.</t>
        </is>
      </c>
    </row>
    <row r="14275" ht="33.75" customHeight="1">
      <c r="A14275" s="7">
        <v>914.0</v>
      </c>
      <c r="B14275" s="9" t="s">
        <v>19505</v>
      </c>
      <c r="C14275" s="9" t="s">
        <v>19506</v>
      </c>
      <c r="D14275" s="9" t="s">
        <v>19476</v>
      </c>
      <c r="E14275" s="6" t="s">
        <v>19508</v>
      </c>
      <c r="F14275" s="9"/>
    </row>
    <row r="14276" ht="33.75" customHeight="1">
      <c r="A14276" s="7">
        <v>915.0</v>
      </c>
      <c r="B14276" s="9" t="s">
        <v>19509</v>
      </c>
      <c r="C14276" s="9" t="s">
        <v>12676</v>
      </c>
      <c r="D14276" s="9" t="s">
        <v>19474</v>
      </c>
      <c r="E14276" s="6" t="s">
        <v>19510</v>
      </c>
      <c r="F14276" t="inlineStr" s="10">
        <is>
          <t xml:space="preserve">Lechonk etsii ruokaa koko päivän. Sillä on tarkka hajuaisti, mutta se ei käytä sitä mihinkään muuhun kuin ravinnon etsimiseen. Tämä Pokémon hylkii kaikkea paitsi parasta ruokaa. Sen kehosta lähtee yrttimäinen tuoksu, jota Pokémonit inhoavat.</t>
        </is>
      </c>
    </row>
    <row r="14277" ht="33.75" customHeight="1">
      <c r="A14277" s="7">
        <v>915.0</v>
      </c>
      <c r="B14277" s="9" t="s">
        <v>19509</v>
      </c>
      <c r="C14277" s="9" t="s">
        <v>12676</v>
      </c>
      <c r="D14277" s="9" t="s">
        <v>19476</v>
      </c>
      <c r="E14277" s="6" t="s">
        <v>19511</v>
      </c>
      <c r="F14277" s="9"/>
    </row>
    <row r="14278" ht="33.75" customHeight="1">
      <c r="A14278" s="7">
        <v>916.0</v>
      </c>
      <c r="B14278" s="9" t="s">
        <v>19512</v>
      </c>
      <c r="C14278" s="9" t="s">
        <v>12676</v>
      </c>
      <c r="D14278" s="9" t="s">
        <v>19474</v>
      </c>
      <c r="E14278" s="6" t="s">
        <v>19513</v>
      </c>
      <c r="F14278" t="inlineStr" s="10">
        <is>
          <t xml:space="preserve">Oinkologne on ylpeä hienosta, kiiltävästä ihostaan. Se erittää pyrstönsä päästä tiivistä tuoksua. Se lumoaa naispuoliset Pokémonit makealla, viettelevällä tuoksulla, joka leijailee koko sen kehosta.</t>
        </is>
      </c>
    </row>
    <row r="14279" ht="33.75" customHeight="1">
      <c r="A14279" s="7">
        <v>916.0</v>
      </c>
      <c r="B14279" s="9" t="s">
        <v>19512</v>
      </c>
      <c r="C14279" s="9" t="s">
        <v>12676</v>
      </c>
      <c r="D14279" s="9" t="s">
        <v>19476</v>
      </c>
      <c r="E14279" s="6" t="s">
        <v>19514</v>
      </c>
      <c r="F14279" s="9"/>
    </row>
    <row r="14280" ht="33.75" customHeight="1">
      <c r="A14280" s="7">
        <v>917.0</v>
      </c>
      <c r="B14280" s="9" t="s">
        <v>19515</v>
      </c>
      <c r="C14280" s="9" t="s">
        <v>19516</v>
      </c>
      <c r="D14280" s="9" t="s">
        <v>19474</v>
      </c>
      <c r="E14280" s="6" t="s">
        <v>19518</v>
      </c>
      <c r="F14280" t="inlineStr" s="10">
        <is>
          <t xml:space="preserve">Tarountulan vartalon ympärille kiedottu lankapallo on riittävän joustava torjumaan Scytherin, tämän Pokémonin luonnollisen vihollisen, viikatteet. Sen takaosasta erittämä lanka on langanvahvaa. Langan vahvuuden salaisuutta tutkitaan parhaillaan.</t>
        </is>
      </c>
    </row>
    <row r="14281" ht="33.75" customHeight="1">
      <c r="A14281" s="7">
        <v>917.0</v>
      </c>
      <c r="B14281" s="9" t="s">
        <v>19515</v>
      </c>
      <c r="C14281" s="9" t="s">
        <v>19516</v>
      </c>
      <c r="D14281" s="9" t="s">
        <v>19476</v>
      </c>
      <c r="E14281" s="6" t="s">
        <v>19519</v>
      </c>
      <c r="F14281" s="9"/>
    </row>
    <row r="14282" ht="33.75" customHeight="1">
      <c r="A14282" s="7">
        <v>918.0</v>
      </c>
      <c r="B14282" s="9" t="s">
        <v>19520</v>
      </c>
      <c r="C14282" s="9" t="s">
        <v>17705</v>
      </c>
      <c r="D14282" s="9" t="s">
        <v>19474</v>
      </c>
      <c r="E14282" s="6" t="s">
        <v>19521</v>
      </c>
      <c r="F14282" t="inlineStr" s="10">
        <is>
          <t xml:space="preserve">Spidops roikkuu oksissa ja katoissa lankojensa avulla ja liikkuu äänettömästi. Se vetää saaliinsa kuoliaaksi ennen kuin saalis edes huomaa sitä. Spidops peittää reviirinsä kovilla, tahmeilla langoilla asettaakseen ansoja tunkeilijoille.</t>
        </is>
      </c>
    </row>
    <row r="14283" ht="33.75" customHeight="1">
      <c r="A14283" s="7">
        <v>918.0</v>
      </c>
      <c r="B14283" s="9" t="s">
        <v>19520</v>
      </c>
      <c r="C14283" s="9" t="s">
        <v>17705</v>
      </c>
      <c r="D14283" s="9" t="s">
        <v>19476</v>
      </c>
      <c r="E14283" s="6" t="s">
        <v>19522</v>
      </c>
      <c r="F14283" s="9"/>
    </row>
    <row r="14284" ht="33.75" customHeight="1">
      <c r="A14284" s="7">
        <v>919.0</v>
      </c>
      <c r="B14284" s="9" t="s">
        <v>19523</v>
      </c>
      <c r="C14284" s="9" t="s">
        <v>19524</v>
      </c>
      <c r="D14284" s="9" t="s">
        <v>19474</v>
      </c>
      <c r="E14284" s="6" t="s">
        <v>19525</v>
      </c>
      <c r="F14284" t="inlineStr" s="10">
        <is>
          <t xml:space="preserve">Nymblen kolmannet jalat ovat taivutettuina. Vaikeassa paikassa tämä Pokémon hyppää yli 9 metriä jalkojensa voimalla. Se on erittäin taitava taistelutyylissään, jossa se käyttää hyppykykyjään väistelläkseen tulevia hyökkäyksiä ja samalla aiheuttaakseen vahinkoa vastustajille.</t>
        </is>
      </c>
    </row>
    <row r="14285" ht="33.75" customHeight="1">
      <c r="A14285" s="7">
        <v>919.0</v>
      </c>
      <c r="B14285" s="9" t="s">
        <v>19523</v>
      </c>
      <c r="C14285" s="9" t="s">
        <v>19524</v>
      </c>
      <c r="D14285" s="9" t="s">
        <v>19476</v>
      </c>
      <c r="E14285" s="6" t="s">
        <v>19526</v>
      </c>
      <c r="F14285" s="9"/>
    </row>
    <row r="14286" ht="33.75" customHeight="1">
      <c r="A14286" s="7">
        <v>920.0</v>
      </c>
      <c r="B14286" s="9" t="s">
        <v>19527</v>
      </c>
      <c r="C14286" s="9" t="s">
        <v>19524</v>
      </c>
      <c r="D14286" s="9" t="s">
        <v>19474</v>
      </c>
      <c r="E14286" s="6" t="s">
        <v>19529</v>
      </c>
      <c r="F14286" t="inlineStr" s="10">
        <is>
          <t xml:space="preserve">Kun se päättää taistella täysillä, se nousee aiemmin taitetuille jaloilleen siirtyäkseen Välienselvittelytilaan. Se tekee vihollisensa vaarattomiksi lyhyessä ajassa. Se käyttää normaalisti taitettuja kolmansia jalkojaan Showdown-tilassa. Tämä rasittaa sen kehoa valtavasti, joten se ei voi pysyä tässä tilassa pitkään.</t>
        </is>
      </c>
    </row>
    <row r="14287" ht="33.75" customHeight="1">
      <c r="A14287" s="7">
        <v>920.0</v>
      </c>
      <c r="B14287" s="9" t="s">
        <v>19527</v>
      </c>
      <c r="C14287" s="9" t="s">
        <v>19524</v>
      </c>
      <c r="D14287" s="9" t="s">
        <v>19476</v>
      </c>
      <c r="E14287" s="6" t="s">
        <v>19530</v>
      </c>
      <c r="F14287" s="9"/>
    </row>
    <row r="14288" ht="33.75" customHeight="1">
      <c r="A14288" s="7">
        <v>921.0</v>
      </c>
      <c r="B14288" s="9" t="s">
        <v>19531</v>
      </c>
      <c r="C14288" s="9" t="s">
        <v>1292</v>
      </c>
      <c r="D14288" s="9" t="s">
        <v>19474</v>
      </c>
      <c r="E14288" s="6" t="s">
        <v>19532</v>
      </c>
      <c r="F14288" t="inlineStr" s="10">
        <is>
          <t xml:space="preserve">Pawmin poskissa on alikehittyneet sähköpussit. Nämä pussit voivat tuottaa sähköä vain, jos Pawmi hieroo niitä raivokkaasti etutassujensa tyynyillä. Sen käpälien tyynyt ovat sähköä purkavia elimiä. Pawmi ampuu sähköä etukäpälistään seisten horjuen takajaloillaan.</t>
        </is>
      </c>
    </row>
    <row r="14289" ht="33.75" customHeight="1">
      <c r="A14289" s="7">
        <v>921.0</v>
      </c>
      <c r="B14289" s="9" t="s">
        <v>19531</v>
      </c>
      <c r="C14289" s="9" t="s">
        <v>1292</v>
      </c>
      <c r="D14289" s="9" t="s">
        <v>19476</v>
      </c>
      <c r="E14289" s="6" t="s">
        <v>19533</v>
      </c>
      <c r="F14289" s="9"/>
    </row>
    <row r="14290" ht="33.75" customHeight="1">
      <c r="A14290" s="7">
        <v>922.0</v>
      </c>
      <c r="B14290" s="9" t="s">
        <v>19534</v>
      </c>
      <c r="C14290" s="9" t="s">
        <v>1292</v>
      </c>
      <c r="D14290" s="9" t="s">
        <v>19474</v>
      </c>
      <c r="E14290" s="6" t="s">
        <v>19535</v>
      </c>
      <c r="F14290" t="inlineStr" s="10">
        <is>
          <t xml:space="preserve">Kun Pawmo-ryhmää hyökätään, se hyppää ensimmäisenä taisteluun ja kukistaa viholliset sähköiskuja hyödyntävällä taistelutekniikalla. Pawmo käyttää ainutlaatuista taistelutekniikkaa, jossa se iskee vihollisiin etukäpälillään ja samanaikaisesti sähköistää heidät tassujen tyynyillään.</t>
        </is>
      </c>
    </row>
    <row r="14291" ht="33.75" customHeight="1">
      <c r="A14291" s="7">
        <v>922.0</v>
      </c>
      <c r="B14291" s="9" t="s">
        <v>19534</v>
      </c>
      <c r="C14291" s="9" t="s">
        <v>1292</v>
      </c>
      <c r="D14291" s="9" t="s">
        <v>19476</v>
      </c>
      <c r="E14291" s="6" t="s">
        <v>19536</v>
      </c>
      <c r="F14291" s="9"/>
    </row>
    <row r="14292" ht="33.75" customHeight="1">
      <c r="A14292" s="7">
        <v>923.0</v>
      </c>
      <c r="B14292" s="9" t="s">
        <v>19537</v>
      </c>
      <c r="C14292" s="9" t="s">
        <v>19538</v>
      </c>
      <c r="D14292" s="9" t="s">
        <v>19474</v>
      </c>
      <c r="E14292" s="6" t="s">
        <v>19539</v>
      </c>
      <c r="F14292" t="inlineStr" s="10">
        <is>
          <t xml:space="preserve">Tämä Pokémon reagoi normaalisti hitaasti, mutta taisteluun astunut se iskee vihollisensa salamannopeilla liikkeillä. Pawmotin pörröinen turkki toimii akkuna. Se voi varastoida saman määrän sähköä kuin sähköauto.</t>
        </is>
      </c>
    </row>
    <row r="14293" ht="33.75" customHeight="1">
      <c r="A14293" s="7">
        <v>923.0</v>
      </c>
      <c r="B14293" s="9" t="s">
        <v>19537</v>
      </c>
      <c r="C14293" s="9" t="s">
        <v>19538</v>
      </c>
      <c r="D14293" s="9" t="s">
        <v>19476</v>
      </c>
      <c r="E14293" s="6" t="s">
        <v>19540</v>
      </c>
      <c r="F14293" s="9"/>
    </row>
    <row r="14294" ht="33.75" customHeight="1">
      <c r="A14294" s="7">
        <v>924.0</v>
      </c>
      <c r="B14294" s="9" t="s">
        <v>19542</v>
      </c>
      <c r="C14294" s="9" t="s">
        <v>19543</v>
      </c>
      <c r="D14294" s="9" t="s">
        <v>19474</v>
      </c>
      <c r="E14294" s="6" t="s">
        <v>19544</v>
      </c>
      <c r="F14294" t="inlineStr" s="10">
        <is>
          <t xml:space="preserve">Ne osoittavat erinomaista tiimityötä leikkaamalla etuhampaillaan paloja mistä tahansa pesänrakennusmateriaalista ja viemällä ne sitten karkuun. Pari pysyy yhdessä kaikesta huolimatta. He halkaisevat löytämänsä ruoan täsmälleen kahtia ja syövät sen sitten yhdessä.</t>
        </is>
      </c>
    </row>
    <row r="14295" ht="33.75" customHeight="1">
      <c r="A14295" s="7">
        <v>924.0</v>
      </c>
      <c r="B14295" s="9" t="s">
        <v>19542</v>
      </c>
      <c r="C14295" s="9" t="s">
        <v>19543</v>
      </c>
      <c r="D14295" s="9" t="s">
        <v>19476</v>
      </c>
      <c r="E14295" s="6" t="s">
        <v>19545</v>
      </c>
      <c r="F14295" s="9"/>
    </row>
    <row r="14296" ht="33.75" customHeight="1">
      <c r="A14296" s="7">
        <v>925.0</v>
      </c>
      <c r="B14296" s="9" t="s">
        <v>19546</v>
      </c>
      <c r="C14296" s="9" t="s">
        <v>19547</v>
      </c>
      <c r="D14296" s="9" t="s">
        <v>19474</v>
      </c>
      <c r="E14296" s="6" t="s">
        <v>19548</v>
      </c>
      <c r="F14296" t="inlineStr" s="10">
        <is>
          <t xml:space="preserve">Kaksi pientä ilmestyi vain yhtenä päivänä. Ryhmä saattaa olla sukua olevien Pokémonien perhe, mutta kukaan ei tiedä varmasti. Suurempi pari suojelee pienempiä taisteluiden aikana. Vahvoja vastustajia kohdatessaan koko ryhmä liittyy taisteluun.</t>
        </is>
      </c>
    </row>
    <row r="14297" ht="33.75" customHeight="1">
      <c r="A14297" s="7">
        <v>925.0</v>
      </c>
      <c r="B14297" s="9" t="s">
        <v>19546</v>
      </c>
      <c r="C14297" s="9" t="s">
        <v>19547</v>
      </c>
      <c r="D14297" s="9" t="s">
        <v>19476</v>
      </c>
      <c r="E14297" s="6" t="s">
        <v>19549</v>
      </c>
      <c r="F14297" s="9"/>
    </row>
    <row r="14298" ht="33.75" customHeight="1">
      <c r="A14298" s="7">
        <v>926.0</v>
      </c>
      <c r="B14298" s="9" t="s">
        <v>19550</v>
      </c>
      <c r="C14298" s="9" t="s">
        <v>3459</v>
      </c>
      <c r="D14298" s="9" t="s">
        <v>19474</v>
      </c>
      <c r="E14298" s="6" t="s">
        <v>19551</v>
      </c>
      <c r="F14298" t="inlineStr" s="10">
        <is>
          <t xml:space="preserve">Tämä Pokémon on sileä ja kostea koskettaa. Fidoughin hengityksessä oleva hiiva aiheuttaa käymistä Pokémonin läheisyydessä. Fidoughin hengityksessä oleva hiiva on hyödyllistä ruoanlaitossa, joten ihmiset ovat suojelleet tätä Pokémonia jo kauan sitten.</t>
        </is>
      </c>
    </row>
    <row r="14299" ht="33.75" customHeight="1">
      <c r="A14299" s="7">
        <v>926.0</v>
      </c>
      <c r="B14299" s="9" t="s">
        <v>19550</v>
      </c>
      <c r="C14299" s="9" t="s">
        <v>3459</v>
      </c>
      <c r="D14299" s="9" t="s">
        <v>19476</v>
      </c>
      <c r="E14299" s="6" t="s">
        <v>19553</v>
      </c>
      <c r="F14299" s="9"/>
    </row>
    <row r="14300" ht="33.75" customHeight="1">
      <c r="A14300" s="7">
        <v>927.0</v>
      </c>
      <c r="B14300" s="9" t="s">
        <v>19554</v>
      </c>
      <c r="C14300" s="9" t="s">
        <v>19205</v>
      </c>
      <c r="D14300" s="9" t="s">
        <v>19474</v>
      </c>
      <c r="E14300" s="6" t="s">
        <v>19555</v>
      </c>
      <c r="F14300" t="inlineStr" s="10">
        <is>
          <t xml:space="preserve">Tämän Pokémonin kehosta huokuva miellyttävä tuoksu auttaa vehnää kasvamaan, joten maanviljelijäkylät ovat vaalineet Dachsbunia. Tämän Pokémonin ihon pinta kovettuu altistuessaan voimakkaalle kuumuudelle, ja sen keholla on herkullinen tuoksu.</t>
        </is>
      </c>
    </row>
    <row r="14301" ht="33.75" customHeight="1">
      <c r="A14301" s="7">
        <v>927.0</v>
      </c>
      <c r="B14301" s="9" t="s">
        <v>19554</v>
      </c>
      <c r="C14301" s="9" t="s">
        <v>19205</v>
      </c>
      <c r="D14301" s="9" t="s">
        <v>19476</v>
      </c>
      <c r="E14301" s="6" t="s">
        <v>19556</v>
      </c>
      <c r="F14301" s="9"/>
    </row>
    <row r="14302" ht="33.75" customHeight="1">
      <c r="A14302" s="7">
        <v>928.0</v>
      </c>
      <c r="B14302" s="9" t="s">
        <v>19557</v>
      </c>
      <c r="C14302" s="9" t="s">
        <v>19558</v>
      </c>
      <c r="D14302" s="9" t="s">
        <v>19474</v>
      </c>
      <c r="E14302" s="6" t="s">
        <v>19559</v>
      </c>
      <c r="F14302" t="inlineStr" s="10">
        <is>
          <t xml:space="preserve">Smoliv suojelee itseään vihollisilta erittämällä öljyä hedelmästään sen päässä. Tämä öljy on niin kitkerää ja supistavaa, että se saa ihmisen säpsähtämään. Tämä Pokémon muuntaa ravinteet öljyksi, jota se varastoi päänsä hedelmään. Se voi helposti olla kokonaisen viikon syömättä tai juomatta.</t>
        </is>
      </c>
    </row>
    <row r="14303" ht="33.75" customHeight="1">
      <c r="A14303" s="7">
        <v>928.0</v>
      </c>
      <c r="B14303" s="9" t="s">
        <v>19557</v>
      </c>
      <c r="C14303" s="9" t="s">
        <v>19558</v>
      </c>
      <c r="D14303" s="9" t="s">
        <v>19476</v>
      </c>
      <c r="E14303" s="6" t="s">
        <v>19560</v>
      </c>
      <c r="F14303" s="9"/>
    </row>
    <row r="14304" ht="33.75" customHeight="1">
      <c r="A14304" s="7">
        <v>929.0</v>
      </c>
      <c r="B14304" s="9" t="s">
        <v>19561</v>
      </c>
      <c r="C14304" s="9" t="s">
        <v>19558</v>
      </c>
      <c r="D14304" s="9" t="s">
        <v>19474</v>
      </c>
      <c r="E14304" s="6" t="s">
        <v>19562</v>
      </c>
      <c r="F14304" t="inlineStr" s="10">
        <is>
          <t xml:space="preserve">Dolliv jakaa maukasta, raikkaan tuoksuista öljyään muiden kanssa. Tämä laji on elänyt rinnakkain ihmisten kanssa muinaisista ajoista lähtien. Se paistattelee auringossa sydämensä kyllyydestä, kunnes sen päässä olevat hedelmät kypsyvät. Sen jälkeen Dolliv jättää asutuksen ja lähtee matkalle.</t>
        </is>
      </c>
    </row>
    <row r="14305" ht="33.75" customHeight="1">
      <c r="A14305" s="7">
        <v>929.0</v>
      </c>
      <c r="B14305" s="9" t="s">
        <v>19561</v>
      </c>
      <c r="C14305" s="9" t="s">
        <v>19558</v>
      </c>
      <c r="D14305" s="9" t="s">
        <v>19476</v>
      </c>
      <c r="E14305" s="6" t="s">
        <v>19564</v>
      </c>
      <c r="F14305" s="9"/>
    </row>
    <row r="14306" ht="33.75" customHeight="1">
      <c r="A14306" s="7">
        <v>930.0</v>
      </c>
      <c r="B14306" s="9" t="s">
        <v>19565</v>
      </c>
      <c r="C14306" s="9" t="s">
        <v>19558</v>
      </c>
      <c r="D14306" s="9" t="s">
        <v>19474</v>
      </c>
      <c r="E14306" s="6" t="s">
        <v>19566</v>
      </c>
      <c r="F14306" t="inlineStr" s="10">
        <is>
          <t xml:space="preserve">Tämä rauhallinen Pokémon on hyvin myötätuntoinen. Se jakaa herkullista, ravinnepitoista öljyään heikentyneiden Pokémonien kanssa. Tämä Pokémon ajaa viholliset takaisin ampumalla rikasta, aromaattista öljyään heitä kohti niin voimakkaasti, että se murskaa lohkareen.</t>
        </is>
      </c>
    </row>
    <row r="14307" ht="33.75" customHeight="1">
      <c r="A14307" s="7">
        <v>930.0</v>
      </c>
      <c r="B14307" s="9" t="s">
        <v>19565</v>
      </c>
      <c r="C14307" s="9" t="s">
        <v>19558</v>
      </c>
      <c r="D14307" s="9" t="s">
        <v>19476</v>
      </c>
      <c r="E14307" s="6" t="s">
        <v>19567</v>
      </c>
      <c r="F14307" s="9"/>
    </row>
    <row r="14308" ht="33.75" customHeight="1">
      <c r="A14308" s="7">
        <v>931.0</v>
      </c>
      <c r="B14308" s="9" t="s">
        <v>19568</v>
      </c>
      <c r="C14308" s="9" t="s">
        <v>19569</v>
      </c>
      <c r="D14308" s="9" t="s">
        <v>19474</v>
      </c>
      <c r="E14308" s="6" t="s">
        <v>19570</v>
      </c>
      <c r="F14308" t="inlineStr" s="10">
        <is>
          <t xml:space="preserve">Nämä Pokémonit viihtyvät kaupungeissa. Ne muodostavat parvia höyheniensä värin perusteella ja taistelevat alueesta. Vihreähöyheniset parvet hallitsevat eniten. Kun ne etsivät ruokaa aamuisin ja iltaisin, siitä tulee erittäin meluisaa.</t>
        </is>
      </c>
    </row>
    <row r="14309" ht="33.75" customHeight="1">
      <c r="A14309" s="7">
        <v>931.0</v>
      </c>
      <c r="B14309" s="9" t="s">
        <v>19568</v>
      </c>
      <c r="C14309" s="9" t="s">
        <v>19569</v>
      </c>
      <c r="D14309" s="9" t="s">
        <v>19476</v>
      </c>
      <c r="E14309" s="6" t="s">
        <v>19571</v>
      </c>
      <c r="F14309" s="9"/>
    </row>
    <row r="14310" ht="33.75" customHeight="1">
      <c r="A14310" s="7">
        <v>932.0</v>
      </c>
      <c r="B14310" s="9" t="s">
        <v>19572</v>
      </c>
      <c r="C14310" s="9" t="s">
        <v>19573</v>
      </c>
      <c r="D14310" s="9" t="s">
        <v>19474</v>
      </c>
      <c r="E14310" s="6" t="s">
        <v>19574</v>
      </c>
      <c r="F14310" t="inlineStr" s="10">
        <is>
          <t xml:space="preserve">Nacli syntyi syvällä maan alla olevassa vuorisuolakerroksessa. Tätä lajia arvostettiin erityisesti ennen vanhaan, sillä ne jakoivat arvokasta suolaa. Maa raapii sen kehoa matkalla, jolloin se jättää jälkeensä suolaa. Suolaa syntyy ja täydentyy jatkuvasti Naclin kehossa.</t>
        </is>
      </c>
    </row>
    <row r="14311" ht="33.75" customHeight="1">
      <c r="A14311" s="7">
        <v>932.0</v>
      </c>
      <c r="B14311" s="9" t="s">
        <v>19572</v>
      </c>
      <c r="C14311" s="9" t="s">
        <v>19573</v>
      </c>
      <c r="D14311" s="9" t="s">
        <v>19476</v>
      </c>
      <c r="E14311" s="6" t="s">
        <v>19576</v>
      </c>
      <c r="F14311" s="9"/>
    </row>
    <row r="14312" ht="33.75" customHeight="1">
      <c r="A14312" s="7">
        <v>933.0</v>
      </c>
      <c r="B14312" s="9" t="s">
        <v>19577</v>
      </c>
      <c r="C14312" s="9" t="s">
        <v>19573</v>
      </c>
      <c r="D14312" s="9" t="s">
        <v>19474</v>
      </c>
      <c r="E14312" s="6" t="s">
        <v>19578</v>
      </c>
      <c r="F14312" t="inlineStr" s="10">
        <is>
          <t xml:space="preserve">Tämä Pokémon kuivakovettaa saaliinsa suihkuttamalla suolaa Naclstackin päälle. Kovetusprosessi varastaa veden saaliin kehosta. Se puristaa vuorisuolaa ruumiinsa sisään ja ampuu ulos kovettunutta suolarakeita niin suurella voimalla, että se lävistää rautalevyn.</t>
        </is>
      </c>
    </row>
    <row r="14313" ht="33.75" customHeight="1">
      <c r="A14313" s="7">
        <v>933.0</v>
      </c>
      <c r="B14313" s="9" t="s">
        <v>19577</v>
      </c>
      <c r="C14313" s="9" t="s">
        <v>19573</v>
      </c>
      <c r="D14313" s="9" t="s">
        <v>19476</v>
      </c>
      <c r="E14313" s="6" t="s">
        <v>19579</v>
      </c>
      <c r="F14313" s="9"/>
    </row>
    <row r="14314" ht="33.75" customHeight="1">
      <c r="A14314" s="7">
        <v>934.0</v>
      </c>
      <c r="B14314" s="9" t="s">
        <v>19580</v>
      </c>
      <c r="C14314" s="9" t="s">
        <v>19573</v>
      </c>
      <c r="D14314" s="9" t="s">
        <v>19474</v>
      </c>
      <c r="E14314" s="6" t="s">
        <v>19581</v>
      </c>
      <c r="F14314" t="inlineStr" s="10">
        <is>
          <t xml:space="preserve">Garganacl hieroo sormenpäitään yhteen ja ripottelee suolaa loukkaantuneille Pokémoneille. Jopa vakavat haavat paranevat nopeasti sen jälkeen. Monet Pokémonit kerääntyvät Garganacl'n ympärille toivoen nuolevansa sen mineraalipitoista suolaa.</t>
        </is>
      </c>
    </row>
    <row r="14315" ht="33.75" customHeight="1">
      <c r="A14315" s="7">
        <v>934.0</v>
      </c>
      <c r="B14315" s="9" t="s">
        <v>19580</v>
      </c>
      <c r="C14315" s="9" t="s">
        <v>19573</v>
      </c>
      <c r="D14315" s="9" t="s">
        <v>19476</v>
      </c>
      <c r="E14315" s="6" t="s">
        <v>19582</v>
      </c>
      <c r="F14315" s="9"/>
    </row>
    <row r="14316" ht="33.75" customHeight="1">
      <c r="A14316" s="7">
        <v>935.0</v>
      </c>
      <c r="B14316" s="9" t="s">
        <v>19583</v>
      </c>
      <c r="C14316" s="9" t="s">
        <v>19584</v>
      </c>
      <c r="D14316" s="9" t="s">
        <v>19474</v>
      </c>
      <c r="E14316" s="6" t="s">
        <v>19585</v>
      </c>
      <c r="F14316" t="inlineStr" s="10">
        <is>
          <t xml:space="preserve">Palanut hiili heräsi eloon ja siitä tuli Pokémon. Tulisen taistelutahtonsa ansiosta Charcadet taistelee koviakin vastustajia vastaan. Sen tulivoima kasvaa taistelussa ja lämpötila nousee yli 800 celsiusasteeseen. Se pitää rasvaisista marjoista.</t>
        </is>
      </c>
    </row>
    <row r="14317" ht="33.75" customHeight="1">
      <c r="A14317" s="7">
        <v>935.0</v>
      </c>
      <c r="B14317" s="9" t="s">
        <v>19583</v>
      </c>
      <c r="C14317" s="9" t="s">
        <v>19584</v>
      </c>
      <c r="D14317" s="9" t="s">
        <v>19476</v>
      </c>
      <c r="E14317" s="6" t="s">
        <v>19587</v>
      </c>
      <c r="F14317" s="9"/>
    </row>
    <row r="14318" ht="33.75" customHeight="1">
      <c r="A14318" s="7">
        <v>936.0</v>
      </c>
      <c r="B14318" s="9" t="s">
        <v>19588</v>
      </c>
      <c r="C14318" s="9" t="s">
        <v>19589</v>
      </c>
      <c r="D14318" s="9" t="s">
        <v>19474</v>
      </c>
      <c r="E14318" s="6" t="s">
        <v>19590</v>
      </c>
      <c r="F14318" t="inlineStr" s="10">
        <is>
          <t xml:space="preserve">Armarouge kehittyi käyttämällä haarniskoja, jotka kuuluivat arvostetulle soturille. Tämä Pokémon on uskomattoman uskollinen. Tämä Pokémon pukeutuu psyykkisellä ja tulienergialla vahvistettuun haarniskaan ja ampuu liekehtiviä tulipalloja.</t>
        </is>
      </c>
    </row>
    <row r="14319" ht="33.75" customHeight="1">
      <c r="A14319" s="7">
        <v>936.0</v>
      </c>
      <c r="B14319" s="9" t="s">
        <v>19588</v>
      </c>
      <c r="C14319" s="9" t="s">
        <v>19589</v>
      </c>
      <c r="D14319" s="9" t="s">
        <v>19476</v>
      </c>
      <c r="E14319" s="6" t="s">
        <v>19591</v>
      </c>
      <c r="F14319" s="9"/>
    </row>
    <row r="14320" ht="33.75" customHeight="1">
      <c r="A14320" s="7">
        <v>937.0</v>
      </c>
      <c r="B14320" s="9" t="s">
        <v>19592</v>
      </c>
      <c r="C14320" s="9" t="s">
        <v>19593</v>
      </c>
      <c r="D14320" s="9" t="s">
        <v>19474</v>
      </c>
      <c r="E14320" s="6" t="s">
        <v>19594</v>
      </c>
      <c r="F14320" t="inlineStr" s="10">
        <is>
          <t xml:space="preserve">Ceruledgen käsien tulisissa teräissä välähtää raivokkaasti miekankäyttäjän viipyilevä kauna, joka kaatui ennen tavoitteensa saavuttamista. Vanha, kaunojen kyllästämä haarniska aiheutti tämän Pokémonin evoluution. Ceruledge silpoo vihollisensa palasiksi armotta.</t>
        </is>
      </c>
    </row>
    <row r="14321" ht="33.75" customHeight="1">
      <c r="A14321" s="7">
        <v>937.0</v>
      </c>
      <c r="B14321" s="9" t="s">
        <v>19592</v>
      </c>
      <c r="C14321" s="9" t="s">
        <v>19593</v>
      </c>
      <c r="D14321" s="9" t="s">
        <v>19476</v>
      </c>
      <c r="E14321" s="6" t="s">
        <v>19595</v>
      </c>
      <c r="F14321" s="9"/>
    </row>
    <row r="14322" ht="33.75" customHeight="1">
      <c r="A14322" s="7">
        <v>938.0</v>
      </c>
      <c r="B14322" s="9" t="s">
        <v>19596</v>
      </c>
      <c r="C14322" s="9" t="s">
        <v>19597</v>
      </c>
      <c r="D14322" s="9" t="s">
        <v>19474</v>
      </c>
      <c r="E14322" s="6" t="s">
        <v>19598</v>
      </c>
      <c r="F14322" t="inlineStr" s="10">
        <is>
          <t xml:space="preserve">Tadbulb ravistelee häntäänsä tuottaakseen sähköä. Jos se aistii vaaran, se saa päänsä vilkkumaan hälyttääkseen liittolaisiaan. Se kelluu kehoonsa varastoituneen sähkön avulla. Ukkospilvien ollessa lähellä Tadbulb leijuu korkeammalle maanpinnasta.</t>
        </is>
      </c>
    </row>
    <row r="14323" ht="33.75" customHeight="1">
      <c r="A14323" s="7">
        <v>938.0</v>
      </c>
      <c r="B14323" s="9" t="s">
        <v>19596</v>
      </c>
      <c r="C14323" s="9" t="s">
        <v>19597</v>
      </c>
      <c r="D14323" s="9" t="s">
        <v>19476</v>
      </c>
      <c r="E14323" s="6" t="s">
        <v>19600</v>
      </c>
      <c r="F14323" s="9"/>
    </row>
    <row r="14324" ht="33.75" customHeight="1">
      <c r="A14324" s="7">
        <v>939.0</v>
      </c>
      <c r="B14324" s="9" t="s">
        <v>19601</v>
      </c>
      <c r="C14324" s="9" t="s">
        <v>19602</v>
      </c>
      <c r="D14324" s="9" t="s">
        <v>19474</v>
      </c>
      <c r="E14324" s="6" t="s">
        <v>19603</v>
      </c>
      <c r="F14324" t="inlineStr" s="10">
        <is>
          <t xml:space="preserve">Kun tämä Pokémon laajenee ja supistaa heiluvaa ruumistaan, Belliboltin vatsassa oleva napadynamo tuottaa valtavan määrän sähköä. Silmämunilta näyttävät elimet ovat itse asiassa elimiä, jotka purkavat Belliboltin napadynamon tuottamaa sähköä.</t>
        </is>
      </c>
    </row>
    <row r="14325" ht="33.75" customHeight="1">
      <c r="A14325" s="7">
        <v>939.0</v>
      </c>
      <c r="B14325" s="9" t="s">
        <v>19601</v>
      </c>
      <c r="C14325" s="9" t="s">
        <v>19602</v>
      </c>
      <c r="D14325" s="9" t="s">
        <v>19476</v>
      </c>
      <c r="E14325" s="6" t="s">
        <v>19604</v>
      </c>
      <c r="F14325" s="9"/>
    </row>
    <row r="14326" ht="33.75" customHeight="1">
      <c r="A14326" s="7">
        <v>940.0</v>
      </c>
      <c r="B14326" s="9" t="s">
        <v>19605</v>
      </c>
      <c r="C14326" s="9" t="s">
        <v>19606</v>
      </c>
      <c r="D14326" s="9" t="s">
        <v>19474</v>
      </c>
      <c r="E14326" s="6" t="s">
        <v>19607</v>
      </c>
      <c r="F14326" t="inlineStr" s="10">
        <is>
          <t xml:space="preserve">Kun Wattrelin siivet osuvat tuuleen, niiden sisällä olevat luut tuottavat sähköä. Tämä Pokémon sukeltaa mereen ja pyydystää saalista sähköiskulla. Nämä Pokémonit tekevät pesänsä rannikkokallioille. Pesillä on outo, rätisevä rakenne, ja ne ovat suosittu herkku.</t>
        </is>
      </c>
    </row>
    <row r="14327" ht="33.75" customHeight="1">
      <c r="A14327" s="7">
        <v>940.0</v>
      </c>
      <c r="B14327" s="9" t="s">
        <v>19605</v>
      </c>
      <c r="C14327" s="9" t="s">
        <v>19606</v>
      </c>
      <c r="D14327" s="9" t="s">
        <v>19476</v>
      </c>
      <c r="E14327" s="6" t="s">
        <v>19608</v>
      </c>
      <c r="F14327" s="9"/>
    </row>
    <row r="14328" ht="33.75" customHeight="1">
      <c r="A14328" s="7">
        <v>941.0</v>
      </c>
      <c r="B14328" s="9" t="s">
        <v>19609</v>
      </c>
      <c r="C14328" s="9" t="s">
        <v>19610</v>
      </c>
      <c r="D14328" s="9" t="s">
        <v>19474</v>
      </c>
      <c r="E14328" s="6" t="s">
        <v>19611</v>
      </c>
      <c r="F14328" t="inlineStr" s="10">
        <is>
          <t xml:space="preserve">Kilowattrel täyttää kurkkupussinsa vahvistaakseen sähköisyyttään. Tuulen avulla tämä Pokémon voi lentää yli 700 kilometriä päivässä. Se käyttää kurkkupussiaan siipiensä tuottaman sähkön varastointiin. Sen höyhenissä on tuskin lainkaan öljyä, joten se on huono uimari.</t>
        </is>
      </c>
    </row>
    <row r="14329" ht="33.75" customHeight="1">
      <c r="A14329" s="7">
        <v>941.0</v>
      </c>
      <c r="B14329" s="9" t="s">
        <v>19609</v>
      </c>
      <c r="C14329" s="9" t="s">
        <v>19610</v>
      </c>
      <c r="D14329" s="9" t="s">
        <v>19476</v>
      </c>
      <c r="E14329" s="6" t="s">
        <v>19612</v>
      </c>
      <c r="F14329" s="9"/>
    </row>
    <row r="14330" ht="33.75" customHeight="1">
      <c r="A14330" s="7">
        <v>942.0</v>
      </c>
      <c r="B14330" s="9" t="s">
        <v>19614</v>
      </c>
      <c r="C14330" s="9" t="s">
        <v>19615</v>
      </c>
      <c r="D14330" s="9" t="s">
        <v>19474</v>
      </c>
      <c r="E14330" s="6" t="s">
        <v>19616</v>
      </c>
      <c r="F14330" t="inlineStr" s="10">
        <is>
          <t xml:space="preserve">Maschiff aina irvistää yrittäessään saada vastustajat ottamaan sen vakavasti, mutta jopa itkevät lapset purskahtavat nauruun nähdessään Maschiffin kasvot. Sen hyvin kehittyneet leuat ja kulmahampaat ovat riittävän vahvat murskaamaan lohkareita, ja sen paksu rasva tarjoaa erinomaisen puolustuksen.</t>
        </is>
      </c>
    </row>
    <row r="14331" ht="33.75" customHeight="1">
      <c r="A14331" s="7">
        <v>942.0</v>
      </c>
      <c r="B14331" s="9" t="s">
        <v>19614</v>
      </c>
      <c r="C14331" s="9" t="s">
        <v>19615</v>
      </c>
      <c r="D14331" s="9" t="s">
        <v>19476</v>
      </c>
      <c r="E14331" s="6" t="s">
        <v>19617</v>
      </c>
      <c r="F14331" s="9"/>
    </row>
    <row r="14332" ht="33.75" customHeight="1">
      <c r="A14332" s="7">
        <v>943.0</v>
      </c>
      <c r="B14332" s="9" t="s">
        <v>19618</v>
      </c>
      <c r="C14332" s="9" t="s">
        <v>19619</v>
      </c>
      <c r="D14332" s="9" t="s">
        <v>19474</v>
      </c>
      <c r="E14332" s="6" t="s">
        <v>19620</v>
      </c>
      <c r="F14332" t="inlineStr" s="10">
        <is>
          <t xml:space="preserve">Tämä Pokémon voi varastoida energiaa suureen kaulanalustaan. Mabosstiff vapauttaa tämän energian kerralla räjäyttääkseen viholliset pois. Mabosstiff rakastaa leikkiä lasten kanssa. Vaikka se on yleensä lempeä, se näyttää pelottavalta suojellessaan perhettään.</t>
        </is>
      </c>
    </row>
    <row r="14333" ht="33.75" customHeight="1">
      <c r="A14333" s="7">
        <v>943.0</v>
      </c>
      <c r="B14333" s="9" t="s">
        <v>19618</v>
      </c>
      <c r="C14333" s="9" t="s">
        <v>19619</v>
      </c>
      <c r="D14333" s="9" t="s">
        <v>19476</v>
      </c>
      <c r="E14333" s="6" t="s">
        <v>19621</v>
      </c>
      <c r="F14333" s="9"/>
    </row>
    <row r="14334" ht="33.75" customHeight="1">
      <c r="A14334" s="7">
        <v>944.0</v>
      </c>
      <c r="B14334" s="9" t="s">
        <v>19622</v>
      </c>
      <c r="C14334" s="9" t="s">
        <v>19623</v>
      </c>
      <c r="D14334" s="9" t="s">
        <v>19474</v>
      </c>
      <c r="E14334" s="6" t="s">
        <v>19624</v>
      </c>
      <c r="F14334" t="inlineStr" s="10">
        <is>
          <t xml:space="preserve">Vaikka se on yleensä leppoisa Pokémon, se upottaa terävät, myrkytetyt etuhampaansa mihin tahansa, mikä suututtaa sitä, aiheuttaen vihansa kohteen halvaantumisen. Pitääkseen viholliset poissa reviiriltään se maalaa pesänsä ympärille merkintöjä myrkyllisellä nesteellä, jolla on pistävän haju.</t>
        </is>
      </c>
    </row>
    <row r="14335" ht="33.75" customHeight="1">
      <c r="A14335" s="7">
        <v>944.0</v>
      </c>
      <c r="B14335" s="9" t="s">
        <v>19622</v>
      </c>
      <c r="C14335" s="9" t="s">
        <v>19623</v>
      </c>
      <c r="D14335" s="9" t="s">
        <v>19476</v>
      </c>
      <c r="E14335" s="6" t="s">
        <v>19626</v>
      </c>
      <c r="F14335" s="9"/>
    </row>
    <row r="14336" ht="33.75" customHeight="1">
      <c r="A14336" s="7">
        <v>945.0</v>
      </c>
      <c r="B14336" s="9" t="s">
        <v>19627</v>
      </c>
      <c r="C14336" s="9" t="s">
        <v>19628</v>
      </c>
      <c r="D14336" s="9" t="s">
        <v>19474</v>
      </c>
      <c r="E14336" s="6" t="s">
        <v>19629</v>
      </c>
      <c r="F14336" t="inlineStr" s="10">
        <is>
          <t xml:space="preserve">Myrkyllisen syljen väri riippuu siitä, mitä Pokémon syö. Grafaiai peittää sormensa sylkeen ja piirtää kuvioita puihin metsissä. Jokainen Grafaiai maalaa oman yksilöllisen kuvionsa, ja se maalaa saman kuvion yhä uudelleen ja uudelleen koko elämänsä ajan.</t>
        </is>
      </c>
    </row>
    <row r="14337" ht="33.75" customHeight="1">
      <c r="A14337" s="7">
        <v>945.0</v>
      </c>
      <c r="B14337" s="9" t="s">
        <v>19627</v>
      </c>
      <c r="C14337" s="9" t="s">
        <v>19628</v>
      </c>
      <c r="D14337" s="9" t="s">
        <v>19476</v>
      </c>
      <c r="E14337" s="6" t="s">
        <v>19630</v>
      </c>
      <c r="F14337" s="9"/>
    </row>
    <row r="14338" ht="33.75" customHeight="1">
      <c r="A14338" s="7">
        <v>946.0</v>
      </c>
      <c r="B14338" s="9" t="s">
        <v>19631</v>
      </c>
      <c r="C14338" s="9" t="s">
        <v>19632</v>
      </c>
      <c r="D14338" s="9" t="s">
        <v>19474</v>
      </c>
      <c r="E14338" s="6" t="s">
        <v>19633</v>
      </c>
      <c r="F14338" t="inlineStr" s="10">
        <is>
          <t xml:space="preserve">Sielu, joka ei kyennyt siirtymään tuonpuoleiseen, joutui tuulen lennättämäksi, kunnes se takertui kuivaan ruohoon ja siitä tuli Pokémon. Edes Bramblin ei tiedä minne se on menossa syöksyessään erämaan halki tuulen viemänä. Se inhoaa kastumista.</t>
        </is>
      </c>
    </row>
    <row r="14339" ht="33.75" customHeight="1">
      <c r="A14339" s="7">
        <v>946.0</v>
      </c>
      <c r="B14339" s="9" t="s">
        <v>19631</v>
      </c>
      <c r="C14339" s="9" t="s">
        <v>19632</v>
      </c>
      <c r="D14339" s="9" t="s">
        <v>19476</v>
      </c>
      <c r="E14339" s="6" t="s">
        <v>19634</v>
      </c>
      <c r="F14339" s="9"/>
    </row>
    <row r="14340" ht="33.75" customHeight="1">
      <c r="A14340" s="7">
        <v>947.0</v>
      </c>
      <c r="B14340" s="9" t="s">
        <v>19635</v>
      </c>
      <c r="C14340" s="9" t="s">
        <v>19632</v>
      </c>
      <c r="D14340" s="9" t="s">
        <v>19474</v>
      </c>
      <c r="E14340" s="6" t="s">
        <v>19636</v>
      </c>
      <c r="F14340" t="inlineStr" s="10">
        <is>
          <t xml:space="preserve">Brambleghast avaa päänsä oksat ympäröidäkseen saaliinsa. Kun se on imenyt kaiken tarvitsemansa elämänenergian, se karkottaa saaliin ja hylkää sen. Brambleghast vaeltelee kuivilla alueilla. Harvinaisissa tapauksissa näiden Pokémonien massaesiintymät hautaavat kokonaisen kaupungin.</t>
        </is>
      </c>
    </row>
    <row r="14341" ht="33.75" customHeight="1">
      <c r="A14341" s="7">
        <v>947.0</v>
      </c>
      <c r="B14341" s="9" t="s">
        <v>19635</v>
      </c>
      <c r="C14341" s="9" t="s">
        <v>19632</v>
      </c>
      <c r="D14341" s="9" t="s">
        <v>19476</v>
      </c>
      <c r="E14341" s="6" t="s">
        <v>19637</v>
      </c>
      <c r="F14341" s="9"/>
    </row>
    <row r="14342" ht="33.75" customHeight="1">
      <c r="A14342" s="7">
        <v>948.0</v>
      </c>
      <c r="B14342" s="9" t="s">
        <v>19638</v>
      </c>
      <c r="C14342" s="9" t="s">
        <v>19639</v>
      </c>
      <c r="D14342" s="9" t="s">
        <v>19474</v>
      </c>
      <c r="E14342" s="6" t="s">
        <v>19640</v>
      </c>
      <c r="F14342" t="inlineStr" s="10">
        <is>
          <t xml:space="preserve">Toedscool elää kosteissa metsissä. Sen ruumiista putoavat läpät ovat sitkeitä ja erittäin herkullisia. Vaikka se näyttää Tentacool-kalalta, Toedscool on täysin eri laji. Sen jalat saattavat olla ohuet, mutta se voi juosta jopa 48 km/h nopeudella.</t>
        </is>
      </c>
    </row>
    <row r="14343" ht="33.75" customHeight="1">
      <c r="A14343" s="7">
        <v>948.0</v>
      </c>
      <c r="B14343" s="9" t="s">
        <v>19638</v>
      </c>
      <c r="C14343" s="9" t="s">
        <v>19639</v>
      </c>
      <c r="D14343" s="9" t="s">
        <v>19476</v>
      </c>
      <c r="E14343" s="6" t="s">
        <v>19641</v>
      </c>
      <c r="F14343" s="9"/>
    </row>
    <row r="14344" ht="33.75" customHeight="1">
      <c r="A14344" s="7">
        <v>949.0</v>
      </c>
      <c r="B14344" s="9" t="s">
        <v>19643</v>
      </c>
      <c r="C14344" s="9" t="s">
        <v>19639</v>
      </c>
      <c r="D14344" s="9" t="s">
        <v>19474</v>
      </c>
      <c r="E14344" s="6" t="s">
        <v>19644</v>
      </c>
      <c r="F14344" t="inlineStr" s="10">
        <is>
          <t xml:space="preserve">Nämä Pokémonit kerääntyvät ryhmiin ja muodostavat yhdyskuntia syvällä metsissä. Ne vihaavat sitä, kun vieraat lähestyvät. Se kietoo 10 lonkeronsa saaliinsa ympärille ja imee niiden ravinteet, mikä aiheuttaa saaliille kipua. Sen pään reunan poimut ovat suosittua herkkua.</t>
        </is>
      </c>
    </row>
    <row r="14345" ht="33.75" customHeight="1">
      <c r="A14345" s="7">
        <v>949.0</v>
      </c>
      <c r="B14345" s="9" t="s">
        <v>19643</v>
      </c>
      <c r="C14345" s="9" t="s">
        <v>19639</v>
      </c>
      <c r="D14345" s="9" t="s">
        <v>19476</v>
      </c>
      <c r="E14345" s="6" t="s">
        <v>19645</v>
      </c>
      <c r="F14345" s="9"/>
    </row>
    <row r="14346" ht="33.75" customHeight="1">
      <c r="A14346" s="7">
        <v>950.0</v>
      </c>
      <c r="B14346" s="9" t="s">
        <v>19646</v>
      </c>
      <c r="C14346" s="9" t="s">
        <v>19647</v>
      </c>
      <c r="D14346" s="9" t="s">
        <v>19474</v>
      </c>
      <c r="E14346" s="6" t="s">
        <v>19648</v>
      </c>
      <c r="F14346" t="inlineStr" s="10">
        <is>
          <t xml:space="preserve">Klawf roikkuu ylösalaisin kallioilla odottamassa saalista. Mutta Klawf ei voi pysyä tässä asennossa kauan, koska sen veri nousee päähän. Tämä Pokémon elää jyrkillä kallioilla. Se väistää vastustajien hyökkäykset ja hyökkää sitten kynsillään heidän heikkoihin kohtiinsa.</t>
        </is>
      </c>
    </row>
    <row r="14347" ht="33.75" customHeight="1">
      <c r="A14347" s="7">
        <v>950.0</v>
      </c>
      <c r="B14347" s="9" t="s">
        <v>19646</v>
      </c>
      <c r="C14347" s="9" t="s">
        <v>19647</v>
      </c>
      <c r="D14347" s="9" t="s">
        <v>19476</v>
      </c>
      <c r="E14347" s="6" t="s">
        <v>19649</v>
      </c>
      <c r="F14347" s="9"/>
    </row>
    <row r="14348" ht="33.75" customHeight="1">
      <c r="A14348" s="7">
        <v>951.0</v>
      </c>
      <c r="B14348" s="9" t="s">
        <v>19651</v>
      </c>
      <c r="C14348" s="9" t="s">
        <v>19652</v>
      </c>
      <c r="D14348" s="9" t="s">
        <v>19474</v>
      </c>
      <c r="E14348" s="6" t="s">
        <v>19653</v>
      </c>
      <c r="F14348" t="inlineStr" s="10">
        <is>
          <t xml:space="preserve">Mitä enemmän auringonvaloa tämä Pokémon kylpee, sitä enemmän Capsakidin keho tuottaa mausteisempia kemikaaleja, ja sitä mausteisemmiksi sen liikkeet tulevat. Perinteiset paldealaiset ruoat voivat olla erittäin tulisia, koska niiden ainesosiin kuuluvat Capsakidin irronneet etuhampaat.</t>
        </is>
      </c>
    </row>
    <row r="14349" ht="33.75" customHeight="1">
      <c r="A14349" s="7">
        <v>951.0</v>
      </c>
      <c r="B14349" s="9" t="s">
        <v>19651</v>
      </c>
      <c r="C14349" s="9" t="s">
        <v>19652</v>
      </c>
      <c r="D14349" s="9" t="s">
        <v>19476</v>
      </c>
      <c r="E14349" s="6" t="s">
        <v>19654</v>
      </c>
      <c r="F14349" s="9"/>
    </row>
    <row r="14350" ht="33.75" customHeight="1">
      <c r="A14350" s="7">
        <v>952.0</v>
      </c>
      <c r="B14350" s="9" t="s">
        <v>19655</v>
      </c>
      <c r="C14350" s="9" t="s">
        <v>19652</v>
      </c>
      <c r="D14350" s="9" t="s">
        <v>19474</v>
      </c>
      <c r="E14350" s="6" t="s">
        <v>19656</v>
      </c>
      <c r="F14350" t="inlineStr" s="10">
        <is>
          <t xml:space="preserve">Punainen pää muuntaa mausteiset kemikaalit tulienergiaksi ja räjäyttää ympäröivän alueen supermausteisella liekkisuihkulla. Vihreä pää on muuttunut ilkeäksi mausteisten kemikaalien stimuloidessa sen aivoja. Kun se kerran riehuu, sitä ei voi pysäyttää.</t>
        </is>
      </c>
    </row>
    <row r="14351" ht="33.75" customHeight="1">
      <c r="A14351" s="7">
        <v>952.0</v>
      </c>
      <c r="B14351" s="9" t="s">
        <v>19655</v>
      </c>
      <c r="C14351" s="9" t="s">
        <v>19652</v>
      </c>
      <c r="D14351" s="9" t="s">
        <v>19476</v>
      </c>
      <c r="E14351" s="6" t="s">
        <v>19657</v>
      </c>
      <c r="F14351" s="9"/>
    </row>
    <row r="14352" ht="33.75" customHeight="1">
      <c r="A14352" s="7">
        <v>953.0</v>
      </c>
      <c r="B14352" s="9" t="s">
        <v>19658</v>
      </c>
      <c r="C14352" s="9" t="s">
        <v>18186</v>
      </c>
      <c r="D14352" s="9" t="s">
        <v>19474</v>
      </c>
      <c r="E14352" s="6" t="s">
        <v>19660</v>
      </c>
      <c r="F14352" t="inlineStr" s="10">
        <is>
          <t xml:space="preserve">Tämä Pokémon luo mutapallon sekoittamalla hiekkaa ja multaa psyykkiseen energiaan. Se vaalii mutapalloaan enemmän kuin omaa elämäänsä. Se pyörittelee mutapalloaan ympäriinsä samalla kun sen evoluutioon tarvitsema energia kypsyy. Lopulta koittaa sen kehityksen aika.</t>
        </is>
      </c>
    </row>
    <row r="14353" ht="33.75" customHeight="1">
      <c r="A14353" s="7">
        <v>953.0</v>
      </c>
      <c r="B14353" s="9" t="s">
        <v>19658</v>
      </c>
      <c r="C14353" s="9" t="s">
        <v>18186</v>
      </c>
      <c r="D14353" s="9" t="s">
        <v>19476</v>
      </c>
      <c r="E14353" s="6" t="s">
        <v>19661</v>
      </c>
      <c r="F14353" s="9"/>
    </row>
    <row r="14354" ht="33.75" customHeight="1">
      <c r="A14354" s="7">
        <v>954.0</v>
      </c>
      <c r="B14354" s="9" t="s">
        <v>19662</v>
      </c>
      <c r="C14354" s="9" t="s">
        <v>18186</v>
      </c>
      <c r="D14354" s="9" t="s">
        <v>19474</v>
      </c>
      <c r="E14354" s="6" t="s">
        <v>19663</v>
      </c>
      <c r="F14354" t="inlineStr" s="10">
        <is>
          <t xml:space="preserve">Palloa tukeva ruumis tuskin liikkuu. Siksi ajatellaan, että tämän Pokémonin todellinen ruumis on itse asiassa pallon sisällä. Vauva nukkuu pallon sisällä. Rabsca pyörittelee palloa rauhoittavasti jaloillaan varmistaakseen, että vauva nukkuu mukavasti.</t>
        </is>
      </c>
    </row>
    <row r="14355" ht="33.75" customHeight="1">
      <c r="A14355" s="7">
        <v>954.0</v>
      </c>
      <c r="B14355" s="9" t="s">
        <v>19662</v>
      </c>
      <c r="C14355" s="9" t="s">
        <v>18186</v>
      </c>
      <c r="D14355" s="9" t="s">
        <v>19476</v>
      </c>
      <c r="E14355" s="6" t="s">
        <v>19664</v>
      </c>
      <c r="F14355" s="9"/>
    </row>
    <row r="14356" ht="33.75" customHeight="1">
      <c r="A14356" s="7">
        <v>955.0</v>
      </c>
      <c r="B14356" s="9" t="s">
        <v>19665</v>
      </c>
      <c r="C14356" s="9" t="s">
        <v>19666</v>
      </c>
      <c r="D14356" s="9" t="s">
        <v>19474</v>
      </c>
      <c r="E14356" s="6" t="s">
        <v>19667</v>
      </c>
      <c r="F14356" t="inlineStr" s="10">
        <is>
          <t xml:space="preserve">Flittlen varpaat leijuvat noin puoli tuumaa maanpinnan yläpuolella Pokémonin vatsan röyhelöistä säteilevän psyykkisen voiman ansiosta. Se viettää aikansa juosten autiomailla. Jos joku varastaa sen rakkaat marjat, se ajaa ne takaa ja kostaa.</t>
        </is>
      </c>
    </row>
    <row r="14357" ht="33.75" customHeight="1">
      <c r="A14357" s="7">
        <v>955.0</v>
      </c>
      <c r="B14357" s="9" t="s">
        <v>19665</v>
      </c>
      <c r="C14357" s="9" t="s">
        <v>19666</v>
      </c>
      <c r="D14357" s="9" t="s">
        <v>19476</v>
      </c>
      <c r="E14357" s="6" t="s">
        <v>19668</v>
      </c>
      <c r="F14357" s="9"/>
    </row>
    <row r="14358" ht="33.75" customHeight="1">
      <c r="A14358" s="7">
        <v>956.0</v>
      </c>
      <c r="B14358" s="9" t="s">
        <v>19669</v>
      </c>
      <c r="C14358" s="9" t="s">
        <v>19670</v>
      </c>
      <c r="D14358" s="9" t="s">
        <v>19474</v>
      </c>
      <c r="E14358" s="6" t="s">
        <v>19671</v>
      </c>
      <c r="F14358" t="inlineStr" s="10">
        <is>
          <t xml:space="preserve">Espathra lamauttaa vastustajat kylpemällä heitä psyykkisessä voimassa suurista silmistään. Ulkonäöstään huolimatta sillä on ilkeämielinen luonne. Se säteilee psyykkistä voimaa moniväristen korsettien välisistä raoista ja spurttaa yli 120 mph:n nopeudella.</t>
        </is>
      </c>
    </row>
    <row r="14359" ht="33.75" customHeight="1">
      <c r="A14359" s="7">
        <v>956.0</v>
      </c>
      <c r="B14359" s="9" t="s">
        <v>19669</v>
      </c>
      <c r="C14359" s="9" t="s">
        <v>19670</v>
      </c>
      <c r="D14359" s="9" t="s">
        <v>19476</v>
      </c>
      <c r="E14359" s="6" t="s">
        <v>19673</v>
      </c>
      <c r="F14359" s="9"/>
    </row>
    <row r="14360" ht="33.75" customHeight="1">
      <c r="A14360" s="7">
        <v>957.0</v>
      </c>
      <c r="B14360" s="9" t="s">
        <v>19674</v>
      </c>
      <c r="C14360" s="9" t="s">
        <v>19675</v>
      </c>
      <c r="D14360" s="9" t="s">
        <v>19474</v>
      </c>
      <c r="E14360" s="6" t="s">
        <v>19676</v>
      </c>
      <c r="F14360" t="inlineStr" s="10">
        <is>
          <t xml:space="preserve">Tinkatink heiluttelee itse tehtyä vasaraansa suojatakseen itseään, mutta metallia syövät Pokémonit usein varastavat vasaran. Tämä Pokémon hakkaa rautaromuja yhteen tehdäkseen vasaran. Se tekee vasaraa uudestaan ​​ja uudestaan, kunnes on tyytyväinen lopputulokseen.</t>
        </is>
      </c>
    </row>
    <row r="14361" ht="33.75" customHeight="1">
      <c r="A14361" s="7">
        <v>957.0</v>
      </c>
      <c r="B14361" s="9" t="s">
        <v>19674</v>
      </c>
      <c r="C14361" s="9" t="s">
        <v>19675</v>
      </c>
      <c r="D14361" s="9" t="s">
        <v>19476</v>
      </c>
      <c r="E14361" s="6" t="s">
        <v>19677</v>
      </c>
      <c r="F14361" s="9"/>
    </row>
    <row r="14362" ht="33.75" customHeight="1">
      <c r="A14362" s="7">
        <v>958.0</v>
      </c>
      <c r="B14362" s="9" t="s">
        <v>19678</v>
      </c>
      <c r="C14362" s="9" t="s">
        <v>19679</v>
      </c>
      <c r="D14362" s="9" t="s">
        <v>19474</v>
      </c>
      <c r="E14362" s="6" t="s">
        <v>19680</v>
      </c>
      <c r="F14362" t="inlineStr" s="10">
        <is>
          <t xml:space="preserve">Tämä Pokémon hyökkää Pawniard- ja Bisharp-ryhmien kimppuun ja kerää niistä metallia luodakseen suuren ja tukevan vasaran. Nämä Pokémonit rakentavat kotinsa romumetallikasoihin. Ne testaavat toistensa vasaroiden lujuutta murskaamalla niitä yhteen.</t>
        </is>
      </c>
    </row>
    <row r="14363" ht="33.75" customHeight="1">
      <c r="A14363" s="7">
        <v>958.0</v>
      </c>
      <c r="B14363" s="9" t="s">
        <v>19678</v>
      </c>
      <c r="C14363" s="9" t="s">
        <v>19679</v>
      </c>
      <c r="D14363" s="9" t="s">
        <v>19476</v>
      </c>
      <c r="E14363" s="6" t="s">
        <v>19681</v>
      </c>
      <c r="F14363" s="9"/>
    </row>
    <row r="14364" ht="33.75" customHeight="1">
      <c r="A14364" s="7">
        <v>959.0</v>
      </c>
      <c r="B14364" s="9" t="s">
        <v>19682</v>
      </c>
      <c r="C14364" s="9" t="s">
        <v>19679</v>
      </c>
      <c r="D14364" s="9" t="s">
        <v>19474</v>
      </c>
      <c r="E14364" s="6" t="s">
        <v>19683</v>
      </c>
      <c r="F14364" t="inlineStr" s="10">
        <is>
          <t xml:space="preserve">Tällä älykkäällä Pokémonilla on erittäin rohkea luonne. Se hakkaa kiviä taivaalle vasarallaan ja tähtää Corvikinyön lentämään. Vasara painaa yli 220 paunaa, mutta Tinkaton heiluttelee sitä helposti varastessaan mitä haluaa ja kantaessaan saaliinsa takaisin kotiin.</t>
        </is>
      </c>
    </row>
    <row r="14365" ht="33.75" customHeight="1">
      <c r="A14365" s="7">
        <v>959.0</v>
      </c>
      <c r="B14365" s="9" t="s">
        <v>19682</v>
      </c>
      <c r="C14365" s="9" t="s">
        <v>19679</v>
      </c>
      <c r="D14365" s="9" t="s">
        <v>19476</v>
      </c>
      <c r="E14365" s="6" t="s">
        <v>19684</v>
      </c>
      <c r="F14365" s="9"/>
    </row>
    <row r="14366" ht="33.75" customHeight="1">
      <c r="A14366" s="7">
        <v>960.0</v>
      </c>
      <c r="B14366" s="9" t="s">
        <v>19685</v>
      </c>
      <c r="C14366" s="9" t="s">
        <v>19687</v>
      </c>
      <c r="D14366" s="9" t="s">
        <v>19474</v>
      </c>
      <c r="E14366" s="6" t="s">
        <v>19688</v>
      </c>
      <c r="F14366" t="inlineStr" s="10">
        <is>
          <t xml:space="preserve">Tämä Pokémon voi haistaa veluzan hajun hieman yli 20 metrin päästä ja piiloutuu hiekkaan. Vaikka se näyttää Diglettiltä, ​​Wiglett on täysin eri laji. Yhdennäköisyys näyttää olevan sattumaa, että se on sopeutunut ympäristöön.</t>
        </is>
      </c>
    </row>
    <row r="14367" ht="33.75" customHeight="1">
      <c r="A14367" s="7">
        <v>960.0</v>
      </c>
      <c r="B14367" s="9" t="s">
        <v>19685</v>
      </c>
      <c r="C14367" s="9" t="s">
        <v>19687</v>
      </c>
      <c r="D14367" s="9" t="s">
        <v>19476</v>
      </c>
      <c r="E14367" s="6" t="s">
        <v>19689</v>
      </c>
      <c r="F14367" s="9"/>
    </row>
    <row r="14368" ht="33.75" customHeight="1">
      <c r="A14368" s="7">
        <v>961.0</v>
      </c>
      <c r="B14368" s="9" t="s">
        <v>19690</v>
      </c>
      <c r="C14368" s="9" t="s">
        <v>19687</v>
      </c>
      <c r="D14368" s="9" t="s">
        <v>19474</v>
      </c>
      <c r="E14368" s="6" t="s">
        <v>19691</v>
      </c>
      <c r="F14368" t="inlineStr" s="10">
        <is>
          <t xml:space="preserve">Sillä on ilkeämielinen luonne, toisin kuin Wugtrion ulkonäkö saattaa antaa ymmärtää. Se kietoo pitkät ruumiinsa saaliinsa ympärille ja raahaa sen sitten pesäänsä. Wugtrio on monipuolinen kala-Pokémon, jota pidettiin aikoinaan Dugtrion alueellisena muotona.</t>
        </is>
      </c>
    </row>
    <row r="14369" ht="33.75" customHeight="1">
      <c r="A14369" s="7">
        <v>961.0</v>
      </c>
      <c r="B14369" s="9" t="s">
        <v>19690</v>
      </c>
      <c r="C14369" s="9" t="s">
        <v>19687</v>
      </c>
      <c r="D14369" s="9" t="s">
        <v>19476</v>
      </c>
      <c r="E14369" s="6" t="s">
        <v>19692</v>
      </c>
      <c r="F14369" s="9"/>
    </row>
    <row r="14370" ht="33.75" customHeight="1">
      <c r="A14370" s="7">
        <v>962.0</v>
      </c>
      <c r="B14370" s="9" t="s">
        <v>19693</v>
      </c>
      <c r="C14370" s="9" t="s">
        <v>19694</v>
      </c>
      <c r="D14370" s="9" t="s">
        <v>19474</v>
      </c>
      <c r="E14370" s="6" t="s">
        <v>19695</v>
      </c>
      <c r="F14370" t="inlineStr" s="10">
        <is>
          <t xml:space="preserve">Bombirdier kerää tavaroita esiliinaan, joka on tehty Pokémonin rintahöyheniin lisätyistä irronneista höyhenistä, ja pudottaa ne sitten korkeilta paikoilta huvin vuoksi. Pommittaja käyttää rintansa päällä olevaa esiliinaa ruoan niputtamiseen, jonka se kantaa takaisin pesäänsä. Se nauttii kovia ääniä pitävien esineiden pudottamisesta.</t>
        </is>
      </c>
    </row>
    <row r="14371" ht="33.75" customHeight="1">
      <c r="A14371" s="7">
        <v>962.0</v>
      </c>
      <c r="B14371" s="9" t="s">
        <v>19693</v>
      </c>
      <c r="C14371" s="9" t="s">
        <v>19694</v>
      </c>
      <c r="D14371" s="9" t="s">
        <v>19476</v>
      </c>
      <c r="E14371" s="6" t="s">
        <v>19696</v>
      </c>
      <c r="F14371" s="9"/>
    </row>
    <row r="14372" ht="33.75" customHeight="1">
      <c r="A14372" s="7">
        <v>963.0</v>
      </c>
      <c r="B14372" s="9" t="s">
        <v>19697</v>
      </c>
      <c r="C14372" s="9" t="s">
        <v>19698</v>
      </c>
      <c r="D14372" s="9" t="s">
        <v>19474</v>
      </c>
      <c r="E14372" s="6" t="s">
        <v>19699</v>
      </c>
      <c r="F14372" t="inlineStr" s="10">
        <is>
          <t xml:space="preserve">Finizen tykkää leikkiä muiden lajitovereidensa kanssa käyttäen pyrstössään olevaa vesirengasta. Se käyttää ultraääniaaltoja aistiakseen muiden elävien olentojen tunteita. Sen vesirengas on tehty merivedestä, johon on sekoitettu Finizenin puhallusreiästä erittämää tahmeaa nestettä.</t>
        </is>
      </c>
    </row>
    <row r="14373" ht="33.75" customHeight="1">
      <c r="A14373" s="7">
        <v>963.0</v>
      </c>
      <c r="B14373" s="9" t="s">
        <v>19697</v>
      </c>
      <c r="C14373" s="9" t="s">
        <v>19698</v>
      </c>
      <c r="D14373" s="9" t="s">
        <v>19476</v>
      </c>
      <c r="E14373" s="6" t="s">
        <v>19700</v>
      </c>
      <c r="F14373" s="9"/>
    </row>
    <row r="14374" ht="33.75" customHeight="1">
      <c r="A14374" s="7">
        <v>964.0</v>
      </c>
      <c r="B14374" s="9" t="s">
        <v>19701</v>
      </c>
      <c r="C14374" s="9" t="s">
        <v>19698</v>
      </c>
      <c r="D14374" s="9" t="s">
        <v>19474</v>
      </c>
      <c r="E14374" s="6" t="s">
        <v>19702</v>
      </c>
      <c r="F14374" t="inlineStr" s="10">
        <is>
          <t xml:space="preserve">Tämä Pokémon muuttaa ulkonäköään, jos se kuulee liittolaistensa huutavan apua. Palafin ei koskaan näytä kenellekään muodonmuutoksensa hetkeä. Sen fyysiset kyvyt eivät eroa Finizenin kyvyistä, mutta kun sen liittolaiset ovat vaarassa, se muuntautuu ja voimistaa itseään.</t>
        </is>
      </c>
    </row>
    <row r="14375" ht="33.75" customHeight="1">
      <c r="A14375" s="7">
        <v>964.0</v>
      </c>
      <c r="B14375" s="9" t="s">
        <v>19701</v>
      </c>
      <c r="C14375" s="9" t="s">
        <v>19698</v>
      </c>
      <c r="D14375" s="9" t="s">
        <v>19476</v>
      </c>
      <c r="E14375" s="6" t="s">
        <v>19704</v>
      </c>
      <c r="F14375" s="9"/>
    </row>
    <row r="14376" ht="33.75" customHeight="1">
      <c r="A14376" s="7">
        <v>965.0</v>
      </c>
      <c r="B14376" s="9" t="s">
        <v>19705</v>
      </c>
      <c r="C14376" s="9" t="s">
        <v>19706</v>
      </c>
      <c r="D14376" s="9" t="s">
        <v>19474</v>
      </c>
      <c r="E14376" s="6" t="s">
        <v>19707</v>
      </c>
      <c r="F14376" t="inlineStr" s="10">
        <is>
          <t xml:space="preserve">Kerrotaan, että tämä Pokémon syntyi, kun tuntematon myrkky-Pokémon astui sisään ja sytytti romunjalostustehtaalle jätetyn moottorin. Teräsosa on Varoomin varsinainen ruumis. Tämä Pokémon tarrautuu kiviin ja muuntaa niiden sisältämät mineraalit energiaksi, joka ruokkii sen toimintoja.</t>
        </is>
      </c>
    </row>
    <row r="14377" ht="33.75" customHeight="1">
      <c r="A14377" s="7">
        <v>965.0</v>
      </c>
      <c r="B14377" s="9" t="s">
        <v>19705</v>
      </c>
      <c r="C14377" s="9" t="s">
        <v>19706</v>
      </c>
      <c r="D14377" s="9" t="s">
        <v>19476</v>
      </c>
      <c r="E14377" s="6" t="s">
        <v>19708</v>
      </c>
      <c r="F14377" s="9"/>
    </row>
    <row r="14378" ht="33.75" customHeight="1">
      <c r="A14378" s="7">
        <v>966.0</v>
      </c>
      <c r="B14378" s="9" t="s">
        <v>19709</v>
      </c>
      <c r="C14378" s="9" t="s">
        <v>19710</v>
      </c>
      <c r="D14378" s="9" t="s">
        <v>19474</v>
      </c>
      <c r="E14378" s="6" t="s">
        <v>19711</v>
      </c>
      <c r="F14378" t="inlineStr" s="10">
        <is>
          <t xml:space="preserve">Revavroom luo kaasua myrkyistä ja kivien mineraaleista. Sitten se räjäyttää kaasun sylintereissään – joita on nyt kahdeksan – energian tuottamiseksi. Revavroom uhkailee ilkeästi muita pakoputkensa äänellä. Se työntää kielensä ulos lieriömäisestä suustaan ​​ja suihkuttaa myrkyllisiä nesteitä.</t>
        </is>
      </c>
    </row>
    <row r="14379" ht="33.75" customHeight="1">
      <c r="A14379" s="7">
        <v>966.0</v>
      </c>
      <c r="B14379" s="9" t="s">
        <v>19709</v>
      </c>
      <c r="C14379" s="9" t="s">
        <v>19710</v>
      </c>
      <c r="D14379" s="9" t="s">
        <v>19476</v>
      </c>
      <c r="E14379" s="6" t="s">
        <v>19712</v>
      </c>
      <c r="F14379" s="9"/>
    </row>
    <row r="14380" ht="33.75" customHeight="1">
      <c r="A14380" s="7">
        <v>967.0</v>
      </c>
      <c r="B14380" s="9" t="s">
        <v>19713</v>
      </c>
      <c r="C14380" s="9" t="s">
        <v>18094</v>
      </c>
      <c r="D14380" s="9" t="s">
        <v>19474</v>
      </c>
      <c r="E14380" s="6" t="s">
        <v>19714</v>
      </c>
      <c r="F14380" t="inlineStr" s="10">
        <is>
          <t xml:space="preserve">Ilmeisesti kyklitsa on antanut ihmisten ratsastaa selällään muinaisista ajoista lähtien. Tästä on löydetty kuvia 10 000 vuotta vanhoista seinämaalauksista. Se voi juosta yli 110 km/h nopeudella kantaessaan ihmistä. Ratsastajan ruumiinlämpö lämmittää Cyclizarin selkää ja kohottaa Pokémonin mielialaa.</t>
        </is>
      </c>
    </row>
    <row r="14381" ht="33.75" customHeight="1">
      <c r="A14381" s="7">
        <v>967.0</v>
      </c>
      <c r="B14381" s="9" t="s">
        <v>19713</v>
      </c>
      <c r="C14381" s="9" t="s">
        <v>18094</v>
      </c>
      <c r="D14381" s="9" t="s">
        <v>19476</v>
      </c>
      <c r="E14381" s="6" t="s">
        <v>19715</v>
      </c>
      <c r="F14381" s="9"/>
    </row>
    <row r="14382" ht="33.75" customHeight="1">
      <c r="A14382" s="7">
        <v>968.0</v>
      </c>
      <c r="B14382" s="9" t="s">
        <v>19717</v>
      </c>
      <c r="C14382" s="9" t="s">
        <v>19718</v>
      </c>
      <c r="D14382" s="9" t="s">
        <v>19474</v>
      </c>
      <c r="E14382" s="6" t="s">
        <v>19719</v>
      </c>
      <c r="F14382" t="inlineStr" s="10">
        <is>
          <t xml:space="preserve">Hyökkäyksen aikana tämä Pokémon käyttää kehossaan olevia kärhiä kuin nyrkkejä ja iskee vastustajaa iskujen myrskyllä. Tämä Pokémon elää kuivilla aavikoilla. Se ylläpitää metallikehoaan kuluttamalla rautaa maaperästä.</t>
        </is>
      </c>
    </row>
    <row r="14383" ht="33.75" customHeight="1">
      <c r="A14383" s="7">
        <v>968.0</v>
      </c>
      <c r="B14383" s="9" t="s">
        <v>19717</v>
      </c>
      <c r="C14383" s="9" t="s">
        <v>19718</v>
      </c>
      <c r="D14383" s="9" t="s">
        <v>19476</v>
      </c>
      <c r="E14383" s="6" t="s">
        <v>19720</v>
      </c>
      <c r="F14383" s="9"/>
    </row>
    <row r="14384" ht="33.75" customHeight="1">
      <c r="A14384" s="7">
        <v>969.0</v>
      </c>
      <c r="B14384" s="9" t="s">
        <v>19721</v>
      </c>
      <c r="C14384" s="9" t="s">
        <v>16937</v>
      </c>
      <c r="D14384" s="9" t="s">
        <v>19474</v>
      </c>
      <c r="E14384" s="6" t="s">
        <v>19722</v>
      </c>
      <c r="F14384" t="inlineStr" s="10">
        <is>
          <t xml:space="preserve">Glimmet imee ravinteita luolien seinistä. Sen käyttämät terälehdet on tehty kiteytyneestä myrkystä. Glimmetin myrkylliset mineraalikiteet näyttävät aivan kukan terälehdiltä. Tämä Pokémon levittää myrkyllistä jauhetta, kuten siitepölyä, suojellakseen itseään.</t>
        </is>
      </c>
    </row>
    <row r="14385" ht="33.75" customHeight="1">
      <c r="A14385" s="7">
        <v>969.0</v>
      </c>
      <c r="B14385" s="9" t="s">
        <v>19721</v>
      </c>
      <c r="C14385" s="9" t="s">
        <v>16937</v>
      </c>
      <c r="D14385" s="9" t="s">
        <v>19476</v>
      </c>
      <c r="E14385" s="6" t="s">
        <v>19723</v>
      </c>
      <c r="F14385" s="9"/>
    </row>
    <row r="14386" ht="33.75" customHeight="1">
      <c r="A14386" s="7">
        <v>970.0</v>
      </c>
      <c r="B14386" s="9" t="s">
        <v>19724</v>
      </c>
      <c r="C14386" s="9" t="s">
        <v>16937</v>
      </c>
      <c r="D14386" s="9" t="s">
        <v>19474</v>
      </c>
      <c r="E14386" s="6" t="s">
        <v>19725</v>
      </c>
      <c r="F14386" t="inlineStr" s="10">
        <is>
          <t xml:space="preserve">Kun tämä Pokémon havaitsee vaaran, se avaa kristalliset terälehtensä ja purkaa tulisäteitä kartiomaisesta ruumiistaan. Glimmoran terälehdet koostuvat kiteytyneestä myrkkyenergiasta. Viime aikoina on käynyt ilmi, että nämä terälehdet muistuttavat Tera-jalokiviä.</t>
        </is>
      </c>
    </row>
    <row r="14387" ht="33.75" customHeight="1">
      <c r="A14387" s="7">
        <v>970.0</v>
      </c>
      <c r="B14387" s="9" t="s">
        <v>19724</v>
      </c>
      <c r="C14387" s="9" t="s">
        <v>16937</v>
      </c>
      <c r="D14387" s="9" t="s">
        <v>19476</v>
      </c>
      <c r="E14387" s="6" t="s">
        <v>19726</v>
      </c>
      <c r="F14387" s="9"/>
    </row>
    <row r="14388" ht="33.75" customHeight="1">
      <c r="A14388" s="7">
        <v>971.0</v>
      </c>
      <c r="B14388" s="9" t="s">
        <v>19727</v>
      </c>
      <c r="C14388" s="9" t="s">
        <v>19728</v>
      </c>
      <c r="D14388" s="9" t="s">
        <v>19474</v>
      </c>
      <c r="E14388" s="6" t="s">
        <v>19729</v>
      </c>
      <c r="F14388" t="inlineStr" s="10">
        <is>
          <t xml:space="preserve">Kerrotaan, että koira-Pokémon, joka kuoli luonnossa olematta koskaan vuorovaikutuksessa ihmisen kanssa, syntyi uudelleen tänä Pokémonina. Tämä ystävällinen Pokémon ei pidä yksin olemisesta. Kiinnitä sille pienintäkään huomiota, ja se seuraa sinua ikuisesti.</t>
        </is>
      </c>
    </row>
    <row r="14389" ht="33.75" customHeight="1">
      <c r="A14389" s="7">
        <v>971.0</v>
      </c>
      <c r="B14389" s="9" t="s">
        <v>19727</v>
      </c>
      <c r="C14389" s="9" t="s">
        <v>19728</v>
      </c>
      <c r="D14389" s="9" t="s">
        <v>19476</v>
      </c>
      <c r="E14389" s="6" t="s">
        <v>19731</v>
      </c>
      <c r="F14389" s="9"/>
    </row>
    <row r="14390" ht="33.75" customHeight="1">
      <c r="A14390" s="7">
        <v>972.0</v>
      </c>
      <c r="B14390" s="9" t="s">
        <v>19732</v>
      </c>
      <c r="C14390" s="9" t="s">
        <v>19728</v>
      </c>
      <c r="D14390" s="9" t="s">
        <v>19474</v>
      </c>
      <c r="E14390" s="6" t="s">
        <v>19733</v>
      </c>
      <c r="F14390" t="inlineStr" s="10">
        <is>
          <t xml:space="preserve">Houndstone viettää suurimman osan ajastaan ​​nukkuen hautausmailla. Kaikista koira-Pokémoneista tämä on uskollisin isännälleen. Rakkaudella surtu Pokémon syntyi uudesti Houndstonena. Se ei pidä siitä, että kukaan koskee sen pään päällä olevaan kohoumaan.</t>
        </is>
      </c>
    </row>
    <row r="14391" ht="33.75" customHeight="1">
      <c r="A14391" s="7">
        <v>972.0</v>
      </c>
      <c r="B14391" s="9" t="s">
        <v>19732</v>
      </c>
      <c r="C14391" s="9" t="s">
        <v>19728</v>
      </c>
      <c r="D14391" s="9" t="s">
        <v>19476</v>
      </c>
      <c r="E14391" s="6" t="s">
        <v>19734</v>
      </c>
      <c r="F14391" s="9"/>
    </row>
    <row r="14392" ht="33.75" customHeight="1">
      <c r="A14392" s="7">
        <v>973.0</v>
      </c>
      <c r="B14392" s="9" t="s">
        <v>19735</v>
      </c>
      <c r="C14392" s="9" t="s">
        <v>19736</v>
      </c>
      <c r="D14392" s="9" t="s">
        <v>19474</v>
      </c>
      <c r="E14392" s="6" t="s">
        <v>19737</v>
      </c>
      <c r="F14392" t="inlineStr" s="10">
        <is>
          <t xml:space="preserve">Tämä Pokémon ilmeisesti sitoo niskansa tyven solmuun, jotta Flamigon vatsaan varastoitunut energia ei karkaa nokasta. Heidän "synkronointina" tunnetun käyttäytymisensä ansiosta kokonainen parvi näitä Pokémoneja voi hyökätä samanaikaisesti täydellisessä harmoniassa.</t>
        </is>
      </c>
    </row>
    <row r="14393" ht="33.75" customHeight="1">
      <c r="A14393" s="7">
        <v>973.0</v>
      </c>
      <c r="B14393" s="9" t="s">
        <v>19735</v>
      </c>
      <c r="C14393" s="9" t="s">
        <v>19736</v>
      </c>
      <c r="D14393" s="9" t="s">
        <v>19476</v>
      </c>
      <c r="E14393" s="6" t="s">
        <v>19738</v>
      </c>
      <c r="F14393" s="9"/>
    </row>
    <row r="14394" ht="33.75" customHeight="1">
      <c r="A14394" s="7">
        <v>974.0</v>
      </c>
      <c r="B14394" s="9" t="s">
        <v>19739</v>
      </c>
      <c r="C14394" s="9" t="s">
        <v>19740</v>
      </c>
      <c r="D14394" s="9" t="s">
        <v>19474</v>
      </c>
      <c r="E14394" s="6" t="s">
        <v>19741</v>
      </c>
      <c r="F14394" t="inlineStr" s="10">
        <is>
          <t xml:space="preserve">Tämä laji muutti merestä maalle hyvin kauan sitten. Se näyttää olevan läheistä sukua Wailmerille. Se elää kylmillä alueilla noin viiden yksilön parvissa. Se rakastaa lumen ja jään mineraaleja.</t>
        </is>
      </c>
    </row>
    <row r="14395" ht="33.75" customHeight="1">
      <c r="A14395" s="7">
        <v>974.0</v>
      </c>
      <c r="B14395" s="9" t="s">
        <v>19739</v>
      </c>
      <c r="C14395" s="9" t="s">
        <v>19740</v>
      </c>
      <c r="D14395" s="9" t="s">
        <v>19476</v>
      </c>
      <c r="E14395" s="6" t="s">
        <v>19742</v>
      </c>
      <c r="F14395" s="9"/>
    </row>
    <row r="14396" ht="33.75" customHeight="1">
      <c r="A14396" s="7">
        <v>975.0</v>
      </c>
      <c r="B14396" s="9" t="s">
        <v>19743</v>
      </c>
      <c r="C14396" s="9" t="s">
        <v>19740</v>
      </c>
      <c r="D14396" s="9" t="s">
        <v>19474</v>
      </c>
      <c r="E14396" s="6" t="s">
        <v>19744</v>
      </c>
      <c r="F14396" t="inlineStr" s="10">
        <is>
          <t xml:space="preserve">Tämä Pokémon vaeltelee lumisilla ja jäisillä alueilla. Se suojaa kehoaan voimakkailla lihaksilla ja paksulla rasvakerroksella ihon alla. Jääenergia kerääntyy sarven yläleuan sisään, minkä seurauksena sarvi saavuttaa kryogeeniset lämpötilat, jotka jäädyttävät sen ympäristön.</t>
        </is>
      </c>
    </row>
    <row r="14397" ht="33.75" customHeight="1">
      <c r="A14397" s="7">
        <v>975.0</v>
      </c>
      <c r="B14397" s="9" t="s">
        <v>19743</v>
      </c>
      <c r="C14397" s="9" t="s">
        <v>19740</v>
      </c>
      <c r="D14397" s="9" t="s">
        <v>19476</v>
      </c>
      <c r="E14397" s="6" t="s">
        <v>19745</v>
      </c>
      <c r="F14397" s="9"/>
    </row>
    <row r="14398" ht="33.75" customHeight="1">
      <c r="A14398" s="7">
        <v>976.0</v>
      </c>
      <c r="B14398" s="9" t="s">
        <v>19746</v>
      </c>
      <c r="C14398" s="9" t="s">
        <v>19747</v>
      </c>
      <c r="D14398" s="9" t="s">
        <v>19474</v>
      </c>
      <c r="E14398" s="6" t="s">
        <v>19748</v>
      </c>
      <c r="F14398" t="inlineStr" s="10">
        <is>
          <t xml:space="preserve">Kun Veluza hylkää tarpeettoman lihan, Veluzan mieli terävöityy ja sen psyykkinen voima kasvaa. Ylimääräisellä lihalla on mieto mutta herkullinen maku. Veluzalla on erinomaiset uusiutumiskyvyt. Se karistaa ylimääräistä lihaa kehostaan ​​parantaakseen ketteryyttään ja hyökkää sitten saaliinsa kimppuun.</t>
        </is>
      </c>
    </row>
    <row r="14399" ht="33.75" customHeight="1">
      <c r="A14399" s="7">
        <v>976.0</v>
      </c>
      <c r="B14399" s="9" t="s">
        <v>19746</v>
      </c>
      <c r="C14399" s="9" t="s">
        <v>19747</v>
      </c>
      <c r="D14399" s="9" t="s">
        <v>19476</v>
      </c>
      <c r="E14399" s="6" t="s">
        <v>19749</v>
      </c>
      <c r="F14399" s="9"/>
    </row>
    <row r="14400" ht="33.75" customHeight="1">
      <c r="A14400" s="7">
        <v>977.0</v>
      </c>
      <c r="B14400" s="9" t="s">
        <v>19750</v>
      </c>
      <c r="C14400" s="9" t="s">
        <v>19751</v>
      </c>
      <c r="D14400" s="9" t="s">
        <v>19474</v>
      </c>
      <c r="E14400" s="6" t="s">
        <v>19752</v>
      </c>
      <c r="F14400" t="inlineStr" s="10">
        <is>
          <t xml:space="preserve">Tämä Pokémon on ahmatti, mutta huono ruoan hankkimisessa. Se lyöttäytyy yhteen Tatsugirin kanssa saaliin nappaamiseksi. Se kohtelee Tatsugiria kuin pomoaan ja seuraa tätä uskollisesti. Vaikka Dondozo on voimakas, hän ei ilmeisesti ole kovin älykäs.</t>
        </is>
      </c>
    </row>
    <row r="14401" ht="33.75" customHeight="1">
      <c r="A14401" s="7">
        <v>977.0</v>
      </c>
      <c r="B14401" s="9" t="s">
        <v>19750</v>
      </c>
      <c r="C14401" s="9" t="s">
        <v>19751</v>
      </c>
      <c r="D14401" s="9" t="s">
        <v>19476</v>
      </c>
      <c r="E14401" s="6" t="s">
        <v>19754</v>
      </c>
      <c r="F14401" s="9"/>
    </row>
    <row r="14402" ht="33.75" customHeight="1">
      <c r="A14402" s="7">
        <v>978.0</v>
      </c>
      <c r="B14402" s="9" t="s">
        <v>19755</v>
      </c>
      <c r="C14402" s="9" t="s">
        <v>19756</v>
      </c>
      <c r="D14402" s="9" t="s">
        <v>19474</v>
      </c>
      <c r="E14402" s="6" t="s">
        <v>19757</v>
      </c>
      <c r="F14402" t="inlineStr" s="10">
        <is>
          <t xml:space="preserve">Tämä on pieni lohikäärme-Pokémon. Se asuu Dondozon suussa suojellakseen itseään ulkopuolisilta vihollisilta. Tatsugiri on äärimmäisen ovela Pokémon. Se teeskentelee heikkoutta houkutellakseen saalista puoleensa ja käskee sitten kumppaniaan hyökkäämään.</t>
        </is>
      </c>
    </row>
    <row r="14403" ht="33.75" customHeight="1">
      <c r="A14403" s="7">
        <v>978.0</v>
      </c>
      <c r="B14403" s="9" t="s">
        <v>19755</v>
      </c>
      <c r="C14403" s="9" t="s">
        <v>19756</v>
      </c>
      <c r="D14403" s="9" t="s">
        <v>19476</v>
      </c>
      <c r="E14403" s="6" t="s">
        <v>19758</v>
      </c>
      <c r="F14403" s="9"/>
    </row>
    <row r="14404" ht="33.75" customHeight="1">
      <c r="A14404" s="7">
        <v>979.0</v>
      </c>
      <c r="B14404" s="9" t="s">
        <v>19759</v>
      </c>
      <c r="C14404" s="9" t="s">
        <v>19760</v>
      </c>
      <c r="D14404" s="9" t="s">
        <v>19474</v>
      </c>
      <c r="E14404" s="6" t="s">
        <v>19761</v>
      </c>
      <c r="F14404" t="inlineStr" s="10">
        <is>
          <t xml:space="preserve">Kun Annihilapen viha nousi kriittisen pisteen yli, tämä Pokémon sai voiman, jota sen fyysisen kehon rajat eivät kahlehdi. Se kyllästää nyrkkinsä sydämessään piilossa pitämänsä raivon voimalla. Näiden kyllästettyjen nyrkkien iskemät vastustajat murskataan ytimiään myöten.</t>
        </is>
      </c>
    </row>
    <row r="14405" ht="33.75" customHeight="1">
      <c r="A14405" s="7">
        <v>979.0</v>
      </c>
      <c r="B14405" s="9" t="s">
        <v>19759</v>
      </c>
      <c r="C14405" s="9" t="s">
        <v>19760</v>
      </c>
      <c r="D14405" s="9" t="s">
        <v>19476</v>
      </c>
      <c r="E14405" s="6" t="s">
        <v>19762</v>
      </c>
      <c r="F14405" s="9"/>
    </row>
    <row r="14406" ht="33.75" customHeight="1">
      <c r="A14406" s="7">
        <v>980.0</v>
      </c>
      <c r="B14406" s="9" t="s">
        <v>19763</v>
      </c>
      <c r="C14406" s="9" t="s">
        <v>19764</v>
      </c>
      <c r="D14406" s="9" t="s">
        <v>19474</v>
      </c>
      <c r="E14406" s="6" t="s">
        <v>19765</v>
      </c>
      <c r="F14406" t="inlineStr" s="10">
        <is>
          <t xml:space="preserve">Hyökätessä tämä Pokémon kostaa työntämällä paksut piikit ulos kehostaan. Se on riskialtis liike, joka asettaa kaiken vaakalaudalle. Se elää lampien ja soiden pohjalla. Se kantaa Woopereita selässään ja kuljettaa niitä veden yli rannalta toiselle.</t>
        </is>
      </c>
    </row>
    <row r="14407" ht="33.75" customHeight="1">
      <c r="A14407" s="7">
        <v>980.0</v>
      </c>
      <c r="B14407" s="9" t="s">
        <v>19763</v>
      </c>
      <c r="C14407" s="9" t="s">
        <v>19764</v>
      </c>
      <c r="D14407" s="9" t="s">
        <v>19476</v>
      </c>
      <c r="E14407" s="6" t="s">
        <v>19766</v>
      </c>
      <c r="F14407" s="9"/>
    </row>
    <row r="14408" ht="33.75" customHeight="1">
      <c r="A14408" s="7">
        <v>981.0</v>
      </c>
      <c r="B14408" s="9" t="s">
        <v>19767</v>
      </c>
      <c r="C14408" s="9" t="s">
        <v>11855</v>
      </c>
      <c r="D14408" s="9" t="s">
        <v>19474</v>
      </c>
      <c r="E14408" s="6" t="s">
        <v>19768</v>
      </c>
      <c r="F14408" t="inlineStr" s="10">
        <is>
          <t xml:space="preserve">Nyt kun pään ja hännän aivoaallot on synkronoitu, tämän Pokémonin psyykkinen voima on 10 kertaa vahvempi kuin Girafarigin. Hännän kovettunut pää suojaa rungon päätä, kun Farigiraf heittää pitkää kaulaansa ja puskee vihollisia päällään.</t>
        </is>
      </c>
    </row>
    <row r="14409" ht="33.75" customHeight="1">
      <c r="A14409" s="7">
        <v>981.0</v>
      </c>
      <c r="B14409" s="9" t="s">
        <v>19767</v>
      </c>
      <c r="C14409" s="9" t="s">
        <v>11855</v>
      </c>
      <c r="D14409" s="9" t="s">
        <v>19476</v>
      </c>
      <c r="E14409" s="6" t="s">
        <v>19769</v>
      </c>
      <c r="F14409" s="9"/>
    </row>
    <row r="14410" ht="33.75" customHeight="1">
      <c r="A14410" s="7">
        <v>982.0</v>
      </c>
      <c r="B14410" s="9" t="s">
        <v>19770</v>
      </c>
      <c r="C14410" s="9" t="s">
        <v>12013</v>
      </c>
      <c r="D14410" s="9" t="s">
        <v>19474</v>
      </c>
      <c r="E14410" s="6" t="s">
        <v>19772</v>
      </c>
      <c r="F14410" t="inlineStr" s="10">
        <is>
          <t xml:space="preserve">Tämä Pokémon käyttää kovaa häntäänsä pesänsä rakentamiseen poraamalla reikiä syvälle maan alle kallioperään. Pesä voi kasvaa yli kuuden mailin pituiseksi. Se ajaa viholliset ulos pesästään imemällä sisäänsä tarpeeksi ilmaa täyttääkseen pitkät, kapeat keuhkonsa ja vapauttamalla ilman sitten voimakkaana räjähdyksenä.</t>
        </is>
      </c>
    </row>
    <row r="14411" ht="33.75" customHeight="1">
      <c r="A14411" s="7">
        <v>982.0</v>
      </c>
      <c r="B14411" s="9" t="s">
        <v>19770</v>
      </c>
      <c r="C14411" s="9" t="s">
        <v>12013</v>
      </c>
      <c r="D14411" s="9" t="s">
        <v>19476</v>
      </c>
      <c r="E14411" s="6" t="s">
        <v>19773</v>
      </c>
      <c r="F14411" s="9"/>
    </row>
    <row r="14412" ht="33.75" customHeight="1">
      <c r="A14412" s="7">
        <v>983.0</v>
      </c>
      <c r="B14412" s="9" t="s">
        <v>19774</v>
      </c>
      <c r="C14412" s="9" t="s">
        <v>19775</v>
      </c>
      <c r="D14412" s="9" t="s">
        <v>19474</v>
      </c>
      <c r="E14412" s="6" t="s">
        <v>19776</v>
      </c>
      <c r="F14412" t="inlineStr" s="10">
        <is>
          <t xml:space="preserve">Vain Bisharp, joka on kaikkien muiden yläpuolella valtavassa armeijassaan, voi kehittyä Kingambitiksi. Vaikka se komentaa valtavaa armeijaa taistelussa, se ei ole taitava suunnittelemaan monimutkaisia ​​strategioita. Se vain käyttää raakaa voimaa jatkaakseen eteenpäin.</t>
        </is>
      </c>
    </row>
    <row r="14413" ht="33.75" customHeight="1">
      <c r="A14413" s="7">
        <v>983.0</v>
      </c>
      <c r="B14413" s="9" t="s">
        <v>19774</v>
      </c>
      <c r="C14413" s="9" t="s">
        <v>19775</v>
      </c>
      <c r="D14413" s="9" t="s">
        <v>19476</v>
      </c>
      <c r="E14413" s="6" t="s">
        <v>19777</v>
      </c>
      <c r="F14413" s="9"/>
    </row>
    <row r="14414" ht="33.75" customHeight="1">
      <c r="A14414" s="7">
        <v>984.0</v>
      </c>
      <c r="B14414" s="9" t="s">
        <v>19778</v>
      </c>
      <c r="C14414" s="9" t="s">
        <v>19779</v>
      </c>
      <c r="D14414" s="9" t="s">
        <v>19474</v>
      </c>
      <c r="E14414" s="6" t="s">
        <v>19780</v>
      </c>
      <c r="F14414" t="inlineStr" s="10">
        <is>
          <t xml:space="preserve">Tätä Pokémonia on nähty viime vuosina. Nimi Great Tusk on otettu eräässä kirjassa mainitusta olennosta. Tämä olento muistuttaa salaperäistä Pokémonia, joka paranormaalilehden mukaan on elänyt muinaisista ajoista lähtien.</t>
        </is>
      </c>
    </row>
    <row r="14415" ht="33.75" customHeight="1">
      <c r="A14415" s="7">
        <v>984.0</v>
      </c>
      <c r="B14415" s="9" t="s">
        <v>19778</v>
      </c>
      <c r="C14415" s="9" t="s">
        <v>19779</v>
      </c>
      <c r="D14415" s="9" t="s">
        <v>19476</v>
      </c>
      <c r="E14415" s="6" t="s">
        <v>19781</v>
      </c>
      <c r="F14415" s="9"/>
    </row>
    <row r="14416" ht="33.75" customHeight="1">
      <c r="A14416" s="7">
        <v>985.0</v>
      </c>
      <c r="B14416" s="9" t="s">
        <v>19782</v>
      </c>
      <c r="C14416" s="9" t="s">
        <v>19779</v>
      </c>
      <c r="D14416" s="9" t="s">
        <v>19474</v>
      </c>
      <c r="E14416" s="6" t="s">
        <v>19783</v>
      </c>
      <c r="F14416" t="inlineStr" s="10">
        <is>
          <t xml:space="preserve">Tästä Pokémonista on raportoitu vain yksi havainto. Se muistuttaa vanhassa retkikuntapäiväkirjassa kuvattua salaperäistä olentoa. Se muistuttaa salaperäistä Pokémonia, jota paranormaalissa lehdessä kuvataan miljardin vuoden takaiseksi Jigglypuffiksi.</t>
        </is>
      </c>
    </row>
    <row r="14417" ht="33.75" customHeight="1">
      <c r="A14417" s="7">
        <v>985.0</v>
      </c>
      <c r="B14417" s="9" t="s">
        <v>19782</v>
      </c>
      <c r="C14417" s="9" t="s">
        <v>19779</v>
      </c>
      <c r="D14417" s="9" t="s">
        <v>19476</v>
      </c>
      <c r="E14417" s="6" t="s">
        <v>19785</v>
      </c>
      <c r="F14417" s="9"/>
    </row>
    <row r="14418" ht="33.75" customHeight="1">
      <c r="A14418" s="7">
        <v>986.0</v>
      </c>
      <c r="B14418" s="9" t="s">
        <v>19786</v>
      </c>
      <c r="C14418" s="9" t="s">
        <v>19779</v>
      </c>
      <c r="D14418" s="9" t="s">
        <v>19474</v>
      </c>
      <c r="E14418" s="6" t="s">
        <v>19787</v>
      </c>
      <c r="F14418" t="inlineStr" s="10">
        <is>
          <t xml:space="preserve">On mahdollista, että tietyssä kirjassa Brute Bonnetina listattu olento voisi oikeasti olla tämä Pokémon. Se muistuttaa hieman Pokémonia, jota kyseenalaisessa lehdessä kuvailtiin dinosauruksen ja sienen risteytyksellä.</t>
        </is>
      </c>
    </row>
    <row r="14419" ht="33.75" customHeight="1">
      <c r="A14419" s="7">
        <v>986.0</v>
      </c>
      <c r="B14419" s="9" t="s">
        <v>19786</v>
      </c>
      <c r="C14419" s="9" t="s">
        <v>19779</v>
      </c>
      <c r="D14419" s="9" t="s">
        <v>19476</v>
      </c>
      <c r="E14419" s="6" t="s">
        <v>19788</v>
      </c>
      <c r="F14419" s="9"/>
    </row>
    <row r="14420" ht="33.75" customHeight="1">
      <c r="A14420" s="7">
        <v>987.0</v>
      </c>
      <c r="B14420" s="9" t="s">
        <v>19789</v>
      </c>
      <c r="C14420" s="9" t="s">
        <v>19779</v>
      </c>
      <c r="D14420" s="9" t="s">
        <v>19474</v>
      </c>
      <c r="E14420" s="6" t="s">
        <v>19790</v>
      </c>
      <c r="F14420" t="inlineStr" s="10">
        <is>
          <t xml:space="preserve">Tällä Pokémonilla on samanlaisia ​​ominaisuuksia kuin Flutter Manella, eräässä kirjassa mainitulla olennolla. Sillä on samanlaisia ​​piirteitä kuin paranormaalissa lehdessä käsitellyllä aavemaisella pterosauruksella, mutta niillä ei ole juuri muuta yhteistä.</t>
        </is>
      </c>
    </row>
    <row r="14421" ht="33.75" customHeight="1">
      <c r="A14421" s="7">
        <v>987.0</v>
      </c>
      <c r="B14421" s="9" t="s">
        <v>19789</v>
      </c>
      <c r="C14421" s="9" t="s">
        <v>19779</v>
      </c>
      <c r="D14421" s="9" t="s">
        <v>19476</v>
      </c>
      <c r="E14421" s="6" t="s">
        <v>19791</v>
      </c>
      <c r="F14421" s="9"/>
    </row>
    <row r="14422" ht="33.75" customHeight="1">
      <c r="A14422" s="7">
        <v>988.0</v>
      </c>
      <c r="B14422" s="9" t="s">
        <v>19792</v>
      </c>
      <c r="C14422" s="9" t="s">
        <v>19779</v>
      </c>
      <c r="D14422" s="9" t="s">
        <v>19474</v>
      </c>
      <c r="E14422" s="6" t="s">
        <v>19794</v>
      </c>
      <c r="F14422" t="inlineStr" s="10">
        <is>
          <t xml:space="preserve">Tällä salaperäisellä Pokémonilla on joitakin yhtäläisyyksiä olentoon, joka esiteltiin vanhassa kirjassa nimellä Slither Wing. Tämä Pokémon muistuttaa jossain määrin muinaista Volcaronaa, joka esiteltiin kyseenalaisessa lehdessä.</t>
        </is>
      </c>
    </row>
    <row r="14423" ht="33.75" customHeight="1">
      <c r="A14423" s="7">
        <v>988.0</v>
      </c>
      <c r="B14423" s="9" t="s">
        <v>19792</v>
      </c>
      <c r="C14423" s="9" t="s">
        <v>19779</v>
      </c>
      <c r="D14423" s="9" t="s">
        <v>19476</v>
      </c>
      <c r="E14423" s="6" t="s">
        <v>19795</v>
      </c>
      <c r="F14423" s="9"/>
    </row>
    <row r="14424" ht="33.75" customHeight="1">
      <c r="A14424" s="7">
        <v>989.0</v>
      </c>
      <c r="B14424" s="9" t="s">
        <v>19796</v>
      </c>
      <c r="C14424" s="9" t="s">
        <v>19779</v>
      </c>
      <c r="D14424" s="9" t="s">
        <v>19474</v>
      </c>
      <c r="E14424" s="6" t="s">
        <v>19797</v>
      </c>
      <c r="F14424" t="inlineStr" s="10">
        <is>
          <t xml:space="preserve">Tämän Pokémonin pyydystämisestä ei ole tietoja. Tiedot puuttuvat, mutta Pokémonin ominaisuudet vastaavat retkikunnan päiväkirjassa näkyvää olentoa. Se muistuttaa hieman magnetonia, joka eli 10 000 vuotta ja josta oli juttu paranormaalilehden artikkelissa.</t>
        </is>
      </c>
    </row>
    <row r="14425" ht="33.75" customHeight="1">
      <c r="A14425" s="7">
        <v>989.0</v>
      </c>
      <c r="B14425" s="9" t="s">
        <v>19796</v>
      </c>
      <c r="C14425" s="9" t="s">
        <v>19779</v>
      </c>
      <c r="D14425" s="9" t="s">
        <v>19476</v>
      </c>
      <c r="E14425" s="6" t="s">
        <v>19798</v>
      </c>
      <c r="F14425" s="9"/>
    </row>
    <row r="14426" ht="33.75" customHeight="1">
      <c r="A14426" s="7">
        <v>990.0</v>
      </c>
      <c r="B14426" s="9" t="s">
        <v>19799</v>
      </c>
      <c r="C14426" s="9" t="s">
        <v>19779</v>
      </c>
      <c r="D14426" s="9" t="s">
        <v>19474</v>
      </c>
      <c r="E14426" s="6" t="s">
        <v>19800</v>
      </c>
      <c r="F14426" t="inlineStr" s="10">
        <is>
          <t xml:space="preserve">Tämä Pokémon muistuttaa läheisesti tieteellistä asetta, jonka paranormaali lehti väitti avaruusolentojen lähettäneen tälle planeetalle. Tätä Pokémonia on nähty viime vuosina. Se muistuttaa vanhassa retkikunnan päiväkirjassa kuvattua salaperäistä esinettä.</t>
        </is>
      </c>
    </row>
    <row r="14427" ht="33.75" customHeight="1">
      <c r="A14427" s="7">
        <v>990.0</v>
      </c>
      <c r="B14427" s="9" t="s">
        <v>19799</v>
      </c>
      <c r="C14427" s="9" t="s">
        <v>19779</v>
      </c>
      <c r="D14427" s="9" t="s">
        <v>19476</v>
      </c>
      <c r="E14427" s="6" t="s">
        <v>19801</v>
      </c>
      <c r="F14427" s="9"/>
    </row>
    <row r="14428" ht="33.75" customHeight="1">
      <c r="A14428" s="7">
        <v>991.0</v>
      </c>
      <c r="B14428" s="9" t="s">
        <v>19802</v>
      </c>
      <c r="C14428" s="9" t="s">
        <v>19779</v>
      </c>
      <c r="D14428" s="9" t="s">
        <v>19474</v>
      </c>
      <c r="E14428" s="6" t="s">
        <v>19803</v>
      </c>
      <c r="F14428" t="inlineStr" s="10">
        <is>
          <t xml:space="preserve">Iron Bundlen muoto muistuttaa paranormaalissa aikakauslehtiartikkelissa esiteltyä robottia. Robotin sanotaan olevan muinaisen sivilisaation luoma. Se muistuttaa vanhassa kirjassa mainittua salaperäistä esinettä. Tästä Pokémonista on raportoitu vain kaksi havaintoa.</t>
        </is>
      </c>
    </row>
    <row r="14429" ht="33.75" customHeight="1">
      <c r="A14429" s="7">
        <v>991.0</v>
      </c>
      <c r="B14429" s="9" t="s">
        <v>19802</v>
      </c>
      <c r="C14429" s="9" t="s">
        <v>19779</v>
      </c>
      <c r="D14429" s="9" t="s">
        <v>19476</v>
      </c>
      <c r="E14429" s="6" t="s">
        <v>19804</v>
      </c>
      <c r="F14429" s="9"/>
    </row>
    <row r="14430" ht="33.75" customHeight="1">
      <c r="A14430" s="7">
        <v>992.0</v>
      </c>
      <c r="B14430" s="9" t="s">
        <v>19805</v>
      </c>
      <c r="C14430" s="9" t="s">
        <v>19779</v>
      </c>
      <c r="D14430" s="9" t="s">
        <v>19474</v>
      </c>
      <c r="E14430" s="6" t="s">
        <v>19807</v>
      </c>
      <c r="F14430" t="inlineStr" s="10">
        <is>
          <t xml:space="preserve">Iron Hands on hyvin samanlainen kuin kyborgi, josta kirjoitetaan yksinomaan paranormaaleissa lehdissä. Kyborgin sanottiin olevan tietyn urheilijan muunneltu muoto. Tällä Pokémonilla on monia yhtäläisyyksiä Rautakäden kanssa, esineen, joka mainitaan tietyssä retkikunnan päiväkirjassa.</t>
        </is>
      </c>
    </row>
    <row r="14431" ht="33.75" customHeight="1">
      <c r="A14431" s="7">
        <v>992.0</v>
      </c>
      <c r="B14431" s="9" t="s">
        <v>19805</v>
      </c>
      <c r="C14431" s="9" t="s">
        <v>19779</v>
      </c>
      <c r="D14431" s="9" t="s">
        <v>19476</v>
      </c>
      <c r="E14431" s="6" t="s">
        <v>19808</v>
      </c>
      <c r="F14431" s="9"/>
    </row>
    <row r="14432" ht="33.75" customHeight="1">
      <c r="A14432" s="7">
        <v>993.0</v>
      </c>
      <c r="B14432" s="9" t="s">
        <v>19809</v>
      </c>
      <c r="C14432" s="9" t="s">
        <v>19779</v>
      </c>
      <c r="D14432" s="9" t="s">
        <v>19474</v>
      </c>
      <c r="E14432" s="6" t="s">
        <v>19810</v>
      </c>
      <c r="F14432" t="inlineStr" s="10">
        <is>
          <t xml:space="preserve">Iron Jugulis muistuttaa tiettyä paranormaalissa lehdessä esiteltyä Pokémonia, jota kuvataan robottiin rakastuneen Hydreigonin jälkeläiseksi. On mahdollista, että vanhassa kirjassa kuvattu esine, Iron Jugulis, saattaakin olla tämä Pokémon.</t>
        </is>
      </c>
    </row>
    <row r="14433" ht="33.75" customHeight="1">
      <c r="A14433" s="7">
        <v>993.0</v>
      </c>
      <c r="B14433" s="9" t="s">
        <v>19809</v>
      </c>
      <c r="C14433" s="9" t="s">
        <v>19779</v>
      </c>
      <c r="D14433" s="9" t="s">
        <v>19476</v>
      </c>
      <c r="E14433" s="6" t="s">
        <v>19811</v>
      </c>
      <c r="F14433" s="9"/>
    </row>
    <row r="14434" ht="33.75" customHeight="1">
      <c r="A14434" s="7">
        <v>994.0</v>
      </c>
      <c r="B14434" s="9" t="s">
        <v>19812</v>
      </c>
      <c r="C14434" s="9" t="s">
        <v>19779</v>
      </c>
      <c r="D14434" s="9" t="s">
        <v>19474</v>
      </c>
      <c r="E14434" s="6" t="s">
        <v>19813</v>
      </c>
      <c r="F14434" t="inlineStr" s="10">
        <is>
          <t xml:space="preserve">Tämä Pokémon muistuttaa tuntematonta kohdetta, jota paranormaalissa lehdessä kuvataan ihmiskuntaa tarkkailemaan lähetetyksi UFOksi. Tämän lajin pyydystämisestä ei ole tietoja. Tiedot puuttuvat, mutta Pokémonin ominaisuudet vastaavat vanhassa kirjassa kuvattua esinettä.</t>
        </is>
      </c>
    </row>
    <row r="14435" ht="33.75" customHeight="1">
      <c r="A14435" s="7">
        <v>994.0</v>
      </c>
      <c r="B14435" s="9" t="s">
        <v>19812</v>
      </c>
      <c r="C14435" s="9" t="s">
        <v>19779</v>
      </c>
      <c r="D14435" s="9" t="s">
        <v>19476</v>
      </c>
      <c r="E14435" s="6" t="s">
        <v>19814</v>
      </c>
      <c r="F14435" s="9"/>
    </row>
    <row r="14436" ht="33.75" customHeight="1">
      <c r="A14436" s="7">
        <v>995.0</v>
      </c>
      <c r="B14436" s="9" t="s">
        <v>19816</v>
      </c>
      <c r="C14436" s="9" t="s">
        <v>19779</v>
      </c>
      <c r="D14436" s="9" t="s">
        <v>19474</v>
      </c>
      <c r="E14436" s="6" t="s">
        <v>19817</v>
      </c>
      <c r="F14436" t="inlineStr" s="10">
        <is>
          <t xml:space="preserve">Sillä on joitakin yhtäläisyyksiä Pokémoniin, joka esiteltiin kyseenalaisessa lehdessä tyranitarina miljardin vuoden päähän tulevaisuuteen. Jotkin sen merkittävistä piirteistä vastaavat eräässä retkikunnan päiväkirjassa Rautapiikkinä nimetyn esineen piirteitä.</t>
        </is>
      </c>
    </row>
    <row r="14437" ht="33.75" customHeight="1">
      <c r="A14437" s="7">
        <v>995.0</v>
      </c>
      <c r="B14437" s="9" t="s">
        <v>19816</v>
      </c>
      <c r="C14437" s="9" t="s">
        <v>19779</v>
      </c>
      <c r="D14437" s="9" t="s">
        <v>19476</v>
      </c>
      <c r="E14437" s="6" t="s">
        <v>19818</v>
      </c>
      <c r="F14437" s="9"/>
    </row>
    <row r="14438" ht="33.75" customHeight="1">
      <c r="A14438" s="7">
        <v>996.0</v>
      </c>
      <c r="B14438" s="9" t="s">
        <v>19819</v>
      </c>
      <c r="C14438" s="9" t="s">
        <v>19820</v>
      </c>
      <c r="D14438" s="9" t="s">
        <v>19474</v>
      </c>
      <c r="E14438" s="6" t="s">
        <v>19821</v>
      </c>
      <c r="F14438" t="inlineStr" s="10">
        <is>
          <t xml:space="preserve">Frigibax imee lämpöä selkäevänsä kautta ja muuntaa lämmön jääenergiaksi. Mitä korkeampi lämpötila, sitä enemmän energiaa Frigibax varastoi. Tämä Pokémon elää metsissä ja kallioisilla alueilla. Selkäevän voiman avulla se jäähdyttää pesänsä sisäpuolta kuin jääkaappi.</t>
        </is>
      </c>
    </row>
    <row r="14439" ht="33.75" customHeight="1">
      <c r="A14439" s="7">
        <v>996.0</v>
      </c>
      <c r="B14439" s="9" t="s">
        <v>19819</v>
      </c>
      <c r="C14439" s="9" t="s">
        <v>19820</v>
      </c>
      <c r="D14439" s="9" t="s">
        <v>19476</v>
      </c>
      <c r="E14439" s="6" t="s">
        <v>19822</v>
      </c>
      <c r="F14439" s="9"/>
    </row>
    <row r="14440" ht="33.75" customHeight="1">
      <c r="A14440" s="7">
        <v>997.0</v>
      </c>
      <c r="B14440" s="9" t="s">
        <v>19823</v>
      </c>
      <c r="C14440" s="9" t="s">
        <v>19820</v>
      </c>
      <c r="D14440" s="9" t="s">
        <v>19474</v>
      </c>
      <c r="E14440" s="6" t="s">
        <v>19824</v>
      </c>
      <c r="F14440" t="inlineStr" s="10">
        <is>
          <t xml:space="preserve">Arctibax jäädyttää ympäröivän ilman suojaamalla kasvojaan jäänaamiolla ja muuttamalla selkäevänsä jääteräksi. Se hyökkää jäätyneen selkäevän lapalla tekemällä voltin ilmassa. Arctibaxin vahva selkä ja jalat mahdollistavat tämän tekniikan.</t>
        </is>
      </c>
    </row>
    <row r="14441" ht="33.75" customHeight="1">
      <c r="A14441" s="7">
        <v>997.0</v>
      </c>
      <c r="B14441" s="9" t="s">
        <v>19823</v>
      </c>
      <c r="C14441" s="9" t="s">
        <v>19820</v>
      </c>
      <c r="D14441" s="9" t="s">
        <v>19476</v>
      </c>
      <c r="E14441" s="6" t="s">
        <v>19825</v>
      </c>
      <c r="F14441" s="9"/>
    </row>
    <row r="14442" ht="33.75" customHeight="1">
      <c r="A14442" s="7">
        <v>998.0</v>
      </c>
      <c r="B14442" s="9" t="s">
        <v>19826</v>
      </c>
      <c r="C14442" s="9" t="s">
        <v>19827</v>
      </c>
      <c r="D14442" s="9" t="s">
        <v>19474</v>
      </c>
      <c r="E14442" s="6" t="s">
        <v>19828</v>
      </c>
      <c r="F14442" t="inlineStr" s="10">
        <is>
          <t xml:space="preserve">Tämä Pokémon puhaltaa suustaan ​​kryogeenistä ilmaa. Tämä ilma voi jäädyttää välittömästi jopa nestemäisen kuuman laavan. Se syöksyy taisteluun kääntymällä ylösalaisin ja sylkemällä suustaan ​​kylmää ilmaa. Se viimeistelee vastustajat selkämiehellään.</t>
        </is>
      </c>
    </row>
    <row r="14443" ht="33.75" customHeight="1">
      <c r="A14443" s="7">
        <v>998.0</v>
      </c>
      <c r="B14443" s="9" t="s">
        <v>19826</v>
      </c>
      <c r="C14443" s="9" t="s">
        <v>19827</v>
      </c>
      <c r="D14443" s="9" t="s">
        <v>19476</v>
      </c>
      <c r="E14443" s="6" t="s">
        <v>19829</v>
      </c>
      <c r="F14443" s="9"/>
    </row>
    <row r="14444" ht="33.75" customHeight="1">
      <c r="A14444" s="7">
        <v>999.0</v>
      </c>
      <c r="B14444" s="9" t="s">
        <v>19830</v>
      </c>
      <c r="C14444" s="9" t="s">
        <v>19831</v>
      </c>
      <c r="D14444" s="9" t="s">
        <v>19474</v>
      </c>
      <c r="E14444" s="6" t="s">
        <v>19832</v>
      </c>
      <c r="F14444" t="inlineStr" s="10">
        <is>
          <t xml:space="preserve">Tämä Pokémon syntyi aarrearkussa noin 1 500 vuotta sitten. Se imee elinvoiman roistoista, jotka yrittävät varastaa aarteen. Se asuu vanhassa aarrearkussa. Joskus se jää kauppojen nurkille, koska kukaan ei tiedä, että se on itse asiassa Pokémon.</t>
        </is>
      </c>
    </row>
    <row r="14445" ht="33.75" customHeight="1">
      <c r="A14445" s="7">
        <v>999.0</v>
      </c>
      <c r="B14445" s="9" t="s">
        <v>19830</v>
      </c>
      <c r="C14445" s="9" t="s">
        <v>19831</v>
      </c>
      <c r="D14445" s="9" t="s">
        <v>19476</v>
      </c>
      <c r="E14445" s="6" t="s">
        <v>19833</v>
      </c>
      <c r="F14445" s="9"/>
    </row>
    <row r="14446" ht="33.75" customHeight="1">
      <c r="A14446" s="7">
        <v>1000.0</v>
      </c>
      <c r="B14446" s="9" t="s">
        <v>19834</v>
      </c>
      <c r="C14446" s="9" t="s">
        <v>19835</v>
      </c>
      <c r="D14446" s="9" t="s">
        <v>19474</v>
      </c>
      <c r="E14446" s="6" t="s">
        <v>19836</v>
      </c>
      <c r="F14446" t="inlineStr" s="10">
        <is>
          <t xml:space="preserve">Gholdengon ruumis näyttää koostuvan 1 000 kolikosta. Tämä Pokémon tulee hyvin toimeen muiden kanssa ja ystävystyy nopeasti kenen tahansa kanssa. Sillä on tukeva ruumis, joka koostuu pinotuista kolikoista. Gholdengo kukistaa vihollisensa ampumalla kolikkoa toisensa jälkeen nopeassa tahdissa.</t>
        </is>
      </c>
    </row>
    <row r="14447" ht="33.75" customHeight="1">
      <c r="A14447" s="7">
        <v>1000.0</v>
      </c>
      <c r="B14447" s="9" t="s">
        <v>19834</v>
      </c>
      <c r="C14447" s="9" t="s">
        <v>19835</v>
      </c>
      <c r="D14447" s="9" t="s">
        <v>19476</v>
      </c>
      <c r="E14447" s="6" t="s">
        <v>19837</v>
      </c>
      <c r="F14447" s="9"/>
    </row>
    <row r="14448" ht="33.75" customHeight="1">
      <c r="A14448" s="7">
        <v>1001.0</v>
      </c>
      <c r="B14448" s="9" t="s">
        <v>19838</v>
      </c>
      <c r="C14448" s="9" t="s">
        <v>19840</v>
      </c>
      <c r="D14448" s="9" t="s">
        <v>19474</v>
      </c>
      <c r="E14448" s="6" t="s">
        <v>19841</v>
      </c>
      <c r="F14448" t="inlineStr" s="10">
        <is>
          <t xml:space="preserve">Kuninkaan pahojen tekojen kirjoittamisesta puutauluihin rangaistuksen saaneen henkilön kaunan kantaminen on verhoutunut kuolleisiin lehtiin ja muuttunut Pokémoniksi. Se imee kasvillisuuden elinvoiman, jolloin lähimetsät kuihtuvat välittömästi ja pellot muuttuvat karuiksi.</t>
        </is>
      </c>
    </row>
    <row r="14449" ht="33.75" customHeight="1">
      <c r="A14449" s="7">
        <v>1001.0</v>
      </c>
      <c r="B14449" s="9" t="s">
        <v>19838</v>
      </c>
      <c r="C14449" s="9" t="s">
        <v>19840</v>
      </c>
      <c r="D14449" s="9" t="s">
        <v>19476</v>
      </c>
      <c r="E14449" s="6" t="s">
        <v>19842</v>
      </c>
      <c r="F14449" s="9"/>
    </row>
    <row r="14450" ht="33.75" customHeight="1">
      <c r="A14450" s="7">
        <v>1002.0</v>
      </c>
      <c r="B14450" s="9" t="s">
        <v>19843</v>
      </c>
      <c r="C14450" s="9" t="s">
        <v>19840</v>
      </c>
      <c r="D14450" s="9" t="s">
        <v>19474</v>
      </c>
      <c r="E14450" s="6" t="s">
        <v>19844</v>
      </c>
      <c r="F14450" t="inlineStr" s="10">
        <is>
          <t xml:space="preserve">Tämä Pokémon pystyy hallitsemaan 100 tonnia satanutta lunta. Se leikkii viattomasti hyppimällä aiheuttamiinsa lumivyöryihin ja ulos niistä. Kauan sitten miekkaan menehtyneiden viha on verhoutunut lumeen ja muuttunut Pokémoniksi.</t>
        </is>
      </c>
    </row>
    <row r="14451" ht="33.75" customHeight="1">
      <c r="A14451" s="7">
        <v>1002.0</v>
      </c>
      <c r="B14451" s="9" t="s">
        <v>19843</v>
      </c>
      <c r="C14451" s="9" t="s">
        <v>19840</v>
      </c>
      <c r="D14451" s="9" t="s">
        <v>19476</v>
      </c>
      <c r="E14451" s="6" t="s">
        <v>19845</v>
      </c>
      <c r="F14451" s="9"/>
    </row>
    <row r="14452" ht="33.75" customHeight="1">
      <c r="A14452" s="7">
        <v>1003.0</v>
      </c>
      <c r="B14452" s="9" t="s">
        <v>19846</v>
      </c>
      <c r="C14452" s="9" t="s">
        <v>19840</v>
      </c>
      <c r="D14452" s="9" t="s">
        <v>19474</v>
      </c>
      <c r="E14452" s="6" t="s">
        <v>19847</v>
      </c>
      <c r="F14452" t="inlineStr" s="10">
        <is>
          <t xml:space="preserve">Muinaiseen rituaaliastiaan kaadettu pelkoon verhoutunut kiviin ja multaan ja muuttunut Pokémoniksi. Se painaa hitaasti raskaan päänsä maahan ja halkaisee maan valtavilla, yli 50 metrin syvyisillä halkeamilla.</t>
        </is>
      </c>
    </row>
    <row r="14453" ht="33.75" customHeight="1">
      <c r="A14453" s="7">
        <v>1003.0</v>
      </c>
      <c r="B14453" s="9" t="s">
        <v>19846</v>
      </c>
      <c r="C14453" s="9" t="s">
        <v>19840</v>
      </c>
      <c r="D14453" s="9" t="s">
        <v>19476</v>
      </c>
      <c r="E14453" s="6" t="s">
        <v>19848</v>
      </c>
      <c r="F14453" s="9"/>
    </row>
    <row r="14454" ht="33.75" customHeight="1">
      <c r="A14454" s="7">
        <v>1004.0</v>
      </c>
      <c r="B14454" s="9" t="s">
        <v>19849</v>
      </c>
      <c r="C14454" s="9" t="s">
        <v>19840</v>
      </c>
      <c r="D14454" s="9" t="s">
        <v>19474</v>
      </c>
      <c r="E14454" s="6" t="s">
        <v>19850</v>
      </c>
      <c r="F14454" t="inlineStr" s="10">
        <is>
          <t xml:space="preserve">Chi-Yu hallitsee yli 5 400 Fahrenheit-asteen lämpötiloissa palavia liekkejä. Se ui huolettomasti laavameressä, jonka se luo sulattamalla kiveä ja hiekkaa. Kaarevien helmien sisään kertynyt kateus, joka käynnisti useita konflikteja, on verhonnut itsensä tuleen ja muuttunut Pokémoniksi.</t>
        </is>
      </c>
    </row>
    <row r="14455" ht="33.75" customHeight="1">
      <c r="A14455" s="7">
        <v>1004.0</v>
      </c>
      <c r="B14455" s="9" t="s">
        <v>19849</v>
      </c>
      <c r="C14455" s="9" t="s">
        <v>19840</v>
      </c>
      <c r="D14455" s="9" t="s">
        <v>19476</v>
      </c>
      <c r="E14455" s="6" t="s">
        <v>19852</v>
      </c>
      <c r="F14455" s="9"/>
    </row>
    <row r="14456" ht="33.75" customHeight="1">
      <c r="A14456" s="7">
        <v>1005.0</v>
      </c>
      <c r="B14456" s="9" t="s">
        <v>19853</v>
      </c>
      <c r="C14456" s="9" t="s">
        <v>19779</v>
      </c>
      <c r="D14456" s="9" t="s">
        <v>19474</v>
      </c>
      <c r="E14456" s="6" t="s">
        <v>19854</v>
      </c>
      <c r="F14456" t="inlineStr" s="10">
        <is>
          <t xml:space="preserve">On mahdollista, että tämä on sama olento, joka on listattu nimellä Mölyävä Kuu eräässä retkikunnan päiväkirjassa, joka sisältää edelleen monia mysteerejä. Epäilyttävän lehden artikkelin mukaan tällä Pokémonilla on jokin yhteys tietyllä alueella esiintyvään ilmiöön.</t>
        </is>
      </c>
    </row>
    <row r="14457" ht="33.75" customHeight="1">
      <c r="A14457" s="7">
        <v>1005.0</v>
      </c>
      <c r="B14457" s="9" t="s">
        <v>19853</v>
      </c>
      <c r="C14457" s="9" t="s">
        <v>19779</v>
      </c>
      <c r="D14457" s="9" t="s">
        <v>19476</v>
      </c>
      <c r="E14457" s="6" t="s">
        <v>19855</v>
      </c>
      <c r="F14457" s="9"/>
    </row>
    <row r="14458" ht="33.75" customHeight="1">
      <c r="A14458" s="7">
        <v>1006.0</v>
      </c>
      <c r="B14458" s="9" t="s">
        <v>19856</v>
      </c>
      <c r="C14458" s="9" t="s">
        <v>19779</v>
      </c>
      <c r="D14458" s="9" t="s">
        <v>19474</v>
      </c>
      <c r="E14458" s="6" t="s">
        <v>19857</v>
      </c>
      <c r="F14458" t="inlineStr" s="10">
        <is>
          <t xml:space="preserve">Sillä on joitakin yhtäläisyyksiä paranormaalissa lehdessä käsitellyn hullun tiedemiehen keksinnön kanssa. On mahdollista, että tämä on se esine, joka on listattu nimellä Iron Valiant tietyn retkikunnan päiväkirjassa.</t>
        </is>
      </c>
    </row>
    <row r="14459" ht="33.75" customHeight="1">
      <c r="A14459" s="7">
        <v>1006.0</v>
      </c>
      <c r="B14459" s="9" t="s">
        <v>19856</v>
      </c>
      <c r="C14459" s="9" t="s">
        <v>19779</v>
      </c>
      <c r="D14459" s="9" t="s">
        <v>19476</v>
      </c>
      <c r="E14459" s="6" t="s">
        <v>19858</v>
      </c>
      <c r="F14459" s="9"/>
    </row>
    <row r="14460" ht="33.75" customHeight="1">
      <c r="A14460" s="7">
        <v>1007.0</v>
      </c>
      <c r="B14460" s="9" t="s">
        <v>19859</v>
      </c>
      <c r="C14460" s="9" t="s">
        <v>19779</v>
      </c>
      <c r="D14460" s="9" t="s">
        <v>19474</v>
      </c>
      <c r="E14460" s="6" t="s">
        <v>19860</v>
      </c>
      <c r="F14460" t="inlineStr" s="10">
        <is>
          <t xml:space="preserve">Tämä näyttää olevan Siivekäs Kuningas, josta mainitaan vanhassa retkikunnan päiväkirjassa. Sen sanotaan halkaisseen maan paljain nyrkein. Tämä Pokémon muistuttaa Cyclizaria, mutta on paljon vankkarakenteisempi ja raivokas. Sen ekologiasta tai muista ominaisuuksista ei tiedetä mitään.</t>
        </is>
      </c>
    </row>
    <row r="14461" ht="33.75" customHeight="1">
      <c r="A14461" s="7">
        <v>1007.0</v>
      </c>
      <c r="B14461" s="9" t="s">
        <v>19859</v>
      </c>
      <c r="C14461" s="9" t="s">
        <v>19779</v>
      </c>
      <c r="D14461" s="9" t="s">
        <v>19476</v>
      </c>
      <c r="E14461" s="6" t="s">
        <v>19861</v>
      </c>
      <c r="F14461" s="9"/>
    </row>
    <row r="14462" ht="33.75" customHeight="1">
      <c r="A14462" s="7">
        <v>1008.0</v>
      </c>
      <c r="B14462" s="9" t="s">
        <v>19862</v>
      </c>
      <c r="C14462" s="9" t="s">
        <v>19779</v>
      </c>
      <c r="D14462" s="9" t="s">
        <v>19474</v>
      </c>
      <c r="E14462" s="6" t="s">
        <v>19863</v>
      </c>
      <c r="F14462" t="inlineStr" s="10">
        <is>
          <t xml:space="preserve">Tästä olennosta on vielä paljon tuntematonta. Se muistuttaa Cyclizaria, mutta on paljon armoton ja voimakkaampi. Tämä näyttää olevan se Rautakäärme, josta mainitaan vanhassa kirjassa. Rautakäärmeen sanotaan muuttaneen maan tuhkaksi salamoillaan.</t>
        </is>
      </c>
    </row>
    <row r="14463" ht="33.75" customHeight="1">
      <c r="A14463" s="7">
        <v>1008.0</v>
      </c>
      <c r="B14463" s="9" t="s">
        <v>19862</v>
      </c>
      <c r="C14463" s="9" t="s">
        <v>19779</v>
      </c>
      <c r="D14463" s="9" t="s">
        <v>19476</v>
      </c>
      <c r="E14463" s="6" t="s">
        <v>19865</v>
      </c>
      <c r="F14463" s="9"/>
    </row>
    <row r="14464" ht="33.75" customHeight="1">
      <c r="A14464" s="7">
        <v>1009.0</v>
      </c>
      <c r="B14464" s="9" t="s">
        <v>19866</v>
      </c>
      <c r="C14464" s="9" t="s">
        <v>19779</v>
      </c>
      <c r="D14464" s="9" t="s">
        <v>19474</v>
      </c>
      <c r="E14464" s="6" t="s">
        <v>19867</v>
      </c>
      <c r="F14464" t="inlineStr" s="10">
        <is>
          <t xml:space="preserve">Tämä raivokas olento on mysteerin verhoama. Se on nimetty vanhassa retkikunnan päiväkirjassa mainitun vesihirviön mukaan. Se muistuttaa paranormaalissa lehdessä julkaistua kuvaa, jonka sanotaan esittävän supermuinaista Suicunea.</t>
        </is>
      </c>
    </row>
    <row r="14465" ht="33.75" customHeight="1">
      <c r="A14465" s="7">
        <v>1009.0</v>
      </c>
      <c r="B14465" s="9" t="s">
        <v>19866</v>
      </c>
      <c r="C14465" s="9" t="s">
        <v>19779</v>
      </c>
      <c r="D14465" s="9" t="s">
        <v>19476</v>
      </c>
      <c r="E14465" s="6" t="s">
        <v>19868</v>
      </c>
      <c r="F14465" s="9"/>
    </row>
    <row r="14466" ht="33.75" customHeight="1">
      <c r="A14466" s="7">
        <v>1010.0</v>
      </c>
      <c r="B14466" s="9" t="s">
        <v>19869</v>
      </c>
      <c r="C14466" s="9" t="s">
        <v>19779</v>
      </c>
      <c r="D14466" s="9" t="s">
        <v>19474</v>
      </c>
      <c r="E14466" s="6" t="s">
        <v>19870</v>
      </c>
      <c r="F14466" t="inlineStr" s="10">
        <is>
          <t xml:space="preserve">Monet Iron Leavesin fyysisistä ominaisuuksista vastaavat tulevaisuudesta tulleen Virizionin ominaisuuksia, josta oli juttu paranormaalissa lehdessä. Muutamien silminnäkijäkertomusten mukaan se käytti kiiltäviä teriään kaataakseen suuria puita ja lohkareita.</t>
        </is>
      </c>
    </row>
    <row r="14467" ht="33.75" customHeight="1">
      <c r="A14467" s="7">
        <v>1010.0</v>
      </c>
      <c r="B14467" s="9" t="s">
        <v>19869</v>
      </c>
      <c r="C14467" s="9" t="s">
        <v>19779</v>
      </c>
      <c r="D14467" s="9" t="s">
        <v>19476</v>
      </c>
      <c r="E14467" s="6" t="s">
        <v>19871</v>
      </c>
      <c r="F14467" s="9"/>
    </row>
    <row r="14468" ht="33.75" customHeight="1">
      <c r="A14468" s="7">
        <v>1011.0</v>
      </c>
      <c r="B14468" s="9" t="s">
        <v>19872</v>
      </c>
      <c r="C14468" s="9" t="s">
        <v>19873</v>
      </c>
      <c r="D14468" s="9" t="s">
        <v>19474</v>
      </c>
      <c r="E14468" s="6" t="s">
        <v>19874</v>
      </c>
      <c r="F14468" t="inlineStr" s="10">
        <is>
          <t xml:space="preserve">Dipplin on kaksi olentoa yhdessä Pokémonissa. Sen evoluution laukaisi erityinen omena, jota kasvatettiin vain yhdessä paikassa. Ulkoneva pää kuuluu etulaiselle, kun taas häntä kuuluu ydinlaiselle. Ne jakavat yhden omenan ja auttavat toisiaan.</t>
        </is>
      </c>
    </row>
    <row r="14469" ht="33.75" customHeight="1">
      <c r="A14469" s="7">
        <v>1011.0</v>
      </c>
      <c r="B14469" s="9" t="s">
        <v>19872</v>
      </c>
      <c r="C14469" s="9" t="s">
        <v>19873</v>
      </c>
      <c r="D14469" s="9" t="s">
        <v>19476</v>
      </c>
      <c r="E14469" s="6" t="s">
        <v>19875</v>
      </c>
      <c r="F14469" s="9"/>
    </row>
    <row r="14470" ht="33.75" customHeight="1">
      <c r="A14470" s="7">
        <v>1012.0</v>
      </c>
      <c r="B14470" s="9" t="s">
        <v>19877</v>
      </c>
      <c r="C14470" s="9" t="s">
        <v>19878</v>
      </c>
      <c r="D14470" s="9" t="s">
        <v>19474</v>
      </c>
      <c r="E14470" s="6" t="s">
        <v>19879</v>
      </c>
      <c r="F14470" t="inlineStr" s="10">
        <is>
          <t xml:space="preserve">Kerrotaan, että teeseremonian mestarin, joka kuoli ennen kuin hän oli saanut taitonsa täydellistettyä, katumus viipyi matchassa ja hänestä tuli Pokémon. Poltchageist näyttää Sinistean alueelliselta muodolta, mutta äskettäin havaittiin, että nämä kaksi Pokémonia eivät ole lainkaan sukua toisilleen.</t>
        </is>
      </c>
    </row>
    <row r="14471" ht="33.75" customHeight="1">
      <c r="A14471" s="7">
        <v>1012.0</v>
      </c>
      <c r="B14471" s="9" t="s">
        <v>19877</v>
      </c>
      <c r="C14471" s="9" t="s">
        <v>19878</v>
      </c>
      <c r="D14471" s="9" t="s">
        <v>19476</v>
      </c>
      <c r="E14471" s="6" t="s">
        <v>19880</v>
      </c>
      <c r="F14471" s="9"/>
    </row>
    <row r="14472" ht="33.75" customHeight="1">
      <c r="A14472" s="7">
        <v>1013.0</v>
      </c>
      <c r="B14472" s="9" t="s">
        <v>19881</v>
      </c>
      <c r="C14472" s="9" t="s">
        <v>19878</v>
      </c>
      <c r="D14472" s="9" t="s">
        <v>19474</v>
      </c>
      <c r="E14472" s="6" t="s">
        <v>19882</v>
      </c>
      <c r="F14472" t="inlineStr" s="10">
        <is>
          <t xml:space="preserve">Sinistcha teeskentelee olevansa teetä ja yrittää huijata ihmisiä juomaan sitä, jotta se voi imeä heidän elinvoimansa. Sen juoni on yleensä epäonnistunut. Se viihtyy viileissä ja pimeissä paikoissa, kuten hyllyn takana tai kodin lattialautojen alla. Se vaeltelee etsimässä saalista auringonlaskun jälkeen.</t>
        </is>
      </c>
    </row>
    <row r="14473" ht="33.75" customHeight="1">
      <c r="A14473" s="7">
        <v>1013.0</v>
      </c>
      <c r="B14473" s="9" t="s">
        <v>19881</v>
      </c>
      <c r="C14473" s="9" t="s">
        <v>19878</v>
      </c>
      <c r="D14473" s="9" t="s">
        <v>19476</v>
      </c>
      <c r="E14473" s="6" t="s">
        <v>19883</v>
      </c>
      <c r="F14473" s="9"/>
    </row>
    <row r="14474" ht="33.75" customHeight="1">
      <c r="A14474" s="7">
        <v>1014.0</v>
      </c>
      <c r="B14474" s="9" t="s">
        <v>19884</v>
      </c>
      <c r="C14474" s="9" t="s">
        <v>19885</v>
      </c>
      <c r="D14474" s="9" t="s">
        <v>19474</v>
      </c>
      <c r="E14474" s="6" t="s">
        <v>19886</v>
      </c>
      <c r="F14474" t="inlineStr" s="10">
        <is>
          <t xml:space="preserve">Kun kaikki Okidogin lihakset oli stimuloitu kaulassa olevan myrkyllisen ketjun vaikutuksesta, Okidogi muuttui ja sai voimakkaan fysiikan. Okidogi on äkkipikainen roisto. Se voi murskata mitä tahansa heiluttamalla ketjua kaulassaan.</t>
        </is>
      </c>
    </row>
    <row r="14475" ht="33.75" customHeight="1">
      <c r="A14475" s="7">
        <v>1014.0</v>
      </c>
      <c r="B14475" s="9" t="s">
        <v>19884</v>
      </c>
      <c r="C14475" s="9" t="s">
        <v>19885</v>
      </c>
      <c r="D14475" s="9" t="s">
        <v>19476</v>
      </c>
      <c r="E14475" s="6" t="s">
        <v>19888</v>
      </c>
      <c r="F14475" s="9"/>
    </row>
    <row r="14476" ht="33.75" customHeight="1">
      <c r="A14476" s="7">
        <v>1015.0</v>
      </c>
      <c r="B14476" s="9" t="s">
        <v>19889</v>
      </c>
      <c r="C14476" s="9" t="s">
        <v>19885</v>
      </c>
      <c r="D14476" s="9" t="s">
        <v>19474</v>
      </c>
      <c r="E14476" s="6" t="s">
        <v>19890</v>
      </c>
      <c r="F14476" t="inlineStr" s="10">
        <is>
          <t xml:space="preserve">Ketju on tehty kykyjä parantavista myrkkyistä. Se stimuloi Munkidorin aivoja ja sai Pokémonin psyykkiset voimat kukoistamaan. Munkidori pysyttelee turvallisessa paikassa leikkiessään vihollistensa kanssa ja käyttää psykokineesiä aiheuttaakseen voimakasta huimausta.</t>
        </is>
      </c>
    </row>
    <row r="14477" ht="33.75" customHeight="1">
      <c r="A14477" s="7">
        <v>1015.0</v>
      </c>
      <c r="B14477" s="9" t="s">
        <v>19889</v>
      </c>
      <c r="C14477" s="9" t="s">
        <v>19885</v>
      </c>
      <c r="D14477" s="9" t="s">
        <v>19476</v>
      </c>
      <c r="E14477" s="6" t="s">
        <v>19891</v>
      </c>
      <c r="F14477" s="9"/>
    </row>
    <row r="14478" ht="33.75" customHeight="1">
      <c r="A14478" s="7">
        <v>1016.0</v>
      </c>
      <c r="B14478" s="9" t="s">
        <v>19892</v>
      </c>
      <c r="C14478" s="9" t="s">
        <v>19885</v>
      </c>
      <c r="D14478" s="9" t="s">
        <v>19474</v>
      </c>
      <c r="E14478" s="6" t="s">
        <v>19893</v>
      </c>
      <c r="F14478" t="inlineStr" s="10">
        <is>
          <t xml:space="preserve">Fezandipiti saa kauniin ulkonäkönsä ja ihanan äänensä velkaa Fezandipitin ympärille kiedotusta ketjusta tuleville myrkyllisille piristeille. Fezandipiti lyö kiiltäviä siipiään levittääkseen feromoneja, jotka kiehtovat ihmisiä ja Pokémoneja.</t>
        </is>
      </c>
    </row>
    <row r="14479" ht="33.75" customHeight="1">
      <c r="A14479" s="7">
        <v>1016.0</v>
      </c>
      <c r="B14479" s="9" t="s">
        <v>19892</v>
      </c>
      <c r="C14479" s="9" t="s">
        <v>19885</v>
      </c>
      <c r="D14479" s="9" t="s">
        <v>19476</v>
      </c>
      <c r="E14479" s="6" t="s">
        <v>19895</v>
      </c>
      <c r="F14479" s="9"/>
    </row>
    <row r="14480" ht="33.75" customHeight="1">
      <c r="A14480" s="7">
        <v>1017.0</v>
      </c>
      <c r="B14480" s="9" t="s">
        <v>19896</v>
      </c>
      <c r="C14480" s="9" t="s">
        <v>19897</v>
      </c>
      <c r="D14480" s="9" t="s">
        <v>19474</v>
      </c>
      <c r="E14480" s="6" t="s">
        <v>19898</v>
      </c>
      <c r="F14480" t="inlineStr" s="10">
        <is>
          <t xml:space="preserve">Tämän Pokémonin tyyppi muuttuu Ogerponin käyttämän naamion mukaan. Se hämmentää vihollisensa ketterillä liikkeillään ja potkuillaan. Tämä ilkikurisuutta rakastava Pokémon on täynnä uteliaisuutta. Se taistelee ammentamalla esiin naamioistaan ​​löytyvän tyyppikohtaisen energian.</t>
        </is>
      </c>
    </row>
    <row r="14481" ht="33.75" customHeight="1">
      <c r="A14481" s="7">
        <v>1017.0</v>
      </c>
      <c r="B14481" s="9" t="s">
        <v>19896</v>
      </c>
      <c r="C14481" s="9" t="s">
        <v>19897</v>
      </c>
      <c r="D14481" s="9" t="s">
        <v>19476</v>
      </c>
      <c r="E14481" s="6" t="s">
        <v>19899</v>
      </c>
      <c r="F14481" s="9"/>
    </row>
    <row r="14482" ht="33.75" customHeight="1">
      <c r="A14482" s="7">
        <v>1018.0</v>
      </c>
      <c r="B14482" s="9" t="s">
        <v>19900</v>
      </c>
      <c r="C14482" s="9" t="s">
        <v>19389</v>
      </c>
      <c r="D14482" s="9" t="s">
        <v>19474</v>
      </c>
      <c r="E14482" s="6" t="s">
        <v>19901</v>
      </c>
      <c r="F14482" t="inlineStr" s="10">
        <is>
          <t xml:space="preserve">Archaludon kerää staattista sähköä ympäristöstään. Konttausasentoon laskeutuessaan sen lähettämät säteet ovat valtavan voimakkaita. Se kaivaa kuoppia vuorille etsien ruokaa. Se on niin kestävä, ettei sortumaan jääminen säikäytä sitä.</t>
        </is>
      </c>
    </row>
    <row r="14483" ht="33.75" customHeight="1">
      <c r="A14483" s="7">
        <v>1018.0</v>
      </c>
      <c r="B14483" s="9" t="s">
        <v>19900</v>
      </c>
      <c r="C14483" s="9" t="s">
        <v>19389</v>
      </c>
      <c r="D14483" s="9" t="s">
        <v>19476</v>
      </c>
      <c r="E14483" s="6" t="s">
        <v>19902</v>
      </c>
      <c r="F14483" s="9"/>
    </row>
    <row r="14484" ht="33.75" customHeight="1">
      <c r="A14484" s="7">
        <v>1019.0</v>
      </c>
      <c r="B14484" s="9" t="s">
        <v>19904</v>
      </c>
      <c r="C14484" s="9" t="s">
        <v>19905</v>
      </c>
      <c r="D14484" s="9" t="s">
        <v>19474</v>
      </c>
      <c r="E14484" s="6" t="s">
        <v>19906</v>
      </c>
      <c r="F14484" t="inlineStr" s="10">
        <is>
          <t xml:space="preserve">Siirapista tehdyn omenan sisällä asuu seitsemän käärmettä. Keskellä oleva käärme on komentaja. Nämä oikukkaat käärmeenhahmot ovat yhdistäneet voimansa. Harvinaisissa tilanteissa, joissa heidän mielialansa kohtaavat, heidän todellinen voimansa pääsee valloilleen.</t>
        </is>
      </c>
    </row>
    <row r="14485" ht="33.75" customHeight="1">
      <c r="A14485" s="7">
        <v>1019.0</v>
      </c>
      <c r="B14485" s="9" t="s">
        <v>19904</v>
      </c>
      <c r="C14485" s="9" t="s">
        <v>19905</v>
      </c>
      <c r="D14485" s="9" t="s">
        <v>19476</v>
      </c>
      <c r="E14485" s="6" t="s">
        <v>19907</v>
      </c>
      <c r="F14485" s="9"/>
    </row>
    <row r="14486" ht="33.75" customHeight="1">
      <c r="A14486" s="7">
        <v>1020.0</v>
      </c>
      <c r="B14486" s="9" t="s">
        <v>19908</v>
      </c>
      <c r="C14486" s="9" t="s">
        <v>19779</v>
      </c>
      <c r="D14486" s="9" t="s">
        <v>19474</v>
      </c>
      <c r="E14486" s="6" t="s">
        <v>19909</v>
      </c>
      <c r="F14486" t="inlineStr" s="10">
        <is>
          <t xml:space="preserve">Tämän olennon näkemisestä on tuskin havaintoja. Yhdessä lyhyessä videossa se riehuu ja syöksee liekkipilareita. Se muistuttaa aavemaista Pokémonia, jota kerran esitettiin paranormaalissa lehdessä. Pokémonin sanottiin olevan fossiilista uusiutunut Entei.</t>
        </is>
      </c>
    </row>
    <row r="14487" ht="33.75" customHeight="1">
      <c r="A14487" s="7">
        <v>1020.0</v>
      </c>
      <c r="B14487" s="9" t="s">
        <v>19908</v>
      </c>
      <c r="C14487" s="9" t="s">
        <v>19779</v>
      </c>
      <c r="D14487" s="9" t="s">
        <v>19476</v>
      </c>
      <c r="E14487" s="6" t="s">
        <v>19910</v>
      </c>
      <c r="F14487" s="9"/>
    </row>
    <row r="14488" ht="33.75" customHeight="1">
      <c r="A14488" s="7">
        <v>1021.0</v>
      </c>
      <c r="B14488" s="9" t="s">
        <v>19911</v>
      </c>
      <c r="C14488" s="9" t="s">
        <v>19779</v>
      </c>
      <c r="D14488" s="9" t="s">
        <v>19474</v>
      </c>
      <c r="E14488" s="6" t="s">
        <v>19912</v>
      </c>
      <c r="F14488" t="inlineStr" s="10">
        <is>
          <t xml:space="preserve">Raging Boltin sanotaan polttavan kaiken ympärillään turkistaan ​​​​laukaisevilla salamoilla. Tästä olennosta tiedetään hyvin vähän. Se muistuttaa Pokémonia, josta tuli hetken aikaa kuuma puheenaihe sen jälkeen, kun paranormaali lehti mainosti sitä Raikoun esi-isänä.</t>
        </is>
      </c>
    </row>
    <row r="14489" ht="33.75" customHeight="1">
      <c r="A14489" s="7">
        <v>1021.0</v>
      </c>
      <c r="B14489" s="9" t="s">
        <v>19911</v>
      </c>
      <c r="C14489" s="9" t="s">
        <v>19779</v>
      </c>
      <c r="D14489" s="9" t="s">
        <v>19476</v>
      </c>
      <c r="E14489" s="6" t="s">
        <v>19913</v>
      </c>
      <c r="F14489" s="9"/>
    </row>
    <row r="14490" ht="33.75" customHeight="1">
      <c r="A14490" s="7">
        <v>1022.0</v>
      </c>
      <c r="B14490" s="9" t="s">
        <v>19915</v>
      </c>
      <c r="C14490" s="9" t="s">
        <v>19779</v>
      </c>
      <c r="D14490" s="9" t="s">
        <v>19474</v>
      </c>
      <c r="E14490" s="6" t="s">
        <v>19916</v>
      </c>
      <c r="F14490" t="inlineStr" s="10">
        <is>
          <t xml:space="preserve">Iron Boulder muistuttaa Pokémonia, jota kyseenalaisessa lehdessä kuvataan pahamaineisen organisaation muokkaamaksi Terrakioniksi. Se nimettiin vanhaan kirjaan kirjatun salaperäisen esineen mukaan. Sen runko näyttää olevan metallinen.</t>
        </is>
      </c>
    </row>
    <row r="14491" ht="33.75" customHeight="1">
      <c r="A14491" s="7">
        <v>1022.0</v>
      </c>
      <c r="B14491" s="9" t="s">
        <v>19915</v>
      </c>
      <c r="C14491" s="9" t="s">
        <v>19779</v>
      </c>
      <c r="D14491" s="9" t="s">
        <v>19476</v>
      </c>
      <c r="E14491" s="6" t="s">
        <v>19917</v>
      </c>
      <c r="F14491" s="9"/>
    </row>
    <row r="14492" ht="33.75" customHeight="1">
      <c r="A14492" s="7">
        <v>1023.0</v>
      </c>
      <c r="B14492" s="9" t="s">
        <v>19918</v>
      </c>
      <c r="C14492" s="9" t="s">
        <v>19779</v>
      </c>
      <c r="D14492" s="9" t="s">
        <v>19474</v>
      </c>
      <c r="E14492" s="6" t="s">
        <v>19919</v>
      </c>
      <c r="F14492" t="inlineStr" s="10">
        <is>
          <t xml:space="preserve">Iron Crown muistuttaa paranormaalissa lehdessä esiteltyä salaperäistä esinettä, joka on kobalionin muotoinen huippuluokan ase. Kerrotaan, että erään tapauksen aikana se laukaisi kiiltäviä teriä ja paloitteli kaiken ympärillään olevan palasiksi. Muuta siitä ei tiedetä juurikaan.</t>
        </is>
      </c>
    </row>
    <row r="14493" ht="33.75" customHeight="1">
      <c r="A14493" s="7">
        <v>1023.0</v>
      </c>
      <c r="B14493" s="9" t="s">
        <v>19918</v>
      </c>
      <c r="C14493" s="9" t="s">
        <v>19779</v>
      </c>
      <c r="D14493" s="9" t="s">
        <v>19476</v>
      </c>
      <c r="E14493" s="6" t="s">
        <v>19920</v>
      </c>
      <c r="F14493" s="9"/>
    </row>
    <row r="14494" ht="33.75" customHeight="1">
      <c r="A14494" s="7">
        <v>1024.0</v>
      </c>
      <c r="B14494" s="9" t="s">
        <v>19921</v>
      </c>
      <c r="C14494" s="9" t="s">
        <v>19922</v>
      </c>
      <c r="D14494" s="9" t="s">
        <v>19474</v>
      </c>
      <c r="E14494" s="6" t="s">
        <v>19923</v>
      </c>
      <c r="F14494" t="inlineStr" s="10">
        <is>
          <t xml:space="preserve">Terapagos suojelee itseään käyttämällä kykyään muuttaa energiaa koviksi kiteiksi. Tämä Pokémon on Terastal-ilmiön lähde. Tämän Pokémonin uskotaan eläneen muinaisessa Paldeassa, kunnes se jäi maanjäristysten kouriin ja kuoli sukupuuttoon.</t>
        </is>
      </c>
    </row>
    <row r="14495" ht="33.75" customHeight="1">
      <c r="A14495" s="7">
        <v>1024.0</v>
      </c>
      <c r="B14495" s="9" t="s">
        <v>19921</v>
      </c>
      <c r="C14495" s="9" t="s">
        <v>19922</v>
      </c>
      <c r="D14495" s="9" t="s">
        <v>19476</v>
      </c>
      <c r="E14495" s="6" t="s">
        <v>19924</v>
      </c>
      <c r="F14495" s="9"/>
    </row>
    <row r="14496" ht="33.75" customHeight="1">
      <c r="A14496" s="7">
        <v>1025.0</v>
      </c>
      <c r="B14496" s="9" t="s">
        <v>19925</v>
      </c>
      <c r="C14496" s="9" t="s">
        <v>19926</v>
      </c>
      <c r="D14496" s="9" t="s">
        <v>19474</v>
      </c>
      <c r="E14496" s="6" t="s">
        <v>19927</v>
      </c>
      <c r="F14496" t="inlineStr" s="10">
        <is>
          <t xml:space="preserve">Pecharunt ruokkii muita myrkyllisiä mochi-juomia, jotka herättävät haluja ja kykyjä. Mochia syövät joutuvat Pecharuntin hallintaan, kahlittuina sen tahtoon. Sen persikanmuotoinen kuori toimii varastona voimakkaalle myrkylle. Se valmistaa myrkyllisiä mochi-karkkeja ja tarjoilee niitä ihmisille ja Pokémoneille.</t>
        </is>
      </c>
    </row>
    <row r="14497" ht="33.75" customHeight="1">
      <c r="A14497" s="7">
        <v>1025.0</v>
      </c>
      <c r="B14497" s="9" t="s">
        <v>19925</v>
      </c>
      <c r="C14497" s="9" t="s">
        <v>19926</v>
      </c>
      <c r="D14497" s="9" t="s">
        <v>19476</v>
      </c>
      <c r="E14497" s="6" t="s">
        <v>19929</v>
      </c>
      <c r="F14497" s="9"/>
    </row>
  </sheetData>
  <customSheetViews>
    <customSheetView guid="{206DE417-299F-40BB-97D9-7FFA76F9497E}" filter="1" showAutoFilter="1">
      <autoFilter ref="$A$1:$F$14497"/>
    </customSheetView>
  </customSheetView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sheetViews>
  <sheetFormatPr customHeight="1" defaultColWidth="12.63" defaultRowHeight="15.0"/>
  <cols>
    <col customWidth="1" min="1" max="1" width="42.0"/>
    <col customWidth="1" min="2" max="2" width="118.0"/>
    <col customWidth="1" min="3" max="26" width="8.63"/>
  </cols>
  <sheetData>
    <row r="1" ht="25.5" customHeight="1">
      <c r="A1" s="1" t="s">
        <v>2</v>
      </c>
      <c r="B1" s="1"/>
    </row>
    <row r="3">
      <c r="A3" s="4" t="s">
        <v>3</v>
      </c>
      <c r="B3" s="4" t="s">
        <v>8</v>
      </c>
    </row>
    <row r="4" ht="31.5" customHeight="1">
      <c r="A4" s="5" t="s">
        <v>14</v>
      </c>
      <c r="B4" s="6" t="s">
        <v>18</v>
      </c>
    </row>
    <row r="5" ht="31.5" customHeight="1">
      <c r="A5" s="5" t="s">
        <v>19</v>
      </c>
      <c r="B5" s="8">
        <v>46299.0</v>
      </c>
    </row>
    <row r="6" ht="31.5" customHeight="1">
      <c r="A6" s="5" t="s">
        <v>23</v>
      </c>
      <c r="B6" s="6">
        <v>1025.0</v>
      </c>
    </row>
    <row r="7" ht="31.5" customHeight="1">
      <c r="A7" s="5" t="s">
        <v>25</v>
      </c>
      <c r="B7" s="6">
        <v>14496.0</v>
      </c>
    </row>
    <row r="8" ht="31.5" customHeight="1">
      <c r="A8" s="5" t="s">
        <v>30</v>
      </c>
      <c r="B8" s="6">
        <v>53.0</v>
      </c>
    </row>
    <row r="9" ht="31.5" customHeight="1">
      <c r="A9" s="5" t="s">
        <v>33</v>
      </c>
      <c r="B9" s="6">
        <v>35.0</v>
      </c>
    </row>
    <row r="10" ht="31.5" customHeight="1">
      <c r="A10" s="5" t="s">
        <v>36</v>
      </c>
      <c r="B10" s="6" t="s">
        <v>37</v>
      </c>
    </row>
    <row r="11" ht="31.5" customHeight="1">
      <c r="A11" s="5" t="s">
        <v>38</v>
      </c>
      <c r="B11" s="6" t="s">
        <v>39</v>
      </c>
    </row>
    <row r="12" ht="31.5" customHeight="1">
      <c r="A12" s="5" t="s">
        <v>40</v>
      </c>
      <c r="B12" s="6" t="s">
        <v>43</v>
      </c>
    </row>
    <row r="13" ht="31.5" customHeight="1">
      <c r="A13" s="5" t="s">
        <v>45</v>
      </c>
      <c r="B13" s="6" t="s">
        <v>46</v>
      </c>
    </row>
    <row r="14" ht="31.5" customHeight="1">
      <c r="A14" s="5" t="s">
        <v>49</v>
      </c>
      <c r="B14" s="6" t="s">
        <v>50</v>
      </c>
    </row>
    <row r="15" ht="31.5" customHeight="1">
      <c r="A15" s="5" t="s">
        <v>51</v>
      </c>
      <c r="B15" s="6" t="s">
        <v>53</v>
      </c>
    </row>
    <row r="16" ht="31.5" customHeight="1">
      <c r="A16" s="5" t="s">
        <v>57</v>
      </c>
      <c r="B16" s="6" t="s">
        <v>58</v>
      </c>
    </row>
    <row r="17" ht="31.5" customHeight="1">
      <c r="A17" s="5" t="s">
        <v>61</v>
      </c>
      <c r="B17" s="6" t="s">
        <v>63</v>
      </c>
    </row>
    <row r="18" ht="31.5" customHeight="1">
      <c r="A18" s="5" t="s">
        <v>66</v>
      </c>
      <c r="B18" s="6">
        <v>9200.0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2" width="90.0"/>
    <col customWidth="1" min="3" max="3" width="28.0"/>
    <col customWidth="1" min="4" max="6" width="8.63"/>
  </cols>
  <sheetData>
    <row r="1" ht="31.5" customHeight="1">
      <c r="A1" s="3" t="s">
        <v>1</v>
      </c>
      <c r="B1" s="3" t="s">
        <v>7</v>
      </c>
      <c r="C1" s="3" t="s">
        <v>12</v>
      </c>
    </row>
    <row r="2" ht="33.75" customHeight="1">
      <c r="A2" s="6" t="s">
        <v>16</v>
      </c>
      <c r="B2" s="6" t="str">
        <f>IFERROR(__xludf.DUMMYFUNCTION("GOOGLETRANSLATE(A2,""en"",""fi"")"),"Siemen-Pokémon")</f>
        <v>Siemen-Pokémon</v>
      </c>
      <c r="C2" s="9" t="s">
        <v>29</v>
      </c>
    </row>
    <row r="3" ht="33.75" customHeight="1">
      <c r="A3" s="6" t="s">
        <v>31</v>
      </c>
      <c r="B3" s="6" t="str">
        <f>IFERROR(__xludf.DUMMYFUNCTION("GOOGLETRANSLATE(A3,""en"",""fi"")"),"Lisko-Pokémon")</f>
        <v>Lisko-Pokémon</v>
      </c>
      <c r="C3" s="9" t="s">
        <v>29</v>
      </c>
    </row>
    <row r="4" ht="33.75" customHeight="1">
      <c r="A4" s="6" t="s">
        <v>41</v>
      </c>
      <c r="B4" s="6" t="str">
        <f>IFERROR(__xludf.DUMMYFUNCTION("GOOGLETRANSLATE(A4,""en"",""fi"")"),"Liekki-Pokémon")</f>
        <v>Liekki-Pokémon</v>
      </c>
      <c r="C4" s="9" t="s">
        <v>29</v>
      </c>
    </row>
    <row r="5" ht="33.75" customHeight="1">
      <c r="A5" s="6" t="s">
        <v>48</v>
      </c>
      <c r="B5" s="6" t="str">
        <f>IFERROR(__xludf.DUMMYFUNCTION("GOOGLETRANSLATE(A5,""en"",""fi"")"),"Pieni kilpikonna-Pokémon")</f>
        <v>Pieni kilpikonna-Pokémon</v>
      </c>
      <c r="C5" s="9" t="s">
        <v>29</v>
      </c>
    </row>
    <row r="6" ht="33.75" customHeight="1">
      <c r="A6" s="6" t="s">
        <v>56</v>
      </c>
      <c r="B6" s="6" t="str">
        <f>IFERROR(__xludf.DUMMYFUNCTION("GOOGLETRANSLATE(A6,""en"",""fi"")"),"Kilpikonna-Pokémon")</f>
        <v>Kilpikonna-Pokémon</v>
      </c>
      <c r="C6" s="9" t="s">
        <v>29</v>
      </c>
    </row>
    <row r="7" ht="33.75" customHeight="1">
      <c r="A7" s="6" t="s">
        <v>62</v>
      </c>
      <c r="B7" s="6" t="str">
        <f>IFERROR(__xludf.DUMMYFUNCTION("GOOGLETRANSLATE(A7,""en"",""fi"")"),"Äyriäis-Pokémon")</f>
        <v>Äyriäis-Pokémon</v>
      </c>
      <c r="C7" s="9" t="s">
        <v>29</v>
      </c>
    </row>
    <row r="8" ht="33.75" customHeight="1">
      <c r="A8" s="6" t="s">
        <v>68</v>
      </c>
      <c r="B8" s="6" t="str">
        <f>IFERROR(__xludf.DUMMYFUNCTION("GOOGLETRANSLATE(A8,""en"",""fi"")"),"Mato-Pokémon")</f>
        <v>Mato-Pokémon</v>
      </c>
      <c r="C8" s="9" t="s">
        <v>29</v>
      </c>
    </row>
    <row r="9" ht="33.75" customHeight="1">
      <c r="A9" s="6" t="s">
        <v>72</v>
      </c>
      <c r="B9" s="6" t="str">
        <f>IFERROR(__xludf.DUMMYFUNCTION("GOOGLETRANSLATE(A9,""en"",""fi"")"),"Kookos-Pokémon")</f>
        <v>Kookos-Pokémon</v>
      </c>
      <c r="C9" s="9" t="s">
        <v>29</v>
      </c>
    </row>
    <row r="10" ht="33.75" customHeight="1">
      <c r="A10" s="6" t="s">
        <v>74</v>
      </c>
      <c r="B10" s="6" t="str">
        <f>IFERROR(__xludf.DUMMYFUNCTION("GOOGLETRANSLATE(A10,""en"",""fi"")"),"Perhos-Pokémon")</f>
        <v>Perhos-Pokémon</v>
      </c>
      <c r="C10" s="9" t="s">
        <v>29</v>
      </c>
    </row>
    <row r="11" ht="33.75" customHeight="1">
      <c r="A11" s="6" t="s">
        <v>78</v>
      </c>
      <c r="B11" s="6" t="str">
        <f>IFERROR(__xludf.DUMMYFUNCTION("GOOGLETRANSLATE(A11,""en"",""fi"")"),"Karvainen ötökkä-Pokémon")</f>
        <v>Karvainen ötökkä-Pokémon</v>
      </c>
      <c r="C11" s="9" t="s">
        <v>29</v>
      </c>
    </row>
    <row r="12" ht="33.75" customHeight="1">
      <c r="A12" s="6" t="s">
        <v>80</v>
      </c>
      <c r="B12" s="6" t="str">
        <f>IFERROR(__xludf.DUMMYFUNCTION("GOOGLETRANSLATE(A12,""en"",""fi"")"),"Myrkyllinen mehiläinen -pokémon")</f>
        <v>Myrkyllinen mehiläinen -pokémon</v>
      </c>
      <c r="C12" s="9" t="s">
        <v>29</v>
      </c>
    </row>
    <row r="13" ht="33.75" customHeight="1">
      <c r="A13" s="6" t="s">
        <v>83</v>
      </c>
      <c r="B13" s="6" t="str">
        <f>IFERROR(__xludf.DUMMYFUNCTION("GOOGLETRANSLATE(A13,""en"",""fi"")"),"Pieni lintu-Pokémon")</f>
        <v>Pieni lintu-Pokémon</v>
      </c>
      <c r="C13" s="9" t="s">
        <v>29</v>
      </c>
    </row>
    <row r="14" ht="33.75" customHeight="1">
      <c r="A14" s="6" t="s">
        <v>86</v>
      </c>
      <c r="B14" s="6" t="str">
        <f>IFERROR(__xludf.DUMMYFUNCTION("GOOGLETRANSLATE(A14,""en"",""fi"")"),"Lintu-Pokémon")</f>
        <v>Lintu-Pokémon</v>
      </c>
      <c r="C14" s="9" t="s">
        <v>29</v>
      </c>
    </row>
    <row r="15" ht="33.75" customHeight="1">
      <c r="A15" s="6" t="s">
        <v>88</v>
      </c>
      <c r="B15" s="6" t="str">
        <f>IFERROR(__xludf.DUMMYFUNCTION("GOOGLETRANSLATE(A15,""en"",""fi"")"),"Hiiri-Pokémon")</f>
        <v>Hiiri-Pokémon</v>
      </c>
      <c r="C15" s="9" t="s">
        <v>29</v>
      </c>
    </row>
    <row r="16" ht="33.75" customHeight="1">
      <c r="A16" s="6" t="s">
        <v>90</v>
      </c>
      <c r="B16" s="6" t="str">
        <f>IFERROR(__xludf.DUMMYFUNCTION("GOOGLETRANSLATE(A16,""en"",""fi"")"),"Nokka-Pokémon")</f>
        <v>Nokka-Pokémon</v>
      </c>
      <c r="C16" s="9" t="s">
        <v>29</v>
      </c>
    </row>
    <row r="17" ht="33.75" customHeight="1">
      <c r="A17" s="6" t="s">
        <v>92</v>
      </c>
      <c r="B17" s="6" t="str">
        <f>IFERROR(__xludf.DUMMYFUNCTION("GOOGLETRANSLATE(A17,""en"",""fi"")"),"Käärme-Pokémon")</f>
        <v>Käärme-Pokémon</v>
      </c>
      <c r="C17" s="9" t="s">
        <v>29</v>
      </c>
    </row>
    <row r="18" ht="33.75" customHeight="1">
      <c r="A18" s="6" t="s">
        <v>94</v>
      </c>
      <c r="B18" s="6" t="str">
        <f>IFERROR(__xludf.DUMMYFUNCTION("GOOGLETRANSLATE(A18,""en"",""fi"")"),"Kobra-Pokémon")</f>
        <v>Kobra-Pokémon</v>
      </c>
      <c r="C18" s="9" t="s">
        <v>29</v>
      </c>
    </row>
    <row r="19" ht="33.75" customHeight="1">
      <c r="A19" s="6" t="s">
        <v>97</v>
      </c>
      <c r="B19" s="6" t="str">
        <f>IFERROR(__xludf.DUMMYFUNCTION("GOOGLETRANSLATE(A19,""en"",""fi"")"),"Myrkkypinni-Pokémon")</f>
        <v>Myrkkypinni-Pokémon</v>
      </c>
      <c r="C19" s="9" t="s">
        <v>29</v>
      </c>
    </row>
    <row r="20" ht="33.75" customHeight="1">
      <c r="A20" s="6" t="s">
        <v>100</v>
      </c>
      <c r="B20" s="6" t="str">
        <f>IFERROR(__xludf.DUMMYFUNCTION("GOOGLETRANSLATE(A20,""en"",""fi"")"),"Poraa Pokémon")</f>
        <v>Poraa Pokémon</v>
      </c>
      <c r="C20" s="9" t="s">
        <v>29</v>
      </c>
    </row>
    <row r="21" ht="33.75" customHeight="1">
      <c r="A21" s="6" t="s">
        <v>104</v>
      </c>
      <c r="B21" s="6" t="str">
        <f>IFERROR(__xludf.DUMMYFUNCTION("GOOGLETRANSLATE(A21,""en"",""fi"")"),"Keiju-Pokémon")</f>
        <v>Keiju-Pokémon</v>
      </c>
      <c r="C21" s="9" t="s">
        <v>29</v>
      </c>
    </row>
    <row r="22" ht="33.75" customHeight="1">
      <c r="A22" s="6" t="s">
        <v>106</v>
      </c>
      <c r="B22" s="6" t="str">
        <f>IFERROR(__xludf.DUMMYFUNCTION("GOOGLETRANSLATE(A22,""en"",""fi"")"),"Kettu-Pokémon")</f>
        <v>Kettu-Pokémon</v>
      </c>
      <c r="C22" s="9" t="s">
        <v>29</v>
      </c>
    </row>
    <row r="23" ht="33.75" customHeight="1">
      <c r="A23" s="6" t="s">
        <v>110</v>
      </c>
      <c r="B23" s="6" t="str">
        <f>IFERROR(__xludf.DUMMYFUNCTION("GOOGLETRANSLATE(A23,""en"",""fi"")"),"Ilmapallo-Pokémon")</f>
        <v>Ilmapallo-Pokémon</v>
      </c>
      <c r="C23" s="9" t="s">
        <v>29</v>
      </c>
    </row>
    <row r="24" ht="33.75" customHeight="1">
      <c r="A24" s="6" t="s">
        <v>112</v>
      </c>
      <c r="B24" s="6" t="str">
        <f>IFERROR(__xludf.DUMMYFUNCTION("GOOGLETRANSLATE(A24,""en"",""fi"")"),"Lepakko-Pokémon")</f>
        <v>Lepakko-Pokémon</v>
      </c>
      <c r="C24" s="9" t="s">
        <v>29</v>
      </c>
    </row>
    <row r="25" ht="33.75" customHeight="1">
      <c r="A25" s="6" t="s">
        <v>115</v>
      </c>
      <c r="B25" s="6" t="str">
        <f>IFERROR(__xludf.DUMMYFUNCTION("GOOGLETRANSLATE(A25,""en"",""fi"")"),"Rikkakasvi-Pokémon")</f>
        <v>Rikkakasvi-Pokémon</v>
      </c>
      <c r="C25" s="9" t="s">
        <v>29</v>
      </c>
    </row>
    <row r="26" ht="33.75" customHeight="1">
      <c r="A26" s="6" t="s">
        <v>119</v>
      </c>
      <c r="B26" s="6" t="str">
        <f>IFERROR(__xludf.DUMMYFUNCTION("GOOGLETRANSLATE(A26,""en"",""fi"")"),"Kukka-Pokémon")</f>
        <v>Kukka-Pokémon</v>
      </c>
      <c r="C26" s="9" t="s">
        <v>29</v>
      </c>
    </row>
    <row r="27" ht="33.75" customHeight="1">
      <c r="A27" s="6" t="s">
        <v>122</v>
      </c>
      <c r="B27" s="6" t="str">
        <f>IFERROR(__xludf.DUMMYFUNCTION("GOOGLETRANSLATE(A27,""en"",""fi"")"),"Sieni-Pokémon")</f>
        <v>Sieni-Pokémon</v>
      </c>
      <c r="C27" s="9" t="s">
        <v>29</v>
      </c>
    </row>
    <row r="28" ht="33.75" customHeight="1">
      <c r="A28" s="6" t="s">
        <v>124</v>
      </c>
      <c r="B28" s="6" t="str">
        <f>IFERROR(__xludf.DUMMYFUNCTION("GOOGLETRANSLATE(A28,""en"",""fi"")"),"Hyönteis-Pokémon")</f>
        <v>Hyönteis-Pokémon</v>
      </c>
      <c r="C28" s="9" t="s">
        <v>29</v>
      </c>
    </row>
    <row r="29" ht="33.75" customHeight="1">
      <c r="A29" s="6" t="s">
        <v>125</v>
      </c>
      <c r="B29" s="6" t="str">
        <f>IFERROR(__xludf.DUMMYFUNCTION("GOOGLETRANSLATE(A29,""en"",""fi"")"),"Myrkkykoi-Pokémon")</f>
        <v>Myrkkykoi-Pokémon</v>
      </c>
      <c r="C29" s="9" t="s">
        <v>29</v>
      </c>
    </row>
    <row r="30" ht="33.75" customHeight="1">
      <c r="A30" s="6" t="s">
        <v>127</v>
      </c>
      <c r="B30" s="6" t="str">
        <f>IFERROR(__xludf.DUMMYFUNCTION("GOOGLETRANSLATE(A30,""en"",""fi"")"),"Myyrä-Pokémon")</f>
        <v>Myyrä-Pokémon</v>
      </c>
      <c r="C30" s="9" t="s">
        <v>29</v>
      </c>
    </row>
    <row r="31" ht="33.75" customHeight="1">
      <c r="A31" s="6" t="s">
        <v>128</v>
      </c>
      <c r="B31" s="6" t="str">
        <f>IFERROR(__xludf.DUMMYFUNCTION("GOOGLETRANSLATE(A31,""en"",""fi"")"),"Raaputuskissa-Pokémon")</f>
        <v>Raaputuskissa-Pokémon</v>
      </c>
      <c r="C31" s="9" t="s">
        <v>29</v>
      </c>
    </row>
    <row r="32" ht="33.75" customHeight="1">
      <c r="A32" s="6" t="s">
        <v>130</v>
      </c>
      <c r="B32" s="6" t="str">
        <f>IFERROR(__xludf.DUMMYFUNCTION("GOOGLETRANSLATE(A32,""en"",""fi"")"),"Tyylikäs kissa-Pokémon")</f>
        <v>Tyylikäs kissa-Pokémon</v>
      </c>
      <c r="C32" s="9" t="s">
        <v>29</v>
      </c>
    </row>
    <row r="33" ht="33.75" customHeight="1">
      <c r="A33" s="6" t="s">
        <v>132</v>
      </c>
      <c r="B33" s="6" t="str">
        <f>IFERROR(__xludf.DUMMYFUNCTION("GOOGLETRANSLATE(A33,""en"",""fi"")"),"Ankka-Pokémon")</f>
        <v>Ankka-Pokémon</v>
      </c>
      <c r="C33" s="9" t="s">
        <v>29</v>
      </c>
    </row>
    <row r="34" ht="33.75" customHeight="1">
      <c r="A34" s="6" t="s">
        <v>134</v>
      </c>
      <c r="B34" s="6" t="str">
        <f>IFERROR(__xludf.DUMMYFUNCTION("GOOGLETRANSLATE(A34,""en"",""fi"")"),"Sika-apinan Pokémon")</f>
        <v>Sika-apinan Pokémon</v>
      </c>
      <c r="C34" s="9" t="s">
        <v>29</v>
      </c>
    </row>
    <row r="35" ht="33.75" customHeight="1">
      <c r="A35" s="6" t="s">
        <v>135</v>
      </c>
      <c r="B35" s="6" t="str">
        <f>IFERROR(__xludf.DUMMYFUNCTION("GOOGLETRANSLATE(A35,""en"",""fi"")"),"Pentu-Pokémon")</f>
        <v>Pentu-Pokémon</v>
      </c>
      <c r="C35" s="9" t="s">
        <v>29</v>
      </c>
    </row>
    <row r="36" ht="33.75" customHeight="1">
      <c r="A36" s="6" t="s">
        <v>137</v>
      </c>
      <c r="B36" s="6" t="str">
        <f>IFERROR(__xludf.DUMMYFUNCTION("GOOGLETRANSLATE(A36,""en"",""fi"")"),"Legendaarinen Pokémon")</f>
        <v>Legendaarinen Pokémon</v>
      </c>
      <c r="C36" s="9" t="s">
        <v>29</v>
      </c>
    </row>
    <row r="37" ht="33.75" customHeight="1">
      <c r="A37" s="6" t="s">
        <v>138</v>
      </c>
      <c r="B37" s="6" t="str">
        <f>IFERROR(__xludf.DUMMYFUNCTION("GOOGLETRANSLATE(A37,""en"",""fi"")"),"Nuijapää-Pokémon")</f>
        <v>Nuijapää-Pokémon</v>
      </c>
      <c r="C37" s="9" t="s">
        <v>29</v>
      </c>
    </row>
    <row r="38" ht="33.75" customHeight="1">
      <c r="A38" s="6" t="s">
        <v>139</v>
      </c>
      <c r="B38" s="6" t="str">
        <f>IFERROR(__xludf.DUMMYFUNCTION("GOOGLETRANSLATE(A38,""en"",""fi"")"),"Psi-Pokémon")</f>
        <v>Psi-Pokémon</v>
      </c>
      <c r="C38" s="9" t="s">
        <v>29</v>
      </c>
    </row>
    <row r="39" ht="33.75" customHeight="1">
      <c r="A39" s="6" t="s">
        <v>141</v>
      </c>
      <c r="B39" s="6" t="str">
        <f>IFERROR(__xludf.DUMMYFUNCTION("GOOGLETRANSLATE(A39,""en"",""fi"")"),"Supervoima-Pokémon")</f>
        <v>Supervoima-Pokémon</v>
      </c>
      <c r="C39" s="9" t="s">
        <v>29</v>
      </c>
    </row>
    <row r="40" ht="33.75" customHeight="1">
      <c r="A40" s="6" t="s">
        <v>143</v>
      </c>
      <c r="B40" s="6" t="str">
        <f>IFERROR(__xludf.DUMMYFUNCTION("GOOGLETRANSLATE(A40,""en"",""fi"")"),"Kärpässieppari-Pokémon")</f>
        <v>Kärpässieppari-Pokémon</v>
      </c>
      <c r="C40" s="9" t="s">
        <v>29</v>
      </c>
    </row>
    <row r="41" ht="33.75" customHeight="1">
      <c r="A41" s="6" t="s">
        <v>145</v>
      </c>
      <c r="B41" s="6" t="str">
        <f>IFERROR(__xludf.DUMMYFUNCTION("GOOGLETRANSLATE(A41,""en"",""fi"")"),"Meduusa-Pokémon")</f>
        <v>Meduusa-Pokémon</v>
      </c>
      <c r="C41" s="9" t="s">
        <v>29</v>
      </c>
    </row>
    <row r="42" ht="33.75" customHeight="1">
      <c r="A42" s="6" t="s">
        <v>146</v>
      </c>
      <c r="B42" s="6" t="str">
        <f>IFERROR(__xludf.DUMMYFUNCTION("GOOGLETRANSLATE(A42,""en"",""fi"")"),"Rock-Pokémon")</f>
        <v>Rock-Pokémon</v>
      </c>
      <c r="C42" s="9" t="s">
        <v>29</v>
      </c>
    </row>
    <row r="43" ht="33.75" customHeight="1">
      <c r="A43" s="6" t="s">
        <v>147</v>
      </c>
      <c r="B43" s="6" t="str">
        <f>IFERROR(__xludf.DUMMYFUNCTION("GOOGLETRANSLATE(A43,""en"",""fi"")"),"Megaton-Pokémon")</f>
        <v>Megaton-Pokémon</v>
      </c>
      <c r="C43" s="9" t="s">
        <v>29</v>
      </c>
    </row>
    <row r="44" ht="33.75" customHeight="1">
      <c r="A44" s="6" t="s">
        <v>150</v>
      </c>
      <c r="B44" s="6" t="str">
        <f>IFERROR(__xludf.DUMMYFUNCTION("GOOGLETRANSLATE(A44,""en"",""fi"")"),"Tulihevos-Pokémon")</f>
        <v>Tulihevos-Pokémon</v>
      </c>
      <c r="C44" s="9" t="s">
        <v>29</v>
      </c>
    </row>
    <row r="45" ht="33.75" customHeight="1">
      <c r="A45" s="6" t="s">
        <v>151</v>
      </c>
      <c r="B45" s="6" t="str">
        <f>IFERROR(__xludf.DUMMYFUNCTION("GOOGLETRANSLATE(A45,""en"",""fi"")"),"Dopey-Pokémon")</f>
        <v>Dopey-Pokémon</v>
      </c>
      <c r="C45" s="9" t="s">
        <v>29</v>
      </c>
    </row>
    <row r="46" ht="33.75" customHeight="1">
      <c r="A46" s="6" t="s">
        <v>152</v>
      </c>
      <c r="B46" s="6" t="str">
        <f>IFERROR(__xludf.DUMMYFUNCTION("GOOGLETRANSLATE(A46,""en"",""fi"")"),"Erakkorapu-Pokémon")</f>
        <v>Erakkorapu-Pokémon</v>
      </c>
      <c r="C46" s="9" t="s">
        <v>29</v>
      </c>
    </row>
    <row r="47" ht="33.75" customHeight="1">
      <c r="A47" s="6" t="s">
        <v>153</v>
      </c>
      <c r="B47" s="6" t="str">
        <f>IFERROR(__xludf.DUMMYFUNCTION("GOOGLETRANSLATE(A47,""en"",""fi"")"),"Magneetti-Pokémon")</f>
        <v>Magneetti-Pokémon</v>
      </c>
      <c r="C47" s="9" t="s">
        <v>29</v>
      </c>
    </row>
    <row r="48" ht="33.75" customHeight="1">
      <c r="A48" s="6" t="s">
        <v>154</v>
      </c>
      <c r="B48" s="6" t="str">
        <f>IFERROR(__xludf.DUMMYFUNCTION("GOOGLETRANSLATE(A48,""en"",""fi"")"),"Villiankka-Pokémon")</f>
        <v>Villiankka-Pokémon</v>
      </c>
      <c r="C48" s="9" t="s">
        <v>29</v>
      </c>
    </row>
    <row r="49" ht="33.75" customHeight="1">
      <c r="A49" s="6" t="s">
        <v>155</v>
      </c>
      <c r="B49" s="6" t="str">
        <f>IFERROR(__xludf.DUMMYFUNCTION("GOOGLETRANSLATE(A49,""en"",""fi"")"),"Kaksoislintu-Pokémon")</f>
        <v>Kaksoislintu-Pokémon</v>
      </c>
      <c r="C49" s="9" t="s">
        <v>29</v>
      </c>
    </row>
    <row r="50" ht="33.75" customHeight="1">
      <c r="A50" s="6" t="s">
        <v>156</v>
      </c>
      <c r="B50" s="6" t="str">
        <f>IFERROR(__xludf.DUMMYFUNCTION("GOOGLETRANSLATE(A50,""en"",""fi"")"),"Kolmoislintu-Pokémon")</f>
        <v>Kolmoislintu-Pokémon</v>
      </c>
      <c r="C50" s="9" t="s">
        <v>29</v>
      </c>
    </row>
    <row r="51" ht="33.75" customHeight="1">
      <c r="A51" s="6" t="s">
        <v>158</v>
      </c>
      <c r="B51" s="6" t="str">
        <f>IFERROR(__xludf.DUMMYFUNCTION("GOOGLETRANSLATE(A51,""en"",""fi"")"),"Merileijona-Pokémon")</f>
        <v>Merileijona-Pokémon</v>
      </c>
      <c r="C51" s="9" t="s">
        <v>29</v>
      </c>
    </row>
    <row r="52" ht="33.75" customHeight="1">
      <c r="A52" s="6" t="s">
        <v>159</v>
      </c>
      <c r="B52" s="6" t="str">
        <f>IFERROR(__xludf.DUMMYFUNCTION("GOOGLETRANSLATE(A52,""en"",""fi"")"),"Liete-Pokémon")</f>
        <v>Liete-Pokémon</v>
      </c>
      <c r="C52" s="9" t="s">
        <v>29</v>
      </c>
    </row>
    <row r="53" ht="33.75" customHeight="1">
      <c r="A53" s="6" t="s">
        <v>161</v>
      </c>
      <c r="B53" s="6" t="str">
        <f>IFERROR(__xludf.DUMMYFUNCTION("GOOGLETRANSLATE(A53,""en"",""fi"")"),"Simpukka-Pokémon")</f>
        <v>Simpukka-Pokémon</v>
      </c>
      <c r="C53" s="9" t="s">
        <v>29</v>
      </c>
    </row>
    <row r="54" ht="33.75" customHeight="1">
      <c r="A54" s="6" t="s">
        <v>162</v>
      </c>
      <c r="B54" s="6" t="str">
        <f>IFERROR(__xludf.DUMMYFUNCTION("GOOGLETRANSLATE(A54,""en"",""fi"")"),"Kaasu-Pokémon")</f>
        <v>Kaasu-Pokémon</v>
      </c>
      <c r="C54" s="9" t="s">
        <v>29</v>
      </c>
    </row>
    <row r="55" ht="33.75" customHeight="1">
      <c r="A55" s="6" t="s">
        <v>164</v>
      </c>
      <c r="B55" s="6" t="str">
        <f>IFERROR(__xludf.DUMMYFUNCTION("GOOGLETRANSLATE(A55,""en"",""fi"")"),"Varjo-Pokémon")</f>
        <v>Varjo-Pokémon</v>
      </c>
      <c r="C55" s="9" t="s">
        <v>29</v>
      </c>
    </row>
    <row r="56" ht="33.75" customHeight="1">
      <c r="A56" s="6" t="s">
        <v>166</v>
      </c>
      <c r="B56" s="6" t="str">
        <f>IFERROR(__xludf.DUMMYFUNCTION("GOOGLETRANSLATE(A56,""en"",""fi"")"),"Kivikäärme-Pokémon")</f>
        <v>Kivikäärme-Pokémon</v>
      </c>
      <c r="C56" s="9" t="s">
        <v>29</v>
      </c>
    </row>
    <row r="57" ht="33.75" customHeight="1">
      <c r="A57" s="6" t="s">
        <v>168</v>
      </c>
      <c r="B57" s="6" t="str">
        <f>IFERROR(__xludf.DUMMYFUNCTION("GOOGLETRANSLATE(A57,""en"",""fi"")"),"Hypnoosi-Pokémon")</f>
        <v>Hypnoosi-Pokémon</v>
      </c>
      <c r="C57" s="9" t="s">
        <v>29</v>
      </c>
    </row>
    <row r="58" ht="33.75" customHeight="1">
      <c r="A58" s="6" t="s">
        <v>169</v>
      </c>
      <c r="B58" s="6" t="str">
        <f>IFERROR(__xludf.DUMMYFUNCTION("GOOGLETRANSLATE(A58,""en"",""fi"")"),"Jokirapu-Pokémon")</f>
        <v>Jokirapu-Pokémon</v>
      </c>
      <c r="C58" s="9" t="s">
        <v>29</v>
      </c>
    </row>
    <row r="59" ht="33.75" customHeight="1">
      <c r="A59" s="6" t="s">
        <v>171</v>
      </c>
      <c r="B59" s="6" t="str">
        <f>IFERROR(__xludf.DUMMYFUNCTION("GOOGLETRANSLATE(A59,""en"",""fi"")"),"Pincer-Pokémon")</f>
        <v>Pincer-Pokémon</v>
      </c>
      <c r="C59" s="9" t="s">
        <v>29</v>
      </c>
    </row>
    <row r="60" ht="33.75" customHeight="1">
      <c r="A60" s="6" t="s">
        <v>173</v>
      </c>
      <c r="B60" s="6" t="str">
        <f>IFERROR(__xludf.DUMMYFUNCTION("GOOGLETRANSLATE(A60,""en"",""fi"")"),"Pallo-Pokémon")</f>
        <v>Pallo-Pokémon</v>
      </c>
      <c r="C60" s="9" t="s">
        <v>29</v>
      </c>
    </row>
    <row r="61" ht="33.75" customHeight="1">
      <c r="A61" s="6" t="s">
        <v>175</v>
      </c>
      <c r="B61" s="6" t="str">
        <f>IFERROR(__xludf.DUMMYFUNCTION("GOOGLETRANSLATE(A61,""en"",""fi"")"),"Muna-Pokémon")</f>
        <v>Muna-Pokémon</v>
      </c>
      <c r="C61" s="9" t="s">
        <v>29</v>
      </c>
    </row>
    <row r="62" ht="33.75" customHeight="1">
      <c r="A62" s="6" t="s">
        <v>176</v>
      </c>
      <c r="B62" s="6" t="str">
        <f>IFERROR(__xludf.DUMMYFUNCTION("GOOGLETRANSLATE(A62,""en"",""fi"")"),"Kookos-Pokémon")</f>
        <v>Kookos-Pokémon</v>
      </c>
      <c r="C62" s="9" t="s">
        <v>29</v>
      </c>
    </row>
    <row r="63" ht="33.75" customHeight="1">
      <c r="A63" s="6" t="s">
        <v>178</v>
      </c>
      <c r="B63" s="6" t="str">
        <f>IFERROR(__xludf.DUMMYFUNCTION("GOOGLETRANSLATE(A63,""en"",""fi"")"),"Yksinäinen Pokémon")</f>
        <v>Yksinäinen Pokémon</v>
      </c>
      <c r="C63" s="9" t="s">
        <v>29</v>
      </c>
    </row>
    <row r="64" ht="33.75" customHeight="1">
      <c r="A64" s="6" t="s">
        <v>179</v>
      </c>
      <c r="B64" s="6" t="str">
        <f>IFERROR(__xludf.DUMMYFUNCTION("GOOGLETRANSLATE(A64,""en"",""fi"")"),"Luunvartija-Pokémon")</f>
        <v>Luunvartija-Pokémon</v>
      </c>
      <c r="C64" s="9" t="s">
        <v>29</v>
      </c>
    </row>
    <row r="65" ht="33.75" customHeight="1">
      <c r="A65" s="6" t="s">
        <v>181</v>
      </c>
      <c r="B65" s="6" t="str">
        <f>IFERROR(__xludf.DUMMYFUNCTION("GOOGLETRANSLATE(A65,""en"",""fi"")"),"Pokémonin potkiminen")</f>
        <v>Pokémonin potkiminen</v>
      </c>
      <c r="C65" s="9" t="s">
        <v>29</v>
      </c>
    </row>
    <row r="66" ht="33.75" customHeight="1">
      <c r="A66" s="6" t="s">
        <v>184</v>
      </c>
      <c r="B66" s="6" t="str">
        <f>IFERROR(__xludf.DUMMYFUNCTION("GOOGLETRANSLATE(A66,""en"",""fi"")"),"Pokémonin lyöminen")</f>
        <v>Pokémonin lyöminen</v>
      </c>
      <c r="C66" s="9" t="s">
        <v>29</v>
      </c>
    </row>
    <row r="67" ht="33.75" customHeight="1">
      <c r="A67" s="6" t="s">
        <v>187</v>
      </c>
      <c r="B67" s="6" t="str">
        <f>IFERROR(__xludf.DUMMYFUNCTION("GOOGLETRANSLATE(A67,""en"",""fi"")"),"Nuolee Pokémonia")</f>
        <v>Nuolee Pokémonia</v>
      </c>
      <c r="C67" s="9" t="s">
        <v>29</v>
      </c>
    </row>
    <row r="68" ht="33.75" customHeight="1">
      <c r="A68" s="6" t="s">
        <v>188</v>
      </c>
      <c r="B68" s="6" t="str">
        <f>IFERROR(__xludf.DUMMYFUNCTION("GOOGLETRANSLATE(A68,""en"",""fi"")"),"Myrkyllinen kaasu-Pokémon")</f>
        <v>Myrkyllinen kaasu-Pokémon</v>
      </c>
      <c r="C68" s="9" t="s">
        <v>29</v>
      </c>
    </row>
    <row r="69" ht="33.75" customHeight="1">
      <c r="A69" s="6" t="s">
        <v>189</v>
      </c>
      <c r="B69" s="6" t="str">
        <f>IFERROR(__xludf.DUMMYFUNCTION("GOOGLETRANSLATE(A69,""en"",""fi"")"),"Spike-Pokémon")</f>
        <v>Spike-Pokémon</v>
      </c>
      <c r="C69" s="9" t="s">
        <v>29</v>
      </c>
    </row>
    <row r="70" ht="33.75" customHeight="1">
      <c r="A70" s="6" t="s">
        <v>191</v>
      </c>
      <c r="B70" s="6" t="str">
        <f>IFERROR(__xludf.DUMMYFUNCTION("GOOGLETRANSLATE(A70,""en"",""fi"")"),"Vine-Pokémon")</f>
        <v>Vine-Pokémon</v>
      </c>
      <c r="C70" s="9" t="s">
        <v>29</v>
      </c>
    </row>
    <row r="71" ht="33.75" customHeight="1">
      <c r="A71" s="6" t="s">
        <v>193</v>
      </c>
      <c r="B71" s="6" t="str">
        <f>IFERROR(__xludf.DUMMYFUNCTION("GOOGLETRANSLATE(A71,""en"",""fi"")"),"Vanhempi-Pokémon")</f>
        <v>Vanhempi-Pokémon</v>
      </c>
      <c r="C71" s="9" t="s">
        <v>29</v>
      </c>
    </row>
    <row r="72" ht="33.75" customHeight="1">
      <c r="A72" s="6" t="s">
        <v>195</v>
      </c>
      <c r="B72" s="6" t="str">
        <f>IFERROR(__xludf.DUMMYFUNCTION("GOOGLETRANSLATE(A72,""en"",""fi"")"),"Lohikäärme-Pokémon")</f>
        <v>Lohikäärme-Pokémon</v>
      </c>
      <c r="C72" s="9" t="s">
        <v>29</v>
      </c>
    </row>
    <row r="73" ht="33.75" customHeight="1">
      <c r="A73" s="6" t="s">
        <v>198</v>
      </c>
      <c r="B73" s="6" t="str">
        <f>IFERROR(__xludf.DUMMYFUNCTION("GOOGLETRANSLATE(A73,""en"",""fi"")"),"Kultakala-Pokémon")</f>
        <v>Kultakala-Pokémon</v>
      </c>
      <c r="C73" s="9" t="s">
        <v>29</v>
      </c>
    </row>
    <row r="74" ht="33.75" customHeight="1">
      <c r="A74" s="6" t="s">
        <v>200</v>
      </c>
      <c r="B74" s="6" t="str">
        <f>IFERROR(__xludf.DUMMYFUNCTION("GOOGLETRANSLATE(A74,""en"",""fi"")"),"Tähdenmuotoinen Pokémon")</f>
        <v>Tähdenmuotoinen Pokémon</v>
      </c>
      <c r="C74" s="9" t="s">
        <v>29</v>
      </c>
    </row>
    <row r="75" ht="33.75" customHeight="1">
      <c r="A75" s="6" t="s">
        <v>202</v>
      </c>
      <c r="B75" s="6" t="str">
        <f>IFERROR(__xludf.DUMMYFUNCTION("GOOGLETRANSLATE(A75,""en"",""fi"")"),"Salaperäinen Pokémon")</f>
        <v>Salaperäinen Pokémon</v>
      </c>
      <c r="C75" s="9" t="s">
        <v>29</v>
      </c>
    </row>
    <row r="76" ht="33.75" customHeight="1">
      <c r="A76" s="6" t="s">
        <v>203</v>
      </c>
      <c r="B76" s="6" t="str">
        <f>IFERROR(__xludf.DUMMYFUNCTION("GOOGLETRANSLATE(A76,""en"",""fi"")"),"Este-Pokémon")</f>
        <v>Este-Pokémon</v>
      </c>
      <c r="C76" s="9" t="s">
        <v>29</v>
      </c>
    </row>
    <row r="77" ht="33.75" customHeight="1">
      <c r="A77" s="6" t="s">
        <v>206</v>
      </c>
      <c r="B77" s="6" t="str">
        <f>IFERROR(__xludf.DUMMYFUNCTION("GOOGLETRANSLATE(A77,""en"",""fi"")"),"Rukoilijasirkka-Pokémon")</f>
        <v>Rukoilijasirkka-Pokémon</v>
      </c>
      <c r="C77" s="9" t="s">
        <v>29</v>
      </c>
    </row>
    <row r="78" ht="33.75" customHeight="1">
      <c r="A78" s="6" t="s">
        <v>208</v>
      </c>
      <c r="B78" s="6" t="str">
        <f>IFERROR(__xludf.DUMMYFUNCTION("GOOGLETRANSLATE(A78,""en"",""fi"")"),"Ihmisen muotoinen Pokémon")</f>
        <v>Ihmisen muotoinen Pokémon</v>
      </c>
      <c r="C78" s="9" t="s">
        <v>29</v>
      </c>
    </row>
    <row r="79" ht="33.75" customHeight="1">
      <c r="A79" s="6" t="s">
        <v>210</v>
      </c>
      <c r="B79" s="6" t="str">
        <f>IFERROR(__xludf.DUMMYFUNCTION("GOOGLETRANSLATE(A79,""en"",""fi"")"),"Sähköinen Pokémon")</f>
        <v>Sähköinen Pokémon</v>
      </c>
      <c r="C79" s="9" t="s">
        <v>29</v>
      </c>
    </row>
    <row r="80" ht="33.75" customHeight="1">
      <c r="A80" s="6" t="s">
        <v>212</v>
      </c>
      <c r="B80" s="6" t="str">
        <f>IFERROR(__xludf.DUMMYFUNCTION("GOOGLETRANSLATE(A80,""en"",""fi"")"),"Spitfire-Pokémon")</f>
        <v>Spitfire-Pokémon</v>
      </c>
      <c r="C80" s="9" t="s">
        <v>29</v>
      </c>
    </row>
    <row r="81" ht="33.75" customHeight="1">
      <c r="A81" s="6" t="s">
        <v>214</v>
      </c>
      <c r="B81" s="6" t="str">
        <f>IFERROR(__xludf.DUMMYFUNCTION("GOOGLETRANSLATE(A81,""en"",""fi"")"),"Hirvikuoriaisen Pokémon")</f>
        <v>Hirvikuoriaisen Pokémon</v>
      </c>
      <c r="C81" s="9" t="s">
        <v>29</v>
      </c>
    </row>
    <row r="82" ht="33.75" customHeight="1">
      <c r="A82" s="6" t="s">
        <v>215</v>
      </c>
      <c r="B82" s="6" t="str">
        <f>IFERROR(__xludf.DUMMYFUNCTION("GOOGLETRANSLATE(A82,""en"",""fi"")"),"Villi härkä-Pokémon")</f>
        <v>Villi härkä-Pokémon</v>
      </c>
      <c r="C82" s="9" t="s">
        <v>29</v>
      </c>
    </row>
    <row r="83" ht="33.75" customHeight="1">
      <c r="A83" s="6" t="s">
        <v>217</v>
      </c>
      <c r="B83" s="6" t="str">
        <f>IFERROR(__xludf.DUMMYFUNCTION("GOOGLETRANSLATE(A83,""en"",""fi"")"),"Kala-Pokémon")</f>
        <v>Kala-Pokémon</v>
      </c>
      <c r="C83" s="9" t="s">
        <v>29</v>
      </c>
    </row>
    <row r="84" ht="33.75" customHeight="1">
      <c r="A84" s="6" t="s">
        <v>218</v>
      </c>
      <c r="B84" s="6" t="str">
        <f>IFERROR(__xludf.DUMMYFUNCTION("GOOGLETRANSLATE(A84,""en"",""fi"")"),"Hirvittävä Pokémon")</f>
        <v>Hirvittävä Pokémon</v>
      </c>
      <c r="C84" s="9" t="s">
        <v>29</v>
      </c>
    </row>
    <row r="85" ht="33.75" customHeight="1">
      <c r="A85" s="6" t="s">
        <v>219</v>
      </c>
      <c r="B85" s="6" t="str">
        <f>IFERROR(__xludf.DUMMYFUNCTION("GOOGLETRANSLATE(A85,""en"",""fi"")"),"Kuljetus-Pokémon")</f>
        <v>Kuljetus-Pokémon</v>
      </c>
      <c r="C85" s="9" t="s">
        <v>29</v>
      </c>
    </row>
    <row r="86" ht="33.75" customHeight="1">
      <c r="A86" s="6" t="s">
        <v>220</v>
      </c>
      <c r="B86" s="6" t="str">
        <f>IFERROR(__xludf.DUMMYFUNCTION("GOOGLETRANSLATE(A86,""en"",""fi"")"),"Muunna Pokémoneja")</f>
        <v>Muunna Pokémoneja</v>
      </c>
      <c r="C86" s="9" t="s">
        <v>29</v>
      </c>
    </row>
    <row r="87" ht="33.75" customHeight="1">
      <c r="A87" s="6" t="s">
        <v>221</v>
      </c>
      <c r="B87" s="6" t="str">
        <f>IFERROR(__xludf.DUMMYFUNCTION("GOOGLETRANSLATE(A87,""en"",""fi"")"),"Evoluutio-Pokémon")</f>
        <v>Evoluutio-Pokémon</v>
      </c>
      <c r="C87" s="9" t="s">
        <v>29</v>
      </c>
    </row>
    <row r="88" ht="33.75" customHeight="1">
      <c r="A88" s="6" t="s">
        <v>222</v>
      </c>
      <c r="B88" s="6" t="str">
        <f>IFERROR(__xludf.DUMMYFUNCTION("GOOGLETRANSLATE(A88,""en"",""fi"")"),"Kuplasuihku-Pokémon")</f>
        <v>Kuplasuihku-Pokémon</v>
      </c>
      <c r="C88" s="9" t="s">
        <v>29</v>
      </c>
    </row>
    <row r="89" ht="33.75" customHeight="1">
      <c r="A89" s="6" t="s">
        <v>223</v>
      </c>
      <c r="B89" s="6" t="str">
        <f>IFERROR(__xludf.DUMMYFUNCTION("GOOGLETRANSLATE(A89,""en"",""fi"")"),"Salama-Pokémon")</f>
        <v>Salama-Pokémon</v>
      </c>
      <c r="C89" s="9" t="s">
        <v>29</v>
      </c>
    </row>
    <row r="90" ht="33.75" customHeight="1">
      <c r="A90" s="6" t="s">
        <v>224</v>
      </c>
      <c r="B90" s="6" t="str">
        <f>IFERROR(__xludf.DUMMYFUNCTION("GOOGLETRANSLATE(A90,""en"",""fi"")"),"Virtuaalinen Pokémon")</f>
        <v>Virtuaalinen Pokémon</v>
      </c>
      <c r="C90" s="9" t="s">
        <v>29</v>
      </c>
    </row>
    <row r="91" ht="33.75" customHeight="1">
      <c r="A91" s="6" t="s">
        <v>225</v>
      </c>
      <c r="B91" s="6" t="str">
        <f>IFERROR(__xludf.DUMMYFUNCTION("GOOGLETRANSLATE(A91,""en"",""fi"")"),"Spiraali-Pokémon")</f>
        <v>Spiraali-Pokémon</v>
      </c>
      <c r="C91" s="9" t="s">
        <v>29</v>
      </c>
    </row>
    <row r="92" ht="33.75" customHeight="1">
      <c r="A92" s="6" t="s">
        <v>227</v>
      </c>
      <c r="B92" s="6" t="str">
        <f>IFERROR(__xludf.DUMMYFUNCTION("GOOGLETRANSLATE(A92,""en"",""fi"")"),"Fossiilinen Pokémon")</f>
        <v>Fossiilinen Pokémon</v>
      </c>
      <c r="C92" s="9" t="s">
        <v>29</v>
      </c>
    </row>
    <row r="93" ht="33.75" customHeight="1">
      <c r="A93" s="6" t="s">
        <v>228</v>
      </c>
      <c r="B93" s="6" t="str">
        <f>IFERROR(__xludf.DUMMYFUNCTION("GOOGLETRANSLATE(A93,""en"",""fi"")"),"Nukkuva Pokémon")</f>
        <v>Nukkuva Pokémon</v>
      </c>
      <c r="C93" s="9" t="s">
        <v>29</v>
      </c>
    </row>
    <row r="94" ht="33.75" customHeight="1">
      <c r="A94" s="6" t="s">
        <v>230</v>
      </c>
      <c r="B94" s="6" t="str">
        <f>IFERROR(__xludf.DUMMYFUNCTION("GOOGLETRANSLATE(A94,""en"",""fi"")"),"Jäädytä Pokémonit")</f>
        <v>Jäädytä Pokémonit</v>
      </c>
      <c r="C94" s="9" t="s">
        <v>29</v>
      </c>
    </row>
    <row r="95" ht="33.75" customHeight="1">
      <c r="A95" s="6" t="s">
        <v>232</v>
      </c>
      <c r="B95" s="6" t="str">
        <f>IFERROR(__xludf.DUMMYFUNCTION("GOOGLETRANSLATE(A95,""en"",""fi"")"),"Geneettinen Pokémon")</f>
        <v>Geneettinen Pokémon</v>
      </c>
      <c r="C95" s="9" t="s">
        <v>29</v>
      </c>
    </row>
    <row r="96" ht="33.75" customHeight="1">
      <c r="A96" s="6" t="s">
        <v>233</v>
      </c>
      <c r="B96" s="6" t="str">
        <f>IFERROR(__xludf.DUMMYFUNCTION("GOOGLETRANSLATE(A96,""en"",""fi"")"),"Uusi Pokémon-laji")</f>
        <v>Uusi Pokémon-laji</v>
      </c>
      <c r="C96" s="9" t="s">
        <v>29</v>
      </c>
    </row>
    <row r="97" ht="33.75" customHeight="1">
      <c r="A97" s="6" t="s">
        <v>234</v>
      </c>
      <c r="B97" s="6" t="str">
        <f>IFERROR(__xludf.DUMMYFUNCTION("GOOGLETRANSLATE(A97,""en"",""fi"")"),"Lehti-Pokémon")</f>
        <v>Lehti-Pokémon</v>
      </c>
      <c r="C97" s="9" t="s">
        <v>29</v>
      </c>
    </row>
    <row r="98" ht="33.75" customHeight="1">
      <c r="A98" s="6" t="s">
        <v>235</v>
      </c>
      <c r="B98" s="6" t="str">
        <f>IFERROR(__xludf.DUMMYFUNCTION("GOOGLETRANSLATE(A98,""en"",""fi"")"),"Yrtti-Pokémon")</f>
        <v>Yrtti-Pokémon</v>
      </c>
      <c r="C98" s="9" t="s">
        <v>29</v>
      </c>
    </row>
    <row r="99" ht="33.75" customHeight="1">
      <c r="A99" s="6" t="s">
        <v>236</v>
      </c>
      <c r="B99" s="6" t="str">
        <f>IFERROR(__xludf.DUMMYFUNCTION("GOOGLETRANSLATE(A99,""en"",""fi"")"),"Tulihiiri-Pokémon")</f>
        <v>Tulihiiri-Pokémon</v>
      </c>
      <c r="C99" s="9" t="s">
        <v>29</v>
      </c>
    </row>
    <row r="100" ht="33.75" customHeight="1">
      <c r="A100" s="6" t="s">
        <v>238</v>
      </c>
      <c r="B100" s="6" t="str">
        <f>IFERROR(__xludf.DUMMYFUNCTION("GOOGLETRANSLATE(A100,""en"",""fi"")"),"Tulivuori-Pokémon")</f>
        <v>Tulivuori-Pokémon</v>
      </c>
      <c r="C100" s="9" t="s">
        <v>29</v>
      </c>
    </row>
    <row r="101" ht="33.75" customHeight="1">
      <c r="A101" s="6" t="s">
        <v>242</v>
      </c>
      <c r="B101" s="6" t="str">
        <f>IFERROR(__xludf.DUMMYFUNCTION("GOOGLETRANSLATE(A101,""en"",""fi"")"),"Iso Leuka-Pokémon")</f>
        <v>Iso Leuka-Pokémon</v>
      </c>
      <c r="C101" s="9" t="s">
        <v>29</v>
      </c>
    </row>
    <row r="102" ht="33.75" customHeight="1">
      <c r="A102" s="6" t="s">
        <v>245</v>
      </c>
      <c r="B102" s="6" t="str">
        <f>IFERROR(__xludf.DUMMYFUNCTION("GOOGLETRANSLATE(A102,""en"",""fi"")"),"Tiedustelu-Pokémon")</f>
        <v>Tiedustelu-Pokémon</v>
      </c>
      <c r="C102" s="9" t="s">
        <v>29</v>
      </c>
    </row>
    <row r="103" ht="33.75" customHeight="1">
      <c r="A103" s="6" t="s">
        <v>246</v>
      </c>
      <c r="B103" s="6" t="str">
        <f>IFERROR(__xludf.DUMMYFUNCTION("GOOGLETRANSLATE(A103,""en"",""fi"")"),"Pitkävartaloinen Pokémon")</f>
        <v>Pitkävartaloinen Pokémon</v>
      </c>
      <c r="C103" s="9" t="s">
        <v>29</v>
      </c>
    </row>
    <row r="104" ht="33.75" customHeight="1">
      <c r="A104" s="6" t="s">
        <v>249</v>
      </c>
      <c r="B104" s="6" t="str">
        <f>IFERROR(__xludf.DUMMYFUNCTION("GOOGLETRANSLATE(A104,""en"",""fi"")"),"Pöllö-Pokémon")</f>
        <v>Pöllö-Pokémon</v>
      </c>
      <c r="C104" s="9" t="s">
        <v>29</v>
      </c>
    </row>
    <row r="105" ht="33.75" customHeight="1">
      <c r="A105" s="6" t="s">
        <v>253</v>
      </c>
      <c r="B105" s="6" t="str">
        <f>IFERROR(__xludf.DUMMYFUNCTION("GOOGLETRANSLATE(A105,""en"",""fi"")"),"Viiden tähden Pokémon")</f>
        <v>Viiden tähden Pokémon</v>
      </c>
      <c r="C105" s="9" t="s">
        <v>29</v>
      </c>
    </row>
    <row r="106" ht="33.75" customHeight="1">
      <c r="A106" s="6" t="s">
        <v>256</v>
      </c>
      <c r="B106" s="6" t="str">
        <f>IFERROR(__xludf.DUMMYFUNCTION("GOOGLETRANSLATE(A106,""en"",""fi"")"),"Narusylkeä-Pokémon")</f>
        <v>Narusylkeä-Pokémon</v>
      </c>
      <c r="C106" s="9" t="s">
        <v>29</v>
      </c>
    </row>
    <row r="107" ht="33.75" customHeight="1">
      <c r="A107" s="6" t="s">
        <v>259</v>
      </c>
      <c r="B107" s="6" t="str">
        <f>IFERROR(__xludf.DUMMYFUNCTION("GOOGLETRANSLATE(A107,""en"",""fi"")"),"Pitkäjalka-Pokémon")</f>
        <v>Pitkäjalka-Pokémon</v>
      </c>
      <c r="C107" s="9" t="s">
        <v>29</v>
      </c>
    </row>
    <row r="108" ht="33.75" customHeight="1">
      <c r="A108" s="6" t="s">
        <v>262</v>
      </c>
      <c r="B108" s="6" t="str">
        <f>IFERROR(__xludf.DUMMYFUNCTION("GOOGLETRANSLATE(A108,""en"",""fi"")"),"Kalastaja-Pokémon")</f>
        <v>Kalastaja-Pokémon</v>
      </c>
      <c r="C108" s="9" t="s">
        <v>29</v>
      </c>
    </row>
    <row r="109" ht="33.75" customHeight="1">
      <c r="A109" s="6" t="s">
        <v>265</v>
      </c>
      <c r="B109" s="6" t="str">
        <f>IFERROR(__xludf.DUMMYFUNCTION("GOOGLETRANSLATE(A109,""en"",""fi"")"),"Valo-Pokémon")</f>
        <v>Valo-Pokémon</v>
      </c>
      <c r="C109" s="9" t="s">
        <v>29</v>
      </c>
    </row>
    <row r="110" ht="33.75" customHeight="1">
      <c r="A110" s="6" t="s">
        <v>268</v>
      </c>
      <c r="B110" s="6" t="str">
        <f>IFERROR(__xludf.DUMMYFUNCTION("GOOGLETRANSLATE(A110,""en"",""fi"")"),"Pieni hiiri-Pokémon")</f>
        <v>Pieni hiiri-Pokémon</v>
      </c>
      <c r="C110" s="9" t="s">
        <v>29</v>
      </c>
    </row>
    <row r="111" ht="33.75" customHeight="1">
      <c r="A111" s="6" t="s">
        <v>270</v>
      </c>
      <c r="B111" s="6" t="str">
        <f>IFERROR(__xludf.DUMMYFUNCTION("GOOGLETRANSLATE(A111,""en"",""fi"")"),"Piikkipallo-Pokémon")</f>
        <v>Piikkipallo-Pokémon</v>
      </c>
      <c r="C111" s="9" t="s">
        <v>29</v>
      </c>
    </row>
    <row r="112" ht="33.75" customHeight="1">
      <c r="A112" s="6" t="s">
        <v>272</v>
      </c>
      <c r="B112" s="6" t="str">
        <f>IFERROR(__xludf.DUMMYFUNCTION("GOOGLETRANSLATE(A112,""en"",""fi"")"),"Onnellisuus-Pokémon")</f>
        <v>Onnellisuus-Pokémon</v>
      </c>
      <c r="C112" s="9" t="s">
        <v>29</v>
      </c>
    </row>
    <row r="113" ht="33.75" customHeight="1">
      <c r="A113" s="6" t="s">
        <v>275</v>
      </c>
      <c r="B113" s="6" t="str">
        <f>IFERROR(__xludf.DUMMYFUNCTION("GOOGLETRANSLATE(A113,""en"",""fi"")"),"Mystinen Pokémon")</f>
        <v>Mystinen Pokémon</v>
      </c>
      <c r="C113" s="9" t="s">
        <v>29</v>
      </c>
    </row>
    <row r="114" ht="33.75" customHeight="1">
      <c r="A114" s="6" t="s">
        <v>276</v>
      </c>
      <c r="B114" s="6" t="str">
        <f>IFERROR(__xludf.DUMMYFUNCTION("GOOGLETRANSLATE(A114,""en"",""fi"")"),"Villa-Pokémon")</f>
        <v>Villa-Pokémon</v>
      </c>
      <c r="C114" s="9" t="s">
        <v>29</v>
      </c>
    </row>
    <row r="115" ht="33.75" customHeight="1">
      <c r="A115" s="6" t="s">
        <v>277</v>
      </c>
      <c r="B115" s="6" t="str">
        <f>IFERROR(__xludf.DUMMYFUNCTION("GOOGLETRANSLATE(A115,""en"",""fi"")"),"Aqua-hiiri-Pokémon")</f>
        <v>Aqua-hiiri-Pokémon</v>
      </c>
      <c r="C115" s="9" t="s">
        <v>29</v>
      </c>
    </row>
    <row r="116" ht="33.75" customHeight="1">
      <c r="A116" s="6" t="s">
        <v>279</v>
      </c>
      <c r="B116" s="6" t="str">
        <f>IFERROR(__xludf.DUMMYFUNCTION("GOOGLETRANSLATE(A116,""en"",""fi"")"),"Vesijänis-Pokémon")</f>
        <v>Vesijänis-Pokémon</v>
      </c>
      <c r="C116" s="9" t="s">
        <v>29</v>
      </c>
    </row>
    <row r="117" ht="33.75" customHeight="1">
      <c r="A117" s="6" t="s">
        <v>282</v>
      </c>
      <c r="B117" s="6" t="str">
        <f>IFERROR(__xludf.DUMMYFUNCTION("GOOGLETRANSLATE(A117,""en"",""fi"")"),"Jäljitelmä-Pokémon")</f>
        <v>Jäljitelmä-Pokémon</v>
      </c>
      <c r="C117" s="9" t="s">
        <v>29</v>
      </c>
    </row>
    <row r="118" ht="33.75" customHeight="1">
      <c r="A118" s="6" t="s">
        <v>283</v>
      </c>
      <c r="B118" s="6" t="str">
        <f>IFERROR(__xludf.DUMMYFUNCTION("GOOGLETRANSLATE(A118,""en"",""fi"")"),"Sammakko-Pokémon")</f>
        <v>Sammakko-Pokémon</v>
      </c>
      <c r="C118" s="9" t="s">
        <v>29</v>
      </c>
    </row>
    <row r="119" ht="33.75" customHeight="1">
      <c r="A119" s="6" t="s">
        <v>284</v>
      </c>
      <c r="B119" s="6" t="str">
        <f>IFERROR(__xludf.DUMMYFUNCTION("GOOGLETRANSLATE(A119,""en"",""fi"")"),"Cottonweed-Pokémon")</f>
        <v>Cottonweed-Pokémon</v>
      </c>
      <c r="C119" s="9" t="s">
        <v>29</v>
      </c>
    </row>
    <row r="120" ht="33.75" customHeight="1">
      <c r="A120" s="6" t="s">
        <v>286</v>
      </c>
      <c r="B120" s="6" t="str">
        <f>IFERROR(__xludf.DUMMYFUNCTION("GOOGLETRANSLATE(A120,""en"",""fi"")"),"Pitkähäntäinen Pokémon")</f>
        <v>Pitkähäntäinen Pokémon</v>
      </c>
      <c r="C120" s="9" t="s">
        <v>29</v>
      </c>
    </row>
    <row r="121" ht="33.75" customHeight="1">
      <c r="A121" s="6" t="s">
        <v>287</v>
      </c>
      <c r="B121" s="6" t="str">
        <f>IFERROR(__xludf.DUMMYFUNCTION("GOOGLETRANSLATE(A121,""en"",""fi"")"),"Aurinko-Pokémon")</f>
        <v>Aurinko-Pokémon</v>
      </c>
      <c r="C121" s="9" t="s">
        <v>29</v>
      </c>
    </row>
    <row r="122" ht="33.75" customHeight="1">
      <c r="A122" s="6" t="s">
        <v>288</v>
      </c>
      <c r="B122" s="6" t="str">
        <f>IFERROR(__xludf.DUMMYFUNCTION("GOOGLETRANSLATE(A122,""en"",""fi"")"),"Kirkasiipi-Pokémon")</f>
        <v>Kirkasiipi-Pokémon</v>
      </c>
      <c r="C122" s="9" t="s">
        <v>29</v>
      </c>
    </row>
    <row r="123" ht="33.75" customHeight="1">
      <c r="A123" s="6" t="s">
        <v>289</v>
      </c>
      <c r="B123" s="6" t="str">
        <f>IFERROR(__xludf.DUMMYFUNCTION("GOOGLETRANSLATE(A123,""en"",""fi"")"),"Vesikala-Pokémon")</f>
        <v>Vesikala-Pokémon</v>
      </c>
      <c r="C123" s="9" t="s">
        <v>29</v>
      </c>
    </row>
    <row r="124" ht="33.75" customHeight="1">
      <c r="A124" s="6" t="s">
        <v>291</v>
      </c>
      <c r="B124" s="6" t="str">
        <f>IFERROR(__xludf.DUMMYFUNCTION("GOOGLETRANSLATE(A124,""en"",""fi"")"),"Kuunvalo-Pokémon")</f>
        <v>Kuunvalo-Pokémon</v>
      </c>
      <c r="C124" s="9" t="s">
        <v>29</v>
      </c>
    </row>
    <row r="125" ht="33.75" customHeight="1">
      <c r="A125" s="6" t="s">
        <v>292</v>
      </c>
      <c r="B125" s="6" t="str">
        <f>IFERROR(__xludf.DUMMYFUNCTION("GOOGLETRANSLATE(A125,""en"",""fi"")"),"Pimeyden Pokémon")</f>
        <v>Pimeyden Pokémon</v>
      </c>
      <c r="C125" s="9" t="s">
        <v>29</v>
      </c>
    </row>
    <row r="126" ht="33.75" customHeight="1">
      <c r="A126" s="6" t="s">
        <v>297</v>
      </c>
      <c r="B126" s="6" t="str">
        <f>IFERROR(__xludf.DUMMYFUNCTION("GOOGLETRANSLATE(A126,""en"",""fi"")"),"Kuninkaallinen Pokémon")</f>
        <v>Kuninkaallinen Pokémon</v>
      </c>
      <c r="C126" s="9" t="s">
        <v>29</v>
      </c>
    </row>
    <row r="127" ht="33.75" customHeight="1">
      <c r="A127" s="6" t="s">
        <v>299</v>
      </c>
      <c r="B127" s="6" t="str">
        <f>IFERROR(__xludf.DUMMYFUNCTION("GOOGLETRANSLATE(A127,""en"",""fi"")"),"Kirkuva Pokémon")</f>
        <v>Kirkuva Pokémon</v>
      </c>
      <c r="C127" s="9" t="s">
        <v>29</v>
      </c>
    </row>
    <row r="128" ht="33.75" customHeight="1">
      <c r="A128" s="6" t="s">
        <v>300</v>
      </c>
      <c r="B128" s="6" t="str">
        <f>IFERROR(__xludf.DUMMYFUNCTION("GOOGLETRANSLATE(A128,""en"",""fi"")"),"Symboli-Pokémon")</f>
        <v>Symboli-Pokémon</v>
      </c>
      <c r="C128" s="9" t="s">
        <v>29</v>
      </c>
    </row>
    <row r="129" ht="33.75" customHeight="1">
      <c r="A129" s="6" t="s">
        <v>302</v>
      </c>
      <c r="B129" s="6" t="str">
        <f>IFERROR(__xludf.DUMMYFUNCTION("GOOGLETRANSLATE(A129,""en"",""fi"")"),"Potilas-Pokémon")</f>
        <v>Potilas-Pokémon</v>
      </c>
      <c r="C129" s="9" t="s">
        <v>29</v>
      </c>
    </row>
    <row r="130" ht="33.75" customHeight="1">
      <c r="A130" s="6" t="s">
        <v>304</v>
      </c>
      <c r="B130" s="6" t="str">
        <f>IFERROR(__xludf.DUMMYFUNCTION("GOOGLETRANSLATE(A130,""en"",""fi"")"),"Pitkäkaulainen Pokémon")</f>
        <v>Pitkäkaulainen Pokémon</v>
      </c>
      <c r="C130" s="9" t="s">
        <v>29</v>
      </c>
    </row>
    <row r="131" ht="33.75" customHeight="1">
      <c r="A131" s="6" t="s">
        <v>308</v>
      </c>
      <c r="B131" s="6" t="str">
        <f>IFERROR(__xludf.DUMMYFUNCTION("GOOGLETRANSLATE(A131,""en"",""fi"")"),"Pussimato-Pokémon")</f>
        <v>Pussimato-Pokémon</v>
      </c>
      <c r="C131" s="9" t="s">
        <v>29</v>
      </c>
    </row>
    <row r="132" ht="33.75" customHeight="1">
      <c r="A132" s="6" t="s">
        <v>310</v>
      </c>
      <c r="B132" s="6" t="str">
        <f>IFERROR(__xludf.DUMMYFUNCTION("GOOGLETRANSLATE(A132,""en"",""fi"")"),"Maakäärme-Pokémon")</f>
        <v>Maakäärme-Pokémon</v>
      </c>
      <c r="C132" s="9" t="s">
        <v>29</v>
      </c>
    </row>
    <row r="133" ht="33.75" customHeight="1">
      <c r="A133" s="6" t="s">
        <v>311</v>
      </c>
      <c r="B133" s="6" t="str">
        <f>IFERROR(__xludf.DUMMYFUNCTION("GOOGLETRANSLATE(A133,""en"",""fi"")"),"Lentävä skorpioni-Pokémon")</f>
        <v>Lentävä skorpioni-Pokémon</v>
      </c>
      <c r="C133" s="9" t="s">
        <v>29</v>
      </c>
    </row>
    <row r="134" ht="33.75" customHeight="1">
      <c r="A134" s="6" t="s">
        <v>314</v>
      </c>
      <c r="B134" s="6" t="str">
        <f>IFERROR(__xludf.DUMMYFUNCTION("GOOGLETRANSLATE(A134,""en"",""fi"")"),"Rautakäärme-Pokémon")</f>
        <v>Rautakäärme-Pokémon</v>
      </c>
      <c r="C134" s="9" t="s">
        <v>29</v>
      </c>
    </row>
    <row r="135" ht="33.75" customHeight="1">
      <c r="A135" s="6" t="s">
        <v>315</v>
      </c>
      <c r="B135" s="6" t="str">
        <f>IFERROR(__xludf.DUMMYFUNCTION("GOOGLETRANSLATE(A135,""en"",""fi"")"),"Home Pokémon")</f>
        <v>Home Pokémon</v>
      </c>
      <c r="C135" s="9" t="s">
        <v>29</v>
      </c>
    </row>
    <row r="136" ht="33.75" customHeight="1">
      <c r="A136" s="6" t="s">
        <v>318</v>
      </c>
      <c r="B136" s="6" t="str">
        <f>IFERROR(__xludf.DUMMYFUNCTION("GOOGLETRANSLATE(A136,""en"",""fi"")"),"Yhden sarven Pokémon")</f>
        <v>Yhden sarven Pokémon</v>
      </c>
      <c r="C136" s="9" t="s">
        <v>29</v>
      </c>
    </row>
    <row r="137" ht="33.75" customHeight="1">
      <c r="A137" s="6" t="s">
        <v>321</v>
      </c>
      <c r="B137" s="6" t="str">
        <f>IFERROR(__xludf.DUMMYFUNCTION("GOOGLETRANSLATE(A137,""en"",""fi"")"),"Teräväkärkinen Pokémon")</f>
        <v>Teräväkärkinen Pokémon</v>
      </c>
      <c r="C137" s="9" t="s">
        <v>29</v>
      </c>
    </row>
    <row r="138" ht="33.75" customHeight="1">
      <c r="A138" s="6" t="s">
        <v>324</v>
      </c>
      <c r="B138" s="6" t="str">
        <f>IFERROR(__xludf.DUMMYFUNCTION("GOOGLETRANSLATE(A138,""en"",""fi"")"),"Pikku Karhu-Pokémon")</f>
        <v>Pikku Karhu-Pokémon</v>
      </c>
      <c r="C138" s="9" t="s">
        <v>29</v>
      </c>
    </row>
    <row r="139" ht="33.75" customHeight="1">
      <c r="A139" s="6" t="s">
        <v>327</v>
      </c>
      <c r="B139" s="6" t="str">
        <f>IFERROR(__xludf.DUMMYFUNCTION("GOOGLETRANSLATE(A139,""en"",""fi"")"),"Talviuni-Pokémon")</f>
        <v>Talviuni-Pokémon</v>
      </c>
      <c r="C139" s="9" t="s">
        <v>29</v>
      </c>
    </row>
    <row r="140" ht="33.75" customHeight="1">
      <c r="A140" s="6" t="s">
        <v>328</v>
      </c>
      <c r="B140" s="6" t="str">
        <f>IFERROR(__xludf.DUMMYFUNCTION("GOOGLETRANSLATE(A140,""en"",""fi"")"),"Laava-Pokémon")</f>
        <v>Laava-Pokémon</v>
      </c>
      <c r="C140" s="9" t="s">
        <v>29</v>
      </c>
    </row>
    <row r="141" ht="33.75" customHeight="1">
      <c r="A141" s="6" t="s">
        <v>329</v>
      </c>
      <c r="B141" s="6" t="str">
        <f>IFERROR(__xludf.DUMMYFUNCTION("GOOGLETRANSLATE(A141,""en"",""fi"")"),"Sika-Pokémon")</f>
        <v>Sika-Pokémon</v>
      </c>
      <c r="C141" s="9" t="s">
        <v>29</v>
      </c>
    </row>
    <row r="142" ht="33.75" customHeight="1">
      <c r="A142" s="6" t="s">
        <v>332</v>
      </c>
      <c r="B142" s="6" t="str">
        <f>IFERROR(__xludf.DUMMYFUNCTION("GOOGLETRANSLATE(A142,""en"",""fi"")"),"Sian Pokémon")</f>
        <v>Sian Pokémon</v>
      </c>
      <c r="C142" s="9" t="s">
        <v>29</v>
      </c>
    </row>
    <row r="143" ht="33.75" customHeight="1">
      <c r="A143" s="6" t="s">
        <v>335</v>
      </c>
      <c r="B143" s="6" t="str">
        <f>IFERROR(__xludf.DUMMYFUNCTION("GOOGLETRANSLATE(A143,""en"",""fi"")"),"Koralli-Pokémon")</f>
        <v>Koralli-Pokémon</v>
      </c>
      <c r="C143" s="9" t="s">
        <v>29</v>
      </c>
    </row>
    <row r="144" ht="33.75" customHeight="1">
      <c r="A144" s="6" t="s">
        <v>337</v>
      </c>
      <c r="B144" s="6" t="str">
        <f>IFERROR(__xludf.DUMMYFUNCTION("GOOGLETRANSLATE(A144,""en"",""fi"")"),"Suihkukone-Pokémon")</f>
        <v>Suihkukone-Pokémon</v>
      </c>
      <c r="C144" s="9" t="s">
        <v>29</v>
      </c>
    </row>
    <row r="145" ht="33.75" customHeight="1">
      <c r="A145" s="6" t="s">
        <v>339</v>
      </c>
      <c r="B145" s="6" t="str">
        <f>IFERROR(__xludf.DUMMYFUNCTION("GOOGLETRANSLATE(A145,""en"",""fi"")"),"Toimitus-Pokémon")</f>
        <v>Toimitus-Pokémon</v>
      </c>
      <c r="C145" s="9" t="s">
        <v>29</v>
      </c>
    </row>
    <row r="146" ht="33.75" customHeight="1">
      <c r="A146" s="6" t="s">
        <v>340</v>
      </c>
      <c r="B146" s="6" t="str">
        <f>IFERROR(__xludf.DUMMYFUNCTION("GOOGLETRANSLATE(A146,""en"",""fi"")"),"Leija-Pokémon")</f>
        <v>Leija-Pokémon</v>
      </c>
      <c r="C146" s="9" t="s">
        <v>29</v>
      </c>
    </row>
    <row r="147" ht="33.75" customHeight="1">
      <c r="A147" s="6" t="s">
        <v>342</v>
      </c>
      <c r="B147" s="6" t="str">
        <f>IFERROR(__xludf.DUMMYFUNCTION("GOOGLETRANSLATE(A147,""en"",""fi"")"),"Panssarilintu-Pokémon")</f>
        <v>Panssarilintu-Pokémon</v>
      </c>
      <c r="C147" s="9" t="s">
        <v>29</v>
      </c>
    </row>
    <row r="148" ht="33.75" customHeight="1">
      <c r="A148" s="6" t="s">
        <v>343</v>
      </c>
      <c r="B148" s="6" t="str">
        <f>IFERROR(__xludf.DUMMYFUNCTION("GOOGLETRANSLATE(A148,""en"",""fi"")"),"Pimeä Pokémon")</f>
        <v>Pimeä Pokémon</v>
      </c>
      <c r="C148" s="9" t="s">
        <v>29</v>
      </c>
    </row>
    <row r="149" ht="33.75" customHeight="1">
      <c r="A149" s="6" t="s">
        <v>346</v>
      </c>
      <c r="B149" s="6" t="str">
        <f>IFERROR(__xludf.DUMMYFUNCTION("GOOGLETRANSLATE(A149,""en"",""fi"")"),"Pitkänenä-Pokémon")</f>
        <v>Pitkänenä-Pokémon</v>
      </c>
      <c r="C149" s="9" t="s">
        <v>29</v>
      </c>
    </row>
    <row r="150" ht="33.75" customHeight="1">
      <c r="A150" s="6" t="s">
        <v>347</v>
      </c>
      <c r="B150" s="6" t="str">
        <f>IFERROR(__xludf.DUMMYFUNCTION("GOOGLETRANSLATE(A150,""en"",""fi"")"),"Panssari-Pokémon")</f>
        <v>Panssari-Pokémon</v>
      </c>
      <c r="C150" s="9" t="s">
        <v>29</v>
      </c>
    </row>
    <row r="151" ht="33.75" customHeight="1">
      <c r="A151" s="6" t="s">
        <v>349</v>
      </c>
      <c r="B151" s="6" t="str">
        <f>IFERROR(__xludf.DUMMYFUNCTION("GOOGLETRANSLATE(A151,""en"",""fi"")"),"Isosarvi-Pokémon")</f>
        <v>Isosarvi-Pokémon</v>
      </c>
      <c r="C151" s="9" t="s">
        <v>29</v>
      </c>
    </row>
    <row r="152" ht="33.75" customHeight="1">
      <c r="A152" s="6" t="s">
        <v>352</v>
      </c>
      <c r="B152" s="6" t="str">
        <f>IFERROR(__xludf.DUMMYFUNCTION("GOOGLETRANSLATE(A152,""en"",""fi"")"),"Maalari-Pokémon")</f>
        <v>Maalari-Pokémon</v>
      </c>
      <c r="C152" s="9" t="s">
        <v>29</v>
      </c>
    </row>
    <row r="153" ht="33.75" customHeight="1">
      <c r="A153" s="6" t="s">
        <v>354</v>
      </c>
      <c r="B153" s="6" t="str">
        <f>IFERROR(__xludf.DUMMYFUNCTION("GOOGLETRANSLATE(A153,""en"",""fi"")"),"Scuffle-pokémon")</f>
        <v>Scuffle-pokémon</v>
      </c>
      <c r="C153" s="9" t="s">
        <v>29</v>
      </c>
    </row>
    <row r="154" ht="33.75" customHeight="1">
      <c r="A154" s="6" t="s">
        <v>357</v>
      </c>
      <c r="B154" s="6" t="str">
        <f>IFERROR(__xludf.DUMMYFUNCTION("GOOGLETRANSLATE(A154,""en"",""fi"")"),"Käsilläseisonta-Pokémon")</f>
        <v>Käsilläseisonta-Pokémon</v>
      </c>
      <c r="C154" s="9" t="s">
        <v>29</v>
      </c>
    </row>
    <row r="155" ht="33.75" customHeight="1">
      <c r="A155" s="6" t="s">
        <v>360</v>
      </c>
      <c r="B155" s="6" t="str">
        <f>IFERROR(__xludf.DUMMYFUNCTION("GOOGLETRANSLATE(A155,""en"",""fi"")"),"Suukko Pokémon")</f>
        <v>Suukko Pokémon</v>
      </c>
      <c r="C155" s="9" t="s">
        <v>29</v>
      </c>
    </row>
    <row r="156" ht="33.75" customHeight="1">
      <c r="A156" s="6" t="s">
        <v>362</v>
      </c>
      <c r="B156" s="6" t="str">
        <f>IFERROR(__xludf.DUMMYFUNCTION("GOOGLETRANSLATE(A156,""en"",""fi"")"),"Elävä hiili-Pokémon")</f>
        <v>Elävä hiili-Pokémon</v>
      </c>
      <c r="C156" s="9" t="s">
        <v>29</v>
      </c>
    </row>
    <row r="157" ht="33.75" customHeight="1">
      <c r="A157" s="6" t="s">
        <v>364</v>
      </c>
      <c r="B157" s="6" t="str">
        <f>IFERROR(__xludf.DUMMYFUNCTION("GOOGLETRANSLATE(A157,""en"",""fi"")"),"Maitolehmä-Pokémon")</f>
        <v>Maitolehmä-Pokémon</v>
      </c>
      <c r="C157" s="9" t="s">
        <v>29</v>
      </c>
    </row>
    <row r="158" ht="33.75" customHeight="1">
      <c r="A158" s="6" t="s">
        <v>365</v>
      </c>
      <c r="B158" s="6" t="str">
        <f>IFERROR(__xludf.DUMMYFUNCTION("GOOGLETRANSLATE(A158,""en"",""fi"")"),"Ukkos-Pokémon")</f>
        <v>Ukkos-Pokémon</v>
      </c>
      <c r="C158" s="9" t="s">
        <v>29</v>
      </c>
    </row>
    <row r="159" ht="33.75" customHeight="1">
      <c r="A159" s="6" t="s">
        <v>367</v>
      </c>
      <c r="B159" s="6" t="str">
        <f>IFERROR(__xludf.DUMMYFUNCTION("GOOGLETRANSLATE(A159,""en"",""fi"")"),"Aurora-Pokémon")</f>
        <v>Aurora-Pokémon</v>
      </c>
      <c r="C159" s="9" t="s">
        <v>29</v>
      </c>
    </row>
    <row r="160" ht="33.75" customHeight="1">
      <c r="A160" s="6" t="s">
        <v>370</v>
      </c>
      <c r="B160" s="6" t="str">
        <f>IFERROR(__xludf.DUMMYFUNCTION("GOOGLETRANSLATE(A160,""en"",""fi"")"),"Kivi-iho-Pokémon")</f>
        <v>Kivi-iho-Pokémon</v>
      </c>
      <c r="C160" s="9" t="s">
        <v>29</v>
      </c>
    </row>
    <row r="161" ht="33.75" customHeight="1">
      <c r="A161" s="6" t="s">
        <v>371</v>
      </c>
      <c r="B161" s="6" t="str">
        <f>IFERROR(__xludf.DUMMYFUNCTION("GOOGLETRANSLATE(A161,""en"",""fi"")"),"Kovakuorinen Pokémon")</f>
        <v>Kovakuorinen Pokémon</v>
      </c>
      <c r="C161" s="9" t="s">
        <v>29</v>
      </c>
    </row>
    <row r="162" ht="33.75" customHeight="1">
      <c r="A162" s="6" t="s">
        <v>373</v>
      </c>
      <c r="B162" s="6" t="str">
        <f>IFERROR(__xludf.DUMMYFUNCTION("GOOGLETRANSLATE(A162,""en"",""fi"")"),"Sukellus-Pokémon")</f>
        <v>Sukellus-Pokémon</v>
      </c>
      <c r="C162" s="9" t="s">
        <v>29</v>
      </c>
    </row>
    <row r="163" ht="33.75" customHeight="1">
      <c r="A163" s="6" t="s">
        <v>374</v>
      </c>
      <c r="B163" s="6" t="str">
        <f>IFERROR(__xludf.DUMMYFUNCTION("GOOGLETRANSLATE(A163,""en"",""fi"")"),"Sateenkaari-Pokémon")</f>
        <v>Sateenkaari-Pokémon</v>
      </c>
      <c r="C163" s="9" t="s">
        <v>29</v>
      </c>
    </row>
    <row r="164" ht="33.75" customHeight="1">
      <c r="A164" s="6" t="s">
        <v>375</v>
      </c>
      <c r="B164" s="6" t="str">
        <f>IFERROR(__xludf.DUMMYFUNCTION("GOOGLETRANSLATE(A164,""en"",""fi"")"),"Aikamatka-Pokémon")</f>
        <v>Aikamatka-Pokémon</v>
      </c>
      <c r="C164" s="9" t="s">
        <v>29</v>
      </c>
    </row>
    <row r="165" ht="33.75" customHeight="1">
      <c r="A165" s="6" t="s">
        <v>376</v>
      </c>
      <c r="B165" s="6" t="str">
        <f>IFERROR(__xludf.DUMMYFUNCTION("GOOGLETRANSLATE(A165,""en"",""fi"")"),"Puugekko-Pokémon")</f>
        <v>Puugekko-Pokémon</v>
      </c>
      <c r="C165" s="9" t="s">
        <v>29</v>
      </c>
    </row>
    <row r="166" ht="33.75" customHeight="1">
      <c r="A166" s="6" t="s">
        <v>380</v>
      </c>
      <c r="B166" s="6" t="str">
        <f>IFERROR(__xludf.DUMMYFUNCTION("GOOGLETRANSLATE(A166,""en"",""fi"")"),"Metsä-Pokémon")</f>
        <v>Metsä-Pokémon</v>
      </c>
      <c r="C166" s="9" t="s">
        <v>29</v>
      </c>
    </row>
    <row r="167" ht="33.75" customHeight="1">
      <c r="A167" s="6" t="s">
        <v>382</v>
      </c>
      <c r="B167" s="6" t="str">
        <f>IFERROR(__xludf.DUMMYFUNCTION("GOOGLETRANSLATE(A167,""en"",""fi"")"),"Tipu-Pokémon")</f>
        <v>Tipu-Pokémon</v>
      </c>
      <c r="C167" s="9" t="s">
        <v>29</v>
      </c>
    </row>
    <row r="168" ht="33.75" customHeight="1">
      <c r="A168" s="6" t="s">
        <v>384</v>
      </c>
      <c r="B168" s="6" t="str">
        <f>IFERROR(__xludf.DUMMYFUNCTION("GOOGLETRANSLATE(A168,""en"",""fi"")"),"Nuori lintu-Pokémon")</f>
        <v>Nuori lintu-Pokémon</v>
      </c>
      <c r="C168" s="9" t="s">
        <v>29</v>
      </c>
    </row>
    <row r="169" ht="33.75" customHeight="1">
      <c r="A169" s="6" t="s">
        <v>385</v>
      </c>
      <c r="B169" s="6" t="str">
        <f>IFERROR(__xludf.DUMMYFUNCTION("GOOGLETRANSLATE(A169,""en"",""fi"")"),"Liekehtivä Pokémon")</f>
        <v>Liekehtivä Pokémon</v>
      </c>
      <c r="C169" s="9" t="s">
        <v>29</v>
      </c>
    </row>
    <row r="170" ht="33.75" customHeight="1">
      <c r="A170" s="6" t="s">
        <v>387</v>
      </c>
      <c r="B170" s="6" t="str">
        <f>IFERROR(__xludf.DUMMYFUNCTION("GOOGLETRANSLATE(A170,""en"",""fi"")"),"Mutakala-Pokémon")</f>
        <v>Mutakala-Pokémon</v>
      </c>
      <c r="C170" s="9" t="s">
        <v>29</v>
      </c>
    </row>
    <row r="171" ht="33.75" customHeight="1">
      <c r="A171" s="6" t="s">
        <v>388</v>
      </c>
      <c r="B171" s="6" t="str">
        <f>IFERROR(__xludf.DUMMYFUNCTION("GOOGLETRANSLATE(A171,""en"",""fi"")"),"Purra Pokémonia")</f>
        <v>Purra Pokémonia</v>
      </c>
      <c r="C171" s="9" t="s">
        <v>29</v>
      </c>
    </row>
    <row r="172" ht="33.75" customHeight="1">
      <c r="A172" s="6" t="s">
        <v>390</v>
      </c>
      <c r="B172" s="6" t="str">
        <f>IFERROR(__xludf.DUMMYFUNCTION("GOOGLETRANSLATE(A172,""en"",""fi"")"),"Pieni pesukarhu-Pokémon")</f>
        <v>Pieni pesukarhu-Pokémon</v>
      </c>
      <c r="C172" s="9" t="s">
        <v>29</v>
      </c>
    </row>
    <row r="173" ht="33.75" customHeight="1">
      <c r="A173" s="6" t="s">
        <v>391</v>
      </c>
      <c r="B173" s="6" t="str">
        <f>IFERROR(__xludf.DUMMYFUNCTION("GOOGLETRANSLATE(A173,""en"",""fi"")"),"Kiirehtivä Pokémon")</f>
        <v>Kiirehtivä Pokémon</v>
      </c>
      <c r="C173" s="9" t="s">
        <v>29</v>
      </c>
    </row>
    <row r="174" ht="33.75" customHeight="1">
      <c r="A174" s="6" t="s">
        <v>394</v>
      </c>
      <c r="B174" s="6" t="str">
        <f>IFERROR(__xludf.DUMMYFUNCTION("GOOGLETRANSLATE(A174,""en"",""fi"")"),"Vesirikkakasvien Pokémon")</f>
        <v>Vesirikkakasvien Pokémon</v>
      </c>
      <c r="C174" s="9" t="s">
        <v>29</v>
      </c>
    </row>
    <row r="175" ht="33.75" customHeight="1">
      <c r="A175" s="6" t="s">
        <v>396</v>
      </c>
      <c r="B175" s="6" t="str">
        <f>IFERROR(__xludf.DUMMYFUNCTION("GOOGLETRANSLATE(A175,""en"",""fi"")"),"Iloinen Pokémon")</f>
        <v>Iloinen Pokémon</v>
      </c>
      <c r="C175" s="9" t="s">
        <v>29</v>
      </c>
    </row>
    <row r="176" ht="33.75" customHeight="1">
      <c r="A176" s="6" t="s">
        <v>399</v>
      </c>
      <c r="B176" s="6" t="str">
        <f>IFERROR(__xludf.DUMMYFUNCTION("GOOGLETRANSLATE(A176,""en"",""fi"")"),"Huoleton Pokémon")</f>
        <v>Huoleton Pokémon</v>
      </c>
      <c r="C176" s="9" t="s">
        <v>29</v>
      </c>
    </row>
    <row r="177" ht="33.75" customHeight="1">
      <c r="A177" s="6" t="s">
        <v>400</v>
      </c>
      <c r="B177" s="6" t="str">
        <f>IFERROR(__xludf.DUMMYFUNCTION("GOOGLETRANSLATE(A177,""en"",""fi"")"),"Tammenterho-Pokémon")</f>
        <v>Tammenterho-Pokémon</v>
      </c>
      <c r="C177" s="9" t="s">
        <v>29</v>
      </c>
    </row>
    <row r="178" ht="33.75" customHeight="1">
      <c r="A178" s="6" t="s">
        <v>403</v>
      </c>
      <c r="B178" s="6" t="str">
        <f>IFERROR(__xludf.DUMMYFUNCTION("GOOGLETRANSLATE(A178,""en"",""fi"")"),"Ovela Pokémon")</f>
        <v>Ovela Pokémon</v>
      </c>
      <c r="C178" s="9" t="s">
        <v>29</v>
      </c>
    </row>
    <row r="179" ht="33.75" customHeight="1">
      <c r="A179" s="6" t="s">
        <v>405</v>
      </c>
      <c r="B179" s="6" t="str">
        <f>IFERROR(__xludf.DUMMYFUNCTION("GOOGLETRANSLATE(A179,""en"",""fi"")"),"Paha Pokémon")</f>
        <v>Paha Pokémon</v>
      </c>
      <c r="C179" s="9" t="s">
        <v>29</v>
      </c>
    </row>
    <row r="180" ht="33.75" customHeight="1">
      <c r="A180" s="6" t="s">
        <v>406</v>
      </c>
      <c r="B180" s="6" t="str">
        <f>IFERROR(__xludf.DUMMYFUNCTION("GOOGLETRANSLATE(A180,""en"",""fi"")"),"Pieni nielevä-Pokémon")</f>
        <v>Pieni nielevä-Pokémon</v>
      </c>
      <c r="C180" s="9" t="s">
        <v>29</v>
      </c>
    </row>
    <row r="181" ht="33.75" customHeight="1">
      <c r="A181" s="6" t="s">
        <v>411</v>
      </c>
      <c r="B181" s="6" t="str">
        <f>IFERROR(__xludf.DUMMYFUNCTION("GOOGLETRANSLATE(A181,""en"",""fi"")"),"Niele Pokémon")</f>
        <v>Niele Pokémon</v>
      </c>
      <c r="C181" s="9" t="s">
        <v>29</v>
      </c>
    </row>
    <row r="182" ht="33.75" customHeight="1">
      <c r="A182" s="6" t="s">
        <v>412</v>
      </c>
      <c r="B182" s="6" t="str">
        <f>IFERROR(__xludf.DUMMYFUNCTION("GOOGLETRANSLATE(A182,""en"",""fi"")"),"Lokki-Pokémon")</f>
        <v>Lokki-Pokémon</v>
      </c>
      <c r="C182" s="9" t="s">
        <v>29</v>
      </c>
    </row>
    <row r="183" ht="33.75" customHeight="1">
      <c r="A183" s="6" t="s">
        <v>414</v>
      </c>
      <c r="B183" s="6" t="str">
        <f>IFERROR(__xludf.DUMMYFUNCTION("GOOGLETRANSLATE(A183,""en"",""fi"")"),"Vesilintu-Pokémon")</f>
        <v>Vesilintu-Pokémon</v>
      </c>
      <c r="C183" s="9" t="s">
        <v>29</v>
      </c>
    </row>
    <row r="184" ht="33.75" customHeight="1">
      <c r="A184" s="6" t="s">
        <v>416</v>
      </c>
      <c r="B184" s="6" t="str">
        <f>IFERROR(__xludf.DUMMYFUNCTION("GOOGLETRANSLATE(A184,""en"",""fi"")"),"Tunne Pokémon")</f>
        <v>Tunne Pokémon</v>
      </c>
      <c r="C184" s="9" t="s">
        <v>29</v>
      </c>
    </row>
    <row r="185" ht="33.75" customHeight="1">
      <c r="A185" s="6" t="s">
        <v>419</v>
      </c>
      <c r="B185" s="6" t="str">
        <f>IFERROR(__xludf.DUMMYFUNCTION("GOOGLETRANSLATE(A185,""en"",""fi"")"),"Tunne-Pokémon")</f>
        <v>Tunne-Pokémon</v>
      </c>
      <c r="C185" s="9" t="s">
        <v>29</v>
      </c>
    </row>
    <row r="186" ht="33.75" customHeight="1">
      <c r="A186" s="6" t="s">
        <v>421</v>
      </c>
      <c r="B186" s="6" t="str">
        <f>IFERROR(__xludf.DUMMYFUNCTION("GOOGLETRANSLATE(A186,""en"",""fi"")"),"Hyväksy Pokémonit")</f>
        <v>Hyväksy Pokémonit</v>
      </c>
      <c r="C186" s="9" t="s">
        <v>29</v>
      </c>
    </row>
    <row r="187" ht="33.75" customHeight="1">
      <c r="A187" s="6" t="s">
        <v>423</v>
      </c>
      <c r="B187" s="6" t="str">
        <f>IFERROR(__xludf.DUMMYFUNCTION("GOOGLETRANSLATE(A187,""en"",""fi"")"),"Lammikkoluistelija-Pokémon")</f>
        <v>Lammikkoluistelija-Pokémon</v>
      </c>
      <c r="C187" s="9" t="s">
        <v>29</v>
      </c>
    </row>
    <row r="188" ht="33.75" customHeight="1">
      <c r="A188" s="6" t="s">
        <v>425</v>
      </c>
      <c r="B188" s="6" t="str">
        <f>IFERROR(__xludf.DUMMYFUNCTION("GOOGLETRANSLATE(A188,""en"",""fi"")"),"Silmämuna-Pokémon")</f>
        <v>Silmämuna-Pokémon</v>
      </c>
      <c r="C188" s="9" t="s">
        <v>29</v>
      </c>
    </row>
    <row r="189" ht="33.75" customHeight="1">
      <c r="A189" s="6" t="s">
        <v>426</v>
      </c>
      <c r="B189" s="6" t="str">
        <f>IFERROR(__xludf.DUMMYFUNCTION("GOOGLETRANSLATE(A189,""en"",""fi"")"),"Slacker-Pokémon")</f>
        <v>Slacker-Pokémon</v>
      </c>
      <c r="C189" s="9" t="s">
        <v>29</v>
      </c>
    </row>
    <row r="190" ht="33.75" customHeight="1">
      <c r="A190" s="6" t="s">
        <v>428</v>
      </c>
      <c r="B190" s="6" t="str">
        <f>IFERROR(__xludf.DUMMYFUNCTION("GOOGLETRANSLATE(A190,""en"",""fi"")"),"Villi apina-Pokémon")</f>
        <v>Villi apina-Pokémon</v>
      </c>
      <c r="C190" s="9" t="s">
        <v>29</v>
      </c>
    </row>
    <row r="191" ht="33.75" customHeight="1">
      <c r="A191" s="6" t="s">
        <v>430</v>
      </c>
      <c r="B191" s="6" t="str">
        <f>IFERROR(__xludf.DUMMYFUNCTION("GOOGLETRANSLATE(A191,""en"",""fi"")"),"Laiska Pokémon")</f>
        <v>Laiska Pokémon</v>
      </c>
      <c r="C191" s="9" t="s">
        <v>29</v>
      </c>
    </row>
    <row r="192" ht="33.75" customHeight="1">
      <c r="A192" s="6" t="s">
        <v>431</v>
      </c>
      <c r="B192" s="6" t="str">
        <f>IFERROR(__xludf.DUMMYFUNCTION("GOOGLETRANSLATE(A192,""en"",""fi"")"),"Harjoittelija-Pokémon")</f>
        <v>Harjoittelija-Pokémon</v>
      </c>
      <c r="C192" s="9" t="s">
        <v>29</v>
      </c>
    </row>
    <row r="193" ht="33.75" customHeight="1">
      <c r="A193" s="6" t="s">
        <v>433</v>
      </c>
      <c r="B193" s="6" t="str">
        <f>IFERROR(__xludf.DUMMYFUNCTION("GOOGLETRANSLATE(A193,""en"",""fi"")"),"Ninja-Pokémon")</f>
        <v>Ninja-Pokémon</v>
      </c>
      <c r="C193" s="9" t="s">
        <v>29</v>
      </c>
    </row>
    <row r="194" ht="33.75" customHeight="1">
      <c r="A194" s="6" t="s">
        <v>434</v>
      </c>
      <c r="B194" s="6" t="str">
        <f>IFERROR(__xludf.DUMMYFUNCTION("GOOGLETRANSLATE(A194,""en"",""fi"")"),"Vuodatettu Pokémon")</f>
        <v>Vuodatettu Pokémon</v>
      </c>
      <c r="C194" s="9" t="s">
        <v>29</v>
      </c>
    </row>
    <row r="195" ht="33.75" customHeight="1">
      <c r="A195" s="6" t="s">
        <v>436</v>
      </c>
      <c r="B195" s="6" t="str">
        <f>IFERROR(__xludf.DUMMYFUNCTION("GOOGLETRANSLATE(A195,""en"",""fi"")"),"Kuiskaus-Pokémon")</f>
        <v>Kuiskaus-Pokémon</v>
      </c>
      <c r="C195" s="9" t="s">
        <v>29</v>
      </c>
    </row>
    <row r="196" ht="33.75" customHeight="1">
      <c r="A196" s="6" t="s">
        <v>437</v>
      </c>
      <c r="B196" s="6" t="str">
        <f>IFERROR(__xludf.DUMMYFUNCTION("GOOGLETRANSLATE(A196,""en"",""fi"")"),"Isoääninen Pokémon")</f>
        <v>Isoääninen Pokémon</v>
      </c>
      <c r="C196" s="9" t="s">
        <v>29</v>
      </c>
    </row>
    <row r="197" ht="33.75" customHeight="1">
      <c r="A197" s="6" t="s">
        <v>438</v>
      </c>
      <c r="B197" s="6" t="str">
        <f>IFERROR(__xludf.DUMMYFUNCTION("GOOGLETRANSLATE(A197,""en"",""fi"")"),"Kovaääninen Pokémon")</f>
        <v>Kovaääninen Pokémon</v>
      </c>
      <c r="C197" s="9" t="s">
        <v>29</v>
      </c>
    </row>
    <row r="198" ht="33.75" customHeight="1">
      <c r="A198" s="6" t="s">
        <v>440</v>
      </c>
      <c r="B198" s="6" t="str">
        <f>IFERROR(__xludf.DUMMYFUNCTION("GOOGLETRANSLATE(A198,""en"",""fi"")"),"Sisältö-Pokémon")</f>
        <v>Sisältö-Pokémon</v>
      </c>
      <c r="C198" s="9" t="s">
        <v>29</v>
      </c>
    </row>
    <row r="199" ht="33.75" customHeight="1">
      <c r="A199" s="6" t="s">
        <v>441</v>
      </c>
      <c r="B199" s="6" t="str">
        <f>IFERROR(__xludf.DUMMYFUNCTION("GOOGLETRANSLATE(A199,""en"",""fi"")"),"Käsivarren työntö-Pokémon")</f>
        <v>Käsivarren työntö-Pokémon</v>
      </c>
      <c r="C199" s="9" t="s">
        <v>29</v>
      </c>
    </row>
    <row r="200" ht="33.75" customHeight="1">
      <c r="A200" s="6" t="s">
        <v>442</v>
      </c>
      <c r="B200" s="6" t="str">
        <f>IFERROR(__xludf.DUMMYFUNCTION("GOOGLETRANSLATE(A200,""en"",""fi"")"),"Pilkullinen Pokémon")</f>
        <v>Pilkullinen Pokémon</v>
      </c>
      <c r="C200" s="9" t="s">
        <v>29</v>
      </c>
    </row>
    <row r="201" ht="33.75" customHeight="1">
      <c r="A201" s="6" t="s">
        <v>443</v>
      </c>
      <c r="B201" s="6" t="str">
        <f>IFERROR(__xludf.DUMMYFUNCTION("GOOGLETRANSLATE(A201,""en"",""fi"")"),"Kompassi-Pokémon")</f>
        <v>Kompassi-Pokémon</v>
      </c>
      <c r="C201" s="9" t="s">
        <v>29</v>
      </c>
    </row>
    <row r="202" ht="33.75" customHeight="1">
      <c r="A202" s="6" t="s">
        <v>446</v>
      </c>
      <c r="B202" s="6" t="str">
        <f>IFERROR(__xludf.DUMMYFUNCTION("GOOGLETRANSLATE(A202,""en"",""fi"")"),"Kissanpentu-Pokémon")</f>
        <v>Kissanpentu-Pokémon</v>
      </c>
      <c r="C202" s="9" t="s">
        <v>29</v>
      </c>
    </row>
    <row r="203" ht="33.75" customHeight="1">
      <c r="A203" s="6" t="s">
        <v>447</v>
      </c>
      <c r="B203" s="6" t="str">
        <f>IFERROR(__xludf.DUMMYFUNCTION("GOOGLETRANSLATE(A203,""en"",""fi"")"),"Prim-Pokémon")</f>
        <v>Prim-Pokémon</v>
      </c>
      <c r="C203" s="9" t="s">
        <v>29</v>
      </c>
    </row>
    <row r="204" ht="33.75" customHeight="1">
      <c r="A204" s="6" t="s">
        <v>451</v>
      </c>
      <c r="B204" s="6" t="str">
        <f>IFERROR(__xludf.DUMMYFUNCTION("GOOGLETRANSLATE(A204,""en"",""fi"")"),"Pettäjä-Pokémon")</f>
        <v>Pettäjä-Pokémon</v>
      </c>
      <c r="C204" s="9" t="s">
        <v>29</v>
      </c>
    </row>
    <row r="205" ht="33.75" customHeight="1">
      <c r="A205" s="6" t="s">
        <v>453</v>
      </c>
      <c r="B205" s="6" t="str">
        <f>IFERROR(__xludf.DUMMYFUNCTION("GOOGLETRANSLATE(A205,""en"",""fi"")"),"Rautahaarniska-Pokémon")</f>
        <v>Rautahaarniska-Pokémon</v>
      </c>
      <c r="C205" s="9" t="s">
        <v>29</v>
      </c>
    </row>
    <row r="206" ht="33.75" customHeight="1">
      <c r="A206" s="6" t="s">
        <v>455</v>
      </c>
      <c r="B206" s="6" t="str">
        <f>IFERROR(__xludf.DUMMYFUNCTION("GOOGLETRANSLATE(A206,""en"",""fi"")"),"Meditoi Pokémon")</f>
        <v>Meditoi Pokémon</v>
      </c>
      <c r="C206" s="9" t="s">
        <v>29</v>
      </c>
    </row>
    <row r="207" ht="33.75" customHeight="1">
      <c r="A207" s="6" t="s">
        <v>457</v>
      </c>
      <c r="B207" s="6" t="str">
        <f>IFERROR(__xludf.DUMMYFUNCTION("GOOGLETRANSLATE(A207,""en"",""fi"")"),"Purkaudu Pokémon")</f>
        <v>Purkaudu Pokémon</v>
      </c>
      <c r="C207" s="9" t="s">
        <v>29</v>
      </c>
    </row>
    <row r="208" ht="33.75" customHeight="1">
      <c r="A208" s="6" t="s">
        <v>459</v>
      </c>
      <c r="B208" s="6" t="str">
        <f>IFERROR(__xludf.DUMMYFUNCTION("GOOGLETRANSLATE(A208,""en"",""fi"")"),"Hurraavat Pokémonit")</f>
        <v>Hurraavat Pokémonit</v>
      </c>
      <c r="C208" s="9" t="s">
        <v>29</v>
      </c>
    </row>
    <row r="209" ht="33.75" customHeight="1">
      <c r="A209" s="6" t="s">
        <v>464</v>
      </c>
      <c r="B209" s="6" t="str">
        <f>IFERROR(__xludf.DUMMYFUNCTION("GOOGLETRANSLATE(A209,""en"",""fi"")"),"Tulikärpäsen Pokémon")</f>
        <v>Tulikärpäsen Pokémon</v>
      </c>
      <c r="C209" s="9" t="s">
        <v>29</v>
      </c>
    </row>
    <row r="210" ht="33.75" customHeight="1">
      <c r="A210" s="6" t="s">
        <v>466</v>
      </c>
      <c r="B210" s="6" t="str">
        <f>IFERROR(__xludf.DUMMYFUNCTION("GOOGLETRANSLATE(A210,""en"",""fi"")"),"Thorn-Pokémon")</f>
        <v>Thorn-Pokémon</v>
      </c>
      <c r="C210" s="9" t="s">
        <v>29</v>
      </c>
    </row>
    <row r="211" ht="33.75" customHeight="1">
      <c r="A211" s="6" t="s">
        <v>470</v>
      </c>
      <c r="B211" s="6" t="str">
        <f>IFERROR(__xludf.DUMMYFUNCTION("GOOGLETRANSLATE(A211,""en"",""fi"")"),"Vatsa-Pokémon")</f>
        <v>Vatsa-Pokémon</v>
      </c>
      <c r="C211" s="9" t="s">
        <v>29</v>
      </c>
    </row>
    <row r="212" ht="33.75" customHeight="1">
      <c r="A212" s="6" t="s">
        <v>472</v>
      </c>
      <c r="B212" s="6" t="str">
        <f>IFERROR(__xludf.DUMMYFUNCTION("GOOGLETRANSLATE(A212,""en"",""fi"")"),"Myrkkypussi-Pokémon")</f>
        <v>Myrkkypussi-Pokémon</v>
      </c>
      <c r="C212" s="9" t="s">
        <v>29</v>
      </c>
    </row>
    <row r="213" ht="33.75" customHeight="1">
      <c r="A213" s="6" t="s">
        <v>476</v>
      </c>
      <c r="B213" s="6" t="str">
        <f>IFERROR(__xludf.DUMMYFUNCTION("GOOGLETRANSLATE(A213,""en"",""fi"")"),"Villi-Pokémon")</f>
        <v>Villi-Pokémon</v>
      </c>
      <c r="C213" s="9" t="s">
        <v>29</v>
      </c>
    </row>
    <row r="214" ht="33.75" customHeight="1">
      <c r="A214" s="6" t="s">
        <v>478</v>
      </c>
      <c r="B214" s="6" t="str">
        <f>IFERROR(__xludf.DUMMYFUNCTION("GOOGLETRANSLATE(A214,""en"",""fi"")"),"Brutaali Pokémon")</f>
        <v>Brutaali Pokémon</v>
      </c>
      <c r="C214" s="9" t="s">
        <v>29</v>
      </c>
    </row>
    <row r="215" ht="33.75" customHeight="1">
      <c r="A215" s="6" t="s">
        <v>480</v>
      </c>
      <c r="B215" s="6" t="str">
        <f>IFERROR(__xludf.DUMMYFUNCTION("GOOGLETRANSLATE(A215,""en"",""fi"")"),"Pallovalas-Pokémon")</f>
        <v>Pallovalas-Pokémon</v>
      </c>
      <c r="C215" s="9" t="s">
        <v>29</v>
      </c>
    </row>
    <row r="216" ht="33.75" customHeight="1">
      <c r="A216" s="6" t="s">
        <v>483</v>
      </c>
      <c r="B216" s="6" t="str">
        <f>IFERROR(__xludf.DUMMYFUNCTION("GOOGLETRANSLATE(A216,""en"",""fi"")"),"Kelluva valas-Pokémon")</f>
        <v>Kelluva valas-Pokémon</v>
      </c>
      <c r="C216" s="9" t="s">
        <v>29</v>
      </c>
    </row>
    <row r="217" ht="33.75" customHeight="1">
      <c r="A217" s="6" t="s">
        <v>485</v>
      </c>
      <c r="B217" s="6" t="str">
        <f>IFERROR(__xludf.DUMMYFUNCTION("GOOGLETRANSLATE(A217,""en"",""fi"")"),"Tunnoton Pokémon")</f>
        <v>Tunnoton Pokémon</v>
      </c>
      <c r="C217" s="9" t="s">
        <v>29</v>
      </c>
    </row>
    <row r="218" ht="33.75" customHeight="1">
      <c r="A218" s="6" t="s">
        <v>487</v>
      </c>
      <c r="B218" s="6" t="str">
        <f>IFERROR(__xludf.DUMMYFUNCTION("GOOGLETRANSLATE(A218,""en"",""fi"")"),"Purkaus-Pokémon")</f>
        <v>Purkaus-Pokémon</v>
      </c>
      <c r="C218" s="9" t="s">
        <v>29</v>
      </c>
    </row>
    <row r="219" ht="33.75" customHeight="1">
      <c r="A219" s="6" t="s">
        <v>489</v>
      </c>
      <c r="B219" s="6" t="str">
        <f>IFERROR(__xludf.DUMMYFUNCTION("GOOGLETRANSLATE(A219,""en"",""fi"")"),"Hiili-Pokémon")</f>
        <v>Hiili-Pokémon</v>
      </c>
      <c r="C219" s="9" t="s">
        <v>29</v>
      </c>
    </row>
    <row r="220" ht="33.75" customHeight="1">
      <c r="A220" s="6" t="s">
        <v>490</v>
      </c>
      <c r="B220" s="6" t="str">
        <f>IFERROR(__xludf.DUMMYFUNCTION("GOOGLETRANSLATE(A220,""en"",""fi"")"),"Pomppu-Pokémon")</f>
        <v>Pomppu-Pokémon</v>
      </c>
      <c r="C220" s="9" t="s">
        <v>29</v>
      </c>
    </row>
    <row r="221" ht="33.75" customHeight="1">
      <c r="A221" s="6" t="s">
        <v>493</v>
      </c>
      <c r="B221" s="6" t="str">
        <f>IFERROR(__xludf.DUMMYFUNCTION("GOOGLETRANSLATE(A221,""en"",""fi"")"),"Manipuloi Pokémoneja")</f>
        <v>Manipuloi Pokémoneja</v>
      </c>
      <c r="C221" s="9" t="s">
        <v>29</v>
      </c>
    </row>
    <row r="222" ht="33.75" customHeight="1">
      <c r="A222" s="6" t="s">
        <v>495</v>
      </c>
      <c r="B222" s="6" t="str">
        <f>IFERROR(__xludf.DUMMYFUNCTION("GOOGLETRANSLATE(A222,""en"",""fi"")"),"Bongaa Panda Pokémon")</f>
        <v>Bongaa Panda Pokémon</v>
      </c>
      <c r="C222" s="9" t="s">
        <v>29</v>
      </c>
    </row>
    <row r="223" ht="33.75" customHeight="1">
      <c r="A223" s="6" t="s">
        <v>497</v>
      </c>
      <c r="B223" s="6" t="str">
        <f>IFERROR(__xludf.DUMMYFUNCTION("GOOGLETRANSLATE(A223,""en"",""fi"")"),"Muurahaispesä-Pokémon")</f>
        <v>Muurahaispesä-Pokémon</v>
      </c>
      <c r="C223" s="9" t="s">
        <v>29</v>
      </c>
    </row>
    <row r="224" ht="33.75" customHeight="1">
      <c r="A224" s="6" t="s">
        <v>498</v>
      </c>
      <c r="B224" s="6" t="str">
        <f>IFERROR(__xludf.DUMMYFUNCTION("GOOGLETRANSLATE(A224,""en"",""fi"")"),"Tärinä-Pokémon")</f>
        <v>Tärinä-Pokémon</v>
      </c>
      <c r="C224" s="9" t="s">
        <v>29</v>
      </c>
    </row>
    <row r="225" ht="33.75" customHeight="1">
      <c r="A225" s="6" t="s">
        <v>499</v>
      </c>
      <c r="B225" s="6" t="str">
        <f>IFERROR(__xludf.DUMMYFUNCTION("GOOGLETRANSLATE(A225,""en"",""fi"")"),"Kaktus-Pokémon")</f>
        <v>Kaktus-Pokémon</v>
      </c>
      <c r="C225" s="9" t="s">
        <v>29</v>
      </c>
    </row>
    <row r="226" ht="33.75" customHeight="1">
      <c r="A226" s="6" t="s">
        <v>501</v>
      </c>
      <c r="B226" s="6" t="str">
        <f>IFERROR(__xludf.DUMMYFUNCTION("GOOGLETRANSLATE(A226,""en"",""fi"")"),"Variksenpelätin-Pokémon")</f>
        <v>Variksenpelätin-Pokémon</v>
      </c>
      <c r="C226" s="9" t="s">
        <v>29</v>
      </c>
    </row>
    <row r="227" ht="33.75" customHeight="1">
      <c r="A227" s="6" t="s">
        <v>502</v>
      </c>
      <c r="B227" s="6" t="str">
        <f>IFERROR(__xludf.DUMMYFUNCTION("GOOGLETRANSLATE(A227,""en"",""fi"")"),"Puuvillalintu-Pokémon")</f>
        <v>Puuvillalintu-Pokémon</v>
      </c>
      <c r="C227" s="9" t="s">
        <v>29</v>
      </c>
    </row>
    <row r="228" ht="33.75" customHeight="1">
      <c r="A228" s="6" t="s">
        <v>504</v>
      </c>
      <c r="B228" s="6" t="str">
        <f>IFERROR(__xludf.DUMMYFUNCTION("GOOGLETRANSLATE(A228,""en"",""fi"")"),"Hyräilevä Pokémon")</f>
        <v>Hyräilevä Pokémon</v>
      </c>
      <c r="C228" s="9" t="s">
        <v>29</v>
      </c>
    </row>
    <row r="229" ht="33.75" customHeight="1">
      <c r="A229" s="6" t="s">
        <v>506</v>
      </c>
      <c r="B229" s="6" t="str">
        <f>IFERROR(__xludf.DUMMYFUNCTION("GOOGLETRANSLATE(A229,""en"",""fi"")"),"Kissafretti-Pokémon")</f>
        <v>Kissafretti-Pokémon</v>
      </c>
      <c r="C229" s="9" t="s">
        <v>29</v>
      </c>
    </row>
    <row r="230" ht="33.75" customHeight="1">
      <c r="A230" s="6" t="s">
        <v>509</v>
      </c>
      <c r="B230" s="6" t="str">
        <f>IFERROR(__xludf.DUMMYFUNCTION("GOOGLETRANSLATE(A230,""en"",""fi"")"),"Fang-käärme-Pokémon")</f>
        <v>Fang-käärme-Pokémon</v>
      </c>
      <c r="C230" s="9" t="s">
        <v>29</v>
      </c>
    </row>
    <row r="231" ht="33.75" customHeight="1">
      <c r="A231" s="6" t="s">
        <v>511</v>
      </c>
      <c r="B231" s="6" t="str">
        <f>IFERROR(__xludf.DUMMYFUNCTION("GOOGLETRANSLATE(A231,""en"",""fi"")"),"Meteoriitti-Pokémon")</f>
        <v>Meteoriitti-Pokémon</v>
      </c>
      <c r="C231" s="9" t="s">
        <v>29</v>
      </c>
    </row>
    <row r="232" ht="33.75" customHeight="1">
      <c r="A232" s="6" t="s">
        <v>513</v>
      </c>
      <c r="B232" s="6" t="str">
        <f>IFERROR(__xludf.DUMMYFUNCTION("GOOGLETRANSLATE(A232,""en"",""fi"")"),"Viikset Pokémon")</f>
        <v>Viikset Pokémon</v>
      </c>
      <c r="C232" s="9" t="s">
        <v>29</v>
      </c>
    </row>
    <row r="233" ht="33.75" customHeight="1">
      <c r="A233" s="6" t="s">
        <v>516</v>
      </c>
      <c r="B233" s="6" t="str">
        <f>IFERROR(__xludf.DUMMYFUNCTION("GOOGLETRANSLATE(A233,""en"",""fi"")"),"Ruffian-Pokémon")</f>
        <v>Ruffian-Pokémon</v>
      </c>
      <c r="C233" s="9" t="s">
        <v>29</v>
      </c>
    </row>
    <row r="234" ht="33.75" customHeight="1">
      <c r="A234" s="6" t="s">
        <v>518</v>
      </c>
      <c r="B234" s="6" t="str">
        <f>IFERROR(__xludf.DUMMYFUNCTION("GOOGLETRANSLATE(A234,""en"",""fi"")"),"Rogue-Pokémon")</f>
        <v>Rogue-Pokémon</v>
      </c>
      <c r="C234" s="9" t="s">
        <v>29</v>
      </c>
    </row>
    <row r="235" ht="33.75" customHeight="1">
      <c r="A235" s="6" t="s">
        <v>521</v>
      </c>
      <c r="B235" s="6" t="str">
        <f>IFERROR(__xludf.DUMMYFUNCTION("GOOGLETRANSLATE(A235,""en"",""fi"")"),"Savinukke-Pokémon")</f>
        <v>Savinukke-Pokémon</v>
      </c>
      <c r="C235" s="9" t="s">
        <v>29</v>
      </c>
    </row>
    <row r="236" ht="33.75" customHeight="1">
      <c r="A236" s="6" t="s">
        <v>524</v>
      </c>
      <c r="B236" s="6" t="str">
        <f>IFERROR(__xludf.DUMMYFUNCTION("GOOGLETRANSLATE(A236,""en"",""fi"")"),"Merililja-Pokémon")</f>
        <v>Merililja-Pokémon</v>
      </c>
      <c r="C236" s="9" t="s">
        <v>29</v>
      </c>
    </row>
    <row r="237" ht="33.75" customHeight="1">
      <c r="A237" s="6" t="s">
        <v>525</v>
      </c>
      <c r="B237" s="6" t="str">
        <f>IFERROR(__xludf.DUMMYFUNCTION("GOOGLETRANSLATE(A237,""en"",""fi"")"),"Meriposki-Pokémon")</f>
        <v>Meriposki-Pokémon</v>
      </c>
      <c r="C237" s="9" t="s">
        <v>29</v>
      </c>
    </row>
    <row r="238" ht="33.75" customHeight="1">
      <c r="A238" s="6" t="s">
        <v>527</v>
      </c>
      <c r="B238" s="6" t="str">
        <f>IFERROR(__xludf.DUMMYFUNCTION("GOOGLETRANSLATE(A238,""en"",""fi"")"),"Vanha katkarapu-Pokémon")</f>
        <v>Vanha katkarapu-Pokémon</v>
      </c>
      <c r="C238" s="9" t="s">
        <v>29</v>
      </c>
    </row>
    <row r="239" ht="33.75" customHeight="1">
      <c r="A239" s="6" t="s">
        <v>529</v>
      </c>
      <c r="B239" s="6" t="str">
        <f>IFERROR(__xludf.DUMMYFUNCTION("GOOGLETRANSLATE(A239,""en"",""fi"")"),"Lautanen Pokémon")</f>
        <v>Lautanen Pokémon</v>
      </c>
      <c r="C239" s="9" t="s">
        <v>29</v>
      </c>
    </row>
    <row r="240" ht="33.75" customHeight="1">
      <c r="A240" s="6" t="s">
        <v>532</v>
      </c>
      <c r="B240" s="6" t="str">
        <f>IFERROR(__xludf.DUMMYFUNCTION("GOOGLETRANSLATE(A240,""en"",""fi"")"),"Herkkä Pokémon")</f>
        <v>Herkkä Pokémon</v>
      </c>
      <c r="C240" s="9" t="s">
        <v>29</v>
      </c>
    </row>
    <row r="241" ht="33.75" customHeight="1">
      <c r="A241" s="6" t="s">
        <v>533</v>
      </c>
      <c r="B241" s="6" t="str">
        <f>IFERROR(__xludf.DUMMYFUNCTION("GOOGLETRANSLATE(A241,""en"",""fi"")"),"Sää-Pokémon")</f>
        <v>Sää-Pokémon</v>
      </c>
      <c r="C241" s="9" t="s">
        <v>29</v>
      </c>
    </row>
    <row r="242" ht="33.75" customHeight="1">
      <c r="A242" s="6" t="s">
        <v>535</v>
      </c>
      <c r="B242" s="6" t="str">
        <f>IFERROR(__xludf.DUMMYFUNCTION("GOOGLETRANSLATE(A242,""en"",""fi"")"),"Värinvaihto-Pokémon")</f>
        <v>Värinvaihto-Pokémon</v>
      </c>
      <c r="C242" s="9" t="s">
        <v>29</v>
      </c>
    </row>
    <row r="243" ht="33.75" customHeight="1">
      <c r="A243" s="6" t="s">
        <v>537</v>
      </c>
      <c r="B243" s="6" t="str">
        <f>IFERROR(__xludf.DUMMYFUNCTION("GOOGLETRANSLATE(A243,""en"",""fi"")"),"Nukke-Pokémon")</f>
        <v>Nukke-Pokémon</v>
      </c>
      <c r="C243" s="9" t="s">
        <v>29</v>
      </c>
    </row>
    <row r="244" ht="33.75" customHeight="1">
      <c r="A244" s="6" t="s">
        <v>539</v>
      </c>
      <c r="B244" s="6" t="str">
        <f>IFERROR(__xludf.DUMMYFUNCTION("GOOGLETRANSLATE(A244,""en"",""fi"")"),"Marionetti-Pokémon")</f>
        <v>Marionetti-Pokémon</v>
      </c>
      <c r="C244" s="9" t="s">
        <v>29</v>
      </c>
    </row>
    <row r="245" ht="33.75" customHeight="1">
      <c r="A245" s="6" t="s">
        <v>542</v>
      </c>
      <c r="B245" s="6" t="str">
        <f>IFERROR(__xludf.DUMMYFUNCTION("GOOGLETRANSLATE(A245,""en"",""fi"")"),"Requiem-pokémon")</f>
        <v>Requiem-pokémon</v>
      </c>
      <c r="C245" s="9" t="s">
        <v>29</v>
      </c>
    </row>
    <row r="246" ht="33.75" customHeight="1">
      <c r="A246" s="6" t="s">
        <v>545</v>
      </c>
      <c r="B246" s="6" t="str">
        <f>IFERROR(__xludf.DUMMYFUNCTION("GOOGLETRANSLATE(A246,""en"",""fi"")"),"Kutsu-Pokémon")</f>
        <v>Kutsu-Pokémon</v>
      </c>
      <c r="C246" s="9" t="s">
        <v>29</v>
      </c>
    </row>
    <row r="247" ht="33.75" customHeight="1">
      <c r="A247" s="6" t="s">
        <v>547</v>
      </c>
      <c r="B247" s="6" t="str">
        <f>IFERROR(__xludf.DUMMYFUNCTION("GOOGLETRANSLATE(A247,""en"",""fi"")"),"Hedelmä-Pokémon")</f>
        <v>Hedelmä-Pokémon</v>
      </c>
      <c r="C247" s="9" t="s">
        <v>29</v>
      </c>
    </row>
    <row r="248" ht="33.75" customHeight="1">
      <c r="A248" s="6" t="s">
        <v>548</v>
      </c>
      <c r="B248" s="6" t="str">
        <f>IFERROR(__xludf.DUMMYFUNCTION("GOOGLETRANSLATE(A248,""en"",""fi"")"),"Tuulikello-Pokémon")</f>
        <v>Tuulikello-Pokémon</v>
      </c>
      <c r="C248" s="9" t="s">
        <v>29</v>
      </c>
    </row>
    <row r="249" ht="33.75" customHeight="1">
      <c r="A249" s="6" t="s">
        <v>551</v>
      </c>
      <c r="B249" s="6" t="str">
        <f>IFERROR(__xludf.DUMMYFUNCTION("GOOGLETRANSLATE(A249,""en"",""fi"")"),"Katastrofi-Pokémon")</f>
        <v>Katastrofi-Pokémon</v>
      </c>
      <c r="C249" s="9" t="s">
        <v>29</v>
      </c>
    </row>
    <row r="250" ht="33.75" customHeight="1">
      <c r="A250" s="6" t="s">
        <v>553</v>
      </c>
      <c r="B250" s="6" t="str">
        <f>IFERROR(__xludf.DUMMYFUNCTION("GOOGLETRANSLATE(A250,""en"",""fi"")"),"Kirkas Pokémon")</f>
        <v>Kirkas Pokémon</v>
      </c>
      <c r="C250" s="9" t="s">
        <v>29</v>
      </c>
    </row>
    <row r="251" ht="33.75" customHeight="1">
      <c r="A251" s="6" t="s">
        <v>554</v>
      </c>
      <c r="B251" s="6" t="str">
        <f>IFERROR(__xludf.DUMMYFUNCTION("GOOGLETRANSLATE(A251,""en"",""fi"")"),"Lumihattu-Pokémon")</f>
        <v>Lumihattu-Pokémon</v>
      </c>
      <c r="C251" s="9" t="s">
        <v>29</v>
      </c>
    </row>
    <row r="252" ht="33.75" customHeight="1">
      <c r="A252" s="6" t="s">
        <v>555</v>
      </c>
      <c r="B252" s="6" t="str">
        <f>IFERROR(__xludf.DUMMYFUNCTION("GOOGLETRANSLATE(A252,""en"",""fi"")"),"Kasvo-Pokémon")</f>
        <v>Kasvo-Pokémon</v>
      </c>
      <c r="C252" s="9" t="s">
        <v>29</v>
      </c>
    </row>
    <row r="253" ht="33.75" customHeight="1">
      <c r="A253" s="6" t="s">
        <v>557</v>
      </c>
      <c r="B253" s="6" t="str">
        <f>IFERROR(__xludf.DUMMYFUNCTION("GOOGLETRANSLATE(A253,""en"",""fi"")"),"Taputa Pokémon")</f>
        <v>Taputa Pokémon</v>
      </c>
      <c r="C253" s="9" t="s">
        <v>29</v>
      </c>
    </row>
    <row r="254" ht="33.75" customHeight="1">
      <c r="A254" s="6" t="s">
        <v>558</v>
      </c>
      <c r="B254" s="6" t="str">
        <f>IFERROR(__xludf.DUMMYFUNCTION("GOOGLETRANSLATE(A254,""en"",""fi"")"),"Pallonpyöritys-Pokémon")</f>
        <v>Pallonpyöritys-Pokémon</v>
      </c>
      <c r="C254" s="9" t="s">
        <v>29</v>
      </c>
    </row>
    <row r="255" ht="33.75" customHeight="1">
      <c r="A255" s="6" t="s">
        <v>559</v>
      </c>
      <c r="B255" s="6" t="str">
        <f>IFERROR(__xludf.DUMMYFUNCTION("GOOGLETRANSLATE(A255,""en"",""fi"")"),"Jäänmurto-Pokémon")</f>
        <v>Jäänmurto-Pokémon</v>
      </c>
      <c r="C255" s="9" t="s">
        <v>29</v>
      </c>
    </row>
    <row r="256" ht="33.75" customHeight="1">
      <c r="A256" s="6" t="s">
        <v>560</v>
      </c>
      <c r="B256" s="6" t="str">
        <f>IFERROR(__xludf.DUMMYFUNCTION("GOOGLETRANSLATE(A256,""en"",""fi"")"),"Syvänmeren Pokémon")</f>
        <v>Syvänmeren Pokémon</v>
      </c>
      <c r="C256" s="9" t="s">
        <v>29</v>
      </c>
    </row>
    <row r="257" ht="33.75" customHeight="1">
      <c r="A257" s="6" t="s">
        <v>561</v>
      </c>
      <c r="B257" s="6" t="str">
        <f>IFERROR(__xludf.DUMMYFUNCTION("GOOGLETRANSLATE(A257,""en"",""fi"")"),"Etelämeren Pokémon")</f>
        <v>Etelämeren Pokémon</v>
      </c>
      <c r="C257" s="9" t="s">
        <v>29</v>
      </c>
    </row>
    <row r="258" ht="33.75" customHeight="1">
      <c r="A258" s="6" t="s">
        <v>563</v>
      </c>
      <c r="B258" s="6" t="str">
        <f>IFERROR(__xludf.DUMMYFUNCTION("GOOGLETRANSLATE(A258,""en"",""fi"")"),"Pitkäikäisyys-Pokémon")</f>
        <v>Pitkäikäisyys-Pokémon</v>
      </c>
      <c r="C258" s="9" t="s">
        <v>29</v>
      </c>
    </row>
    <row r="259" ht="33.75" customHeight="1">
      <c r="A259" s="6" t="s">
        <v>564</v>
      </c>
      <c r="B259" s="6" t="str">
        <f>IFERROR(__xludf.DUMMYFUNCTION("GOOGLETRANSLATE(A259,""en"",""fi"")"),"Rendezvous-Pokémon")</f>
        <v>Rendezvous-Pokémon</v>
      </c>
      <c r="C259" s="9" t="s">
        <v>29</v>
      </c>
    </row>
    <row r="260" ht="33.75" customHeight="1">
      <c r="A260" s="6" t="s">
        <v>566</v>
      </c>
      <c r="B260" s="6" t="str">
        <f>IFERROR(__xludf.DUMMYFUNCTION("GOOGLETRANSLATE(A260,""en"",""fi"")"),"Kivipää-Pokémon")</f>
        <v>Kivipää-Pokémon</v>
      </c>
      <c r="C260" s="9" t="s">
        <v>29</v>
      </c>
    </row>
    <row r="261" ht="33.75" customHeight="1">
      <c r="A261" s="6" t="s">
        <v>568</v>
      </c>
      <c r="B261" s="6" t="str">
        <f>IFERROR(__xludf.DUMMYFUNCTION("GOOGLETRANSLATE(A261,""en"",""fi"")"),"Kestävyys-Pokémon")</f>
        <v>Kestävyys-Pokémon</v>
      </c>
      <c r="C261" s="9" t="s">
        <v>29</v>
      </c>
    </row>
    <row r="262" ht="33.75" customHeight="1">
      <c r="A262" s="6" t="s">
        <v>569</v>
      </c>
      <c r="B262" s="6" t="str">
        <f>IFERROR(__xludf.DUMMYFUNCTION("GOOGLETRANSLATE(A262,""en"",""fi"")"),"Rautapallo-Pokémon")</f>
        <v>Rautapallo-Pokémon</v>
      </c>
      <c r="C262" s="9" t="s">
        <v>29</v>
      </c>
    </row>
    <row r="263" ht="33.75" customHeight="1">
      <c r="A263" s="6" t="s">
        <v>571</v>
      </c>
      <c r="B263" s="6" t="str">
        <f>IFERROR(__xludf.DUMMYFUNCTION("GOOGLETRANSLATE(A263,""en"",""fi"")"),"Rautakynsi-Pokémon")</f>
        <v>Rautakynsi-Pokémon</v>
      </c>
      <c r="C263" s="9" t="s">
        <v>29</v>
      </c>
    </row>
    <row r="264" ht="33.75" customHeight="1">
      <c r="A264" s="6" t="s">
        <v>574</v>
      </c>
      <c r="B264" s="6" t="str">
        <f>IFERROR(__xludf.DUMMYFUNCTION("GOOGLETRANSLATE(A264,""en"",""fi"")"),"Rautajalka-Pokémon")</f>
        <v>Rautajalka-Pokémon</v>
      </c>
      <c r="C264" s="9" t="s">
        <v>29</v>
      </c>
    </row>
    <row r="265" ht="33.75" customHeight="1">
      <c r="A265" s="6" t="s">
        <v>578</v>
      </c>
      <c r="B265" s="6" t="str">
        <f>IFERROR(__xludf.DUMMYFUNCTION("GOOGLETRANSLATE(A265,""en"",""fi"")"),"Rock Peak -pokémon")</f>
        <v>Rock Peak -pokémon</v>
      </c>
      <c r="C265" s="9" t="s">
        <v>29</v>
      </c>
    </row>
    <row r="266" ht="33.75" customHeight="1">
      <c r="A266" s="6" t="s">
        <v>582</v>
      </c>
      <c r="B266" s="6" t="str">
        <f>IFERROR(__xludf.DUMMYFUNCTION("GOOGLETRANSLATE(A266,""en"",""fi"")"),"Jäävuori-Pokémon")</f>
        <v>Jäävuori-Pokémon</v>
      </c>
      <c r="C266" s="9" t="s">
        <v>29</v>
      </c>
    </row>
    <row r="267" ht="33.75" customHeight="1">
      <c r="A267" s="6" t="s">
        <v>583</v>
      </c>
      <c r="B267" s="6" t="str">
        <f>IFERROR(__xludf.DUMMYFUNCTION("GOOGLETRANSLATE(A267,""en"",""fi"")"),"Rauta-Pokémon")</f>
        <v>Rauta-Pokémon</v>
      </c>
      <c r="C267" s="9" t="s">
        <v>29</v>
      </c>
    </row>
    <row r="268" ht="33.75" customHeight="1">
      <c r="A268" s="6" t="s">
        <v>586</v>
      </c>
      <c r="B268" s="6" t="str">
        <f>IFERROR(__xludf.DUMMYFUNCTION("GOOGLETRANSLATE(A268,""en"",""fi"")"),"Eon-Pokémon")</f>
        <v>Eon-Pokémon</v>
      </c>
      <c r="C268" s="9" t="s">
        <v>29</v>
      </c>
    </row>
    <row r="269" ht="33.75" customHeight="1">
      <c r="A269" s="6" t="s">
        <v>589</v>
      </c>
      <c r="B269" s="6" t="str">
        <f>IFERROR(__xludf.DUMMYFUNCTION("GOOGLETRANSLATE(A269,""en"",""fi"")"),"Merialtaan Pokémon")</f>
        <v>Merialtaan Pokémon</v>
      </c>
      <c r="C269" s="9" t="s">
        <v>29</v>
      </c>
    </row>
    <row r="270" ht="33.75" customHeight="1">
      <c r="A270" s="6" t="s">
        <v>590</v>
      </c>
      <c r="B270" s="6" t="str">
        <f>IFERROR(__xludf.DUMMYFUNCTION("GOOGLETRANSLATE(A270,""en"",""fi"")"),"Manner-Pokémon")</f>
        <v>Manner-Pokémon</v>
      </c>
      <c r="C270" s="9" t="s">
        <v>29</v>
      </c>
    </row>
    <row r="271" ht="33.75" customHeight="1">
      <c r="A271" s="6" t="s">
        <v>592</v>
      </c>
      <c r="B271" s="6" t="str">
        <f>IFERROR(__xludf.DUMMYFUNCTION("GOOGLETRANSLATE(A271,""en"",""fi"")"),"Sky High Pokémon")</f>
        <v>Sky High Pokémon</v>
      </c>
      <c r="C271" s="9" t="s">
        <v>29</v>
      </c>
    </row>
    <row r="272" ht="33.75" customHeight="1">
      <c r="A272" s="6" t="s">
        <v>595</v>
      </c>
      <c r="B272" s="6" t="str">
        <f>IFERROR(__xludf.DUMMYFUNCTION("GOOGLETRANSLATE(A272,""en"",""fi"")"),"Toive-Pokémon")</f>
        <v>Toive-Pokémon</v>
      </c>
      <c r="C272" s="9" t="s">
        <v>29</v>
      </c>
    </row>
    <row r="273" ht="33.75" customHeight="1">
      <c r="A273" s="6" t="s">
        <v>596</v>
      </c>
      <c r="B273" s="6" t="str">
        <f>IFERROR(__xludf.DUMMYFUNCTION("GOOGLETRANSLATE(A273,""en"",""fi"")"),"DNA-Pokémon")</f>
        <v>DNA-Pokémon</v>
      </c>
      <c r="C273" s="9" t="s">
        <v>29</v>
      </c>
    </row>
    <row r="274" ht="33.75" customHeight="1">
      <c r="A274" s="6" t="s">
        <v>599</v>
      </c>
      <c r="B274" s="6" t="str">
        <f>IFERROR(__xludf.DUMMYFUNCTION("GOOGLETRANSLATE(A274,""en"",""fi"")"),"Pieni lehti-Pokémon")</f>
        <v>Pieni lehti-Pokémon</v>
      </c>
      <c r="C274" s="9" t="s">
        <v>29</v>
      </c>
    </row>
    <row r="275" ht="33.75" customHeight="1">
      <c r="A275" s="6" t="s">
        <v>600</v>
      </c>
      <c r="B275" s="6" t="str">
        <f>IFERROR(__xludf.DUMMYFUNCTION("GOOGLETRANSLATE(A275,""en"",""fi"")"),"Lehto-Pokémon")</f>
        <v>Lehto-Pokémon</v>
      </c>
      <c r="C275" s="9" t="s">
        <v>29</v>
      </c>
    </row>
    <row r="276" ht="33.75" customHeight="1">
      <c r="A276" s="6" t="s">
        <v>602</v>
      </c>
      <c r="B276" s="6" t="str">
        <f>IFERROR(__xludf.DUMMYFUNCTION("GOOGLETRANSLATE(A276,""en"",""fi"")"),"Simpanssi-Pokémon")</f>
        <v>Simpanssi-Pokémon</v>
      </c>
      <c r="C276" s="9" t="s">
        <v>29</v>
      </c>
    </row>
    <row r="277" ht="33.75" customHeight="1">
      <c r="A277" s="6" t="s">
        <v>604</v>
      </c>
      <c r="B277" s="6" t="str">
        <f>IFERROR(__xludf.DUMMYFUNCTION("GOOGLETRANSLATE(A277,""en"",""fi"")"),"Leikkisä Pokémon")</f>
        <v>Leikkisä Pokémon</v>
      </c>
      <c r="C277" s="9" t="s">
        <v>29</v>
      </c>
    </row>
    <row r="278" ht="33.75" customHeight="1">
      <c r="A278" s="6" t="s">
        <v>607</v>
      </c>
      <c r="B278" s="6" t="str">
        <f>IFERROR(__xludf.DUMMYFUNCTION("GOOGLETRANSLATE(A278,""en"",""fi"")"),"Pingviini-Pokémon")</f>
        <v>Pingviini-Pokémon</v>
      </c>
      <c r="C278" s="9" t="s">
        <v>29</v>
      </c>
    </row>
    <row r="279" ht="33.75" customHeight="1">
      <c r="A279" s="6" t="s">
        <v>608</v>
      </c>
      <c r="B279" s="6" t="str">
        <f>IFERROR(__xludf.DUMMYFUNCTION("GOOGLETRANSLATE(A279,""en"",""fi"")"),"Keisari-Pokémon")</f>
        <v>Keisari-Pokémon</v>
      </c>
      <c r="C279" s="9" t="s">
        <v>29</v>
      </c>
    </row>
    <row r="280" ht="33.75" customHeight="1">
      <c r="A280" s="6" t="s">
        <v>609</v>
      </c>
      <c r="B280" s="6" t="str">
        <f>IFERROR(__xludf.DUMMYFUNCTION("GOOGLETRANSLATE(A280,""en"",""fi"")"),"Kottarainen Pokémon")</f>
        <v>Kottarainen Pokémon</v>
      </c>
      <c r="C280" s="9" t="s">
        <v>29</v>
      </c>
    </row>
    <row r="281" ht="33.75" customHeight="1">
      <c r="A281" s="6" t="s">
        <v>611</v>
      </c>
      <c r="B281" s="6" t="str">
        <f>IFERROR(__xludf.DUMMYFUNCTION("GOOGLETRANSLATE(A281,""en"",""fi"")"),"Peto-Pokémon")</f>
        <v>Peto-Pokémon</v>
      </c>
      <c r="C281" s="9" t="s">
        <v>29</v>
      </c>
    </row>
    <row r="282" ht="33.75" customHeight="1">
      <c r="A282" s="6" t="s">
        <v>613</v>
      </c>
      <c r="B282" s="6" t="str">
        <f>IFERROR(__xludf.DUMMYFUNCTION("GOOGLETRANSLATE(A282,""en"",""fi"")"),"Pullea hiiri-Pokémon")</f>
        <v>Pullea hiiri-Pokémon</v>
      </c>
      <c r="C282" s="9" t="s">
        <v>29</v>
      </c>
    </row>
    <row r="283" ht="33.75" customHeight="1">
      <c r="A283" s="6" t="s">
        <v>614</v>
      </c>
      <c r="B283" s="6" t="str">
        <f>IFERROR(__xludf.DUMMYFUNCTION("GOOGLETRANSLATE(A283,""en"",""fi"")"),"Majava-Pokémon")</f>
        <v>Majava-Pokémon</v>
      </c>
      <c r="C283" s="9" t="s">
        <v>29</v>
      </c>
    </row>
    <row r="284" ht="33.75" customHeight="1">
      <c r="A284" s="6" t="s">
        <v>616</v>
      </c>
      <c r="B284" s="6" t="str">
        <f>IFERROR(__xludf.DUMMYFUNCTION("GOOGLETRANSLATE(A284,""en"",""fi"")"),"Kriketti-Pokémon")</f>
        <v>Kriketti-Pokémon</v>
      </c>
      <c r="C284" s="9" t="s">
        <v>29</v>
      </c>
    </row>
    <row r="285" ht="33.75" customHeight="1">
      <c r="A285" s="6" t="s">
        <v>618</v>
      </c>
      <c r="B285" s="6" t="str">
        <f>IFERROR(__xludf.DUMMYFUNCTION("GOOGLETRANSLATE(A285,""en"",""fi"")"),"Flash-Pokémon")</f>
        <v>Flash-Pokémon</v>
      </c>
      <c r="C285" s="9" t="s">
        <v>29</v>
      </c>
    </row>
    <row r="286" ht="33.75" customHeight="1">
      <c r="A286" s="6" t="s">
        <v>619</v>
      </c>
      <c r="B286" s="6" t="str">
        <f>IFERROR(__xludf.DUMMYFUNCTION("GOOGLETRANSLATE(A286,""en"",""fi"")"),"Kipinä-Pokémon")</f>
        <v>Kipinä-Pokémon</v>
      </c>
      <c r="C286" s="9" t="s">
        <v>29</v>
      </c>
    </row>
    <row r="287" ht="33.75" customHeight="1">
      <c r="A287" s="6" t="s">
        <v>620</v>
      </c>
      <c r="B287" s="6" t="str">
        <f>IFERROR(__xludf.DUMMYFUNCTION("GOOGLETRANSLATE(A287,""en"",""fi"")"),"Kimaltelevien silmien Pokémon")</f>
        <v>Kimaltelevien silmien Pokémon</v>
      </c>
      <c r="C287" s="9" t="s">
        <v>29</v>
      </c>
    </row>
    <row r="288" ht="33.75" customHeight="1">
      <c r="A288" s="6" t="s">
        <v>621</v>
      </c>
      <c r="B288" s="6" t="str">
        <f>IFERROR(__xludf.DUMMYFUNCTION("GOOGLETRANSLATE(A288,""en"",""fi"")"),"Bud-Pokémon")</f>
        <v>Bud-Pokémon</v>
      </c>
      <c r="C288" s="9" t="s">
        <v>29</v>
      </c>
    </row>
    <row r="289" ht="33.75" customHeight="1">
      <c r="A289" s="6" t="s">
        <v>622</v>
      </c>
      <c r="B289" s="6" t="str">
        <f>IFERROR(__xludf.DUMMYFUNCTION("GOOGLETRANSLATE(A289,""en"",""fi"")"),"Pokémon-kimppu")</f>
        <v>Pokémon-kimppu</v>
      </c>
      <c r="C289" s="9" t="s">
        <v>29</v>
      </c>
    </row>
    <row r="290" ht="33.75" customHeight="1">
      <c r="A290" s="6" t="s">
        <v>624</v>
      </c>
      <c r="B290" s="6" t="str">
        <f>IFERROR(__xludf.DUMMYFUNCTION("GOOGLETRANSLATE(A290,""en"",""fi"")"),"Pään ja takapuolen Pokémon")</f>
        <v>Pään ja takapuolen Pokémon</v>
      </c>
      <c r="C290" s="9" t="s">
        <v>29</v>
      </c>
    </row>
    <row r="291" ht="33.75" customHeight="1">
      <c r="A291" s="6" t="s">
        <v>625</v>
      </c>
      <c r="B291" s="6" t="str">
        <f>IFERROR(__xludf.DUMMYFUNCTION("GOOGLETRANSLATE(A291,""en"",""fi"")"),"Kilpi-Pokémon")</f>
        <v>Kilpi-Pokémon</v>
      </c>
      <c r="C291" s="9" t="s">
        <v>29</v>
      </c>
    </row>
    <row r="292" ht="33.75" customHeight="1">
      <c r="A292" s="6" t="s">
        <v>626</v>
      </c>
      <c r="B292" s="6" t="str">
        <f>IFERROR(__xludf.DUMMYFUNCTION("GOOGLETRANSLATE(A292,""en"",""fi"")"),"Koi-Pokémon")</f>
        <v>Koi-Pokémon</v>
      </c>
      <c r="C292" s="9" t="s">
        <v>29</v>
      </c>
    </row>
    <row r="293" ht="33.75" customHeight="1">
      <c r="A293" s="6" t="s">
        <v>628</v>
      </c>
      <c r="B293" s="6" t="str">
        <f>IFERROR(__xludf.DUMMYFUNCTION("GOOGLETRANSLATE(A293,""en"",""fi"")"),"Pieni mehiläinen Pokémon")</f>
        <v>Pieni mehiläinen Pokémon</v>
      </c>
      <c r="C293" s="9" t="s">
        <v>29</v>
      </c>
    </row>
    <row r="294" ht="33.75" customHeight="1">
      <c r="A294" s="6" t="s">
        <v>629</v>
      </c>
      <c r="B294" s="6" t="str">
        <f>IFERROR(__xludf.DUMMYFUNCTION("GOOGLETRANSLATE(A294,""en"",""fi"")"),"Mehiläispesä-Pokémon")</f>
        <v>Mehiläispesä-Pokémon</v>
      </c>
      <c r="C294" s="9" t="s">
        <v>29</v>
      </c>
    </row>
    <row r="295" ht="33.75" customHeight="1">
      <c r="A295" s="6" t="s">
        <v>632</v>
      </c>
      <c r="B295" s="6" t="str">
        <f>IFERROR(__xludf.DUMMYFUNCTION("GOOGLETRANSLATE(A295,""en"",""fi"")"),"EleOrava-Pokémon")</f>
        <v>EleOrava-Pokémon</v>
      </c>
      <c r="C295" s="9" t="s">
        <v>29</v>
      </c>
    </row>
    <row r="296" ht="33.75" customHeight="1">
      <c r="A296" s="6" t="s">
        <v>633</v>
      </c>
      <c r="B296" s="6" t="str">
        <f>IFERROR(__xludf.DUMMYFUNCTION("GOOGLETRANSLATE(A296,""en"",""fi"")"),"Merilääkä-Pokémon")</f>
        <v>Merilääkä-Pokémon</v>
      </c>
      <c r="C296" s="9" t="s">
        <v>29</v>
      </c>
    </row>
    <row r="297" ht="33.75" customHeight="1">
      <c r="A297" s="6" t="s">
        <v>634</v>
      </c>
      <c r="B297" s="6" t="str">
        <f>IFERROR(__xludf.DUMMYFUNCTION("GOOGLETRANSLATE(A297,""en"",""fi"")"),"Kirsikka-Pokémon")</f>
        <v>Kirsikka-Pokémon</v>
      </c>
      <c r="C297" s="9" t="s">
        <v>29</v>
      </c>
    </row>
    <row r="298" ht="33.75" customHeight="1">
      <c r="A298" s="6" t="s">
        <v>636</v>
      </c>
      <c r="B298" s="6" t="str">
        <f>IFERROR(__xludf.DUMMYFUNCTION("GOOGLETRANSLATE(A298,""en"",""fi"")"),"Kukkiva Pokémon")</f>
        <v>Kukkiva Pokémon</v>
      </c>
      <c r="C298" s="9" t="s">
        <v>29</v>
      </c>
    </row>
    <row r="299" ht="33.75" customHeight="1">
      <c r="A299" s="6" t="s">
        <v>639</v>
      </c>
      <c r="B299" s="6" t="str">
        <f>IFERROR(__xludf.DUMMYFUNCTION("GOOGLETRANSLATE(A299,""en"",""fi"")"),"Merietana-Pokémon")</f>
        <v>Merietana-Pokémon</v>
      </c>
      <c r="C299" s="9" t="s">
        <v>29</v>
      </c>
    </row>
    <row r="300" ht="33.75" customHeight="1">
      <c r="A300" s="6" t="s">
        <v>640</v>
      </c>
      <c r="B300" s="6" t="str">
        <f>IFERROR(__xludf.DUMMYFUNCTION("GOOGLETRANSLATE(A300,""en"",""fi"")"),"Ilmalaiva-Pokémon")</f>
        <v>Ilmalaiva-Pokémon</v>
      </c>
      <c r="C300" s="9" t="s">
        <v>29</v>
      </c>
    </row>
    <row r="301" ht="33.75" customHeight="1">
      <c r="A301" s="6" t="s">
        <v>644</v>
      </c>
      <c r="B301" s="6" t="str">
        <f>IFERROR(__xludf.DUMMYFUNCTION("GOOGLETRANSLATE(A301,""en"",""fi"")"),"Kani-Pokémon")</f>
        <v>Kani-Pokémon</v>
      </c>
      <c r="C301" s="9" t="s">
        <v>29</v>
      </c>
    </row>
    <row r="302" ht="33.75" customHeight="1">
      <c r="A302" s="6" t="s">
        <v>646</v>
      </c>
      <c r="B302" s="6" t="str">
        <f>IFERROR(__xludf.DUMMYFUNCTION("GOOGLETRANSLATE(A302,""en"",""fi"")"),"Maaginen Pokémon")</f>
        <v>Maaginen Pokémon</v>
      </c>
      <c r="C302" s="9" t="s">
        <v>29</v>
      </c>
    </row>
    <row r="303" ht="33.75" customHeight="1">
      <c r="A303" s="6" t="s">
        <v>649</v>
      </c>
      <c r="B303" s="6" t="str">
        <f>IFERROR(__xludf.DUMMYFUNCTION("GOOGLETRANSLATE(A303,""en"",""fi"")"),"Iso pomo-Pokémon")</f>
        <v>Iso pomo-Pokémon</v>
      </c>
      <c r="C303" s="9" t="s">
        <v>29</v>
      </c>
    </row>
    <row r="304" ht="33.75" customHeight="1">
      <c r="A304" s="6" t="s">
        <v>651</v>
      </c>
      <c r="B304" s="6" t="str">
        <f>IFERROR(__xludf.DUMMYFUNCTION("GOOGLETRANSLATE(A304,""en"",""fi"")"),"Kissa-Pokémon")</f>
        <v>Kissa-Pokémon</v>
      </c>
      <c r="C304" s="9" t="s">
        <v>29</v>
      </c>
    </row>
    <row r="305" ht="33.75" customHeight="1">
      <c r="A305" s="6" t="s">
        <v>654</v>
      </c>
      <c r="B305" s="6" t="str">
        <f>IFERROR(__xludf.DUMMYFUNCTION("GOOGLETRANSLATE(A305,""en"",""fi"")"),"Tiikerikissa-Pokémon")</f>
        <v>Tiikerikissa-Pokémon</v>
      </c>
      <c r="C305" s="9" t="s">
        <v>29</v>
      </c>
    </row>
    <row r="306" ht="33.75" customHeight="1">
      <c r="A306" s="6" t="s">
        <v>656</v>
      </c>
      <c r="B306" s="6" t="str">
        <f>IFERROR(__xludf.DUMMYFUNCTION("GOOGLETRANSLATE(A306,""en"",""fi"")"),"Kello-Pokémon")</f>
        <v>Kello-Pokémon</v>
      </c>
      <c r="C306" s="9" t="s">
        <v>29</v>
      </c>
    </row>
    <row r="307" ht="33.75" customHeight="1">
      <c r="A307" s="6" t="s">
        <v>657</v>
      </c>
      <c r="B307" s="6" t="str">
        <f>IFERROR(__xludf.DUMMYFUNCTION("GOOGLETRANSLATE(A307,""en"",""fi"")"),"Skunkki-Pokémon")</f>
        <v>Skunkki-Pokémon</v>
      </c>
      <c r="C307" s="9" t="s">
        <v>29</v>
      </c>
    </row>
    <row r="308" ht="33.75" customHeight="1">
      <c r="A308" s="6" t="s">
        <v>659</v>
      </c>
      <c r="B308" s="6" t="str">
        <f>IFERROR(__xludf.DUMMYFUNCTION("GOOGLETRANSLATE(A308,""en"",""fi"")"),"Pronssi-Pokémon")</f>
        <v>Pronssi-Pokémon</v>
      </c>
      <c r="C308" s="9" t="s">
        <v>29</v>
      </c>
    </row>
    <row r="309" ht="33.75" customHeight="1">
      <c r="A309" s="6" t="s">
        <v>661</v>
      </c>
      <c r="B309" s="6" t="str">
        <f>IFERROR(__xludf.DUMMYFUNCTION("GOOGLETRANSLATE(A309,""en"",""fi"")"),"Pronssinen kello-Pokémon")</f>
        <v>Pronssinen kello-Pokémon</v>
      </c>
      <c r="C309" s="9" t="s">
        <v>29</v>
      </c>
    </row>
    <row r="310" ht="33.75" customHeight="1">
      <c r="A310" s="6" t="s">
        <v>662</v>
      </c>
      <c r="B310" s="6" t="str">
        <f>IFERROR(__xludf.DUMMYFUNCTION("GOOGLETRANSLATE(A310,""en"",""fi"")"),"Bonsai-Pokémon")</f>
        <v>Bonsai-Pokémon</v>
      </c>
      <c r="C310" s="9" t="s">
        <v>29</v>
      </c>
    </row>
    <row r="311" ht="33.75" customHeight="1">
      <c r="A311" s="6" t="s">
        <v>664</v>
      </c>
      <c r="B311" s="6" t="str">
        <f>IFERROR(__xludf.DUMMYFUNCTION("GOOGLETRANSLATE(A311,""en"",""fi"")"),"Miimi-Pokémon")</f>
        <v>Miimi-Pokémon</v>
      </c>
      <c r="C311" s="9" t="s">
        <v>29</v>
      </c>
    </row>
    <row r="312" ht="33.75" customHeight="1">
      <c r="A312" s="6" t="s">
        <v>665</v>
      </c>
      <c r="B312" s="6" t="str">
        <f>IFERROR(__xludf.DUMMYFUNCTION("GOOGLETRANSLATE(A312,""en"",""fi"")"),"Leikkimökki-Pokémon")</f>
        <v>Leikkimökki-Pokémon</v>
      </c>
      <c r="C312" s="9" t="s">
        <v>29</v>
      </c>
    </row>
    <row r="313" ht="33.75" customHeight="1">
      <c r="A313" s="6" t="s">
        <v>668</v>
      </c>
      <c r="B313" s="6" t="str">
        <f>IFERROR(__xludf.DUMMYFUNCTION("GOOGLETRANSLATE(A313,""en"",""fi"")"),"Nuotti-Pokémon")</f>
        <v>Nuotti-Pokémon</v>
      </c>
      <c r="C313" s="9" t="s">
        <v>29</v>
      </c>
    </row>
    <row r="314" ht="33.75" customHeight="1">
      <c r="A314" s="6" t="s">
        <v>671</v>
      </c>
      <c r="B314" s="6" t="str">
        <f>IFERROR(__xludf.DUMMYFUNCTION("GOOGLETRANSLATE(A314,""en"",""fi"")"),"Kielletty Pokémon")</f>
        <v>Kielletty Pokémon</v>
      </c>
      <c r="C314" s="9" t="s">
        <v>29</v>
      </c>
    </row>
    <row r="315" ht="33.75" customHeight="1">
      <c r="A315" s="6" t="s">
        <v>673</v>
      </c>
      <c r="B315" s="6" t="str">
        <f>IFERROR(__xludf.DUMMYFUNCTION("GOOGLETRANSLATE(A315,""en"",""fi"")"),"Maishai-Pokémon")</f>
        <v>Maishai-Pokémon</v>
      </c>
      <c r="C315" s="9" t="s">
        <v>29</v>
      </c>
    </row>
    <row r="316" ht="33.75" customHeight="1">
      <c r="A316" s="6" t="s">
        <v>674</v>
      </c>
      <c r="B316" s="6" t="str">
        <f>IFERROR(__xludf.DUMMYFUNCTION("GOOGLETRANSLATE(A316,""en"",""fi"")"),"Luola-Pokémon")</f>
        <v>Luola-Pokémon</v>
      </c>
      <c r="C316" s="9" t="s">
        <v>29</v>
      </c>
    </row>
    <row r="317" ht="33.75" customHeight="1">
      <c r="A317" s="6" t="s">
        <v>677</v>
      </c>
      <c r="B317" s="6" t="str">
        <f>IFERROR(__xludf.DUMMYFUNCTION("GOOGLETRANSLATE(A317,""en"",""fi"")"),"Mach-Pokémon")</f>
        <v>Mach-Pokémon</v>
      </c>
      <c r="C317" s="9" t="s">
        <v>29</v>
      </c>
    </row>
    <row r="318" ht="33.75" customHeight="1">
      <c r="A318" s="6" t="s">
        <v>680</v>
      </c>
      <c r="B318" s="6" t="str">
        <f>IFERROR(__xludf.DUMMYFUNCTION("GOOGLETRANSLATE(A318,""en"",""fi"")"),"Iso syöjä-Pokémon")</f>
        <v>Iso syöjä-Pokémon</v>
      </c>
      <c r="C318" s="9" t="s">
        <v>29</v>
      </c>
    </row>
    <row r="319" ht="33.75" customHeight="1">
      <c r="A319" s="6" t="s">
        <v>682</v>
      </c>
      <c r="B319" s="6" t="str">
        <f>IFERROR(__xludf.DUMMYFUNCTION("GOOGLETRANSLATE(A319,""en"",""fi"")"),"Emanaatio-Pokémon")</f>
        <v>Emanaatio-Pokémon</v>
      </c>
      <c r="C319" s="9" t="s">
        <v>29</v>
      </c>
    </row>
    <row r="320" ht="33.75" customHeight="1">
      <c r="A320" s="6" t="s">
        <v>684</v>
      </c>
      <c r="B320" s="6" t="str">
        <f>IFERROR(__xludf.DUMMYFUNCTION("GOOGLETRANSLATE(A320,""en"",""fi"")"),"Aura-Pokémon")</f>
        <v>Aura-Pokémon</v>
      </c>
      <c r="C320" s="9" t="s">
        <v>29</v>
      </c>
    </row>
    <row r="321" ht="33.75" customHeight="1">
      <c r="A321" s="6" t="s">
        <v>687</v>
      </c>
      <c r="B321" s="6" t="str">
        <f>IFERROR(__xludf.DUMMYFUNCTION("GOOGLETRANSLATE(A321,""en"",""fi"")"),"Virtahepokémon")</f>
        <v>Virtahepokémon</v>
      </c>
      <c r="C321" s="9" t="s">
        <v>29</v>
      </c>
    </row>
    <row r="322" ht="33.75" customHeight="1">
      <c r="A322" s="6" t="s">
        <v>689</v>
      </c>
      <c r="B322" s="6" t="str">
        <f>IFERROR(__xludf.DUMMYFUNCTION("GOOGLETRANSLATE(A322,""en"",""fi"")"),"Raskaansarjan Pokémon")</f>
        <v>Raskaansarjan Pokémon</v>
      </c>
      <c r="C322" s="9" t="s">
        <v>29</v>
      </c>
    </row>
    <row r="323" ht="33.75" customHeight="1">
      <c r="A323" s="6" t="s">
        <v>690</v>
      </c>
      <c r="B323" s="6" t="str">
        <f>IFERROR(__xludf.DUMMYFUNCTION("GOOGLETRANSLATE(A323,""en"",""fi"")"),"Skorpioni-Pokémon")</f>
        <v>Skorpioni-Pokémon</v>
      </c>
      <c r="C323" s="9" t="s">
        <v>29</v>
      </c>
    </row>
    <row r="324" ht="33.75" customHeight="1">
      <c r="A324" s="6" t="s">
        <v>692</v>
      </c>
      <c r="B324" s="6" t="str">
        <f>IFERROR(__xludf.DUMMYFUNCTION("GOOGLETRANSLATE(A324,""en"",""fi"")"),"Ogre Scorpion -pokémon")</f>
        <v>Ogre Scorpion -pokémon</v>
      </c>
      <c r="C324" s="9" t="s">
        <v>29</v>
      </c>
    </row>
    <row r="325" ht="33.75" customHeight="1">
      <c r="A325" s="6" t="s">
        <v>694</v>
      </c>
      <c r="B325" s="6" t="str">
        <f>IFERROR(__xludf.DUMMYFUNCTION("GOOGLETRANSLATE(A325,""en"",""fi"")"),"Myrkyllisen suun Pokémon")</f>
        <v>Myrkyllisen suun Pokémon</v>
      </c>
      <c r="C325" s="9" t="s">
        <v>29</v>
      </c>
    </row>
    <row r="326" ht="33.75" customHeight="1">
      <c r="A326" s="6" t="s">
        <v>695</v>
      </c>
      <c r="B326" s="6" t="str">
        <f>IFERROR(__xludf.DUMMYFUNCTION("GOOGLETRANSLATE(A326,""en"",""fi"")"),"Ötökänsieppari-Pokémon")</f>
        <v>Ötökänsieppari-Pokémon</v>
      </c>
      <c r="C326" s="9" t="s">
        <v>29</v>
      </c>
    </row>
    <row r="327" ht="33.75" customHeight="1">
      <c r="A327" s="6" t="s">
        <v>696</v>
      </c>
      <c r="B327" s="6" t="str">
        <f>IFERROR(__xludf.DUMMYFUNCTION("GOOGLETRANSLATE(A327,""en"",""fi"")"),"Siipikala-Pokémon")</f>
        <v>Siipikala-Pokémon</v>
      </c>
      <c r="C327" s="9" t="s">
        <v>29</v>
      </c>
    </row>
    <row r="328" ht="33.75" customHeight="1">
      <c r="A328" s="6" t="s">
        <v>702</v>
      </c>
      <c r="B328" s="6" t="str">
        <f>IFERROR(__xludf.DUMMYFUNCTION("GOOGLETRANSLATE(A328,""en"",""fi"")"),"Neon-Pokémon")</f>
        <v>Neon-Pokémon</v>
      </c>
      <c r="C328" s="9" t="s">
        <v>29</v>
      </c>
    </row>
    <row r="329" ht="33.75" customHeight="1">
      <c r="A329" s="6" t="s">
        <v>703</v>
      </c>
      <c r="B329" s="6" t="str">
        <f>IFERROR(__xludf.DUMMYFUNCTION("GOOGLETRANSLATE(A329,""en"",""fi"")"),"Pakkaspuu-Pokémon")</f>
        <v>Pakkaspuu-Pokémon</v>
      </c>
      <c r="C329" s="9" t="s">
        <v>29</v>
      </c>
    </row>
    <row r="330" ht="33.75" customHeight="1">
      <c r="A330" s="6" t="s">
        <v>704</v>
      </c>
      <c r="B330" s="6" t="str">
        <f>IFERROR(__xludf.DUMMYFUNCTION("GOOGLETRANSLATE(A330,""en"",""fi"")"),"Magneettialueen Pokémon")</f>
        <v>Magneettialueen Pokémon</v>
      </c>
      <c r="C330" s="9" t="s">
        <v>29</v>
      </c>
    </row>
    <row r="331" ht="33.75" customHeight="1">
      <c r="A331" s="6" t="s">
        <v>705</v>
      </c>
      <c r="B331" s="6" t="str">
        <f>IFERROR(__xludf.DUMMYFUNCTION("GOOGLETRANSLATE(A331,""en"",""fi"")"),"Salama-Pokémon")</f>
        <v>Salama-Pokémon</v>
      </c>
      <c r="C331" s="9" t="s">
        <v>29</v>
      </c>
    </row>
    <row r="332" ht="33.75" customHeight="1">
      <c r="A332" s="6" t="s">
        <v>706</v>
      </c>
      <c r="B332" s="6" t="str">
        <f>IFERROR(__xludf.DUMMYFUNCTION("GOOGLETRANSLATE(A332,""en"",""fi"")"),"Räjäytä Pokémoneja")</f>
        <v>Räjäytä Pokémoneja</v>
      </c>
      <c r="C332" s="9" t="s">
        <v>29</v>
      </c>
    </row>
    <row r="333" ht="33.75" customHeight="1">
      <c r="A333" s="6" t="s">
        <v>709</v>
      </c>
      <c r="B333" s="6" t="str">
        <f>IFERROR(__xludf.DUMMYFUNCTION("GOOGLETRANSLATE(A333,""en"",""fi"")"),"Juhlavuoden Pokémon")</f>
        <v>Juhlavuoden Pokémon</v>
      </c>
      <c r="C333" s="9" t="s">
        <v>29</v>
      </c>
    </row>
    <row r="334" ht="33.75" customHeight="1">
      <c r="A334" s="6" t="s">
        <v>711</v>
      </c>
      <c r="B334" s="6" t="str">
        <f>IFERROR(__xludf.DUMMYFUNCTION("GOOGLETRANSLATE(A334,""en"",""fi"")"),"Ogre Darner -Pokémon")</f>
        <v>Ogre Darner -Pokémon</v>
      </c>
      <c r="C334" s="9" t="s">
        <v>29</v>
      </c>
    </row>
    <row r="335" ht="33.75" customHeight="1">
      <c r="A335" s="6" t="s">
        <v>714</v>
      </c>
      <c r="B335" s="6" t="str">
        <f>IFERROR(__xludf.DUMMYFUNCTION("GOOGLETRANSLATE(A335,""en"",""fi"")"),"Vehreä Pokémon")</f>
        <v>Vehreä Pokémon</v>
      </c>
      <c r="C335" s="9" t="s">
        <v>29</v>
      </c>
    </row>
    <row r="336" ht="33.75" customHeight="1">
      <c r="A336" s="6" t="s">
        <v>715</v>
      </c>
      <c r="B336" s="6" t="str">
        <f>IFERROR(__xludf.DUMMYFUNCTION("GOOGLETRANSLATE(A336,""en"",""fi"")"),"Tuoreen lumen Pokémon")</f>
        <v>Tuoreen lumen Pokémon</v>
      </c>
      <c r="C336" s="9" t="s">
        <v>29</v>
      </c>
    </row>
    <row r="337" ht="33.75" customHeight="1">
      <c r="A337" s="6" t="s">
        <v>717</v>
      </c>
      <c r="B337" s="6" t="str">
        <f>IFERROR(__xludf.DUMMYFUNCTION("GOOGLETRANSLATE(A337,""en"",""fi"")"),"Fang-skorpioni-Pokémon")</f>
        <v>Fang-skorpioni-Pokémon</v>
      </c>
      <c r="C337" s="9" t="s">
        <v>29</v>
      </c>
    </row>
    <row r="338" ht="33.75" customHeight="1">
      <c r="A338" s="6" t="s">
        <v>720</v>
      </c>
      <c r="B338" s="6" t="str">
        <f>IFERROR(__xludf.DUMMYFUNCTION("GOOGLETRANSLATE(A338,""en"",""fi"")"),"Kaksoishammas-Pokémon")</f>
        <v>Kaksoishammas-Pokémon</v>
      </c>
      <c r="C338" s="9" t="s">
        <v>29</v>
      </c>
    </row>
    <row r="339" ht="33.75" customHeight="1">
      <c r="A339" s="6" t="s">
        <v>722</v>
      </c>
      <c r="B339" s="6" t="str">
        <f>IFERROR(__xludf.DUMMYFUNCTION("GOOGLETRANSLATE(A339,""en"",""fi"")"),"Terä-Pokémon")</f>
        <v>Terä-Pokémon</v>
      </c>
      <c r="C339" s="9" t="s">
        <v>29</v>
      </c>
    </row>
    <row r="340" ht="33.75" customHeight="1">
      <c r="A340" s="6" t="s">
        <v>724</v>
      </c>
      <c r="B340" s="6" t="str">
        <f>IFERROR(__xludf.DUMMYFUNCTION("GOOGLETRANSLATE(A340,""en"",""fi"")"),"Gripper-Pokémon")</f>
        <v>Gripper-Pokémon</v>
      </c>
      <c r="C340" s="9" t="s">
        <v>29</v>
      </c>
    </row>
    <row r="341" ht="33.75" customHeight="1">
      <c r="A341" s="6" t="s">
        <v>727</v>
      </c>
      <c r="B341" s="6" t="str">
        <f>IFERROR(__xludf.DUMMYFUNCTION("GOOGLETRANSLATE(A341,""en"",""fi"")"),"Lumimaan Pokémon")</f>
        <v>Lumimaan Pokémon</v>
      </c>
      <c r="C341" s="9" t="s">
        <v>29</v>
      </c>
    </row>
    <row r="342" ht="33.75" customHeight="1">
      <c r="A342" s="6" t="s">
        <v>729</v>
      </c>
      <c r="B342" s="6" t="str">
        <f>IFERROR(__xludf.DUMMYFUNCTION("GOOGLETRANSLATE(A342,""en"",""fi"")"),"Plasma-Pokémon")</f>
        <v>Plasma-Pokémon</v>
      </c>
      <c r="C342" s="9" t="s">
        <v>29</v>
      </c>
    </row>
    <row r="343" ht="33.75" customHeight="1">
      <c r="A343" s="6" t="s">
        <v>730</v>
      </c>
      <c r="B343" s="6" t="str">
        <f>IFERROR(__xludf.DUMMYFUNCTION("GOOGLETRANSLATE(A343,""en"",""fi"")"),"Tieto-Pokémon")</f>
        <v>Tieto-Pokémon</v>
      </c>
      <c r="C343" s="9" t="s">
        <v>29</v>
      </c>
    </row>
    <row r="344" ht="33.75" customHeight="1">
      <c r="A344" s="6" t="s">
        <v>732</v>
      </c>
      <c r="B344" s="6" t="str">
        <f>IFERROR(__xludf.DUMMYFUNCTION("GOOGLETRANSLATE(A344,""en"",""fi"")"),"Tahdonvoima-Pokémon")</f>
        <v>Tahdonvoima-Pokémon</v>
      </c>
      <c r="C344" s="9" t="s">
        <v>29</v>
      </c>
    </row>
    <row r="345" ht="33.75" customHeight="1">
      <c r="A345" s="6" t="s">
        <v>734</v>
      </c>
      <c r="B345" s="6" t="str">
        <f>IFERROR(__xludf.DUMMYFUNCTION("GOOGLETRANSLATE(A345,""en"",""fi"")"),"Ajallinen Pokémon")</f>
        <v>Ajallinen Pokémon</v>
      </c>
      <c r="C345" s="9" t="s">
        <v>29</v>
      </c>
    </row>
    <row r="346" ht="33.75" customHeight="1">
      <c r="A346" s="6" t="s">
        <v>735</v>
      </c>
      <c r="B346" s="6" t="str">
        <f>IFERROR(__xludf.DUMMYFUNCTION("GOOGLETRANSLATE(A346,""en"",""fi"")"),"Avaruudellinen Pokémon")</f>
        <v>Avaruudellinen Pokémon</v>
      </c>
      <c r="C346" s="9" t="s">
        <v>29</v>
      </c>
    </row>
    <row r="347" ht="33.75" customHeight="1">
      <c r="A347" s="6" t="s">
        <v>738</v>
      </c>
      <c r="B347" s="6" t="str">
        <f>IFERROR(__xludf.DUMMYFUNCTION("GOOGLETRANSLATE(A347,""en"",""fi"")"),"Laavakupoli-Pokémon")</f>
        <v>Laavakupoli-Pokémon</v>
      </c>
      <c r="C347" s="9" t="s">
        <v>29</v>
      </c>
    </row>
    <row r="348" ht="33.75" customHeight="1">
      <c r="A348" s="6" t="s">
        <v>739</v>
      </c>
      <c r="B348" s="6" t="str">
        <f>IFERROR(__xludf.DUMMYFUNCTION("GOOGLETRANSLATE(A348,""en"",""fi"")"),"Kolossaalinen Pokémon")</f>
        <v>Kolossaalinen Pokémon</v>
      </c>
      <c r="C348" s="9" t="s">
        <v>29</v>
      </c>
    </row>
    <row r="349" ht="33.75" customHeight="1">
      <c r="A349" s="6" t="s">
        <v>743</v>
      </c>
      <c r="B349" s="6" t="str">
        <f>IFERROR(__xludf.DUMMYFUNCTION("GOOGLETRANSLATE(A349,""en"",""fi"")"),"Renegade-Pokémon")</f>
        <v>Renegade-Pokémon</v>
      </c>
      <c r="C349" s="9" t="s">
        <v>29</v>
      </c>
    </row>
    <row r="350" ht="33.75" customHeight="1">
      <c r="A350" s="6" t="s">
        <v>744</v>
      </c>
      <c r="B350" s="6" t="str">
        <f>IFERROR(__xludf.DUMMYFUNCTION("GOOGLETRANSLATE(A350,""en"",""fi"")"),"Kuu-Pokémon")</f>
        <v>Kuu-Pokémon</v>
      </c>
      <c r="C350" s="9" t="s">
        <v>29</v>
      </c>
    </row>
    <row r="351" ht="33.75" customHeight="1">
      <c r="A351" s="6" t="s">
        <v>745</v>
      </c>
      <c r="B351" s="6" t="str">
        <f>IFERROR(__xludf.DUMMYFUNCTION("GOOGLETRANSLATE(A351,""en"",""fi"")"),"Merivaeltaja-Pokémon")</f>
        <v>Merivaeltaja-Pokémon</v>
      </c>
      <c r="C351" s="9" t="s">
        <v>29</v>
      </c>
    </row>
    <row r="352" ht="33.75" customHeight="1">
      <c r="A352" s="6" t="s">
        <v>747</v>
      </c>
      <c r="B352" s="6" t="str">
        <f>IFERROR(__xludf.DUMMYFUNCTION("GOOGLETRANSLATE(A352,""en"",""fi"")"),"Merenkulku-Pokémon")</f>
        <v>Merenkulku-Pokémon</v>
      </c>
      <c r="C352" s="9" t="s">
        <v>29</v>
      </c>
    </row>
    <row r="353" ht="33.75" customHeight="1">
      <c r="A353" s="6" t="s">
        <v>749</v>
      </c>
      <c r="B353" s="6" t="str">
        <f>IFERROR(__xludf.DUMMYFUNCTION("GOOGLETRANSLATE(A353,""en"",""fi"")"),"Pikimusta Pokémon")</f>
        <v>Pikimusta Pokémon</v>
      </c>
      <c r="C353" s="9" t="s">
        <v>29</v>
      </c>
    </row>
    <row r="354" ht="33.75" customHeight="1">
      <c r="A354" s="6" t="s">
        <v>751</v>
      </c>
      <c r="B354" s="6" t="str">
        <f>IFERROR(__xludf.DUMMYFUNCTION("GOOGLETRANSLATE(A354,""en"",""fi"")"),"Kiitollisuus-Pokémon")</f>
        <v>Kiitollisuus-Pokémon</v>
      </c>
      <c r="C354" s="9" t="s">
        <v>29</v>
      </c>
    </row>
    <row r="355" ht="33.75" customHeight="1">
      <c r="A355" s="6" t="s">
        <v>753</v>
      </c>
      <c r="B355" s="6" t="str">
        <f>IFERROR(__xludf.DUMMYFUNCTION("GOOGLETRANSLATE(A355,""en"",""fi"")"),"Alfa-Pokémon")</f>
        <v>Alfa-Pokémon</v>
      </c>
      <c r="C355" s="9" t="s">
        <v>29</v>
      </c>
    </row>
    <row r="356" ht="33.75" customHeight="1">
      <c r="A356" s="6" t="s">
        <v>754</v>
      </c>
      <c r="B356" s="6" t="str">
        <f>IFERROR(__xludf.DUMMYFUNCTION("GOOGLETRANSLATE(A356,""en"",""fi"")"),"Voiton Pokémon")</f>
        <v>Voiton Pokémon</v>
      </c>
      <c r="C356" s="9" t="s">
        <v>29</v>
      </c>
    </row>
    <row r="357" ht="33.75" customHeight="1">
      <c r="A357" s="6" t="s">
        <v>756</v>
      </c>
      <c r="B357" s="6" t="str">
        <f>IFERROR(__xludf.DUMMYFUNCTION("GOOGLETRANSLATE(A357,""en"",""fi"")"),"Ruohokäärme-Pokémon")</f>
        <v>Ruohokäärme-Pokémon</v>
      </c>
      <c r="C357" s="9" t="s">
        <v>29</v>
      </c>
    </row>
    <row r="358" ht="33.75" customHeight="1">
      <c r="A358" s="6" t="s">
        <v>757</v>
      </c>
      <c r="B358" s="6" t="str">
        <f>IFERROR(__xludf.DUMMYFUNCTION("GOOGLETRANSLATE(A358,""en"",""fi"")"),"Kuninkaallinen Pokémon")</f>
        <v>Kuninkaallinen Pokémon</v>
      </c>
      <c r="C358" s="9" t="s">
        <v>29</v>
      </c>
    </row>
    <row r="359" ht="33.75" customHeight="1">
      <c r="A359" s="6" t="s">
        <v>758</v>
      </c>
      <c r="B359" s="6" t="str">
        <f>IFERROR(__xludf.DUMMYFUNCTION("GOOGLETRANSLATE(A359,""en"",""fi"")"),"Tulisika-Pokémon")</f>
        <v>Tulisika-Pokémon</v>
      </c>
      <c r="C359" s="9" t="s">
        <v>29</v>
      </c>
    </row>
    <row r="360" ht="33.75" customHeight="1">
      <c r="A360" s="6" t="s">
        <v>760</v>
      </c>
      <c r="B360" s="6" t="str">
        <f>IFERROR(__xludf.DUMMYFUNCTION("GOOGLETRANSLATE(A360,""en"",""fi"")"),"Mega-tulipossu-Pokémon")</f>
        <v>Mega-tulipossu-Pokémon</v>
      </c>
      <c r="C360" s="9" t="s">
        <v>29</v>
      </c>
    </row>
    <row r="361" ht="33.75" customHeight="1">
      <c r="A361" s="6" t="s">
        <v>761</v>
      </c>
      <c r="B361" s="6" t="str">
        <f>IFERROR(__xludf.DUMMYFUNCTION("GOOGLETRANSLATE(A361,""en"",""fi"")"),"Merisaukko-Pokémon")</f>
        <v>Merisaukko-Pokémon</v>
      </c>
      <c r="C361" s="9" t="s">
        <v>29</v>
      </c>
    </row>
    <row r="362" ht="33.75" customHeight="1">
      <c r="A362" s="6" t="s">
        <v>763</v>
      </c>
      <c r="B362" s="6" t="str">
        <f>IFERROR(__xludf.DUMMYFUNCTION("GOOGLETRANSLATE(A362,""en"",""fi"")"),"Kuri-Pokémon")</f>
        <v>Kuri-Pokémon</v>
      </c>
      <c r="C362" s="9" t="s">
        <v>29</v>
      </c>
    </row>
    <row r="363" ht="33.75" customHeight="1">
      <c r="A363" s="6" t="s">
        <v>764</v>
      </c>
      <c r="B363" s="6" t="str">
        <f>IFERROR(__xludf.DUMMYFUNCTION("GOOGLETRANSLATE(A363,""en"",""fi"")"),"Mahtava Pokémon")</f>
        <v>Mahtava Pokémon</v>
      </c>
      <c r="C363" s="9" t="s">
        <v>29</v>
      </c>
    </row>
    <row r="364" ht="33.75" customHeight="1">
      <c r="A364" s="6" t="s">
        <v>766</v>
      </c>
      <c r="B364" s="6" t="str">
        <f>IFERROR(__xludf.DUMMYFUNCTION("GOOGLETRANSLATE(A364,""en"",""fi"")"),"Lookout-pokémon")</f>
        <v>Lookout-pokémon</v>
      </c>
      <c r="C364" s="9" t="s">
        <v>29</v>
      </c>
    </row>
    <row r="365" ht="33.75" customHeight="1">
      <c r="A365" s="6" t="s">
        <v>767</v>
      </c>
      <c r="B365" s="6" t="str">
        <f>IFERROR(__xludf.DUMMYFUNCTION("GOOGLETRANSLATE(A365,""en"",""fi"")"),"Uskollinen koira-Pokémon")</f>
        <v>Uskollinen koira-Pokémon</v>
      </c>
      <c r="C365" s="9" t="s">
        <v>29</v>
      </c>
    </row>
    <row r="366" ht="33.75" customHeight="1">
      <c r="A366" s="6" t="s">
        <v>769</v>
      </c>
      <c r="B366" s="6" t="str">
        <f>IFERROR(__xludf.DUMMYFUNCTION("GOOGLETRANSLATE(A366,""en"",""fi"")"),"Suurisydäminen Pokémon")</f>
        <v>Suurisydäminen Pokémon</v>
      </c>
      <c r="C366" s="9" t="s">
        <v>29</v>
      </c>
    </row>
    <row r="367" ht="33.75" customHeight="1">
      <c r="A367" s="6" t="s">
        <v>771</v>
      </c>
      <c r="B367" s="6" t="str">
        <f>IFERROR(__xludf.DUMMYFUNCTION("GOOGLETRANSLATE(A367,""en"",""fi"")"),"Ovela Pokémon")</f>
        <v>Ovela Pokémon</v>
      </c>
      <c r="C367" s="9" t="s">
        <v>29</v>
      </c>
    </row>
    <row r="368" ht="33.75" customHeight="1">
      <c r="A368" s="6" t="s">
        <v>774</v>
      </c>
      <c r="B368" s="6" t="str">
        <f>IFERROR(__xludf.DUMMYFUNCTION("GOOGLETRANSLATE(A368,""en"",""fi"")"),"Julma Pokémon")</f>
        <v>Julma Pokémon</v>
      </c>
      <c r="C368" s="9" t="s">
        <v>29</v>
      </c>
    </row>
    <row r="369" ht="33.75" customHeight="1">
      <c r="A369" s="6" t="s">
        <v>777</v>
      </c>
      <c r="B369" s="6" t="str">
        <f>IFERROR(__xludf.DUMMYFUNCTION("GOOGLETRANSLATE(A369,""en"",""fi"")"),"Ruohosapinan Pokémon")</f>
        <v>Ruohosapinan Pokémon</v>
      </c>
      <c r="C369" s="9" t="s">
        <v>29</v>
      </c>
    </row>
    <row r="370" ht="33.75" customHeight="1">
      <c r="A370" s="6" t="s">
        <v>779</v>
      </c>
      <c r="B370" s="6" t="str">
        <f>IFERROR(__xludf.DUMMYFUNCTION("GOOGLETRANSLATE(A370,""en"",""fi"")"),"Orjantappura-apinan Pokémon")</f>
        <v>Orjantappura-apinan Pokémon</v>
      </c>
      <c r="C370" s="9" t="s">
        <v>29</v>
      </c>
    </row>
    <row r="371" ht="33.75" customHeight="1">
      <c r="A371" s="6" t="s">
        <v>780</v>
      </c>
      <c r="B371" s="6" t="str">
        <f>IFERROR(__xludf.DUMMYFUNCTION("GOOGLETRANSLATE(A371,""en"",""fi"")"),"Korkean lämpötilan Pokémon")</f>
        <v>Korkean lämpötilan Pokémon</v>
      </c>
      <c r="C371" s="9" t="s">
        <v>29</v>
      </c>
    </row>
    <row r="372" ht="33.75" customHeight="1">
      <c r="A372" s="6" t="s">
        <v>782</v>
      </c>
      <c r="B372" s="6" t="str">
        <f>IFERROR(__xludf.DUMMYFUNCTION("GOOGLETRANSLATE(A372,""en"",""fi"")"),"Ember-Pokémon")</f>
        <v>Ember-Pokémon</v>
      </c>
      <c r="C372" s="9" t="s">
        <v>29</v>
      </c>
    </row>
    <row r="373" ht="33.75" customHeight="1">
      <c r="A373" s="6" t="s">
        <v>785</v>
      </c>
      <c r="B373" s="6" t="str">
        <f>IFERROR(__xludf.DUMMYFUNCTION("GOOGLETRANSLATE(A373,""en"",""fi"")"),"Suihkuta Pokémoneja")</f>
        <v>Suihkuta Pokémoneja</v>
      </c>
      <c r="C373" s="9" t="s">
        <v>29</v>
      </c>
    </row>
    <row r="374" ht="33.75" customHeight="1">
      <c r="A374" s="6" t="s">
        <v>786</v>
      </c>
      <c r="B374" s="6" t="str">
        <f>IFERROR(__xludf.DUMMYFUNCTION("GOOGLETRANSLATE(A374,""en"",""fi"")"),"Geysir-Pokémon")</f>
        <v>Geysir-Pokémon</v>
      </c>
      <c r="C374" s="9" t="s">
        <v>29</v>
      </c>
    </row>
    <row r="375" ht="33.75" customHeight="1">
      <c r="A375" s="6" t="s">
        <v>788</v>
      </c>
      <c r="B375" s="6" t="str">
        <f>IFERROR(__xludf.DUMMYFUNCTION("GOOGLETRANSLATE(A375,""en"",""fi"")"),"Unelmien syöjä-Pokémon")</f>
        <v>Unelmien syöjä-Pokémon</v>
      </c>
      <c r="C375" s="9" t="s">
        <v>29</v>
      </c>
    </row>
    <row r="376" ht="33.75" customHeight="1">
      <c r="A376" s="6" t="s">
        <v>790</v>
      </c>
      <c r="B376" s="6" t="str">
        <f>IFERROR(__xludf.DUMMYFUNCTION("GOOGLETRANSLATE(A376,""en"",""fi"")"),"Unia pokémon")</f>
        <v>Unia pokémon</v>
      </c>
      <c r="C376" s="9" t="s">
        <v>29</v>
      </c>
    </row>
    <row r="377" ht="33.75" customHeight="1">
      <c r="A377" s="6" t="s">
        <v>791</v>
      </c>
      <c r="B377" s="6" t="str">
        <f>IFERROR(__xludf.DUMMYFUNCTION("GOOGLETRANSLATE(A377,""en"",""fi"")"),"Pieni kyyhkys-Pokémon")</f>
        <v>Pieni kyyhkys-Pokémon</v>
      </c>
      <c r="C377" s="9" t="s">
        <v>29</v>
      </c>
    </row>
    <row r="378" ht="33.75" customHeight="1">
      <c r="A378" s="6" t="s">
        <v>793</v>
      </c>
      <c r="B378" s="6" t="str">
        <f>IFERROR(__xludf.DUMMYFUNCTION("GOOGLETRANSLATE(A378,""en"",""fi"")"),"Villikyyhkyn Pokémon")</f>
        <v>Villikyyhkyn Pokémon</v>
      </c>
      <c r="C378" s="9" t="s">
        <v>29</v>
      </c>
    </row>
    <row r="379" ht="33.75" customHeight="1">
      <c r="A379" s="6" t="s">
        <v>794</v>
      </c>
      <c r="B379" s="6" t="str">
        <f>IFERROR(__xludf.DUMMYFUNCTION("GOOGLETRANSLATE(A379,""en"",""fi"")"),"Ylpeä Pokémon")</f>
        <v>Ylpeä Pokémon</v>
      </c>
      <c r="C379" s="9" t="s">
        <v>29</v>
      </c>
    </row>
    <row r="380" ht="33.75" customHeight="1">
      <c r="A380" s="6" t="s">
        <v>796</v>
      </c>
      <c r="B380" s="6" t="str">
        <f>IFERROR(__xludf.DUMMYFUNCTION("GOOGLETRANSLATE(A380,""en"",""fi"")"),"Sähköistetty Pokémon")</f>
        <v>Sähköistetty Pokémon</v>
      </c>
      <c r="C380" s="9" t="s">
        <v>29</v>
      </c>
    </row>
    <row r="381" ht="33.75" customHeight="1">
      <c r="A381" s="6" t="s">
        <v>799</v>
      </c>
      <c r="B381" s="6" t="str">
        <f>IFERROR(__xludf.DUMMYFUNCTION("GOOGLETRANSLATE(A381,""en"",""fi"")"),"Mantle-Pokémon")</f>
        <v>Mantle-Pokémon</v>
      </c>
      <c r="C381" s="9" t="s">
        <v>29</v>
      </c>
    </row>
    <row r="382" ht="33.75" customHeight="1">
      <c r="A382" s="6" t="s">
        <v>802</v>
      </c>
      <c r="B382" s="6" t="str">
        <f>IFERROR(__xludf.DUMMYFUNCTION("GOOGLETRANSLATE(A382,""en"",""fi"")"),"Malmi-Pokémon")</f>
        <v>Malmi-Pokémon</v>
      </c>
      <c r="C382" s="9" t="s">
        <v>29</v>
      </c>
    </row>
    <row r="383" ht="33.75" customHeight="1">
      <c r="A383" s="6" t="s">
        <v>804</v>
      </c>
      <c r="B383" s="6" t="str">
        <f>IFERROR(__xludf.DUMMYFUNCTION("GOOGLETRANSLATE(A383,""en"",""fi"")"),"Pakattu Pokémon")</f>
        <v>Pakattu Pokémon</v>
      </c>
      <c r="C383" s="9" t="s">
        <v>29</v>
      </c>
    </row>
    <row r="384" ht="33.75" customHeight="1">
      <c r="A384" s="6" t="s">
        <v>806</v>
      </c>
      <c r="B384" s="6" t="str">
        <f>IFERROR(__xludf.DUMMYFUNCTION("GOOGLETRANSLATE(A384,""en"",""fi"")"),"Pokémonien kosiskelu")</f>
        <v>Pokémonien kosiskelu</v>
      </c>
      <c r="C384" s="9" t="s">
        <v>29</v>
      </c>
    </row>
    <row r="385" ht="33.75" customHeight="1">
      <c r="A385" s="6" t="s">
        <v>809</v>
      </c>
      <c r="B385" s="6" t="str">
        <f>IFERROR(__xludf.DUMMYFUNCTION("GOOGLETRANSLATE(A385,""en"",""fi"")"),"Maanalainen Pokémon")</f>
        <v>Maanalainen Pokémon</v>
      </c>
      <c r="C385" s="9" t="s">
        <v>29</v>
      </c>
    </row>
    <row r="386" ht="33.75" customHeight="1">
      <c r="A386" s="6" t="s">
        <v>812</v>
      </c>
      <c r="B386" s="6" t="str">
        <f>IFERROR(__xludf.DUMMYFUNCTION("GOOGLETRANSLATE(A386,""en"",""fi"")"),"Pokémonin kuuleminen")</f>
        <v>Pokémonin kuuleminen</v>
      </c>
      <c r="C386" s="9" t="s">
        <v>29</v>
      </c>
    </row>
    <row r="387" ht="33.75" customHeight="1">
      <c r="A387" s="6" t="s">
        <v>816</v>
      </c>
      <c r="B387" s="6" t="str">
        <f>IFERROR(__xludf.DUMMYFUNCTION("GOOGLETRANSLATE(A387,""en"",""fi"")"),"Lihaksikas Pokémon")</f>
        <v>Lihaksikas Pokémon</v>
      </c>
      <c r="C387" s="9" t="s">
        <v>29</v>
      </c>
    </row>
    <row r="388" ht="33.75" customHeight="1">
      <c r="A388" s="6" t="s">
        <v>817</v>
      </c>
      <c r="B388" s="6" t="str">
        <f>IFERROR(__xludf.DUMMYFUNCTION("GOOGLETRANSLATE(A388,""en"",""fi"")"),"Judo-pokémon")</f>
        <v>Judo-pokémon</v>
      </c>
      <c r="C388" s="9" t="s">
        <v>29</v>
      </c>
    </row>
    <row r="389" ht="33.75" customHeight="1">
      <c r="A389" s="6" t="s">
        <v>818</v>
      </c>
      <c r="B389" s="6" t="str">
        <f>IFERROR(__xludf.DUMMYFUNCTION("GOOGLETRANSLATE(A389,""en"",""fi"")"),"Karate-pokémon")</f>
        <v>Karate-pokémon</v>
      </c>
      <c r="C389" s="9" t="s">
        <v>29</v>
      </c>
    </row>
    <row r="390" ht="33.75" customHeight="1">
      <c r="A390" s="6" t="s">
        <v>822</v>
      </c>
      <c r="B390" s="6" t="str">
        <f>IFERROR(__xludf.DUMMYFUNCTION("GOOGLETRANSLATE(A390,""en"",""fi"")"),"Ompelevia Pokémoneja")</f>
        <v>Ompelevia Pokémoneja</v>
      </c>
      <c r="C390" s="9" t="s">
        <v>29</v>
      </c>
    </row>
    <row r="391" ht="33.75" customHeight="1">
      <c r="A391" s="6" t="s">
        <v>823</v>
      </c>
      <c r="B391" s="6" t="str">
        <f>IFERROR(__xludf.DUMMYFUNCTION("GOOGLETRANSLATE(A391,""en"",""fi"")"),"Lehtiin kääritty Pokémon")</f>
        <v>Lehtiin kääritty Pokémon</v>
      </c>
      <c r="C391" s="9" t="s">
        <v>29</v>
      </c>
    </row>
    <row r="392" ht="33.75" customHeight="1">
      <c r="A392" s="6" t="s">
        <v>826</v>
      </c>
      <c r="B392" s="6" t="str">
        <f>IFERROR(__xludf.DUMMYFUNCTION("GOOGLETRANSLATE(A392,""en"",""fi"")"),"Hoivaavat Pokémonit")</f>
        <v>Hoivaavat Pokémonit</v>
      </c>
      <c r="C392" s="9" t="s">
        <v>29</v>
      </c>
    </row>
    <row r="393" ht="33.75" customHeight="1">
      <c r="A393" s="6" t="s">
        <v>828</v>
      </c>
      <c r="B393" s="6" t="str">
        <f>IFERROR(__xludf.DUMMYFUNCTION("GOOGLETRANSLATE(A393,""en"",""fi"")"),"Tuhatjalkainen Pokémon")</f>
        <v>Tuhatjalkainen Pokémon</v>
      </c>
      <c r="C393" s="9" t="s">
        <v>29</v>
      </c>
    </row>
    <row r="394" ht="33.75" customHeight="1">
      <c r="A394" s="6" t="s">
        <v>830</v>
      </c>
      <c r="B394" s="6" t="str">
        <f>IFERROR(__xludf.DUMMYFUNCTION("GOOGLETRANSLATE(A394,""en"",""fi"")"),"Curlidepede-Pokémon")</f>
        <v>Curlidepede-Pokémon</v>
      </c>
      <c r="C394" s="9" t="s">
        <v>29</v>
      </c>
    </row>
    <row r="395" ht="33.75" customHeight="1">
      <c r="A395" s="6" t="s">
        <v>833</v>
      </c>
      <c r="B395" s="6" t="str">
        <f>IFERROR(__xludf.DUMMYFUNCTION("GOOGLETRANSLATE(A395,""en"",""fi"")"),"Megapedinen Pokémon")</f>
        <v>Megapedinen Pokémon</v>
      </c>
      <c r="C395" s="9" t="s">
        <v>29</v>
      </c>
    </row>
    <row r="396" ht="33.75" customHeight="1">
      <c r="A396" s="6" t="s">
        <v>836</v>
      </c>
      <c r="B396" s="6" t="str">
        <f>IFERROR(__xludf.DUMMYFUNCTION("GOOGLETRANSLATE(A396,""en"",""fi"")"),"Cotton Puff -Pokémon")</f>
        <v>Cotton Puff -Pokémon</v>
      </c>
      <c r="C396" s="9" t="s">
        <v>29</v>
      </c>
    </row>
    <row r="397" ht="33.75" customHeight="1">
      <c r="A397" s="6" t="s">
        <v>839</v>
      </c>
      <c r="B397" s="6" t="str">
        <f>IFERROR(__xludf.DUMMYFUNCTION("GOOGLETRANSLATE(A397,""en"",""fi"")"),"Tuulenpeitteinen Pokémon")</f>
        <v>Tuulenpeitteinen Pokémon</v>
      </c>
      <c r="C397" s="9" t="s">
        <v>29</v>
      </c>
    </row>
    <row r="398" ht="33.75" customHeight="1">
      <c r="A398" s="6" t="s">
        <v>840</v>
      </c>
      <c r="B398" s="6" t="str">
        <f>IFERROR(__xludf.DUMMYFUNCTION("GOOGLETRANSLATE(A398,""en"",""fi"")"),"Polttimo-Pokémon")</f>
        <v>Polttimo-Pokémon</v>
      </c>
      <c r="C398" s="9" t="s">
        <v>29</v>
      </c>
    </row>
    <row r="399" ht="33.75" customHeight="1">
      <c r="A399" s="6" t="s">
        <v>842</v>
      </c>
      <c r="B399" s="6" t="str">
        <f>IFERROR(__xludf.DUMMYFUNCTION("GOOGLETRANSLATE(A399,""en"",""fi"")"),"Kukkiva Pokémon")</f>
        <v>Kukkiva Pokémon</v>
      </c>
      <c r="C399" s="9" t="s">
        <v>29</v>
      </c>
    </row>
    <row r="400" ht="33.75" customHeight="1">
      <c r="A400" s="6" t="s">
        <v>843</v>
      </c>
      <c r="B400" s="6" t="str">
        <f>IFERROR(__xludf.DUMMYFUNCTION("GOOGLETRANSLATE(A400,""en"",""fi"")"),"Vihamielinen Pokémon")</f>
        <v>Vihamielinen Pokémon</v>
      </c>
      <c r="C400" s="9" t="s">
        <v>29</v>
      </c>
    </row>
    <row r="401" ht="33.75" customHeight="1">
      <c r="A401" s="6" t="s">
        <v>844</v>
      </c>
      <c r="B401" s="6" t="str">
        <f>IFERROR(__xludf.DUMMYFUNCTION("GOOGLETRANSLATE(A401,""en"",""fi"")"),"Aavikkokrokotiili-Pokémon")</f>
        <v>Aavikkokrokotiili-Pokémon</v>
      </c>
      <c r="C401" s="9" t="s">
        <v>29</v>
      </c>
    </row>
    <row r="402" ht="33.75" customHeight="1">
      <c r="A402" s="6" t="s">
        <v>846</v>
      </c>
      <c r="B402" s="6" t="str">
        <f>IFERROR(__xludf.DUMMYFUNCTION("GOOGLETRANSLATE(A402,""en"",""fi"")"),"Uhkailu-Pokémon")</f>
        <v>Uhkailu-Pokémon</v>
      </c>
      <c r="C402" s="9" t="s">
        <v>29</v>
      </c>
    </row>
    <row r="403" ht="33.75" customHeight="1">
      <c r="A403" s="6" t="s">
        <v>848</v>
      </c>
      <c r="B403" s="6" t="str">
        <f>IFERROR(__xludf.DUMMYFUNCTION("GOOGLETRANSLATE(A403,""en"",""fi"")"),"Zen-viehätys-Pokémon")</f>
        <v>Zen-viehätys-Pokémon</v>
      </c>
      <c r="C403" s="9" t="s">
        <v>29</v>
      </c>
    </row>
    <row r="404" ht="33.75" customHeight="1">
      <c r="A404" s="6" t="s">
        <v>850</v>
      </c>
      <c r="B404" s="6" t="str">
        <f>IFERROR(__xludf.DUMMYFUNCTION("GOOGLETRANSLATE(A404,""en"",""fi"")"),"Liekehtivä Pokémon")</f>
        <v>Liekehtivä Pokémon</v>
      </c>
      <c r="C404" s="9" t="s">
        <v>29</v>
      </c>
    </row>
    <row r="405" ht="33.75" customHeight="1">
      <c r="A405" s="6" t="s">
        <v>851</v>
      </c>
      <c r="B405" s="6" t="str">
        <f>IFERROR(__xludf.DUMMYFUNCTION("GOOGLETRANSLATE(A405,""en"",""fi"")"),"Rock Innin Pokémon")</f>
        <v>Rock Innin Pokémon</v>
      </c>
      <c r="C405" s="9" t="s">
        <v>29</v>
      </c>
    </row>
    <row r="406" ht="33.75" customHeight="1">
      <c r="A406" s="6" t="s">
        <v>854</v>
      </c>
      <c r="B406" s="6" t="str">
        <f>IFERROR(__xludf.DUMMYFUNCTION("GOOGLETRANSLATE(A406,""en"",""fi"")"),"Kivikoti-Pokémon")</f>
        <v>Kivikoti-Pokémon</v>
      </c>
      <c r="C406" s="9" t="s">
        <v>29</v>
      </c>
    </row>
    <row r="407" ht="33.75" customHeight="1">
      <c r="A407" s="6" t="s">
        <v>857</v>
      </c>
      <c r="B407" s="6" t="str">
        <f>IFERROR(__xludf.DUMMYFUNCTION("GOOGLETRANSLATE(A407,""en"",""fi"")"),"Pokémonin irtoaminen")</f>
        <v>Pokémonin irtoaminen</v>
      </c>
      <c r="C407" s="9" t="s">
        <v>29</v>
      </c>
    </row>
    <row r="408" ht="33.75" customHeight="1">
      <c r="A408" s="6" t="s">
        <v>858</v>
      </c>
      <c r="B408" s="6" t="str">
        <f>IFERROR(__xludf.DUMMYFUNCTION("GOOGLETRANSLATE(A408,""en"",""fi"")"),"Hoodlum-pokémon")</f>
        <v>Hoodlum-pokémon</v>
      </c>
      <c r="C408" s="9" t="s">
        <v>29</v>
      </c>
    </row>
    <row r="409" ht="33.75" customHeight="1">
      <c r="A409" s="6" t="s">
        <v>859</v>
      </c>
      <c r="B409" s="6" t="str">
        <f>IFERROR(__xludf.DUMMYFUNCTION("GOOGLETRANSLATE(A409,""en"",""fi"")"),"Lintumainen Pokémon")</f>
        <v>Lintumainen Pokémon</v>
      </c>
      <c r="C409" s="9" t="s">
        <v>29</v>
      </c>
    </row>
    <row r="410" ht="33.75" customHeight="1">
      <c r="A410" s="6" t="s">
        <v>861</v>
      </c>
      <c r="B410" s="6" t="str">
        <f>IFERROR(__xludf.DUMMYFUNCTION("GOOGLETRANSLATE(A410,""en"",""fi"")"),"Henki-Pokémon")</f>
        <v>Henki-Pokémon</v>
      </c>
      <c r="C410" s="9" t="s">
        <v>29</v>
      </c>
    </row>
    <row r="411" ht="33.75" customHeight="1">
      <c r="A411" s="6" t="s">
        <v>863</v>
      </c>
      <c r="B411" s="6" t="str">
        <f>IFERROR(__xludf.DUMMYFUNCTION("GOOGLETRANSLATE(A411,""en"",""fi"")"),"Arkku-Pokémon")</f>
        <v>Arkku-Pokémon</v>
      </c>
      <c r="C411" s="9" t="s">
        <v>29</v>
      </c>
    </row>
    <row r="412" ht="33.75" customHeight="1">
      <c r="A412" s="6" t="s">
        <v>864</v>
      </c>
      <c r="B412" s="6" t="str">
        <f>IFERROR(__xludf.DUMMYFUNCTION("GOOGLETRANSLATE(A412,""en"",""fi"")"),"Protokilpikonna-Pokémon")</f>
        <v>Protokilpikonna-Pokémon</v>
      </c>
      <c r="C412" s="9" t="s">
        <v>29</v>
      </c>
    </row>
    <row r="413" ht="33.75" customHeight="1">
      <c r="A413" s="6" t="s">
        <v>865</v>
      </c>
      <c r="B413" s="6" t="str">
        <f>IFERROR(__xludf.DUMMYFUNCTION("GOOGLETRANSLATE(A413,""en"",""fi"")"),"Ensimmäinen lintu-Pokémon")</f>
        <v>Ensimmäinen lintu-Pokémon</v>
      </c>
      <c r="C413" s="9" t="s">
        <v>29</v>
      </c>
    </row>
    <row r="414" ht="33.75" customHeight="1">
      <c r="A414" s="6" t="s">
        <v>866</v>
      </c>
      <c r="B414" s="6" t="str">
        <f>IFERROR(__xludf.DUMMYFUNCTION("GOOGLETRANSLATE(A414,""en"",""fi"")"),"Roskapussi-Pokémon")</f>
        <v>Roskapussi-Pokémon</v>
      </c>
      <c r="C414" s="9" t="s">
        <v>29</v>
      </c>
    </row>
    <row r="415" ht="33.75" customHeight="1">
      <c r="A415" s="6" t="s">
        <v>868</v>
      </c>
      <c r="B415" s="6" t="str">
        <f>IFERROR(__xludf.DUMMYFUNCTION("GOOGLETRANSLATE(A415,""en"",""fi"")"),"Roskakasa-Pokémon")</f>
        <v>Roskakasa-Pokémon</v>
      </c>
      <c r="C415" s="9" t="s">
        <v>29</v>
      </c>
    </row>
    <row r="416" ht="33.75" customHeight="1">
      <c r="A416" s="6" t="s">
        <v>869</v>
      </c>
      <c r="B416" s="6" t="str">
        <f>IFERROR(__xludf.DUMMYFUNCTION("GOOGLETRANSLATE(A416,""en"",""fi"")"),"Ovela Kettu-Pokémon")</f>
        <v>Ovela Kettu-Pokémon</v>
      </c>
      <c r="C416" s="9" t="s">
        <v>29</v>
      </c>
    </row>
    <row r="417" ht="33.75" customHeight="1">
      <c r="A417" s="6" t="s">
        <v>870</v>
      </c>
      <c r="B417" s="6" t="str">
        <f>IFERROR(__xludf.DUMMYFUNCTION("GOOGLETRANSLATE(A417,""en"",""fi"")"),"Illuusio-kettu-Pokémon")</f>
        <v>Illuusio-kettu-Pokémon</v>
      </c>
      <c r="C417" s="9" t="s">
        <v>29</v>
      </c>
    </row>
    <row r="418" ht="33.75" customHeight="1">
      <c r="A418" s="6" t="s">
        <v>872</v>
      </c>
      <c r="B418" s="6" t="str">
        <f>IFERROR(__xludf.DUMMYFUNCTION("GOOGLETRANSLATE(A418,""en"",""fi"")"),"Chinchilla-Pokémon")</f>
        <v>Chinchilla-Pokémon</v>
      </c>
      <c r="C418" s="9" t="s">
        <v>29</v>
      </c>
    </row>
    <row r="419" ht="33.75" customHeight="1">
      <c r="A419" s="6" t="s">
        <v>873</v>
      </c>
      <c r="B419" s="6" t="str">
        <f>IFERROR(__xludf.DUMMYFUNCTION("GOOGLETRANSLATE(A419,""en"",""fi"")"),"Huivi-Pokémon")</f>
        <v>Huivi-Pokémon</v>
      </c>
      <c r="C419" s="9" t="s">
        <v>29</v>
      </c>
    </row>
    <row r="420" ht="33.75" customHeight="1">
      <c r="A420" s="6" t="s">
        <v>875</v>
      </c>
      <c r="B420" s="6" t="str">
        <f>IFERROR(__xludf.DUMMYFUNCTION("GOOGLETRANSLATE(A420,""en"",""fi"")"),"Fiksaatio-Pokémon")</f>
        <v>Fiksaatio-Pokémon</v>
      </c>
      <c r="C420" s="9" t="s">
        <v>29</v>
      </c>
    </row>
    <row r="421" ht="33.75" customHeight="1">
      <c r="A421" s="6" t="s">
        <v>876</v>
      </c>
      <c r="B421" s="6" t="str">
        <f>IFERROR(__xludf.DUMMYFUNCTION("GOOGLETRANSLATE(A421,""en"",""fi"")"),"Astraalkeho-pokémon")</f>
        <v>Astraalkeho-pokémon</v>
      </c>
      <c r="C421" s="9" t="s">
        <v>29</v>
      </c>
    </row>
    <row r="422" ht="33.75" customHeight="1">
      <c r="A422" s="6" t="s">
        <v>877</v>
      </c>
      <c r="B422" s="6" t="str">
        <f>IFERROR(__xludf.DUMMYFUNCTION("GOOGLETRANSLATE(A422,""en"",""fi"")"),"Solu-Pokémon")</f>
        <v>Solu-Pokémon</v>
      </c>
      <c r="C422" s="9" t="s">
        <v>29</v>
      </c>
    </row>
    <row r="423" ht="33.75" customHeight="1">
      <c r="A423" s="6" t="s">
        <v>879</v>
      </c>
      <c r="B423" s="6" t="str">
        <f>IFERROR(__xludf.DUMMYFUNCTION("GOOGLETRANSLATE(A423,""en"",""fi"")"),"Mitoosi-Pokémon")</f>
        <v>Mitoosi-Pokémon</v>
      </c>
      <c r="C423" s="9" t="s">
        <v>29</v>
      </c>
    </row>
    <row r="424" ht="33.75" customHeight="1">
      <c r="A424" s="6" t="s">
        <v>881</v>
      </c>
      <c r="B424" s="6" t="str">
        <f>IFERROR(__xludf.DUMMYFUNCTION("GOOGLETRANSLATE(A424,""en"",""fi"")"),"Pokémonien lisääntyminen")</f>
        <v>Pokémonien lisääntyminen</v>
      </c>
      <c r="C424" s="9" t="s">
        <v>29</v>
      </c>
    </row>
    <row r="425" ht="33.75" customHeight="1">
      <c r="A425" s="6" t="s">
        <v>882</v>
      </c>
      <c r="B425" s="6" t="str">
        <f>IFERROR(__xludf.DUMMYFUNCTION("GOOGLETRANSLATE(A425,""en"",""fi"")"),"Valkoinen lintu-Pokémon")</f>
        <v>Valkoinen lintu-Pokémon</v>
      </c>
      <c r="C425" s="9" t="s">
        <v>29</v>
      </c>
    </row>
    <row r="426" ht="33.75" customHeight="1">
      <c r="A426" s="6" t="s">
        <v>884</v>
      </c>
      <c r="B426" s="6" t="str">
        <f>IFERROR(__xludf.DUMMYFUNCTION("GOOGLETRANSLATE(A426,""en"",""fi"")"),"Jäinen lumi-Pokémon")</f>
        <v>Jäinen lumi-Pokémon</v>
      </c>
      <c r="C426" s="9" t="s">
        <v>29</v>
      </c>
    </row>
    <row r="427" ht="33.75" customHeight="1">
      <c r="A427" s="6" t="s">
        <v>886</v>
      </c>
      <c r="B427" s="6" t="str">
        <f>IFERROR(__xludf.DUMMYFUNCTION("GOOGLETRANSLATE(A427,""en"",""fi"")"),"Lumimyrsky-Pokémon")</f>
        <v>Lumimyrsky-Pokémon</v>
      </c>
      <c r="C427" s="9" t="s">
        <v>29</v>
      </c>
    </row>
    <row r="428" ht="33.75" customHeight="1">
      <c r="A428" s="6" t="s">
        <v>888</v>
      </c>
      <c r="B428" s="6" t="str">
        <f>IFERROR(__xludf.DUMMYFUNCTION("GOOGLETRANSLATE(A428,""en"",""fi"")"),"Kauden Pokémon")</f>
        <v>Kauden Pokémon</v>
      </c>
      <c r="C428" s="9" t="s">
        <v>29</v>
      </c>
    </row>
    <row r="429" ht="33.75" customHeight="1">
      <c r="A429" s="6" t="s">
        <v>889</v>
      </c>
      <c r="B429" s="6" t="str">
        <f>IFERROR(__xludf.DUMMYFUNCTION("GOOGLETRANSLATE(A429,""en"",""fi"")"),"Taivasorava-Pokémon")</f>
        <v>Taivasorava-Pokémon</v>
      </c>
      <c r="C429" s="9" t="s">
        <v>29</v>
      </c>
    </row>
    <row r="430" ht="33.75" customHeight="1">
      <c r="A430" s="6" t="s">
        <v>890</v>
      </c>
      <c r="B430" s="6" t="str">
        <f>IFERROR(__xludf.DUMMYFUNCTION("GOOGLETRANSLATE(A430,""en"",""fi"")"),"Puristava Pokémon")</f>
        <v>Puristava Pokémon</v>
      </c>
      <c r="C430" s="9" t="s">
        <v>29</v>
      </c>
    </row>
    <row r="431" ht="33.75" customHeight="1">
      <c r="A431" s="6" t="s">
        <v>891</v>
      </c>
      <c r="B431" s="6" t="str">
        <f>IFERROR(__xludf.DUMMYFUNCTION("GOOGLETRANSLATE(A431,""en"",""fi"")"),"Ratsuväen Pokémon")</f>
        <v>Ratsuväen Pokémon</v>
      </c>
      <c r="C431" s="9" t="s">
        <v>29</v>
      </c>
    </row>
    <row r="432" ht="33.75" customHeight="1">
      <c r="A432" s="6" t="s">
        <v>893</v>
      </c>
      <c r="B432" s="6" t="str">
        <f>IFERROR(__xludf.DUMMYFUNCTION("GOOGLETRANSLATE(A432,""en"",""fi"")"),"Kelluva Pokémon")</f>
        <v>Kelluva Pokémon</v>
      </c>
      <c r="C432" s="9" t="s">
        <v>29</v>
      </c>
    </row>
    <row r="433" ht="33.75" customHeight="1">
      <c r="A433" s="6" t="s">
        <v>895</v>
      </c>
      <c r="B433" s="6" t="str">
        <f>IFERROR(__xludf.DUMMYFUNCTION("GOOGLETRANSLATE(A433,""en"",""fi"")"),"Välittävä Pokémon")</f>
        <v>Välittävä Pokémon</v>
      </c>
      <c r="C433" s="9" t="s">
        <v>29</v>
      </c>
    </row>
    <row r="434" ht="33.75" customHeight="1">
      <c r="A434" s="6" t="s">
        <v>897</v>
      </c>
      <c r="B434" s="6" t="str">
        <f>IFERROR(__xludf.DUMMYFUNCTION("GOOGLETRANSLATE(A434,""en"",""fi"")"),"Pokémonin kiinnittäminen")</f>
        <v>Pokémonin kiinnittäminen</v>
      </c>
      <c r="C434" s="9" t="s">
        <v>29</v>
      </c>
    </row>
    <row r="435" ht="33.75" customHeight="1">
      <c r="A435" s="6" t="s">
        <v>898</v>
      </c>
      <c r="B435" s="6" t="str">
        <f>IFERROR(__xludf.DUMMYFUNCTION("GOOGLETRANSLATE(A435,""en"",""fi"")"),"EleSpider-Pokémon")</f>
        <v>EleSpider-Pokémon</v>
      </c>
      <c r="C435" s="9" t="s">
        <v>29</v>
      </c>
    </row>
    <row r="436" ht="33.75" customHeight="1">
      <c r="A436" s="6" t="s">
        <v>900</v>
      </c>
      <c r="B436" s="6" t="str">
        <f>IFERROR(__xludf.DUMMYFUNCTION("GOOGLETRANSLATE(A436,""en"",""fi"")"),"Orjantappuransiemen-Pokémon")</f>
        <v>Orjantappuransiemen-Pokémon</v>
      </c>
      <c r="C436" s="9" t="s">
        <v>29</v>
      </c>
    </row>
    <row r="437" ht="33.75" customHeight="1">
      <c r="A437" s="6" t="s">
        <v>901</v>
      </c>
      <c r="B437" s="6" t="str">
        <f>IFERROR(__xludf.DUMMYFUNCTION("GOOGLETRANSLATE(A437,""en"",""fi"")"),"Piikkipod-Pokémon")</f>
        <v>Piikkipod-Pokémon</v>
      </c>
      <c r="C437" s="9" t="s">
        <v>29</v>
      </c>
    </row>
    <row r="438" ht="33.75" customHeight="1">
      <c r="A438" s="6" t="s">
        <v>903</v>
      </c>
      <c r="B438" s="6" t="str">
        <f>IFERROR(__xludf.DUMMYFUNCTION("GOOGLETRANSLATE(A438,""en"",""fi"")"),"Varuste-Pokémon")</f>
        <v>Varuste-Pokémon</v>
      </c>
      <c r="C438" s="9" t="s">
        <v>29</v>
      </c>
    </row>
    <row r="439" ht="33.75" customHeight="1">
      <c r="A439" s="6" t="s">
        <v>904</v>
      </c>
      <c r="B439" s="6" t="str">
        <f>IFERROR(__xludf.DUMMYFUNCTION("GOOGLETRANSLATE(A439,""en"",""fi"")"),"EleFish-Pokémon")</f>
        <v>EleFish-Pokémon</v>
      </c>
      <c r="C439" s="9" t="s">
        <v>29</v>
      </c>
    </row>
    <row r="440" ht="33.75" customHeight="1">
      <c r="A440" s="6" t="s">
        <v>906</v>
      </c>
      <c r="B440" s="6" t="str">
        <f>IFERROR(__xludf.DUMMYFUNCTION("GOOGLETRANSLATE(A440,""en"",""fi"")"),"Aivo-Pokémon")</f>
        <v>Aivo-Pokémon</v>
      </c>
      <c r="C440" s="9" t="s">
        <v>29</v>
      </c>
    </row>
    <row r="441" ht="33.75" customHeight="1">
      <c r="A441" s="6" t="s">
        <v>908</v>
      </c>
      <c r="B441" s="6" t="str">
        <f>IFERROR(__xludf.DUMMYFUNCTION("GOOGLETRANSLATE(A441,""en"",""fi"")"),"Kynttilä-Pokémon")</f>
        <v>Kynttilä-Pokémon</v>
      </c>
      <c r="C441" s="9" t="s">
        <v>29</v>
      </c>
    </row>
    <row r="442" ht="33.75" customHeight="1">
      <c r="A442" s="6" t="s">
        <v>909</v>
      </c>
      <c r="B442" s="6" t="str">
        <f>IFERROR(__xludf.DUMMYFUNCTION("GOOGLETRANSLATE(A442,""en"",""fi"")"),"Lamppu-Pokémon")</f>
        <v>Lamppu-Pokémon</v>
      </c>
      <c r="C442" s="9" t="s">
        <v>29</v>
      </c>
    </row>
    <row r="443" ht="33.75" customHeight="1">
      <c r="A443" s="6" t="s">
        <v>912</v>
      </c>
      <c r="B443" s="6" t="str">
        <f>IFERROR(__xludf.DUMMYFUNCTION("GOOGLETRANSLATE(A443,""en"",""fi"")"),"Pokémonien houkutteleminen")</f>
        <v>Pokémonien houkutteleminen</v>
      </c>
      <c r="C443" s="9" t="s">
        <v>29</v>
      </c>
    </row>
    <row r="444" ht="33.75" customHeight="1">
      <c r="A444" s="6" t="s">
        <v>914</v>
      </c>
      <c r="B444" s="6" t="str">
        <f>IFERROR(__xludf.DUMMYFUNCTION("GOOGLETRANSLATE(A444,""en"",""fi"")"),"Syöksyhamo-Pokémon")</f>
        <v>Syöksyhamo-Pokémon</v>
      </c>
      <c r="C444" s="9" t="s">
        <v>29</v>
      </c>
    </row>
    <row r="445" ht="33.75" customHeight="1">
      <c r="A445" s="6" t="s">
        <v>915</v>
      </c>
      <c r="B445" s="6" t="str">
        <f>IFERROR(__xludf.DUMMYFUNCTION("GOOGLETRANSLATE(A445,""en"",""fi"")"),"Kirvesleuka-Pokémon")</f>
        <v>Kirvesleuka-Pokémon</v>
      </c>
      <c r="C445" s="9" t="s">
        <v>29</v>
      </c>
    </row>
    <row r="446" ht="33.75" customHeight="1">
      <c r="A446" s="6" t="s">
        <v>917</v>
      </c>
      <c r="B446" s="6" t="str">
        <f>IFERROR(__xludf.DUMMYFUNCTION("GOOGLETRANSLATE(A446,""en"",""fi"")"),"Rentoudu Pokémonilla")</f>
        <v>Rentoudu Pokémonilla</v>
      </c>
      <c r="C446" s="9" t="s">
        <v>29</v>
      </c>
    </row>
    <row r="447" ht="33.75" customHeight="1">
      <c r="A447" s="6" t="s">
        <v>919</v>
      </c>
      <c r="B447" s="6" t="str">
        <f>IFERROR(__xludf.DUMMYFUNCTION("GOOGLETRANSLATE(A447,""en"",""fi"")"),"Jäätyvä Pokémon")</f>
        <v>Jäätyvä Pokémon</v>
      </c>
      <c r="C447" s="9" t="s">
        <v>29</v>
      </c>
    </row>
    <row r="448" ht="33.75" customHeight="1">
      <c r="A448" s="6" t="s">
        <v>921</v>
      </c>
      <c r="B448" s="6" t="str">
        <f>IFERROR(__xludf.DUMMYFUNCTION("GOOGLETRANSLATE(A448,""en"",""fi"")"),"Kiteytyvät Pokémonit")</f>
        <v>Kiteytyvät Pokémonit</v>
      </c>
      <c r="C448" s="9" t="s">
        <v>29</v>
      </c>
    </row>
    <row r="449" ht="33.75" customHeight="1">
      <c r="A449" s="6" t="s">
        <v>922</v>
      </c>
      <c r="B449" s="6" t="str">
        <f>IFERROR(__xludf.DUMMYFUNCTION("GOOGLETRANSLATE(A449,""en"",""fi"")"),"Etana-Pokémon")</f>
        <v>Etana-Pokémon</v>
      </c>
      <c r="C449" s="9" t="s">
        <v>29</v>
      </c>
    </row>
    <row r="450" ht="33.75" customHeight="1">
      <c r="A450" s="6" t="s">
        <v>924</v>
      </c>
      <c r="B450" s="6" t="str">
        <f>IFERROR(__xludf.DUMMYFUNCTION("GOOGLETRANSLATE(A450,""en"",""fi"")"),"Shell-lahja Pokémonille")</f>
        <v>Shell-lahja Pokémonille</v>
      </c>
      <c r="C450" s="9" t="s">
        <v>29</v>
      </c>
    </row>
    <row r="451" ht="33.75" customHeight="1">
      <c r="A451" s="6" t="s">
        <v>927</v>
      </c>
      <c r="B451" s="6" t="str">
        <f>IFERROR(__xludf.DUMMYFUNCTION("GOOGLETRANSLATE(A451,""en"",""fi"")"),"Ansa-Pokémon")</f>
        <v>Ansa-Pokémon</v>
      </c>
      <c r="C451" s="9" t="s">
        <v>29</v>
      </c>
    </row>
    <row r="452" ht="33.75" customHeight="1">
      <c r="A452" s="6" t="s">
        <v>929</v>
      </c>
      <c r="B452" s="6" t="str">
        <f>IFERROR(__xludf.DUMMYFUNCTION("GOOGLETRANSLATE(A452,""en"",""fi"")"),"Taistelulajien Pokémon")</f>
        <v>Taistelulajien Pokémon</v>
      </c>
      <c r="C452" s="9" t="s">
        <v>29</v>
      </c>
    </row>
    <row r="453" ht="33.75" customHeight="1">
      <c r="A453" s="6" t="s">
        <v>931</v>
      </c>
      <c r="B453" s="6" t="str">
        <f>IFERROR(__xludf.DUMMYFUNCTION("GOOGLETRANSLATE(A453,""en"",""fi"")"),"Automaatti-Pokémon")</f>
        <v>Automaatti-Pokémon</v>
      </c>
      <c r="C453" s="9" t="s">
        <v>29</v>
      </c>
    </row>
    <row r="454" ht="33.75" customHeight="1">
      <c r="A454" s="6" t="s">
        <v>933</v>
      </c>
      <c r="B454" s="6" t="str">
        <f>IFERROR(__xludf.DUMMYFUNCTION("GOOGLETRANSLATE(A454,""en"",""fi"")"),"Teräväteräinen Pokémon")</f>
        <v>Teräväteräinen Pokémon</v>
      </c>
      <c r="C454" s="9" t="s">
        <v>29</v>
      </c>
    </row>
    <row r="455" ht="33.75" customHeight="1">
      <c r="A455" s="6" t="s">
        <v>934</v>
      </c>
      <c r="B455" s="6" t="str">
        <f>IFERROR(__xludf.DUMMYFUNCTION("GOOGLETRANSLATE(A455,""en"",""fi"")"),"Miekkaterä-Pokémon")</f>
        <v>Miekkaterä-Pokémon</v>
      </c>
      <c r="C455" s="9" t="s">
        <v>29</v>
      </c>
    </row>
    <row r="456" ht="33.75" customHeight="1">
      <c r="A456" s="6" t="s">
        <v>935</v>
      </c>
      <c r="B456" s="6" t="str">
        <f>IFERROR(__xludf.DUMMYFUNCTION("GOOGLETRANSLATE(A456,""en"",""fi"")"),"Bash Buffalo -Pokémon")</f>
        <v>Bash Buffalo -Pokémon</v>
      </c>
      <c r="C456" s="9" t="s">
        <v>29</v>
      </c>
    </row>
    <row r="457" ht="33.75" customHeight="1">
      <c r="A457" s="6" t="s">
        <v>936</v>
      </c>
      <c r="B457" s="6" t="str">
        <f>IFERROR(__xludf.DUMMYFUNCTION("GOOGLETRANSLATE(A457,""en"",""fi"")"),"Kotkanpokémon")</f>
        <v>Kotkanpokémon</v>
      </c>
      <c r="C457" s="9" t="s">
        <v>29</v>
      </c>
    </row>
    <row r="458" ht="33.75" customHeight="1">
      <c r="A458" s="6" t="s">
        <v>937</v>
      </c>
      <c r="B458" s="6" t="str">
        <f>IFERROR(__xludf.DUMMYFUNCTION("GOOGLETRANSLATE(A458,""en"",""fi"")"),"Urhea Pokémon")</f>
        <v>Urhea Pokémon</v>
      </c>
      <c r="C458" s="9" t="s">
        <v>29</v>
      </c>
    </row>
    <row r="459" ht="33.75" customHeight="1">
      <c r="A459" s="6" t="s">
        <v>938</v>
      </c>
      <c r="B459" s="6" t="str">
        <f>IFERROR(__xludf.DUMMYFUNCTION("GOOGLETRANSLATE(A459,""en"",""fi"")"),"Vaippainen Pokémon")</f>
        <v>Vaippainen Pokémon</v>
      </c>
      <c r="C459" s="9" t="s">
        <v>29</v>
      </c>
    </row>
    <row r="460" ht="33.75" customHeight="1">
      <c r="A460" s="6" t="s">
        <v>940</v>
      </c>
      <c r="B460" s="6" t="str">
        <f>IFERROR(__xludf.DUMMYFUNCTION("GOOGLETRANSLATE(A460,""en"",""fi"")"),"Luukorppikotka-Pokémon")</f>
        <v>Luukorppikotka-Pokémon</v>
      </c>
      <c r="C460" s="9" t="s">
        <v>29</v>
      </c>
    </row>
    <row r="461" ht="33.75" customHeight="1">
      <c r="A461" s="6" t="s">
        <v>942</v>
      </c>
      <c r="B461" s="6" t="str">
        <f>IFERROR(__xludf.DUMMYFUNCTION("GOOGLETRANSLATE(A461,""en"",""fi"")"),"Muurahaiskarhu-Pokémon")</f>
        <v>Muurahaiskarhu-Pokémon</v>
      </c>
      <c r="C461" s="9" t="s">
        <v>29</v>
      </c>
    </row>
    <row r="462" ht="33.75" customHeight="1">
      <c r="A462" s="6" t="s">
        <v>943</v>
      </c>
      <c r="B462" s="6" t="str">
        <f>IFERROR(__xludf.DUMMYFUNCTION("GOOGLETRANSLATE(A462,""en"",""fi"")"),"Rautamuurahainen Pokémon")</f>
        <v>Rautamuurahainen Pokémon</v>
      </c>
      <c r="C462" s="9" t="s">
        <v>29</v>
      </c>
    </row>
    <row r="463" ht="33.75" customHeight="1">
      <c r="A463" s="6" t="s">
        <v>944</v>
      </c>
      <c r="B463" s="6" t="str">
        <f>IFERROR(__xludf.DUMMYFUNCTION("GOOGLETRANSLATE(A463,""en"",""fi"")"),"Vihainen Pokémon")</f>
        <v>Vihainen Pokémon</v>
      </c>
      <c r="C463" s="9" t="s">
        <v>29</v>
      </c>
    </row>
    <row r="464" ht="33.75" customHeight="1">
      <c r="A464" s="6" t="s">
        <v>946</v>
      </c>
      <c r="B464" s="6" t="str">
        <f>IFERROR(__xludf.DUMMYFUNCTION("GOOGLETRANSLATE(A464,""en"",""fi"")"),"Soihtu-Pokémon")</f>
        <v>Soihtu-Pokémon</v>
      </c>
      <c r="C464" s="9" t="s">
        <v>29</v>
      </c>
    </row>
    <row r="465" ht="33.75" customHeight="1">
      <c r="A465" s="6" t="s">
        <v>947</v>
      </c>
      <c r="B465" s="6" t="str">
        <f>IFERROR(__xludf.DUMMYFUNCTION("GOOGLETRANSLATE(A465,""en"",""fi"")"),"Rautainen tahto -pokémon")</f>
        <v>Rautainen tahto -pokémon</v>
      </c>
      <c r="C465" s="9" t="s">
        <v>29</v>
      </c>
    </row>
    <row r="466" ht="33.75" customHeight="1">
      <c r="A466" s="6" t="s">
        <v>949</v>
      </c>
      <c r="B466" s="6" t="str">
        <f>IFERROR(__xludf.DUMMYFUNCTION("GOOGLETRANSLATE(A466,""en"",""fi"")"),"Luola-Pokémon")</f>
        <v>Luola-Pokémon</v>
      </c>
      <c r="C466" s="9" t="s">
        <v>29</v>
      </c>
    </row>
    <row r="467" ht="33.75" customHeight="1">
      <c r="A467" s="6" t="s">
        <v>950</v>
      </c>
      <c r="B467" s="6" t="str">
        <f>IFERROR(__xludf.DUMMYFUNCTION("GOOGLETRANSLATE(A467,""en"",""fi"")"),"Ruohosmaan Pokémon")</f>
        <v>Ruohosmaan Pokémon</v>
      </c>
      <c r="C467" s="9" t="s">
        <v>29</v>
      </c>
    </row>
    <row r="468" ht="33.75" customHeight="1">
      <c r="A468" s="6" t="s">
        <v>951</v>
      </c>
      <c r="B468" s="6" t="str">
        <f>IFERROR(__xludf.DUMMYFUNCTION("GOOGLETRANSLATE(A468,""en"",""fi"")"),"Sykloni-Pokémon")</f>
        <v>Sykloni-Pokémon</v>
      </c>
      <c r="C468" s="9" t="s">
        <v>29</v>
      </c>
    </row>
    <row r="469" ht="33.75" customHeight="1">
      <c r="A469" s="6" t="s">
        <v>953</v>
      </c>
      <c r="B469" s="6" t="str">
        <f>IFERROR(__xludf.DUMMYFUNCTION("GOOGLETRANSLATE(A469,""en"",""fi"")"),"Bolt Strike -Pokémon")</f>
        <v>Bolt Strike -Pokémon</v>
      </c>
      <c r="C469" s="9" t="s">
        <v>29</v>
      </c>
    </row>
    <row r="470" ht="33.75" customHeight="1">
      <c r="A470" s="6" t="s">
        <v>956</v>
      </c>
      <c r="B470" s="6" t="str">
        <f>IFERROR(__xludf.DUMMYFUNCTION("GOOGLETRANSLATE(A470,""en"",""fi"")"),"Valtava valkoinen Pokémon")</f>
        <v>Valtava valkoinen Pokémon</v>
      </c>
      <c r="C470" s="9" t="s">
        <v>29</v>
      </c>
    </row>
    <row r="471" ht="33.75" customHeight="1">
      <c r="A471" s="6" t="s">
        <v>957</v>
      </c>
      <c r="B471" s="6" t="str">
        <f>IFERROR(__xludf.DUMMYFUNCTION("GOOGLETRANSLATE(A471,""en"",""fi"")"),"Syvän musta Pokémon")</f>
        <v>Syvän musta Pokémon</v>
      </c>
      <c r="C471" s="9" t="s">
        <v>29</v>
      </c>
    </row>
    <row r="472" ht="33.75" customHeight="1">
      <c r="A472" s="6" t="s">
        <v>959</v>
      </c>
      <c r="B472" s="6" t="str">
        <f>IFERROR(__xludf.DUMMYFUNCTION("GOOGLETRANSLATE(A472,""en"",""fi"")"),"Yltäkylläisyyden Pokémon")</f>
        <v>Yltäkylläisyyden Pokémon</v>
      </c>
      <c r="C472" s="9" t="s">
        <v>29</v>
      </c>
    </row>
    <row r="473" ht="33.75" customHeight="1">
      <c r="A473" s="6" t="s">
        <v>960</v>
      </c>
      <c r="B473" s="6" t="str">
        <f>IFERROR(__xludf.DUMMYFUNCTION("GOOGLETRANSLATE(A473,""en"",""fi"")"),"Raja-Pokémon")</f>
        <v>Raja-Pokémon</v>
      </c>
      <c r="C473" s="9" t="s">
        <v>29</v>
      </c>
    </row>
    <row r="474" ht="33.75" customHeight="1">
      <c r="A474" s="6" t="s">
        <v>961</v>
      </c>
      <c r="B474" s="6" t="str">
        <f>IFERROR(__xludf.DUMMYFUNCTION("GOOGLETRANSLATE(A474,""en"",""fi"")"),"Colt-Pokémon")</f>
        <v>Colt-Pokémon</v>
      </c>
      <c r="C474" s="9" t="s">
        <v>29</v>
      </c>
    </row>
    <row r="475" ht="33.75" customHeight="1">
      <c r="A475" s="6" t="s">
        <v>963</v>
      </c>
      <c r="B475" s="6" t="str">
        <f>IFERROR(__xludf.DUMMYFUNCTION("GOOGLETRANSLATE(A475,""en"",""fi"")"),"Melodia-Pokémon")</f>
        <v>Melodia-Pokémon</v>
      </c>
      <c r="C475" s="9" t="s">
        <v>29</v>
      </c>
    </row>
    <row r="476" ht="33.75" customHeight="1">
      <c r="A476" s="6" t="s">
        <v>965</v>
      </c>
      <c r="B476" s="6" t="str">
        <f>IFERROR(__xludf.DUMMYFUNCTION("GOOGLETRANSLATE(A476,""en"",""fi"")"),"Paleotsooinen Pokémon")</f>
        <v>Paleotsooinen Pokémon</v>
      </c>
      <c r="C476" s="9" t="s">
        <v>29</v>
      </c>
    </row>
    <row r="477" ht="33.75" customHeight="1">
      <c r="A477" s="6" t="s">
        <v>966</v>
      </c>
      <c r="B477" s="6" t="str">
        <f>IFERROR(__xludf.DUMMYFUNCTION("GOOGLETRANSLATE(A477,""en"",""fi"")"),"Piikkipähkinä-Pokémon")</f>
        <v>Piikkipähkinä-Pokémon</v>
      </c>
      <c r="C477" s="9" t="s">
        <v>29</v>
      </c>
    </row>
    <row r="478" ht="33.75" customHeight="1">
      <c r="A478" s="6" t="s">
        <v>968</v>
      </c>
      <c r="B478" s="6" t="str">
        <f>IFERROR(__xludf.DUMMYFUNCTION("GOOGLETRANSLATE(A478,""en"",""fi"")"),"Piikkihaarniska-Pokémon")</f>
        <v>Piikkihaarniska-Pokémon</v>
      </c>
      <c r="C478" s="9" t="s">
        <v>29</v>
      </c>
    </row>
    <row r="479" ht="33.75" customHeight="1">
      <c r="A479" s="6" t="s">
        <v>969</v>
      </c>
      <c r="B479" s="6" t="str">
        <f>IFERROR(__xludf.DUMMYFUNCTION("GOOGLETRANSLATE(A479,""en"",""fi"")"),"Kuplasammakko-Pokémon")</f>
        <v>Kuplasammakko-Pokémon</v>
      </c>
      <c r="C479" s="9" t="s">
        <v>29</v>
      </c>
    </row>
    <row r="480" ht="33.75" customHeight="1">
      <c r="A480" s="6" t="s">
        <v>971</v>
      </c>
      <c r="B480" s="6" t="str">
        <f>IFERROR(__xludf.DUMMYFUNCTION("GOOGLETRANSLATE(A480,""en"",""fi"")"),"Pokémonien kaivaminen")</f>
        <v>Pokémonien kaivaminen</v>
      </c>
      <c r="C480" s="9" t="s">
        <v>29</v>
      </c>
    </row>
    <row r="481" ht="33.75" customHeight="1">
      <c r="A481" s="6" t="s">
        <v>973</v>
      </c>
      <c r="B481" s="6" t="str">
        <f>IFERROR(__xludf.DUMMYFUNCTION("GOOGLETRANSLATE(A481,""en"",""fi"")"),"Pieni Robin-Pokémon")</f>
        <v>Pieni Robin-Pokémon</v>
      </c>
      <c r="C481" s="9" t="s">
        <v>29</v>
      </c>
    </row>
    <row r="482" ht="33.75" customHeight="1">
      <c r="A482" s="6" t="s">
        <v>974</v>
      </c>
      <c r="B482" s="6" t="str">
        <f>IFERROR(__xludf.DUMMYFUNCTION("GOOGLETRANSLATE(A482,""en"",""fi"")"),"Polttavan kuuma Pokémon")</f>
        <v>Polttavan kuuma Pokémon</v>
      </c>
      <c r="C482" s="9" t="s">
        <v>29</v>
      </c>
    </row>
    <row r="483" ht="33.75" customHeight="1">
      <c r="A483" s="6" t="s">
        <v>978</v>
      </c>
      <c r="B483" s="6" t="str">
        <f>IFERROR(__xludf.DUMMYFUNCTION("GOOGLETRANSLATE(A483,""en"",""fi"")"),"Hajanainen pöly-Pokémon")</f>
        <v>Hajanainen pöly-Pokémon</v>
      </c>
      <c r="C483" s="9" t="s">
        <v>29</v>
      </c>
    </row>
    <row r="484" ht="33.75" customHeight="1">
      <c r="A484" s="6" t="s">
        <v>979</v>
      </c>
      <c r="B484" s="6" t="str">
        <f>IFERROR(__xludf.DUMMYFUNCTION("GOOGLETRANSLATE(A484,""en"",""fi"")"),"Skaalaa Pokémonia")</f>
        <v>Skaalaa Pokémonia</v>
      </c>
      <c r="C484" s="9" t="s">
        <v>29</v>
      </c>
    </row>
    <row r="485" ht="33.75" customHeight="1">
      <c r="A485" s="6" t="s">
        <v>980</v>
      </c>
      <c r="B485" s="6" t="str">
        <f>IFERROR(__xludf.DUMMYFUNCTION("GOOGLETRANSLATE(A485,""en"",""fi"")"),"Leijonanpentu-Pokémon")</f>
        <v>Leijonanpentu-Pokémon</v>
      </c>
      <c r="C485" s="9" t="s">
        <v>29</v>
      </c>
    </row>
    <row r="486" ht="33.75" customHeight="1">
      <c r="A486" s="6" t="s">
        <v>982</v>
      </c>
      <c r="B486" s="6" t="str">
        <f>IFERROR(__xludf.DUMMYFUNCTION("GOOGLETRANSLATE(A486,""en"",""fi"")"),"Yksittäisen kukinnan Pokémon")</f>
        <v>Yksittäisen kukinnan Pokémon</v>
      </c>
      <c r="C486" s="9" t="s">
        <v>29</v>
      </c>
    </row>
    <row r="487" ht="33.75" customHeight="1">
      <c r="A487" s="6" t="s">
        <v>984</v>
      </c>
      <c r="B487" s="6" t="str">
        <f>IFERROR(__xludf.DUMMYFUNCTION("GOOGLETRANSLATE(A487,""en"",""fi"")"),"Puutarha-Pokémon")</f>
        <v>Puutarha-Pokémon</v>
      </c>
      <c r="C487" s="9" t="s">
        <v>29</v>
      </c>
    </row>
    <row r="488" ht="33.75" customHeight="1">
      <c r="A488" s="6" t="s">
        <v>986</v>
      </c>
      <c r="B488" s="6" t="str">
        <f>IFERROR(__xludf.DUMMYFUNCTION("GOOGLETRANSLATE(A488,""en"",""fi"")"),"Pokémon-vuori")</f>
        <v>Pokémon-vuori</v>
      </c>
      <c r="C488" s="9" t="s">
        <v>29</v>
      </c>
    </row>
    <row r="489" ht="33.75" customHeight="1">
      <c r="A489" s="6" t="s">
        <v>987</v>
      </c>
      <c r="B489" s="6" t="str">
        <f>IFERROR(__xludf.DUMMYFUNCTION("GOOGLETRANSLATE(A489,""en"",""fi"")"),"Pelottava Pokémon")</f>
        <v>Pelottava Pokémon</v>
      </c>
      <c r="C489" s="9" t="s">
        <v>29</v>
      </c>
    </row>
    <row r="490" ht="33.75" customHeight="1">
      <c r="A490" s="6" t="s">
        <v>989</v>
      </c>
      <c r="B490" s="6" t="str">
        <f>IFERROR(__xludf.DUMMYFUNCTION("GOOGLETRANSLATE(A490,""en"",""fi"")"),"Villakoira-Pokémon")</f>
        <v>Villakoira-Pokémon</v>
      </c>
      <c r="C490" s="9" t="s">
        <v>29</v>
      </c>
    </row>
    <row r="491" ht="33.75" customHeight="1">
      <c r="A491" s="6" t="s">
        <v>991</v>
      </c>
      <c r="B491" s="6" t="str">
        <f>IFERROR(__xludf.DUMMYFUNCTION("GOOGLETRANSLATE(A491,""en"",""fi"")"),"Pidättyvä Pokémon")</f>
        <v>Pidättyvä Pokémon</v>
      </c>
      <c r="C491" s="9" t="s">
        <v>29</v>
      </c>
    </row>
    <row r="492" ht="33.75" customHeight="1">
      <c r="A492" s="6" t="s">
        <v>992</v>
      </c>
      <c r="B492" s="6" t="str">
        <f>IFERROR(__xludf.DUMMYFUNCTION("GOOGLETRANSLATE(A492,""en"",""fi"")"),"Rajoitus-Pokémon")</f>
        <v>Rajoitus-Pokémon</v>
      </c>
      <c r="C492" s="9" t="s">
        <v>29</v>
      </c>
    </row>
    <row r="493" ht="33.75" customHeight="1">
      <c r="A493" s="6" t="s">
        <v>994</v>
      </c>
      <c r="B493" s="6" t="str">
        <f>IFERROR(__xludf.DUMMYFUNCTION("GOOGLETRANSLATE(A493,""en"",""fi"")"),"Miekka-Pokémon")</f>
        <v>Miekka-Pokémon</v>
      </c>
      <c r="C493" s="9" t="s">
        <v>29</v>
      </c>
    </row>
    <row r="494" ht="33.75" customHeight="1">
      <c r="A494" s="6" t="s">
        <v>996</v>
      </c>
      <c r="B494" s="6" t="str">
        <f>IFERROR(__xludf.DUMMYFUNCTION("GOOGLETRANSLATE(A494,""en"",""fi"")"),"Kuninkaallinen miekka-Pokémon")</f>
        <v>Kuninkaallinen miekka-Pokémon</v>
      </c>
      <c r="C494" s="9" t="s">
        <v>29</v>
      </c>
    </row>
    <row r="495" ht="33.75" customHeight="1">
      <c r="A495" s="6" t="s">
        <v>998</v>
      </c>
      <c r="B495" s="6" t="str">
        <f>IFERROR(__xludf.DUMMYFUNCTION("GOOGLETRANSLATE(A495,""en"",""fi"")"),"Hajuvesi-Pokémon")</f>
        <v>Hajuvesi-Pokémon</v>
      </c>
      <c r="C495" s="9" t="s">
        <v>29</v>
      </c>
    </row>
    <row r="496" ht="33.75" customHeight="1">
      <c r="A496" s="6" t="s">
        <v>1000</v>
      </c>
      <c r="B496" s="6" t="str">
        <f>IFERROR(__xludf.DUMMYFUNCTION("GOOGLETRANSLATE(A496,""en"",""fi"")"),"Tuoksu-Pokémon")</f>
        <v>Tuoksu-Pokémon</v>
      </c>
      <c r="C496" s="9" t="s">
        <v>29</v>
      </c>
    </row>
    <row r="497" ht="33.75" customHeight="1">
      <c r="A497" s="6" t="s">
        <v>1001</v>
      </c>
      <c r="B497" s="6" t="str">
        <f>IFERROR(__xludf.DUMMYFUNCTION("GOOGLETRANSLATE(A497,""en"",""fi"")"),"Hattara-Pokémon")</f>
        <v>Hattara-Pokémon</v>
      </c>
      <c r="C497" s="9" t="s">
        <v>29</v>
      </c>
    </row>
    <row r="498" ht="33.75" customHeight="1">
      <c r="A498" s="6" t="s">
        <v>1003</v>
      </c>
      <c r="B498" s="6" t="str">
        <f>IFERROR(__xludf.DUMMYFUNCTION("GOOGLETRANSLATE(A498,""en"",""fi"")"),"Marengki-Pokémon")</f>
        <v>Marengki-Pokémon</v>
      </c>
      <c r="C498" s="9" t="s">
        <v>29</v>
      </c>
    </row>
    <row r="499" ht="33.75" customHeight="1">
      <c r="A499" s="6" t="s">
        <v>1004</v>
      </c>
      <c r="B499" s="6" t="str">
        <f>IFERROR(__xludf.DUMMYFUNCTION("GOOGLETRANSLATE(A499,""en"",""fi"")"),"Pyörivä Pokémon")</f>
        <v>Pyörivä Pokémon</v>
      </c>
      <c r="C499" s="9" t="s">
        <v>29</v>
      </c>
    </row>
    <row r="500" ht="33.75" customHeight="1">
      <c r="A500" s="6" t="s">
        <v>1005</v>
      </c>
      <c r="B500" s="6" t="str">
        <f>IFERROR(__xludf.DUMMYFUNCTION("GOOGLETRANSLATE(A500,""en"",""fi"")"),"Pokémonin kaatuminen")</f>
        <v>Pokémonin kaatuminen</v>
      </c>
      <c r="C500" s="9" t="s">
        <v>29</v>
      </c>
    </row>
    <row r="501" ht="33.75" customHeight="1">
      <c r="A501" s="6" t="s">
        <v>1006</v>
      </c>
      <c r="B501" s="6" t="str">
        <f>IFERROR(__xludf.DUMMYFUNCTION("GOOGLETRANSLATE(A501,""en"",""fi"")"),"Kaksikätinen Pokémon")</f>
        <v>Kaksikätinen Pokémon</v>
      </c>
      <c r="C501" s="9" t="s">
        <v>29</v>
      </c>
    </row>
    <row r="502" ht="33.75" customHeight="1">
      <c r="A502" s="6" t="s">
        <v>1007</v>
      </c>
      <c r="B502" s="6" t="str">
        <f>IFERROR(__xludf.DUMMYFUNCTION("GOOGLETRANSLATE(A502,""en"",""fi"")"),"Kollektiivinen Pokémon")</f>
        <v>Kollektiivinen Pokémon</v>
      </c>
      <c r="C502" s="9" t="s">
        <v>29</v>
      </c>
    </row>
    <row r="503" ht="33.75" customHeight="1">
      <c r="A503" s="6" t="s">
        <v>1008</v>
      </c>
      <c r="B503" s="6" t="str">
        <f>IFERROR(__xludf.DUMMYFUNCTION("GOOGLETRANSLATE(A503,""en"",""fi"")"),"Valekelp-Pokémon")</f>
        <v>Valekelp-Pokémon</v>
      </c>
      <c r="C503" s="9" t="s">
        <v>29</v>
      </c>
    </row>
    <row r="504" ht="33.75" customHeight="1">
      <c r="A504" s="6" t="s">
        <v>1009</v>
      </c>
      <c r="B504" s="6" t="str">
        <f>IFERROR(__xludf.DUMMYFUNCTION("GOOGLETRANSLATE(A504,""en"",""fi"")"),"Vesipyssy-Pokémon")</f>
        <v>Vesipyssy-Pokémon</v>
      </c>
      <c r="C504" s="9" t="s">
        <v>29</v>
      </c>
    </row>
    <row r="505" ht="33.75" customHeight="1">
      <c r="A505" s="6" t="s">
        <v>1012</v>
      </c>
      <c r="B505" s="6" t="str">
        <f>IFERROR(__xludf.DUMMYFUNCTION("GOOGLETRANSLATE(A505,""en"",""fi"")"),"Haupitsi-Pokémon")</f>
        <v>Haupitsi-Pokémon</v>
      </c>
      <c r="C505" s="9" t="s">
        <v>29</v>
      </c>
    </row>
    <row r="506" ht="33.75" customHeight="1">
      <c r="A506" s="6" t="s">
        <v>1013</v>
      </c>
      <c r="B506" s="6" t="str">
        <f>IFERROR(__xludf.DUMMYFUNCTION("GOOGLETRANSLATE(A506,""en"",""fi"")"),"Generaattori-Pokémon")</f>
        <v>Generaattori-Pokémon</v>
      </c>
      <c r="C506" s="9" t="s">
        <v>29</v>
      </c>
    </row>
    <row r="507" ht="33.75" customHeight="1">
      <c r="A507" s="6" t="s">
        <v>1014</v>
      </c>
      <c r="B507" s="6" t="str">
        <f>IFERROR(__xludf.DUMMYFUNCTION("GOOGLETRANSLATE(A507,""en"",""fi"")"),"Kuninkaallinen perillinen Pokémon")</f>
        <v>Kuninkaallinen perillinen Pokémon</v>
      </c>
      <c r="C507" s="9" t="s">
        <v>29</v>
      </c>
    </row>
    <row r="508" ht="33.75" customHeight="1">
      <c r="A508" s="6" t="s">
        <v>1016</v>
      </c>
      <c r="B508" s="6" t="str">
        <f>IFERROR(__xludf.DUMMYFUNCTION("GOOGLETRANSLATE(A508,""en"",""fi"")"),"Despootti-Pokémon")</f>
        <v>Despootti-Pokémon</v>
      </c>
      <c r="C508" s="9" t="s">
        <v>29</v>
      </c>
    </row>
    <row r="509" ht="33.75" customHeight="1">
      <c r="A509" s="6" t="s">
        <v>1018</v>
      </c>
      <c r="B509" s="6" t="str">
        <f>IFERROR(__xludf.DUMMYFUNCTION("GOOGLETRANSLATE(A509,""en"",""fi"")"),"Tundra-Pokémon")</f>
        <v>Tundra-Pokémon</v>
      </c>
      <c r="C509" s="9" t="s">
        <v>29</v>
      </c>
    </row>
    <row r="510" ht="33.75" customHeight="1">
      <c r="A510" s="6" t="s">
        <v>1019</v>
      </c>
      <c r="B510" s="6" t="str">
        <f>IFERROR(__xludf.DUMMYFUNCTION("GOOGLETRANSLATE(A510,""en"",""fi"")"),"Lomittuvia Pokémoneja")</f>
        <v>Lomittuvia Pokémoneja</v>
      </c>
      <c r="C510" s="9" t="s">
        <v>29</v>
      </c>
    </row>
    <row r="511" ht="33.75" customHeight="1">
      <c r="A511" s="6" t="s">
        <v>1021</v>
      </c>
      <c r="B511" s="6" t="str">
        <f>IFERROR(__xludf.DUMMYFUNCTION("GOOGLETRANSLATE(A511,""en"",""fi"")"),"Paini-Pokémon")</f>
        <v>Paini-Pokémon</v>
      </c>
      <c r="C511" s="9" t="s">
        <v>29</v>
      </c>
    </row>
    <row r="512" ht="33.75" customHeight="1">
      <c r="A512" s="6" t="s">
        <v>1024</v>
      </c>
      <c r="B512" s="6" t="str">
        <f>IFERROR(__xludf.DUMMYFUNCTION("GOOGLETRANSLATE(A512,""en"",""fi"")"),"Antenni-Pokémon")</f>
        <v>Antenni-Pokémon</v>
      </c>
      <c r="C512" s="9" t="s">
        <v>29</v>
      </c>
    </row>
    <row r="513" ht="33.75" customHeight="1">
      <c r="A513" s="6" t="s">
        <v>1026</v>
      </c>
      <c r="B513" s="6" t="str">
        <f>IFERROR(__xludf.DUMMYFUNCTION("GOOGLETRANSLATE(A513,""en"",""fi"")"),"Jalokivi-Pokémon")</f>
        <v>Jalokivi-Pokémon</v>
      </c>
      <c r="C513" s="9" t="s">
        <v>29</v>
      </c>
    </row>
    <row r="514" ht="33.75" customHeight="1">
      <c r="A514" s="6" t="s">
        <v>1028</v>
      </c>
      <c r="B514" s="6" t="str">
        <f>IFERROR(__xludf.DUMMYFUNCTION("GOOGLETRANSLATE(A514,""en"",""fi"")"),"Pehmeäkudos-Pokémon")</f>
        <v>Pehmeäkudos-Pokémon</v>
      </c>
      <c r="C514" s="9" t="s">
        <v>29</v>
      </c>
    </row>
    <row r="515" ht="33.75" customHeight="1">
      <c r="A515" s="6" t="s">
        <v>1030</v>
      </c>
      <c r="B515" s="6" t="str">
        <f>IFERROR(__xludf.DUMMYFUNCTION("GOOGLETRANSLATE(A515,""en"",""fi"")"),"Avaimenperä-Pokémon")</f>
        <v>Avaimenperä-Pokémon</v>
      </c>
      <c r="C515" s="9" t="s">
        <v>29</v>
      </c>
    </row>
    <row r="516" ht="33.75" customHeight="1">
      <c r="A516" s="6" t="s">
        <v>1032</v>
      </c>
      <c r="B516" s="6" t="str">
        <f>IFERROR(__xludf.DUMMYFUNCTION("GOOGLETRANSLATE(A516,""en"",""fi"")"),"Tynkö-Pokémon")</f>
        <v>Tynkö-Pokémon</v>
      </c>
      <c r="C516" s="9" t="s">
        <v>29</v>
      </c>
    </row>
    <row r="517" ht="33.75" customHeight="1">
      <c r="A517" s="6" t="s">
        <v>1033</v>
      </c>
      <c r="B517" s="6" t="str">
        <f>IFERROR(__xludf.DUMMYFUNCTION("GOOGLETRANSLATE(A517,""en"",""fi"")"),"Vanhin puu -pokémon")</f>
        <v>Vanhin puu -pokémon</v>
      </c>
      <c r="C517" s="9" t="s">
        <v>29</v>
      </c>
    </row>
    <row r="518" ht="33.75" customHeight="1">
      <c r="A518" s="6" t="s">
        <v>1035</v>
      </c>
      <c r="B518" s="6" t="str">
        <f>IFERROR(__xludf.DUMMYFUNCTION("GOOGLETRANSLATE(A518,""en"",""fi"")"),"Kurpitsa-Pokémon")</f>
        <v>Kurpitsa-Pokémon</v>
      </c>
      <c r="C518" s="9" t="s">
        <v>29</v>
      </c>
    </row>
    <row r="519" ht="33.75" customHeight="1">
      <c r="A519" s="6" t="s">
        <v>1036</v>
      </c>
      <c r="B519" s="6" t="str">
        <f>IFERROR(__xludf.DUMMYFUNCTION("GOOGLETRANSLATE(A519,""en"",""fi"")"),"Jääpala-Pokémon")</f>
        <v>Jääpala-Pokémon</v>
      </c>
      <c r="C519" s="9" t="s">
        <v>29</v>
      </c>
    </row>
    <row r="520" ht="33.75" customHeight="1">
      <c r="A520" s="6" t="s">
        <v>1037</v>
      </c>
      <c r="B520" s="6" t="str">
        <f>IFERROR(__xludf.DUMMYFUNCTION("GOOGLETRANSLATE(A520,""en"",""fi"")"),"Ääniaalto-Pokémon")</f>
        <v>Ääniaalto-Pokémon</v>
      </c>
      <c r="C520" s="9" t="s">
        <v>29</v>
      </c>
    </row>
    <row r="521" ht="33.75" customHeight="1">
      <c r="A521" s="6" t="s">
        <v>1039</v>
      </c>
      <c r="B521" s="6" t="str">
        <f>IFERROR(__xludf.DUMMYFUNCTION("GOOGLETRANSLATE(A521,""en"",""fi"")"),"Elämä-Pokémon")</f>
        <v>Elämä-Pokémon</v>
      </c>
      <c r="C521" s="9" t="s">
        <v>29</v>
      </c>
    </row>
    <row r="522" ht="33.75" customHeight="1">
      <c r="A522" s="6" t="s">
        <v>1042</v>
      </c>
      <c r="B522" s="6" t="str">
        <f>IFERROR(__xludf.DUMMYFUNCTION("GOOGLETRANSLATE(A522,""en"",""fi"")"),"Tuho-Pokémon")</f>
        <v>Tuho-Pokémon</v>
      </c>
      <c r="C522" s="9" t="s">
        <v>29</v>
      </c>
    </row>
    <row r="523" ht="33.75" customHeight="1">
      <c r="A523" s="6" t="s">
        <v>1044</v>
      </c>
      <c r="B523" s="6" t="str">
        <f>IFERROR(__xludf.DUMMYFUNCTION("GOOGLETRANSLATE(A523,""en"",""fi"")"),"Tilaa Pokémoneja")</f>
        <v>Tilaa Pokémoneja</v>
      </c>
      <c r="C523" s="9" t="s">
        <v>29</v>
      </c>
    </row>
    <row r="524" ht="33.75" customHeight="1">
      <c r="A524" s="6" t="s">
        <v>1045</v>
      </c>
      <c r="B524" s="6" t="str">
        <f>IFERROR(__xludf.DUMMYFUNCTION("GOOGLETRANSLATE(A524,""en"",""fi"")"),"Ilkikurinen Pokémon")</f>
        <v>Ilkikurinen Pokémon</v>
      </c>
      <c r="C524" s="9" t="s">
        <v>29</v>
      </c>
    </row>
    <row r="525" ht="33.75" customHeight="1">
      <c r="A525" s="6" t="s">
        <v>1046</v>
      </c>
      <c r="B525" s="6" t="str">
        <f>IFERROR(__xludf.DUMMYFUNCTION("GOOGLETRANSLATE(A525,""en"",""fi"")"),"Steam-Pokémon")</f>
        <v>Steam-Pokémon</v>
      </c>
      <c r="C525" s="9" t="s">
        <v>29</v>
      </c>
    </row>
    <row r="526" ht="33.75" customHeight="1">
      <c r="A526" s="6" t="s">
        <v>1047</v>
      </c>
      <c r="B526" s="6" t="str">
        <f>IFERROR(__xludf.DUMMYFUNCTION("GOOGLETRANSLATE(A526,""en"",""fi"")"),"Ruohosilmä-Pokémon")</f>
        <v>Ruohosilmä-Pokémon</v>
      </c>
      <c r="C526" s="9" t="s">
        <v>29</v>
      </c>
    </row>
    <row r="527" ht="33.75" customHeight="1">
      <c r="A527" s="6" t="s">
        <v>1048</v>
      </c>
      <c r="B527" s="6" t="str">
        <f>IFERROR(__xludf.DUMMYFUNCTION("GOOGLETRANSLATE(A527,""en"",""fi"")"),"Teräsulka-Pokémon")</f>
        <v>Teräsulka-Pokémon</v>
      </c>
      <c r="C527" s="9" t="s">
        <v>29</v>
      </c>
    </row>
    <row r="528" ht="33.75" customHeight="1">
      <c r="A528" s="6" t="s">
        <v>1049</v>
      </c>
      <c r="B528" s="6" t="str">
        <f>IFERROR(__xludf.DUMMYFUNCTION("GOOGLETRANSLATE(A528,""en"",""fi"")"),"Nuoli-sulka-Pokémon")</f>
        <v>Nuoli-sulka-Pokémon</v>
      </c>
      <c r="C528" s="9" t="s">
        <v>29</v>
      </c>
    </row>
    <row r="529" ht="33.75" customHeight="1">
      <c r="A529" s="6" t="s">
        <v>1051</v>
      </c>
      <c r="B529" s="6" t="str">
        <f>IFERROR(__xludf.DUMMYFUNCTION("GOOGLETRANSLATE(A529,""en"",""fi"")"),"Tulikissa-Pokémon")</f>
        <v>Tulikissa-Pokémon</v>
      </c>
      <c r="C529" s="9" t="s">
        <v>29</v>
      </c>
    </row>
    <row r="530" ht="33.75" customHeight="1">
      <c r="A530" s="6" t="s">
        <v>1052</v>
      </c>
      <c r="B530" s="6" t="str">
        <f>IFERROR(__xludf.DUMMYFUNCTION("GOOGLETRANSLATE(A530,""en"",""fi"")"),"Kantapää-Pokémon")</f>
        <v>Kantapää-Pokémon</v>
      </c>
      <c r="C530" s="9" t="s">
        <v>29</v>
      </c>
    </row>
    <row r="531" ht="33.75" customHeight="1">
      <c r="A531" s="6" t="s">
        <v>1053</v>
      </c>
      <c r="B531" s="6" t="str">
        <f>IFERROR(__xludf.DUMMYFUNCTION("GOOGLETRANSLATE(A531,""en"",""fi"")"),"Poptähti-Pokémon")</f>
        <v>Poptähti-Pokémon</v>
      </c>
      <c r="C531" s="9" t="s">
        <v>29</v>
      </c>
    </row>
    <row r="532" ht="33.75" customHeight="1">
      <c r="A532" s="6" t="s">
        <v>1055</v>
      </c>
      <c r="B532" s="6" t="str">
        <f>IFERROR(__xludf.DUMMYFUNCTION("GOOGLETRANSLATE(A532,""en"",""fi"")"),"Solisti-Pokémon")</f>
        <v>Solisti-Pokémon</v>
      </c>
      <c r="C532" s="9" t="s">
        <v>29</v>
      </c>
    </row>
    <row r="533" ht="33.75" customHeight="1">
      <c r="A533" s="6" t="s">
        <v>1057</v>
      </c>
      <c r="B533" s="6" t="str">
        <f>IFERROR(__xludf.DUMMYFUNCTION("GOOGLETRANSLATE(A533,""en"",""fi"")"),"Tikka-Pokémon")</f>
        <v>Tikka-Pokémon</v>
      </c>
      <c r="C533" s="9" t="s">
        <v>29</v>
      </c>
    </row>
    <row r="534" ht="33.75" customHeight="1">
      <c r="A534" s="6" t="s">
        <v>1058</v>
      </c>
      <c r="B534" s="6" t="str">
        <f>IFERROR(__xludf.DUMMYFUNCTION("GOOGLETRANSLATE(A534,""en"",""fi"")"),"Bugle-nokka-Pokémon")</f>
        <v>Bugle-nokka-Pokémon</v>
      </c>
      <c r="C534" s="9" t="s">
        <v>29</v>
      </c>
    </row>
    <row r="535" ht="33.75" customHeight="1">
      <c r="A535" s="6" t="s">
        <v>1060</v>
      </c>
      <c r="B535" s="6" t="str">
        <f>IFERROR(__xludf.DUMMYFUNCTION("GOOGLETRANSLATE(A535,""en"",""fi"")"),"Tykki-Pokémon")</f>
        <v>Tykki-Pokémon</v>
      </c>
      <c r="C535" s="9" t="s">
        <v>29</v>
      </c>
    </row>
    <row r="536" ht="33.75" customHeight="1">
      <c r="A536" s="6" t="s">
        <v>1061</v>
      </c>
      <c r="B536" s="6" t="str">
        <f>IFERROR(__xludf.DUMMYFUNCTION("GOOGLETRANSLATE(A536,""en"",""fi"")"),"Loitteroiva Pokémon")</f>
        <v>Loitteroiva Pokémon</v>
      </c>
      <c r="C536" s="9" t="s">
        <v>29</v>
      </c>
    </row>
    <row r="537" ht="33.75" customHeight="1">
      <c r="A537" s="6" t="s">
        <v>1063</v>
      </c>
      <c r="B537" s="6" t="str">
        <f>IFERROR(__xludf.DUMMYFUNCTION("GOOGLETRANSLATE(A537,""en"",""fi"")"),"Vaarana-Pokémon")</f>
        <v>Vaarana-Pokémon</v>
      </c>
      <c r="C537" s="9" t="s">
        <v>29</v>
      </c>
    </row>
    <row r="538" ht="33.75" customHeight="1">
      <c r="A538" s="6" t="s">
        <v>1064</v>
      </c>
      <c r="B538" s="6" t="str">
        <f>IFERROR(__xludf.DUMMYFUNCTION("GOOGLETRANSLATE(A538,""en"",""fi"")"),"Toukka-Pokémon")</f>
        <v>Toukka-Pokémon</v>
      </c>
      <c r="C538" s="9" t="s">
        <v>29</v>
      </c>
    </row>
    <row r="539" ht="33.75" customHeight="1">
      <c r="A539" s="6" t="s">
        <v>1066</v>
      </c>
      <c r="B539" s="6" t="str">
        <f>IFERROR(__xludf.DUMMYFUNCTION("GOOGLETRANSLATE(A539,""en"",""fi"")"),"Akku-Pokémon")</f>
        <v>Akku-Pokémon</v>
      </c>
      <c r="C539" s="9" t="s">
        <v>29</v>
      </c>
    </row>
    <row r="540" ht="33.75" customHeight="1">
      <c r="A540" s="6" t="s">
        <v>1067</v>
      </c>
      <c r="B540" s="6" t="str">
        <f>IFERROR(__xludf.DUMMYFUNCTION("GOOGLETRANSLATE(A540,""en"",""fi"")"),"Nyrkkeily-Pokémon")</f>
        <v>Nyrkkeily-Pokémon</v>
      </c>
      <c r="C540" s="9" t="s">
        <v>29</v>
      </c>
    </row>
    <row r="541" ht="33.75" customHeight="1">
      <c r="A541" s="6" t="s">
        <v>1068</v>
      </c>
      <c r="B541" s="6" t="str">
        <f>IFERROR(__xludf.DUMMYFUNCTION("GOOGLETRANSLATE(A541,""en"",""fi"")"),"Villarapu-Pokémon")</f>
        <v>Villarapu-Pokémon</v>
      </c>
      <c r="C541" s="9" t="s">
        <v>29</v>
      </c>
    </row>
    <row r="542" ht="33.75" customHeight="1">
      <c r="A542" s="6" t="s">
        <v>1069</v>
      </c>
      <c r="B542" s="6" t="str">
        <f>IFERROR(__xludf.DUMMYFUNCTION("GOOGLETRANSLATE(A542,""en"",""fi"")"),"Tanssiva Pokémon")</f>
        <v>Tanssiva Pokémon</v>
      </c>
      <c r="C542" s="9" t="s">
        <v>29</v>
      </c>
    </row>
    <row r="543" ht="33.75" customHeight="1">
      <c r="A543" s="6" t="s">
        <v>1071</v>
      </c>
      <c r="B543" s="6" t="str">
        <f>IFERROR(__xludf.DUMMYFUNCTION("GOOGLETRANSLATE(A543,""en"",""fi"")"),"Mehiläiskärpäsen Pokémon")</f>
        <v>Mehiläiskärpäsen Pokémon</v>
      </c>
      <c r="C543" s="9" t="s">
        <v>29</v>
      </c>
    </row>
    <row r="544" ht="33.75" customHeight="1">
      <c r="A544" s="6" t="s">
        <v>1072</v>
      </c>
      <c r="B544" s="6" t="str">
        <f>IFERROR(__xludf.DUMMYFUNCTION("GOOGLETRANSLATE(A544,""en"",""fi"")"),"Susi-Pokémon")</f>
        <v>Susi-Pokémon</v>
      </c>
      <c r="C544" s="9" t="s">
        <v>29</v>
      </c>
    </row>
    <row r="545" ht="33.75" customHeight="1">
      <c r="A545" s="6" t="s">
        <v>1074</v>
      </c>
      <c r="B545" s="6" t="str">
        <f>IFERROR(__xludf.DUMMYFUNCTION("GOOGLETRANSLATE(A545,""en"",""fi"")"),"Pieni paistettu Pokémon")</f>
        <v>Pieni paistettu Pokémon</v>
      </c>
      <c r="C545" s="9" t="s">
        <v>29</v>
      </c>
    </row>
    <row r="546" ht="33.75" customHeight="1">
      <c r="A546" s="6" t="s">
        <v>1076</v>
      </c>
      <c r="B546" s="6" t="str">
        <f>IFERROR(__xludf.DUMMYFUNCTION("GOOGLETRANSLATE(A546,""en"",""fi"")"),"Brutaali Tähti-Pokémon")</f>
        <v>Brutaali Tähti-Pokémon</v>
      </c>
      <c r="C546" s="9" t="s">
        <v>29</v>
      </c>
    </row>
    <row r="547" ht="33.75" customHeight="1">
      <c r="A547" s="6" t="s">
        <v>1077</v>
      </c>
      <c r="B547" s="6" t="str">
        <f>IFERROR(__xludf.DUMMYFUNCTION("GOOGLETRANSLATE(A547,""en"",""fi"")"),"Aasi-Pokémon")</f>
        <v>Aasi-Pokémon</v>
      </c>
      <c r="C547" s="9" t="s">
        <v>29</v>
      </c>
    </row>
    <row r="548" ht="33.75" customHeight="1">
      <c r="A548" s="6" t="s">
        <v>1080</v>
      </c>
      <c r="B548" s="6" t="str">
        <f>IFERROR(__xludf.DUMMYFUNCTION("GOOGLETRANSLATE(A548,""en"",""fi"")"),"Vetohevos-Pokémon")</f>
        <v>Vetohevos-Pokémon</v>
      </c>
      <c r="C548" s="9" t="s">
        <v>29</v>
      </c>
    </row>
    <row r="549" ht="33.75" customHeight="1">
      <c r="A549" s="6" t="s">
        <v>1081</v>
      </c>
      <c r="B549" s="6" t="str">
        <f>IFERROR(__xludf.DUMMYFUNCTION("GOOGLETRANSLATE(A549,""en"",""fi"")"),"Vesikupla-Pokémon")</f>
        <v>Vesikupla-Pokémon</v>
      </c>
      <c r="C549" s="9" t="s">
        <v>29</v>
      </c>
    </row>
    <row r="550" ht="33.75" customHeight="1">
      <c r="A550" s="6" t="s">
        <v>1082</v>
      </c>
      <c r="B550" s="6" t="str">
        <f>IFERROR(__xludf.DUMMYFUNCTION("GOOGLETRANSLATE(A550,""en"",""fi"")"),"Sirppiheinä-Pokémon")</f>
        <v>Sirppiheinä-Pokémon</v>
      </c>
      <c r="C550" s="9" t="s">
        <v>29</v>
      </c>
    </row>
    <row r="551" ht="33.75" customHeight="1">
      <c r="A551" s="6" t="s">
        <v>1083</v>
      </c>
      <c r="B551" s="6" t="str">
        <f>IFERROR(__xludf.DUMMYFUNCTION("GOOGLETRANSLATE(A551,""en"",""fi"")"),"Bloom Sirppi-Pokémon")</f>
        <v>Bloom Sirppi-Pokémon</v>
      </c>
      <c r="C551" s="9" t="s">
        <v>29</v>
      </c>
    </row>
    <row r="552" ht="33.75" customHeight="1">
      <c r="A552" s="6" t="s">
        <v>1084</v>
      </c>
      <c r="B552" s="6" t="str">
        <f>IFERROR(__xludf.DUMMYFUNCTION("GOOGLETRANSLATE(A552,""en"",""fi"")"),"Valaiseva Pokémon")</f>
        <v>Valaiseva Pokémon</v>
      </c>
      <c r="C552" s="9" t="s">
        <v>29</v>
      </c>
    </row>
    <row r="553" ht="33.75" customHeight="1">
      <c r="A553" s="6" t="s">
        <v>1085</v>
      </c>
      <c r="B553" s="6" t="str">
        <f>IFERROR(__xludf.DUMMYFUNCTION("GOOGLETRANSLATE(A553,""en"",""fi"")"),"Myrkyllinen lisko-Pokémon")</f>
        <v>Myrkyllinen lisko-Pokémon</v>
      </c>
      <c r="C553" s="9" t="s">
        <v>29</v>
      </c>
    </row>
    <row r="554" ht="33.75" customHeight="1">
      <c r="A554" s="6" t="s">
        <v>1088</v>
      </c>
      <c r="B554" s="6" t="str">
        <f>IFERROR(__xludf.DUMMYFUNCTION("GOOGLETRANSLATE(A554,""en"",""fi"")"),"Heiluttaen Pokémon")</f>
        <v>Heiluttaen Pokémon</v>
      </c>
      <c r="C554" s="9" t="s">
        <v>29</v>
      </c>
    </row>
    <row r="555" ht="33.75" customHeight="1">
      <c r="A555" s="6" t="s">
        <v>1089</v>
      </c>
      <c r="B555" s="6" t="str">
        <f>IFERROR(__xludf.DUMMYFUNCTION("GOOGLETRANSLATE(A555,""en"",""fi"")"),"Vahvan käsivarren Pokémon")</f>
        <v>Vahvan käsivarren Pokémon</v>
      </c>
      <c r="C555" s="9" t="s">
        <v>29</v>
      </c>
    </row>
    <row r="556" ht="33.75" customHeight="1">
      <c r="A556" s="6" t="s">
        <v>1090</v>
      </c>
      <c r="B556" s="6" t="str">
        <f>IFERROR(__xludf.DUMMYFUNCTION("GOOGLETRANSLATE(A556,""en"",""fi"")"),"Posy-kerääjä-Pokémon")</f>
        <v>Posy-kerääjä-Pokémon</v>
      </c>
      <c r="C556" s="9" t="s">
        <v>29</v>
      </c>
    </row>
    <row r="557" ht="33.75" customHeight="1">
      <c r="A557" s="6" t="s">
        <v>1091</v>
      </c>
      <c r="B557" s="6" t="str">
        <f>IFERROR(__xludf.DUMMYFUNCTION("GOOGLETRANSLATE(A557,""en"",""fi"")"),"Viisas-Pokémon")</f>
        <v>Viisas-Pokémon</v>
      </c>
      <c r="C557" s="9" t="s">
        <v>29</v>
      </c>
    </row>
    <row r="558" ht="33.75" customHeight="1">
      <c r="A558" s="6" t="s">
        <v>1093</v>
      </c>
      <c r="B558" s="6" t="str">
        <f>IFERROR(__xludf.DUMMYFUNCTION("GOOGLETRANSLATE(A558,""en"",""fi"")"),"Tiimityö-Pokémon")</f>
        <v>Tiimityö-Pokémon</v>
      </c>
      <c r="C558" s="9" t="s">
        <v>29</v>
      </c>
    </row>
    <row r="559" ht="33.75" customHeight="1">
      <c r="A559" s="6" t="s">
        <v>1095</v>
      </c>
      <c r="B559" s="6" t="str">
        <f>IFERROR(__xludf.DUMMYFUNCTION("GOOGLETRANSLATE(A559,""en"",""fi"")"),"Kääntyvähäntäinen Pokémon")</f>
        <v>Kääntyvähäntäinen Pokémon</v>
      </c>
      <c r="C559" s="9" t="s">
        <v>29</v>
      </c>
    </row>
    <row r="560" ht="33.75" customHeight="1">
      <c r="A560" s="6" t="s">
        <v>1096</v>
      </c>
      <c r="B560" s="6" t="str">
        <f>IFERROR(__xludf.DUMMYFUNCTION("GOOGLETRANSLATE(A560,""en"",""fi"")"),"Kovakokoinen Pokémon")</f>
        <v>Kovakokoinen Pokémon</v>
      </c>
      <c r="C560" s="9" t="s">
        <v>29</v>
      </c>
    </row>
    <row r="561" ht="33.75" customHeight="1">
      <c r="A561" s="6" t="s">
        <v>1098</v>
      </c>
      <c r="B561" s="6" t="str">
        <f>IFERROR(__xludf.DUMMYFUNCTION("GOOGLETRANSLATE(A561,""en"",""fi"")"),"Hiekkakasa-Pokémon")</f>
        <v>Hiekkakasa-Pokémon</v>
      </c>
      <c r="C561" s="9" t="s">
        <v>29</v>
      </c>
    </row>
    <row r="562" ht="33.75" customHeight="1">
      <c r="A562" s="6" t="s">
        <v>1099</v>
      </c>
      <c r="B562" s="6" t="str">
        <f>IFERROR(__xludf.DUMMYFUNCTION("GOOGLETRANSLATE(A562,""en"",""fi"")"),"Hiekkalinna-Pokémon")</f>
        <v>Hiekkalinna-Pokémon</v>
      </c>
      <c r="C562" s="9" t="s">
        <v>29</v>
      </c>
    </row>
    <row r="563" ht="33.75" customHeight="1">
      <c r="A563" s="6" t="s">
        <v>1101</v>
      </c>
      <c r="B563" s="6" t="str">
        <f>IFERROR(__xludf.DUMMYFUNCTION("GOOGLETRANSLATE(A563,""en"",""fi"")"),"Merikurkku-Pokémon")</f>
        <v>Merikurkku-Pokémon</v>
      </c>
      <c r="C563" s="9" t="s">
        <v>29</v>
      </c>
    </row>
    <row r="564" ht="33.75" customHeight="1">
      <c r="A564" s="6" t="s">
        <v>1102</v>
      </c>
      <c r="B564" s="6" t="str">
        <f>IFERROR(__xludf.DUMMYFUNCTION("GOOGLETRANSLATE(A564,""en"",""fi"")"),"Synteettinen Pokémon")</f>
        <v>Synteettinen Pokémon</v>
      </c>
      <c r="C564" s="9" t="s">
        <v>29</v>
      </c>
    </row>
    <row r="565" ht="33.75" customHeight="1">
      <c r="A565" s="6" t="s">
        <v>1104</v>
      </c>
      <c r="B565" s="6" t="str">
        <f>IFERROR(__xludf.DUMMYFUNCTION("GOOGLETRANSLATE(A565,""en"",""fi"")"),"Meteori-Pokémon")</f>
        <v>Meteori-Pokémon</v>
      </c>
      <c r="C565" s="9" t="s">
        <v>29</v>
      </c>
    </row>
    <row r="566" ht="33.75" customHeight="1">
      <c r="A566" s="6" t="s">
        <v>1105</v>
      </c>
      <c r="B566" s="6" t="str">
        <f>IFERROR(__xludf.DUMMYFUNCTION("GOOGLETRANSLATE(A566,""en"",""fi"")"),"Räjähdyskilpikonna-Pokémon")</f>
        <v>Räjähdyskilpikonna-Pokémon</v>
      </c>
      <c r="C566" s="9" t="s">
        <v>29</v>
      </c>
    </row>
    <row r="567" ht="33.75" customHeight="1">
      <c r="A567" s="6" t="s">
        <v>1106</v>
      </c>
      <c r="B567" s="6" t="str">
        <f>IFERROR(__xludf.DUMMYFUNCTION("GOOGLETRANSLATE(A567,""en"",""fi"")"),"Roly-Poly-Pokémon")</f>
        <v>Roly-Poly-Pokémon</v>
      </c>
      <c r="C567" s="9" t="s">
        <v>29</v>
      </c>
    </row>
    <row r="568" ht="33.75" customHeight="1">
      <c r="A568" s="6" t="s">
        <v>1109</v>
      </c>
      <c r="B568" s="6" t="str">
        <f>IFERROR(__xludf.DUMMYFUNCTION("GOOGLETRANSLATE(A568,""en"",""fi"")"),"Naamioitu Pokémon")</f>
        <v>Naamioitu Pokémon</v>
      </c>
      <c r="C568" s="9" t="s">
        <v>29</v>
      </c>
    </row>
    <row r="569" ht="33.75" customHeight="1">
      <c r="A569" s="6" t="s">
        <v>1110</v>
      </c>
      <c r="B569" s="6" t="str">
        <f>IFERROR(__xludf.DUMMYFUNCTION("GOOGLETRANSLATE(A569,""en"",""fi"")"),"Gnash-hampaat-Pokémon")</f>
        <v>Gnash-hampaat-Pokémon</v>
      </c>
      <c r="C569" s="9" t="s">
        <v>29</v>
      </c>
    </row>
    <row r="570" ht="33.75" customHeight="1">
      <c r="A570" s="6" t="s">
        <v>1111</v>
      </c>
      <c r="B570" s="6" t="str">
        <f>IFERROR(__xludf.DUMMYFUNCTION("GOOGLETRANSLATE(A570,""en"",""fi"")"),"Rauhallinen Pokémon")</f>
        <v>Rauhallinen Pokémon</v>
      </c>
      <c r="C570" s="9" t="s">
        <v>29</v>
      </c>
    </row>
    <row r="571" ht="33.75" customHeight="1">
      <c r="A571" s="6" t="s">
        <v>1113</v>
      </c>
      <c r="B571" s="6" t="str">
        <f>IFERROR(__xludf.DUMMYFUNCTION("GOOGLETRANSLATE(A571,""en"",""fi"")"),"Merikäärme-Pokémon")</f>
        <v>Merikäärme-Pokémon</v>
      </c>
      <c r="C571" s="9" t="s">
        <v>29</v>
      </c>
    </row>
    <row r="572" ht="33.75" customHeight="1">
      <c r="A572" s="6" t="s">
        <v>1114</v>
      </c>
      <c r="B572" s="6" t="str">
        <f>IFERROR(__xludf.DUMMYFUNCTION("GOOGLETRANSLATE(A572,""en"",""fi"")"),"Suomupokémon")</f>
        <v>Suomupokémon</v>
      </c>
      <c r="C572" s="9" t="s">
        <v>29</v>
      </c>
    </row>
    <row r="573" ht="33.75" customHeight="1">
      <c r="A573" s="6" t="s">
        <v>1116</v>
      </c>
      <c r="B573" s="6" t="str">
        <f>IFERROR(__xludf.DUMMYFUNCTION("GOOGLETRANSLATE(A573,""en"",""fi"")"),"Maanhenki-Pokémon")</f>
        <v>Maanhenki-Pokémon</v>
      </c>
      <c r="C573" s="9" t="s">
        <v>29</v>
      </c>
    </row>
    <row r="574" ht="33.75" customHeight="1">
      <c r="A574" s="6" t="s">
        <v>1117</v>
      </c>
      <c r="B574" s="6" t="str">
        <f>IFERROR(__xludf.DUMMYFUNCTION("GOOGLETRANSLATE(A574,""en"",""fi"")"),"Nebula-Pokémon")</f>
        <v>Nebula-Pokémon</v>
      </c>
      <c r="C574" s="9" t="s">
        <v>29</v>
      </c>
    </row>
    <row r="575" ht="33.75" customHeight="1">
      <c r="A575" s="6" t="s">
        <v>1119</v>
      </c>
      <c r="B575" s="6" t="str">
        <f>IFERROR(__xludf.DUMMYFUNCTION("GOOGLETRANSLATE(A575,""en"",""fi"")"),"Prototähti-Pokémon")</f>
        <v>Prototähti-Pokémon</v>
      </c>
      <c r="C575" s="9" t="s">
        <v>29</v>
      </c>
    </row>
    <row r="576" ht="33.75" customHeight="1">
      <c r="A576" s="6" t="s">
        <v>1120</v>
      </c>
      <c r="B576" s="6" t="str">
        <f>IFERROR(__xludf.DUMMYFUNCTION("GOOGLETRANSLATE(A576,""en"",""fi"")"),"Sunne-Pokémon")</f>
        <v>Sunne-Pokémon</v>
      </c>
      <c r="C576" s="9" t="s">
        <v>29</v>
      </c>
    </row>
    <row r="577" ht="33.75" customHeight="1">
      <c r="A577" s="6" t="s">
        <v>1123</v>
      </c>
      <c r="B577" s="6" t="str">
        <f>IFERROR(__xludf.DUMMYFUNCTION("GOOGLETRANSLATE(A577,""en"",""fi"")"),"Moone-Pokémon")</f>
        <v>Moone-Pokémon</v>
      </c>
      <c r="C577" s="9" t="s">
        <v>29</v>
      </c>
    </row>
    <row r="578" ht="33.75" customHeight="1">
      <c r="A578" s="6" t="s">
        <v>1125</v>
      </c>
      <c r="B578" s="6" t="str">
        <f>IFERROR(__xludf.DUMMYFUNCTION("GOOGLETRANSLATE(A578,""en"",""fi"")"),"Loinen Pokémon")</f>
        <v>Loinen Pokémon</v>
      </c>
      <c r="C578" s="9" t="s">
        <v>29</v>
      </c>
    </row>
    <row r="579" ht="33.75" customHeight="1">
      <c r="A579" s="6" t="s">
        <v>1126</v>
      </c>
      <c r="B579" s="6" t="str">
        <f>IFERROR(__xludf.DUMMYFUNCTION("GOOGLETRANSLATE(A579,""en"",""fi"")"),"Turvonneet Pokémonit")</f>
        <v>Turvonneet Pokémonit</v>
      </c>
      <c r="C579" s="9" t="s">
        <v>29</v>
      </c>
    </row>
    <row r="580" ht="33.75" customHeight="1">
      <c r="A580" s="6" t="s">
        <v>1128</v>
      </c>
      <c r="B580" s="6" t="str">
        <f>IFERROR(__xludf.DUMMYFUNCTION("GOOGLETRANSLATE(A580,""en"",""fi"")"),"Lissome-pokémon")</f>
        <v>Lissome-pokémon</v>
      </c>
      <c r="C580" s="9" t="s">
        <v>29</v>
      </c>
    </row>
    <row r="581" ht="33.75" customHeight="1">
      <c r="A581" s="6" t="s">
        <v>1129</v>
      </c>
      <c r="B581" s="6" t="str">
        <f>IFERROR(__xludf.DUMMYFUNCTION("GOOGLETRANSLATE(A581,""en"",""fi"")"),"Hohtava Pokémon")</f>
        <v>Hohtava Pokémon</v>
      </c>
      <c r="C581" s="9" t="s">
        <v>29</v>
      </c>
    </row>
    <row r="582" ht="33.75" customHeight="1">
      <c r="A582" s="6" t="s">
        <v>1131</v>
      </c>
      <c r="B582" s="6" t="str">
        <f>IFERROR(__xludf.DUMMYFUNCTION("GOOGLETRANSLATE(A582,""en"",""fi"")"),"Käynnistä Pokémon")</f>
        <v>Käynnistä Pokémon</v>
      </c>
      <c r="C582" s="9" t="s">
        <v>29</v>
      </c>
    </row>
    <row r="583" ht="33.75" customHeight="1">
      <c r="A583" s="6" t="s">
        <v>1132</v>
      </c>
      <c r="B583" s="6" t="str">
        <f>IFERROR(__xludf.DUMMYFUNCTION("GOOGLETRANSLATE(A583,""en"",""fi"")"),"Drawn Sword -pokémon")</f>
        <v>Drawn Sword -pokémon</v>
      </c>
      <c r="C583" s="9" t="s">
        <v>29</v>
      </c>
    </row>
    <row r="584" ht="33.75" customHeight="1">
      <c r="A584" s="6" t="s">
        <v>1134</v>
      </c>
      <c r="B584" s="6" t="str">
        <f>IFERROR(__xludf.DUMMYFUNCTION("GOOGLETRANSLATE(A584,""en"",""fi"")"),"Junkivore-Pokémon")</f>
        <v>Junkivore-Pokémon</v>
      </c>
      <c r="C584" s="9" t="s">
        <v>29</v>
      </c>
    </row>
    <row r="585" ht="33.75" customHeight="1">
      <c r="A585" s="6" t="s">
        <v>1135</v>
      </c>
      <c r="B585" s="6" t="str">
        <f>IFERROR(__xludf.DUMMYFUNCTION("GOOGLETRANSLATE(A585,""en"",""fi"")"),"Prisma-Pokémon")</f>
        <v>Prisma-Pokémon</v>
      </c>
      <c r="C585" s="9" t="s">
        <v>29</v>
      </c>
    </row>
    <row r="586" ht="33.75" customHeight="1">
      <c r="A586" s="6" t="s">
        <v>1137</v>
      </c>
      <c r="B586" s="6" t="str">
        <f>IFERROR(__xludf.DUMMYFUNCTION("GOOGLETRANSLATE(A586,""en"",""fi"")"),"Keinotekoinen Pokémon")</f>
        <v>Keinotekoinen Pokémon</v>
      </c>
      <c r="C586" s="9" t="s">
        <v>29</v>
      </c>
    </row>
    <row r="587" ht="33.75" customHeight="1">
      <c r="A587" s="6" t="s">
        <v>1138</v>
      </c>
      <c r="B587" s="6" t="str">
        <f>IFERROR(__xludf.DUMMYFUNCTION("GOOGLETRANSLATE(A587,""en"",""fi"")"),"Synkkäasukas-Pokémon")</f>
        <v>Synkkäasukas-Pokémon</v>
      </c>
      <c r="C587" s="9" t="s">
        <v>29</v>
      </c>
    </row>
    <row r="588" ht="33.75" customHeight="1">
      <c r="A588" s="6" t="s">
        <v>1140</v>
      </c>
      <c r="B588" s="6" t="str">
        <f>IFERROR(__xludf.DUMMYFUNCTION("GOOGLETRANSLATE(A588,""en"",""fi"")"),"Valli-Pokémon")</f>
        <v>Valli-Pokémon</v>
      </c>
      <c r="C588" s="9" t="s">
        <v>29</v>
      </c>
    </row>
    <row r="589" ht="33.75" customHeight="1">
      <c r="A589" s="6" t="s">
        <v>1141</v>
      </c>
      <c r="B589" s="6" t="str">
        <f>IFERROR(__xludf.DUMMYFUNCTION("GOOGLETRANSLATE(A589,""en"",""fi"")"),"Ilotulitus-Pokémon")</f>
        <v>Ilotulitus-Pokémon</v>
      </c>
      <c r="C589" s="9" t="s">
        <v>29</v>
      </c>
    </row>
    <row r="590" ht="33.75" customHeight="1">
      <c r="A590" s="6" t="s">
        <v>1144</v>
      </c>
      <c r="B590" s="6" t="str">
        <f>IFERROR(__xludf.DUMMYFUNCTION("GOOGLETRANSLATE(A590,""en"",""fi"")"),"Ukkosenjyrinä-Pokémon")</f>
        <v>Ukkosenjyrinä-Pokémon</v>
      </c>
      <c r="C590" s="9" t="s">
        <v>29</v>
      </c>
    </row>
    <row r="591" ht="33.75" customHeight="1">
      <c r="A591" s="6" t="s">
        <v>1145</v>
      </c>
      <c r="B591" s="6" t="str">
        <f>IFERROR(__xludf.DUMMYFUNCTION("GOOGLETRANSLATE(A591,""en"",""fi"")"),"Hex Nut -pokémon")</f>
        <v>Hex Nut -pokémon</v>
      </c>
      <c r="C591" s="9" t="s">
        <v>29</v>
      </c>
    </row>
    <row r="592" ht="33.75" customHeight="1">
      <c r="A592" s="6" t="s">
        <v>1146</v>
      </c>
      <c r="B592" s="6" t="str">
        <f>IFERROR(__xludf.DUMMYFUNCTION("GOOGLETRANSLATE(A592,""en"",""fi"")"),"Voita Pokémon")</f>
        <v>Voita Pokémon</v>
      </c>
      <c r="C592" s="9" t="s">
        <v>29</v>
      </c>
    </row>
    <row r="593" ht="33.75" customHeight="1">
      <c r="A593" s="6" t="s">
        <v>1147</v>
      </c>
      <c r="B593" s="6" t="str">
        <f>IFERROR(__xludf.DUMMYFUNCTION("GOOGLETRANSLATE(A593,""en"",""fi"")"),"Rumpali-Pokémon")</f>
        <v>Rumpali-Pokémon</v>
      </c>
      <c r="C593" s="9" t="s">
        <v>29</v>
      </c>
    </row>
    <row r="594" ht="33.75" customHeight="1">
      <c r="A594" s="6" t="s">
        <v>1150</v>
      </c>
      <c r="B594" s="6" t="str">
        <f>IFERROR(__xludf.DUMMYFUNCTION("GOOGLETRANSLATE(A594,""en"",""fi"")"),"Hyökkääjä-Pokémon")</f>
        <v>Hyökkääjä-Pokémon</v>
      </c>
      <c r="C594" s="9" t="s">
        <v>29</v>
      </c>
    </row>
    <row r="595" ht="33.75" customHeight="1">
      <c r="A595" s="6" t="s">
        <v>1151</v>
      </c>
      <c r="B595" s="6" t="str">
        <f>IFERROR(__xludf.DUMMYFUNCTION("GOOGLETRANSLATE(A595,""en"",""fi"")"),"Vesilisko-Pokémon")</f>
        <v>Vesilisko-Pokémon</v>
      </c>
      <c r="C595" s="9" t="s">
        <v>29</v>
      </c>
    </row>
    <row r="596" ht="33.75" customHeight="1">
      <c r="A596" s="6" t="s">
        <v>1153</v>
      </c>
      <c r="B596" s="6" t="str">
        <f>IFERROR(__xludf.DUMMYFUNCTION("GOOGLETRANSLATE(A596,""en"",""fi"")"),"Salainen agentti Pokémon")</f>
        <v>Salainen agentti Pokémon</v>
      </c>
      <c r="C596" s="9" t="s">
        <v>29</v>
      </c>
    </row>
    <row r="597" ht="33.75" customHeight="1">
      <c r="A597" s="6" t="s">
        <v>1154</v>
      </c>
      <c r="B597" s="6" t="str">
        <f>IFERROR(__xludf.DUMMYFUNCTION("GOOGLETRANSLATE(A597,""en"",""fi"")"),"Röyhkeä Pokémon")</f>
        <v>Röyhkeä Pokémon</v>
      </c>
      <c r="C597" s="9" t="s">
        <v>29</v>
      </c>
    </row>
    <row r="598" ht="33.75" customHeight="1">
      <c r="A598" s="6" t="s">
        <v>1155</v>
      </c>
      <c r="B598" s="6" t="str">
        <f>IFERROR(__xludf.DUMMYFUNCTION("GOOGLETRANSLATE(A598,""en"",""fi"")"),"Ahne Pokémon")</f>
        <v>Ahne Pokémon</v>
      </c>
      <c r="C598" s="9" t="s">
        <v>29</v>
      </c>
    </row>
    <row r="599" ht="33.75" customHeight="1">
      <c r="A599" s="6" t="s">
        <v>1156</v>
      </c>
      <c r="B599" s="6" t="str">
        <f>IFERROR(__xludf.DUMMYFUNCTION("GOOGLETRANSLATE(A599,""en"",""fi"")"),"Korppi-Pokémon")</f>
        <v>Korppi-Pokémon</v>
      </c>
      <c r="C599" s="9" t="s">
        <v>29</v>
      </c>
    </row>
    <row r="600" ht="33.75" customHeight="1">
      <c r="A600" s="6" t="s">
        <v>1158</v>
      </c>
      <c r="B600" s="6" t="str">
        <f>IFERROR(__xludf.DUMMYFUNCTION("GOOGLETRANSLATE(A600,""en"",""fi"")"),"Radome-Pokémon")</f>
        <v>Radome-Pokémon</v>
      </c>
      <c r="C600" s="9" t="s">
        <v>29</v>
      </c>
    </row>
    <row r="601" ht="33.75" customHeight="1">
      <c r="A601" s="6" t="s">
        <v>1161</v>
      </c>
      <c r="B601" s="6" t="str">
        <f>IFERROR(__xludf.DUMMYFUNCTION("GOOGLETRANSLATE(A601,""en"",""fi"")"),"Seitsemän pisteen Pokémon")</f>
        <v>Seitsemän pisteen Pokémon</v>
      </c>
      <c r="C601" s="9" t="s">
        <v>29</v>
      </c>
    </row>
    <row r="602" ht="33.75" customHeight="1">
      <c r="A602" s="6" t="s">
        <v>1162</v>
      </c>
      <c r="B602" s="6" t="str">
        <f>IFERROR(__xludf.DUMMYFUNCTION("GOOGLETRANSLATE(A602,""en"",""fi"")"),"Cotton Bloom -pokémon")</f>
        <v>Cotton Bloom -pokémon</v>
      </c>
      <c r="C602" s="9" t="s">
        <v>29</v>
      </c>
    </row>
    <row r="603" ht="33.75" customHeight="1">
      <c r="A603" s="6" t="s">
        <v>1163</v>
      </c>
      <c r="B603" s="6" t="str">
        <f>IFERROR(__xludf.DUMMYFUNCTION("GOOGLETRANSLATE(A603,""en"",""fi"")"),"Lammas-Pokémon")</f>
        <v>Lammas-Pokémon</v>
      </c>
      <c r="C603" s="9" t="s">
        <v>29</v>
      </c>
    </row>
    <row r="604" ht="33.75" customHeight="1">
      <c r="A604" s="6" t="s">
        <v>1165</v>
      </c>
      <c r="B604" s="6" t="str">
        <f>IFERROR(__xludf.DUMMYFUNCTION("GOOGLETRANSLATE(A604,""en"",""fi"")"),"Pokémonien napsahtaminen")</f>
        <v>Pokémonien napsahtaminen</v>
      </c>
      <c r="C604" s="9" t="s">
        <v>29</v>
      </c>
    </row>
    <row r="605" ht="33.75" customHeight="1">
      <c r="A605" s="6" t="s">
        <v>1167</v>
      </c>
      <c r="B605" s="6" t="str">
        <f>IFERROR(__xludf.DUMMYFUNCTION("GOOGLETRANSLATE(A605,""en"",""fi"")"),"Koira-Pokémon")</f>
        <v>Koira-Pokémon</v>
      </c>
      <c r="C605" s="9" t="s">
        <v>29</v>
      </c>
    </row>
    <row r="606" ht="33.75" customHeight="1">
      <c r="A606" s="6" t="s">
        <v>1169</v>
      </c>
      <c r="B606" s="6" t="str">
        <f>IFERROR(__xludf.DUMMYFUNCTION("GOOGLETRANSLATE(A606,""en"",""fi"")"),"Apple Core -Pokémon")</f>
        <v>Apple Core -Pokémon</v>
      </c>
      <c r="C606" s="9" t="s">
        <v>29</v>
      </c>
    </row>
    <row r="607" ht="33.75" customHeight="1">
      <c r="A607" s="6" t="s">
        <v>1172</v>
      </c>
      <c r="B607" s="6" t="str">
        <f>IFERROR(__xludf.DUMMYFUNCTION("GOOGLETRANSLATE(A607,""en"",""fi"")"),"Omenansiipi-Pokémon")</f>
        <v>Omenansiipi-Pokémon</v>
      </c>
      <c r="C607" s="9" t="s">
        <v>29</v>
      </c>
    </row>
    <row r="608" ht="33.75" customHeight="1">
      <c r="A608" s="6" t="s">
        <v>1173</v>
      </c>
      <c r="B608" s="6" t="str">
        <f>IFERROR(__xludf.DUMMYFUNCTION("GOOGLETRANSLATE(A608,""en"",""fi"")"),"Omenanektari-Pokémon")</f>
        <v>Omenanektari-Pokémon</v>
      </c>
      <c r="C608" s="9" t="s">
        <v>29</v>
      </c>
    </row>
    <row r="609" ht="33.75" customHeight="1">
      <c r="A609" s="6" t="s">
        <v>1175</v>
      </c>
      <c r="B609" s="6" t="str">
        <f>IFERROR(__xludf.DUMMYFUNCTION("GOOGLETRANSLATE(A609,""en"",""fi"")"),"Hiekkakäärme-Pokémon")</f>
        <v>Hiekkakäärme-Pokémon</v>
      </c>
      <c r="C609" s="9" t="s">
        <v>29</v>
      </c>
    </row>
    <row r="610" ht="33.75" customHeight="1">
      <c r="A610" s="6" t="s">
        <v>1176</v>
      </c>
      <c r="B610" s="6" t="str">
        <f>IFERROR(__xludf.DUMMYFUNCTION("GOOGLETRANSLATE(A610,""en"",""fi"")"),"Gulp-Pokémon")</f>
        <v>Gulp-Pokémon</v>
      </c>
      <c r="C610" s="9" t="s">
        <v>29</v>
      </c>
    </row>
    <row r="611" ht="33.75" customHeight="1">
      <c r="A611" s="6" t="s">
        <v>1177</v>
      </c>
      <c r="B611" s="6" t="str">
        <f>IFERROR(__xludf.DUMMYFUNCTION("GOOGLETRANSLATE(A611,""en"",""fi"")"),"Rush-Pokémon")</f>
        <v>Rush-Pokémon</v>
      </c>
      <c r="C611" s="9" t="s">
        <v>29</v>
      </c>
    </row>
    <row r="612" ht="33.75" customHeight="1">
      <c r="A612" s="6" t="s">
        <v>1179</v>
      </c>
      <c r="B612" s="6" t="str">
        <f>IFERROR(__xludf.DUMMYFUNCTION("GOOGLETRANSLATE(A612,""en"",""fi"")"),"Varras-Pokémon")</f>
        <v>Varras-Pokémon</v>
      </c>
      <c r="C612" s="9" t="s">
        <v>29</v>
      </c>
    </row>
    <row r="613" ht="33.75" customHeight="1">
      <c r="A613" s="6" t="s">
        <v>1180</v>
      </c>
      <c r="B613" s="6" t="str">
        <f>IFERROR(__xludf.DUMMYFUNCTION("GOOGLETRANSLATE(A613,""en"",""fi"")"),"Vauva-Pokémon")</f>
        <v>Vauva-Pokémon</v>
      </c>
      <c r="C613" s="9" t="s">
        <v>29</v>
      </c>
    </row>
    <row r="614" ht="33.75" customHeight="1">
      <c r="A614" s="6" t="s">
        <v>1182</v>
      </c>
      <c r="B614" s="6" t="str">
        <f>IFERROR(__xludf.DUMMYFUNCTION("GOOGLETRANSLATE(A614,""en"",""fi"")"),"Punk-Pokémon")</f>
        <v>Punk-Pokémon</v>
      </c>
      <c r="C614" s="9" t="s">
        <v>29</v>
      </c>
    </row>
    <row r="615" ht="33.75" customHeight="1">
      <c r="A615" s="6" t="s">
        <v>1183</v>
      </c>
      <c r="B615" s="6" t="str">
        <f>IFERROR(__xludf.DUMMYFUNCTION("GOOGLETRANSLATE(A615,""en"",""fi"")"),"Jäähdytin-Pokémon")</f>
        <v>Jäähdytin-Pokémon</v>
      </c>
      <c r="C615" s="9" t="s">
        <v>29</v>
      </c>
    </row>
    <row r="616" ht="33.75" customHeight="1">
      <c r="A616" s="6" t="s">
        <v>1185</v>
      </c>
      <c r="B616" s="6" t="str">
        <f>IFERROR(__xludf.DUMMYFUNCTION("GOOGLETRANSLATE(A616,""en"",""fi"")"),"Kiukuttelu-Pokémon")</f>
        <v>Kiukuttelu-Pokémon</v>
      </c>
      <c r="C616" s="9" t="s">
        <v>29</v>
      </c>
    </row>
    <row r="617" ht="33.75" customHeight="1">
      <c r="A617" s="6" t="s">
        <v>1187</v>
      </c>
      <c r="B617" s="6" t="str">
        <f>IFERROR(__xludf.DUMMYFUNCTION("GOOGLETRANSLATE(A617,""en"",""fi"")"),"Jujitsu-Pokémon")</f>
        <v>Jujitsu-Pokémon</v>
      </c>
      <c r="C617" s="9" t="s">
        <v>29</v>
      </c>
    </row>
    <row r="618" ht="33.75" customHeight="1">
      <c r="A618" s="6" t="s">
        <v>1188</v>
      </c>
      <c r="B618" s="6" t="str">
        <f>IFERROR(__xludf.DUMMYFUNCTION("GOOGLETRANSLATE(A618,""en"",""fi"")"),"Mustan teen Pokémon")</f>
        <v>Mustan teen Pokémon</v>
      </c>
      <c r="C618" s="9" t="s">
        <v>29</v>
      </c>
    </row>
    <row r="619" ht="33.75" customHeight="1">
      <c r="A619" s="6" t="s">
        <v>1190</v>
      </c>
      <c r="B619" s="6" t="str">
        <f>IFERROR(__xludf.DUMMYFUNCTION("GOOGLETRANSLATE(A619,""en"",""fi"")"),"Rauhallinen Pokémon")</f>
        <v>Rauhallinen Pokémon</v>
      </c>
      <c r="C619" s="9" t="s">
        <v>29</v>
      </c>
    </row>
    <row r="620" ht="33.75" customHeight="1">
      <c r="A620" s="6" t="s">
        <v>1191</v>
      </c>
      <c r="B620" s="6" t="str">
        <f>IFERROR(__xludf.DUMMYFUNCTION("GOOGLETRANSLATE(A620,""en"",""fi"")"),"Rauhallinen Pokémon")</f>
        <v>Rauhallinen Pokémon</v>
      </c>
      <c r="C620" s="9" t="s">
        <v>29</v>
      </c>
    </row>
    <row r="621" ht="33.75" customHeight="1">
      <c r="A621" s="6" t="s">
        <v>1194</v>
      </c>
      <c r="B621" s="6" t="str">
        <f>IFERROR(__xludf.DUMMYFUNCTION("GOOGLETRANSLATE(A621,""en"",""fi"")"),"Hiljainen Pokémon")</f>
        <v>Hiljainen Pokémon</v>
      </c>
      <c r="C621" s="9" t="s">
        <v>29</v>
      </c>
    </row>
    <row r="622" ht="33.75" customHeight="1">
      <c r="A622" s="6" t="s">
        <v>1195</v>
      </c>
      <c r="B622" s="6" t="str">
        <f>IFERROR(__xludf.DUMMYFUNCTION("GOOGLETRANSLATE(A622,""en"",""fi"")"),"Kasaa Pokémoneja")</f>
        <v>Kasaa Pokémoneja</v>
      </c>
      <c r="C622" s="9" t="s">
        <v>29</v>
      </c>
    </row>
    <row r="623" ht="33.75" customHeight="1">
      <c r="A623" s="6" t="s">
        <v>1197</v>
      </c>
      <c r="B623" s="6" t="str">
        <f>IFERROR(__xludf.DUMMYFUNCTION("GOOGLETRANSLATE(A623,""en"",""fi"")"),"Pokémonien estäminen")</f>
        <v>Pokémonien estäminen</v>
      </c>
      <c r="C623" s="9" t="s">
        <v>29</v>
      </c>
    </row>
    <row r="624" ht="33.75" customHeight="1">
      <c r="A624" s="6" t="s">
        <v>1199</v>
      </c>
      <c r="B624" s="6" t="str">
        <f>IFERROR(__xludf.DUMMYFUNCTION("GOOGLETRANSLATE(A624,""en"",""fi"")"),"Viikinki-Pokémon")</f>
        <v>Viikinki-Pokémon</v>
      </c>
      <c r="C624" s="9" t="s">
        <v>29</v>
      </c>
    </row>
    <row r="625" ht="33.75" customHeight="1">
      <c r="A625" s="6" t="s">
        <v>1200</v>
      </c>
      <c r="B625" s="6" t="str">
        <f>IFERROR(__xludf.DUMMYFUNCTION("GOOGLETRANSLATE(A625,""en"",""fi"")"),"Koomikko-Pokémon")</f>
        <v>Koomikko-Pokémon</v>
      </c>
      <c r="C625" s="9" t="s">
        <v>29</v>
      </c>
    </row>
    <row r="626" ht="33.75" customHeight="1">
      <c r="A626" s="6" t="s">
        <v>1202</v>
      </c>
      <c r="B626" s="6" t="str">
        <f>IFERROR(__xludf.DUMMYFUNCTION("GOOGLETRANSLATE(A626,""en"",""fi"")"),"Kauna-Pokémon")</f>
        <v>Kauna-Pokémon</v>
      </c>
      <c r="C626" s="9" t="s">
        <v>29</v>
      </c>
    </row>
    <row r="627" ht="33.75" customHeight="1">
      <c r="A627" s="6" t="s">
        <v>1204</v>
      </c>
      <c r="B627" s="6" t="str">
        <f>IFERROR(__xludf.DUMMYFUNCTION("GOOGLETRANSLATE(A627,""en"",""fi"")"),"Kerma-Pokémon")</f>
        <v>Kerma-Pokémon</v>
      </c>
      <c r="C627" s="9" t="s">
        <v>29</v>
      </c>
    </row>
    <row r="628" ht="33.75" customHeight="1">
      <c r="A628" s="6" t="s">
        <v>1205</v>
      </c>
      <c r="B628" s="6" t="str">
        <f>IFERROR(__xludf.DUMMYFUNCTION("GOOGLETRANSLATE(A628,""en"",""fi"")"),"Pokémonin muodostuminen")</f>
        <v>Pokémonin muodostuminen</v>
      </c>
      <c r="C628" s="9" t="s">
        <v>29</v>
      </c>
    </row>
    <row r="629" ht="33.75" customHeight="1">
      <c r="A629" s="6" t="s">
        <v>1206</v>
      </c>
      <c r="B629" s="6" t="str">
        <f>IFERROR(__xludf.DUMMYFUNCTION("GOOGLETRANSLATE(A629,""en"",""fi"")"),"Merisiili-Pokémon")</f>
        <v>Merisiili-Pokémon</v>
      </c>
      <c r="C629" s="9" t="s">
        <v>29</v>
      </c>
    </row>
    <row r="630" ht="33.75" customHeight="1">
      <c r="A630" s="6" t="s">
        <v>1207</v>
      </c>
      <c r="B630" s="6" t="str">
        <f>IFERROR(__xludf.DUMMYFUNCTION("GOOGLETRANSLATE(A630,""en"",""fi"")"),"Pakkasyökki-Pokémon")</f>
        <v>Pakkasyökki-Pokémon</v>
      </c>
      <c r="C630" s="9" t="s">
        <v>29</v>
      </c>
    </row>
    <row r="631" ht="33.75" customHeight="1">
      <c r="A631" s="6" t="s">
        <v>1208</v>
      </c>
      <c r="B631" s="6" t="str">
        <f>IFERROR(__xludf.DUMMYFUNCTION("GOOGLETRANSLATE(A631,""en"",""fi"")"),"Iso kivi-Pokémon")</f>
        <v>Iso kivi-Pokémon</v>
      </c>
      <c r="C631" s="9" t="s">
        <v>29</v>
      </c>
    </row>
    <row r="632" ht="33.75" customHeight="1">
      <c r="A632" s="6" t="s">
        <v>1210</v>
      </c>
      <c r="B632" s="6" t="str">
        <f>IFERROR(__xludf.DUMMYFUNCTION("GOOGLETRANSLATE(A632,""en"",""fi"")"),"Kaksipuolinen Pokémon")</f>
        <v>Kaksipuolinen Pokémon</v>
      </c>
      <c r="C632" s="9" t="s">
        <v>29</v>
      </c>
    </row>
    <row r="633" ht="33.75" customHeight="1">
      <c r="A633" s="6" t="s">
        <v>1211</v>
      </c>
      <c r="B633" s="6" t="str">
        <f>IFERROR(__xludf.DUMMYFUNCTION("GOOGLETRANSLATE(A633,""en"",""fi"")"),"Kuparidermi-Pokémon")</f>
        <v>Kuparidermi-Pokémon</v>
      </c>
      <c r="C633" s="9" t="s">
        <v>29</v>
      </c>
    </row>
    <row r="634" ht="33.75" customHeight="1">
      <c r="A634" s="6" t="s">
        <v>1212</v>
      </c>
      <c r="B634" s="6" t="str">
        <f>IFERROR(__xludf.DUMMYFUNCTION("GOOGLETRANSLATE(A634,""en"",""fi"")"),"Alloy-Pokémon")</f>
        <v>Alloy-Pokémon</v>
      </c>
      <c r="C634" s="9" t="s">
        <v>29</v>
      </c>
    </row>
    <row r="635" ht="33.75" customHeight="1">
      <c r="A635" s="6" t="s">
        <v>1214</v>
      </c>
      <c r="B635" s="6" t="str">
        <f>IFERROR(__xludf.DUMMYFUNCTION("GOOGLETRANSLATE(A635,""en"",""fi"")"),"Viipyilevät Pokémonit")</f>
        <v>Viipyilevät Pokémonit</v>
      </c>
      <c r="C635" s="9" t="s">
        <v>29</v>
      </c>
    </row>
    <row r="636" ht="33.75" customHeight="1">
      <c r="A636" s="6" t="s">
        <v>1215</v>
      </c>
      <c r="B636" s="6" t="str">
        <f>IFERROR(__xludf.DUMMYFUNCTION("GOOGLETRANSLATE(A636,""en"",""fi"")"),"Huoltajan Pokémon")</f>
        <v>Huoltajan Pokémon</v>
      </c>
      <c r="C636" s="9" t="s">
        <v>29</v>
      </c>
    </row>
    <row r="637" ht="33.75" customHeight="1">
      <c r="A637" s="6" t="s">
        <v>1217</v>
      </c>
      <c r="B637" s="6" t="str">
        <f>IFERROR(__xludf.DUMMYFUNCTION("GOOGLETRANSLATE(A637,""en"",""fi"")"),"Hiiviskely-Pokémon")</f>
        <v>Hiiviskely-Pokémon</v>
      </c>
      <c r="C637" s="9" t="s">
        <v>29</v>
      </c>
    </row>
    <row r="638" ht="33.75" customHeight="1">
      <c r="A638" s="6" t="s">
        <v>1218</v>
      </c>
      <c r="B638" s="6" t="str">
        <f>IFERROR(__xludf.DUMMYFUNCTION("GOOGLETRANSLATE(A638,""en"",""fi"")"),"Soturi-Pokémon")</f>
        <v>Soturi-Pokémon</v>
      </c>
      <c r="C638" s="9" t="s">
        <v>29</v>
      </c>
    </row>
    <row r="639" ht="33.75" customHeight="1">
      <c r="A639" s="6" t="s">
        <v>1220</v>
      </c>
      <c r="B639" s="6" t="str">
        <f>IFERROR(__xludf.DUMMYFUNCTION("GOOGLETRANSLATE(A639,""en"",""fi"")"),"Jättimäinen Pokémon")</f>
        <v>Jättimäinen Pokémon</v>
      </c>
      <c r="C639" s="9" t="s">
        <v>29</v>
      </c>
    </row>
    <row r="640" ht="33.75" customHeight="1">
      <c r="A640" s="6" t="s">
        <v>1223</v>
      </c>
      <c r="B640" s="6" t="str">
        <f>IFERROR(__xludf.DUMMYFUNCTION("GOOGLETRANSLATE(A640,""en"",""fi"")"),"Wushu-Pokémon")</f>
        <v>Wushu-Pokémon</v>
      </c>
      <c r="C640" s="9" t="s">
        <v>29</v>
      </c>
    </row>
    <row r="641" ht="33.75" customHeight="1">
      <c r="A641" s="6" t="s">
        <v>1224</v>
      </c>
      <c r="B641" s="6" t="str">
        <f>IFERROR(__xludf.DUMMYFUNCTION("GOOGLETRANSLATE(A641,""en"",""fi"")"),"Roistoapina-Pokémon")</f>
        <v>Roistoapina-Pokémon</v>
      </c>
      <c r="C641" s="9" t="s">
        <v>29</v>
      </c>
    </row>
    <row r="642" ht="33.75" customHeight="1">
      <c r="A642" s="6" t="s">
        <v>1225</v>
      </c>
      <c r="B642" s="6" t="str">
        <f>IFERROR(__xludf.DUMMYFUNCTION("GOOGLETRANSLATE(A642,""en"",""fi"")"),"Elektroni-Pokémon")</f>
        <v>Elektroni-Pokémon</v>
      </c>
      <c r="C642" s="9" t="s">
        <v>29</v>
      </c>
    </row>
    <row r="643" ht="33.75" customHeight="1">
      <c r="A643" s="6" t="s">
        <v>1226</v>
      </c>
      <c r="B643" s="6" t="str">
        <f>IFERROR(__xludf.DUMMYFUNCTION("GOOGLETRANSLATE(A643,""en"",""fi"")"),"Lohikäärmepallo-Pokémon")</f>
        <v>Lohikäärmepallo-Pokémon</v>
      </c>
      <c r="C643" s="9" t="s">
        <v>29</v>
      </c>
    </row>
    <row r="644" ht="33.75" customHeight="1">
      <c r="A644" s="6" t="s">
        <v>1228</v>
      </c>
      <c r="B644" s="6" t="str">
        <f>IFERROR(__xludf.DUMMYFUNCTION("GOOGLETRANSLATE(A644,""en"",""fi"")"),"Villihevos-Pokémon")</f>
        <v>Villihevos-Pokémon</v>
      </c>
      <c r="C644" s="9" t="s">
        <v>29</v>
      </c>
    </row>
    <row r="645" ht="33.75" customHeight="1">
      <c r="A645" s="6" t="s">
        <v>1231</v>
      </c>
      <c r="B645" s="6" t="str">
        <f>IFERROR(__xludf.DUMMYFUNCTION("GOOGLETRANSLATE(A645,""en"",""fi"")"),"Nopea hevonen Pokémon")</f>
        <v>Nopea hevonen Pokémon</v>
      </c>
      <c r="C645" s="9" t="s">
        <v>29</v>
      </c>
    </row>
    <row r="646" ht="33.75" customHeight="1">
      <c r="A646" s="6" t="s">
        <v>1233</v>
      </c>
      <c r="B646" s="6" t="str">
        <f>IFERROR(__xludf.DUMMYFUNCTION("GOOGLETRANSLATE(A646,""en"",""fi"")"),"Kuningas-Pokémon")</f>
        <v>Kuningas-Pokémon</v>
      </c>
      <c r="C646" s="9" t="s">
        <v>29</v>
      </c>
    </row>
    <row r="647" ht="33.75" customHeight="1">
      <c r="A647" s="6" t="s">
        <v>1234</v>
      </c>
      <c r="B647" s="6" t="str">
        <f>IFERROR(__xludf.DUMMYFUNCTION("GOOGLETRANSLATE(A647,""en"",""fi"")"),"Kirves-Pokémon")</f>
        <v>Kirves-Pokémon</v>
      </c>
      <c r="C647" s="9" t="s">
        <v>29</v>
      </c>
    </row>
    <row r="648" ht="33.75" customHeight="1">
      <c r="A648" s="6" t="s">
        <v>1235</v>
      </c>
      <c r="B648" s="6" t="str">
        <f>IFERROR(__xludf.DUMMYFUNCTION("GOOGLETRANSLATE(A648,""en"",""fi"")"),"Turve-Pokémon")</f>
        <v>Turve-Pokémon</v>
      </c>
      <c r="C648" s="9" t="s">
        <v>29</v>
      </c>
    </row>
    <row r="649" ht="33.75" customHeight="1">
      <c r="A649" s="6" t="s">
        <v>1237</v>
      </c>
      <c r="B649" s="6" t="str">
        <f>IFERROR(__xludf.DUMMYFUNCTION("GOOGLETRANSLATE(A649,""en"",""fi"")"),"Iso kala-Pokémon")</f>
        <v>Iso kala-Pokémon</v>
      </c>
      <c r="C649" s="9" t="s">
        <v>29</v>
      </c>
    </row>
    <row r="650" ht="33.75" customHeight="1">
      <c r="A650" s="6" t="s">
        <v>1239</v>
      </c>
      <c r="B650" s="6" t="str">
        <f>IFERROR(__xludf.DUMMYFUNCTION("GOOGLETRANSLATE(A650,""en"",""fi"")"),"Ilmainen kiipeily-Pokémon")</f>
        <v>Ilmainen kiipeily-Pokémon</v>
      </c>
      <c r="C650" s="9" t="s">
        <v>29</v>
      </c>
    </row>
    <row r="651" ht="33.75" customHeight="1">
      <c r="A651" s="6" t="s">
        <v>1241</v>
      </c>
      <c r="B651" s="6" t="str">
        <f>IFERROR(__xludf.DUMMYFUNCTION("GOOGLETRANSLATE(A651,""en"",""fi"")"),"Pin-ryppä-Pokémon")</f>
        <v>Pin-ryppä-Pokémon</v>
      </c>
      <c r="C651" s="9" t="s">
        <v>29</v>
      </c>
    </row>
    <row r="652" ht="33.75" customHeight="1">
      <c r="A652" s="6" t="s">
        <v>1242</v>
      </c>
      <c r="B652" s="6" t="str">
        <f>IFERROR(__xludf.DUMMYFUNCTION("GOOGLETRANSLATE(A652,""en"",""fi"")"),"Rakkaus-viha-Pokémon")</f>
        <v>Rakkaus-viha-Pokémon</v>
      </c>
      <c r="C652" s="9" t="s">
        <v>29</v>
      </c>
    </row>
    <row r="653" ht="33.75" customHeight="1">
      <c r="A653" s="6" t="s">
        <v>1244</v>
      </c>
      <c r="B653" s="6" t="str">
        <f>IFERROR(__xludf.DUMMYFUNCTION("GOOGLETRANSLATE(A653,""en"",""fi"")"),"Ruohokissa-Pokémon")</f>
        <v>Ruohokissa-Pokémon</v>
      </c>
      <c r="C653" s="9" t="s">
        <v>29</v>
      </c>
    </row>
    <row r="654" ht="33.75" customHeight="1">
      <c r="A654" s="6" t="s">
        <v>1245</v>
      </c>
      <c r="B654" s="6" t="str">
        <f>IFERROR(__xludf.DUMMYFUNCTION("GOOGLETRANSLATE(A654,""en"",""fi"")"),"Taikuri-Pokémon")</f>
        <v>Taikuri-Pokémon</v>
      </c>
      <c r="C654" s="9" t="s">
        <v>29</v>
      </c>
    </row>
    <row r="655" ht="33.75" customHeight="1">
      <c r="A655" s="6" t="s">
        <v>1247</v>
      </c>
      <c r="B655" s="6" t="str">
        <f>IFERROR(__xludf.DUMMYFUNCTION("GOOGLETRANSLATE(A655,""en"",""fi"")"),"Tulikrokotiili-Pokémon")</f>
        <v>Tulikrokotiili-Pokémon</v>
      </c>
      <c r="C655" s="9" t="s">
        <v>29</v>
      </c>
    </row>
    <row r="656" ht="33.75" customHeight="1">
      <c r="A656" s="6" t="s">
        <v>1249</v>
      </c>
      <c r="B656" s="6" t="str">
        <f>IFERROR(__xludf.DUMMYFUNCTION("GOOGLETRANSLATE(A656,""en"",""fi"")"),"Laulaja-Pokémon")</f>
        <v>Laulaja-Pokémon</v>
      </c>
      <c r="C656" s="9" t="s">
        <v>29</v>
      </c>
    </row>
    <row r="657" ht="33.75" customHeight="1">
      <c r="A657" s="6" t="s">
        <v>1250</v>
      </c>
      <c r="B657" s="6" t="str">
        <f>IFERROR(__xludf.DUMMYFUNCTION("GOOGLETRANSLATE(A657,""en"",""fi"")"),"Ankanpokémon")</f>
        <v>Ankanpokémon</v>
      </c>
      <c r="C657" s="9" t="s">
        <v>29</v>
      </c>
    </row>
    <row r="658" ht="33.75" customHeight="1">
      <c r="A658" s="6" t="s">
        <v>1251</v>
      </c>
      <c r="B658" s="6" t="str">
        <f>IFERROR(__xludf.DUMMYFUNCTION("GOOGLETRANSLATE(A658,""en"",""fi"")"),"Pokémonin harjoittelu")</f>
        <v>Pokémonin harjoittelu</v>
      </c>
      <c r="C658" s="9" t="s">
        <v>29</v>
      </c>
    </row>
    <row r="659" ht="33.75" customHeight="1">
      <c r="A659" s="6" t="s">
        <v>1252</v>
      </c>
      <c r="B659" s="6" t="str">
        <f>IFERROR(__xludf.DUMMYFUNCTION("GOOGLETRANSLATE(A659,""en"",""fi"")"),"Tanssija-Pokémon")</f>
        <v>Tanssija-Pokémon</v>
      </c>
      <c r="C659" s="9" t="s">
        <v>29</v>
      </c>
    </row>
    <row r="660" ht="33.75" customHeight="1">
      <c r="A660" s="6" t="s">
        <v>1254</v>
      </c>
      <c r="B660" s="6" t="str">
        <f>IFERROR(__xludf.DUMMYFUNCTION("GOOGLETRANSLATE(A660,""en"",""fi"")"),"Sika-Pokémon")</f>
        <v>Sika-Pokémon</v>
      </c>
      <c r="C660" s="9" t="s">
        <v>29</v>
      </c>
    </row>
    <row r="661" ht="33.75" customHeight="1">
      <c r="A661" s="6" t="s">
        <v>1257</v>
      </c>
      <c r="B661" s="6" t="str">
        <f>IFERROR(__xludf.DUMMYFUNCTION("GOOGLETRANSLATE(A661,""en"",""fi"")"),"String Ball -pokémon")</f>
        <v>String Ball -pokémon</v>
      </c>
      <c r="C661" s="9" t="s">
        <v>29</v>
      </c>
    </row>
    <row r="662" ht="33.75" customHeight="1">
      <c r="A662" s="6" t="s">
        <v>1258</v>
      </c>
      <c r="B662" s="6" t="str">
        <f>IFERROR(__xludf.DUMMYFUNCTION("GOOGLETRANSLATE(A662,""en"",""fi"")"),"Heinäsirkka-Pokémon")</f>
        <v>Heinäsirkka-Pokémon</v>
      </c>
      <c r="C662" s="9" t="s">
        <v>29</v>
      </c>
    </row>
    <row r="663" ht="33.75" customHeight="1">
      <c r="A663" s="6" t="s">
        <v>1259</v>
      </c>
      <c r="B663" s="6" t="str">
        <f>IFERROR(__xludf.DUMMYFUNCTION("GOOGLETRANSLATE(A663,""en"",""fi"")"),"Käytännön Pokémon")</f>
        <v>Käytännön Pokémon</v>
      </c>
      <c r="C663" s="9" t="s">
        <v>29</v>
      </c>
    </row>
    <row r="664" ht="33.75" customHeight="1">
      <c r="A664" s="6" t="s">
        <v>1260</v>
      </c>
      <c r="B664" s="6" t="str">
        <f>IFERROR(__xludf.DUMMYFUNCTION("GOOGLETRANSLATE(A664,""en"",""fi"")"),"Pari Pokémon")</f>
        <v>Pari Pokémon</v>
      </c>
      <c r="C664" s="9" t="s">
        <v>29</v>
      </c>
    </row>
    <row r="665" ht="33.75" customHeight="1">
      <c r="A665" s="6" t="s">
        <v>1262</v>
      </c>
      <c r="B665" s="6" t="str">
        <f>IFERROR(__xludf.DUMMYFUNCTION("GOOGLETRANSLATE(A665,""en"",""fi"")"),"Perhe-Pokémon")</f>
        <v>Perhe-Pokémon</v>
      </c>
      <c r="C665" s="9" t="s">
        <v>29</v>
      </c>
    </row>
    <row r="666" ht="33.75" customHeight="1">
      <c r="A666" s="6" t="s">
        <v>1263</v>
      </c>
      <c r="B666" s="6" t="str">
        <f>IFERROR(__xludf.DUMMYFUNCTION("GOOGLETRANSLATE(A666,""en"",""fi"")"),"Oliivi-Pokémon")</f>
        <v>Oliivi-Pokémon</v>
      </c>
      <c r="C666" s="9" t="s">
        <v>29</v>
      </c>
    </row>
    <row r="667" ht="33.75" customHeight="1">
      <c r="A667" s="6" t="s">
        <v>1264</v>
      </c>
      <c r="B667" s="6" t="str">
        <f>IFERROR(__xludf.DUMMYFUNCTION("GOOGLETRANSLATE(A667,""en"",""fi"")"),"Papukaija-Pokémon")</f>
        <v>Papukaija-Pokémon</v>
      </c>
      <c r="C667" s="9" t="s">
        <v>29</v>
      </c>
    </row>
    <row r="668" ht="33.75" customHeight="1">
      <c r="A668" s="6" t="s">
        <v>1265</v>
      </c>
      <c r="B668" s="6" t="str">
        <f>IFERROR(__xludf.DUMMYFUNCTION("GOOGLETRANSLATE(A668,""en"",""fi"")"),"Kivisuola-Pokémon")</f>
        <v>Kivisuola-Pokémon</v>
      </c>
      <c r="C668" s="9" t="s">
        <v>29</v>
      </c>
    </row>
    <row r="669" ht="33.75" customHeight="1">
      <c r="A669" s="6" t="s">
        <v>1267</v>
      </c>
      <c r="B669" s="6" t="str">
        <f>IFERROR(__xludf.DUMMYFUNCTION("GOOGLETRANSLATE(A669,""en"",""fi"")"),"Tulilapsi-Pokémon")</f>
        <v>Tulilapsi-Pokémon</v>
      </c>
      <c r="C669" s="9" t="s">
        <v>29</v>
      </c>
    </row>
    <row r="670" ht="33.75" customHeight="1">
      <c r="A670" s="6" t="s">
        <v>1268</v>
      </c>
      <c r="B670" s="6" t="str">
        <f>IFERROR(__xludf.DUMMYFUNCTION("GOOGLETRANSLATE(A670,""en"",""fi"")"),"Tulisoturi-Pokémon")</f>
        <v>Tulisoturi-Pokémon</v>
      </c>
      <c r="C670" s="9" t="s">
        <v>29</v>
      </c>
    </row>
    <row r="671" ht="33.75" customHeight="1">
      <c r="A671" s="6" t="s">
        <v>1271</v>
      </c>
      <c r="B671" s="6" t="str">
        <f>IFERROR(__xludf.DUMMYFUNCTION("GOOGLETRANSLATE(A671,""en"",""fi"")"),"Tuliterät-Pokémon")</f>
        <v>Tuliterät-Pokémon</v>
      </c>
      <c r="C671" s="9" t="s">
        <v>29</v>
      </c>
    </row>
    <row r="672" ht="33.75" customHeight="1">
      <c r="A672" s="6" t="s">
        <v>1272</v>
      </c>
      <c r="B672" s="6" t="str">
        <f>IFERROR(__xludf.DUMMYFUNCTION("GOOGLETRANSLATE(A672,""en"",""fi"")"),"EleTadpole-Pokémon")</f>
        <v>EleTadpole-Pokémon</v>
      </c>
      <c r="C672" s="9" t="s">
        <v>29</v>
      </c>
    </row>
    <row r="673" ht="33.75" customHeight="1">
      <c r="A673" s="6" t="s">
        <v>1273</v>
      </c>
      <c r="B673" s="6" t="str">
        <f>IFERROR(__xludf.DUMMYFUNCTION("GOOGLETRANSLATE(A673,""en"",""fi"")"),"EleFrog-Pokémon")</f>
        <v>EleFrog-Pokémon</v>
      </c>
      <c r="C673" s="9" t="s">
        <v>29</v>
      </c>
    </row>
    <row r="674" ht="33.75" customHeight="1">
      <c r="A674" s="6" t="s">
        <v>1274</v>
      </c>
      <c r="B674" s="6" t="str">
        <f>IFERROR(__xludf.DUMMYFUNCTION("GOOGLETRANSLATE(A674,""en"",""fi"")"),"Myrskyn myrskyn myrskypalmu-Pokémon")</f>
        <v>Myrskyn myrskyn myrskypalmu-Pokémon</v>
      </c>
      <c r="C674" s="9" t="s">
        <v>29</v>
      </c>
    </row>
    <row r="675" ht="33.75" customHeight="1">
      <c r="A675" s="6" t="s">
        <v>1276</v>
      </c>
      <c r="B675" s="6" t="str">
        <f>IFERROR(__xludf.DUMMYFUNCTION("GOOGLETRANSLATE(A675,""en"",""fi"")"),"Fregattilintu-Pokémon")</f>
        <v>Fregattilintu-Pokémon</v>
      </c>
      <c r="C675" s="9" t="s">
        <v>29</v>
      </c>
    </row>
    <row r="676" ht="33.75" customHeight="1">
      <c r="A676" s="6" t="s">
        <v>1277</v>
      </c>
      <c r="B676" s="6" t="str">
        <f>IFERROR(__xludf.DUMMYFUNCTION("GOOGLETRANSLATE(A676,""en"",""fi"")"),"Veijari-Pokémon")</f>
        <v>Veijari-Pokémon</v>
      </c>
      <c r="C676" s="9" t="s">
        <v>29</v>
      </c>
    </row>
    <row r="677" ht="33.75" customHeight="1">
      <c r="A677" s="6" t="s">
        <v>1278</v>
      </c>
      <c r="B677" s="6" t="str">
        <f>IFERROR(__xludf.DUMMYFUNCTION("GOOGLETRANSLATE(A677,""en"",""fi"")"),"Pomo-Pokémon")</f>
        <v>Pomo-Pokémon</v>
      </c>
      <c r="C677" s="9" t="s">
        <v>29</v>
      </c>
    </row>
    <row r="678" ht="33.75" customHeight="1">
      <c r="A678" s="6" t="s">
        <v>1279</v>
      </c>
      <c r="B678" s="6" t="str">
        <f>IFERROR(__xludf.DUMMYFUNCTION("GOOGLETRANSLATE(A678,""en"",""fi"")"),"Myrkyllinen hiiri-Pokémon")</f>
        <v>Myrkyllinen hiiri-Pokémon</v>
      </c>
      <c r="C678" s="9" t="s">
        <v>29</v>
      </c>
    </row>
    <row r="679" ht="33.75" customHeight="1">
      <c r="A679" s="6" t="s">
        <v>1280</v>
      </c>
      <c r="B679" s="6" t="str">
        <f>IFERROR(__xludf.DUMMYFUNCTION("GOOGLETRANSLATE(A679,""en"",""fi"")"),"Myrkyllinen apina-Pokémon")</f>
        <v>Myrkyllinen apina-Pokémon</v>
      </c>
      <c r="C679" s="9" t="s">
        <v>29</v>
      </c>
    </row>
    <row r="680" ht="33.75" customHeight="1">
      <c r="A680" s="6" t="s">
        <v>1281</v>
      </c>
      <c r="B680" s="6" t="str">
        <f>IFERROR(__xludf.DUMMYFUNCTION("GOOGLETRANSLATE(A680,""en"",""fi"")"),"Tumbleweed-pokémon")</f>
        <v>Tumbleweed-pokémon</v>
      </c>
      <c r="C680" s="9" t="s">
        <v>29</v>
      </c>
    </row>
    <row r="681" ht="33.75" customHeight="1">
      <c r="A681" s="6" t="s">
        <v>1284</v>
      </c>
      <c r="B681" s="6" t="str">
        <f>IFERROR(__xludf.DUMMYFUNCTION("GOOGLETRANSLATE(A681,""en"",""fi"")"),"Puukorva-Pokémon")</f>
        <v>Puukorva-Pokémon</v>
      </c>
      <c r="C681" s="9" t="s">
        <v>29</v>
      </c>
    </row>
    <row r="682" ht="33.75" customHeight="1">
      <c r="A682" s="6" t="s">
        <v>1285</v>
      </c>
      <c r="B682" s="6" t="str">
        <f>IFERROR(__xludf.DUMMYFUNCTION("GOOGLETRANSLATE(A682,""en"",""fi"")"),"Väijytys-Pokémon")</f>
        <v>Väijytys-Pokémon</v>
      </c>
      <c r="C682" s="9" t="s">
        <v>29</v>
      </c>
    </row>
    <row r="683" ht="33.75" customHeight="1">
      <c r="A683" s="6" t="s">
        <v>1286</v>
      </c>
      <c r="B683" s="6" t="str">
        <f>IFERROR(__xludf.DUMMYFUNCTION("GOOGLETRANSLATE(A683,""en"",""fi"")"),"Mausteinen pippuri-Pokémon")</f>
        <v>Mausteinen pippuri-Pokémon</v>
      </c>
      <c r="C683" s="9" t="s">
        <v>29</v>
      </c>
    </row>
    <row r="684" ht="33.75" customHeight="1">
      <c r="A684" s="6" t="s">
        <v>1288</v>
      </c>
      <c r="B684" s="6" t="str">
        <f>IFERROR(__xludf.DUMMYFUNCTION("GOOGLETRANSLATE(A684,""en"",""fi"")"),"Pyörivä Pokémon")</f>
        <v>Pyörivä Pokémon</v>
      </c>
      <c r="C684" s="9" t="s">
        <v>29</v>
      </c>
    </row>
    <row r="685" ht="33.75" customHeight="1">
      <c r="A685" s="6" t="s">
        <v>1289</v>
      </c>
      <c r="B685" s="6" t="str">
        <f>IFERROR(__xludf.DUMMYFUNCTION("GOOGLETRANSLATE(A685,""en"",""fi"")"),"Röyhelö-Pokémon")</f>
        <v>Röyhelö-Pokémon</v>
      </c>
      <c r="C685" s="9" t="s">
        <v>29</v>
      </c>
    </row>
    <row r="686" ht="33.75" customHeight="1">
      <c r="A686" s="6" t="s">
        <v>1291</v>
      </c>
      <c r="B686" s="6" t="str">
        <f>IFERROR(__xludf.DUMMYFUNCTION("GOOGLETRANSLATE(A686,""en"",""fi"")"),"Strutsi-Pokémon")</f>
        <v>Strutsi-Pokémon</v>
      </c>
      <c r="C686" s="9" t="s">
        <v>29</v>
      </c>
    </row>
    <row r="687" ht="33.75" customHeight="1">
      <c r="A687" s="6" t="s">
        <v>1295</v>
      </c>
      <c r="B687" s="6" t="str">
        <f>IFERROR(__xludf.DUMMYFUNCTION("GOOGLETRANSLATE(A687,""en"",""fi"")"),"Metallisepän Pokémon")</f>
        <v>Metallisepän Pokémon</v>
      </c>
      <c r="C687" s="9" t="s">
        <v>29</v>
      </c>
    </row>
    <row r="688" ht="33.75" customHeight="1">
      <c r="A688" s="6" t="s">
        <v>1296</v>
      </c>
      <c r="B688" s="6" t="str">
        <f>IFERROR(__xludf.DUMMYFUNCTION("GOOGLETRANSLATE(A688,""en"",""fi"")"),"Vasara-Pokémon")</f>
        <v>Vasara-Pokémon</v>
      </c>
      <c r="C688" s="9" t="s">
        <v>29</v>
      </c>
    </row>
    <row r="689" ht="33.75" customHeight="1">
      <c r="A689" s="6" t="s">
        <v>1297</v>
      </c>
      <c r="B689" s="6" t="str">
        <f>IFERROR(__xludf.DUMMYFUNCTION("GOOGLETRANSLATE(A689,""en"",""fi"")"),"Puutarhan ankerias-Pokémon")</f>
        <v>Puutarhan ankerias-Pokémon</v>
      </c>
      <c r="C689" s="9" t="s">
        <v>29</v>
      </c>
    </row>
    <row r="690" ht="33.75" customHeight="1">
      <c r="A690" s="6" t="s">
        <v>1298</v>
      </c>
      <c r="B690" s="6" t="str">
        <f>IFERROR(__xludf.DUMMYFUNCTION("GOOGLETRANSLATE(A690,""en"",""fi"")"),"Esineiden pudotus-Pokémon")</f>
        <v>Esineiden pudotus-Pokémon</v>
      </c>
      <c r="C690" s="9" t="s">
        <v>29</v>
      </c>
    </row>
    <row r="691" ht="33.75" customHeight="1">
      <c r="A691" s="6" t="s">
        <v>1299</v>
      </c>
      <c r="B691" s="6" t="str">
        <f>IFERROR(__xludf.DUMMYFUNCTION("GOOGLETRANSLATE(A691,""en"",""fi"")"),"Delfiini-Pokémon")</f>
        <v>Delfiini-Pokémon</v>
      </c>
      <c r="C691" s="9" t="s">
        <v>29</v>
      </c>
    </row>
    <row r="692" ht="33.75" customHeight="1">
      <c r="A692" s="6" t="s">
        <v>1302</v>
      </c>
      <c r="B692" s="6" t="str">
        <f>IFERROR(__xludf.DUMMYFUNCTION("GOOGLETRANSLATE(A692,""en"",""fi"")"),"Yksisylinterinen Pokémon")</f>
        <v>Yksisylinterinen Pokémon</v>
      </c>
      <c r="C692" s="9" t="s">
        <v>29</v>
      </c>
    </row>
    <row r="693" ht="33.75" customHeight="1">
      <c r="A693" s="6" t="s">
        <v>1303</v>
      </c>
      <c r="B693" s="6" t="str">
        <f>IFERROR(__xludf.DUMMYFUNCTION("GOOGLETRANSLATE(A693,""en"",""fi"")"),"Monisylinterinen Pokémon")</f>
        <v>Monisylinterinen Pokémon</v>
      </c>
      <c r="C693" s="9" t="s">
        <v>29</v>
      </c>
    </row>
    <row r="694" ht="33.75" customHeight="1">
      <c r="A694" s="6" t="s">
        <v>1305</v>
      </c>
      <c r="B694" s="6" t="str">
        <f>IFERROR(__xludf.DUMMYFUNCTION("GOOGLETRANSLATE(A694,""en"",""fi"")"),"Kastemato-Pokémon")</f>
        <v>Kastemato-Pokémon</v>
      </c>
      <c r="C694" s="9" t="s">
        <v>29</v>
      </c>
    </row>
    <row r="695" ht="33.75" customHeight="1">
      <c r="A695" s="6" t="s">
        <v>1307</v>
      </c>
      <c r="B695" s="6" t="str">
        <f>IFERROR(__xludf.DUMMYFUNCTION("GOOGLETRANSLATE(A695,""en"",""fi"")"),"Aavekoira-Pokémon")</f>
        <v>Aavekoira-Pokémon</v>
      </c>
      <c r="C695" s="9" t="s">
        <v>29</v>
      </c>
    </row>
    <row r="696" ht="33.75" customHeight="1">
      <c r="A696" s="6" t="s">
        <v>1310</v>
      </c>
      <c r="B696" s="6" t="str">
        <f>IFERROR(__xludf.DUMMYFUNCTION("GOOGLETRANSLATE(A696,""en"",""fi"")"),"Synkronoi Pokémonit")</f>
        <v>Synkronoi Pokémonit</v>
      </c>
      <c r="C696" s="9" t="s">
        <v>29</v>
      </c>
    </row>
    <row r="697" ht="33.75" customHeight="1">
      <c r="A697" s="6" t="s">
        <v>1312</v>
      </c>
      <c r="B697" s="6" t="str">
        <f>IFERROR(__xludf.DUMMYFUNCTION("GOOGLETRANSLATE(A697,""en"",""fi"")"),"Mavalas-Pokémon")</f>
        <v>Mavalas-Pokémon</v>
      </c>
      <c r="C697" s="9" t="s">
        <v>29</v>
      </c>
    </row>
    <row r="698" ht="33.75" customHeight="1">
      <c r="A698" s="6" t="s">
        <v>1315</v>
      </c>
      <c r="B698" s="6" t="str">
        <f>IFERROR(__xludf.DUMMYFUNCTION("GOOGLETRANSLATE(A698,""en"",""fi"")"),"Heitetyn Pokémonin")</f>
        <v>Heitetyn Pokémonin</v>
      </c>
      <c r="C698" s="9" t="s">
        <v>29</v>
      </c>
    </row>
    <row r="699" ht="33.75" customHeight="1">
      <c r="A699" s="6" t="s">
        <v>1317</v>
      </c>
      <c r="B699" s="6" t="str">
        <f>IFERROR(__xludf.DUMMYFUNCTION("GOOGLETRANSLATE(A699,""en"",""fi"")"),"Iso monni-Pokémon")</f>
        <v>Iso monni-Pokémon</v>
      </c>
      <c r="C699" s="9" t="s">
        <v>29</v>
      </c>
    </row>
    <row r="700" ht="33.75" customHeight="1">
      <c r="A700" s="6" t="s">
        <v>1319</v>
      </c>
      <c r="B700" s="6" t="str">
        <f>IFERROR(__xludf.DUMMYFUNCTION("GOOGLETRANSLATE(A700,""en"",""fi"")"),"Matkiva Pokémon")</f>
        <v>Matkiva Pokémon</v>
      </c>
      <c r="C700" s="9" t="s">
        <v>29</v>
      </c>
    </row>
    <row r="701" ht="33.75" customHeight="1">
      <c r="A701" s="6" t="s">
        <v>1321</v>
      </c>
      <c r="B701" s="6" t="str">
        <f>IFERROR(__xludf.DUMMYFUNCTION("GOOGLETRANSLATE(A701,""en"",""fi"")"),"Raivoapina-Pokémon")</f>
        <v>Raivoapina-Pokémon</v>
      </c>
      <c r="C701" s="9" t="s">
        <v>29</v>
      </c>
    </row>
    <row r="702" ht="33.75" customHeight="1">
      <c r="A702" s="6" t="s">
        <v>1323</v>
      </c>
      <c r="B702" s="6" t="str">
        <f>IFERROR(__xludf.DUMMYFUNCTION("GOOGLETRANSLATE(A702,""en"",""fi"")"),"Piikkikala-Pokémon")</f>
        <v>Piikkikala-Pokémon</v>
      </c>
      <c r="C702" s="9" t="s">
        <v>29</v>
      </c>
    </row>
    <row r="703" ht="33.75" customHeight="1">
      <c r="A703" s="6" t="s">
        <v>1324</v>
      </c>
      <c r="B703" s="6" t="str">
        <f>IFERROR(__xludf.DUMMYFUNCTION("GOOGLETRANSLATE(A703,""en"",""fi"")"),"Iso terä Pokémon")</f>
        <v>Iso terä Pokémon</v>
      </c>
      <c r="C703" s="9" t="s">
        <v>29</v>
      </c>
    </row>
    <row r="704" ht="33.75" customHeight="1">
      <c r="A704" s="6" t="s">
        <v>1325</v>
      </c>
      <c r="B704" s="6" t="str">
        <f>IFERROR(__xludf.DUMMYFUNCTION("GOOGLETRANSLATE(A704,""en"",""fi"")"),"Paradoksi-Pokémon")</f>
        <v>Paradoksi-Pokémon</v>
      </c>
      <c r="C704" s="9" t="s">
        <v>29</v>
      </c>
    </row>
    <row r="705" ht="33.75" customHeight="1">
      <c r="A705" s="6" t="s">
        <v>1326</v>
      </c>
      <c r="B705" s="6" t="str">
        <f>IFERROR(__xludf.DUMMYFUNCTION("GOOGLETRANSLATE(A705,""en"",""fi"")"),"Jääevä-Pokémon")</f>
        <v>Jääevä-Pokémon</v>
      </c>
      <c r="C705" s="9" t="s">
        <v>29</v>
      </c>
    </row>
    <row r="706" ht="33.75" customHeight="1">
      <c r="A706" s="6" t="s">
        <v>1327</v>
      </c>
      <c r="B706" s="6" t="str">
        <f>IFERROR(__xludf.DUMMYFUNCTION("GOOGLETRANSLATE(A706,""en"",""fi"")"),"Jäälohikäärme-Pokémon")</f>
        <v>Jäälohikäärme-Pokémon</v>
      </c>
      <c r="C706" s="9" t="s">
        <v>29</v>
      </c>
    </row>
    <row r="707" ht="33.75" customHeight="1">
      <c r="A707" s="6" t="s">
        <v>1330</v>
      </c>
      <c r="B707" s="6" t="str">
        <f>IFERROR(__xludf.DUMMYFUNCTION("GOOGLETRANSLATE(A707,""en"",""fi"")"),"Kolikkoarkku-Pokémon")</f>
        <v>Kolikkoarkku-Pokémon</v>
      </c>
      <c r="C707" s="9" t="s">
        <v>29</v>
      </c>
    </row>
    <row r="708" ht="33.75" customHeight="1">
      <c r="A708" s="6" t="s">
        <v>1331</v>
      </c>
      <c r="B708" s="6" t="str">
        <f>IFERROR(__xludf.DUMMYFUNCTION("GOOGLETRANSLATE(A708,""en"",""fi"")"),"Kolikko-olento-Pokémon")</f>
        <v>Kolikko-olento-Pokémon</v>
      </c>
      <c r="C708" s="9" t="s">
        <v>29</v>
      </c>
    </row>
    <row r="709" ht="33.75" customHeight="1">
      <c r="A709" s="6" t="s">
        <v>1334</v>
      </c>
      <c r="B709" s="6" t="str">
        <f>IFERROR(__xludf.DUMMYFUNCTION("GOOGLETRANSLATE(A709,""en"",""fi"")"),"Tuhoisa Pokémon")</f>
        <v>Tuhoisa Pokémon</v>
      </c>
      <c r="C709" s="9" t="s">
        <v>29</v>
      </c>
    </row>
    <row r="710" ht="33.75" customHeight="1">
      <c r="A710" s="6" t="s">
        <v>1335</v>
      </c>
      <c r="B710" s="6" t="str">
        <f>IFERROR(__xludf.DUMMYFUNCTION("GOOGLETRANSLATE(A710,""en"",""fi"")"),"Karkkiomena-Pokémon")</f>
        <v>Karkkiomena-Pokémon</v>
      </c>
      <c r="C710" s="9" t="s">
        <v>29</v>
      </c>
    </row>
    <row r="711" ht="33.75" customHeight="1">
      <c r="A711" s="6" t="s">
        <v>1336</v>
      </c>
      <c r="B711" s="6" t="str">
        <f>IFERROR(__xludf.DUMMYFUNCTION("GOOGLETRANSLATE(A711,""en"",""fi"")"),"Matcha-Pokémon")</f>
        <v>Matcha-Pokémon</v>
      </c>
      <c r="C711" s="9" t="s">
        <v>29</v>
      </c>
    </row>
    <row r="712" ht="33.75" customHeight="1">
      <c r="A712" s="6" t="s">
        <v>1337</v>
      </c>
      <c r="B712" s="6" t="str">
        <f>IFERROR(__xludf.DUMMYFUNCTION("GOOGLETRANSLATE(A712,""en"",""fi"")"),"Pidätin-Pokémon")</f>
        <v>Pidätin-Pokémon</v>
      </c>
      <c r="C712" s="9" t="s">
        <v>29</v>
      </c>
    </row>
    <row r="713" ht="33.75" customHeight="1">
      <c r="A713" s="6" t="s">
        <v>1338</v>
      </c>
      <c r="B713" s="6" t="str">
        <f>IFERROR(__xludf.DUMMYFUNCTION("GOOGLETRANSLATE(A713,""en"",""fi"")"),"Naamio-Pokémon")</f>
        <v>Naamio-Pokémon</v>
      </c>
      <c r="C713" s="9" t="s">
        <v>29</v>
      </c>
    </row>
    <row r="714" ht="33.75" customHeight="1">
      <c r="A714" s="6" t="s">
        <v>1339</v>
      </c>
      <c r="B714" s="6" t="str">
        <f>IFERROR(__xludf.DUMMYFUNCTION("GOOGLETRANSLATE(A714,""en"",""fi"")"),"Apple Hydra -pokémon")</f>
        <v>Apple Hydra -pokémon</v>
      </c>
      <c r="C714" s="9" t="s">
        <v>29</v>
      </c>
    </row>
    <row r="715" ht="33.75" customHeight="1">
      <c r="A715" s="6" t="s">
        <v>1341</v>
      </c>
      <c r="B715" s="6" t="str">
        <f>IFERROR(__xludf.DUMMYFUNCTION("GOOGLETRANSLATE(A715,""en"",""fi"")"),"Tera-Pokémon")</f>
        <v>Tera-Pokémon</v>
      </c>
      <c r="C715" s="9" t="s">
        <v>29</v>
      </c>
    </row>
    <row r="716" ht="33.75" customHeight="1">
      <c r="A716" s="6" t="s">
        <v>1343</v>
      </c>
      <c r="B716" s="6" t="str">
        <f>IFERROR(__xludf.DUMMYFUNCTION("GOOGLETRANSLATE(A716,""en"",""fi"")"),"Alistaminen-Pokémon")</f>
        <v>Alistaminen-Pokémon</v>
      </c>
      <c r="C716" s="9" t="s">
        <v>29</v>
      </c>
    </row>
    <row r="717" ht="33.75" customHeight="1">
      <c r="A717" s="6" t="s">
        <v>26</v>
      </c>
      <c r="B717" s="6" t="str">
        <f>IFERROR(__xludf.DUMMYFUNCTION("GOOGLETRANSLATE(A717,""en"",""fi"")"),"Sen selkään kylvettiin outo siemen syntymän yhteydessä. Kasvi itää ja kasvaa tämän POKéMONin mukana.")</f>
        <v>Sen selkään kylvettiin outo siemen syntymän yhteydessä. Kasvi itää ja kasvaa tämän POKéMONin mukana.</v>
      </c>
      <c r="C717" s="9" t="s">
        <v>1344</v>
      </c>
    </row>
    <row r="718" ht="33.75" customHeight="1">
      <c r="A718" s="6" t="s">
        <v>44</v>
      </c>
      <c r="B718" s="6" t="str">
        <f>IFERROR(__xludf.DUMMYFUNCTION("GOOGLETRANSLATE(A718,""en"",""fi"")"),"Se voi olla päiväkausia syömättä ainuttakaan palasta. Sen selkäpuolella olevaan lamppuun se varastoi energiaa.")</f>
        <v>Se voi olla päiväkausia syömättä ainuttakaan palasta. Sen selkäpuolella olevaan lamppuun se varastoi energiaa.</v>
      </c>
      <c r="C718" s="9" t="s">
        <v>1344</v>
      </c>
    </row>
    <row r="719" ht="33.75" customHeight="1">
      <c r="A719" s="6" t="s">
        <v>54</v>
      </c>
      <c r="B719" s="6" t="str">
        <f>IFERROR(__xludf.DUMMYFUNCTION("GOOGLETRANSLATE(A719,""en"",""fi"")"),"Sen selässä oleva siemen on täynnä ravinteita. Siemen kasvaa tasaisesti suuremmaksi sen ruumiin kasvaessa.")</f>
        <v>Sen selässä oleva siemen on täynnä ravinteita. Siemen kasvaa tasaisesti suuremmaksi sen ruumiin kasvaessa.</v>
      </c>
      <c r="C719" s="9" t="s">
        <v>1344</v>
      </c>
    </row>
    <row r="720" ht="33.75" customHeight="1">
      <c r="A720" s="6" t="s">
        <v>70</v>
      </c>
      <c r="B720" s="6" t="str">
        <f>IFERROR(__xludf.DUMMYFUNCTION("GOOGLETRANSLATE(A720,""en"",""fi"")"),"Se kantaa siementä selässään heti syntymästään lähtien. Vanhetessaan siemen myös kasvaa.")</f>
        <v>Se kantaa siementä selässään heti syntymästään lähtien. Vanhetessaan siemen myös kasvaa.</v>
      </c>
      <c r="C720" s="9" t="s">
        <v>1344</v>
      </c>
    </row>
    <row r="721" ht="33.75" customHeight="1">
      <c r="A721" s="6" t="s">
        <v>77</v>
      </c>
      <c r="B721" s="6" t="str">
        <f>IFERROR(__xludf.DUMMYFUNCTION("GOOGLETRANSLATE(A721,""en"",""fi"")"),"Nuorena se käyttää kasvamiseen selässään olevien siementen ravinteita.")</f>
        <v>Nuorena se käyttää kasvamiseen selässään olevien siementen ravinteita.</v>
      </c>
      <c r="C721" s="9" t="s">
        <v>1344</v>
      </c>
    </row>
    <row r="722" ht="33.75" customHeight="1">
      <c r="A722" s="6" t="s">
        <v>85</v>
      </c>
      <c r="B722" s="6" t="str">
        <f>IFERROR(__xludf.DUMMYFUNCTION("GOOGLETRANSLATE(A722,""en"",""fi"")"),"BULBASAURIN voi nähdä nukkuvan kirkkaassa auringonvalossa. Sen selässä on siemen. Auringonsäteitä imemällä siemen kasvaa asteittain suuremmaksi.")</f>
        <v>BULBASAURIN voi nähdä nukkuvan kirkkaassa auringonvalossa. Sen selässä on siemen. Auringonsäteitä imemällä siemen kasvaa asteittain suuremmaksi.</v>
      </c>
      <c r="C722" s="9" t="s">
        <v>1344</v>
      </c>
    </row>
    <row r="723" ht="33.75" customHeight="1">
      <c r="A723" s="6" t="s">
        <v>96</v>
      </c>
      <c r="B723" s="6" t="str">
        <f>IFERROR(__xludf.DUMMYFUNCTION("GOOGLETRANSLATE(A723,""en"",""fi"")"),"Sen selässä on kasvinsiemen heti syntymäpäivästä lähtien. Siemen kasvaa hitaasti suuremmaksi.")</f>
        <v>Sen selässä on kasvinsiemen heti syntymäpäivästä lähtien. Siemen kasvaa hitaasti suuremmaksi.</v>
      </c>
      <c r="C723" s="9" t="s">
        <v>1344</v>
      </c>
    </row>
    <row r="724" ht="33.75" customHeight="1">
      <c r="A724" s="6" t="s">
        <v>103</v>
      </c>
      <c r="B724" s="6" t="str">
        <f>IFERROR(__xludf.DUMMYFUNCTION("GOOGLETRANSLATE(A724,""en"",""fi"")"),"Jonkin aikaa syntymänsä jälkeen se kasvaa saamalla ravintoa selässään olevasta siemenestä.")</f>
        <v>Jonkin aikaa syntymänsä jälkeen se kasvaa saamalla ravintoa selässään olevasta siemenestä.</v>
      </c>
      <c r="C724" s="9" t="s">
        <v>1344</v>
      </c>
    </row>
    <row r="725" ht="33.75" customHeight="1">
      <c r="A725" s="6" t="s">
        <v>142</v>
      </c>
      <c r="B725" s="6" t="str">
        <f>IFERROR(__xludf.DUMMYFUNCTION("GOOGLETRANSLATE(A725,""en"",""fi"")"),"Sen selkään kylvettiin outo siemen syntymän yhteydessä. Kasvi itää ja kasvaa tämän Pokémonin mukana.")</f>
        <v>Sen selkään kylvettiin outo siemen syntymän yhteydessä. Kasvi itää ja kasvaa tämän Pokémonin mukana.</v>
      </c>
      <c r="C725" s="9" t="s">
        <v>1344</v>
      </c>
    </row>
    <row r="726" ht="33.75" customHeight="1">
      <c r="A726" s="6" t="s">
        <v>149</v>
      </c>
      <c r="B726" s="6" t="str">
        <f>IFERROR(__xludf.DUMMYFUNCTION("GOOGLETRANSLATE(A726,""en"",""fi"")"),"Bulbasaurin voi nähdä nukkuvan kirkkaassa auringonvalossa. Sen selässä on siemen. Auringonsäteitä imemällä siemen kasvaa asteittain suuremmaksi.")</f>
        <v>Bulbasaurin voi nähdä nukkuvan kirkkaassa auringonvalossa. Sen selässä on siemen. Auringonsäteitä imemällä siemen kasvaa asteittain suuremmaksi.</v>
      </c>
      <c r="C726" s="9" t="s">
        <v>1344</v>
      </c>
    </row>
    <row r="727" ht="33.75" customHeight="1">
      <c r="A727" s="6" t="s">
        <v>157</v>
      </c>
      <c r="B727" s="6" t="str">
        <f>IFERROR(__xludf.DUMMYFUNCTION("GOOGLETRANSLATE(A727,""en"",""fi"")"),"Tämän Pokémonin selässä on kasvinsiemen heti syntymäpäivästä lähtien. Siemen kasvaa hitaasti suuremmaksi.")</f>
        <v>Tämän Pokémonin selässä on kasvinsiemen heti syntymäpäivästä lähtien. Siemen kasvaa hitaasti suuremmaksi.</v>
      </c>
      <c r="C727" s="9" t="s">
        <v>1344</v>
      </c>
    </row>
    <row r="728" ht="33.75" customHeight="1">
      <c r="A728" s="6" t="s">
        <v>160</v>
      </c>
      <c r="B728" s="6" t="str">
        <f>IFERROR(__xludf.DUMMYFUNCTION("GOOGLETRANSLATE(A728,""en"",""fi"")"),"Nuorena se käyttää kasvamiseen selässään olevan siemenen ravinteita.")</f>
        <v>Nuorena se käyttää kasvamiseen selässään olevan siemenen ravinteita.</v>
      </c>
      <c r="C728" s="9" t="s">
        <v>1344</v>
      </c>
    </row>
    <row r="729" ht="33.75" customHeight="1">
      <c r="A729" s="6" t="s">
        <v>163</v>
      </c>
      <c r="B729" s="6" t="str">
        <f>IFERROR(__xludf.DUMMYFUNCTION("GOOGLETRANSLATE(A729,""en"",""fi"")"),"Kun sen selässä oleva sipuli kasvaa suureksi, se näyttää menettävän kyvyn seistä takajaloillaan.")</f>
        <v>Kun sen selässä oleva sipuli kasvaa suureksi, se näyttää menettävän kyvyn seistä takajaloillaan.</v>
      </c>
      <c r="C729" s="9" t="s">
        <v>1344</v>
      </c>
    </row>
    <row r="730" ht="33.75" customHeight="1">
      <c r="A730" s="6" t="s">
        <v>170</v>
      </c>
      <c r="B730" s="6" t="str">
        <f>IFERROR(__xludf.DUMMYFUNCTION("GOOGLETRANSLATE(A730,""en"",""fi"")"),"Sen selkäpuolella oleva sipuli kasvaa vetämällä energiaa. Se erittää tuoksua, kun se on valmis kukkimaan.")</f>
        <v>Sen selkäpuolella oleva sipuli kasvaa vetämällä energiaa. Se erittää tuoksua, kun se on valmis kukkimaan.</v>
      </c>
      <c r="C730" s="9" t="s">
        <v>1344</v>
      </c>
    </row>
    <row r="731" ht="33.75" customHeight="1">
      <c r="A731" s="6" t="s">
        <v>174</v>
      </c>
      <c r="B731" s="6" t="str">
        <f>IFERROR(__xludf.DUMMYFUNCTION("GOOGLETRANSLATE(A731,""en"",""fi"")"),"Auringonvalolle altistuminen lisää sen vahvuutta. Auringonvalo myös kasvattaa sen selässä olevaa nuppua suuremmaksi.")</f>
        <v>Auringonvalolle altistuminen lisää sen vahvuutta. Auringonvalo myös kasvattaa sen selässä olevaa nuppua suuremmaksi.</v>
      </c>
      <c r="C731" s="9" t="s">
        <v>1344</v>
      </c>
    </row>
    <row r="732" ht="33.75" customHeight="1">
      <c r="A732" s="6" t="s">
        <v>177</v>
      </c>
      <c r="B732" s="6" t="str">
        <f>IFERROR(__xludf.DUMMYFUNCTION("GOOGLETRANSLATE(A732,""en"",""fi"")"),"Jos sen selässä oleva nuppu alkaa tuoksua makealta, se on merkki siitä, että suuri kukka kukkii pian.")</f>
        <v>Jos sen selässä oleva nuppu alkaa tuoksua makealta, se on merkki siitä, että suuri kukka kukkii pian.</v>
      </c>
      <c r="C732" s="9" t="s">
        <v>1344</v>
      </c>
    </row>
    <row r="733" ht="33.75" customHeight="1">
      <c r="A733" s="6" t="s">
        <v>180</v>
      </c>
      <c r="B733" s="6" t="str">
        <f>IFERROR(__xludf.DUMMYFUNCTION("GOOGLETRANSLATE(A733,""en"",""fi"")"),"Sipuli kasvaa ravinteiden imeytyessään. Sipulista lähtee miellyttävä tuoksu kukinnan aikana.")</f>
        <v>Sipuli kasvaa ravinteiden imeytyessään. Sipulista lähtee miellyttävä tuoksu kukinnan aikana.</v>
      </c>
      <c r="C733" s="9" t="s">
        <v>1344</v>
      </c>
    </row>
    <row r="734" ht="33.75" customHeight="1">
      <c r="A734" s="6" t="s">
        <v>186</v>
      </c>
      <c r="B734" s="6" t="str">
        <f>IFERROR(__xludf.DUMMYFUNCTION("GOOGLETRANSLATE(A734,""en"",""fi"")"),"Tämän POKéMONin selässä on nuppu. IVYSAURin jalat ja vartalo kasvavat paksuiksi ja vahvoiksi kannatellakseen sen painoa. Jos se alkaa viettää enemmän aikaa auringonvalossa, se on merkki siitä, että nuppu puhkeaa pian suureksi kukaksi.")</f>
        <v>Tämän POKéMONin selässä on nuppu. IVYSAURin jalat ja vartalo kasvavat paksuiksi ja vahvoiksi kannatellakseen sen painoa. Jos se alkaa viettää enemmän aikaa auringonvalossa, se on merkki siitä, että nuppu puhkeaa pian suureksi kukaksi.</v>
      </c>
      <c r="C734" s="9" t="s">
        <v>1344</v>
      </c>
    </row>
    <row r="735" ht="33.75" customHeight="1">
      <c r="A735" s="6" t="s">
        <v>194</v>
      </c>
      <c r="B735" s="6" t="str">
        <f>IFERROR(__xludf.DUMMYFUNCTION("GOOGLETRANSLATE(A735,""en"",""fi"")"),"IVYSAURin sipulin tukemiseksi sen jalat kasvavat tukevasti. Jos se viettää enemmän aikaa auringonvalossa, nupusta puhkeaa pian suuri kukka.")</f>
        <v>IVYSAURin sipulin tukemiseksi sen jalat kasvavat tukevasti. Jos se viettää enemmän aikaa auringonvalossa, nupusta puhkeaa pian suuri kukka.</v>
      </c>
      <c r="C735" s="9" t="s">
        <v>1344</v>
      </c>
    </row>
    <row r="736" ht="33.75" customHeight="1">
      <c r="A736" s="6" t="s">
        <v>199</v>
      </c>
      <c r="B736" s="6" t="str">
        <f>IFERROR(__xludf.DUMMYFUNCTION("GOOGLETRANSLATE(A736,""en"",""fi"")"),"Sen selässä on sipuli. Kun se imee ravinteita, sipulin sanotaan puhkeavan suureksi kukaksi.")</f>
        <v>Sen selässä on sipuli. Kun se imee ravinteita, sipulin sanotaan puhkeavan suureksi kukaksi.</v>
      </c>
      <c r="C736" s="9" t="s">
        <v>1344</v>
      </c>
    </row>
    <row r="737" ht="33.75" customHeight="1">
      <c r="A737" s="6" t="s">
        <v>205</v>
      </c>
      <c r="B737" s="6" t="str">
        <f>IFERROR(__xludf.DUMMYFUNCTION("GOOGLETRANSLATE(A737,""en"",""fi"")"),"Kun kukan selässä oleva nuppu alkaa turvota, siitä leijuu makea tuoksu, joka merkitsee kukan tulevaa kukintaa.")</f>
        <v>Kun kukan selässä oleva nuppu alkaa turvota, siitä leijuu makea tuoksu, joka merkitsee kukan tulevaa kukintaa.</v>
      </c>
      <c r="C737" s="9" t="s">
        <v>1344</v>
      </c>
    </row>
    <row r="738" ht="33.75" customHeight="1">
      <c r="A738" s="6" t="s">
        <v>213</v>
      </c>
      <c r="B738" s="6" t="str">
        <f>IFERROR(__xludf.DUMMYFUNCTION("GOOGLETRANSLATE(A738,""en"",""fi"")"),"Auringonvalolle altistuminen lisää sen vahvuutta. Auringonvalo myös kasvattaa sen selässä olevaa nuppua suuremmaksi.")</f>
        <v>Auringonvalolle altistuminen lisää sen vahvuutta. Auringonvalo myös kasvattaa sen selässä olevaa nuppua suuremmaksi.</v>
      </c>
      <c r="C738" s="9" t="s">
        <v>1344</v>
      </c>
    </row>
    <row r="739" ht="33.75" customHeight="1">
      <c r="A739" s="6" t="s">
        <v>226</v>
      </c>
      <c r="B739" s="6" t="str">
        <f>IFERROR(__xludf.DUMMYFUNCTION("GOOGLETRANSLATE(A739,""en"",""fi"")"),"Tämän Pokémonin selässä on nuppu. Kannoittaakseen sen painoa Ivysauruksen jalat ja vartalo kasvavat paksuiksi ja vahvoiksi. Jos se alkaa viettää enemmän aikaa auringonvalossa, se on merkki siitä, että nuppu puhkeaa pian suureksi kukaksi.")</f>
        <v>Tämän Pokémonin selässä on nuppu. Kannoittaakseen sen painoa Ivysauruksen jalat ja vartalo kasvavat paksuiksi ja vahvoiksi. Jos se alkaa viettää enemmän aikaa auringonvalossa, se on merkki siitä, että nuppu puhkeaa pian suureksi kukaksi.</v>
      </c>
      <c r="C739" s="9" t="s">
        <v>1344</v>
      </c>
    </row>
    <row r="740" ht="33.75" customHeight="1">
      <c r="A740" s="6" t="s">
        <v>231</v>
      </c>
      <c r="B740" s="6" t="str">
        <f>IFERROR(__xludf.DUMMYFUNCTION("GOOGLETRANSLATE(A740,""en"",""fi"")"),"Sen selässä oleva nuppu kasvaa vetämällä energiaa puoleensa. Se erittää tuoksua, kun se on valmis kukkimaan.")</f>
        <v>Sen selässä oleva nuppu kasvaa vetämällä energiaa puoleensa. Se erittää tuoksua, kun se on valmis kukkimaan.</v>
      </c>
      <c r="C740" s="9" t="s">
        <v>1344</v>
      </c>
    </row>
    <row r="741" ht="33.75" customHeight="1">
      <c r="A741" s="6" t="s">
        <v>243</v>
      </c>
      <c r="B741" s="6" t="str">
        <f>IFERROR(__xludf.DUMMYFUNCTION("GOOGLETRANSLATE(A741,""en"",""fi"")"),"Kasvi kukkii, kun se imee itseensä auringon energiaa. Se pysyy liikkeellä etsiessään auringonvaloa.")</f>
        <v>Kasvi kukkii, kun se imee itseensä auringon energiaa. Se pysyy liikkeellä etsiessään auringonvaloa.</v>
      </c>
      <c r="C741" s="9" t="s">
        <v>1344</v>
      </c>
    </row>
    <row r="742" ht="33.75" customHeight="1">
      <c r="A742" s="6" t="s">
        <v>248</v>
      </c>
      <c r="B742" s="6" t="str">
        <f>IFERROR(__xludf.DUMMYFUNCTION("GOOGLETRANSLATE(A742,""en"",""fi"")"),"Selällään oleva kukka kerää auringonsäteet. Auringonvalo imeytyy sitten ja käytetään energiana.")</f>
        <v>Selällään oleva kukka kerää auringonsäteet. Auringonvalo imeytyy sitten ja käytetään energiana.</v>
      </c>
      <c r="C742" s="9" t="s">
        <v>1344</v>
      </c>
    </row>
    <row r="743" ht="33.75" customHeight="1">
      <c r="A743" s="6" t="s">
        <v>251</v>
      </c>
      <c r="B743" s="6" t="str">
        <f>IFERROR(__xludf.DUMMYFUNCTION("GOOGLETRANSLATE(A743,""en"",""fi"")"),"Levittämällä kukkansa leveät terälehdet ja nappaamalla auringonsäteet se täyttää ruumiinsa voimalla.")</f>
        <v>Levittämällä kukkansa leveät terälehdet ja nappaamalla auringonsäteet se täyttää ruumiinsa voimalla.</v>
      </c>
      <c r="C743" s="9" t="s">
        <v>1344</v>
      </c>
    </row>
    <row r="744" ht="33.75" customHeight="1">
      <c r="A744" s="6" t="s">
        <v>254</v>
      </c>
      <c r="B744" s="6" t="str">
        <f>IFERROR(__xludf.DUMMYFUNCTION("GOOGLETRANSLATE(A744,""en"",""fi"")"),"Se pystyy muuntamaan auringonvalon energiaksi. Tämän seurauksena se on tehokkaampi kesällä.")</f>
        <v>Se pystyy muuntamaan auringonvalon energiaksi. Tämän seurauksena se on tehokkaampi kesällä.</v>
      </c>
      <c r="C744" s="9" t="s">
        <v>1344</v>
      </c>
    </row>
    <row r="745" ht="33.75" customHeight="1">
      <c r="A745" s="6" t="s">
        <v>258</v>
      </c>
      <c r="B745" s="6" t="str">
        <f>IFERROR(__xludf.DUMMYFUNCTION("GOOGLETRANSLATE(A745,""en"",""fi"")"),"Lämpeneessään ja auringonvaloa imeessään se vapauttaa kukkaterälehdet miellyttävän tuoksun.")</f>
        <v>Lämpeneessään ja auringonvaloa imeessään se vapauttaa kukkaterälehdet miellyttävän tuoksun.</v>
      </c>
      <c r="C745" s="9" t="s">
        <v>1344</v>
      </c>
    </row>
    <row r="746" ht="33.75" customHeight="1">
      <c r="A746" s="6" t="s">
        <v>260</v>
      </c>
      <c r="B746" s="6" t="str">
        <f>IFERROR(__xludf.DUMMYFUNCTION("GOOGLETRANSLATE(A746,""en"",""fi"")"),"VENUSAURUKSEN selässä on suuri kukka. Kukan sanotaan saavan kirkkaita värejä, jos se saa runsaasti ravinteita ja auringonvaloa. Kukan tuoksu rauhoittaa ihmisten tunteita.")</f>
        <v>VENUSAURUKSEN selässä on suuri kukka. Kukan sanotaan saavan kirkkaita värejä, jos se saa runsaasti ravinteita ja auringonvaloa. Kukan tuoksu rauhoittaa ihmisten tunteita.</v>
      </c>
      <c r="C746" s="9" t="s">
        <v>1344</v>
      </c>
    </row>
    <row r="747" ht="33.75" customHeight="1">
      <c r="A747" s="6" t="s">
        <v>266</v>
      </c>
      <c r="B747" s="6" t="str">
        <f>IFERROR(__xludf.DUMMYFUNCTION("GOOGLETRANSLATE(A747,""en"",""fi"")"),"VENUSAURUKSEN kukan sanotaan saavan kirkkaita värejä, jos se saa runsaasti ravinteita ja auringonvaloa. Kukan tuoksu rauhoittaa ihmisten tunteita.")</f>
        <v>VENUSAURUKSEN kukan sanotaan saavan kirkkaita värejä, jos se saa runsaasti ravinteita ja auringonvaloa. Kukan tuoksu rauhoittaa ihmisten tunteita.</v>
      </c>
      <c r="C747" s="9" t="s">
        <v>1344</v>
      </c>
    </row>
    <row r="748" ht="33.75" customHeight="1">
      <c r="A748" s="6" t="s">
        <v>269</v>
      </c>
      <c r="B748" s="6" t="str">
        <f>IFERROR(__xludf.DUMMYFUNCTION("GOOGLETRANSLATE(A748,""en"",""fi"")"),"Sen kukasta leijuu lumoava tuoksu. Tuoksu rauhoittaa taisteluun osallistuvat.")</f>
        <v>Sen kukasta leijuu lumoava tuoksu. Tuoksu rauhoittaa taisteluun osallistuvat.</v>
      </c>
      <c r="C748" s="9" t="s">
        <v>1344</v>
      </c>
    </row>
    <row r="749" ht="33.75" customHeight="1">
      <c r="A749" s="6" t="s">
        <v>271</v>
      </c>
      <c r="B749" s="6" t="str">
        <f>IFERROR(__xludf.DUMMYFUNCTION("GOOGLETRANSLATE(A749,""en"",""fi"")"),"Sen kasvi kukkii, kun se imee itseensä auringon energiaa. Se pysyy liikkeellä etsiessään auringonvaloa.")</f>
        <v>Sen kasvi kukkii, kun se imee itseensä auringon energiaa. Se pysyy liikkeellä etsiessään auringonvaloa.</v>
      </c>
      <c r="C749" s="9" t="s">
        <v>1344</v>
      </c>
    </row>
    <row r="750" ht="33.75" customHeight="1">
      <c r="A750" s="6" t="s">
        <v>274</v>
      </c>
      <c r="B750" s="6" t="str">
        <f>IFERROR(__xludf.DUMMYFUNCTION("GOOGLETRANSLATE(A750,""en"",""fi"")"),"Sateisen päivän jälkeen sen selässä oleva kukka tuoksuu voimakkaammalta. Tuoksu houkuttelee muita Pokémoneja.")</f>
        <v>Sateisen päivän jälkeen sen selässä oleva kukka tuoksuu voimakkaammalta. Tuoksu houkuttelee muita Pokémoneja.</v>
      </c>
      <c r="C750" s="9" t="s">
        <v>1344</v>
      </c>
    </row>
    <row r="751" ht="33.75" customHeight="1">
      <c r="A751" s="6" t="s">
        <v>278</v>
      </c>
      <c r="B751" s="6" t="str">
        <f>IFERROR(__xludf.DUMMYFUNCTION("GOOGLETRANSLATE(A751,""en"",""fi"")"),"Levittämällä kukkansa leveät terälehdet ja nappaamalla auringonsäteet se täyttää ruumiinsa voimalla.")</f>
        <v>Levittämällä kukkansa leveät terälehdet ja nappaamalla auringonsäteet se täyttää ruumiinsa voimalla.</v>
      </c>
      <c r="C751" s="9" t="s">
        <v>1344</v>
      </c>
    </row>
    <row r="752" ht="33.75" customHeight="1">
      <c r="A752" s="6" t="s">
        <v>281</v>
      </c>
      <c r="B752" s="6" t="str">
        <f>IFERROR(__xludf.DUMMYFUNCTION("GOOGLETRANSLATE(A752,""en"",""fi"")"),"Se pystyy muuttamaan auringonvalon energiaksi. Tämän seurauksena se on tehokkaampi kesällä.")</f>
        <v>Se pystyy muuttamaan auringonvalon energiaksi. Tämän seurauksena se on tehokkaampi kesällä.</v>
      </c>
      <c r="C752" s="9" t="s">
        <v>1344</v>
      </c>
    </row>
    <row r="753" ht="33.75" customHeight="1">
      <c r="A753" s="6" t="s">
        <v>290</v>
      </c>
      <c r="B753" s="6" t="str">
        <f>IFERROR(__xludf.DUMMYFUNCTION("GOOGLETRANSLATE(A753,""en"",""fi"")"),"Venusauruksen selässä on suuri kukka. Kukan sanotaan saavan kirkkaita värejä, jos se saa runsaasti ravinteita ja auringonvaloa. Kukan tuoksu rauhoittaa ihmisten tunteita.")</f>
        <v>Venusauruksen selässä on suuri kukka. Kukan sanotaan saavan kirkkaita värejä, jos se saa runsaasti ravinteita ja auringonvaloa. Kukan tuoksu rauhoittaa ihmisten tunteita.</v>
      </c>
      <c r="C753" s="9" t="s">
        <v>1344</v>
      </c>
    </row>
    <row r="754" ht="33.75" customHeight="1">
      <c r="A754" s="6" t="s">
        <v>295</v>
      </c>
      <c r="B754" s="6" t="str">
        <f>IFERROR(__xludf.DUMMYFUNCTION("GOOGLETRANSLATE(A754,""en"",""fi"")"),"Selällään oleva kukka kerää auringonsäteet. Auringonvalo imeytyy sitten ja käytetään energiana.")</f>
        <v>Selällään oleva kukka kerää auringonsäteet. Auringonvalo imeytyy sitten ja käytetään energiana.</v>
      </c>
      <c r="C754" s="9" t="s">
        <v>1344</v>
      </c>
    </row>
    <row r="755" ht="33.75" customHeight="1">
      <c r="A755" s="6" t="s">
        <v>305</v>
      </c>
      <c r="B755" s="6" t="str">
        <f>IFERROR(__xludf.DUMMYFUNCTION("GOOGLETRANSLATE(A755,""en"",""fi"")"),"Ilmeisesti se suosii kuumia paikkoja. Kun sataa, sen pyrstön päästä sanotaan purkautuvan höyryä.")</f>
        <v>Ilmeisesti se suosii kuumia paikkoja. Kun sataa, sen pyrstön päästä sanotaan purkautuvan höyryä.</v>
      </c>
      <c r="C755" s="9" t="s">
        <v>1344</v>
      </c>
    </row>
    <row r="756" ht="33.75" customHeight="1">
      <c r="A756" s="6" t="s">
        <v>313</v>
      </c>
      <c r="B756" s="6" t="str">
        <f>IFERROR(__xludf.DUMMYFUNCTION("GOOGLETRANSLATE(A756,""en"",""fi"")"),"Sen pyrstön kärjessä oleva liekki pitää ääntä palaessaan. Sen kuulee vain hiljaisissa paikoissa.")</f>
        <v>Sen pyrstön kärjessä oleva liekki pitää ääntä palaessaan. Sen kuulee vain hiljaisissa paikoissa.</v>
      </c>
      <c r="C756" s="9" t="s">
        <v>1344</v>
      </c>
    </row>
    <row r="757" ht="33.75" customHeight="1">
      <c r="A757" s="6" t="s">
        <v>316</v>
      </c>
      <c r="B757" s="6" t="str">
        <f>IFERROR(__xludf.DUMMYFUNCTION("GOOGLETRANSLATE(A757,""en"",""fi"")"),"Sen pyrstön liekki osoittaa sen elämänvoiman vahvuuden. Jos se on heikko, liekki myös palaa heikosti.")</f>
        <v>Sen pyrstön liekki osoittaa sen elämänvoiman vahvuuden. Jos se on heikko, liekki myös palaa heikosti.</v>
      </c>
      <c r="C757" s="9" t="s">
        <v>1344</v>
      </c>
    </row>
    <row r="758" ht="33.75" customHeight="1">
      <c r="A758" s="6" t="s">
        <v>319</v>
      </c>
      <c r="B758" s="6" t="str">
        <f>IFERROR(__xludf.DUMMYFUNCTION("GOOGLETRANSLATE(A758,""en"",""fi"")"),"Sen pyrstön liekki osoittaa CHARMANDERin elinvoiman. Jos se on terve, liekki palaa kirkkaasti.")</f>
        <v>Sen pyrstön liekki osoittaa CHARMANDERin elinvoiman. Jos se on terve, liekki palaa kirkkaasti.</v>
      </c>
      <c r="C758" s="9" t="s">
        <v>1344</v>
      </c>
    </row>
    <row r="759" ht="33.75" customHeight="1">
      <c r="A759" s="6" t="s">
        <v>322</v>
      </c>
      <c r="B759" s="6" t="str">
        <f>IFERROR(__xludf.DUMMYFUNCTION("GOOGLETRANSLATE(A759,""en"",""fi"")"),"Jos se on terve, sen pyrstönpäässä oleva liekki palaa voimakkaasti, vaikka se hieman kastuisi.")</f>
        <v>Jos se on terve, sen pyrstönpäässä oleva liekki palaa voimakkaasti, vaikka se hieman kastuisi.</v>
      </c>
      <c r="C759" s="9" t="s">
        <v>1344</v>
      </c>
    </row>
    <row r="760" ht="33.75" customHeight="1">
      <c r="A760" s="6" t="s">
        <v>326</v>
      </c>
      <c r="B760" s="6" t="str">
        <f>IFERROR(__xludf.DUMMYFUNCTION("GOOGLETRANSLATE(A760,""en"",""fi"")"),"Sen pyrstön kärjessä palava liekki on osoitus sen tunteista. Liekki välkkyy, kun CHARMANDER nauttii. Jos POKéMON raivostuu, liekki palaa raivokkaasti.")</f>
        <v>Sen pyrstön kärjessä palava liekki on osoitus sen tunteista. Liekki välkkyy, kun CHARMANDER nauttii. Jos POKéMON raivostuu, liekki palaa raivokkaasti.</v>
      </c>
      <c r="C760" s="9" t="s">
        <v>1344</v>
      </c>
    </row>
    <row r="761" ht="33.75" customHeight="1">
      <c r="A761" s="6" t="s">
        <v>331</v>
      </c>
      <c r="B761" s="6" t="str">
        <f>IFERROR(__xludf.DUMMYFUNCTION("GOOGLETRANSLATE(A761,""en"",""fi"")"),"Sen pyrstön kärjessä palava liekki on osoitus sen tunteista. Liekki välkkyy, kun CHARMANDER on onnellinen, ja roihuaa, kun se on raivostunut.")</f>
        <v>Sen pyrstön kärjessä palava liekki on osoitus sen tunteista. Liekki välkkyy, kun CHARMANDER on onnellinen, ja roihuaa, kun se on raivostunut.</v>
      </c>
      <c r="C761" s="9" t="s">
        <v>1344</v>
      </c>
    </row>
    <row r="762" ht="33.75" customHeight="1">
      <c r="A762" s="6" t="s">
        <v>334</v>
      </c>
      <c r="B762" s="6" t="str">
        <f>IFERROR(__xludf.DUMMYFUNCTION("GOOGLETRANSLATE(A762,""en"",""fi"")"),"Syntymästään lähtien sen pyrstön kärjessä palaa liekki. Sen elämä päättyisi, jos liekki sammuisi.")</f>
        <v>Syntymästään lähtien sen pyrstön kärjessä palaa liekki. Sen elämä päättyisi, jos liekki sammuisi.</v>
      </c>
      <c r="C762" s="9" t="s">
        <v>1344</v>
      </c>
    </row>
    <row r="763" ht="33.75" customHeight="1">
      <c r="A763" s="6" t="s">
        <v>336</v>
      </c>
      <c r="B763" s="6" t="str">
        <f>IFERROR(__xludf.DUMMYFUNCTION("GOOGLETRANSLATE(A763,""en"",""fi"")"),"Se pitää kuumista asioista. Kun sataa, sen pyrstön päästä sanotaan purkautuvan höyryä.")</f>
        <v>Se pitää kuumista asioista. Kun sataa, sen pyrstön päästä sanotaan purkautuvan höyryä.</v>
      </c>
      <c r="C763" s="9" t="s">
        <v>1344</v>
      </c>
    </row>
    <row r="764" ht="33.75" customHeight="1">
      <c r="A764" s="6" t="s">
        <v>338</v>
      </c>
      <c r="B764" s="6" t="str">
        <f>IFERROR(__xludf.DUMMYFUNCTION("GOOGLETRANSLATE(A764,""en"",""fi"")"),"Sen pyrstönpäässä oleva tuli mittaa sen elinikää. Jos se on terve, sen pyrstö palaa voimakkaasti.")</f>
        <v>Sen pyrstönpäässä oleva tuli mittaa sen elinikää. Jos se on terve, sen pyrstö palaa voimakkaasti.</v>
      </c>
      <c r="C764" s="9" t="s">
        <v>1344</v>
      </c>
    </row>
    <row r="765" ht="33.75" customHeight="1">
      <c r="A765" s="6" t="s">
        <v>345</v>
      </c>
      <c r="B765" s="6" t="str">
        <f>IFERROR(__xludf.DUMMYFUNCTION("GOOGLETRANSLATE(A765,""en"",""fi"")"),"Sen pyrstön liekki kertoo CHARMANDERin elinvoimasta. Jos se on terve, liekki palaa kirkkaasti.")</f>
        <v>Sen pyrstön liekki kertoo CHARMANDERin elinvoimasta. Jos se on terve, liekki palaa kirkkaasti.</v>
      </c>
      <c r="C765" s="9" t="s">
        <v>1344</v>
      </c>
    </row>
    <row r="766" ht="33.75" customHeight="1">
      <c r="A766" s="6" t="s">
        <v>355</v>
      </c>
      <c r="B766" s="6" t="str">
        <f>IFERROR(__xludf.DUMMYFUNCTION("GOOGLETRANSLATE(A766,""en"",""fi"")"),"Sen pyrstön liekki kertoo Charmanderin elinvoimasta. Jos se on terve, liekki palaa kirkkaasti.")</f>
        <v>Sen pyrstön liekki kertoo Charmanderin elinvoimasta. Jos se on terve, liekki palaa kirkkaasti.</v>
      </c>
      <c r="C766" s="9" t="s">
        <v>1344</v>
      </c>
    </row>
    <row r="767" ht="33.75" customHeight="1">
      <c r="A767" s="6" t="s">
        <v>363</v>
      </c>
      <c r="B767" s="6" t="str">
        <f>IFERROR(__xludf.DUMMYFUNCTION("GOOGLETRANSLATE(A767,""en"",""fi"")"),"Sen hännänpäässä palava liekki on osoitus sen tunteista. Liekki välkkyy, kun Charmander nauttii. Jos Pokémon raivostuu, liekki palaa raivokkaasti.")</f>
        <v>Sen hännänpäässä palava liekki on osoitus sen tunteista. Liekki välkkyy, kun Charmander nauttii. Jos Pokémon raivostuu, liekki palaa raivokkaasti.</v>
      </c>
      <c r="C767" s="9" t="s">
        <v>1344</v>
      </c>
    </row>
    <row r="768" ht="33.75" customHeight="1">
      <c r="A768" s="6" t="s">
        <v>377</v>
      </c>
      <c r="B768" s="6" t="str">
        <f>IFERROR(__xludf.DUMMYFUNCTION("GOOGLETRANSLATE(A768,""en"",""fi"")"),"Kun se heiluttaa palavaa häntäänsä, se nostaa lämpötilan sietämättömän korkealle tasolle.")</f>
        <v>Kun se heiluttaa palavaa häntäänsä, se nostaa lämpötilan sietämättömän korkealle tasolle.</v>
      </c>
      <c r="C768" s="9" t="s">
        <v>1344</v>
      </c>
    </row>
    <row r="769" ht="33.75" customHeight="1">
      <c r="A769" s="6" t="s">
        <v>381</v>
      </c>
      <c r="B769" s="6" t="str">
        <f>IFERROR(__xludf.DUMMYFUNCTION("GOOGLETRANSLATE(A769,""en"",""fi"")"),"Kovat taistelut voivat kiihottaa tätä POKéMONIA. Kiihtyneenä se voi räjäyttää sinertävänvalkoisia liekkejä.")</f>
        <v>Kovat taistelut voivat kiihottaa tätä POKéMONIA. Kiihtyneenä se voi räjäyttää sinertävänvalkoisia liekkejä.</v>
      </c>
      <c r="C769" s="9" t="s">
        <v>1344</v>
      </c>
    </row>
    <row r="770" ht="33.75" customHeight="1">
      <c r="A770" s="6" t="s">
        <v>383</v>
      </c>
      <c r="B770" s="6" t="str">
        <f>IFERROR(__xludf.DUMMYFUNCTION("GOOGLETRANSLATE(A770,""en"",""fi"")"),"Se on luonteeltaan hyvin tulipäinen, joten se etsii jatkuvasti vastustajia. Se rauhoittuu vasta voitettuaan.")</f>
        <v>Se on luonteeltaan hyvin tulipäinen, joten se etsii jatkuvasti vastustajia. Se rauhoittuu vasta voitettuaan.</v>
      </c>
      <c r="C770" s="9" t="s">
        <v>1344</v>
      </c>
    </row>
    <row r="771" ht="33.75" customHeight="1">
      <c r="A771" s="6" t="s">
        <v>386</v>
      </c>
      <c r="B771" s="6" t="str">
        <f>IFERROR(__xludf.DUMMYFUNCTION("GOOGLETRANSLATE(A771,""en"",""fi"")"),"Sillä on barbaarinen luonne. Taistelussa se heiluttaa tulista häntäänsä ja viiltää pois terävillä kynsillään.")</f>
        <v>Sillä on barbaarinen luonne. Taistelussa se heiluttaa tulista häntäänsä ja viiltää pois terävillä kynsillään.</v>
      </c>
      <c r="C771" s="9" t="s">
        <v>1344</v>
      </c>
    </row>
    <row r="772" ht="33.75" customHeight="1">
      <c r="A772" s="6" t="s">
        <v>389</v>
      </c>
      <c r="B772" s="6" t="str">
        <f>IFERROR(__xludf.DUMMYFUNCTION("GOOGLETRANSLATE(A772,""en"",""fi"")"),"Jos se levotontuu taistelun aikana, se suihkuttaa voimakkaita liekkejä ja polttaa ympäristönsä.")</f>
        <v>Jos se levotontuu taistelun aikana, se suihkuttaa voimakkaita liekkejä ja polttaa ympäristönsä.</v>
      </c>
      <c r="C772" s="9" t="s">
        <v>1344</v>
      </c>
    </row>
    <row r="773" ht="33.75" customHeight="1">
      <c r="A773" s="6" t="s">
        <v>392</v>
      </c>
      <c r="B773" s="6" t="str">
        <f>IFERROR(__xludf.DUMMYFUNCTION("GOOGLETRANSLATE(A773,""en"",""fi"")"),"KARMELEON tuhoaa vihollisensa armottomasti terävillä kynsillään. Jos se kohtaa voimakkaan vihollisen, se muuttuu aggressiiviseksi. Tässä kiihtyneessä tilassa sen pyrstön kärjessä oleva liekki leimahtaa sinertävänvalkoisena.")</f>
        <v>KARMELEON tuhoaa vihollisensa armottomasti terävillä kynsillään. Jos se kohtaa voimakkaan vihollisen, se muuttuu aggressiiviseksi. Tässä kiihtyneessä tilassa sen pyrstön kärjessä oleva liekki leimahtaa sinertävänvalkoisena.</v>
      </c>
      <c r="C773" s="9" t="s">
        <v>1344</v>
      </c>
    </row>
    <row r="774" ht="33.75" customHeight="1">
      <c r="A774" s="6" t="s">
        <v>398</v>
      </c>
      <c r="B774" s="6" t="str">
        <f>IFERROR(__xludf.DUMMYFUNCTION("GOOGLETRANSLATE(A774,""en"",""fi"")"),"Säälittä sen terävät kynnet tuhoavat viholliset. Jos se kohtaa voimakkaan vihollisen, se levotontuu ja sen pyrstön liekki leimahtaa sinertävänvalkoisena.")</f>
        <v>Säälittä sen terävät kynnet tuhoavat viholliset. Jos se kohtaa voimakkaan vihollisen, se levotontuu ja sen pyrstön liekki leimahtaa sinertävänvalkoisena.</v>
      </c>
      <c r="C774" s="9" t="s">
        <v>1344</v>
      </c>
    </row>
    <row r="775" ht="33.75" customHeight="1">
      <c r="A775" s="6" t="s">
        <v>402</v>
      </c>
      <c r="B775" s="6" t="str">
        <f>IFERROR(__xludf.DUMMYFUNCTION("GOOGLETRANSLATE(A775,""en"",""fi"")"),"Se pieksee häntäänsä kaataakseen vihollisensa. Sitten se repii kaatuneen vastustajan irti terävillä kynsillään.")</f>
        <v>Se pieksee häntäänsä kaataakseen vihollisensa. Sitten se repii kaatuneen vastustajan irti terävillä kynsillään.</v>
      </c>
      <c r="C775" s="9" t="s">
        <v>1344</v>
      </c>
    </row>
    <row r="776" ht="33.75" customHeight="1">
      <c r="A776" s="6" t="s">
        <v>404</v>
      </c>
      <c r="B776" s="6" t="str">
        <f>IFERROR(__xludf.DUMMYFUNCTION("GOOGLETRANSLATE(A776,""en"",""fi"")"),"Kun se heiluttaa palavaa pyrstöään, se nostaa ilman lämpötilan sietämättömän korkealle.")</f>
        <v>Kun se heiluttaa palavaa pyrstöään, se nostaa ilman lämpötilan sietämättömän korkealle.</v>
      </c>
      <c r="C776" s="9" t="s">
        <v>1344</v>
      </c>
    </row>
    <row r="777" ht="33.75" customHeight="1">
      <c r="A777" s="6" t="s">
        <v>407</v>
      </c>
      <c r="B777" s="6" t="str">
        <f>IFERROR(__xludf.DUMMYFUNCTION("GOOGLETRANSLATE(A777,""en"",""fi"")"),"Kalliovuorilla, joilla CHARMELEONIT elävät, niiden tulinen pyrstö loistavat yöllä kuin tähdet.")</f>
        <v>Kalliovuorilla, joilla CHARMELEONIT elävät, niiden tulinen pyrstö loistavat yöllä kuin tähdet.</v>
      </c>
      <c r="C777" s="9" t="s">
        <v>1344</v>
      </c>
    </row>
    <row r="778" ht="33.75" customHeight="1">
      <c r="A778" s="6" t="s">
        <v>417</v>
      </c>
      <c r="B778" s="6" t="str">
        <f>IFERROR(__xludf.DUMMYFUNCTION("GOOGLETRANSLATE(A778,""en"",""fi"")"),"Se on luonteeltaan hyvin tulipäinen, joten se etsii jatkuvasti vastustajia. Se rauhoittuu vasta voitettuaan.")</f>
        <v>Se on luonteeltaan hyvin tulipäinen, joten se etsii jatkuvasti vastustajia. Se rauhoittuu vasta voitettuaan.</v>
      </c>
      <c r="C778" s="9" t="s">
        <v>1344</v>
      </c>
    </row>
    <row r="779" ht="33.75" customHeight="1">
      <c r="A779" s="6" t="s">
        <v>424</v>
      </c>
      <c r="B779" s="6" t="str">
        <f>IFERROR(__xludf.DUMMYFUNCTION("GOOGLETRANSLATE(A779,""en"",""fi"")"),"Kalliovuorilla, joilla Charmeleonit elävät, niiden tulinen pyrstö loistavat yöllä kuin tähdet.")</f>
        <v>Kalliovuorilla, joilla Charmeleonit elävät, niiden tulinen pyrstö loistavat yöllä kuin tähdet.</v>
      </c>
      <c r="C779" s="9" t="s">
        <v>1344</v>
      </c>
    </row>
    <row r="780" ht="33.75" customHeight="1">
      <c r="A780" s="6" t="s">
        <v>435</v>
      </c>
      <c r="B780" s="6" t="str">
        <f>IFERROR(__xludf.DUMMYFUNCTION("GOOGLETRANSLATE(A780,""en"",""fi"")"),"Karmeleontti tuhoaa vihollisensa armottomasti terävillä kynsillään. Jos se kohtaa voimakkaan vihollisen, se muuttuu aggressiiviseksi. Tässä kiihtyneessä tilassa sen pyrstön kärjessä oleva liekki leimahtaa sinertävänvalkoisena.")</f>
        <v>Karmeleontti tuhoaa vihollisensa armottomasti terävillä kynsillään. Jos se kohtaa voimakkaan vihollisen, se muuttuu aggressiiviseksi. Tässä kiihtyneessä tilassa sen pyrstön kärjessä oleva liekki leimahtaa sinertävänvalkoisena.</v>
      </c>
      <c r="C780" s="9" t="s">
        <v>1344</v>
      </c>
    </row>
    <row r="781" ht="33.75" customHeight="1">
      <c r="A781" s="6" t="s">
        <v>439</v>
      </c>
      <c r="B781" s="6" t="str">
        <f>IFERROR(__xludf.DUMMYFUNCTION("GOOGLETRANSLATE(A781,""en"",""fi"")"),"Kovat taistelut voivat kiihottaa tätä Pokémonia. Kiihtyneenä se saattaa hengittää sinertävänvalkoisia liekkejä.")</f>
        <v>Kovat taistelut voivat kiihottaa tätä Pokémonia. Kiihtyneenä se saattaa hengittää sinertävänvalkoisia liekkejä.</v>
      </c>
      <c r="C781" s="9" t="s">
        <v>1344</v>
      </c>
    </row>
    <row r="782" ht="33.75" customHeight="1">
      <c r="A782" s="6" t="s">
        <v>444</v>
      </c>
      <c r="B782" s="6" t="str">
        <f>IFERROR(__xludf.DUMMYFUNCTION("GOOGLETRANSLATE(A782,""en"",""fi"")"),"Sylkee tulta, joka on niin kuumaa, että se sulattaa lohkareita. Tunnetaan tahattoman metsäpalojen aiheuttajana.")</f>
        <v>Sylkee tulta, joka on niin kuumaa, että se sulattaa lohkareita. Tunnetaan tahattoman metsäpalojen aiheuttajana.</v>
      </c>
      <c r="C782" s="9" t="s">
        <v>1344</v>
      </c>
    </row>
    <row r="783" ht="33.75" customHeight="1">
      <c r="A783" s="6" t="s">
        <v>448</v>
      </c>
      <c r="B783" s="6" t="str">
        <f>IFERROR(__xludf.DUMMYFUNCTION("GOOGLETRANSLATE(A783,""en"",""fi"")"),"Kun se purkaa ulos erittäin kuuman tulen räjähdyksen, sen pyrstön kärjessä oleva punainen liekki palaa voimakkaammin.")</f>
        <v>Kun se purkaa ulos erittäin kuuman tulen räjähdyksen, sen pyrstön kärjessä oleva punainen liekki palaa voimakkaammin.</v>
      </c>
      <c r="C783" s="9" t="s">
        <v>1344</v>
      </c>
    </row>
    <row r="784" ht="33.75" customHeight="1">
      <c r="A784" s="6" t="s">
        <v>450</v>
      </c>
      <c r="B784" s="6" t="str">
        <f>IFERROR(__xludf.DUMMYFUNCTION("GOOGLETRANSLATE(A784,""en"",""fi"")"),"Jos CHARIZARD raivostuu, sen pyrstön kärjessä oleva liekki leimahtaa vaaleansinisenä.")</f>
        <v>Jos CHARIZARD raivostuu, sen pyrstön kärjessä oleva liekki leimahtaa vaaleansinisenä.</v>
      </c>
      <c r="C784" s="9" t="s">
        <v>1344</v>
      </c>
    </row>
    <row r="785" ht="33.75" customHeight="1">
      <c r="A785" s="6" t="s">
        <v>452</v>
      </c>
      <c r="B785" s="6" t="str">
        <f>IFERROR(__xludf.DUMMYFUNCTION("GOOGLETRANSLATE(A785,""en"",""fi"")"),"Se hengittää voimakkaita, kuumia liekkejä ja voi sulattaa lähes mitä tahansa. Sen hengitys aiheuttaa vihollisille kauheaa kipua.")</f>
        <v>Se hengittää voimakkaita, kuumia liekkejä ja voi sulattaa lähes mitä tahansa. Sen hengitys aiheuttaa vihollisille kauheaa kipua.</v>
      </c>
      <c r="C785" s="9" t="s">
        <v>1344</v>
      </c>
    </row>
    <row r="786" ht="33.75" customHeight="1">
      <c r="A786" s="6" t="s">
        <v>454</v>
      </c>
      <c r="B786" s="6" t="str">
        <f>IFERROR(__xludf.DUMMYFUNCTION("GOOGLETRANSLATE(A786,""en"",""fi"")"),"Se käyttää siipiään lentääkseen korkealla. Sen tulen lämpötila nousee sen karttuessa taistelukokemuksen myötä.")</f>
        <v>Se käyttää siipiään lentääkseen korkealla. Sen tulen lämpötila nousee sen karttuessa taistelukokemuksen myötä.</v>
      </c>
      <c r="C786" s="9" t="s">
        <v>1344</v>
      </c>
    </row>
    <row r="787" ht="33.75" customHeight="1">
      <c r="A787" s="6" t="s">
        <v>456</v>
      </c>
      <c r="B787" s="6" t="str">
        <f>IFERROR(__xludf.DUMMYFUNCTION("GOOGLETRANSLATE(A787,""en"",""fi"")"),"CHARIZARD lentää taivaalla etsien voimakkaita vastustajia. Se hengittää niin kuumaa tulta, että se sulattaa kaiken. Se ei kuitenkaan koskaan käännä tulista hengitystään itseään heikompaan vastustajaan.")</f>
        <v>CHARIZARD lentää taivaalla etsien voimakkaita vastustajia. Se hengittää niin kuumaa tulta, että se sulattaa kaiken. Se ei kuitenkaan koskaan käännä tulista hengitystään itseään heikompaan vastustajaan.</v>
      </c>
      <c r="C787" s="9" t="s">
        <v>1344</v>
      </c>
    </row>
    <row r="788" ht="33.75" customHeight="1">
      <c r="A788" s="6" t="s">
        <v>458</v>
      </c>
      <c r="B788" s="6" t="str">
        <f>IFERROR(__xludf.DUMMYFUNCTION("GOOGLETRANSLATE(A788,""en"",""fi"")"),"CHARIZARD lentää ympäriinsä etsien vahvoja vastustajia. Se hengittää voimakkaita liekkejä, jotka voivat sulattaa mitä tahansa materiaalia. Se ei kuitenkaan koskaan polta heikompaa vihollista.")</f>
        <v>CHARIZARD lentää ympäriinsä etsien vahvoja vastustajia. Se hengittää voimakkaita liekkejä, jotka voivat sulattaa mitä tahansa materiaalia. Se ei kuitenkaan koskaan polta heikompaa vihollista.</v>
      </c>
      <c r="C788" s="9" t="s">
        <v>1344</v>
      </c>
    </row>
    <row r="789" ht="33.75" customHeight="1">
      <c r="A789" s="6" t="s">
        <v>461</v>
      </c>
      <c r="B789" s="6" t="str">
        <f>IFERROR(__xludf.DUMMYFUNCTION("GOOGLETRANSLATE(A789,""en"",""fi"")"),"Sen siivet voivat kantaa tämän POKéMONin lähes 1 600 jalan korkeuteen. Se puhaltaa tulta erittäin korkeissa lämpötiloissa.")</f>
        <v>Sen siivet voivat kantaa tämän POKéMONin lähes 1 600 jalan korkeuteen. Se puhaltaa tulta erittäin korkeissa lämpötiloissa.</v>
      </c>
      <c r="C789" s="9" t="s">
        <v>1344</v>
      </c>
    </row>
    <row r="790" ht="33.75" customHeight="1">
      <c r="A790" s="6" t="s">
        <v>467</v>
      </c>
      <c r="B790" s="6" t="str">
        <f>IFERROR(__xludf.DUMMYFUNCTION("GOOGLETRANSLATE(A790,""en"",""fi"")"),"Se sylkee tulta, joka on niin kuumaa, että se sulattaa lohkareita. Se voi aiheuttaa metsäpaloja puhaltamalla liekkejä.")</f>
        <v>Se sylkee tulta, joka on niin kuumaa, että se sulattaa lohkareita. Se voi aiheuttaa metsäpaloja puhaltamalla liekkejä.</v>
      </c>
      <c r="C790" s="9" t="s">
        <v>1344</v>
      </c>
    </row>
    <row r="791" ht="33.75" customHeight="1">
      <c r="A791" s="6" t="s">
        <v>469</v>
      </c>
      <c r="B791" s="6" t="str">
        <f>IFERROR(__xludf.DUMMYFUNCTION("GOOGLETRANSLATE(A791,""en"",""fi"")"),"Sanotaan, että CHARIZARDin tuli palaa kuumemmin, jos se on kokenut ankaria taisteluita.")</f>
        <v>Sanotaan, että CHARIZARDin tuli palaa kuumemmin, jos se on kokenut ankaria taisteluita.</v>
      </c>
      <c r="C791" s="9" t="s">
        <v>1344</v>
      </c>
    </row>
    <row r="792" ht="33.75" customHeight="1">
      <c r="A792" s="6" t="s">
        <v>475</v>
      </c>
      <c r="B792" s="6" t="str">
        <f>IFERROR(__xludf.DUMMYFUNCTION("GOOGLETRANSLATE(A792,""en"",""fi"")"),"Jos CHARIZARD raivostuu, sen pyrstön kärjessä oleva liekki leimahtaa vaaleansinisenä.")</f>
        <v>Jos CHARIZARD raivostuu, sen pyrstön kärjessä oleva liekki leimahtaa vaaleansinisenä.</v>
      </c>
      <c r="C792" s="9" t="s">
        <v>1344</v>
      </c>
    </row>
    <row r="793" ht="33.75" customHeight="1">
      <c r="A793" s="6" t="s">
        <v>479</v>
      </c>
      <c r="B793" s="6" t="str">
        <f>IFERROR(__xludf.DUMMYFUNCTION("GOOGLETRANSLATE(A793,""en"",""fi"")"),"Se hengittää voimakkaita, kuumia liekkejä ja voi sulattaa lähes mitä tahansa. Sen hengitys aiheuttaa vihollisille kauheaa kipua.")</f>
        <v>Se hengittää voimakkaita, kuumia liekkejä ja voi sulattaa lähes mitä tahansa. Sen hengitys aiheuttaa vihollisille kauheaa kipua.</v>
      </c>
      <c r="C793" s="9" t="s">
        <v>1344</v>
      </c>
    </row>
    <row r="794" ht="33.75" customHeight="1">
      <c r="A794" s="6" t="s">
        <v>482</v>
      </c>
      <c r="B794" s="6" t="str">
        <f>IFERROR(__xludf.DUMMYFUNCTION("GOOGLETRANSLATE(A794,""en"",""fi"")"),"Sanotaan, että Charizardin tuli palaa kuumemmin, jos se on kokenut ankaria taisteluita.")</f>
        <v>Sanotaan, että Charizardin tuli palaa kuumemmin, jos se on kokenut ankaria taisteluita.</v>
      </c>
      <c r="C794" s="9" t="s">
        <v>1344</v>
      </c>
    </row>
    <row r="795" ht="33.75" customHeight="1">
      <c r="A795" s="6" t="s">
        <v>491</v>
      </c>
      <c r="B795" s="6" t="str">
        <f>IFERROR(__xludf.DUMMYFUNCTION("GOOGLETRANSLATE(A795,""en"",""fi"")"),"Kun se purkaa ulos superkuuman tulen räjähdyksen, sen pyrstön kärjessä oleva punainen liekki palaa voimakkaammin.")</f>
        <v>Kun se purkaa ulos superkuuman tulen räjähdyksen, sen pyrstön kärjessä oleva punainen liekki palaa voimakkaammin.</v>
      </c>
      <c r="C795" s="9" t="s">
        <v>1344</v>
      </c>
    </row>
    <row r="796" ht="33.75" customHeight="1">
      <c r="A796" s="6" t="s">
        <v>494</v>
      </c>
      <c r="B796" s="6" t="str">
        <f>IFERROR(__xludf.DUMMYFUNCTION("GOOGLETRANSLATE(A796,""en"",""fi"")"),"Sen siivet voivat kantaa tämän Pokémonin lähes 1 600 jalan korkeuteen. Se puhaltaa tulta erittäin korkeissa lämpötiloissa.")</f>
        <v>Sen siivet voivat kantaa tämän Pokémonin lähes 1 600 jalan korkeuteen. Se puhaltaa tulta erittäin korkeissa lämpötiloissa.</v>
      </c>
      <c r="C796" s="9" t="s">
        <v>1344</v>
      </c>
    </row>
    <row r="797" ht="33.75" customHeight="1">
      <c r="A797" s="6" t="s">
        <v>496</v>
      </c>
      <c r="B797" s="6" t="str">
        <f>IFERROR(__xludf.DUMMYFUNCTION("GOOGLETRANSLATE(A797,""en"",""fi"")"),"Charizard lentää taivaalla etsien voimakkaita vastustajia. Se hengittää niin kuumaa tulta, että se sulattaa kaiken. Se ei kuitenkaan koskaan käännä tulista hengitystään itseään heikompaan vastustajaan.")</f>
        <v>Charizard lentää taivaalla etsien voimakkaita vastustajia. Se hengittää niin kuumaa tulta, että se sulattaa kaiken. Se ei kuitenkaan koskaan käännä tulista hengitystään itseään heikompaan vastustajaan.</v>
      </c>
      <c r="C797" s="9" t="s">
        <v>1344</v>
      </c>
    </row>
    <row r="798" ht="33.75" customHeight="1">
      <c r="A798" s="6" t="s">
        <v>500</v>
      </c>
      <c r="B798" s="6" t="str">
        <f>IFERROR(__xludf.DUMMYFUNCTION("GOOGLETRANSLATE(A798,""en"",""fi"")"),"Kun tämä Pokémon ampuu superkuuman tulipalon, sen pyrstön kärjessä oleva punainen liekki palaa voimakkaammin.")</f>
        <v>Kun tämä Pokémon ampuu superkuuman tulipalon, sen pyrstön kärjessä oleva punainen liekki palaa voimakkaammin.</v>
      </c>
      <c r="C798" s="9" t="s">
        <v>1344</v>
      </c>
    </row>
    <row r="799" ht="33.75" customHeight="1">
      <c r="A799" s="6" t="s">
        <v>507</v>
      </c>
      <c r="B799" s="6" t="str">
        <f>IFERROR(__xludf.DUMMYFUNCTION("GOOGLETRANSLATE(A799,""en"",""fi"")"),"Syntymän jälkeen sen selkä turpoaa ja kovettuu kuoreksi. Se suihkuttaa voimakkaasti vaahtoa suustaan.")</f>
        <v>Syntymän jälkeen sen selkä turpoaa ja kovettuu kuoreksi. Se suihkuttaa voimakkaasti vaahtoa suustaan.</v>
      </c>
      <c r="C799" s="9" t="s">
        <v>1344</v>
      </c>
    </row>
    <row r="800" ht="33.75" customHeight="1">
      <c r="A800" s="6" t="s">
        <v>512</v>
      </c>
      <c r="B800" s="6" t="str">
        <f>IFERROR(__xludf.DUMMYFUNCTION("GOOGLETRANSLATE(A800,""en"",""fi"")"),"Ampuu saalistaan ​​vedellä ollessaan vedessä. Vetäytyy kuoreensa vaaran uhatessa.")</f>
        <v>Ampuu saalistaan ​​vedellä ollessaan vedessä. Vetäytyy kuoreensa vaaran uhatessa.</v>
      </c>
      <c r="C800" s="9" t="s">
        <v>1344</v>
      </c>
    </row>
    <row r="801" ht="33.75" customHeight="1">
      <c r="A801" s="6" t="s">
        <v>514</v>
      </c>
      <c r="B801" s="6" t="str">
        <f>IFERROR(__xludf.DUMMYFUNCTION("GOOGLETRANSLATE(A801,""en"",""fi"")"),"Kuori on pehmeä syntyessään. Siitä tulee pian niin kimmoisa, että tökkivät sormet pomppivat siitä.")</f>
        <v>Kuori on pehmeä syntyessään. Siitä tulee pian niin kimmoisa, että tökkivät sormet pomppivat siitä.</v>
      </c>
      <c r="C801" s="9" t="s">
        <v>1344</v>
      </c>
    </row>
    <row r="802" ht="33.75" customHeight="1">
      <c r="A802" s="6" t="s">
        <v>517</v>
      </c>
      <c r="B802" s="6" t="str">
        <f>IFERROR(__xludf.DUMMYFUNCTION("GOOGLETRANSLATE(A802,""en"",""fi"")"),"Kuori, joka kovettuu pian syntymän jälkeen, on joustava. Jos sitä tökkää, se ponnahtaa takaisin ulos.")</f>
        <v>Kuori, joka kovettuu pian syntymän jälkeen, on joustava. Jos sitä tökkää, se ponnahtaa takaisin ulos.</v>
      </c>
      <c r="C802" s="9" t="s">
        <v>1344</v>
      </c>
    </row>
    <row r="803" ht="33.75" customHeight="1">
      <c r="A803" s="6" t="s">
        <v>523</v>
      </c>
      <c r="B803" s="6" t="str">
        <f>IFERROR(__xludf.DUMMYFUNCTION("GOOGLETRANSLATE(A803,""en"",""fi"")"),"Tuntiessaan olonsa uhatuksi se vetää jalkansa kuorensa sisään ja suihkuttaa vettä suustaan.")</f>
        <v>Tuntiessaan olonsa uhatuksi se vetää jalkansa kuorensa sisään ja suihkuttaa vettä suustaan.</v>
      </c>
      <c r="C803" s="9" t="s">
        <v>1344</v>
      </c>
    </row>
    <row r="804" ht="33.75" customHeight="1">
      <c r="A804" s="6" t="s">
        <v>526</v>
      </c>
      <c r="B804" s="6" t="str">
        <f>IFERROR(__xludf.DUMMYFUNCTION("GOOGLETRANSLATE(A804,""en"",""fi"")"),"SQUIRTLEN kuori ei ole tarkoitettu pelkästään suojaksi. Kuoren pyöreä muoto ja pinnan urat auttavat minimoimaan veden vastusta, minkä ansiosta tämä POKéMON voi uida suurilla nopeuksilla.")</f>
        <v>SQUIRTLEN kuori ei ole tarkoitettu pelkästään suojaksi. Kuoren pyöreä muoto ja pinnan urat auttavat minimoimaan veden vastusta, minkä ansiosta tämä POKéMON voi uida suurilla nopeuksilla.</v>
      </c>
      <c r="C804" s="9" t="s">
        <v>1344</v>
      </c>
    </row>
    <row r="805" ht="33.75" customHeight="1">
      <c r="A805" s="6" t="s">
        <v>531</v>
      </c>
      <c r="B805" s="6" t="str">
        <f>IFERROR(__xludf.DUMMYFUNCTION("GOOGLETRANSLATE(A805,""en"",""fi"")"),"Sen kuori ei ole tarkoitettu vain suojaamaan. Sen pyöristetty muoto ja pinnan urat minimoivat veden vastuksen, minkä ansiosta SQUIRTLE voi uida suurilla nopeuksilla.")</f>
        <v>Sen kuori ei ole tarkoitettu vain suojaamaan. Sen pyöristetty muoto ja pinnan urat minimoivat veden vastuksen, minkä ansiosta SQUIRTLE voi uida suurilla nopeuksilla.</v>
      </c>
      <c r="C805" s="9" t="s">
        <v>1344</v>
      </c>
    </row>
    <row r="806" ht="33.75" customHeight="1">
      <c r="A806" s="6" t="s">
        <v>536</v>
      </c>
      <c r="B806" s="6" t="str">
        <f>IFERROR(__xludf.DUMMYFUNCTION("GOOGLETRANSLATE(A806,""en"",""fi"")"),"Kun se vetää pitkän kaulansa kuoreensa, se ruiskuttaa vettä ulos voimakkaasti.")</f>
        <v>Kun se vetää pitkän kaulansa kuoreensa, se ruiskuttaa vettä ulos voimakkaasti.</v>
      </c>
      <c r="C806" s="9" t="s">
        <v>1344</v>
      </c>
    </row>
    <row r="807" ht="33.75" customHeight="1">
      <c r="A807" s="6" t="s">
        <v>541</v>
      </c>
      <c r="B807" s="6" t="str">
        <f>IFERROR(__xludf.DUMMYFUNCTION("GOOGLETRANSLATE(A807,""en"",""fi"")"),"Syntymän jälkeen sen selkä turpoaa ja kovettuu kuoreksi. Se suihkuttaa voimakkaasti vaahtoa suustaan.")</f>
        <v>Syntymän jälkeen sen selkä turpoaa ja kovettuu kuoreksi. Se suihkuttaa voimakkaasti vaahtoa suustaan.</v>
      </c>
      <c r="C807" s="9" t="s">
        <v>1344</v>
      </c>
    </row>
    <row r="808" ht="33.75" customHeight="1">
      <c r="A808" s="6" t="s">
        <v>543</v>
      </c>
      <c r="B808" s="6" t="str">
        <f>IFERROR(__xludf.DUMMYFUNCTION("GOOGLETRANSLATE(A808,""en"",""fi"")"),"Se suojaa itseään kuoreensa ja iskee sitten takaisin vesipurskeilla joka tilaisuudessa.")</f>
        <v>Se suojaa itseään kuoreensa ja iskee sitten takaisin vesipurskeilla joka tilaisuudessa.</v>
      </c>
      <c r="C808" s="9" t="s">
        <v>1344</v>
      </c>
    </row>
    <row r="809" ht="33.75" customHeight="1">
      <c r="A809" s="6" t="s">
        <v>550</v>
      </c>
      <c r="B809" s="6" t="str">
        <f>IFERROR(__xludf.DUMMYFUNCTION("GOOGLETRANSLATE(A809,""en"",""fi"")"),"Kuori on pehmeä syntyessään. Siitä tulee pian niin kimmoisa, että tökkivät sormet pomppivat siitä.")</f>
        <v>Kuori on pehmeä syntyessään. Siitä tulee pian niin kimmoisa, että tökkivät sormet pomppivat siitä.</v>
      </c>
      <c r="C809" s="9" t="s">
        <v>1344</v>
      </c>
    </row>
    <row r="810" ht="33.75" customHeight="1">
      <c r="A810" s="6" t="s">
        <v>556</v>
      </c>
      <c r="B810" s="6" t="str">
        <f>IFERROR(__xludf.DUMMYFUNCTION("GOOGLETRANSLATE(A810,""en"",""fi"")"),"Se suojaa itseään kuoreensa ja iskee sitten takaisin vesipurskeilla joka tilaisuudessa.")</f>
        <v>Se suojaa itseään kuoreensa ja iskee sitten takaisin vesipurskeilla joka tilaisuudessa.</v>
      </c>
      <c r="C810" s="9" t="s">
        <v>1344</v>
      </c>
    </row>
    <row r="811" ht="33.75" customHeight="1">
      <c r="A811" s="6" t="s">
        <v>562</v>
      </c>
      <c r="B811" s="6" t="str">
        <f>IFERROR(__xludf.DUMMYFUNCTION("GOOGLETRANSLATE(A811,""en"",""fi"")"),"Squirtlen kuori ei ole tarkoitettu pelkästään suojaksi. Kuoren pyöreä muoto ja pinnan urat auttavat minimoimaan veden vastusta, minkä ansiosta tämä Pokémon voi uida suurilla nopeuksilla.")</f>
        <v>Squirtlen kuori ei ole tarkoitettu pelkästään suojaksi. Kuoren pyöreä muoto ja pinnan urat auttavat minimoimaan veden vastusta, minkä ansiosta tämä Pokémon voi uida suurilla nopeuksilla.</v>
      </c>
      <c r="C811" s="9" t="s">
        <v>1344</v>
      </c>
    </row>
    <row r="812" ht="33.75" customHeight="1">
      <c r="A812" s="6" t="s">
        <v>570</v>
      </c>
      <c r="B812" s="6" t="str">
        <f>IFERROR(__xludf.DUMMYFUNCTION("GOOGLETRANSLATE(A812,""en"",""fi"")"),"Tuntiessaan olonsa uhatuksi se vetää raajansa kuorensa sisään ja suihkuttaa vettä suustaan.")</f>
        <v>Tuntiessaan olonsa uhatuksi se vetää raajansa kuorensa sisään ja suihkuttaa vettä suustaan.</v>
      </c>
      <c r="C812" s="9" t="s">
        <v>1344</v>
      </c>
    </row>
    <row r="813" ht="33.75" customHeight="1">
      <c r="A813" s="6" t="s">
        <v>572</v>
      </c>
      <c r="B813" s="6" t="str">
        <f>IFERROR(__xludf.DUMMYFUNCTION("GOOGLETRANSLATE(A813,""en"",""fi"")"),"Usein piiloutuu veteen väijyäkseen varomatonta saalista. Nopeasti uidessaan se liikuttaa korviaan tasapainon ylläpitämiseksi.")</f>
        <v>Usein piiloutuu veteen väijyäkseen varomatonta saalista. Nopeasti uidessaan se liikuttaa korviaan tasapainon ylläpitämiseksi.</v>
      </c>
      <c r="C813" s="9" t="s">
        <v>1344</v>
      </c>
    </row>
    <row r="814" ht="33.75" customHeight="1">
      <c r="A814" s="6" t="s">
        <v>575</v>
      </c>
      <c r="B814" s="6" t="str">
        <f>IFERROR(__xludf.DUMMYFUNCTION("GOOGLETRANSLATE(A814,""en"",""fi"")"),"Napautettaessa tämä POKéMON vetää päänsä sisään, mutta sen häntä jää silti hieman ulos.")</f>
        <v>Napautettaessa tämä POKéMON vetää päänsä sisään, mutta sen häntä jää silti hieman ulos.</v>
      </c>
      <c r="C814" s="9" t="s">
        <v>1344</v>
      </c>
    </row>
    <row r="815" ht="33.75" customHeight="1">
      <c r="A815" s="6" t="s">
        <v>577</v>
      </c>
      <c r="B815" s="6" t="str">
        <f>IFERROR(__xludf.DUMMYFUNCTION("GOOGLETRANSLATE(A815,""en"",""fi"")"),"Se tunnustetaan pitkäikäisyyden symboliksi. Jos sen kuoressa on levää, kyseinen WARTORTLE on hyvin vanha.")</f>
        <v>Se tunnustetaan pitkäikäisyyden symboliksi. Jos sen kuoressa on levää, kyseinen WARTORTLE on hyvin vanha.</v>
      </c>
      <c r="C815" s="9" t="s">
        <v>1344</v>
      </c>
    </row>
    <row r="816" ht="33.75" customHeight="1">
      <c r="A816" s="6" t="s">
        <v>581</v>
      </c>
      <c r="B816" s="6" t="str">
        <f>IFERROR(__xludf.DUMMYFUNCTION("GOOGLETRANSLATE(A816,""en"",""fi"")"),"Se hallitsee taitavasti karvaisia ​​korviaan ja häntäänsä säilyttääkseen tasapainonsa uinnin aikana.")</f>
        <v>Se hallitsee taitavasti karvaisia ​​korviaan ja häntäänsä säilyttääkseen tasapainonsa uinnin aikana.</v>
      </c>
      <c r="C816" s="9" t="s">
        <v>1344</v>
      </c>
    </row>
    <row r="817" ht="33.75" customHeight="1">
      <c r="A817" s="6" t="s">
        <v>584</v>
      </c>
      <c r="B817" s="6" t="str">
        <f>IFERROR(__xludf.DUMMYFUNCTION("GOOGLETRANSLATE(A817,""en"",""fi"")"),"Sen pitkä, karvainen häntä on pitkäikäisyyden symboli, minkä vuoksi se on varsin suosittu vanhempien ihmisten keskuudessa.")</f>
        <v>Sen pitkä, karvainen häntä on pitkäikäisyyden symboli, minkä vuoksi se on varsin suosittu vanhempien ihmisten keskuudessa.</v>
      </c>
      <c r="C817" s="9" t="s">
        <v>1344</v>
      </c>
    </row>
    <row r="818" ht="33.75" customHeight="1">
      <c r="A818" s="6" t="s">
        <v>587</v>
      </c>
      <c r="B818" s="6" t="str">
        <f>IFERROR(__xludf.DUMMYFUNCTION("GOOGLETRANSLATE(A818,""en"",""fi"")"),"Sen häntä on suuri ja peitetty rikkaalla, paksulla turkilla. Häntä muuttuu väriltään yhä syvemmäksi WARTORTLEn ikääntyessä. Sen kuoren naarmut ovat todiste tämän POKéMONin sitkeydestä taistelijana.")</f>
        <v>Sen häntä on suuri ja peitetty rikkaalla, paksulla turkilla. Häntä muuttuu väriltään yhä syvemmäksi WARTORTLEn ikääntyessä. Sen kuoren naarmut ovat todiste tämän POKéMONin sitkeydestä taistelijana.</v>
      </c>
      <c r="C818" s="9" t="s">
        <v>1344</v>
      </c>
    </row>
    <row r="819" ht="33.75" customHeight="1">
      <c r="A819" s="6" t="s">
        <v>593</v>
      </c>
      <c r="B819" s="6" t="str">
        <f>IFERROR(__xludf.DUMMYFUNCTION("GOOGLETRANSLATE(A819,""en"",""fi"")"),"Sen suuri häntä on peittynyt rikkaaseen, paksuun turkkiin, jonka väri syvenee iän myötä. Sen kuoren naarmut ovat todiste tämän POKéMONin sitkeydestä taistelussa.")</f>
        <v>Sen suuri häntä on peittynyt rikkaaseen, paksuun turkkiin, jonka väri syvenee iän myötä. Sen kuoren naarmut ovat todiste tämän POKéMONin sitkeydestä taistelussa.</v>
      </c>
      <c r="C819" s="9" t="s">
        <v>1344</v>
      </c>
    </row>
    <row r="820" ht="33.75" customHeight="1">
      <c r="A820" s="6" t="s">
        <v>598</v>
      </c>
      <c r="B820" s="6" t="str">
        <f>IFERROR(__xludf.DUMMYFUNCTION("GOOGLETRANSLATE(A820,""en"",""fi"")"),"Tämä POKéMON on erittäin suosittu lemmikki. Sen karvapeitteinen häntä symboloi sen pitkäikäisyyttä.")</f>
        <v>Tämä POKéMON on erittäin suosittu lemmikki. Sen karvapeitteinen häntä symboloi sen pitkäikäisyyttä.</v>
      </c>
      <c r="C820" s="9" t="s">
        <v>1344</v>
      </c>
    </row>
    <row r="821" ht="33.75" customHeight="1">
      <c r="A821" s="6" t="s">
        <v>601</v>
      </c>
      <c r="B821" s="6" t="str">
        <f>IFERROR(__xludf.DUMMYFUNCTION("GOOGLETRANSLATE(A821,""en"",""fi"")"),"Se usein piiloutuu veteen väijyäkseen varomatonta saalista. Nopeaa uintia varten se liikuttaa korviaan tasapainon ylläpitämiseksi.")</f>
        <v>Se usein piiloutuu veteen väijyäkseen varomatonta saalista. Nopeaa uintia varten se liikuttaa korviaan tasapainon ylläpitämiseksi.</v>
      </c>
      <c r="C821" s="9" t="s">
        <v>1344</v>
      </c>
    </row>
    <row r="822" ht="33.75" customHeight="1">
      <c r="A822" s="6" t="s">
        <v>605</v>
      </c>
      <c r="B822" s="6" t="str">
        <f>IFERROR(__xludf.DUMMYFUNCTION("GOOGLETRANSLATE(A822,""en"",""fi"")"),"Sen sanotaan elävän 10 000 vuotta. Sen karvainen häntä on suosittu pitkäikäisyyden symboli.")</f>
        <v>Sen sanotaan elävän 10 000 vuotta. Sen karvainen häntä on suosittu pitkäikäisyyden symboli.</v>
      </c>
      <c r="C822" s="9" t="s">
        <v>1344</v>
      </c>
    </row>
    <row r="823" ht="33.75" customHeight="1">
      <c r="A823" s="6" t="s">
        <v>612</v>
      </c>
      <c r="B823" s="6" t="str">
        <f>IFERROR(__xludf.DUMMYFUNCTION("GOOGLETRANSLATE(A823,""en"",""fi"")"),"Se on vakiintunut pitkäikäisyyden symboli. Jos sen kuoressa on levää, kyseinen WARTORTLE on hyvin vanha.")</f>
        <v>Se on vakiintunut pitkäikäisyyden symboli. Jos sen kuoressa on levää, kyseinen WARTORTLE on hyvin vanha.</v>
      </c>
      <c r="C823" s="9" t="s">
        <v>1344</v>
      </c>
    </row>
    <row r="824" ht="33.75" customHeight="1">
      <c r="A824" s="6" t="s">
        <v>615</v>
      </c>
      <c r="B824" s="6" t="str">
        <f>IFERROR(__xludf.DUMMYFUNCTION("GOOGLETRANSLATE(A824,""en"",""fi"")"),"Se hallitsee taitavasti karvaisia ​​korviaan ja häntäänsä säilyttääkseen tasapainonsa uinnin aikana.")</f>
        <v>Se hallitsee taitavasti karvaisia ​​korviaan ja häntäänsä säilyttääkseen tasapainonsa uinnin aikana.</v>
      </c>
      <c r="C824" s="9" t="s">
        <v>1344</v>
      </c>
    </row>
    <row r="825" ht="33.75" customHeight="1">
      <c r="A825" s="6" t="s">
        <v>623</v>
      </c>
      <c r="B825" s="6" t="str">
        <f>IFERROR(__xludf.DUMMYFUNCTION("GOOGLETRANSLATE(A825,""en"",""fi"")"),"Napautettaessa tämä Pokémon vetää päänsä sisään, mutta sen häntä jää silti hieman ulos.")</f>
        <v>Napautettaessa tämä Pokémon vetää päänsä sisään, mutta sen häntä jää silti hieman ulos.</v>
      </c>
      <c r="C825" s="9" t="s">
        <v>1344</v>
      </c>
    </row>
    <row r="826" ht="33.75" customHeight="1">
      <c r="A826" s="6" t="s">
        <v>627</v>
      </c>
      <c r="B826" s="6" t="str">
        <f>IFERROR(__xludf.DUMMYFUNCTION("GOOGLETRANSLATE(A826,""en"",""fi"")"),"Sen häntä on suuri ja peitetty rikkaalla, paksulla turkilla. Häntä muuttuu väriltään yhä syvemmäksi Wartortlen ikääntyessä. Naarmut sen kuoressa ovat todiste tämän Pokémonin sitkeydestä taistelijana.")</f>
        <v>Sen häntä on suuri ja peitetty rikkaalla, paksulla turkilla. Häntä muuttuu väriltään yhä syvemmäksi Wartortlen ikääntyessä. Naarmut sen kuoressa ovat todiste tämän Pokémonin sitkeydestä taistelijana.</v>
      </c>
      <c r="C826" s="9" t="s">
        <v>1344</v>
      </c>
    </row>
    <row r="827" ht="33.75" customHeight="1">
      <c r="A827" s="6" t="s">
        <v>631</v>
      </c>
      <c r="B827" s="6" t="str">
        <f>IFERROR(__xludf.DUMMYFUNCTION("GOOGLETRANSLATE(A827,""en"",""fi"")"),"Kun sitä napautetaan päähän, tämä Pokémon vetää sen sisäänpäin, mutta sen häntä työntyy silti hieman ulos.")</f>
        <v>Kun sitä napautetaan päähän, tämä Pokémon vetää sen sisäänpäin, mutta sen häntä työntyy silti hieman ulos.</v>
      </c>
      <c r="C827" s="9" t="s">
        <v>1344</v>
      </c>
    </row>
    <row r="828" ht="33.75" customHeight="1">
      <c r="A828" s="6" t="s">
        <v>635</v>
      </c>
      <c r="B828" s="6" t="str">
        <f>IFERROR(__xludf.DUMMYFUNCTION("GOOGLETRANSLATE(A828,""en"",""fi"")"),"Se tunnustetaan pitkäikäisyyden symboliksi. Jos sen kuoressa on levää, kyseinen pahkasika on hyvin vanha.")</f>
        <v>Se tunnustetaan pitkäikäisyyden symboliksi. Jos sen kuoressa on levää, kyseinen pahkasika on hyvin vanha.</v>
      </c>
      <c r="C828" s="9" t="s">
        <v>1344</v>
      </c>
    </row>
    <row r="829" ht="33.75" customHeight="1">
      <c r="A829" s="6" t="s">
        <v>641</v>
      </c>
      <c r="B829" s="6" t="str">
        <f>IFERROR(__xludf.DUMMYFUNCTION("GOOGLETRANSLATE(A829,""en"",""fi"")"),"Brutaali POKéMON, jonka kuoressa on paineistetut vesisuihkut. Niitä käytetään nopeisiin taklauksiin.")</f>
        <v>Brutaali POKéMON, jonka kuoressa on paineistetut vesisuihkut. Niitä käytetään nopeisiin taklauksiin.</v>
      </c>
      <c r="C829" s="9" t="s">
        <v>1344</v>
      </c>
    </row>
    <row r="830" ht="33.75" customHeight="1">
      <c r="A830" s="6" t="s">
        <v>650</v>
      </c>
      <c r="B830" s="6" t="str">
        <f>IFERROR(__xludf.DUMMYFUNCTION("GOOGLETRANSLATE(A830,""en"",""fi"")"),"Kun se tähtää vihollistaan, se suihkuttaa vettä ulos vielä voimakkaammin kuin paloletku.")</f>
        <v>Kun se tähtää vihollistaan, se suihkuttaa vettä ulos vielä voimakkaammin kuin paloletku.</v>
      </c>
      <c r="C830" s="9" t="s">
        <v>1344</v>
      </c>
    </row>
    <row r="831" ht="33.75" customHeight="1">
      <c r="A831" s="6" t="s">
        <v>655</v>
      </c>
      <c r="B831" s="6" t="str">
        <f>IFERROR(__xludf.DUMMYFUNCTION("GOOGLETRANSLATE(A831,""en"",""fi"")"),"Se tekee itsestään tarkoituksella raskaan, jotta se kestää ampumiensa vesisuihkujen rekyylin.")</f>
        <v>Se tekee itsestään tarkoituksella raskaan, jotta se kestää ampumiensa vesisuihkujen rekyylin.</v>
      </c>
      <c r="C831" s="9" t="s">
        <v>1344</v>
      </c>
    </row>
    <row r="832" ht="33.75" customHeight="1">
      <c r="A832" s="6" t="s">
        <v>658</v>
      </c>
      <c r="B832" s="6" t="str">
        <f>IFERROR(__xludf.DUMMYFUNCTION("GOOGLETRANSLATE(A832,""en"",""fi"")"),"Kranaatin päällä olevat raketin tykit ampuvat vesisuihkuja, jotka kykenevät lävistämään reikiä paksuun teräkseen.")</f>
        <v>Kranaatin päällä olevat raketin tykit ampuvat vesisuihkuja, jotka kykenevät lävistämään reikiä paksuun teräkseen.</v>
      </c>
      <c r="C832" s="9" t="s">
        <v>1344</v>
      </c>
    </row>
    <row r="833" ht="33.75" customHeight="1">
      <c r="A833" s="6" t="s">
        <v>660</v>
      </c>
      <c r="B833" s="6" t="str">
        <f>IFERROR(__xludf.DUMMYFUNCTION("GOOGLETRANSLATE(A833,""en"",""fi"")"),"Se asettaa jalkansa tukevasti maahan ennen kuin ampuu vettä selässään olevista suihkuista.")</f>
        <v>Se asettaa jalkansa tukevasti maahan ennen kuin ampuu vettä selässään olevista suihkuista.</v>
      </c>
      <c r="C833" s="9" t="s">
        <v>1344</v>
      </c>
    </row>
    <row r="834" ht="33.75" customHeight="1">
      <c r="A834" s="6" t="s">
        <v>663</v>
      </c>
      <c r="B834" s="6" t="str">
        <f>IFERROR(__xludf.DUMMYFUNCTION("GOOGLETRANSLATE(A834,""en"",""fi"")"),"BLASTOISEssa on vesisuuttimet, jotka työntyvät ulos sen kuoresta. Vesisuuttimet ovat erittäin tarkkoja. Ne voivat ampua vesiluoteja riittävällä tarkkuudella osuakseen tyhjiin tölkkeihin yli 50 metrin etäisyydeltä.")</f>
        <v>BLASTOISEssa on vesisuuttimet, jotka työntyvät ulos sen kuoresta. Vesisuuttimet ovat erittäin tarkkoja. Ne voivat ampua vesiluoteja riittävällä tarkkuudella osuakseen tyhjiin tölkkeihin yli 50 metrin etäisyydeltä.</v>
      </c>
      <c r="C834" s="9" t="s">
        <v>1344</v>
      </c>
    </row>
    <row r="835" ht="33.75" customHeight="1">
      <c r="A835" s="6" t="s">
        <v>669</v>
      </c>
      <c r="B835" s="6" t="str">
        <f>IFERROR(__xludf.DUMMYFUNCTION("GOOGLETRANSLATE(A835,""en"",""fi"")"),"Sen kuoresta työntyvät vesipatsaat ovat erittäin tarkkoja. Niiden vesikuulat voivat naulata peltipurkkeja tarkasti yli 50 metrin etäisyydeltä.")</f>
        <v>Sen kuoresta työntyvät vesipatsaat ovat erittäin tarkkoja. Niiden vesikuulat voivat naulata peltipurkkeja tarkasti yli 50 metrin etäisyydeltä.</v>
      </c>
      <c r="C835" s="9" t="s">
        <v>1344</v>
      </c>
    </row>
    <row r="836" ht="33.75" customHeight="1">
      <c r="A836" s="6" t="s">
        <v>672</v>
      </c>
      <c r="B836" s="6" t="str">
        <f>IFERROR(__xludf.DUMMYFUNCTION("GOOGLETRANSLATE(A836,""en"",""fi"")"),"Se murskaa vihollisensa raskaan ruumiinsa alle aiheuttaen pyörtymisen. Hätätilanteessa se vetäytyy kuoreensa.")</f>
        <v>Se murskaa vihollisensa raskaan ruumiinsa alle aiheuttaen pyörtymisen. Hätätilanteessa se vetäytyy kuoreensa.</v>
      </c>
      <c r="C836" s="9" t="s">
        <v>1344</v>
      </c>
    </row>
    <row r="837" ht="33.75" customHeight="1">
      <c r="A837" s="6" t="s">
        <v>676</v>
      </c>
      <c r="B837" s="6" t="str">
        <f>IFERROR(__xludf.DUMMYFUNCTION("GOOGLETRANSLATE(A837,""en"",""fi"")"),"Tämän brutaalin POKéMONin kuoren paineistettuja vesisuihkuja käytetään nopeisiin taklauksiin.")</f>
        <v>Tämän brutaalin POKéMONin kuoren paineistettuja vesisuihkuja käytetään nopeisiin taklauksiin.</v>
      </c>
      <c r="C837" s="9" t="s">
        <v>1344</v>
      </c>
    </row>
    <row r="838" ht="33.75" customHeight="1">
      <c r="A838" s="6" t="s">
        <v>679</v>
      </c>
      <c r="B838" s="6" t="str">
        <f>IFERROR(__xludf.DUMMYFUNCTION("GOOGLETRANSLATE(A838,""en"",""fi"")"),"Sen kuoren rakettitykeistä suihkuavat vesisuihkut voivat lävistää paksun teräksen.")</f>
        <v>Sen kuoren rakettitykeistä suihkuavat vesisuihkut voivat lävistää paksun teräksen.</v>
      </c>
      <c r="C838" s="9" t="s">
        <v>1344</v>
      </c>
    </row>
    <row r="839" ht="33.75" customHeight="1">
      <c r="A839" s="6" t="s">
        <v>686</v>
      </c>
      <c r="B839" s="6" t="str">
        <f>IFERROR(__xludf.DUMMYFUNCTION("GOOGLETRANSLATE(A839,""en"",""fi"")"),"Se tekee itsestään tarkoituksella raskaan, jotta se kestää ampumiensa vesisuihkujen rekyylin.")</f>
        <v>Se tekee itsestään tarkoituksella raskaan, jotta se kestää ampumiensa vesisuihkujen rekyylin.</v>
      </c>
      <c r="C839" s="9" t="s">
        <v>1344</v>
      </c>
    </row>
    <row r="840" ht="33.75" customHeight="1">
      <c r="A840" s="6" t="s">
        <v>688</v>
      </c>
      <c r="B840" s="6" t="str">
        <f>IFERROR(__xludf.DUMMYFUNCTION("GOOGLETRANSLATE(A840,""en"",""fi"")"),"Kranaatin päällä olevat raketin tykit ampuvat vesisuihkuja, jotka kykenevät lävistämään reikiä paksuun teräkseen.")</f>
        <v>Kranaatin päällä olevat raketin tykit ampuvat vesisuihkuja, jotka kykenevät lävistämään reikiä paksuun teräkseen.</v>
      </c>
      <c r="C840" s="9" t="s">
        <v>1344</v>
      </c>
    </row>
    <row r="841" ht="33.75" customHeight="1">
      <c r="A841" s="6" t="s">
        <v>698</v>
      </c>
      <c r="B841" s="6" t="str">
        <f>IFERROR(__xludf.DUMMYFUNCTION("GOOGLETRANSLATE(A841,""en"",""fi"")"),"Tämän brutaalin Pokémonin kuoren paineistettuja vesisuihkuja käytetään nopeisiin taklauksiin.")</f>
        <v>Tämän brutaalin Pokémonin kuoren paineistettuja vesisuihkuja käytetään nopeisiin taklauksiin.</v>
      </c>
      <c r="C841" s="9" t="s">
        <v>1344</v>
      </c>
    </row>
    <row r="842" ht="33.75" customHeight="1">
      <c r="A842" s="6" t="s">
        <v>699</v>
      </c>
      <c r="B842" s="6" t="str">
        <f>IFERROR(__xludf.DUMMYFUNCTION("GOOGLETRANSLATE(A842,""en"",""fi"")"),"Blastoisella on vesisuuttimet, jotka työntyvät ulos sen kuoresta. Vesisuuttimet ovat erittäin tarkkoja. Ne voivat ampua vesiluoteja riittävän tarkasti osuakseen tyhjiin tölkkeihin yli 50 metrin etäisyydeltä.")</f>
        <v>Blastoisella on vesisuuttimet, jotka työntyvät ulos sen kuoresta. Vesisuuttimet ovat erittäin tarkkoja. Ne voivat ampua vesiluoteja riittävän tarkasti osuakseen tyhjiin tölkkeihin yli 50 metrin etäisyydeltä.</v>
      </c>
      <c r="C842" s="9" t="s">
        <v>1344</v>
      </c>
    </row>
    <row r="843" ht="33.75" customHeight="1">
      <c r="A843" s="6" t="s">
        <v>707</v>
      </c>
      <c r="B843" s="6" t="str">
        <f>IFERROR(__xludf.DUMMYFUNCTION("GOOGLETRANSLATE(A843,""en"",""fi"")"),"Sen lyhyissä jaloissa on imukupit, joiden avulla se voi väsymättä kiivetä rinteitä ja seiniä pitkin.")</f>
        <v>Sen lyhyissä jaloissa on imukupit, joiden avulla se voi väsymättä kiivetä rinteitä ja seiniä pitkin.</v>
      </c>
      <c r="C843" s="9" t="s">
        <v>1344</v>
      </c>
    </row>
    <row r="844" ht="33.75" customHeight="1">
      <c r="A844" s="6" t="s">
        <v>713</v>
      </c>
      <c r="B844" s="6" t="str">
        <f>IFERROR(__xludf.DUMMYFUNCTION("GOOGLETRANSLATE(A844,""en"",""fi"")"),"Jos kosket sen pään päällä olevaan tuntosarjaan, se vapauttaa kamalaa hajua suojatakseen itseään.")</f>
        <v>Jos kosket sen pään päällä olevaan tuntosarjaan, se vapauttaa kamalaa hajua suojatakseen itseään.</v>
      </c>
      <c r="C844" s="9" t="s">
        <v>1344</v>
      </c>
    </row>
    <row r="845" ht="33.75" customHeight="1">
      <c r="A845" s="6" t="s">
        <v>716</v>
      </c>
      <c r="B845" s="6" t="str">
        <f>IFERROR(__xludf.DUMMYFUNCTION("GOOGLETRANSLATE(A845,""en"",""fi"")"),"Suojautuakseen se vapauttaa päässään olevasta antennista kamalaa löyhkää ajaakseen viholliset pois.")</f>
        <v>Suojautuakseen se vapauttaa päässään olevasta antennista kamalaa löyhkää ajaakseen viholliset pois.</v>
      </c>
      <c r="C845" s="9" t="s">
        <v>1344</v>
      </c>
    </row>
    <row r="846" ht="33.75" customHeight="1">
      <c r="A846" s="6" t="s">
        <v>719</v>
      </c>
      <c r="B846" s="6" t="str">
        <f>IFERROR(__xludf.DUMMYFUNCTION("GOOGLETRANSLATE(A846,""en"",""fi"")"),"Sen jaloissa on imukupit, jotka on suunniteltu tarttumaan mihin tahansa pintaan. Se kiipeää sinnikkäästi puihin etsimään ruokaa.")</f>
        <v>Sen jaloissa on imukupit, jotka on suunniteltu tarttumaan mihin tahansa pintaan. Se kiipeää sinnikkäästi puihin etsimään ruokaa.</v>
      </c>
      <c r="C846" s="9" t="s">
        <v>1344</v>
      </c>
    </row>
    <row r="847" ht="33.75" customHeight="1">
      <c r="A847" s="6" t="s">
        <v>723</v>
      </c>
      <c r="B847" s="6" t="str">
        <f>IFERROR(__xludf.DUMMYFUNCTION("GOOGLETRANSLATE(A847,""en"",""fi"")"),"Se ryömii lehtien sekaan, missä se naamioituu vartalonsa väristen lehtien sekaan.")</f>
        <v>Se ryömii lehtien sekaan, missä se naamioituu vartalonsa väristen lehtien sekaan.</v>
      </c>
      <c r="C847" s="9" t="s">
        <v>1344</v>
      </c>
    </row>
    <row r="848" ht="33.75" customHeight="1">
      <c r="A848" s="6" t="s">
        <v>726</v>
      </c>
      <c r="B848" s="6" t="str">
        <f>IFERROR(__xludf.DUMMYFUNCTION("GOOGLETRANSLATE(A848,""en"",""fi"")"),"CATERPIELLA on kyltymätön ruokahalu. Se voi ahmia itseään suurempia lehtiä aivan silmiesi edessä. Tuntosarvistaan ​​tämä POKéMON vapauttaa hirvittävän voimakasta hajua.")</f>
        <v>CATERPIELLA on kyltymätön ruokahalu. Se voi ahmia itseään suurempia lehtiä aivan silmiesi edessä. Tuntosarvistaan ​​tämä POKéMON vapauttaa hirvittävän voimakasta hajua.</v>
      </c>
      <c r="C848" s="9" t="s">
        <v>1344</v>
      </c>
    </row>
    <row r="849" ht="33.75" customHeight="1">
      <c r="A849" s="6" t="s">
        <v>731</v>
      </c>
      <c r="B849" s="6" t="str">
        <f>IFERROR(__xludf.DUMMYFUNCTION("GOOGLETRANSLATE(A849,""en"",""fi"")"),"Sen kyltymätön ruokahalu pakottaa sen ahmimaan epäröimättä itseään suurempia lehtiä. Se päästää tuntosarvistaan ​​hirvittävän voimakasta hajua.")</f>
        <v>Sen kyltymätön ruokahalu pakottaa sen ahmimaan epäröimättä itseään suurempia lehtiä. Se päästää tuntosarvistaan ​​hirvittävän voimakasta hajua.</v>
      </c>
      <c r="C849" s="9" t="s">
        <v>1344</v>
      </c>
    </row>
    <row r="850" ht="33.75" customHeight="1">
      <c r="A850" s="6" t="s">
        <v>733</v>
      </c>
      <c r="B850" s="6" t="str">
        <f>IFERROR(__xludf.DUMMYFUNCTION("GOOGLETRANSLATE(A850,""en"",""fi"")"),"Se on peittynyt vihreään kuoreen. Kasvaessaan se luopuu kuorestaan, peittyy silkkiin ja muuttuu koteloksi.")</f>
        <v>Se on peittynyt vihreään kuoreen. Kasvaessaan se luopuu kuorestaan, peittyy silkkiin ja muuttuu koteloksi.</v>
      </c>
      <c r="C850" s="9" t="s">
        <v>1344</v>
      </c>
    </row>
    <row r="851" ht="33.75" customHeight="1">
      <c r="A851" s="6" t="s">
        <v>737</v>
      </c>
      <c r="B851" s="6" t="str">
        <f>IFERROR(__xludf.DUMMYFUNCTION("GOOGLETRANSLATE(A851,""en"",""fi"")"),"Se päästää punaisista tuntosarvistaan ​​hajua torjuakseen vihollisia. Se kasvaa luomalla sulkasatoa toistuvasti.")</f>
        <v>Se päästää punaisista tuntosarvistaan ​​hajua torjuakseen vihollisia. Se kasvaa luomalla sulkasatoa toistuvasti.</v>
      </c>
      <c r="C851" s="9" t="s">
        <v>1344</v>
      </c>
    </row>
    <row r="852" ht="33.75" customHeight="1">
      <c r="A852" s="6" t="s">
        <v>746</v>
      </c>
      <c r="B852" s="6" t="str">
        <f>IFERROR(__xludf.DUMMYFUNCTION("GOOGLETRANSLATE(A852,""en"",""fi"")"),"Suojautuakseen se päästää päässään olevista tuntosarvista kamalaa löyhkää ajaakseen viholliset pois.")</f>
        <v>Suojautuakseen se päästää päässään olevista tuntosarvista kamalaa löyhkää ajaakseen viholliset pois.</v>
      </c>
      <c r="C852" s="9" t="s">
        <v>1344</v>
      </c>
    </row>
    <row r="853" ht="33.75" customHeight="1">
      <c r="A853" s="6" t="s">
        <v>762</v>
      </c>
      <c r="B853" s="6" t="str">
        <f>IFERROR(__xludf.DUMMYFUNCTION("GOOGLETRANSLATE(A853,""en"",""fi"")"),"Toukalla on kyltymätön ruokahalu. Se voi ahmia itseään suurempia lehtiä aivan silmiesi edessä. Tuntosarvistaan ​​tämä Pokémon vapauttaa erittäin voimakasta hajua.")</f>
        <v>Toukalla on kyltymätön ruokahalu. Se voi ahmia itseään suurempia lehtiä aivan silmiesi edessä. Tuntosarvistaan ​​tämä Pokémon vapauttaa erittäin voimakasta hajua.</v>
      </c>
      <c r="C853" s="9" t="s">
        <v>1344</v>
      </c>
    </row>
    <row r="854" ht="33.75" customHeight="1">
      <c r="A854" s="6" t="s">
        <v>768</v>
      </c>
      <c r="B854" s="6" t="str">
        <f>IFERROR(__xludf.DUMMYFUNCTION("GOOGLETRANSLATE(A854,""en"",""fi"")"),"Lintu-Pokémonien hyökkäyksen aikana se vastustaa vapauttamalla tuntosarvistaan ​​valtavan voimakasta hajua, mutta siitä tulee usein niiden saalis.")</f>
        <v>Lintu-Pokémonien hyökkäyksen aikana se vastustaa vapauttamalla tuntosarvistaan ​​valtavan voimakasta hajua, mutta siitä tulee usein niiden saalis.</v>
      </c>
      <c r="C854" s="9" t="s">
        <v>1344</v>
      </c>
    </row>
    <row r="855" ht="33.75" customHeight="1">
      <c r="A855" s="6" t="s">
        <v>770</v>
      </c>
      <c r="B855" s="6" t="str">
        <f>IFERROR(__xludf.DUMMYFUNCTION("GOOGLETRANSLATE(A855,""en"",""fi"")"),"Se on helppo saada kiinni ja se kasvaa nopeasti, joten se on yksi parhaista suosituksista aloitteleville Pokémon-kouluttajille.")</f>
        <v>Se on helppo saada kiinni ja se kasvaa nopeasti, joten se on yksi parhaista suosituksista aloitteleville Pokémon-kouluttajille.</v>
      </c>
      <c r="C855" s="9" t="s">
        <v>1344</v>
      </c>
    </row>
    <row r="856" ht="33.75" customHeight="1">
      <c r="A856" s="6" t="s">
        <v>773</v>
      </c>
      <c r="B856" s="6" t="str">
        <f>IFERROR(__xludf.DUMMYFUNCTION("GOOGLETRANSLATE(A856,""en"",""fi"")"),"Ehkäpä siksi, että se haluaisi kasvaa nopeasti, sillä on kyltymätön ruokahalu, joka syö sata lehteä päivässä.")</f>
        <v>Ehkäpä siksi, että se haluaisi kasvaa nopeasti, sillä on kyltymätön ruokahalu, joka syö sata lehteä päivässä.</v>
      </c>
      <c r="C856" s="9" t="s">
        <v>1344</v>
      </c>
    </row>
    <row r="857" ht="33.75" customHeight="1">
      <c r="A857" s="6" t="s">
        <v>775</v>
      </c>
      <c r="B857" s="6" t="str">
        <f>IFERROR(__xludf.DUMMYFUNCTION("GOOGLETRANSLATE(A857,""en"",""fi"")"),"Sen ruumis on pehmeä ja heikko. Luonnossa sen ikuinen kohtalo on, että muut näkevät sen ruokana.")</f>
        <v>Sen ruumis on pehmeä ja heikko. Luonnossa sen ikuinen kohtalo on, että muut näkevät sen ruokana.</v>
      </c>
      <c r="C857" s="9" t="s">
        <v>1344</v>
      </c>
    </row>
    <row r="858" ht="33.75" customHeight="1">
      <c r="A858" s="6" t="s">
        <v>781</v>
      </c>
      <c r="B858" s="6" t="str">
        <f>IFERROR(__xludf.DUMMYFUNCTION("GOOGLETRANSLATE(A858,""en"",""fi"")"),"Suojautuakseen se vapauttaa päässään olevasta antennista kamalaa löyhkää ajaakseen viholliset pois.")</f>
        <v>Suojautuakseen se vapauttaa päässään olevasta antennista kamalaa löyhkää ajaakseen viholliset pois.</v>
      </c>
      <c r="C858" s="9" t="s">
        <v>1344</v>
      </c>
    </row>
    <row r="859" ht="33.75" customHeight="1">
      <c r="A859" s="6" t="s">
        <v>783</v>
      </c>
      <c r="B859" s="6" t="str">
        <f>IFERROR(__xludf.DUMMYFUNCTION("GOOGLETRANSLATE(A859,""en"",""fi"")"),"Tämä POKéMON on altis hyökkäyksille, vaikka sen kuori on pehmeä paljastaen sen heikon ja herkän ruumiin.")</f>
        <v>Tämä POKéMON on altis hyökkäyksille, vaikka sen kuori on pehmeä paljastaen sen heikon ja herkän ruumiin.</v>
      </c>
      <c r="C859" s="9" t="s">
        <v>1344</v>
      </c>
    </row>
    <row r="860" ht="33.75" customHeight="1">
      <c r="A860" s="6" t="s">
        <v>787</v>
      </c>
      <c r="B860" s="6" t="str">
        <f>IFERROR(__xludf.DUMMYFUNCTION("GOOGLETRANSLATE(A860,""en"",""fi"")"),"Kovettaa kuorensa suojatakseen itseään. Voimakas isku voi kuitenkin saada sen ponnahtamaan ulos kuorestaan.")</f>
        <v>Kovettaa kuorensa suojatakseen itseään. Voimakas isku voi kuitenkin saada sen ponnahtamaan ulos kuorestaan.</v>
      </c>
      <c r="C860" s="9" t="s">
        <v>1344</v>
      </c>
    </row>
    <row r="861" ht="33.75" customHeight="1">
      <c r="A861" s="6" t="s">
        <v>789</v>
      </c>
      <c r="B861" s="6" t="str">
        <f>IFERROR(__xludf.DUMMYFUNCTION("GOOGLETRANSLATE(A861,""en"",""fi"")"),"Kuoren sisällä se on pehmeä ja heikko valmistautuessaan kehittymään. Se pysyy vähemmän liikkeessä kuoren sisällä.")</f>
        <v>Kuoren sisällä se on pehmeä ja heikko valmistautuessaan kehittymään. Se pysyy vähemmän liikkeessä kuoren sisällä.</v>
      </c>
      <c r="C861" s="9" t="s">
        <v>1344</v>
      </c>
    </row>
    <row r="862" ht="33.75" customHeight="1">
      <c r="A862" s="6" t="s">
        <v>792</v>
      </c>
      <c r="B862" s="6" t="str">
        <f>IFERROR(__xludf.DUMMYFUNCTION("GOOGLETRANSLATE(A862,""en"",""fi"")"),"Se valmistautuu evoluutioon karkaisemalla kuortaan niin paljon kuin mahdollista suojellakseen pehmeää kehoaan.")</f>
        <v>Se valmistautuu evoluutioon karkaisemalla kuortaan niin paljon kuin mahdollista suojellakseen pehmeää kehoaan.</v>
      </c>
      <c r="C862" s="9" t="s">
        <v>1344</v>
      </c>
    </row>
    <row r="863" ht="33.75" customHeight="1">
      <c r="A863" s="6" t="s">
        <v>795</v>
      </c>
      <c r="B863" s="6" t="str">
        <f>IFERROR(__xludf.DUMMYFUNCTION("GOOGLETRANSLATE(A863,""en"",""fi"")"),"Tämä on sen esikehittynyt muoto. Tässä vaiheessa se voi vain kovettua, joten se pysyy liikkumattomana välttääkseen hyökkäyksen.")</f>
        <v>Tämä on sen esikehittynyt muoto. Tässä vaiheessa se voi vain kovettua, joten se pysyy liikkumattomana välttääkseen hyökkäyksen.</v>
      </c>
      <c r="C863" s="9" t="s">
        <v>1344</v>
      </c>
    </row>
    <row r="864" ht="33.75" customHeight="1">
      <c r="A864" s="6" t="s">
        <v>797</v>
      </c>
      <c r="B864" s="6" t="str">
        <f>IFERROR(__xludf.DUMMYFUNCTION("GOOGLETRANSLATE(A864,""en"",""fi"")"),"Tämän POKéMONin ruumista peittävä kuori on kova kuin rautalaatta. METAPOD ei liiku paljoa. Se pysyy paikallaan, koska se valmistaa pehmeitä sisusosiaan evoluutiota varten kovan kuoren sisällä.")</f>
        <v>Tämän POKéMONin ruumista peittävä kuori on kova kuin rautalaatta. METAPOD ei liiku paljoa. Se pysyy paikallaan, koska se valmistaa pehmeitä sisusosiaan evoluutiota varten kovan kuoren sisällä.</v>
      </c>
      <c r="C864" s="9" t="s">
        <v>1344</v>
      </c>
    </row>
    <row r="865" ht="33.75" customHeight="1">
      <c r="A865" s="6" t="s">
        <v>801</v>
      </c>
      <c r="B865" s="6" t="str">
        <f>IFERROR(__xludf.DUMMYFUNCTION("GOOGLETRANSLATE(A865,""en"",""fi"")"),"Sen kuori on yhtä kova kuin rautalaatta. METAPOD ei liiku kovin paljon, koska se valmistelee pehmeitä sisusosiaan kuoren sisällä tapahtuvaa evoluutiota varten.")</f>
        <v>Sen kuori on yhtä kova kuin rautalaatta. METAPOD ei liiku kovin paljon, koska se valmistelee pehmeitä sisusosiaan kuoren sisällä tapahtuvaa evoluutiota varten.</v>
      </c>
      <c r="C865" s="9" t="s">
        <v>1344</v>
      </c>
    </row>
    <row r="866" ht="33.75" customHeight="1">
      <c r="A866" s="6" t="s">
        <v>803</v>
      </c>
      <c r="B866" s="6" t="str">
        <f>IFERROR(__xludf.DUMMYFUNCTION("GOOGLETRANSLATE(A866,""en"",""fi"")"),"Vaikka se onkin tukevan kuoren sisällä, sen sisällä oleva ruumis on herkkä. Se ei kestä kovaa hyökkäystä.")</f>
        <v>Vaikka se onkin tukevan kuoren sisällä, sen sisällä oleva ruumis on herkkä. Se ei kestä kovaa hyökkäystä.</v>
      </c>
      <c r="C866" s="9" t="s">
        <v>1344</v>
      </c>
    </row>
    <row r="867" ht="33.75" customHeight="1">
      <c r="A867" s="6" t="s">
        <v>808</v>
      </c>
      <c r="B867" s="6" t="str">
        <f>IFERROR(__xludf.DUMMYFUNCTION("GOOGLETRANSLATE(A867,""en"",""fi"")"),"Teräskova kuori suojelee sen herkkää ruumista. Se kestää hiljaa vastoinkäymisiä odottaessaan evoluutiota.")</f>
        <v>Teräskova kuori suojelee sen herkkää ruumista. Se kestää hiljaa vastoinkäymisiä odottaessaan evoluutiota.</v>
      </c>
      <c r="C867" s="9" t="s">
        <v>1344</v>
      </c>
    </row>
    <row r="868" ht="33.75" customHeight="1">
      <c r="A868" s="6" t="s">
        <v>813</v>
      </c>
      <c r="B868" s="6" t="str">
        <f>IFERROR(__xludf.DUMMYFUNCTION("GOOGLETRANSLATE(A868,""en"",""fi"")"),"Kuoren sisällä se on pehmeä ja heikko valmistautuessaan kehittymään. Se pysyy liikkumattomana kuoressa.")</f>
        <v>Kuoren sisällä se on pehmeä ja heikko valmistautuessaan kehittymään. Se pysyy liikkumattomana kuoressa.</v>
      </c>
      <c r="C868" s="9" t="s">
        <v>1344</v>
      </c>
    </row>
    <row r="869" ht="33.75" customHeight="1">
      <c r="A869" s="6" t="s">
        <v>815</v>
      </c>
      <c r="B869" s="6" t="str">
        <f>IFERROR(__xludf.DUMMYFUNCTION("GOOGLETRANSLATE(A869,""en"",""fi"")"),"Se valmistautuu evoluutioon kovettamalla kuortaan mahdollisimman paljon suojatakseen pehmeää kehoaan.")</f>
        <v>Se valmistautuu evoluutioon kovettamalla kuortaan mahdollisimman paljon suojatakseen pehmeää kehoaan.</v>
      </c>
      <c r="C869" s="9" t="s">
        <v>1344</v>
      </c>
    </row>
    <row r="870" ht="33.75" customHeight="1">
      <c r="A870" s="6" t="s">
        <v>824</v>
      </c>
      <c r="B870" s="6" t="str">
        <f>IFERROR(__xludf.DUMMYFUNCTION("GOOGLETRANSLATE(A870,""en"",""fi"")"),"Tämä Pokémon on altis hyökkäyksille, vaikka sen kuori on pehmeä paljastaen sen heikon ja herkän ruumiin.")</f>
        <v>Tämä Pokémon on altis hyökkäyksille, vaikka sen kuori on pehmeä paljastaen sen heikon ja herkän ruumiin.</v>
      </c>
      <c r="C870" s="9" t="s">
        <v>1344</v>
      </c>
    </row>
    <row r="871" ht="33.75" customHeight="1">
      <c r="A871" s="6" t="s">
        <v>827</v>
      </c>
      <c r="B871" s="6" t="str">
        <f>IFERROR(__xludf.DUMMYFUNCTION("GOOGLETRANSLATE(A871,""en"",""fi"")"),"Tämän Pokémonin vartaloa peittävä kuori on kova kuin rautalevy. Metapodi ei liiku paljoa. Se pysyy paikallaan, koska se valmistelee pehmeitä sisusosiaan evoluutiota varten kovan kuoren sisällä.")</f>
        <v>Tämän Pokémonin vartaloa peittävä kuori on kova kuin rautalevy. Metapodi ei liiku paljoa. Se pysyy paikallaan, koska se valmistelee pehmeitä sisusosiaan evoluutiota varten kovan kuoren sisällä.</v>
      </c>
      <c r="C871" s="9" t="s">
        <v>1344</v>
      </c>
    </row>
    <row r="872" ht="33.75" customHeight="1">
      <c r="A872" s="6" t="s">
        <v>832</v>
      </c>
      <c r="B872" s="6" t="str">
        <f>IFERROR(__xludf.DUMMYFUNCTION("GOOGLETRANSLATE(A872,""en"",""fi"")"),"Sen kuori on täynnä pehmeitä sisuskaluja. Se ei liiku paljon, koska on olemassa vaara, että se saattaa huolimattomasti vuodattaa sisuskalunsa ulos.")</f>
        <v>Sen kuori on täynnä pehmeitä sisuskaluja. Se ei liiku paljon, koska on olemassa vaara, että se saattaa huolimattomasti vuodattaa sisuskalunsa ulos.</v>
      </c>
      <c r="C872" s="9" t="s">
        <v>1344</v>
      </c>
    </row>
    <row r="873" ht="33.75" customHeight="1">
      <c r="A873" s="6" t="s">
        <v>835</v>
      </c>
      <c r="B873" s="6" t="str">
        <f>IFERROR(__xludf.DUMMYFUNCTION("GOOGLETRANSLATE(A873,""en"",""fi"")"),"Sen kuori on kova, mutta se on silti vain ötökän kuori. Se on tunnetusti taipuvainen rikkoutumaan, joten intensiivisiä taisteluita sen kanssa tulisi välttää.")</f>
        <v>Sen kuori on kova, mutta se on silti vain ötökän kuori. Se on tunnetusti taipuvainen rikkoutumaan, joten intensiivisiä taisteluita sen kanssa tulisi välttää.</v>
      </c>
      <c r="C873" s="9" t="s">
        <v>1344</v>
      </c>
    </row>
    <row r="874" ht="33.75" customHeight="1">
      <c r="A874" s="6" t="s">
        <v>838</v>
      </c>
      <c r="B874" s="6" t="str">
        <f>IFERROR(__xludf.DUMMYFUNCTION("GOOGLETRANSLATE(A874,""en"",""fi"")"),"Sen kuori on täynnä paksua nestettä. Kaikki sen kehon solut rakentuvat uudelleen evoluution valmisteluja varten.")</f>
        <v>Sen kuori on täynnä paksua nestettä. Kaikki sen kehon solut rakentuvat uudelleen evoluution valmisteluja varten.</v>
      </c>
      <c r="C874" s="9" t="s">
        <v>1344</v>
      </c>
    </row>
    <row r="875" ht="33.75" customHeight="1">
      <c r="A875" s="6" t="s">
        <v>841</v>
      </c>
      <c r="B875" s="6" t="str">
        <f>IFERROR(__xludf.DUMMYFUNCTION("GOOGLETRANSLATE(A875,""en"",""fi"")"),"Sen kova kuori ei halkeile lainkaan, vaikka Pikipek nokkisi sitä, mutta se kaatuu ja sisus valuu ulos.")</f>
        <v>Sen kova kuori ei halkeile lainkaan, vaikka Pikipek nokkisi sitä, mutta se kaatuu ja sisus valuu ulos.</v>
      </c>
      <c r="C875" s="9" t="s">
        <v>1344</v>
      </c>
    </row>
    <row r="876" ht="33.75" customHeight="1">
      <c r="A876" s="6" t="s">
        <v>847</v>
      </c>
      <c r="B876" s="6" t="str">
        <f>IFERROR(__xludf.DUMMYFUNCTION("GOOGLETRANSLATE(A876,""en"",""fi"")"),"Se odottaa hetkeä kehittyäkseen. Tässä vaiheessa se voi vain kovettua, joten se pysyy liikkumattomana välttääkseen hyökkäyksen.")</f>
        <v>Se odottaa hetkeä kehittyäkseen. Tässä vaiheessa se voi vain kovettua, joten se pysyy liikkumattomana välttääkseen hyökkäyksen.</v>
      </c>
      <c r="C876" s="9" t="s">
        <v>1344</v>
      </c>
    </row>
    <row r="877" ht="33.75" customHeight="1">
      <c r="A877" s="6" t="s">
        <v>853</v>
      </c>
      <c r="B877" s="6" t="str">
        <f>IFERROR(__xludf.DUMMYFUNCTION("GOOGLETRANSLATE(A877,""en"",""fi"")"),"Taistelussa se räpyttelee siipiään suurella nopeudella vapauttaen ilmaan erittäin myrkyllistä pölyä.")</f>
        <v>Taistelussa se räpyttelee siipiään suurella nopeudella vapauttaen ilmaan erittäin myrkyllistä pölyä.</v>
      </c>
      <c r="C877" s="9" t="s">
        <v>1344</v>
      </c>
    </row>
    <row r="878" ht="33.75" customHeight="1">
      <c r="A878" s="6" t="s">
        <v>860</v>
      </c>
      <c r="B878" s="6" t="str">
        <f>IFERROR(__xludf.DUMMYFUNCTION("GOOGLETRANSLATE(A878,""en"",""fi"")"),"Sen myrkyllisillä jauheilla peittyneet siivet hylkivät vettä. Tämän ansiosta se voi lentää sateessa.")</f>
        <v>Sen myrkyllisillä jauheilla peittyneet siivet hylkivät vettä. Tämän ansiosta se voi lentää sateessa.</v>
      </c>
      <c r="C878" s="9" t="s">
        <v>1344</v>
      </c>
    </row>
    <row r="879" ht="33.75" customHeight="1">
      <c r="A879" s="6" t="s">
        <v>862</v>
      </c>
      <c r="B879" s="6" t="str">
        <f>IFERROR(__xludf.DUMMYFUNCTION("GOOGLETRANSLATE(A879,""en"",""fi"")"),"Se kerää hunajaa joka päivä. Se hieroo hunajaa jalkojensa karvoihin kuljettaakseen sen takaisin pesäänsä.")</f>
        <v>Se kerää hunajaa joka päivä. Se hieroo hunajaa jalkojensa karvoihin kuljettaakseen sen takaisin pesäänsä.</v>
      </c>
      <c r="C879" s="9" t="s">
        <v>1344</v>
      </c>
    </row>
    <row r="880" ht="33.75" customHeight="1">
      <c r="A880" s="6" t="s">
        <v>867</v>
      </c>
      <c r="B880" s="6" t="str">
        <f>IFERROR(__xludf.DUMMYFUNCTION("GOOGLETRANSLATE(A880,""en"",""fi"")"),"Sen siipien vettähylkivä jauhe mahdollistaa hunajan keräämisen jopa rankimmilla sateilla.")</f>
        <v>Sen siipien vettähylkivä jauhe mahdollistaa hunajan keräämisen jopa rankimmilla sateilla.</v>
      </c>
      <c r="C880" s="9" t="s">
        <v>1344</v>
      </c>
    </row>
    <row r="881" ht="33.75" customHeight="1">
      <c r="A881" s="6" t="s">
        <v>871</v>
      </c>
      <c r="B881" s="6" t="str">
        <f>IFERROR(__xludf.DUMMYFUNCTION("GOOGLETRANSLATE(A881,""en"",""fi"")"),"Se lentää kukasta kukkaan keräämässä hunajaa. Se pystyy jopa tunnistamaan kaukaiset kukat.")</f>
        <v>Se lentää kukasta kukkaan keräämässä hunajaa. Se pystyy jopa tunnistamaan kaukaiset kukat.</v>
      </c>
      <c r="C881" s="9" t="s">
        <v>1344</v>
      </c>
    </row>
    <row r="882" ht="33.75" customHeight="1">
      <c r="A882" s="6" t="s">
        <v>874</v>
      </c>
      <c r="B882" s="6" t="str">
        <f>IFERROR(__xludf.DUMMYFUNCTION("GOOGLETRANSLATE(A882,""en"",""fi"")"),"BUTTERFREEllä on ylivertainen kyky etsiä herkullista hunajaa kukista. Se voi jopa etsiä, eristää ja kuljettaa hunajaa kukista, jotka kukkivat yli kymmenen kilometrin päässä sen pesästä.")</f>
        <v>BUTTERFREEllä on ylivertainen kyky etsiä herkullista hunajaa kukista. Se voi jopa etsiä, eristää ja kuljettaa hunajaa kukista, jotka kukkivat yli kymmenen kilometrin päässä sen pesästä.</v>
      </c>
      <c r="C882" s="9" t="s">
        <v>1344</v>
      </c>
    </row>
    <row r="883" ht="33.75" customHeight="1">
      <c r="A883" s="6" t="s">
        <v>878</v>
      </c>
      <c r="B883" s="6" t="str">
        <f>IFERROR(__xludf.DUMMYFUNCTION("GOOGLETRANSLATE(A883,""en"",""fi"")"),"Sillä on ylivoimainen kyky etsiä herkullista hunajaa kukista. Se voi etsiä, eristää ja kuljettaa hunajaa yli kuuden mailin päässä kukkivista kukista.")</f>
        <v>Sillä on ylivoimainen kyky etsiä herkullista hunajaa kukista. Se voi etsiä, eristää ja kuljettaa hunajaa yli kuuden mailin päässä kukkivista kukista.</v>
      </c>
      <c r="C883" s="9" t="s">
        <v>1344</v>
      </c>
    </row>
    <row r="884" ht="33.75" customHeight="1">
      <c r="A884" s="6" t="s">
        <v>880</v>
      </c>
      <c r="B884" s="6" t="str">
        <f>IFERROR(__xludf.DUMMYFUNCTION("GOOGLETRANSLATE(A884,""en"",""fi"")"),"Siivet on suojattu sateenpitävällä pölyllä. Tämän seurauksena tämä POKéMON voi lentää jopa sateella.")</f>
        <v>Siivet on suojattu sateenpitävällä pölyllä. Tämän seurauksena tämä POKéMON voi lentää jopa sateella.</v>
      </c>
      <c r="C884" s="9" t="s">
        <v>1344</v>
      </c>
    </row>
    <row r="885" ht="33.75" customHeight="1">
      <c r="A885" s="6" t="s">
        <v>883</v>
      </c>
      <c r="B885" s="6" t="str">
        <f>IFERROR(__xludf.DUMMYFUNCTION("GOOGLETRANSLATE(A885,""en"",""fi"")"),"Taistelussa se räpyttelee siipiään suurella nopeudella vapauttaen erittäin myrkyllistä pölyä ilmaan.")</f>
        <v>Taistelussa se räpyttelee siipiään suurella nopeudella vapauttaen erittäin myrkyllistä pölyä ilmaan.</v>
      </c>
      <c r="C885" s="9" t="s">
        <v>1344</v>
      </c>
    </row>
    <row r="886" ht="33.75" customHeight="1">
      <c r="A886" s="6" t="s">
        <v>887</v>
      </c>
      <c r="B886" s="6" t="str">
        <f>IFERROR(__xludf.DUMMYFUNCTION("GOOGLETRANSLATE(A886,""en"",""fi"")"),"Se rakastaa kukkien hunajaa ja pystyy paikantamaan kukkalaikkuja, joissa on pieniä määriä siitepölyä.")</f>
        <v>Se rakastaa kukkien hunajaa ja pystyy paikantamaan kukkalaikkuja, joissa on pieniä määriä siitepölyä.</v>
      </c>
      <c r="C886" s="9" t="s">
        <v>1344</v>
      </c>
    </row>
    <row r="887" ht="33.75" customHeight="1">
      <c r="A887" s="6" t="s">
        <v>896</v>
      </c>
      <c r="B887" s="6" t="str">
        <f>IFERROR(__xludf.DUMMYFUNCTION("GOOGLETRANSLATE(A887,""en"",""fi"")"),"Sen siipien vettähylkivä jauhe mahdollistaa hunajan keräämisen jopa rankimmilla sateilla.")</f>
        <v>Sen siipien vettähylkivä jauhe mahdollistaa hunajan keräämisen jopa rankimmilla sateilla.</v>
      </c>
      <c r="C887" s="9" t="s">
        <v>1344</v>
      </c>
    </row>
    <row r="888" ht="33.75" customHeight="1">
      <c r="A888" s="6" t="s">
        <v>910</v>
      </c>
      <c r="B888" s="6" t="str">
        <f>IFERROR(__xludf.DUMMYFUNCTION("GOOGLETRANSLATE(A888,""en"",""fi"")"),"Siivet on suojattu sateenpitävällä pölyllä. Tämän seurauksena tämä Pokémon voi lentää jopa sateella.")</f>
        <v>Siivet on suojattu sateenpitävällä pölyllä. Tämän seurauksena tämä Pokémon voi lentää jopa sateella.</v>
      </c>
      <c r="C888" s="9" t="s">
        <v>1344</v>
      </c>
    </row>
    <row r="889" ht="33.75" customHeight="1">
      <c r="A889" s="6" t="s">
        <v>913</v>
      </c>
      <c r="B889" s="6" t="str">
        <f>IFERROR(__xludf.DUMMYFUNCTION("GOOGLETRANSLATE(A889,""en"",""fi"")"),"Voinhimoisella on ylivertainen kyky etsiä herkullista hunajaa kukista. Se voi jopa etsiä, eristää ja kuljettaa hunajaa kukista, jotka kukkivat yli kuuden mailin päässä sen pesästä.")</f>
        <v>Voinhimoisella on ylivertainen kyky etsiä herkullista hunajaa kukista. Se voi jopa etsiä, eristää ja kuljettaa hunajaa kukista, jotka kukkivat yli kuuden mailin päässä sen pesästä.</v>
      </c>
      <c r="C889" s="9" t="s">
        <v>1344</v>
      </c>
    </row>
    <row r="890" ht="33.75" customHeight="1">
      <c r="A890" s="6" t="s">
        <v>918</v>
      </c>
      <c r="B890" s="6" t="str">
        <f>IFERROR(__xludf.DUMMYFUNCTION("GOOGLETRANSLATE(A890,""en"",""fi"")"),"Sen suurten silmien tarkka tarkastelu paljastaa, että jokainen silmä koostuu lukemattomista pienistä silmistä.")</f>
        <v>Sen suurten silmien tarkka tarkastelu paljastaa, että jokainen silmä koostuu lukemattomista pienistä silmistä.</v>
      </c>
      <c r="C890" s="9" t="s">
        <v>1344</v>
      </c>
    </row>
    <row r="891" ht="33.75" customHeight="1">
      <c r="A891" s="6" t="s">
        <v>923</v>
      </c>
      <c r="B891" s="6" t="str">
        <f>IFERROR(__xludf.DUMMYFUNCTION("GOOGLETRANSLATE(A891,""en"",""fi"")"),"Muiden Pokémonien hyökkäyksen kohteeksi joutuessaan se puolustautuu levittämällä myrkyllisiä suomujaan ja räpyttelemällä siipiään.")</f>
        <v>Muiden Pokémonien hyökkäyksen kohteeksi joutuessaan se puolustautuu levittämällä myrkyllisiä suomujaan ja räpyttelemällä siipiään.</v>
      </c>
      <c r="C891" s="9" t="s">
        <v>1344</v>
      </c>
    </row>
    <row r="892" ht="33.75" customHeight="1">
      <c r="A892" s="6" t="s">
        <v>926</v>
      </c>
      <c r="B892" s="6" t="str">
        <f>IFERROR(__xludf.DUMMYFUNCTION("GOOGLETRANSLATE(A892,""en"",""fi"")"),"Sen siivet ovat myrkyllisten suomujen peitossa. Jos se löytää lintu-Pokémonin, joka on lähdössä Caterpieen perään, Butterfree ripottelee suomujaan niiden päälle ajaakseen ne pois.")</f>
        <v>Sen siivet ovat myrkyllisten suomujen peitossa. Jos se löytää lintu-Pokémonin, joka on lähdössä Caterpieen perään, Butterfree ripottelee suomujaan niiden päälle ajaakseen ne pois.</v>
      </c>
      <c r="C892" s="9" t="s">
        <v>1344</v>
      </c>
    </row>
    <row r="893" ht="33.75" customHeight="1">
      <c r="A893" s="6" t="s">
        <v>930</v>
      </c>
      <c r="B893" s="6" t="str">
        <f>IFERROR(__xludf.DUMMYFUNCTION("GOOGLETRANSLATE(A893,""en"",""fi"")"),"Kauniiden kukkien mesi on sen lempiruokaa. Kukkapelloilla se käy kiivasta taistelua Cutiefryn kanssa reviiriä.")</f>
        <v>Kauniiden kukkien mesi on sen lempiruokaa. Kukkapelloilla se käy kiivasta taistelua Cutiefryn kanssa reviiriä.</v>
      </c>
      <c r="C893" s="9" t="s">
        <v>1344</v>
      </c>
    </row>
    <row r="894" ht="33.75" customHeight="1">
      <c r="A894" s="6" t="s">
        <v>932</v>
      </c>
      <c r="B894" s="6" t="str">
        <f>IFERROR(__xludf.DUMMYFUNCTION("GOOGLETRANSLATE(A894,""en"",""fi"")"),"Sen myrkyllisen jauheen peittämät siivet hylkivät vettä. Tämän ansiosta se voi lentää sateessa.")</f>
        <v>Sen myrkyllisen jauheen peittämät siivet hylkivät vettä. Tämän ansiosta se voi lentää sateessa.</v>
      </c>
      <c r="C894" s="9" t="s">
        <v>1344</v>
      </c>
    </row>
    <row r="895" ht="33.75" customHeight="1">
      <c r="A895" s="6" t="s">
        <v>939</v>
      </c>
      <c r="B895" s="6" t="str">
        <f>IFERROR(__xludf.DUMMYFUNCTION("GOOGLETRANSLATE(A895,""en"",""fi"")"),"Usein metsissä lehtiä syömässä. Sillä on päässään terävä, myrkyllinen pistin.")</f>
        <v>Usein metsissä lehtiä syömässä. Sillä on päässään terävä, myrkyllinen pistin.</v>
      </c>
      <c r="C895" s="9" t="s">
        <v>1344</v>
      </c>
    </row>
    <row r="896" ht="33.75" customHeight="1">
      <c r="A896" s="6" t="s">
        <v>945</v>
      </c>
      <c r="B896" s="6" t="str">
        <f>IFERROR(__xludf.DUMMYFUNCTION("GOOGLETRANSLATE(A896,""en"",""fi"")"),"Varo sen päässä olevaa terävää pistintä. Se piiloutuu ruohikkoon ja pensaisiin, missä se syö lehtiä.")</f>
        <v>Varo sen päässä olevaa terävää pistintä. Se piiloutuu ruohikkoon ja pensaisiin, missä se syö lehtiä.</v>
      </c>
      <c r="C896" s="9" t="s">
        <v>1344</v>
      </c>
    </row>
    <row r="897" ht="33.75" customHeight="1">
      <c r="A897" s="6" t="s">
        <v>948</v>
      </c>
      <c r="B897" s="6" t="str">
        <f>IFERROR(__xludf.DUMMYFUNCTION("GOOGLETRANSLATE(A897,""en"",""fi"")"),"Sen myrkyllinen piikki on erittäin voimakas. Sen kirkkaanvärinen ruumis on tarkoitettu varoittamaan vihollisia.")</f>
        <v>Sen myrkyllinen piikki on erittäin voimakas. Sen kirkkaanvärinen ruumis on tarkoitettu varoittamaan vihollisia.</v>
      </c>
      <c r="C897" s="9" t="s">
        <v>1344</v>
      </c>
    </row>
    <row r="898" ht="33.75" customHeight="1">
      <c r="A898" s="6" t="s">
        <v>952</v>
      </c>
      <c r="B898" s="6" t="str">
        <f>IFERROR(__xludf.DUMMYFUNCTION("GOOGLETRANSLATE(A898,""en"",""fi"")"),"Se hyökkää käyttämällä päässään viiden tuuman mittaista myrkkypiiskaa. Se löytyy yleensä syömiensä lehtien alta.")</f>
        <v>Se hyökkää käyttämällä päässään viiden tuuman mittaista myrkkypiiskaa. Se löytyy yleensä syömiensä lehtien alta.</v>
      </c>
      <c r="C898" s="9" t="s">
        <v>1344</v>
      </c>
    </row>
    <row r="899" ht="33.75" customHeight="1">
      <c r="A899" s="6" t="s">
        <v>955</v>
      </c>
      <c r="B899" s="6" t="str">
        <f>IFERROR(__xludf.DUMMYFUNCTION("GOOGLETRANSLATE(A899,""en"",""fi"")"),"Sen päälaella oleva piikki erittää voimakasta myrkkyä. Se käyttää tätä myrkyllistä piikkiä suojellakseen itseään.")</f>
        <v>Sen päälaella oleva piikki erittää voimakasta myrkkyä. Se käyttää tätä myrkyllistä piikkiä suojellakseen itseään.</v>
      </c>
      <c r="C899" s="9" t="s">
        <v>1344</v>
      </c>
    </row>
    <row r="900" ht="33.75" customHeight="1">
      <c r="A900" s="6" t="s">
        <v>958</v>
      </c>
      <c r="B900" s="6" t="str">
        <f>IFERROR(__xludf.DUMMYFUNCTION("GOOGLETRANSLATE(A900,""en"",""fi"")"),"WEEDLEllä on erittäin tarkka hajuaisti. Se pystyy erottamaan lempilehdet niistä, joista se ei pidä, pelkästään nuuhkimalla suurella punaisella imukärsällään.")</f>
        <v>WEEDLEllä on erittäin tarkka hajuaisti. Se pystyy erottamaan lempilehdet niistä, joista se ei pidä, pelkästään nuuhkimalla suurella punaisella imukärsällään.</v>
      </c>
      <c r="C900" s="9" t="s">
        <v>1344</v>
      </c>
    </row>
    <row r="901" ht="33.75" customHeight="1">
      <c r="A901" s="6" t="s">
        <v>964</v>
      </c>
      <c r="B901" s="6" t="str">
        <f>IFERROR(__xludf.DUMMYFUNCTION("GOOGLETRANSLATE(A901,""en"",""fi"")"),"RIKKALAISELLA on erittäin tarkka hajuaisti. Se erottaa lempilehdet niistä, joista se ei pidä, nuuhkimalla niitä suurella punaisella imukärsällään.")</f>
        <v>RIKKALAISELLA on erittäin tarkka hajuaisti. Se erottaa lempilehdet niistä, joista se ei pidä, nuuhkimalla niitä suurella punaisella imukärsällään.</v>
      </c>
      <c r="C901" s="9" t="s">
        <v>1344</v>
      </c>
    </row>
    <row r="902" ht="33.75" customHeight="1">
      <c r="A902" s="6" t="s">
        <v>967</v>
      </c>
      <c r="B902" s="6" t="str">
        <f>IFERROR(__xludf.DUMMYFUNCTION("GOOGLETRANSLATE(A902,""en"",""fi"")"),"Usein tavataan metsissä ja ruohoalueilla. Sillä on terävä, myrkyllinen, noin viiden senttimetrin pituinen väkänen pään päällä.")</f>
        <v>Usein tavataan metsissä ja ruohoalueilla. Sillä on terävä, myrkyllinen, noin viiden senttimetrin pituinen väkänen pään päällä.</v>
      </c>
      <c r="C902" s="9" t="s">
        <v>1344</v>
      </c>
    </row>
    <row r="903" ht="33.75" customHeight="1">
      <c r="A903" s="6" t="s">
        <v>970</v>
      </c>
      <c r="B903" s="6" t="str">
        <f>IFERROR(__xludf.DUMMYFUNCTION("GOOGLETRANSLATE(A903,""en"",""fi"")"),"Usein metsissä lehtiä syömässä. Sillä on päässään terävä piikki, joka ruiskuttaa myrkkyä.")</f>
        <v>Usein metsissä lehtiä syömässä. Sillä on päässään terävä piikki, joka ruiskuttaa myrkkyä.</v>
      </c>
      <c r="C903" s="9" t="s">
        <v>1344</v>
      </c>
    </row>
    <row r="904" ht="33.75" customHeight="1">
      <c r="A904" s="6" t="s">
        <v>972</v>
      </c>
      <c r="B904" s="6" t="str">
        <f>IFERROR(__xludf.DUMMYFUNCTION("GOOGLETRANSLATE(A904,""en"",""fi"")"),"Se syö painonsa verran lehtiä joka päivä. Se torjuu hyökkääjät päässään olevalla neulalla.")</f>
        <v>Se syö painonsa verran lehtiä joka päivä. Se torjuu hyökkääjät päässään olevalla neulalla.</v>
      </c>
      <c r="C904" s="9" t="s">
        <v>1344</v>
      </c>
    </row>
    <row r="905" ht="33.75" customHeight="1">
      <c r="A905" s="6" t="s">
        <v>1002</v>
      </c>
      <c r="B905" s="6" t="str">
        <f>IFERROR(__xludf.DUMMYFUNCTION("GOOGLETRANSLATE(A905,""en"",""fi"")"),"Weedlellä on erittäin tarkka hajuaisti. Se pystyy erottamaan lempilehdet niistä, joista se ei pidä, pelkästään nuuhkimalla suurella punaisella imukärsällään.")</f>
        <v>Weedlellä on erittäin tarkka hajuaisti. Se pystyy erottamaan lempilehdet niistä, joista se ei pidä, pelkästään nuuhkimalla suurella punaisella imukärsällään.</v>
      </c>
      <c r="C905" s="9" t="s">
        <v>1344</v>
      </c>
    </row>
    <row r="906" ht="33.75" customHeight="1">
      <c r="A906" s="6" t="s">
        <v>1010</v>
      </c>
      <c r="B906" s="6" t="str">
        <f>IFERROR(__xludf.DUMMYFUNCTION("GOOGLETRANSLATE(A906,""en"",""fi"")"),"Lähes liikkumiskyvytön, tämä POKéMON voi vain kovettaa kuorensa suojautuakseen saalistajilta.")</f>
        <v>Lähes liikkumiskyvytön, tämä POKéMON voi vain kovettaa kuorensa suojautuakseen saalistajilta.</v>
      </c>
      <c r="C906" s="9" t="s">
        <v>1344</v>
      </c>
    </row>
    <row r="907" ht="33.75" customHeight="1">
      <c r="A907" s="6" t="s">
        <v>1015</v>
      </c>
      <c r="B907" s="6" t="str">
        <f>IFERROR(__xludf.DUMMYFUNCTION("GOOGLETRANSLATE(A907,""en"",""fi"")"),"Pystyy liikkumaan vain hieman. Uhanalaisena se voi työntää pistimensä esiin ja myrkyttää vihollisensa.")</f>
        <v>Pystyy liikkumaan vain hieman. Uhanalaisena se voi työntää pistimensä esiin ja myrkyttää vihollisensa.</v>
      </c>
      <c r="C907" s="9" t="s">
        <v>1344</v>
      </c>
    </row>
    <row r="908" ht="33.75" customHeight="1">
      <c r="A908" s="6" t="s">
        <v>1017</v>
      </c>
      <c r="B908" s="6" t="str">
        <f>IFERROR(__xludf.DUMMYFUNCTION("GOOGLETRANSLATE(A908,""en"",""fi"")"),"Vaikka se on kotelo, se voi liikkua hieman. Se voi ojentaa myrkkypiikänsä, jos sitä vastaan ​​hyökätään.")</f>
        <v>Vaikka se on kotelo, se voi liikkua hieman. Se voi ojentaa myrkkypiikänsä, jos sitä vastaan ​​hyökätään.</v>
      </c>
      <c r="C908" s="9" t="s">
        <v>1344</v>
      </c>
    </row>
    <row r="909" ht="33.75" customHeight="1">
      <c r="A909" s="6" t="s">
        <v>1020</v>
      </c>
      <c r="B909" s="6" t="str">
        <f>IFERROR(__xludf.DUMMYFUNCTION("GOOGLETRANSLATE(A909,""en"",""fi"")"),"Tästä muodosta se kasvaa aikuiseksi. Kun sen ruumis pehmenee, ulkokuori kovettuu.")</f>
        <v>Tästä muodosta se kasvaa aikuiseksi. Kun sen ruumis pehmenee, ulkokuori kovettuu.</v>
      </c>
      <c r="C909" s="9" t="s">
        <v>1344</v>
      </c>
    </row>
    <row r="910" ht="33.75" customHeight="1">
      <c r="A910" s="6" t="s">
        <v>1023</v>
      </c>
      <c r="B910" s="6" t="str">
        <f>IFERROR(__xludf.DUMMYFUNCTION("GOOGLETRANSLATE(A910,""en"",""fi"")"),"Lähes liikkumattomana se nojaa vahvoihin puihin odottaessaan evoluutiotaan.")</f>
        <v>Lähes liikkumattomana se nojaa vahvoihin puihin odottaessaan evoluutiotaan.</v>
      </c>
      <c r="C910" s="9" t="s">
        <v>1344</v>
      </c>
    </row>
    <row r="911" ht="33.75" customHeight="1">
      <c r="A911" s="6" t="s">
        <v>1025</v>
      </c>
      <c r="B911" s="6" t="str">
        <f>IFERROR(__xludf.DUMMYFUNCTION("GOOGLETRANSLATE(A911,""en"",""fi"")"),"KAKUNA pysyy käytännössä liikkumattomana roikkuessaan puussa. Sisällä se on kuitenkin erittäin kiireinen valmistautuessaan tulevaan evoluutioonsa. Tämä käy ilmi siitä, kuinka kuumaksi kuori muuttuu kosketettaessa.")</f>
        <v>KAKUNA pysyy käytännössä liikkumattomana roikkuessaan puussa. Sisällä se on kuitenkin erittäin kiireinen valmistautuessaan tulevaan evoluutioonsa. Tämä käy ilmi siitä, kuinka kuumaksi kuori muuttuu kosketettaessa.</v>
      </c>
      <c r="C911" s="9" t="s">
        <v>1344</v>
      </c>
    </row>
    <row r="912" ht="33.75" customHeight="1">
      <c r="A912" s="6" t="s">
        <v>1029</v>
      </c>
      <c r="B912" s="6" t="str">
        <f>IFERROR(__xludf.DUMMYFUNCTION("GOOGLETRANSLATE(A912,""en"",""fi"")"),"Se pysyy käytännössä liikkumattomana roikkuessaan puussa. Sisällä se kuitenkin valmistautuu ahkerasti evoluutioon. Tämä käy ilmi siitä, kuinka kuumaksi sen kuori kuumenee.")</f>
        <v>Se pysyy käytännössä liikkumattomana roikkuessaan puussa. Sisällä se kuitenkin valmistautuu ahkerasti evoluutioon. Tämä käy ilmi siitä, kuinka kuumaksi sen kuori kuumenee.</v>
      </c>
      <c r="C912" s="9" t="s">
        <v>1344</v>
      </c>
    </row>
    <row r="913" ht="33.75" customHeight="1">
      <c r="A913" s="6" t="s">
        <v>1031</v>
      </c>
      <c r="B913" s="6" t="str">
        <f>IFERROR(__xludf.DUMMYFUNCTION("GOOGLETRANSLATE(A913,""en"",""fi"")"),"Tämä POKéMON on väliaikaisessa vaiheessa rakentaessaan vartaloaan. Se on lähes täysin kykenemätön liikkumaan omin voimin.")</f>
        <v>Tämä POKéMON on väliaikaisessa vaiheessa rakentaessaan vartaloaan. Se on lähes täysin kykenemätön liikkumaan omin voimin.</v>
      </c>
      <c r="C913" s="9" t="s">
        <v>1344</v>
      </c>
    </row>
    <row r="914" ht="33.75" customHeight="1">
      <c r="A914" s="6" t="s">
        <v>1034</v>
      </c>
      <c r="B914" s="6" t="str">
        <f>IFERROR(__xludf.DUMMYFUNCTION("GOOGLETRANSLATE(A914,""en"",""fi"")"),"Lähes liikkumaton POKéMON voi vain kovettaa kuorensa suojatakseen itseään vaarassa.")</f>
        <v>Lähes liikkumaton POKéMON voi vain kovettaa kuorensa suojatakseen itseään vaarassa.</v>
      </c>
      <c r="C914" s="9" t="s">
        <v>1344</v>
      </c>
    </row>
    <row r="915" ht="33.75" customHeight="1">
      <c r="A915" s="6" t="s">
        <v>1038</v>
      </c>
      <c r="B915" s="6" t="str">
        <f>IFERROR(__xludf.DUMMYFUNCTION("GOOGLETRANSLATE(A915,""en"",""fi"")"),"Evoluutiota odottaessaan se piiloutuu saalistajilta lehtien alle ja oksien nurkkiin.")</f>
        <v>Evoluutiota odottaessaan se piiloutuu saalistajilta lehtien alle ja oksien nurkkiin.</v>
      </c>
      <c r="C915" s="9" t="s">
        <v>1344</v>
      </c>
    </row>
    <row r="916" ht="33.75" customHeight="1">
      <c r="A916" s="6" t="s">
        <v>1056</v>
      </c>
      <c r="B916" s="6" t="str">
        <f>IFERROR(__xludf.DUMMYFUNCTION("GOOGLETRANSLATE(A916,""en"",""fi"")"),"Tästä muodosta se kasvaa aikuiseksi. Kun sen ruumis pehmenee, ulkokuori kovettuu.")</f>
        <v>Tästä muodosta se kasvaa aikuiseksi. Kun sen ruumis pehmenee, ulkokuori kovettuu.</v>
      </c>
      <c r="C916" s="9" t="s">
        <v>1344</v>
      </c>
    </row>
    <row r="917" ht="33.75" customHeight="1">
      <c r="A917" s="6" t="s">
        <v>1075</v>
      </c>
      <c r="B917" s="6" t="str">
        <f>IFERROR(__xludf.DUMMYFUNCTION("GOOGLETRANSLATE(A917,""en"",""fi"")"),"Lähes liikkumiskyvytön, tämä Pokémon voi vain kovettaa kuorensa suojatakseen itseään vaarassa.")</f>
        <v>Lähes liikkumiskyvytön, tämä Pokémon voi vain kovettaa kuorensa suojatakseen itseään vaarassa.</v>
      </c>
      <c r="C917" s="9" t="s">
        <v>1344</v>
      </c>
    </row>
    <row r="918" ht="33.75" customHeight="1">
      <c r="A918" s="6" t="s">
        <v>1079</v>
      </c>
      <c r="B918" s="6" t="str">
        <f>IFERROR(__xludf.DUMMYFUNCTION("GOOGLETRANSLATE(A918,""en"",""fi"")"),"Kakuna pysyy käytännössä liikkumattomana roikkuessaan puussa. Sisällä se on kuitenkin erittäin kiireinen valmistautuessaan tulevaan evoluutioonsa. Tämä käy ilmi siitä, kuinka kuumaksi kuori muuttuu kosketettaessa.")</f>
        <v>Kakuna pysyy käytännössä liikkumattomana roikkuessaan puussa. Sisällä se on kuitenkin erittäin kiireinen valmistautuessaan tulevaan evoluutioonsa. Tämä käy ilmi siitä, kuinka kuumaksi kuori muuttuu kosketettaessa.</v>
      </c>
      <c r="C918" s="9" t="s">
        <v>1344</v>
      </c>
    </row>
    <row r="919" ht="33.75" customHeight="1">
      <c r="A919" s="6" t="s">
        <v>1086</v>
      </c>
      <c r="B919" s="6" t="str">
        <f>IFERROR(__xludf.DUMMYFUNCTION("GOOGLETRANSLATE(A919,""en"",""fi"")"),"Lentää kovalla nopeudella ja hyökkää käyttämällä etujalkoihinsa ja häntään kiinnittyviä suuria myrkyllisiä pistojaan.")</f>
        <v>Lentää kovalla nopeudella ja hyökkää käyttämällä etujalkoihinsa ja häntään kiinnittyviä suuria myrkyllisiä pistojaan.</v>
      </c>
      <c r="C919" s="9" t="s">
        <v>1344</v>
      </c>
    </row>
    <row r="920" ht="33.75" customHeight="1">
      <c r="A920" s="6" t="s">
        <v>1092</v>
      </c>
      <c r="B920" s="6" t="str">
        <f>IFERROR(__xludf.DUMMYFUNCTION("GOOGLETRANSLATE(A920,""en"",""fi"")"),"Sillä on kolme myrkyllistä pistintä etujaloissaan ja hännässään. Niillä se pistää vihollista toistuvasti.")</f>
        <v>Sillä on kolme myrkyllistä pistintä etujaloissaan ja hännässään. Niillä se pistää vihollista toistuvasti.</v>
      </c>
      <c r="C920" s="9" t="s">
        <v>1344</v>
      </c>
    </row>
    <row r="921" ht="33.75" customHeight="1">
      <c r="A921" s="6" t="s">
        <v>1094</v>
      </c>
      <c r="B921" s="6" t="str">
        <f>IFERROR(__xludf.DUMMYFUNCTION("GOOGLETRANSLATE(A921,""en"",""fi"")"),"Se voi kaataa minkä tahansa vastustajan voimakkailla myrkkypistimillään. Joskus se hyökkää parvina.")</f>
        <v>Se voi kaataa minkä tahansa vastustajan voimakkailla myrkkypistimillään. Joskus se hyökkää parvina.</v>
      </c>
      <c r="C921" s="9" t="s">
        <v>1344</v>
      </c>
    </row>
    <row r="922" ht="33.75" customHeight="1">
      <c r="A922" s="6" t="s">
        <v>1097</v>
      </c>
      <c r="B922" s="6" t="str">
        <f>IFERROR(__xludf.DUMMYFUNCTION("GOOGLETRANSLATE(A922,""en"",""fi"")"),"Sillä on kolme myrkkypiiskaa. Sen pyrstössä oleva piikki erittää voimakkainta myrkkyä.")</f>
        <v>Sillä on kolme myrkkypiiskaa. Sen pyrstössä oleva piikki erittää voimakkainta myrkkyä.</v>
      </c>
      <c r="C922" s="9" t="s">
        <v>1344</v>
      </c>
    </row>
    <row r="923" ht="33.75" customHeight="1">
      <c r="A923" s="6" t="s">
        <v>1100</v>
      </c>
      <c r="B923" s="6" t="str">
        <f>IFERROR(__xludf.DUMMYFUNCTION("GOOGLETRANSLATE(A923,""en"",""fi"")"),"Se käyttää teräviä, myrkyllisiä pistoja saaliin kukistamiseen ja vie uhrin sitten takaisin pesäänsä ravinnoksi.")</f>
        <v>Se käyttää teräviä, myrkyllisiä pistoja saaliin kukistamiseen ja vie uhrin sitten takaisin pesäänsä ravinnoksi.</v>
      </c>
      <c r="C923" s="9" t="s">
        <v>1344</v>
      </c>
    </row>
    <row r="924" ht="33.75" customHeight="1">
      <c r="A924" s="6" t="s">
        <v>1103</v>
      </c>
      <c r="B924" s="6" t="str">
        <f>IFERROR(__xludf.DUMMYFUNCTION("GOOGLETRANSLATE(A924,""en"",""fi"")"),"BEEDRILL on erittäin reviiritietoinen. Kenenkään ei tulisi koskaan lähestyä sen pesää – tämä on heidän oman turvallisuutensa vuoksi. Jos ne suuttuvat, ne hyökkäävät raivoisana parvena.")</f>
        <v>BEEDRILL on erittäin reviiritietoinen. Kenenkään ei tulisi koskaan lähestyä sen pesää – tämä on heidän oman turvallisuutensa vuoksi. Jos ne suuttuvat, ne hyökkäävät raivoisana parvena.</v>
      </c>
      <c r="C924" s="9" t="s">
        <v>1344</v>
      </c>
    </row>
    <row r="925" ht="33.75" customHeight="1">
      <c r="A925" s="6" t="s">
        <v>1107</v>
      </c>
      <c r="B925" s="6" t="str">
        <f>IFERROR(__xludf.DUMMYFUNCTION("GOOGLETRANSLATE(A925,""en"",""fi"")"),"HAUSKAPYLÄ on erittäin reviiritietoinen. Turvallisuussyistä kenenkään ei tulisi koskaan lähestyä sen pesää. Jos se suuttuu, se hyökkää parvella.")</f>
        <v>HAUSKAPYLÄ on erittäin reviiritietoinen. Turvallisuussyistä kenenkään ei tulisi koskaan lähestyä sen pesää. Jos se suuttuu, se hyökkää parvella.</v>
      </c>
      <c r="C925" s="9" t="s">
        <v>1344</v>
      </c>
    </row>
    <row r="926" ht="33.75" customHeight="1">
      <c r="A926" s="6" t="s">
        <v>1112</v>
      </c>
      <c r="B926" s="6" t="str">
        <f>IFERROR(__xludf.DUMMYFUNCTION("GOOGLETRANSLATE(A926,""en"",""fi"")"),"Saattaa esiintyä parvessa. Lentää rajulla nopeudella ja pistää samalla takaosassaan olevalla myrkyllisellä pistimellä.")</f>
        <v>Saattaa esiintyä parvessa. Lentää rajulla nopeudella ja pistää samalla takaosassaan olevalla myrkyllisellä pistimellä.</v>
      </c>
      <c r="C926" s="9" t="s">
        <v>1344</v>
      </c>
    </row>
    <row r="927" ht="33.75" customHeight="1">
      <c r="A927" s="6" t="s">
        <v>1115</v>
      </c>
      <c r="B927" s="6" t="str">
        <f>IFERROR(__xludf.DUMMYFUNCTION("GOOGLETRANSLATE(A927,""en"",""fi"")"),"Se lentää kovaa vauhtia ja hyökkää käyttämällä etujalkojensa ja hännänsä suuria myrkyllisiä pistimiä.")</f>
        <v>Se lentää kovaa vauhtia ja hyökkää käyttämällä etujalkojensa ja hännänsä suuria myrkyllisiä pistimiä.</v>
      </c>
      <c r="C927" s="9" t="s">
        <v>1344</v>
      </c>
    </row>
    <row r="928" ht="33.75" customHeight="1">
      <c r="A928" s="6" t="s">
        <v>1118</v>
      </c>
      <c r="B928" s="6" t="str">
        <f>IFERROR(__xludf.DUMMYFUNCTION("GOOGLETRANSLATE(A928,""en"",""fi"")"),"Sen paras hyökkäys on lentäminen kovaa vauhtia, iskeminen myrkkyneuloilla ja sitten lentäminen pois.")</f>
        <v>Sen paras hyökkäys on lentäminen kovaa vauhtia, iskeminen myrkkyneuloilla ja sitten lentäminen pois.</v>
      </c>
      <c r="C928" s="9" t="s">
        <v>1344</v>
      </c>
    </row>
    <row r="929" ht="33.75" customHeight="1">
      <c r="A929" s="6" t="s">
        <v>1127</v>
      </c>
      <c r="B929" s="6" t="str">
        <f>IFERROR(__xludf.DUMMYFUNCTION("GOOGLETRANSLATE(A929,""en"",""fi"")"),"Se voi kaataa minkä tahansa vastustajan voimakkailla myrkkypistimillään. Joskus se hyökkää parvina.")</f>
        <v>Se voi kaataa minkä tahansa vastustajan voimakkailla myrkkypistimillään. Joskus se hyökkää parvina.</v>
      </c>
      <c r="C929" s="9" t="s">
        <v>1344</v>
      </c>
    </row>
    <row r="930" ht="33.75" customHeight="1">
      <c r="A930" s="6" t="s">
        <v>1143</v>
      </c>
      <c r="B930" s="6" t="str">
        <f>IFERROR(__xludf.DUMMYFUNCTION("GOOGLETRANSLATE(A930,""en"",""fi"")"),"Sillä on kolme myrkyllistä pistintä etujaloissaan ja hännässään. Niillä se pistää vihollistaan ​​toistuvasti.")</f>
        <v>Sillä on kolme myrkyllistä pistintä etujaloissaan ja hännässään. Niillä se pistää vihollistaan ​​toistuvasti.</v>
      </c>
      <c r="C930" s="9" t="s">
        <v>1344</v>
      </c>
    </row>
    <row r="931" ht="33.75" customHeight="1">
      <c r="A931" s="6" t="s">
        <v>1148</v>
      </c>
      <c r="B931" s="6" t="str">
        <f>IFERROR(__xludf.DUMMYFUNCTION("GOOGLETRANSLATE(A931,""en"",""fi"")"),"Beedrill on erittäin reviiritietoinen. Kenenkään ei tulisi koskaan lähestyä sen pesää – tämä on heidän oman turvallisuutensa vuoksi. Jos ne suuttuvat, ne hyökkäävät raivoisana parvena.")</f>
        <v>Beedrill on erittäin reviiritietoinen. Kenenkään ei tulisi koskaan lähestyä sen pesää – tämä on heidän oman turvallisuutensa vuoksi. Jos ne suuttuvat, ne hyökkäävät raivoisana parvena.</v>
      </c>
      <c r="C931" s="9" t="s">
        <v>1344</v>
      </c>
    </row>
    <row r="932" ht="33.75" customHeight="1">
      <c r="A932" s="6" t="s">
        <v>1159</v>
      </c>
      <c r="B932" s="6" t="str">
        <f>IFERROR(__xludf.DUMMYFUNCTION("GOOGLETRANSLATE(A932,""en"",""fi"")"),"Yleinen näky metsissä ja mökkimaissa. Se räpyttelee siipiään maanpinnan tasolla potkiakseen ilmaan sokaisevaa hiekkaa.")</f>
        <v>Yleinen näky metsissä ja mökkimaissa. Se räpyttelee siipiään maanpinnan tasolla potkiakseen ilmaan sokaisevaa hiekkaa.</v>
      </c>
      <c r="C932" s="9" t="s">
        <v>1344</v>
      </c>
    </row>
    <row r="933" ht="33.75" customHeight="1">
      <c r="A933" s="6" t="s">
        <v>1164</v>
      </c>
      <c r="B933" s="6" t="str">
        <f>IFERROR(__xludf.DUMMYFUNCTION("GOOGLETRANSLATE(A933,""en"",""fi"")"),"Hyvin säyseä. Hyökkäyksen sattuessa se usein potkii hiekkaa ilmaan suojellakseen itseään sen sijaan, että taistelisi vastaan.")</f>
        <v>Hyvin säyseä. Hyökkäyksen sattuessa se usein potkii hiekkaa ilmaan suojellakseen itseään sen sijaan, että taistelisi vastaan.</v>
      </c>
      <c r="C933" s="9" t="s">
        <v>1344</v>
      </c>
    </row>
    <row r="934" ht="33.75" customHeight="1">
      <c r="A934" s="6" t="s">
        <v>1166</v>
      </c>
      <c r="B934" s="6" t="str">
        <f>IFERROR(__xludf.DUMMYFUNCTION("GOOGLETRANSLATE(A934,""en"",""fi"")"),"Se yleensä piiloutuu korkeaan ruohikkoon. Koska se ei pidä taistelusta, se suojelee itseään potkimalla hiekkaa ilmaan.")</f>
        <v>Se yleensä piiloutuu korkeaan ruohikkoon. Koska se ei pidä taistelusta, se suojelee itseään potkimalla hiekkaa ilmaan.</v>
      </c>
      <c r="C934" s="9" t="s">
        <v>1344</v>
      </c>
    </row>
    <row r="935" ht="33.75" customHeight="1">
      <c r="A935" s="6" t="s">
        <v>1168</v>
      </c>
      <c r="B935" s="6" t="str">
        <f>IFERROR(__xludf.DUMMYFUNCTION("GOOGLETRANSLATE(A935,""en"",""fi"")"),"Se on yleinen ruohoalueilla ja metsissä, ja se on hyvin säyseä ja ajaa viholliset pois läpsyttämällä hiekkaa ilmaan.")</f>
        <v>Se on yleinen ruohoalueilla ja metsissä, ja se on hyvin säyseä ja ajaa viholliset pois läpsyttämällä hiekkaa ilmaan.</v>
      </c>
      <c r="C935" s="9" t="s">
        <v>1344</v>
      </c>
    </row>
    <row r="936" ht="33.75" customHeight="1">
      <c r="A936" s="6" t="s">
        <v>1171</v>
      </c>
      <c r="B936" s="6" t="str">
        <f>IFERROR(__xludf.DUMMYFUNCTION("GOOGLETRANSLATE(A936,""en"",""fi"")"),"Se räpyttelee siipiään nopeasti ruohikossa ja nostattaa pölypilven, joka ajaa hyönteisten saaliin ulos avoimelle paikalle.")</f>
        <v>Se räpyttelee siipiään nopeasti ruohikossa ja nostattaa pölypilven, joka ajaa hyönteisten saaliin ulos avoimelle paikalle.</v>
      </c>
      <c r="C936" s="9" t="s">
        <v>1344</v>
      </c>
    </row>
    <row r="937" ht="33.75" customHeight="1">
      <c r="A937" s="6" t="s">
        <v>1174</v>
      </c>
      <c r="B937" s="6" t="str">
        <f>IFERROR(__xludf.DUMMYFUNCTION("GOOGLETRANSLATE(A937,""en"",""fi"")"),"PIDGEYllä on erittäin tarkka suuntavaisto. Se pystyy palaamaan erehtymättä kotiin pesälleen, olipa se kuinka kaukana tahansa tutusta ympäristöstään.")</f>
        <v>PIDGEYllä on erittäin tarkka suuntavaisto. Se pystyy palaamaan erehtymättä kotiin pesälleen, olipa se kuinka kaukana tahansa tutusta ympäristöstään.</v>
      </c>
      <c r="C937" s="9" t="s">
        <v>1344</v>
      </c>
    </row>
    <row r="938" ht="33.75" customHeight="1">
      <c r="A938" s="6" t="s">
        <v>1178</v>
      </c>
      <c r="B938" s="6" t="str">
        <f>IFERROR(__xludf.DUMMYFUNCTION("GOOGLETRANSLATE(A938,""en"",""fi"")"),"Sillä on erittäin tarkka suuntavaisto. Se voi erehtymättä palata pesälleen, olipa se kuinka kaukana tahansa tutusta ympäristöstään.")</f>
        <v>Sillä on erittäin tarkka suuntavaisto. Se voi erehtymättä palata pesälleen, olipa se kuinka kaukana tahansa tutusta ympäristöstään.</v>
      </c>
      <c r="C938" s="9" t="s">
        <v>1344</v>
      </c>
    </row>
    <row r="939" ht="33.75" customHeight="1">
      <c r="A939" s="6" t="s">
        <v>1181</v>
      </c>
      <c r="B939" s="6" t="str">
        <f>IFERROR(__xludf.DUMMYFUNCTION("GOOGLETRANSLATE(A939,""en"",""fi"")"),"Ei pidä tappelusta. Se piiloutuu korkeaan ruohikkoon ja etsii ravintoa, kuten pieniä ötököitä.")</f>
        <v>Ei pidä tappelusta. Se piiloutuu korkeaan ruohikkoon ja etsii ravintoa, kuten pieniä ötököitä.</v>
      </c>
      <c r="C939" s="9" t="s">
        <v>1344</v>
      </c>
    </row>
    <row r="940" ht="33.75" customHeight="1">
      <c r="A940" s="6" t="s">
        <v>1184</v>
      </c>
      <c r="B940" s="6" t="str">
        <f>IFERROR(__xludf.DUMMYFUNCTION("GOOGLETRANSLATE(A940,""en"",""fi"")"),"Se on säyseä ja välttää mieluummin konflikteja. Häiriintyessä se voi kuitenkin iskeä raivokkaasti takaisin.")</f>
        <v>Se on säyseä ja välttää mieluummin konflikteja. Häiriintyessä se voi kuitenkin iskeä raivokkaasti takaisin.</v>
      </c>
      <c r="C940" s="9" t="s">
        <v>1344</v>
      </c>
    </row>
    <row r="941" ht="33.75" customHeight="1">
      <c r="A941" s="6" t="s">
        <v>1193</v>
      </c>
      <c r="B941" s="6" t="str">
        <f>IFERROR(__xludf.DUMMYFUNCTION("GOOGLETRANSLATE(A941,""en"",""fi"")"),"Se yleensä piiloutuu korkeaan ruohikkoon. Koska se ei pidä taistelusta, se suojelee itseään potkimalla hiekkaa ilmaan.")</f>
        <v>Se yleensä piiloutuu korkeaan ruohikkoon. Koska se ei pidä taistelusta, se suojelee itseään potkimalla hiekkaa ilmaan.</v>
      </c>
      <c r="C941" s="9" t="s">
        <v>1344</v>
      </c>
    </row>
    <row r="942" ht="33.75" customHeight="1">
      <c r="A942" s="6" t="s">
        <v>1196</v>
      </c>
      <c r="B942" s="6" t="str">
        <f>IFERROR(__xludf.DUMMYFUNCTION("GOOGLETRANSLATE(A942,""en"",""fi"")"),"Se on yleinen ruohoalueilla ja metsissä, ja se on hyvin säyseä ja ajaa viholliset pois läpsyttämällä hiekkaa ilmaan.")</f>
        <v>Se on yleinen ruohoalueilla ja metsissä, ja se on hyvin säyseä ja ajaa viholliset pois läpsyttämällä hiekkaa ilmaan.</v>
      </c>
      <c r="C942" s="9" t="s">
        <v>1344</v>
      </c>
    </row>
    <row r="943" ht="33.75" customHeight="1">
      <c r="A943" s="6" t="s">
        <v>1221</v>
      </c>
      <c r="B943" s="6" t="str">
        <f>IFERROR(__xludf.DUMMYFUNCTION("GOOGLETRANSLATE(A943,""en"",""fi"")"),"Pidgeyllä on erittäin tarkka suuntavaisto. Se pystyy palaamaan erehtymättä kotiin pesälleen, olipa se kuinka kaukana tahansa tutusta ympäristöstään.")</f>
        <v>Pidgeyllä on erittäin tarkka suuntavaisto. Se pystyy palaamaan erehtymättä kotiin pesälleen, olipa se kuinka kaukana tahansa tutusta ympäristöstään.</v>
      </c>
      <c r="C943" s="9" t="s">
        <v>1344</v>
      </c>
    </row>
    <row r="944" ht="33.75" customHeight="1">
      <c r="A944" s="6" t="s">
        <v>1229</v>
      </c>
      <c r="B944" s="6" t="str">
        <f>IFERROR(__xludf.DUMMYFUNCTION("GOOGLETRANSLATE(A944,""en"",""fi"")"),"Tämä POKéMON suojelee erittäin laajaa reviiriään ja nokkii raivokkaasti ketä tahansa tunkeilijaa.")</f>
        <v>Tämä POKéMON suojelee erittäin laajaa reviiriään ja nokkii raivokkaasti ketä tahansa tunkeilijaa.</v>
      </c>
      <c r="C944" s="9" t="s">
        <v>1344</v>
      </c>
    </row>
    <row r="945" ht="33.75" customHeight="1">
      <c r="A945" s="6" t="s">
        <v>1236</v>
      </c>
      <c r="B945" s="6" t="str">
        <f>IFERROR(__xludf.DUMMYFUNCTION("GOOGLETRANSLATE(A945,""en"",""fi"")"),"Tämä POKéMON on täynnä elinvoimaa. Se lentää jatkuvasti laajalla alueellaan etsimässä saalista.")</f>
        <v>Tämä POKéMON on täynnä elinvoimaa. Se lentää jatkuvasti laajalla alueellaan etsimässä saalista.</v>
      </c>
      <c r="C945" s="9" t="s">
        <v>1344</v>
      </c>
    </row>
    <row r="946" ht="33.75" customHeight="1">
      <c r="A946" s="6" t="s">
        <v>1240</v>
      </c>
      <c r="B946" s="6" t="str">
        <f>IFERROR(__xludf.DUMMYFUNCTION("GOOGLETRANSLATE(A946,""en"",""fi"")"),"Sillä on erinomainen näkökyky. Olipa se kuinka korkealla tahansa, se pystyy erottamaan saaliinsa liikkeet.")</f>
        <v>Sillä on erinomainen näkökyky. Olipa se kuinka korkealla tahansa, se pystyy erottamaan saaliinsa liikkeet.</v>
      </c>
      <c r="C946" s="9" t="s">
        <v>1344</v>
      </c>
    </row>
    <row r="947" ht="33.75" customHeight="1">
      <c r="A947" s="6" t="s">
        <v>1243</v>
      </c>
      <c r="B947" s="6" t="str">
        <f>IFERROR(__xludf.DUMMYFUNCTION("GOOGLETRANSLATE(A947,""en"",""fi"")"),"Se lamauttaa saaliinsa hyvin kehittyneiden kynsien avulla ja kantaa sen sitten yli 95 kilometrin päähän pesälleen.")</f>
        <v>Se lamauttaa saaliinsa hyvin kehittyneiden kynsien avulla ja kantaa sen sitten yli 95 kilometrin päähän pesälleen.</v>
      </c>
      <c r="C947" s="9" t="s">
        <v>1344</v>
      </c>
    </row>
    <row r="948" ht="33.75" customHeight="1">
      <c r="A948" s="6" t="s">
        <v>1246</v>
      </c>
      <c r="B948" s="6" t="str">
        <f>IFERROR(__xludf.DUMMYFUNCTION("GOOGLETRANSLATE(A948,""en"",""fi"")"),"Se lentää hitaasti ympyrää pitäen koko ajan tarkkaan silmällä saalista.")</f>
        <v>Se lentää hitaasti ympyrää pitäen koko ajan tarkkaan silmällä saalista.</v>
      </c>
      <c r="C948" s="9" t="s">
        <v>1344</v>
      </c>
    </row>
    <row r="949" ht="33.75" customHeight="1">
      <c r="A949" s="6" t="s">
        <v>1248</v>
      </c>
      <c r="B949" s="6" t="str">
        <f>IFERROR(__xludf.DUMMYFUNCTION("GOOGLETRANSLATE(A949,""en"",""fi"")"),"PIDGEOTTO pitää suurta aluetta omana reviirinään. Tämä POKéMON lentää ympäriinsä partioiden sen elintilaa. Jos sen reviiriä loukataan, se ei armahda rankaisemalla vihollista perusteellisesti terävillä kynsillään.")</f>
        <v>PIDGEOTTO pitää suurta aluetta omana reviirinään. Tämä POKéMON lentää ympäriinsä partioiden sen elintilaa. Jos sen reviiriä loukataan, se ei armahda rankaisemalla vihollista perusteellisesti terävillä kynsillään.</v>
      </c>
      <c r="C949" s="9" t="s">
        <v>1344</v>
      </c>
    </row>
    <row r="950" ht="33.75" customHeight="1">
      <c r="A950" s="6" t="s">
        <v>1253</v>
      </c>
      <c r="B950" s="6" t="str">
        <f>IFERROR(__xludf.DUMMYFUNCTION("GOOGLETRANSLATE(A950,""en"",""fi"")"),"Tämä POKéMON lentää ympäriinsä partioiden laajaa aluettaan. Jos sen elintilaa loukataan, se ei armahda rankaisemalla vihollista perusteellisesti terävillä kynsillään.")</f>
        <v>Tämä POKéMON lentää ympäriinsä partioiden laajaa aluettaan. Jos sen elintilaa loukataan, se ei armahda rankaisemalla vihollista perusteellisesti terävillä kynsillään.</v>
      </c>
      <c r="C950" s="9" t="s">
        <v>1344</v>
      </c>
    </row>
    <row r="951" ht="33.75" customHeight="1">
      <c r="A951" s="6" t="s">
        <v>1256</v>
      </c>
      <c r="B951" s="6" t="str">
        <f>IFERROR(__xludf.DUMMYFUNCTION("GOOGLETRANSLATE(A951,""en"",""fi"")"),"Sen jalkojen kynnet ovat hyvin kehittyneet. Se voi kantaa saalista, kuten EXEGCUTE-munan, pesäänsä yli 95 kilometrin päähän.")</f>
        <v>Sen jalkojen kynnet ovat hyvin kehittyneet. Se voi kantaa saalista, kuten EXEGCUTE-munan, pesäänsä yli 95 kilometrin päähän.</v>
      </c>
      <c r="C951" s="9" t="s">
        <v>1344</v>
      </c>
    </row>
    <row r="952" ht="33.75" customHeight="1">
      <c r="A952" s="6" t="s">
        <v>1261</v>
      </c>
      <c r="B952" s="6" t="str">
        <f>IFERROR(__xludf.DUMMYFUNCTION("GOOGLETRANSLATE(A952,""en"",""fi"")"),"Se lentää laajan alueensa yli saalista etsien ja kaataa sen pitkälle kehittyneillä kynsillään.")</f>
        <v>Se lentää laajan alueensa yli saalista etsien ja kaataa sen pitkälle kehittyneillä kynsillään.</v>
      </c>
      <c r="C952" s="9" t="s">
        <v>1344</v>
      </c>
    </row>
    <row r="953" ht="33.75" customHeight="1">
      <c r="A953" s="6" t="s">
        <v>1266</v>
      </c>
      <c r="B953" s="6" t="str">
        <f>IFERROR(__xludf.DUMMYFUNCTION("GOOGLETRANSLATE(A953,""en"",""fi"")"),"Sillä on erinomainen näkökyky. Olipa se kuinka korkealla tahansa, se pystyy erottamaan saaliinsa liikkeet.")</f>
        <v>Sillä on erinomainen näkökyky. Olipa se kuinka korkealla tahansa, se pystyy erottamaan saaliinsa liikkeet.</v>
      </c>
      <c r="C953" s="9" t="s">
        <v>1344</v>
      </c>
    </row>
    <row r="954" ht="33.75" customHeight="1">
      <c r="A954" s="6" t="s">
        <v>1269</v>
      </c>
      <c r="B954" s="6" t="str">
        <f>IFERROR(__xludf.DUMMYFUNCTION("GOOGLETRANSLATE(A954,""en"",""fi"")"),"Se tekee saaliistaan ​​liikkumattomana hyvin kehittyneiden kynsien avulla ja kantaa sitten saaliinsa yli 95 kilometrin päähän pesälleen.")</f>
        <v>Se tekee saaliistaan ​​liikkumattomana hyvin kehittyneiden kynsien avulla ja kantaa sitten saaliinsa yli 95 kilometrin päähän pesälleen.</v>
      </c>
      <c r="C954" s="9" t="s">
        <v>1344</v>
      </c>
    </row>
    <row r="955" ht="33.75" customHeight="1">
      <c r="A955" s="6" t="s">
        <v>1283</v>
      </c>
      <c r="B955" s="6" t="str">
        <f>IFERROR(__xludf.DUMMYFUNCTION("GOOGLETRANSLATE(A955,""en"",""fi"")"),"Sen jalkojen kynnet ovat hyvin kehittyneet. Se voi kantaa saalista, kuten Exeggcuten, pesälleen yli 95 kilometrin päähän.")</f>
        <v>Sen jalkojen kynnet ovat hyvin kehittyneet. Se voi kantaa saalista, kuten Exeggcuten, pesälleen yli 95 kilometrin päähän.</v>
      </c>
      <c r="C955" s="9" t="s">
        <v>1344</v>
      </c>
    </row>
    <row r="956" ht="33.75" customHeight="1">
      <c r="A956" s="6" t="s">
        <v>1287</v>
      </c>
      <c r="B956" s="6" t="str">
        <f>IFERROR(__xludf.DUMMYFUNCTION("GOOGLETRANSLATE(A956,""en"",""fi"")"),"Tämä Pokémon suojelee erittäin laajaa reviiriään ja nokkii raivokkaasti ketä tahansa tunkeilijaa.")</f>
        <v>Tämä Pokémon suojelee erittäin laajaa reviiriään ja nokkii raivokkaasti ketä tahansa tunkeilijaa.</v>
      </c>
      <c r="C956" s="9" t="s">
        <v>1344</v>
      </c>
    </row>
    <row r="957" ht="33.75" customHeight="1">
      <c r="A957" s="6" t="s">
        <v>1293</v>
      </c>
      <c r="B957" s="6" t="str">
        <f>IFERROR(__xludf.DUMMYFUNCTION("GOOGLETRANSLATE(A957,""en"",""fi"")"),"Pidgeotto pitää suurta aluetta omana reviirinään. Tämä Pokémon lentää ympäriinsä partioiden sen elintilaa. Jos sen reviiriä loukataan, se ei armahda rankaisemalla vihollista perusteellisesti terävillä kynsillään.")</f>
        <v>Pidgeotto pitää suurta aluetta omana reviirinään. Tämä Pokémon lentää ympäriinsä partioiden sen elintilaa. Jos sen reviiriä loukataan, se ei armahda rankaisemalla vihollista perusteellisesti terävillä kynsillään.</v>
      </c>
      <c r="C957" s="9" t="s">
        <v>1344</v>
      </c>
    </row>
    <row r="958" ht="33.75" customHeight="1">
      <c r="A958" s="6" t="s">
        <v>1300</v>
      </c>
      <c r="B958" s="6" t="str">
        <f>IFERROR(__xludf.DUMMYFUNCTION("GOOGLETRANSLATE(A958,""en"",""fi"")"),"Tämä Pokémon on täynnä elinvoimaa. Se lentää jatkuvasti laajalla alueellaan etsimässä saalista.")</f>
        <v>Tämä Pokémon on täynnä elinvoimaa. Se lentää jatkuvasti laajalla alueellaan etsimässä saalista.</v>
      </c>
      <c r="C958" s="9" t="s">
        <v>1344</v>
      </c>
    </row>
    <row r="959" ht="33.75" customHeight="1">
      <c r="A959" s="6" t="s">
        <v>1306</v>
      </c>
      <c r="B959" s="6" t="str">
        <f>IFERROR(__xludf.DUMMYFUNCTION("GOOGLETRANSLATE(A959,""en"",""fi"")"),"Metsästäessään se pyyhkäisee veden pintaa suurella nopeudella napatakseen varomattomia saaliita, kuten MAGIKARPin.")</f>
        <v>Metsästäessään se pyyhkäisee veden pintaa suurella nopeudella napatakseen varomattomia saaliita, kuten MAGIKARPin.</v>
      </c>
      <c r="C959" s="9" t="s">
        <v>1344</v>
      </c>
    </row>
    <row r="960" ht="33.75" customHeight="1">
      <c r="A960" s="6" t="s">
        <v>1311</v>
      </c>
      <c r="B960" s="6" t="str">
        <f>IFERROR(__xludf.DUMMYFUNCTION("GOOGLETRANSLATE(A960,""en"",""fi"")"),"Tämä POKéMON lentää Mach 2 -nopeudella etsien saalista. Sen suuria kynsiä pelätään ilkeinä aseina.")</f>
        <v>Tämä POKéMON lentää Mach 2 -nopeudella etsien saalista. Sen suuria kynsiä pelätään ilkeinä aseina.</v>
      </c>
      <c r="C960" s="9" t="s">
        <v>1344</v>
      </c>
    </row>
    <row r="961" ht="33.75" customHeight="1">
      <c r="A961" s="6" t="s">
        <v>1313</v>
      </c>
      <c r="B961" s="6" t="str">
        <f>IFERROR(__xludf.DUMMYFUNCTION("GOOGLETRANSLATE(A961,""en"",""fi"")"),"Sen hyvin kehittyneet rintalihakset tekevät siitä tarpeeksi vahvan nostattamaan puuskaisen myrskyn vain muutamalla läpällä.")</f>
        <v>Sen hyvin kehittyneet rintalihakset tekevät siitä tarpeeksi vahvan nostattamaan puuskaisen myrskyn vain muutamalla läpällä.</v>
      </c>
      <c r="C961" s="9" t="s">
        <v>1344</v>
      </c>
    </row>
    <row r="962" ht="33.75" customHeight="1">
      <c r="A962" s="6" t="s">
        <v>1316</v>
      </c>
      <c r="B962" s="6" t="str">
        <f>IFERROR(__xludf.DUMMYFUNCTION("GOOGLETRANSLATE(A962,""en"",""fi"")"),"Se levittää kauniit siipensä leveälle pelotellakseen vihollisiaan. Se voi lentää Mach 2 -nopeudella.")</f>
        <v>Se levittää kauniit siipensä leveälle pelotellakseen vihollisiaan. Se voi lentää Mach 2 -nopeudella.</v>
      </c>
      <c r="C962" s="9" t="s">
        <v>1344</v>
      </c>
    </row>
    <row r="963" ht="33.75" customHeight="1">
      <c r="A963" s="6" t="s">
        <v>1318</v>
      </c>
      <c r="B963" s="6" t="str">
        <f>IFERROR(__xludf.DUMMYFUNCTION("GOOGLETRANSLATE(A963,""en"",""fi"")"),"Sen erinomainen näkökyky mahdollistaa MAGIKARPin roiskeiden havaitsemisen jopa 3300 jalan korkeudessa lennettäessä.")</f>
        <v>Sen erinomainen näkökyky mahdollistaa MAGIKARPin roiskeiden havaitsemisen jopa 3300 jalan korkeudessa lennettäessä.</v>
      </c>
      <c r="C963" s="9" t="s">
        <v>1344</v>
      </c>
    </row>
    <row r="964" ht="33.75" customHeight="1">
      <c r="A964" s="6" t="s">
        <v>1322</v>
      </c>
      <c r="B964" s="6" t="str">
        <f>IFERROR(__xludf.DUMMYFUNCTION("GOOGLETRANSLATE(A964,""en"",""fi"")"),"Tällä POKéMONilla on häikäisevä, kauniisti kiiltävien höyhenten muodostama höyhenpuvu. Monet VALMENTAJAT ihastuvat sen pään höyhenten silmiinpistävään kauneuteen, mikä saa heidät valitsemaan PIDGEOTIN POKéMONIKSI.")</f>
        <v>Tällä POKéMONilla on häikäisevä, kauniisti kiiltävien höyhenten muodostama höyhenpuvu. Monet VALMENTAJAT ihastuvat sen pään höyhenten silmiinpistävään kauneuteen, mikä saa heidät valitsemaan PIDGEOTIN POKéMONIKSI.</v>
      </c>
      <c r="C964" s="9" t="s">
        <v>1344</v>
      </c>
    </row>
    <row r="965" ht="33.75" customHeight="1">
      <c r="A965" s="6" t="s">
        <v>1328</v>
      </c>
      <c r="B965" s="6" t="str">
        <f>IFERROR(__xludf.DUMMYFUNCTION("GOOGLETRANSLATE(A965,""en"",""fi"")"),"Tällä POKéMONilla on upeat, kiiltävät höyhenet. Monet VALMENTAJAT ovat niin lumoutuneita sen pään kauniista höyhenistä, että he valitsevat PIDGEOTIN POKéMONIKSI.")</f>
        <v>Tällä POKéMONilla on upeat, kiiltävät höyhenet. Monet VALMENTAJAT ovat niin lumoutuneita sen pään kauniista höyhenistä, että he valitsevat PIDGEOTIN POKéMONIKSI.</v>
      </c>
      <c r="C965" s="9" t="s">
        <v>1344</v>
      </c>
    </row>
    <row r="966" ht="33.75" customHeight="1">
      <c r="A966" s="6" t="s">
        <v>1332</v>
      </c>
      <c r="B966" s="6" t="str">
        <f>IFERROR(__xludf.DUMMYFUNCTION("GOOGLETRANSLATE(A966,""en"",""fi"")"),"Se levittää upeat siipensä laajalle pelotellakseen vihollisia. Se kiitää taivaalla Mach-2 -nopeudella.")</f>
        <v>Se levittää upeat siipensä laajalle pelotellakseen vihollisia. Se kiitää taivaalla Mach-2 -nopeudella.</v>
      </c>
      <c r="C966" s="9" t="s">
        <v>1344</v>
      </c>
    </row>
    <row r="967" ht="33.75" customHeight="1">
      <c r="A967" s="6" t="s">
        <v>1340</v>
      </c>
      <c r="B967" s="6" t="str">
        <f>IFERROR(__xludf.DUMMYFUNCTION("GOOGLETRANSLATE(A967,""en"",""fi"")"),"Läpyttelemällä siipiään kaikin voimin PIDGEOT voi saada aikaan tuulenpuuskan, joka kykenee taivuttamaan korkeita puita.")</f>
        <v>Läpyttelemällä siipiään kaikin voimin PIDGEOT voi saada aikaan tuulenpuuskan, joka kykenee taivuttamaan korkeita puita.</v>
      </c>
      <c r="C967" s="9" t="s">
        <v>1344</v>
      </c>
    </row>
    <row r="968" ht="33.75" customHeight="1">
      <c r="A968" s="6" t="s">
        <v>1345</v>
      </c>
      <c r="B968" s="6" t="str">
        <f>IFERROR(__xludf.DUMMYFUNCTION("GOOGLETRANSLATE(A968,""en"",""fi"")"),"Läpyttämällä siipiään kaikin voimin Pidgeot voi saada aikaan tuulenpuuskan, joka kykenee taivuttamaan korkeita puita.")</f>
        <v>Läpyttämällä siipiään kaikin voimin Pidgeot voi saada aikaan tuulenpuuskan, joka kykenee taivuttamaan korkeita puita.</v>
      </c>
      <c r="C968" s="9" t="s">
        <v>1344</v>
      </c>
    </row>
    <row r="969" ht="33.75" customHeight="1">
      <c r="A969" s="6" t="s">
        <v>1347</v>
      </c>
      <c r="B969" s="6" t="str">
        <f>IFERROR(__xludf.DUMMYFUNCTION("GOOGLETRANSLATE(A969,""en"",""fi"")"),"Metsästäessään se pyyhkäisee veden pintaa suurella nopeudella napatakseen varomattomia saaliita, kuten Magikarpin.")</f>
        <v>Metsästäessään se pyyhkäisee veden pintaa suurella nopeudella napatakseen varomattomia saaliita, kuten Magikarpin.</v>
      </c>
      <c r="C969" s="9" t="s">
        <v>1344</v>
      </c>
    </row>
    <row r="970" ht="33.75" customHeight="1">
      <c r="A970" s="6" t="s">
        <v>1348</v>
      </c>
      <c r="B970" s="6" t="str">
        <f>IFERROR(__xludf.DUMMYFUNCTION("GOOGLETRANSLATE(A970,""en"",""fi"")"),"Tällä Pokémonilla on häikäisevä, kauniisti kiiltävien höyhenten muodostama höyhenpuvun väri. Monet kouluttajat ovat lumoutuneita sen pään höyhenten silmiinpistävästä kauneudesta, mikä saa heidät valitsemaan Pidgeotin Pokémonikseen.")</f>
        <v>Tällä Pokémonilla on häikäisevä, kauniisti kiiltävien höyhenten muodostama höyhenpuvun väri. Monet kouluttajat ovat lumoutuneita sen pään höyhenten silmiinpistävästä kauneudesta, mikä saa heidät valitsemaan Pidgeotin Pokémonikseen.</v>
      </c>
      <c r="C970" s="9" t="s">
        <v>1344</v>
      </c>
    </row>
    <row r="971" ht="33.75" customHeight="1">
      <c r="A971" s="6" t="s">
        <v>1350</v>
      </c>
      <c r="B971" s="6" t="str">
        <f>IFERROR(__xludf.DUMMYFUNCTION("GOOGLETRANSLATE(A971,""en"",""fi"")"),"Tämä Pokémon lentää Mach 2 -nopeudella etsien saalista. Sen suuria kynsiä pelätään ilkeinä aseina.")</f>
        <v>Tämä Pokémon lentää Mach 2 -nopeudella etsien saalista. Sen suuria kynsiä pelätään ilkeinä aseina.</v>
      </c>
      <c r="C971" s="9" t="s">
        <v>1344</v>
      </c>
    </row>
    <row r="972" ht="33.75" customHeight="1">
      <c r="A972" s="6" t="s">
        <v>1352</v>
      </c>
      <c r="B972" s="6" t="str">
        <f>IFERROR(__xludf.DUMMYFUNCTION("GOOGLETRANSLATE(A972,""en"",""fi"")"),"Puree mitä tahansa hyökätessään. Pieni ja erittäin nopea, se on yleinen näky monissa paikoissa.")</f>
        <v>Puree mitä tahansa hyökätessään. Pieni ja erittäin nopea, se on yleinen näky monissa paikoissa.</v>
      </c>
      <c r="C972" s="9" t="s">
        <v>1344</v>
      </c>
    </row>
    <row r="973" ht="33.75" customHeight="1">
      <c r="A973" s="6" t="s">
        <v>1356</v>
      </c>
      <c r="B973" s="6" t="str">
        <f>IFERROR(__xludf.DUMMYFUNCTION("GOOGLETRANSLATE(A973,""en"",""fi"")"),"Pureskelee mitä tahansa hampaillaan. Jos näet sellaisen, on varmaa, että alueella asuu 40 muuta.")</f>
        <v>Pureskelee mitä tahansa hampaillaan. Jos näet sellaisen, on varmaa, että alueella asuu 40 muuta.</v>
      </c>
      <c r="C973" s="9" t="s">
        <v>1344</v>
      </c>
    </row>
    <row r="974" ht="33.75" customHeight="1">
      <c r="A974" s="6" t="s">
        <v>1358</v>
      </c>
      <c r="B974" s="6" t="str">
        <f>IFERROR(__xludf.DUMMYFUNCTION("GOOGLETRANSLATE(A974,""en"",""fi"")"),"Se syö mitä tahansa. Aina kun ruokaa on saatavilla, se asettuu aloilleen ja tuottaa jatkuvasti jälkeläisiä.")</f>
        <v>Se syö mitä tahansa. Aina kun ruokaa on saatavilla, se asettuu aloilleen ja tuottaa jatkuvasti jälkeläisiä.</v>
      </c>
      <c r="C974" s="9" t="s">
        <v>1344</v>
      </c>
    </row>
    <row r="975" ht="33.75" customHeight="1">
      <c r="A975" s="6" t="s">
        <v>1359</v>
      </c>
      <c r="B975" s="6" t="str">
        <f>IFERROR(__xludf.DUMMYFUNCTION("GOOGLETRANSLATE(A975,""en"",""fi"")"),"Se elää kaikkialla, missä on ruokaa saatavilla, ja etsii lakkaamatta syötävää koko päivän.")</f>
        <v>Se elää kaikkialla, missä on ruokaa saatavilla, ja etsii lakkaamatta syötävää koko päivän.</v>
      </c>
      <c r="C975" s="9" t="s">
        <v>1344</v>
      </c>
    </row>
    <row r="976" ht="33.75" customHeight="1">
      <c r="A976" s="6" t="s">
        <v>1361</v>
      </c>
      <c r="B976" s="6" t="str">
        <f>IFERROR(__xludf.DUMMYFUNCTION("GOOGLETRANSLATE(A976,""en"",""fi"")"),"Tämän POKéMONin vaikuttava elinvoimaisuus mahdollistaa sen elämisen missä tahansa. Se myös lisääntyy erittäin nopeasti.")</f>
        <v>Tämän POKéMONin vaikuttava elinvoimaisuus mahdollistaa sen elämisen missä tahansa. Se myös lisääntyy erittäin nopeasti.</v>
      </c>
      <c r="C976" s="9" t="s">
        <v>1344</v>
      </c>
    </row>
    <row r="977" ht="33.75" customHeight="1">
      <c r="A977" s="6" t="s">
        <v>1362</v>
      </c>
      <c r="B977" s="6" t="str">
        <f>IFERROR(__xludf.DUMMYFUNCTION("GOOGLETRANSLATE(A977,""en"",""fi"")"),"RATTATA on äärimmäisen varovainen. Jopa nukkuessaan se kuuntelee jatkuvasti liikuttelemalla korviaan. Se ei ole nirso asuinpaikkansa suhteen – se tekee pesänsä minne tahansa.")</f>
        <v>RATTATA on äärimmäisen varovainen. Jopa nukkuessaan se kuuntelee jatkuvasti liikuttelemalla korviaan. Se ei ole nirso asuinpaikkansa suhteen – se tekee pesänsä minne tahansa.</v>
      </c>
      <c r="C977" s="9" t="s">
        <v>1344</v>
      </c>
    </row>
    <row r="978" ht="33.75" customHeight="1">
      <c r="A978" s="6" t="s">
        <v>1365</v>
      </c>
      <c r="B978" s="6" t="str">
        <f>IFERROR(__xludf.DUMMYFUNCTION("GOOGLETRANSLATE(A978,""en"",""fi"")"),"ROTTA on äärimmäisen varovainen. Jopa nukkuessaan se liikuttaa jatkuvasti korviaan ja kuuntelee vaaraa. Se tekee pesänsä minne tahansa.")</f>
        <v>ROTTA on äärimmäisen varovainen. Jopa nukkuessaan se liikuttaa jatkuvasti korviaan ja kuuntelee vaaraa. Se tekee pesänsä minne tahansa.</v>
      </c>
      <c r="C978" s="9" t="s">
        <v>1344</v>
      </c>
    </row>
    <row r="979" ht="33.75" customHeight="1">
      <c r="A979" s="6" t="s">
        <v>1367</v>
      </c>
      <c r="B979" s="6" t="str">
        <f>IFERROR(__xludf.DUMMYFUNCTION("GOOGLETRANSLATE(A979,""en"",""fi"")"),"Sen torahampaat ovat pitkät ja erittäin terävät. Ne kasvavat jatkuvasti, joten se jyrsii kovia esineitä silpoakseen ne.")</f>
        <v>Sen torahampaat ovat pitkät ja erittäin terävät. Ne kasvavat jatkuvasti, joten se jyrsii kovia esineitä silpoakseen ne.</v>
      </c>
      <c r="C979" s="9" t="s">
        <v>1344</v>
      </c>
    </row>
    <row r="980" ht="33.75" customHeight="1">
      <c r="A980" s="6" t="s">
        <v>1372</v>
      </c>
      <c r="B980" s="6" t="str">
        <f>IFERROR(__xludf.DUMMYFUNCTION("GOOGLETRANSLATE(A980,""en"",""fi"")"),"Äärimmäisen varovainen, sen kestävä elinvoima antaa sille mahdollisuuden elää missä tahansa ympäristössä.")</f>
        <v>Äärimmäisen varovainen, sen kestävä elinvoima antaa sille mahdollisuuden elää missä tahansa ympäristössä.</v>
      </c>
      <c r="C980" s="9" t="s">
        <v>1344</v>
      </c>
    </row>
    <row r="981" ht="33.75" customHeight="1">
      <c r="A981" s="6" t="s">
        <v>1377</v>
      </c>
      <c r="B981" s="6" t="str">
        <f>IFERROR(__xludf.DUMMYFUNCTION("GOOGLETRANSLATE(A981,""en"",""fi"")"),"Se elää kaikkialla, missä on ruokaa saatavilla, ja etsii lakkaamatta syötävää koko päivän.")</f>
        <v>Se elää kaikkialla, missä on ruokaa saatavilla, ja etsii lakkaamatta syötävää koko päivän.</v>
      </c>
      <c r="C981" s="9" t="s">
        <v>1344</v>
      </c>
    </row>
    <row r="982" ht="33.75" customHeight="1">
      <c r="A982" s="6" t="s">
        <v>1378</v>
      </c>
      <c r="B982" s="6" t="str">
        <f>IFERROR(__xludf.DUMMYFUNCTION("GOOGLETRANSLATE(A982,""en"",""fi"")"),"Se etsii ruokaa koko päivän. Se jyrsii kovia esineitä kuluttaakseen kulmahampaitaan, jotka kasvavat jatkuvasti sen elinaikana.")</f>
        <v>Se etsii ruokaa koko päivän. Se jyrsii kovia esineitä kuluttaakseen kulmahampaitaan, jotka kasvavat jatkuvasti sen elinaikana.</v>
      </c>
      <c r="C982" s="9" t="s">
        <v>1344</v>
      </c>
    </row>
    <row r="983" ht="33.75" customHeight="1">
      <c r="A983" s="6" t="s">
        <v>1379</v>
      </c>
      <c r="B983" s="6" t="str">
        <f>IFERROR(__xludf.DUMMYFUNCTION("GOOGLETRANSLATE(A983,""en"",""fi"")"),"Rattata on äärimmäisen varovainen. Jopa nukkuessaan se kuuntelee jatkuvasti liikuttelemalla korviaan. Se ei ole nirso asuinpaikkansa suhteen – se tekee pesänsä minne tahansa.")</f>
        <v>Rattata on äärimmäisen varovainen. Jopa nukkuessaan se kuuntelee jatkuvasti liikuttelemalla korviaan. Se ei ole nirso asuinpaikkansa suhteen – se tekee pesänsä minne tahansa.</v>
      </c>
      <c r="C983" s="9" t="s">
        <v>1344</v>
      </c>
    </row>
    <row r="984" ht="33.75" customHeight="1">
      <c r="A984" s="6" t="s">
        <v>1381</v>
      </c>
      <c r="B984" s="6" t="str">
        <f>IFERROR(__xludf.DUMMYFUNCTION("GOOGLETRANSLATE(A984,""en"",""fi"")"),"Sen etuhampaat kasvavat kuolemaan asti. Jos kouluttaja ei tarjoa sille viilaa jyrsittäväksi, se jyrsii ovenkarmeja, pöydänjalkoja ja niin edelleen.")</f>
        <v>Sen etuhampaat kasvavat kuolemaan asti. Jos kouluttaja ei tarjoa sille viilaa jyrsittäväksi, se jyrsii ovenkarmeja, pöydänjalkoja ja niin edelleen.</v>
      </c>
      <c r="C984" s="9" t="s">
        <v>1344</v>
      </c>
    </row>
    <row r="985" ht="33.75" customHeight="1">
      <c r="A985" s="6" t="s">
        <v>1382</v>
      </c>
      <c r="B985" s="6" t="str">
        <f>IFERROR(__xludf.DUMMYFUNCTION("GOOGLETRANSLATE(A985,""en"",""fi"")"),"Vahvan selviytymiskykynsä ansiosta ne voivat elää likaisissa paikoissa huoletta. Jos niitä ei hillitä, niiden määrä lisääntyy nopeasti.")</f>
        <v>Vahvan selviytymiskykynsä ansiosta ne voivat elää likaisissa paikoissa huoletta. Jos niitä ei hillitä, niiden määrä lisääntyy nopeasti.</v>
      </c>
      <c r="C985" s="9" t="s">
        <v>1344</v>
      </c>
    </row>
    <row r="986" ht="33.75" customHeight="1">
      <c r="A986" s="6" t="s">
        <v>1383</v>
      </c>
      <c r="B986" s="6" t="str">
        <f>IFERROR(__xludf.DUMMYFUNCTION("GOOGLETRANSLATE(A986,""en"",""fi"")"),"Sen etuhampaat kasvavat jatkuvasti koko sen elämän ajan. Jos sen etuhampaat kasvavat liian pitkiksi, tämä Pokémon menettää syömiskykynsä ja kuolee nälkään.")</f>
        <v>Sen etuhampaat kasvavat jatkuvasti koko sen elämän ajan. Jos sen etuhampaat kasvavat liian pitkiksi, tämä Pokémon menettää syömiskykynsä ja kuolee nälkään.</v>
      </c>
      <c r="C986" s="9" t="s">
        <v>1344</v>
      </c>
    </row>
    <row r="987" ht="33.75" customHeight="1">
      <c r="A987" s="6" t="s">
        <v>1384</v>
      </c>
      <c r="B987" s="6" t="str">
        <f>IFERROR(__xludf.DUMMYFUNCTION("GOOGLETRANSLATE(A987,""en"",""fi"")"),"Tämä Pokémon on yleinen mutta vaarallinen. Sen terävät etuhampaat voivat helposti leikata kovan puun läpi.")</f>
        <v>Tämä Pokémon on yleinen mutta vaarallinen. Sen terävät etuhampaat voivat helposti leikata kovan puun läpi.</v>
      </c>
      <c r="C987" s="9" t="s">
        <v>1344</v>
      </c>
    </row>
    <row r="988" ht="33.75" customHeight="1">
      <c r="A988" s="6" t="s">
        <v>1385</v>
      </c>
      <c r="B988" s="6" t="str">
        <f>IFERROR(__xludf.DUMMYFUNCTION("GOOGLETRANSLATE(A988,""en"",""fi"")"),"Pureskelee mitä tahansa hampaillaan. Jos näet sellaisen, voit olla varma, että alueella asuu 40 muuta.")</f>
        <v>Pureskelee mitä tahansa hampaillaan. Jos näet sellaisen, voit olla varma, että alueella asuu 40 muuta.</v>
      </c>
      <c r="C988" s="9" t="s">
        <v>1344</v>
      </c>
    </row>
    <row r="989" ht="33.75" customHeight="1">
      <c r="A989" s="6" t="s">
        <v>1387</v>
      </c>
      <c r="B989" s="6" t="str">
        <f>IFERROR(__xludf.DUMMYFUNCTION("GOOGLETRANSLATE(A989,""en"",""fi"")"),"Se käyttää viiksiään tasapainonsa ylläpitämiseen. Se ilmeisesti hidastuu, jos ne katkaistaan.")</f>
        <v>Se käyttää viiksiään tasapainonsa ylläpitämiseen. Se ilmeisesti hidastuu, jos ne katkaistaan.</v>
      </c>
      <c r="C989" s="9" t="s">
        <v>1344</v>
      </c>
    </row>
    <row r="990" ht="33.75" customHeight="1">
      <c r="A990" s="6" t="s">
        <v>1389</v>
      </c>
      <c r="B990" s="6" t="str">
        <f>IFERROR(__xludf.DUMMYFUNCTION("GOOGLETRANSLATE(A990,""en"",""fi"")"),"Sen takajalat ovat räpylämäiset. Ne toimivat räpylöinä, joten se voi uida joissa ja metsästää saalista.")</f>
        <v>Sen takajalat ovat räpylämäiset. Ne toimivat räpylöinä, joten se voi uida joissa ja metsästää saalista.</v>
      </c>
      <c r="C990" s="9" t="s">
        <v>1344</v>
      </c>
    </row>
    <row r="991" ht="33.75" customHeight="1">
      <c r="A991" s="6" t="s">
        <v>1391</v>
      </c>
      <c r="B991" s="6" t="str">
        <f>IFERROR(__xludf.DUMMYFUNCTION("GOOGLETRANSLATE(A991,""en"",""fi"")"),"Jyrsii mitä tahansa kovilla hampaillaan. Se voi jopa kaataa betonirakennuksia jyrsimällä niitä.")</f>
        <v>Jyrsii mitä tahansa kovilla hampaillaan. Se voi jopa kaataa betonirakennuksia jyrsimällä niitä.</v>
      </c>
      <c r="C991" s="9" t="s">
        <v>1344</v>
      </c>
    </row>
    <row r="992" ht="33.75" customHeight="1">
      <c r="A992" s="6" t="s">
        <v>1393</v>
      </c>
      <c r="B992" s="6" t="str">
        <f>IFERROR(__xludf.DUMMYFUNCTION("GOOGLETRANSLATE(A992,""en"",""fi"")"),"Sen viikset auttavat sitä ylläpitämään tasapainoa. Sen kulmahampaat eivät koskaan lakkaa kasvamasta, joten se jyrsii niitä kuoriakseen.")</f>
        <v>Sen viikset auttavat sitä ylläpitämään tasapainoa. Sen kulmahampaat eivät koskaan lakkaa kasvamasta, joten se jyrsii niitä kuoriakseen.</v>
      </c>
      <c r="C992" s="9" t="s">
        <v>1344</v>
      </c>
    </row>
    <row r="993" ht="33.75" customHeight="1">
      <c r="A993" s="6" t="s">
        <v>1395</v>
      </c>
      <c r="B993" s="6" t="str">
        <f>IFERROR(__xludf.DUMMYFUNCTION("GOOGLETRANSLATE(A993,""en"",""fi"")"),"Takajalkojensa verkkojen ansiosta se voi ylittää jokia. Se etsii ravintoa laajoilta alueilta.")</f>
        <v>Takajalkojensa verkkojen ansiosta se voi ylittää jokia. Se etsii ravintoa laajoilta alueilta.</v>
      </c>
      <c r="C993" s="9" t="s">
        <v>1344</v>
      </c>
    </row>
    <row r="994" ht="33.75" customHeight="1">
      <c r="A994" s="6" t="s">
        <v>1397</v>
      </c>
      <c r="B994" s="6" t="str">
        <f>IFERROR(__xludf.DUMMYFUNCTION("GOOGLETRANSLATE(A994,""en"",""fi"")"),"RATICATEn tukevat hampaat kasvavat tasaisesti. Pitääkseen ne maassa se jyrsii kiviä ja tukkeja. Se saattaa jopa pureskella talojen seiniä.")</f>
        <v>RATICATEn tukevat hampaat kasvavat tasaisesti. Pitääkseen ne maassa se jyrsii kiviä ja tukkeja. Se saattaa jopa pureskella talojen seiniä.</v>
      </c>
      <c r="C994" s="9" t="s">
        <v>1344</v>
      </c>
    </row>
    <row r="995" ht="33.75" customHeight="1">
      <c r="A995" s="6" t="s">
        <v>1398</v>
      </c>
      <c r="B995" s="6" t="str">
        <f>IFERROR(__xludf.DUMMYFUNCTION("GOOGLETRANSLATE(A995,""en"",""fi"")"),"SILPPUKALAISEN vankat hampaat kasvavat tasaisesti. Pitääkseen ne maassa se jyrsii kiviä ja tukkeja. Se voi jopa pureskella talojen seiniä.")</f>
        <v>SILPPUKALAISEN vankat hampaat kasvavat tasaisesti. Pitääkseen ne maassa se jyrsii kiviä ja tukkeja. Se voi jopa pureskella talojen seiniä.</v>
      </c>
      <c r="C995" s="9" t="s">
        <v>1344</v>
      </c>
    </row>
    <row r="996" ht="33.75" customHeight="1">
      <c r="A996" s="6" t="s">
        <v>1401</v>
      </c>
      <c r="B996" s="6" t="str">
        <f>IFERROR(__xludf.DUMMYFUNCTION("GOOGLETRANSLATE(A996,""en"",""fi"")"),"Sen takajaloissa on kolme varvasta. Ne ovat räpylöiden peittämät, minkä ansiosta se voi uida jokien yli.")</f>
        <v>Sen takajaloissa on kolme varvasta. Ne ovat räpylöiden peittämät, minkä ansiosta se voi uida jokien yli.</v>
      </c>
      <c r="C996" s="9" t="s">
        <v>1344</v>
      </c>
    </row>
    <row r="997" ht="33.75" customHeight="1">
      <c r="A997" s="6" t="s">
        <v>1403</v>
      </c>
      <c r="B997" s="6" t="str">
        <f>IFERROR(__xludf.DUMMYFUNCTION("GOOGLETRANSLATE(A997,""en"",""fi"")"),"Se käyttää viiksikarvojaan tasapainonsa ylläpitämiseen. Se ilmeisesti hidastaa vauhtiaan, jos ne leikkautuvat eteen.")</f>
        <v>Se käyttää viiksikarvojaan tasapainonsa ylläpitämiseen. Se ilmeisesti hidastaa vauhtiaan, jos ne leikkautuvat eteen.</v>
      </c>
      <c r="C997" s="9" t="s">
        <v>1344</v>
      </c>
    </row>
    <row r="998" ht="33.75" customHeight="1">
      <c r="A998" s="6" t="s">
        <v>1404</v>
      </c>
      <c r="B998" s="6" t="str">
        <f>IFERROR(__xludf.DUMMYFUNCTION("GOOGLETRANSLATE(A998,""en"",""fi"")"),"Se veistelee jatkuvasti kasvavia kulmahampaitaan jyrsimällä kovia esineitä. Se voi pureskella rikki tuhkaisia ​​seiniä.")</f>
        <v>Se veistelee jatkuvasti kasvavia kulmahampaitaan jyrsimällä kovia esineitä. Se voi pureskella rikki tuhkaisia ​​seiniä.</v>
      </c>
      <c r="C998" s="9" t="s">
        <v>1344</v>
      </c>
    </row>
    <row r="999" ht="33.75" customHeight="1">
      <c r="A999" s="6" t="s">
        <v>1408</v>
      </c>
      <c r="B999" s="6" t="str">
        <f>IFERROR(__xludf.DUMMYFUNCTION("GOOGLETRANSLATE(A999,""en"",""fi"")"),"Jyrsii mitä tahansa kovilla hampaillaan. Se voi jopa kaataa betonirakennuksia jyrsimällä niitä.")</f>
        <v>Jyrsii mitä tahansa kovilla hampaillaan. Se voi jopa kaataa betonirakennuksia jyrsimällä niitä.</v>
      </c>
      <c r="C999" s="9" t="s">
        <v>1344</v>
      </c>
    </row>
    <row r="1000" ht="33.75" customHeight="1">
      <c r="A1000" s="6" t="s">
        <v>1410</v>
      </c>
      <c r="B1000" s="6" t="str">
        <f>IFERROR(__xludf.DUMMYFUNCTION("GOOGLETRANSLATE(A1000,""en"",""fi"")"),"Sen viikset auttavat sitä ylläpitämään tasapainoa. Sen kulmahampaat eivät koskaan lakkaa kasvamasta, joten se jyrsii niitä kuoriakseen.")</f>
        <v>Sen viikset auttavat sitä ylläpitämään tasapainoa. Sen kulmahampaat eivät koskaan lakkaa kasvamasta, joten se jyrsii niitä kuoriakseen.</v>
      </c>
      <c r="C1000" s="9" t="s">
        <v>1344</v>
      </c>
    </row>
    <row r="1001" ht="33.75" customHeight="1">
      <c r="A1001" s="6" t="s">
        <v>1413</v>
      </c>
      <c r="B1001" s="6" t="str">
        <f>IFERROR(__xludf.DUMMYFUNCTION("GOOGLETRANSLATE(A1001,""en"",""fi"")"),"Pitkillä kulmahampaillaan tämä yllättävän väkivaltainen Pokémon voi jyrsiä helposti irti jopa paksua betonia.")</f>
        <v>Pitkillä kulmahampaillaan tämä yllättävän väkivaltainen Pokémon voi jyrsiä helposti irti jopa paksua betonia.</v>
      </c>
      <c r="C1001" s="9" t="s">
        <v>1344</v>
      </c>
    </row>
    <row r="1002" ht="33.75" customHeight="1">
      <c r="A1002" s="6" t="s">
        <v>1415</v>
      </c>
      <c r="B1002" s="6" t="str">
        <f>IFERROR(__xludf.DUMMYFUNCTION("GOOGLETRANSLATE(A1002,""en"",""fi"")"),"Takajalkojensa verkkojen ansiosta se voi ylittää jokia. Se etsii ravintoa laajoilta alueilta.")</f>
        <v>Takajalkojensa verkkojen ansiosta se voi ylittää jokia. Se etsii ravintoa laajoilta alueilta.</v>
      </c>
      <c r="C1002" s="9" t="s">
        <v>1344</v>
      </c>
    </row>
    <row r="1003" ht="33.75" customHeight="1">
      <c r="A1003" s="6" t="s">
        <v>1416</v>
      </c>
      <c r="B1003" s="6" t="str">
        <f>IFERROR(__xludf.DUMMYFUNCTION("GOOGLETRANSLATE(A1003,""en"",""fi"")"),"Raticaten tukevat hampaat kasvavat tasaisesti. Pitääkseen ne maassa se jyrsii kiviä ja tukkeja. Se saattaa jopa pureskella talojen seiniä.")</f>
        <v>Raticaten tukevat hampaat kasvavat tasaisesti. Pitääkseen ne maassa se jyrsii kiviä ja tukkeja. Se saattaa jopa pureskella talojen seiniä.</v>
      </c>
      <c r="C1003" s="9" t="s">
        <v>1344</v>
      </c>
    </row>
    <row r="1004" ht="33.75" customHeight="1">
      <c r="A1004" s="6" t="s">
        <v>1417</v>
      </c>
      <c r="B1004" s="6" t="str">
        <f>IFERROR(__xludf.DUMMYFUNCTION("GOOGLETRANSLATE(A1004,""en"",""fi"")"),"Sen takajalat ovat räpylät peittämät, joten se on vahva uimari. Se voi ylittää jokia ja joskus jopa valtameriä.")</f>
        <v>Sen takajalat ovat räpylät peittämät, joten se on vahva uimari. Se voi ylittää jokia ja joskus jopa valtameriä.</v>
      </c>
      <c r="C1004" s="9" t="s">
        <v>1344</v>
      </c>
    </row>
    <row r="1005" ht="33.75" customHeight="1">
      <c r="A1005" s="6" t="s">
        <v>1418</v>
      </c>
      <c r="B1005" s="6" t="str">
        <f>IFERROR(__xludf.DUMMYFUNCTION("GOOGLETRANSLATE(A1005,""en"",""fi"")"),"Sen luonne on paljon väkivaltaisempi kuin ulkonäkö antaisi ymmärtää. Älä anna kätesi tulla liian lähelle sen kasvoja, sillä se voi purra kätesi irti.")</f>
        <v>Sen luonne on paljon väkivaltaisempi kuin ulkonäkö antaisi ymmärtää. Älä anna kätesi tulla liian lähelle sen kasvoja, sillä se voi purra kätesi irti.</v>
      </c>
      <c r="C1005" s="9" t="s">
        <v>1344</v>
      </c>
    </row>
    <row r="1006" ht="33.75" customHeight="1">
      <c r="A1006" s="6" t="s">
        <v>1419</v>
      </c>
      <c r="B1006" s="6" t="str">
        <f>IFERROR(__xludf.DUMMYFUNCTION("GOOGLETRANSLATE(A1006,""en"",""fi"")"),"Ihmiset kertovat, että se pakeni vihollisiaan käyttämällä pieniä, räpylöillä varustettuja takajalkojaan uidakseen saarelta toiselle Alolassa.")</f>
        <v>Ihmiset kertovat, että se pakeni vihollisiaan käyttämällä pieniä, räpylöillä varustettuja takajalkojaan uidakseen saarelta toiselle Alolassa.</v>
      </c>
      <c r="C1006" s="9" t="s">
        <v>1344</v>
      </c>
    </row>
    <row r="1007" ht="33.75" customHeight="1">
      <c r="A1007" s="6" t="s">
        <v>1420</v>
      </c>
      <c r="B1007" s="6" t="str">
        <f>IFERROR(__xludf.DUMMYFUNCTION("GOOGLETRANSLATE(A1007,""en"",""fi"")"),"Sen viikset ovat välttämättömät tasapainon ylläpitämiseksi. Olitpa kuinka ystävällinen tahansa, se suuttuu ja puree sinua, jos kosket sen viiksiin.")</f>
        <v>Sen viikset ovat välttämättömät tasapainon ylläpitämiseksi. Olitpa kuinka ystävällinen tahansa, se suuttuu ja puree sinua, jos kosket sen viiksiin.</v>
      </c>
      <c r="C1007" s="9" t="s">
        <v>1344</v>
      </c>
    </row>
    <row r="1008" ht="33.75" customHeight="1">
      <c r="A1008" s="6" t="s">
        <v>1421</v>
      </c>
      <c r="B1008" s="6" t="str">
        <f>IFERROR(__xludf.DUMMYFUNCTION("GOOGLETRANSLATE(A1008,""en"",""fi"")"),"Syö hyönteisiä ruohoalueilla. Sen on räpyteltävä lyhyitä siipiään suurella nopeudella pysyäkseen ilmassa.")</f>
        <v>Syö hyönteisiä ruohoalueilla. Sen on räpyteltävä lyhyitä siipiään suurella nopeudella pysyäkseen ilmassa.</v>
      </c>
      <c r="C1008" s="9" t="s">
        <v>1344</v>
      </c>
    </row>
    <row r="1009" ht="33.75" customHeight="1">
      <c r="A1009" s="6" t="s">
        <v>1424</v>
      </c>
      <c r="B1009" s="6" t="str">
        <f>IFERROR(__xludf.DUMMYFUNCTION("GOOGLETRANSLATE(A1009,""en"",""fi"")"),"Kyvytön lentämään korkealla. Se voi kuitenkin lentää erittäin nopeasti suojellakseen reviiriään.")</f>
        <v>Kyvytön lentämään korkealla. Se voi kuitenkin lentää erittäin nopeasti suojellakseen reviiriään.</v>
      </c>
      <c r="C1009" s="9" t="s">
        <v>1344</v>
      </c>
    </row>
    <row r="1010" ht="33.75" customHeight="1">
      <c r="A1010" s="6" t="s">
        <v>1425</v>
      </c>
      <c r="B1010" s="6" t="str">
        <f>IFERROR(__xludf.DUMMYFUNCTION("GOOGLETRANSLATE(A1010,""en"",""fi"")"),"Se räpyttelee lyhyitä siipiään karkottaakseen hyönteisiä korkeasta ruohosta. Sitten se nyppii ne töpöllä nokallaan.")</f>
        <v>Se räpyttelee lyhyitä siipiään karkottaakseen hyönteisiä korkeasta ruohosta. Sitten se nyppii ne töpöllä nokallaan.</v>
      </c>
      <c r="C1010" s="9" t="s">
        <v>1344</v>
      </c>
    </row>
    <row r="1011" ht="33.75" customHeight="1">
      <c r="A1011" s="6" t="s">
        <v>1426</v>
      </c>
      <c r="B1011" s="6" t="str">
        <f>IFERROR(__xludf.DUMMYFUNCTION("GOOGLETRANSLATE(A1011,""en"",""fi"")"),"Se on erittäin reviiriään suojeleva ja räpyttelee lyhyitä siipiään ahkerasti syöksyäkseen ympäriinsä kovaa vauhtia.")</f>
        <v>Se on erittäin reviiriään suojeleva ja räpyttelee lyhyitä siipiään ahkerasti syöksyäkseen ympäriinsä kovaa vauhtia.</v>
      </c>
      <c r="C1011" s="9" t="s">
        <v>1344</v>
      </c>
    </row>
    <row r="1012" ht="33.75" customHeight="1">
      <c r="A1012" s="6" t="s">
        <v>1428</v>
      </c>
      <c r="B1012" s="6" t="str">
        <f>IFERROR(__xludf.DUMMYFUNCTION("GOOGLETRANSLATE(A1012,""en"",""fi"")"),"Suojellakseen reviiriään se lentää lakkaamatta ympäriinsä ja päästää korkeita huutoja.")</f>
        <v>Suojellakseen reviiriään se lentää lakkaamatta ympäriinsä ja päästää korkeita huutoja.</v>
      </c>
      <c r="C1012" s="9" t="s">
        <v>1344</v>
      </c>
    </row>
    <row r="1013" ht="33.75" customHeight="1">
      <c r="A1013" s="6" t="s">
        <v>1429</v>
      </c>
      <c r="B1013" s="6" t="str">
        <f>IFERROR(__xludf.DUMMYFUNCTION("GOOGLETRANSLATE(A1013,""en"",""fi"")"),"KEIHÄKÄS-linnulla on erittäin kova huuto, joka kuuluu yli 800 metrin päähän. Jos sen korkea, viheltävä huuto kaikuu kaikkialla, se on merkki siitä, että ne varoittavat toisiaan vaarasta.")</f>
        <v>KEIHÄKÄS-linnulla on erittäin kova huuto, joka kuuluu yli 800 metrin päähän. Jos sen korkea, viheltävä huuto kaikuu kaikkialla, se on merkki siitä, että ne varoittavat toisiaan vaarasta.</v>
      </c>
      <c r="C1013" s="9" t="s">
        <v>1344</v>
      </c>
    </row>
    <row r="1014" ht="33.75" customHeight="1">
      <c r="A1014" s="6" t="s">
        <v>1432</v>
      </c>
      <c r="B1014" s="6" t="str">
        <f>IFERROR(__xludf.DUMMYFUNCTION("GOOGLETRANSLATE(A1014,""en"",""fi"")"),"Sen kova huuto kuuluu yli 800 metrin päähän. Jos sen korkea, viheltävä huuto kaikuu kaikkialla, se on merkki siitä, että ne varoittavat toisiaan vaarasta.")</f>
        <v>Sen kova huuto kuuluu yli 800 metrin päähän. Jos sen korkea, viheltävä huuto kaikuu kaikkialla, se on merkki siitä, että ne varoittavat toisiaan vaarasta.</v>
      </c>
      <c r="C1014" s="9" t="s">
        <v>1344</v>
      </c>
    </row>
    <row r="1015" ht="33.75" customHeight="1">
      <c r="A1015" s="6" t="s">
        <v>1434</v>
      </c>
      <c r="B1015" s="6" t="str">
        <f>IFERROR(__xludf.DUMMYFUNCTION("GOOGLETRANSLATE(A1015,""en"",""fi"")"),"Se leijuu kiireisesti siellä täällä. Vaikka se on hauras, se voi olla kova vihollinen, joka käyttää PEILILIIKKEÄ.")</f>
        <v>Se leijuu kiireisesti siellä täällä. Vaikka se on hauras, se voi olla kova vihollinen, joka käyttää PEILILIIKKEÄ.</v>
      </c>
      <c r="C1015" s="9" t="s">
        <v>1344</v>
      </c>
    </row>
    <row r="1016" ht="33.75" customHeight="1">
      <c r="A1016" s="6" t="s">
        <v>1436</v>
      </c>
      <c r="B1016" s="6" t="str">
        <f>IFERROR(__xludf.DUMMYFUNCTION("GOOGLETRANSLATE(A1016,""en"",""fi"")"),"Se räpyttelee ahkerasti pieniä siipiään lentääkseen. Nokkaansa käyttäen se etsii saalista ruohikosta.")</f>
        <v>Se räpyttelee ahkerasti pieniä siipiään lentääkseen. Nokkaansa käyttäen se etsii saalista ruohikosta.</v>
      </c>
      <c r="C1016" s="9" t="s">
        <v>1344</v>
      </c>
    </row>
    <row r="1017" ht="33.75" customHeight="1">
      <c r="A1017" s="6" t="s">
        <v>1445</v>
      </c>
      <c r="B1017" s="6" t="str">
        <f>IFERROR(__xludf.DUMMYFUNCTION("GOOGLETRANSLATE(A1017,""en"",""fi"")"),"Spearowilla on erittäin kova huuto, joka kuuluu yli 800 metrin päähän. Jos sen korkea, viheltävä huuto kaikuu kaikkialla, se on merkki siitä, että ne varoittavat toisiaan vaarasta.")</f>
        <v>Spearowilla on erittäin kova huuto, joka kuuluu yli 800 metrin päähän. Jos sen korkea, viheltävä huuto kaikuu kaikkialla, se on merkki siitä, että ne varoittavat toisiaan vaarasta.</v>
      </c>
      <c r="C1017" s="9" t="s">
        <v>1344</v>
      </c>
    </row>
    <row r="1018" ht="33.75" customHeight="1">
      <c r="A1018" s="6" t="s">
        <v>1447</v>
      </c>
      <c r="B1018" s="6" t="str">
        <f>IFERROR(__xludf.DUMMYFUNCTION("GOOGLETRANSLATE(A1018,""en"",""fi"")"),"Lyhyiden siipiensä ansiosta se ei osaa lentää. Se liikkuu nopeasti ja nokkii Bug-tyyppisiä Pokémoneja korkeassa ruohikossa.")</f>
        <v>Lyhyiden siipiensä ansiosta se ei osaa lentää. Se liikkuu nopeasti ja nokkii Bug-tyyppisiä Pokémoneja korkeassa ruohikossa.</v>
      </c>
      <c r="C1018" s="9" t="s">
        <v>1344</v>
      </c>
    </row>
    <row r="1019" ht="33.75" customHeight="1">
      <c r="A1019" s="6" t="s">
        <v>1449</v>
      </c>
      <c r="B1019" s="6" t="str">
        <f>IFERROR(__xludf.DUMMYFUNCTION("GOOGLETRANSLATE(A1019,""en"",""fi"")"),"Maanviljelijät, joiden peltoja ötökkä-Pokémonit vaivaavat, arvostavat Spearow'ta sen voimakkaan ruokahalun vuoksi ja pitävät siitä huolta.")</f>
        <v>Maanviljelijät, joiden peltoja ötökkä-Pokémonit vaivaavat, arvostavat Spearow'ta sen voimakkaan ruokahalun vuoksi ja pitävät siitä huolta.</v>
      </c>
      <c r="C1019" s="9" t="s">
        <v>1344</v>
      </c>
    </row>
    <row r="1020" ht="33.75" customHeight="1">
      <c r="A1020" s="6" t="s">
        <v>1450</v>
      </c>
      <c r="B1020" s="6" t="str">
        <f>IFERROR(__xludf.DUMMYFUNCTION("GOOGLETRANSLATE(A1020,""en"",""fi"")"),"Sen holtiton luonne saa sen nousemaan vastustamaan muita – jopa suuria Pokémoneja – jos sen on suojeltava reviiriään.")</f>
        <v>Sen holtiton luonne saa sen nousemaan vastustamaan muita – jopa suuria Pokémoneja – jos sen on suojeltava reviiriään.</v>
      </c>
      <c r="C1020" s="9" t="s">
        <v>1344</v>
      </c>
    </row>
    <row r="1021" ht="33.75" customHeight="1">
      <c r="A1021" s="6" t="s">
        <v>1451</v>
      </c>
      <c r="B1021" s="6" t="str">
        <f>IFERROR(__xludf.DUMMYFUNCTION("GOOGLETRANSLATE(A1021,""en"",""fi"")"),"Lyhyiden siipiensä vuoksi se ei voi lentää pitkiä matkoja. Se vaeltelee levottomasti ympäriinsä ja nokkii öisiä Pokémoneja.")</f>
        <v>Lyhyiden siipiensä vuoksi se ei voi lentää pitkiä matkoja. Se vaeltelee levottomasti ympäriinsä ja nokkii öisiä Pokémoneja.</v>
      </c>
      <c r="C1021" s="9" t="s">
        <v>1344</v>
      </c>
    </row>
    <row r="1022" ht="33.75" customHeight="1">
      <c r="A1022" s="6" t="s">
        <v>1453</v>
      </c>
      <c r="B1022" s="6" t="str">
        <f>IFERROR(__xludf.DUMMYFUNCTION("GOOGLETRANSLATE(A1022,""en"",""fi"")"),"Kyvytön lentämään korkealla. Se voi kuitenkin lentää ympäriinsä erittäin nopeasti suojellakseen reviiriään.")</f>
        <v>Kyvytön lentämään korkealla. Se voi kuitenkin lentää ympäriinsä erittäin nopeasti suojellakseen reviiriään.</v>
      </c>
      <c r="C1022" s="9" t="s">
        <v>1344</v>
      </c>
    </row>
    <row r="1023" ht="33.75" customHeight="1">
      <c r="A1023" s="6" t="s">
        <v>1455</v>
      </c>
      <c r="B1023" s="6" t="str">
        <f>IFERROR(__xludf.DUMMYFUNCTION("GOOGLETRANSLATE(A1023,""en"",""fi"")"),"Valtavien ja mahtavien siipiensä ansiosta se pysyy ilmassa laskeutumatta lepäämään.")</f>
        <v>Valtavien ja mahtavien siipiensä ansiosta se pysyy ilmassa laskeutumatta lepäämään.</v>
      </c>
      <c r="C1023" s="9" t="s">
        <v>1344</v>
      </c>
    </row>
    <row r="1024" ht="33.75" customHeight="1">
      <c r="A1024" s="6" t="s">
        <v>1457</v>
      </c>
      <c r="B1024" s="6" t="str">
        <f>IFERROR(__xludf.DUMMYFUNCTION("GOOGLETRANSLATE(A1024,""en"",""fi"")"),"POKéMON, jonka historia ulottuu monien vuosien taakse. Jos se aistii vaaran, se lentää korkealle ja pois, välittömästi.")</f>
        <v>POKéMON, jonka historia ulottuu monien vuosien taakse. Jos se aistii vaaran, se lentää korkealle ja pois, välittömästi.</v>
      </c>
      <c r="C1024" s="9" t="s">
        <v>1344</v>
      </c>
    </row>
    <row r="1025" ht="33.75" customHeight="1">
      <c r="A1025" s="6" t="s">
        <v>1458</v>
      </c>
      <c r="B1025" s="6" t="str">
        <f>IFERROR(__xludf.DUMMYFUNCTION("GOOGLETRANSLATE(A1025,""en"",""fi"")"),"Se ampuu itsensä yhtäkkiä korkealle taivaalle ja syöksyy sitten yhdellä iskulla alas iskeäkseen saaliiseensa.")</f>
        <v>Se ampuu itsensä yhtäkkiä korkealle taivaalle ja syöksyy sitten yhdellä iskulla alas iskeäkseen saaliiseensa.</v>
      </c>
      <c r="C1025" s="9" t="s">
        <v>1344</v>
      </c>
    </row>
    <row r="1026" ht="33.75" customHeight="1">
      <c r="A1026" s="6" t="s">
        <v>1459</v>
      </c>
      <c r="B1026" s="6" t="str">
        <f>IFERROR(__xludf.DUMMYFUNCTION("GOOGLETRANSLATE(A1026,""en"",""fi"")"),"Se käyttää taitavasti ohutta ja pitkää nokkaansa nyppiäkseen ja syödäkseen maan alla piileskeleviä pieniä hyönteisiä.")</f>
        <v>Se käyttää taitavasti ohutta ja pitkää nokkaansa nyppiäkseen ja syödäkseen maan alla piileskeleviä pieniä hyönteisiä.</v>
      </c>
      <c r="C1026" s="9" t="s">
        <v>1344</v>
      </c>
    </row>
    <row r="1027" ht="33.75" customHeight="1">
      <c r="A1027" s="6" t="s">
        <v>1460</v>
      </c>
      <c r="B1027" s="6" t="str">
        <f>IFERROR(__xludf.DUMMYFUNCTION("GOOGLETRANSLATE(A1027,""en"",""fi"")"),"Se käyttää pitkää nokkaansa hyökkäykseen. Sen ulottuvuus on yllättävän pitkä, joten sitä on käsiteltävä varoen.")</f>
        <v>Se käyttää pitkää nokkaansa hyökkäykseen. Sen ulottuvuus on yllättävän pitkä, joten sitä on käsiteltävä varoen.</v>
      </c>
      <c r="C1027" s="9" t="s">
        <v>1344</v>
      </c>
    </row>
    <row r="1028" ht="33.75" customHeight="1">
      <c r="A1028" s="6" t="s">
        <v>1461</v>
      </c>
      <c r="B1028" s="6" t="str">
        <f>IFERROR(__xludf.DUMMYFUNCTION("GOOGLETRANSLATE(A1028,""en"",""fi"")"),"FEAROW tunnistetaan pitkästä kaulastaan ​​ja pitkänomaisesta nokastaan. Ne ovat muodoltaan sopivia saaliin pyydystämiseen maaperästä tai vedestä. Se liikuttaa taitavasti pitkää ja laihaa nokkaansa napatakseen saaliinsa.")</f>
        <v>FEAROW tunnistetaan pitkästä kaulastaan ​​ja pitkänomaisesta nokastaan. Ne ovat muodoltaan sopivia saaliin pyydystämiseen maaperästä tai vedestä. Se liikuttaa taitavasti pitkää ja laihaa nokkaansa napatakseen saaliinsa.</v>
      </c>
      <c r="C1028" s="9" t="s">
        <v>1344</v>
      </c>
    </row>
    <row r="1029" ht="33.75" customHeight="1">
      <c r="A1029" s="6" t="s">
        <v>1462</v>
      </c>
      <c r="B1029" s="6" t="str">
        <f>IFERROR(__xludf.DUMMYFUNCTION("GOOGLETRANSLATE(A1029,""en"",""fi"")"),"Sen pitkä kaula ja pitkänokkainen nokka sopivat erinomaisesti saaliin pyydystämiseen maaperästä tai vedestä. Se liikuttaa taitavasti tätä pitkää ja laihaa nokkaa saaliin nappaamiseen.")</f>
        <v>Sen pitkä kaula ja pitkänokkainen nokka sopivat erinomaisesti saaliin pyydystämiseen maaperästä tai vedestä. Se liikuttaa taitavasti tätä pitkää ja laihaa nokkaa saaliin nappaamiseen.</v>
      </c>
      <c r="C1029" s="9" t="s">
        <v>1344</v>
      </c>
    </row>
    <row r="1030" ht="33.75" customHeight="1">
      <c r="A1030" s="6" t="s">
        <v>1464</v>
      </c>
      <c r="B1030" s="6" t="str">
        <f>IFERROR(__xludf.DUMMYFUNCTION("GOOGLETRANSLATE(A1030,""en"",""fi"")"),"Sen valtavat ja upeat siivet pitävät sen ilmassa. Se voi lentää kokonaisen päivän laskeutumatta.")</f>
        <v>Sen valtavat ja upeat siivet pitävät sen ilmassa. Se voi lentää kokonaisen päivän laskeutumatta.</v>
      </c>
      <c r="C1030" s="9" t="s">
        <v>1344</v>
      </c>
    </row>
    <row r="1031" ht="33.75" customHeight="1">
      <c r="A1031" s="6" t="s">
        <v>1465</v>
      </c>
      <c r="B1031" s="6" t="str">
        <f>IFERROR(__xludf.DUMMYFUNCTION("GOOGLETRANSLATE(A1031,""en"",""fi"")"),"Sillä on kestävyys lentää koko päivän leveillä siivillään. Se taistelee terävän nokkansa avulla.")</f>
        <v>Sillä on kestävyys lentää koko päivän leveillä siivillään. Se taistelee terävän nokkansa avulla.</v>
      </c>
      <c r="C1031" s="9" t="s">
        <v>1344</v>
      </c>
    </row>
    <row r="1032" ht="33.75" customHeight="1">
      <c r="A1032" s="6" t="s">
        <v>1467</v>
      </c>
      <c r="B1032" s="6" t="str">
        <f>IFERROR(__xludf.DUMMYFUNCTION("GOOGLETRANSLATE(A1032,""en"",""fi"")"),"Sillä on kestävyyttä lentää koko päivän leveillä siivillään. Se taistelee terävän nokkansa avulla.")</f>
        <v>Sillä on kestävyyttä lentää koko päivän leveillä siivillään. Se taistelee terävän nokkansa avulla.</v>
      </c>
      <c r="C1032" s="9" t="s">
        <v>1344</v>
      </c>
    </row>
    <row r="1033" ht="33.75" customHeight="1">
      <c r="A1033" s="6" t="s">
        <v>1476</v>
      </c>
      <c r="B1033" s="6" t="str">
        <f>IFERROR(__xludf.DUMMYFUNCTION("GOOGLETRANSLATE(A1033,""en"",""fi"")"),"Fearow tunnistetaan pitkästä kaulastaan ​​ja pitkänomaisesta nokastaan. Ne ovat muodoltaan sopivia saaliin pyydystämiseen maaperästä tai vedestä. Se liikuttaa taitavasti pitkää ja laihaa nokkaansa napatakseen saaliinsa.")</f>
        <v>Fearow tunnistetaan pitkästä kaulastaan ​​ja pitkänomaisesta nokastaan. Ne ovat muodoltaan sopivia saaliin pyydystämiseen maaperästä tai vedestä. Se liikuttaa taitavasti pitkää ja laihaa nokkaansa napatakseen saaliinsa.</v>
      </c>
      <c r="C1033" s="9" t="s">
        <v>1344</v>
      </c>
    </row>
    <row r="1034" ht="33.75" customHeight="1">
      <c r="A1034" s="6" t="s">
        <v>1479</v>
      </c>
      <c r="B1034" s="6" t="str">
        <f>IFERROR(__xludf.DUMMYFUNCTION("GOOGLETRANSLATE(A1034,""en"",""fi"")"),"Se on kestävä ja sillä on erinomainen kestävyys. Sillä ei ole ongelmia lentää jatkuvasti koko päivän raskasta kuormaa kantaen.")</f>
        <v>Se on kestävä ja sillä on erinomainen kestävyys. Sillä ei ole ongelmia lentää jatkuvasti koko päivän raskasta kuormaa kantaen.</v>
      </c>
      <c r="C1034" s="9" t="s">
        <v>1344</v>
      </c>
    </row>
    <row r="1035" ht="33.75" customHeight="1">
      <c r="A1035" s="6" t="s">
        <v>1481</v>
      </c>
      <c r="B1035" s="6" t="str">
        <f>IFERROR(__xludf.DUMMYFUNCTION("GOOGLETRANSLATE(A1035,""en"",""fi"")"),"Fearowia muistuttavan Pokémonin piirroksia voi nähdä muinaisen historian syvältä peräisin olevissa seinämaalauksissa.")</f>
        <v>Fearowia muistuttavan Pokémonin piirroksia voi nähdä muinaisen historian syvältä peräisin olevissa seinämaalauksissa.</v>
      </c>
      <c r="C1035" s="9" t="s">
        <v>1344</v>
      </c>
    </row>
    <row r="1036" ht="33.75" customHeight="1">
      <c r="A1036" s="6" t="s">
        <v>1483</v>
      </c>
      <c r="B1036" s="6" t="str">
        <f>IFERROR(__xludf.DUMMYFUNCTION("GOOGLETRANSLATE(A1036,""en"",""fi"")"),"Ruoan kantaminen Fearow'n alueen läpi on vaarallista. Se sieppaa ruoan käsistäsi salamannopeasti!")</f>
        <v>Ruoan kantaminen Fearow'n alueen läpi on vaarallista. Se sieppaa ruoan käsistäsi salamannopeasti!</v>
      </c>
      <c r="C1036" s="9" t="s">
        <v>1344</v>
      </c>
    </row>
    <row r="1037" ht="33.75" customHeight="1">
      <c r="A1037" s="6" t="s">
        <v>1484</v>
      </c>
      <c r="B1037" s="6" t="str">
        <f>IFERROR(__xludf.DUMMYFUNCTION("GOOGLETRANSLATE(A1037,""en"",""fi"")"),"Alolassa kala-Pokémonit ovat sen saalista. Sen voi nähdä kiertelevän meren yllä etsimässä ruokaa.")</f>
        <v>Alolassa kala-Pokémonit ovat sen saalista. Sen voi nähdä kiertelevän meren yllä etsimässä ruokaa.</v>
      </c>
      <c r="C1037" s="9" t="s">
        <v>1344</v>
      </c>
    </row>
    <row r="1038" ht="33.75" customHeight="1">
      <c r="A1038" s="6" t="s">
        <v>1485</v>
      </c>
      <c r="B1038" s="6" t="str">
        <f>IFERROR(__xludf.DUMMYFUNCTION("GOOGLETRANSLATE(A1038,""en"",""fi"")"),"Pokémon, jonka historia ulottuu monien vuosien taakse. Jos se aistii vaaran, se lentää korkealle ja pois, välittömästi.")</f>
        <v>Pokémon, jonka historia ulottuu monien vuosien taakse. Jos se aistii vaaran, se lentää korkealle ja pois, välittömästi.</v>
      </c>
      <c r="C1038" s="9" t="s">
        <v>1344</v>
      </c>
    </row>
    <row r="1039" ht="33.75" customHeight="1">
      <c r="A1039" s="6" t="s">
        <v>1488</v>
      </c>
      <c r="B1039" s="6" t="str">
        <f>IFERROR(__xludf.DUMMYFUNCTION("GOOGLETRANSLATE(A1039,""en"",""fi"")"),"Liikkuu hiljaa ja hiiviskelevästi. Syö lintujen, kuten pikkulintujen ja keihäslintujen, munia kokonaisina.")</f>
        <v>Liikkuu hiljaa ja hiiviskelevästi. Syö lintujen, kuten pikkulintujen ja keihäslintujen, munia kokonaisina.</v>
      </c>
      <c r="C1039" s="9" t="s">
        <v>1344</v>
      </c>
    </row>
    <row r="1040" ht="33.75" customHeight="1">
      <c r="A1040" s="6" t="s">
        <v>1491</v>
      </c>
      <c r="B1040" s="6" t="str">
        <f>IFERROR(__xludf.DUMMYFUNCTION("GOOGLETRANSLATE(A1040,""en"",""fi"")"),"Mitä vanhemmaksi se tulee, sitä pidemmäksi se kasvaa. Yöllä se kietoo pitkän ruumiinsa puunoksien ympärille levätäkseen.")</f>
        <v>Mitä vanhemmaksi se tulee, sitä pidemmäksi se kasvaa. Yöllä se kietoo pitkän ruumiinsa puunoksien ympärille levätäkseen.</v>
      </c>
      <c r="C1040" s="9" t="s">
        <v>1344</v>
      </c>
    </row>
    <row r="1041" ht="33.75" customHeight="1">
      <c r="A1041" s="6" t="s">
        <v>1493</v>
      </c>
      <c r="B1041" s="6" t="str">
        <f>IFERROR(__xludf.DUMMYFUNCTION("GOOGLETRANSLATE(A1041,""en"",""fi"")"),"Se voi vapaasti irrottaa leukansa nielläkseen suuren saaliin kokonaisena. Siitä voi kuitenkin tulla liian raskas liikkuakseen.")</f>
        <v>Se voi vapaasti irrottaa leukansa nielläkseen suuren saaliin kokonaisena. Siitä voi kuitenkin tulla liian raskas liikkuakseen.</v>
      </c>
      <c r="C1041" s="9" t="s">
        <v>1344</v>
      </c>
    </row>
    <row r="1042" ht="33.75" customHeight="1">
      <c r="A1042" s="6" t="s">
        <v>1494</v>
      </c>
      <c r="B1042" s="6" t="str">
        <f>IFERROR(__xludf.DUMMYFUNCTION("GOOGLETRANSLATE(A1042,""en"",""fi"")"),"Se piiloutuu aina ruohikkoon. Vastasyntyneenä sillä ei ole myrkkyä, joten sen purema on kivulias, mutta vaaraton.")</f>
        <v>Se piiloutuu aina ruohikkoon. Vastasyntyneenä sillä ei ole myrkkyä, joten sen purema on kivulias, mutta vaaraton.</v>
      </c>
      <c r="C1042" s="9" t="s">
        <v>1344</v>
      </c>
    </row>
    <row r="1043" ht="33.75" customHeight="1">
      <c r="A1043" s="6" t="s">
        <v>1495</v>
      </c>
      <c r="B1043" s="6" t="str">
        <f>IFERROR(__xludf.DUMMYFUNCTION("GOOGLETRANSLATE(A1043,""en"",""fi"")"),"Se heiluttelee kielenkärkeään etsiessään saaliinsa hajua ja nielee sen sitten kokonaisena.")</f>
        <v>Se heiluttelee kielenkärkeään etsiessään saaliinsa hajua ja nielee sen sitten kokonaisena.</v>
      </c>
      <c r="C1043" s="9" t="s">
        <v>1344</v>
      </c>
    </row>
    <row r="1044" ht="33.75" customHeight="1">
      <c r="A1044" s="6" t="s">
        <v>1497</v>
      </c>
      <c r="B1044" s="6" t="str">
        <f>IFERROR(__xludf.DUMMYFUNCTION("GOOGLETRANSLATE(A1044,""en"",""fi"")"),"EKANS käpertyy spiraaliksi levätessään. Tämä asento mahdollistaa sen, että se pystyy nopeasti reagoimaan mistä tahansa suunnasta tulevaan uhkaan vilkaisemalla ylös nostetulla päällään.")</f>
        <v>EKANS käpertyy spiraaliksi levätessään. Tämä asento mahdollistaa sen, että se pystyy nopeasti reagoimaan mistä tahansa suunnasta tulevaan uhkaan vilkaisemalla ylös nostetulla päällään.</v>
      </c>
      <c r="C1044" s="9" t="s">
        <v>1344</v>
      </c>
    </row>
    <row r="1045" ht="33.75" customHeight="1">
      <c r="A1045" s="6" t="s">
        <v>1498</v>
      </c>
      <c r="B1045" s="6" t="str">
        <f>IFERROR(__xludf.DUMMYFUNCTION("GOOGLETRANSLATE(A1045,""en"",""fi"")"),"EKANS käpertyy spiraaliksi levätessään. Tässä asennossa se voi nopeasti vastata viholliseen mistä tahansa suunnasta uhkaamalla sitä nostamalla päänsä.")</f>
        <v>EKANS käpertyy spiraaliksi levätessään. Tässä asennossa se voi nopeasti vastata viholliseen mistä tahansa suunnasta uhkaamalla sitä nostamalla päänsä.</v>
      </c>
      <c r="C1045" s="9" t="s">
        <v>1344</v>
      </c>
    </row>
    <row r="1046" ht="33.75" customHeight="1">
      <c r="A1046" s="6" t="s">
        <v>1499</v>
      </c>
      <c r="B1046" s="6" t="str">
        <f>IFERROR(__xludf.DUMMYFUNCTION("GOOGLETRANSLATE(A1046,""en"",""fi"")"),"Hyvin yleinen näky nurmikoilla jne. Se heiluttelee kieltään sisään ja ulos aistiakseen ympäristössään olevan vaaran.")</f>
        <v>Hyvin yleinen näky nurmikoilla jne. Se heiluttelee kieltään sisään ja ulos aistiakseen ympäristössään olevan vaaran.</v>
      </c>
      <c r="C1046" s="9" t="s">
        <v>1344</v>
      </c>
    </row>
    <row r="1047" ht="33.75" customHeight="1">
      <c r="A1047" s="6" t="s">
        <v>1500</v>
      </c>
      <c r="B1047" s="6" t="str">
        <f>IFERROR(__xludf.DUMMYFUNCTION("GOOGLETRANSLATE(A1047,""en"",""fi"")"),"Se liikkuu hiljaa ja salaa ja syö lintujen, kuten PIDGEYn ja SPEAROWin, munia kokonaisina.")</f>
        <v>Se liikkuu hiljaa ja salaa ja syö lintujen, kuten PIDGEYn ja SPEAROWin, munia kokonaisina.</v>
      </c>
      <c r="C1047" s="9" t="s">
        <v>1344</v>
      </c>
    </row>
    <row r="1048" ht="33.75" customHeight="1">
      <c r="A1048" s="6" t="s">
        <v>1501</v>
      </c>
      <c r="B1048" s="6" t="str">
        <f>IFERROR(__xludf.DUMMYFUNCTION("GOOGLETRANSLATE(A1048,""en"",""fi"")"),"Se hiipii ruohon läpi äänettömästi ja iskee tietämättömään saaliiseen takaapäin.")</f>
        <v>Se hiipii ruohon läpi äänettömästi ja iskee tietämättömään saaliiseen takaapäin.</v>
      </c>
      <c r="C1048" s="9" t="s">
        <v>1344</v>
      </c>
    </row>
    <row r="1049" ht="33.75" customHeight="1">
      <c r="A1049" s="6" t="s">
        <v>1502</v>
      </c>
      <c r="B1049" s="6" t="str">
        <f>IFERROR(__xludf.DUMMYFUNCTION("GOOGLETRANSLATE(A1049,""en"",""fi"")"),"Se voi vapaasti irrottaa leukansa nielläkseen suuren saaliin kokonaisena. Siitä voi kuitenkin tulla liian raskas liikuteltavaksi.")</f>
        <v>Se voi vapaasti irrottaa leukansa nielläkseen suuren saaliin kokonaisena. Siitä voi kuitenkin tulla liian raskas liikuteltavaksi.</v>
      </c>
      <c r="C1049" s="9" t="s">
        <v>1344</v>
      </c>
    </row>
    <row r="1050" ht="33.75" customHeight="1">
      <c r="A1050" s="6" t="s">
        <v>1507</v>
      </c>
      <c r="B1050" s="6" t="str">
        <f>IFERROR(__xludf.DUMMYFUNCTION("GOOGLETRANSLATE(A1050,""en"",""fi"")"),"Liikkuen hiljaa ja salaa, se syö lintujen, kuten Pidgeyn ja Spearowin, munia kokonaisina.")</f>
        <v>Liikkuen hiljaa ja salaa, se syö lintujen, kuten Pidgeyn ja Spearowin, munia kokonaisina.</v>
      </c>
      <c r="C1050" s="9" t="s">
        <v>1344</v>
      </c>
    </row>
    <row r="1051" ht="33.75" customHeight="1">
      <c r="A1051" s="6" t="s">
        <v>1508</v>
      </c>
      <c r="B1051" s="6" t="str">
        <f>IFERROR(__xludf.DUMMYFUNCTION("GOOGLETRANSLATE(A1051,""en"",""fi"")"),"Ekans käpertyy spiraaliksi levätessään. Tämä asento antaa sille mahdollisuuden reagoida nopeasti mistä tahansa suunnasta tulevaan uhkaan vilkaisemalla ylös nostetulla päällään.")</f>
        <v>Ekans käpertyy spiraaliksi levätessään. Tämä asento antaa sille mahdollisuuden reagoida nopeasti mistä tahansa suunnasta tulevaan uhkaan vilkaisemalla ylös nostetulla päällään.</v>
      </c>
      <c r="C1051" s="9" t="s">
        <v>1344</v>
      </c>
    </row>
    <row r="1052" ht="33.75" customHeight="1">
      <c r="A1052" s="6" t="s">
        <v>1512</v>
      </c>
      <c r="B1052" s="6" t="str">
        <f>IFERROR(__xludf.DUMMYFUNCTION("GOOGLETRANSLATE(A1052,""en"",""fi"")"),"Sijoittamalla leukansa se voi niellä itseään suuremman saaliin. Aterian jälkeen se käpertyy ja lepää.")</f>
        <v>Sijoittamalla leukansa se voi niellä itseään suuremman saaliin. Aterian jälkeen se käpertyy ja lepää.</v>
      </c>
      <c r="C1052" s="9" t="s">
        <v>1344</v>
      </c>
    </row>
    <row r="1053" ht="33.75" customHeight="1">
      <c r="A1053" s="6" t="s">
        <v>1514</v>
      </c>
      <c r="B1053" s="6" t="str">
        <f>IFERROR(__xludf.DUMMYFUNCTION("GOOGLETRANSLATE(A1053,""en"",""fi"")"),"Lintu-Pokémonin munat ovat sen lempiruokaa. Se nielee munat kokonaisina, joten joskus muna jää jumiin ja Ekans pyörtyy.")</f>
        <v>Lintu-Pokémonin munat ovat sen lempiruokaa. Se nielee munat kokonaisina, joten joskus muna jää jumiin ja Ekans pyörtyy.</v>
      </c>
      <c r="C1053" s="9" t="s">
        <v>1344</v>
      </c>
    </row>
    <row r="1054" ht="33.75" customHeight="1">
      <c r="A1054" s="6" t="s">
        <v>1519</v>
      </c>
      <c r="B1054" s="6" t="str">
        <f>IFERROR(__xludf.DUMMYFUNCTION("GOOGLETRANSLATE(A1054,""en"",""fi"")"),"Huhutaan, että sen vatsassa olevat raivokkaat varoitusmerkinnät vaihtelevat alueittain.")</f>
        <v>Huhutaan, että sen vatsassa olevat raivokkaat varoitusmerkinnät vaihtelevat alueittain.</v>
      </c>
      <c r="C1054" s="9" t="s">
        <v>1344</v>
      </c>
    </row>
    <row r="1055" ht="33.75" customHeight="1">
      <c r="A1055" s="6" t="s">
        <v>1521</v>
      </c>
      <c r="B1055" s="6" t="str">
        <f>IFERROR(__xludf.DUMMYFUNCTION("GOOGLETRANSLATE(A1055,""en"",""fi"")"),"Sen vatsan pelottavia kuvioita on tutkittu. Kuusi variaatiota on vahvistettu.")</f>
        <v>Sen vatsan pelottavia kuvioita on tutkittu. Kuusi variaatiota on vahvistettu.</v>
      </c>
      <c r="C1055" s="9" t="s">
        <v>1344</v>
      </c>
    </row>
    <row r="1056" ht="33.75" customHeight="1">
      <c r="A1056" s="6" t="s">
        <v>1524</v>
      </c>
      <c r="B1056" s="6" t="str">
        <f>IFERROR(__xludf.DUMMYFUNCTION("GOOGLETRANSLATE(A1056,""en"",""fi"")"),"Se tarttuu saaliiseen sen vatsassa olevalla kasvoja muistuttavalla kuviolla, sitoo ja myrkyttää pelästyneen uhrin.")</f>
        <v>Se tarttuu saaliiseen sen vatsassa olevalla kasvoja muistuttavalla kuviolla, sitoo ja myrkyttää pelästyneen uhrin.</v>
      </c>
      <c r="C1056" s="9" t="s">
        <v>1344</v>
      </c>
    </row>
    <row r="1057" ht="33.75" customHeight="1">
      <c r="A1057" s="6" t="s">
        <v>1525</v>
      </c>
      <c r="B1057" s="6" t="str">
        <f>IFERROR(__xludf.DUMMYFUNCTION("GOOGLETRANSLATE(A1057,""en"",""fi"")"),"Hyvin kostonhaluisen luonteensa ansiosta se ei luovu takaa-ajosta, olipa se kuinka kaukana tahansa, kun se on kohdistanut saaliinsa.")</f>
        <v>Hyvin kostonhaluisen luonteensa ansiosta se ei luovu takaa-ajosta, olipa se kuinka kaukana tahansa, kun se on kohdistanut saaliinsa.</v>
      </c>
      <c r="C1057" s="9" t="s">
        <v>1344</v>
      </c>
    </row>
    <row r="1058" ht="33.75" customHeight="1">
      <c r="A1058" s="6" t="s">
        <v>1527</v>
      </c>
      <c r="B1058" s="6" t="str">
        <f>IFERROR(__xludf.DUMMYFUNCTION("GOOGLETRANSLATE(A1058,""en"",""fi"")"),"Pelotellakseen vihollisia se levittää rintakehänsä leveälle ja päästää aavemaisia ​​ääniä puhaltamalla ilmaa suustaan.")</f>
        <v>Pelotellakseen vihollisia se levittää rintakehänsä leveälle ja päästää aavemaisia ​​ääniä puhaltamalla ilmaa suustaan.</v>
      </c>
      <c r="C1058" s="9" t="s">
        <v>1344</v>
      </c>
    </row>
    <row r="1059" ht="33.75" customHeight="1">
      <c r="A1059" s="6" t="s">
        <v>1528</v>
      </c>
      <c r="B1059" s="6" t="str">
        <f>IFERROR(__xludf.DUMMYFUNCTION("GOOGLETRANSLATE(A1059,""en"",""fi"")"),"Tämä POKéMON on uskomattoman vahva puristaakseen esineitä ruumiillaan. Se voi jopa litistää teräksisiä öljytynnyreitä. Kun ARBOK on kietonut ruumiinsa vihollisensa ympärille, sen murskaavasta syleilystä on mahdotonta paeta.")</f>
        <v>Tämä POKéMON on uskomattoman vahva puristaakseen esineitä ruumiillaan. Se voi jopa litistää teräksisiä öljytynnyreitä. Kun ARBOK on kietonut ruumiinsa vihollisensa ympärille, sen murskaavasta syleilystä on mahdotonta paeta.</v>
      </c>
      <c r="C1059" s="9" t="s">
        <v>1344</v>
      </c>
    </row>
    <row r="1060" ht="33.75" customHeight="1">
      <c r="A1060" s="6" t="s">
        <v>1529</v>
      </c>
      <c r="B1060" s="6" t="str">
        <f>IFERROR(__xludf.DUMMYFUNCTION("GOOGLETRANSLATE(A1060,""en"",""fi"")"),"Tällä POKéMONilla on valtava kuristusvoima. Se voi jopa litistää teräksisiä öljytynnyreitä. Kun se on kerran kietoutunut vihollisensa ympärille, pakeneminen on mahdotonta.")</f>
        <v>Tällä POKéMONilla on valtava kuristusvoima. Se voi jopa litistää teräksisiä öljytynnyreitä. Kun se on kerran kietoutunut vihollisensa ympärille, pakeneminen on mahdotonta.</v>
      </c>
      <c r="C1060" s="9" t="s">
        <v>1344</v>
      </c>
    </row>
    <row r="1061" ht="33.75" customHeight="1">
      <c r="A1061" s="6" t="s">
        <v>1530</v>
      </c>
      <c r="B1061" s="6" t="str">
        <f>IFERROR(__xludf.DUMMYFUNCTION("GOOGLETRANSLATE(A1061,""en"",""fi"")"),"Sen vatsassa oleva kuvio näyttää pelottavalta kasvoilta. Heikot viholliset pakenevat jo nähdessään kuvion.")</f>
        <v>Sen vatsassa oleva kuvio näyttää pelottavalta kasvoilta. Heikot viholliset pakenevat jo nähdessään kuvion.</v>
      </c>
      <c r="C1061" s="9" t="s">
        <v>1344</v>
      </c>
    </row>
    <row r="1062" ht="33.75" customHeight="1">
      <c r="A1062" s="6" t="s">
        <v>1531</v>
      </c>
      <c r="B1062" s="6" t="str">
        <f>IFERROR(__xludf.DUMMYFUNCTION("GOOGLETRANSLATE(A1062,""en"",""fi"")"),"Sen vatsan kuvio on tarkoitettu pelotteluun. Se kuristaa vihollisia heidän jähmettyessään pelosta.")</f>
        <v>Sen vatsan kuvio on tarkoitettu pelotteluun. Se kuristaa vihollisia heidän jähmettyessään pelosta.</v>
      </c>
      <c r="C1062" s="9" t="s">
        <v>1344</v>
      </c>
    </row>
    <row r="1063" ht="33.75" customHeight="1">
      <c r="A1063" s="6" t="s">
        <v>1533</v>
      </c>
      <c r="B1063" s="6" t="str">
        <f>IFERROR(__xludf.DUMMYFUNCTION("GOOGLETRANSLATE(A1063,""en"",""fi"")"),"Hyvin kostonhaluisen luonteensa ansiosta se ei luovu takaa-ajosta, olipa se kuinka kaukana tahansa, kun se on kohdistanut saaliinsa.")</f>
        <v>Hyvin kostonhaluisen luonteensa ansiosta se ei luovu takaa-ajosta, olipa se kuinka kaukana tahansa, kun se on kohdistanut saaliinsa.</v>
      </c>
      <c r="C1063" s="9" t="s">
        <v>1344</v>
      </c>
    </row>
    <row r="1064" ht="33.75" customHeight="1">
      <c r="A1064" s="6" t="s">
        <v>1545</v>
      </c>
      <c r="B1064" s="6" t="str">
        <f>IFERROR(__xludf.DUMMYFUNCTION("GOOGLETRANSLATE(A1064,""en"",""fi"")"),"Tämä Pokémon on uskomattoman vahva puristaakseen asioita ruumiillaan. Se voi jopa litistää teräksisiä öljytynnyreitä. Kun Arbok kietoo ruumiinsa vihollisensa ympärille, sen murskaavasta syleilystä on mahdotonta paeta.")</f>
        <v>Tämä Pokémon on uskomattoman vahva puristaakseen asioita ruumiillaan. Se voi jopa litistää teräksisiä öljytynnyreitä. Kun Arbok kietoo ruumiinsa vihollisensa ympärille, sen murskaavasta syleilystä on mahdotonta paeta.</v>
      </c>
      <c r="C1064" s="9" t="s">
        <v>1344</v>
      </c>
    </row>
    <row r="1065" ht="33.75" customHeight="1">
      <c r="A1065" s="6" t="s">
        <v>1549</v>
      </c>
      <c r="B1065" s="6" t="str">
        <f>IFERROR(__xludf.DUMMYFUNCTION("GOOGLETRANSLATE(A1065,""en"",""fi"")"),"Uusimmat tutkimukset ovat osoittaneet, että sen vatsassa on yli 20 mahdollista kuviojärjestystä.")</f>
        <v>Uusimmat tutkimukset ovat osoittaneet, että sen vatsassa on yli 20 mahdollista kuviojärjestystä.</v>
      </c>
      <c r="C1065" s="9" t="s">
        <v>1344</v>
      </c>
    </row>
    <row r="1066" ht="33.75" customHeight="1">
      <c r="A1066" s="6" t="s">
        <v>1552</v>
      </c>
      <c r="B1066" s="6" t="str">
        <f>IFERROR(__xludf.DUMMYFUNCTION("GOOGLETRANSLATE(A1066,""en"",""fi"")"),"Tainnutettuaan vastustajansa vatsassaan olevalla kuviolla se käärii heidät nopeasti ruumiiseensa ja odottaa, että ne lopettavat liikkumisen.")</f>
        <v>Tainnutettuaan vastustajansa vatsassaan olevalla kuviolla se käärii heidät nopeasti ruumiiseensa ja odottaa, että ne lopettavat liikkumisen.</v>
      </c>
      <c r="C1066" s="9" t="s">
        <v>1344</v>
      </c>
    </row>
    <row r="1067" ht="33.75" customHeight="1">
      <c r="A1067" s="6" t="s">
        <v>1556</v>
      </c>
      <c r="B1067" s="6" t="str">
        <f>IFERROR(__xludf.DUMMYFUNCTION("GOOGLETRANSLATE(A1067,""en"",""fi"")"),"Kun useita näitä POKéMONEJA kerääntyy, niiden sähköistyminen voi aiheuttaa ukkosmyrskyjä.")</f>
        <v>Kun useita näitä POKéMONEJA kerääntyy, niiden sähköistyminen voi aiheuttaa ukkosmyrskyjä.</v>
      </c>
      <c r="C1067" s="9" t="s">
        <v>1344</v>
      </c>
    </row>
    <row r="1068" ht="33.75" customHeight="1">
      <c r="A1068" s="6" t="s">
        <v>1558</v>
      </c>
      <c r="B1068" s="6" t="str">
        <f>IFERROR(__xludf.DUMMYFUNCTION("GOOGLETRANSLATE(A1068,""en"",""fi"")"),"Se pitää häntäänsä ylhäällä tarkkaillakseen ympäristöään. Jos nykäiset sitä häntää, se yrittää purra sinua.")</f>
        <v>Se pitää häntäänsä ylhäällä tarkkaillakseen ympäristöään. Jos nykäiset sitä häntää, se yrittää purra sinua.</v>
      </c>
      <c r="C1068" s="9" t="s">
        <v>1344</v>
      </c>
    </row>
    <row r="1069" ht="33.75" customHeight="1">
      <c r="A1069" s="6" t="s">
        <v>1559</v>
      </c>
      <c r="B1069" s="6" t="str">
        <f>IFERROR(__xludf.DUMMYFUNCTION("GOOGLETRANSLATE(A1069,""en"",""fi"")"),"Tämä älykäs POKéMON paahtaa kovia MARJOJA sähköllä, jotta ne ovat tarpeeksi pehmeitä syötäväksi.")</f>
        <v>Tämä älykäs POKéMON paahtaa kovia MARJOJA sähköllä, jotta ne ovat tarpeeksi pehmeitä syötäväksi.</v>
      </c>
      <c r="C1069" s="9" t="s">
        <v>1344</v>
      </c>
    </row>
    <row r="1070" ht="33.75" customHeight="1">
      <c r="A1070" s="6" t="s">
        <v>1561</v>
      </c>
      <c r="B1070" s="6" t="str">
        <f>IFERROR(__xludf.DUMMYFUNCTION("GOOGLETRANSLATE(A1070,""en"",""fi"")"),"Se nostaa häntäänsä tarkistaakseen ympäristönsä. Tässä asennossa salama iskee joskus häntäänsä.")</f>
        <v>Se nostaa häntäänsä tarkistaakseen ympäristönsä. Tässä asennossa salama iskee joskus häntäänsä.</v>
      </c>
      <c r="C1070" s="9" t="s">
        <v>1344</v>
      </c>
    </row>
    <row r="1071" ht="33.75" customHeight="1">
      <c r="A1071" s="6" t="s">
        <v>1563</v>
      </c>
      <c r="B1071" s="6" t="str">
        <f>IFERROR(__xludf.DUMMYFUNCTION("GOOGLETRANSLATE(A1071,""en"",""fi"")"),"Vihastuttuaan se purkaa välittömästi poskissaan oleviin pusseihin varastoitunutta energiaa.")</f>
        <v>Vihastuttuaan se purkaa välittömästi poskissaan oleviin pusseihin varastoitunutta energiaa.</v>
      </c>
      <c r="C1071" s="9" t="s">
        <v>1344</v>
      </c>
    </row>
    <row r="1072" ht="33.75" customHeight="1">
      <c r="A1072" s="6" t="s">
        <v>1565</v>
      </c>
      <c r="B1072" s="6" t="str">
        <f>IFERROR(__xludf.DUMMYFUNCTION("GOOGLETRANSLATE(A1072,""en"",""fi"")"),"Aina kun PIKACHU kohtaa jotain uutta, se lähettää siihen sähköiskun. Jos kohtaat mustuneen marjan, se on todiste siitä, että tämä POKéMON on erehtynyt varauksensa voimakkuudesta.")</f>
        <v>Aina kun PIKACHU kohtaa jotain uutta, se lähettää siihen sähköiskun. Jos kohtaat mustuneen marjan, se on todiste siitä, että tämä POKéMON on erehtynyt varauksensa voimakkuudesta.</v>
      </c>
      <c r="C1072" s="9" t="s">
        <v>1344</v>
      </c>
    </row>
    <row r="1073" ht="33.75" customHeight="1">
      <c r="A1073" s="6" t="s">
        <v>1568</v>
      </c>
      <c r="B1073" s="6" t="str">
        <f>IFERROR(__xludf.DUMMYFUNCTION("GOOGLETRANSLATE(A1073,""en"",""fi"")"),"Tällä POKéMONilla on sähköä varastoivia pusseja poskissaan. Nämä näyttävät latautuvan sähköisesti yön aikana Pikachun nukkuessa. Se purkaa toisinaan sähköä ollessaan unelias herättyään.")</f>
        <v>Tällä POKéMONilla on sähköä varastoivia pusseja poskissaan. Nämä näyttävät latautuvan sähköisesti yön aikana Pikachun nukkuessa. Se purkaa toisinaan sähköä ollessaan unelias herättyään.</v>
      </c>
      <c r="C1073" s="9" t="s">
        <v>1344</v>
      </c>
    </row>
    <row r="1074" ht="33.75" customHeight="1">
      <c r="A1074" s="6" t="s">
        <v>1570</v>
      </c>
      <c r="B1074" s="6" t="str">
        <f>IFERROR(__xludf.DUMMYFUNCTION("GOOGLETRANSLATE(A1074,""en"",""fi"")"),"Se varastoi sähköä poskillaan oleviin sähköpusseihin. Kun se vapauttaa patoutunutta energiaa purkauksena, sähköenergia vastaa salamaniskua.")</f>
        <v>Se varastoi sähköä poskillaan oleviin sähköpusseihin. Kun se vapauttaa patoutunutta energiaa purkauksena, sähköenergia vastaa salamaniskua.</v>
      </c>
      <c r="C1074" s="9" t="s">
        <v>1344</v>
      </c>
    </row>
    <row r="1075" ht="33.75" customHeight="1">
      <c r="A1075" s="6" t="s">
        <v>1572</v>
      </c>
      <c r="B1075" s="6" t="str">
        <f>IFERROR(__xludf.DUMMYFUNCTION("GOOGLETRANSLATE(A1075,""en"",""fi"")"),"Sillä on pieniä sähköpusseja molemmilla poskillaan. Uhattuna se vapauttaa sähköä pusseista.")</f>
        <v>Sillä on pieniä sähköpusseja molemmilla poskillaan. Uhattuna se vapauttaa sähköä pusseista.</v>
      </c>
      <c r="C1075" s="9" t="s">
        <v>1344</v>
      </c>
    </row>
    <row r="1076" ht="33.75" customHeight="1">
      <c r="A1076" s="6" t="s">
        <v>1573</v>
      </c>
      <c r="B1076" s="6" t="str">
        <f>IFERROR(__xludf.DUMMYFUNCTION("GOOGLETRANSLATE(A1076,""en"",""fi"")"),"Kun useita näitä POKéMONeja kerääntyy, niiden sähköistyminen voi aiheuttaa ukkosmyrskyjä.")</f>
        <v>Kun useita näitä POKéMONeja kerääntyy, niiden sähköistyminen voi aiheuttaa ukkosmyrskyjä.</v>
      </c>
      <c r="C1076" s="9" t="s">
        <v>1344</v>
      </c>
    </row>
    <row r="1077" ht="33.75" customHeight="1">
      <c r="A1077" s="6" t="s">
        <v>1575</v>
      </c>
      <c r="B1077" s="6" t="str">
        <f>IFERROR(__xludf.DUMMYFUNCTION("GOOGLETRANSLATE(A1077,""en"",""fi"")"),"Se elää metsissä muiden eläinten kanssa. Se varastoi sähköä poskissaan oleviin pusseihin.")</f>
        <v>Se elää metsissä muiden eläinten kanssa. Se varastoi sähköä poskissaan oleviin pusseihin.</v>
      </c>
      <c r="C1077" s="9" t="s">
        <v>1344</v>
      </c>
    </row>
    <row r="1078" ht="33.75" customHeight="1">
      <c r="A1078" s="6" t="s">
        <v>1580</v>
      </c>
      <c r="B1078" s="6" t="str">
        <f>IFERROR(__xludf.DUMMYFUNCTION("GOOGLETRANSLATE(A1078,""en"",""fi"")"),"Jos se menettää rätinää poskiensa sähköpusseista, se on varovainen.")</f>
        <v>Jos se menettää rätinää poskiensa sähköpusseista, se on varovainen.</v>
      </c>
      <c r="C1078" s="9" t="s">
        <v>1344</v>
      </c>
    </row>
    <row r="1079" ht="33.75" customHeight="1">
      <c r="A1079" s="6" t="s">
        <v>1582</v>
      </c>
      <c r="B1079" s="6" t="str">
        <f>IFERROR(__xludf.DUMMYFUNCTION("GOOGLETRANSLATE(A1079,""en"",""fi"")"),"Se käyttää toisinaan sähköiskua ladatakseen heikentyneessä tilassa olevan toisen Pikachun.")</f>
        <v>Se käyttää toisinaan sähköiskua ladatakseen heikentyneessä tilassa olevan toisen Pikachun.</v>
      </c>
      <c r="C1079" s="9" t="s">
        <v>1344</v>
      </c>
    </row>
    <row r="1080" ht="33.75" customHeight="1">
      <c r="A1080" s="6" t="s">
        <v>1584</v>
      </c>
      <c r="B1080" s="6" t="str">
        <f>IFERROR(__xludf.DUMMYFUNCTION("GOOGLETRANSLATE(A1080,""en"",""fi"")"),"Tämä älykäs Pokémon paahtaa kovia marjoja sähköllä, jotta ne olisivat tarpeeksi pehmeitä syötäväksi.")</f>
        <v>Tämä älykäs Pokémon paahtaa kovia marjoja sähköllä, jotta ne olisivat tarpeeksi pehmeitä syötäväksi.</v>
      </c>
      <c r="C1080" s="9" t="s">
        <v>1344</v>
      </c>
    </row>
    <row r="1081" ht="33.75" customHeight="1">
      <c r="A1081" s="6" t="s">
        <v>1586</v>
      </c>
      <c r="B1081" s="6" t="str">
        <f>IFERROR(__xludf.DUMMYFUNCTION("GOOGLETRANSLATE(A1081,""en"",""fi"")"),"Se nostaa häntäänsä tarkistaakseen ympäristönsä. Tässä asennossa salama iskee joskus pyrstöön.")</f>
        <v>Se nostaa häntäänsä tarkistaakseen ympäristönsä. Tässä asennossa salama iskee joskus pyrstöön.</v>
      </c>
      <c r="C1081" s="9" t="s">
        <v>1344</v>
      </c>
    </row>
    <row r="1082" ht="33.75" customHeight="1">
      <c r="A1082" s="6" t="s">
        <v>1588</v>
      </c>
      <c r="B1082" s="6" t="str">
        <f>IFERROR(__xludf.DUMMYFUNCTION("GOOGLETRANSLATE(A1082,""en"",""fi"")"),"Se käyttää toisinaan sähköiskua ladatakseen heikentyneessä tilassa olevan Pikachun.")</f>
        <v>Se käyttää toisinaan sähköiskua ladatakseen heikentyneessä tilassa olevan Pikachun.</v>
      </c>
      <c r="C1082" s="9" t="s">
        <v>1344</v>
      </c>
    </row>
    <row r="1083" ht="33.75" customHeight="1">
      <c r="A1083" s="6" t="s">
        <v>1598</v>
      </c>
      <c r="B1083" s="6" t="str">
        <f>IFERROR(__xludf.DUMMYFUNCTION("GOOGLETRANSLATE(A1083,""en"",""fi"")"),"Aina kun Pikachu kohtaa jotain uutta, se lähettää siihen sähköiskun. Jos kohtaat mustuneen marjan, se on todiste siitä, että tämä Pokémon on erehtynyt sen latauksen voimakkuudesta.")</f>
        <v>Aina kun Pikachu kohtaa jotain uutta, se lähettää siihen sähköiskun. Jos kohtaat mustuneen marjan, se on todiste siitä, että tämä Pokémon on erehtynyt sen latauksen voimakkuudesta.</v>
      </c>
      <c r="C1083" s="9" t="s">
        <v>1344</v>
      </c>
    </row>
    <row r="1084" ht="33.75" customHeight="1">
      <c r="A1084" s="6" t="s">
        <v>1599</v>
      </c>
      <c r="B1084" s="6" t="str">
        <f>IFERROR(__xludf.DUMMYFUNCTION("GOOGLETRANSLATE(A1084,""en"",""fi"")"),"Tällä Pokémonilla on sähköä varastoivia pusseja poskissaan. Nämä näyttävät latautuvan sähköisesti yön aikana Pikachun nukkuessa. Se purkaa toisinaan sähköä ollessaan unelias herättyään.")</f>
        <v>Tällä Pokémonilla on sähköä varastoivia pusseja poskissaan. Nämä näyttävät latautuvan sähköisesti yön aikana Pikachun nukkuessa. Se purkaa toisinaan sähköä ollessaan unelias herättyään.</v>
      </c>
      <c r="C1084" s="9" t="s">
        <v>1344</v>
      </c>
    </row>
    <row r="1085" ht="33.75" customHeight="1">
      <c r="A1085" s="6" t="s">
        <v>1600</v>
      </c>
      <c r="B1085" s="6" t="str">
        <f>IFERROR(__xludf.DUMMYFUNCTION("GOOGLETRANSLATE(A1085,""en"",""fi"")"),"Äskettäin julkistettiin suunnitelma kerätä paljon Pikachuja ja rakentaa sähkövoimala.")</f>
        <v>Äskettäin julkistettiin suunnitelma kerätä paljon Pikachuja ja rakentaa sähkövoimala.</v>
      </c>
      <c r="C1085" s="9" t="s">
        <v>1344</v>
      </c>
    </row>
    <row r="1086" ht="33.75" customHeight="1">
      <c r="A1086" s="6" t="s">
        <v>1601</v>
      </c>
      <c r="B1086" s="6" t="str">
        <f>IFERROR(__xludf.DUMMYFUNCTION("GOOGLETRANSLATE(A1086,""en"",""fi"")"),"Sen luonteeseen kuuluu sähkön varastointi. Se tuntee olonsa stressaantuneeksi silloin tällöin, jos se ei pysty purkamaan sähköä kokonaan.")</f>
        <v>Sen luonteeseen kuuluu sähkön varastointi. Se tuntee olonsa stressaantuneeksi silloin tällöin, jos se ei pysty purkamaan sähköä kokonaan.</v>
      </c>
      <c r="C1086" s="9" t="s">
        <v>1344</v>
      </c>
    </row>
    <row r="1087" ht="33.75" customHeight="1">
      <c r="A1087" s="6" t="s">
        <v>1602</v>
      </c>
      <c r="B1087" s="6" t="str">
        <f>IFERROR(__xludf.DUMMYFUNCTION("GOOGLETRANSLATE(A1087,""en"",""fi"")"),"Sen luonne on varastoida sähköä. Metsät, joissa Pikachujen pesiä elää, ovat vaarallisia, koska puut joutuvat usein salaman iskemäksi.")</f>
        <v>Sen luonne on varastoida sähköä. Metsät, joissa Pikachujen pesiä elää, ovat vaarallisia, koska puut joutuvat usein salaman iskemäksi.</v>
      </c>
      <c r="C1087" s="9" t="s">
        <v>1344</v>
      </c>
    </row>
    <row r="1088" ht="33.75" customHeight="1">
      <c r="A1088" s="6" t="s">
        <v>1604</v>
      </c>
      <c r="B1088" s="6" t="str">
        <f>IFERROR(__xludf.DUMMYFUNCTION("GOOGLETRANSLATE(A1088,""en"",""fi"")"),"Nukkuessaan se tuottaa sähköä poskissaan olevissa pusseissa. Jos se ei nuku tarpeeksi, se pystyy käyttämään vain heikkoa sähköä.")</f>
        <v>Nukkuessaan se tuottaa sähköä poskissaan olevissa pusseissa. Jos se ei nuku tarpeeksi, se pystyy käyttämään vain heikkoa sähköä.</v>
      </c>
      <c r="C1088" s="9" t="s">
        <v>1344</v>
      </c>
    </row>
    <row r="1089" ht="33.75" customHeight="1">
      <c r="A1089" s="6" t="s">
        <v>1606</v>
      </c>
      <c r="B1089" s="6" t="str">
        <f>IFERROR(__xludf.DUMMYFUNCTION("GOOGLETRANSLATE(A1089,""en"",""fi"")"),"Tämä metsässä asuva Pokémon varastoi sähköä poskiinsa, joten tunnet kihelmöivän sähköiskun, jos kosket sitä.")</f>
        <v>Tämä metsässä asuva Pokémon varastoi sähköä poskiinsa, joten tunnet kihelmöivän sähköiskun, jos kosket sitä.</v>
      </c>
      <c r="C1089" s="9" t="s">
        <v>1344</v>
      </c>
    </row>
    <row r="1090" ht="33.75" customHeight="1">
      <c r="A1090" s="6" t="s">
        <v>1609</v>
      </c>
      <c r="B1090" s="6" t="str">
        <f>IFERROR(__xludf.DUMMYFUNCTION("GOOGLETRANSLATE(A1090,""en"",""fi"")"),"Pikachuilla, jotka voivat tuottaa voimakasta sähköä, on erittäin pehmeät ja joustavat poskipussit.")</f>
        <v>Pikachuilla, jotka voivat tuottaa voimakasta sähköä, on erittäin pehmeät ja joustavat poskipussit.</v>
      </c>
      <c r="C1090" s="9" t="s">
        <v>1344</v>
      </c>
    </row>
    <row r="1091" ht="33.75" customHeight="1">
      <c r="A1091" s="6" t="s">
        <v>1611</v>
      </c>
      <c r="B1091" s="6" t="str">
        <f>IFERROR(__xludf.DUMMYFUNCTION("GOOGLETRANSLATE(A1091,""en"",""fi"")"),"Kun Pikachut kohtaavat, ne koskettavat häntäänsä yhteen ja vaihtavat niiden kautta sähköä tervehdyksen muodossa.")</f>
        <v>Kun Pikachut kohtaavat, ne koskettavat häntäänsä yhteen ja vaihtavat niiden kautta sähköä tervehdyksen muodossa.</v>
      </c>
      <c r="C1091" s="9" t="s">
        <v>1344</v>
      </c>
    </row>
    <row r="1092" ht="33.75" customHeight="1">
      <c r="A1092" s="6" t="s">
        <v>1612</v>
      </c>
      <c r="B1092" s="6" t="str">
        <f>IFERROR(__xludf.DUMMYFUNCTION("GOOGLETRANSLATE(A1092,""en"",""fi"")"),"Sillä on poskipusseja, joihin se varastoi sähköä. Tämä ovela metsän asukas paahtaa sitkeitä marjoja sähköiskulla ennen niiden syömistä.")</f>
        <v>Sillä on poskipusseja, joihin se varastoi sähköä. Tämä ovela metsän asukas paahtaa sitkeitä marjoja sähköiskulla ennen niiden syömistä.</v>
      </c>
      <c r="C1092" s="9" t="s">
        <v>1344</v>
      </c>
    </row>
    <row r="1093" ht="33.75" customHeight="1">
      <c r="A1093" s="6" t="s">
        <v>1614</v>
      </c>
      <c r="B1093" s="6" t="str">
        <f>IFERROR(__xludf.DUMMYFUNCTION("GOOGLETRANSLATE(A1093,""en"",""fi"")"),"Sen pitkä häntä toimii maadoituksena suojatakseen itseään omalta korkeajännitteeltään.")</f>
        <v>Sen pitkä häntä toimii maadoituksena suojatakseen itseään omalta korkeajännitteeltään.</v>
      </c>
      <c r="C1093" s="9" t="s">
        <v>1344</v>
      </c>
    </row>
    <row r="1094" ht="33.75" customHeight="1">
      <c r="A1094" s="6" t="s">
        <v>1616</v>
      </c>
      <c r="B1094" s="6" t="str">
        <f>IFERROR(__xludf.DUMMYFUNCTION("GOOGLETRANSLATE(A1094,""en"",""fi"")"),"Kun sen kehoon kertyy sähköä, siitä tulee tulikuuma. Se myös hohtaa pimeässä.")</f>
        <v>Kun sen kehoon kertyy sähköä, siitä tulee tulikuuma. Se myös hohtaa pimeässä.</v>
      </c>
      <c r="C1094" s="9" t="s">
        <v>1344</v>
      </c>
    </row>
    <row r="1095" ht="33.75" customHeight="1">
      <c r="A1095" s="6" t="s">
        <v>1617</v>
      </c>
      <c r="B1095" s="6" t="str">
        <f>IFERROR(__xludf.DUMMYFUNCTION("GOOGLETRANSLATE(A1095,""en"",""fi"")"),"Kun sen sähköistyminen lisääntyy, sen lihakset stimuloituvat ja siitä tulee tavallista aggressiivisempi.")</f>
        <v>Kun sen sähköistyminen lisääntyy, sen lihakset stimuloituvat ja siitä tulee tavallista aggressiivisempi.</v>
      </c>
      <c r="C1095" s="9" t="s">
        <v>1344</v>
      </c>
    </row>
    <row r="1096" ht="33.75" customHeight="1">
      <c r="A1096" s="6" t="s">
        <v>1618</v>
      </c>
      <c r="B1096" s="6" t="str">
        <f>IFERROR(__xludf.DUMMYFUNCTION("GOOGLETRANSLATE(A1096,""en"",""fi"")"),"Jos sen poskien sähköpussit latautuvat täyteen, molemmat korvat nousevat suoraan pystyyn.")</f>
        <v>Jos sen poskien sähköpussit latautuvat täyteen, molemmat korvat nousevat suoraan pystyyn.</v>
      </c>
      <c r="C1096" s="9" t="s">
        <v>1344</v>
      </c>
    </row>
    <row r="1097" ht="33.75" customHeight="1">
      <c r="A1097" s="6" t="s">
        <v>1619</v>
      </c>
      <c r="B1097" s="6" t="str">
        <f>IFERROR(__xludf.DUMMYFUNCTION("GOOGLETRANSLATE(A1097,""en"",""fi"")"),"Jos sen sähkövaraajat tyhjenevät, se nostaa pyrstöään kerätäkseen sähköä ilmakehästä.")</f>
        <v>Jos sen sähkövaraajat tyhjenevät, se nostaa pyrstöään kerätäkseen sähköä ilmakehästä.</v>
      </c>
      <c r="C1097" s="9" t="s">
        <v>1344</v>
      </c>
    </row>
    <row r="1098" ht="33.75" customHeight="1">
      <c r="A1098" s="6" t="s">
        <v>1620</v>
      </c>
      <c r="B1098" s="6" t="str">
        <f>IFERROR(__xludf.DUMMYFUNCTION("GOOGLETRANSLATE(A1098,""en"",""fi"")"),"Jos sähköpussit latautuvat liikaa, RAICHU työntää häntänsä maahan ja purkaa varauksensa. Tämän POKéMONin pesän läheltä löytyy palaneita maanpalasia.")</f>
        <v>Jos sähköpussit latautuvat liikaa, RAICHU työntää häntänsä maahan ja purkaa varauksensa. Tämän POKéMONin pesän läheltä löytyy palaneita maanpalasia.</v>
      </c>
      <c r="C1098" s="9" t="s">
        <v>1344</v>
      </c>
    </row>
    <row r="1099" ht="33.75" customHeight="1">
      <c r="A1099" s="6" t="s">
        <v>1621</v>
      </c>
      <c r="B1099" s="6" t="str">
        <f>IFERROR(__xludf.DUMMYFUNCTION("GOOGLETRANSLATE(A1099,""en"",""fi"")"),"Tämä POKéMON säteilee heikkoa sähkövarausta koko kehostaan, joka saa sen hohtamaan hieman pimeässä. RAICHU etsii sähköä työntämällä häntäänsä maahan.")</f>
        <v>Tämä POKéMON säteilee heikkoa sähkövarausta koko kehostaan, joka saa sen hohtamaan hieman pimeässä. RAICHU etsii sähköä työntämällä häntäänsä maahan.</v>
      </c>
      <c r="C1099" s="9" t="s">
        <v>1344</v>
      </c>
    </row>
    <row r="1100" ht="33.75" customHeight="1">
      <c r="A1100" s="6" t="s">
        <v>1622</v>
      </c>
      <c r="B1100" s="6" t="str">
        <f>IFERROR(__xludf.DUMMYFUNCTION("GOOGLETRANSLATE(A1100,""en"",""fi"")"),"Jos se varastoi liikaa sähköä, sen käyttäytyminen muuttuu aggressiiviseksi. Tämän välttämiseksi se purkaa ajoittain ylimääräistä energiaa ja rauhoittuu.")</f>
        <v>Jos se varastoi liikaa sähköä, sen käyttäytyminen muuttuu aggressiiviseksi. Tämän välttämiseksi se purkaa ajoittain ylimääräistä energiaa ja rauhoittuu.</v>
      </c>
      <c r="C1100" s="9" t="s">
        <v>1344</v>
      </c>
    </row>
    <row r="1101" ht="33.75" customHeight="1">
      <c r="A1101" s="6" t="s">
        <v>1624</v>
      </c>
      <c r="B1101" s="6" t="str">
        <f>IFERROR(__xludf.DUMMYFUNCTION("GOOGLETRANSLATE(A1101,""en"",""fi"")"),"Sen sähkövaraukset voivat olla jopa 100 000 volttia. Varomaton kosketus voi aiheuttaa jopa intiannorsun pyörtymisen.")</f>
        <v>Sen sähkövaraukset voivat olla jopa 100 000 volttia. Varomaton kosketus voi aiheuttaa jopa intiannorsun pyörtymisen.</v>
      </c>
      <c r="C1101" s="9" t="s">
        <v>1344</v>
      </c>
    </row>
    <row r="1102" ht="33.75" customHeight="1">
      <c r="A1102" s="6" t="s">
        <v>1627</v>
      </c>
      <c r="B1102" s="6" t="str">
        <f>IFERROR(__xludf.DUMMYFUNCTION("GOOGLETRANSLATE(A1102,""en"",""fi"")"),"Sen pitkä häntä toimii maadoituksena suojatakseen itseään omalta korkeajännitteiseltä voimaltaan.")</f>
        <v>Sen pitkä häntä toimii maadoituksena suojatakseen itseään omalta korkeajännitteiseltä voimaltaan.</v>
      </c>
      <c r="C1102" s="9" t="s">
        <v>1344</v>
      </c>
    </row>
    <row r="1103" ht="33.75" customHeight="1">
      <c r="A1103" s="6" t="s">
        <v>1629</v>
      </c>
      <c r="B1103" s="6" t="str">
        <f>IFERROR(__xludf.DUMMYFUNCTION("GOOGLETRANSLATE(A1103,""en"",""fi"")"),"Se muuttuu aggressiiviseksi, jos sen kehossa on liikaa sähköä. Se purkaa energiaa pyrstönsä kautta.")</f>
        <v>Se muuttuu aggressiiviseksi, jos sen kehossa on liikaa sähköä. Se purkaa energiaa pyrstönsä kautta.</v>
      </c>
      <c r="C1103" s="9" t="s">
        <v>1344</v>
      </c>
    </row>
    <row r="1104" ht="33.75" customHeight="1">
      <c r="A1104" s="6" t="s">
        <v>1630</v>
      </c>
      <c r="B1104" s="6" t="str">
        <f>IFERROR(__xludf.DUMMYFUNCTION("GOOGLETRANSLATE(A1104,""en"",""fi"")"),"Se voi vapauttaa 100 000 voltin sähköpurkauksia, jotka tappavat välittömästi useita kertoja sen kokoisia vihollisia.")</f>
        <v>Se voi vapauttaa 100 000 voltin sähköpurkauksia, jotka tappavat välittömästi useita kertoja sen kokoisia vihollisia.</v>
      </c>
      <c r="C1104" s="9" t="s">
        <v>1344</v>
      </c>
    </row>
    <row r="1105" ht="33.75" customHeight="1">
      <c r="A1105" s="6" t="s">
        <v>1631</v>
      </c>
      <c r="B1105" s="6" t="str">
        <f>IFERROR(__xludf.DUMMYFUNCTION("GOOGLETRANSLATE(A1105,""en"",""fi"")"),"Sen häntä purkaa sähköä maahan, mikä suojaa sitä sähköiskuilta.")</f>
        <v>Sen häntä purkaa sähköä maahan, mikä suojaa sitä sähköiskuilta.</v>
      </c>
      <c r="C1105" s="9" t="s">
        <v>1344</v>
      </c>
    </row>
    <row r="1106" ht="33.75" customHeight="1">
      <c r="A1106" s="6" t="s">
        <v>1633</v>
      </c>
      <c r="B1106" s="6" t="str">
        <f>IFERROR(__xludf.DUMMYFUNCTION("GOOGLETRANSLATE(A1106,""en"",""fi"")"),"Kun sen sähköistyminen lisääntyy, sen lihakset stimuloituvat ja siitä tulee tavallista aggressiivisempi.")</f>
        <v>Kun sen sähköistyminen lisääntyy, sen lihakset stimuloituvat ja siitä tulee tavallista aggressiivisempi.</v>
      </c>
      <c r="C1106" s="9" t="s">
        <v>1344</v>
      </c>
    </row>
    <row r="1107" ht="33.75" customHeight="1">
      <c r="A1107" s="6" t="s">
        <v>1639</v>
      </c>
      <c r="B1107" s="6" t="str">
        <f>IFERROR(__xludf.DUMMYFUNCTION("GOOGLETRANSLATE(A1107,""en"",""fi"")"),"Jos sähköpussit latautuvat liikaa, Raichu työntää häntäänsä maahan ja purkaa varauksensa. Tämän Pokémonin pesän läheltä löytyy palaneita maanpalasia.")</f>
        <v>Jos sähköpussit latautuvat liikaa, Raichu työntää häntäänsä maahan ja purkaa varauksensa. Tämän Pokémonin pesän läheltä löytyy palaneita maanpalasia.</v>
      </c>
      <c r="C1107" s="9" t="s">
        <v>1344</v>
      </c>
    </row>
    <row r="1108" ht="33.75" customHeight="1">
      <c r="A1108" s="6" t="s">
        <v>1640</v>
      </c>
      <c r="B1108" s="6" t="str">
        <f>IFERROR(__xludf.DUMMYFUNCTION("GOOGLETRANSLATE(A1108,""en"",""fi"")"),"Tämä Pokémon säteilee heikkoa sähkövarausta kaikkialle kehoonsa, mikä saa sen hohtamaan hieman pimeässä. Raichu työntää häntäänsä maahan purkaakseen sähköä.")</f>
        <v>Tämä Pokémon säteilee heikkoa sähkövarausta kaikkialle kehoonsa, mikä saa sen hohtamaan hieman pimeässä. Raichu työntää häntäänsä maahan purkaakseen sähköä.</v>
      </c>
      <c r="C1108" s="9" t="s">
        <v>1344</v>
      </c>
    </row>
    <row r="1109" ht="33.75" customHeight="1">
      <c r="A1109" s="6" t="s">
        <v>1642</v>
      </c>
      <c r="B1109" s="6" t="str">
        <f>IFERROR(__xludf.DUMMYFUNCTION("GOOGLETRANSLATE(A1109,""en"",""fi"")"),"Se antaa sähköiskuja, joiden voimakkuus voi nousta 100 000 volttiin. Ravistettuna se voi tyrmätä jopa intiannorsun.")</f>
        <v>Se antaa sähköiskuja, joiden voimakkuus voi nousta 100 000 volttiin. Ravistettuna se voi tyrmätä jopa intiannorsun.</v>
      </c>
      <c r="C1109" s="9" t="s">
        <v>1344</v>
      </c>
    </row>
    <row r="1110" ht="33.75" customHeight="1">
      <c r="A1110" s="6" t="s">
        <v>1643</v>
      </c>
      <c r="B1110" s="6" t="str">
        <f>IFERROR(__xludf.DUMMYFUNCTION("GOOGLETRANSLATE(A1110,""en"",""fi"")"),"Siitä tulee aggressiivinen, kun sillä on varastoituneena sähköä. Tällaisina aikoina jopa sen kouluttajan on oltava varovainen välttääkseen hyökkäyksen.")</f>
        <v>Siitä tulee aggressiivinen, kun sillä on varastoituneena sähköä. Tällaisina aikoina jopa sen kouluttajan on oltava varovainen välttääkseen hyökkäyksen.</v>
      </c>
      <c r="C1110" s="9" t="s">
        <v>1344</v>
      </c>
    </row>
    <row r="1111" ht="33.75" customHeight="1">
      <c r="A1111" s="6" t="s">
        <v>1644</v>
      </c>
      <c r="B1111" s="6" t="str">
        <f>IFERROR(__xludf.DUMMYFUNCTION("GOOGLETRANSLATE(A1111,""en"",""fi"")"),"Kun sähkön kertyminen sen kehoon muuttuu aggressiivisemmaksi. Yhden teorian mukaan sähkön kertyminen itse asiassa aiheuttaa stressiä.")</f>
        <v>Kun sähkön kertyminen sen kehoon muuttuu aggressiivisemmaksi. Yhden teorian mukaan sähkön kertyminen itse asiassa aiheuttaa stressiä.</v>
      </c>
      <c r="C1111" s="9" t="s">
        <v>1344</v>
      </c>
    </row>
    <row r="1112" ht="33.75" customHeight="1">
      <c r="A1112" s="6" t="s">
        <v>1646</v>
      </c>
      <c r="B1112" s="6" t="str">
        <f>IFERROR(__xludf.DUMMYFUNCTION("GOOGLETRANSLATE(A1112,""en"",""fi"")"),"Koska niin monet kouluttajat pitävät Pikachun ulkonäöstä, et näe tätä Pokémonia kovin usein.")</f>
        <v>Koska niin monet kouluttajat pitävät Pikachun ulkonäöstä, et näe tätä Pokémonia kovin usein.</v>
      </c>
      <c r="C1112" s="9" t="s">
        <v>1344</v>
      </c>
    </row>
    <row r="1113" ht="33.75" customHeight="1">
      <c r="A1113" s="6" t="s">
        <v>1649</v>
      </c>
      <c r="B1113" s="6" t="str">
        <f>IFERROR(__xludf.DUMMYFUNCTION("GOOGLETRANSLATE(A1113,""en"",""fi"")"),"Jos sen sähkötaskut tyhjenevät, se nostaa pyrstöään kerätäkseen sähköä ilmakehästä.")</f>
        <v>Jos sen sähkötaskut tyhjenevät, se nostaa pyrstöään kerätäkseen sähköä ilmakehästä.</v>
      </c>
      <c r="C1113" s="9" t="s">
        <v>1344</v>
      </c>
    </row>
    <row r="1114" ht="33.75" customHeight="1">
      <c r="A1114" s="6" t="s">
        <v>1651</v>
      </c>
      <c r="B1114" s="6" t="str">
        <f>IFERROR(__xludf.DUMMYFUNCTION("GOOGLETRANSLATE(A1114,""en"",""fi"")"),"Se voi purkaa yli 100 000 voltin sähköpurkauksia – yksi ainoa tuollainen isku lamauttaisi yhden kotimaani kuparipäälliköistä.")</f>
        <v>Se voi purkaa yli 100 000 voltin sähköpurkauksia – yksi ainoa tuollainen isku lamauttaisi yhden kotimaani kuparipäälliköistä.</v>
      </c>
      <c r="C1114" s="9" t="s">
        <v>1344</v>
      </c>
    </row>
    <row r="1115" ht="33.75" customHeight="1">
      <c r="A1115" s="6" t="s">
        <v>1652</v>
      </c>
      <c r="B1115" s="6" t="str">
        <f>IFERROR(__xludf.DUMMYFUNCTION("GOOGLETRANSLATE(A1115,""en"",""fi"")"),"Kaivautuu syvällä maan alla kuivilla paikoilla kaukana vedestä. Se nousee esiin vain metsästämään ruokaa.")</f>
        <v>Kaivautuu syvällä maan alla kuivilla paikoilla kaukana vedestä. Se nousee esiin vain metsästämään ruokaa.</v>
      </c>
      <c r="C1115" s="9" t="s">
        <v>1344</v>
      </c>
    </row>
    <row r="1116" ht="33.75" customHeight="1">
      <c r="A1116" s="6" t="s">
        <v>1654</v>
      </c>
      <c r="B1116" s="6" t="str">
        <f>IFERROR(__xludf.DUMMYFUNCTION("GOOGLETRANSLATE(A1116,""en"",""fi"")"),"Sen ruumis on kuiva. Kun yöllä kylmenee, sen nahan sanotaan peittyvän hienoon kastekerrokseen.")</f>
        <v>Sen ruumis on kuiva. Kun yöllä kylmenee, sen nahan sanotaan peittyvän hienoon kastekerrokseen.</v>
      </c>
      <c r="C1116" s="9" t="s">
        <v>1344</v>
      </c>
    </row>
    <row r="1117" ht="33.75" customHeight="1">
      <c r="A1117" s="6" t="s">
        <v>1655</v>
      </c>
      <c r="B1117" s="6" t="str">
        <f>IFERROR(__xludf.DUMMYFUNCTION("GOOGLETRANSLATE(A1117,""en"",""fi"")"),"Jos se putoaisi suurelta korkeudelta, tämä POKéMON voisi pelastaa itsensä pyörimällä palloksi ja pomppimalla.")</f>
        <v>Jos se putoaisi suurelta korkeudelta, tämä POKéMON voisi pelastaa itsensä pyörimällä palloksi ja pomppimalla.</v>
      </c>
      <c r="C1117" s="9" t="s">
        <v>1344</v>
      </c>
    </row>
    <row r="1118" ht="33.75" customHeight="1">
      <c r="A1118" s="6" t="s">
        <v>1657</v>
      </c>
      <c r="B1118" s="6" t="str">
        <f>IFERROR(__xludf.DUMMYFUNCTION("GOOGLETRANSLATE(A1118,""en"",""fi"")"),"Se ei pidä vedestä, joten se elää syvissä koloissa kuivilla alueilla. Se voi käpertyä hetkessä palloksi.")</f>
        <v>Se ei pidä vedestä, joten se elää syvissä koloissa kuivilla alueilla. Se voi käpertyä hetkessä palloksi.</v>
      </c>
      <c r="C1118" s="9" t="s">
        <v>1344</v>
      </c>
    </row>
    <row r="1119" ht="33.75" customHeight="1">
      <c r="A1119" s="6" t="s">
        <v>1658</v>
      </c>
      <c r="B1119" s="6" t="str">
        <f>IFERROR(__xludf.DUMMYFUNCTION("GOOGLETRANSLATE(A1119,""en"",""fi"")"),"Se suosii kuivia, hiekkaisia ​​paikkoja, koska se käyttää hiekkaa suojana uhatessa.")</f>
        <v>Se suosii kuivia, hiekkaisia ​​paikkoja, koska se käyttää hiekkaa suojana uhatessa.</v>
      </c>
      <c r="C1119" s="9" t="s">
        <v>1344</v>
      </c>
    </row>
    <row r="1120" ht="33.75" customHeight="1">
      <c r="A1120" s="6" t="s">
        <v>1659</v>
      </c>
      <c r="B1120" s="6" t="str">
        <f>IFERROR(__xludf.DUMMYFUNCTION("GOOGLETRANSLATE(A1120,""en"",""fi"")"),"SANDSHREWin keho on suunniteltu imemään vettä ilman jätettä, minkä ansiosta se selviytyy kuivassa aavikolla. Tämä POKéMON käpertyy suojautuakseen vihollisiltaan.")</f>
        <v>SANDSHREWin keho on suunniteltu imemään vettä ilman jätettä, minkä ansiosta se selviytyy kuivassa aavikolla. Tämä POKéMON käpertyy suojautuakseen vihollisiltaan.</v>
      </c>
      <c r="C1120" s="9" t="s">
        <v>1344</v>
      </c>
    </row>
    <row r="1121" ht="33.75" customHeight="1">
      <c r="A1121" s="6" t="s">
        <v>1660</v>
      </c>
      <c r="B1121" s="6" t="str">
        <f>IFERROR(__xludf.DUMMYFUNCTION("GOOGLETRANSLATE(A1121,""en"",""fi"")"),"SANDSHREW'lla on erittäin kuiva ja äärimmäisen kestävä nahka. POKéMON voi pyöriä palloksi, joka torjuu kaikki hyökkäykset. Yöllä se kaivautuu aavikon hiekkaan nukkumaan.")</f>
        <v>SANDSHREW'lla on erittäin kuiva ja äärimmäisen kestävä nahka. POKéMON voi pyöriä palloksi, joka torjuu kaikki hyökkäykset. Yöllä se kaivautuu aavikon hiekkaan nukkumaan.</v>
      </c>
      <c r="C1121" s="9" t="s">
        <v>1344</v>
      </c>
    </row>
    <row r="1122" ht="33.75" customHeight="1">
      <c r="A1122" s="6" t="s">
        <v>1661</v>
      </c>
      <c r="B1122" s="6" t="str">
        <f>IFERROR(__xludf.DUMMYFUNCTION("GOOGLETRANSLATE(A1122,""en"",""fi"")"),"Kun se käpertyy palloksi, se voi kimpoa minkä tahansa hyökkäyksen vaarattomasti. Sen nahka on muuttunut kovaksi ja vankaksi aavikossa elämisen seurauksena.")</f>
        <v>Kun se käpertyy palloksi, se voi kimpoa minkä tahansa hyökkäyksen vaarattomasti. Sen nahka on muuttunut kovaksi ja vankaksi aavikossa elämisen seurauksena.</v>
      </c>
      <c r="C1122" s="9" t="s">
        <v>1344</v>
      </c>
    </row>
    <row r="1123" ht="33.75" customHeight="1">
      <c r="A1123" s="6" t="s">
        <v>1662</v>
      </c>
      <c r="B1123" s="6" t="str">
        <f>IFERROR(__xludf.DUMMYFUNCTION("GOOGLETRANSLATE(A1123,""en"",""fi"")"),"Se kaivautuu ja elää maan alla. Uhattuna se käpertyy suojakseen palloksi.")</f>
        <v>Se kaivautuu ja elää maan alla. Uhattuna se käpertyy suojakseen palloksi.</v>
      </c>
      <c r="C1123" s="9" t="s">
        <v>1344</v>
      </c>
    </row>
    <row r="1124" ht="33.75" customHeight="1">
      <c r="A1124" s="6" t="s">
        <v>1663</v>
      </c>
      <c r="B1124" s="6" t="str">
        <f>IFERROR(__xludf.DUMMYFUNCTION("GOOGLETRANSLATE(A1124,""en"",""fi"")"),"Kaivautuu syvällä maan alla kuivilla paikoilla kaukana vedestä. Se nousee esiin vain metsästämään saalista.")</f>
        <v>Kaivautuu syvällä maan alla kuivilla paikoilla kaukana vedestä. Se nousee esiin vain metsästämään saalista.</v>
      </c>
      <c r="C1124" s="9" t="s">
        <v>1344</v>
      </c>
    </row>
    <row r="1125" ht="33.75" customHeight="1">
      <c r="A1125" s="6" t="s">
        <v>1664</v>
      </c>
      <c r="B1125" s="6" t="str">
        <f>IFERROR(__xludf.DUMMYFUNCTION("GOOGLETRANSLATE(A1125,""en"",""fi"")"),"Suojautuakseen hyökkääjiltä se käpertyy palloksi. Se elää kuivilla alueilla, joilla sataa vähän.")</f>
        <v>Suojautuakseen hyökkääjiltä se käpertyy palloksi. Se elää kuivilla alueilla, joilla sataa vähän.</v>
      </c>
      <c r="C1125" s="9" t="s">
        <v>1344</v>
      </c>
    </row>
    <row r="1126" ht="33.75" customHeight="1">
      <c r="A1126" s="6" t="s">
        <v>1665</v>
      </c>
      <c r="B1126" s="6" t="str">
        <f>IFERROR(__xludf.DUMMYFUNCTION("GOOGLETRANSLATE(A1126,""en"",""fi"")"),"Jos se putoaisi suurelta korkeudelta, tämä Pokémon voisi pelastaa itsensä pyörimällä palloksi ja pomppimalla.")</f>
        <v>Jos se putoaisi suurelta korkeudelta, tämä Pokémon voisi pelastaa itsensä pyörimällä palloksi ja pomppimalla.</v>
      </c>
      <c r="C1126" s="9" t="s">
        <v>1344</v>
      </c>
    </row>
    <row r="1127" ht="33.75" customHeight="1">
      <c r="A1127" s="6" t="s">
        <v>1666</v>
      </c>
      <c r="B1127" s="6" t="str">
        <f>IFERROR(__xludf.DUMMYFUNCTION("GOOGLETRANSLATE(A1127,""en"",""fi"")"),"Se kaivaa syviä koloja elääkseen. Vaaran iskiessä se käärii ruumiinsa ylös kestääkseen hyökkäyksiä.")</f>
        <v>Se kaivaa syviä koloja elääkseen. Vaaran iskiessä se käärii ruumiinsa ylös kestääkseen hyökkäyksiä.</v>
      </c>
      <c r="C1127" s="9" t="s">
        <v>1344</v>
      </c>
    </row>
    <row r="1128" ht="33.75" customHeight="1">
      <c r="A1128" s="6" t="s">
        <v>1668</v>
      </c>
      <c r="B1128" s="6" t="str">
        <f>IFERROR(__xludf.DUMMYFUNCTION("GOOGLETRANSLATE(A1128,""en"",""fi"")"),"Sandshrew'n keho on suunniteltu imemään vettä ilman jätettä, minkä ansiosta se selviytyy kuivassa aavikolla. Tämä Pokémon käpertyy suojautuakseen vihollisiltaan.")</f>
        <v>Sandshrew'n keho on suunniteltu imemään vettä ilman jätettä, minkä ansiosta se selviytyy kuivassa aavikolla. Tämä Pokémon käpertyy suojautuakseen vihollisiltaan.</v>
      </c>
      <c r="C1128" s="9" t="s">
        <v>1344</v>
      </c>
    </row>
    <row r="1129" ht="33.75" customHeight="1">
      <c r="A1129" s="6" t="s">
        <v>1669</v>
      </c>
      <c r="B1129" s="6" t="str">
        <f>IFERROR(__xludf.DUMMYFUNCTION("GOOGLETRANSLATE(A1129,""en"",""fi"")"),"Sandshrew'lla on erittäin kuiva ja äärimmäisen kestävä nahka. Pokémon voi pyöriä palloksi, joka torjuu kaikki hyökkäykset. Yöllä se kaivautuu aavikon hiekkaan nukkumaan.")</f>
        <v>Sandshrew'lla on erittäin kuiva ja äärimmäisen kestävä nahka. Pokémon voi pyöriä palloksi, joka torjuu kaikki hyökkäykset. Yöllä se kaivautuu aavikon hiekkaan nukkumaan.</v>
      </c>
      <c r="C1129" s="9" t="s">
        <v>1344</v>
      </c>
    </row>
    <row r="1130" ht="33.75" customHeight="1">
      <c r="A1130" s="6" t="s">
        <v>1671</v>
      </c>
      <c r="B1130" s="6" t="str">
        <f>IFERROR(__xludf.DUMMYFUNCTION("GOOGLETRANSLATE(A1130,""en"",""fi"")"),"Se voi pyöritellä ruumistaan ​​palloksi. Se liikkuu aavikon halki pyörimällä suurilla nopeuksilla.")</f>
        <v>Se voi pyöritellä ruumistaan ​​palloksi. Se liikkuu aavikon halki pyörimällä suurilla nopeuksilla.</v>
      </c>
      <c r="C1130" s="9" t="s">
        <v>1344</v>
      </c>
    </row>
    <row r="1131" ht="33.75" customHeight="1">
      <c r="A1131" s="6" t="s">
        <v>1672</v>
      </c>
      <c r="B1131" s="6" t="str">
        <f>IFERROR(__xludf.DUMMYFUNCTION("GOOGLETRANSLATE(A1131,""en"",""fi"")"),"Se asuu yleensä aavikoilla ja kuivilla alueilla, joilla ei sada. Se kaivaa kuoppia pyydystääkseen Bug-tyyppisiä Pokémoneja.")</f>
        <v>Se asuu yleensä aavikoilla ja kuivilla alueilla, joilla ei sada. Se kaivaa kuoppia pyydystääkseen Bug-tyyppisiä Pokémoneja.</v>
      </c>
      <c r="C1131" s="9" t="s">
        <v>1344</v>
      </c>
    </row>
    <row r="1132" ht="33.75" customHeight="1">
      <c r="A1132" s="6" t="s">
        <v>1674</v>
      </c>
      <c r="B1132" s="6" t="str">
        <f>IFERROR(__xludf.DUMMYFUNCTION("GOOGLETRANSLATE(A1132,""en"",""fi"")"),"Se elää alueilla, joilla sataa vähän. Vaaran lähestyessä se käpertyy palloksi suojellakseen pehmeää vatsaansa.")</f>
        <v>Se elää alueilla, joilla sataa vähän. Vaaran lähestyessä se käpertyy palloksi suojellakseen pehmeää vatsaansa.</v>
      </c>
      <c r="C1132" s="9" t="s">
        <v>1344</v>
      </c>
    </row>
    <row r="1133" ht="33.75" customHeight="1">
      <c r="A1133" s="6" t="s">
        <v>1675</v>
      </c>
      <c r="B1133" s="6" t="str">
        <f>IFERROR(__xludf.DUMMYFUNCTION("GOOGLETRANSLATE(A1133,""en"",""fi"")"),"Kun sen iho rypistyy kosteudesta, se suuntaa kohti tulivuorta. Se makaa tasaisesti paikassa, jossa on paljon geotermistä lämpöä, ja kuivuu itsestään.")</f>
        <v>Kun sen iho rypistyy kosteudesta, se suuntaa kohti tulivuorta. Se makaa tasaisesti paikassa, jossa on paljon geotermistä lämpöä, ja kuivuu itsestään.</v>
      </c>
      <c r="C1133" s="9" t="s">
        <v>1344</v>
      </c>
    </row>
    <row r="1134" ht="33.75" customHeight="1">
      <c r="A1134" s="6" t="s">
        <v>1676</v>
      </c>
      <c r="B1134" s="6" t="str">
        <f>IFERROR(__xludf.DUMMYFUNCTION("GOOGLETRANSLATE(A1134,""en"",""fi"")"),"Se rakastaa kylpeä kuivien, hiekkaisten alueiden hiekassa. Hiekassa kylpemällä Pokémon pääsee eroon kehoonsa tarttuneesta liasta ja kosteudesta.")</f>
        <v>Se rakastaa kylpeä kuivien, hiekkaisten alueiden hiekassa. Hiekassa kylpemällä Pokémon pääsee eroon kehoonsa tarttuneesta liasta ja kosteudesta.</v>
      </c>
      <c r="C1134" s="9" t="s">
        <v>1344</v>
      </c>
    </row>
    <row r="1135" ht="33.75" customHeight="1">
      <c r="A1135" s="6" t="s">
        <v>1678</v>
      </c>
      <c r="B1135" s="6" t="str">
        <f>IFERROR(__xludf.DUMMYFUNCTION("GOOGLETRANSLATE(A1135,""en"",""fi"")"),"Se kaivautuu maahan pesän tekemiseksi. Jos kovat kivet estävät sen kaivamista, se käyttää teräviä kynsiään niiden murskaamiseen ja jatkaa sitten kaivamista.")</f>
        <v>Se kaivautuu maahan pesän tekemiseksi. Jos kovat kivet estävät sen kaivamista, se käyttää teräviä kynsiään niiden murskaamiseen ja jatkaa sitten kaivamista.</v>
      </c>
      <c r="C1135" s="9" t="s">
        <v>1344</v>
      </c>
    </row>
    <row r="1136" ht="33.75" customHeight="1">
      <c r="A1136" s="6" t="s">
        <v>1679</v>
      </c>
      <c r="B1136" s="6" t="str">
        <f>IFERROR(__xludf.DUMMYFUNCTION("GOOGLETRANSLATE(A1136,""en"",""fi"")"),"Käpertyy piikkiseksi palloksi uhattuna. Se voi pyöriä käpertyneenä hyökätäkseen tai paetakseen.")</f>
        <v>Käpertyy piikkiseksi palloksi uhattuna. Se voi pyöriä käpertyneenä hyökätäkseen tai paetakseen.</v>
      </c>
      <c r="C1136" s="9" t="s">
        <v>1344</v>
      </c>
    </row>
    <row r="1137" ht="33.75" customHeight="1">
      <c r="A1137" s="6" t="s">
        <v>1681</v>
      </c>
      <c r="B1137" s="6" t="str">
        <f>IFERROR(__xludf.DUMMYFUNCTION("GOOGLETRANSLATE(A1137,""en"",""fi"")"),"Se on taitava viiltämään vihollisia kynsillään. Jos ne katkeavat, ne alkavat kasvaa takaisin päivässä.")</f>
        <v>Se on taitava viiltämään vihollisia kynsillään. Jos ne katkeavat, ne alkavat kasvaa takaisin päivässä.</v>
      </c>
      <c r="C1137" s="9" t="s">
        <v>1344</v>
      </c>
    </row>
    <row r="1138" ht="33.75" customHeight="1">
      <c r="A1138" s="6" t="s">
        <v>1682</v>
      </c>
      <c r="B1138" s="6" t="str">
        <f>IFERROR(__xludf.DUMMYFUNCTION("GOOGLETRANSLATE(A1138,""en"",""fi"")"),"Yrittäessään piiloutua se juoksee ympäriinsä huippunopeudella ja nostattaa sokaisevan pölymyrskyn.")</f>
        <v>Yrittäessään piiloutua se juoksee ympäriinsä huippunopeudella ja nostattaa sokaisevan pölymyrskyn.</v>
      </c>
      <c r="C1138" s="9" t="s">
        <v>1344</v>
      </c>
    </row>
    <row r="1139" ht="33.75" customHeight="1">
      <c r="A1139" s="6" t="s">
        <v>1683</v>
      </c>
      <c r="B1139" s="6" t="str">
        <f>IFERROR(__xludf.DUMMYFUNCTION("GOOGLETRANSLATE(A1139,""en"",""fi"")"),"Jos se kaivaa uskomattoman nopeasti, se saattaa katkaista piikkinsä ja kyntensä. Ne kasvavat takaisin päivässä.")</f>
        <v>Jos se kaivaa uskomattoman nopeasti, se saattaa katkaista piikkinsä ja kyntensä. Ne kasvavat takaisin päivässä.</v>
      </c>
      <c r="C1139" s="9" t="s">
        <v>1344</v>
      </c>
    </row>
    <row r="1140" ht="33.75" customHeight="1">
      <c r="A1140" s="6" t="s">
        <v>1685</v>
      </c>
      <c r="B1140" s="6" t="str">
        <f>IFERROR(__xludf.DUMMYFUNCTION("GOOGLETRANSLATE(A1140,""en"",""fi"")"),"Se on taitava puihin kiipeämään, pyörii piikkiseksi palloksi ja hyökkää sitten vihollistensa kimppuun ylhäältä.")</f>
        <v>Se on taitava puihin kiipeämään, pyörii piikkiseksi palloksi ja hyökkää sitten vihollistensa kimppuun ylhäältä.</v>
      </c>
      <c r="C1140" s="9" t="s">
        <v>1344</v>
      </c>
    </row>
    <row r="1141" ht="33.75" customHeight="1">
      <c r="A1141" s="6" t="s">
        <v>1686</v>
      </c>
      <c r="B1141" s="6" t="str">
        <f>IFERROR(__xludf.DUMMYFUNCTION("GOOGLETRANSLATE(A1141,""en"",""fi"")"),"SANDLASHin ruumista peittävät kovat piikit, jotka ovat kovettuneet osat sen nahasta. Kerran vuodessa vanhat piikit putoavat pois, ja niiden alta kasvaa uusia.")</f>
        <v>SANDLASHin ruumista peittävät kovat piikit, jotka ovat kovettuneet osat sen nahasta. Kerran vuodessa vanhat piikit putoavat pois, ja niiden alta kasvaa uusia.</v>
      </c>
      <c r="C1141" s="9" t="s">
        <v>1344</v>
      </c>
    </row>
    <row r="1142" ht="33.75" customHeight="1">
      <c r="A1142" s="6" t="s">
        <v>1687</v>
      </c>
      <c r="B1142" s="6" t="str">
        <f>IFERROR(__xludf.DUMMYFUNCTION("GOOGLETRANSLATE(A1142,""en"",""fi"")"),"SANDLASH voi kääriä ruumiinsa kuin se olisi pallo, joka on täynnä suuria piikkejä. Taistelussa tämä POKéMON yrittää säpsäyttää vihollisen tökkimällä sitä piikillään. Sitten se hyppää tainnutetun vihollisen kimppuun ja repii tätä villisti terävillä kynsill"&amp;"ään.")</f>
        <v>SANDLASH voi kääriä ruumiinsa kuin se olisi pallo, joka on täynnä suuria piikkejä. Taistelussa tämä POKéMON yrittää säpsäyttää vihollisen tökkimällä sitä piikillään. Sitten se hyppää tainnutetun vihollisen kimppuun ja repii tätä villisti terävillä kynsillään.</v>
      </c>
      <c r="C1142" s="9" t="s">
        <v>1344</v>
      </c>
    </row>
    <row r="1143" ht="33.75" customHeight="1">
      <c r="A1143" s="6" t="s">
        <v>1688</v>
      </c>
      <c r="B1143" s="6" t="str">
        <f>IFERROR(__xludf.DUMMYFUNCTION("GOOGLETRANSLATE(A1143,""en"",""fi"")"),"Se käpertyy palloksi suojautuakseen vihollisen hyökkäyksiltä. Se käpertyy myös estääkseen lämpöhalvauksen päiväsaikaan, kun lämpötilat nousevat jyrkästi.")</f>
        <v>Se käpertyy palloksi suojautuakseen vihollisen hyökkäyksiltä. Se käpertyy myös estääkseen lämpöhalvauksen päiväsaikaan, kun lämpötilat nousevat jyrkästi.</v>
      </c>
      <c r="C1143" s="9" t="s">
        <v>1344</v>
      </c>
    </row>
    <row r="1144" ht="33.75" customHeight="1">
      <c r="A1144" s="6" t="s">
        <v>1689</v>
      </c>
      <c r="B1144" s="6" t="str">
        <f>IFERROR(__xludf.DUMMYFUNCTION("GOOGLETRANSLATE(A1144,""en"",""fi"")"),"Se on taitava hyökkäämään selässään olevien piikien ja terävien kynsiensä avulla samalla kun se vipeltää nopeasti ympäriinsä.")</f>
        <v>Se on taitava hyökkäämään selässään olevien piikien ja terävien kynsiensä avulla samalla kun se vipeltää nopeasti ympäriinsä.</v>
      </c>
      <c r="C1144" s="9" t="s">
        <v>1344</v>
      </c>
    </row>
    <row r="1145" ht="33.75" customHeight="1">
      <c r="A1145" s="6" t="s">
        <v>1690</v>
      </c>
      <c r="B1145" s="6" t="str">
        <f>IFERROR(__xludf.DUMMYFUNCTION("GOOGLETRANSLATE(A1145,""en"",""fi"")"),"Se käpertyy ja vierii sitten selällään vihollisten päälle. Sen terävät piikit aiheuttavat vakavaa vahinkoa.")</f>
        <v>Se käpertyy ja vierii sitten selällään vihollisten päälle. Sen terävät piikit aiheuttavat vakavaa vahinkoa.</v>
      </c>
      <c r="C1145" s="9" t="s">
        <v>1344</v>
      </c>
    </row>
    <row r="1146" ht="33.75" customHeight="1">
      <c r="A1146" s="6" t="s">
        <v>1692</v>
      </c>
      <c r="B1146" s="6" t="str">
        <f>IFERROR(__xludf.DUMMYFUNCTION("GOOGLETRANSLATE(A1146,""en"",""fi"")"),"Sen ruumiin piikit on tehty sen kovettuneesta nahasta. Se kiertyy ja hyökkää vihollisten kimppuun piikkiensä avulla.")</f>
        <v>Sen ruumiin piikit on tehty sen kovettuneesta nahasta. Se kiertyy ja hyökkää vihollisten kimppuun piikkiensä avulla.</v>
      </c>
      <c r="C1146" s="9" t="s">
        <v>1344</v>
      </c>
    </row>
    <row r="1147" ht="33.75" customHeight="1">
      <c r="A1147" s="6" t="s">
        <v>1693</v>
      </c>
      <c r="B1147" s="6" t="str">
        <f>IFERROR(__xludf.DUMMYFUNCTION("GOOGLETRANSLATE(A1147,""en"",""fi"")"),"Sandslashin ruumista peittävät kovat piikit, jotka ovat kovettuneet osat sen nahasta. Kerran vuodessa vanhat piikit putoavat pois, ja niiden alta kasvaa uusia.")</f>
        <v>Sandslashin ruumista peittävät kovat piikit, jotka ovat kovettuneet osat sen nahasta. Kerran vuodessa vanhat piikit putoavat pois, ja niiden alta kasvaa uusia.</v>
      </c>
      <c r="C1147" s="9" t="s">
        <v>1344</v>
      </c>
    </row>
    <row r="1148" ht="33.75" customHeight="1">
      <c r="A1148" s="6" t="s">
        <v>1694</v>
      </c>
      <c r="B1148" s="6" t="str">
        <f>IFERROR(__xludf.DUMMYFUNCTION("GOOGLETRANSLATE(A1148,""en"",""fi"")"),"Sandslash voi kääriä vartaloaan kuin se olisi pallo, joka on täynnä suuria piikkejä. Taistelussa tämä Pokémon yrittää saada vihollisen säpsähtämään tökkäämällä sitä piikillään. Sitten se hyppää tainnutetun vihollisen kimppuun ja repii tätä villisti terävi"&amp;"llä kynsillään.")</f>
        <v>Sandslash voi kääriä vartaloaan kuin se olisi pallo, joka on täynnä suuria piikkejä. Taistelussa tämä Pokémon yrittää saada vihollisen säpsähtämään tökkäämällä sitä piikillään. Sitten se hyppää tainnutetun vihollisen kimppuun ja repii tätä villisti terävillä kynsillään.</v>
      </c>
      <c r="C1148" s="9" t="s">
        <v>1344</v>
      </c>
    </row>
    <row r="1149" ht="33.75" customHeight="1">
      <c r="A1149" s="6" t="s">
        <v>1696</v>
      </c>
      <c r="B1149" s="6" t="str">
        <f>IFERROR(__xludf.DUMMYFUNCTION("GOOGLETRANSLATE(A1149,""en"",""fi"")"),"Vaikka ne ovat teräviä, sen kynnet ja piikit katkeavat usein. Ne kasvavat takaisin seuraavana päivänä, joten tilapäinen menetys ei haittaa sitä.")</f>
        <v>Vaikka ne ovat teräviä, sen kynnet ja piikit katkeavat usein. Ne kasvavat takaisin seuraavana päivänä, joten tilapäinen menetys ei haittaa sitä.</v>
      </c>
      <c r="C1149" s="9" t="s">
        <v>1344</v>
      </c>
    </row>
    <row r="1150" ht="33.75" customHeight="1">
      <c r="A1150" s="6" t="s">
        <v>1698</v>
      </c>
      <c r="B1150" s="6" t="str">
        <f>IFERROR(__xludf.DUMMYFUNCTION("GOOGLETRANSLATE(A1150,""en"",""fi"")"),"Se käyttää kynsiään kiivetäkseen puihin ja käpertää sitten ruumiinsa piikkiseksi palloksi valmiina putoamaan minkä tahansa ilmestyvän saaliin päälle.")</f>
        <v>Se käyttää kynsiään kiivetäkseen puihin ja käpertää sitten ruumiinsa piikkiseksi palloksi valmiina putoamaan minkä tahansa ilmestyvän saaliin päälle.</v>
      </c>
      <c r="C1150" s="9" t="s">
        <v>1344</v>
      </c>
    </row>
    <row r="1151" ht="33.75" customHeight="1">
      <c r="A1151" s="6" t="s">
        <v>1700</v>
      </c>
      <c r="B1151" s="6" t="str">
        <f>IFERROR(__xludf.DUMMYFUNCTION("GOOGLETRANSLATE(A1151,""en"",""fi"")"),"Sen kynnet ja sarvet katkeavat usein. Katkenneita kynsiä ja sarvia voidaan käyttää aurojen veistämiseen peltojen kyntämiseen.")</f>
        <v>Sen kynnet ja sarvet katkeavat usein. Katkenneita kynsiä ja sarvia voidaan käyttää aurojen veistämiseen peltojen kyntämiseen.</v>
      </c>
      <c r="C1151" s="9" t="s">
        <v>1344</v>
      </c>
    </row>
    <row r="1152" ht="33.75" customHeight="1">
      <c r="A1152" s="6" t="s">
        <v>1701</v>
      </c>
      <c r="B1152" s="6" t="str">
        <f>IFERROR(__xludf.DUMMYFUNCTION("GOOGLETRANSLATE(A1152,""en"",""fi"")"),"Paksujen kynsiensä ansiosta se on hyvä kiipeilemään puissa. On paljon hiekkakiipeilijöitä, jotka pysähtyvät puihin ja nukahtavat heti.")</f>
        <v>Paksujen kynsiensä ansiosta se on hyvä kiipeilemään puissa. On paljon hiekkakiipeilijöitä, jotka pysähtyvät puihin ja nukahtavat heti.</v>
      </c>
      <c r="C1152" s="9" t="s">
        <v>1344</v>
      </c>
    </row>
    <row r="1153" ht="33.75" customHeight="1">
      <c r="A1153" s="6" t="s">
        <v>1703</v>
      </c>
      <c r="B1153" s="6" t="str">
        <f>IFERROR(__xludf.DUMMYFUNCTION("GOOGLETRANSLATE(A1153,""en"",""fi"")"),"Mitä kuivempi alue Sandslashilla on, sitä kovemmilta ja sileämmiltä Pokémonin piikit tuntuvat kosketettaessa.")</f>
        <v>Mitä kuivempi alue Sandslashilla on, sitä kovemmilta ja sileämmiltä Pokémonin piikit tuntuvat kosketettaessa.</v>
      </c>
      <c r="C1153" s="9" t="s">
        <v>1344</v>
      </c>
    </row>
    <row r="1154" ht="33.75" customHeight="1">
      <c r="A1154" s="6" t="s">
        <v>1705</v>
      </c>
      <c r="B1154" s="6" t="str">
        <f>IFERROR(__xludf.DUMMYFUNCTION("GOOGLETRANSLATE(A1154,""en"",""fi"")"),"Se kiipeää puihin tarttumalla niihin terävillä kynsillään. Sandslash jakaa keräämänsä marjat ja pudottaa ne puun alla odottavalle Sandshrew'lle.")</f>
        <v>Se kiipeää puihin tarttumalla niihin terävillä kynsillään. Sandslash jakaa keräämänsä marjat ja pudottaa ne puun alla odottavalle Sandshrew'lle.</v>
      </c>
      <c r="C1154" s="9" t="s">
        <v>1344</v>
      </c>
    </row>
    <row r="1155" ht="33.75" customHeight="1">
      <c r="A1155" s="6" t="s">
        <v>1706</v>
      </c>
      <c r="B1155" s="6" t="str">
        <f>IFERROR(__xludf.DUMMYFUNCTION("GOOGLETRANSLATE(A1155,""en"",""fi"")"),"Vaikka se on pieni, sen myrkylliset piikit tekevät tästä POKéMONista vaarallisen. Naaraalla on pienemmät sarvet.")</f>
        <v>Vaikka se on pieni, sen myrkylliset piikit tekevät tästä POKéMONista vaarallisen. Naaraalla on pienemmät sarvet.</v>
      </c>
      <c r="C1155" s="9" t="s">
        <v>1344</v>
      </c>
    </row>
    <row r="1156" ht="33.75" customHeight="1">
      <c r="A1156" s="6" t="s">
        <v>1708</v>
      </c>
      <c r="B1156" s="6" t="str">
        <f>IFERROR(__xludf.DUMMYFUNCTION("GOOGLETRANSLATE(A1156,""en"",""fi"")"),"Lempeäluonteinen POKéMON, joka ei pidä taistelusta. Varo, sen pienet sarvet erittävät myrkkyä.")</f>
        <v>Lempeäluonteinen POKéMON, joka ei pidä taistelusta. Varo, sen pienet sarvet erittävät myrkkyä.</v>
      </c>
      <c r="C1156" s="9" t="s">
        <v>1344</v>
      </c>
    </row>
    <row r="1157" ht="33.75" customHeight="1">
      <c r="A1157" s="6" t="s">
        <v>1710</v>
      </c>
      <c r="B1157" s="6" t="str">
        <f>IFERROR(__xludf.DUMMYFUNCTION("GOOGLETRANSLATE(A1157,""en"",""fi"")"),"Sen pienessä sarvessa piilevä myrkky on erittäin voimakasta. Jopa pieni naarmu voi aiheuttaa kohtalokkaita seurauksia.")</f>
        <v>Sen pienessä sarvessa piilevä myrkky on erittäin voimakasta. Jopa pieni naarmu voi aiheuttaa kohtalokkaita seurauksia.</v>
      </c>
      <c r="C1157" s="9" t="s">
        <v>1344</v>
      </c>
    </row>
    <row r="1158" ht="33.75" customHeight="1">
      <c r="A1158" s="6" t="s">
        <v>1711</v>
      </c>
      <c r="B1158" s="6" t="str">
        <f>IFERROR(__xludf.DUMMYFUNCTION("GOOGLETRANSLATE(A1158,""en"",""fi"")"),"Vaikka se ei ole kovin taistelunhaluinen, se piinaa vihollisiaan myrkkypiikeillä, jos se on millään tavalla uhattuna.")</f>
        <v>Vaikka se ei ole kovin taistelunhaluinen, se piinaa vihollisiaan myrkkypiikeillä, jos se on millään tavalla uhattuna.</v>
      </c>
      <c r="C1158" s="9" t="s">
        <v>1344</v>
      </c>
    </row>
    <row r="1159" ht="33.75" customHeight="1">
      <c r="A1159" s="6" t="s">
        <v>1713</v>
      </c>
      <c r="B1159" s="6" t="str">
        <f>IFERROR(__xludf.DUMMYFUNCTION("GOOGLETRANSLATE(A1159,""en"",""fi"")"),"Pieni ja hyvin säyseä se suojaa itseään hyökkäyksen varalta pienellä, myrkyllisellä sarvellaan.")</f>
        <v>Pieni ja hyvin säyseä se suojaa itseään hyökkäyksen varalta pienellä, myrkyllisellä sarvellaan.</v>
      </c>
      <c r="C1159" s="9" t="s">
        <v>1344</v>
      </c>
    </row>
    <row r="1160" ht="33.75" customHeight="1">
      <c r="A1160" s="6" t="s">
        <v>1714</v>
      </c>
      <c r="B1160" s="6" t="str">
        <f>IFERROR(__xludf.DUMMYFUNCTION("GOOGLETRANSLATE(A1160,""en"",""fi"")"),"NIDORANilla on piikkejä, jotka erittävät voimakasta myrkkyä. Niiden uskotaan kehittyneen suojaksi tälle pienikokoiselle POKéMONille. Raivostuessaan se vapauttaa sarvestaan ​​kammottavaa myrkkyä.")</f>
        <v>NIDORANilla on piikkejä, jotka erittävät voimakasta myrkkyä. Niiden uskotaan kehittyneen suojaksi tälle pienikokoiselle POKéMONille. Raivostuessaan se vapauttaa sarvestaan ​​kammottavaa myrkkyä.</v>
      </c>
      <c r="C1160" s="9" t="s">
        <v>1344</v>
      </c>
    </row>
    <row r="1161" ht="33.75" customHeight="1">
      <c r="A1161" s="6" t="s">
        <v>1716</v>
      </c>
      <c r="B1161" s="6" t="str">
        <f>IFERROR(__xludf.DUMMYFUNCTION("GOOGLETRANSLATE(A1161,""en"",""fi"")"),"Sen erittäin myrkyllisten piikkien uskotaan kehittyneen suojaksi tälle pienikokoiselle POKéMONille. Raivostuessaan se vapauttaa sarvestaan ​​kammottavaa myrkkyä.")</f>
        <v>Sen erittäin myrkyllisten piikkien uskotaan kehittyneen suojaksi tälle pienikokoiselle POKéMONille. Raivostuessaan se vapauttaa sarvestaan ​​kammottavaa myrkkyä.</v>
      </c>
      <c r="C1161" s="9" t="s">
        <v>1344</v>
      </c>
    </row>
    <row r="1162" ht="33.75" customHeight="1">
      <c r="A1162" s="6" t="s">
        <v>1717</v>
      </c>
      <c r="B1162" s="6" t="str">
        <f>IFERROR(__xludf.DUMMYFUNCTION("GOOGLETRANSLATE(A1162,""en"",""fi"")"),"Vaikka se on pieni, sitä on käsiteltävä varoen sen voimakkaasti myrkyllisten piikkien vuoksi. Naaraalla on pienemmät sarvet.")</f>
        <v>Vaikka se on pieni, sitä on käsiteltävä varoen sen voimakkaasti myrkyllisten piikkien vuoksi. Naaraalla on pienemmät sarvet.</v>
      </c>
      <c r="C1162" s="9" t="s">
        <v>1344</v>
      </c>
    </row>
    <row r="1163" ht="33.75" customHeight="1">
      <c r="A1163" s="6" t="s">
        <v>1719</v>
      </c>
      <c r="B1163" s="6" t="str">
        <f>IFERROR(__xludf.DUMMYFUNCTION("GOOGLETRANSLATE(A1163,""en"",""fi"")"),"Vaikka se ei halua taistella, jo yksi pisara sen piikkien erittämää myrkkyä voi olla kohtalokas.")</f>
        <v>Vaikka se ei halua taistella, jo yksi pisara sen piikkien erittämää myrkkyä voi olla kohtalokas.</v>
      </c>
      <c r="C1163" s="9" t="s">
        <v>1344</v>
      </c>
    </row>
    <row r="1164" ht="33.75" customHeight="1">
      <c r="A1164" s="6" t="s">
        <v>1720</v>
      </c>
      <c r="B1164" s="6" t="str">
        <f>IFERROR(__xludf.DUMMYFUNCTION("GOOGLETRANSLATE(A1164,""en"",""fi"")"),"Sen pienessä sarvessa piilevä myrkky on erittäin voimakasta. Jopa pieni naarmu voi johtaa kohtalokkaisiin seurauksiin.")</f>
        <v>Sen pienessä sarvessa piilevä myrkky on erittäin voimakasta. Jopa pieni naarmu voi johtaa kohtalokkaisiin seurauksiin.</v>
      </c>
      <c r="C1164" s="9" t="s">
        <v>1344</v>
      </c>
    </row>
    <row r="1165" ht="33.75" customHeight="1">
      <c r="A1165" s="6" t="s">
        <v>1721</v>
      </c>
      <c r="B1165" s="6" t="str">
        <f>IFERROR(__xludf.DUMMYFUNCTION("GOOGLETRANSLATE(A1165,""en"",""fi"")"),"Vaikka se ei ole kovin taistelunhaluinen, se piinaa vihollisiaan myrkkypiikeillä, jos sitä uhkaa jokin asia.")</f>
        <v>Vaikka se ei ole kovin taistelunhaluinen, se piinaa vihollisiaan myrkkypiikeillä, jos sitä uhkaa jokin asia.</v>
      </c>
      <c r="C1165" s="9" t="s">
        <v>1344</v>
      </c>
    </row>
    <row r="1166" ht="33.75" customHeight="1">
      <c r="A1166" s="6" t="s">
        <v>1722</v>
      </c>
      <c r="B1166" s="6" t="str">
        <f>IFERROR(__xludf.DUMMYFUNCTION("GOOGLETRANSLATE(A1166,""en"",""fi"")"),"Vaikka Pokémon on pieni, sen myrkylliset piikit tekevät siitä vaarallisen. Naaraalla on pienemmät sarvet.")</f>
        <v>Vaikka Pokémon on pieni, sen myrkylliset piikit tekevät siitä vaarallisen. Naaraalla on pienemmät sarvet.</v>
      </c>
      <c r="C1166" s="9" t="s">
        <v>1344</v>
      </c>
    </row>
    <row r="1167" ht="33.75" customHeight="1">
      <c r="A1167" s="6" t="s">
        <v>1724</v>
      </c>
      <c r="B1167" s="6" t="str">
        <f>IFERROR(__xludf.DUMMYFUNCTION("GOOGLETRANSLATE(A1167,""en"",""fi"")"),"Pieni ja hyvin säyseä, se suojaa itseään pienellä, myrkyllisellä sarvellaan hyökkäyksen kohteeksi joutuessaan.")</f>
        <v>Pieni ja hyvin säyseä, se suojaa itseään pienellä, myrkyllisellä sarvellaan hyökkäyksen kohteeksi joutuessaan.</v>
      </c>
      <c r="C1167" s="9" t="s">
        <v>1344</v>
      </c>
    </row>
    <row r="1168" ht="33.75" customHeight="1">
      <c r="A1168" s="6" t="s">
        <v>1725</v>
      </c>
      <c r="B1168" s="6" t="str">
        <f>IFERROR(__xludf.DUMMYFUNCTION("GOOGLETRANSLATE(A1168,""en"",""fi"")"),"Nidoranilla♀ on piikkejä, jotka erittävät voimakasta myrkkyä. Niiden uskotaan kehittyneen suojaksi tälle pienikokoiselle Pokémonille. Raivostuessaan se vapauttaa kauheaa myrkkyä sarvestaan.")</f>
        <v>Nidoranilla♀ on piikkejä, jotka erittävät voimakasta myrkkyä. Niiden uskotaan kehittyneen suojaksi tälle pienikokoiselle Pokémonille. Raivostuessaan se vapauttaa kauheaa myrkkyä sarvestaan.</v>
      </c>
      <c r="C1168" s="9" t="s">
        <v>1344</v>
      </c>
    </row>
    <row r="1169" ht="33.75" customHeight="1">
      <c r="A1169" s="6" t="s">
        <v>1726</v>
      </c>
      <c r="B1169" s="6" t="str">
        <f>IFERROR(__xludf.DUMMYFUNCTION("GOOGLETRANSLATE(A1169,""en"",""fi"")"),"Lempeäluonteinen Pokémon, joka ei pidä taistelusta. Varo – sen pieni sarvi erittää myrkkyä.")</f>
        <v>Lempeäluonteinen Pokémon, joka ei pidä taistelusta. Varo – sen pieni sarvi erittää myrkkyä.</v>
      </c>
      <c r="C1169" s="9" t="s">
        <v>1344</v>
      </c>
    </row>
    <row r="1170" ht="33.75" customHeight="1">
      <c r="A1170" s="6" t="s">
        <v>1727</v>
      </c>
      <c r="B1170" s="6" t="str">
        <f>IFERROR(__xludf.DUMMYFUNCTION("GOOGLETRANSLATE(A1170,""en"",""fi"")"),"Naaraat ovat herkempiä hajuille kuin koiraat. Ruokaa etsiessään ne käyttävät viiksikarvojaan tuulen suunnan tarkistamiseen ja petojen alatuuleen pysymiseen.")</f>
        <v>Naaraat ovat herkempiä hajuille kuin koiraat. Ruokaa etsiessään ne käyttävät viiksikarvojaan tuulen suunnan tarkistamiseen ja petojen alatuuleen pysymiseen.</v>
      </c>
      <c r="C1170" s="9" t="s">
        <v>1344</v>
      </c>
    </row>
    <row r="1171" ht="33.75" customHeight="1">
      <c r="A1171" s="6" t="s">
        <v>1729</v>
      </c>
      <c r="B1171" s="6" t="str">
        <f>IFERROR(__xludf.DUMMYFUNCTION("GOOGLETRANSLATE(A1171,""en"",""fi"")"),"Se käyttää kovia etuhampaitaan marjojen murskaamiseen ja syömiseen. Naaraan nidoranin sarven kärki on hieman pyöreämpi kuin uroksen sarven kärki.")</f>
        <v>Se käyttää kovia etuhampaitaan marjojen murskaamiseen ja syömiseen. Naaraan nidoranin sarven kärki on hieman pyöreämpi kuin uroksen sarven kärki.</v>
      </c>
      <c r="C1171" s="9" t="s">
        <v>1344</v>
      </c>
    </row>
    <row r="1172" ht="33.75" customHeight="1">
      <c r="A1172" s="6" t="s">
        <v>1730</v>
      </c>
      <c r="B1172" s="6" t="str">
        <f>IFERROR(__xludf.DUMMYFUNCTION("GOOGLETRANSLATE(A1172,""en"",""fi"")"),"Naaraan sarvi kehittyy hitaasti. Se suosii fyysisiä hyökkäyksiä, kuten raapimista ja puremista.")</f>
        <v>Naaraan sarvi kehittyy hitaasti. Se suosii fyysisiä hyökkäyksiä, kuten raapimista ja puremista.</v>
      </c>
      <c r="C1172" s="9" t="s">
        <v>1344</v>
      </c>
    </row>
    <row r="1173" ht="33.75" customHeight="1">
      <c r="A1173" s="6" t="s">
        <v>1731</v>
      </c>
      <c r="B1173" s="6" t="str">
        <f>IFERROR(__xludf.DUMMYFUNCTION("GOOGLETRANSLATE(A1173,""en"",""fi"")"),"Syvällä kolossaan levätessään sen piikit vetäytyvät aina sisään. Tämä on todiste siitä, että se on rentoutunut.")</f>
        <v>Syvällä kolossaan levätessään sen piikit vetäytyvät aina sisään. Tämä on todiste siitä, että se on rentoutunut.</v>
      </c>
      <c r="C1173" s="9" t="s">
        <v>1344</v>
      </c>
    </row>
    <row r="1174" ht="33.75" customHeight="1">
      <c r="A1174" s="6" t="s">
        <v>1732</v>
      </c>
      <c r="B1174" s="6" t="str">
        <f>IFERROR(__xludf.DUMMYFUNCTION("GOOGLETRANSLATE(A1174,""en"",""fi"")"),"Poikasiaan ruokkiessaan se ensin pureskelee ja mureuttaa ruoan ja sylkee sen sitten ulos jälkeläisille.")</f>
        <v>Poikasiaan ruokkiessaan se ensin pureskelee ja mureuttaa ruoan ja sylkee sen sitten ulos jälkeläisille.</v>
      </c>
      <c r="C1174" s="9" t="s">
        <v>1344</v>
      </c>
    </row>
    <row r="1175" ht="33.75" customHeight="1">
      <c r="A1175" s="6" t="s">
        <v>1733</v>
      </c>
      <c r="B1175" s="6" t="str">
        <f>IFERROR(__xludf.DUMMYFUNCTION("GOOGLETRANSLATE(A1175,""en"",""fi"")"),"Sillä on rauhallinen ja välittävä luonne. Koska sen sarvi kasvaa hitaasti, se ei halua taistella.")</f>
        <v>Sillä on rauhallinen ja välittävä luonne. Koska sen sarvi kasvaa hitaasti, se ei halua taistella.</v>
      </c>
      <c r="C1175" s="9" t="s">
        <v>1344</v>
      </c>
    </row>
    <row r="1176" ht="33.75" customHeight="1">
      <c r="A1176" s="6" t="s">
        <v>1734</v>
      </c>
      <c r="B1176" s="6" t="str">
        <f>IFERROR(__xludf.DUMMYFUNCTION("GOOGLETRANSLATE(A1176,""en"",""fi"")"),"Sillä on säyseä luonne. Jos sitä uhkaa hyökkäys, se nostaa esiin koko vartaloaan peittävät piikit.")</f>
        <v>Sillä on säyseä luonne. Jos sitä uhkaa hyökkäys, se nostaa esiin koko vartaloaan peittävät piikit.</v>
      </c>
      <c r="C1176" s="9" t="s">
        <v>1344</v>
      </c>
    </row>
    <row r="1177" ht="33.75" customHeight="1">
      <c r="A1177" s="6" t="s">
        <v>1735</v>
      </c>
      <c r="B1177" s="6" t="str">
        <f>IFERROR(__xludf.DUMMYFUNCTION("GOOGLETRANSLATE(A1177,""en"",""fi"")"),"Kun NIDORINAt ovat ystäviensä tai perheensä kanssa, he pitävät piikiensä piilossa estääkseen toisiaan satuttamasta. Tämä POKéMON vaikuttaa hermostuvan, jos se erotetaan muista.")</f>
        <v>Kun NIDORINAt ovat ystäviensä tai perheensä kanssa, he pitävät piikiensä piilossa estääkseen toisiaan satuttamasta. Tämä POKéMON vaikuttaa hermostuvan, jos se erotetaan muista.</v>
      </c>
      <c r="C1177" s="9" t="s">
        <v>1344</v>
      </c>
    </row>
    <row r="1178" ht="33.75" customHeight="1">
      <c r="A1178" s="6" t="s">
        <v>1736</v>
      </c>
      <c r="B1178" s="6" t="str">
        <f>IFERROR(__xludf.DUMMYFUNCTION("GOOGLETRANSLATE(A1178,""en"",""fi"")"),"Kun se on ystäviensä tai perheensä kanssa, sen piikit ovat piilossa loukkaantumisten estämiseksi. Se näyttää hermostuvan, jos se erotetaan muista.")</f>
        <v>Kun se on ystäviensä tai perheensä kanssa, sen piikit ovat piilossa loukkaantumisten estämiseksi. Se näyttää hermostuvan, jos se erotetaan muista.</v>
      </c>
      <c r="C1178" s="9" t="s">
        <v>1344</v>
      </c>
    </row>
    <row r="1179" ht="33.75" customHeight="1">
      <c r="A1179" s="6" t="s">
        <v>1737</v>
      </c>
      <c r="B1179" s="6" t="str">
        <f>IFERROR(__xludf.DUMMYFUNCTION("GOOGLETRANSLATE(A1179,""en"",""fi"")"),"Naaraalla on lempeä luonne. Se päästää ultraäänihuutoja, joilla on kyky hämmentää vihollisia.")</f>
        <v>Naaraalla on lempeä luonne. Se päästää ultraäänihuutoja, joilla on kyky hämmentää vihollisia.</v>
      </c>
      <c r="C1179" s="9" t="s">
        <v>1344</v>
      </c>
    </row>
    <row r="1180" ht="33.75" customHeight="1">
      <c r="A1180" s="6" t="s">
        <v>1738</v>
      </c>
      <c r="B1180" s="6" t="str">
        <f>IFERROR(__xludf.DUMMYFUNCTION("GOOGLETRANSLATE(A1180,""en"",""fi"")"),"Naaraan sarvet kehittyvät hitaasti. Se suosii fyysisiä hyökkäyksiä, kuten raapimista ja puremista.")</f>
        <v>Naaraan sarvet kehittyvät hitaasti. Se suosii fyysisiä hyökkäyksiä, kuten raapimista ja puremista.</v>
      </c>
      <c r="C1180" s="9" t="s">
        <v>1344</v>
      </c>
    </row>
    <row r="1181" ht="33.75" customHeight="1">
      <c r="A1181" s="6" t="s">
        <v>1739</v>
      </c>
      <c r="B1181" s="6" t="str">
        <f>IFERROR(__xludf.DUMMYFUNCTION("GOOGLETRANSLATE(A1181,""en"",""fi"")"),"Kun se aistii vaaran, se nostaa kaikki ruumiinsa piikit. Nämä piikit kasvavat hitaammin kuin NIDORINOn piikit.")</f>
        <v>Kun se aistii vaaran, se nostaa kaikki ruumiinsa piikit. Nämä piikit kasvavat hitaammin kuin NIDORINOn piikit.</v>
      </c>
      <c r="C1181" s="9" t="s">
        <v>1344</v>
      </c>
    </row>
    <row r="1182" ht="33.75" customHeight="1">
      <c r="A1182" s="6" t="s">
        <v>1740</v>
      </c>
      <c r="B1182" s="6" t="str">
        <f>IFERROR(__xludf.DUMMYFUNCTION("GOOGLETRANSLATE(A1182,""en"",""fi"")"),"Ruokittaessaan poikasiaan se ensin pureskelee ruoan tahnaksi ja sylkee sen sitten ulos jälkeläisille.")</f>
        <v>Ruokittaessaan poikasiaan se ensin pureskelee ruoan tahnaksi ja sylkee sen sitten ulos jälkeläisille.</v>
      </c>
      <c r="C1182" s="9" t="s">
        <v>1344</v>
      </c>
    </row>
    <row r="1183" ht="33.75" customHeight="1">
      <c r="A1183" s="6" t="s">
        <v>1741</v>
      </c>
      <c r="B1183" s="6" t="str">
        <f>IFERROR(__xludf.DUMMYFUNCTION("GOOGLETRANSLATE(A1183,""en"",""fi"")"),"Kun se aistii vaaran, se nostaa kaikki ruumiinsa piikit. Nämä piikit kasvavat hitaammin kuin Nidorinon piikit.")</f>
        <v>Kun se aistii vaaran, se nostaa kaikki ruumiinsa piikit. Nämä piikit kasvavat hitaammin kuin Nidorinon piikit.</v>
      </c>
      <c r="C1183" s="9" t="s">
        <v>1344</v>
      </c>
    </row>
    <row r="1184" ht="33.75" customHeight="1">
      <c r="A1184" s="6" t="s">
        <v>1742</v>
      </c>
      <c r="B1184" s="6" t="str">
        <f>IFERROR(__xludf.DUMMYFUNCTION("GOOGLETRANSLATE(A1184,""en"",""fi"")"),"Kun Nidorinat ovat ystäviensä tai perheensä kanssa, he pitävät piikiensä piilossa estääkseen toisiaan satuttamasta. Tämä Pokémon vaikuttaa hermostuneelta, jos se erotetaan muista.")</f>
        <v>Kun Nidorinat ovat ystäviensä tai perheensä kanssa, he pitävät piikiensä piilossa estääkseen toisiaan satuttamasta. Tämä Pokémon vaikuttaa hermostuneelta, jos se erotetaan muista.</v>
      </c>
      <c r="C1184" s="9" t="s">
        <v>1344</v>
      </c>
    </row>
    <row r="1185" ht="33.75" customHeight="1">
      <c r="A1185" s="6" t="s">
        <v>1744</v>
      </c>
      <c r="B1185" s="6" t="str">
        <f>IFERROR(__xludf.DUMMYFUNCTION("GOOGLETRANSLATE(A1185,""en"",""fi"")"),"Syvällä kolossaan levätessään sen piikit vetäytyvät aina sisään. Tämä on todiste siitä, että se on rentoutunut.")</f>
        <v>Syvällä kolossaan levätessään sen piikit vetäytyvät aina sisään. Tämä on todiste siitä, että se on rentoutunut.</v>
      </c>
      <c r="C1185" s="9" t="s">
        <v>1344</v>
      </c>
    </row>
    <row r="1186" ht="33.75" customHeight="1">
      <c r="A1186" s="6" t="s">
        <v>1745</v>
      </c>
      <c r="B1186" s="6" t="str">
        <f>IFERROR(__xludf.DUMMYFUNCTION("GOOGLETRANSLATE(A1186,""en"",""fi"")"),"Sen päässä oleva sarvi on surkastunut. Uskotaan, että näin tehdään, jotta Nidorinan lapsia ei tökittäisi äidin ruokinnan aikana.")</f>
        <v>Sen päässä oleva sarvi on surkastunut. Uskotaan, että näin tehdään, jotta Nidorinan lapsia ei tökittäisi äidin ruokinnan aikana.</v>
      </c>
      <c r="C1186" s="9" t="s">
        <v>1344</v>
      </c>
    </row>
    <row r="1187" ht="33.75" customHeight="1">
      <c r="A1187" s="6" t="s">
        <v>1746</v>
      </c>
      <c r="B1187" s="6" t="str">
        <f>IFERROR(__xludf.DUMMYFUNCTION("GOOGLETRANSLATE(A1187,""en"",""fi"")"),"Jos ryhmää uhataan, nämä Pokémonit yhdistävät voimansa hyökätäkseen vihollisten kimppuun ultraääniaaltojen kuorolla.")</f>
        <v>Jos ryhmää uhataan, nämä Pokémonit yhdistävät voimansa hyökätäkseen vihollisten kimppuun ultraääniaaltojen kuorolla.</v>
      </c>
      <c r="C1187" s="9" t="s">
        <v>1344</v>
      </c>
    </row>
    <row r="1188" ht="33.75" customHeight="1">
      <c r="A1188" s="6" t="s">
        <v>1747</v>
      </c>
      <c r="B1188" s="6" t="str">
        <f>IFERROR(__xludf.DUMMYFUNCTION("GOOGLETRANSLATE(A1188,""en"",""fi"")"),"Sen kovat suomut tarjoavat vahvan suojan. Se käyttää tukevaa kokoaan voimakkaiden liikkeiden suorittamiseen.")</f>
        <v>Sen kovat suomut tarjoavat vahvan suojan. Se käyttää tukevaa kokoaan voimakkaiden liikkeiden suorittamiseen.</v>
      </c>
      <c r="C1188" s="9" t="s">
        <v>1344</v>
      </c>
    </row>
    <row r="1189" ht="33.75" customHeight="1">
      <c r="A1189" s="6" t="s">
        <v>1748</v>
      </c>
      <c r="B1189" s="6" t="str">
        <f>IFERROR(__xludf.DUMMYFUNCTION("GOOGLETRANSLATE(A1189,""en"",""fi"")"),"Tämän POKéMONin tukevaa vartaloa peittävät sitkeät suomut. Näyttää siltä, ​​että suomut kasvavat sykleissä.")</f>
        <v>Tämän POKéMONin tukevaa vartaloa peittävät sitkeät suomut. Näyttää siltä, ​​että suomut kasvavat sykleissä.</v>
      </c>
      <c r="C1189" s="9" t="s">
        <v>1344</v>
      </c>
    </row>
    <row r="1190" ht="33.75" customHeight="1">
      <c r="A1190" s="6" t="s">
        <v>1749</v>
      </c>
      <c r="B1190" s="6" t="str">
        <f>IFERROR(__xludf.DUMMYFUNCTION("GOOGLETRANSLATE(A1190,""en"",""fi"")"),"Sen ruumis on peittynyt neulanmuotoisiin suomuihin. Se ei koskaan osoita merkkejä kavahtamisesta hyökkäyksen edessä.")</f>
        <v>Sen ruumis on peittynyt neulanmuotoisiin suomuihin. Se ei koskaan osoita merkkejä kavahtamisesta hyökkäyksen edessä.</v>
      </c>
      <c r="C1190" s="9" t="s">
        <v>1344</v>
      </c>
    </row>
    <row r="1191" ht="33.75" customHeight="1">
      <c r="A1191" s="6" t="s">
        <v>1751</v>
      </c>
      <c r="B1191" s="6" t="str">
        <f>IFERROR(__xludf.DUMMYFUNCTION("GOOGLETRANSLATE(A1191,""en"",""fi"")"),"Se käyttää suomuista, karheaa ruumistaan ​​sulkemaan pesänsä suuaukon ja suojelemaan poikasiaan saalistajilta.")</f>
        <v>Se käyttää suomuista, karheaa ruumistaan ​​sulkemaan pesänsä suuaukon ja suojelemaan poikasiaan saalistajilta.</v>
      </c>
      <c r="C1191" s="9" t="s">
        <v>1344</v>
      </c>
    </row>
    <row r="1192" ht="33.75" customHeight="1">
      <c r="A1192" s="6" t="s">
        <v>1753</v>
      </c>
      <c r="B1192" s="6" t="str">
        <f>IFERROR(__xludf.DUMMYFUNCTION("GOOGLETRANSLATE(A1192,""en"",""fi"")"),"Sen vahvaa vartaloa peittävät kovat suomut suojaavat erinomaisesti kaikilta hyökkäyksiltä.")</f>
        <v>Sen vahvaa vartaloa peittävät kovat suomut suojaavat erinomaisesti kaikilta hyökkäyksiltä.</v>
      </c>
      <c r="C1192" s="9" t="s">
        <v>1344</v>
      </c>
    </row>
    <row r="1193" ht="33.75" customHeight="1">
      <c r="A1193" s="6" t="s">
        <v>1755</v>
      </c>
      <c r="B1193" s="6" t="str">
        <f>IFERROR(__xludf.DUMMYFUNCTION("GOOGLETRANSLATE(A1193,""en"",""fi"")"),"NIDOQUEENin ruumis on verhoiltu erittäin koviin suomuihin. Se on taitava lähettämään viholliset lentoon kovilla taklauksilla. Tämä POKéMON on vahvimmillaan puolustaessaan poikasiaan.")</f>
        <v>NIDOQUEENin ruumis on verhoiltu erittäin koviin suomuihin. Se on taitava lähettämään viholliset lentoon kovilla taklauksilla. Tämä POKéMON on vahvimmillaan puolustaessaan poikasiaan.</v>
      </c>
      <c r="C1193" s="9" t="s">
        <v>1344</v>
      </c>
    </row>
    <row r="1194" ht="33.75" customHeight="1">
      <c r="A1194" s="6" t="s">
        <v>1756</v>
      </c>
      <c r="B1194" s="6" t="str">
        <f>IFERROR(__xludf.DUMMYFUNCTION("GOOGLETRANSLATE(A1194,""en"",""fi"")"),"Se on taitava lähettämään vihollisia lentoon kovilla taklauksilla käyttämällä kovaa, suomuista ruumistaan. Tämä POKéMON on vahvimmillaan puolustaessaan poikasiaan.")</f>
        <v>Se on taitava lähettämään vihollisia lentoon kovilla taklauksilla käyttämällä kovaa, suomuista ruumistaan. Tämä POKéMON on vahvimmillaan puolustaessaan poikasiaan.</v>
      </c>
      <c r="C1194" s="9" t="s">
        <v>1344</v>
      </c>
    </row>
    <row r="1195" ht="33.75" customHeight="1">
      <c r="A1195" s="6" t="s">
        <v>1758</v>
      </c>
      <c r="B1195" s="6" t="str">
        <f>IFERROR(__xludf.DUMMYFUNCTION("GOOGLETRANSLATE(A1195,""en"",""fi"")"),"Ruumis on peittynyt jäykkiin, neulamaisiin suomuihin. Jos se kiihtyy, neulaset pörröttelevät ulospäin.")</f>
        <v>Ruumis on peittynyt jäykkiin, neulamaisiin suomuihin. Jos se kiihtyy, neulaset pörröttelevät ulospäin.</v>
      </c>
      <c r="C1195" s="9" t="s">
        <v>1344</v>
      </c>
    </row>
    <row r="1196" ht="33.75" customHeight="1">
      <c r="A1196" s="6" t="s">
        <v>1759</v>
      </c>
      <c r="B1196" s="6" t="str">
        <f>IFERROR(__xludf.DUMMYFUNCTION("GOOGLETRANSLATE(A1196,""en"",""fi"")"),"Sen koko ruumis on peitetty kovilla suomuilla. Se suojelee poikasta pesässään elämällään.")</f>
        <v>Sen koko ruumis on peitetty kovilla suomuilla. Se suojelee poikasta pesässään elämällään.</v>
      </c>
      <c r="C1196" s="9" t="s">
        <v>1344</v>
      </c>
    </row>
    <row r="1197" ht="33.75" customHeight="1">
      <c r="A1197" s="6" t="s">
        <v>1761</v>
      </c>
      <c r="B1197" s="6" t="str">
        <f>IFERROR(__xludf.DUMMYFUNCTION("GOOGLETRANSLATE(A1197,""en"",""fi"")"),"Sen ruumis on peittynyt neulanmuotoisiin suomuihin. Se ei koskaan osoita merkkejä kavahtamisesta hyökkäyksen edessä.")</f>
        <v>Sen ruumis on peittynyt neulanmuotoisiin suomuihin. Se ei koskaan osoita merkkejä kavahtamisesta hyökkäyksen edessä.</v>
      </c>
      <c r="C1197" s="9" t="s">
        <v>1344</v>
      </c>
    </row>
    <row r="1198" ht="33.75" customHeight="1">
      <c r="A1198" s="6" t="s">
        <v>1762</v>
      </c>
      <c r="B1198" s="6" t="str">
        <f>IFERROR(__xludf.DUMMYFUNCTION("GOOGLETRANSLATE(A1198,""en"",""fi"")"),"Ruumis on peittynyt jäykkiin, neulamaisiin suomuihin. Jos se kiihtyy, neulaset pörröttelevät ulospäin.")</f>
        <v>Ruumis on peittynyt jäykkiin, neulamaisiin suomuihin. Jos se kiihtyy, neulaset pörröttelevät ulospäin.</v>
      </c>
      <c r="C1198" s="9" t="s">
        <v>1344</v>
      </c>
    </row>
    <row r="1199" ht="33.75" customHeight="1">
      <c r="A1199" s="6" t="s">
        <v>1765</v>
      </c>
      <c r="B1199" s="6" t="str">
        <f>IFERROR(__xludf.DUMMYFUNCTION("GOOGLETRANSLATE(A1199,""en"",""fi"")"),"Nidoqueenin ruumis on verhoiltu erittäin koviin suomuihin. Se on taitava lähettämään viholliset lentoon kovilla taklauksilla. Tämä Pokémon on vahvimmillaan puolustaessaan poikasiaan.")</f>
        <v>Nidoqueenin ruumis on verhoiltu erittäin koviin suomuihin. Se on taitava lähettämään viholliset lentoon kovilla taklauksilla. Tämä Pokémon on vahvimmillaan puolustaessaan poikasiaan.</v>
      </c>
      <c r="C1199" s="9" t="s">
        <v>1344</v>
      </c>
    </row>
    <row r="1200" ht="33.75" customHeight="1">
      <c r="A1200" s="6" t="s">
        <v>1766</v>
      </c>
      <c r="B1200" s="6" t="str">
        <f>IFERROR(__xludf.DUMMYFUNCTION("GOOGLETRANSLATE(A1200,""en"",""fi"")"),"Tämän Pokémonin vankkaa vartaloa peittävät kovat suomut. Näyttää siltä, ​​että suomut kasvavat sykleissä.")</f>
        <v>Tämän Pokémonin vankkaa vartaloa peittävät kovat suomut. Näyttää siltä, ​​että suomut kasvavat sykleissä.</v>
      </c>
      <c r="C1200" s="9" t="s">
        <v>1344</v>
      </c>
    </row>
    <row r="1201" ht="33.75" customHeight="1">
      <c r="A1201" s="6" t="s">
        <v>1767</v>
      </c>
      <c r="B1201" s="6" t="str">
        <f>IFERROR(__xludf.DUMMYFUNCTION("GOOGLETRANSLATE(A1201,""en"",""fi"")"),"Nidoqueen on parempi puolustamaan kuin hyökkäämään. Suomut muistuttavat haarniskaa, joten tämä Pokémon suojaa lapsiaan kaikenlaisilta hyökkäyksiltä.")</f>
        <v>Nidoqueen on parempi puolustamaan kuin hyökkäämään. Suomut muistuttavat haarniskaa, joten tämä Pokémon suojaa lapsiaan kaikenlaisilta hyökkäyksiltä.</v>
      </c>
      <c r="C1201" s="9" t="s">
        <v>1344</v>
      </c>
    </row>
    <row r="1202" ht="33.75" customHeight="1">
      <c r="A1202" s="6" t="s">
        <v>1768</v>
      </c>
      <c r="B1202" s="6" t="str">
        <f>IFERROR(__xludf.DUMMYFUNCTION("GOOGLETRANSLATE(A1202,""en"",""fi"")"),"Se rauhoittelee jälkeläisiä asettamalla ne selässään olevien piikkien väliin. Piikit eivät koskaan eritä myrkkyä poikasten läsnä ollessa.")</f>
        <v>Se rauhoittelee jälkeläisiä asettamalla ne selässään olevien piikkien väliin. Piikit eivät koskaan eritä myrkkyä poikasten läsnä ollessa.</v>
      </c>
      <c r="C1202" s="9" t="s">
        <v>1344</v>
      </c>
    </row>
    <row r="1203" ht="33.75" customHeight="1">
      <c r="A1203" s="6" t="s">
        <v>1769</v>
      </c>
      <c r="B1203" s="6" t="str">
        <f>IFERROR(__xludf.DUMMYFUNCTION("GOOGLETRANSLATE(A1203,""en"",""fi"")"),"Jäykistää korvansa aistiakseen vaaran. Mitä suuremmat sen sarvet, sitä voimakkaampaa sen erittämä myrkky.")</f>
        <v>Jäykistää korvansa aistiakseen vaaran. Mitä suuremmat sen sarvet, sitä voimakkaampaa sen erittämä myrkky.</v>
      </c>
      <c r="C1203" s="9" t="s">
        <v>1344</v>
      </c>
    </row>
    <row r="1204" ht="33.75" customHeight="1">
      <c r="A1204" s="6" t="s">
        <v>1770</v>
      </c>
      <c r="B1204" s="6" t="str">
        <f>IFERROR(__xludf.DUMMYFUNCTION("GOOGLETRANSLATE(A1204,""en"",""fi"")"),"Sen suuret korvat pysyvät aina pystyssä. Jos se aistii vaaran, se hyökkää myrkyllisellä pistolla.")</f>
        <v>Sen suuret korvat pysyvät aina pystyssä. Jos se aistii vaaran, se hyökkää myrkyllisellä pistolla.</v>
      </c>
      <c r="C1204" s="9" t="s">
        <v>1344</v>
      </c>
    </row>
    <row r="1205" ht="33.75" customHeight="1">
      <c r="A1205" s="6" t="s">
        <v>1771</v>
      </c>
      <c r="B1205" s="6" t="str">
        <f>IFERROR(__xludf.DUMMYFUNCTION("GOOGLETRANSLATE(A1205,""en"",""fi"")"),"Se on pieni, mutta sen sarvi on täynnä myrkkyä. Se rynnäköi ja pistää sitten sarvella myrkkyä.")</f>
        <v>Se on pieni, mutta sen sarvi on täynnä myrkkyä. Se rynnäköi ja pistää sitten sarvella myrkkyä.</v>
      </c>
      <c r="C1205" s="9" t="s">
        <v>1344</v>
      </c>
    </row>
    <row r="1206" ht="33.75" customHeight="1">
      <c r="A1206" s="6" t="s">
        <v>1773</v>
      </c>
      <c r="B1206" s="6" t="str">
        <f>IFERROR(__xludf.DUMMYFUNCTION("GOOGLETRANSLATE(A1206,""en"",""fi"")"),"Se nostaa suuret korvansa tarkistaakseen ympäristönsä. Se iskee ensin, jos se aistii vaaran.")</f>
        <v>Se nostaa suuret korvansa tarkistaakseen ympäristönsä. Se iskee ensin, jos se aistii vaaran.</v>
      </c>
      <c r="C1206" s="9" t="s">
        <v>1344</v>
      </c>
    </row>
    <row r="1207" ht="33.75" customHeight="1">
      <c r="A1207" s="6" t="s">
        <v>1774</v>
      </c>
      <c r="B1207" s="6" t="str">
        <f>IFERROR(__xludf.DUMMYFUNCTION("GOOGLETRANSLATE(A1207,""en"",""fi"")"),"Se liikuttaa suuria korviaan jatkuvasti moneen suuntaan havaitakseen vaaran heti.")</f>
        <v>Se liikuttaa suuria korviaan jatkuvasti moneen suuntaan havaitakseen vaaran heti.</v>
      </c>
      <c r="C1207" s="9" t="s">
        <v>1344</v>
      </c>
    </row>
    <row r="1208" ht="33.75" customHeight="1">
      <c r="A1208" s="6" t="s">
        <v>1775</v>
      </c>
      <c r="B1208" s="6" t="str">
        <f>IFERROR(__xludf.DUMMYFUNCTION("GOOGLETRANSLATE(A1208,""en"",""fi"")"),"NIDORAN-koiras on kehittänyt lihaksia korviensa liikuttamiseen. Niiden ansiosta korvia voi liikuttaa vapaasti mihin tahansa suuntaan. Pieninkään ääni ei jää tältä POKéMONilta huomaamatta.")</f>
        <v>NIDORAN-koiras on kehittänyt lihaksia korviensa liikuttamiseen. Niiden ansiosta korvia voi liikuttaa vapaasti mihin tahansa suuntaan. Pieninkään ääni ei jää tältä POKéMONilta huomaamatta.</v>
      </c>
      <c r="C1208" s="9" t="s">
        <v>1344</v>
      </c>
    </row>
    <row r="1209" ht="33.75" customHeight="1">
      <c r="A1209" s="6" t="s">
        <v>1777</v>
      </c>
      <c r="B1209" s="6" t="str">
        <f>IFERROR(__xludf.DUMMYFUNCTION("GOOGLETRANSLATE(A1209,""en"",""fi"")"),"NIDORAN-koiras on kehittänyt lihaksia, jotka liikuttavat korviaan vapaasti kaikkiin suuntiin. Pieninkään ääni ei jää tältä POKéMONilta huomaamatta.")</f>
        <v>NIDORAN-koiras on kehittänyt lihaksia, jotka liikuttavat korviaan vapaasti kaikkiin suuntiin. Pieninkään ääni ei jää tältä POKéMONilta huomaamatta.</v>
      </c>
      <c r="C1209" s="9" t="s">
        <v>1344</v>
      </c>
    </row>
    <row r="1210" ht="33.75" customHeight="1">
      <c r="A1210" s="6" t="s">
        <v>1780</v>
      </c>
      <c r="B1210" s="6" t="str">
        <f>IFERROR(__xludf.DUMMYFUNCTION("GOOGLETRANSLATE(A1210,""en"",""fi"")"),"Sen suuret korvat lepattavat kuin siivet, kun se kuuntelee kaukaisia ​​ääniä. Se levittää myrkyllisiä piikkejä suuttuessaan.")</f>
        <v>Sen suuret korvat lepattavat kuin siivet, kun se kuuntelee kaukaisia ​​ääniä. Se levittää myrkyllisiä piikkejä suuttuessaan.</v>
      </c>
      <c r="C1210" s="9" t="s">
        <v>1344</v>
      </c>
    </row>
    <row r="1211" ht="33.75" customHeight="1">
      <c r="A1211" s="6" t="s">
        <v>1782</v>
      </c>
      <c r="B1211" s="6" t="str">
        <f>IFERROR(__xludf.DUMMYFUNCTION("GOOGLETRANSLATE(A1211,""en"",""fi"")"),"Se jäykistää korviaan aistiakseen vaaran. Mitä suuremmat sen sarvet, sitä voimakkaampaa sen erittämä myrkky.")</f>
        <v>Se jäykistää korviaan aistiakseen vaaran. Mitä suuremmat sen sarvet, sitä voimakkaampaa sen erittämä myrkky.</v>
      </c>
      <c r="C1211" s="9" t="s">
        <v>1344</v>
      </c>
    </row>
    <row r="1212" ht="33.75" customHeight="1">
      <c r="A1212" s="6" t="s">
        <v>1783</v>
      </c>
      <c r="B1212" s="6" t="str">
        <f>IFERROR(__xludf.DUMMYFUNCTION("GOOGLETRANSLATE(A1212,""en"",""fi"")"),"Se tarkkailee ympäristöään nostamalla korvansa ruohosta. Sen myrkyllinen sarvi on suojana.")</f>
        <v>Se tarkkailee ympäristöään nostamalla korvansa ruohosta. Sen myrkyllinen sarvi on suojana.</v>
      </c>
      <c r="C1212" s="9" t="s">
        <v>1344</v>
      </c>
    </row>
    <row r="1213" ht="33.75" customHeight="1">
      <c r="A1213" s="6" t="s">
        <v>1784</v>
      </c>
      <c r="B1213" s="6" t="str">
        <f>IFERROR(__xludf.DUMMYFUNCTION("GOOGLETRANSLATE(A1213,""en"",""fi"")"),"Nidoran♂ on kehittänyt lihaksia korviensa liikuttamiseen. Niiden ansiosta korvia voi liikuttaa vapaasti mihin tahansa suuntaan. Pieninkään ääni ei jää tältä Pokémonilta huomaamatta.")</f>
        <v>Nidoran♂ on kehittänyt lihaksia korviensa liikuttamiseen. Niiden ansiosta korvia voi liikuttaa vapaasti mihin tahansa suuntaan. Pieninkään ääni ei jää tältä Pokémonilta huomaamatta.</v>
      </c>
      <c r="C1213" s="9" t="s">
        <v>1344</v>
      </c>
    </row>
    <row r="1214" ht="33.75" customHeight="1">
      <c r="A1214" s="6" t="s">
        <v>1786</v>
      </c>
      <c r="B1214" s="6" t="str">
        <f>IFERROR(__xludf.DUMMYFUNCTION("GOOGLETRANSLATE(A1214,""en"",""fi"")"),"Uros-nidoralaisen otsan sarvi sisältää voimakasta myrkkyä. Tämä on hyvin varovainen Pokémon, joka aina jännittää suuria korviaan.")</f>
        <v>Uros-nidoralaisen otsan sarvi sisältää voimakasta myrkkyä. Tämä on hyvin varovainen Pokémon, joka aina jännittää suuria korviaan.</v>
      </c>
      <c r="C1214" s="9" t="s">
        <v>1344</v>
      </c>
    </row>
    <row r="1215" ht="33.75" customHeight="1">
      <c r="A1215" s="6" t="s">
        <v>1787</v>
      </c>
      <c r="B1215" s="6" t="str">
        <f>IFERROR(__xludf.DUMMYFUNCTION("GOOGLETRANSLATE(A1215,""en"",""fi"")"),"Pieni mutta rohkea Pokémon pitää pintansa ja jopa vaarantaa henkensä taistelussa suojellakseen naaraspuolista Pokémonia, jonka kanssa se on ystävällinen.")</f>
        <v>Pieni mutta rohkea Pokémon pitää pintansa ja jopa vaarantaa henkensä taistelussa suojellakseen naaraspuolista Pokémonia, jonka kanssa se on ystävällinen.</v>
      </c>
      <c r="C1215" s="9" t="s">
        <v>1344</v>
      </c>
    </row>
    <row r="1216" ht="33.75" customHeight="1">
      <c r="A1216" s="6" t="s">
        <v>1789</v>
      </c>
      <c r="B1216" s="6" t="str">
        <f>IFERROR(__xludf.DUMMYFUNCTION("GOOGLETRANSLATE(A1216,""en"",""fi"")"),"Aggressiivinen POKéMON, joka hyökkää nopeasti. Sen päässä oleva sarvi erittää voimakasta myrkkyä.")</f>
        <v>Aggressiivinen POKéMON, joka hyökkää nopeasti. Sen päässä oleva sarvi erittää voimakasta myrkkyä.</v>
      </c>
      <c r="C1216" s="9" t="s">
        <v>1344</v>
      </c>
    </row>
    <row r="1217" ht="33.75" customHeight="1">
      <c r="A1217" s="6" t="s">
        <v>1790</v>
      </c>
      <c r="B1217" s="6" t="str">
        <f>IFERROR(__xludf.DUMMYFUNCTION("GOOGLETRANSLATE(A1217,""en"",""fi"")"),"Sen sarvet sisältävät myrkkyä. Jos ne isketään viholliseen, isku saa myrkyn vuotamaan ulos.")</f>
        <v>Sen sarvet sisältävät myrkkyä. Jos ne isketään viholliseen, isku saa myrkyn vuotamaan ulos.</v>
      </c>
      <c r="C1217" s="9" t="s">
        <v>1344</v>
      </c>
    </row>
    <row r="1218" ht="33.75" customHeight="1">
      <c r="A1218" s="6" t="s">
        <v>1792</v>
      </c>
      <c r="B1218" s="6" t="str">
        <f>IFERROR(__xludf.DUMMYFUNCTION("GOOGLETRANSLATE(A1218,""en"",""fi"")"),"Se nostaa suuret korvansa tarkistaakseen ympäristönsä. Jos se aistii jotain, se hyökkää välittömästi.")</f>
        <v>Se nostaa suuret korvansa tarkistaakseen ympäristönsä. Jos se aistii jotain, se hyökkää välittömästi.</v>
      </c>
      <c r="C1218" s="9" t="s">
        <v>1344</v>
      </c>
    </row>
    <row r="1219" ht="33.75" customHeight="1">
      <c r="A1219" s="6" t="s">
        <v>1793</v>
      </c>
      <c r="B1219" s="6" t="str">
        <f>IFERROR(__xludf.DUMMYFUNCTION("GOOGLETRANSLATE(A1219,""en"",""fi"")"),"Se suuttuu nopeasti ja pistää vihollisia sarvellaan ruiskuttaakseen niihin voimakasta myrkkyä kiihtyessään.")</f>
        <v>Se suuttuu nopeasti ja pistää vihollisia sarvellaan ruiskuttaakseen niihin voimakasta myrkkyä kiihtyessään.</v>
      </c>
      <c r="C1219" s="9" t="s">
        <v>1344</v>
      </c>
    </row>
    <row r="1220" ht="33.75" customHeight="1">
      <c r="A1220" s="6" t="s">
        <v>1794</v>
      </c>
      <c r="B1220" s="6" t="str">
        <f>IFERROR(__xludf.DUMMYFUNCTION("GOOGLETRANSLATE(A1220,""en"",""fi"")"),"Se on helposti levoton ja käyttää sarveaan hyökkäykseen heti, kun se huomaa hyökkääjän.")</f>
        <v>Se on helposti levoton ja käyttää sarveaan hyökkäykseen heti, kun se huomaa hyökkääjän.</v>
      </c>
      <c r="C1220" s="9" t="s">
        <v>1344</v>
      </c>
    </row>
    <row r="1221" ht="33.75" customHeight="1">
      <c r="A1221" s="6" t="s">
        <v>1796</v>
      </c>
      <c r="B1221" s="6" t="str">
        <f>IFERROR(__xludf.DUMMYFUNCTION("GOOGLETRANSLATE(A1221,""en"",""fi"")"),"NIDORINOlla on sarvi, joka on kovempi kuin timantti. Jos se aistii vihollisen läsnäolon, kaikki sen selän piikit nousevat kerralla pystyyn ja se haastaa vihollisen kaikella voimallaan.")</f>
        <v>NIDORINOlla on sarvi, joka on kovempi kuin timantti. Jos se aistii vihollisen läsnäolon, kaikki sen selän piikit nousevat kerralla pystyyn ja se haastaa vihollisen kaikella voimallaan.</v>
      </c>
      <c r="C1221" s="9" t="s">
        <v>1344</v>
      </c>
    </row>
    <row r="1222" ht="33.75" customHeight="1">
      <c r="A1222" s="6" t="s">
        <v>1797</v>
      </c>
      <c r="B1222" s="6" t="str">
        <f>IFERROR(__xludf.DUMMYFUNCTION("GOOGLETRANSLATE(A1222,""en"",""fi"")"),"Sen sarvi on kovempi kuin timantti. Jos se aistii vihollisen läsnäolon, kaikki sen selän piikit nousevat kerralla pystyyn ja se haastaa vihollisen kaikella voimallaan.")</f>
        <v>Sen sarvi on kovempi kuin timantti. Jos se aistii vihollisen läsnäolon, kaikki sen selän piikit nousevat kerralla pystyyn ja se haastaa vihollisen kaikella voimallaan.</v>
      </c>
      <c r="C1222" s="9" t="s">
        <v>1344</v>
      </c>
    </row>
    <row r="1223" ht="33.75" customHeight="1">
      <c r="A1223" s="6" t="s">
        <v>1799</v>
      </c>
      <c r="B1223" s="6" t="str">
        <f>IFERROR(__xludf.DUMMYFUNCTION("GOOGLETRANSLATE(A1223,""en"",""fi"")"),"Se suuttuu helposti. Heiluttelemalla villisti hyvin kehittynyttä sarveaan se voi jopa lävistää timantin.")</f>
        <v>Se suuttuu helposti. Heiluttelemalla villisti hyvin kehittynyttä sarveaan se voi jopa lävistää timantin.</v>
      </c>
      <c r="C1223" s="9" t="s">
        <v>1344</v>
      </c>
    </row>
    <row r="1224" ht="33.75" customHeight="1">
      <c r="A1224" s="6" t="s">
        <v>1800</v>
      </c>
      <c r="B1224" s="6" t="str">
        <f>IFERROR(__xludf.DUMMYFUNCTION("GOOGLETRANSLATE(A1224,""en"",""fi"")"),"Sillä on väkivaltainen luonne ja se puukottaa vihollisia sarvellaan, josta tihkuu myrkkyä osuessaan.")</f>
        <v>Sillä on väkivaltainen luonne ja se puukottaa vihollisia sarvellaan, josta tihkuu myrkkyä osuessaan.</v>
      </c>
      <c r="C1224" s="9" t="s">
        <v>1344</v>
      </c>
    </row>
    <row r="1225" ht="33.75" customHeight="1">
      <c r="A1225" s="6" t="s">
        <v>1802</v>
      </c>
      <c r="B1225" s="6" t="str">
        <f>IFERROR(__xludf.DUMMYFUNCTION("GOOGLETRANSLATE(A1225,""en"",""fi"")"),"Se nostaa suuret korvansa tarkistaakseen ympäristönsä. Jos se aistii jotain, se hyökkää välittömästi.")</f>
        <v>Se nostaa suuret korvansa tarkistaakseen ympäristönsä. Jos se aistii jotain, se hyökkää välittömästi.</v>
      </c>
      <c r="C1225" s="9" t="s">
        <v>1344</v>
      </c>
    </row>
    <row r="1226" ht="33.75" customHeight="1">
      <c r="A1226" s="6" t="s">
        <v>1803</v>
      </c>
      <c r="B1226" s="6" t="str">
        <f>IFERROR(__xludf.DUMMYFUNCTION("GOOGLETRANSLATE(A1226,""en"",""fi"")"),"Aggressiivinen Pokémon, joka hyökkää nopeasti. Sen päässä oleva sarvi erittää voimakasta myrkkyä.")</f>
        <v>Aggressiivinen Pokémon, joka hyökkää nopeasti. Sen päässä oleva sarvi erittää voimakasta myrkkyä.</v>
      </c>
      <c r="C1226" s="9" t="s">
        <v>1344</v>
      </c>
    </row>
    <row r="1227" ht="33.75" customHeight="1">
      <c r="A1227" s="6" t="s">
        <v>1805</v>
      </c>
      <c r="B1227" s="6" t="str">
        <f>IFERROR(__xludf.DUMMYFUNCTION("GOOGLETRANSLATE(A1227,""en"",""fi"")"),"Nidorinolla on timanttia kovempi sarvi. Jos se aistii vihollisen läsnäolon, kaikki sen selän piikit nousevat kerralla pystyyn ja se haastaa vihollisen kaikella voimallaan.")</f>
        <v>Nidorinolla on timanttia kovempi sarvi. Jos se aistii vihollisen läsnäolon, kaikki sen selän piikit nousevat kerralla pystyyn ja se haastaa vihollisen kaikella voimallaan.</v>
      </c>
      <c r="C1227" s="9" t="s">
        <v>1344</v>
      </c>
    </row>
    <row r="1228" ht="33.75" customHeight="1">
      <c r="A1228" s="6" t="s">
        <v>1806</v>
      </c>
      <c r="B1228" s="6" t="str">
        <f>IFERROR(__xludf.DUMMYFUNCTION("GOOGLETRANSLATE(A1228,""en"",""fi"")"),"Sen sarvi sisältää myrkkyä. Jos se iskee vihollista sarvella, isku saa myrkyn vuotamaan ulos.")</f>
        <v>Sen sarvi sisältää myrkkyä. Jos se iskee vihollista sarvella, isku saa myrkyn vuotamaan ulos.</v>
      </c>
      <c r="C1228" s="9" t="s">
        <v>1344</v>
      </c>
    </row>
    <row r="1229" ht="33.75" customHeight="1">
      <c r="A1229" s="6" t="s">
        <v>1807</v>
      </c>
      <c r="B1229" s="6" t="str">
        <f>IFERROR(__xludf.DUMMYFUNCTION("GOOGLETRANSLATE(A1229,""en"",""fi"")"),"Timanttia kovemman sarvensa ansiosta tämä Pokémon kulkee ympäriinsä rikkoen lohkareita etsiessään kuukiveä.")</f>
        <v>Timanttia kovemman sarvensa ansiosta tämä Pokémon kulkee ympäriinsä rikkoen lohkareita etsiessään kuukiveä.</v>
      </c>
      <c r="C1229" s="9" t="s">
        <v>1344</v>
      </c>
    </row>
    <row r="1230" ht="33.75" customHeight="1">
      <c r="A1230" s="6" t="s">
        <v>1808</v>
      </c>
      <c r="B1230" s="6" t="str">
        <f>IFERROR(__xludf.DUMMYFUNCTION("GOOGLETRANSLATE(A1230,""en"",""fi"")"),"Se on hermostunut ja nopea toimimaan aggressiivisesti. Sen myrkyn teho kasvaa sen kehossa olevan adrenaliinin määrän kasvaessa.")</f>
        <v>Se on hermostunut ja nopea toimimaan aggressiivisesti. Sen myrkyn teho kasvaa sen kehossa olevan adrenaliinin määrän kasvaessa.</v>
      </c>
      <c r="C1230" s="9" t="s">
        <v>1344</v>
      </c>
    </row>
    <row r="1231" ht="33.75" customHeight="1">
      <c r="A1231" s="6" t="s">
        <v>1810</v>
      </c>
      <c r="B1231" s="6" t="str">
        <f>IFERROR(__xludf.DUMMYFUNCTION("GOOGLETRANSLATE(A1231,""en"",""fi"")"),"Se käyttää taistelussa voimakasta häntäänsä murskatakseen, kuristaakseen ja lopulta rikkoakseen saaliinsa luut.")</f>
        <v>Se käyttää taistelussa voimakasta häntäänsä murskatakseen, kuristaakseen ja lopulta rikkoakseen saaliinsa luut.</v>
      </c>
      <c r="C1231" s="9" t="s">
        <v>1344</v>
      </c>
    </row>
    <row r="1232" ht="33.75" customHeight="1">
      <c r="A1232" s="6" t="s">
        <v>1811</v>
      </c>
      <c r="B1232" s="6" t="str">
        <f>IFERROR(__xludf.DUMMYFUNCTION("GOOGLETRANSLATE(A1232,""en"",""fi"")"),"Sen teräksen kaltainen nahka lisää sen voimakasta taktiikkaa. Sen sarvet ovat niin kovat, että ne voivat lävistää timantin.")</f>
        <v>Sen teräksen kaltainen nahka lisää sen voimakasta taktiikkaa. Sen sarvet ovat niin kovat, että ne voivat lävistää timantin.</v>
      </c>
      <c r="C1232" s="9" t="s">
        <v>1344</v>
      </c>
    </row>
    <row r="1233" ht="33.75" customHeight="1">
      <c r="A1233" s="6" t="s">
        <v>1812</v>
      </c>
      <c r="B1233" s="6" t="str">
        <f>IFERROR(__xludf.DUMMYFUNCTION("GOOGLETRANSLATE(A1233,""en"",""fi"")"),"Se heiluttelee isoa häntäänsä taistelun aikana. Jos vihollinen säpsähtää, se hyökkää jykevällä ruumiillaan.")</f>
        <v>Se heiluttelee isoa häntäänsä taistelun aikana. Jos vihollinen säpsähtää, se hyökkää jykevällä ruumiillaan.</v>
      </c>
      <c r="C1233" s="9" t="s">
        <v>1344</v>
      </c>
    </row>
    <row r="1234" ht="33.75" customHeight="1">
      <c r="A1234" s="6" t="s">
        <v>1813</v>
      </c>
      <c r="B1234" s="6" t="str">
        <f>IFERROR(__xludf.DUMMYFUNCTION("GOOGLETRANSLATE(A1234,""en"",""fi"")"),"Sen häntä on paksu ja voimakas. Jos se sitoo vihollisen, se voi helposti napsauttaa uhrin selkärangan poikki.")</f>
        <v>Sen häntä on paksu ja voimakas. Jos se sitoo vihollisen, se voi helposti napsauttaa uhrin selkärangan poikki.</v>
      </c>
      <c r="C1234" s="9" t="s">
        <v>1344</v>
      </c>
    </row>
    <row r="1235" ht="33.75" customHeight="1">
      <c r="A1235" s="6" t="s">
        <v>1814</v>
      </c>
      <c r="B1235" s="6" t="str">
        <f>IFERROR(__xludf.DUMMYFUNCTION("GOOGLETRANSLATE(A1235,""en"",""fi"")"),"Se käyttää paksuja käsivarsiaan, jalkojaan ja häntäänsä hyökätäkseen voimakkaasti. Lähitaistelu on sen erikoisalaa.")</f>
        <v>Se käyttää paksuja käsivarsiaan, jalkojaan ja häntäänsä hyökätäkseen voimakkaasti. Lähitaistelu on sen erikoisalaa.</v>
      </c>
      <c r="C1235" s="9" t="s">
        <v>1344</v>
      </c>
    </row>
    <row r="1236" ht="33.75" customHeight="1">
      <c r="A1236" s="6" t="s">
        <v>1815</v>
      </c>
      <c r="B1236" s="6" t="str">
        <f>IFERROR(__xludf.DUMMYFUNCTION("GOOGLETRANSLATE(A1236,""en"",""fi"")"),"NIDOKINGin paksu häntä on valtavan tuhoisa. Yhdellä iskulla se voi kaataa metallisen lähetystornin. Kun tämä POKéMON riehuu, sitä ei voi pysäyttää.")</f>
        <v>NIDOKINGin paksu häntä on valtavan tuhoisa. Yhdellä iskulla se voi kaataa metallisen lähetystornin. Kun tämä POKéMON riehuu, sitä ei voi pysäyttää.</v>
      </c>
      <c r="C1236" s="9" t="s">
        <v>1344</v>
      </c>
    </row>
    <row r="1237" ht="33.75" customHeight="1">
      <c r="A1237" s="6" t="s">
        <v>1817</v>
      </c>
      <c r="B1237" s="6" t="str">
        <f>IFERROR(__xludf.DUMMYFUNCTION("GOOGLETRANSLATE(A1237,""en"",""fi"")"),"NIDOKINGin paksu pyrstö kantaa valtavaa tuhovoimaa, joka kykenee kaatamaan metallisen lähetystornin. Kun se lähtee riehumaan, sitä ei voi pysäyttää.")</f>
        <v>NIDOKINGin paksu pyrstö kantaa valtavaa tuhovoimaa, joka kykenee kaatamaan metallisen lähetystornin. Kun se lähtee riehumaan, sitä ei voi pysäyttää.</v>
      </c>
      <c r="C1237" s="9" t="s">
        <v>1344</v>
      </c>
    </row>
    <row r="1238" ht="33.75" customHeight="1">
      <c r="A1238" s="6" t="s">
        <v>1818</v>
      </c>
      <c r="B1238" s="6" t="str">
        <f>IFERROR(__xludf.DUMMYFUNCTION("GOOGLETRANSLATE(A1238,""en"",""fi"")"),"Sen tunnistaa kivikovasta nahastaan ​​ja pitkästä sarvestaan. Ole varovainen sarven kanssa, sillä se sisältää myrkkyä.")</f>
        <v>Sen tunnistaa kivikovasta nahastaan ​​ja pitkästä sarvestaan. Ole varovainen sarven kanssa, sillä se sisältää myrkkyä.</v>
      </c>
      <c r="C1238" s="9" t="s">
        <v>1344</v>
      </c>
    </row>
    <row r="1239" ht="33.75" customHeight="1">
      <c r="A1239" s="6" t="s">
        <v>1820</v>
      </c>
      <c r="B1239" s="6" t="str">
        <f>IFERROR(__xludf.DUMMYFUNCTION("GOOGLETRANSLATE(A1239,""en"",""fi"")"),"Se käyttää taistelussa voimakasta häntäänsä murskatakseen, kuristaakseen ja lopulta katkaistakseen saaliinsa luut.")</f>
        <v>Se käyttää taistelussa voimakasta häntäänsä murskatakseen, kuristaakseen ja lopulta katkaistakseen saaliinsa luut.</v>
      </c>
      <c r="C1239" s="9" t="s">
        <v>1344</v>
      </c>
    </row>
    <row r="1240" ht="33.75" customHeight="1">
      <c r="A1240" s="6" t="s">
        <v>1821</v>
      </c>
      <c r="B1240" s="6" t="str">
        <f>IFERROR(__xludf.DUMMYFUNCTION("GOOGLETRANSLATE(A1240,""en"",""fi"")"),"Yksi mahtavan pyrstön heilautus voi katkaista puhelinpylvään kuin tulitikun.")</f>
        <v>Yksi mahtavan pyrstön heilautus voi katkaista puhelinpylvään kuin tulitikun.</v>
      </c>
      <c r="C1240" s="9" t="s">
        <v>1344</v>
      </c>
    </row>
    <row r="1241" ht="33.75" customHeight="1">
      <c r="A1241" s="6" t="s">
        <v>1822</v>
      </c>
      <c r="B1241" s="6" t="str">
        <f>IFERROR(__xludf.DUMMYFUNCTION("GOOGLETRANSLATE(A1241,""en"",""fi"")"),"Sen häntä on paksu ja voimakas. Jos se sitoo vihollisen, se voi tehdä uhrin helposti avuttomaksi.")</f>
        <v>Sen häntä on paksu ja voimakas. Jos se sitoo vihollisen, se voi tehdä uhrin helposti avuttomaksi.</v>
      </c>
      <c r="C1241" s="9" t="s">
        <v>1344</v>
      </c>
    </row>
    <row r="1242" ht="33.75" customHeight="1">
      <c r="A1242" s="6" t="s">
        <v>1823</v>
      </c>
      <c r="B1242" s="6" t="str">
        <f>IFERROR(__xludf.DUMMYFUNCTION("GOOGLETRANSLATE(A1242,""en"",""fi"")"),"Sen tunnistaa kivikovasta nahastaan ​​ja pitkästä sarvestaan. Ole varovainen sarven kanssa, sillä se sisältää myrkkyä.")</f>
        <v>Sen tunnistaa kivikovasta nahastaan ​​ja pitkästä sarvestaan. Ole varovainen sarven kanssa, sillä se sisältää myrkkyä.</v>
      </c>
      <c r="C1242" s="9" t="s">
        <v>1344</v>
      </c>
    </row>
    <row r="1243" ht="33.75" customHeight="1">
      <c r="A1243" s="6" t="s">
        <v>1824</v>
      </c>
      <c r="B1243" s="6" t="str">
        <f>IFERROR(__xludf.DUMMYFUNCTION("GOOGLETRANSLATE(A1243,""en"",""fi"")"),"Nidokingin paksu häntä on valtavan tuhoisa. Yhdellä iskulla se voi kaataa metallisen lähetystornin. Kun tämä Pokémon riehuu, sitä ei voi pysäyttää.")</f>
        <v>Nidokingin paksu häntä on valtavan tuhoisa. Yhdellä iskulla se voi kaataa metallisen lähetystornin. Kun tämä Pokémon riehuu, sitä ei voi pysäyttää.</v>
      </c>
      <c r="C1243" s="9" t="s">
        <v>1344</v>
      </c>
    </row>
    <row r="1244" ht="33.75" customHeight="1">
      <c r="A1244" s="6" t="s">
        <v>1825</v>
      </c>
      <c r="B1244" s="6" t="str">
        <f>IFERROR(__xludf.DUMMYFUNCTION("GOOGLETRANSLATE(A1244,""en"",""fi"")"),"Kun se riehuu, sitä on mahdotonta hallita. Mutta pitkään yhdessä olleen Nidokeyn läsnäollessa Nidoking rauhoittuu.")</f>
        <v>Kun se riehuu, sitä on mahdotonta hallita. Mutta pitkään yhdessä olleen Nidokeyn läsnäollessa Nidoking rauhoittuu.</v>
      </c>
      <c r="C1244" s="9" t="s">
        <v>1344</v>
      </c>
    </row>
    <row r="1245" ht="33.75" customHeight="1">
      <c r="A1245" s="6" t="s">
        <v>1826</v>
      </c>
      <c r="B1245" s="6" t="str">
        <f>IFERROR(__xludf.DUMMYFUNCTION("GOOGLETRANSLATE(A1245,""en"",""fi"")"),"Nidoking on ylpeä vahvuudestaan. Se on taistelussa voimakas ja eloisa, hyödyntäen paksua häntäänsä ja timantteja murskaavaa sarveaan.")</f>
        <v>Nidoking on ylpeä vahvuudestaan. Se on taistelussa voimakas ja eloisa, hyödyntäen paksua häntäänsä ja timantteja murskaavaa sarveaan.</v>
      </c>
      <c r="C1245" s="9" t="s">
        <v>1344</v>
      </c>
    </row>
    <row r="1246" ht="33.75" customHeight="1">
      <c r="A1246" s="6" t="s">
        <v>1827</v>
      </c>
      <c r="B1246" s="6" t="str">
        <f>IFERROR(__xludf.DUMMYFUNCTION("GOOGLETRANSLATE(A1246,""en"",""fi"")"),"Sen maaginen ja suloinen viehätysvoima on täynnä ihailijoita. Se on harvinainen ja sitä tavataan vain tietyillä alueilla.")</f>
        <v>Sen maaginen ja suloinen viehätysvoima on täynnä ihailijoita. Se on harvinainen ja sitä tavataan vain tietyillä alueilla.</v>
      </c>
      <c r="C1246" s="9" t="s">
        <v>1344</v>
      </c>
    </row>
    <row r="1247" ht="33.75" customHeight="1">
      <c r="A1247" s="6" t="s">
        <v>1828</v>
      </c>
      <c r="B1247" s="6" t="str">
        <f>IFERROR(__xludf.DUMMYFUNCTION("GOOGLETRANSLATE(A1247,""en"",""fi"")"),"Ihailtu söpön ulkonäkönsä ja leikkisyytensä vuoksi. Niiden uskotaan olevan harvinaisia, koska ne eivät esiinny usein.")</f>
        <v>Ihailtu söpön ulkonäkönsä ja leikkisyytensä vuoksi. Niiden uskotaan olevan harvinaisia, koska ne eivät esiinny usein.</v>
      </c>
      <c r="C1247" s="9" t="s">
        <v>1344</v>
      </c>
    </row>
    <row r="1248" ht="33.75" customHeight="1">
      <c r="A1248" s="6" t="s">
        <v>1829</v>
      </c>
      <c r="B1248" s="6" t="str">
        <f>IFERROR(__xludf.DUMMYFUNCTION("GOOGLETRANSLATE(A1248,""en"",""fi"")"),"Kuunvalo, jonka se varastoi selkänsä siipiin, antaa sille ilmeisesti kyvyn leijua ilmassa.")</f>
        <v>Kuunvalo, jonka se varastoi selkänsä siipiin, antaa sille ilmeisesti kyvyn leijua ilmassa.</v>
      </c>
      <c r="C1248" s="9" t="s">
        <v>1344</v>
      </c>
    </row>
    <row r="1249" ht="33.75" customHeight="1">
      <c r="A1249" s="6" t="s">
        <v>1830</v>
      </c>
      <c r="B1249" s="6" t="str">
        <f>IFERROR(__xludf.DUMMYFUNCTION("GOOGLETRANSLATE(A1249,""en"",""fi"")"),"Sen suloinen käytös ja itku tekevät siitä erittäin suositun. Tätä suloista POKéMONia näkee kuitenkin harvoin.")</f>
        <v>Sen suloinen käytös ja itku tekevät siitä erittäin suositun. Tätä suloista POKéMONia näkee kuitenkin harvoin.</v>
      </c>
      <c r="C1249" s="9" t="s">
        <v>1344</v>
      </c>
    </row>
    <row r="1250" ht="33.75" customHeight="1">
      <c r="A1250" s="6" t="s">
        <v>1832</v>
      </c>
      <c r="B1250" s="6" t="str">
        <f>IFERROR(__xludf.DUMMYFUNCTION("GOOGLETRANSLATE(A1250,""en"",""fi"")"),"Vaikka sitä nähdään harvoin, se on jostain syystä helpompi havaita täysikuun aikaan.")</f>
        <v>Vaikka sitä nähdään harvoin, se on jostain syystä helpompi havaita täysikuun aikaan.</v>
      </c>
      <c r="C1250" s="9" t="s">
        <v>1344</v>
      </c>
    </row>
    <row r="1251" ht="33.75" customHeight="1">
      <c r="A1251" s="6" t="s">
        <v>1833</v>
      </c>
      <c r="B1251" s="6" t="str">
        <f>IFERROR(__xludf.DUMMYFUNCTION("GOOGLETRANSLATE(A1251,""en"",""fi"")"),"Joka täysikuun yönä näiden POKéMONien ryhmät tulevat ulos leikkimään. Aamun sarastaessa väsyneet CLEFAIRYt palaavat hiljaisiin vuoristopaikkoihinsa ja nukahtavat painautuneena toisiaan vasten.")</f>
        <v>Joka täysikuun yönä näiden POKéMONien ryhmät tulevat ulos leikkimään. Aamun sarastaessa väsyneet CLEFAIRYt palaavat hiljaisiin vuoristopaikkoihinsa ja nukahtavat painautuneena toisiaan vasten.</v>
      </c>
      <c r="C1251" s="9" t="s">
        <v>1344</v>
      </c>
    </row>
    <row r="1252" ht="33.75" customHeight="1">
      <c r="A1252" s="6" t="s">
        <v>1834</v>
      </c>
      <c r="B1252" s="6" t="str">
        <f>IFERROR(__xludf.DUMMYFUNCTION("GOOGLETRANSLATE(A1252,""en"",""fi"")"),"Täydenkuun aikaan he tulevat ulos leikkimään. Aamun sarastaessa väsyneet Clefairyt nukahtavat painautuneena toisiaan vasten syvien ja hiljaisten vuorten sekaan.")</f>
        <v>Täydenkuun aikaan he tulevat ulos leikkimään. Aamun sarastaessa väsyneet Clefairyt nukahtavat painautuneena toisiaan vasten syvien ja hiljaisten vuorten sekaan.</v>
      </c>
      <c r="C1252" s="9" t="s">
        <v>1344</v>
      </c>
    </row>
    <row r="1253" ht="33.75" customHeight="1">
      <c r="A1253" s="6" t="s">
        <v>1835</v>
      </c>
      <c r="B1253" s="6" t="str">
        <f>IFERROR(__xludf.DUMMYFUNCTION("GOOGLETRANSLATE(A1253,""en"",""fi"")"),"Sen ihastuttava ulkonäkö tekee siitä suositun lemmikkinä. Se on kuitenkin harvinainen ja vaikea löytää.")</f>
        <v>Sen ihastuttava ulkonäkö tekee siitä suositun lemmikkinä. Se on kuitenkin harvinainen ja vaikea löytää.</v>
      </c>
      <c r="C1253" s="9" t="s">
        <v>1344</v>
      </c>
    </row>
    <row r="1254" ht="33.75" customHeight="1">
      <c r="A1254" s="6" t="s">
        <v>1837</v>
      </c>
      <c r="B1254" s="6" t="str">
        <f>IFERROR(__xludf.DUMMYFUNCTION("GOOGLETRANSLATE(A1254,""en"",""fi"")"),"Maagisen ja söpön viehätyksensä ansiosta sillä on paljon ihailijoita. Se on harvinainen ja sitä tavataan vain tietyillä alueilla.")</f>
        <v>Maagisen ja söpön viehätyksensä ansiosta sillä on paljon ihailijoita. Se on harvinainen ja sitä tavataan vain tietyillä alueilla.</v>
      </c>
      <c r="C1254" s="9" t="s">
        <v>1344</v>
      </c>
    </row>
    <row r="1255" ht="33.75" customHeight="1">
      <c r="A1255" s="6" t="s">
        <v>1838</v>
      </c>
      <c r="B1255" s="6" t="str">
        <f>IFERROR(__xludf.DUMMYFUNCTION("GOOGLETRANSLATE(A1255,""en"",""fi"")"),"Sen uskotaan elävän muiden kanssa hiljaisilla vuorilla, ja se on suosittu ihastuttavan luontonsa vuoksi.")</f>
        <v>Sen uskotaan elävän muiden kanssa hiljaisilla vuorilla, ja se on suosittu ihastuttavan luontonsa vuoksi.</v>
      </c>
      <c r="C1255" s="9" t="s">
        <v>1344</v>
      </c>
    </row>
    <row r="1256" ht="33.75" customHeight="1">
      <c r="A1256" s="6" t="s">
        <v>1840</v>
      </c>
      <c r="B1256" s="6" t="str">
        <f>IFERROR(__xludf.DUMMYFUNCTION("GOOGLETRANSLATE(A1256,""en"",""fi"")"),"Se lentää käyttäen selkänsä siipiä kuunvalon keräämiseen. Tätä Pokémonia on vaikea löytää.")</f>
        <v>Se lentää käyttäen selkänsä siipiä kuunvalon keräämiseen. Tätä Pokémonia on vaikea löytää.</v>
      </c>
      <c r="C1256" s="9" t="s">
        <v>1344</v>
      </c>
    </row>
    <row r="1257" ht="33.75" customHeight="1">
      <c r="A1257" s="6" t="s">
        <v>1841</v>
      </c>
      <c r="B1257" s="6" t="str">
        <f>IFERROR(__xludf.DUMMYFUNCTION("GOOGLETRANSLATE(A1257,""en"",""fi"")"),"Sanotaan, että onni saavuttaa ne, jotka näkevät CLEFAIRY-väen tanssivan täysikuun aikaan.")</f>
        <v>Sanotaan, että onni saavuttaa ne, jotka näkevät CLEFAIRY-väen tanssivan täysikuun aikaan.</v>
      </c>
      <c r="C1257" s="9" t="s">
        <v>1344</v>
      </c>
    </row>
    <row r="1258" ht="33.75" customHeight="1">
      <c r="A1258" s="6" t="s">
        <v>1844</v>
      </c>
      <c r="B1258" s="6" t="str">
        <f>IFERROR(__xludf.DUMMYFUNCTION("GOOGLETRANSLATE(A1258,""en"",""fi"")"),"Sen ihastuttava käytös ja itku tekevät siitä erittäin suositun. Tätä suloista Pokémonia löytyy kuitenkin harvoin.")</f>
        <v>Sen ihastuttava käytös ja itku tekevät siitä erittäin suositun. Tätä suloista Pokémonia löytyy kuitenkin harvoin.</v>
      </c>
      <c r="C1258" s="9" t="s">
        <v>1344</v>
      </c>
    </row>
    <row r="1259" ht="33.75" customHeight="1">
      <c r="A1259" s="6" t="s">
        <v>1846</v>
      </c>
      <c r="B1259" s="6" t="str">
        <f>IFERROR(__xludf.DUMMYFUNCTION("GOOGLETRANSLATE(A1259,""en"",""fi"")"),"Sanotaan, että onni tulee niille, jotka näkevät Clefairy-joukkojen tanssivan täysikuun aikaan.")</f>
        <v>Sanotaan, että onni tulee niille, jotka näkevät Clefairy-joukkojen tanssivan täysikuun aikaan.</v>
      </c>
      <c r="C1259" s="9" t="s">
        <v>1344</v>
      </c>
    </row>
    <row r="1260" ht="33.75" customHeight="1">
      <c r="A1260" s="6" t="s">
        <v>1847</v>
      </c>
      <c r="B1260" s="6" t="str">
        <f>IFERROR(__xludf.DUMMYFUNCTION("GOOGLETRANSLATE(A1260,""en"",""fi"")"),"Täydenkuun öinä clefairy-perhoset kokoontuvat kaikkialta tanssimaan. Kuunvalossa kylpeminen saa ne leijumaan.")</f>
        <v>Täydenkuun öinä clefairy-perhoset kokoontuvat kaikkialta tanssimaan. Kuunvalossa kylpeminen saa ne leijumaan.</v>
      </c>
      <c r="C1260" s="9" t="s">
        <v>1344</v>
      </c>
    </row>
    <row r="1261" ht="33.75" customHeight="1">
      <c r="A1261" s="6" t="s">
        <v>1850</v>
      </c>
      <c r="B1261" s="6" t="str">
        <f>IFERROR(__xludf.DUMMYFUNCTION("GOOGLETRANSLATE(A1261,""en"",""fi"")"),"Täydenkuun aikaan tämän Pokémonin ryhmiä tulee ulos leikkimään. Aamun sarastaessa väsyneet Clefairyt palaavat hiljaisiin vuoristopaikkoihinsa ja nukahtavat painautuneena toisiaan vasten.")</f>
        <v>Täydenkuun aikaan tämän Pokémonin ryhmiä tulee ulos leikkimään. Aamun sarastaessa väsyneet Clefairyt palaavat hiljaisiin vuoristopaikkoihinsa ja nukahtavat painautuneena toisiaan vasten.</v>
      </c>
      <c r="C1261" s="9" t="s">
        <v>1344</v>
      </c>
    </row>
    <row r="1262" ht="33.75" customHeight="1">
      <c r="A1262" s="6" t="s">
        <v>1852</v>
      </c>
      <c r="B1262" s="6" t="str">
        <f>IFERROR(__xludf.DUMMYFUNCTION("GOOGLETRANSLATE(A1262,""en"",""fi"")"),"Sen ihastuttava käytös ja ulkonäkö tekevät siitä suositun miesten ja naisten, nuorten ja vanhojen, keskuudessa. Sitä on kuitenkin vähän.")</f>
        <v>Sen ihastuttava käytös ja ulkonäkö tekevät siitä suositun miesten ja naisten, nuorten ja vanhojen, keskuudessa. Sitä on kuitenkin vähän.</v>
      </c>
      <c r="C1262" s="9" t="s">
        <v>1344</v>
      </c>
    </row>
    <row r="1263" ht="33.75" customHeight="1">
      <c r="A1263" s="6" t="s">
        <v>1853</v>
      </c>
      <c r="B1263" s="6" t="str">
        <f>IFERROR(__xludf.DUMMYFUNCTION("GOOGLETRANSLATE(A1263,""en"",""fi"")"),"Täydenkuun öinä ne kokoontuvat yhteen ja tanssivat. Ympäröivä alue on epänormaalin magneettikentän ympäröimä.")</f>
        <v>Täydenkuun öinä ne kokoontuvat yhteen ja tanssivat. Ympäröivä alue on epänormaalin magneettikentän ympäröimä.</v>
      </c>
      <c r="C1263" s="9" t="s">
        <v>1344</v>
      </c>
    </row>
    <row r="1264" ht="33.75" customHeight="1">
      <c r="A1264" s="6" t="s">
        <v>1854</v>
      </c>
      <c r="B1264" s="6" t="str">
        <f>IFERROR(__xludf.DUMMYFUNCTION("GOOGLETRANSLATE(A1264,""en"",""fi"")"),"Ne ovat suosittuja, mutta harvinaisia. Niitä holtittomasti esittelevät kouluttajat voivat joutua varkaiden kohteeksi.")</f>
        <v>Ne ovat suosittuja, mutta harvinaisia. Niitä holtittomasti esittelevät kouluttajat voivat joutua varkaiden kohteeksi.</v>
      </c>
      <c r="C1264" s="9" t="s">
        <v>1344</v>
      </c>
    </row>
    <row r="1265" ht="33.75" customHeight="1">
      <c r="A1265" s="6" t="s">
        <v>1855</v>
      </c>
      <c r="B1265" s="6" t="str">
        <f>IFERROR(__xludf.DUMMYFUNCTION("GOOGLETRANSLATE(A1265,""en"",""fi"")"),"Kuunvalossa kylpevät sen siivet hehkuvat himmeästi. Räpyttelemättäkään Clefairy nousee ilmaan ja tanssii ympäriinsä.")</f>
        <v>Kuunvalossa kylpevät sen siivet hehkuvat himmeästi. Räpyttelemättäkään Clefairy nousee ilmaan ja tanssii ympäriinsä.</v>
      </c>
      <c r="C1265" s="9" t="s">
        <v>1344</v>
      </c>
    </row>
    <row r="1266" ht="33.75" customHeight="1">
      <c r="A1266" s="6" t="s">
        <v>1857</v>
      </c>
      <c r="B1266" s="6" t="str">
        <f>IFERROR(__xludf.DUMMYFUNCTION("GOOGLETRANSLATE(A1266,""en"",""fi"")"),"Sitä voi tavata hiljaisilla vuoristoalueilla täysikuun yönä. Sen tanssi ja pienet, himmeästi hohtavat siivet antavat sille ihanan keijukaisen luonteen.")</f>
        <v>Sitä voi tavata hiljaisilla vuoristoalueilla täysikuun yönä. Sen tanssi ja pienet, himmeästi hohtavat siivet antavat sille ihanan keijukaisen luonteen.</v>
      </c>
      <c r="C1266" s="9" t="s">
        <v>1344</v>
      </c>
    </row>
    <row r="1267" ht="33.75" customHeight="1">
      <c r="A1267" s="6" t="s">
        <v>1858</v>
      </c>
      <c r="B1267" s="6" t="str">
        <f>IFERROR(__xludf.DUMMYFUNCTION("GOOGLETRANSLATE(A1267,""en"",""fi"")"),"Ujo keiju-POKéMON, jota näkee harvoin. Se juoksee piiloon heti, kun se havaitsee ihmisiä.")</f>
        <v>Ujo keiju-POKéMON, jota näkee harvoin. Se juoksee piiloon heti, kun se havaitsee ihmisiä.</v>
      </c>
      <c r="C1267" s="9" t="s">
        <v>1344</v>
      </c>
    </row>
    <row r="1268" ht="33.75" customHeight="1">
      <c r="A1268" s="6" t="s">
        <v>1860</v>
      </c>
      <c r="B1268" s="6" t="str">
        <f>IFERROR(__xludf.DUMMYFUNCTION("GOOGLETRANSLATE(A1268,""en"",""fi"")"),"Ne vaikuttavat olevan hyvin suojelevaisia ​​omaa maailmaansa kohtaan. Ne ovat eräänlaisia ​​keijuja, joita ihmiset harvoin näkevät.")</f>
        <v>Ne vaikuttavat olevan hyvin suojelevaisia ​​omaa maailmaansa kohtaan. Ne ovat eräänlaisia ​​keijuja, joita ihmiset harvoin näkevät.</v>
      </c>
      <c r="C1268" s="9" t="s">
        <v>1344</v>
      </c>
    </row>
    <row r="1269" ht="33.75" customHeight="1">
      <c r="A1269" s="6" t="s">
        <v>1861</v>
      </c>
      <c r="B1269" s="6" t="str">
        <f>IFERROR(__xludf.DUMMYFUNCTION("GOOGLETRANSLATE(A1269,""en"",""fi"")"),"Terävän kuulonsa ansiosta se pystyy havaitsemaan ääniä kaukaa. Se yleensä piiloutuu hiljaisiin paikkoihin.")</f>
        <v>Terävän kuulonsa ansiosta se pystyy havaitsemaan ääniä kaukaa. Se yleensä piiloutuu hiljaisiin paikkoihin.</v>
      </c>
      <c r="C1269" s="9" t="s">
        <v>1344</v>
      </c>
    </row>
    <row r="1270" ht="33.75" customHeight="1">
      <c r="A1270" s="6" t="s">
        <v>1862</v>
      </c>
      <c r="B1270" s="6" t="str">
        <f>IFERROR(__xludf.DUMMYFUNCTION("GOOGLETRANSLATE(A1270,""en"",""fi"")"),"Sen erittäin herkät korvat auttavat sitä erottamaan kaukaiset äänet. Siksi se viihtyy hiljaisissa paikoissa.")</f>
        <v>Sen erittäin herkät korvat auttavat sitä erottamaan kaukaiset äänet. Siksi se viihtyy hiljaisissa paikoissa.</v>
      </c>
      <c r="C1270" s="9" t="s">
        <v>1344</v>
      </c>
    </row>
    <row r="1271" ht="33.75" customHeight="1">
      <c r="A1271" s="6" t="s">
        <v>1864</v>
      </c>
      <c r="B1271" s="6" t="str">
        <f>IFERROR(__xludf.DUMMYFUNCTION("GOOGLETRANSLATE(A1271,""en"",""fi"")"),"Tämän tyyppisen keijun sanotaan asuvan hiljaisilla, syrjäisillä vuorilla, ja hänellä on voimakas vastenmielisyys tulla nähdyksi.")</f>
        <v>Tämän tyyppisen keijun sanotaan asuvan hiljaisilla, syrjäisillä vuorilla, ja hänellä on voimakas vastenmielisyys tulla nähdyksi.</v>
      </c>
      <c r="C1271" s="9" t="s">
        <v>1344</v>
      </c>
    </row>
    <row r="1272" ht="33.75" customHeight="1">
      <c r="A1272" s="6" t="s">
        <v>1865</v>
      </c>
      <c r="B1272" s="6" t="str">
        <f>IFERROR(__xludf.DUMMYFUNCTION("GOOGLETRANSLATE(A1272,""en"",""fi"")"),"CLEFABLE liikkuu hyppimällä kevyesti ikään kuin se lentäisi siipiään käyttäen. Sen pomppivan askeleen ansiosta se voi jopa kävellä veden päällä. Sen tiedetään tekevän kävelyretkiä järvillä hiljaisina, kuutamoisina öinä.")</f>
        <v>CLEFABLE liikkuu hyppimällä kevyesti ikään kuin se lentäisi siipiään käyttäen. Sen pomppivan askeleen ansiosta se voi jopa kävellä veden päällä. Sen tiedetään tekevän kävelyretkiä järvillä hiljaisina, kuutamoisina öinä.</v>
      </c>
      <c r="C1272" s="9" t="s">
        <v>1344</v>
      </c>
    </row>
    <row r="1273" ht="33.75" customHeight="1">
      <c r="A1273" s="6" t="s">
        <v>1867</v>
      </c>
      <c r="B1273" s="6" t="str">
        <f>IFERROR(__xludf.DUMMYFUNCTION("GOOGLETRANSLATE(A1273,""en"",""fi"")"),"PUHDISTETTAVA hyppii kevyesti siipiensä avulla aivan kuin se lentäisi. Sen pomppivan askeleen ansiosta se voi jopa kävellä veden päällä. Hiljaisina, kuutamoisina öinä se vaeltelee järvien pinnalla.")</f>
        <v>PUHDISTETTAVA hyppii kevyesti siipiensä avulla aivan kuin se lentäisi. Sen pomppivan askeleen ansiosta se voi jopa kävellä veden päällä. Hiljaisina, kuutamoisina öinä se vaeltelee järvien pinnalla.</v>
      </c>
      <c r="C1273" s="9" t="s">
        <v>1344</v>
      </c>
    </row>
    <row r="1274" ht="33.75" customHeight="1">
      <c r="A1274" s="6" t="s">
        <v>1869</v>
      </c>
      <c r="B1274" s="6" t="str">
        <f>IFERROR(__xludf.DUMMYFUNCTION("GOOGLETRANSLATE(A1274,""en"",""fi"")"),"Sillä on tarkka kuulo. Se kuulee helposti neulan putoamisen lähes 1 100 metrin päästä.")</f>
        <v>Sillä on tarkka kuulo. Se kuulee helposti neulan putoamisen lähes 1 100 metrin päästä.</v>
      </c>
      <c r="C1274" s="9" t="s">
        <v>1344</v>
      </c>
    </row>
    <row r="1275" ht="33.75" customHeight="1">
      <c r="A1275" s="6" t="s">
        <v>1870</v>
      </c>
      <c r="B1275" s="6" t="str">
        <f>IFERROR(__xludf.DUMMYFUNCTION("GOOGLETRANSLATE(A1275,""en"",""fi"")"),"Harvoin nähty ujo keiju-POKéMON juoksee piiloon havaitessaan ihmisiä.")</f>
        <v>Harvoin nähty ujo keiju-POKéMON juoksee piiloon havaitessaan ihmisiä.</v>
      </c>
      <c r="C1275" s="9" t="s">
        <v>1344</v>
      </c>
    </row>
    <row r="1276" ht="33.75" customHeight="1">
      <c r="A1276" s="6" t="s">
        <v>1871</v>
      </c>
      <c r="B1276" s="6" t="str">
        <f>IFERROR(__xludf.DUMMYFUNCTION("GOOGLETRANSLATE(A1276,""en"",""fi"")"),"Ihmiset näkevät sen harvoin, ja sen sanotaan vetävän täysikuun puoleensa leikkimään autioilla järvillä.")</f>
        <v>Ihmiset näkevät sen harvoin, ja sen sanotaan vetävän täysikuun puoleensa leikkimään autioilla järvillä.</v>
      </c>
      <c r="C1276" s="9" t="s">
        <v>1344</v>
      </c>
    </row>
    <row r="1277" ht="33.75" customHeight="1">
      <c r="A1277" s="6" t="s">
        <v>1873</v>
      </c>
      <c r="B1277" s="6" t="str">
        <f>IFERROR(__xludf.DUMMYFUNCTION("GOOGLETRANSLATE(A1277,""en"",""fi"")"),"Sen kuulo on niin tarkka, että se voi kuulla neulan putoamisen yli 800 metrin päästä. Se elää hiljaisilla vuorilla.")</f>
        <v>Sen kuulo on niin tarkka, että se voi kuulla neulan putoamisen yli 800 metrin päästä. Se elää hiljaisilla vuorilla.</v>
      </c>
      <c r="C1277" s="9" t="s">
        <v>1344</v>
      </c>
    </row>
    <row r="1278" ht="33.75" customHeight="1">
      <c r="A1278" s="6" t="s">
        <v>1874</v>
      </c>
      <c r="B1278" s="6" t="str">
        <f>IFERROR(__xludf.DUMMYFUNCTION("GOOGLETRANSLATE(A1278,""en"",""fi"")"),"Se on hyvin varovainen ja näyttäytyy harvoin ihmisille. Sen korvat kuulevat neulan putoamisen yli 800 metrin päästä.")</f>
        <v>Se on hyvin varovainen ja näyttäytyy harvoin ihmisille. Sen korvat kuulevat neulan putoamisen yli 800 metrin päästä.</v>
      </c>
      <c r="C1278" s="9" t="s">
        <v>1344</v>
      </c>
    </row>
    <row r="1279" ht="33.75" customHeight="1">
      <c r="A1279" s="6" t="s">
        <v>1876</v>
      </c>
      <c r="B1279" s="6" t="str">
        <f>IFERROR(__xludf.DUMMYFUNCTION("GOOGLETRANSLATE(A1279,""en"",""fi"")"),"Sen erittäin herkät korvat auttavat sitä erottamaan kaukaiset äänet. Siksi se suosii hiljaisia ​​paikkoja.")</f>
        <v>Sen erittäin herkät korvat auttavat sitä erottamaan kaukaiset äänet. Siksi se suosii hiljaisia ​​paikkoja.</v>
      </c>
      <c r="C1279" s="9" t="s">
        <v>1344</v>
      </c>
    </row>
    <row r="1280" ht="33.75" customHeight="1">
      <c r="A1280" s="6" t="s">
        <v>1878</v>
      </c>
      <c r="B1280" s="6" t="str">
        <f>IFERROR(__xludf.DUMMYFUNCTION("GOOGLETRANSLATE(A1280,""en"",""fi"")"),"Niiden korvat ovat riittävän herkät kuulemaan neulan putoamisen yli mailin päästä, joten ne tavataan yleensä hiljaisissa paikoissa.")</f>
        <v>Niiden korvat ovat riittävän herkät kuulemaan neulan putoamisen yli mailin päästä, joten ne tavataan yleensä hiljaisissa paikoissa.</v>
      </c>
      <c r="C1280" s="9" t="s">
        <v>1344</v>
      </c>
    </row>
    <row r="1281" ht="33.75" customHeight="1">
      <c r="A1281" s="6" t="s">
        <v>1879</v>
      </c>
      <c r="B1281" s="6" t="str">
        <f>IFERROR(__xludf.DUMMYFUNCTION("GOOGLETRANSLATE(A1281,""en"",""fi"")"),"Harvoin nähty arka keiju-Pokémon juoksee piiloon havaitessaan ihmisiä.")</f>
        <v>Harvoin nähty arka keiju-Pokémon juoksee piiloon havaitessaan ihmisiä.</v>
      </c>
      <c r="C1281" s="9" t="s">
        <v>1344</v>
      </c>
    </row>
    <row r="1282" ht="33.75" customHeight="1">
      <c r="A1282" s="6" t="s">
        <v>1881</v>
      </c>
      <c r="B1282" s="6" t="str">
        <f>IFERROR(__xludf.DUMMYFUNCTION("GOOGLETRANSLATE(A1282,""en"",""fi"")"),"Clefable liikkuu hyppimällä kevyesti aivan kuin se lentäisi siipiään käyttäen. Sen pomppivan askeleen ansiosta se voi jopa kävellä veden päällä. Sen tiedetään tekevän kävelyretkiä järvillä hiljaisina, kuutamoisina öinä.")</f>
        <v>Clefable liikkuu hyppimällä kevyesti aivan kuin se lentäisi siipiään käyttäen. Sen pomppivan askeleen ansiosta se voi jopa kävellä veden päällä. Sen tiedetään tekevän kävelyretkiä järvillä hiljaisina, kuutamoisina öinä.</v>
      </c>
      <c r="C1282" s="9" t="s">
        <v>1344</v>
      </c>
    </row>
    <row r="1283" ht="33.75" customHeight="1">
      <c r="A1283" s="6" t="s">
        <v>1882</v>
      </c>
      <c r="B1283" s="6" t="str">
        <f>IFERROR(__xludf.DUMMYFUNCTION("GOOGLETRANSLATE(A1283,""en"",""fi"")"),"Ne eivät halua paljastaa itseään ihmisten edessä. Ne elävät hiljaa laumoissa syvällä vuoristossa.")</f>
        <v>Ne eivät halua paljastaa itseään ihmisten edessä. Ne elävät hiljaa laumoissa syvällä vuoristossa.</v>
      </c>
      <c r="C1283" s="9" t="s">
        <v>1344</v>
      </c>
    </row>
    <row r="1284" ht="33.75" customHeight="1">
      <c r="A1284" s="6" t="s">
        <v>1883</v>
      </c>
      <c r="B1284" s="6" t="str">
        <f>IFERROR(__xludf.DUMMYFUNCTION("GOOGLETRANSLATE(A1284,""en"",""fi"")"),"Perimätiedon mukaan ihmiset, jotka näkevät Clefable-parin hyppimässä ohi, voivat odottaa onnellista avioliittoa.")</f>
        <v>Perimätiedon mukaan ihmiset, jotka näkevät Clefable-parin hyppimässä ohi, voivat odottaa onnellista avioliittoa.</v>
      </c>
      <c r="C1284" s="9" t="s">
        <v>1344</v>
      </c>
    </row>
    <row r="1285" ht="33.75" customHeight="1">
      <c r="A1285" s="6" t="s">
        <v>1884</v>
      </c>
      <c r="B1285" s="6" t="str">
        <f>IFERROR(__xludf.DUMMYFUNCTION("GOOGLETRANSLATE(A1285,""en"",""fi"")"),"Se ei voi olla kuulematta neulan putoavan yli 800 metrin päästä, joten se asuu syvällä vuoristossa, missä ei ole paljon ihmisiä tai Pokémoneja.")</f>
        <v>Se ei voi olla kuulematta neulan putoavan yli 800 metrin päästä, joten se asuu syvällä vuoristossa, missä ei ole paljon ihmisiä tai Pokémoneja.</v>
      </c>
      <c r="C1285" s="9" t="s">
        <v>1344</v>
      </c>
    </row>
    <row r="1286" ht="33.75" customHeight="1">
      <c r="A1286" s="6" t="s">
        <v>1886</v>
      </c>
      <c r="B1286" s="6" t="str">
        <f>IFERROR(__xludf.DUMMYFUNCTION("GOOGLETRANSLATE(A1286,""en"",""fi"")"),"Jotkut tiedemiehet uskovat, että se tuijottaa täysikuun öinä intensiivisesti taivasta, koska se kaipaa kotia.")</f>
        <v>Jotkut tiedemiehet uskovat, että se tuijottaa täysikuun öinä intensiivisesti taivasta, koska se kaipaa kotia.</v>
      </c>
      <c r="C1286" s="9" t="s">
        <v>1344</v>
      </c>
    </row>
    <row r="1287" ht="33.75" customHeight="1">
      <c r="A1287" s="6" t="s">
        <v>1887</v>
      </c>
      <c r="B1287" s="6" t="str">
        <f>IFERROR(__xludf.DUMMYFUNCTION("GOOGLETRANSLATE(A1287,""en"",""fi"")"),"Legendan mukaan se kuuntelee kirkkaina, hiljaisina öinä sukulaistensa ääniä kuussa. Minäkin ajattelen usein kaukaista kotimaatani.")</f>
        <v>Legendan mukaan se kuuntelee kirkkaina, hiljaisina öinä sukulaistensa ääniä kuussa. Minäkin ajattelen usein kaukaista kotimaatani.</v>
      </c>
      <c r="C1287" s="9" t="s">
        <v>1344</v>
      </c>
    </row>
    <row r="1288" ht="33.75" customHeight="1">
      <c r="A1288" s="6" t="s">
        <v>1888</v>
      </c>
      <c r="B1288" s="6" t="str">
        <f>IFERROR(__xludf.DUMMYFUNCTION("GOOGLETRANSLATE(A1288,""en"",""fi"")"),"Syntyessään sillä on vain yksi häntä. Häntä haarautuu kärjestä sen kasvaessa.")</f>
        <v>Syntyessään sillä on vain yksi häntä. Häntä haarautuu kärjestä sen kasvaessa.</v>
      </c>
      <c r="C1288" s="9" t="s">
        <v>1344</v>
      </c>
    </row>
    <row r="1289" ht="33.75" customHeight="1">
      <c r="A1289" s="6" t="s">
        <v>1889</v>
      </c>
      <c r="B1289" s="6" t="str">
        <f>IFERROR(__xludf.DUMMYFUNCTION("GOOGLETRANSLATE(A1289,""en"",""fi"")"),"Sekä sen turkki että sen häntä ovat kauniita. Kasvaessaan hännät jakautuvat ja muodostavat lisää häntiä.")</f>
        <v>Sekä sen turkki että sen häntä ovat kauniita. Kasvaessaan hännät jakautuvat ja muodostavat lisää häntiä.</v>
      </c>
      <c r="C1289" s="9" t="s">
        <v>1344</v>
      </c>
    </row>
    <row r="1290" ht="33.75" customHeight="1">
      <c r="A1290" s="6" t="s">
        <v>1891</v>
      </c>
      <c r="B1290" s="6" t="str">
        <f>IFERROR(__xludf.DUMMYFUNCTION("GOOGLETRANSLATE(A1290,""en"",""fi"")"),"Kehittyessään sen yksi valkoinen häntä saa väriä ja jakautuu kuuteen osaan. Se on melko lämmin ja suloinen.")</f>
        <v>Kehittyessään sen yksi valkoinen häntä saa väriä ja jakautuu kuuteen osaan. Se on melko lämmin ja suloinen.</v>
      </c>
      <c r="C1290" s="9" t="s">
        <v>1344</v>
      </c>
    </row>
    <row r="1291" ht="33.75" customHeight="1">
      <c r="A1291" s="6" t="s">
        <v>1892</v>
      </c>
      <c r="B1291" s="6" t="str">
        <f>IFERROR(__xludf.DUMMYFUNCTION("GOOGLETRANSLATE(A1291,""en"",""fi"")"),"Jos sitä hyökkää itseään vahvempi vihollinen, se teeskentelee loukkaantuneensa huijatakseen vihollista ja pakenee.")</f>
        <v>Jos sitä hyökkää itseään vahvempi vihollinen, se teeskentelee loukkaantuneensa huijatakseen vihollista ja pakenee.</v>
      </c>
      <c r="C1291" s="9" t="s">
        <v>1344</v>
      </c>
    </row>
    <row r="1292" ht="33.75" customHeight="1">
      <c r="A1292" s="6" t="s">
        <v>1893</v>
      </c>
      <c r="B1292" s="6" t="str">
        <f>IFERROR(__xludf.DUMMYFUNCTION("GOOGLETRANSLATE(A1292,""en"",""fi"")"),"Ruumiin kasvaessa sen kuusi lämmintä häntää kauniituvat ja niiden turkki muuttuu ylellisemmäksi.")</f>
        <v>Ruumiin kasvaessa sen kuusi lämmintä häntää kauniituvat ja niiden turkki muuttuu ylellisemmäksi.</v>
      </c>
      <c r="C1292" s="9" t="s">
        <v>1344</v>
      </c>
    </row>
    <row r="1293" ht="33.75" customHeight="1">
      <c r="A1293" s="6" t="s">
        <v>1894</v>
      </c>
      <c r="B1293" s="6" t="str">
        <f>IFERROR(__xludf.DUMMYFUNCTION("GOOGLETRANSLATE(A1293,""en"",""fi"")"),"Syntyessään VULPIXilla on yksi valkoinen häntä. Häntä jakautuu kuudeksi, jos tämä POKéMON saa paljon rakkautta KOULUTTAJALTAAN. Kuusi häntää kiertyvät upeasti.")</f>
        <v>Syntyessään VULPIXilla on yksi valkoinen häntä. Häntä jakautuu kuudeksi, jos tämä POKéMON saa paljon rakkautta KOULUTTAJALTAAN. Kuusi häntää kiertyvät upeasti.</v>
      </c>
      <c r="C1293" s="9" t="s">
        <v>1344</v>
      </c>
    </row>
    <row r="1294" ht="33.75" customHeight="1">
      <c r="A1294" s="6" t="s">
        <v>1895</v>
      </c>
      <c r="B1294" s="6" t="str">
        <f>IFERROR(__xludf.DUMMYFUNCTION("GOOGLETRANSLATE(A1294,""en"",""fi"")"),"VULPIXin ruumiin sisällä palaa sammumaton liekki. Päivällä, kun lämpötila nousee, tämä POKéMON päästää liekkejä suustaan ​​estääkseen ruumiinsa kuumenemisen liikaa.")</f>
        <v>VULPIXin ruumiin sisällä palaa sammumaton liekki. Päivällä, kun lämpötila nousee, tämä POKéMON päästää liekkejä suustaan ​​estääkseen ruumiinsa kuumenemisen liikaa.</v>
      </c>
      <c r="C1294" s="9" t="s">
        <v>1344</v>
      </c>
    </row>
    <row r="1295" ht="33.75" customHeight="1">
      <c r="A1295" s="6" t="s">
        <v>1896</v>
      </c>
      <c r="B1295" s="6" t="str">
        <f>IFERROR(__xludf.DUMMYFUNCTION("GOOGLETRANSLATE(A1295,""en"",""fi"")"),"Se voi hallita tulta vapaasti, saaden tulisia palloja lentämään kuin virvatulia. Juuri ennen evoluutiota sen kuusi pyrstöä kuumenevat kuin tulessa.")</f>
        <v>Se voi hallita tulta vapaasti, saaden tulisia palloja lentämään kuin virvatulia. Juuri ennen evoluutiota sen kuusi pyrstöä kuumenevat kuin tulessa.</v>
      </c>
      <c r="C1295" s="9" t="s">
        <v>1344</v>
      </c>
    </row>
    <row r="1296" ht="33.75" customHeight="1">
      <c r="A1296" s="6" t="s">
        <v>1897</v>
      </c>
      <c r="B1296" s="6" t="str">
        <f>IFERROR(__xludf.DUMMYFUNCTION("GOOGLETRANSLATE(A1296,""en"",""fi"")"),"Nuorena sillä on kuusi upeaa pyrstöä. Kun se kasvaa, sille kasvaa useita uusia pyrstöjä.")</f>
        <v>Nuorena sillä on kuusi upeaa pyrstöä. Kun se kasvaa, sille kasvaa useita uusia pyrstöjä.</v>
      </c>
      <c r="C1296" s="9" t="s">
        <v>1344</v>
      </c>
    </row>
    <row r="1297" ht="33.75" customHeight="1">
      <c r="A1297" s="6" t="s">
        <v>1898</v>
      </c>
      <c r="B1297" s="6" t="str">
        <f>IFERROR(__xludf.DUMMYFUNCTION("GOOGLETRANSLATE(A1297,""en"",""fi"")"),"Syntyessään sillä on vain yksi lumivalkoinen häntä. Pyrstö haarautuu kärjestä sen kasvaessa.")</f>
        <v>Syntyessään sillä on vain yksi lumivalkoinen häntä. Pyrstö haarautuu kärjestä sen kasvaessa.</v>
      </c>
      <c r="C1297" s="9" t="s">
        <v>1344</v>
      </c>
    </row>
    <row r="1298" ht="33.75" customHeight="1">
      <c r="A1298" s="6" t="s">
        <v>1899</v>
      </c>
      <c r="B1298" s="6" t="str">
        <f>IFERROR(__xludf.DUMMYFUNCTION("GOOGLETRANSLATE(A1298,""en"",""fi"")"),"Se hallitsee tulipalloja. Kasvaessaan sen kuusi pyrstöä haarautuvat kärjistään muodostaen lisää pyrstöjä.")</f>
        <v>Se hallitsee tulipalloja. Kasvaessaan sen kuusi pyrstöä haarautuvat kärjistään muodostaen lisää pyrstöjä.</v>
      </c>
      <c r="C1298" s="9" t="s">
        <v>1344</v>
      </c>
    </row>
    <row r="1299" ht="33.75" customHeight="1">
      <c r="A1299" s="6" t="s">
        <v>1900</v>
      </c>
      <c r="B1299" s="6" t="str">
        <f>IFERROR(__xludf.DUMMYFUNCTION("GOOGLETRANSLATE(A1299,""en"",""fi"")"),"Kun hännän kasvaa, sen turkki muuttuu kiiltävämmäksi. Kun sitä pitää kädessä, se tuntuu hieman lämpimältä.")</f>
        <v>Kun hännän kasvaa, sen turkki muuttuu kiiltävämmäksi. Kun sitä pitää kädessä, se tuntuu hieman lämpimältä.</v>
      </c>
      <c r="C1299" s="9" t="s">
        <v>1344</v>
      </c>
    </row>
    <row r="1300" ht="33.75" customHeight="1">
      <c r="A1300" s="6" t="s">
        <v>1901</v>
      </c>
      <c r="B1300" s="6" t="str">
        <f>IFERROR(__xludf.DUMMYFUNCTION("GOOGLETRANSLATE(A1300,""en"",""fi"")"),"Syntyessään sillä on vain yksi lumivalkoinen häntä. Pyrstö haarautuu kärjestä sen kasvaessa.")</f>
        <v>Syntyessään sillä on vain yksi lumivalkoinen häntä. Pyrstö haarautuu kärjestä sen kasvaessa.</v>
      </c>
      <c r="C1300" s="9" t="s">
        <v>1344</v>
      </c>
    </row>
    <row r="1301" ht="33.75" customHeight="1">
      <c r="A1301" s="6" t="s">
        <v>1902</v>
      </c>
      <c r="B1301" s="6" t="str">
        <f>IFERROR(__xludf.DUMMYFUNCTION("GOOGLETRANSLATE(A1301,""en"",""fi"")"),"Syntyessään Vulpixilla on yksi valkoinen häntä. Häntä jakautuu kuudeksi, jos Pokémon saa paljon rakkautta kouluttajaltaan. Kuusi häntää käpertyvät upeasti.")</f>
        <v>Syntyessään Vulpixilla on yksi valkoinen häntä. Häntä jakautuu kuudeksi, jos Pokémon saa paljon rakkautta kouluttajaltaan. Kuusi häntää käpertyvät upeasti.</v>
      </c>
      <c r="C1301" s="9" t="s">
        <v>1344</v>
      </c>
    </row>
    <row r="1302" ht="33.75" customHeight="1">
      <c r="A1302" s="6" t="s">
        <v>1904</v>
      </c>
      <c r="B1302" s="6" t="str">
        <f>IFERROR(__xludf.DUMMYFUNCTION("GOOGLETRANSLATE(A1302,""en"",""fi"")"),"Vulpixin ruumiin sisällä palaa sammumaton liekki. Päivällä, kun lämpötila nousee, tämä Pokémon päästää liekkejä suustaan ​​estääkseen ruumiinsa kuumenemisen liikaa.")</f>
        <v>Vulpixin ruumiin sisällä palaa sammumaton liekki. Päivällä, kun lämpötila nousee, tämä Pokémon päästää liekkejä suustaan ​​estääkseen ruumiinsa kuumenemisen liikaa.</v>
      </c>
      <c r="C1302" s="9" t="s">
        <v>1344</v>
      </c>
    </row>
    <row r="1303" ht="33.75" customHeight="1">
      <c r="A1303" s="6" t="s">
        <v>1905</v>
      </c>
      <c r="B1303" s="6" t="str">
        <f>IFERROR(__xludf.DUMMYFUNCTION("GOOGLETRANSLATE(A1303,""en"",""fi"")"),"Sen kaunis turkki ja häntä ovat tehneet siitä erittäin suositun. Kasvaessaan sen häntä haarautuu muodostaen lisää häntiä.")</f>
        <v>Sen kaunis turkki ja häntä ovat tehneet siitä erittäin suositun. Kasvaessaan sen häntä haarautuu muodostaen lisää häntiä.</v>
      </c>
      <c r="C1303" s="9" t="s">
        <v>1344</v>
      </c>
    </row>
    <row r="1304" ht="33.75" customHeight="1">
      <c r="A1304" s="6" t="s">
        <v>1906</v>
      </c>
      <c r="B1304" s="6" t="str">
        <f>IFERROR(__xludf.DUMMYFUNCTION("GOOGLETRANSLATE(A1304,""en"",""fi"")"),"Sen suusta purkautuu liekkejä, jotka näyttävät muistuttavan kuolleiden henkiä. Jotkut ihmiset virheellisesti luulevat tämän tulen olevan aave.")</f>
        <v>Sen suusta purkautuu liekkejä, jotka näyttävät muistuttavan kuolleiden henkiä. Jotkut ihmiset virheellisesti luulevat tämän tulen olevan aave.</v>
      </c>
      <c r="C1304" s="9" t="s">
        <v>1344</v>
      </c>
    </row>
    <row r="1305" ht="33.75" customHeight="1">
      <c r="A1305" s="6" t="s">
        <v>1907</v>
      </c>
      <c r="B1305" s="6" t="str">
        <f>IFERROR(__xludf.DUMMYFUNCTION("GOOGLETRANSLATE(A1305,""en"",""fi"")"),"Sen kauniit hännät ovat tehneet siitä erittäin suositun. Jos sitä ei kuitenkaan harjata huolellisesti, se kasvaa nopeasti takkuun.")</f>
        <v>Sen kauniit hännät ovat tehneet siitä erittäin suositun. Jos sitä ei kuitenkaan harjata huolellisesti, se kasvaa nopeasti takkuun.</v>
      </c>
      <c r="C1305" s="9" t="s">
        <v>1344</v>
      </c>
    </row>
    <row r="1306" ht="33.75" customHeight="1">
      <c r="A1306" s="6" t="s">
        <v>1908</v>
      </c>
      <c r="B1306" s="6" t="str">
        <f>IFERROR(__xludf.DUMMYFUNCTION("GOOGLETRANSLATE(A1306,""en"",""fi"")"),"Se manipuloi tulipalloja pyydystääkseen saaliinsa. Jos kasvatat sellaisen nuoresta pitäen, se kasvaa lähelle sinua kuin pentu-Pokémon.")</f>
        <v>Se manipuloi tulipalloja pyydystääkseen saaliinsa. Jos kasvatat sellaisen nuoresta pitäen, se kasvaa lähelle sinua kuin pentu-Pokémon.</v>
      </c>
      <c r="C1306" s="9" t="s">
        <v>1344</v>
      </c>
    </row>
    <row r="1307" ht="33.75" customHeight="1">
      <c r="A1307" s="6" t="s">
        <v>1909</v>
      </c>
      <c r="B1307" s="6" t="str">
        <f>IFERROR(__xludf.DUMMYFUNCTION("GOOGLETRANSLATE(A1307,""en"",""fi"")"),"Sen vatsassa palaa tuli, jonka Vulpix sylkee ulos tulipallojen muodossa. Nuorena tällä Pokémonilla on vain yksi valkoinen häntä. Pokémonin kypsyessä tämä yksittäinen häntä jakautuu kuuteen osaan.")</f>
        <v>Sen vatsassa palaa tuli, jonka Vulpix sylkee ulos tulipallojen muodossa. Nuorena tällä Pokémonilla on vain yksi valkoinen häntä. Pokémonin kypsyessä tämä yksittäinen häntä jakautuu kuuteen osaan.</v>
      </c>
      <c r="C1307" s="9" t="s">
        <v>1344</v>
      </c>
    </row>
    <row r="1308" ht="33.75" customHeight="1">
      <c r="A1308" s="6" t="s">
        <v>1910</v>
      </c>
      <c r="B1308" s="6" t="str">
        <f>IFERROR(__xludf.DUMMYFUNCTION("GOOGLETRANSLATE(A1308,""en"",""fi"")"),"Hyvin älykäs ja kostonhimoinen. Yhdenkin sen monista hännistä tarttuminen voi johtaa tuhannen vuoden kiroukseen.")</f>
        <v>Hyvin älykäs ja kostonhimoinen. Yhdenkin sen monista hännistä tarttuminen voi johtaa tuhannen vuoden kiroukseen.</v>
      </c>
      <c r="C1308" s="9" t="s">
        <v>1344</v>
      </c>
    </row>
    <row r="1309" ht="33.75" customHeight="1">
      <c r="A1309" s="6" t="s">
        <v>1911</v>
      </c>
      <c r="B1309" s="6" t="str">
        <f>IFERROR(__xludf.DUMMYFUNCTION("GOOGLETRANSLATE(A1309,""en"",""fi"")"),"Erään legendan mukaan yhdeksän jaloa pyhimystä yhdistyi ja syntyi uudelleen täksi POKéMONiksi.")</f>
        <v>Erään legendan mukaan yhdeksän jaloa pyhimystä yhdistyi ja syntyi uudelleen täksi POKéMONiksi.</v>
      </c>
      <c r="C1309" s="9" t="s">
        <v>1344</v>
      </c>
    </row>
    <row r="1310" ht="33.75" customHeight="1">
      <c r="A1310" s="6" t="s">
        <v>1912</v>
      </c>
      <c r="B1310" s="6" t="str">
        <f>IFERROR(__xludf.DUMMYFUNCTION("GOOGLETRANSLATE(A1310,""en"",""fi"")"),"Jotkut legendat väittävät, että jokaisella sen yhdeksästä hännästä on oma ainutlaatuinen erityinen mystinen voimansa.")</f>
        <v>Jotkut legendat väittävät, että jokaisella sen yhdeksästä hännästä on oma ainutlaatuinen erityinen mystinen voimansa.</v>
      </c>
      <c r="C1310" s="9" t="s">
        <v>1344</v>
      </c>
    </row>
    <row r="1311" ht="33.75" customHeight="1">
      <c r="A1311" s="6" t="s">
        <v>1914</v>
      </c>
      <c r="B1311" s="6" t="str">
        <f>IFERROR(__xludf.DUMMYFUNCTION("GOOGLETRANSLATE(A1311,""en"",""fi"")"),"Sen yhdeksän kaunista pyrstöä ovat täynnä ihmeellistä energiaa, joka voisi pitää sen hengissä 1 000 vuotta.")</f>
        <v>Sen yhdeksän kaunista pyrstöä ovat täynnä ihmeellistä energiaa, joka voisi pitää sen hengissä 1 000 vuotta.</v>
      </c>
      <c r="C1311" s="9" t="s">
        <v>1344</v>
      </c>
    </row>
    <row r="1312" ht="33.75" customHeight="1">
      <c r="A1312" s="6" t="s">
        <v>1915</v>
      </c>
      <c r="B1312" s="6" t="str">
        <f>IFERROR(__xludf.DUMMYFUNCTION("GOOGLETRANSLATE(A1312,""en"",""fi"")"),"Sen sanotaan elävän tuhat vuotta, ja jokainen sen hännistä on täynnä yliluonnollisia voimia.")</f>
        <v>Sen sanotaan elävän tuhat vuotta, ja jokainen sen hännistä on täynnä yliluonnollisia voimia.</v>
      </c>
      <c r="C1312" s="9" t="s">
        <v>1344</v>
      </c>
    </row>
    <row r="1313" ht="33.75" customHeight="1">
      <c r="A1313" s="6" t="s">
        <v>1918</v>
      </c>
      <c r="B1313" s="6" t="str">
        <f>IFERROR(__xludf.DUMMYFUNCTION("GOOGLETRANSLATE(A1313,""en"",""fi"")"),"NINETALES heittää pahaenteisen valon kirkkaanpunaisista silmistään saadakseen vihollisensa mielen täysin hallintaansa. Tämän POKéMONin sanotaan elävän tuhat vuotta.")</f>
        <v>NINETALES heittää pahaenteisen valon kirkkaanpunaisista silmistään saadakseen vihollisensa mielen täysin hallintaansa. Tämän POKéMONin sanotaan elävän tuhat vuotta.</v>
      </c>
      <c r="C1313" s="9" t="s">
        <v>1344</v>
      </c>
    </row>
    <row r="1314" ht="33.75" customHeight="1">
      <c r="A1314" s="6" t="s">
        <v>1921</v>
      </c>
      <c r="B1314" s="6" t="str">
        <f>IFERROR(__xludf.DUMMYFUNCTION("GOOGLETRANSLATE(A1314,""en"",""fi"")"),"Legendan mukaan NINETALES syntyi, kun yhdeksän pyhiä voimia omaavaa velhoa yhdistyi yhdeksi. Tämä POKéMON on erittäin älykäs – se ymmärtää ihmispuhetta.")</f>
        <v>Legendan mukaan NINETALES syntyi, kun yhdeksän pyhiä voimia omaavaa velhoa yhdistyi yhdeksi. Tämä POKéMON on erittäin älykäs – se ymmärtää ihmispuhetta.</v>
      </c>
      <c r="C1314" s="9" t="s">
        <v>1344</v>
      </c>
    </row>
    <row r="1315" ht="33.75" customHeight="1">
      <c r="A1315" s="6" t="s">
        <v>1922</v>
      </c>
      <c r="B1315" s="6" t="str">
        <f>IFERROR(__xludf.DUMMYFUNCTION("GOOGLETRANSLATE(A1315,""en"",""fi"")"),"On pitkään sanottu, että jokainen yhdeksästä hännästä ilmentää lumottua voimaa. Pitkäikäisen YHDEKSÄNNÄISEN turkki kiiltää kuin kulta.")</f>
        <v>On pitkään sanottu, että jokainen yhdeksästä hännästä ilmentää lumottua voimaa. Pitkäikäisen YHDEKSÄNNÄISEN turkki kiiltää kuin kulta.</v>
      </c>
      <c r="C1315" s="9" t="s">
        <v>1344</v>
      </c>
    </row>
    <row r="1316" ht="33.75" customHeight="1">
      <c r="A1316" s="6" t="s">
        <v>1923</v>
      </c>
      <c r="B1316" s="6" t="str">
        <f>IFERROR(__xludf.DUMMYFUNCTION("GOOGLETRANSLATE(A1316,""en"",""fi"")"),"Sillä on yhdeksän pitkää häntää ja kultaa hohtava turkki. Sen sanotaan elävän 1 000 vuotta.")</f>
        <v>Sillä on yhdeksän pitkää häntää ja kultaa hohtava turkki. Sen sanotaan elävän 1 000 vuotta.</v>
      </c>
      <c r="C1316" s="9" t="s">
        <v>1344</v>
      </c>
    </row>
    <row r="1317" ht="33.75" customHeight="1">
      <c r="A1317" s="6" t="s">
        <v>1925</v>
      </c>
      <c r="B1317" s="6" t="str">
        <f>IFERROR(__xludf.DUMMYFUNCTION("GOOGLETRANSLATE(A1317,""en"",""fi"")"),"Hyvin älykäs ja kostonhimoinen. Yhdenkin sen monista hännistä tarttuminen voi johtaa tuhannen vuoden kiroukseen.")</f>
        <v>Hyvin älykäs ja kostonhimoinen. Yhdenkin sen monista hännistä tarttuminen voi johtaa tuhannen vuoden kiroukseen.</v>
      </c>
      <c r="C1317" s="9" t="s">
        <v>1344</v>
      </c>
    </row>
    <row r="1318" ht="33.75" customHeight="1">
      <c r="A1318" s="6" t="s">
        <v>1928</v>
      </c>
      <c r="B1318" s="6" t="str">
        <f>IFERROR(__xludf.DUMMYFUNCTION("GOOGLETRANSLATE(A1318,""en"",""fi"")"),"Sen yhdeksän pyrstön sanotaan olevan täynnä mystistä voimaa. Se voi elää tuhat vuotta.")</f>
        <v>Sen yhdeksän pyrstön sanotaan olevan täynnä mystistä voimaa. Se voi elää tuhat vuotta.</v>
      </c>
      <c r="C1318" s="9" t="s">
        <v>1344</v>
      </c>
    </row>
    <row r="1319" ht="33.75" customHeight="1">
      <c r="A1319" s="6" t="s">
        <v>1929</v>
      </c>
      <c r="B1319" s="6" t="str">
        <f>IFERROR(__xludf.DUMMYFUNCTION("GOOGLETRANSLATE(A1319,""en"",""fi"")"),"Jokainen sen yhdeksästä hännästä on täynnä yliluonnollista voimaa, ja se voi elää tuhat vuotta.")</f>
        <v>Jokainen sen yhdeksästä hännästä on täynnä yliluonnollista voimaa, ja se voi elää tuhat vuotta.</v>
      </c>
      <c r="C1319" s="9" t="s">
        <v>1344</v>
      </c>
    </row>
    <row r="1320" ht="33.75" customHeight="1">
      <c r="A1320" s="6" t="s">
        <v>1931</v>
      </c>
      <c r="B1320" s="6" t="str">
        <f>IFERROR(__xludf.DUMMYFUNCTION("GOOGLETRANSLATE(A1320,""en"",""fi"")"),"Ninetales heittää pahaenteisen valon kirkkaanpunaisista silmistään saadakseen vihollisensa mielen täysin hallintaansa. Tämän Pokémonin sanotaan elävän tuhat vuotta.")</f>
        <v>Ninetales heittää pahaenteisen valon kirkkaanpunaisista silmistään saadakseen vihollisensa mielen täysin hallintaansa. Tämän Pokémonin sanotaan elävän tuhat vuotta.</v>
      </c>
      <c r="C1320" s="9" t="s">
        <v>1344</v>
      </c>
    </row>
    <row r="1321" ht="33.75" customHeight="1">
      <c r="A1321" s="6" t="s">
        <v>1933</v>
      </c>
      <c r="B1321" s="6" t="str">
        <f>IFERROR(__xludf.DUMMYFUNCTION("GOOGLETRANSLATE(A1321,""en"",""fi"")"),"Legendan mukaan Ninetales syntyi, kun yhdeksän pyhiä voimia omaavaa velhoa yhdistyi yhdeksi Pokémoniksi. Tämä Pokémon on erittäin älykäs – se ymmärtää ihmispuhetta.")</f>
        <v>Legendan mukaan Ninetales syntyi, kun yhdeksän pyhiä voimia omaavaa velhoa yhdistyi yhdeksi Pokémoniksi. Tämä Pokémon on erittäin älykäs – se ymmärtää ihmispuhetta.</v>
      </c>
      <c r="C1321" s="9" t="s">
        <v>1344</v>
      </c>
    </row>
    <row r="1322" ht="33.75" customHeight="1">
      <c r="A1322" s="6" t="s">
        <v>1934</v>
      </c>
      <c r="B1322" s="6" t="str">
        <f>IFERROR(__xludf.DUMMYFUNCTION("GOOGLETRANSLATE(A1322,""en"",""fi"")"),"Legendan mukaan tämä mystinen Pokémon muodostui, kun yhdeksän pyhimystä yhdistyi yhdeksi.")</f>
        <v>Legendan mukaan tämä mystinen Pokémon muodostui, kun yhdeksän pyhimystä yhdistyi yhdeksi.</v>
      </c>
      <c r="C1322" s="9" t="s">
        <v>1344</v>
      </c>
    </row>
    <row r="1323" ht="33.75" customHeight="1">
      <c r="A1323" s="6" t="s">
        <v>1936</v>
      </c>
      <c r="B1323" s="6" t="str">
        <f>IFERROR(__xludf.DUMMYFUNCTION("GOOGLETRANSLATE(A1323,""en"",""fi"")"),"Tämän Pokémonin sanotaan elävän tuhat vuotta, ja se käyttää yliluonnollisia kykyjään tulen manipulointiin. Se voi polttaa saaliinsa rapeaksi mielensä mukaan.")</f>
        <v>Tämän Pokémonin sanotaan elävän tuhat vuotta, ja se käyttää yliluonnollisia kykyjään tulen manipulointiin. Se voi polttaa saaliinsa rapeaksi mielensä mukaan.</v>
      </c>
      <c r="C1323" s="9" t="s">
        <v>1344</v>
      </c>
    </row>
    <row r="1324" ht="33.75" customHeight="1">
      <c r="A1324" s="6" t="s">
        <v>1937</v>
      </c>
      <c r="B1324" s="6" t="str">
        <f>IFERROR(__xludf.DUMMYFUNCTION("GOOGLETRANSLATE(A1324,""en"",""fi"")"),"Se on luonteeltaan kostonhimoinen ja armoton. Ne, jotka ylittävät sen kerrankin, ovat kirottuja tuhanneksi vuodeksi, samoin kuin heidän jälkeläisensä.")</f>
        <v>Se on luonteeltaan kostonhimoinen ja armoton. Ne, jotka ylittävät sen kerrankin, ovat kirottuja tuhanneksi vuodeksi, samoin kuin heidän jälkeläisensä.</v>
      </c>
      <c r="C1324" s="9" t="s">
        <v>1344</v>
      </c>
    </row>
    <row r="1325" ht="33.75" customHeight="1">
      <c r="A1325" s="6" t="s">
        <v>1938</v>
      </c>
      <c r="B1325" s="6" t="str">
        <f>IFERROR(__xludf.DUMMYFUNCTION("GOOGLETRANSLATE(A1325,""en"",""fi"")"),"Sen suusta sylkevät liekit hypnotisoivat vastustajat. Sitten tämä äärimmäisen älykäs Pokémon hyökkää.")</f>
        <v>Sen suusta sylkevät liekit hypnotisoivat vastustajat. Sitten tämä äärimmäisen älykäs Pokémon hyökkää.</v>
      </c>
      <c r="C1325" s="9" t="s">
        <v>1344</v>
      </c>
    </row>
    <row r="1326" ht="33.75" customHeight="1">
      <c r="A1326" s="6" t="s">
        <v>1940</v>
      </c>
      <c r="B1326" s="6" t="str">
        <f>IFERROR(__xludf.DUMMYFUNCTION("GOOGLETRANSLATE(A1326,""en"",""fi"")"),"Kestävän legendan mukaan yhdeksän jaloa pyhimystä yhdistyi ja reinkarnoitui täksi Pokémoniksi.")</f>
        <v>Kestävän legendan mukaan yhdeksän jaloa pyhimystä yhdistyi ja reinkarnoitui täksi Pokémoniksi.</v>
      </c>
      <c r="C1326" s="9" t="s">
        <v>1344</v>
      </c>
    </row>
    <row r="1327" ht="33.75" customHeight="1">
      <c r="A1327" s="6" t="s">
        <v>1941</v>
      </c>
      <c r="B1327" s="6" t="str">
        <f>IFERROR(__xludf.DUMMYFUNCTION("GOOGLETRANSLATE(A1327,""en"",""fi"")"),"Sen sanotaan elävän 1 000 vuotta, ja jokainen sen pyrstö on täynnä yliluonnollisia voimia.")</f>
        <v>Sen sanotaan elävän 1 000 vuotta, ja jokainen sen pyrstö on täynnä yliluonnollisia voimia.</v>
      </c>
      <c r="C1327" s="9" t="s">
        <v>1344</v>
      </c>
    </row>
    <row r="1328" ht="33.75" customHeight="1">
      <c r="A1328" s="6" t="s">
        <v>1943</v>
      </c>
      <c r="B1328" s="6" t="str">
        <f>IFERROR(__xludf.DUMMYFUNCTION("GOOGLETRANSLATE(A1328,""en"",""fi"")"),"Kiiltävän kultaisen turkin kerrotaan olevan varsin upea. Tämän lajin sanotaan tallentavan pyhää voimaa yhdeksään pitkään häntään ja elävän tuhatvuotiseksi.")</f>
        <v>Kiiltävän kultaisen turkin kerrotaan olevan varsin upea. Tämän lajin sanotaan tallentavan pyhää voimaa yhdeksään pitkään häntään ja elävän tuhatvuotiseksi.</v>
      </c>
      <c r="C1328" s="9" t="s">
        <v>1344</v>
      </c>
    </row>
    <row r="1329" ht="33.75" customHeight="1">
      <c r="A1329" s="6" t="s">
        <v>1944</v>
      </c>
      <c r="B1329" s="6" t="str">
        <f>IFERROR(__xludf.DUMMYFUNCTION("GOOGLETRANSLATE(A1329,""en"",""fi"")"),"Kun sen valtavat silmät syttyvät, se laulaa salaperäisen rauhoittavan melodian, joka tuudittaa sen viholliset uneen.")</f>
        <v>Kun sen valtavat silmät syttyvät, se laulaa salaperäisen rauhoittavan melodian, joka tuudittaa sen viholliset uneen.</v>
      </c>
      <c r="C1329" s="9" t="s">
        <v>1344</v>
      </c>
    </row>
    <row r="1330" ht="33.75" customHeight="1">
      <c r="A1330" s="6" t="s">
        <v>1945</v>
      </c>
      <c r="B1330" s="6" t="str">
        <f>IFERROR(__xludf.DUMMYFUNCTION("GOOGLETRANSLATE(A1330,""en"",""fi"")"),"Käyttää vietteleviä silmiään lumotakseen vihollisensa. Sitten se laulaa miellyttävän sävelmän, joka tuudittaa vihollisen uneen.")</f>
        <v>Käyttää vietteleviä silmiään lumotakseen vihollisensa. Sitten se laulaa miellyttävän sävelmän, joka tuudittaa vihollisen uneen.</v>
      </c>
      <c r="C1330" s="9" t="s">
        <v>1344</v>
      </c>
    </row>
    <row r="1331" ht="33.75" customHeight="1">
      <c r="A1331" s="6" t="s">
        <v>1946</v>
      </c>
      <c r="B1331" s="6" t="str">
        <f>IFERROR(__xludf.DUMMYFUNCTION("GOOGLETRANSLATE(A1331,""en"",""fi"")"),"Jos se täyttyy LAULAAKSEEN tuutulaulua, se voi kestää pidempään ja aiheuttaa yleisölle varmasti uneliaisuutta.")</f>
        <v>Jos se täyttyy LAULAAKSEEN tuutulaulua, se voi kestää pidempään ja aiheuttaa yleisölle varmasti uneliaisuutta.</v>
      </c>
      <c r="C1331" s="9" t="s">
        <v>1344</v>
      </c>
    </row>
    <row r="1332" ht="33.75" customHeight="1">
      <c r="A1332" s="6" t="s">
        <v>1947</v>
      </c>
      <c r="B1332" s="6" t="str">
        <f>IFERROR(__xludf.DUMMYFUNCTION("GOOGLETRANSLATE(A1332,""en"",""fi"")"),"Sen söpöihin, pyöreisiin silmiin katsominen saa sen laulamaan rentouttavan sävelmän, joka saa sen viholliset nukahtamaan.")</f>
        <v>Sen söpöihin, pyöreisiin silmiin katsominen saa sen laulamaan rentouttavan sävelmän, joka saa sen viholliset nukahtamaan.</v>
      </c>
      <c r="C1332" s="9" t="s">
        <v>1344</v>
      </c>
    </row>
    <row r="1333" ht="33.75" customHeight="1">
      <c r="A1333" s="6" t="s">
        <v>1948</v>
      </c>
      <c r="B1333" s="6" t="str">
        <f>IFERROR(__xludf.DUMMYFUNCTION("GOOGLETRANSLATE(A1333,""en"",""fi"")"),"Se pyörittelee suloisia silmiään laulaessaan rauhoittavaa tuutulaulua. Sen lempeä laulu nukuttaa jokaisen, joka sen kuulee.")</f>
        <v>Se pyörittelee suloisia silmiään laulaessaan rauhoittavaa tuutulaulua. Sen lempeä laulu nukuttaa jokaisen, joka sen kuulee.</v>
      </c>
      <c r="C1333" s="9" t="s">
        <v>1344</v>
      </c>
    </row>
    <row r="1334" ht="33.75" customHeight="1">
      <c r="A1334" s="6" t="s">
        <v>1950</v>
      </c>
      <c r="B1334" s="6" t="str">
        <f>IFERROR(__xludf.DUMMYFUNCTION("GOOGLETRANSLATE(A1334,""en"",""fi"")"),"JIGGLYPUFFin äänihuulet voivat säätää vapaasti sen äänen aallonpituutta. Tämä POKéMON käyttää tätä kykyä laulaakseen juuri oikealla aallonpituudella tehdäkseen vihollisensa mahdollisimman uneliaiksi.")</f>
        <v>JIGGLYPUFFin äänihuulet voivat säätää vapaasti sen äänen aallonpituutta. Tämä POKéMON käyttää tätä kykyä laulaakseen juuri oikealla aallonpituudella tehdäkseen vihollisensa mahdollisimman uneliaiksi.</v>
      </c>
      <c r="C1334" s="9" t="s">
        <v>1344</v>
      </c>
    </row>
    <row r="1335" ht="33.75" customHeight="1">
      <c r="A1335" s="6" t="s">
        <v>1951</v>
      </c>
      <c r="B1335" s="6" t="str">
        <f>IFERROR(__xludf.DUMMYFUNCTION("GOOGLETRANSLATE(A1335,""en"",""fi"")"),"Kun tämä POKéMON laulaa, se ei koskaan pysähdy hengittämään. Jos se taistelee vastustajaa vastaan, joka ei nukahda helposti, JIGGLYPUFF ei pysty hengittämään, mikä vaarantaa sen hengen.")</f>
        <v>Kun tämä POKéMON laulaa, se ei koskaan pysähdy hengittämään. Jos se taistelee vastustajaa vastaan, joka ei nukahda helposti, JIGGLYPUFF ei pysty hengittämään, mikä vaarantaa sen hengen.</v>
      </c>
      <c r="C1335" s="9" t="s">
        <v>1344</v>
      </c>
    </row>
    <row r="1336" ht="33.75" customHeight="1">
      <c r="A1336" s="6" t="s">
        <v>1952</v>
      </c>
      <c r="B1336" s="6" t="str">
        <f>IFERROR(__xludf.DUMMYFUNCTION("GOOGLETRANSLATE(A1336,""en"",""fi"")"),"Mikään ei voi estää nukahtamista kuullessaan JIGGLYPUFFin laulun. Sen lauluäänen ääniaallot vastaavat syvässä unessa olevan ihmisen aivoaaltoja.")</f>
        <v>Mikään ei voi estää nukahtamista kuullessaan JIGGLYPUFFin laulun. Sen lauluäänen ääniaallot vastaavat syvässä unessa olevan ihmisen aivoaaltoja.</v>
      </c>
      <c r="C1336" s="9" t="s">
        <v>1344</v>
      </c>
    </row>
    <row r="1337" ht="33.75" customHeight="1">
      <c r="A1337" s="6" t="s">
        <v>1953</v>
      </c>
      <c r="B1337" s="6" t="str">
        <f>IFERROR(__xludf.DUMMYFUNCTION("GOOGLETRANSLATE(A1337,""en"",""fi"")"),"Se lumoaa viholliset valtavilla, pyöreillä silmillään ja tuudittaa heidät sitten uneen laulamalla rauhoittavaa sävelmää.")</f>
        <v>Se lumoaa viholliset valtavilla, pyöreillä silmillään ja tuudittaa heidät sitten uneen laulamalla rauhoittavaa sävelmää.</v>
      </c>
      <c r="C1337" s="9" t="s">
        <v>1344</v>
      </c>
    </row>
    <row r="1338" ht="33.75" customHeight="1">
      <c r="A1338" s="6" t="s">
        <v>1954</v>
      </c>
      <c r="B1338" s="6" t="str">
        <f>IFERROR(__xludf.DUMMYFUNCTION("GOOGLETRANSLATE(A1338,""en"",""fi"")"),"Kun sen valtavat silmät räpyttelevät, se laulaa salaperäisen rauhoittavan sävelmän, joka tuudittaa sen viholliset uneen.")</f>
        <v>Kun sen valtavat silmät räpyttelevät, se laulaa salaperäisen rauhoittavan sävelmän, joka tuudittaa sen viholliset uneen.</v>
      </c>
      <c r="C1338" s="9" t="s">
        <v>1344</v>
      </c>
    </row>
    <row r="1339" ht="33.75" customHeight="1">
      <c r="A1339" s="6" t="s">
        <v>1955</v>
      </c>
      <c r="B1339" s="6" t="str">
        <f>IFERROR(__xludf.DUMMYFUNCTION("GOOGLETRANSLATE(A1339,""en"",""fi"")"),"Kun se räpyttelee suuria, pyöreitä silmiään, se alkaa laulaa tuutulaulua, joka tekee kaikki uneliaiksi.")</f>
        <v>Kun se räpyttelee suuria, pyöreitä silmiään, se alkaa laulaa tuutulaulua, joka tekee kaikki uneliaiksi.</v>
      </c>
      <c r="C1339" s="9" t="s">
        <v>1344</v>
      </c>
    </row>
    <row r="1340" ht="33.75" customHeight="1">
      <c r="A1340" s="6" t="s">
        <v>1956</v>
      </c>
      <c r="B1340" s="6" t="str">
        <f>IFERROR(__xludf.DUMMYFUNCTION("GOOGLETRANSLATE(A1340,""en"",""fi"")"),"Jos se täyttyy laulaakseen tuutulaulua, se voi kestää pidempään ja aiheuttaa yleisölle varmasti uneliaisuutta.")</f>
        <v>Jos se täyttyy laulaakseen tuutulaulua, se voi kestää pidempään ja aiheuttaa yleisölle varmasti uneliaisuutta.</v>
      </c>
      <c r="C1340" s="9" t="s">
        <v>1344</v>
      </c>
    </row>
    <row r="1341" ht="33.75" customHeight="1">
      <c r="A1341" s="6" t="s">
        <v>1957</v>
      </c>
      <c r="B1341" s="6" t="str">
        <f>IFERROR(__xludf.DUMMYFUNCTION("GOOGLETRANSLATE(A1341,""en"",""fi"")"),"Sen söpöihin, pyöreisiin silmiin katsominen saa sen laulamaan laulun, joten miellyttävät kuuntelijat väistämättä nukahtavat.")</f>
        <v>Sen söpöihin, pyöreisiin silmiin katsominen saa sen laulamaan laulun, joten miellyttävät kuuntelijat väistämättä nukahtavat.</v>
      </c>
      <c r="C1341" s="9" t="s">
        <v>1344</v>
      </c>
    </row>
    <row r="1342" ht="33.75" customHeight="1">
      <c r="A1342" s="6" t="s">
        <v>1958</v>
      </c>
      <c r="B1342" s="6" t="str">
        <f>IFERROR(__xludf.DUMMYFUNCTION("GOOGLETRANSLATE(A1342,""en"",""fi"")"),"Jigglypuffin äänijänteet voivat säätää vapaasti sen äänen aallonpituutta. Tämä Pokémon käyttää tätä kykyä laulaakseen täsmälleen oikealla aallonpituudella tehdäkseen vihollisensa mahdollisimman uneliaiksi.")</f>
        <v>Jigglypuffin äänijänteet voivat säätää vapaasti sen äänen aallonpituutta. Tämä Pokémon käyttää tätä kykyä laulaakseen täsmälleen oikealla aallonpituudella tehdäkseen vihollisensa mahdollisimman uneliaiksi.</v>
      </c>
      <c r="C1342" s="9" t="s">
        <v>1344</v>
      </c>
    </row>
    <row r="1343" ht="33.75" customHeight="1">
      <c r="A1343" s="6" t="s">
        <v>1959</v>
      </c>
      <c r="B1343" s="6" t="str">
        <f>IFERROR(__xludf.DUMMYFUNCTION("GOOGLETRANSLATE(A1343,""en"",""fi"")"),"Kun tämä Pokémon laulaa, se ei koskaan pysähdy hengittämään. Jos se taistelee vastustajaa vastaan, joka ei nukahda helposti, Jigglypuff ei pysty hengittämään, mikä vaarantaa sen hengen.")</f>
        <v>Kun tämä Pokémon laulaa, se ei koskaan pysähdy hengittämään. Jos se taistelee vastustajaa vastaan, joka ei nukahda helposti, Jigglypuff ei pysty hengittämään, mikä vaarantaa sen hengen.</v>
      </c>
      <c r="C1343" s="9" t="s">
        <v>1344</v>
      </c>
    </row>
    <row r="1344" ht="33.75" customHeight="1">
      <c r="A1344" s="6" t="s">
        <v>1960</v>
      </c>
      <c r="B1344" s="6" t="str">
        <f>IFERROR(__xludf.DUMMYFUNCTION("GOOGLETRANSLATE(A1344,""en"",""fi"")"),"Se täyttää vatsansa valtavasti ja laulaa salaperäistä sävelmää. Jos kuulet tämän sävelmän, tulet heti uneliaaksi.")</f>
        <v>Se täyttää vatsansa valtavasti ja laulaa salaperäistä sävelmää. Jos kuulet tämän sävelmän, tulet heti uneliaaksi.</v>
      </c>
      <c r="C1344" s="9" t="s">
        <v>1344</v>
      </c>
    </row>
    <row r="1345" ht="33.75" customHeight="1">
      <c r="A1345" s="6" t="s">
        <v>1961</v>
      </c>
      <c r="B1345" s="6" t="str">
        <f>IFERROR(__xludf.DUMMYFUNCTION("GOOGLETRANSLATE(A1345,""en"",""fi"")"),"Jigglypuffin ääniala on yli 12 oktaavia, mutta jokaisen yksilön laulutaito riippuu hänen omasta ponnistelustaan.")</f>
        <v>Jigglypuffin ääniala on yli 12 oktaavia, mutta jokaisen yksilön laulutaito riippuu hänen omasta ponnistelustaan.</v>
      </c>
      <c r="C1345" s="9" t="s">
        <v>1344</v>
      </c>
    </row>
    <row r="1346" ht="33.75" customHeight="1">
      <c r="A1346" s="6" t="s">
        <v>1962</v>
      </c>
      <c r="B1346" s="6" t="str">
        <f>IFERROR(__xludf.DUMMYFUNCTION("GOOGLETRANSLATE(A1346,""en"",""fi"")"),"Jigglypuffin outojen tuutulaulujen äänitteitä voi ostaa tavarataloista. Nämä CD-levyt löytyvät vuodevaatealueen läheltä.")</f>
        <v>Jigglypuffin outojen tuutulaulujen äänitteitä voi ostaa tavarataloista. Nämä CD-levyt löytyvät vuodevaatealueen läheltä.</v>
      </c>
      <c r="C1346" s="9" t="s">
        <v>1344</v>
      </c>
    </row>
    <row r="1347" ht="33.75" customHeight="1">
      <c r="A1347" s="6" t="s">
        <v>1963</v>
      </c>
      <c r="B1347" s="6" t="str">
        <f>IFERROR(__xludf.DUMMYFUNCTION("GOOGLETRANSLATE(A1347,""en"",""fi"")"),"Heidän laulamansa laulut ovat täysin erilaisia ​​asuinalueesta riippuen. Jotkut jopa kuulostavat siltä kuin he huutaisivat!")</f>
        <v>Heidän laulamansa laulut ovat täysin erilaisia ​​asuinalueesta riippuen. Jotkut jopa kuulostavat siltä kuin he huutaisivat!</v>
      </c>
      <c r="C1347" s="9" t="s">
        <v>1344</v>
      </c>
    </row>
    <row r="1348" ht="33.75" customHeight="1">
      <c r="A1348" s="6" t="s">
        <v>1964</v>
      </c>
      <c r="B1348" s="6" t="str">
        <f>IFERROR(__xludf.DUMMYFUNCTION("GOOGLETRANSLATE(A1348,""en"",""fi"")"),"Se lumoaa vihollisensa suloisilla pyöreillä silmillään. Sitten se laulaa miellyttävän sävelmän, joka tuudittaa vihollisen uneen.")</f>
        <v>Se lumoaa vihollisensa suloisilla pyöreillä silmillään. Sitten se laulaa miellyttävän sävelmän, joka tuudittaa vihollisen uneen.</v>
      </c>
      <c r="C1348" s="9" t="s">
        <v>1344</v>
      </c>
    </row>
    <row r="1349" ht="33.75" customHeight="1">
      <c r="A1349" s="6" t="s">
        <v>1965</v>
      </c>
      <c r="B1349" s="6" t="str">
        <f>IFERROR(__xludf.DUMMYFUNCTION("GOOGLETRANSLATE(A1349,""en"",""fi"")"),"Jigglypuffilla on huippuluokan keuhkokapasiteetti, jopa verrattuna muihin Pokémoneihin. Se ei lopeta tuutulaulujensa laulamista ennen kuin sen viholliset nukahtavat.")</f>
        <v>Jigglypuffilla on huippuluokan keuhkokapasiteetti, jopa verrattuna muihin Pokémoneihin. Se ei lopeta tuutulaulujensa laulamista ennen kuin sen viholliset nukahtavat.</v>
      </c>
      <c r="C1349" s="9" t="s">
        <v>1344</v>
      </c>
    </row>
    <row r="1350" ht="33.75" customHeight="1">
      <c r="A1350" s="6" t="s">
        <v>1966</v>
      </c>
      <c r="B1350" s="6" t="str">
        <f>IFERROR(__xludf.DUMMYFUNCTION("GOOGLETRANSLATE(A1350,""en"",""fi"")"),"Muuttamalla äänensä aallonpituutta vapaasti Jigglypuff laulaa salaperäisen melodian, joka varmasti nukuttaa kenet tahansa kuuntelijan.")</f>
        <v>Muuttamalla äänensä aallonpituutta vapaasti Jigglypuff laulaa salaperäisen melodian, joka varmasti nukuttaa kenet tahansa kuuntelijan.</v>
      </c>
      <c r="C1350" s="9" t="s">
        <v>1344</v>
      </c>
    </row>
    <row r="1351" ht="33.75" customHeight="1">
      <c r="A1351" s="6" t="s">
        <v>1967</v>
      </c>
      <c r="B1351" s="6" t="str">
        <f>IFERROR(__xludf.DUMMYFUNCTION("GOOGLETRANSLATE(A1351,""en"",""fi"")"),"Runko on pehmeä ja kuminen. Vihastuttuaan se imee ilmaa ja paisuu valtavaksi.")</f>
        <v>Runko on pehmeä ja kuminen. Vihastuttuaan se imee ilmaa ja paisuu valtavaksi.</v>
      </c>
      <c r="C1351" s="9" t="s">
        <v>1344</v>
      </c>
    </row>
    <row r="1352" ht="33.75" customHeight="1">
      <c r="A1352" s="6" t="s">
        <v>1968</v>
      </c>
      <c r="B1352" s="6" t="str">
        <f>IFERROR(__xludf.DUMMYFUNCTION("GOOGLETRANSLATE(A1352,""en"",""fi"")"),"Sen runko on täynnä elastisuutta. Syvästi hengittämällä se voi jatkaa itsensä täyttämistä rajattomasti.")</f>
        <v>Sen runko on täynnä elastisuutta. Syvästi hengittämällä se voi jatkaa itsensä täyttämistä rajattomasti.</v>
      </c>
      <c r="C1352" s="9" t="s">
        <v>1344</v>
      </c>
    </row>
    <row r="1353" ht="33.75" customHeight="1">
      <c r="A1353" s="6" t="s">
        <v>1969</v>
      </c>
      <c r="B1353" s="6" t="str">
        <f>IFERROR(__xludf.DUMMYFUNCTION("GOOGLETRANSLATE(A1353,""en"",""fi"")"),"Niiden turkki tuntuu niin hyvältä, että jos kaksi niistä köllöttelee yhdessä, ne eivät halua erota toisistaan.")</f>
        <v>Niiden turkki tuntuu niin hyvältä, että jos kaksi niistä köllöttelee yhdessä, ne eivät halua erota toisistaan.</v>
      </c>
      <c r="C1353" s="9" t="s">
        <v>1344</v>
      </c>
    </row>
    <row r="1354" ht="33.75" customHeight="1">
      <c r="A1354" s="6" t="s">
        <v>1970</v>
      </c>
      <c r="B1354" s="6" t="str">
        <f>IFERROR(__xludf.DUMMYFUNCTION("GOOGLETRANSLATE(A1354,""en"",""fi"")"),"Sillä on erittäin hieno turkki. Varo ärsyttämästä sitä, sillä se voi paisua tasaisesti ja iskeä VARTALOASI.")</f>
        <v>Sillä on erittäin hieno turkki. Varo ärsyttämästä sitä, sillä se voi paisua tasaisesti ja iskeä VARTALOASI.</v>
      </c>
      <c r="C1354" s="9" t="s">
        <v>1344</v>
      </c>
    </row>
    <row r="1355" ht="33.75" customHeight="1">
      <c r="A1355" s="6" t="s">
        <v>1972</v>
      </c>
      <c r="B1355" s="6" t="str">
        <f>IFERROR(__xludf.DUMMYFUNCTION("GOOGLETRANSLATE(A1355,""en"",""fi"")"),"Sen vartaloa peittävä runsas, pörröinen turkki tuntuu niin hyvältä, että jokainen, joka sitä tuntee, ei voi lakata koskettamasta sitä.")</f>
        <v>Sen vartaloa peittävä runsas, pörröinen turkki tuntuu niin hyvältä, että jokainen, joka sitä tuntee, ei voi lakata koskettamasta sitä.</v>
      </c>
      <c r="C1355" s="9" t="s">
        <v>1344</v>
      </c>
    </row>
    <row r="1356" ht="33.75" customHeight="1">
      <c r="A1356" s="6" t="s">
        <v>1973</v>
      </c>
      <c r="B1356" s="6" t="str">
        <f>IFERROR(__xludf.DUMMYFUNCTION("GOOGLETRANSLATE(A1356,""en"",""fi"")"),"WIGGLYTUFFilla on suuret, lautasen kaltaiset silmät. Sen silmien pinnat ovat aina peittyneet ohueen kyynelkerrokseen. Jos pölyä pääsee tämän POKéMONin silmiin, se huuhtoutuu nopeasti pois.")</f>
        <v>WIGGLYTUFFilla on suuret, lautasen kaltaiset silmät. Sen silmien pinnat ovat aina peittyneet ohueen kyynelkerrokseen. Jos pölyä pääsee tämän POKéMONin silmiin, se huuhtoutuu nopeasti pois.</v>
      </c>
      <c r="C1356" s="9" t="s">
        <v>1344</v>
      </c>
    </row>
    <row r="1357" ht="33.75" customHeight="1">
      <c r="A1357" s="6" t="s">
        <v>1974</v>
      </c>
      <c r="B1357" s="6" t="str">
        <f>IFERROR(__xludf.DUMMYFUNCTION("GOOGLETRANSLATE(A1357,""en"",""fi"")"),"WIGGLYTUFFin keho on erittäin joustava. Hengittämällä syvään tämä POKéMON voi täyttyä loputtomasti. Täyttyään WIGGLYTUFF pomppii kevyesti kuin ilmapallo.")</f>
        <v>WIGGLYTUFFin keho on erittäin joustava. Hengittämällä syvään tämä POKéMON voi täyttyä loputtomasti. Täyttyään WIGGLYTUFF pomppii kevyesti kuin ilmapallo.</v>
      </c>
      <c r="C1357" s="9" t="s">
        <v>1344</v>
      </c>
    </row>
    <row r="1358" ht="33.75" customHeight="1">
      <c r="A1358" s="6" t="s">
        <v>1976</v>
      </c>
      <c r="B1358" s="6" t="str">
        <f>IFERROR(__xludf.DUMMYFUNCTION("GOOGLETRANSLATE(A1358,""en"",""fi"")"),"Sen turkki on ylellisyyden äärimmäinen ominaisuus. WIGGLYTUFFin vieressä nukkuminen on yksinkertaisesti jumalaista. Sen ruumis laajenee näennäisesti loputtomasti, kun se hengittää sisään.")</f>
        <v>Sen turkki on ylellisyyden äärimmäinen ominaisuus. WIGGLYTUFFin vieressä nukkuminen on yksinkertaisesti jumalaista. Sen ruumis laajenee näennäisesti loputtomasti, kun se hengittää sisään.</v>
      </c>
      <c r="C1358" s="9" t="s">
        <v>1344</v>
      </c>
    </row>
    <row r="1359" ht="33.75" customHeight="1">
      <c r="A1359" s="6" t="s">
        <v>1977</v>
      </c>
      <c r="B1359" s="6" t="str">
        <f>IFERROR(__xludf.DUMMYFUNCTION("GOOGLETRANSLATE(A1359,""en"",""fi"")"),"Sen turkki on erittäin hienoa, tiheää ja joustavaa. Aivan ihanan miellyttävä turkki välittää ylellisen kuvan.")</f>
        <v>Sen turkki on erittäin hienoa, tiheää ja joustavaa. Aivan ihanan miellyttävä turkki välittää ylellisen kuvan.</v>
      </c>
      <c r="C1359" s="9" t="s">
        <v>1344</v>
      </c>
    </row>
    <row r="1360" ht="33.75" customHeight="1">
      <c r="A1360" s="6" t="s">
        <v>1978</v>
      </c>
      <c r="B1360" s="6" t="str">
        <f>IFERROR(__xludf.DUMMYFUNCTION("GOOGLETRANSLATE(A1360,""en"",""fi"")"),"Sen hieno turkki tuntuu ihanalta koskettaa. Se voi laajentaa ruumistaan ​​hengittämällä ilmaa.")</f>
        <v>Sen hieno turkki tuntuu ihanalta koskettaa. Se voi laajentaa ruumistaan ​​hengittämällä ilmaa.</v>
      </c>
      <c r="C1360" s="9" t="s">
        <v>1344</v>
      </c>
    </row>
    <row r="1361" ht="33.75" customHeight="1">
      <c r="A1361" s="6" t="s">
        <v>1979</v>
      </c>
      <c r="B1361" s="6" t="str">
        <f>IFERROR(__xludf.DUMMYFUNCTION("GOOGLETRANSLATE(A1361,""en"",""fi"")"),"Niiden turkki tuntuu niin hyvältä, että jos kaksi niistä köllöttelee yhdessä, ne eivät halua erota toisistaan.")</f>
        <v>Niiden turkki tuntuu niin hyvältä, että jos kaksi niistä köllöttelee yhdessä, ne eivät halua erota toisistaan.</v>
      </c>
      <c r="C1361" s="9" t="s">
        <v>1344</v>
      </c>
    </row>
    <row r="1362" ht="33.75" customHeight="1">
      <c r="A1362" s="6" t="s">
        <v>1981</v>
      </c>
      <c r="B1362" s="6" t="str">
        <f>IFERROR(__xludf.DUMMYFUNCTION("GOOGLETRANSLATE(A1362,""en"",""fi"")"),"Sillä on erittäin hieno turkki. Varo ärsyttämästä sitä, sillä se voi paisua tasaisesti ja iskeä vartalon läiskähdyksellä.")</f>
        <v>Sillä on erittäin hieno turkki. Varo ärsyttämästä sitä, sillä se voi paisua tasaisesti ja iskeä vartalon läiskähdyksellä.</v>
      </c>
      <c r="C1362" s="9" t="s">
        <v>1344</v>
      </c>
    </row>
    <row r="1363" ht="33.75" customHeight="1">
      <c r="A1363" s="6" t="s">
        <v>1982</v>
      </c>
      <c r="B1363" s="6" t="str">
        <f>IFERROR(__xludf.DUMMYFUNCTION("GOOGLETRANSLATE(A1363,""en"",""fi"")"),"Sen hieno turkki tuntuu niin miellyttävältä, etteivät ne, jotka vahingossa koskevat siihen, voi ottaa käsiään siitä pois.")</f>
        <v>Sen hieno turkki tuntuu niin miellyttävältä, etteivät ne, jotka vahingossa koskevat siihen, voi ottaa käsiään siitä pois.</v>
      </c>
      <c r="C1363" s="9" t="s">
        <v>1344</v>
      </c>
    </row>
    <row r="1364" ht="33.75" customHeight="1">
      <c r="A1364" s="6" t="s">
        <v>1984</v>
      </c>
      <c r="B1364" s="6" t="str">
        <f>IFERROR(__xludf.DUMMYFUNCTION("GOOGLETRANSLATE(A1364,""en"",""fi"")"),"Wigglytuffilla on suuret, lautasen kaltaiset silmät. Sen silmien pinnat ovat aina peittyneet ohueen kyynelkerrokseen. Jos tämän Pokémonin silmiin pääsee pölyä, se huuhtoutuu nopeasti pois.")</f>
        <v>Wigglytuffilla on suuret, lautasen kaltaiset silmät. Sen silmien pinnat ovat aina peittyneet ohueen kyynelkerrokseen. Jos tämän Pokémonin silmiin pääsee pölyä, se huuhtoutuu nopeasti pois.</v>
      </c>
      <c r="C1364" s="9" t="s">
        <v>1344</v>
      </c>
    </row>
    <row r="1365" ht="33.75" customHeight="1">
      <c r="A1365" s="6" t="s">
        <v>1985</v>
      </c>
      <c r="B1365" s="6" t="str">
        <f>IFERROR(__xludf.DUMMYFUNCTION("GOOGLETRANSLATE(A1365,""en"",""fi"")"),"Wigglytuffin vartalo on erittäin joustava. Hengittämällä syvään tämä Pokémon voi täyttyä loputtomasti. Täyttyessään Wigglytuff pomppii kevyesti kuin ilmapallo.")</f>
        <v>Wigglytuffin vartalo on erittäin joustava. Hengittämällä syvään tämä Pokémon voi täyttyä loputtomasti. Täyttyessään Wigglytuff pomppii kevyesti kuin ilmapallo.</v>
      </c>
      <c r="C1365" s="9" t="s">
        <v>1344</v>
      </c>
    </row>
    <row r="1366" ht="33.75" customHeight="1">
      <c r="A1366" s="6" t="s">
        <v>1988</v>
      </c>
      <c r="B1366" s="6" t="str">
        <f>IFERROR(__xludf.DUMMYFUNCTION("GOOGLETRANSLATE(A1366,""en"",""fi"")"),"Se luopuu hienosta turkistaan ​​vuodenaikojen vaihtuessa. Turkki kerätään ja kehrätään ylelliseksi langaksi.")</f>
        <v>Se luopuu hienosta turkistaan ​​vuodenaikojen vaihtuessa. Turkki kerätään ja kehrätään ylelliseksi langaksi.</v>
      </c>
      <c r="C1366" s="9" t="s">
        <v>1344</v>
      </c>
    </row>
    <row r="1367" ht="33.75" customHeight="1">
      <c r="A1367" s="6" t="s">
        <v>1989</v>
      </c>
      <c r="B1367" s="6" t="str">
        <f>IFERROR(__xludf.DUMMYFUNCTION("GOOGLETRANSLATE(A1367,""en"",""fi"")"),"Sisäänhengittäessään se laajenee... ja laajenee... ja laajenee. Wigglytuff kilpailee siitä, kumpi pystyy täyttämään itsensä eniten.")</f>
        <v>Sisäänhengittäessään se laajenee... ja laajenee... ja laajenee. Wigglytuff kilpailee siitä, kumpi pystyy täyttämään itsensä eniten.</v>
      </c>
      <c r="C1367" s="9" t="s">
        <v>1344</v>
      </c>
    </row>
    <row r="1368" ht="33.75" customHeight="1">
      <c r="A1368" s="6" t="s">
        <v>1991</v>
      </c>
      <c r="B1368" s="6" t="str">
        <f>IFERROR(__xludf.DUMMYFUNCTION("GOOGLETRANSLATE(A1368,""en"",""fi"")"),"Pomppivan vartalonsa ja hienon turkkinsa ansiosta tämä Pokémon on haluttu. Sen pitäminen sylissä nukkuessa tuntuu mahtavalta.")</f>
        <v>Pomppivan vartalonsa ja hienon turkkinsa ansiosta tämä Pokémon on haluttu. Sen pitäminen sylissä nukkuessa tuntuu mahtavalta.</v>
      </c>
      <c r="C1368" s="9" t="s">
        <v>1344</v>
      </c>
    </row>
    <row r="1369" ht="33.75" customHeight="1">
      <c r="A1369" s="6" t="s">
        <v>1995</v>
      </c>
      <c r="B1369" s="6" t="str">
        <f>IFERROR(__xludf.DUMMYFUNCTION("GOOGLETRANSLATE(A1369,""en"",""fi"")"),"Kun se suuttuu, se hengittää sisään täydellä voimallaan ja sen ruumis paisuu vähitellen. Joskus ne voivat kasvaa 20 kertaa suuremmiksi!")</f>
        <v>Kun se suuttuu, se hengittää sisään täydellä voimallaan ja sen ruumis paisuu vähitellen. Joskus ne voivat kasvaa 20 kertaa suuremmiksi!</v>
      </c>
      <c r="C1369" s="9" t="s">
        <v>1344</v>
      </c>
    </row>
    <row r="1370" ht="33.75" customHeight="1">
      <c r="A1370" s="6" t="s">
        <v>1997</v>
      </c>
      <c r="B1370" s="6" t="str">
        <f>IFERROR(__xludf.DUMMYFUNCTION("GOOGLETRANSLATE(A1370,""en"",""fi"")"),"Sen runko on erittäin joustava. Syvästi hengittämällä se voi jatkaa itsensä täyttämistä rajattomasti.")</f>
        <v>Sen runko on erittäin joustava. Syvästi hengittämällä se voi jatkaa itsensä täyttämistä rajattomasti.</v>
      </c>
      <c r="C1370" s="9" t="s">
        <v>1344</v>
      </c>
    </row>
    <row r="1371" ht="33.75" customHeight="1">
      <c r="A1371" s="6" t="s">
        <v>1999</v>
      </c>
      <c r="B1371" s="6" t="str">
        <f>IFERROR(__xludf.DUMMYFUNCTION("GOOGLETRANSLATE(A1371,""en"",""fi"")"),"Mitä enemmän ilmaa se imee sisäänsä, sitä enemmän se täyttyy. Jos vastustajat huomaavat sen olevan huonolla tuulella, se täyttyy valtavan kokoiseksi pelotellakseen heitä.")</f>
        <v>Mitä enemmän ilmaa se imee sisäänsä, sitä enemmän se täyttyy. Jos vastustajat huomaavat sen olevan huonolla tuulella, se täyttyy valtavan kokoiseksi pelotellakseen heitä.</v>
      </c>
      <c r="C1371" s="9" t="s">
        <v>1344</v>
      </c>
    </row>
    <row r="1372" ht="33.75" customHeight="1">
      <c r="A1372" s="6" t="s">
        <v>2000</v>
      </c>
      <c r="B1372" s="6" t="str">
        <f>IFERROR(__xludf.DUMMYFUNCTION("GOOGLETRANSLATE(A1372,""en"",""fi"")"),"Se on ylpeä hienosta ja herkästä turkistaan. Erityisesti sen otsan kiharat ovat rakenteeltaan aivan ihanat.")</f>
        <v>Se on ylpeä hienosta ja herkästä turkistaan. Erityisesti sen otsan kiharat ovat rakenteeltaan aivan ihanat.</v>
      </c>
      <c r="C1372" s="9" t="s">
        <v>1344</v>
      </c>
    </row>
    <row r="1373" ht="33.75" customHeight="1">
      <c r="A1373" s="6" t="s">
        <v>2001</v>
      </c>
      <c r="B1373" s="6" t="str">
        <f>IFERROR(__xludf.DUMMYFUNCTION("GOOGLETRANSLATE(A1373,""en"",""fi"")"),"Muodostaa yhdyskuntia aina pimeissä paikoissa. Käyttää ultraääniaaltoja kohteiden tunnistamiseen ja lähestymiseen.")</f>
        <v>Muodostaa yhdyskuntia aina pimeissä paikoissa. Käyttää ultraääniaaltoja kohteiden tunnistamiseen ja lähestymiseen.</v>
      </c>
      <c r="C1373" s="9" t="s">
        <v>1344</v>
      </c>
    </row>
    <row r="1374" ht="33.75" customHeight="1">
      <c r="A1374" s="6" t="s">
        <v>2003</v>
      </c>
      <c r="B1374" s="6" t="str">
        <f>IFERROR(__xludf.DUMMYFUNCTION("GOOGLETRANSLATE(A1374,""en"",""fi"")"),"Lähettää ultraäänihuutoja lentäessään. Ne toimivat kaikuluotaimena, jota käytetään tarkistamaan tiellään olevia esineitä.")</f>
        <v>Lähettää ultraäänihuutoja lentäessään. Ne toimivat kaikuluotaimena, jota käytetään tarkistamaan tiellään olevia esineitä.</v>
      </c>
      <c r="C1374" s="9" t="s">
        <v>1344</v>
      </c>
    </row>
    <row r="1375" ht="33.75" customHeight="1">
      <c r="A1375" s="6" t="s">
        <v>2005</v>
      </c>
      <c r="B1375" s="6" t="str">
        <f>IFERROR(__xludf.DUMMYFUNCTION("GOOGLETRANSLATE(A1375,""en"",""fi"")"),"Lentäessään se lähettää jatkuvasti ultraääniaaltoja suustaan ​​tarkistaakseen ympäristönsä.")</f>
        <v>Lentäessään se lähettää jatkuvasti ultraääniaaltoja suustaan ​​tarkistaakseen ympäristönsä.</v>
      </c>
      <c r="C1375" s="9" t="s">
        <v>1344</v>
      </c>
    </row>
    <row r="1376" ht="33.75" customHeight="1">
      <c r="A1376" s="6" t="s">
        <v>2007</v>
      </c>
      <c r="B1376" s="6" t="str">
        <f>IFERROR(__xludf.DUMMYFUNCTION("GOOGLETRANSLATE(A1376,""en"",""fi"")"),"Se pystyy lentämään turvallisesti pimeissä paikoissa ja lähettää ultraäänihuutoja mahdollisten esteiden varalta.")</f>
        <v>Se pystyy lentämään turvallisesti pimeissä paikoissa ja lähettää ultraäänihuutoja mahdollisten esteiden varalta.</v>
      </c>
      <c r="C1376" s="9" t="s">
        <v>1344</v>
      </c>
    </row>
    <row r="1377" ht="33.75" customHeight="1">
      <c r="A1377" s="6" t="s">
        <v>2009</v>
      </c>
      <c r="B1377" s="6" t="str">
        <f>IFERROR(__xludf.DUMMYFUNCTION("GOOGLETRANSLATE(A1377,""en"",""fi"")"),"Päivän aikana se kerääntyy muiden joukkoon ja roikkuu vanhojen rakennusten ja luolien katoista.")</f>
        <v>Päivän aikana se kerääntyy muiden joukkoon ja roikkuu vanhojen rakennusten ja luolien katoista.</v>
      </c>
      <c r="C1377" s="9" t="s">
        <v>1344</v>
      </c>
    </row>
    <row r="1378" ht="33.75" customHeight="1">
      <c r="A1378" s="6" t="s">
        <v>2010</v>
      </c>
      <c r="B1378" s="6" t="str">
        <f>IFERROR(__xludf.DUMMYFUNCTION("GOOGLETRANSLATE(A1378,""en"",""fi"")"),"ZUBAT pysyy hiljaa liikkumattomana pimeässä paikassa kirkkaina päivänvalossa, koska pitkäaikainen altistuminen auringolle aiheuttaa sen keholle lieviä palovammoja.")</f>
        <v>ZUBAT pysyy hiljaa liikkumattomana pimeässä paikassa kirkkaina päivänvalossa, koska pitkäaikainen altistuminen auringolle aiheuttaa sen keholle lieviä palovammoja.</v>
      </c>
      <c r="C1378" s="9" t="s">
        <v>1344</v>
      </c>
    </row>
    <row r="1379" ht="33.75" customHeight="1">
      <c r="A1379" s="6" t="s">
        <v>2011</v>
      </c>
      <c r="B1379" s="6" t="str">
        <f>IFERROR(__xludf.DUMMYFUNCTION("GOOGLETRANSLATE(A1379,""en"",""fi"")"),"ZUBAT välttelee auringonvaloa, koska altistuminen tekee siitä epäterveellisen. Päivisin se oleskelee luolissa tai vanhojen talojen räystäiden alla ja nukkuu roikkuen ylösalaisin.")</f>
        <v>ZUBAT välttelee auringonvaloa, koska altistuminen tekee siitä epäterveellisen. Päivisin se oleskelee luolissa tai vanhojen talojen räystäiden alla ja nukkuu roikkuen ylösalaisin.</v>
      </c>
      <c r="C1379" s="9" t="s">
        <v>1344</v>
      </c>
    </row>
    <row r="1380" ht="33.75" customHeight="1">
      <c r="A1380" s="6" t="s">
        <v>2012</v>
      </c>
      <c r="B1380" s="6" t="str">
        <f>IFERROR(__xludf.DUMMYFUNCTION("GOOGLETRANSLATE(A1380,""en"",""fi"")"),"Asuessaan pikimustissa luolissa heidän silmänsä vähitellen sulkeutuivat ja veivät heiltä näön. He käyttävät ultraääniaaltoja esteiden havaitsemiseen.")</f>
        <v>Asuessaan pikimustissa luolissa heidän silmänsä vähitellen sulkeutuivat ja veivät heiltä näön. He käyttävät ultraääniaaltoja esteiden havaitsemiseen.</v>
      </c>
      <c r="C1380" s="9" t="s">
        <v>1344</v>
      </c>
    </row>
    <row r="1381" ht="33.75" customHeight="1">
      <c r="A1381" s="6" t="s">
        <v>2013</v>
      </c>
      <c r="B1381" s="6" t="str">
        <f>IFERROR(__xludf.DUMMYFUNCTION("GOOGLETRANSLATE(A1381,""en"",""fi"")"),"Sillä ei ole silmiä. Sen sijaan se luottaa ultraäänihuutoihinsa kaikujen paikantamiseksi leijaillakseen pimeydessä.")</f>
        <v>Sillä ei ole silmiä. Sen sijaan se luottaa ultraäänihuutoihinsa kaikujen paikantamiseksi leijaillakseen pimeydessä.</v>
      </c>
      <c r="C1381" s="9" t="s">
        <v>1344</v>
      </c>
    </row>
    <row r="1382" ht="33.75" customHeight="1">
      <c r="A1382" s="6" t="s">
        <v>2014</v>
      </c>
      <c r="B1382" s="6" t="str">
        <f>IFERROR(__xludf.DUMMYFUNCTION("GOOGLETRANSLATE(A1382,""en"",""fi"")"),"Se muodostaa pesäkkeitä aina pimeisiin paikkoihin ja käyttää ultraääniaaltoja kohteiden tunnistamiseen ja lähestymiseen.")</f>
        <v>Se muodostaa pesäkkeitä aina pimeisiin paikkoihin ja käyttää ultraääniaaltoja kohteiden tunnistamiseen ja lähestymiseen.</v>
      </c>
      <c r="C1382" s="9" t="s">
        <v>1344</v>
      </c>
    </row>
    <row r="1383" ht="33.75" customHeight="1">
      <c r="A1383" s="6" t="s">
        <v>2015</v>
      </c>
      <c r="B1383" s="6" t="str">
        <f>IFERROR(__xludf.DUMMYFUNCTION("GOOGLETRANSLATE(A1383,""en"",""fi"")"),"Vaikka sillä ei ole silmiä, se voi aistia esteitä suustaan ​​​​säteilevien ultraääniaaltojen avulla.")</f>
        <v>Vaikka sillä ei ole silmiä, se voi aistia esteitä suustaan ​​​​säteilevien ultraääniaaltojen avulla.</v>
      </c>
      <c r="C1383" s="9" t="s">
        <v>1344</v>
      </c>
    </row>
    <row r="1384" ht="33.75" customHeight="1">
      <c r="A1384" s="6" t="s">
        <v>2016</v>
      </c>
      <c r="B1384" s="6" t="str">
        <f>IFERROR(__xludf.DUMMYFUNCTION("GOOGLETRANSLATE(A1384,""en"",""fi"")"),"Koska se ei pidä auringonvalosta, se nukkuu syvällä metsissä ja luolissa auringonlaskuun asti.")</f>
        <v>Koska se ei pidä auringonvalosta, se nukkuu syvällä metsissä ja luolissa auringonlaskuun asti.</v>
      </c>
      <c r="C1384" s="9" t="s">
        <v>1344</v>
      </c>
    </row>
    <row r="1385" ht="33.75" customHeight="1">
      <c r="A1385" s="6" t="s">
        <v>2017</v>
      </c>
      <c r="B1385" s="6" t="str">
        <f>IFERROR(__xludf.DUMMYFUNCTION("GOOGLETRANSLATE(A1385,""en"",""fi"")"),"Se tarkistaa ympäristönsä ja sijaintinsa suustaan ​​​​heijastuvien ultraääniaaltojen avulla.")</f>
        <v>Se tarkistaa ympäristönsä ja sijaintinsa suustaan ​​​​heijastuvien ultraääniaaltojen avulla.</v>
      </c>
      <c r="C1385" s="9" t="s">
        <v>1344</v>
      </c>
    </row>
    <row r="1386" ht="33.75" customHeight="1">
      <c r="A1386" s="6" t="s">
        <v>2018</v>
      </c>
      <c r="B1386" s="6" t="str">
        <f>IFERROR(__xludf.DUMMYFUNCTION("GOOGLETRANSLATE(A1386,""en"",""fi"")"),"Lentäessään se lähettää jatkuvasti ultraääniaaltoja suustaan ​​tarkistaakseen ympäristönsä.")</f>
        <v>Lentäessään se lähettää jatkuvasti ultraääniaaltoja suustaan ​​tarkistaakseen ympäristönsä.</v>
      </c>
      <c r="C1386" s="9" t="s">
        <v>1344</v>
      </c>
    </row>
    <row r="1387" ht="33.75" customHeight="1">
      <c r="A1387" s="6" t="s">
        <v>2019</v>
      </c>
      <c r="B1387" s="6" t="str">
        <f>IFERROR(__xludf.DUMMYFUNCTION("GOOGLETRANSLATE(A1387,""en"",""fi"")"),"Se ei tarvitse silmiä, koska se lähettää ultraääniaaltoja ympäristönsä tarkkailuun lennon aikana.")</f>
        <v>Se ei tarvitse silmiä, koska se lähettää ultraääniaaltoja ympäristönsä tarkkailuun lennon aikana.</v>
      </c>
      <c r="C1387" s="9" t="s">
        <v>1344</v>
      </c>
    </row>
    <row r="1388" ht="33.75" customHeight="1">
      <c r="A1388" s="6" t="s">
        <v>2020</v>
      </c>
      <c r="B1388" s="6" t="str">
        <f>IFERROR(__xludf.DUMMYFUNCTION("GOOGLETRANSLATE(A1388,""en"",""fi"")"),"Sillä ei ole silmiä. Sen sijaan se luottaa ultraäänihuutoihinsa kaikujen havaitsemiseksi leijaillakseen pimeydessä.")</f>
        <v>Sillä ei ole silmiä. Sen sijaan se luottaa ultraäänihuutoihinsa kaikujen havaitsemiseksi leijaillakseen pimeydessä.</v>
      </c>
      <c r="C1388" s="9" t="s">
        <v>1344</v>
      </c>
    </row>
    <row r="1389" ht="33.75" customHeight="1">
      <c r="A1389" s="6" t="s">
        <v>2021</v>
      </c>
      <c r="B1389" s="6" t="str">
        <f>IFERROR(__xludf.DUMMYFUNCTION("GOOGLETRANSLATE(A1389,""en"",""fi"")"),"Zubat pysyy hiljaa liikkumatta pimeässä paikassa kirkkaina päivänvalossa, koska pitkäaikainen altistuminen auringolle aiheuttaa sen keholle lieviä palovammoja.")</f>
        <v>Zubat pysyy hiljaa liikkumatta pimeässä paikassa kirkkaina päivänvalossa, koska pitkäaikainen altistuminen auringolle aiheuttaa sen keholle lieviä palovammoja.</v>
      </c>
      <c r="C1389" s="9" t="s">
        <v>1344</v>
      </c>
    </row>
    <row r="1390" ht="33.75" customHeight="1">
      <c r="A1390" s="6" t="s">
        <v>2023</v>
      </c>
      <c r="B1390" s="6" t="str">
        <f>IFERROR(__xludf.DUMMYFUNCTION("GOOGLETRANSLATE(A1390,""en"",""fi"")"),"Zubat välttää auringonvaloa, koska altistuminen tekee siitä epäterveellisen. Päivisin se oleskelee luolissa tai vanhojen talojen räystäiden alla nukkuen roikkuen ylösalaisin.")</f>
        <v>Zubat välttää auringonvaloa, koska altistuminen tekee siitä epäterveellisen. Päivisin se oleskelee luolissa tai vanhojen talojen räystäiden alla nukkuen roikkuen ylösalaisin.</v>
      </c>
      <c r="C1390" s="9" t="s">
        <v>1344</v>
      </c>
    </row>
    <row r="1391" ht="33.75" customHeight="1">
      <c r="A1391" s="6" t="s">
        <v>2024</v>
      </c>
      <c r="B1391" s="6" t="str">
        <f>IFERROR(__xludf.DUMMYFUNCTION("GOOGLETRANSLATE(A1391,""en"",""fi"")"),"Se nukkuu luolissa päivisin. Sillä ei ole silmiä, joten ympäristönsä tarkkailuun lennon aikana se lähettää ultraääniaaltoja.")</f>
        <v>Se nukkuu luolissa päivisin. Sillä ei ole silmiä, joten ympäristönsä tarkkailuun lennon aikana se lähettää ultraääniaaltoja.</v>
      </c>
      <c r="C1391" s="9" t="s">
        <v>1344</v>
      </c>
    </row>
    <row r="1392" ht="33.75" customHeight="1">
      <c r="A1392" s="6" t="s">
        <v>2025</v>
      </c>
      <c r="B1392" s="6" t="str">
        <f>IFERROR(__xludf.DUMMYFUNCTION("GOOGLETRANSLATE(A1392,""en"",""fi"")"),"Auringonvalolle altistuessaan ne saavat palovammoja. Niiden ultraääniaaltojen taajuus voi vaihdella hieman yhdyskunnasta toiseen.")</f>
        <v>Auringonvalolle altistuessaan ne saavat palovammoja. Niiden ultraääniaaltojen taajuus voi vaihdella hieman yhdyskunnasta toiseen.</v>
      </c>
      <c r="C1392" s="9" t="s">
        <v>1344</v>
      </c>
    </row>
    <row r="1393" ht="33.75" customHeight="1">
      <c r="A1393" s="6" t="s">
        <v>2026</v>
      </c>
      <c r="B1393" s="6" t="str">
        <f>IFERROR(__xludf.DUMMYFUNCTION("GOOGLETRANSLATE(A1393,""en"",""fi"")"),"Sillä ei ole silmämunia, joten se ei näe. Se tarkkailee ympäristöään suustaan ​​​​lähettyvien ultraääniaaltojen avulla.")</f>
        <v>Sillä ei ole silmämunia, joten se ei näe. Se tarkkailee ympäristöään suustaan ​​​​lähettyvien ultraääniaaltojen avulla.</v>
      </c>
      <c r="C1393" s="9" t="s">
        <v>1344</v>
      </c>
    </row>
    <row r="1394" ht="33.75" customHeight="1">
      <c r="A1394" s="6" t="s">
        <v>2029</v>
      </c>
      <c r="B1394" s="6" t="str">
        <f>IFERROR(__xludf.DUMMYFUNCTION("GOOGLETRANSLATE(A1394,""en"",""fi"")"),"Niiden iho on niin ohut, että ne palavat, jos auringonvalo osuu niihin. Kun ulkona kylmenee, ne kerääntyvät yhteen lämmittämään toistensa kehoja.")</f>
        <v>Niiden iho on niin ohut, että ne palavat, jos auringonvalo osuu niihin. Kun ulkona kylmenee, ne kerääntyvät yhteen lämmittämään toistensa kehoja.</v>
      </c>
      <c r="C1394" s="9" t="s">
        <v>1344</v>
      </c>
    </row>
    <row r="1395" ht="33.75" customHeight="1">
      <c r="A1395" s="6" t="s">
        <v>2032</v>
      </c>
      <c r="B1395" s="6" t="str">
        <f>IFERROR(__xludf.DUMMYFUNCTION("GOOGLETRANSLATE(A1395,""en"",""fi"")"),"Lähettää ultraäänihuutoja lentäessään. Ne toimivat kaikuluotaimena, jota käytetään tarkistamaan tiellään olevia esineitä.")</f>
        <v>Lähettää ultraäänihuutoja lentäessään. Ne toimivat kaikuluotaimena, jota käytetään tarkistamaan tiellään olevia esineitä.</v>
      </c>
      <c r="C1395" s="9" t="s">
        <v>1344</v>
      </c>
    </row>
    <row r="1396" ht="33.75" customHeight="1">
      <c r="A1396" s="6" t="s">
        <v>2033</v>
      </c>
      <c r="B1396" s="6" t="str">
        <f>IFERROR(__xludf.DUMMYFUNCTION("GOOGLETRANSLATE(A1396,""en"",""fi"")"),"Se lähettää suustaan ​​ultraääniaaltoja ympäristönsä tarkkailuun. Zubat lentää taitavasti jopa ahtaissa luolissa.")</f>
        <v>Se lähettää suustaan ​​ultraääniaaltoja ympäristönsä tarkkailuun. Zubat lentää taitavasti jopa ahtaissa luolissa.</v>
      </c>
      <c r="C1396" s="9" t="s">
        <v>1344</v>
      </c>
    </row>
    <row r="1397" ht="33.75" customHeight="1">
      <c r="A1397" s="6" t="s">
        <v>2035</v>
      </c>
      <c r="B1397" s="6" t="str">
        <f>IFERROR(__xludf.DUMMYFUNCTION("GOOGLETRANSLATE(A1397,""en"",""fi"")"),"Zubatit asuvat luolissa, joihin auringonvalo ei ulotu. Aamulla ne kokoontuvat yhteen pitääkseen toisensa lämpiminä nukkuessaan.")</f>
        <v>Zubatit asuvat luolissa, joihin auringonvalo ei ulotu. Aamulla ne kokoontuvat yhteen pitääkseen toisensa lämpiminä nukkuessaan.</v>
      </c>
      <c r="C1397" s="9" t="s">
        <v>1344</v>
      </c>
    </row>
    <row r="1398" ht="33.75" customHeight="1">
      <c r="A1398" s="6" t="s">
        <v>2037</v>
      </c>
      <c r="B1398" s="6" t="str">
        <f>IFERROR(__xludf.DUMMYFUNCTION("GOOGLETRANSLATE(A1398,""en"",""fi"")"),"Se asuu synkissä luolissa. Surkastuneet silmät ovat tehneet tästä Pokémonista sokean, joten se skannaa ympäristöään ääniaaltojen avulla, joita se lähettää suustaan ​​lentäessään.")</f>
        <v>Se asuu synkissä luolissa. Surkastuneet silmät ovat tehneet tästä Pokémonista sokean, joten se skannaa ympäristöään ääniaaltojen avulla, joita se lähettää suustaan ​​lentäessään.</v>
      </c>
      <c r="C1398" s="9" t="s">
        <v>1344</v>
      </c>
    </row>
    <row r="1399" ht="33.75" customHeight="1">
      <c r="A1399" s="6" t="s">
        <v>2039</v>
      </c>
      <c r="B1399" s="6" t="str">
        <f>IFERROR(__xludf.DUMMYFUNCTION("GOOGLETRANSLATE(A1399,""en"",""fi"")"),"Kun se iskee, se ei lakkaa kuluttamasta uhrin energiaa, vaikka siitä tulisi liian raskas lentämään.")</f>
        <v>Kun se iskee, se ei lakkaa kuluttamasta uhrin energiaa, vaikka siitä tulisi liian raskas lentämään.</v>
      </c>
      <c r="C1399" s="9" t="s">
        <v>1344</v>
      </c>
    </row>
    <row r="1400" ht="33.75" customHeight="1">
      <c r="A1400" s="6" t="s">
        <v>2041</v>
      </c>
      <c r="B1400" s="6" t="str">
        <f>IFERROR(__xludf.DUMMYFUNCTION("GOOGLETRANSLATE(A1400,""en"",""fi"")"),"Se hyökkää salamyhkäisesti, varoittamatta. Sen teräviä kulmahampaita käytetään puremiseen ja veren imemiseen.")</f>
        <v>Se hyökkää salamyhkäisesti, varoittamatta. Sen teräviä kulmahampaita käytetään puremiseen ja veren imemiseen.</v>
      </c>
      <c r="C1400" s="9" t="s">
        <v>1344</v>
      </c>
    </row>
    <row r="1401" ht="33.75" customHeight="1">
      <c r="A1401" s="6" t="s">
        <v>2045</v>
      </c>
      <c r="B1401" s="6" t="str">
        <f>IFERROR(__xludf.DUMMYFUNCTION("GOOGLETRANSLATE(A1401,""en"",""fi"")"),"Olipa uhrinsa nahka kuinka kova tahansa, se puhkaisee terävät kulmahampaat ja mässäilee verellä.")</f>
        <v>Olipa uhrinsa nahka kuinka kova tahansa, se puhkaisee terävät kulmahampaat ja mässäilee verellä.</v>
      </c>
      <c r="C1401" s="9" t="s">
        <v>1344</v>
      </c>
    </row>
    <row r="1402" ht="33.75" customHeight="1">
      <c r="A1402" s="6" t="s">
        <v>2046</v>
      </c>
      <c r="B1402" s="6" t="str">
        <f>IFERROR(__xludf.DUMMYFUNCTION("GOOGLETRANSLATE(A1402,""en"",""fi"")"),"Se voi juoda yli 30 grammaa verta kerralla. Jos sillä on liikaa verta, siitä tulee raskas ja se lentää kömpelösti.")</f>
        <v>Se voi juoda yli 30 grammaa verta kerralla. Jos sillä on liikaa verta, siitä tulee raskas ja se lentää kömpelösti.</v>
      </c>
      <c r="C1402" s="9" t="s">
        <v>1344</v>
      </c>
    </row>
    <row r="1403" ht="33.75" customHeight="1">
      <c r="A1403" s="6" t="s">
        <v>2047</v>
      </c>
      <c r="B1403" s="6" t="str">
        <f>IFERROR(__xludf.DUMMYFUNCTION("GOOGLETRANSLATE(A1403,""en"",""fi"")"),"Kun se iskee saaliiseensa kulmahampaansa, se vetää ja nielee välittömästi yli kymmenen unssia verta.")</f>
        <v>Kun se iskee saaliiseensa kulmahampaansa, se vetää ja nielee välittömästi yli kymmenen unssia verta.</v>
      </c>
      <c r="C1403" s="9" t="s">
        <v>1344</v>
      </c>
    </row>
    <row r="1404" ht="33.75" customHeight="1">
      <c r="A1404" s="6" t="s">
        <v>2049</v>
      </c>
      <c r="B1404" s="6" t="str">
        <f>IFERROR(__xludf.DUMMYFUNCTION("GOOGLETRANSLATE(A1404,""en"",""fi"")"),"GOLBAT rakastaa juoda elävien olentojen verta. Se on erityisen aktiivinen yön pimeydessä. Tämä POKéMON lentää yötaivaalla etsien tuoretta verta.")</f>
        <v>GOLBAT rakastaa juoda elävien olentojen verta. Se on erityisen aktiivinen yön pimeydessä. Tämä POKéMON lentää yötaivaalla etsien tuoretta verta.</v>
      </c>
      <c r="C1404" s="9" t="s">
        <v>1344</v>
      </c>
    </row>
    <row r="1405" ht="33.75" customHeight="1">
      <c r="A1405" s="6" t="s">
        <v>2050</v>
      </c>
      <c r="B1405" s="6" t="str">
        <f>IFERROR(__xludf.DUMMYFUNCTION("GOOGLETRANSLATE(A1405,""en"",""fi"")"),"GOLBAT puree saalista neljällä hampaalla ja juo uhrin veren. Se aktivoituu musteisina, pimeinä, kuuttomina öinä ja lentelee ympäriinsä hyökäten ihmisten ja POKéMONien kimppuun.")</f>
        <v>GOLBAT puree saalista neljällä hampaalla ja juo uhrin veren. Se aktivoituu musteisina, pimeinä, kuuttomina öinä ja lentelee ympäriinsä hyökäten ihmisten ja POKéMONien kimppuun.</v>
      </c>
      <c r="C1405" s="9" t="s">
        <v>1344</v>
      </c>
    </row>
    <row r="1406" ht="33.75" customHeight="1">
      <c r="A1406" s="6" t="s">
        <v>2051</v>
      </c>
      <c r="B1406" s="6" t="str">
        <f>IFERROR(__xludf.DUMMYFUNCTION("GOOGLETRANSLATE(A1406,""en"",""fi"")"),"Sen torahampaat lävistävät helposti jopa paksun eläimen nahan. Se rakastaa herkuttella ihmisten ja POKéMONien verellä. Se lepattaa pimeydessä ja iskee takaapäin.")</f>
        <v>Sen torahampaat lävistävät helposti jopa paksun eläimen nahan. Se rakastaa herkuttella ihmisten ja POKéMONien verellä. Se lepattaa pimeydessä ja iskee takaapäin.</v>
      </c>
      <c r="C1406" s="9" t="s">
        <v>1344</v>
      </c>
    </row>
    <row r="1407" ht="33.75" customHeight="1">
      <c r="A1407" s="6" t="s">
        <v>2052</v>
      </c>
      <c r="B1407" s="6" t="str">
        <f>IFERROR(__xludf.DUMMYFUNCTION("GOOGLETRANSLATE(A1407,""en"",""fi"")"),"Se puristaa saalistaan ​​neulanterävillä hampailla ja vuodattaa yli 30 grammaa verta yhdellä henkäyksellä.")</f>
        <v>Se puristaa saalistaan ​​neulanterävillä hampailla ja vuodattaa yli 30 grammaa verta yhdellä henkäyksellä.</v>
      </c>
      <c r="C1407" s="9" t="s">
        <v>1344</v>
      </c>
    </row>
    <row r="1408" ht="33.75" customHeight="1">
      <c r="A1408" s="6" t="s">
        <v>2053</v>
      </c>
      <c r="B1408" s="6" t="str">
        <f>IFERROR(__xludf.DUMMYFUNCTION("GOOGLETRANSLATE(A1408,""en"",""fi"")"),"Kun se puree, se ei lakkaa kuluttamasta uhrilta energiaa, vaikka siitä tulisi liian raskas lentämään.")</f>
        <v>Kun se puree, se ei lakkaa kuluttamasta uhrilta energiaa, vaikka siitä tulisi liian raskas lentämään.</v>
      </c>
      <c r="C1408" s="9" t="s">
        <v>1344</v>
      </c>
    </row>
    <row r="1409" ht="33.75" customHeight="1">
      <c r="A1409" s="6" t="s">
        <v>2054</v>
      </c>
      <c r="B1409" s="6" t="str">
        <f>IFERROR(__xludf.DUMMYFUNCTION("GOOGLETRANSLATE(A1409,""en"",""fi"")"),"Se rakastaa ihmisten ja Pokémonien verta. Se lentää öisin etsien kaulasuonia.")</f>
        <v>Se rakastaa ihmisten ja Pokémonien verta. Se lentää öisin etsien kaulasuonia.</v>
      </c>
      <c r="C1409" s="9" t="s">
        <v>1344</v>
      </c>
    </row>
    <row r="1410" ht="33.75" customHeight="1">
      <c r="A1410" s="6" t="s">
        <v>2055</v>
      </c>
      <c r="B1410" s="6" t="str">
        <f>IFERROR(__xludf.DUMMYFUNCTION("GOOGLETRANSLATE(A1410,""en"",""fi"")"),"Kun se alkaa imeä verta, se ei lopeta ennen kuin se on täynnä. Se lentää yöllä etsimässä saalista.")</f>
        <v>Kun se alkaa imeä verta, se ei lopeta ennen kuin se on täynnä. Se lentää yöllä etsimässä saalista.</v>
      </c>
      <c r="C1410" s="9" t="s">
        <v>1344</v>
      </c>
    </row>
    <row r="1411" ht="33.75" customHeight="1">
      <c r="A1411" s="6" t="s">
        <v>2057</v>
      </c>
      <c r="B1411" s="6" t="str">
        <f>IFERROR(__xludf.DUMMYFUNCTION("GOOGLETRANSLATE(A1411,""en"",""fi"")"),"Sen terävät kulmahampaat lävistävät kovimmatkin nahat ja niissä on pieniä reikiä, joista ne imevät ahneesti verta.")</f>
        <v>Sen terävät kulmahampaat lävistävät kovimmatkin nahat ja niissä on pieniä reikiä, joista ne imevät ahneesti verta.</v>
      </c>
      <c r="C1411" s="9" t="s">
        <v>1344</v>
      </c>
    </row>
    <row r="1412" ht="33.75" customHeight="1">
      <c r="A1412" s="6" t="s">
        <v>2058</v>
      </c>
      <c r="B1412" s="6" t="str">
        <f>IFERROR(__xludf.DUMMYFUNCTION("GOOGLETRANSLATE(A1412,""en"",""fi"")"),"Olipa uhrinsa nahka kuinka kova tahansa, se puhkaisee terävät kulmahampaat ja mässäilee verellä.")</f>
        <v>Olipa uhrinsa nahka kuinka kova tahansa, se puhkaisee terävät kulmahampaat ja mässäilee verellä.</v>
      </c>
      <c r="C1412" s="9" t="s">
        <v>1344</v>
      </c>
    </row>
    <row r="1413" ht="33.75" customHeight="1">
      <c r="A1413" s="6" t="s">
        <v>2059</v>
      </c>
      <c r="B1413" s="6" t="str">
        <f>IFERROR(__xludf.DUMMYFUNCTION("GOOGLETRANSLATE(A1413,""en"",""fi"")"),"Se lepattaa ympäriinsä yön keskellä, iskee kulmahampaansa saaliiseensa ja vuodattaa lähes tappavan määrän verta.")</f>
        <v>Se lepattaa ympäriinsä yön keskellä, iskee kulmahampaansa saaliiseensa ja vuodattaa lähes tappavan määrän verta.</v>
      </c>
      <c r="C1413" s="9" t="s">
        <v>1344</v>
      </c>
    </row>
    <row r="1414" ht="33.75" customHeight="1">
      <c r="A1414" s="6" t="s">
        <v>2060</v>
      </c>
      <c r="B1414" s="6" t="str">
        <f>IFERROR(__xludf.DUMMYFUNCTION("GOOGLETRANSLATE(A1414,""en"",""fi"")"),"Golbat rakastaa juoda elävien olentojen verta. Se on erityisen aktiivinen yön säkkipimeydessä. Tämä Pokémon leijuu yötaivaalla etsien tuoretta verta.")</f>
        <v>Golbat rakastaa juoda elävien olentojen verta. Se on erityisen aktiivinen yön säkkipimeydessä. Tämä Pokémon leijuu yötaivaalla etsien tuoretta verta.</v>
      </c>
      <c r="C1414" s="9" t="s">
        <v>1344</v>
      </c>
    </row>
    <row r="1415" ht="33.75" customHeight="1">
      <c r="A1415" s="6" t="s">
        <v>2062</v>
      </c>
      <c r="B1415" s="6" t="str">
        <f>IFERROR(__xludf.DUMMYFUNCTION("GOOGLETRANSLATE(A1415,""en"",""fi"")"),"Golbat puree saalista neljällä hampaalla ja juo uhrin veren. Se aktivoituu musteisina, pimeinä, kuuttomina öinä ja lentelee ympäriinsä hyökäten ihmisten ja Pokémonien kimppuun.")</f>
        <v>Golbat puree saalista neljällä hampaalla ja juo uhrin veren. Se aktivoituu musteisina, pimeinä, kuuttomina öinä ja lentelee ympäriinsä hyökäten ihmisten ja Pokémonien kimppuun.</v>
      </c>
      <c r="C1415" s="9" t="s">
        <v>1344</v>
      </c>
    </row>
    <row r="1416" ht="33.75" customHeight="1">
      <c r="A1416" s="6" t="s">
        <v>2064</v>
      </c>
      <c r="B1416" s="6" t="str">
        <f>IFERROR(__xludf.DUMMYFUNCTION("GOOGLETRANSLATE(A1416,""en"",""fi"")"),"Sen paksut torahampaat ovat onttoja kuin oljenkorret, mikä tekee niistä odottamattoman hauraita. Nämä torahampaat ovat erikoistuneet veren imemiseen.")</f>
        <v>Sen paksut torahampaat ovat onttoja kuin oljenkorret, mikä tekee niistä odottamattoman hauraita. Nämä torahampaat ovat erikoistuneet veren imemiseen.</v>
      </c>
      <c r="C1416" s="9" t="s">
        <v>1344</v>
      </c>
    </row>
    <row r="1417" ht="33.75" customHeight="1">
      <c r="A1417" s="6" t="s">
        <v>2065</v>
      </c>
      <c r="B1417" s="6" t="str">
        <f>IFERROR(__xludf.DUMMYFUNCTION("GOOGLETRANSLATE(A1417,""en"",""fi"")"),"Joskus ne juovat niin paljon verta, etteivät ne pysty enää lentämään. Sitten ne putoavat maahan ja niistä tulee muiden Pokémonien ruokaa.")</f>
        <v>Joskus ne juovat niin paljon verta, etteivät ne pysty enää lentämään. Sitten ne putoavat maahan ja niistä tulee muiden Pokémonien ruokaa.</v>
      </c>
      <c r="C1417" s="9" t="s">
        <v>1344</v>
      </c>
    </row>
    <row r="1418" ht="33.75" customHeight="1">
      <c r="A1418" s="6" t="s">
        <v>2067</v>
      </c>
      <c r="B1418" s="6" t="str">
        <f>IFERROR(__xludf.DUMMYFUNCTION("GOOGLETRANSLATE(A1418,""en"",""fi"")"),"Aina silloin tällöin näet Golbatin, jolta puuttuu kulmahampaita. Näin käy, kun nälkä ajaa sen yrittämään purra terästyyppistä Pokémonia.")</f>
        <v>Aina silloin tällöin näet Golbatin, jolta puuttuu kulmahampaita. Näin käy, kun nälkä ajaa sen yrittämään purra terästyyppistä Pokémonia.</v>
      </c>
      <c r="C1418" s="9" t="s">
        <v>1344</v>
      </c>
    </row>
    <row r="1419" ht="33.75" customHeight="1">
      <c r="A1419" s="6" t="s">
        <v>2068</v>
      </c>
      <c r="B1419" s="6" t="str">
        <f>IFERROR(__xludf.DUMMYFUNCTION("GOOGLETRANSLATE(A1419,""en"",""fi"")"),"Ne voivat imeä yli 30 grammaa verta kerralla. Niiden tiedetään juovan niin paljon verta, etteivät ne enää pysty lentämään.")</f>
        <v>Ne voivat imeä yli 30 grammaa verta kerralla. Niiden tiedetään juovan niin paljon verta, etteivät ne enää pysty lentämään.</v>
      </c>
      <c r="C1419" s="9" t="s">
        <v>1344</v>
      </c>
    </row>
    <row r="1420" ht="33.75" customHeight="1">
      <c r="A1420" s="6" t="s">
        <v>2069</v>
      </c>
      <c r="B1420" s="6" t="str">
        <f>IFERROR(__xludf.DUMMYFUNCTION("GOOGLETRANSLATE(A1420,""en"",""fi"")"),"Se hyökkää salamyhkäisesti, varoittamatta. Sen teräviä kulmahampaita käytetään puremiseen ja veren imemiseen.")</f>
        <v>Se hyökkää salamyhkäisesti, varoittamatta. Sen teräviä kulmahampaita käytetään puremiseen ja veren imemiseen.</v>
      </c>
      <c r="C1420" s="9" t="s">
        <v>1344</v>
      </c>
    </row>
    <row r="1421" ht="33.75" customHeight="1">
      <c r="A1421" s="6" t="s">
        <v>2071</v>
      </c>
      <c r="B1421" s="6" t="str">
        <f>IFERROR(__xludf.DUMMYFUNCTION("GOOGLETRANSLATE(A1421,""en"",""fi"")"),"Se rakastaa juoda muiden olentojen verta. Sanotaan, että jos se havaitsee lajitovereidensa olevan nälkäisiä, se joskus jakaa keräämäänsä verta.")</f>
        <v>Se rakastaa juoda muiden olentojen verta. Sanotaan, että jos se havaitsee lajitovereidensa olevan nälkäisiä, se joskus jakaa keräämäänsä verta.</v>
      </c>
      <c r="C1421" s="9" t="s">
        <v>1344</v>
      </c>
    </row>
    <row r="1422" ht="33.75" customHeight="1">
      <c r="A1422" s="6" t="s">
        <v>2073</v>
      </c>
      <c r="B1422" s="6" t="str">
        <f>IFERROR(__xludf.DUMMYFUNCTION("GOOGLETRANSLATE(A1422,""en"",""fi"")"),"Sen jalat ovat pienet, mutta tämä Pokémon kävelee taitavasti. Se hiipii nukkuvan saaliinsa luo ennen kuin uppoaa hampaisiinsa ja hörppii verta.")</f>
        <v>Sen jalat ovat pienet, mutta tämä Pokémon kävelee taitavasti. Se hiipii nukkuvan saaliinsa luo ennen kuin uppoaa hampaisiinsa ja hörppii verta.</v>
      </c>
      <c r="C1422" s="9" t="s">
        <v>1344</v>
      </c>
    </row>
    <row r="1423" ht="33.75" customHeight="1">
      <c r="A1423" s="6" t="s">
        <v>2075</v>
      </c>
      <c r="B1423" s="6" t="str">
        <f>IFERROR(__xludf.DUMMYFUNCTION("GOOGLETRANSLATE(A1423,""en"",""fi"")"),"Se upottaa terävät kulmahampaansa muihin olentoihin ja hörppää niiden verta. Tarkempi tarkastelu paljastaa, että kulmahampaat ovat ontot ja muistuttavat olkia.")</f>
        <v>Se upottaa terävät kulmahampaansa muihin olentoihin ja hörppää niiden verta. Tarkempi tarkastelu paljastaa, että kulmahampaat ovat ontot ja muistuttavat olkia.</v>
      </c>
      <c r="C1423" s="9" t="s">
        <v>1344</v>
      </c>
    </row>
    <row r="1424" ht="33.75" customHeight="1">
      <c r="A1424" s="6" t="s">
        <v>2077</v>
      </c>
      <c r="B1424" s="6" t="str">
        <f>IFERROR(__xludf.DUMMYFUNCTION("GOOGLETRANSLATE(A1424,""en"",""fi"")"),"Päivällä se pitää kasvonsa hautautuneena maahan. Yöllä se vaeltelee ympäriinsä kylvämässä siemeniä.")</f>
        <v>Päivällä se pitää kasvonsa hautautuneena maahan. Yöllä se vaeltelee ympäriinsä kylvämässä siemeniä.</v>
      </c>
      <c r="C1424" s="9" t="s">
        <v>1344</v>
      </c>
    </row>
    <row r="1425" ht="33.75" customHeight="1">
      <c r="A1425" s="6" t="s">
        <v>2078</v>
      </c>
      <c r="B1425" s="6" t="str">
        <f>IFERROR(__xludf.DUMMYFUNCTION("GOOGLETRANSLATE(A1425,""en"",""fi"")"),"Se voidaan luulla rikkaruohokokaksi. Jos yrität nykäistä sen irti maasta, se kirkuu kamalasti.")</f>
        <v>Se voidaan luulla rikkaruohokokaksi. Jos yrität nykäistä sen irti maasta, se kirkuu kamalasti.</v>
      </c>
      <c r="C1425" s="9" t="s">
        <v>1344</v>
      </c>
    </row>
    <row r="1426" ht="33.75" customHeight="1">
      <c r="A1426" s="6" t="s">
        <v>2080</v>
      </c>
      <c r="B1426" s="6" t="str">
        <f>IFERROR(__xludf.DUMMYFUNCTION("GOOGLETRANSLATE(A1426,""en"",""fi"")"),"Kuunvalo herättää sen ja se vaeltaa aktiivisesti yöllä. Päivällä se pysyy hiljaa maan alla.")</f>
        <v>Kuunvalo herättää sen ja se vaeltaa aktiivisesti yöllä. Päivällä se pysyy hiljaa maan alla.</v>
      </c>
      <c r="C1426" s="9" t="s">
        <v>1344</v>
      </c>
    </row>
    <row r="1427" ht="33.75" customHeight="1">
      <c r="A1427" s="6" t="s">
        <v>2081</v>
      </c>
      <c r="B1427" s="6" t="str">
        <f>IFERROR(__xludf.DUMMYFUNCTION("GOOGLETRANSLATE(A1427,""en"",""fi"")"),"Kuunvalossa se alkaa liikkua. Se vaeltaa yöllä laajalle levittääkseen siemeniään.")</f>
        <v>Kuunvalossa se alkaa liikkua. Se vaeltaa yöllä laajalle levittääkseen siemeniään.</v>
      </c>
      <c r="C1427" s="9" t="s">
        <v>1344</v>
      </c>
    </row>
    <row r="1428" ht="33.75" customHeight="1">
      <c r="A1428" s="6" t="s">
        <v>2083</v>
      </c>
      <c r="B1428" s="6" t="str">
        <f>IFERROR(__xludf.DUMMYFUNCTION("GOOGLETRANSLATE(A1428,""en"",""fi"")"),"Päivällä se pysyy kylmässä maan alla auringonpaisteen välttämiseksi. Se kasvaa kylpemällä kuunvalossa.")</f>
        <v>Päivällä se pysyy kylmässä maan alla auringonpaisteen välttämiseksi. Se kasvaa kylpemällä kuunvalossa.</v>
      </c>
      <c r="C1428" s="9" t="s">
        <v>1344</v>
      </c>
    </row>
    <row r="1429" ht="33.75" customHeight="1">
      <c r="A1429" s="6" t="s">
        <v>2084</v>
      </c>
      <c r="B1429" s="6" t="str">
        <f>IFERROR(__xludf.DUMMYFUNCTION("GOOGLETRANSLATE(A1429,""en"",""fi"")"),"Päivällä ODDISH kaivautuu maahan imeäkseen ravinteita koko kehollaan. Mitä hedelmällisempi maaperä, sitä kiiltävämmiksi sen lehdet tulevat.")</f>
        <v>Päivällä ODDISH kaivautuu maahan imeäkseen ravinteita koko kehollaan. Mitä hedelmällisempi maaperä, sitä kiiltävämmiksi sen lehdet tulevat.</v>
      </c>
      <c r="C1429" s="9" t="s">
        <v>1344</v>
      </c>
    </row>
    <row r="1430" ht="33.75" customHeight="1">
      <c r="A1430" s="6" t="s">
        <v>2086</v>
      </c>
      <c r="B1430" s="6" t="str">
        <f>IFERROR(__xludf.DUMMYFUNCTION("GOOGLETRANSLATE(A1430,""en"",""fi"")"),"ODDISH etsii hedelmällistä ja ravinnepitoista maaperää ja istuttaa sitten itsensä. Päivän aikana, istutuksen aikana, tämän POKéMONin jalkojen uskotaan muuttavan muotoaan ja tulevan puun juurien kaltaisiksi.")</f>
        <v>ODDISH etsii hedelmällistä ja ravinnepitoista maaperää ja istuttaa sitten itsensä. Päivän aikana, istutuksen aikana, tämän POKéMONin jalkojen uskotaan muuttavan muotoaan ja tulevan puun juurien kaltaisiksi.</v>
      </c>
      <c r="C1430" s="9" t="s">
        <v>1344</v>
      </c>
    </row>
    <row r="1431" ht="33.75" customHeight="1">
      <c r="A1431" s="6" t="s">
        <v>2088</v>
      </c>
      <c r="B1431" s="6" t="str">
        <f>IFERROR(__xludf.DUMMYFUNCTION("GOOGLETRANSLATE(A1431,""en"",""fi"")"),"Tämä POKéMON kasvaa imemällä itseensä kuunvaloa. Päivällä se hautautuu maahan jättäen näkyviin vain lehtensä, jotta viholliset eivät havaitse sitä.")</f>
        <v>Tämä POKéMON kasvaa imemällä itseensä kuunvaloa. Päivällä se hautautuu maahan jättäen näkyviin vain lehtensä, jotta viholliset eivät havaitse sitä.</v>
      </c>
      <c r="C1431" s="9" t="s">
        <v>1344</v>
      </c>
    </row>
    <row r="1432" ht="33.75" customHeight="1">
      <c r="A1432" s="6" t="s">
        <v>2090</v>
      </c>
      <c r="B1432" s="6" t="str">
        <f>IFERROR(__xludf.DUMMYFUNCTION("GOOGLETRANSLATE(A1432,""en"",""fi"")"),"Sen tieteellinen nimi on ”Oddium Wanderus”. Yöllä sen sanotaan kävelevän lähes 300 metriä kahdella juurellaan.")</f>
        <v>Sen tieteellinen nimi on ”Oddium Wanderus”. Yöllä sen sanotaan kävelevän lähes 300 metriä kahdella juurellaan.</v>
      </c>
      <c r="C1432" s="9" t="s">
        <v>1344</v>
      </c>
    </row>
    <row r="1433" ht="33.75" customHeight="1">
      <c r="A1433" s="6" t="s">
        <v>2091</v>
      </c>
      <c r="B1433" s="6" t="str">
        <f>IFERROR(__xludf.DUMMYFUNCTION("GOOGLETRANSLATE(A1433,""en"",""fi"")"),"Se usein istuttaa juurensa maahan päivällä ja kylvää siemeniä kävellessään yöllä.")</f>
        <v>Se usein istuttaa juurensa maahan päivällä ja kylvää siemeniä kävellessään yöllä.</v>
      </c>
      <c r="C1433" s="9" t="s">
        <v>1344</v>
      </c>
    </row>
    <row r="1434" ht="33.75" customHeight="1">
      <c r="A1434" s="6" t="s">
        <v>2093</v>
      </c>
      <c r="B1434" s="6" t="str">
        <f>IFERROR(__xludf.DUMMYFUNCTION("GOOGLETRANSLATE(A1434,""en"",""fi"")"),"Kuunvalo herättää sen, ja se vaeltaa aktiivisesti yöllä. Päivällä se pysyy hiljaa maan alla.")</f>
        <v>Kuunvalo herättää sen, ja se vaeltaa aktiivisesti yöllä. Päivällä se pysyy hiljaa maan alla.</v>
      </c>
      <c r="C1434" s="9" t="s">
        <v>1344</v>
      </c>
    </row>
    <row r="1435" ht="33.75" customHeight="1">
      <c r="A1435" s="6" t="s">
        <v>2094</v>
      </c>
      <c r="B1435" s="6" t="str">
        <f>IFERROR(__xludf.DUMMYFUNCTION("GOOGLETRANSLATE(A1435,""en"",""fi"")"),"Päivällä se pysyy kylmässä maan alla auringonpaisteen välttämiseksi. Se kasvaa kuunvalossa kylpemällä.")</f>
        <v>Päivällä se pysyy kylmässä maan alla auringonpaisteen välttämiseksi. Se kasvaa kuunvalossa kylpemällä.</v>
      </c>
      <c r="C1435" s="9" t="s">
        <v>1344</v>
      </c>
    </row>
    <row r="1436" ht="33.75" customHeight="1">
      <c r="A1436" s="6" t="s">
        <v>2098</v>
      </c>
      <c r="B1436" s="6" t="str">
        <f>IFERROR(__xludf.DUMMYFUNCTION("GOOGLETRANSLATE(A1436,""en"",""fi"")"),"Päivällä Oddish kaivautuu maahan imeäkseen ravinteita koko ruumiillaan. Mitä hedelmällisempi maaperä, sitä kiiltävämmiksi sen lehdet tulevat.")</f>
        <v>Päivällä Oddish kaivautuu maahan imeäkseen ravinteita koko ruumiillaan. Mitä hedelmällisempi maaperä, sitä kiiltävämmiksi sen lehdet tulevat.</v>
      </c>
      <c r="C1436" s="9" t="s">
        <v>1344</v>
      </c>
    </row>
    <row r="1437" ht="33.75" customHeight="1">
      <c r="A1437" s="6" t="s">
        <v>2099</v>
      </c>
      <c r="B1437" s="6" t="str">
        <f>IFERROR(__xludf.DUMMYFUNCTION("GOOGLETRANSLATE(A1437,""en"",""fi"")"),"Oddish etsii hedelmällistä ja ravinnepitoista maaperää ja istuttaa sitten itsensä. Päivällä, istutuksen aikana, tämän Pokémonin jalkojen uskotaan muuttavan muotoaan ja tulevan puun juurien kaltaisiksi.")</f>
        <v>Oddish etsii hedelmällistä ja ravinnepitoista maaperää ja istuttaa sitten itsensä. Päivällä, istutuksen aikana, tämän Pokémonin jalkojen uskotaan muuttavan muotoaan ja tulevan puun juurien kaltaisiksi.</v>
      </c>
      <c r="C1437" s="9" t="s">
        <v>1344</v>
      </c>
    </row>
    <row r="1438" ht="33.75" customHeight="1">
      <c r="A1438" s="6" t="s">
        <v>2100</v>
      </c>
      <c r="B1438" s="6" t="str">
        <f>IFERROR(__xludf.DUMMYFUNCTION("GOOGLETRANSLATE(A1438,""en"",""fi"")"),"Sen suusta valuva neste ei ole kuolaa, vaan mettä, jota käytetään saaliin houkuttelemiseen.")</f>
        <v>Sen suusta valuva neste ei ole kuolaa, vaan mettä, jota käytetään saaliin houkuttelemiseen.</v>
      </c>
      <c r="C1438" s="9" t="s">
        <v>1344</v>
      </c>
    </row>
    <row r="1439" ht="33.75" customHeight="1">
      <c r="A1439" s="6" t="s">
        <v>2101</v>
      </c>
      <c r="B1439" s="6" t="str">
        <f>IFERROR(__xludf.DUMMYFUNCTION("GOOGLETRANSLATE(A1439,""en"",""fi"")"),"Haisee uskomattoman pahalle! Kuitenkin noin yksi tuhannesta ihmisestä nauttii sen nenää taivuttavan hajun nuuhkimisesta.")</f>
        <v>Haisee uskomattoman pahalle! Kuitenkin noin yksi tuhannesta ihmisestä nauttii sen nenää taivuttavan hajun nuuhkimisesta.</v>
      </c>
      <c r="C1439" s="9" t="s">
        <v>1344</v>
      </c>
    </row>
    <row r="1440" ht="33.75" customHeight="1">
      <c r="A1440" s="6" t="s">
        <v>2102</v>
      </c>
      <c r="B1440" s="6" t="str">
        <f>IFERROR(__xludf.DUMMYFUNCTION("GOOGLETRANSLATE(A1440,""en"",""fi"")"),"Se, mikä näyttää kuolalta, on itse asiassa makeaa hunajaa. Se on erittäin tahmeaa ja tarttuu itsepäisesti, jos sitä kosketetaan.")</f>
        <v>Se, mikä näyttää kuolalta, on itse asiassa makeaa hunajaa. Se on erittäin tahmeaa ja tarttuu itsepäisesti, jos sitä kosketetaan.</v>
      </c>
      <c r="C1440" s="9" t="s">
        <v>1344</v>
      </c>
    </row>
    <row r="1441" ht="33.75" customHeight="1">
      <c r="A1441" s="6" t="s">
        <v>2103</v>
      </c>
      <c r="B1441" s="6" t="str">
        <f>IFERROR(__xludf.DUMMYFUNCTION("GOOGLETRANSLATE(A1441,""en"",""fi"")"),"Se erittää tahmeaa, kuolamaista hunajaa. Vaikka se on makeaa, se tuoksuu liian vastenmieliseltä päästäkseen aivan lähelle.")</f>
        <v>Se erittää tahmeaa, kuolamaista hunajaa. Vaikka se on makeaa, se tuoksuu liian vastenmieliseltä päästäkseen aivan lähelle.</v>
      </c>
      <c r="C1441" s="9" t="s">
        <v>1344</v>
      </c>
    </row>
    <row r="1442" ht="33.75" customHeight="1">
      <c r="A1442" s="6" t="s">
        <v>2105</v>
      </c>
      <c r="B1442" s="6" t="str">
        <f>IFERROR(__xludf.DUMMYFUNCTION("GOOGLETRANSLATE(A1442,""en"",""fi"")"),"Sen kuolamaisen siirapin ja terälehtien siitepölyn haju on niin paha, että se saattaa saada vastustajat pyörtymään.")</f>
        <v>Sen kuolamaisen siirapin ja terälehtien siitepölyn haju on niin paha, että se saattaa saada vastustajat pyörtymään.</v>
      </c>
      <c r="C1442" s="9" t="s">
        <v>1344</v>
      </c>
    </row>
    <row r="1443" ht="33.75" customHeight="1">
      <c r="A1443" s="6" t="s">
        <v>2106</v>
      </c>
      <c r="B1443" s="6" t="str">
        <f>IFERROR(__xludf.DUMMYFUNCTION("GOOGLETRANSLATE(A1443,""en"",""fi"")"),"GLOOM vapauttaa kukkansa emiöstä pahanhajuista tuoksua. Vaaran uhatessa löyhkä pahenee. Jos tämä POKéMON tuntee olonsa rauhalliseksi ja turvalliseksi, se ei vapauta tavanomaista pahanhajuista tuoksuaan.")</f>
        <v>GLOOM vapauttaa kukkansa emiöstä pahanhajuista tuoksua. Vaaran uhatessa löyhkä pahenee. Jos tämä POKéMON tuntee olonsa rauhalliseksi ja turvalliseksi, se ei vapauta tavanomaista pahanhajuista tuoksuaan.</v>
      </c>
      <c r="C1443" s="9" t="s">
        <v>1344</v>
      </c>
    </row>
    <row r="1444" ht="33.75" customHeight="1">
      <c r="A1444" s="6" t="s">
        <v>2107</v>
      </c>
      <c r="B1444" s="6" t="str">
        <f>IFERROR(__xludf.DUMMYFUNCTION("GOOGLETRANSLATE(A1444,""en"",""fi"")"),"Sen suusta GLOOM tippuu hunajaa, joka haisee aivan hirveältä. Ilmeisesti se rakastaa hirvittävää löyhkää. Se haistelee myrkyllisiä höyryjä ja kuolaa sitten vielä lisää hunajaansa.")</f>
        <v>Sen suusta GLOOM tippuu hunajaa, joka haisee aivan hirveältä. Ilmeisesti se rakastaa hirvittävää löyhkää. Se haistelee myrkyllisiä höyryjä ja kuolaa sitten vielä lisää hunajaansa.</v>
      </c>
      <c r="C1444" s="9" t="s">
        <v>1344</v>
      </c>
    </row>
    <row r="1445" ht="33.75" customHeight="1">
      <c r="A1445" s="6" t="s">
        <v>2108</v>
      </c>
      <c r="B1445" s="6" t="str">
        <f>IFERROR(__xludf.DUMMYFUNCTION("GOOGLETRANSLATE(A1445,""en"",""fi"")"),"Sen suusta valuu hirvittävän myrkyllistä hunajaa. Yksikin hunajan tuoksu voi johtaa muistinmenetykseen. Joidenkin fanien sanotaan kuitenkin nauttivan tästä valtavasta hajusta.")</f>
        <v>Sen suusta valuu hirvittävän myrkyllistä hunajaa. Yksikin hunajan tuoksu voi johtaa muistinmenetykseen. Joidenkin fanien sanotaan kuitenkin nauttivan tästä valtavasta hajusta.</v>
      </c>
      <c r="C1445" s="9" t="s">
        <v>1344</v>
      </c>
    </row>
    <row r="1446" ht="33.75" customHeight="1">
      <c r="A1446" s="6" t="s">
        <v>2109</v>
      </c>
      <c r="B1446" s="6" t="str">
        <f>IFERROR(__xludf.DUMMYFUNCTION("GOOGLETRANSLATE(A1446,""en"",""fi"")"),"Sen emi-suvut huokuvat uskomattoman pahaa hajua. Kamala löyhkä voi aiheuttaa pyörtymisen 2,9 kilometrin etäisyydellä.")</f>
        <v>Sen emi-suvut huokuvat uskomattoman pahaa hajua. Kamala löyhkä voi aiheuttaa pyörtymisen 2,9 kilometrin etäisyydellä.</v>
      </c>
      <c r="C1446" s="9" t="s">
        <v>1344</v>
      </c>
    </row>
    <row r="1447" ht="33.75" customHeight="1">
      <c r="A1447" s="6" t="s">
        <v>2110</v>
      </c>
      <c r="B1447" s="6" t="str">
        <f>IFERROR(__xludf.DUMMYFUNCTION("GOOGLETRANSLATE(A1447,""en"",""fi"")"),"Sen suusta valuva neste ei ole kuolaa, vaan mettä, jota käytetään saaliin houkuttelemiseen.")</f>
        <v>Sen suusta valuva neste ei ole kuolaa, vaan mettä, jota käytetään saaliin houkuttelemiseen.</v>
      </c>
      <c r="C1447" s="9" t="s">
        <v>1344</v>
      </c>
    </row>
    <row r="1448" ht="33.75" customHeight="1">
      <c r="A1448" s="6" t="s">
        <v>2111</v>
      </c>
      <c r="B1448" s="6" t="str">
        <f>IFERROR(__xludf.DUMMYFUNCTION("GOOGLETRANSLATE(A1448,""en"",""fi"")"),"Suustaan ​​valuva hunaja haisee niin hirvittävälle, että se voi käpertyä nenänsä yli mailin päähän.")</f>
        <v>Suustaan ​​valuva hunaja haisee niin hirvittävälle, että se voi käpertyä nenänsä yli mailin päähän.</v>
      </c>
      <c r="C1448" s="9" t="s">
        <v>1344</v>
      </c>
    </row>
    <row r="1449" ht="33.75" customHeight="1">
      <c r="A1449" s="6" t="s">
        <v>2112</v>
      </c>
      <c r="B1449" s="6" t="str">
        <f>IFERROR(__xludf.DUMMYFUNCTION("GOOGLETRANSLATE(A1449,""en"",""fi"")"),"Haisee uskomattoman pahalle! Kuitenkin noin yksi tuhannesta ihmisestä nauttii sen nenää taivuttavan löyhkän nuuhkimisesta.")</f>
        <v>Haisee uskomattoman pahalle! Kuitenkin noin yksi tuhannesta ihmisestä nauttii sen nenää taivuttavan löyhkän nuuhkimisesta.</v>
      </c>
      <c r="C1449" s="9" t="s">
        <v>1344</v>
      </c>
    </row>
    <row r="1450" ht="33.75" customHeight="1">
      <c r="A1450" s="6" t="s">
        <v>2113</v>
      </c>
      <c r="B1450" s="6" t="str">
        <f>IFERROR(__xludf.DUMMYFUNCTION("GOOGLETRANSLATE(A1450,""en"",""fi"")"),"Synkkyys vapauttaa kukkansa emiöstä pahanhajuista tuoksua. Vaaran uhatessa löyhkä pahenee. Jos tämä Pokémon tuntee olonsa rauhalliseksi ja turvalliseksi, se ei vapauta tavanomaista pahanhajuista tuoksuaan.")</f>
        <v>Synkkyys vapauttaa kukkansa emiöstä pahanhajuista tuoksua. Vaaran uhatessa löyhkä pahenee. Jos tämä Pokémon tuntee olonsa rauhalliseksi ja turvalliseksi, se ei vapauta tavanomaista pahanhajuista tuoksuaan.</v>
      </c>
      <c r="C1450" s="9" t="s">
        <v>1344</v>
      </c>
    </row>
    <row r="1451" ht="33.75" customHeight="1">
      <c r="A1451" s="6" t="s">
        <v>2114</v>
      </c>
      <c r="B1451" s="6" t="str">
        <f>IFERROR(__xludf.DUMMYFUNCTION("GOOGLETRANSLATE(A1451,""en"",""fi"")"),"Gloomin suusta tippuu hunajaa, joka haisee aivan hirveältä. Ilmeisesti se rakastaa hirvittävää löyhkää. Se haistelee myrkyllisiä höyryjä ja kuolaa sitten vielä lisää hunajaansa.")</f>
        <v>Gloomin suusta tippuu hunajaa, joka haisee aivan hirveältä. Ilmeisesti se rakastaa hirvittävää löyhkää. Se haistelee myrkyllisiä höyryjä ja kuolaa sitten vielä lisää hunajaansa.</v>
      </c>
      <c r="C1451" s="9" t="s">
        <v>1344</v>
      </c>
    </row>
    <row r="1452" ht="33.75" customHeight="1">
      <c r="A1452" s="6" t="s">
        <v>2117</v>
      </c>
      <c r="B1452" s="6" t="str">
        <f>IFERROR(__xludf.DUMMYFUNCTION("GOOGLETRANSLATE(A1452,""en"",""fi"")"),"Mitä suurempia sen terälehdet ovat, sitä myrkyllisempää siitepölyä se sisältää. Sen suuri pää on painava ja vaikea pitää pystyssä.")</f>
        <v>Mitä suurempia sen terälehdet ovat, sitä myrkyllisempää siitepölyä se sisältää. Sen suuri pää on painava ja vaikea pitää pystyssä.</v>
      </c>
      <c r="C1452" s="9" t="s">
        <v>1344</v>
      </c>
    </row>
    <row r="1453" ht="33.75" customHeight="1">
      <c r="A1453" s="6" t="s">
        <v>2118</v>
      </c>
      <c r="B1453" s="6" t="str">
        <f>IFERROR(__xludf.DUMMYFUNCTION("GOOGLETRANSLATE(A1453,""en"",""fi"")"),"Läpyttää leveitä kukkaterälehtiään levittääkseen myrkyllistä siitepölyä. Läpytysääni on erittäin kova.")</f>
        <v>Läpyttää leveitä kukkaterälehtiään levittääkseen myrkyllistä siitepölyä. Läpytysääni on erittäin kova.</v>
      </c>
      <c r="C1453" s="9" t="s">
        <v>1344</v>
      </c>
    </row>
    <row r="1454" ht="33.75" customHeight="1">
      <c r="A1454" s="6" t="s">
        <v>2119</v>
      </c>
      <c r="B1454" s="6" t="str">
        <f>IFERROR(__xludf.DUMMYFUNCTION("GOOGLETRANSLATE(A1454,""en"",""fi"")"),"Sillä on maailman suurimmat terälehdet. Joka askeleella terälehdet ravistelevat ulos raskaita myrkyllisen siitepölyn pilviä.")</f>
        <v>Sillä on maailman suurimmat terälehdet. Joka askeleella terälehdet ravistelevat ulos raskaita myrkyllisen siitepölyn pilviä.</v>
      </c>
      <c r="C1454" s="9" t="s">
        <v>1344</v>
      </c>
    </row>
    <row r="1455" ht="33.75" customHeight="1">
      <c r="A1455" s="6" t="s">
        <v>2120</v>
      </c>
      <c r="B1455" s="6" t="str">
        <f>IFERROR(__xludf.DUMMYFUNCTION("GOOGLETRANSLATE(A1455,""en"",""fi"")"),"Nuppu puhkeaa kukkaan pamahduksella. Sitten se alkaa levittää allergisoivaa, myrkyllistä siitepölyä.")</f>
        <v>Nuppu puhkeaa kukkaan pamahduksella. Sitten se alkaa levittää allergisoivaa, myrkyllistä siitepölyä.</v>
      </c>
      <c r="C1455" s="9" t="s">
        <v>1344</v>
      </c>
    </row>
    <row r="1456" ht="33.75" customHeight="1">
      <c r="A1456" s="6" t="s">
        <v>2122</v>
      </c>
      <c r="B1456" s="6" t="str">
        <f>IFERROR(__xludf.DUMMYFUNCTION("GOOGLETRANSLATE(A1456,""en"",""fi"")"),"Ravistamalla suuria terälehtiään se levittää myrkyllistä siitepölyä ilmaan, mikä muuttaa ilman keltaiseksi.")</f>
        <v>Ravistamalla suuria terälehtiään se levittää myrkyllistä siitepölyä ilmaan, mikä muuttaa ilman keltaiseksi.</v>
      </c>
      <c r="C1456" s="9" t="s">
        <v>1344</v>
      </c>
    </row>
    <row r="1457" ht="33.75" customHeight="1">
      <c r="A1457" s="6" t="s">
        <v>2123</v>
      </c>
      <c r="B1457" s="6" t="str">
        <f>IFERROR(__xludf.DUMMYFUNCTION("GOOGLETRANSLATE(A1457,""en"",""fi"")"),"VILEPLUMEN myrkyllinen siitepöly laukaisee hirvittäviä allergiakohtauksia. Siksi on suositeltavaa olla koskaan lähestymättä kauniita kukkia viidakossa, olivatpa ne kuinka kauniita tahansa.")</f>
        <v>VILEPLUMEN myrkyllinen siitepöly laukaisee hirvittäviä allergiakohtauksia. Siksi on suositeltavaa olla koskaan lähestymättä kauniita kukkia viidakossa, olivatpa ne kuinka kauniita tahansa.</v>
      </c>
      <c r="C1457" s="9" t="s">
        <v>1344</v>
      </c>
    </row>
    <row r="1458" ht="33.75" customHeight="1">
      <c r="A1458" s="6" t="s">
        <v>2124</v>
      </c>
      <c r="B1458" s="6" t="str">
        <f>IFERROR(__xludf.DUMMYFUNCTION("GOOGLETRANSLATE(A1458,""en"",""fi"")"),"VILEPLUMELLA on maailman suurimmat terälehdet. Niitä käytetään saaliin houkuttelemiseen, ja sitten ne kastellaan myrkyllisillä itiöillä. Kun saalis on lamaantunut, tämä POKéMON nappaa ja syö sen.")</f>
        <v>VILEPLUMELLA on maailman suurimmat terälehdet. Niitä käytetään saaliin houkuttelemiseen, ja sitten ne kastellaan myrkyllisillä itiöillä. Kun saalis on lamaantunut, tämä POKéMON nappaa ja syö sen.</v>
      </c>
      <c r="C1458" s="9" t="s">
        <v>1344</v>
      </c>
    </row>
    <row r="1459" ht="33.75" customHeight="1">
      <c r="A1459" s="6" t="s">
        <v>2128</v>
      </c>
      <c r="B1459" s="6" t="str">
        <f>IFERROR(__xludf.DUMMYFUNCTION("GOOGLETRANSLATE(A1459,""en"",""fi"")"),"Vuodenaikoina, jolloin se tuottaa enemmän siitepölyä, VILEPLUMEN ympärillä oleva ilma muuttuu keltaiseksi jauheesta sen kävellessä. Siitepöly on erittäin myrkyllistä ja aiheuttaa halvaantumisen.")</f>
        <v>Vuodenaikoina, jolloin se tuottaa enemmän siitepölyä, VILEPLUMEN ympärillä oleva ilma muuttuu keltaiseksi jauheesta sen kävellessä. Siitepöly on erittäin myrkyllistä ja aiheuttaa halvaantumisen.</v>
      </c>
      <c r="C1459" s="9" t="s">
        <v>1344</v>
      </c>
    </row>
    <row r="1460" ht="33.75" customHeight="1">
      <c r="A1460" s="6" t="s">
        <v>2130</v>
      </c>
      <c r="B1460" s="6" t="str">
        <f>IFERROR(__xludf.DUMMYFUNCTION("GOOGLETRANSLATE(A1460,""en"",""fi"")"),"Sen terälehdet ovat maailman suurimmat. Se levittää terälehdistään allergiaa aiheuttavaa siitepölyä pirullisesti.")</f>
        <v>Sen terälehdet ovat maailman suurimmat. Se levittää terälehdistään allergiaa aiheuttavaa siitepölyä pirullisesti.</v>
      </c>
      <c r="C1460" s="9" t="s">
        <v>1344</v>
      </c>
    </row>
    <row r="1461" ht="33.75" customHeight="1">
      <c r="A1461" s="6" t="s">
        <v>2131</v>
      </c>
      <c r="B1461" s="6" t="str">
        <f>IFERROR(__xludf.DUMMYFUNCTION("GOOGLETRANSLATE(A1461,""en"",""fi"")"),"Sen terälehdet ovat maailman suurimmat. Kävellessään se levittää erittäin allergeenista siitepölyä.")</f>
        <v>Sen terälehdet ovat maailman suurimmat. Kävellessään se levittää erittäin allergeenista siitepölyä.</v>
      </c>
      <c r="C1461" s="9" t="s">
        <v>1344</v>
      </c>
    </row>
    <row r="1462" ht="33.75" customHeight="1">
      <c r="A1462" s="6" t="s">
        <v>2133</v>
      </c>
      <c r="B1462" s="6" t="str">
        <f>IFERROR(__xludf.DUMMYFUNCTION("GOOGLETRANSLATE(A1462,""en"",""fi"")"),"Sillä on maailman suurimmat terälehdet. Joka askeleella terälehdet ravistelevat ulos raskaita myrkyllisen siitepölyn pilviä.")</f>
        <v>Sillä on maailman suurimmat terälehdet. Joka askeleella terälehdet ravistelevat ulos raskaita myrkyllisen siitepölyn pilviä.</v>
      </c>
      <c r="C1462" s="9" t="s">
        <v>1344</v>
      </c>
    </row>
    <row r="1463" ht="33.75" customHeight="1">
      <c r="A1463" s="6" t="s">
        <v>2134</v>
      </c>
      <c r="B1463" s="6" t="str">
        <f>IFERROR(__xludf.DUMMYFUNCTION("GOOGLETRANSLATE(A1463,""en"",""fi"")"),"Nuppu puhkeaa kukkaan pamahduksella. Sitten se alkaa levittää allergisoivaa, myrkyllistä siitepölyä.")</f>
        <v>Nuppu puhkeaa kukkaan pamahduksella. Sitten se alkaa levittää allergisoivaa, myrkyllistä siitepölyä.</v>
      </c>
      <c r="C1463" s="9" t="s">
        <v>1344</v>
      </c>
    </row>
    <row r="1464" ht="33.75" customHeight="1">
      <c r="A1464" s="6" t="s">
        <v>2136</v>
      </c>
      <c r="B1464" s="6" t="str">
        <f>IFERROR(__xludf.DUMMYFUNCTION("GOOGLETRANSLATE(A1464,""en"",""fi"")"),"Vileplumen myrkyllinen siitepöly laukaisee hirvittäviä allergiakohtauksia. Siksi on suositeltavaa olla koskaan lähestymättä kauniita kukkia viidakossa, olivatpa ne kuinka kauniita tahansa.")</f>
        <v>Vileplumen myrkyllinen siitepöly laukaisee hirvittäviä allergiakohtauksia. Siksi on suositeltavaa olla koskaan lähestymättä kauniita kukkia viidakossa, olivatpa ne kuinka kauniita tahansa.</v>
      </c>
      <c r="C1464" s="9" t="s">
        <v>1344</v>
      </c>
    </row>
    <row r="1465" ht="33.75" customHeight="1">
      <c r="A1465" s="6" t="s">
        <v>2138</v>
      </c>
      <c r="B1465" s="6" t="str">
        <f>IFERROR(__xludf.DUMMYFUNCTION("GOOGLETRANSLATE(A1465,""en"",""fi"")"),"Vileplumella on maailman suurimmat terälehdet. Niitä käytetään saaliin houkuttelemiseen, jotka sitten kastellaan myrkyllisillä itiöillä. Kun saalis on lamaantunut, tämä Pokémon nappaa ja syö sen.")</f>
        <v>Vileplumella on maailman suurimmat terälehdet. Niitä käytetään saaliin houkuttelemiseen, jotka sitten kastellaan myrkyllisillä itiöillä. Kun saalis on lamaantunut, tämä Pokémon nappaa ja syö sen.</v>
      </c>
      <c r="C1465" s="9" t="s">
        <v>1344</v>
      </c>
    </row>
    <row r="1466" ht="33.75" customHeight="1">
      <c r="A1466" s="6" t="s">
        <v>2140</v>
      </c>
      <c r="B1466" s="6" t="str">
        <f>IFERROR(__xludf.DUMMYFUNCTION("GOOGLETRANSLATE(A1466,""en"",""fi"")"),"Koloja puiden juurien imemiseen. Sen selässä olevat sienet kasvavat vetämällä ravinteita hyönteisisännältä.")</f>
        <v>Koloja puiden juurien imemiseen. Sen selässä olevat sienet kasvavat vetämällä ravinteita hyönteisisännältä.</v>
      </c>
      <c r="C1466" s="9" t="s">
        <v>1344</v>
      </c>
    </row>
    <row r="1467" ht="33.75" customHeight="1">
      <c r="A1467" s="6" t="s">
        <v>2142</v>
      </c>
      <c r="B1467" s="6" t="str">
        <f>IFERROR(__xludf.DUMMYFUNCTION("GOOGLETRANSLATE(A1467,""en"",""fi"")"),"Kaivautuu maan alle jyrsiäkseen puiden juuria. Sen selässä olevat sienet imevät suurimman osan ravinteista.")</f>
        <v>Kaivautuu maan alle jyrsiäkseen puiden juuria. Sen selässä olevat sienet imevät suurimman osan ravinteista.</v>
      </c>
      <c r="C1467" s="9" t="s">
        <v>1344</v>
      </c>
    </row>
    <row r="1468" ht="33.75" customHeight="1">
      <c r="A1468" s="6" t="s">
        <v>2143</v>
      </c>
      <c r="B1468" s="6" t="str">
        <f>IFERROR(__xludf.DUMMYFUNCTION("GOOGLETRANSLATE(A1468,""en"",""fi"")"),"Se kastellaan sieni-itiöillä syntymän yhteydessä. Sen ruumiin kasvaessa sienet versovat sen selästä.")</f>
        <v>Se kastellaan sieni-itiöillä syntymän yhteydessä. Sen ruumiin kasvaessa sienet versovat sen selästä.</v>
      </c>
      <c r="C1468" s="9" t="s">
        <v>1344</v>
      </c>
    </row>
    <row r="1469" ht="33.75" customHeight="1">
      <c r="A1469" s="6" t="s">
        <v>2145</v>
      </c>
      <c r="B1469" s="6" t="str">
        <f>IFERROR(__xludf.DUMMYFUNCTION("GOOGLETRANSLATE(A1469,""en"",""fi"")"),"Kun sen ruumis kasvaa suureksi, sen selästä alkaa kasvaa itämaisia ​​sieniä nimeltä tochukaso.")</f>
        <v>Kun sen ruumis kasvaa suureksi, sen selästä alkaa kasvaa itämaisia ​​sieniä nimeltä tochukaso.</v>
      </c>
      <c r="C1469" s="9" t="s">
        <v>1344</v>
      </c>
    </row>
    <row r="1470" ht="33.75" customHeight="1">
      <c r="A1470" s="6" t="s">
        <v>2147</v>
      </c>
      <c r="B1470" s="6" t="str">
        <f>IFERROR(__xludf.DUMMYFUNCTION("GOOGLETRANSLATE(A1470,""en"",""fi"")"),"Tämän POKéMONin selässä kasvava tochukaso käskee sitä imemään mehua puunrungoista.")</f>
        <v>Tämän POKéMONin selässä kasvava tochukaso käskee sitä imemään mehua puunrungoista.</v>
      </c>
      <c r="C1470" s="9" t="s">
        <v>1344</v>
      </c>
    </row>
    <row r="1471" ht="33.75" customHeight="1">
      <c r="A1471" s="6" t="s">
        <v>2149</v>
      </c>
      <c r="B1471" s="6" t="str">
        <f>IFERROR(__xludf.DUMMYFUNCTION("GOOGLETRANSLATE(A1471,""en"",""fi"")"),"PARASilla on selässään kasvavia tochukasoja, joita kutsutaan loissieniksi. Ne kasvavat suuriksi imemällä ravinteita BUG-POKéMON-isännältä. Niitä arvostetaan suuresti lääkkeenä elämän pidentämiseen.")</f>
        <v>PARASilla on selässään kasvavia tochukasoja, joita kutsutaan loissieniksi. Ne kasvavat suuriksi imemällä ravinteita BUG-POKéMON-isännältä. Niitä arvostetaan suuresti lääkkeenä elämän pidentämiseen.</v>
      </c>
      <c r="C1471" s="9" t="s">
        <v>1344</v>
      </c>
    </row>
    <row r="1472" ht="33.75" customHeight="1">
      <c r="A1472" s="6" t="s">
        <v>2151</v>
      </c>
      <c r="B1472" s="6" t="str">
        <f>IFERROR(__xludf.DUMMYFUNCTION("GOOGLETRANSLATE(A1472,""en"",""fi"")"),"PARASilla on selässään kasvavia tochukasoja, jotka ovat loissieniä. Ne kasvavat suuriksi imemällä ravinteita tältä BUG-POKéMON-isännältä. Niitä arvostetaan suuresti lääkkeenä elämän pidentämiseen.")</f>
        <v>PARASilla on selässään kasvavia tochukasoja, jotka ovat loissieniä. Ne kasvavat suuriksi imemällä ravinteita tältä BUG-POKéMON-isännältä. Niitä arvostetaan suuresti lääkkeenä elämän pidentämiseen.</v>
      </c>
      <c r="C1472" s="9" t="s">
        <v>1344</v>
      </c>
    </row>
    <row r="1473" ht="33.75" customHeight="1">
      <c r="A1473" s="6" t="s">
        <v>2153</v>
      </c>
      <c r="B1473" s="6" t="str">
        <f>IFERROR(__xludf.DUMMYFUNCTION("GOOGLETRANSLATE(A1473,""en"",""fi"")"),"Paras-sienellä kasvaa selässään loismaisia ​​tochukasosieniä. Ne kasvavat ottamalla ravinteita isännästä. Niitä arvostetaan pitkän iän lääkkeenä.")</f>
        <v>Paras-sienellä kasvaa selässään loismaisia ​​tochukasosieniä. Ne kasvavat ottamalla ravinteita isännästä. Niitä arvostetaan pitkän iän lääkkeenä.</v>
      </c>
      <c r="C1473" s="9" t="s">
        <v>1344</v>
      </c>
    </row>
    <row r="1474" ht="33.75" customHeight="1">
      <c r="A1474" s="6" t="s">
        <v>2155</v>
      </c>
      <c r="B1474" s="6" t="str">
        <f>IFERROR(__xludf.DUMMYFUNCTION("GOOGLETRANSLATE(A1474,""en"",""fi"")"),"Luteen selästä kasvaa tochukaso-nimisiä sieniä. Sienet kasvavat yhdessä luteen isännän kanssa.")</f>
        <v>Luteen selästä kasvaa tochukaso-nimisiä sieniä. Sienet kasvavat yhdessä luteen isännän kanssa.</v>
      </c>
      <c r="C1474" s="9" t="s">
        <v>1344</v>
      </c>
    </row>
    <row r="1475" ht="33.75" customHeight="1">
      <c r="A1475" s="6" t="s">
        <v>2156</v>
      </c>
      <c r="B1475" s="6" t="str">
        <f>IFERROR(__xludf.DUMMYFUNCTION("GOOGLETRANSLATE(A1475,""en"",""fi"")"),"Imee puun juuria koloissaan. Sen selässä olevat sienet kasvavat imemällä ravinteita hyönteisisännältä.")</f>
        <v>Imee puun juuria koloissaan. Sen selässä olevat sienet kasvavat imemällä ravinteita hyönteisisännältä.</v>
      </c>
      <c r="C1475" s="9" t="s">
        <v>1344</v>
      </c>
    </row>
    <row r="1476" ht="33.75" customHeight="1">
      <c r="A1476" s="6" t="s">
        <v>2158</v>
      </c>
      <c r="B1476" s="6" t="str">
        <f>IFERROR(__xludf.DUMMYFUNCTION("GOOGLETRANSLATE(A1476,""en"",""fi"")"),"Sen selässä kasvavat tochukaso-nimiset sienet. Ne kasvavat isäntäeläin Parasin rinnalla.")</f>
        <v>Sen selässä kasvavat tochukaso-nimiset sienet. Ne kasvavat isäntäeläin Parasin rinnalla.</v>
      </c>
      <c r="C1476" s="9" t="s">
        <v>1344</v>
      </c>
    </row>
    <row r="1477" ht="33.75" customHeight="1">
      <c r="A1477" s="6" t="s">
        <v>2160</v>
      </c>
      <c r="B1477" s="6" t="str">
        <f>IFERROR(__xludf.DUMMYFUNCTION("GOOGLETRANSLATE(A1477,""en"",""fi"")"),"Kun sen ruumis kasvaa, sen selästä alkaa kasvaa suuria sieniä nimeltä tochukaso.")</f>
        <v>Kun sen ruumis kasvaa, sen selästä alkaa kasvaa suuria sieniä nimeltä tochukaso.</v>
      </c>
      <c r="C1477" s="9" t="s">
        <v>1344</v>
      </c>
    </row>
    <row r="1478" ht="33.75" customHeight="1">
      <c r="A1478" s="6" t="s">
        <v>2161</v>
      </c>
      <c r="B1478" s="6" t="str">
        <f>IFERROR(__xludf.DUMMYFUNCTION("GOOGLETRANSLATE(A1478,""en"",""fi"")"),"Sen selässä kasvavat tochukaso-nimiset sienet. Ne kasvavat isäntäkasvin, Parasin, rinnalla.")</f>
        <v>Sen selässä kasvavat tochukaso-nimiset sienet. Ne kasvavat isäntäkasvin, Parasin, rinnalla.</v>
      </c>
      <c r="C1478" s="9" t="s">
        <v>1344</v>
      </c>
    </row>
    <row r="1479" ht="33.75" customHeight="1">
      <c r="A1479" s="6" t="s">
        <v>2162</v>
      </c>
      <c r="B1479" s="6" t="str">
        <f>IFERROR(__xludf.DUMMYFUNCTION("GOOGLETRANSLATE(A1479,""en"",""fi"")"),"Paras-pokémonilla on selässään kasvavia loissieniä, joita kutsutaan tochukasoiksi. Ne kasvavat suuriksi imemällä ravinteita tältä Bug-pokémon-isännältä. Niitä arvostetaan suuresti lääkkeenä elämän pidentämiseen.")</f>
        <v>Paras-pokémonilla on selässään kasvavia loissieniä, joita kutsutaan tochukasoiksi. Ne kasvavat suuriksi imemällä ravinteita tältä Bug-pokémon-isännältä. Niitä arvostetaan suuresti lääkkeenä elämän pidentämiseen.</v>
      </c>
      <c r="C1479" s="9" t="s">
        <v>1344</v>
      </c>
    </row>
    <row r="1480" ht="33.75" customHeight="1">
      <c r="A1480" s="6" t="s">
        <v>2164</v>
      </c>
      <c r="B1480" s="6" t="str">
        <f>IFERROR(__xludf.DUMMYFUNCTION("GOOGLETRANSLATE(A1480,""en"",""fi"")"),"Syöpä se kuinka paljon tahansa, sen selässä kasvavat sienet varastavat suurimman osan sen kuluttamista ravinteista.")</f>
        <v>Syöpä se kuinka paljon tahansa, sen selässä kasvavat sienet varastavat suurimman osan sen kuluttamista ravinteista.</v>
      </c>
      <c r="C1480" s="9" t="s">
        <v>1344</v>
      </c>
    </row>
    <row r="1481" ht="33.75" customHeight="1">
      <c r="A1481" s="6" t="s">
        <v>2165</v>
      </c>
      <c r="B1481" s="6" t="str">
        <f>IFERROR(__xludf.DUMMYFUNCTION("GOOGLETRANSLATE(A1481,""en"",""fi"")"),"Sen selästä kasvaa tochukaso-nimisiä sieniä. Ne voidaan kuivata ja jauhaa lääkkeeksi, jota käytetään elämän pidentämiseen.")</f>
        <v>Sen selästä kasvaa tochukaso-nimisiä sieniä. Ne voidaan kuivata ja jauhaa lääkkeeksi, jota käytetään elämän pidentämiseen.</v>
      </c>
      <c r="C1481" s="9" t="s">
        <v>1344</v>
      </c>
    </row>
    <row r="1482" ht="33.75" customHeight="1">
      <c r="A1482" s="6" t="s">
        <v>2166</v>
      </c>
      <c r="B1482" s="6" t="str">
        <f>IFERROR(__xludf.DUMMYFUNCTION("GOOGLETRANSLATE(A1482,""en"",""fi"")"),"Olipa syynä sitten kosteuden tai ravinteiden puute, Alolassa Paras-vuorten sienet eivät kasva aivan oikein.")</f>
        <v>Olipa syynä sitten kosteuden tai ravinteiden puute, Alolassa Paras-vuorten sienet eivät kasva aivan oikein.</v>
      </c>
      <c r="C1482" s="9" t="s">
        <v>1344</v>
      </c>
    </row>
    <row r="1483" ht="33.75" customHeight="1">
      <c r="A1483" s="6" t="s">
        <v>2167</v>
      </c>
      <c r="B1483" s="6" t="str">
        <f>IFERROR(__xludf.DUMMYFUNCTION("GOOGLETRANSLATE(A1483,""en"",""fi"")"),"Sienet, jotka tunnetaan nimellä tochukaso, pitävät ötökkää kurissa. Vaikka ötökkä ärsyttäisi sieniä, ne käskevät sitä poistumaan.")</f>
        <v>Sienet, jotka tunnetaan nimellä tochukaso, pitävät ötökkää kurissa. Vaikka ötökkä ärsyttäisi sieniä, ne käskevät sitä poistumaan.</v>
      </c>
      <c r="C1483" s="9" t="s">
        <v>1344</v>
      </c>
    </row>
    <row r="1484" ht="33.75" customHeight="1">
      <c r="A1484" s="6" t="s">
        <v>2169</v>
      </c>
      <c r="B1484" s="6" t="str">
        <f>IFERROR(__xludf.DUMMYFUNCTION("GOOGLETRANSLATE(A1484,""en"",""fi"")"),"Joskus sitä nähdään puiden juurella kosteissa metsissä. Sen selässä olevia sieniä – joita kutsutaan tochukasoiksi – ei ole poikasilla, vaan ne ilmestyvät esiin Paras-lajin kypsyessä.")</f>
        <v>Joskus sitä nähdään puiden juurella kosteissa metsissä. Sen selässä olevia sieniä – joita kutsutaan tochukasoiksi – ei ole poikasilla, vaan ne ilmestyvät esiin Paras-lajin kypsyessä.</v>
      </c>
      <c r="C1484" s="9" t="s">
        <v>1344</v>
      </c>
    </row>
    <row r="1485" ht="33.75" customHeight="1">
      <c r="A1485" s="6" t="s">
        <v>2170</v>
      </c>
      <c r="B1485" s="6" t="str">
        <f>IFERROR(__xludf.DUMMYFUNCTION("GOOGLETRANSLATE(A1485,""en"",""fi"")"),"Isäntä-loinen-pari, jossa loinen sieni on ottanut isäntähyönteisen haltuunsa. Viihtyy kosteissa paikoissa.")</f>
        <v>Isäntä-loinen-pari, jossa loinen sieni on ottanut isäntähyönteisen haltuunsa. Viihtyy kosteissa paikoissa.</v>
      </c>
      <c r="C1485" s="9" t="s">
        <v>1344</v>
      </c>
    </row>
    <row r="1486" ht="33.75" customHeight="1">
      <c r="A1486" s="6" t="s">
        <v>2172</v>
      </c>
      <c r="B1486" s="6" t="str">
        <f>IFERROR(__xludf.DUMMYFUNCTION("GOOGLETRANSLATE(A1486,""en"",""fi"")"),"Selässään olevat sienet kuluttavat hyönteisen isännän energiaa. Ne näyttävät ajattelevan kaiken.")</f>
        <v>Selässään olevat sienet kuluttavat hyönteisen isännän energiaa. Ne näyttävät ajattelevan kaiken.</v>
      </c>
      <c r="C1486" s="9" t="s">
        <v>1344</v>
      </c>
    </row>
    <row r="1487" ht="33.75" customHeight="1">
      <c r="A1487" s="6" t="s">
        <v>2174</v>
      </c>
      <c r="B1487" s="6" t="str">
        <f>IFERROR(__xludf.DUMMYFUNCTION("GOOGLETRANSLATE(A1487,""en"",""fi"")"),"Se viipyy enimmäkseen pimeissä ja kosteissa paikoissa, eikä ötökkä pidä niistä, vaan sen selässä olevista suurista sienistä.")</f>
        <v>Se viipyy enimmäkseen pimeissä ja kosteissa paikoissa, eikä ötökkä pidä niistä, vaan sen selässä olevista suurista sienistä.</v>
      </c>
      <c r="C1487" s="9" t="s">
        <v>1344</v>
      </c>
    </row>
    <row r="1488" ht="33.75" customHeight="1">
      <c r="A1488" s="6" t="s">
        <v>2175</v>
      </c>
      <c r="B1488" s="6" t="str">
        <f>IFERROR(__xludf.DUMMYFUNCTION("GOOGLETRANSLATE(A1488,""en"",""fi"")"),"Mitä suuremmaksi selällään oleva sieni kasvaa, sitä voimakkaampia sieni-itiöitä se levittää.")</f>
        <v>Mitä suuremmaksi selällään oleva sieni kasvaa, sitä voimakkaampia sieni-itiöitä se levittää.</v>
      </c>
      <c r="C1488" s="9" t="s">
        <v>1344</v>
      </c>
    </row>
    <row r="1489" ht="33.75" customHeight="1">
      <c r="A1489" s="6" t="s">
        <v>2177</v>
      </c>
      <c r="B1489" s="6" t="str">
        <f>IFERROR(__xludf.DUMMYFUNCTION("GOOGLETRANSLATE(A1489,""en"",""fi"")"),"Kun ötökästä ei ole enää mitään jäljellä uutettavaa, sen selässä olevat sienet jättävät itiöitä ötökän munaan.")</f>
        <v>Kun ötökästä ei ole enää mitään jäljellä uutettavaa, sen selässä olevat sienet jättävät itiöitä ötökän munaan.</v>
      </c>
      <c r="C1489" s="9" t="s">
        <v>1344</v>
      </c>
    </row>
    <row r="1490" ht="33.75" customHeight="1">
      <c r="A1490" s="6" t="s">
        <v>2179</v>
      </c>
      <c r="B1490" s="6" t="str">
        <f>IFERROR(__xludf.DUMMYFUNCTION("GOOGLETRANSLATE(A1490,""en"",""fi"")"),"PARASECT-hyönteisten tiedetään tarttuvan joukoittain suuriin puihin ja imevän ravinteita niiden alarungosta ja juurista. Kun tartunnan saanut puu kuolee, ne siirtyvät kerralla toiseen puuhun.")</f>
        <v>PARASECT-hyönteisten tiedetään tarttuvan joukoittain suuriin puihin ja imevän ravinteita niiden alarungosta ja juurista. Kun tartunnan saanut puu kuolee, ne siirtyvät kerralla toiseen puuhun.</v>
      </c>
      <c r="C1490" s="9" t="s">
        <v>1344</v>
      </c>
    </row>
    <row r="1491" ht="33.75" customHeight="1">
      <c r="A1491" s="6" t="s">
        <v>2180</v>
      </c>
      <c r="B1491" s="6" t="str">
        <f>IFERROR(__xludf.DUMMYFUNCTION("GOOGLETRANSLATE(A1491,""en"",""fi"")"),"PARASECT-hyönteisten tiedetään tarttuvan joukoittain suurten puiden juuriin ja imevän niistä ravinteita. Kun saastunut puu kuolee, ne siirtyvät kerralla toisen puun päälle.")</f>
        <v>PARASECT-hyönteisten tiedetään tarttuvan joukoittain suurten puiden juuriin ja imevän niistä ravinteita. Kun saastunut puu kuolee, ne siirtyvät kerralla toisen puun päälle.</v>
      </c>
      <c r="C1491" s="9" t="s">
        <v>1344</v>
      </c>
    </row>
    <row r="1492" ht="33.75" customHeight="1">
      <c r="A1492" s="6" t="s">
        <v>2181</v>
      </c>
      <c r="B1492" s="6" t="str">
        <f>IFERROR(__xludf.DUMMYFUNCTION("GOOGLETRANSLATE(A1492,""en"",""fi"")"),"Se levittää myrkyllisiä itiöitä sienen lakista. Kiinassa itiöitä käytetään rohdosvalmisteena.")</f>
        <v>Se levittää myrkyllisiä itiöitä sienen lakista. Kiinassa itiöitä käytetään rohdosvalmisteena.</v>
      </c>
      <c r="C1492" s="9" t="s">
        <v>1344</v>
      </c>
    </row>
    <row r="1493" ht="33.75" customHeight="1">
      <c r="A1493" s="6" t="s">
        <v>2182</v>
      </c>
      <c r="B1493" s="6" t="str">
        <f>IFERROR(__xludf.DUMMYFUNCTION("GOOGLETRANSLATE(A1493,""en"",""fi"")"),"Isännän kehoa suuremmaksi kasvanut sieni kontrolloi PARASECTia. Se levittää myrkyllisiä itiöitä.")</f>
        <v>Isännän kehoa suuremmaksi kasvanut sieni kontrolloi PARASECTia. Se levittää myrkyllisiä itiöitä.</v>
      </c>
      <c r="C1493" s="9" t="s">
        <v>1344</v>
      </c>
    </row>
    <row r="1494" ht="33.75" customHeight="1">
      <c r="A1494" s="6" t="s">
        <v>2183</v>
      </c>
      <c r="B1494" s="6" t="str">
        <f>IFERROR(__xludf.DUMMYFUNCTION("GOOGLETRANSLATE(A1494,""en"",""fi"")"),"Sitä torjuu sieni, joka on kasvanut luteen ruumista suuremmaksi. Sen sanotaan viihtyvän kosteissa paikoissa.")</f>
        <v>Sitä torjuu sieni, joka on kasvanut luteen ruumista suuremmaksi. Sen sanotaan viihtyvän kosteissa paikoissa.</v>
      </c>
      <c r="C1494" s="9" t="s">
        <v>1344</v>
      </c>
    </row>
    <row r="1495" ht="33.75" customHeight="1">
      <c r="A1495" s="6" t="s">
        <v>2184</v>
      </c>
      <c r="B1495" s="6" t="str">
        <f>IFERROR(__xludf.DUMMYFUNCTION("GOOGLETRANSLATE(A1495,""en"",""fi"")"),"Se viipyy enimmäkseen pimeissä ja kosteissa paikoissa, eikä se ole ötökän, vaan sen selässä olevan ison sienen suosiossa.")</f>
        <v>Se viipyy enimmäkseen pimeissä ja kosteissa paikoissa, eikä se ole ötökän, vaan sen selässä olevan ison sienen suosiossa.</v>
      </c>
      <c r="C1495" s="9" t="s">
        <v>1344</v>
      </c>
    </row>
    <row r="1496" ht="33.75" customHeight="1">
      <c r="A1496" s="6" t="s">
        <v>2187</v>
      </c>
      <c r="B1496" s="6" t="str">
        <f>IFERROR(__xludf.DUMMYFUNCTION("GOOGLETRANSLATE(A1496,""en"",""fi"")"),"Mitä suuremmaksi sieni selällään kasvaa, sitä voimakkaampia sieni-itiöitä se levittää.")</f>
        <v>Mitä suuremmaksi sieni selällään kasvaa, sitä voimakkaampia sieni-itiöitä se levittää.</v>
      </c>
      <c r="C1496" s="9" t="s">
        <v>1344</v>
      </c>
    </row>
    <row r="1497" ht="33.75" customHeight="1">
      <c r="A1497" s="6" t="s">
        <v>2189</v>
      </c>
      <c r="B1497" s="6" t="str">
        <f>IFERROR(__xludf.DUMMYFUNCTION("GOOGLETRANSLATE(A1497,""en"",""fi"")"),"Isännän kehoa suuremmaksi kasvanut sieni hallitsee Parasectia. Se levittää myrkyllisiä itiöitä.")</f>
        <v>Isännän kehoa suuremmaksi kasvanut sieni hallitsee Parasectia. Se levittää myrkyllisiä itiöitä.</v>
      </c>
      <c r="C1497" s="9" t="s">
        <v>1344</v>
      </c>
    </row>
    <row r="1498" ht="33.75" customHeight="1">
      <c r="A1498" s="6" t="s">
        <v>2190</v>
      </c>
      <c r="B1498" s="6" t="str">
        <f>IFERROR(__xludf.DUMMYFUNCTION("GOOGLETRANSLATE(A1498,""en"",""fi"")"),"Parasektien tiedetään tarttuvan joukoittain suuriin puihin ja imevän ravinteita niiden alarungosta ja juurista. Kun saastunut puu kuolee, ne siirtyvät kaikki kerralla toiseen puuhun.")</f>
        <v>Parasektien tiedetään tarttuvan joukoittain suuriin puihin ja imevän ravinteita niiden alarungosta ja juurista. Kun saastunut puu kuolee, ne siirtyvät kaikki kerralla toiseen puuhun.</v>
      </c>
      <c r="C1498" s="9" t="s">
        <v>1344</v>
      </c>
    </row>
    <row r="1499" ht="33.75" customHeight="1">
      <c r="A1499" s="6" t="s">
        <v>2192</v>
      </c>
      <c r="B1499" s="6" t="str">
        <f>IFERROR(__xludf.DUMMYFUNCTION("GOOGLETRANSLATE(A1499,""en"",""fi"")"),"Sen selässä oleva suuri sieni hallitsee sitä. Se taistelee usein reviiriä vastaan ​​shiinotilaisten kanssa.")</f>
        <v>Sen selässä oleva suuri sieni hallitsee sitä. Se taistelee usein reviiriä vastaan ​​shiinotilaisten kanssa.</v>
      </c>
      <c r="C1499" s="9" t="s">
        <v>1344</v>
      </c>
    </row>
    <row r="1500" ht="33.75" customHeight="1">
      <c r="A1500" s="6" t="s">
        <v>2194</v>
      </c>
      <c r="B1500" s="6" t="str">
        <f>IFERROR(__xludf.DUMMYFUNCTION("GOOGLETRANSLATE(A1500,""en"",""fi"")"),"Se levittää myrkyllisiä itiöitä sienen lakistaan. Kerättyinä itiöitä voidaan liottaa ja keittää yrttilääkkeiden valmistamiseksi.")</f>
        <v>Se levittää myrkyllisiä itiöitä sienen lakistaan. Kerättyinä itiöitä voidaan liottaa ja keittää yrttilääkkeiden valmistamiseksi.</v>
      </c>
      <c r="C1500" s="9" t="s">
        <v>1344</v>
      </c>
    </row>
    <row r="1501" ht="33.75" customHeight="1">
      <c r="A1501" s="6" t="s">
        <v>2197</v>
      </c>
      <c r="B1501" s="6" t="str">
        <f>IFERROR(__xludf.DUMMYFUNCTION("GOOGLETRANSLATE(A1501,""en"",""fi"")"),"Luunainen on enimmäkseen kuollut, ja sen selässä olevasta sienestä on tullut sen pääruumis. Jos sieni irtoaa, luteinen lakkaa liikkumasta.")</f>
        <v>Luunainen on enimmäkseen kuollut, ja sen selässä olevasta sienestä on tullut sen pääruumis. Jos sieni irtoaa, luteinen lakkaa liikkumasta.</v>
      </c>
      <c r="C1501" s="9" t="s">
        <v>1344</v>
      </c>
    </row>
    <row r="1502" ht="33.75" customHeight="1">
      <c r="A1502" s="6" t="s">
        <v>2199</v>
      </c>
      <c r="B1502" s="6" t="str">
        <f>IFERROR(__xludf.DUMMYFUNCTION("GOOGLETRANSLATE(A1502,""en"",""fi"")"),"Sen myrkyllisiä itiöitä käytetään myös perinteisessä lääketieteessä. Ilmeisesti Alolassa tuotetut itiöt eivät ole kovin hyvälaatuisia.")</f>
        <v>Sen myrkyllisiä itiöitä käytetään myös perinteisessä lääketieteessä. Ilmeisesti Alolassa tuotetut itiöt eivät ole kovin hyvälaatuisia.</v>
      </c>
      <c r="C1502" s="9" t="s">
        <v>1344</v>
      </c>
    </row>
    <row r="1503" ht="33.75" customHeight="1">
      <c r="A1503" s="6" t="s">
        <v>2201</v>
      </c>
      <c r="B1503" s="6" t="str">
        <f>IFERROR(__xludf.DUMMYFUNCTION("GOOGLETRANSLATE(A1503,""en"",""fi"")"),"Selällään oleva sieni kuluttaa hyönteisen isännän energiaa. Sieni näyttää ajattelevan kaiken.")</f>
        <v>Selällään oleva sieni kuluttaa hyönteisen isännän energiaa. Sieni näyttää ajattelevan kaiken.</v>
      </c>
      <c r="C1503" s="9" t="s">
        <v>1344</v>
      </c>
    </row>
    <row r="1504" ht="33.75" customHeight="1">
      <c r="A1504" s="6" t="s">
        <v>2202</v>
      </c>
      <c r="B1504" s="6" t="str">
        <f>IFERROR(__xludf.DUMMYFUNCTION("GOOGLETRANSLATE(A1504,""en"",""fi"")"),"Tämän Pokémonin sienittömät yksilöt makaavat liikkumatta metsässä, mikä antaa uskottavuutta hypoteesille, jonka mukaan suuri sieni hallitsee Parasectin toimia.")</f>
        <v>Tämän Pokémonin sienittömät yksilöt makaavat liikkumatta metsässä, mikä antaa uskottavuutta hypoteesille, jonka mukaan suuri sieni hallitsee Parasectin toimia.</v>
      </c>
      <c r="C1504" s="9" t="s">
        <v>1344</v>
      </c>
    </row>
    <row r="1505" ht="33.75" customHeight="1">
      <c r="A1505" s="6" t="s">
        <v>2204</v>
      </c>
      <c r="B1505" s="6" t="str">
        <f>IFERROR(__xludf.DUMMYFUNCTION("GOOGLETRANSLATE(A1505,""en"",""fi"")"),"Se elää korkeiden puiden varjoissa, missä se syö hyönteisiä. Yöllä valo vetää sitä puoleensa.")</f>
        <v>Se elää korkeiden puiden varjoissa, missä se syö hyönteisiä. Yöllä valo vetää sitä puoleensa.</v>
      </c>
      <c r="C1505" s="9" t="s">
        <v>1344</v>
      </c>
    </row>
    <row r="1506" ht="33.75" customHeight="1">
      <c r="A1506" s="6" t="s">
        <v>2206</v>
      </c>
      <c r="B1506" s="6" t="str">
        <f>IFERROR(__xludf.DUMMYFUNCTION("GOOGLETRANSLATE(A1506,""en"",""fi"")"),"Sen suuret silmät toimivat tutkina. Kirkkaassa paikassa ne ovat monien pienten silmien ryppäitä.")</f>
        <v>Sen suuret silmät toimivat tutkina. Kirkkaassa paikassa ne ovat monien pienten silmien ryppäitä.</v>
      </c>
      <c r="C1506" s="9" t="s">
        <v>1344</v>
      </c>
    </row>
    <row r="1507" ht="33.75" customHeight="1">
      <c r="A1507" s="6" t="s">
        <v>2208</v>
      </c>
      <c r="B1507" s="6" t="str">
        <f>IFERROR(__xludf.DUMMYFUNCTION("GOOGLETRANSLATE(A1507,""en"",""fi"")"),"Sen silmät toimivat myös tutkayksiköinä. Se pyydystää ja syö pieniä ötököitä, jotka piileskelevät pimeydessä.")</f>
        <v>Sen silmät toimivat myös tutkayksiköinä. Se pyydystää ja syö pieniä ötököitä, jotka piileskelevät pimeydessä.</v>
      </c>
      <c r="C1507" s="9" t="s">
        <v>1344</v>
      </c>
    </row>
    <row r="1508" ht="33.75" customHeight="1">
      <c r="A1508" s="6" t="s">
        <v>2210</v>
      </c>
      <c r="B1508" s="6" t="str">
        <f>IFERROR(__xludf.DUMMYFUNCTION("GOOGLETRANSLATE(A1508,""en"",""fi"")"),"Myrkkyä tihkuu kaikkialta sen kehosta. Se pyydystää ja syö yöllä pieniä hyönteisiä, joita valo houkuttelee.")</f>
        <v>Myrkkyä tihkuu kaikkialta sen kehosta. Se pyydystää ja syö yöllä pieniä hyönteisiä, joita valo houkuttelee.</v>
      </c>
      <c r="C1508" s="9" t="s">
        <v>1344</v>
      </c>
    </row>
    <row r="1509" ht="33.75" customHeight="1">
      <c r="A1509" s="6" t="s">
        <v>2211</v>
      </c>
      <c r="B1509" s="6" t="str">
        <f>IFERROR(__xludf.DUMMYFUNCTION("GOOGLETRANSLATE(A1509,""en"",""fi"")"),"Sen syömät pienet ötökät ilmestyvät vain yöllä, joten se nukkuu puunkolossa yön laskeutumiseen asti.")</f>
        <v>Sen syömät pienet ötökät ilmestyvät vain yöllä, joten se nukkuu puunkolossa yön laskeutumiseen asti.</v>
      </c>
      <c r="C1509" s="9" t="s">
        <v>1344</v>
      </c>
    </row>
    <row r="1510" ht="33.75" customHeight="1">
      <c r="A1510" s="6" t="s">
        <v>2213</v>
      </c>
      <c r="B1510" s="6" t="str">
        <f>IFERROR(__xludf.DUMMYFUNCTION("GOOGLETRANSLATE(A1510,""en"",""fi"")"),"VENONATin sanotaan kehittyneen ohuen ja jäykän karvapeitteen kanssa, joka peittää koko sen kehon suojaksi. Sillä on suuret silmät, jotka havaitsevat aina pienimmänkin saaliin.")</f>
        <v>VENONATin sanotaan kehittyneen ohuen ja jäykän karvapeitteen kanssa, joka peittää koko sen kehon suojaksi. Sillä on suuret silmät, jotka havaitsevat aina pienimmänkin saaliin.</v>
      </c>
      <c r="C1510" s="9" t="s">
        <v>1344</v>
      </c>
    </row>
    <row r="1511" ht="33.75" customHeight="1">
      <c r="A1511" s="6" t="s">
        <v>2215</v>
      </c>
      <c r="B1511" s="6" t="str">
        <f>IFERROR(__xludf.DUMMYFUNCTION("GOOGLETRANSLATE(A1511,""en"",""fi"")"),"Sen ohuen ja jäykän karvan, joka peittää koko kehon, sanotaan kehittyneen suojaksi. Sen suuret silmät havaitsevat aina pienimmänkin saaliin.")</f>
        <v>Sen ohuen ja jäykän karvan, joka peittää koko kehon, sanotaan kehittyneen suojaksi. Sen suuret silmät havaitsevat aina pienimmänkin saaliin.</v>
      </c>
      <c r="C1511" s="9" t="s">
        <v>1344</v>
      </c>
    </row>
    <row r="1512" ht="33.75" customHeight="1">
      <c r="A1512" s="6" t="s">
        <v>2216</v>
      </c>
      <c r="B1512" s="6" t="str">
        <f>IFERROR(__xludf.DUMMYFUNCTION("GOOGLETRANSLATE(A1512,""en"",""fi"")"),"Sen silmät toimivat tutkan tavoin, minkä ansiosta se on aktiivinen pimeässä. Silmät voivat myös ampua voimakkaita säteitä.")</f>
        <v>Sen silmät toimivat tutkan tavoin, minkä ansiosta se on aktiivinen pimeässä. Silmät voivat myös ampua voimakkaita säteitä.</v>
      </c>
      <c r="C1512" s="9" t="s">
        <v>1344</v>
      </c>
    </row>
    <row r="1513" ht="33.75" customHeight="1">
      <c r="A1513" s="6" t="s">
        <v>2218</v>
      </c>
      <c r="B1513" s="6" t="str">
        <f>IFERROR(__xludf.DUMMYFUNCTION("GOOGLETRANSLATE(A1513,""en"",""fi"")"),"Se elää korkeiden puiden varjoissa, missä se syö hyönteisiä. Yöllä valo vetää sitä puoleensa.")</f>
        <v>Se elää korkeiden puiden varjoissa, missä se syö hyönteisiä. Yöllä valo vetää sitä puoleensa.</v>
      </c>
      <c r="C1513" s="9" t="s">
        <v>1344</v>
      </c>
    </row>
    <row r="1514" ht="33.75" customHeight="1">
      <c r="A1514" s="6" t="s">
        <v>2219</v>
      </c>
      <c r="B1514" s="6" t="str">
        <f>IFERROR(__xludf.DUMMYFUNCTION("GOOGLETRANSLATE(A1514,""en"",""fi"")"),"Sen suuret silmät ovat itse asiassa pienten silmien ryppäitä. Yöllä valo vetää puoleensa lajiaan.")</f>
        <v>Sen suuret silmät ovat itse asiassa pienten silmien ryppäitä. Yöllä valo vetää puoleensa lajiaan.</v>
      </c>
      <c r="C1514" s="9" t="s">
        <v>1344</v>
      </c>
    </row>
    <row r="1515" ht="33.75" customHeight="1">
      <c r="A1515" s="6" t="s">
        <v>2220</v>
      </c>
      <c r="B1515" s="6" t="str">
        <f>IFERROR(__xludf.DUMMYFUNCTION("GOOGLETRANSLATE(A1515,""en"",""fi"")"),"Myrkkyä tihkuu kaikkialta sen kehosta. Se pyydystää ja syö yöllä pieniä hyönteisiä, joita valo houkuttelee.")</f>
        <v>Myrkkyä tihkuu kaikkialta sen kehosta. Se pyydystää ja syö yöllä pieniä hyönteisiä, joita valo houkuttelee.</v>
      </c>
      <c r="C1515" s="9" t="s">
        <v>1344</v>
      </c>
    </row>
    <row r="1516" ht="33.75" customHeight="1">
      <c r="A1516" s="6" t="s">
        <v>2222</v>
      </c>
      <c r="B1516" s="6" t="str">
        <f>IFERROR(__xludf.DUMMYFUNCTION("GOOGLETRANSLATE(A1516,""en"",""fi"")"),"Venonatin sanotaan kehittyneen ohuen ja jäykän karvapeitteen kanssa, joka peittää koko sen kehon suojaksi. Sillä on suuret silmät, jotka havaitsevat aina pienenkin saaliin.")</f>
        <v>Venonatin sanotaan kehittyneen ohuen ja jäykän karvapeitteen kanssa, joka peittää koko sen kehon suojaksi. Sillä on suuret silmät, jotka havaitsevat aina pienenkin saaliin.</v>
      </c>
      <c r="C1516" s="9" t="s">
        <v>1344</v>
      </c>
    </row>
    <row r="1517" ht="33.75" customHeight="1">
      <c r="A1517" s="6" t="s">
        <v>2223</v>
      </c>
      <c r="B1517" s="6" t="str">
        <f>IFERROR(__xludf.DUMMYFUNCTION("GOOGLETRANSLATE(A1517,""en"",""fi"")"),"Sen suuret silmät toimivat tutkana. Kirkkaassa paikassa ne ovat monien pienten silmien ryppäitä.")</f>
        <v>Sen suuret silmät toimivat tutkana. Kirkkaassa paikassa ne ovat monien pienten silmien ryppäitä.</v>
      </c>
      <c r="C1517" s="9" t="s">
        <v>1344</v>
      </c>
    </row>
    <row r="1518" ht="33.75" customHeight="1">
      <c r="A1518" s="6" t="s">
        <v>2224</v>
      </c>
      <c r="B1518" s="6" t="str">
        <f>IFERROR(__xludf.DUMMYFUNCTION("GOOGLETRANSLATE(A1518,""en"",""fi"")"),"Sen siipiä peittävät pölymäiset suomut on värikoodattu osoittamaan sen sisältämien myrkkyjen tyyppejä.")</f>
        <v>Sen siipiä peittävät pölymäiset suomut on värikoodattu osoittamaan sen sisältämien myrkkyjen tyyppejä.</v>
      </c>
      <c r="C1518" s="9" t="s">
        <v>1344</v>
      </c>
    </row>
    <row r="1519" ht="33.75" customHeight="1">
      <c r="A1519" s="6" t="s">
        <v>2226</v>
      </c>
      <c r="B1519" s="6" t="str">
        <f>IFERROR(__xludf.DUMMYFUNCTION("GOOGLETRANSLATE(A1519,""en"",""fi"")"),"Sen siipien jauhemaiset suomut on vaikea poistaa. Ne sisältävät myös myrkkyä, jota vuotaa kosketuksessa.")</f>
        <v>Sen siipien jauhemaiset suomut on vaikea poistaa. Ne sisältävät myös myrkkyä, jota vuotaa kosketuksessa.</v>
      </c>
      <c r="C1519" s="9" t="s">
        <v>1344</v>
      </c>
    </row>
    <row r="1520" ht="33.75" customHeight="1">
      <c r="A1520" s="6" t="s">
        <v>2228</v>
      </c>
      <c r="B1520" s="6" t="str">
        <f>IFERROR(__xludf.DUMMYFUNCTION("GOOGLETRANSLATE(A1520,""en"",""fi"")"),"Hyökätessään se räpyttelee rajusti suuria siipiään ja levittää myrkyllistä jauhettaan kaikkialle.")</f>
        <v>Hyökätessään se räpyttelee rajusti suuria siipiään ja levittää myrkyllistä jauhettaan kaikkialle.</v>
      </c>
      <c r="C1520" s="9" t="s">
        <v>1344</v>
      </c>
    </row>
    <row r="1521" ht="33.75" customHeight="1">
      <c r="A1521" s="6" t="s">
        <v>2229</v>
      </c>
      <c r="B1521" s="6" t="str">
        <f>IFERROR(__xludf.DUMMYFUNCTION("GOOGLETRANSLATE(A1521,""en"",""fi"")"),"Sen siivissä oleva jauhe on myrkyllistä, jos se on tummaa. Jos se on vaaleaa, se aiheuttaa halvaantumisen.")</f>
        <v>Sen siivissä oleva jauhe on myrkyllistä, jos se on tummaa. Jos se on vaaleaa, se aiheuttaa halvaantumisen.</v>
      </c>
      <c r="C1521" s="9" t="s">
        <v>1344</v>
      </c>
    </row>
    <row r="1522" ht="33.75" customHeight="1">
      <c r="A1522" s="6" t="s">
        <v>2230</v>
      </c>
      <c r="B1522" s="6" t="str">
        <f>IFERROR(__xludf.DUMMYFUNCTION("GOOGLETRANSLATE(A1522,""en"",""fi"")"),"Sen levittämät suomut halvaannuttavat jokaisen, joka niihin koskee, niin että henkilö ei pysty seisomaan.")</f>
        <v>Sen levittämät suomut halvaannuttavat jokaisen, joka niihin koskee, niin että henkilö ei pysty seisomaan.</v>
      </c>
      <c r="C1522" s="9" t="s">
        <v>1344</v>
      </c>
    </row>
    <row r="1523" ht="33.75" customHeight="1">
      <c r="A1523" s="6" t="s">
        <v>2232</v>
      </c>
      <c r="B1523" s="6" t="str">
        <f>IFERROR(__xludf.DUMMYFUNCTION("GOOGLETRANSLATE(A1523,""en"",""fi"")"),"VENOMOTH on yöeläin – se on POKéMON, joka aktivoituu vain yöllä. Sen lempisaalis on pieniä hyönteisiä, jotka kerääntyvät katulamppujen ympärille pimeyden valon houkuttelemina.")</f>
        <v>VENOMOTH on yöeläin – se on POKéMON, joka aktivoituu vain yöllä. Sen lempisaalis on pieniä hyönteisiä, jotka kerääntyvät katulamppujen ympärille pimeyden valon houkuttelemina.</v>
      </c>
      <c r="C1523" s="9" t="s">
        <v>1344</v>
      </c>
    </row>
    <row r="1524" ht="33.75" customHeight="1">
      <c r="A1524" s="6" t="s">
        <v>2234</v>
      </c>
      <c r="B1524" s="6" t="str">
        <f>IFERROR(__xludf.DUMMYFUNCTION("GOOGLETRANSLATE(A1524,""en"",""fi"")"),"MYRKKYT ovat yöeläimiä – ne ovat aktiivisia vain yöllä. Niiden lempisaalis on hyönteisiä, jotka kerääntyvät katulamppujen ympärille pimeyden valon houkuttelemina.")</f>
        <v>MYRKKYT ovat yöeläimiä – ne ovat aktiivisia vain yöllä. Niiden lempisaalis on hyönteisiä, jotka kerääntyvät katulamppujen ympärille pimeyden valon houkuttelemina.</v>
      </c>
      <c r="C1524" s="9" t="s">
        <v>1344</v>
      </c>
    </row>
    <row r="1525" ht="33.75" customHeight="1">
      <c r="A1525" s="6" t="s">
        <v>2236</v>
      </c>
      <c r="B1525" s="6" t="str">
        <f>IFERROR(__xludf.DUMMYFUNCTION("GOOGLETRANSLATE(A1525,""en"",""fi"")"),"Siivet ovat pölymäisten suomujen peitossa. Joka kerta siipiään räpytellen se irrottaa erittäin myrkyllistä pölyä.")</f>
        <v>Siivet ovat pölymäisten suomujen peitossa. Joka kerta siipiään räpytellen se irrottaa erittäin myrkyllistä pölyä.</v>
      </c>
      <c r="C1525" s="9" t="s">
        <v>1344</v>
      </c>
    </row>
    <row r="1526" ht="33.75" customHeight="1">
      <c r="A1526" s="6" t="s">
        <v>2237</v>
      </c>
      <c r="B1526" s="6" t="str">
        <f>IFERROR(__xludf.DUMMYFUNCTION("GOOGLETRANSLATE(A1526,""en"",""fi"")"),"Sen siipiä peittävät pölymäiset suomut on värikoodattu osoittamaan sen sisältämien myrkkyjen tyyppejä.")</f>
        <v>Sen siipiä peittävät pölymäiset suomut on värikoodattu osoittamaan sen sisältämien myrkkyjen tyyppejä.</v>
      </c>
      <c r="C1526" s="9" t="s">
        <v>1344</v>
      </c>
    </row>
    <row r="1527" ht="33.75" customHeight="1">
      <c r="A1527" s="6" t="s">
        <v>2239</v>
      </c>
      <c r="B1527" s="6" t="str">
        <f>IFERROR(__xludf.DUMMYFUNCTION("GOOGLETRANSLATE(A1527,""en"",""fi"")"),"Se räpyttelee siipiään levittääkseen pölymäisiä suomuja. Suomut irrottavat myrkkyjä, jos ne joutuvat kosketuksiin ihon kanssa.")</f>
        <v>Se räpyttelee siipiään levittääkseen pölymäisiä suomuja. Suomut irrottavat myrkkyjä, jos ne joutuvat kosketuksiin ihon kanssa.</v>
      </c>
      <c r="C1527" s="9" t="s">
        <v>1344</v>
      </c>
    </row>
    <row r="1528" ht="33.75" customHeight="1">
      <c r="A1528" s="6" t="s">
        <v>2240</v>
      </c>
      <c r="B1528" s="6" t="str">
        <f>IFERROR(__xludf.DUMMYFUNCTION("GOOGLETRANSLATE(A1528,""en"",""fi"")"),"Hyökätessään se räpyttelee rajusti suuria siipiään ja levittää myrkyllistä jauhettaan kaikkialle.")</f>
        <v>Hyökätessään se räpyttelee rajusti suuria siipiään ja levittää myrkyllistä jauhettaan kaikkialle.</v>
      </c>
      <c r="C1528" s="9" t="s">
        <v>1344</v>
      </c>
    </row>
    <row r="1529" ht="33.75" customHeight="1">
      <c r="A1529" s="6" t="s">
        <v>2241</v>
      </c>
      <c r="B1529" s="6" t="str">
        <f>IFERROR(__xludf.DUMMYFUNCTION("GOOGLETRANSLATE(A1529,""en"",""fi"")"),"Sen siipien jauhe on myrkyllistä, jos se on tummaa. Jos se on vaaleaa, se aiheuttaa halvaantumisen.")</f>
        <v>Sen siipien jauhe on myrkyllistä, jos se on tummaa. Jos se on vaaleaa, se aiheuttaa halvaantumisen.</v>
      </c>
      <c r="C1529" s="9" t="s">
        <v>1344</v>
      </c>
    </row>
    <row r="1530" ht="33.75" customHeight="1">
      <c r="A1530" s="6" t="s">
        <v>2242</v>
      </c>
      <c r="B1530" s="6" t="str">
        <f>IFERROR(__xludf.DUMMYFUNCTION("GOOGLETRANSLATE(A1530,""en"",""fi"")"),"Venomoth on yöeläin – se on Pokémon, joka aktivoituu vain yöllä. Sen lempisaalis on pieniä hyönteisiä, jotka kerääntyvät katulamppujen ympärille pimeyden valon houkuttelemina.")</f>
        <v>Venomoth on yöeläin – se on Pokémon, joka aktivoituu vain yöllä. Sen lempisaalis on pieniä hyönteisiä, jotka kerääntyvät katulamppujen ympärille pimeyden valon houkuttelemina.</v>
      </c>
      <c r="C1530" s="9" t="s">
        <v>1344</v>
      </c>
    </row>
    <row r="1531" ht="33.75" customHeight="1">
      <c r="A1531" s="6" t="s">
        <v>2243</v>
      </c>
      <c r="B1531" s="6" t="str">
        <f>IFERROR(__xludf.DUMMYFUNCTION("GOOGLETRANSLATE(A1531,""en"",""fi"")"),"Sen siipien jauhemaisia ​​suomuja on vaikea poistaa iholta. Ne sisältävät myös myrkkyä, jota vuotaa kosketuksessa ihon kanssa.")</f>
        <v>Sen siipien jauhemaisia ​​suomuja on vaikea poistaa iholta. Ne sisältävät myös myrkkyä, jota vuotaa kosketuksessa ihon kanssa.</v>
      </c>
      <c r="C1531" s="9" t="s">
        <v>1344</v>
      </c>
    </row>
    <row r="1532" ht="33.75" customHeight="1">
      <c r="A1532" s="6" t="s">
        <v>2246</v>
      </c>
      <c r="B1532" s="6" t="str">
        <f>IFERROR(__xludf.DUMMYFUNCTION("GOOGLETRANSLATE(A1532,""en"",""fi"")"),"Asuu noin metrin syvyydessä maan alla, missä se syö kasvien juuria. Joskus se esiintyy maanpinnan yläpuolella.")</f>
        <v>Asuu noin metrin syvyydessä maan alla, missä se syö kasvien juuria. Joskus se esiintyy maanpinnan yläpuolella.</v>
      </c>
      <c r="C1532" s="9" t="s">
        <v>1344</v>
      </c>
    </row>
    <row r="1533" ht="33.75" customHeight="1">
      <c r="A1533" s="6" t="s">
        <v>2249</v>
      </c>
      <c r="B1533" s="6" t="str">
        <f>IFERROR(__xludf.DUMMYFUNCTION("GOOGLETRANSLATE(A1533,""en"",""fi"")"),"Se viihtyy pimeissä paikoissa. Se viettää suurimman osan ajastaan ​​maan alla, vaikka se saattaa ilmestyä luoliin.")</f>
        <v>Se viihtyy pimeissä paikoissa. Se viettää suurimman osan ajastaan ​​maan alla, vaikka se saattaa ilmestyä luoliin.</v>
      </c>
      <c r="C1533" s="9" t="s">
        <v>1344</v>
      </c>
    </row>
    <row r="1534" ht="33.75" customHeight="1">
      <c r="A1534" s="6" t="s">
        <v>2250</v>
      </c>
      <c r="B1534" s="6" t="str">
        <f>IFERROR(__xludf.DUMMYFUNCTION("GOOGLETRANSLATE(A1534,""en"",""fi"")"),"Sen iho on hyvin ohut. Jos se altistuu valolle, sen veri lämpenee, mikä heikentää sitä.")</f>
        <v>Sen iho on hyvin ohut. Jos se altistuu valolle, sen veri lämpenee, mikä heikentää sitä.</v>
      </c>
      <c r="C1534" s="9" t="s">
        <v>1344</v>
      </c>
    </row>
    <row r="1535" ht="33.75" customHeight="1">
      <c r="A1535" s="6" t="s">
        <v>2251</v>
      </c>
      <c r="B1535" s="6" t="str">
        <f>IFERROR(__xludf.DUMMYFUNCTION("GOOGLETRANSLATE(A1535,""en"",""fi"")"),"Jos DIGLETT KYLVIÄÄ pellon läpi, se jättää maan täydellisesti muokatuksi ja ihanteelliseksi viljelykasvien istuttamiseen.")</f>
        <v>Jos DIGLETT KYLVIÄÄ pellon läpi, se jättää maan täydellisesti muokatuksi ja ihanteelliseksi viljelykasvien istuttamiseen.</v>
      </c>
      <c r="C1535" s="9" t="s">
        <v>1344</v>
      </c>
    </row>
    <row r="1536" ht="33.75" customHeight="1">
      <c r="A1536" s="6" t="s">
        <v>2253</v>
      </c>
      <c r="B1536" s="6" t="str">
        <f>IFERROR(__xludf.DUMMYFUNCTION("GOOGLETRANSLATE(A1536,""en"",""fi"")"),"Se kaivautuu maan alle ja pureskelee puiden juuria, työntäen päänsä ulos vain silloin, kun aurinko ei paista kirkkaasti.")</f>
        <v>Se kaivautuu maan alle ja pureskelee puiden juuria, työntäen päänsä ulos vain silloin, kun aurinko ei paista kirkkaasti.</v>
      </c>
      <c r="C1536" s="9" t="s">
        <v>1344</v>
      </c>
    </row>
    <row r="1537" ht="33.75" customHeight="1">
      <c r="A1537" s="6" t="s">
        <v>2255</v>
      </c>
      <c r="B1537" s="6" t="str">
        <f>IFERROR(__xludf.DUMMYFUNCTION("GOOGLETRANSLATE(A1537,""en"",""fi"")"),"DIGLETT-pokemoneja kasvatetaan useimmilla maatiloilla. Syy on yksinkertainen – minne tahansa tämä POKéMON kaivautuukin, maaperä jätetään täydellisesti kynnetyksi kasvien istuttamista varten. Tämä maaperä on ihanteellinen herkullisten vihannesten kasvattam"&amp;"iseen.")</f>
        <v>DIGLETT-pokemoneja kasvatetaan useimmilla maatiloilla. Syy on yksinkertainen – minne tahansa tämä POKéMON kaivautuukin, maaperä jätetään täydellisesti kynnetyksi kasvien istuttamista varten. Tämä maaperä on ihanteellinen herkullisten vihannesten kasvattamiseen.</v>
      </c>
      <c r="C1537" s="9" t="s">
        <v>1344</v>
      </c>
    </row>
    <row r="1538" ht="33.75" customHeight="1">
      <c r="A1538" s="6" t="s">
        <v>2257</v>
      </c>
      <c r="B1538" s="6" t="str">
        <f>IFERROR(__xludf.DUMMYFUNCTION("GOOGLETRANSLATE(A1538,""en"",""fi"")"),"DIGLETT-kananpoikasia kasvatetaan useimmilla maatiloilla. Syy on yksinkertainen – minne ikinä ne kaivautuvatkin, maaperä jää täydellisesti muokatuksi herkullisten satojen kasvattamista varten.")</f>
        <v>DIGLETT-kananpoikasia kasvatetaan useimmilla maatiloilla. Syy on yksinkertainen – minne ikinä ne kaivautuvatkin, maaperä jää täydellisesti muokatuksi herkullisten satojen kasvattamista varten.</v>
      </c>
      <c r="C1538" s="9" t="s">
        <v>1344</v>
      </c>
    </row>
    <row r="1539" ht="33.75" customHeight="1">
      <c r="A1539" s="6" t="s">
        <v>2259</v>
      </c>
      <c r="B1539" s="6" t="str">
        <f>IFERROR(__xludf.DUMMYFUNCTION("GOOGLETRANSLATE(A1539,""en"",""fi"")"),"Se kaivautuu maahan matalalla syvyydellä. Se jättää jälkeensä kohoumaa, minkä ansiosta se on helppo havaita.")</f>
        <v>Se kaivautuu maahan matalalla syvyydellä. Se jättää jälkeensä kohoumaa, minkä ansiosta se on helppo havaita.</v>
      </c>
      <c r="C1539" s="9" t="s">
        <v>1344</v>
      </c>
    </row>
    <row r="1540" ht="33.75" customHeight="1">
      <c r="A1540" s="6" t="s">
        <v>2261</v>
      </c>
      <c r="B1540" s="6" t="str">
        <f>IFERROR(__xludf.DUMMYFUNCTION("GOOGLETRANSLATE(A1540,""en"",""fi"")"),"Asuu noin metrin syvyydessä maan alla, missä se syö kasvien juuria. Joskus se esiintyy maanpinnan yläpuolella.")</f>
        <v>Asuu noin metrin syvyydessä maan alla, missä se syö kasvien juuria. Joskus se esiintyy maanpinnan yläpuolella.</v>
      </c>
      <c r="C1540" s="9" t="s">
        <v>1344</v>
      </c>
    </row>
    <row r="1541" ht="33.75" customHeight="1">
      <c r="A1541" s="6" t="s">
        <v>2262</v>
      </c>
      <c r="B1541" s="6" t="str">
        <f>IFERROR(__xludf.DUMMYFUNCTION("GOOGLETRANSLATE(A1541,""en"",""fi"")"),"Maan alla elävä Pokémon. Pimeän elinympäristönsä vuoksi kirkas auringonvalo karkottaa sitä.")</f>
        <v>Maan alla elävä Pokémon. Pimeän elinympäristönsä vuoksi kirkas auringonvalo karkottaa sitä.</v>
      </c>
      <c r="C1541" s="9" t="s">
        <v>1344</v>
      </c>
    </row>
    <row r="1542" ht="33.75" customHeight="1">
      <c r="A1542" s="6" t="s">
        <v>2264</v>
      </c>
      <c r="B1542" s="6" t="str">
        <f>IFERROR(__xludf.DUMMYFUNCTION("GOOGLETRANSLATE(A1542,""en"",""fi"")"),"Jos DIGLETT kaivaa pellon läpi, se jättää maaperän täydellisesti muokatuksi ja ihanteelliseksi viljelykasvien istuttamiseen.")</f>
        <v>Jos DIGLETT kaivaa pellon läpi, se jättää maaperän täydellisesti muokatuksi ja ihanteelliseksi viljelykasvien istuttamiseen.</v>
      </c>
      <c r="C1542" s="9" t="s">
        <v>1344</v>
      </c>
    </row>
    <row r="1543" ht="33.75" customHeight="1">
      <c r="A1543" s="6" t="s">
        <v>2266</v>
      </c>
      <c r="B1543" s="6" t="str">
        <f>IFERROR(__xludf.DUMMYFUNCTION("GOOGLETRANSLATE(A1543,""en"",""fi"")"),"Diglettejä kasvatetaan useimmilla maatiloilla. Syy on yksinkertainen – minne tahansa tämä Pokémon kaivautuukin, maaperä jätetään täydellisesti kynnetyksi viljelykasvien istuttamista varten. Tämä maaperä on ihanteellinen herkullisten vihannesten kasvattami"&amp;"seen.")</f>
        <v>Diglettejä kasvatetaan useimmilla maatiloilla. Syy on yksinkertainen – minne tahansa tämä Pokémon kaivautuukin, maaperä jätetään täydellisesti kynnetyksi viljelykasvien istuttamista varten. Tämä maaperä on ihanteellinen herkullisten vihannesten kasvattamiseen.</v>
      </c>
      <c r="C1543" s="9" t="s">
        <v>1344</v>
      </c>
    </row>
    <row r="1544" ht="33.75" customHeight="1">
      <c r="A1544" s="6" t="s">
        <v>2267</v>
      </c>
      <c r="B1544" s="6" t="str">
        <f>IFERROR(__xludf.DUMMYFUNCTION("GOOGLETRANSLATE(A1544,""en"",""fi"")"),"Se pureskelee kasvien juuria maan alla. Viljelijät, joiden vihannekset ovat herkkiä, huomaavat sen olevan melkoinen tuholainen.")</f>
        <v>Se pureskelee kasvien juuria maan alla. Viljelijät, joiden vihannekset ovat herkkiä, huomaavat sen olevan melkoinen tuholainen.</v>
      </c>
      <c r="C1544" s="9" t="s">
        <v>1344</v>
      </c>
    </row>
    <row r="1545" ht="33.75" customHeight="1">
      <c r="A1545" s="6" t="s">
        <v>2269</v>
      </c>
      <c r="B1545" s="6" t="str">
        <f>IFERROR(__xludf.DUMMYFUNCTION("GOOGLETRANSLATE(A1545,""en"",""fi"")"),"Monet maanviljelijät vaalivat ja hoivat Diglettiä, koska sen ulosteet rikastuttavat maaperää, jossa se elää.")</f>
        <v>Monet maanviljelijät vaalivat ja hoivat Diglettiä, koska sen ulosteet rikastuttavat maaperää, jossa se elää.</v>
      </c>
      <c r="C1545" s="9" t="s">
        <v>1344</v>
      </c>
    </row>
    <row r="1546" ht="33.75" customHeight="1">
      <c r="A1546" s="6" t="s">
        <v>2271</v>
      </c>
      <c r="B1546" s="6" t="str">
        <f>IFERROR(__xludf.DUMMYFUNCTION("GOOGLETRANSLATE(A1546,""en"",""fi"")"),"Se kulkee maan alle kaivamiensa tunnelien läpi. Se vihaa auringonvaloa, joten se tulee esiin vasta auringonlaskun jälkeen.")</f>
        <v>Se kulkee maan alle kaivamiensa tunnelien läpi. Se vihaa auringonvaloa, joten se tulee esiin vasta auringonlaskun jälkeen.</v>
      </c>
      <c r="C1546" s="9" t="s">
        <v>1344</v>
      </c>
    </row>
    <row r="1547" ht="33.75" customHeight="1">
      <c r="A1547" s="6" t="s">
        <v>2273</v>
      </c>
      <c r="B1547" s="6" t="str">
        <f>IFERROR(__xludf.DUMMYFUNCTION("GOOGLETRANSLATE(A1547,""en"",""fi"")"),"Viljelijöiden ympärille istutetaan Diglettin mielellään syömiä puita saadakseen tämän kyntämään pellot heidän puolestaan.")</f>
        <v>Viljelijöiden ympärille istutetaan Diglettin mielellään syömiä puita saadakseen tämän kyntämään pellot heidän puolestaan.</v>
      </c>
      <c r="C1547" s="9" t="s">
        <v>1344</v>
      </c>
    </row>
    <row r="1548" ht="33.75" customHeight="1">
      <c r="A1548" s="6" t="s">
        <v>2274</v>
      </c>
      <c r="B1548" s="6" t="str">
        <f>IFERROR(__xludf.DUMMYFUNCTION("GOOGLETRANSLATE(A1548,""en"",""fi"")"),"Jos Diglett kaivaa pellon läpi, se jättää maaperän täydellisesti muokatuksi ja ihanteelliseksi viljelykasvien istuttamiseen.")</f>
        <v>Jos Diglett kaivaa pellon läpi, se jättää maaperän täydellisesti muokatuksi ja ihanteelliseksi viljelykasvien istuttamiseen.</v>
      </c>
      <c r="C1548" s="9" t="s">
        <v>1344</v>
      </c>
    </row>
    <row r="1549" ht="33.75" customHeight="1">
      <c r="A1549" s="6" t="s">
        <v>2276</v>
      </c>
      <c r="B1549" s="6" t="str">
        <f>IFERROR(__xludf.DUMMYFUNCTION("GOOGLETRANSLATE(A1549,""en"",""fi"")"),"DIGLETT-kolmikosten joukkue. Se laukaisee valtavia maanjäristyksiä kaivautumalla 96 kilometrin syvyyteen maan alle.")</f>
        <v>DIGLETT-kolmikosten joukkue. Se laukaisee valtavia maanjäristyksiä kaivautumalla 96 kilometrin syvyyteen maan alle.</v>
      </c>
      <c r="C1549" s="9" t="s">
        <v>1344</v>
      </c>
    </row>
    <row r="1550" ht="33.75" customHeight="1">
      <c r="A1550" s="6" t="s">
        <v>2277</v>
      </c>
      <c r="B1550" s="6" t="str">
        <f>IFERROR(__xludf.DUMMYFUNCTION("GOOGLETRANSLATE(A1550,""en"",""fi"")"),"Kolmosten parvi, joka voi kaivautua yli 95 km/h nopeudella. Tästä syystä jotkut ihmiset pitävät sitä maanjäristyksenä.")</f>
        <v>Kolmosten parvi, joka voi kaivautua yli 95 km/h nopeudella. Tästä syystä jotkut ihmiset pitävät sitä maanjäristyksenä.</v>
      </c>
      <c r="C1550" s="9" t="s">
        <v>1344</v>
      </c>
    </row>
    <row r="1551" ht="33.75" customHeight="1">
      <c r="A1551" s="6" t="s">
        <v>2278</v>
      </c>
      <c r="B1551" s="6" t="str">
        <f>IFERROR(__xludf.DUMMYFUNCTION("GOOGLETRANSLATE(A1551,""en"",""fi"")"),"Sen kolme päätä keinuvat erikseen ylös ja alas möyhentääkseen lähellä olevaa maaperää, mikä helpottaa sen kaivamista.")</f>
        <v>Sen kolme päätä keinuvat erikseen ylös ja alas möyhentääkseen lähellä olevaa maaperää, mikä helpottaa sen kaivamista.</v>
      </c>
      <c r="C1551" s="9" t="s">
        <v>1344</v>
      </c>
    </row>
    <row r="1552" ht="33.75" customHeight="1">
      <c r="A1552" s="6" t="s">
        <v>2279</v>
      </c>
      <c r="B1552" s="6" t="str">
        <f>IFERROR(__xludf.DUMMYFUNCTION("GOOGLETRANSLATE(A1552,""en"",""fi"")"),"Erittäin tehokkaina ne voivat KAIVATA läpi kovimmankin maan yli 95 kilometrin syvyyteen.")</f>
        <v>Erittäin tehokkaina ne voivat KAIVATA läpi kovimmankin maan yli 95 kilometrin syvyyteen.</v>
      </c>
      <c r="C1552" s="9" t="s">
        <v>1344</v>
      </c>
    </row>
    <row r="1553" ht="33.75" customHeight="1">
      <c r="A1553" s="6" t="s">
        <v>2280</v>
      </c>
      <c r="B1553" s="6" t="str">
        <f>IFERROR(__xludf.DUMMYFUNCTION("GOOGLETRANSLATE(A1553,""en"",""fi"")"),"Nämä DIGLETT-kolmoset kaivautuvat yli 95 kilometriä merenpinnan alapuolelle. Kukaan ei tiedä, millaista maan alla on.")</f>
        <v>Nämä DIGLETT-kolmoset kaivautuvat yli 95 kilometriä merenpinnan alapuolelle. Kukaan ei tiedä, millaista maan alla on.</v>
      </c>
      <c r="C1553" s="9" t="s">
        <v>1344</v>
      </c>
    </row>
    <row r="1554" ht="33.75" customHeight="1">
      <c r="A1554" s="6" t="s">
        <v>2281</v>
      </c>
      <c r="B1554" s="6" t="str">
        <f>IFERROR(__xludf.DUMMYFUNCTION("GOOGLETRANSLATE(A1554,""en"",""fi"")"),"DUGTRIO-kolmoset ovat itse asiassa yhdestä ruumiista syntyneitä kolmosia. Tämän seurauksena jokainen kolmoset ajattelevat täsmälleen samalla tavalla kuin kaksi muuta kolmosta. Ne työskentelevät yhteistyössä kaivautuakseen loputtomasti.")</f>
        <v>DUGTRIO-kolmoset ovat itse asiassa yhdestä ruumiista syntyneitä kolmosia. Tämän seurauksena jokainen kolmoset ajattelevat täsmälleen samalla tavalla kuin kaksi muuta kolmosta. Ne työskentelevät yhteistyössä kaivautuakseen loputtomasti.</v>
      </c>
      <c r="C1554" s="9" t="s">
        <v>1344</v>
      </c>
    </row>
    <row r="1555" ht="33.75" customHeight="1">
      <c r="A1555" s="6" t="s">
        <v>2282</v>
      </c>
      <c r="B1555" s="6" t="str">
        <f>IFERROR(__xludf.DUMMYFUNCTION("GOOGLETRANSLATE(A1555,""en"",""fi"")"),"Koska kolmoset alun perin irtosivat yhdestä ruumiista, ne ajattelevat täsmälleen samalla tavalla. Ne työskentelevät yhteistyössä kaivautuakseen loputtomasti maahan.")</f>
        <v>Koska kolmoset alun perin irtosivat yhdestä ruumiista, ne ajattelevat täsmälleen samalla tavalla. Ne työskentelevät yhteistyössä kaivautuakseen loputtomasti maahan.</v>
      </c>
      <c r="C1555" s="9" t="s">
        <v>1344</v>
      </c>
    </row>
    <row r="1556" ht="33.75" customHeight="1">
      <c r="A1556" s="6" t="s">
        <v>2284</v>
      </c>
      <c r="B1556" s="6" t="str">
        <f>IFERROR(__xludf.DUMMYFUNCTION("GOOGLETRANSLATE(A1556,""en"",""fi"")"),"Taistelussa se kaivautuu maan läpi ja iskee tietämätöntä vihollista odottamattomasta suunnasta.")</f>
        <v>Taistelussa se kaivautuu maan läpi ja iskee tietämätöntä vihollista odottamattomasta suunnasta.</v>
      </c>
      <c r="C1556" s="9" t="s">
        <v>1344</v>
      </c>
    </row>
    <row r="1557" ht="33.75" customHeight="1">
      <c r="A1557" s="6" t="s">
        <v>2285</v>
      </c>
      <c r="B1557" s="6" t="str">
        <f>IFERROR(__xludf.DUMMYFUNCTION("GOOGLETRANSLATE(A1557,""en"",""fi"")"),"Sen kolme päätä liikkuvat vuorotellen ja ajavat sen kovan maaperän läpi yli 95 kilometrin syvyyteen.")</f>
        <v>Sen kolme päätä liikkuvat vuorotellen ja ajavat sen kovan maaperän läpi yli 95 kilometrin syvyyteen.</v>
      </c>
      <c r="C1557" s="9" t="s">
        <v>1344</v>
      </c>
    </row>
    <row r="1558" ht="33.75" customHeight="1">
      <c r="A1558" s="6" t="s">
        <v>2286</v>
      </c>
      <c r="B1558" s="6" t="str">
        <f>IFERROR(__xludf.DUMMYFUNCTION("GOOGLETRANSLATE(A1558,""en"",""fi"")"),"Erittäin voimakkaat, ne voivat kaivaa läpi jopa kovimman maan yli 95 kilometrin syvyyteen.")</f>
        <v>Erittäin voimakkaat, ne voivat kaivaa läpi jopa kovimman maan yli 95 kilometrin syvyyteen.</v>
      </c>
      <c r="C1558" s="9" t="s">
        <v>1344</v>
      </c>
    </row>
    <row r="1559" ht="33.75" customHeight="1">
      <c r="A1559" s="6" t="s">
        <v>2287</v>
      </c>
      <c r="B1559" s="6" t="str">
        <f>IFERROR(__xludf.DUMMYFUNCTION("GOOGLETRANSLATE(A1559,""en"",""fi"")"),"Dugtriot ovat itse asiassa kolmosia, jotka ovat syntyneet yhdestä ruumiista. Tämän seurauksena jokainen kolmoset ajattelevat täsmälleen samalla tavalla kuin kaksi muuta kolmosta. Ne työskentelevät yhteistyössä kaivautuakseen loputtomasti.")</f>
        <v>Dugtriot ovat itse asiassa kolmosia, jotka ovat syntyneet yhdestä ruumiista. Tämän seurauksena jokainen kolmoset ajattelevat täsmälleen samalla tavalla kuin kaksi muuta kolmosta. Ne työskentelevät yhteistyössä kaivautuakseen loputtomasti.</v>
      </c>
      <c r="C1559" s="9" t="s">
        <v>1344</v>
      </c>
    </row>
    <row r="1560" ht="33.75" customHeight="1">
      <c r="A1560" s="6" t="s">
        <v>2289</v>
      </c>
      <c r="B1560" s="6" t="str">
        <f>IFERROR(__xludf.DUMMYFUNCTION("GOOGLETRANSLATE(A1560,""en"",""fi"")"),"Tämä kolmosten pari liikkuu yhteistyössä. Tiimityön voima antaa tälle Pokémonille mahdollisuuden kaivaa jopa 95 kilometrin syvyyteen.")</f>
        <v>Tämä kolmosten pari liikkuu yhteistyössä. Tiimityön voima antaa tälle Pokémonille mahdollisuuden kaivaa jopa 95 kilometrin syvyyteen.</v>
      </c>
      <c r="C1560" s="9" t="s">
        <v>1344</v>
      </c>
    </row>
    <row r="1561" ht="33.75" customHeight="1">
      <c r="A1561" s="6" t="s">
        <v>2291</v>
      </c>
      <c r="B1561" s="6" t="str">
        <f>IFERROR(__xludf.DUMMYFUNCTION("GOOGLETRANSLATE(A1561,""en"",""fi"")"),"Vaikka tämä Pokémon on niin läheinen maanviljelijöille ja muille ihmisille, kukaan ei ole koskaan nähnyt sen osia piilossa maan alla.")</f>
        <v>Vaikka tämä Pokémon on niin läheinen maanviljelijöille ja muille ihmisille, kukaan ei ole koskaan nähnyt sen osia piilossa maan alla.</v>
      </c>
      <c r="C1561" s="9" t="s">
        <v>1344</v>
      </c>
    </row>
    <row r="1562" ht="33.75" customHeight="1">
      <c r="A1562" s="6" t="s">
        <v>2293</v>
      </c>
      <c r="B1562" s="6" t="str">
        <f>IFERROR(__xludf.DUMMYFUNCTION("GOOGLETRANSLATE(A1562,""en"",""fi"")"),"Vaikka kolmikko tulee yleensä loistavasti toimeen keskenään, harvoin syntyy kova riita siitä, kumpi pää saa syödä ensin.")</f>
        <v>Vaikka kolmikko tulee yleensä loistavasti toimeen keskenään, harvoin syntyy kova riita siitä, kumpi pää saa syödä ensin.</v>
      </c>
      <c r="C1562" s="9" t="s">
        <v>1344</v>
      </c>
    </row>
    <row r="1563" ht="33.75" customHeight="1">
      <c r="A1563" s="6" t="s">
        <v>2294</v>
      </c>
      <c r="B1563" s="6" t="str">
        <f>IFERROR(__xludf.DUMMYFUNCTION("GOOGLETRANSLATE(A1563,""en"",""fi"")"),"Dugtrion päät ovat tyylikkäät, sileät ja uskomattoman kovat. Se voi kaivaa läpi minkä tahansa maaperän pääniskuillaan.")</f>
        <v>Dugtrion päät ovat tyylikkäät, sileät ja uskomattoman kovat. Se voi kaivaa läpi minkä tahansa maaperän pääniskuillaan.</v>
      </c>
      <c r="C1563" s="9" t="s">
        <v>1344</v>
      </c>
    </row>
    <row r="1564" ht="33.75" customHeight="1">
      <c r="A1564" s="6" t="s">
        <v>2296</v>
      </c>
      <c r="B1564" s="6" t="str">
        <f>IFERROR(__xludf.DUMMYFUNCTION("GOOGLETRANSLATE(A1564,""en"",""fi"")"),"Kolmosten parvi, joka voi kaivautua 95 kilometrin syvyyteen. Tämän on raportoitu laukaisevan maanjäristyksen.")</f>
        <v>Kolmosten parvi, joka voi kaivautua 95 kilometrin syvyyteen. Tämän on raportoitu laukaisevan maanjäristyksen.</v>
      </c>
      <c r="C1564" s="9" t="s">
        <v>1344</v>
      </c>
    </row>
    <row r="1565" ht="33.75" customHeight="1">
      <c r="A1565" s="6" t="s">
        <v>2298</v>
      </c>
      <c r="B1565" s="6" t="str">
        <f>IFERROR(__xludf.DUMMYFUNCTION("GOOGLETRANSLATE(A1565,""en"",""fi"")"),"Diglett-kolmosten joukkue. Se laukaisee valtavia maanjäristyksiä kaivautumalla 96 kilometrin syvyyteen maan alle.")</f>
        <v>Diglett-kolmosten joukkue. Se laukaisee valtavia maanjäristyksiä kaivautumalla 96 kilometrin syvyyteen maan alle.</v>
      </c>
      <c r="C1565" s="9" t="s">
        <v>1344</v>
      </c>
    </row>
    <row r="1566" ht="33.75" customHeight="1">
      <c r="A1566" s="6" t="s">
        <v>2300</v>
      </c>
      <c r="B1566" s="6" t="str">
        <f>IFERROR(__xludf.DUMMYFUNCTION("GOOGLETRANSLATE(A1566,""en"",""fi"")"),"Nämä Diglettin kolmoset kaivautuvat yli 95 kilometriä merenpinnan alapuolelle. Kukaan ei tiedä, millaista maan alla on.")</f>
        <v>Nämä Diglettin kolmoset kaivautuvat yli 95 kilometriä merenpinnan alapuolelle. Kukaan ei tiedä, millaista maan alla on.</v>
      </c>
      <c r="C1566" s="9" t="s">
        <v>1344</v>
      </c>
    </row>
    <row r="1567" ht="33.75" customHeight="1">
      <c r="A1567" s="6" t="s">
        <v>2301</v>
      </c>
      <c r="B1567" s="6" t="str">
        <f>IFERROR(__xludf.DUMMYFUNCTION("GOOGLETRANSLATE(A1567,""en"",""fi"")"),"Rakastaa pyöreitä esineitä. Vaeltelee kaduilla joka ilta etsimässä pudonneita irtokolleja.")</f>
        <v>Rakastaa pyöreitä esineitä. Vaeltelee kaduilla joka ilta etsimässä pudonneita irtokolleja.</v>
      </c>
      <c r="C1567" s="9" t="s">
        <v>1344</v>
      </c>
    </row>
    <row r="1568" ht="33.75" customHeight="1">
      <c r="A1568" s="6" t="s">
        <v>2302</v>
      </c>
      <c r="B1568" s="6" t="str">
        <f>IFERROR(__xludf.DUMMYFUNCTION("GOOGLETRANSLATE(A1568,""en"",""fi"")"),"Vaikuttaa olevan aktiivisempi yöllä. Se rakastaa pyöreitä ja kiiltäviä asioita. Se ei voi lakata poimimasta niitä.")</f>
        <v>Vaikuttaa olevan aktiivisempi yöllä. Se rakastaa pyöreitä ja kiiltäviä asioita. Se ei voi lakata poimimasta niitä.</v>
      </c>
      <c r="C1568" s="9" t="s">
        <v>1344</v>
      </c>
    </row>
    <row r="1569" ht="33.75" customHeight="1">
      <c r="A1569" s="6" t="s">
        <v>2303</v>
      </c>
      <c r="B1569" s="6" t="str">
        <f>IFERROR(__xludf.DUMMYFUNCTION("GOOGLETRANSLATE(A1569,""en"",""fi"")"),"Se on kiehtova pyöreistä esineistä. Se ei voi lopettaa niiden kanssa leikkimistä ennen kuin väsyy ja nukahtaa.")</f>
        <v>Se on kiehtova pyöreistä esineistä. Se ei voi lopettaa niiden kanssa leikkimistä ennen kuin väsyy ja nukahtaa.</v>
      </c>
      <c r="C1569" s="9" t="s">
        <v>1344</v>
      </c>
    </row>
    <row r="1570" ht="33.75" customHeight="1">
      <c r="A1570" s="6" t="s">
        <v>2304</v>
      </c>
      <c r="B1570" s="6" t="str">
        <f>IFERROR(__xludf.DUMMYFUNCTION("GOOGLETRANSLATE(A1570,""en"",""fi"")"),"Se rakastaa kaikkea kiiltävää. Se jumaloi erityisesti kolikoita, joita se poimii ja salaa hamstraa.")</f>
        <v>Se rakastaa kaikkea kiiltävää. Se jumaloi erityisesti kolikoita, joita se poimii ja salaa hamstraa.</v>
      </c>
      <c r="C1570" s="9" t="s">
        <v>1344</v>
      </c>
    </row>
    <row r="1571" ht="33.75" customHeight="1">
      <c r="A1571" s="6" t="s">
        <v>2305</v>
      </c>
      <c r="B1571" s="6" t="str">
        <f>IFERROR(__xludf.DUMMYFUNCTION("GOOGLETRANSLATE(A1571,""en"",""fi"")"),"Se rakastaa kimallusta. Kun se näkee kiiltävän esineen, sen päässä oleva kultakolikko loistaa myös.")</f>
        <v>Se rakastaa kimallusta. Kun se näkee kiiltävän esineen, sen päässä oleva kultakolikko loistaa myös.</v>
      </c>
      <c r="C1571" s="9" t="s">
        <v>1344</v>
      </c>
    </row>
    <row r="1572" ht="33.75" customHeight="1">
      <c r="A1572" s="6" t="s">
        <v>2306</v>
      </c>
      <c r="B1572" s="6" t="str">
        <f>IFERROR(__xludf.DUMMYFUNCTION("GOOGLETRANSLATE(A1572,""en"",""fi"")"),"MEOWTH vetää terävät kyntensä tassuihinsa hiipiäkseen hitaasti ympäriinsä jättämättä raskauttavia askeleita. Jostain syystä tämä POKéMON rakastaa kiiltäviä, valoa säihkyviä kolikoita.")</f>
        <v>MEOWTH vetää terävät kyntensä tassuihinsa hiipiäkseen hitaasti ympäriinsä jättämättä raskauttavia askeleita. Jostain syystä tämä POKéMON rakastaa kiiltäviä, valoa säihkyviä kolikoita.</v>
      </c>
      <c r="C1572" s="9" t="s">
        <v>1344</v>
      </c>
    </row>
    <row r="1573" ht="33.75" customHeight="1">
      <c r="A1573" s="6" t="s">
        <v>2307</v>
      </c>
      <c r="B1573" s="6" t="str">
        <f>IFERROR(__xludf.DUMMYFUNCTION("GOOGLETRANSLATE(A1573,""en"",""fi"")"),"MEOWTH vetää terävät kyntensä tassuihinsa hiipiäkseen hiljaa ympäriinsä. Jostain syystä tämä POKéMON rakastaa kiiltäviä kolikoita, jotka kimaltelevat valossa.")</f>
        <v>MEOWTH vetää terävät kyntensä tassuihinsa hiipiäkseen hiljaa ympäriinsä. Jostain syystä tämä POKéMON rakastaa kiiltäviä kolikoita, jotka kimaltelevat valossa.</v>
      </c>
      <c r="C1573" s="9" t="s">
        <v>1344</v>
      </c>
    </row>
    <row r="1574" ht="33.75" customHeight="1">
      <c r="A1574" s="6" t="s">
        <v>2310</v>
      </c>
      <c r="B1574" s="6" t="str">
        <f>IFERROR(__xludf.DUMMYFUNCTION("GOOGLETRANSLATE(A1574,""en"",""fi"")"),"Päivisin se vain nukkuu. Yöllä se partioi reviiriään silmät loisteessa.")</f>
        <v>Päivisin se vain nukkuu. Yöllä se partioi reviiriään silmät loisteessa.</v>
      </c>
      <c r="C1574" s="9" t="s">
        <v>1344</v>
      </c>
    </row>
    <row r="1575" ht="33.75" customHeight="1">
      <c r="A1575" s="6" t="s">
        <v>2312</v>
      </c>
      <c r="B1575" s="6" t="str">
        <f>IFERROR(__xludf.DUMMYFUNCTION("GOOGLETRANSLATE(A1575,""en"",""fi"")"),"Rakastaa pyöreitä esineitä. Se vaeltelee kaduilla öisin etsien pudonneita irtokolleja.")</f>
        <v>Rakastaa pyöreitä esineitä. Se vaeltelee kaduilla öisin etsien pudonneita irtokolleja.</v>
      </c>
      <c r="C1575" s="9" t="s">
        <v>1344</v>
      </c>
    </row>
    <row r="1576" ht="33.75" customHeight="1">
      <c r="A1576" s="6" t="s">
        <v>2314</v>
      </c>
      <c r="B1576" s="6" t="str">
        <f>IFERROR(__xludf.DUMMYFUNCTION("GOOGLETRANSLATE(A1576,""en"",""fi"")"),"Se on luonteeltaan yöeläin. Jos se havaitsee jotain kiiltävää, sen silmät loistivat kirkkaasti.")</f>
        <v>Se on luonteeltaan yöeläin. Jos se havaitsee jotain kiiltävää, sen silmät loistivat kirkkaasti.</v>
      </c>
      <c r="C1576" s="9" t="s">
        <v>1344</v>
      </c>
    </row>
    <row r="1577" ht="33.75" customHeight="1">
      <c r="A1577" s="6" t="s">
        <v>2316</v>
      </c>
      <c r="B1577" s="6" t="str">
        <f>IFERROR(__xludf.DUMMYFUNCTION("GOOGLETRANSLATE(A1577,""en"",""fi"")"),"Se on kiehtova pyöreistä esineistä. Se ei voi lopettaa niiden kanssa leikkimistä ennen kuin väsyy ja nukahtaa.")</f>
        <v>Se on kiehtova pyöreistä esineistä. Se ei voi lopettaa niiden kanssa leikkimistä ennen kuin väsyy ja nukahtaa.</v>
      </c>
      <c r="C1577" s="9" t="s">
        <v>1344</v>
      </c>
    </row>
    <row r="1578" ht="33.75" customHeight="1">
      <c r="A1578" s="6" t="s">
        <v>2318</v>
      </c>
      <c r="B1578" s="6" t="str">
        <f>IFERROR(__xludf.DUMMYFUNCTION("GOOGLETRANSLATE(A1578,""en"",""fi"")"),"Se rakastaa kaikkea kiiltävää. Se jumaloi erityisesti kolikoita, joita se poimii ja salaa hamstraa.")</f>
        <v>Se rakastaa kaikkea kiiltävää. Se jumaloi erityisesti kolikoita, joita se poimii ja salaa hamstraa.</v>
      </c>
      <c r="C1578" s="9" t="s">
        <v>1344</v>
      </c>
    </row>
    <row r="1579" ht="33.75" customHeight="1">
      <c r="A1579" s="6" t="s">
        <v>2319</v>
      </c>
      <c r="B1579" s="6" t="str">
        <f>IFERROR(__xludf.DUMMYFUNCTION("GOOGLETRANSLATE(A1579,""en"",""fi"")"),"Meowth vetää terävät kyntensä tassuihinsa hiipiäkseen hitaasti ympäriinsä tekemättä raskauttavia askeleita. Jostain syystä tämä Pokémon rakastaa kiiltäviä kolikoita, jotka kimaltelevat valossa.")</f>
        <v>Meowth vetää terävät kyntensä tassuihinsa hiipiäkseen hitaasti ympäriinsä tekemättä raskauttavia askeleita. Jostain syystä tämä Pokémon rakastaa kiiltäviä kolikoita, jotka kimaltelevat valossa.</v>
      </c>
      <c r="C1579" s="9" t="s">
        <v>1344</v>
      </c>
    </row>
    <row r="1580" ht="33.75" customHeight="1">
      <c r="A1580" s="6" t="s">
        <v>2321</v>
      </c>
      <c r="B1580" s="6" t="str">
        <f>IFERROR(__xludf.DUMMYFUNCTION("GOOGLETRANSLATE(A1580,""en"",""fi"")"),"Se makaa liikkeellä koko päivän ja aktivoituu hämärän laskeuduttua. Yöllä se vaeltelee kaupungissa etsien irtonaisia ​​kolikoita.")</f>
        <v>Se makaa liikkeellä koko päivän ja aktivoituu hämärän laskeuduttua. Yöllä se vaeltelee kaupungissa etsien irtonaisia ​​kolikoita.</v>
      </c>
      <c r="C1580" s="9" t="s">
        <v>1344</v>
      </c>
    </row>
    <row r="1581" ht="33.75" customHeight="1">
      <c r="A1581" s="6" t="s">
        <v>2322</v>
      </c>
      <c r="B1581" s="6" t="str">
        <f>IFERROR(__xludf.DUMMYFUNCTION("GOOGLETRANSLATE(A1581,""en"",""fi"")"),"Se rakastaa kiiltäviä asioita. Se usein tappelee Murkrowin kanssa saaliista, jota he molemmat yrittävät saada kiinni.")</f>
        <v>Se rakastaa kiiltäviä asioita. Se usein tappelee Murkrowin kanssa saaliista, jota he molemmat yrittävät saada kiinni.</v>
      </c>
      <c r="C1581" s="9" t="s">
        <v>1344</v>
      </c>
    </row>
    <row r="1582" ht="33.75" customHeight="1">
      <c r="A1582" s="6" t="s">
        <v>2324</v>
      </c>
      <c r="B1582" s="6" t="str">
        <f>IFERROR(__xludf.DUMMYFUNCTION("GOOGLETRANSLATE(A1582,""en"",""fi"")"),"Romuttamolla vieraillessasi saatat nähdä sen taistelevan Murkrow'n kanssa kiiltävistä esineistä.")</f>
        <v>Romuttamolla vieraillessasi saatat nähdä sen taistelevan Murkrow'n kanssa kiiltävistä esineistä.</v>
      </c>
      <c r="C1582" s="9" t="s">
        <v>1344</v>
      </c>
    </row>
    <row r="1583" ht="33.75" customHeight="1">
      <c r="A1583" s="6" t="s">
        <v>2326</v>
      </c>
      <c r="B1583" s="6" t="str">
        <f>IFERROR(__xludf.DUMMYFUNCTION("GOOGLETRANSLATE(A1583,""en"",""fi"")"),"Se rakastaa kolikoita, joten jos annat sille sellaisen, voit ystävystyä Meowthin kanssa helposti. Mutta se on oikukas, joten et voi luottaa ystävyyden kestävän.")</f>
        <v>Se rakastaa kolikoita, joten jos annat sille sellaisen, voit ystävystyä Meowthin kanssa helposti. Mutta se on oikukas, joten et voi luottaa ystävyyden kestävän.</v>
      </c>
      <c r="C1583" s="9" t="s">
        <v>1344</v>
      </c>
    </row>
    <row r="1584" ht="33.75" customHeight="1">
      <c r="A1584" s="6" t="s">
        <v>2328</v>
      </c>
      <c r="B1584" s="6" t="str">
        <f>IFERROR(__xludf.DUMMYFUNCTION("GOOGLETRANSLATE(A1584,""en"",""fi"")"),"Vaikuttaa olevan aktiivisempi yöllä. Se rakastaa pyöreitä ja kiiltäviä asioita. Se ei voi estää itseään poimimasta niitä.")</f>
        <v>Vaikuttaa olevan aktiivisempi yöllä. Se rakastaa pyöreitä ja kiiltäviä asioita. Se ei voi estää itseään poimimasta niitä.</v>
      </c>
      <c r="C1584" s="9" t="s">
        <v>1344</v>
      </c>
    </row>
    <row r="1585" ht="33.75" customHeight="1">
      <c r="A1585" s="6" t="s">
        <v>2329</v>
      </c>
      <c r="B1585" s="6" t="str">
        <f>IFERROR(__xludf.DUMMYFUNCTION("GOOGLETRANSLATE(A1585,""en"",""fi"")"),"Se rakastaa keräillä kiiltäviä esineitä. Jos se on hyvällä tuulella, se saattaa jopa antaa kouluttajansa vilkaista aarreaittaansa.")</f>
        <v>Se rakastaa keräillä kiiltäviä esineitä. Jos se on hyvällä tuulella, se saattaa jopa antaa kouluttajansa vilkaista aarreaittaansa.</v>
      </c>
      <c r="C1585" s="9" t="s">
        <v>1344</v>
      </c>
    </row>
    <row r="1586" ht="33.75" customHeight="1">
      <c r="A1586" s="6" t="s">
        <v>2331</v>
      </c>
      <c r="B1586" s="6" t="str">
        <f>IFERROR(__xludf.DUMMYFUNCTION("GOOGLETRANSLATE(A1586,""en"",""fi"")"),"Se pesee kasvonsa säännöllisesti pitääkseen otsassaan olevan kolikon tahrattomana. Se ei tule toimeen Galarian Meowthin kanssa.")</f>
        <v>Se pesee kasvonsa säännöllisesti pitääkseen otsassaan olevan kolikon tahrattomana. Se ei tule toimeen Galarian Meowthin kanssa.</v>
      </c>
      <c r="C1586" s="9" t="s">
        <v>1344</v>
      </c>
    </row>
    <row r="1587" ht="33.75" customHeight="1">
      <c r="A1587" s="6" t="s">
        <v>2332</v>
      </c>
      <c r="B1587" s="6" t="str">
        <f>IFERROR(__xludf.DUMMYFUNCTION("GOOGLETRANSLATE(A1587,""en"",""fi"")"),"Vaikka sen turkilla on paljon ihailijoita, sitä on vaikea kasvattaa lemmikkinä sen oikukkaan ilkeyden vuoksi.")</f>
        <v>Vaikka sen turkilla on paljon ihailijoita, sitä on vaikea kasvattaa lemmikkinä sen oikukkaan ilkeyden vuoksi.</v>
      </c>
      <c r="C1587" s="9" t="s">
        <v>1344</v>
      </c>
    </row>
    <row r="1588" ht="33.75" customHeight="1">
      <c r="A1588" s="6" t="s">
        <v>2334</v>
      </c>
      <c r="B1588" s="6" t="str">
        <f>IFERROR(__xludf.DUMMYFUNCTION("GOOGLETRANSLATE(A1588,""en"",""fi"")"),"Sen otsassa oleva jalokivi hehkuu itsestään! Se kävelee ylpeän kuningattaren arvokkuudella ja eleganssilla.")</f>
        <v>Sen otsassa oleva jalokivi hehkuu itsestään! Se kävelee ylpeän kuningattaren arvokkuudella ja eleganssilla.</v>
      </c>
      <c r="C1588" s="9" t="s">
        <v>1344</v>
      </c>
    </row>
    <row r="1589" ht="33.75" customHeight="1">
      <c r="A1589" s="6" t="s">
        <v>2335</v>
      </c>
      <c r="B1589" s="6" t="str">
        <f>IFERROR(__xludf.DUMMYFUNCTION("GOOGLETRANSLATE(A1589,""en"",""fi"")"),"Monet ihailevat sitä sen hienostuneen olemuksen vuoksi. Se kuitenkin räksyy ja raapii ihan turhaan.")</f>
        <v>Monet ihailevat sitä sen hienostuneen olemuksen vuoksi. Se kuitenkin räksyy ja raapii ihan turhaan.</v>
      </c>
      <c r="C1589" s="9" t="s">
        <v>1344</v>
      </c>
    </row>
    <row r="1590" ht="33.75" customHeight="1">
      <c r="A1590" s="6" t="s">
        <v>2336</v>
      </c>
      <c r="B1590" s="6" t="str">
        <f>IFERROR(__xludf.DUMMYFUNCTION("GOOGLETRANSLATE(A1590,""en"",""fi"")"),"Sen notkeat lihakset mahdollistavat sen kävelemisen äänettömästi. Se hyökkää silmänräpäyksessä.")</f>
        <v>Sen notkeat lihakset mahdollistavat sen kävelemisen äänettömästi. Se hyökkää silmänräpäyksessä.</v>
      </c>
      <c r="C1590" s="9" t="s">
        <v>1344</v>
      </c>
    </row>
    <row r="1591" ht="33.75" customHeight="1">
      <c r="A1591" s="6" t="s">
        <v>2338</v>
      </c>
      <c r="B1591" s="6" t="str">
        <f>IFERROR(__xludf.DUMMYFUNCTION("GOOGLETRANSLATE(A1591,""en"",""fi"")"),"Sen notkean ja elegantin ulkonäön takana piilee barbaarinen puolensa. Se repii saaliinsa kappaleiksi pelkästä oikusta.")</f>
        <v>Sen notkean ja elegantin ulkonäön takana piilee barbaarinen puolensa. Se repii saaliinsa kappaleiksi pelkästä oikusta.</v>
      </c>
      <c r="C1591" s="9" t="s">
        <v>1344</v>
      </c>
    </row>
    <row r="1592" ht="33.75" customHeight="1">
      <c r="A1592" s="6" t="s">
        <v>2339</v>
      </c>
      <c r="B1592" s="6" t="str">
        <f>IFERROR(__xludf.DUMMYFUNCTION("GOOGLETRANSLATE(A1592,""en"",""fi"")"),"PERSIANilla on kuusi rohkeaa viikset, jotka antavat sille sitkeän vaikutelman. Viikset aistivat ilman liikkeitä selvittääkseen, mitä POKéMONin lähiympäristössä on. Se säyseytyy, jos viikset tarttuvat siihen.")</f>
        <v>PERSIANilla on kuusi rohkeaa viikset, jotka antavat sille sitkeän vaikutelman. Viikset aistivat ilman liikkeitä selvittääkseen, mitä POKéMONin lähiympäristössä on. Se säyseytyy, jos viikset tarttuvat siihen.</v>
      </c>
      <c r="C1592" s="9" t="s">
        <v>1344</v>
      </c>
    </row>
    <row r="1593" ht="33.75" customHeight="1">
      <c r="A1593" s="6" t="s">
        <v>2340</v>
      </c>
      <c r="B1593" s="6" t="str">
        <f>IFERROR(__xludf.DUMMYFUNCTION("GOOGLETRANSLATE(A1593,""en"",""fi"")"),"Persialaisen kuusi rohkeaa viikset aistivat ilman liikkeitä määrittääkseen, mitä sen lähellä on. Se säyseytyy, jos viikset tarttuvat siihen.")</f>
        <v>Persialaisen kuusi rohkeaa viikset aistivat ilman liikkeitä määrittääkseen, mitä sen lähellä on. Se säyseytyy, jos viikset tarttuvat siihen.</v>
      </c>
      <c r="C1593" s="9" t="s">
        <v>1344</v>
      </c>
    </row>
    <row r="1594" ht="33.75" customHeight="1">
      <c r="A1594" s="6" t="s">
        <v>2341</v>
      </c>
      <c r="B1594" s="6" t="str">
        <f>IFERROR(__xludf.DUMMYFUNCTION("GOOGLETRANSLATE(A1594,""en"",""fi"")"),"Sillä on ilkeämielinen luonne. Ole varovainen, jos se nostaa häntäänsä suoraan ylös. Se on merkki siitä, että se on hyökkäämässä ja puremassa.")</f>
        <v>Sillä on ilkeämielinen luonne. Ole varovainen, jos se nostaa häntäänsä suoraan ylös. Se on merkki siitä, että se on hyökkäämässä ja puremassa.</v>
      </c>
      <c r="C1594" s="9" t="s">
        <v>1344</v>
      </c>
    </row>
    <row r="1595" ht="33.75" customHeight="1">
      <c r="A1595" s="6" t="s">
        <v>2343</v>
      </c>
      <c r="B1595" s="6" t="str">
        <f>IFERROR(__xludf.DUMMYFUNCTION("GOOGLETRANSLATE(A1595,""en"",""fi"")"),"Hyvin ylimielinen Pokémon. Fanien keskuudessa sen otsassa olevan jalokiven koko on paljon puhuttavana aiheena.")</f>
        <v>Hyvin ylimielinen Pokémon. Fanien keskuudessa sen otsassa olevan jalokiven koko on paljon puhuttavana aiheena.</v>
      </c>
      <c r="C1595" s="9" t="s">
        <v>1344</v>
      </c>
    </row>
    <row r="1596" ht="33.75" customHeight="1">
      <c r="A1596" s="6" t="s">
        <v>2344</v>
      </c>
      <c r="B1596" s="6" t="str">
        <f>IFERROR(__xludf.DUMMYFUNCTION("GOOGLETRANSLATE(A1596,""en"",""fi"")"),"Persianilla on kuusi rohkeaa viiksikarvaa, jotka antavat sille sitkeän ulkonäön. Viikset aistivat ilman liikkeitä selvittääkseen, mitä Pokémonin lähiympäristössä on. Se säyseytyy, jos viikset tarttuvat siihen.")</f>
        <v>Persianilla on kuusi rohkeaa viiksikarvaa, jotka antavat sille sitkeän ulkonäön. Viikset aistivat ilman liikkeitä selvittääkseen, mitä Pokémonin lähiympäristössä on. Se säyseytyy, jos viikset tarttuvat siihen.</v>
      </c>
      <c r="C1596" s="9" t="s">
        <v>1344</v>
      </c>
    </row>
    <row r="1597" ht="33.75" customHeight="1">
      <c r="A1597" s="6" t="s">
        <v>2345</v>
      </c>
      <c r="B1597" s="6" t="str">
        <f>IFERROR(__xludf.DUMMYFUNCTION("GOOGLETRANSLATE(A1597,""en"",""fi"")"),"Sillä on väkivaltainen luonne. Se hyökkää kaiken kimppuun, mikä katsoo sitä silmiin. Sen terävät kynnet aiheuttavat syviä haavoja.")</f>
        <v>Sillä on väkivaltainen luonne. Se hyökkää kaiken kimppuun, mikä katsoo sitä silmiin. Sen terävät kynnet aiheuttavat syviä haavoja.</v>
      </c>
      <c r="C1597" s="9" t="s">
        <v>1344</v>
      </c>
    </row>
    <row r="1598" ht="33.75" customHeight="1">
      <c r="A1598" s="6" t="s">
        <v>2346</v>
      </c>
      <c r="B1598" s="6" t="str">
        <f>IFERROR(__xludf.DUMMYFUNCTION("GOOGLETRANSLATE(A1598,""en"",""fi"")"),"Sillä on korkea käsitys itsestään, vaikkakaan ei yhtä hyvä kuin Alolan Persianilla. Tämän Pokémonin kanssa on melko vaikea ystävystyä.")</f>
        <v>Sillä on korkea käsitys itsestään, vaikkakaan ei yhtä hyvä kuin Alolan Persianilla. Tämän Pokémonin kanssa on melko vaikea ystävystyä.</v>
      </c>
      <c r="C1598" s="9" t="s">
        <v>1344</v>
      </c>
    </row>
    <row r="1599" ht="33.75" customHeight="1">
      <c r="A1599" s="6" t="s">
        <v>2348</v>
      </c>
      <c r="B1599" s="6" t="str">
        <f>IFERROR(__xludf.DUMMYFUNCTION("GOOGLETRANSLATE(A1599,""en"",""fi"")"),"Vaikka sen otsassa oleva jalokivi näyttää olevan eri värinen kuin Alolan Persianin jalokivi, se on pääosin tehty samasta materiaalista.")</f>
        <v>Vaikka sen otsassa oleva jalokivi näyttää olevan eri värinen kuin Alolan Persianin jalokivi, se on pääosin tehty samasta materiaalista.</v>
      </c>
      <c r="C1599" s="9" t="s">
        <v>1344</v>
      </c>
    </row>
    <row r="1600" ht="33.75" customHeight="1">
      <c r="A1600" s="6" t="s">
        <v>2350</v>
      </c>
      <c r="B1600" s="6" t="str">
        <f>IFERROR(__xludf.DUMMYFUNCTION("GOOGLETRANSLATE(A1600,""en"",""fi"")"),"Tämä Pokémon on suosittu rikkaiden ihmisten keskuudessa. Se on myös metsästäjien kohde, jotka jahtaavat sen otsassa olevaa jalokiveä.")</f>
        <v>Tämä Pokémon on suosittu rikkaiden ihmisten keskuudessa. Se on myös metsästäjien kohde, jotka jahtaavat sen otsassa olevaa jalokiveä.</v>
      </c>
      <c r="C1600" s="9" t="s">
        <v>1344</v>
      </c>
    </row>
    <row r="1601" ht="33.75" customHeight="1">
      <c r="A1601" s="6" t="s">
        <v>2352</v>
      </c>
      <c r="B1601" s="6" t="str">
        <f>IFERROR(__xludf.DUMMYFUNCTION("GOOGLETRANSLATE(A1601,""en"",""fi"")"),"Tämän ylpeän Pokémonin saaminen lämpenemään sinua kohtaan vaatii paljon vaivaa, ja se raapii sinua heti, kun se ärsyyntyy.")</f>
        <v>Tämän ylpeän Pokémonin saaminen lämpenemään sinua kohtaan vaatii paljon vaivaa, ja se raapii sinua heti, kun se ärsyyntyy.</v>
      </c>
      <c r="C1601" s="9" t="s">
        <v>1344</v>
      </c>
    </row>
    <row r="1602" ht="33.75" customHeight="1">
      <c r="A1602" s="6" t="s">
        <v>2354</v>
      </c>
      <c r="B1602" s="6" t="str">
        <f>IFERROR(__xludf.DUMMYFUNCTION("GOOGLETRANSLATE(A1602,""en"",""fi"")"),"Sen elegantti ja hienostunut käytös on ristiriidassa barbaarisen Perrserkerin kanssa. Heidän välillään vallitsee keskinäinen halveksunta.")</f>
        <v>Sen elegantti ja hienostunut käytös on ristiriidassa barbaarisen Perrserkerin kanssa. Heidän välillään vallitsee keskinäinen halveksunta.</v>
      </c>
      <c r="C1602" s="9" t="s">
        <v>1344</v>
      </c>
    </row>
    <row r="1603" ht="33.75" customHeight="1">
      <c r="A1603" s="6" t="s">
        <v>2356</v>
      </c>
      <c r="B1603" s="6" t="str">
        <f>IFERROR(__xludf.DUMMYFUNCTION("GOOGLETRANSLATE(A1603,""en"",""fi"")"),"Tuudittaessaan vihollisiaan tyhjällä katseellaan tämä ovela POKéMON käyttää psykokineettisiä voimia.")</f>
        <v>Tuudittaessaan vihollisiaan tyhjällä katseellaan tämä ovela POKéMON käyttää psykokineettisiä voimia.</v>
      </c>
      <c r="C1603" s="9" t="s">
        <v>1344</v>
      </c>
    </row>
    <row r="1604" ht="33.75" customHeight="1">
      <c r="A1604" s="6" t="s">
        <v>2358</v>
      </c>
      <c r="B1604" s="6" t="str">
        <f>IFERROR(__xludf.DUMMYFUNCTION("GOOGLETRANSLATE(A1604,""en"",""fi"")"),"Aina päänsäryt piinaavat sitä. Se käyttää psyykkisiä voimia, mutta ei tiedetä, aikooko se tehdä niin.")</f>
        <v>Aina päänsäryt piinaavat sitä. Se käyttää psyykkisiä voimia, mutta ei tiedetä, aikooko se tehdä niin.</v>
      </c>
      <c r="C1604" s="9" t="s">
        <v>1344</v>
      </c>
    </row>
    <row r="1605" ht="33.75" customHeight="1">
      <c r="A1605" s="6" t="s">
        <v>2360</v>
      </c>
      <c r="B1605" s="6" t="str">
        <f>IFERROR(__xludf.DUMMYFUNCTION("GOOGLETRANSLATE(A1605,""en"",""fi"")"),"Sillä on mystisiä voimia, mutta se ei muista käyttäneensä niitä. Siksi se näyttää aina hämmentyneeltä.")</f>
        <v>Sillä on mystisiä voimia, mutta se ei muista käyttäneensä niitä. Siksi se näyttää aina hämmentyneeltä.</v>
      </c>
      <c r="C1605" s="9" t="s">
        <v>1344</v>
      </c>
    </row>
    <row r="1606" ht="33.75" customHeight="1">
      <c r="A1606" s="6" t="s">
        <v>2361</v>
      </c>
      <c r="B1606" s="6" t="str">
        <f>IFERROR(__xludf.DUMMYFUNCTION("GOOGLETRANSLATE(A1606,""en"",""fi"")"),"Jos sen krooninen päänsärky pahenee, se saattaa osoittaa outoja voimia. Se näyttää kykenemättömältä muistamaan tällaista kohtausta.")</f>
        <v>Jos sen krooninen päänsärky pahenee, se saattaa osoittaa outoja voimia. Se näyttää kykenemättömältä muistamaan tällaista kohtausta.</v>
      </c>
      <c r="C1606" s="9" t="s">
        <v>1344</v>
      </c>
    </row>
    <row r="1607" ht="33.75" customHeight="1">
      <c r="A1607" s="6" t="s">
        <v>2363</v>
      </c>
      <c r="B1607" s="6" t="str">
        <f>IFERROR(__xludf.DUMMYFUNCTION("GOOGLETRANSLATE(A1607,""en"",""fi"")"),"Se voi käyttää psyykkistä voimaansa vain silloin, kun sen nukkuvat aivosolut sattuvat heräämään.")</f>
        <v>Se voi käyttää psyykkistä voimaansa vain silloin, kun sen nukkuvat aivosolut sattuvat heräämään.</v>
      </c>
      <c r="C1607" s="9" t="s">
        <v>1344</v>
      </c>
    </row>
    <row r="1608" ht="33.75" customHeight="1">
      <c r="A1608" s="6" t="s">
        <v>2364</v>
      </c>
      <c r="B1608" s="6" t="str">
        <f>IFERROR(__xludf.DUMMYFUNCTION("GOOGLETRANSLATE(A1608,""en"",""fi"")"),"PSYDUCK käyttää salaperäistä voimaa. Niin tehdessään tämä POKéMON tuottaa aivoaaltoja, joita oletetaan nähtävän vain nukkujilla. Tämä löytö herätti kiistoja tutkijoiden keskuudessa.")</f>
        <v>PSYDUCK käyttää salaperäistä voimaa. Niin tehdessään tämä POKéMON tuottaa aivoaaltoja, joita oletetaan nähtävän vain nukkujilla. Tämä löytö herätti kiistoja tutkijoiden keskuudessa.</v>
      </c>
      <c r="C1608" s="9" t="s">
        <v>1344</v>
      </c>
    </row>
    <row r="1609" ht="33.75" customHeight="1">
      <c r="A1609" s="6" t="s">
        <v>2366</v>
      </c>
      <c r="B1609" s="6" t="str">
        <f>IFERROR(__xludf.DUMMYFUNCTION("GOOGLETRANSLATE(A1609,""en"",""fi"")"),"Jos se käyttää mystistä voimaansa, PSYDUCK ei muista tehneensä niin. Se ei ilmeisesti pysty muodostamaan muistikuvaa tällaisesta tapahtumasta, koska se vaipuu muuttuneeseen tilaan, joka muistuttaa syvää unta.")</f>
        <v>Jos se käyttää mystistä voimaansa, PSYDUCK ei muista tehneensä niin. Se ei ilmeisesti pysty muodostamaan muistikuvaa tällaisesta tapahtumasta, koska se vaipuu muuttuneeseen tilaan, joka muistuttaa syvää unta.</v>
      </c>
      <c r="C1609" s="9" t="s">
        <v>1344</v>
      </c>
    </row>
    <row r="1610" ht="33.75" customHeight="1">
      <c r="A1610" s="6" t="s">
        <v>2370</v>
      </c>
      <c r="B1610" s="6" t="str">
        <f>IFERROR(__xludf.DUMMYFUNCTION("GOOGLETRANSLATE(A1610,""en"",""fi"")"),"Kun sen päänsärky voimistuu, se alkaa käyttää outoja voimia. Se ei kuitenkaan muista voimiaan, joten se näyttää aina hämmentyneeltä ja hämmentyneeltä.")</f>
        <v>Kun sen päänsärky voimistuu, se alkaa käyttää outoja voimia. Se ei kuitenkaan muista voimiaan, joten se näyttää aina hämmentyneeltä ja hämmentyneeltä.</v>
      </c>
      <c r="C1610" s="9" t="s">
        <v>1344</v>
      </c>
    </row>
    <row r="1611" ht="33.75" customHeight="1">
      <c r="A1611" s="6" t="s">
        <v>2371</v>
      </c>
      <c r="B1611" s="6" t="str">
        <f>IFERROR(__xludf.DUMMYFUNCTION("GOOGLETRANSLATE(A1611,""en"",""fi"")"),"Sitä vaivaa jatkuva päänsärky. Kun päänsärky muuttuu voimakkaaksi, se alkaa käyttää salaperäisiä voimia.")</f>
        <v>Sitä vaivaa jatkuva päänsärky. Kun päänsärky muuttuu voimakkaaksi, se alkaa käyttää salaperäisiä voimia.</v>
      </c>
      <c r="C1611" s="9" t="s">
        <v>1344</v>
      </c>
    </row>
    <row r="1612" ht="33.75" customHeight="1">
      <c r="A1612" s="6" t="s">
        <v>2373</v>
      </c>
      <c r="B1612" s="6" t="str">
        <f>IFERROR(__xludf.DUMMYFUNCTION("GOOGLETRANSLATE(A1612,""en"",""fi"")"),"Jos sen tavanomainen päänsärky pahenee, se alkaa osoittaa outoja voimia. Se ei kuitenkaan muista tehneensä niin.")</f>
        <v>Jos sen tavanomainen päänsärky pahenee, se alkaa osoittaa outoja voimia. Se ei kuitenkaan muista tehneensä niin.</v>
      </c>
      <c r="C1612" s="9" t="s">
        <v>1344</v>
      </c>
    </row>
    <row r="1613" ht="33.75" customHeight="1">
      <c r="A1613" s="6" t="s">
        <v>2375</v>
      </c>
      <c r="B1613" s="6" t="str">
        <f>IFERROR(__xludf.DUMMYFUNCTION("GOOGLETRANSLATE(A1613,""en"",""fi"")"),"Se ei koskaan muista käyttäneensä outoja voimiaan, joten se kallistaa aina päätään hämmentyneenä.")</f>
        <v>Se ei koskaan muista käyttäneensä outoja voimiaan, joten se kallistaa aina päätään hämmentyneenä.</v>
      </c>
      <c r="C1613" s="9" t="s">
        <v>1344</v>
      </c>
    </row>
    <row r="1614" ht="33.75" customHeight="1">
      <c r="A1614" s="6" t="s">
        <v>2377</v>
      </c>
      <c r="B1614" s="6" t="str">
        <f>IFERROR(__xludf.DUMMYFUNCTION("GOOGLETRANSLATE(A1614,""en"",""fi"")"),"Arvoituksellisten kykyjen valtaamana se kärsii jatkuvasta päänsärystä. Joskus se käyttää salaperäisiä voimia.")</f>
        <v>Arvoituksellisten kykyjen valtaamana se kärsii jatkuvasta päänsärystä. Joskus se käyttää salaperäisiä voimia.</v>
      </c>
      <c r="C1614" s="9" t="s">
        <v>1344</v>
      </c>
    </row>
    <row r="1615" ht="33.75" customHeight="1">
      <c r="A1615" s="6" t="s">
        <v>2379</v>
      </c>
      <c r="B1615" s="6" t="str">
        <f>IFERROR(__xludf.DUMMYFUNCTION("GOOGLETRANSLATE(A1615,""en"",""fi"")"),"Sillä on mystisiä voimia, mutta se ei muista käyttäneensä niitä. Siksi se näyttää aina hämmentyneeltä.")</f>
        <v>Sillä on mystisiä voimia, mutta se ei muista käyttäneensä niitä. Siksi se näyttää aina hämmentyneeltä.</v>
      </c>
      <c r="C1615" s="9" t="s">
        <v>1344</v>
      </c>
    </row>
    <row r="1616" ht="33.75" customHeight="1">
      <c r="A1616" s="6" t="s">
        <v>2381</v>
      </c>
      <c r="B1616" s="6" t="str">
        <f>IFERROR(__xludf.DUMMYFUNCTION("GOOGLETRANSLATE(A1616,""en"",""fi"")"),"Kun päänsäryt stimuloivat sen aivosoluja, jotka ovat yleensä passiivisia, se voi käyttää salaperäistä voimaa.")</f>
        <v>Kun päänsäryt stimuloivat sen aivosoluja, jotka ovat yleensä passiivisia, se voi käyttää salaperäistä voimaa.</v>
      </c>
      <c r="C1616" s="9" t="s">
        <v>1344</v>
      </c>
    </row>
    <row r="1617" ht="33.75" customHeight="1">
      <c r="A1617" s="6" t="s">
        <v>2383</v>
      </c>
      <c r="B1617" s="6" t="str">
        <f>IFERROR(__xludf.DUMMYFUNCTION("GOOGLETRANSLATE(A1617,""en"",""fi"")"),"Psyduck käyttää salaperäistä voimaa. Kun se tekee niin, tämä Pokémon tuottaa aivoaaltoja, joita oletetaan nähtävän vain nukkujilla. Tämä löytö herätti kiistoja tutkijoiden keskuudessa.")</f>
        <v>Psyduck käyttää salaperäistä voimaa. Kun se tekee niin, tämä Pokémon tuottaa aivoaaltoja, joita oletetaan nähtävän vain nukkujilla. Tämä löytö herätti kiistoja tutkijoiden keskuudessa.</v>
      </c>
      <c r="C1617" s="9" t="s">
        <v>1344</v>
      </c>
    </row>
    <row r="1618" ht="33.75" customHeight="1">
      <c r="A1618" s="6" t="s">
        <v>2385</v>
      </c>
      <c r="B1618" s="6" t="str">
        <f>IFERROR(__xludf.DUMMYFUNCTION("GOOGLETRANSLATE(A1618,""en"",""fi"")"),"Jos se käyttää salaperäistä voimaansa, Psyduck ei muista tehneensä niin. Se ei ilmeisesti pysty muodostamaan muistoa tällaisesta tapahtumasta, koska se vaipuu muuttuneeseen tilaan, joka muistuttaa syvää unta.")</f>
        <v>Jos se käyttää salaperäistä voimaansa, Psyduck ei muista tehneensä niin. Se ei ilmeisesti pysty muodostamaan muistoa tällaisesta tapahtumasta, koska se vaipuu muuttuneeseen tilaan, joka muistuttaa syvää unta.</v>
      </c>
      <c r="C1618" s="9" t="s">
        <v>1344</v>
      </c>
    </row>
    <row r="1619" ht="33.75" customHeight="1">
      <c r="A1619" s="6" t="s">
        <v>2386</v>
      </c>
      <c r="B1619" s="6" t="str">
        <f>IFERROR(__xludf.DUMMYFUNCTION("GOOGLETRANSLATE(A1619,""en"",""fi"")"),"Koska päänsärky on niin voimakasta, että se saa sen itkemään, se käyttää joskus tahattomasti psykokineesiä.")</f>
        <v>Koska päänsärky on niin voimakasta, että se saa sen itkemään, se käyttää joskus tahattomasti psykokineesiä.</v>
      </c>
      <c r="C1619" s="9" t="s">
        <v>1344</v>
      </c>
    </row>
    <row r="1620" ht="33.75" customHeight="1">
      <c r="A1620" s="6" t="s">
        <v>2388</v>
      </c>
      <c r="B1620" s="6" t="str">
        <f>IFERROR(__xludf.DUMMYFUNCTION("GOOGLETRANSLATE(A1620,""en"",""fi"")"),"Tätä Pokémonia vaivaavat jatkuvat päänsäryt. Mitä enemmän kipua se tuntee, sitä voimakkaammaksi sen psykokineesi muuttuu.")</f>
        <v>Tätä Pokémonia vaivaavat jatkuvat päänsäryt. Mitä enemmän kipua se tuntee, sitä voimakkaammaksi sen psykokineesi muuttuu.</v>
      </c>
      <c r="C1620" s="9" t="s">
        <v>1344</v>
      </c>
    </row>
    <row r="1621" ht="33.75" customHeight="1">
      <c r="A1621" s="6" t="s">
        <v>2390</v>
      </c>
      <c r="B1621" s="6" t="str">
        <f>IFERROR(__xludf.DUMMYFUNCTION("GOOGLETRANSLATE(A1621,""en"",""fi"")"),"Psykokineesin käyttö aiheuttaa sille päänvaivaa, joten se yleensä kuluttaa aikaa harventamalla ja tekemällä mahdollisimman vähän.")</f>
        <v>Psykokineesin käyttö aiheuttaa sille päänvaivaa, joten se yleensä kuluttaa aikaa harventamalla ja tekemällä mahdollisimman vähän.</v>
      </c>
      <c r="C1621" s="9" t="s">
        <v>1344</v>
      </c>
    </row>
    <row r="1622" ht="33.75" customHeight="1">
      <c r="A1622" s="6" t="s">
        <v>2391</v>
      </c>
      <c r="B1622" s="6" t="str">
        <f>IFERROR(__xludf.DUMMYFUNCTION("GOOGLETRANSLATE(A1622,""en"",""fi"")"),"On havaittu, että sen aivosolut ovat 10 kertaa aktiivisempia, kun Psyduckilla on päänsärky.")</f>
        <v>On havaittu, että sen aivosolut ovat 10 kertaa aktiivisempia, kun Psyduckilla on päänsärky.</v>
      </c>
      <c r="C1622" s="9" t="s">
        <v>1344</v>
      </c>
    </row>
    <row r="1623" ht="33.75" customHeight="1">
      <c r="A1623" s="6" t="s">
        <v>2393</v>
      </c>
      <c r="B1623" s="6" t="str">
        <f>IFERROR(__xludf.DUMMYFUNCTION("GOOGLETRANSLATE(A1623,""en"",""fi"")"),"Aina päänsäryt piinaavat sitä. Se käyttää psyykkisiä voimia, mutta ei tiedetä, aikooko se tehdä niin.")</f>
        <v>Aina päänsäryt piinaavat sitä. Se käyttää psyykkisiä voimia, mutta ei tiedetä, aikooko se tehdä niin.</v>
      </c>
      <c r="C1623" s="9" t="s">
        <v>1344</v>
      </c>
    </row>
    <row r="1624" ht="33.75" customHeight="1">
      <c r="A1624" s="6" t="s">
        <v>2394</v>
      </c>
      <c r="B1624" s="6" t="str">
        <f>IFERROR(__xludf.DUMMYFUNCTION("GOOGLETRANSLATE(A1624,""en"",""fi"")"),"Psyduckia vaivaa jatkuvasti päänsärky. Jos Pokémon antaa oudon voimansa purkautua, kipu ilmeisesti hellittää joksikin aikaa.")</f>
        <v>Psyduckia vaivaa jatkuvasti päänsärky. Jos Pokémon antaa oudon voimansa purkautua, kipu ilmeisesti hellittää joksikin aikaa.</v>
      </c>
      <c r="C1624" s="9" t="s">
        <v>1344</v>
      </c>
    </row>
    <row r="1625" ht="33.75" customHeight="1">
      <c r="A1625" s="6" t="s">
        <v>2396</v>
      </c>
      <c r="B1625" s="6" t="str">
        <f>IFERROR(__xludf.DUMMYFUNCTION("GOOGLETRANSLATE(A1625,""en"",""fi"")"),"Psyduckin stressaantuessa sen päänsärky pahenee asteittain. Se käyttää voimakasta psyykkistä energiaa ylikuormittaakseen ympärillään olevat.")</f>
        <v>Psyduckin stressaantuessa sen päänsärky pahenee asteittain. Se käyttää voimakasta psyykkistä energiaa ylikuormittaakseen ympärillään olevat.</v>
      </c>
      <c r="C1625" s="9" t="s">
        <v>1344</v>
      </c>
    </row>
    <row r="1626" ht="33.75" customHeight="1">
      <c r="A1626" s="6" t="s">
        <v>2397</v>
      </c>
      <c r="B1626" s="6" t="str">
        <f>IFERROR(__xludf.DUMMYFUNCTION("GOOGLETRANSLATE(A1626,""en"",""fi"")"),"Kärsii jatkuvista päänsäryistä. Jos tuska kasvaa liian suureksi, Psyduckin piilevä voima purkautuu, vastoin Psyduckin tarkoitusta. Eli tutkin tapoja lievittää kipua.")</f>
        <v>Kärsii jatkuvista päänsäryistä. Jos tuska kasvaa liian suureksi, Psyduckin piilevä voima purkautuu, vastoin Psyduckin tarkoitusta. Eli tutkin tapoja lievittää kipua.</v>
      </c>
      <c r="C1626" s="9" t="s">
        <v>1344</v>
      </c>
    </row>
    <row r="1627" ht="33.75" customHeight="1">
      <c r="A1627" s="6" t="s">
        <v>2398</v>
      </c>
      <c r="B1627" s="6" t="str">
        <f>IFERROR(__xludf.DUMMYFUNCTION("GOOGLETRANSLATE(A1627,""en"",""fi"")"),"Usein nähdään tyylikkäästi uimassa järvien rannoilla. Se sekoitetaan usein japanilaiseen hirviöön, Kappaan.")</f>
        <v>Usein nähdään tyylikkäästi uimassa järvien rannoilla. Se sekoitetaan usein japanilaiseen hirviöön, Kappaan.</v>
      </c>
      <c r="C1627" s="9" t="s">
        <v>1344</v>
      </c>
    </row>
    <row r="1628" ht="33.75" customHeight="1">
      <c r="A1628" s="6" t="s">
        <v>2399</v>
      </c>
      <c r="B1628" s="6" t="str">
        <f>IFERROR(__xludf.DUMMYFUNCTION("GOOGLETRANSLATE(A1628,""en"",""fi"")"),"Sen hoikat ja pitkät raajat päättyvät leveisiin räpylöihin. Niitä käytetään uimiseen sulavasti järvissä.")</f>
        <v>Sen hoikat ja pitkät raajat päättyvät leveisiin räpylöihin. Niitä käytetään uimiseen sulavasti järvissä.</v>
      </c>
      <c r="C1628" s="9" t="s">
        <v>1344</v>
      </c>
    </row>
    <row r="1629" ht="33.75" customHeight="1">
      <c r="A1629" s="6" t="s">
        <v>2401</v>
      </c>
      <c r="B1629" s="6" t="str">
        <f>IFERROR(__xludf.DUMMYFUNCTION("GOOGLETRANSLATE(A1629,""en"",""fi"")"),"Kun se ui täydellä vauhdilla pitkiä, räpylöillä peitettyjä raajojaan käyttäen, sen otsaosa alkaa jotenkin hehkua.")</f>
        <v>Kun se ui täydellä vauhdilla pitkiä, räpylöillä peitettyjä raajojaan käyttäen, sen otsaosa alkaa jotenkin hehkua.</v>
      </c>
      <c r="C1629" s="9" t="s">
        <v>1344</v>
      </c>
    </row>
    <row r="1630" ht="33.75" customHeight="1">
      <c r="A1630" s="6" t="s">
        <v>2402</v>
      </c>
      <c r="B1630" s="6" t="str">
        <f>IFERROR(__xludf.DUMMYFUNCTION("GOOGLETRANSLATE(A1630,""en"",""fi"")"),"Se ilmestyy vesistöjen varsille hämärän aikaan. Se saattaa käyttää telekineettisiä voimiaan, jos sen otsa hehkuu mystisesti.")</f>
        <v>Se ilmestyy vesistöjen varsille hämärän aikaan. Se saattaa käyttää telekineettisiä voimiaan, jos sen otsa hehkuu mystisesti.</v>
      </c>
      <c r="C1630" s="9" t="s">
        <v>1344</v>
      </c>
    </row>
    <row r="1631" ht="33.75" customHeight="1">
      <c r="A1631" s="6" t="s">
        <v>2405</v>
      </c>
      <c r="B1631" s="6" t="str">
        <f>IFERROR(__xludf.DUMMYFUNCTION("GOOGLETRANSLATE(A1631,""en"",""fi"")"),"Se ui tyylikkäästi hiljaisilla, hitaasti virtaavilla joilla ja järvillä, joista se pitää niin paljon.")</f>
        <v>Se ui tyylikkäästi hiljaisilla, hitaasti virtaavilla joilla ja järvillä, joista se pitää niin paljon.</v>
      </c>
      <c r="C1631" s="9" t="s">
        <v>1344</v>
      </c>
    </row>
    <row r="1632" ht="33.75" customHeight="1">
      <c r="A1632" s="6" t="s">
        <v>2406</v>
      </c>
      <c r="B1632" s="6" t="str">
        <f>IFERROR(__xludf.DUMMYFUNCTION("GOOGLETRANSLATE(A1632,""en"",""fi"")"),"Sen etu- ja takajalkojen räpylät ja GOLDUCKin virtaviivainen vartalo antavat sille pelottavan nopeuden. Tämä POKéMON on ehdottomasti paljon nopeampi kuin edes urheilullisin uimari.")</f>
        <v>Sen etu- ja takajalkojen räpylät ja GOLDUCKin virtaviivainen vartalo antavat sille pelottavan nopeuden. Tämä POKéMON on ehdottomasti paljon nopeampi kuin edes urheilullisin uimari.</v>
      </c>
      <c r="C1632" s="9" t="s">
        <v>1344</v>
      </c>
    </row>
    <row r="1633" ht="33.75" customHeight="1">
      <c r="A1633" s="6" t="s">
        <v>2408</v>
      </c>
      <c r="B1633" s="6" t="str">
        <f>IFERROR(__xludf.DUMMYFUNCTION("GOOGLETRANSLATE(A1633,""en"",""fi"")"),"GOLDUCK on nopein uimari kaikista POKéMONeista. Se ui vaivattomasti jopa myrskyisässä meressä. Se joskus pelastaa ihmisiä haaksirikkoutuneista laivoista, jotka ajelehtivat avomerellä.")</f>
        <v>GOLDUCK on nopein uimari kaikista POKéMONeista. Se ui vaivattomasti jopa myrskyisässä meressä. Se joskus pelastaa ihmisiä haaksirikkoutuneista laivoista, jotka ajelehtivat avomerellä.</v>
      </c>
      <c r="C1633" s="9" t="s">
        <v>1344</v>
      </c>
    </row>
    <row r="1634" ht="33.75" customHeight="1">
      <c r="A1634" s="6" t="s">
        <v>2411</v>
      </c>
      <c r="B1634" s="6" t="str">
        <f>IFERROR(__xludf.DUMMYFUNCTION("GOOGLETRANSLATE(A1634,""en"",""fi"")"),"KULTASANKA on taitava uimari. Se liittyy joskus kilpauimareiden harjoituksiin. Se käyttää psyykkisiä voimia, kun sen otsa hohtaa valossa.")</f>
        <v>KULTASANKA on taitava uimari. Se liittyy joskus kilpauimareiden harjoituksiin. Se käyttää psyykkisiä voimia, kun sen otsa hohtaa valossa.</v>
      </c>
      <c r="C1634" s="9" t="s">
        <v>1344</v>
      </c>
    </row>
    <row r="1635" ht="33.75" customHeight="1">
      <c r="A1635" s="6" t="s">
        <v>2413</v>
      </c>
      <c r="B1635" s="6" t="str">
        <f>IFERROR(__xludf.DUMMYFUNCTION("GOOGLETRANSLATE(A1635,""en"",""fi"")"),"Eturaajoissa on räpylät, mikä tekee siitä taitavan uimarin. Sen voi nähdä uimassa tyylikkäästi esimerkiksi järvissä.")</f>
        <v>Eturaajoissa on räpylät, mikä tekee siitä taitavan uimarin. Sen voi nähdä uimassa tyylikkäästi esimerkiksi järvissä.</v>
      </c>
      <c r="C1635" s="9" t="s">
        <v>1344</v>
      </c>
    </row>
    <row r="1636" ht="33.75" customHeight="1">
      <c r="A1636" s="6" t="s">
        <v>2415</v>
      </c>
      <c r="B1636" s="6" t="str">
        <f>IFERROR(__xludf.DUMMYFUNCTION("GOOGLETRANSLATE(A1636,""en"",""fi"")"),"Usein nähdään tyylikkäästi uivan järvenrannoilla. Se sekoitetaan usein japanilaiseen hirviöön, Kappaan.")</f>
        <v>Usein nähdään tyylikkäästi uivan järvenrannoilla. Se sekoitetaan usein japanilaiseen hirviöön, Kappaan.</v>
      </c>
      <c r="C1636" s="9" t="s">
        <v>1344</v>
      </c>
    </row>
    <row r="1637" ht="33.75" customHeight="1">
      <c r="A1637" s="6" t="s">
        <v>2416</v>
      </c>
      <c r="B1637" s="6" t="str">
        <f>IFERROR(__xludf.DUMMYFUNCTION("GOOGLETRANSLATE(A1637,""en"",""fi"")"),"Järvissä elävä Pokémon. Se ui nopeammin kuin kukaan ihmisuinnin mestari.")</f>
        <v>Järvissä elävä Pokémon. Se ui nopeammin kuin kukaan ihmisuinnin mestari.</v>
      </c>
      <c r="C1637" s="9" t="s">
        <v>1344</v>
      </c>
    </row>
    <row r="1638" ht="33.75" customHeight="1">
      <c r="A1638" s="6" t="s">
        <v>2418</v>
      </c>
      <c r="B1638" s="6" t="str">
        <f>IFERROR(__xludf.DUMMYFUNCTION("GOOGLETRANSLATE(A1638,""en"",""fi"")"),"Sen hyvin kehittyneiden raajojen räpylät antavat sille hämmästyttävän nopeuden. Se on paras uimari Pokémonien joukossa.")</f>
        <v>Sen hyvin kehittyneiden raajojen räpylät antavat sille hämmästyttävän nopeuden. Se on paras uimari Pokémonien joukossa.</v>
      </c>
      <c r="C1638" s="9" t="s">
        <v>1344</v>
      </c>
    </row>
    <row r="1639" ht="33.75" customHeight="1">
      <c r="A1639" s="6" t="s">
        <v>2420</v>
      </c>
      <c r="B1639" s="6" t="str">
        <f>IFERROR(__xludf.DUMMYFUNCTION("GOOGLETRANSLATE(A1639,""en"",""fi"")"),"Sen nähdään uimassa dynaamisesti ja tyylikkäästi käyttäen hyvin kehittyneitä raajojaan ja räpylöitään.")</f>
        <v>Sen nähdään uimassa dynaamisesti ja tyylikkäästi käyttäen hyvin kehittyneitä raajojaan ja räpylöitään.</v>
      </c>
      <c r="C1639" s="9" t="s">
        <v>1344</v>
      </c>
    </row>
    <row r="1640" ht="33.75" customHeight="1">
      <c r="A1640" s="6" t="s">
        <v>2423</v>
      </c>
      <c r="B1640" s="6" t="str">
        <f>IFERROR(__xludf.DUMMYFUNCTION("GOOGLETRANSLATE(A1640,""en"",""fi"")"),"Kun se ui täydellä vauhdilla pitkiä, räpylöillä peitettyjä raajojaan käyttäen, sen otsa alkaa jotenkin hehkua.")</f>
        <v>Kun se ui täydellä vauhdilla pitkiä, räpylöillä peitettyjä raajojaan käyttäen, sen otsa alkaa jotenkin hehkua.</v>
      </c>
      <c r="C1640" s="9" t="s">
        <v>1344</v>
      </c>
    </row>
    <row r="1641" ht="33.75" customHeight="1">
      <c r="A1641" s="6" t="s">
        <v>2425</v>
      </c>
      <c r="B1641" s="6" t="str">
        <f>IFERROR(__xludf.DUMMYFUNCTION("GOOGLETRANSLATE(A1641,""en"",""fi"")"),"Se ilmestyy vesistöjen varsille hämärän laskeutuessa. Se saattaa käyttää telekineettisiä voimia, jos sen otsa hehkuu mystisesti.")</f>
        <v>Se ilmestyy vesistöjen varsille hämärän laskeutuessa. Se saattaa käyttää telekineettisiä voimia, jos sen otsa hehkuu mystisesti.</v>
      </c>
      <c r="C1641" s="9" t="s">
        <v>1344</v>
      </c>
    </row>
    <row r="1642" ht="33.75" customHeight="1">
      <c r="A1642" s="6" t="s">
        <v>2427</v>
      </c>
      <c r="B1642" s="6" t="str">
        <f>IFERROR(__xludf.DUMMYFUNCTION("GOOGLETRANSLATE(A1642,""en"",""fi"")"),"Kun sen otsa loistaa salaperäisesti, Golduck voi käyttää kaikkia voimansa ominaisuuksia.")</f>
        <v>Kun sen otsa loistaa salaperäisesti, Golduck voi käyttää kaikkia voimansa ominaisuuksia.</v>
      </c>
      <c r="C1642" s="9" t="s">
        <v>1344</v>
      </c>
    </row>
    <row r="1643" ht="33.75" customHeight="1">
      <c r="A1643" s="6" t="s">
        <v>2429</v>
      </c>
      <c r="B1643" s="6" t="str">
        <f>IFERROR(__xludf.DUMMYFUNCTION("GOOGLETRANSLATE(A1643,""en"",""fi"")"),"Sen etu- ja takajalkojen räpylät ja Golduckin virtaviivainen vartalo antavat sille pelottavan nopeuden. Tämä Pokémon on ehdottomasti paljon nopeampi kuin edes urheilullisin uimari.")</f>
        <v>Sen etu- ja takajalkojen räpylät ja Golduckin virtaviivainen vartalo antavat sille pelottavan nopeuden. Tämä Pokémon on ehdottomasti paljon nopeampi kuin edes urheilullisin uimari.</v>
      </c>
      <c r="C1643" s="9" t="s">
        <v>1344</v>
      </c>
    </row>
    <row r="1644" ht="33.75" customHeight="1">
      <c r="A1644" s="6" t="s">
        <v>2431</v>
      </c>
      <c r="B1644" s="6" t="str">
        <f>IFERROR(__xludf.DUMMYFUNCTION("GOOGLETRANSLATE(A1644,""en"",""fi"")"),"Golduck on nopein uimari kaikista Pokémoneista. Se ui vaivattomasti jopa myrskyisässä ja aallokossa. Se joskus pelastaa ihmisiä avomerellä rännistyneistä laivoista.")</f>
        <v>Golduck on nopein uimari kaikista Pokémoneista. Se ui vaivattomasti jopa myrskyisässä ja aallokossa. Se joskus pelastaa ihmisiä avomerellä rännistyneistä laivoista.</v>
      </c>
      <c r="C1644" s="9" t="s">
        <v>1344</v>
      </c>
    </row>
    <row r="1645" ht="33.75" customHeight="1">
      <c r="A1645" s="6" t="s">
        <v>2433</v>
      </c>
      <c r="B1645" s="6" t="str">
        <f>IFERROR(__xludf.DUMMYFUNCTION("GOOGLETRANSLATE(A1645,""en"",""fi"")"),"Sanotaan, että sen otsan punainen osa antaa yliluonnollisia voimia niille, joilla sellainen on, joten sitä metsästettiin aiemmin liikaa.")</f>
        <v>Sanotaan, että sen otsan punainen osa antaa yliluonnollisia voimia niille, joilla sellainen on, joten sitä metsästettiin aiemmin liikaa.</v>
      </c>
      <c r="C1645" s="9" t="s">
        <v>1344</v>
      </c>
    </row>
    <row r="1646" ht="33.75" customHeight="1">
      <c r="A1646" s="6" t="s">
        <v>2435</v>
      </c>
      <c r="B1646" s="6" t="str">
        <f>IFERROR(__xludf.DUMMYFUNCTION("GOOGLETRANSLATE(A1646,""en"",""fi"")"),"Se ui järvien rannoilla ja pyydystää kala-Pokémoneja. Se vie ne rannalle ja syö ne hiljaa.")</f>
        <v>Se ui järvien rannoilla ja pyydystää kala-Pokémoneja. Se vie ne rannalle ja syö ne hiljaa.</v>
      </c>
      <c r="C1646" s="9" t="s">
        <v>1344</v>
      </c>
    </row>
    <row r="1647" ht="33.75" customHeight="1">
      <c r="A1647" s="6" t="s">
        <v>2437</v>
      </c>
      <c r="B1647" s="6" t="str">
        <f>IFERROR(__xludf.DUMMYFUNCTION("GOOGLETRANSLATE(A1647,""en"",""fi"")"),"Golduck voi lamauttaa jopa nopeasti uivia kala-Pokémoneja. Se pysäyttää ne ja ottaa ne kiinni.")</f>
        <v>Golduck voi lamauttaa jopa nopeasti uivia kala-Pokémoneja. Se pysäyttää ne ja ottaa ne kiinni.</v>
      </c>
      <c r="C1647" s="9" t="s">
        <v>1344</v>
      </c>
    </row>
    <row r="1648" ht="33.75" customHeight="1">
      <c r="A1648" s="6" t="s">
        <v>2438</v>
      </c>
      <c r="B1648" s="6" t="str">
        <f>IFERROR(__xludf.DUMMYFUNCTION("GOOGLETRANSLATE(A1648,""en"",""fi"")"),"Ammattiuimarina se voi jatkaa uintia kaksi päivää putkeen heiluttamalla taitavasti pitkää häntäänsä.")</f>
        <v>Ammattiuimarina se voi jatkaa uintia kaksi päivää putkeen heiluttamalla taitavasti pitkää häntäänsä.</v>
      </c>
      <c r="C1648" s="9" t="s">
        <v>1344</v>
      </c>
    </row>
    <row r="1649" ht="33.75" customHeight="1">
      <c r="A1649" s="6" t="s">
        <v>2440</v>
      </c>
      <c r="B1649" s="6" t="str">
        <f>IFERROR(__xludf.DUMMYFUNCTION("GOOGLETRANSLATE(A1649,""en"",""fi"")"),"Sen pitkät, hoikat raajat päättyvät leveisiin räpylöihin. Niitä käytetään uimiseen sulavasti järvissä.")</f>
        <v>Sen pitkät, hoikat raajat päättyvät leveisiin räpylöihin. Niitä käytetään uimiseen sulavasti järvissä.</v>
      </c>
      <c r="C1649" s="9" t="s">
        <v>1344</v>
      </c>
    </row>
    <row r="1650" ht="33.75" customHeight="1">
      <c r="A1650" s="6" t="s">
        <v>2442</v>
      </c>
      <c r="B1650" s="6" t="str">
        <f>IFERROR(__xludf.DUMMYFUNCTION("GOOGLETRANSLATE(A1650,""en"",""fi"")"),"Tämä Pokémon elää hiljaa virtaavissa joissa. Se meloo vedessä pitkillä raajoillaan ja esittelee sulavia uintitaitojaan.")</f>
        <v>Tämä Pokémon elää hiljaa virtaavissa joissa. Se meloo vedessä pitkillä raajoillaan ja esittelee sulavia uintitaitojaan.</v>
      </c>
      <c r="C1650" s="9" t="s">
        <v>1344</v>
      </c>
    </row>
    <row r="1651" ht="33.75" customHeight="1">
      <c r="A1651" s="6" t="s">
        <v>2443</v>
      </c>
      <c r="B1651" s="6" t="str">
        <f>IFERROR(__xludf.DUMMYFUNCTION("GOOGLETRANSLATE(A1651,""en"",""fi"")"),"Vanhoissa tarinoissa kerrotaan, kuinka Golduck rankaisi joen saastuttajia. Syylliset raahattiin veteen ja vietiin pois.")</f>
        <v>Vanhoissa tarinoissa kerrotaan, kuinka Golduck rankaisi joen saastuttajia. Syylliset raahattiin veteen ja vietiin pois.</v>
      </c>
      <c r="C1651" s="9" t="s">
        <v>1344</v>
      </c>
    </row>
    <row r="1652" ht="33.75" customHeight="1">
      <c r="A1652" s="6" t="s">
        <v>2444</v>
      </c>
      <c r="B1652" s="6" t="str">
        <f>IFERROR(__xludf.DUMMYFUNCTION("GOOGLETRANSLATE(A1652,""en"",""fi"")"),"Sen ruumis on vahva, ja sen käsissä ja jaloissa on verkkoja. Golduck uu helposti kovassa merenkäynnissä ja raapii tiensä korkeiden aaltojen läpi.")</f>
        <v>Sen ruumis on vahva, ja sen käsissä ja jaloissa on verkkoja. Golduck uu helposti kovassa merenkäynnissä ja raapii tiensä korkeiden aaltojen läpi.</v>
      </c>
      <c r="C1652" s="9" t="s">
        <v>1344</v>
      </c>
    </row>
    <row r="1653" ht="33.75" customHeight="1">
      <c r="A1653" s="6" t="s">
        <v>2445</v>
      </c>
      <c r="B1653" s="6" t="str">
        <f>IFERROR(__xludf.DUMMYFUNCTION("GOOGLETRANSLATE(A1653,""en"",""fi"")"),"Äärimmäisen nopea suuttumaan. Se voi olla säyseä yhtenä hetkenä ja raivota seuraavana.")</f>
        <v>Äärimmäisen nopea suuttumaan. Se voi olla säyseä yhtenä hetkenä ja raivota seuraavana.</v>
      </c>
      <c r="C1653" s="9" t="s">
        <v>1344</v>
      </c>
    </row>
    <row r="1654" ht="33.75" customHeight="1">
      <c r="A1654" s="6" t="s">
        <v>2446</v>
      </c>
      <c r="B1654" s="6" t="str">
        <f>IFERROR(__xludf.DUMMYFUNCTION("GOOGLETRANSLATE(A1654,""en"",""fi"")"),"Ketterä POKéMON, joka asuu puissa. Se suuttuu helposti eikä epäröi hyökätä minkään kimppuun.")</f>
        <v>Ketterä POKéMON, joka asuu puissa. Se suuttuu helposti eikä epäröi hyökätä minkään kimppuun.</v>
      </c>
      <c r="C1654" s="9" t="s">
        <v>1344</v>
      </c>
    </row>
    <row r="1655" ht="33.75" customHeight="1">
      <c r="A1655" s="6" t="s">
        <v>2448</v>
      </c>
      <c r="B1655" s="6" t="str">
        <f>IFERROR(__xludf.DUMMYFUNCTION("GOOGLETRANSLATE(A1655,""en"",""fi"")"),"Se on äärimmäisen ärtyisä. Ryhmät niistä hyökkäävät minkä tahansa kätevän kohteen kimppuun ilman syytä.")</f>
        <v>Se on äärimmäisen ärtyisä. Ryhmät niistä hyökkäävät minkä tahansa kätevän kohteen kimppuun ilman syytä.</v>
      </c>
      <c r="C1655" s="9" t="s">
        <v>1344</v>
      </c>
    </row>
    <row r="1656" ht="33.75" customHeight="1">
      <c r="A1656" s="6" t="s">
        <v>2449</v>
      </c>
      <c r="B1656" s="6" t="str">
        <f>IFERROR(__xludf.DUMMYFUNCTION("GOOGLETRANSLATE(A1656,""en"",""fi"")"),"On vaarallista lähestyä, jos se raivostuu rajusti ilman syytä eikä pysty erottamaan ystäviä vihollisista.")</f>
        <v>On vaarallista lähestyä, jos se raivostuu rajusti ilman syytä eikä pysty erottamaan ystäviä vihollisista.</v>
      </c>
      <c r="C1656" s="9" t="s">
        <v>1344</v>
      </c>
    </row>
    <row r="1657" ht="33.75" customHeight="1">
      <c r="A1657" s="6" t="s">
        <v>2450</v>
      </c>
      <c r="B1657" s="6" t="str">
        <f>IFERROR(__xludf.DUMMYFUNCTION("GOOGLETRANSLATE(A1657,""en"",""fi"")"),"Se elää ryhmissä puiden latvoissa. Jos se kadottaa ryhmänsä näkyvistä, se raivostuu yksinäisyydestään.")</f>
        <v>Se elää ryhmissä puiden latvoissa. Jos se kadottaa ryhmänsä näkyvistä, se raivostuu yksinäisyydestään.</v>
      </c>
      <c r="C1657" s="9" t="s">
        <v>1344</v>
      </c>
    </row>
    <row r="1658" ht="33.75" customHeight="1">
      <c r="A1658" s="6" t="s">
        <v>2451</v>
      </c>
      <c r="B1658" s="6" t="str">
        <f>IFERROR(__xludf.DUMMYFUNCTION("GOOGLETRANSLATE(A1658,""en"",""fi"")"),"Kun MANKEY alkaa vapista ja sen nenähengitys käy raskaaksi, se on varma merkki siitä, että se on suuttumassa. Koska se kuitenkin raivostuu lähes välittömästi, kukaan ei voi paeta sen vihaa.")</f>
        <v>Kun MANKEY alkaa vapista ja sen nenähengitys käy raskaaksi, se on varma merkki siitä, että se on suuttumassa. Koska se kuitenkin raivostuu lähes välittömästi, kukaan ei voi paeta sen vihaa.</v>
      </c>
      <c r="C1658" s="9" t="s">
        <v>1344</v>
      </c>
    </row>
    <row r="1659" ht="33.75" customHeight="1">
      <c r="A1659" s="6" t="s">
        <v>2453</v>
      </c>
      <c r="B1659" s="6" t="str">
        <f>IFERROR(__xludf.DUMMYFUNCTION("GOOGLETRANSLATE(A1659,""en"",""fi"")"),"Kun se alkaa täristä ja sen nenähengitys käy raskaaksi, se on varma merkki vihasta. Koska tämä tapahtuu kuitenkin välittömästi, ei ole aikaa paeta.")</f>
        <v>Kun se alkaa täristä ja sen nenähengitys käy raskaaksi, se on varma merkki vihasta. Koska tämä tapahtuu kuitenkin välittömästi, ei ole aikaa paeta.</v>
      </c>
      <c r="C1659" s="9" t="s">
        <v>1344</v>
      </c>
    </row>
    <row r="1660" ht="33.75" customHeight="1">
      <c r="A1660" s="6" t="s">
        <v>2454</v>
      </c>
      <c r="B1660" s="6" t="str">
        <f>IFERROR(__xludf.DUMMYFUNCTION("GOOGLETRANSLATE(A1660,""en"",""fi"")"),"Kevyt ja ketterä jaloillaan ja luonteeltaan raivoisa. Vihastuttuaan se syöksyy hillittömään raivoon.")</f>
        <v>Kevyt ja ketterä jaloillaan ja luonteeltaan raivoisa. Vihastuttuaan se syöksyy hillittömään raivoon.</v>
      </c>
      <c r="C1660" s="9" t="s">
        <v>1344</v>
      </c>
    </row>
    <row r="1661" ht="33.75" customHeight="1">
      <c r="A1661" s="6" t="s">
        <v>2455</v>
      </c>
      <c r="B1661" s="6" t="str">
        <f>IFERROR(__xludf.DUMMYFUNCTION("GOOGLETRANSLATE(A1661,""en"",""fi"")"),"Äärimmäisen nopea suuttumaan. Se voi olla säyseä yhtenä hetkenä ja raivota jonain päivänä.")</f>
        <v>Äärimmäisen nopea suuttumaan. Se voi olla säyseä yhtenä hetkenä ja raivota jonain päivänä.</v>
      </c>
      <c r="C1661" s="9" t="s">
        <v>1344</v>
      </c>
    </row>
    <row r="1662" ht="33.75" customHeight="1">
      <c r="A1662" s="6" t="s">
        <v>2456</v>
      </c>
      <c r="B1662" s="6" t="str">
        <f>IFERROR(__xludf.DUMMYFUNCTION("GOOGLETRANSLATE(A1662,""en"",""fi"")"),"Se elää puiden latvustoissa. Jos yksi raivostuu, koko yhdyskunta riehuu ilman syytä.")</f>
        <v>Se elää puiden latvustoissa. Jos yksi raivostuu, koko yhdyskunta riehuu ilman syytä.</v>
      </c>
      <c r="C1662" s="9" t="s">
        <v>1344</v>
      </c>
    </row>
    <row r="1663" ht="33.75" customHeight="1">
      <c r="A1663" s="6" t="s">
        <v>2458</v>
      </c>
      <c r="B1663" s="6" t="str">
        <f>IFERROR(__xludf.DUMMYFUNCTION("GOOGLETRANSLATE(A1663,""en"",""fi"")"),"On vaarallista lähestyä, jos se raivostuu rajusti ilman syytä eikä pysty erottamaan ystäviä vihollisista.")</f>
        <v>On vaarallista lähestyä, jos se raivostuu rajusti ilman syytä eikä pysty erottamaan ystäviä vihollisista.</v>
      </c>
      <c r="C1663" s="9" t="s">
        <v>1344</v>
      </c>
    </row>
    <row r="1664" ht="33.75" customHeight="1">
      <c r="A1664" s="6" t="s">
        <v>2459</v>
      </c>
      <c r="B1664" s="6" t="str">
        <f>IFERROR(__xludf.DUMMYFUNCTION("GOOGLETRANSLATE(A1664,""en"",""fi"")"),"Kun Mankey alkaa vapista ja sen nenähengitys käy raskaaksi, se on varma merkki siitä, että se on suuttumassa. Koska se kuitenkin raivostuu lähes välittömästi, kukaan ei voi paeta sen vihaa.")</f>
        <v>Kun Mankey alkaa vapista ja sen nenähengitys käy raskaaksi, se on varma merkki siitä, että se on suuttumassa. Koska se kuitenkin raivostuu lähes välittömästi, kukaan ei voi paeta sen vihaa.</v>
      </c>
      <c r="C1664" s="9" t="s">
        <v>1344</v>
      </c>
    </row>
    <row r="1665" ht="33.75" customHeight="1">
      <c r="A1665" s="6" t="s">
        <v>2460</v>
      </c>
      <c r="B1665" s="6" t="str">
        <f>IFERROR(__xludf.DUMMYFUNCTION("GOOGLETRANSLATE(A1665,""en"",""fi"")"),"Se voi raivostua spontaanisti. Kaikki sen lähellä olevat raahautuvat pois sen raivotessa, ja siitä johtuva yksinäisyys tekee siitä vielä vihaisemman.")</f>
        <v>Se voi raivostua spontaanisti. Kaikki sen lähellä olevat raahautuvat pois sen raivotessa, ja siitä johtuva yksinäisyys tekee siitä vielä vihaisemman.</v>
      </c>
      <c r="C1665" s="9" t="s">
        <v>1344</v>
      </c>
    </row>
    <row r="1666" ht="33.75" customHeight="1">
      <c r="A1666" s="6" t="s">
        <v>2462</v>
      </c>
      <c r="B1666" s="6" t="str">
        <f>IFERROR(__xludf.DUMMYFUNCTION("GOOGLETRANSLATE(A1666,""en"",""fi"")"),"Sen raivoaminen väsyttää sen ja saa sen nukahtamaan, mutta unissa kaikuva viha saa sen heräämään – mikä raivostuttaa sitä uudelleen.")</f>
        <v>Sen raivoaminen väsyttää sen ja saa sen nukahtamaan, mutta unissa kaikuva viha saa sen heräämään – mikä raivostuttaa sitä uudelleen.</v>
      </c>
      <c r="C1666" s="9" t="s">
        <v>1344</v>
      </c>
    </row>
    <row r="1667" ht="33.75" customHeight="1">
      <c r="A1667" s="6" t="s">
        <v>2463</v>
      </c>
      <c r="B1667" s="6" t="str">
        <f>IFERROR(__xludf.DUMMYFUNCTION("GOOGLETRANSLATE(A1667,""en"",""fi"")"),"Pienimmätkin asiat voivat saada sen menettämään malttinsa. Koska se ei pidättele stressiään, tämä Pokémon voi elää pitkään.")</f>
        <v>Pienimmätkin asiat voivat saada sen menettämään malttinsa. Koska se ei pidättele stressiään, tämä Pokémon voi elää pitkään.</v>
      </c>
      <c r="C1667" s="9" t="s">
        <v>1344</v>
      </c>
    </row>
    <row r="1668" ht="33.75" customHeight="1">
      <c r="A1668" s="6" t="s">
        <v>2465</v>
      </c>
      <c r="B1668" s="6" t="str">
        <f>IFERROR(__xludf.DUMMYFUNCTION("GOOGLETRANSLATE(A1668,""en"",""fi"")"),"Jos yksi suuttuu, kaikki muutkin ympärillä suuttuvat, joten hiljaisuus on harvinainen vieras Mankey-laumassa.")</f>
        <v>Jos yksi suuttuu, kaikki muutkin ympärillä suuttuvat, joten hiljaisuus on harvinainen vieras Mankey-laumassa.</v>
      </c>
      <c r="C1668" s="9" t="s">
        <v>1344</v>
      </c>
    </row>
    <row r="1669" ht="33.75" customHeight="1">
      <c r="A1669" s="6" t="s">
        <v>2466</v>
      </c>
      <c r="B1669" s="6" t="str">
        <f>IFERROR(__xludf.DUMMYFUNCTION("GOOGLETRANSLATE(A1669,""en"",""fi"")"),"Ketterä Pokémon, joka asuu puissa. Se suuttuu helposti eikä epäröi hyökätä minkään kimppuun.")</f>
        <v>Ketterä Pokémon, joka asuu puissa. Se suuttuu helposti eikä epäröi hyökätä minkään kimppuun.</v>
      </c>
      <c r="C1669" s="9" t="s">
        <v>1344</v>
      </c>
    </row>
    <row r="1670" ht="33.75" customHeight="1">
      <c r="A1670" s="6" t="s">
        <v>2468</v>
      </c>
      <c r="B1670" s="6" t="str">
        <f>IFERROR(__xludf.DUMMYFUNCTION("GOOGLETRANSLATE(A1670,""en"",""fi"")"),"Aina raivoisa ja sinnikäs kaiken lisäksi. Se ei lopeta saaliinsa jahtaamista ennen kuin se on kiinni.")</f>
        <v>Aina raivoisa ja sinnikäs kaiken lisäksi. Se ei lopeta saaliinsa jahtaamista ennen kuin se on kiinni.</v>
      </c>
      <c r="C1670" s="9" t="s">
        <v>1344</v>
      </c>
    </row>
    <row r="1671" ht="33.75" customHeight="1">
      <c r="A1671" s="6" t="s">
        <v>2470</v>
      </c>
      <c r="B1671" s="6" t="str">
        <f>IFERROR(__xludf.DUMMYFUNCTION("GOOGLETRANSLATE(A1671,""en"",""fi"")"),"Se lakkaa olemasta vihainen vasta, kun ketään muuta ei ole lähellä. Tämän hetken näkeminen on hyvin vaikeaa.")</f>
        <v>Se lakkaa olemasta vihainen vasta, kun ketään muuta ei ole lähellä. Tämän hetken näkeminen on hyvin vaikeaa.</v>
      </c>
      <c r="C1671" s="9" t="s">
        <v>1344</v>
      </c>
    </row>
    <row r="1672" ht="33.75" customHeight="1">
      <c r="A1672" s="6" t="s">
        <v>2472</v>
      </c>
      <c r="B1672" s="6" t="str">
        <f>IFERROR(__xludf.DUMMYFUNCTION("GOOGLETRANSLATE(A1672,""en"",""fi"")"),"Jos sitä lähestytään nukkuessaan, se voi herätä ja lähteä vihaisesti takaa-ajoon puoliunessa unessa.")</f>
        <v>Jos sitä lähestytään nukkuessaan, se voi herätä ja lähteä vihaisesti takaa-ajoon puoliunessa unessa.</v>
      </c>
      <c r="C1672" s="9" t="s">
        <v>1344</v>
      </c>
    </row>
    <row r="1673" ht="33.75" customHeight="1">
      <c r="A1673" s="6" t="s">
        <v>2473</v>
      </c>
      <c r="B1673" s="6" t="str">
        <f>IFERROR(__xludf.DUMMYFUNCTION("GOOGLETRANSLATE(A1673,""en"",""fi"")"),"Se raivostuu suunnattomasti, jos se edes aistii jonkun katsovan sitä. Se jahtaa ketä tahansa, joka kohtaa sen tuijotuksen.")</f>
        <v>Se raivostuu suunnattomasti, jos se edes aistii jonkun katsovan sitä. Se jahtaa ketä tahansa, joka kohtaa sen tuijotuksen.</v>
      </c>
      <c r="C1673" s="9" t="s">
        <v>1344</v>
      </c>
    </row>
    <row r="1674" ht="33.75" customHeight="1">
      <c r="A1674" s="6" t="s">
        <v>2475</v>
      </c>
      <c r="B1674" s="6" t="str">
        <f>IFERROR(__xludf.DUMMYFUNCTION("GOOGLETRANSLATE(A1674,""en"",""fi"")"),"Se pieksee jokaisen, joka sen suututtaa, vaikka sen pitäisi jahdata heitä maailman loppuun asti.")</f>
        <v>Se pieksee jokaisen, joka sen suututtaa, vaikka sen pitäisi jahdata heitä maailman loppuun asti.</v>
      </c>
      <c r="C1674" s="9" t="s">
        <v>1344</v>
      </c>
    </row>
    <row r="1675" ht="33.75" customHeight="1">
      <c r="A1675" s="6" t="s">
        <v>2476</v>
      </c>
      <c r="B1675" s="6" t="str">
        <f>IFERROR(__xludf.DUMMYFUNCTION("GOOGLETRANSLATE(A1675,""en"",""fi"")"),"Kun PRIMEAPE raivostuu, sen verenkierto vilkastuu. Tämän seurauksena sen lihakset vahvistuvat entisestään. Samalla siitä tulee kuitenkin myös paljon vähemmän älykäs.")</f>
        <v>Kun PRIMEAPE raivostuu, sen verenkierto vilkastuu. Tämän seurauksena sen lihakset vahvistuvat entisestään. Samalla siitä tulee kuitenkin myös paljon vähemmän älykäs.</v>
      </c>
      <c r="C1675" s="9" t="s">
        <v>1344</v>
      </c>
    </row>
    <row r="1676" ht="33.75" customHeight="1">
      <c r="A1676" s="6" t="s">
        <v>2477</v>
      </c>
      <c r="B1676" s="6" t="str">
        <f>IFERROR(__xludf.DUMMYFUNCTION("GOOGLETRANSLATE(A1676,""en"",""fi"")"),"Kun se raivostuu, sen verenkierto vilkastuu ja sen lihakset vahvistuvat. Mutta siitä tulee myös paljon vähemmän älykäs.")</f>
        <v>Kun se raivostuu, sen verenkierto vilkastuu ja sen lihakset vahvistuvat. Mutta siitä tulee myös paljon vähemmän älykäs.</v>
      </c>
      <c r="C1676" s="9" t="s">
        <v>1344</v>
      </c>
    </row>
    <row r="1677" ht="33.75" customHeight="1">
      <c r="A1677" s="6" t="s">
        <v>2479</v>
      </c>
      <c r="B1677" s="6" t="str">
        <f>IFERROR(__xludf.DUMMYFUNCTION("GOOGLETRANSLATE(A1677,""en"",""fi"")"),"Se on aina hillittömän raivoissaan. Jos se lähtee takaa-ajoon, se seuraa kohdetta sinnikkäästi, olipa se kuinka kaukana tahansa.")</f>
        <v>Se on aina hillittömän raivoissaan. Jos se lähtee takaa-ajoon, se seuraa kohdetta sinnikkäästi, olipa se kuinka kaukana tahansa.</v>
      </c>
      <c r="C1677" s="9" t="s">
        <v>1344</v>
      </c>
    </row>
    <row r="1678" ht="33.75" customHeight="1">
      <c r="A1678" s="6" t="s">
        <v>2480</v>
      </c>
      <c r="B1678" s="6" t="str">
        <f>IFERROR(__xludf.DUMMYFUNCTION("GOOGLETRANSLATE(A1678,""en"",""fi"")"),"Aina raivoisa ja sinnikäs kaiken lisäksi. Se ei lopeta saaliinsa jahtaamista ennen kuin saa sen kiinni.")</f>
        <v>Aina raivoisa ja sinnikäs kaiken lisäksi. Se ei lopeta saaliinsa jahtaamista ennen kuin saa sen kiinni.</v>
      </c>
      <c r="C1678" s="9" t="s">
        <v>1344</v>
      </c>
    </row>
    <row r="1679" ht="33.75" customHeight="1">
      <c r="A1679" s="6" t="s">
        <v>2481</v>
      </c>
      <c r="B1679" s="6" t="str">
        <f>IFERROR(__xludf.DUMMYFUNCTION("GOOGLETRANSLATE(A1679,""en"",""fi"")"),"Se suuttuu, jos näet sen silmät, ja suuttuu vielä enemmän, jos pakenet. Jos voitat sen, se suuttuu vieläkin enemmän.")</f>
        <v>Se suuttuu, jos näet sen silmät, ja suuttuu vielä enemmän, jos pakenet. Jos voitat sen, se suuttuu vieläkin enemmän.</v>
      </c>
      <c r="C1679" s="9" t="s">
        <v>1344</v>
      </c>
    </row>
    <row r="1680" ht="33.75" customHeight="1">
      <c r="A1680" s="6" t="s">
        <v>2483</v>
      </c>
      <c r="B1680" s="6" t="str">
        <f>IFERROR(__xludf.DUMMYFUNCTION("GOOGLETRANSLATE(A1680,""en"",""fi"")"),"Kun Primeape raivostuu, sen verenkierto vilkastuu. Tämän seurauksena sen lihakset vahvistuvat entisestään. Samalla siitä tulee kuitenkin myös paljon vähemmän älykäs.")</f>
        <v>Kun Primeape raivostuu, sen verenkierto vilkastuu. Tämän seurauksena sen lihakset vahvistuvat entisestään. Samalla siitä tulee kuitenkin myös paljon vähemmän älykäs.</v>
      </c>
      <c r="C1680" s="9" t="s">
        <v>1344</v>
      </c>
    </row>
    <row r="1681" ht="33.75" customHeight="1">
      <c r="A1681" s="6" t="s">
        <v>2484</v>
      </c>
      <c r="B1681" s="6" t="str">
        <f>IFERROR(__xludf.DUMMYFUNCTION("GOOGLETRANSLATE(A1681,""en"",""fi"")"),"Sen tiedetään suuttuvan niin paljon, että se kuolee sen seurauksena. Sen kasvot näyttävät kuitenkin kuollessa rauhallisilta.")</f>
        <v>Sen tiedetään suuttuvan niin paljon, että se kuolee sen seurauksena. Sen kasvot näyttävät kuitenkin kuollessa rauhallisilta.</v>
      </c>
      <c r="C1681" s="9" t="s">
        <v>1344</v>
      </c>
    </row>
    <row r="1682" ht="33.75" customHeight="1">
      <c r="A1682" s="6" t="s">
        <v>2486</v>
      </c>
      <c r="B1682" s="6" t="str">
        <f>IFERROR(__xludf.DUMMYFUNCTION("GOOGLETRANSLATE(A1682,""en"",""fi"")"),"Jotkut tutkijat teorioivat, että Primeape pysyy vihaisena jopa Poképallon sisällä.")</f>
        <v>Jotkut tutkijat teorioivat, että Primeape pysyy vihaisena jopa Poképallon sisällä.</v>
      </c>
      <c r="C1682" s="9" t="s">
        <v>1344</v>
      </c>
    </row>
    <row r="1683" ht="33.75" customHeight="1">
      <c r="A1683" s="6" t="s">
        <v>2489</v>
      </c>
      <c r="B1683" s="6" t="str">
        <f>IFERROR(__xludf.DUMMYFUNCTION("GOOGLETRANSLATE(A1683,""en"",""fi"")"),"Se ei koskaan anna anteeksi vastustajille, jotka ovat suututtaneet sen. Vaikka se olisi lyönyt heidät niin alas, etteivät he pysty liikkumaan, se ei koskaan anna anteeksi.")</f>
        <v>Se ei koskaan anna anteeksi vastustajille, jotka ovat suututtaneet sen. Vaikka se olisi lyönyt heidät niin alas, etteivät he pysty liikkumaan, se ei koskaan anna anteeksi.</v>
      </c>
      <c r="C1683" s="9" t="s">
        <v>1344</v>
      </c>
    </row>
    <row r="1684" ht="33.75" customHeight="1">
      <c r="A1684" s="6" t="s">
        <v>2491</v>
      </c>
      <c r="B1684" s="6" t="str">
        <f>IFERROR(__xludf.DUMMYFUNCTION("GOOGLETRANSLATE(A1684,""en"",""fi"")"),"Sen aivojen verisuonet ovat vahvemmat kuin muilla Pokémoneilla, joten se pysyy terveenä jatkuvasta raivoamisestaan ​​huolimatta.")</f>
        <v>Sen aivojen verisuonet ovat vahvemmat kuin muilla Pokémoneilla, joten se pysyy terveenä jatkuvasta raivoamisestaan ​​huolimatta.</v>
      </c>
      <c r="C1684" s="9" t="s">
        <v>1344</v>
      </c>
    </row>
    <row r="1685" ht="33.75" customHeight="1">
      <c r="A1685" s="6" t="s">
        <v>2493</v>
      </c>
      <c r="B1685" s="6" t="str">
        <f>IFERROR(__xludf.DUMMYFUNCTION("GOOGLETRANSLATE(A1685,""en"",""fi"")"),"Se on erittäin suojelevainen reviiriään kohtaan. Se haukkuu ja puree torjuakseen tunkeilijat alueeltaan.")</f>
        <v>Se on erittäin suojelevainen reviiriään kohtaan. Se haukkuu ja puree torjuakseen tunkeilijat alueeltaan.</v>
      </c>
      <c r="C1685" s="9" t="s">
        <v>1344</v>
      </c>
    </row>
    <row r="1686" ht="33.75" customHeight="1">
      <c r="A1686" s="6" t="s">
        <v>2494</v>
      </c>
      <c r="B1686" s="6" t="str">
        <f>IFERROR(__xludf.DUMMYFUNCTION("GOOGLETRANSLATE(A1686,""en"",""fi"")"),"Ystävällinen luonteeltaan POKéMON. Se haukkuu kuitenkin raivokkaasti kaikkea, mikä tunkeutuu sen alueelle.")</f>
        <v>Ystävällinen luonteeltaan POKéMON. Se haukkuu kuitenkin raivokkaasti kaikkea, mikä tunkeutuu sen alueelle.</v>
      </c>
      <c r="C1686" s="9" t="s">
        <v>1344</v>
      </c>
    </row>
    <row r="1687" ht="33.75" customHeight="1">
      <c r="A1687" s="6" t="s">
        <v>2496</v>
      </c>
      <c r="B1687" s="6" t="str">
        <f>IFERROR(__xludf.DUMMYFUNCTION("GOOGLETRANSLATE(A1687,""en"",""fi"")"),"Sillä on rohkea ja luotettava luonne. Se vastustaa pelottomasti suurempia ja vahvempia vihollisia.")</f>
        <v>Sillä on rohkea ja luotettava luonne. Se vastustaa pelottomasti suurempia ja vahvempia vihollisia.</v>
      </c>
      <c r="C1687" s="9" t="s">
        <v>1344</v>
      </c>
    </row>
    <row r="1688" ht="33.75" customHeight="1">
      <c r="A1688" s="6" t="s">
        <v>2497</v>
      </c>
      <c r="B1688" s="6" t="str">
        <f>IFERROR(__xludf.DUMMYFUNCTION("GOOGLETRANSLATE(A1688,""en"",""fi"")"),"Äärimmäisen uskollinen se haukkuu pelottomasti vastustajilleen suojellakseen omaa kouluttajaansa vaaralta.")</f>
        <v>Äärimmäisen uskollinen se haukkuu pelottomasti vastustajilleen suojellakseen omaa kouluttajaansa vaaralta.</v>
      </c>
      <c r="C1688" s="9" t="s">
        <v>1344</v>
      </c>
    </row>
    <row r="1689" ht="33.75" customHeight="1">
      <c r="A1689" s="6" t="s">
        <v>2500</v>
      </c>
      <c r="B1689" s="6" t="str">
        <f>IFERROR(__xludf.DUMMYFUNCTION("GOOGLETRANSLATE(A1689,""en"",""fi"")"),"Se hallitsee laajaa aluetta. Jos se havaitsee tuntemattoman hajun, se karjuu kovaa ajaakseen tunkeilijan ulos.")</f>
        <v>Se hallitsee laajaa aluetta. Jos se havaitsee tuntemattoman hajun, se karjuu kovaa ajaakseen tunkeilijan ulos.</v>
      </c>
      <c r="C1689" s="9" t="s">
        <v>1344</v>
      </c>
    </row>
    <row r="1690" ht="33.75" customHeight="1">
      <c r="A1690" s="6" t="s">
        <v>2502</v>
      </c>
      <c r="B1690" s="6" t="str">
        <f>IFERROR(__xludf.DUMMYFUNCTION("GOOGLETRANSLATE(A1690,""en"",""fi"")"),"GROWLITHE:lla on erinomainen hajuaisti. Kun se haistaa jotain, tämä POKéMON ei unohda sitä, tapahtui mitä tahansa. Se käyttää kehittynyttä hajuaistiaan muiden elävien olentojen tunteiden havaitsemiseen.")</f>
        <v>GROWLITHE:lla on erinomainen hajuaisti. Kun se haistaa jotain, tämä POKéMON ei unohda sitä, tapahtui mitä tahansa. Se käyttää kehittynyttä hajuaistiaan muiden elävien olentojen tunteiden havaitsemiseen.</v>
      </c>
      <c r="C1690" s="9" t="s">
        <v>1344</v>
      </c>
    </row>
    <row r="1691" ht="33.75" customHeight="1">
      <c r="A1691" s="6" t="s">
        <v>2504</v>
      </c>
      <c r="B1691" s="6" t="str">
        <f>IFERROR(__xludf.DUMMYFUNCTION("GOOGLETRANSLATE(A1691,""en"",""fi"")"),"Sen erinomainen hajuaisti varmistaa, että tämä POKéMON ei unohda yhtäkään tuoksua, tapahtuipa se mitä tahansa. Se käyttää hajuaistiaan havaitakseen muiden tunteita.")</f>
        <v>Sen erinomainen hajuaisti varmistaa, että tämä POKéMON ei unohda yhtäkään tuoksua, tapahtuipa se mitä tahansa. Se käyttää hajuaistiaan havaitakseen muiden tunteita.</v>
      </c>
      <c r="C1691" s="9" t="s">
        <v>1344</v>
      </c>
    </row>
    <row r="1692" ht="33.75" customHeight="1">
      <c r="A1692" s="6" t="s">
        <v>2506</v>
      </c>
      <c r="B1692" s="6" t="str">
        <f>IFERROR(__xludf.DUMMYFUNCTION("GOOGLETRANSLATE(A1692,""en"",""fi"")"),"Hyvin ystävällinen ja uskollinen ihmisille. Se yrittää torjua viholliset haukkumalla ja puremalla.")</f>
        <v>Hyvin ystävällinen ja uskollinen ihmisille. Se yrittää torjua viholliset haukkumalla ja puremalla.</v>
      </c>
      <c r="C1692" s="9" t="s">
        <v>1344</v>
      </c>
    </row>
    <row r="1693" ht="33.75" customHeight="1">
      <c r="A1693" s="6" t="s">
        <v>2508</v>
      </c>
      <c r="B1693" s="6" t="str">
        <f>IFERROR(__xludf.DUMMYFUNCTION("GOOGLETRANSLATE(A1693,""en"",""fi"")"),"Se on erittäin suojelevainen reviiriään kohtaan. Se haukkuu ja puree torjuakseen tunkeilijat alueeltaan.")</f>
        <v>Se on erittäin suojelevainen reviiriään kohtaan. Se haukkuu ja puree torjuakseen tunkeilijat alueeltaan.</v>
      </c>
      <c r="C1693" s="9" t="s">
        <v>1344</v>
      </c>
    </row>
    <row r="1694" ht="33.75" customHeight="1">
      <c r="A1694" s="6" t="s">
        <v>2510</v>
      </c>
      <c r="B1694" s="6" t="str">
        <f>IFERROR(__xludf.DUMMYFUNCTION("GOOGLETRANSLATE(A1694,""en"",""fi"")"),"Uskollinen Pokémon. Se pysyy liikkumattomana, kunnes sen kouluttaja antaa sille käskyn.")</f>
        <v>Uskollinen Pokémon. Se pysyy liikkumattomana, kunnes sen kouluttaja antaa sille käskyn.</v>
      </c>
      <c r="C1694" s="9" t="s">
        <v>1344</v>
      </c>
    </row>
    <row r="1695" ht="33.75" customHeight="1">
      <c r="A1695" s="6" t="s">
        <v>2512</v>
      </c>
      <c r="B1695" s="6" t="str">
        <f>IFERROR(__xludf.DUMMYFUNCTION("GOOGLETRANSLATE(A1695,""en"",""fi"")"),"Sillä on rohkea ja luotettava luonne. Se vastustaa pelottomasti suurempia ja vahvempia vihollisia.")</f>
        <v>Sillä on rohkea ja luotettava luonne. Se vastustaa pelottomasti suurempia ja vahvempia vihollisia.</v>
      </c>
      <c r="C1695" s="9" t="s">
        <v>1344</v>
      </c>
    </row>
    <row r="1696" ht="33.75" customHeight="1">
      <c r="A1696" s="6" t="s">
        <v>2514</v>
      </c>
      <c r="B1696" s="6" t="str">
        <f>IFERROR(__xludf.DUMMYFUNCTION("GOOGLETRANSLATE(A1696,""en"",""fi"")"),"Äärimmäisen uskollinen, se haukkuu pelottomasti vastustajia suojellakseen omaa kouluttajaansa vahingolta.")</f>
        <v>Äärimmäisen uskollinen, se haukkuu pelottomasti vastustajia suojellakseen omaa kouluttajaansa vahingolta.</v>
      </c>
      <c r="C1696" s="9" t="s">
        <v>1344</v>
      </c>
    </row>
    <row r="1697" ht="33.75" customHeight="1">
      <c r="A1697" s="6" t="s">
        <v>2516</v>
      </c>
      <c r="B1697" s="6" t="str">
        <f>IFERROR(__xludf.DUMMYFUNCTION("GOOGLETRANSLATE(A1697,""en"",""fi"")"),"Se on äärimmäisen uskollinen kouluttajalleen ja haukkuu niitä, jotka lähestyvät kouluttajaa odottamatta, ja ajaa heidät pois kaupungista.")</f>
        <v>Se on äärimmäisen uskollinen kouluttajalleen ja haukkuu niitä, jotka lähestyvät kouluttajaa odottamatta, ja ajaa heidät pois kaupungista.</v>
      </c>
      <c r="C1697" s="9" t="s">
        <v>1344</v>
      </c>
    </row>
    <row r="1698" ht="33.75" customHeight="1">
      <c r="A1698" s="6" t="s">
        <v>2518</v>
      </c>
      <c r="B1698" s="6" t="str">
        <f>IFERROR(__xludf.DUMMYFUNCTION("GOOGLETRANSLATE(A1698,""en"",""fi"")"),"Growlithella on erinomainen hajuaisti. Kun se haistaa jotakin, tämä Pokémon ei unohda tuoksua, tapahtuipa mitä tahansa. Se käyttää kehittynyttä hajuaistiaan muiden elävien olentojen tunteiden havaitsemiseen.")</f>
        <v>Growlithella on erinomainen hajuaisti. Kun se haistaa jotakin, tämä Pokémon ei unohda tuoksua, tapahtuipa mitä tahansa. Se käyttää kehittynyttä hajuaistiaan muiden elävien olentojen tunteiden havaitsemiseen.</v>
      </c>
      <c r="C1698" s="9" t="s">
        <v>1344</v>
      </c>
    </row>
    <row r="1699" ht="33.75" customHeight="1">
      <c r="A1699" s="6" t="s">
        <v>2519</v>
      </c>
      <c r="B1699" s="6" t="str">
        <f>IFERROR(__xludf.DUMMYFUNCTION("GOOGLETRANSLATE(A1699,""en"",""fi"")"),"Se on sekä älykäs että uskollinen, mutta jos vieras yrittää tunkeutua sen alueelle, se haukkuu uhkaavasti.")</f>
        <v>Se on sekä älykäs että uskollinen, mutta jos vieras yrittää tunkeutua sen alueelle, se haukkuu uhkaavasti.</v>
      </c>
      <c r="C1699" s="9" t="s">
        <v>1344</v>
      </c>
    </row>
    <row r="1700" ht="33.75" customHeight="1">
      <c r="A1700" s="6" t="s">
        <v>2520</v>
      </c>
      <c r="B1700" s="6" t="str">
        <f>IFERROR(__xludf.DUMMYFUNCTION("GOOGLETRANSLATE(A1700,""en"",""fi"")"),"Se näyttää söpöltä, mutta kun lähestyt toisen Trainer’s Growlithea, se haukkuu sinua ja puree.")</f>
        <v>Se näyttää söpöltä, mutta kun lähestyt toisen Trainer’s Growlithea, se haukkuu sinua ja puree.</v>
      </c>
      <c r="C1700" s="9" t="s">
        <v>1344</v>
      </c>
    </row>
    <row r="1701" ht="33.75" customHeight="1">
      <c r="A1701" s="6" t="s">
        <v>2521</v>
      </c>
      <c r="B1701" s="6" t="str">
        <f>IFERROR(__xludf.DUMMYFUNCTION("GOOGLETRANSLATE(A1701,""en"",""fi"")"),"Vaikka se on melko ystävällinen ihmisiä kohtaan totuttuaan niihin, luonnossa sen on oltava melko raivoisa puolustaessaan reviiriään kivikkoruffalta.")</f>
        <v>Vaikka se on melko ystävällinen ihmisiä kohtaan totuttuaan niihin, luonnossa sen on oltava melko raivoisa puolustaessaan reviiriään kivikkoruffalta.</v>
      </c>
      <c r="C1701" s="9" t="s">
        <v>1344</v>
      </c>
    </row>
    <row r="1702" ht="33.75" customHeight="1">
      <c r="A1702" s="6" t="s">
        <v>2522</v>
      </c>
      <c r="B1702" s="6" t="str">
        <f>IFERROR(__xludf.DUMMYFUNCTION("GOOGLETRANSLATE(A1702,""en"",""fi"")"),"Se on elänyt ihmisten rinnalla aikoja sitten. Sen luita on löydetty kivikauden rauniokaivauksista.")</f>
        <v>Se on elänyt ihmisten rinnalla aikoja sitten. Sen luita on löydetty kivikauden rauniokaivauksista.</v>
      </c>
      <c r="C1702" s="9" t="s">
        <v>1344</v>
      </c>
    </row>
    <row r="1703" ht="33.75" customHeight="1">
      <c r="A1703" s="6" t="s">
        <v>2524</v>
      </c>
      <c r="B1703" s="6" t="str">
        <f>IFERROR(__xludf.DUMMYFUNCTION("GOOGLETRANSLATE(A1703,""en"",""fi"")"),"Ystävällinen Pokémon. Se haukkuu kuitenkin raivokkaasti kaikkea, mikä tunkeutuu sen alueelle.")</f>
        <v>Ystävällinen Pokémon. Se haukkuu kuitenkin raivokkaasti kaikkea, mikä tunkeutuu sen alueelle.</v>
      </c>
      <c r="C1703" s="9" t="s">
        <v>1344</v>
      </c>
    </row>
    <row r="1704" ht="33.75" customHeight="1">
      <c r="A1704" s="6" t="s">
        <v>2525</v>
      </c>
      <c r="B1704" s="6" t="str">
        <f>IFERROR(__xludf.DUMMYFUNCTION("GOOGLETRANSLATE(A1704,""en"",""fi"")"),"Ne partioivat reviiriään pareittain. Uskon, että tämän lajin turkin magmakiviainekset ovat seurausta sen elinympäristön vulkaanisesta toiminnasta.")</f>
        <v>Ne partioivat reviiriään pareittain. Uskon, että tämän lajin turkin magmakiviainekset ovat seurausta sen elinympäristön vulkaanisesta toiminnasta.</v>
      </c>
      <c r="C1704" s="9" t="s">
        <v>1344</v>
      </c>
    </row>
    <row r="1705" ht="33.75" customHeight="1">
      <c r="A1705" s="6" t="s">
        <v>2526</v>
      </c>
      <c r="B1705" s="6" t="str">
        <f>IFERROR(__xludf.DUMMYFUNCTION("GOOGLETRANSLATE(A1705,""en"",""fi"")"),"POKéMON, jota on ihailtu kauneutensa vuoksi menneisyydestä lähtien. Se juoksee ketterästi kuin siivillä.")</f>
        <v>POKéMON, jota on ihailtu kauneutensa vuoksi menneisyydestä lähtien. Se juoksee ketterästi kuin siivillä.</v>
      </c>
      <c r="C1705" s="9" t="s">
        <v>1344</v>
      </c>
    </row>
    <row r="1706" ht="33.75" customHeight="1">
      <c r="A1706" s="6" t="s">
        <v>2527</v>
      </c>
      <c r="B1706" s="6" t="str">
        <f>IFERROR(__xludf.DUMMYFUNCTION("GOOGLETRANSLATE(A1706,""en"",""fi"")"),"Legendaarinen POKÉ MON Kiinassa. Monet ihmiset ihastuvat sen tyylikkyyteen ja kauneuteen juostessaan.")</f>
        <v>Legendaarinen POKÉ MON Kiinassa. Monet ihmiset ihastuvat sen tyylikkyyteen ja kauneuteen juostessaan.</v>
      </c>
      <c r="C1706" s="9" t="s">
        <v>1344</v>
      </c>
    </row>
    <row r="1707" ht="33.75" customHeight="1">
      <c r="A1707" s="6" t="s">
        <v>2528</v>
      </c>
      <c r="B1707" s="6" t="str">
        <f>IFERROR(__xludf.DUMMYFUNCTION("GOOGLETRANSLATE(A1707,""en"",""fi"")"),"Tätä legendaarista kiinalaista POKÉMONIA pidetään upeana. Monet ihmiset ovat lumoutuneita sen suuresta harjasta.")</f>
        <v>Tätä legendaarista kiinalaista POKÉMONIA pidetään upeana. Monet ihmiset ovat lumoutuneita sen suuresta harjasta.</v>
      </c>
      <c r="C1707" s="9" t="s">
        <v>1344</v>
      </c>
    </row>
    <row r="1708" ht="33.75" customHeight="1">
      <c r="A1708" s="6" t="s">
        <v>2530</v>
      </c>
      <c r="B1708" s="6" t="str">
        <f>IFERROR(__xludf.DUMMYFUNCTION("GOOGLETRANSLATE(A1708,""en"",""fi"")"),"Sen upea haukunta välittää majesteettisuuden tunteen. Kuka tahansa sen kuullessaan ei voi olla nöyrtymättä sen edessä.")</f>
        <v>Sen upea haukunta välittää majesteettisuuden tunteen. Kuka tahansa sen kuullessaan ei voi olla nöyrtymättä sen edessä.</v>
      </c>
      <c r="C1708" s="9" t="s">
        <v>1344</v>
      </c>
    </row>
    <row r="1709" ht="33.75" customHeight="1">
      <c r="A1709" s="6" t="s">
        <v>2532</v>
      </c>
      <c r="B1709" s="6" t="str">
        <f>IFERROR(__xludf.DUMMYFUNCTION("GOOGLETRANSLATE(A1709,""en"",""fi"")"),"Muinainen kuvakäärö osoittaa, että ihmisiä kiehtoi sen liike sen kulkiessa preerioiden läpi.")</f>
        <v>Muinainen kuvakäärö osoittaa, että ihmisiä kiehtoi sen liike sen kulkiessa preerioiden läpi.</v>
      </c>
      <c r="C1709" s="9" t="s">
        <v>1344</v>
      </c>
    </row>
    <row r="1710" ht="33.75" customHeight="1">
      <c r="A1710" s="6" t="s">
        <v>2534</v>
      </c>
      <c r="B1710" s="6" t="str">
        <f>IFERROR(__xludf.DUMMYFUNCTION("GOOGLETRANSLATE(A1710,""en"",""fi"")"),"ARCANINE tunnetaan suuresta nopeudestaan. Sen sanotaan pystyvän juoksemaan yli 6 200 mailia yhdessä päivässä ja yössä. Tämän POKéMONin ruumiissa villisti roihuava tuli on sen voimanlähde.")</f>
        <v>ARCANINE tunnetaan suuresta nopeudestaan. Sen sanotaan pystyvän juoksemaan yli 6 200 mailia yhdessä päivässä ja yössä. Tämän POKéMONin ruumiissa villisti roihuava tuli on sen voimanlähde.</v>
      </c>
      <c r="C1710" s="9" t="s">
        <v>1344</v>
      </c>
    </row>
    <row r="1711" ht="33.75" customHeight="1">
      <c r="A1711" s="6" t="s">
        <v>2536</v>
      </c>
      <c r="B1711" s="6" t="str">
        <f>IFERROR(__xludf.DUMMYFUNCTION("GOOGLETRANSLATE(A1711,""en"",""fi"")"),"Tämän nopeajalkaisen POKéMONin sanotaan juoksevan yli 6 200 mailia yhdessä päivässä ja yössä. Sen ruumiissa villisti roihuava tuli on sen voimanlähde.")</f>
        <v>Tämän nopeajalkaisen POKéMONin sanotaan juoksevan yli 6 200 mailia yhdessä päivässä ja yössä. Sen ruumiissa villisti roihuava tuli on sen voimanlähde.</v>
      </c>
      <c r="C1711" s="9" t="s">
        <v>1344</v>
      </c>
    </row>
    <row r="1712" ht="33.75" customHeight="1">
      <c r="A1712" s="6" t="s">
        <v>2537</v>
      </c>
      <c r="B1712" s="6" t="str">
        <f>IFERROR(__xludf.DUMMYFUNCTION("GOOGLETRANSLATE(A1712,""en"",""fi"")"),"Kiinalaisissa legendoissa kuvattu POKéMON. Sen sanotaan kiitävän uskomatonta vauhtia.")</f>
        <v>Kiinalaisissa legendoissa kuvattu POKéMON. Sen sanotaan kiitävän uskomatonta vauhtia.</v>
      </c>
      <c r="C1712" s="9" t="s">
        <v>1344</v>
      </c>
    </row>
    <row r="1713" ht="33.75" customHeight="1">
      <c r="A1713" s="6" t="s">
        <v>2539</v>
      </c>
      <c r="B1713" s="6" t="str">
        <f>IFERROR(__xludf.DUMMYFUNCTION("GOOGLETRANSLATE(A1713,""en"",""fi"")"),"POKéMON, jota on pitkään ihailtu kauneutensa vuoksi. Se juoksee ketterästi kuin siivillä.")</f>
        <v>POKéMON, jota on pitkään ihailtu kauneutensa vuoksi. Se juoksee ketterästi kuin siivillä.</v>
      </c>
      <c r="C1713" s="9" t="s">
        <v>1344</v>
      </c>
    </row>
    <row r="1714" ht="33.75" customHeight="1">
      <c r="A1714" s="6" t="s">
        <v>2541</v>
      </c>
      <c r="B1714" s="6" t="str">
        <f>IFERROR(__xludf.DUMMYFUNCTION("GOOGLETRANSLATE(A1714,""en"",""fi"")"),"Sen ylpeä ja majesteettinen ulkonäkö on valloittanut ihmisten sydämet jo kauan sitten.")</f>
        <v>Sen ylpeä ja majesteettinen ulkonäkö on valloittanut ihmisten sydämet jo kauan sitten.</v>
      </c>
      <c r="C1714" s="9" t="s">
        <v>1344</v>
      </c>
    </row>
    <row r="1715" ht="33.75" customHeight="1">
      <c r="A1715" s="6" t="s">
        <v>2542</v>
      </c>
      <c r="B1715" s="6" t="str">
        <f>IFERROR(__xludf.DUMMYFUNCTION("GOOGLETRANSLATE(A1715,""en"",""fi"")"),"Tätä legendaarista kiinalaista Pokémonia pidetään upeana. Sen suuri harja lumoaa monia ihmisiä.")</f>
        <v>Tätä legendaarista kiinalaista Pokémonia pidetään upeana. Sen suuri harja lumoaa monia ihmisiä.</v>
      </c>
      <c r="C1715" s="9" t="s">
        <v>1344</v>
      </c>
    </row>
    <row r="1716" ht="33.75" customHeight="1">
      <c r="A1716" s="6" t="s">
        <v>2544</v>
      </c>
      <c r="B1716" s="6" t="str">
        <f>IFERROR(__xludf.DUMMYFUNCTION("GOOGLETRANSLATE(A1716,""en"",""fi"")"),"Sen upea haukunta välittää majesteettisuuden tunteen. Kuka tahansa sen kuullessaan ei voi olla nöyrtymättä sen edessä.")</f>
        <v>Sen upea haukunta välittää majesteettisuuden tunteen. Kuka tahansa sen kuullessaan ei voi olla nöyrtymättä sen edessä.</v>
      </c>
      <c r="C1716" s="9" t="s">
        <v>1344</v>
      </c>
    </row>
    <row r="1717" ht="33.75" customHeight="1">
      <c r="A1717" s="6" t="s">
        <v>2545</v>
      </c>
      <c r="B1717" s="6" t="str">
        <f>IFERROR(__xludf.DUMMYFUNCTION("GOOGLETRANSLATE(A1717,""en"",""fi"")"),"Sen yli 6 200 mailin juoksu yhdessä päivässä ja yössä on kiehtonut monia ihmisiä.")</f>
        <v>Sen yli 6 200 mailin juoksu yhdessä päivässä ja yössä on kiehtonut monia ihmisiä.</v>
      </c>
      <c r="C1717" s="9" t="s">
        <v>1344</v>
      </c>
    </row>
    <row r="1718" ht="33.75" customHeight="1">
      <c r="A1718" s="6" t="s">
        <v>2546</v>
      </c>
      <c r="B1718" s="6" t="str">
        <f>IFERROR(__xludf.DUMMYFUNCTION("GOOGLETRANSLATE(A1718,""en"",""fi"")"),"Pokémon, jota on pitkään ihailtu kauneutensa vuoksi. Se juoksee ketterästi kuin siivillä.")</f>
        <v>Pokémon, jota on pitkään ihailtu kauneutensa vuoksi. Se juoksee ketterästi kuin siivillä.</v>
      </c>
      <c r="C1718" s="9" t="s">
        <v>1344</v>
      </c>
    </row>
    <row r="1719" ht="33.75" customHeight="1">
      <c r="A1719" s="6" t="s">
        <v>2548</v>
      </c>
      <c r="B1719" s="6" t="str">
        <f>IFERROR(__xludf.DUMMYFUNCTION("GOOGLETRANSLATE(A1719,""en"",""fi"")"),"Arcanine tunnetaan suuresta nopeudestaan. Sen sanotaan pystyvän juoksemaan yli 6 200 mailia yhdessä päivässä ja yössä. Tämän Pokémonin kehossa villisti roihuava tuli on sen voimanlähde.")</f>
        <v>Arcanine tunnetaan suuresta nopeudestaan. Sen sanotaan pystyvän juoksemaan yli 6 200 mailia yhdessä päivässä ja yössä. Tämän Pokémonin kehossa villisti roihuava tuli on sen voimanlähde.</v>
      </c>
      <c r="C1719" s="9" t="s">
        <v>1344</v>
      </c>
    </row>
    <row r="1720" ht="33.75" customHeight="1">
      <c r="A1720" s="6" t="s">
        <v>2550</v>
      </c>
      <c r="B1720" s="6" t="str">
        <f>IFERROR(__xludf.DUMMYFUNCTION("GOOGLETRANSLATE(A1720,""en"",""fi"")"),"Kauneutta ja majesteettisuutta pursuava tämä vahva Pokémon esiintyy muinaisessa itämaisessa kansanperinteessä.")</f>
        <v>Kauneutta ja majesteettisuutta pursuava tämä vahva Pokémon esiintyy muinaisessa itämaisessa kansanperinteessä.</v>
      </c>
      <c r="C1720" s="9" t="s">
        <v>1344</v>
      </c>
    </row>
    <row r="1721" ht="33.75" customHeight="1">
      <c r="A1721" s="6" t="s">
        <v>2551</v>
      </c>
      <c r="B1721" s="6" t="str">
        <f>IFERROR(__xludf.DUMMYFUNCTION("GOOGLETRANSLATE(A1721,""en"",""fi"")"),"Sen ruumiissa palava tuli toimii energiana sille pitkien matkojen juostessa. Se esiintyy monissa legendoissa.")</f>
        <v>Sen ruumiissa palava tuli toimii energiana sille pitkien matkojen juostessa. Se esiintyy monissa legendoissa.</v>
      </c>
      <c r="C1721" s="9" t="s">
        <v>1344</v>
      </c>
    </row>
    <row r="1722" ht="33.75" customHeight="1">
      <c r="A1722" s="6" t="s">
        <v>2554</v>
      </c>
      <c r="B1722" s="6" t="str">
        <f>IFERROR(__xludf.DUMMYFUNCTION("GOOGLETRANSLATE(A1722,""en"",""fi"")"),"Legendat kertovat sen taistelevan kenraalin rinnalla ja valloittaneen kokonaisen maan.")</f>
        <v>Legendat kertovat sen taistelevan kenraalin rinnalla ja valloittaneen kokonaisen maan.</v>
      </c>
      <c r="C1722" s="9" t="s">
        <v>1344</v>
      </c>
    </row>
    <row r="1723" ht="33.75" customHeight="1">
      <c r="A1723" s="6" t="s">
        <v>2556</v>
      </c>
      <c r="B1723" s="6" t="str">
        <f>IFERROR(__xludf.DUMMYFUNCTION("GOOGLETRANSLATE(A1723,""en"",""fi"")"),"Niistä on niin paljon vanhoja tarinoita, että niitä kutsutaan legendaarisiksi Pokémoneiksi, mutta niitä on paljon enemmän kuin odottaisi.")</f>
        <v>Niistä on niin paljon vanhoja tarinoita, että niitä kutsutaan legendaarisiksi Pokémoneiksi, mutta niitä on paljon enemmän kuin odottaisi.</v>
      </c>
      <c r="C1723" s="9" t="s">
        <v>1344</v>
      </c>
    </row>
    <row r="1724" ht="33.75" customHeight="1">
      <c r="A1724" s="6" t="s">
        <v>2557</v>
      </c>
      <c r="B1724" s="6" t="str">
        <f>IFERROR(__xludf.DUMMYFUNCTION("GOOGLETRANSLATE(A1724,""en"",""fi"")"),"Legendaarinen Pokémon idässä. Sen juoksun suloisuus ja kauneus viehättävät monia ihmisiä.")</f>
        <v>Legendaarinen Pokémon idässä. Sen juoksun suloisuus ja kauneus viehättävät monia ihmisiä.</v>
      </c>
      <c r="C1724" s="9" t="s">
        <v>1344</v>
      </c>
    </row>
    <row r="1725" ht="33.75" customHeight="1">
      <c r="A1725" s="6" t="s">
        <v>2559</v>
      </c>
      <c r="B1725" s="6" t="str">
        <f>IFERROR(__xludf.DUMMYFUNCTION("GOOGLETRANSLATE(A1725,""en"",""fi"")"),"Iskee vihollisiaan liekehtivien hampaiden peittämänä. Suuresta koostaan ​​huolimatta se taitavasti harhauttaa joka suuntaan johdattaen vastustajat petollisen iloiseen takaa-ajoon tanssiessaan heidän ympärillään.")</f>
        <v>Iskee vihollisiaan liekehtivien hampaiden peittämänä. Suuresta koostaan ​​huolimatta se taitavasti harhauttaa joka suuntaan johdattaen vastustajat petollisen iloiseen takaa-ajoon tanssiessaan heidän ympärillään.</v>
      </c>
      <c r="C1725" s="9" t="s">
        <v>1344</v>
      </c>
    </row>
    <row r="1726" ht="33.75" customHeight="1">
      <c r="A1726" s="6" t="s">
        <v>2561</v>
      </c>
      <c r="B1726" s="6" t="str">
        <f>IFERROR(__xludf.DUMMYFUNCTION("GOOGLETRANSLATE(A1726,""en"",""fi"")"),"Sen vastakasvoiset jalat estävät sitä juoksemasta. Se näyttää mieluummin uivan kuin yrittävän seistä.")</f>
        <v>Sen vastakasvoiset jalat estävät sitä juoksemasta. Se näyttää mieluummin uivan kuin yrittävän seistä.</v>
      </c>
      <c r="C1726" s="9" t="s">
        <v>1344</v>
      </c>
    </row>
    <row r="1727" ht="33.75" customHeight="1">
      <c r="A1727" s="6" t="s">
        <v>2563</v>
      </c>
      <c r="B1727" s="6" t="str">
        <f>IFERROR(__xludf.DUMMYFUNCTION("GOOGLETRANSLATE(A1727,""en"",""fi"")"),"Vatsan spiraalin suunta vaihtelee alueittain. Se on taitavampi uimassa kuin kävelyssä.")</f>
        <v>Vatsan spiraalin suunta vaihtelee alueittain. Se on taitavampi uimassa kuin kävelyssä.</v>
      </c>
      <c r="C1727" s="9" t="s">
        <v>1344</v>
      </c>
    </row>
    <row r="1728" ht="33.75" customHeight="1">
      <c r="A1728" s="6" t="s">
        <v>2565</v>
      </c>
      <c r="B1728" s="6" t="str">
        <f>IFERROR(__xludf.DUMMYFUNCTION("GOOGLETRANSLATE(A1728,""en"",""fi"")"),"Koska se on tottunut kävelemään vastakasvaneilla jaloillaan, se ui aina vedessä.")</f>
        <v>Koska se on tottunut kävelemään vastakasvaneilla jaloillaan, se ui aina vedessä.</v>
      </c>
      <c r="C1728" s="9" t="s">
        <v>1344</v>
      </c>
    </row>
    <row r="1729" ht="33.75" customHeight="1">
      <c r="A1729" s="6" t="s">
        <v>2567</v>
      </c>
      <c r="B1729" s="6" t="str">
        <f>IFERROR(__xludf.DUMMYFUNCTION("GOOGLETRANSLATE(A1729,""en"",""fi"")"),"Sen vatsan spiraalin suunta vaihtelee alueittain. Päiväntasaajalla uskotaan olevan vaikutusta tähän.")</f>
        <v>Sen vatsan spiraalin suunta vaihtelee alueittain. Päiväntasaajalla uskotaan olevan vaikutusta tähän.</v>
      </c>
      <c r="C1729" s="9" t="s">
        <v>1344</v>
      </c>
    </row>
    <row r="1730" ht="33.75" customHeight="1">
      <c r="A1730" s="6" t="s">
        <v>2568</v>
      </c>
      <c r="B1730" s="6" t="str">
        <f>IFERROR(__xludf.DUMMYFUNCTION("GOOGLETRANSLATE(A1730,""en"",""fi"")"),"Vatsan pyörre kuvaa sen sisusta, joka näkyy ihon läpi. Se näyttää kirkkaammalta syömisen jälkeen.")</f>
        <v>Vatsan pyörre kuvaa sen sisusta, joka näkyy ihon läpi. Se näyttää kirkkaammalta syömisen jälkeen.</v>
      </c>
      <c r="C1730" s="9" t="s">
        <v>1344</v>
      </c>
    </row>
    <row r="1731" ht="33.75" customHeight="1">
      <c r="A1731" s="6" t="s">
        <v>2570</v>
      </c>
      <c r="B1731" s="6" t="str">
        <f>IFERROR(__xludf.DUMMYFUNCTION("GOOGLETRANSLATE(A1731,""en"",""fi"")"),"POLIWAGilla on hyvin ohut iho. POKéMONien spiraalimaiset sisuskalut näkyvät suoraan ihon läpi. Ohuudestaan ​​huolimatta iho on kuitenkin myös erittäin joustava. Jopa terävät torahampaat kimpoavat siitä suoraan.")</f>
        <v>POLIWAGilla on hyvin ohut iho. POKéMONien spiraalimaiset sisuskalut näkyvät suoraan ihon läpi. Ohuudestaan ​​huolimatta iho on kuitenkin myös erittäin joustava. Jopa terävät torahampaat kimpoavat siitä suoraan.</v>
      </c>
      <c r="C1731" s="9" t="s">
        <v>1344</v>
      </c>
    </row>
    <row r="1732" ht="33.75" customHeight="1">
      <c r="A1732" s="6" t="s">
        <v>2572</v>
      </c>
      <c r="B1732" s="6" t="str">
        <f>IFERROR(__xludf.DUMMYFUNCTION("GOOGLETRANSLATE(A1732,""en"",""fi"")"),"Tämän POKéMONin spiraalimaiset sisuskalut näkyvät suoraan sen ohuen ihon läpi. Iho on kuitenkin myös erittäin joustava. Jopa terävät torahampaat kimpoavat siitä suoraan.")</f>
        <v>Tämän POKéMONin spiraalimaiset sisuskalut näkyvät suoraan sen ohuen ihon läpi. Iho on kuitenkin myös erittäin joustava. Jopa terävät torahampaat kimpoavat siitä suoraan.</v>
      </c>
      <c r="C1732" s="9" t="s">
        <v>1344</v>
      </c>
    </row>
    <row r="1733" ht="33.75" customHeight="1">
      <c r="A1733" s="6" t="s">
        <v>2575</v>
      </c>
      <c r="B1733" s="6" t="str">
        <f>IFERROR(__xludf.DUMMYFUNCTION("GOOGLETRANSLATE(A1733,""en"",""fi"")"),"Sen liukas musta iho on ohut ja kostea. Osa sen sisäelimistä näkyy ihon läpi spiraalimaisena kuviona.")</f>
        <v>Sen liukas musta iho on ohut ja kostea. Osa sen sisäelimistä näkyy ihon läpi spiraalimaisena kuviona.</v>
      </c>
      <c r="C1733" s="9" t="s">
        <v>1344</v>
      </c>
    </row>
    <row r="1734" ht="33.75" customHeight="1">
      <c r="A1734" s="6" t="s">
        <v>2576</v>
      </c>
      <c r="B1734" s="6" t="str">
        <f>IFERROR(__xludf.DUMMYFUNCTION("GOOGLETRANSLATE(A1734,""en"",""fi"")"),"Sen vastakasvoiset jalat estävät sitä kävelemästä hyvin. Se näyttää pitävän enemmän uimisesta kuin kävelystä.")</f>
        <v>Sen vastakasvoiset jalat estävät sitä kävelemästä hyvin. Se näyttää pitävän enemmän uimisesta kuin kävelystä.</v>
      </c>
      <c r="C1734" s="9" t="s">
        <v>1344</v>
      </c>
    </row>
    <row r="1735" ht="33.75" customHeight="1">
      <c r="A1735" s="6" t="s">
        <v>2578</v>
      </c>
      <c r="B1735" s="6" t="str">
        <f>IFERROR(__xludf.DUMMYFUNCTION("GOOGLETRANSLATE(A1735,""en"",""fi"")"),"Sen iho on niin ohut, että sen sisäelimet ovat näkyvissä. Sillä on vaikeuksia kävellä vastakasvaneilla jaloillaan.")</f>
        <v>Sen iho on niin ohut, että sen sisäelimet ovat näkyvissä. Sillä on vaikeuksia kävellä vastakasvaneilla jaloillaan.</v>
      </c>
      <c r="C1735" s="9" t="s">
        <v>1344</v>
      </c>
    </row>
    <row r="1736" ht="33.75" customHeight="1">
      <c r="A1736" s="6" t="s">
        <v>2580</v>
      </c>
      <c r="B1736" s="6" t="str">
        <f>IFERROR(__xludf.DUMMYFUNCTION("GOOGLETRANSLATE(A1736,""en"",""fi"")"),"Koska se on taitamaton kävelemään vastakasvaneilla jaloillaan, se ui aina vedessä.")</f>
        <v>Koska se on taitamaton kävelemään vastakasvaneilla jaloillaan, se ui aina vedessä.</v>
      </c>
      <c r="C1736" s="9" t="s">
        <v>1344</v>
      </c>
    </row>
    <row r="1737" ht="33.75" customHeight="1">
      <c r="A1737" s="6" t="s">
        <v>2582</v>
      </c>
      <c r="B1737" s="6" t="str">
        <f>IFERROR(__xludf.DUMMYFUNCTION("GOOGLETRANSLATE(A1737,""en"",""fi"")"),"Poliwagilla on hyvin ohut iho. Pokémonin spiraalimaiset sisuskalut näkyvät suoraan ihon läpi. Ohuudestaan ​​huolimatta iho on kuitenkin myös erittäin joustava. Jopa terävät torahampaat kimpoavat siitä suoraan.")</f>
        <v>Poliwagilla on hyvin ohut iho. Pokémonin spiraalimaiset sisuskalut näkyvät suoraan ihon läpi. Ohuudestaan ​​huolimatta iho on kuitenkin myös erittäin joustava. Jopa terävät torahampaat kimpoavat siitä suoraan.</v>
      </c>
      <c r="C1737" s="9" t="s">
        <v>1344</v>
      </c>
    </row>
    <row r="1738" ht="33.75" customHeight="1">
      <c r="A1738" s="6" t="s">
        <v>2583</v>
      </c>
      <c r="B1738" s="6" t="str">
        <f>IFERROR(__xludf.DUMMYFUNCTION("GOOGLETRANSLATE(A1738,""en"",""fi"")"),"Vatsassa oleva pyörre tarkoittaa sen läpi näkyviä sisäelimiä. Jos pyörre on valkoinen, se tarkoittaa, että sillä on jokin sairaus.")</f>
        <v>Vatsassa oleva pyörre tarkoittaa sen läpi näkyviä sisäelimiä. Jos pyörre on valkoinen, se tarkoittaa, että sillä on jokin sairaus.</v>
      </c>
      <c r="C1738" s="9" t="s">
        <v>1344</v>
      </c>
    </row>
    <row r="1739" ht="33.75" customHeight="1">
      <c r="A1739" s="6" t="s">
        <v>2584</v>
      </c>
      <c r="B1739" s="6" t="str">
        <f>IFERROR(__xludf.DUMMYFUNCTION("GOOGLETRANSLATE(A1739,""en"",""fi"")"),"Se ei vieläkään ole kovin hyvä kävelemään. Sen kouluttajien pitäisi kouluttaa tämä Pokémon kävelemään joka päivä.")</f>
        <v>Se ei vieläkään ole kovin hyvä kävelemään. Sen kouluttajien pitäisi kouluttaa tämä Pokémon kävelemään joka päivä.</v>
      </c>
      <c r="C1739" s="9" t="s">
        <v>1344</v>
      </c>
    </row>
    <row r="1740" ht="33.75" customHeight="1">
      <c r="A1740" s="6" t="s">
        <v>2585</v>
      </c>
      <c r="B1740" s="6" t="str">
        <f>IFERROR(__xludf.DUMMYFUNCTION("GOOGLETRANSLATE(A1740,""en"",""fi"")"),"Vaarasta huolimatta se haluaa päästä maihin. Niinpä se yrittää parhaansa mukaan vaappua eteenpäin, mutta kun vihollinen löytää sen, se ryntää takaisin veteen.")</f>
        <v>Vaarasta huolimatta se haluaa päästä maihin. Niinpä se yrittää parhaansa mukaan vaappua eteenpäin, mutta kun vihollinen löytää sen, se ryntää takaisin veteen.</v>
      </c>
      <c r="C1740" s="9" t="s">
        <v>1344</v>
      </c>
    </row>
    <row r="1741" ht="33.75" customHeight="1">
      <c r="A1741" s="6" t="s">
        <v>2586</v>
      </c>
      <c r="B1741" s="6" t="str">
        <f>IFERROR(__xludf.DUMMYFUNCTION("GOOGLETRANSLATE(A1741,""en"",""fi"")"),"Vatsassa olevan pyörteen suunta vaihtelee asuinpaikasta riippuen. Poliwag-harrastajat pystyvät erottamaan ne yhdellä silmäyksellä.")</f>
        <v>Vatsassa olevan pyörteen suunta vaihtelee asuinpaikasta riippuen. Poliwag-harrastajat pystyvät erottamaan ne yhdellä silmäyksellä.</v>
      </c>
      <c r="C1741" s="9" t="s">
        <v>1344</v>
      </c>
    </row>
    <row r="1742" ht="33.75" customHeight="1">
      <c r="A1742" s="6" t="s">
        <v>2587</v>
      </c>
      <c r="B1742" s="6" t="str">
        <f>IFERROR(__xludf.DUMMYFUNCTION("GOOGLETRANSLATE(A1742,""en"",""fi"")"),"Poliwagille uinti on helpompaa kuin kävely. Sen vatsassa oleva pyörrekuvio on itse asiassa osa Pokémonin sisälmyksiä, jotka näkyvät ihon läpi.")</f>
        <v>Poliwagille uinti on helpompaa kuin kävely. Sen vatsassa oleva pyörrekuvio on itse asiassa osa Pokémonin sisälmyksiä, jotka näkyvät ihon läpi.</v>
      </c>
      <c r="C1742" s="9" t="s">
        <v>1344</v>
      </c>
    </row>
    <row r="1743" ht="33.75" customHeight="1">
      <c r="A1743" s="6" t="s">
        <v>2588</v>
      </c>
      <c r="B1743" s="6" t="str">
        <f>IFERROR(__xludf.DUMMYFUNCTION("GOOGLETRANSLATE(A1743,""en"",""fi"")"),"Nopeasti virtaavissa joissa tämä Pokémon tarttuu kallioon käyttämällä paksuja huuliaan, jotka toimivat imukupin tavoin.")</f>
        <v>Nopeasti virtaavissa joissa tämä Pokémon tarttuu kallioon käyttämällä paksuja huuliaan, jotka toimivat imukupin tavoin.</v>
      </c>
      <c r="C1743" s="9" t="s">
        <v>1344</v>
      </c>
    </row>
    <row r="1744" ht="33.75" customHeight="1">
      <c r="A1744" s="6" t="s">
        <v>2590</v>
      </c>
      <c r="B1744" s="6" t="str">
        <f>IFERROR(__xludf.DUMMYFUNCTION("GOOGLETRANSLATE(A1744,""en"",""fi"")"),"Kykenee elämään vedessä tai sen ulkopuolella. Veden ulkopuolella se hikoilee pitääkseen kehonsa limaisena.")</f>
        <v>Kykenee elämään vedessä tai sen ulkopuolella. Veden ulkopuolella se hikoilee pitääkseen kehonsa limaisena.</v>
      </c>
      <c r="C1744" s="9" t="s">
        <v>1344</v>
      </c>
    </row>
    <row r="1745" ht="33.75" customHeight="1">
      <c r="A1745" s="6" t="s">
        <v>2591</v>
      </c>
      <c r="B1745" s="6" t="str">
        <f>IFERROR(__xludf.DUMMYFUNCTION("GOOGLETRANSLATE(A1745,""en"",""fi"")"),"Hyökkäyksen kohteeksi joutuessaan se käyttää vatsaspiraaliaan nukuttaakseen vihollisen. Sitten se pakenee.")</f>
        <v>Hyökkäyksen kohteeksi joutuessaan se käyttää vatsaspiraaliaan nukuttaakseen vihollisen. Sitten se pakenee.</v>
      </c>
      <c r="C1745" s="9" t="s">
        <v>1344</v>
      </c>
    </row>
    <row r="1746" ht="33.75" customHeight="1">
      <c r="A1746" s="6" t="s">
        <v>2592</v>
      </c>
      <c r="B1746" s="6" t="str">
        <f>IFERROR(__xludf.DUMMYFUNCTION("GOOGLETRANSLATE(A1746,""en"",""fi"")"),"Sen vatsassa oleva pyörre aaltoilee hienovaraisesti. Sen tuijottaminen voi vähitellen aiheuttaa uneliaisuutta.")</f>
        <v>Sen vatsassa oleva pyörre aaltoilee hienovaraisesti. Sen tuijottaminen voi vähitellen aiheuttaa uneliaisuutta.</v>
      </c>
      <c r="C1746" s="9" t="s">
        <v>1344</v>
      </c>
    </row>
    <row r="1747" ht="33.75" customHeight="1">
      <c r="A1747" s="6" t="s">
        <v>2593</v>
      </c>
      <c r="B1747" s="6" t="str">
        <f>IFERROR(__xludf.DUMMYFUNCTION("GOOGLETRANSLATE(A1747,""en"",""fi"")"),"Iho on suurimmassa osassa sen kehoa kostea. Vatsaspiraalin iho tuntuu kuitenkin sileältä.")</f>
        <v>Iho on suurimmassa osassa sen kehoa kostea. Vatsaspiraalin iho tuntuu kuitenkin sileältä.</v>
      </c>
      <c r="C1747" s="9" t="s">
        <v>1344</v>
      </c>
    </row>
    <row r="1748" ht="33.75" customHeight="1">
      <c r="A1748" s="6" t="s">
        <v>2594</v>
      </c>
      <c r="B1748" s="6" t="str">
        <f>IFERROR(__xludf.DUMMYFUNCTION("GOOGLETRANSLATE(A1748,""en"",""fi"")"),"Vaikka se on taitava kävelemään, se viihtyy mieluummin veden alla, missä on vähemmän vaaraa.")</f>
        <v>Vaikka se on taitava kävelemään, se viihtyy mieluummin veden alla, missä on vähemmän vaaraa.</v>
      </c>
      <c r="C1748" s="9" t="s">
        <v>1344</v>
      </c>
    </row>
    <row r="1749" ht="33.75" customHeight="1">
      <c r="A1749" s="6" t="s">
        <v>2597</v>
      </c>
      <c r="B1749" s="6" t="str">
        <f>IFERROR(__xludf.DUMMYFUNCTION("GOOGLETRANSLATE(A1749,""en"",""fi"")"),"POLIWHIRLin kehon pinta on aina märkä ja liukas, ja sen päällä on öljymäistä nestettä. Tämän rasvaisen kerroksen vuoksi se voi helposti lipsahtaa ja luisua minkä tahansa vihollisen kynsistä taistelussa.")</f>
        <v>POLIWHIRLin kehon pinta on aina märkä ja liukas, ja sen päällä on öljymäistä nestettä. Tämän rasvaisen kerroksen vuoksi se voi helposti lipsahtaa ja luisua minkä tahansa vihollisen kynsistä taistelussa.</v>
      </c>
      <c r="C1749" s="9" t="s">
        <v>1344</v>
      </c>
    </row>
    <row r="1750" ht="33.75" customHeight="1">
      <c r="A1750" s="6" t="s">
        <v>2599</v>
      </c>
      <c r="B1750" s="6" t="str">
        <f>IFERROR(__xludf.DUMMYFUNCTION("GOOGLETRANSLATE(A1750,""en"",""fi"")"),"Sen ruumiinpinta on aina märkä ja liukas öljymäisestä nesteestä. Tämän rasvaisen peitteen vuoksi se voi helposti lipsahtaa ja luisua minkä tahansa vihollisen kynsistä taistelussa.")</f>
        <v>Sen ruumiinpinta on aina märkä ja liukas öljymäisestä nesteestä. Tämän rasvaisen peitteen vuoksi se voi helposti lipsahtaa ja luisua minkä tahansa vihollisen kynsistä taistelussa.</v>
      </c>
      <c r="C1750" s="9" t="s">
        <v>1344</v>
      </c>
    </row>
    <row r="1751" ht="33.75" customHeight="1">
      <c r="A1751" s="6" t="s">
        <v>2600</v>
      </c>
      <c r="B1751" s="6" t="str">
        <f>IFERROR(__xludf.DUMMYFUNCTION("GOOGLETRANSLATE(A1751,""en"",""fi"")"),"Sen kaksi jalkaa ovat hyvin kehittyneet. Vaikka se voi elää maassa, se viihtyy parhaiten vedessä.")</f>
        <v>Sen kaksi jalkaa ovat hyvin kehittyneet. Vaikka se voi elää maassa, se viihtyy parhaiten vedessä.</v>
      </c>
      <c r="C1751" s="9" t="s">
        <v>1344</v>
      </c>
    </row>
    <row r="1752" ht="33.75" customHeight="1">
      <c r="A1752" s="6" t="s">
        <v>2602</v>
      </c>
      <c r="B1752" s="6" t="str">
        <f>IFERROR(__xludf.DUMMYFUNCTION("GOOGLETRANSLATE(A1752,""en"",""fi"")"),"Se voi elää vedessä tai sen ulkopuolella. Veden ulkopuolella se hikoilee jatkuvasti pitääkseen kehonsa limaisena.")</f>
        <v>Se voi elää vedessä tai sen ulkopuolella. Veden ulkopuolella se hikoilee jatkuvasti pitääkseen kehonsa limaisena.</v>
      </c>
      <c r="C1752" s="9" t="s">
        <v>1344</v>
      </c>
    </row>
    <row r="1753" ht="33.75" customHeight="1">
      <c r="A1753" s="6" t="s">
        <v>2603</v>
      </c>
      <c r="B1753" s="6" t="str">
        <f>IFERROR(__xludf.DUMMYFUNCTION("GOOGLETRANSLATE(A1753,""en"",""fi"")"),"Sen vatsan spiraalimainen kuvio aaltoilee hienovaraisesti. Sen tuijottaminen aiheuttaa vähitellen uneliaisuutta.")</f>
        <v>Sen vatsan spiraalimainen kuvio aaltoilee hienovaraisesti. Sen tuijottaminen aiheuttaa vähitellen uneliaisuutta.</v>
      </c>
      <c r="C1753" s="9" t="s">
        <v>1344</v>
      </c>
    </row>
    <row r="1754" ht="33.75" customHeight="1">
      <c r="A1754" s="6" t="s">
        <v>2604</v>
      </c>
      <c r="B1754" s="6" t="str">
        <f>IFERROR(__xludf.DUMMYFUNCTION("GOOGLETRANSLATE(A1754,""en"",""fi"")"),"Sen vatsassa oleva pyörre aaltoilee hienovaraisesti. Sen tuijottaminen voi vähitellen aiheuttaa uneliaisuutta.")</f>
        <v>Sen vatsassa oleva pyörre aaltoilee hienovaraisesti. Sen tuijottaminen voi vähitellen aiheuttaa uneliaisuutta.</v>
      </c>
      <c r="C1754" s="9" t="s">
        <v>1344</v>
      </c>
    </row>
    <row r="1755" ht="33.75" customHeight="1">
      <c r="A1755" s="6" t="s">
        <v>2606</v>
      </c>
      <c r="B1755" s="6" t="str">
        <f>IFERROR(__xludf.DUMMYFUNCTION("GOOGLETRANSLATE(A1755,""en"",""fi"")"),"Poliwhirlin ruumiin pinta on aina märkä ja liukas, ja sitä peittää limainen neste. Tämän liukkaan kerroksen ansiosta se voi helposti lipsahtaa ja luisua pois vihollisen kynsistä taistelussa.")</f>
        <v>Poliwhirlin ruumiin pinta on aina märkä ja liukas, ja sitä peittää limainen neste. Tämän liukkaan kerroksen ansiosta se voi helposti lipsahtaa ja luisua pois vihollisen kynsistä taistelussa.</v>
      </c>
      <c r="C1755" s="9" t="s">
        <v>1344</v>
      </c>
    </row>
    <row r="1756" ht="33.75" customHeight="1">
      <c r="A1756" s="6" t="s">
        <v>2607</v>
      </c>
      <c r="B1756" s="6" t="str">
        <f>IFERROR(__xludf.DUMMYFUNCTION("GOOGLETRANSLATE(A1756,""en"",""fi"")"),"Vaikka se voi elää maalla, se viihtyy vedessä, jossa sillä on vähemmän luonnollisia vihollisia.")</f>
        <v>Vaikka se voi elää maalla, se viihtyy vedessä, jossa sillä on vähemmän luonnollisia vihollisia.</v>
      </c>
      <c r="C1756" s="9" t="s">
        <v>1344</v>
      </c>
    </row>
    <row r="1757" ht="33.75" customHeight="1">
      <c r="A1757" s="6" t="s">
        <v>2609</v>
      </c>
      <c r="B1757" s="6" t="str">
        <f>IFERROR(__xludf.DUMMYFUNCTION("GOOGLETRANSLATE(A1757,""en"",""fi"")"),"Se marssii maan halki etsien syötäväksi kelpaavia ötökkä-Pokémoneja. Sitten se vie ne veden alle, jotta se voi syödä niitä turvallisessa paikassa.")</f>
        <v>Se marssii maan halki etsien syötäväksi kelpaavia ötökkä-Pokémoneja. Sitten se vie ne veden alle, jotta se voi syödä niitä turvallisessa paikassa.</v>
      </c>
      <c r="C1757" s="9" t="s">
        <v>1344</v>
      </c>
    </row>
    <row r="1758" ht="33.75" customHeight="1">
      <c r="A1758" s="6" t="s">
        <v>2610</v>
      </c>
      <c r="B1758" s="6" t="str">
        <f>IFERROR(__xludf.DUMMYFUNCTION("GOOGLETRANSLATE(A1758,""en"",""fi"")"),"Vaikka se on kykenevä elämään maalla, se viettää aikansa vedessä, missä sen saalista, kala-Pokémoneja, on runsaasti.")</f>
        <v>Vaikka se on kykenevä elämään maalla, se viettää aikansa vedessä, missä sen saalista, kala-Pokémoneja, on runsaasti.</v>
      </c>
      <c r="C1758" s="9" t="s">
        <v>1344</v>
      </c>
    </row>
    <row r="1759" ht="33.75" customHeight="1">
      <c r="A1759" s="6" t="s">
        <v>2612</v>
      </c>
      <c r="B1759" s="6" t="str">
        <f>IFERROR(__xludf.DUMMYFUNCTION("GOOGLETRANSLATE(A1759,""en"",""fi"")"),"Sen terveys kärsii, kun sen iho kuivuu, joten muista kosteuttaa sitä huolellisesti.")</f>
        <v>Sen terveys kärsii, kun sen iho kuivuu, joten muista kosteuttaa sitä huolellisesti.</v>
      </c>
      <c r="C1759" s="9" t="s">
        <v>1344</v>
      </c>
    </row>
    <row r="1760" ht="33.75" customHeight="1">
      <c r="A1760" s="6" t="s">
        <v>2613</v>
      </c>
      <c r="B1760" s="6" t="str">
        <f>IFERROR(__xludf.DUMMYFUNCTION("GOOGLETRANSLATE(A1760,""en"",""fi"")"),"Vatsassa olevan pyörteen tuijottaminen aiheuttaa uneliaisuutta. Tätä Poliwhirlin ominaisuutta on käytetty tuutulaulujen sijasta lasten nukahtamiseen.")</f>
        <v>Vatsassa olevan pyörteen tuijottaminen aiheuttaa uneliaisuutta. Tätä Poliwhirlin ominaisuutta on käytetty tuutulaulujen sijasta lasten nukahtamiseen.</v>
      </c>
      <c r="C1760" s="9" t="s">
        <v>1344</v>
      </c>
    </row>
    <row r="1761" ht="33.75" customHeight="1">
      <c r="A1761" s="6" t="s">
        <v>2615</v>
      </c>
      <c r="B1761" s="6" t="str">
        <f>IFERROR(__xludf.DUMMYFUNCTION("GOOGLETRANSLATE(A1761,""en"",""fi"")"),"Tämän Pokémonin hiki on limaista löysää ainetta. Vangittuna Poliwhirl voi luikerrella vihollistensa otteesta ja paeta.")</f>
        <v>Tämän Pokémonin hiki on limaista löysää ainetta. Vangittuna Poliwhirl voi luikerrella vihollistensa otteesta ja paeta.</v>
      </c>
      <c r="C1761" s="9" t="s">
        <v>1344</v>
      </c>
    </row>
    <row r="1762" ht="33.75" customHeight="1">
      <c r="A1762" s="6" t="s">
        <v>2618</v>
      </c>
      <c r="B1762" s="6" t="str">
        <f>IFERROR(__xludf.DUMMYFUNCTION("GOOGLETRANSLATE(A1762,""en"",""fi"")"),"Taitava uimari sekä konttaus- että rintauinnissa. Ohittaa helposti parhaat ihmisuimarit.")</f>
        <v>Taitava uimari sekä konttaus- että rintauinnissa. Ohittaa helposti parhaat ihmisuimarit.</v>
      </c>
      <c r="C1762" s="9" t="s">
        <v>1344</v>
      </c>
    </row>
    <row r="1763" ht="33.75" customHeight="1">
      <c r="A1763" s="6" t="s">
        <v>2621</v>
      </c>
      <c r="B1763" s="6" t="str">
        <f>IFERROR(__xludf.DUMMYFUNCTION("GOOGLETRANSLATE(A1763,""en"",""fi"")"),"Ui voimakkaasti käyttäen kaikkia kehonsa lihaksia. Se voi jopa ohittaa mestariuimarit.")</f>
        <v>Ui voimakkaasti käyttäen kaikkia kehonsa lihaksia. Se voi jopa ohittaa mestariuimarit.</v>
      </c>
      <c r="C1763" s="9" t="s">
        <v>1344</v>
      </c>
    </row>
    <row r="1764" ht="33.75" customHeight="1">
      <c r="A1764" s="6" t="s">
        <v>2622</v>
      </c>
      <c r="B1764" s="6" t="str">
        <f>IFERROR(__xludf.DUMMYFUNCTION("GOOGLETRANSLATE(A1764,""en"",""fi"")"),"Tämä vahva ja taitava uimari pystyy jopa ylittämään Tyynenmeren pelkällä potkaisemisella.")</f>
        <v>Tämä vahva ja taitava uimari pystyy jopa ylittämään Tyynenmeren pelkällä potkaisemisella.</v>
      </c>
      <c r="C1764" s="9" t="s">
        <v>1344</v>
      </c>
    </row>
    <row r="1765" ht="33.75" customHeight="1">
      <c r="A1765" s="6" t="s">
        <v>2623</v>
      </c>
      <c r="B1765" s="6" t="str">
        <f>IFERROR(__xludf.DUMMYFUNCTION("GOOGLETRANSLATE(A1765,""en"",""fi"")"),"Vaikka se on energinen ja taitava uimari, joka käyttää kaikkia lihaksiaan, se elää kuivalla maalla.")</f>
        <v>Vaikka se on energinen ja taitava uimari, joka käyttää kaikkia lihaksiaan, se elää kuivalla maalla.</v>
      </c>
      <c r="C1765" s="9" t="s">
        <v>1344</v>
      </c>
    </row>
    <row r="1766" ht="33.75" customHeight="1">
      <c r="A1766" s="6" t="s">
        <v>2626</v>
      </c>
      <c r="B1766" s="6" t="str">
        <f>IFERROR(__xludf.DUMMYFUNCTION("GOOGLETRANSLATE(A1766,""en"",""fi"")"),"Se voi käyttää hyvin kehittyneitä käsiään ja jalkojaan juosta veden pinnalla sekunnin murto-osan.")</f>
        <v>Se voi käyttää hyvin kehittyneitä käsiään ja jalkojaan juosta veden pinnalla sekunnin murto-osan.</v>
      </c>
      <c r="C1766" s="9" t="s">
        <v>1344</v>
      </c>
    </row>
    <row r="1767" ht="33.75" customHeight="1">
      <c r="A1767" s="6" t="s">
        <v>2627</v>
      </c>
      <c r="B1767" s="6" t="str">
        <f>IFERROR(__xludf.DUMMYFUNCTION("GOOGLETRANSLATE(A1767,""en"",""fi"")"),"POLIWRATHin erittäin kehittyneet ja vahvat lihakset eivät koskaan väsy, vaikka se kuinka paljon treenaisi. Se on niin väsymättömän vahva, että tämä POKéMON voi uida edestakaisin Tyynellämerellä vaivattomasti.")</f>
        <v>POLIWRATHin erittäin kehittyneet ja vahvat lihakset eivät koskaan väsy, vaikka se kuinka paljon treenaisi. Se on niin väsymättömän vahva, että tämä POKéMON voi uida edestakaisin Tyynellämerellä vaivattomasti.</v>
      </c>
      <c r="C1767" s="9" t="s">
        <v>1344</v>
      </c>
    </row>
    <row r="1768" ht="33.75" customHeight="1">
      <c r="A1768" s="6" t="s">
        <v>2629</v>
      </c>
      <c r="B1768" s="6" t="str">
        <f>IFERROR(__xludf.DUMMYFUNCTION("GOOGLETRANSLATE(A1768,""en"",""fi"")"),"Sen erittäin kehittyneet lihakset eivät koskaan väsy, vaikka se kuinka paljon treenaisi. Tämä POKéMON voi uida edestakaisin Tyynellämerellä vaivattomasti.")</f>
        <v>Sen erittäin kehittyneet lihakset eivät koskaan väsy, vaikka se kuinka paljon treenaisi. Tämä POKéMON voi uida edestakaisin Tyynellämerellä vaivattomasti.</v>
      </c>
      <c r="C1768" s="9" t="s">
        <v>1344</v>
      </c>
    </row>
    <row r="1769" ht="33.75" customHeight="1">
      <c r="A1769" s="6" t="s">
        <v>2632</v>
      </c>
      <c r="B1769" s="6" t="str">
        <f>IFERROR(__xludf.DUMMYFUNCTION("GOOGLETRANSLATE(A1769,""en"",""fi"")"),"Taitavana uimarina se osaa konttauksen, perhosuinnin ja paljon muuta. Se on nopeampi kuin parhaat ihmisuimarit.")</f>
        <v>Taitavana uimarina se osaa konttauksen, perhosuinnin ja paljon muuta. Se on nopeampi kuin parhaat ihmisuimarit.</v>
      </c>
      <c r="C1769" s="9" t="s">
        <v>1344</v>
      </c>
    </row>
    <row r="1770" ht="33.75" customHeight="1">
      <c r="A1770" s="6" t="s">
        <v>2633</v>
      </c>
      <c r="B1770" s="6" t="str">
        <f>IFERROR(__xludf.DUMMYFUNCTION("GOOGLETRANSLATE(A1770,""en"",""fi"")"),"Uimari, joka on taitava sekä konttauksessa että rintauinnissa. Ohittaa helposti parhaat ihmisuimarit.")</f>
        <v>Uimari, joka on taitava sekä konttauksessa että rintauinnissa. Ohittaa helposti parhaat ihmisuimarit.</v>
      </c>
      <c r="C1770" s="9" t="s">
        <v>1344</v>
      </c>
    </row>
    <row r="1771" ht="33.75" customHeight="1">
      <c r="A1771" s="6" t="s">
        <v>2635</v>
      </c>
      <c r="B1771" s="6" t="str">
        <f>IFERROR(__xludf.DUMMYFUNCTION("GOOGLETRANSLATE(A1771,""en"",""fi"")"),"Äärimmäisen vahvojen lihastensa ansiosta se voi jatkaa uintia Tyynessämeressä lepäämättä.")</f>
        <v>Äärimmäisen vahvojen lihastensa ansiosta se voi jatkaa uintia Tyynessämeressä lepäämättä.</v>
      </c>
      <c r="C1771" s="9" t="s">
        <v>1344</v>
      </c>
    </row>
    <row r="1772" ht="33.75" customHeight="1">
      <c r="A1772" s="6" t="s">
        <v>2637</v>
      </c>
      <c r="B1772" s="6" t="str">
        <f>IFERROR(__xludf.DUMMYFUNCTION("GOOGLETRANSLATE(A1772,""en"",""fi"")"),"Vaikka se on energinen ja taitava uimari, joka käyttää kaikkia lihaksiaan, se elää kuivalla maalla.")</f>
        <v>Vaikka se on energinen ja taitava uimari, joka käyttää kaikkia lihaksiaan, se elää kuivalla maalla.</v>
      </c>
      <c r="C1772" s="9" t="s">
        <v>1344</v>
      </c>
    </row>
    <row r="1773" ht="33.75" customHeight="1">
      <c r="A1773" s="6" t="s">
        <v>2639</v>
      </c>
      <c r="B1773" s="6" t="str">
        <f>IFERROR(__xludf.DUMMYFUNCTION("GOOGLETRANSLATE(A1773,""en"",""fi"")"),"Poliwrathin erittäin kehittyneet, lihaksikkaat lihakset eivät koskaan väsy, vaikka se kuinka paljon treenaisi. Se on niin väsymättömän vahva, että tämä Pokémon voi uida edestakaisin valtameren yli vaivattomasti.")</f>
        <v>Poliwrathin erittäin kehittyneet, lihaksikkaat lihakset eivät koskaan väsy, vaikka se kuinka paljon treenaisi. Se on niin väsymättömän vahva, että tämä Pokémon voi uida edestakaisin valtameren yli vaivattomasti.</v>
      </c>
      <c r="C1773" s="9" t="s">
        <v>1344</v>
      </c>
    </row>
    <row r="1774" ht="33.75" customHeight="1">
      <c r="A1774" s="6" t="s">
        <v>2640</v>
      </c>
      <c r="B1774" s="6" t="str">
        <f>IFERROR(__xludf.DUMMYFUNCTION("GOOGLETRANSLATE(A1774,""en"",""fi"")"),"Alolan alueen poliwrathit ovat vahvoja uimareita, jotka uivat rintauintia käyttäen. Monet lapset oppivat uimaan matkimalla poliwratheja.")</f>
        <v>Alolan alueen poliwrathit ovat vahvoja uimareita, jotka uivat rintauintia käyttäen. Monet lapset oppivat uimaan matkimalla poliwratheja.</v>
      </c>
      <c r="C1774" s="9" t="s">
        <v>1344</v>
      </c>
    </row>
    <row r="1775" ht="33.75" customHeight="1">
      <c r="A1775" s="6" t="s">
        <v>2642</v>
      </c>
      <c r="B1775" s="6" t="str">
        <f>IFERROR(__xludf.DUMMYFUNCTION("GOOGLETRANSLATE(A1775,""en"",""fi"")"),"Sen kehon rasvaprosentti on lähes nolla. Sen ruumis on kokonaan lihasta, mikä tekee siitä painavan ja pakottaa sen uimataidon kehittymään.")</f>
        <v>Sen kehon rasvaprosentti on lähes nolla. Sen ruumis on kokonaan lihasta, mikä tekee siitä painavan ja pakottaa sen uimataidon kehittymään.</v>
      </c>
      <c r="C1775" s="9" t="s">
        <v>1344</v>
      </c>
    </row>
    <row r="1776" ht="33.75" customHeight="1">
      <c r="A1776" s="6" t="s">
        <v>2643</v>
      </c>
      <c r="B1776" s="6" t="str">
        <f>IFERROR(__xludf.DUMMYFUNCTION("GOOGLETRANSLATE(A1776,""en"",""fi"")"),"Se on melko lahjakas uimari, jopa vesityypin Pokémonien joukossa, mutta yleensä se viettää aikansa maalla.")</f>
        <v>Se on melko lahjakas uimari, jopa vesityypin Pokémonien joukossa, mutta yleensä se viettää aikansa maalla.</v>
      </c>
      <c r="C1776" s="9" t="s">
        <v>1344</v>
      </c>
    </row>
    <row r="1777" ht="33.75" customHeight="1">
      <c r="A1777" s="6" t="s">
        <v>2645</v>
      </c>
      <c r="B1777" s="6" t="str">
        <f>IFERROR(__xludf.DUMMYFUNCTION("GOOGLETRANSLATE(A1777,""en"",""fi"")"),"Sen uinnin kehittämät lihakset ovat paksut ja voimakkaat. Kun se osuu suorakaiteen muotoiseen lyöntiin, se voi muuttaa valtavia lohkareita tomuksi.")</f>
        <v>Sen uinnin kehittämät lihakset ovat paksut ja voimakkaat. Kun se osuu suorakaiteen muotoiseen lyöntiin, se voi muuttaa valtavia lohkareita tomuksi.</v>
      </c>
      <c r="C1777" s="9" t="s">
        <v>1344</v>
      </c>
    </row>
    <row r="1778" ht="33.75" customHeight="1">
      <c r="A1778" s="6" t="s">
        <v>2646</v>
      </c>
      <c r="B1778" s="6" t="str">
        <f>IFERROR(__xludf.DUMMYFUNCTION("GOOGLETRANSLATE(A1778,""en"",""fi"")"),"Ui voimakkaasti käyttäen kaikkia kehonsa lihaksia. Se voi jopa ohittaa maailmanluokan uimarit.")</f>
        <v>Ui voimakkaasti käyttäen kaikkia kehonsa lihaksia. Se voi jopa ohittaa maailmanluokan uimarit.</v>
      </c>
      <c r="C1778" s="9" t="s">
        <v>1344</v>
      </c>
    </row>
    <row r="1779" ht="33.75" customHeight="1">
      <c r="A1779" s="6" t="s">
        <v>2647</v>
      </c>
      <c r="B1779" s="6" t="str">
        <f>IFERROR(__xludf.DUMMYFUNCTION("GOOGLETRANSLATE(A1779,""en"",""fi"")"),"Sen ruumis on jämäkkää lihasta. Kylmässä meressä uidessaan Poliwrath käyttää vaikuttavia käsivarsiaan törmätäkseen ajojäähän ja kyntääkseen eteenpäin.")</f>
        <v>Sen ruumis on jämäkkää lihasta. Kylmässä meressä uidessaan Poliwrath käyttää vaikuttavia käsivarsiaan törmätäkseen ajojäähän ja kyntääkseen eteenpäin.</v>
      </c>
      <c r="C1779" s="9" t="s">
        <v>1344</v>
      </c>
    </row>
    <row r="1780" ht="33.75" customHeight="1">
      <c r="A1780" s="6" t="s">
        <v>2648</v>
      </c>
      <c r="B1780" s="6" t="str">
        <f>IFERROR(__xludf.DUMMYFUNCTION("GOOGLETRANSLATE(A1780,""en"",""fi"")"),"Poliwrath on taitava sekä uinnissa että kamppailulajeissa. Se käyttää hyvin koulutettuja käsivarsiaan antaakseen voimakkaita iskuja.")</f>
        <v>Poliwrath on taitava sekä uinnissa että kamppailulajeissa. Se käyttää hyvin koulutettuja käsivarsiaan antaakseen voimakkaita iskuja.</v>
      </c>
      <c r="C1780" s="9" t="s">
        <v>1344</v>
      </c>
    </row>
    <row r="1781" ht="33.75" customHeight="1">
      <c r="A1781" s="6" t="s">
        <v>2650</v>
      </c>
      <c r="B1781" s="6" t="str">
        <f>IFERROR(__xludf.DUMMYFUNCTION("GOOGLETRANSLATE(A1781,""en"",""fi"")"),"Käyttäen kykyään lukea ajatuksia se tunnistaa uhkaavan vaaran ja TELEPORTTAA turvaan.")</f>
        <v>Käyttäen kykyään lukea ajatuksia se tunnistaa uhkaavan vaaran ja TELEPORTTAA turvaan.</v>
      </c>
      <c r="C1781" s="9" t="s">
        <v>1344</v>
      </c>
    </row>
    <row r="1782" ht="33.75" customHeight="1">
      <c r="A1782" s="6" t="s">
        <v>2651</v>
      </c>
      <c r="B1782" s="6" t="str">
        <f>IFERROR(__xludf.DUMMYFUNCTION("GOOGLETRANSLATE(A1782,""en"",""fi"")"),"Nukkuu 18 tuntia vuorokaudessa. Jos se aistii vaaran, se teleporttautuu turvaan jopa nukkuessaan.")</f>
        <v>Nukkuu 18 tuntia vuorokaudessa. Jos se aistii vaaran, se teleporttautuu turvaan jopa nukkuessaan.</v>
      </c>
      <c r="C1782" s="9" t="s">
        <v>1344</v>
      </c>
    </row>
    <row r="1783" ht="33.75" customHeight="1">
      <c r="A1783" s="6" t="s">
        <v>2652</v>
      </c>
      <c r="B1783" s="6" t="str">
        <f>IFERROR(__xludf.DUMMYFUNCTION("GOOGLETRANSLATE(A1783,""en"",""fi"")"),"Se aistii lähestyvät hyökkäykset ja TELEPORTTAA turvaan ennen kuin varsinaiset hyökkäykset ehtivät iskeä.")</f>
        <v>Se aistii lähestyvät hyökkäykset ja TELEPORTTAA turvaan ennen kuin varsinaiset hyökkäykset ehtivät iskeä.</v>
      </c>
      <c r="C1783" s="9" t="s">
        <v>1344</v>
      </c>
    </row>
    <row r="1784" ht="33.75" customHeight="1">
      <c r="A1784" s="6" t="s">
        <v>2653</v>
      </c>
      <c r="B1784" s="6" t="str">
        <f>IFERROR(__xludf.DUMMYFUNCTION("GOOGLETRANSLATE(A1784,""en"",""fi"")"),"Jos se päättää TELEPORTTAA satunnaisesti, se luo illuusion siitä, että se on luonut kopioita itsestään.")</f>
        <v>Jos se päättää TELEPORTTAA satunnaisesti, se luo illuusion siitä, että se on luonut kopioita itsestään.</v>
      </c>
      <c r="C1784" s="9" t="s">
        <v>1344</v>
      </c>
    </row>
    <row r="1785" ht="33.75" customHeight="1">
      <c r="A1785" s="6" t="s">
        <v>2654</v>
      </c>
      <c r="B1785" s="6" t="str">
        <f>IFERROR(__xludf.DUMMYFUNCTION("GOOGLETRANSLATE(A1785,""en"",""fi"")"),"Se hypnotisoi itsensä, jotta se voi teleporttautua pois aistiessaan vaaran, vaikka se nukkuisikin.")</f>
        <v>Se hypnotisoi itsensä, jotta se voi teleporttautua pois aistiessaan vaaran, vaikka se nukkuisikin.</v>
      </c>
      <c r="C1785" s="9" t="s">
        <v>1344</v>
      </c>
    </row>
    <row r="1786" ht="33.75" customHeight="1">
      <c r="A1786" s="6" t="s">
        <v>2655</v>
      </c>
      <c r="B1786" s="6" t="str">
        <f>IFERROR(__xludf.DUMMYFUNCTION("GOOGLETRANSLATE(A1786,""en"",""fi"")"),"ABRA nukkuu kahdeksantoista tuntia päivässä. Se voi kuitenkin aistia vihollisten läsnäolon jopa nukkuessaan. Tällaisessa tilanteessa tämä POKéMON teleporttautuu välittömästi turvaan.")</f>
        <v>ABRA nukkuu kahdeksantoista tuntia päivässä. Se voi kuitenkin aistia vihollisten läsnäolon jopa nukkuessaan. Tällaisessa tilanteessa tämä POKéMON teleporttautuu välittömästi turvaan.</v>
      </c>
      <c r="C1786" s="9" t="s">
        <v>1344</v>
      </c>
    </row>
    <row r="1787" ht="33.75" customHeight="1">
      <c r="A1787" s="6" t="s">
        <v>2656</v>
      </c>
      <c r="B1787" s="6" t="str">
        <f>IFERROR(__xludf.DUMMYFUNCTION("GOOGLETRANSLATE(A1787,""en"",""fi"")"),"ABRAN täytyy nukkua kahdeksantoista tuntia päivässä. Muussa tapauksessa tämä POKéMON menettää kykynsä käyttää telekineettisiä voimiaan. Jos sitä hyökätään, ABRA pakenee käyttämällä TELEPORTTIA vielä nukkuessaan.")</f>
        <v>ABRAN täytyy nukkua kahdeksantoista tuntia päivässä. Muussa tapauksessa tämä POKéMON menettää kykynsä käyttää telekineettisiä voimiaan. Jos sitä hyökätään, ABRA pakenee käyttämällä TELEPORTTIA vielä nukkuessaan.</v>
      </c>
      <c r="C1787" s="9" t="s">
        <v>1344</v>
      </c>
    </row>
    <row r="1788" ht="33.75" customHeight="1">
      <c r="A1788" s="6" t="s">
        <v>2657</v>
      </c>
      <c r="B1788" s="6" t="str">
        <f>IFERROR(__xludf.DUMMYFUNCTION("GOOGLETRANSLATE(A1788,""en"",""fi"")"),"POKéMON, joka nukkuu 18 tuntia vuorokaudessa. Havainnot paljastivat, että se käyttää TELEPORTTIA vaihtaakseen sijaintiaan kerran tunnissa.")</f>
        <v>POKéMON, joka nukkuu 18 tuntia vuorokaudessa. Havainnot paljastivat, että se käyttää TELEPORTTIA vaihtaakseen sijaintiaan kerran tunnissa.</v>
      </c>
      <c r="C1788" s="9" t="s">
        <v>1344</v>
      </c>
    </row>
    <row r="1789" ht="33.75" customHeight="1">
      <c r="A1789" s="6" t="s">
        <v>2659</v>
      </c>
      <c r="B1789" s="6" t="str">
        <f>IFERROR(__xludf.DUMMYFUNCTION("GOOGLETRANSLATE(A1789,""en"",""fi"")"),"Se nukkuu 18 tuntia päivässä. Se käyttää erilaisia ​​yliaistillisia voimia jopa nukkuessaan.")</f>
        <v>Se nukkuu 18 tuntia päivässä. Se käyttää erilaisia ​​yliaistillisia voimia jopa nukkuessaan.</v>
      </c>
      <c r="C1789" s="9" t="s">
        <v>1344</v>
      </c>
    </row>
    <row r="1790" ht="33.75" customHeight="1">
      <c r="A1790" s="6" t="s">
        <v>2661</v>
      </c>
      <c r="B1790" s="6" t="str">
        <f>IFERROR(__xludf.DUMMYFUNCTION("GOOGLETRANSLATE(A1790,""en"",""fi"")"),"Käyttämällä kykyään lukea ajatuksia se aistii uhkaavan vaaran ja TELEPORTTAASI turvaan.")</f>
        <v>Käyttämällä kykyään lukea ajatuksia se aistii uhkaavan vaaran ja TELEPORTTAASI turvaan.</v>
      </c>
      <c r="C1790" s="9" t="s">
        <v>1344</v>
      </c>
    </row>
    <row r="1791" ht="33.75" customHeight="1">
      <c r="A1791" s="6" t="s">
        <v>2663</v>
      </c>
      <c r="B1791" s="6" t="str">
        <f>IFERROR(__xludf.DUMMYFUNCTION("GOOGLETRANSLATE(A1791,""en"",""fi"")"),"Se nukkuu 18 tuntia päivässä. Hereillä ollessaankin se teleporttautuu ja pysyy istuma-asennossa.")</f>
        <v>Se nukkuu 18 tuntia päivässä. Hereillä ollessaankin se teleporttautuu ja pysyy istuma-asennossa.</v>
      </c>
      <c r="C1791" s="9" t="s">
        <v>1344</v>
      </c>
    </row>
    <row r="1792" ht="33.75" customHeight="1">
      <c r="A1792" s="6" t="s">
        <v>2664</v>
      </c>
      <c r="B1792" s="6" t="str">
        <f>IFERROR(__xludf.DUMMYFUNCTION("GOOGLETRANSLATE(A1792,""en"",""fi"")"),"Se ylläpitää telepaattista tutkaa jopa nukkuessaan. Se teleporttautuu, kun sitä uhkaa.")</f>
        <v>Se ylläpitää telepaattista tutkaa jopa nukkuessaan. Se teleporttautuu, kun sitä uhkaa.</v>
      </c>
      <c r="C1792" s="9" t="s">
        <v>1344</v>
      </c>
    </row>
    <row r="1793" ht="33.75" customHeight="1">
      <c r="A1793" s="6" t="s">
        <v>2665</v>
      </c>
      <c r="B1793" s="6" t="str">
        <f>IFERROR(__xludf.DUMMYFUNCTION("GOOGLETRANSLATE(A1793,""en"",""fi"")"),"Psyykkisten voimiensa käyttäminen on niin raskasta sen aivoille, että sen on nukuttava 18 tuntia päivässä.")</f>
        <v>Psyykkisten voimiensa käyttäminen on niin raskasta sen aivoille, että sen on nukuttava 18 tuntia päivässä.</v>
      </c>
      <c r="C1793" s="9" t="s">
        <v>1344</v>
      </c>
    </row>
    <row r="1794" ht="33.75" customHeight="1">
      <c r="A1794" s="6" t="s">
        <v>2666</v>
      </c>
      <c r="B1794" s="6" t="str">
        <f>IFERROR(__xludf.DUMMYFUNCTION("GOOGLETRANSLATE(A1794,""en"",""fi"")"),"Se aistii lähestyvät hyökkäykset ja teleporttautuu turvaan ennen kuin varsinaiset hyökkäykset ehtivät iskeä.")</f>
        <v>Se aistii lähestyvät hyökkäykset ja teleporttautuu turvaan ennen kuin varsinaiset hyökkäykset ehtivät iskeä.</v>
      </c>
      <c r="C1794" s="9" t="s">
        <v>1344</v>
      </c>
    </row>
    <row r="1795" ht="33.75" customHeight="1">
      <c r="A1795" s="6" t="s">
        <v>2668</v>
      </c>
      <c r="B1795" s="6" t="str">
        <f>IFERROR(__xludf.DUMMYFUNCTION("GOOGLETRANSLATE(A1795,""en"",""fi"")"),"Jos se päättää teleporttautua sattumanvaraisesti, se luo illuusion siitä, että se on luonut kopioita itsestään.")</f>
        <v>Jos se päättää teleporttautua sattumanvaraisesti, se luo illuusion siitä, että se on luonut kopioita itsestään.</v>
      </c>
      <c r="C1795" s="9" t="s">
        <v>1344</v>
      </c>
    </row>
    <row r="1796" ht="33.75" customHeight="1">
      <c r="A1796" s="6" t="s">
        <v>2670</v>
      </c>
      <c r="B1796" s="6" t="str">
        <f>IFERROR(__xludf.DUMMYFUNCTION("GOOGLETRANSLATE(A1796,""en"",""fi"")"),"Abra nukkuu kahdeksantoista tuntia päivässä. Se voi kuitenkin aistia vihollisten läsnäolon jopa nukkuessaan. Tällaisessa tilanteessa tämä Pokémon teleporttautuu välittömästi turvaan.")</f>
        <v>Abra nukkuu kahdeksantoista tuntia päivässä. Se voi kuitenkin aistia vihollisten läsnäolon jopa nukkuessaan. Tällaisessa tilanteessa tämä Pokémon teleporttautuu välittömästi turvaan.</v>
      </c>
      <c r="C1796" s="9" t="s">
        <v>1344</v>
      </c>
    </row>
    <row r="1797" ht="33.75" customHeight="1">
      <c r="A1797" s="6" t="s">
        <v>2672</v>
      </c>
      <c r="B1797" s="6" t="str">
        <f>IFERROR(__xludf.DUMMYFUNCTION("GOOGLETRANSLATE(A1797,""en"",""fi"")"),"Abra tarvitsee unta kahdeksantoista tuntia päivässä. Jos se ei nuku, tämä Pokémon menettää kykynsä käyttää telekineettisiä voimiaan. Jos sitä hyökätään, Abra pakenee käyttämällä teleporttia vielä nukkuessaan.")</f>
        <v>Abra tarvitsee unta kahdeksantoista tuntia päivässä. Jos se ei nuku, tämä Pokémon menettää kykynsä käyttää telekineettisiä voimiaan. Jos sitä hyökätään, Abra pakenee käyttämällä teleporttia vielä nukkuessaan.</v>
      </c>
      <c r="C1797" s="9" t="s">
        <v>1344</v>
      </c>
    </row>
    <row r="1798" ht="33.75" customHeight="1">
      <c r="A1798" s="6" t="s">
        <v>2674</v>
      </c>
      <c r="B1798" s="6" t="str">
        <f>IFERROR(__xludf.DUMMYFUNCTION("GOOGLETRANSLATE(A1798,""en"",""fi"")"),"Se nukkuu 18 tuntia päivässä. Nukkuessaankin se teleporttautuu puiden latvoihin ja poimii ja syö siellä marjoja.")</f>
        <v>Se nukkuu 18 tuntia päivässä. Nukkuessaankin se teleporttautuu puiden latvoihin ja poimii ja syö siellä marjoja.</v>
      </c>
      <c r="C1798" s="9" t="s">
        <v>1344</v>
      </c>
    </row>
    <row r="1799" ht="33.75" customHeight="1">
      <c r="A1799" s="6" t="s">
        <v>2677</v>
      </c>
      <c r="B1799" s="6" t="str">
        <f>IFERROR(__xludf.DUMMYFUNCTION("GOOGLETRANSLATE(A1799,""en"",""fi"")"),"Se voi teleportata itsensä turvaan nukkuessaan, mutta herätessään se ei tiedä missä se on, joten se panikoi.")</f>
        <v>Se voi teleportata itsensä turvaan nukkuessaan, mutta herätessään se ei tiedä missä se on, joten se panikoi.</v>
      </c>
      <c r="C1799" s="9" t="s">
        <v>1344</v>
      </c>
    </row>
    <row r="1800" ht="33.75" customHeight="1">
      <c r="A1800" s="6" t="s">
        <v>2679</v>
      </c>
      <c r="B1800" s="6" t="str">
        <f>IFERROR(__xludf.DUMMYFUNCTION("GOOGLETRANSLATE(A1800,""en"",""fi"")"),"Se käyttää erilaisia ​​psyykkisiä voimia jopa nukkuessaan, joten et voi sanoa, onko se hereillä vai ei.")</f>
        <v>Se käyttää erilaisia ​​psyykkisiä voimia jopa nukkuessaan, joten et voi sanoa, onko se hereillä vai ei.</v>
      </c>
      <c r="C1800" s="9" t="s">
        <v>1344</v>
      </c>
    </row>
    <row r="1801" ht="33.75" customHeight="1">
      <c r="A1801" s="6" t="s">
        <v>2681</v>
      </c>
      <c r="B1801" s="6" t="str">
        <f>IFERROR(__xludf.DUMMYFUNCTION("GOOGLETRANSLATE(A1801,""en"",""fi"")"),"Se voi lukea muiden ajatuksia ja teleporttautuu pois vaaran lähestyessä. Sinun on tyhjennettävä mielesi, jos haluat saada sen kiinni.")</f>
        <v>Se voi lukea muiden ajatuksia ja teleporttautuu pois vaaran lähestyessä. Sinun on tyhjennettävä mielesi, jos haluat saada sen kiinni.</v>
      </c>
      <c r="C1801" s="9" t="s">
        <v>1344</v>
      </c>
    </row>
    <row r="1802" ht="33.75" customHeight="1">
      <c r="A1802" s="6" t="s">
        <v>2684</v>
      </c>
      <c r="B1802" s="6" t="str">
        <f>IFERROR(__xludf.DUMMYFUNCTION("GOOGLETRANSLATE(A1802,""en"",""fi"")"),"Tämä Pokémon käyttää psyykkisiä voimiaan nukkuessaan. Abran unien sisältö vaikuttaa Pokémonin käyttämiin voimiin.")</f>
        <v>Tämä Pokémon käyttää psyykkisiä voimiaan nukkuessaan. Abran unien sisältö vaikuttaa Pokémonin käyttämiin voimiin.</v>
      </c>
      <c r="C1802" s="9" t="s">
        <v>1344</v>
      </c>
    </row>
    <row r="1803" ht="33.75" customHeight="1">
      <c r="A1803" s="6" t="s">
        <v>2685</v>
      </c>
      <c r="B1803" s="6" t="str">
        <f>IFERROR(__xludf.DUMMYFUNCTION("GOOGLETRANSLATE(A1803,""en"",""fi"")"),"Abra voi teleportata unissaan. Ilmeisesti mitä syvemmin Abra nukkuu, sitä pidemmälle sen teleportaatiot ulottuvat.")</f>
        <v>Abra voi teleportata unissaan. Ilmeisesti mitä syvemmin Abra nukkuu, sitä pidemmälle sen teleportaatiot ulottuvat.</v>
      </c>
      <c r="C1803" s="9" t="s">
        <v>1344</v>
      </c>
    </row>
    <row r="1804" ht="33.75" customHeight="1">
      <c r="A1804" s="6" t="s">
        <v>2687</v>
      </c>
      <c r="B1804" s="6" t="str">
        <f>IFERROR(__xludf.DUMMYFUNCTION("GOOGLETRANSLATE(A1804,""en"",""fi"")"),"Viettää 18 tuntia päivästä nukkuen. Jopa nukkuessaan Abra pystyy hallitsemaan psyykkisiä voimiaan – jos vaara lähestyy, Pokémon yksinkertaisesti teleporttautuu pois.")</f>
        <v>Viettää 18 tuntia päivästä nukkuen. Jopa nukkuessaan Abra pystyy hallitsemaan psyykkisiä voimiaan – jos vaara lähestyy, Pokémon yksinkertaisesti teleporttautuu pois.</v>
      </c>
      <c r="C1804" s="9" t="s">
        <v>1344</v>
      </c>
    </row>
    <row r="1805" ht="33.75" customHeight="1">
      <c r="A1805" s="6" t="s">
        <v>2688</v>
      </c>
      <c r="B1805" s="6" t="str">
        <f>IFERROR(__xludf.DUMMYFUNCTION("GOOGLETRANSLATE(A1805,""en"",""fi"")"),"Se lähettää kehostaan ​​erityisiä alfa-aaltoja, jotka aiheuttavat päänsärkyä jo pelkästään lähellä ollessaan.")</f>
        <v>Se lähettää kehostaan ​​erityisiä alfa-aaltoja, jotka aiheuttavat päänsärkyä jo pelkästään lähellä ollessaan.</v>
      </c>
      <c r="C1805" s="9" t="s">
        <v>1344</v>
      </c>
    </row>
    <row r="1806" ht="33.75" customHeight="1">
      <c r="A1806" s="6" t="s">
        <v>2689</v>
      </c>
      <c r="B1806" s="6" t="str">
        <f>IFERROR(__xludf.DUMMYFUNCTION("GOOGLETRANSLATE(A1806,""en"",""fi"")"),"Jos tämä POKéMON on lähellä, tapahtuu monia outoja asioita. Se esimerkiksi saa kellot käymään taaksepäin.")</f>
        <v>Jos tämä POKéMON on lähellä, tapahtuu monia outoja asioita. Se esimerkiksi saa kellot käymään taaksepäin.</v>
      </c>
      <c r="C1806" s="9" t="s">
        <v>1344</v>
      </c>
    </row>
    <row r="1807" ht="33.75" customHeight="1">
      <c r="A1807" s="6" t="s">
        <v>2690</v>
      </c>
      <c r="B1807" s="6" t="str">
        <f>IFERROR(__xludf.DUMMYFUNCTION("GOOGLETRANSLATE(A1807,""en"",""fi"")"),"Sillä on vahva henkinen voima. Mitä enemmän vaaraa se kohtaa, sitä vahvempi sen psyykkinen voima.")</f>
        <v>Sillä on vahva henkinen voima. Mitä enemmän vaaraa se kohtaa, sitä vahvempi sen psyykkinen voima.</v>
      </c>
      <c r="C1807" s="9" t="s">
        <v>1344</v>
      </c>
    </row>
    <row r="1808" ht="33.75" customHeight="1">
      <c r="A1808" s="6" t="s">
        <v>2691</v>
      </c>
      <c r="B1808" s="6" t="str">
        <f>IFERROR(__xludf.DUMMYFUNCTION("GOOGLETRANSLATE(A1808,""en"",""fi"")"),"Jos se käyttää kykyjään, se lähettää erityisiä alfa-aaltoja, jotka aiheuttavat koneiden toimintahäiriöitä.")</f>
        <v>Jos se käyttää kykyjään, se lähettää erityisiä alfa-aaltoja, jotka aiheuttavat koneiden toimintahäiriöitä.</v>
      </c>
      <c r="C1808" s="9" t="s">
        <v>1344</v>
      </c>
    </row>
    <row r="1809" ht="33.75" customHeight="1">
      <c r="A1809" s="6" t="s">
        <v>2692</v>
      </c>
      <c r="B1809" s="6" t="str">
        <f>IFERROR(__xludf.DUMMYFUNCTION("GOOGLETRANSLATE(A1809,""en"",""fi"")"),"Kun se sulkee silmänsä, sen kehon pinnalta tulee ulos kaksi kertaa enemmän alfahiukkasia.")</f>
        <v>Kun se sulkee silmänsä, sen kehon pinnalta tulee ulos kaksi kertaa enemmän alfahiukkasia.</v>
      </c>
      <c r="C1809" s="9" t="s">
        <v>1344</v>
      </c>
    </row>
    <row r="1810" ht="33.75" customHeight="1">
      <c r="A1810" s="6" t="s">
        <v>2693</v>
      </c>
      <c r="B1810" s="6" t="str">
        <f>IFERROR(__xludf.DUMMYFUNCTION("GOOGLETRANSLATE(A1810,""en"",""fi"")"),"KADABRA lähettää erikoisen alfa-aallon, jos sille tulee päänsärky. Vain erityisen vahvan psyyken omaavat ihmiset voivat toivoa pääsevänsä tämän POKéMONIN KOULUTTAJIKSI.")</f>
        <v>KADABRA lähettää erikoisen alfa-aallon, jos sille tulee päänsärky. Vain erityisen vahvan psyyken omaavat ihmiset voivat toivoa pääsevänsä tämän POKéMONIN KOULUTTAJIKSI.</v>
      </c>
      <c r="C1810" s="9" t="s">
        <v>1344</v>
      </c>
    </row>
    <row r="1811" ht="33.75" customHeight="1">
      <c r="A1811" s="6" t="s">
        <v>2694</v>
      </c>
      <c r="B1811" s="6" t="str">
        <f>IFERROR(__xludf.DUMMYFUNCTION("GOOGLETRANSLATE(A1811,""en"",""fi"")"),"KADABRA pitää kädessään hopealusikkaa. Lusikkaa käytetään vahvistamaan aivojen alfa-aaltoja. Ilman lusikkaa POKéMONin telekineettisten voimien sanotaan olevan rajoittuneet puoleen tavanomaisesta.")</f>
        <v>KADABRA pitää kädessään hopealusikkaa. Lusikkaa käytetään vahvistamaan aivojen alfa-aaltoja. Ilman lusikkaa POKéMONin telekineettisten voimien sanotaan olevan rajoittuneet puoleen tavanomaisesta.</v>
      </c>
      <c r="C1811" s="9" t="s">
        <v>1344</v>
      </c>
    </row>
    <row r="1812" ht="33.75" customHeight="1">
      <c r="A1812" s="6" t="s">
        <v>2695</v>
      </c>
      <c r="B1812" s="6" t="str">
        <f>IFERROR(__xludf.DUMMYFUNCTION("GOOGLETRANSLATE(A1812,""en"",""fi"")"),"Huhutaan, että psyykkisiä kykyjä omaava poika muuttui yhtäkkiä KADABRAksi auttaessaan ekstrasensoristen voimien tutkimuksessa.")</f>
        <v>Huhutaan, että psyykkisiä kykyjä omaava poika muuttui yhtäkkiä KADABRAksi auttaessaan ekstrasensoristen voimien tutkimuksessa.</v>
      </c>
      <c r="C1812" s="9" t="s">
        <v>1344</v>
      </c>
    </row>
    <row r="1813" ht="33.75" customHeight="1">
      <c r="A1813" s="6" t="s">
        <v>2697</v>
      </c>
      <c r="B1813" s="6" t="str">
        <f>IFERROR(__xludf.DUMMYFUNCTION("GOOGLETRANSLATE(A1813,""en"",""fi"")"),"Se tapahtui eräänä aamuna - yliluonnollisten voimien omaava poika heräsi sängyssä muuttuneena KADABRAksi.")</f>
        <v>Se tapahtui eräänä aamuna - yliluonnollisten voimien omaava poika heräsi sängyssä muuttuneena KADABRAksi.</v>
      </c>
      <c r="C1813" s="9" t="s">
        <v>1344</v>
      </c>
    </row>
    <row r="1814" ht="33.75" customHeight="1">
      <c r="A1814" s="6" t="s">
        <v>2698</v>
      </c>
      <c r="B1814" s="6" t="str">
        <f>IFERROR(__xludf.DUMMYFUNCTION("GOOGLETRANSLATE(A1814,""en"",""fi"")"),"Se lähettää kehostaan ​​erityisiä alfa-aaltoja, jotka aiheuttavat päänsärkyä jo pelkästään lähellä olemisesta.")</f>
        <v>Se lähettää kehostaan ​​erityisiä alfa-aaltoja, jotka aiheuttavat päänsärkyä jo pelkästään lähellä olemisesta.</v>
      </c>
      <c r="C1814" s="9" t="s">
        <v>1344</v>
      </c>
    </row>
    <row r="1815" ht="33.75" customHeight="1">
      <c r="A1815" s="6" t="s">
        <v>2699</v>
      </c>
      <c r="B1815" s="6" t="str">
        <f>IFERROR(__xludf.DUMMYFUNCTION("GOOGLETRANSLATE(A1815,""en"",""fi"")"),"Jos sellainen on lähellä, televisioruutuihin ilmestyy aavemainen varjo. Varjon näkemisen sanotaan tuovan huonoa onnea.")</f>
        <v>Jos sellainen on lähellä, televisioruutuihin ilmestyy aavemainen varjo. Varjon näkemisen sanotaan tuovan huonoa onnea.</v>
      </c>
      <c r="C1815" s="9" t="s">
        <v>1344</v>
      </c>
    </row>
    <row r="1816" ht="33.75" customHeight="1">
      <c r="A1816" s="6" t="s">
        <v>2701</v>
      </c>
      <c r="B1816" s="6" t="str">
        <f>IFERROR(__xludf.DUMMYFUNCTION("GOOGLETRANSLATE(A1816,""en"",""fi"")"),"Kun se käyttää psyykkistä voimaansa, se lähettää voimakkaita ha-aaltoja, jotka voivat pilata tarkkuuslaitteita.")</f>
        <v>Kun se käyttää psyykkistä voimaansa, se lähettää voimakkaita ha-aaltoja, jotka voivat pilata tarkkuuslaitteita.</v>
      </c>
      <c r="C1816" s="9" t="s">
        <v>1344</v>
      </c>
    </row>
    <row r="1817" ht="33.75" customHeight="1">
      <c r="A1817" s="6" t="s">
        <v>2703</v>
      </c>
      <c r="B1817" s="6" t="str">
        <f>IFERROR(__xludf.DUMMYFUNCTION("GOOGLETRANSLATE(A1817,""en"",""fi"")"),"Se tuijottaa hopealusikkaansa keskittyäkseen. Samalla se säteilee enemmän alfa-aaltoja.")</f>
        <v>Se tuijottaa hopealusikkaansa keskittyäkseen. Samalla se säteilee enemmän alfa-aaltoja.</v>
      </c>
      <c r="C1817" s="9" t="s">
        <v>1344</v>
      </c>
    </row>
    <row r="1818" ht="33.75" customHeight="1">
      <c r="A1818" s="6" t="s">
        <v>2704</v>
      </c>
      <c r="B1818" s="6" t="str">
        <f>IFERROR(__xludf.DUMMYFUNCTION("GOOGLETRANSLATE(A1818,""en"",""fi"")"),"Kun se käyttää psyykkistä voimaansa, se lähettää voimakkaita alfa-aaltoja, jotka voivat pilata tarkkuuslaitteita.")</f>
        <v>Kun se käyttää psyykkistä voimaansa, se lähettää voimakkaita alfa-aaltoja, jotka voivat pilata tarkkuuslaitteita.</v>
      </c>
      <c r="C1818" s="9" t="s">
        <v>1344</v>
      </c>
    </row>
    <row r="1819" ht="33.75" customHeight="1">
      <c r="A1819" s="6" t="s">
        <v>2705</v>
      </c>
      <c r="B1819" s="6" t="str">
        <f>IFERROR(__xludf.DUMMYFUNCTION("GOOGLETRANSLATE(A1819,""en"",""fi"")"),"Kadabra lähettää erikoisen alfa-aallon, jos sille tulee päänsärky. Vain erityisen vahvan psyyken omaavat ihmiset voivat toivoa pääsevänsä tämän Pokémonin kouluttajiksi.")</f>
        <v>Kadabra lähettää erikoisen alfa-aallon, jos sille tulee päänsärky. Vain erityisen vahvan psyyken omaavat ihmiset voivat toivoa pääsevänsä tämän Pokémonin kouluttajiksi.</v>
      </c>
      <c r="C1819" s="9" t="s">
        <v>1344</v>
      </c>
    </row>
    <row r="1820" ht="33.75" customHeight="1">
      <c r="A1820" s="6" t="s">
        <v>2707</v>
      </c>
      <c r="B1820" s="6" t="str">
        <f>IFERROR(__xludf.DUMMYFUNCTION("GOOGLETRANSLATE(A1820,""en"",""fi"")"),"Kadabra pitää kädessään hopealusikkaa. Lusikkaa käytetään vahvistamaan aivojen alfa-aaltoja. Ilman lusikkaa Pokémonin telekineettisten voimien sanotaan olevan puolet tavallisista.")</f>
        <v>Kadabra pitää kädessään hopealusikkaa. Lusikkaa käytetään vahvistamaan aivojen alfa-aaltoja. Ilman lusikkaa Pokémonin telekineettisten voimien sanotaan olevan puolet tavallisista.</v>
      </c>
      <c r="C1820" s="9" t="s">
        <v>1344</v>
      </c>
    </row>
    <row r="1821" ht="33.75" customHeight="1">
      <c r="A1821" s="6" t="s">
        <v>2708</v>
      </c>
      <c r="B1821" s="6" t="str">
        <f>IFERROR(__xludf.DUMMYFUNCTION("GOOGLETRANSLATE(A1821,""en"",""fi"")"),"On olemassa teoria, jonka mukaan tämä Pokémon oli nuori poika, joka ei pystynyt hallitsemaan psyykkisiä voimiaan ja päätyi muuttumaan täksi Pokémoniksi.")</f>
        <v>On olemassa teoria, jonka mukaan tämä Pokémon oli nuori poika, joka ei pystynyt hallitsemaan psyykkisiä voimiaan ja päätyi muuttumaan täksi Pokémoniksi.</v>
      </c>
      <c r="C1821" s="9" t="s">
        <v>1344</v>
      </c>
    </row>
    <row r="1822" ht="33.75" customHeight="1">
      <c r="A1822" s="6" t="s">
        <v>2710</v>
      </c>
      <c r="B1822" s="6" t="str">
        <f>IFERROR(__xludf.DUMMYFUNCTION("GOOGLETRANSLATE(A1822,""en"",""fi"")"),"Kadabran läsnäolo saastuttaa televisiot ja näytöt kammottavilla varjoilla, jotka tuovat huonoa onnea.")</f>
        <v>Kadabran läsnäolo saastuttaa televisiot ja näytöt kammottavilla varjoilla, jotka tuovat huonoa onnea.</v>
      </c>
      <c r="C1822" s="9" t="s">
        <v>1344</v>
      </c>
    </row>
    <row r="1823" ht="33.75" customHeight="1">
      <c r="A1823" s="6" t="s">
        <v>2713</v>
      </c>
      <c r="B1823" s="6" t="str">
        <f>IFERROR(__xludf.DUMMYFUNCTION("GOOGLETRANSLATE(A1823,""en"",""fi"")"),"Se tuijottaa hopealusikkaa vahvistaakseen psyykkisiä voimiaan ennen kuin se päästää irti. Kultalusikat eivät ilmeisesti ole hyviä.")</f>
        <v>Se tuijottaa hopealusikkaa vahvistaakseen psyykkisiä voimiaan ennen kuin se päästää irti. Kultalusikat eivät ilmeisesti ole hyviä.</v>
      </c>
      <c r="C1823" s="9" t="s">
        <v>1344</v>
      </c>
    </row>
    <row r="1824" ht="33.75" customHeight="1">
      <c r="A1824" s="6" t="s">
        <v>2715</v>
      </c>
      <c r="B1824" s="6" t="str">
        <f>IFERROR(__xludf.DUMMYFUNCTION("GOOGLETRANSLATE(A1824,""en"",""fi"")"),"Sillä on vahvat henkiset kyvyt, mutta sen psyykkiset voimat puolittuvat, kun se ei pidä kädessään hopealusikkaa.")</f>
        <v>Sillä on vahvat henkiset kyvyt, mutta sen psyykkiset voimat puolittuvat, kun se ei pidä kädessään hopealusikkaa.</v>
      </c>
      <c r="C1824" s="9" t="s">
        <v>1344</v>
      </c>
    </row>
    <row r="1825" ht="33.75" customHeight="1">
      <c r="A1825" s="6" t="s">
        <v>2717</v>
      </c>
      <c r="B1825" s="6" t="str">
        <f>IFERROR(__xludf.DUMMYFUNCTION("GOOGLETRANSLATE(A1825,""en"",""fi"")"),"Jos tämä Pokémon on lähellä, tapahtuu monia outoja asioita. Se esimerkiksi saa kellot käymään taaksepäin.")</f>
        <v>Jos tämä Pokémon on lähellä, tapahtuu monia outoja asioita. Se esimerkiksi saa kellot käymään taaksepäin.</v>
      </c>
      <c r="C1825" s="9" t="s">
        <v>1344</v>
      </c>
    </row>
    <row r="1826" ht="33.75" customHeight="1">
      <c r="A1826" s="6" t="s">
        <v>2719</v>
      </c>
      <c r="B1826" s="6" t="str">
        <f>IFERROR(__xludf.DUMMYFUNCTION("GOOGLETRANSLATE(A1826,""en"",""fi"")"),"Kadabra leijuu nukkuessaan psyykkistä voimaansa käyttäen. Se käyttää joustavaa häntäänsä tyynynä.")</f>
        <v>Kadabra leijuu nukkuessaan psyykkistä voimaansa käyttäen. Se käyttää joustavaa häntäänsä tyynynä.</v>
      </c>
      <c r="C1826" s="9" t="s">
        <v>1344</v>
      </c>
    </row>
    <row r="1827" ht="33.75" customHeight="1">
      <c r="A1827" s="6" t="s">
        <v>2721</v>
      </c>
      <c r="B1827" s="6" t="str">
        <f>IFERROR(__xludf.DUMMYFUNCTION("GOOGLETRANSLATE(A1827,""en"",""fi"")"),"Tämän Pokémonin telekinesia on valtavan voimakas. Valmistautuakseen evoluutioon Kadabra varastoi psyykkistä energiaa otsassaan olevaan tähteen.")</f>
        <v>Tämän Pokémonin telekinesia on valtavan voimakas. Valmistautuakseen evoluutioon Kadabra varastoi psyykkistä energiaa otsassaan olevaan tähteen.</v>
      </c>
      <c r="C1827" s="9" t="s">
        <v>1344</v>
      </c>
    </row>
    <row r="1828" ht="33.75" customHeight="1">
      <c r="A1828" s="6" t="s">
        <v>2723</v>
      </c>
      <c r="B1828" s="6" t="str">
        <f>IFERROR(__xludf.DUMMYFUNCTION("GOOGLETRANSLATE(A1828,""en"",""fi"")"),"Huhujen mukaan mystisiä voimia omaavasta lapsesta tuli Kadabra; tätä ei kuitenkaan ole vahvistettu. Epäilen, että Kadabran pitelemä lusikka vahvistaa sen aivoaaltoja.")</f>
        <v>Huhujen mukaan mystisiä voimia omaavasta lapsesta tuli Kadabra; tätä ei kuitenkaan ole vahvistettu. Epäilen, että Kadabran pitelemä lusikka vahvistaa sen aivoaaltoja.</v>
      </c>
      <c r="C1828" s="9" t="s">
        <v>1344</v>
      </c>
    </row>
    <row r="1829" ht="33.75" customHeight="1">
      <c r="A1829" s="6" t="s">
        <v>2725</v>
      </c>
      <c r="B1829" s="6" t="str">
        <f>IFERROR(__xludf.DUMMYFUNCTION("GOOGLETRANSLATE(A1829,""en"",""fi"")"),"Sen aivot pystyvät suoriutumaan supertietokoneesta paremmin. Sen älykkyysosamäärän sanotaan olevan 5 000.")</f>
        <v>Sen aivot pystyvät suoriutumaan supertietokoneesta paremmin. Sen älykkyysosamäärän sanotaan olevan 5 000.</v>
      </c>
      <c r="C1829" s="9" t="s">
        <v>1344</v>
      </c>
    </row>
    <row r="1830" ht="33.75" customHeight="1">
      <c r="A1830" s="6" t="s">
        <v>2727</v>
      </c>
      <c r="B1830" s="6" t="str">
        <f>IFERROR(__xludf.DUMMYFUNCTION("GOOGLETRANSLATE(A1830,""en"",""fi"")"),"POKéMON, joka pystyy muistamaan mitä tahansa. Se ei koskaan unohda oppimaansa – siksi tämä POKéMON on älykäs.")</f>
        <v>POKéMON, joka pystyy muistamaan mitä tahansa. Se ei koskaan unohda oppimaansa – siksi tämä POKéMON on älykäs.</v>
      </c>
      <c r="C1830" s="9" t="s">
        <v>1344</v>
      </c>
    </row>
    <row r="1831" ht="33.75" customHeight="1">
      <c r="A1831" s="6" t="s">
        <v>2729</v>
      </c>
      <c r="B1831" s="6" t="str">
        <f>IFERROR(__xludf.DUMMYFUNCTION("GOOGLETRANSLATE(A1831,""en"",""fi"")"),"Molempien silmien sulkeminen vahvistaa kaikkia muita aisteja. Tämä antaa sille mahdollisuuden käyttää kykyjään äärimmilleen.")</f>
        <v>Molempien silmien sulkeminen vahvistaa kaikkia muita aisteja. Tämä antaa sille mahdollisuuden käyttää kykyjään äärimmilleen.</v>
      </c>
      <c r="C1831" s="9" t="s">
        <v>1344</v>
      </c>
    </row>
    <row r="1832" ht="33.75" customHeight="1">
      <c r="A1832" s="6" t="s">
        <v>2730</v>
      </c>
      <c r="B1832" s="6" t="str">
        <f>IFERROR(__xludf.DUMMYFUNCTION("GOOGLETRANSLATE(A1832,""en"",""fi"")"),"Sen aivosolut lisääntyvät jatkuvasti, kunnes se kuolee. Tämän seurauksena se muistaa kaiken.")</f>
        <v>Sen aivosolut lisääntyvät jatkuvasti, kunnes se kuolee. Tämän seurauksena se muistaa kaiken.</v>
      </c>
      <c r="C1832" s="9" t="s">
        <v>1344</v>
      </c>
    </row>
    <row r="1833" ht="33.75" customHeight="1">
      <c r="A1833" s="6" t="s">
        <v>2732</v>
      </c>
      <c r="B1833" s="6" t="str">
        <f>IFERROR(__xludf.DUMMYFUNCTION("GOOGLETRANSLATE(A1833,""en"",""fi"")"),"Sen älykkyysosamäärä on 5000. Se laskee monia asioita saadakseen etulyöntiaseman jokaisessa taistelussa.")</f>
        <v>Sen älykkyysosamäärä on 5000. Se laskee monia asioita saadakseen etulyöntiaseman jokaisessa taistelussa.</v>
      </c>
      <c r="C1833" s="9" t="s">
        <v>1344</v>
      </c>
    </row>
    <row r="1834" ht="33.75" customHeight="1">
      <c r="A1834" s="6" t="s">
        <v>2733</v>
      </c>
      <c r="B1834" s="6" t="str">
        <f>IFERROR(__xludf.DUMMYFUNCTION("GOOGLETRANSLATE(A1834,""en"",""fi"")"),"ALAKAZAMin aivot kasvavat jatkuvasti, mikä tekee sen päästä aivan liian raskaan kannateltavaksi kaulalla. Tämä POKéMON pitää päätään ylhäällä käyttämällä sen sijaan psykokineettisiä voimiaan.")</f>
        <v>ALAKAZAMin aivot kasvavat jatkuvasti, mikä tekee sen päästä aivan liian raskaan kannateltavaksi kaulalla. Tämä POKéMON pitää päätään ylhäällä käyttämällä sen sijaan psykokineettisiä voimiaan.</v>
      </c>
      <c r="C1834" s="9" t="s">
        <v>1344</v>
      </c>
    </row>
    <row r="1835" ht="33.75" customHeight="1">
      <c r="A1835" s="6" t="s">
        <v>2734</v>
      </c>
      <c r="B1835" s="6" t="str">
        <f>IFERROR(__xludf.DUMMYFUNCTION("GOOGLETRANSLATE(A1835,""en"",""fi"")"),"ALAKAZAMin aivot kasvavat jatkuvasti ja aivosolut lisääntyvät loputtomasti. Tämä hämmästyttävä aivotoiminta antaa tälle POKéMONille hämmästyttävän korkean, 5 000:n älykkyysosamäärän. Se muistaa perusteellisesti kaiken, mitä maailmassa on tapahtunut.")</f>
        <v>ALAKAZAMin aivot kasvavat jatkuvasti ja aivosolut lisääntyvät loputtomasti. Tämä hämmästyttävä aivotoiminta antaa tälle POKéMONille hämmästyttävän korkean, 5 000:n älykkyysosamäärän. Se muistaa perusteellisesti kaiken, mitä maailmassa on tapahtunut.</v>
      </c>
      <c r="C1835" s="9" t="s">
        <v>1344</v>
      </c>
    </row>
    <row r="1836" ht="33.75" customHeight="1">
      <c r="A1836" s="6" t="s">
        <v>2735</v>
      </c>
      <c r="B1836" s="6" t="str">
        <f>IFERROR(__xludf.DUMMYFUNCTION("GOOGLETRANSLATE(A1836,""en"",""fi"")"),"Vaikka sillä on vahvat psyykkiset kyvyt ja korkea älykkyys, ALAKAZAMin lihakset ovat hyvin heikot. Se käyttää psyykkistä voimaa kehonsa liikuttamiseen.")</f>
        <v>Vaikka sillä on vahvat psyykkiset kyvyt ja korkea älykkyys, ALAKAZAMin lihakset ovat hyvin heikot. Se käyttää psyykkistä voimaa kehonsa liikuttamiseen.</v>
      </c>
      <c r="C1836" s="9" t="s">
        <v>1344</v>
      </c>
    </row>
    <row r="1837" ht="33.75" customHeight="1">
      <c r="A1837" s="6" t="s">
        <v>2736</v>
      </c>
      <c r="B1837" s="6" t="str">
        <f>IFERROR(__xludf.DUMMYFUNCTION("GOOGLETRANSLATE(A1837,""en"",""fi"")"),"Se ei pidä fyysisistä hyökkäyksistä kovin paljon. Sen sijaan se käyttää vapaasti ylimääräisiä aistivoimia vihollisten kukistamiseen.")</f>
        <v>Se ei pidä fyysisistä hyökkäyksistä kovin paljon. Sen sijaan se käyttää vapaasti ylimääräisiä aistivoimia vihollisten kukistamiseen.</v>
      </c>
      <c r="C1837" s="9" t="s">
        <v>1344</v>
      </c>
    </row>
    <row r="1838" ht="33.75" customHeight="1">
      <c r="A1838" s="6" t="s">
        <v>2737</v>
      </c>
      <c r="B1838" s="6" t="str">
        <f>IFERROR(__xludf.DUMMYFUNCTION("GOOGLETRANSLATE(A1838,""en"",""fi"")"),"Sen aivot pystyvät suoriutumaan paremmin kuin supertietokone. Sen älykkyysosamäärän sanotaan olevan noin 5 000.")</f>
        <v>Sen aivot pystyvät suoriutumaan paremmin kuin supertietokone. Sen älykkyysosamäärän sanotaan olevan noin 5 000.</v>
      </c>
      <c r="C1838" s="9" t="s">
        <v>1344</v>
      </c>
    </row>
    <row r="1839" ht="33.75" customHeight="1">
      <c r="A1839" s="6" t="s">
        <v>2738</v>
      </c>
      <c r="B1839" s="6" t="str">
        <f>IFERROR(__xludf.DUMMYFUNCTION("GOOGLETRANSLATE(A1839,""en"",""fi"")"),"Sen erinomainen muisti antaa sille mahdollisuuden muistaa kaiken, mitä se on kokenut syntymästä lähtien. Sen älykkyysosamäärä ylittää 5 000.")</f>
        <v>Sen erinomainen muisti antaa sille mahdollisuuden muistaa kaiken, mitä se on kokenut syntymästä lähtien. Sen älykkyysosamäärä ylittää 5 000.</v>
      </c>
      <c r="C1839" s="9" t="s">
        <v>1344</v>
      </c>
    </row>
    <row r="1840" ht="33.75" customHeight="1">
      <c r="A1840" s="6" t="s">
        <v>2739</v>
      </c>
      <c r="B1840" s="6" t="str">
        <f>IFERROR(__xludf.DUMMYFUNCTION("GOOGLETRANSLATE(A1840,""en"",""fi"")"),"Sen pitkälle kehittynyt aivo on supertietokoneen veroinen. Se pystyy käyttämään kaikenlaisia ​​psyykkisiä kykyjä.")</f>
        <v>Sen pitkälle kehittynyt aivo on supertietokoneen veroinen. Se pystyy käyttämään kaikenlaisia ​​psyykkisiä kykyjä.</v>
      </c>
      <c r="C1840" s="9" t="s">
        <v>1344</v>
      </c>
    </row>
    <row r="1841" ht="33.75" customHeight="1">
      <c r="A1841" s="6" t="s">
        <v>2740</v>
      </c>
      <c r="B1841" s="6" t="str">
        <f>IFERROR(__xludf.DUMMYFUNCTION("GOOGLETRANSLATE(A1841,""en"",""fi"")"),"Sen käsissä puristettujen lusikoiden sanotaan olevan sen psyykkisten voimien luomia.")</f>
        <v>Sen käsissä puristettujen lusikoiden sanotaan olevan sen psyykkisten voimien luomia.</v>
      </c>
      <c r="C1841" s="9" t="s">
        <v>1344</v>
      </c>
    </row>
    <row r="1842" ht="33.75" customHeight="1">
      <c r="A1842" s="6" t="s">
        <v>2742</v>
      </c>
      <c r="B1842" s="6" t="str">
        <f>IFERROR(__xludf.DUMMYFUNCTION("GOOGLETRANSLATE(A1842,""en"",""fi"")"),"Sen aivosolut lisääntyvät jatkuvasti, kunnes se kuolee. Tämän seurauksena se muistaa kaiken.")</f>
        <v>Sen aivosolut lisääntyvät jatkuvasti, kunnes se kuolee. Tämän seurauksena se muistaa kaiken.</v>
      </c>
      <c r="C1842" s="9" t="s">
        <v>1344</v>
      </c>
    </row>
    <row r="1843" ht="33.75" customHeight="1">
      <c r="A1843" s="6" t="s">
        <v>2744</v>
      </c>
      <c r="B1843" s="6" t="str">
        <f>IFERROR(__xludf.DUMMYFUNCTION("GOOGLETRANSLATE(A1843,""en"",""fi"")"),"Alakazamin aivot kasvavat jatkuvasti, mikä tekee sen päästä aivan liian raskaan kannateltavaksi kaulalla. Tämä Pokémon pitää päätään ylhäällä käyttämällä psykokineettisiä voimiaan.")</f>
        <v>Alakazamin aivot kasvavat jatkuvasti, mikä tekee sen päästä aivan liian raskaan kannateltavaksi kaulalla. Tämä Pokémon pitää päätään ylhäällä käyttämällä psykokineettisiä voimiaan.</v>
      </c>
      <c r="C1843" s="9" t="s">
        <v>1344</v>
      </c>
    </row>
    <row r="1844" ht="33.75" customHeight="1">
      <c r="A1844" s="6" t="s">
        <v>2745</v>
      </c>
      <c r="B1844" s="6" t="str">
        <f>IFERROR(__xludf.DUMMYFUNCTION("GOOGLETRANSLATE(A1844,""en"",""fi"")"),"Alakazamin aivot kasvavat jatkuvasti ja aivosolut lisääntyvät loputtomasti. Tämä hämmästyttävä aivojen ansiosta tälle Pokémonille on hämmästyttävän korkea, 5 000:n älykkyysosamäärä. Sillä on perusteellinen muisti kaikesta, mitä maailmassa on tapahtunut.")</f>
        <v>Alakazamin aivot kasvavat jatkuvasti ja aivosolut lisääntyvät loputtomasti. Tämä hämmästyttävä aivojen ansiosta tälle Pokémonille on hämmästyttävän korkea, 5 000:n älykkyysosamäärä. Sillä on perusteellinen muisti kaikesta, mitä maailmassa on tapahtunut.</v>
      </c>
      <c r="C1844" s="9" t="s">
        <v>1344</v>
      </c>
    </row>
    <row r="1845" ht="33.75" customHeight="1">
      <c r="A1845" s="6" t="s">
        <v>2746</v>
      </c>
      <c r="B1845" s="6" t="str">
        <f>IFERROR(__xludf.DUMMYFUNCTION("GOOGLETRANSLATE(A1845,""en"",""fi"")"),"Sen sanotaan omaavan noin 5 000 älykkyysosamäärän. Sen ylitsevuotavat psykokineettiset voimat aiheuttavat päänsärkyä kaikille lähellä oleville.")</f>
        <v>Sen sanotaan omaavan noin 5 000 älykkyysosamäärän. Sen ylitsevuotavat psykokineettiset voimat aiheuttavat päänsärkyä kaikille lähellä oleville.</v>
      </c>
      <c r="C1845" s="9" t="s">
        <v>1344</v>
      </c>
    </row>
    <row r="1846" ht="33.75" customHeight="1">
      <c r="A1846" s="6" t="s">
        <v>2747</v>
      </c>
      <c r="B1846" s="6" t="str">
        <f>IFERROR(__xludf.DUMMYFUNCTION("GOOGLETRANSLATE(A1846,""en"",""fi"")"),"Sen aivosolujen määrä kasvaa jatkuvasti kuolemaan asti. Mitä vanhempi Alakazam on, sitä suurempi sen pää.")</f>
        <v>Sen aivosolujen määrä kasvaa jatkuvasti kuolemaan asti. Mitä vanhempi Alakazam on, sitä suurempi sen pää.</v>
      </c>
      <c r="C1846" s="9" t="s">
        <v>1344</v>
      </c>
    </row>
    <row r="1847" ht="33.75" customHeight="1">
      <c r="A1847" s="6" t="s">
        <v>2750</v>
      </c>
      <c r="B1847" s="6" t="str">
        <f>IFERROR(__xludf.DUMMYFUNCTION("GOOGLETRANSLATE(A1847,""en"",""fi"")"),"Alakazam käyttää psyykkisiä voimiaan valmistaakseen kantamansa lusikat. Jokainen lusikka on ainutlaatuinen, jollaisia ​​on vain yksi koko maailmassa.")</f>
        <v>Alakazam käyttää psyykkisiä voimiaan valmistaakseen kantamansa lusikat. Jokainen lusikka on ainutlaatuinen, jollaisia ​​on vain yksi koko maailmassa.</v>
      </c>
      <c r="C1847" s="9" t="s">
        <v>1344</v>
      </c>
    </row>
    <row r="1848" ht="33.75" customHeight="1">
      <c r="A1848" s="6" t="s">
        <v>2752</v>
      </c>
      <c r="B1848" s="6" t="str">
        <f>IFERROR(__xludf.DUMMYFUNCTION("GOOGLETRANSLATE(A1848,""en"",""fi"")"),"Jos se luottaa johonkuhun syvästi, se antaa hänelle yhden lusikoistaan. Kaikki, mitä syöt sillä lusikalla, on näennäisesti herkullista.")</f>
        <v>Jos se luottaa johonkuhun syvästi, se antaa hänelle yhden lusikoistaan. Kaikki, mitä syöt sillä lusikalla, on näennäisesti herkullista.</v>
      </c>
      <c r="C1848" s="9" t="s">
        <v>1344</v>
      </c>
    </row>
    <row r="1849" ht="33.75" customHeight="1">
      <c r="A1849" s="6" t="s">
        <v>2754</v>
      </c>
      <c r="B1849" s="6" t="str">
        <f>IFERROR(__xludf.DUMMYFUNCTION("GOOGLETRANSLATE(A1849,""en"",""fi"")"),"Pokémon, joka pystyy muistamaan mitä tahansa. Se ei koskaan unohda oppimaansa – siksi tämä Pokémon on älykäs.")</f>
        <v>Pokémon, joka pystyy muistamaan mitä tahansa. Se ei koskaan unohda oppimaansa – siksi tämä Pokémon on älykäs.</v>
      </c>
      <c r="C1849" s="9" t="s">
        <v>1344</v>
      </c>
    </row>
    <row r="1850" ht="33.75" customHeight="1">
      <c r="A1850" s="6" t="s">
        <v>2756</v>
      </c>
      <c r="B1850" s="6" t="str">
        <f>IFERROR(__xludf.DUMMYFUNCTION("GOOGLETRANSLATE(A1850,""en"",""fi"")"),"Sillä on uskomattoman korkea älykkyys. Jotkut sanovat, että Alakazam muistaa kaiken, mitä sille tapahtuu, syntymästä kuolemaan.")</f>
        <v>Sillä on uskomattoman korkea älykkyys. Jotkut sanovat, että Alakazam muistaa kaiken, mitä sille tapahtuu, syntymästä kuolemaan.</v>
      </c>
      <c r="C1850" s="9" t="s">
        <v>1344</v>
      </c>
    </row>
    <row r="1851" ht="33.75" customHeight="1">
      <c r="A1851" s="6" t="s">
        <v>2758</v>
      </c>
      <c r="B1851" s="6" t="str">
        <f>IFERROR(__xludf.DUMMYFUNCTION("GOOGLETRANSLATE(A1851,""en"",""fi"")"),"Alakazamin sanotaan käyttäneen voimakkaita psyykkisiä voimia luodakseen lusikat, joita se pitää kädessään.")</f>
        <v>Alakazamin sanotaan käyttäneen voimakkaita psyykkisiä voimia luodakseen lusikat, joita se pitää kädessään.</v>
      </c>
      <c r="C1851" s="9" t="s">
        <v>1344</v>
      </c>
    </row>
    <row r="1852" ht="33.75" customHeight="1">
      <c r="A1852" s="6" t="s">
        <v>2760</v>
      </c>
      <c r="B1852" s="6" t="str">
        <f>IFERROR(__xludf.DUMMYFUNCTION("GOOGLETRANSLATE(A1852,""en"",""fi"")"),"Mitä kauemmin Alakazam elää, sitä suuremmaksi ja painavammaksi sen pää muuttuu. Testimme ovat osoittaneet, että sen psyykkisten voimien vahvuus korreloi positiivisesti sen pään painon kanssa.")</f>
        <v>Mitä kauemmin Alakazam elää, sitä suuremmaksi ja painavammaksi sen pää muuttuu. Testimme ovat osoittaneet, että sen psyykkisten voimien vahvuus korreloi positiivisesti sen pään painon kanssa.</v>
      </c>
      <c r="C1852" s="9" t="s">
        <v>1344</v>
      </c>
    </row>
    <row r="1853" ht="33.75" customHeight="1">
      <c r="A1853" s="6" t="s">
        <v>2762</v>
      </c>
      <c r="B1853" s="6" t="str">
        <f>IFERROR(__xludf.DUMMYFUNCTION("GOOGLETRANSLATE(A1853,""en"",""fi"")"),"Rakastaa lihasten kasvattamista. Se harjoittelee kaikissa kamppailulajityyleissä tullakseen entistä vahvemmaksi.")</f>
        <v>Rakastaa lihasten kasvattamista. Se harjoittelee kaikissa kamppailulajityyleissä tullakseen entistä vahvemmaksi.</v>
      </c>
      <c r="C1853" s="9" t="s">
        <v>1344</v>
      </c>
    </row>
    <row r="1854" ht="33.75" customHeight="1">
      <c r="A1854" s="6" t="s">
        <v>2763</v>
      </c>
      <c r="B1854" s="6" t="str">
        <f>IFERROR(__xludf.DUMMYFUNCTION("GOOGLETRANSLATE(A1854,""en"",""fi"")"),"Erittäin voimakas pienestä koostaan ​​huolimatta. Sen monien kamppailulajien hallinta tekee siitä erittäin sitkeän.")</f>
        <v>Erittäin voimakas pienestä koostaan ​​huolimatta. Sen monien kamppailulajien hallinta tekee siitä erittäin sitkeän.</v>
      </c>
      <c r="C1854" s="9" t="s">
        <v>1344</v>
      </c>
    </row>
    <row r="1855" ht="33.75" customHeight="1">
      <c r="A1855" s="6" t="s">
        <v>2765</v>
      </c>
      <c r="B1855" s="6" t="str">
        <f>IFERROR(__xludf.DUMMYFUNCTION("GOOGLETRANSLATE(A1855,""en"",""fi"")"),"Aina voimaa pursuava se kuluttaa aikaa nostamalla lohkareita. Näin se vahvistuu entisestään.")</f>
        <v>Aina voimaa pursuava se kuluttaa aikaa nostamalla lohkareita. Näin se vahvistuu entisestään.</v>
      </c>
      <c r="C1855" s="9" t="s">
        <v>1344</v>
      </c>
    </row>
    <row r="1856" ht="33.75" customHeight="1">
      <c r="A1856" s="6" t="s">
        <v>2767</v>
      </c>
      <c r="B1856" s="6" t="str">
        <f>IFERROR(__xludf.DUMMYFUNCTION("GOOGLETRANSLATE(A1856,""en"",""fi"")"),"Se rakastaa treenaamista ja lihasten kasvattamista. Se ei ole koskaan tyytyväinen, vaikka se treenaisi kovaa koko päivän.")</f>
        <v>Se rakastaa treenaamista ja lihasten kasvattamista. Se ei ole koskaan tyytyväinen, vaikka se treenaisi kovaa koko päivän.</v>
      </c>
      <c r="C1856" s="9" t="s">
        <v>1344</v>
      </c>
    </row>
    <row r="1857" ht="33.75" customHeight="1">
      <c r="A1857" s="6" t="s">
        <v>2768</v>
      </c>
      <c r="B1857" s="6" t="str">
        <f>IFERROR(__xludf.DUMMYFUNCTION("GOOGLETRANSLATE(A1857,""en"",""fi"")"),"Se harjoittelee nostamalla kiviä vuorilla. Se voi jopa poimia sora-alustansa helposti.")</f>
        <v>Se harjoittelee nostamalla kiviä vuorilla. Se voi jopa poimia sora-alustansa helposti.</v>
      </c>
      <c r="C1857" s="9" t="s">
        <v>1344</v>
      </c>
    </row>
    <row r="1858" ht="33.75" customHeight="1">
      <c r="A1858" s="6" t="s">
        <v>2771</v>
      </c>
      <c r="B1858" s="6" t="str">
        <f>IFERROR(__xludf.DUMMYFUNCTION("GOOGLETRANSLATE(A1858,""en"",""fi"")"),"MACHOPin lihakset ovat erityiset – ne eivät koskaan kipeydy, vaikka niitä kuinka paljon liikunnassa käytettäisiin. Tällä POKéMONilla on riittävästi voimaa sinkoamaan sata aikuista ihmistä.")</f>
        <v>MACHOPin lihakset ovat erityiset – ne eivät koskaan kipeydy, vaikka niitä kuinka paljon liikunnassa käytettäisiin. Tällä POKéMONilla on riittävästi voimaa sinkoamaan sata aikuista ihmistä.</v>
      </c>
      <c r="C1858" s="9" t="s">
        <v>1344</v>
      </c>
    </row>
    <row r="1859" ht="33.75" customHeight="1">
      <c r="A1859" s="6" t="s">
        <v>2773</v>
      </c>
      <c r="B1859" s="6" t="str">
        <f>IFERROR(__xludf.DUMMYFUNCTION("GOOGLETRANSLATE(A1859,""en"",""fi"")"),"MACHOP harjoittelee nostamalla GRAVELER-tankoa kuin se olisi levytanko. Jotkut MACHOPit matkustavat ympäri maailmaa pyrkiessään hallitsemaan kaikenlaisia ​​kamppailulajeja.")</f>
        <v>MACHOP harjoittelee nostamalla GRAVELER-tankoa kuin se olisi levytanko. Jotkut MACHOPit matkustavat ympäri maailmaa pyrkiessään hallitsemaan kaikenlaisia ​​kamppailulajeja.</v>
      </c>
      <c r="C1859" s="9" t="s">
        <v>1344</v>
      </c>
    </row>
    <row r="1860" ht="33.75" customHeight="1">
      <c r="A1860" s="6" t="s">
        <v>2774</v>
      </c>
      <c r="B1860" s="6" t="str">
        <f>IFERROR(__xludf.DUMMYFUNCTION("GOOGLETRANSLATE(A1860,""en"",""fi"")"),"Se harjoittelee jatkuvasti raskasta työtä hallitakseen kaikki kamppailulajit. Voimansa ansiosta se voi helposti nostaa sumopainijan harteilleen.")</f>
        <v>Se harjoittelee jatkuvasti raskasta työtä hallitakseen kaikki kamppailulajit. Voimansa ansiosta se voi helposti nostaa sumopainijan harteilleen.</v>
      </c>
      <c r="C1860" s="9" t="s">
        <v>1344</v>
      </c>
    </row>
    <row r="1861" ht="33.75" customHeight="1">
      <c r="A1861" s="6" t="s">
        <v>2775</v>
      </c>
      <c r="B1861" s="6" t="str">
        <f>IFERROR(__xludf.DUMMYFUNCTION("GOOGLETRANSLATE(A1861,""en"",""fi"")"),"Sen koko ruumis koostuu lihaksista. Vaikka se on ihmislapsen kokoinen, se voi sinkoutua 100 aikuista.")</f>
        <v>Sen koko ruumis koostuu lihaksista. Vaikka se on ihmislapsen kokoinen, se voi sinkoutua 100 aikuista.</v>
      </c>
      <c r="C1861" s="9" t="s">
        <v>1344</v>
      </c>
    </row>
    <row r="1862" ht="33.75" customHeight="1">
      <c r="A1862" s="6" t="s">
        <v>2776</v>
      </c>
      <c r="B1862" s="6" t="str">
        <f>IFERROR(__xludf.DUMMYFUNCTION("GOOGLETRANSLATE(A1862,""en"",""fi"")"),"Se nostaa GRAVELER-kivääriä toistuvasti vahvistaakseen koko kehoaan. Se käyttää kaikkia kamppailulajeja.")</f>
        <v>Se nostaa GRAVELER-kivääriä toistuvasti vahvistaakseen koko kehoaan. Se käyttää kaikkia kamppailulajeja.</v>
      </c>
      <c r="C1862" s="9" t="s">
        <v>1344</v>
      </c>
    </row>
    <row r="1863" ht="33.75" customHeight="1">
      <c r="A1863" s="6" t="s">
        <v>2780</v>
      </c>
      <c r="B1863" s="6" t="str">
        <f>IFERROR(__xludf.DUMMYFUNCTION("GOOGLETRANSLATE(A1863,""en"",""fi"")"),"Sen lihakset eivät koskaan kramppaa, vaikka se kuinka paljon harjoittelisi. Se elää vuoristossa erillään ihmisistä.")</f>
        <v>Sen lihakset eivät koskaan kramppaa, vaikka se kuinka paljon harjoittelisi. Se elää vuoristossa erillään ihmisistä.</v>
      </c>
      <c r="C1863" s="9" t="s">
        <v>1344</v>
      </c>
    </row>
    <row r="1864" ht="33.75" customHeight="1">
      <c r="A1864" s="6" t="s">
        <v>2781</v>
      </c>
      <c r="B1864" s="6" t="str">
        <f>IFERROR(__xludf.DUMMYFUNCTION("GOOGLETRANSLATE(A1864,""en"",""fi"")"),"Vaikka se on pienikokoinen, se on tarpeeksi tehokas nostamaan ja heittämään helposti useita GEODUDE-yksiköitä kerralla.")</f>
        <v>Vaikka se on pienikokoinen, se on tarpeeksi tehokas nostamaan ja heittämään helposti useita GEODUDE-yksiköitä kerralla.</v>
      </c>
      <c r="C1864" s="9" t="s">
        <v>1344</v>
      </c>
    </row>
    <row r="1865" ht="33.75" customHeight="1">
      <c r="A1865" s="6" t="s">
        <v>2782</v>
      </c>
      <c r="B1865" s="6" t="str">
        <f>IFERROR(__xludf.DUMMYFUNCTION("GOOGLETRANSLATE(A1865,""en"",""fi"")"),"Vaikka se on pienikokoinen, se on tarpeeksi tehokas nostamaan ja heittämään helposti useita Geodudeja kerralla.")</f>
        <v>Vaikka se on pienikokoinen, se on tarpeeksi tehokas nostamaan ja heittämään helposti useita Geodudeja kerralla.</v>
      </c>
      <c r="C1865" s="9" t="s">
        <v>1344</v>
      </c>
    </row>
    <row r="1866" ht="33.75" customHeight="1">
      <c r="A1866" s="6" t="s">
        <v>2783</v>
      </c>
      <c r="B1866" s="6" t="str">
        <f>IFERROR(__xludf.DUMMYFUNCTION("GOOGLETRANSLATE(A1866,""en"",""fi"")"),"Se nostaa Graveleria toistuvasti vahvistaakseen koko kehoaan. Se käyttää kaikkia kamppailulajeja.")</f>
        <v>Se nostaa Graveleria toistuvasti vahvistaakseen koko kehoaan. Se käyttää kaikkia kamppailulajeja.</v>
      </c>
      <c r="C1866" s="9" t="s">
        <v>1344</v>
      </c>
    </row>
    <row r="1867" ht="33.75" customHeight="1">
      <c r="A1867" s="6" t="s">
        <v>2784</v>
      </c>
      <c r="B1867" s="6" t="str">
        <f>IFERROR(__xludf.DUMMYFUNCTION("GOOGLETRANSLATE(A1867,""en"",""fi"")"),"Machopin lihakset ovat erityiset – ne eivät koskaan kipeydy, vaikka niitä kuinka paljon liikunnassa käytettäisiin. Tällä Pokémonilla on riittävästi voimaa sinkoamaan sata aikuista ihmistä.")</f>
        <v>Machopin lihakset ovat erityiset – ne eivät koskaan kipeydy, vaikka niitä kuinka paljon liikunnassa käytettäisiin. Tällä Pokémonilla on riittävästi voimaa sinkoamaan sata aikuista ihmistä.</v>
      </c>
      <c r="C1867" s="9" t="s">
        <v>1344</v>
      </c>
    </row>
    <row r="1868" ht="33.75" customHeight="1">
      <c r="A1868" s="6" t="s">
        <v>2786</v>
      </c>
      <c r="B1868" s="6" t="str">
        <f>IFERROR(__xludf.DUMMYFUNCTION("GOOGLETRANSLATE(A1868,""en"",""fi"")"),"Machop harjoittelee nostamalla Graveleria kuin se olisi levytanko. Jotkut Machop-harrastajat matkustavat ympäri maailmaa pyrkiessään hallitsemaan kaikenlaisia ​​kamppailulajeja.")</f>
        <v>Machop harjoittelee nostamalla Graveleria kuin se olisi levytanko. Jotkut Machop-harrastajat matkustavat ympäri maailmaa pyrkiessään hallitsemaan kaikenlaisia ​​kamppailulajeja.</v>
      </c>
      <c r="C1868" s="9" t="s">
        <v>1344</v>
      </c>
    </row>
    <row r="1869" ht="33.75" customHeight="1">
      <c r="A1869" s="6" t="s">
        <v>2788</v>
      </c>
      <c r="B1869" s="6" t="str">
        <f>IFERROR(__xludf.DUMMYFUNCTION("GOOGLETRANSLATE(A1869,""en"",""fi"")"),"Se rakastaa treenaamista. Katsellessaan lihaksiaan, jotka turpoavat päivä päivältä, se omistautuu yhä enemmän harjoittelulleen.")</f>
        <v>Se rakastaa treenaamista. Katsellessaan lihaksiaan, jotka turpoavat päivä päivältä, se omistautuu yhä enemmän harjoittelulleen.</v>
      </c>
      <c r="C1869" s="9" t="s">
        <v>1344</v>
      </c>
    </row>
    <row r="1870" ht="33.75" customHeight="1">
      <c r="A1870" s="6" t="s">
        <v>2790</v>
      </c>
      <c r="B1870" s="6" t="str">
        <f>IFERROR(__xludf.DUMMYFUNCTION("GOOGLETRANSLATE(A1870,""en"",""fi"")"),"Yli-inhimillisillä voimillaan se pystyy heittämään sata ihmistä samanaikaisesti. Sen voima tulee Gravelerin nostamisesta joka päivä.")</f>
        <v>Yli-inhimillisillä voimillaan se pystyy heittämään sata ihmistä samanaikaisesti. Sen voima tulee Gravelerin nostamisesta joka päivä.</v>
      </c>
      <c r="C1870" s="9" t="s">
        <v>1344</v>
      </c>
    </row>
    <row r="1871" ht="33.75" customHeight="1">
      <c r="A1871" s="6" t="s">
        <v>2792</v>
      </c>
      <c r="B1871" s="6" t="str">
        <f>IFERROR(__xludf.DUMMYFUNCTION("GOOGLETRANSLATE(A1871,""en"",""fi"")"),"Kun tämä Pokémon on saanut tarpeeksi itseluottamusta ja lihaksia ystäviensä kanssa harjoitellessaan, se haastaa Makuhitan taisteluun.")</f>
        <v>Kun tämä Pokémon on saanut tarpeeksi itseluottamusta ja lihaksia ystäviensä kanssa harjoitellessaan, se haastaa Makuhitan taisteluun.</v>
      </c>
      <c r="C1871" s="9" t="s">
        <v>1344</v>
      </c>
    </row>
    <row r="1872" ht="33.75" customHeight="1">
      <c r="A1872" s="6" t="s">
        <v>2794</v>
      </c>
      <c r="B1872" s="6" t="str">
        <f>IFERROR(__xludf.DUMMYFUNCTION("GOOGLETRANSLATE(A1872,""en"",""fi"")"),"Se pitää erittäin ravitsevasta ruoasta, koska sen vaistot ajavat sitä rakentamaan lihaksia tehokkaasti.")</f>
        <v>Se pitää erittäin ravitsevasta ruoasta, koska sen vaistot ajavat sitä rakentamaan lihaksia tehokkaasti.</v>
      </c>
      <c r="C1872" s="9" t="s">
        <v>1344</v>
      </c>
    </row>
    <row r="1873" ht="33.75" customHeight="1">
      <c r="A1873" s="6" t="s">
        <v>2795</v>
      </c>
      <c r="B1873" s="6" t="str">
        <f>IFERROR(__xludf.DUMMYFUNCTION("GOOGLETRANSLATE(A1873,""en"",""fi"")"),"Vaikka se on lapsen kokoinen, sillä on tarpeeksi voimaa heittää helposti vankkarakenteisen aikuisen. Pyrkiessään tulemaan yhä vahvemmaksi, Machop harjoittelee kantamalla Graveleria harteillaan.")</f>
        <v>Vaikka se on lapsen kokoinen, sillä on tarpeeksi voimaa heittää helposti vankkarakenteisen aikuisen. Pyrkiessään tulemaan yhä vahvemmaksi, Machop harjoittelee kantamalla Graveleria harteillaan.</v>
      </c>
      <c r="C1873" s="9" t="s">
        <v>1344</v>
      </c>
    </row>
    <row r="1874" ht="33.75" customHeight="1">
      <c r="A1874" s="6" t="s">
        <v>2796</v>
      </c>
      <c r="B1874" s="6" t="str">
        <f>IFERROR(__xludf.DUMMYFUNCTION("GOOGLETRANSLATE(A1874,""en"",""fi"")"),"Sen lihaksikas ruumis on niin voimakas, että sen on käytettävä energiansäästövyötä voidakseen säädellä liikkeitään.")</f>
        <v>Sen lihaksikas ruumis on niin voimakas, että sen on käytettävä energiansäästövyötä voidakseen säädellä liikkeitään.</v>
      </c>
      <c r="C1874" s="9" t="s">
        <v>1344</v>
      </c>
    </row>
    <row r="1875" ht="33.75" customHeight="1">
      <c r="A1875" s="6" t="s">
        <v>2798</v>
      </c>
      <c r="B1875" s="6" t="str">
        <f>IFERROR(__xludf.DUMMYFUNCTION("GOOGLETRANSLATE(A1875,""en"",""fi"")"),"Vyötäröllä oleva vyö pidättelee sen energiaa. Ilman sitä tämä POKéMON olisi pysäyttämätön.")</f>
        <v>Vyötäröllä oleva vyö pidättelee sen energiaa. Ilman sitä tämä POKéMON olisi pysäyttämätön.</v>
      </c>
      <c r="C1875" s="9" t="s">
        <v>1344</v>
      </c>
    </row>
    <row r="1876" ht="33.75" customHeight="1">
      <c r="A1876" s="6" t="s">
        <v>2801</v>
      </c>
      <c r="B1876" s="6" t="str">
        <f>IFERROR(__xludf.DUMMYFUNCTION("GOOGLETRANSLATE(A1876,""en"",""fi"")"),"Se toimii aina täydellä tehollaan, mutta tämä erittäin kestävä ja lujatekoinen POKéMON ei koskaan väsy.")</f>
        <v>Se toimii aina täydellä tehollaan, mutta tämä erittäin kestävä ja lujatekoinen POKéMON ei koskaan väsy.</v>
      </c>
      <c r="C1876" s="9" t="s">
        <v>1344</v>
      </c>
    </row>
    <row r="1877" ht="33.75" customHeight="1">
      <c r="A1877" s="6" t="s">
        <v>2802</v>
      </c>
      <c r="B1877" s="6" t="str">
        <f>IFERROR(__xludf.DUMMYFUNCTION("GOOGLETRANSLATE(A1877,""en"",""fi"")"),"Sen vartaloa peittävät lihakset ovat täynnä voimaa. Jopa paikallaan ollessaan se huokuu hämmästyttävää voiman tunnetta.")</f>
        <v>Sen vartaloa peittävät lihakset ovat täynnä voimaa. Jopa paikallaan ollessaan se huokuu hämmästyttävää voiman tunnetta.</v>
      </c>
      <c r="C1877" s="9" t="s">
        <v>1344</v>
      </c>
    </row>
    <row r="1878" ht="33.75" customHeight="1">
      <c r="A1878" s="6" t="s">
        <v>2804</v>
      </c>
      <c r="B1878" s="6" t="str">
        <f>IFERROR(__xludf.DUMMYFUNCTION("GOOGLETRANSLATE(A1878,""en"",""fi"")"),"Tämä kova POKéMON pysyy aina taistelukentällä. Sen lihakset paksuuntuvat jokaisen taistelun jälkeen.")</f>
        <v>Tämä kova POKéMON pysyy aina taistelukentällä. Sen lihakset paksuuntuvat jokaisen taistelun jälkeen.</v>
      </c>
      <c r="C1878" s="9" t="s">
        <v>1344</v>
      </c>
    </row>
    <row r="1879" ht="33.75" customHeight="1">
      <c r="A1879" s="6" t="s">
        <v>2805</v>
      </c>
      <c r="B1879" s="6" t="str">
        <f>IFERROR(__xludf.DUMMYFUNCTION("GOOGLETRANSLATE(A1879,""en"",""fi"")"),"MACHOKEN läpikotaisin treenatut lihakset ovat teräksen kovia. Tällä POKéMONilla on niin paljon voimaa, että se voi helposti pitää sumopainijan ilmassa yhdellä sormella.")</f>
        <v>MACHOKEN läpikotaisin treenatut lihakset ovat teräksen kovia. Tällä POKéMONilla on niin paljon voimaa, että se voi helposti pitää sumopainijan ilmassa yhdellä sormella.</v>
      </c>
      <c r="C1879" s="9" t="s">
        <v>1344</v>
      </c>
    </row>
    <row r="1880" ht="33.75" customHeight="1">
      <c r="A1880" s="6" t="s">
        <v>2807</v>
      </c>
      <c r="B1880" s="6" t="str">
        <f>IFERROR(__xludf.DUMMYFUNCTION("GOOGLETRANSLATE(A1880,""en"",""fi"")"),"MACHOKE tekee kehonrakennustöitä joka päivä, vaikka se auttaakin ihmisiä fyysisesti vaativassa työssä. Vapaapäivinään tämä POKéMON suuntaa pelloille ja vuorille kuntoilemaan ja harjoittelemaan.")</f>
        <v>MACHOKE tekee kehonrakennustöitä joka päivä, vaikka se auttaakin ihmisiä fyysisesti vaativassa työssä. Vapaapäivinään tämä POKéMON suuntaa pelloille ja vuorille kuntoilemaan ja harjoittelemaan.</v>
      </c>
      <c r="C1880" s="9" t="s">
        <v>1344</v>
      </c>
    </row>
    <row r="1881" ht="33.75" customHeight="1">
      <c r="A1881" s="6" t="s">
        <v>2809</v>
      </c>
      <c r="B1881" s="6" t="str">
        <f>IFERROR(__xludf.DUMMYFUNCTION("GOOGLETRANSLATE(A1881,""en"",""fi"")"),"MACHOKE käyttää vyötä pitääkseen ylivoimaisen voimansa kurissa. Koska se on niin vaarallista, kukaan ei ole koskaan ottanut vyötä pois.")</f>
        <v>MACHOKE käyttää vyötä pitääkseen ylivoimaisen voimansa kurissa. Koska se on niin vaarallista, kukaan ei ole koskaan ottanut vyötä pois.</v>
      </c>
      <c r="C1881" s="9" t="s">
        <v>1344</v>
      </c>
    </row>
    <row r="1882" ht="33.75" customHeight="1">
      <c r="A1882" s="6" t="s">
        <v>2811</v>
      </c>
      <c r="B1882" s="6" t="str">
        <f>IFERROR(__xludf.DUMMYFUNCTION("GOOGLETRANSLATE(A1882,""en"",""fi"")"),"Sen mahtava ruumis ei koskaan väsy. Se auttaa ihmisiä esimerkiksi raskaiden tavaroiden siirtämisessä.")</f>
        <v>Sen mahtava ruumis ei koskaan väsy. Se auttaa ihmisiä esimerkiksi raskaiden tavaroiden siirtämisessä.</v>
      </c>
      <c r="C1882" s="9" t="s">
        <v>1344</v>
      </c>
    </row>
    <row r="1883" ht="33.75" customHeight="1">
      <c r="A1883" s="6" t="s">
        <v>2813</v>
      </c>
      <c r="B1883" s="6" t="str">
        <f>IFERROR(__xludf.DUMMYFUNCTION("GOOGLETRANSLATE(A1883,""en"",""fi"")"),"Sen lihaksikas ruumis on niin voimakas, että sen on käytettävä voimansäästövyötä voidakseen säädellä liikkeitään.")</f>
        <v>Sen lihaksikas ruumis on niin voimakas, että sen on käytettävä voimansäästövyötä voidakseen säädellä liikkeitään.</v>
      </c>
      <c r="C1883" s="9" t="s">
        <v>1344</v>
      </c>
    </row>
    <row r="1884" ht="33.75" customHeight="1">
      <c r="A1884" s="6" t="s">
        <v>2814</v>
      </c>
      <c r="B1884" s="6" t="str">
        <f>IFERROR(__xludf.DUMMYFUNCTION("GOOGLETRANSLATE(A1884,""en"",""fi"")"),"MACHOKEN rajaton voima on erittäin vaarallinen, joten se käyttää vyötä, joka tukahduttaa sen energian.")</f>
        <v>MACHOKEN rajaton voima on erittäin vaarallinen, joten se käyttää vyötä, joka tukahduttaa sen energian.</v>
      </c>
      <c r="C1884" s="9" t="s">
        <v>1344</v>
      </c>
    </row>
    <row r="1885" ht="33.75" customHeight="1">
      <c r="A1885" s="6" t="s">
        <v>2817</v>
      </c>
      <c r="B1885" s="6" t="str">
        <f>IFERROR(__xludf.DUMMYFUNCTION("GOOGLETRANSLATE(A1885,""en"",""fi"")"),"Se voi nostaa kippiauton yhdellä kädellä. Tämän voiman avulla se auttaa ihmisiä raskaissa töissä.")</f>
        <v>Se voi nostaa kippiauton yhdellä kädellä. Tämän voiman avulla se auttaa ihmisiä raskaissa töissä.</v>
      </c>
      <c r="C1885" s="9" t="s">
        <v>1344</v>
      </c>
    </row>
    <row r="1886" ht="33.75" customHeight="1">
      <c r="A1886" s="6" t="s">
        <v>2818</v>
      </c>
      <c r="B1886" s="6" t="str">
        <f>IFERROR(__xludf.DUMMYFUNCTION("GOOGLETRANSLATE(A1886,""en"",""fi"")"),"Se kantaa mielellään raskaita tavaroita karaistuakseen. Se tekee mielellään kovaa työtä ihmisten puolesta.")</f>
        <v>Se kantaa mielellään raskaita tavaroita karaistuakseen. Se tekee mielellään kovaa työtä ihmisten puolesta.</v>
      </c>
      <c r="C1886" s="9" t="s">
        <v>1344</v>
      </c>
    </row>
    <row r="1887" ht="33.75" customHeight="1">
      <c r="A1887" s="6" t="s">
        <v>2820</v>
      </c>
      <c r="B1887" s="6" t="str">
        <f>IFERROR(__xludf.DUMMYFUNCTION("GOOGLETRANSLATE(A1887,""en"",""fi"")"),"Se toimii aina täydellä tehollaan, mutta tämä erittäin kova ja kestävä Pokémon ei koskaan väsy.")</f>
        <v>Se toimii aina täydellä tehollaan, mutta tämä erittäin kova ja kestävä Pokémon ei koskaan väsy.</v>
      </c>
      <c r="C1887" s="9" t="s">
        <v>1344</v>
      </c>
    </row>
    <row r="1888" ht="33.75" customHeight="1">
      <c r="A1888" s="6" t="s">
        <v>2823</v>
      </c>
      <c r="B1888" s="6" t="str">
        <f>IFERROR(__xludf.DUMMYFUNCTION("GOOGLETRANSLATE(A1888,""en"",""fi"")"),"Sen vartaloa peittävät lihakset pursuavat voimaa. Jopa paikallaan ollessaan se huokuu hämmästyttävää voiman tunnetta.")</f>
        <v>Sen vartaloa peittävät lihakset pursuavat voimaa. Jopa paikallaan ollessaan se huokuu hämmästyttävää voiman tunnetta.</v>
      </c>
      <c r="C1888" s="9" t="s">
        <v>1344</v>
      </c>
    </row>
    <row r="1889" ht="33.75" customHeight="1">
      <c r="A1889" s="6" t="s">
        <v>2825</v>
      </c>
      <c r="B1889" s="6" t="str">
        <f>IFERROR(__xludf.DUMMYFUNCTION("GOOGLETRANSLATE(A1889,""en"",""fi"")"),"Machoken läpikotaisin kiinteytetyt lihakset ovat teräksen kovia. Tällä Pokémonilla on niin paljon voimaa, että se voi helposti pitää sumopainijan ilmassa yhdellä sormella.")</f>
        <v>Machoken läpikotaisin kiinteytetyt lihakset ovat teräksen kovia. Tällä Pokémonilla on niin paljon voimaa, että se voi helposti pitää sumopainijan ilmassa yhdellä sormella.</v>
      </c>
      <c r="C1889" s="9" t="s">
        <v>1344</v>
      </c>
    </row>
    <row r="1890" ht="33.75" customHeight="1">
      <c r="A1890" s="6" t="s">
        <v>2826</v>
      </c>
      <c r="B1890" s="6" t="str">
        <f>IFERROR(__xludf.DUMMYFUNCTION("GOOGLETRANSLATE(A1890,""en"",""fi"")"),"Machoke tekee kehonrakennustöitä joka päivä, vaikka se auttaakin ihmisiä fyysisesti vaativassa työssä. Vapaapäivinään tämä Pokémon suuntaa pelloille ja vuorille treenaamaan ja liikkumaan.")</f>
        <v>Machoke tekee kehonrakennustöitä joka päivä, vaikka se auttaakin ihmisiä fyysisesti vaativassa työssä. Vapaapäivinään tämä Pokémon suuntaa pelloille ja vuorille treenaamaan ja liikkumaan.</v>
      </c>
      <c r="C1890" s="9" t="s">
        <v>1344</v>
      </c>
    </row>
    <row r="1891" ht="33.75" customHeight="1">
      <c r="A1891" s="6" t="s">
        <v>2828</v>
      </c>
      <c r="B1891" s="6" t="str">
        <f>IFERROR(__xludf.DUMMYFUNCTION("GOOGLETRANSLATE(A1891,""en"",""fi"")"),"Jatkuvien harjoittelujensa tuloksena se on kehittänyt valtavan voiman. Se käyttää tätä voimaa auttaakseen ihmisiä heidän työssään.")</f>
        <v>Jatkuvien harjoittelujensa tuloksena se on kehittänyt valtavan voiman. Se käyttää tätä voimaa auttaakseen ihmisiä heidän työssään.</v>
      </c>
      <c r="C1891" s="9" t="s">
        <v>1344</v>
      </c>
    </row>
    <row r="1892" ht="33.75" customHeight="1">
      <c r="A1892" s="6" t="s">
        <v>2829</v>
      </c>
      <c r="B1892" s="6" t="str">
        <f>IFERROR(__xludf.DUMMYFUNCTION("GOOGLETRANSLATE(A1892,""en"",""fi"")"),"Se auttaa mielellään raskaassa työssä, koska se tietää työnsä olevan hyvää harjoitusta sen lihaksille.")</f>
        <v>Se auttaa mielellään raskaassa työssä, koska se tietää työnsä olevan hyvää harjoitusta sen lihaksille.</v>
      </c>
      <c r="C1892" s="9" t="s">
        <v>1344</v>
      </c>
    </row>
    <row r="1893" ht="33.75" customHeight="1">
      <c r="A1893" s="6" t="s">
        <v>2830</v>
      </c>
      <c r="B1893" s="6" t="str">
        <f>IFERROR(__xludf.DUMMYFUNCTION("GOOGLETRANSLATE(A1893,""en"",""fi"")"),"Kohdatessaan todella mahtavan vihollisen, tämä Pokémon poistaa voimansäästövyön vyötäröltään ja vapauttaa täyden voimansa.")</f>
        <v>Kohdatessaan todella mahtavan vihollisen, tämä Pokémon poistaa voimansäästövyön vyötäröltään ja vapauttaa täyden voimansa.</v>
      </c>
      <c r="C1893" s="9" t="s">
        <v>1344</v>
      </c>
    </row>
    <row r="1894" ht="33.75" customHeight="1">
      <c r="A1894" s="6" t="s">
        <v>2831</v>
      </c>
      <c r="B1894" s="6" t="str">
        <f>IFERROR(__xludf.DUMMYFUNCTION("GOOGLETRANSLATE(A1894,""en"",""fi"")"),"Suosittu veistosaihe, sen uskomattoman hyvin kehittyneet lihakset ovat valloittaneet monien taiteilijoiden mielikuvituksen.")</f>
        <v>Suosittu veistosaihe, sen uskomattoman hyvin kehittyneet lihakset ovat valloittaneet monien taiteilijoiden mielikuvituksen.</v>
      </c>
      <c r="C1894" s="9" t="s">
        <v>1344</v>
      </c>
    </row>
    <row r="1895" ht="33.75" customHeight="1">
      <c r="A1895" s="6" t="s">
        <v>2832</v>
      </c>
      <c r="B1895" s="6" t="str">
        <f>IFERROR(__xludf.DUMMYFUNCTION("GOOGLETRANSLATE(A1895,""en"",""fi"")"),"Vyötärönsä ympärillä oleva vyö pidättelee sen energiaa. Ilman sitä tämä Pokémon olisi pysäyttämätön.")</f>
        <v>Vyötärönsä ympärillä oleva vyö pidättelee sen energiaa. Ilman sitä tämä Pokémon olisi pysäyttämätön.</v>
      </c>
      <c r="C1895" s="9" t="s">
        <v>1344</v>
      </c>
    </row>
    <row r="1896" ht="33.75" customHeight="1">
      <c r="A1896" s="6" t="s">
        <v>2833</v>
      </c>
      <c r="B1896" s="6" t="str">
        <f>IFERROR(__xludf.DUMMYFUNCTION("GOOGLETRANSLATE(A1896,""en"",""fi"")"),"Vankkarakenteinen ja rajattoman kestävä olento. Rakastaa harjoittelua yli kaiken ja avustaa vapaaehtoisesti esimerkiksi rakennustöissä ja maanraivauksessa.")</f>
        <v>Vankkarakenteinen ja rajattoman kestävä olento. Rakastaa harjoittelua yli kaiken ja avustaa vapaaehtoisesti esimerkiksi rakennustöissä ja maanraivauksessa.</v>
      </c>
      <c r="C1896" s="9" t="s">
        <v>1344</v>
      </c>
    </row>
    <row r="1897" ht="33.75" customHeight="1">
      <c r="A1897" s="6" t="s">
        <v>2834</v>
      </c>
      <c r="B1897" s="6" t="str">
        <f>IFERROR(__xludf.DUMMYFUNCTION("GOOGLETRANSLATE(A1897,""en"",""fi"")"),"Se käyttää raskaita lihaksiaan ja lyö voimakkaita iskuja, jotka voivat lähettää uhrin horisontin taakse.")</f>
        <v>Se käyttää raskaita lihaksiaan ja lyö voimakkaita iskuja, jotka voivat lähettää uhrin horisontin taakse.</v>
      </c>
      <c r="C1897" s="9" t="s">
        <v>1344</v>
      </c>
    </row>
    <row r="1898" ht="33.75" customHeight="1">
      <c r="A1898" s="6" t="s">
        <v>2835</v>
      </c>
      <c r="B1898" s="6" t="str">
        <f>IFERROR(__xludf.DUMMYFUNCTION("GOOGLETRANSLATE(A1898,""en"",""fi"")"),"Yksikin käsi voi siirtää vuoria. Käyttämällä kaikkia neljää kättä tämä POKéMON ampuu mahtavia iskuja.")</f>
        <v>Yksikin käsi voi siirtää vuoria. Käyttämällä kaikkia neljää kättä tämä POKéMON ampuu mahtavia iskuja.</v>
      </c>
      <c r="C1898" s="9" t="s">
        <v>1344</v>
      </c>
    </row>
    <row r="1899" ht="33.75" customHeight="1">
      <c r="A1899" s="6" t="s">
        <v>2836</v>
      </c>
      <c r="B1899" s="6" t="str">
        <f>IFERROR(__xludf.DUMMYFUNCTION("GOOGLETRANSLATE(A1899,""en"",""fi"")"),"Se heilauttaa nopeasti neljää kättään ja horjuttaa vastustajiaan lakkaamattomilla lyönneillä ja hakkauksilla kaikista kulmista.")</f>
        <v>Se heilauttaa nopeasti neljää kättään ja horjuttaa vastustajiaan lakkaamattomilla lyönneillä ja hakkauksilla kaikista kulmista.</v>
      </c>
      <c r="C1899" s="9" t="s">
        <v>1344</v>
      </c>
    </row>
    <row r="1900" ht="33.75" customHeight="1">
      <c r="A1900" s="6" t="s">
        <v>2838</v>
      </c>
      <c r="B1900" s="6" t="str">
        <f>IFERROR(__xludf.DUMMYFUNCTION("GOOGLETRANSLATE(A1900,""en"",""fi"")"),"Se käyttää neljää voimakasta käsivarttaan kiinnittääkseen vihollisensa raajat ja heittää sitten uhrin horisontin taakse.")</f>
        <v>Se käyttää neljää voimakasta käsivarttaan kiinnittääkseen vihollisensa raajat ja heittää sitten uhrin horisontin taakse.</v>
      </c>
      <c r="C1900" s="9" t="s">
        <v>1344</v>
      </c>
    </row>
    <row r="1901" ht="33.75" customHeight="1">
      <c r="A1901" s="6" t="s">
        <v>2839</v>
      </c>
      <c r="B1901" s="6" t="str">
        <f>IFERROR(__xludf.DUMMYFUNCTION("GOOGLETRANSLATE(A1901,""en"",""fi"")"),"Neljällä käsivarrella, jotka reagoivat nopeammin kuin se pystyy ajattelemaan, se voi suorittaa useita iskuja kerralla.")</f>
        <v>Neljällä käsivarrella, jotka reagoivat nopeammin kuin se pystyy ajattelemaan, se voi suorittaa useita iskuja kerralla.</v>
      </c>
      <c r="C1901" s="9" t="s">
        <v>1344</v>
      </c>
    </row>
    <row r="1902" ht="33.75" customHeight="1">
      <c r="A1902" s="6" t="s">
        <v>2840</v>
      </c>
      <c r="B1902" s="6" t="str">
        <f>IFERROR(__xludf.DUMMYFUNCTION("GOOGLETRANSLATE(A1902,""en"",""fi"")"),"MACHAMPilla on kyky heittää mikä tahansa syrjään. Huolellisuutta ja näppäryyttä vaativa työ kuitenkin sotkee ​​sen kädet. Tämä POKéMON pyrkii toimimaan ennen kuin ehtii ajatellakaan.")</f>
        <v>MACHAMPilla on kyky heittää mikä tahansa syrjään. Huolellisuutta ja näppäryyttä vaativa työ kuitenkin sotkee ​​sen kädet. Tämä POKéMON pyrkii toimimaan ennen kuin ehtii ajatellakaan.</v>
      </c>
      <c r="C1902" s="9" t="s">
        <v>1344</v>
      </c>
    </row>
    <row r="1903" ht="33.75" customHeight="1">
      <c r="A1903" s="6" t="s">
        <v>2842</v>
      </c>
      <c r="B1903" s="6" t="str">
        <f>IFERROR(__xludf.DUMMYFUNCTION("GOOGLETRANSLATE(A1903,""en"",""fi"")"),"MACHAMP tunnetaan POKéMONina, joka hallitsee kaikki taistelulajit. Jos se tarttuu viholliseen neljällä kädellään, taistelu on käytännössä ohi. Onneton vihollinen lennähtää kauas horisontin taakse.")</f>
        <v>MACHAMP tunnetaan POKéMONina, joka hallitsee kaikki taistelulajit. Jos se tarttuu viholliseen neljällä kädellään, taistelu on käytännössä ohi. Onneton vihollinen lennähtää kauas horisontin taakse.</v>
      </c>
      <c r="C1903" s="9" t="s">
        <v>1344</v>
      </c>
    </row>
    <row r="1904" ht="33.75" customHeight="1">
      <c r="A1904" s="6" t="s">
        <v>2843</v>
      </c>
      <c r="B1904" s="6" t="str">
        <f>IFERROR(__xludf.DUMMYFUNCTION("GOOGLETRANSLATE(A1904,""en"",""fi"")"),"Sen neljän käden lyöntejä ja iskuja vastaan ​​on mahdotonta puolustautua. Sen taistelutahto leimahtaa, kun se kohtaa kovan vastustajan.")</f>
        <v>Sen neljän käden lyöntejä ja iskuja vastaan ​​on mahdotonta puolustautua. Sen taistelutahto leimahtaa, kun se kohtaa kovan vastustajan.</v>
      </c>
      <c r="C1904" s="9" t="s">
        <v>1344</v>
      </c>
    </row>
    <row r="1905" ht="33.75" customHeight="1">
      <c r="A1905" s="6" t="s">
        <v>2845</v>
      </c>
      <c r="B1905" s="6" t="str">
        <f>IFERROR(__xludf.DUMMYFUNCTION("GOOGLETRANSLATE(A1905,""en"",""fi"")"),"Sen neljä kestävästi kehitettyä kättä voivat laukaista 1 000 iskun sarjan vain kahdessa sekunnissa.")</f>
        <v>Sen neljä kestävästi kehitettyä kättä voivat laukaista 1 000 iskun sarjan vain kahdessa sekunnissa.</v>
      </c>
      <c r="C1905" s="9" t="s">
        <v>1344</v>
      </c>
    </row>
    <row r="1906" ht="33.75" customHeight="1">
      <c r="A1906" s="6" t="s">
        <v>2846</v>
      </c>
      <c r="B1906" s="6" t="str">
        <f>IFERROR(__xludf.DUMMYFUNCTION("GOOGLETRANSLATE(A1906,""en"",""fi"")"),"Sen supervoimien iskujen sanotaan lentävän uhrin horisontin taakse.")</f>
        <v>Sen supervoimien iskujen sanotaan lentävän uhrin horisontin taakse.</v>
      </c>
      <c r="C1906" s="9" t="s">
        <v>1344</v>
      </c>
    </row>
    <row r="1907" ht="33.75" customHeight="1">
      <c r="A1907" s="6" t="s">
        <v>2848</v>
      </c>
      <c r="B1907" s="6" t="str">
        <f>IFERROR(__xludf.DUMMYFUNCTION("GOOGLETRANSLATE(A1907,""en"",""fi"")"),"Se lyö neljällä kädellään häikäisevää vauhtia. Se voi laukaista 1 000 iskua kahdessa sekunnissa.")</f>
        <v>Se lyö neljällä kädellään häikäisevää vauhtia. Se voi laukaista 1 000 iskua kahdessa sekunnissa.</v>
      </c>
      <c r="C1907" s="9" t="s">
        <v>1344</v>
      </c>
    </row>
    <row r="1908" ht="33.75" customHeight="1">
      <c r="A1908" s="6" t="s">
        <v>2849</v>
      </c>
      <c r="B1908" s="6" t="str">
        <f>IFERROR(__xludf.DUMMYFUNCTION("GOOGLETRANSLATE(A1908,""en"",""fi"")"),"Se voi lyödä junan lentämään iskulla. Se on kuitenkin surkea sormillaan tehtävissä herkissä töissä.")</f>
        <v>Se voi lyödä junan lentämään iskulla. Se on kuitenkin surkea sormillaan tehtävissä herkissä töissä.</v>
      </c>
      <c r="C1908" s="9" t="s">
        <v>1344</v>
      </c>
    </row>
    <row r="1909" ht="33.75" customHeight="1">
      <c r="A1909" s="6" t="s">
        <v>2851</v>
      </c>
      <c r="B1909" s="6" t="str">
        <f>IFERROR(__xludf.DUMMYFUNCTION("GOOGLETRANSLATE(A1909,""en"",""fi"")"),"Sen neljä lihaksikasta käsivartta iskee vihollisia voimakkailla iskuilla ja silpomisilla sokaisevalla nopeudella.")</f>
        <v>Sen neljä lihaksikasta käsivartta iskee vihollisia voimakkailla iskuilla ja silpomisilla sokaisevalla nopeudella.</v>
      </c>
      <c r="C1909" s="9" t="s">
        <v>1344</v>
      </c>
    </row>
    <row r="1910" ht="33.75" customHeight="1">
      <c r="A1910" s="6" t="s">
        <v>2853</v>
      </c>
      <c r="B1910" s="6" t="str">
        <f>IFERROR(__xludf.DUMMYFUNCTION("GOOGLETRANSLATE(A1910,""en"",""fi"")"),"Machampilla on kyky heittää mitä tahansa syrjään. Kuitenkin, jos sen yrittää tehdä huolellisuutta ja näppäryyttä vaativaa työtä, sen kädet sotkeutuvat. Tämä Pokémon pyrkii hyppäämään toimintaan ennen kuin ajatteleekaan.")</f>
        <v>Machampilla on kyky heittää mitä tahansa syrjään. Kuitenkin, jos sen yrittää tehdä huolellisuutta ja näppäryyttä vaativaa työtä, sen kädet sotkeutuvat. Tämä Pokémon pyrkii hyppäämään toimintaan ennen kuin ajatteleekaan.</v>
      </c>
      <c r="C1910" s="9" t="s">
        <v>1344</v>
      </c>
    </row>
    <row r="1911" ht="33.75" customHeight="1">
      <c r="A1911" s="6" t="s">
        <v>2854</v>
      </c>
      <c r="B1911" s="6" t="str">
        <f>IFERROR(__xludf.DUMMYFUNCTION("GOOGLETRANSLATE(A1911,""en"",""fi"")"),"Machamp tunnetaan Pokémonina, joka hallitsee kaikki taistelulajit. Jos se tarttuu viholliseen neljällä kädellään, taistelu on käytännössä ohi. Onneton vihollinen lennähtää kauas horisontin taakse.")</f>
        <v>Machamp tunnetaan Pokémonina, joka hallitsee kaikki taistelulajit. Jos se tarttuu viholliseen neljällä kädellään, taistelu on käytännössä ohi. Onneton vihollinen lennähtää kauas horisontin taakse.</v>
      </c>
      <c r="C1911" s="9" t="s">
        <v>1344</v>
      </c>
    </row>
    <row r="1912" ht="33.75" customHeight="1">
      <c r="A1912" s="6" t="s">
        <v>2856</v>
      </c>
      <c r="B1912" s="6" t="str">
        <f>IFERROR(__xludf.DUMMYFUNCTION("GOOGLETRANSLATE(A1912,""en"",""fi"")"),"Se laukaisee megatonnin tason lyöntejä, jotka lennättävät vastustajat horisontin taakse.")</f>
        <v>Se laukaisee megatonnin tason lyöntejä, jotka lennättävät vastustajat horisontin taakse.</v>
      </c>
      <c r="C1912" s="9" t="s">
        <v>1344</v>
      </c>
    </row>
    <row r="1913" ht="33.75" customHeight="1">
      <c r="A1913" s="6" t="s">
        <v>2858</v>
      </c>
      <c r="B1913" s="6" t="str">
        <f>IFERROR(__xludf.DUMMYFUNCTION("GOOGLETRANSLATE(A1913,""en"",""fi"")"),"Se pystyy nostamaan raskaita kuormia erittäin helposti. Se voi jopa kantaa dumppereita. Mutta sen kömpelöt sormet estävät sitä tekemästä tarkkaa työtä.")</f>
        <v>Se pystyy nostamaan raskaita kuormia erittäin helposti. Se voi jopa kantaa dumppereita. Mutta sen kömpelöt sormet estävät sitä tekemästä tarkkaa työtä.</v>
      </c>
      <c r="C1913" s="9" t="s">
        <v>1344</v>
      </c>
    </row>
    <row r="1914" ht="33.75" customHeight="1">
      <c r="A1914" s="6" t="s">
        <v>2861</v>
      </c>
      <c r="B1914" s="6" t="str">
        <f>IFERROR(__xludf.DUMMYFUNCTION("GOOGLETRANSLATE(A1914,""en"",""fi"")"),"Se tarttuu vastustajiinsa neljällä kädellään ja vääntää heidät monimutkaiseen otteeseen. Ihmiset kutsuvat sitä ""Machamp-erikoiseksi"".")</f>
        <v>Se tarttuu vastustajiinsa neljällä kädellään ja vääntää heidät monimutkaiseen otteeseen. Ihmiset kutsuvat sitä "Machamp-erikoiseksi".</v>
      </c>
      <c r="C1914" s="9" t="s">
        <v>1344</v>
      </c>
    </row>
    <row r="1915" ht="33.75" customHeight="1">
      <c r="A1915" s="6" t="s">
        <v>2862</v>
      </c>
      <c r="B1915" s="6" t="str">
        <f>IFERROR(__xludf.DUMMYFUNCTION("GOOGLETRANSLATE(A1915,""en"",""fi"")"),"Neljän käden ansiosta se voi hyökätä ja puolustaa samanaikaisesti. Sen sanotaan hallitsevan kaikki maailman kamppailulajit.")</f>
        <v>Neljän käden ansiosta se voi hyökätä ja puolustaa samanaikaisesti. Sen sanotaan hallitsevan kaikki maailman kamppailulajit.</v>
      </c>
      <c r="C1915" s="9" t="s">
        <v>1344</v>
      </c>
    </row>
    <row r="1916" ht="33.75" customHeight="1">
      <c r="A1916" s="6" t="s">
        <v>2863</v>
      </c>
      <c r="B1916" s="6" t="str">
        <f>IFERROR(__xludf.DUMMYFUNCTION("GOOGLETRANSLATE(A1916,""en"",""fi"")"),"Yksikin käsi voi siirtää vuoria. Käyttämällä kaikkia neljää kättä tämä Pokémon ampuu mahtavia iskuja.")</f>
        <v>Yksikin käsi voi siirtää vuoria. Käyttämällä kaikkia neljää kättä tämä Pokémon ampuu mahtavia iskuja.</v>
      </c>
      <c r="C1916" s="9" t="s">
        <v>1344</v>
      </c>
    </row>
    <row r="1917" ht="33.75" customHeight="1">
      <c r="A1917" s="6" t="s">
        <v>2865</v>
      </c>
      <c r="B1917" s="6" t="str">
        <f>IFERROR(__xludf.DUMMYFUNCTION("GOOGLETRANSLATE(A1917,""en"",""fi"")"),"Lähitaistelussa sen neljä kättä antavat sille hyökkäys- ja puolustusylivoiman. Vain silmänräpäyksessä tämä urhea Pokémon voi murskata vihollisensa yli 1 000 nyrkkiiskulla.")</f>
        <v>Lähitaistelussa sen neljä kättä antavat sille hyökkäys- ja puolustusylivoiman. Vain silmänräpäyksessä tämä urhea Pokémon voi murskata vihollisensa yli 1 000 nyrkkiiskulla.</v>
      </c>
      <c r="C1917" s="9" t="s">
        <v>1344</v>
      </c>
    </row>
    <row r="1918" ht="33.75" customHeight="1">
      <c r="A1918" s="6" t="s">
        <v>2866</v>
      </c>
      <c r="B1918" s="6" t="str">
        <f>IFERROR(__xludf.DUMMYFUNCTION("GOOGLETRANSLATE(A1918,""en"",""fi"")"),"Lihansyöjä-POKéMON, joka pyydystää ja syö hyönteisiä. Se käyttää juurijalkojaan imeäkseen tarvitsemaansa kosteutta.")</f>
        <v>Lihansyöjä-POKéMON, joka pyydystää ja syö hyönteisiä. Se käyttää juurijalkojaan imeäkseen tarvitsemaansa kosteutta.</v>
      </c>
      <c r="C1918" s="9" t="s">
        <v>1344</v>
      </c>
    </row>
    <row r="1919" ht="33.75" customHeight="1">
      <c r="A1919" s="6" t="s">
        <v>2868</v>
      </c>
      <c r="B1919" s="6" t="str">
        <f>IFERROR(__xludf.DUMMYFUNCTION("GOOGLETRANSLATE(A1919,""en"",""fi"")"),"Viihtyy kuumissa ja kosteissa paikoissa. Se houkuttelee pieniä hyönteisiä köynnöksiinsä ja syö ne.")</f>
        <v>Viihtyy kuumissa ja kosteissa paikoissa. Se houkuttelee pieniä hyönteisiä köynnöksiinsä ja syö ne.</v>
      </c>
      <c r="C1919" s="9" t="s">
        <v>1344</v>
      </c>
    </row>
    <row r="1920" ht="33.75" customHeight="1">
      <c r="A1920" s="6" t="s">
        <v>2870</v>
      </c>
      <c r="B1920" s="6" t="str">
        <f>IFERROR(__xludf.DUMMYFUNCTION("GOOGLETRANSLATE(A1920,""en"",""fi"")"),"Vaikka sen ruumis on äärimmäisen laiha, se on sokean nopea saaliinsa nappaamisessa.")</f>
        <v>Vaikka sen ruumis on äärimmäisen laiha, se on sokean nopea saaliinsa nappaamisessa.</v>
      </c>
      <c r="C1920" s="9" t="s">
        <v>1344</v>
      </c>
    </row>
    <row r="1921" ht="33.75" customHeight="1">
      <c r="A1921" s="6" t="s">
        <v>2871</v>
      </c>
      <c r="B1921" s="6" t="str">
        <f>IFERROR(__xludf.DUMMYFUNCTION("GOOGLETRANSLATE(A1921,""en"",""fi"")"),"Se istuttaa jalkansa syvälle maan alle täydentääkseen vesivarastojaan. Se ei voi paeta vihollistaan ​​niin kauan kuin se on juurtunut.")</f>
        <v>Se istuttaa jalkansa syvälle maan alle täydentääkseen vesivarastojaan. Se ei voi paeta vihollistaan ​​niin kauan kuin se on juurtunut.</v>
      </c>
      <c r="C1921" s="9" t="s">
        <v>1344</v>
      </c>
    </row>
    <row r="1922" ht="33.75" customHeight="1">
      <c r="A1922" s="6" t="s">
        <v>2873</v>
      </c>
      <c r="B1922" s="6" t="str">
        <f>IFERROR(__xludf.DUMMYFUNCTION("GOOGLETRANSLATE(A1922,""en"",""fi"")"),"Jos se huomaa jotain liikkuvaa, se heittää heti köynnöksensä sitä kohti.")</f>
        <v>Jos se huomaa jotain liikkuvaa, se heittää heti köynnöksensä sitä kohti.</v>
      </c>
      <c r="C1922" s="9" t="s">
        <v>1344</v>
      </c>
    </row>
    <row r="1923" ht="33.75" customHeight="1">
      <c r="A1923" s="6" t="s">
        <v>2875</v>
      </c>
      <c r="B1923" s="6" t="str">
        <f>IFERROR(__xludf.DUMMYFUNCTION("GOOGLETRANSLATE(A1923,""en"",""fi"")"),"BELLSPROUTin ohut ja joustava vartalo antaa sen taipua ja keinua välttääkseen hyökkäyksen, olipa se kuinka voimakas tahansa. Suustaan ​​tämä POKéMON sylkee syövyttävää nestettä, joka sulattaa jopa raudan.")</f>
        <v>BELLSPROUTin ohut ja joustava vartalo antaa sen taipua ja keinua välttääkseen hyökkäyksen, olipa se kuinka voimakas tahansa. Suustaan ​​tämä POKéMON sylkee syövyttävää nestettä, joka sulattaa jopa raudan.</v>
      </c>
      <c r="C1923" s="9" t="s">
        <v>1344</v>
      </c>
    </row>
    <row r="1924" ht="33.75" customHeight="1">
      <c r="A1924" s="6" t="s">
        <v>2876</v>
      </c>
      <c r="B1924" s="6" t="str">
        <f>IFERROR(__xludf.DUMMYFUNCTION("GOOGLETRANSLATE(A1924,""en"",""fi"")"),"BELLSPROUTin ohut ja joustava ruumis antaa sen taipua ja keinua välttääkseen hyökkäyksen, olipa se kuinka voimakas tahansa. Sen suusta vuotaa nestettä, joka sulattaa jopa raudan.")</f>
        <v>BELLSPROUTin ohut ja joustava ruumis antaa sen taipua ja keinua välttääkseen hyökkäyksen, olipa se kuinka voimakas tahansa. Sen suusta vuotaa nestettä, joka sulattaa jopa raudan.</v>
      </c>
      <c r="C1924" s="9" t="s">
        <v>1344</v>
      </c>
    </row>
    <row r="1925" ht="33.75" customHeight="1">
      <c r="A1925" s="6" t="s">
        <v>2877</v>
      </c>
      <c r="B1925" s="6" t="str">
        <f>IFERROR(__xludf.DUMMYFUNCTION("GOOGLETRANSLATE(A1925,""en"",""fi"")"),"Sen nuppu näyttää ihmiskasvoilta. Nupun vuoksi sen huhutaan olevan eräänlainen legendaarinen mandrakekasvi.")</f>
        <v>Sen nuppu näyttää ihmiskasvoilta. Nupun vuoksi sen huhutaan olevan eräänlainen legendaarinen mandrakekasvi.</v>
      </c>
      <c r="C1925" s="9" t="s">
        <v>1344</v>
      </c>
    </row>
    <row r="1926" ht="33.75" customHeight="1">
      <c r="A1926" s="6" t="s">
        <v>2879</v>
      </c>
      <c r="B1926" s="6" t="str">
        <f>IFERROR(__xludf.DUMMYFUNCTION("GOOGLETRANSLATE(A1926,""en"",""fi"")"),"Lihansyöjä-POKéMON, joka pyydystää ja syö hyönteisiä. Se näyttää käyttävän juurijalkojaan kosteuden täydentämiseen.")</f>
        <v>Lihansyöjä-POKéMON, joka pyydystää ja syö hyönteisiä. Se näyttää käyttävän juurijalkojaan kosteuden täydentämiseen.</v>
      </c>
      <c r="C1926" s="9" t="s">
        <v>1344</v>
      </c>
    </row>
    <row r="1927" ht="33.75" customHeight="1">
      <c r="A1927" s="6" t="s">
        <v>2880</v>
      </c>
      <c r="B1927" s="6" t="str">
        <f>IFERROR(__xludf.DUMMYFUNCTION("GOOGLETRANSLATE(A1927,""en"",""fi"")"),"Se viihtyy kuumissa ja kosteissa ympäristöissä. Se on nopea nappaamaan saaliin köynnöksillään.")</f>
        <v>Se viihtyy kuumissa ja kosteissa ympäristöissä. Se on nopea nappaamaan saaliin köynnöksillään.</v>
      </c>
      <c r="C1927" s="9" t="s">
        <v>1344</v>
      </c>
    </row>
    <row r="1928" ht="33.75" customHeight="1">
      <c r="A1928" s="6" t="s">
        <v>2882</v>
      </c>
      <c r="B1928" s="6" t="str">
        <f>IFERROR(__xludf.DUMMYFUNCTION("GOOGLETRANSLATE(A1928,""en"",""fi"")"),"Se istuttaa jalkansa syvälle maan alle täydentääkseen vettä. Se ei voi paeta vihollistaan ​​niin kauan kuin se on juurtunut.")</f>
        <v>Se istuttaa jalkansa syvälle maan alle täydentääkseen vettä. Se ei voi paeta vihollistaan ​​niin kauan kuin se on juurtunut.</v>
      </c>
      <c r="C1928" s="9" t="s">
        <v>1344</v>
      </c>
    </row>
    <row r="1929" ht="33.75" customHeight="1">
      <c r="A1929" s="6" t="s">
        <v>2883</v>
      </c>
      <c r="B1929" s="6" t="str">
        <f>IFERROR(__xludf.DUMMYFUNCTION("GOOGLETRANSLATE(A1929,""en"",""fi"")"),"Bellsproutin ohut ja joustava vartalo antaa sen taipua ja keinua välttääkseen hyökkäyksen, olipa se kuinka voimakas tahansa. Suustaan ​​tämä Pokémon sylkee syövyttävää nestettä, joka sulattaa jopa raudan.")</f>
        <v>Bellsproutin ohut ja joustava vartalo antaa sen taipua ja keinua välttääkseen hyökkäyksen, olipa se kuinka voimakas tahansa. Suustaan ​​tämä Pokémon sylkee syövyttävää nestettä, joka sulattaa jopa raudan.</v>
      </c>
      <c r="C1929" s="9" t="s">
        <v>1344</v>
      </c>
    </row>
    <row r="1930" ht="33.75" customHeight="1">
      <c r="A1930" s="6" t="s">
        <v>2885</v>
      </c>
      <c r="B1930" s="6" t="str">
        <f>IFERROR(__xludf.DUMMYFUNCTION("GOOGLETRANSLATE(A1930,""en"",""fi"")"),"Viihtyy kuumissa ja kosteissa paikoissa. Se houkuttelee pieniä ötököitä köynnöksiinsä ja syö ne.")</f>
        <v>Viihtyy kuumissa ja kosteissa paikoissa. Se houkuttelee pieniä ötököitä köynnöksiinsä ja syö ne.</v>
      </c>
      <c r="C1930" s="9" t="s">
        <v>1344</v>
      </c>
    </row>
    <row r="1931" ht="33.75" customHeight="1">
      <c r="A1931" s="6" t="s">
        <v>2886</v>
      </c>
      <c r="B1931" s="6" t="str">
        <f>IFERROR(__xludf.DUMMYFUNCTION("GOOGLETRANSLATE(A1931,""en"",""fi"")"),"Se sylkee MYRKKYRUUDEtta lamauttaakseen vihollisen ja viimeistelee sen sitten HAPPO-suihkeella.")</f>
        <v>Se sylkee MYRKKYRUUDEtta lamauttaakseen vihollisen ja viimeistelee sen sitten HAPPO-suihkeella.</v>
      </c>
      <c r="C1931" s="9" t="s">
        <v>1344</v>
      </c>
    </row>
    <row r="1932" ht="33.75" customHeight="1">
      <c r="A1932" s="6" t="s">
        <v>2887</v>
      </c>
      <c r="B1932" s="6" t="str">
        <f>IFERROR(__xludf.DUMMYFUNCTION("GOOGLETRANSLATE(A1932,""en"",""fi"")"),"Nälkäisenä se nielee kaiken liikkuvan. Sen onneton saalis sulaa sisältä vahvojen happojen vaikutuksesta.")</f>
        <v>Nälkäisenä se nielee kaiken liikkuvan. Sen onneton saalis sulaa sisältä vahvojen happojen vaikutuksesta.</v>
      </c>
      <c r="C1932" s="9" t="s">
        <v>1344</v>
      </c>
    </row>
    <row r="1933" ht="33.75" customHeight="1">
      <c r="A1933" s="6" t="s">
        <v>2888</v>
      </c>
      <c r="B1933" s="6" t="str">
        <f>IFERROR(__xludf.DUMMYFUNCTION("GOOGLETRANSLATE(A1933,""en"",""fi"")"),"Vaikka se on täynnä HAPOA, se ei sula, koska se tihkuu myös neutraloivaa nestettä.")</f>
        <v>Vaikka se on täynnä HAPOA, se ei sula, koska se tihkuu myös neutraloivaa nestettä.</v>
      </c>
      <c r="C1933" s="9" t="s">
        <v>1344</v>
      </c>
    </row>
    <row r="1934" ht="33.75" customHeight="1">
      <c r="A1934" s="6" t="s">
        <v>2889</v>
      </c>
      <c r="B1934" s="6" t="str">
        <f>IFERROR(__xludf.DUMMYFUNCTION("GOOGLETRANSLATE(A1934,""en"",""fi"")"),"Jos sen saalis on suutaan suurempi, se viipaloi uhrin terävillä lehdillä ja syö sitten jokaisen palan.")</f>
        <v>Jos sen saalis on suutaan suurempi, se viipaloi uhrin terävillä lehdillä ja syö sitten jokaisen palan.</v>
      </c>
      <c r="C1934" s="9" t="s">
        <v>1344</v>
      </c>
    </row>
    <row r="1935" ht="33.75" customHeight="1">
      <c r="A1935" s="6" t="s">
        <v>2890</v>
      </c>
      <c r="B1935" s="6" t="str">
        <f>IFERROR(__xludf.DUMMYFUNCTION("GOOGLETRANSLATE(A1935,""en"",""fi"")"),"Kun se on nälkäinen, se heiluttelee teräviä lehtiään ja viipaloi lähellä olevia epäonnisia esineitä ravinnokseen.")</f>
        <v>Kun se on nälkäinen, se heiluttelee teräviä lehtiään ja viipaloi lähellä olevia epäonnisia esineitä ravinnokseen.</v>
      </c>
      <c r="C1935" s="9" t="s">
        <v>1344</v>
      </c>
    </row>
    <row r="1936" ht="33.75" customHeight="1">
      <c r="A1936" s="6" t="s">
        <v>2891</v>
      </c>
      <c r="B1936" s="6" t="str">
        <f>IFERROR(__xludf.DUMMYFUNCTION("GOOGLETRANSLATE(A1936,""en"",""fi"")"),"Itkukellolla on iso koukku takapäässään. Yöllä POKéMON tarttuu puun oksaan ja nukahtaa. Jos se liikkuu unissaan, se saattaa herätä ja huomata olevansa maassa.")</f>
        <v>Itkukellolla on iso koukku takapäässään. Yöllä POKéMON tarttuu puun oksaan ja nukahtaa. Jos se liikkuu unissaan, se saattaa herätä ja huomata olevansa maassa.</v>
      </c>
      <c r="C1936" s="9" t="s">
        <v>1344</v>
      </c>
    </row>
    <row r="1937" ht="33.75" customHeight="1">
      <c r="A1937" s="6" t="s">
        <v>2892</v>
      </c>
      <c r="B1937" s="6" t="str">
        <f>IFERROR(__xludf.DUMMYFUNCTION("GOOGLETRANSLATE(A1937,""en"",""fi"")"),"Yöllä kyykkykello roikkuu koukukuorisella takamuksellaan puun oksassa ja nukkuu. Jos se liikkuu unissaan, se saattaa herätä ja huomata olevansa maassa.")</f>
        <v>Yöllä kyykkykello roikkuu koukukuorisella takamuksellaan puun oksassa ja nukkuu. Jos se liikkuu unissaan, se saattaa herätä ja huomata olevansa maassa.</v>
      </c>
      <c r="C1937" s="9" t="s">
        <v>1344</v>
      </c>
    </row>
    <row r="1938" ht="33.75" customHeight="1">
      <c r="A1938" s="6" t="s">
        <v>2893</v>
      </c>
      <c r="B1938" s="6" t="str">
        <f>IFERROR(__xludf.DUMMYFUNCTION("GOOGLETRANSLATE(A1938,""en"",""fi"")"),"Lehtimäiset osat toimivat viillereinä vihollisten viiltämistä varten. Se sylkee nestettä, joka liuottaa kaiken.")</f>
        <v>Lehtimäiset osat toimivat viillereinä vihollisten viiltämistä varten. Se sylkee nestettä, joka liuottaa kaiken.</v>
      </c>
      <c r="C1938" s="9" t="s">
        <v>1344</v>
      </c>
    </row>
    <row r="1939" ht="33.75" customHeight="1">
      <c r="A1939" s="6" t="s">
        <v>2894</v>
      </c>
      <c r="B1939" s="6" t="str">
        <f>IFERROR(__xludf.DUMMYFUNCTION("GOOGLETRANSLATE(A1939,""en"",""fi"")"),"Kasvilta näyttävä Pokémon. Se pyydystää varomattomia saaliitaan kastuttamalla ne myrkyllisellä jauheella.")</f>
        <v>Kasvilta näyttävä Pokémon. Se pyydystää varomattomia saaliitaan kastuttamalla ne myrkyllisellä jauheella.</v>
      </c>
      <c r="C1939" s="9" t="s">
        <v>1344</v>
      </c>
    </row>
    <row r="1940" ht="33.75" customHeight="1">
      <c r="A1940" s="6" t="s">
        <v>2896</v>
      </c>
      <c r="B1940" s="6" t="str">
        <f>IFERROR(__xludf.DUMMYFUNCTION("GOOGLETRANSLATE(A1940,""en"",""fi"")"),"Vaikka se on täynnä happoa, se ei sula, koska se tihkuu myös suojaavaa nestettä.")</f>
        <v>Vaikka se on täynnä happoa, se ei sula, koska se tihkuu myös suojaavaa nestettä.</v>
      </c>
      <c r="C1940" s="9" t="s">
        <v>1344</v>
      </c>
    </row>
    <row r="1941" ht="33.75" customHeight="1">
      <c r="A1941" s="6" t="s">
        <v>2897</v>
      </c>
      <c r="B1941" s="6" t="str">
        <f>IFERROR(__xludf.DUMMYFUNCTION("GOOGLETRANSLATE(A1941,""en"",""fi"")"),"Se sylkee ulos myrkkyjauhetta lamauttaakseen vihollisen ja viimeistelee sen sitten happosuihkeella.")</f>
        <v>Se sylkee ulos myrkkyjauhetta lamauttaakseen vihollisen ja viimeistelee sen sitten happosuihkeella.</v>
      </c>
      <c r="C1941" s="9" t="s">
        <v>1344</v>
      </c>
    </row>
    <row r="1942" ht="33.75" customHeight="1">
      <c r="A1942" s="6" t="s">
        <v>2898</v>
      </c>
      <c r="B1942" s="6" t="str">
        <f>IFERROR(__xludf.DUMMYFUNCTION("GOOGLETRANSLATE(A1942,""en"",""fi"")"),"Weepinbellillä on iso koukku takapäässään. Yöllä Pokémon tarttuu puun oksaan ja nukahtaa. Jos se liikkuu unissaan, se saattaa herätä ja huomata olevansa maassa.")</f>
        <v>Weepinbellillä on iso koukku takapäässään. Yöllä Pokémon tarttuu puun oksaan ja nukahtaa. Jos se liikkuu unissaan, se saattaa herätä ja huomata olevansa maassa.</v>
      </c>
      <c r="C1942" s="9" t="s">
        <v>1344</v>
      </c>
    </row>
    <row r="1943" ht="33.75" customHeight="1">
      <c r="A1943" s="6" t="s">
        <v>2899</v>
      </c>
      <c r="B1943" s="6" t="str">
        <f>IFERROR(__xludf.DUMMYFUNCTION("GOOGLETRANSLATE(A1943,""en"",""fi"")"),"Nälkäisenä se nielee kaiken liikkuvan. Sen onneton saalis liukenee vahvoihin happoihin.")</f>
        <v>Nälkäisenä se nielee kaiken liikkuvan. Sen onneton saalis liukenee vahvoihin happoihin.</v>
      </c>
      <c r="C1943" s="9" t="s">
        <v>1344</v>
      </c>
    </row>
    <row r="1944" ht="33.75" customHeight="1">
      <c r="A1944" s="6" t="s">
        <v>2900</v>
      </c>
      <c r="B1944" s="6" t="str">
        <f>IFERROR(__xludf.DUMMYFUNCTION("GOOGLETRANSLATE(A1944,""en"",""fi"")"),"Sanotaan elävän valtavissa yhdyskunnissa syvällä viidakoissa, vaikka kukaan ei ole koskaan palannut sieltä.")</f>
        <v>Sanotaan elävän valtavissa yhdyskunnissa syvällä viidakoissa, vaikka kukaan ei ole koskaan palannut sieltä.</v>
      </c>
      <c r="C1944" s="9" t="s">
        <v>1344</v>
      </c>
    </row>
    <row r="1945" ht="33.75" customHeight="1">
      <c r="A1945" s="6" t="s">
        <v>2901</v>
      </c>
      <c r="B1945" s="6" t="str">
        <f>IFERROR(__xludf.DUMMYFUNCTION("GOOGLETRANSLATE(A1945,""en"",""fi"")"),"Houkuttelee saalista makealla hunajan tuoksulla. Kokonaisena nieltynä saalis sulaa päivässä luineen kaikkineen.")</f>
        <v>Houkuttelee saalista makealla hunajan tuoksulla. Kokonaisena nieltynä saalis sulaa päivässä luineen kaikkineen.</v>
      </c>
      <c r="C1945" s="9" t="s">
        <v>1344</v>
      </c>
    </row>
    <row r="1946" ht="33.75" customHeight="1">
      <c r="A1946" s="6" t="s">
        <v>2902</v>
      </c>
      <c r="B1946" s="6" t="str">
        <f>IFERROR(__xludf.DUMMYFUNCTION("GOOGLETRANSLATE(A1946,""en"",""fi"")"),"HAPPO, joka on liuottanut monia saaliita, muuttuu makeammaksi, mikä tekee siitä entistä tehokkaamman saaliin houkuttelemisessa.")</f>
        <v>HAPPO, joka on liuottanut monia saaliita, muuttuu makeammaksi, mikä tekee siitä entistä tehokkaamman saaliin houkuttelemisessa.</v>
      </c>
      <c r="C1946" s="9" t="s">
        <v>1344</v>
      </c>
    </row>
    <row r="1947" ht="33.75" customHeight="1">
      <c r="A1947" s="6" t="s">
        <v>2903</v>
      </c>
      <c r="B1947" s="6" t="str">
        <f>IFERROR(__xludf.DUMMYFUNCTION("GOOGLETRANSLATE(A1947,""en"",""fi"")"),"Tämä kauhistuttava kasvi-POKéMON houkuttelee saalistaan ​​aromaattisella hunajalla ja sulattaa sen sitten suussaan.")</f>
        <v>Tämä kauhistuttava kasvi-POKéMON houkuttelee saalistaan ​​aromaattisella hunajalla ja sulattaa sen sitten suussaan.</v>
      </c>
      <c r="C1947" s="9" t="s">
        <v>1344</v>
      </c>
    </row>
    <row r="1948" ht="33.75" customHeight="1">
      <c r="A1948" s="6" t="s">
        <v>2905</v>
      </c>
      <c r="B1948" s="6" t="str">
        <f>IFERROR(__xludf.DUMMYFUNCTION("GOOGLETRANSLATE(A1948,""en"",""fi"")"),"Kun tämä POKéMON joutuu sen kehoon, jopa kovin esine sulaa tyhjyyteen.")</f>
        <v>Kun tämä POKéMON joutuu sen kehoon, jopa kovin esine sulaa tyhjyyteen.</v>
      </c>
      <c r="C1948" s="9" t="s">
        <v>1344</v>
      </c>
    </row>
    <row r="1949" ht="33.75" customHeight="1">
      <c r="A1949" s="6" t="s">
        <v>2906</v>
      </c>
      <c r="B1949" s="6" t="str">
        <f>IFERROR(__xludf.DUMMYFUNCTION("GOOGLETRANSLATE(A1949,""en"",""fi"")"),"VICTREEBELillä on pitkä köynnös, joka työntyy sen päästä. Köynnöstä heilutetaan ja heilutellaan kuin eläintä saaliin houkuttelemiseksi. Kun pahaa-aavistamaton saalis lähestyy, tämä POKéMON nielee sen kokonaisena.")</f>
        <v>VICTREEBELillä on pitkä köynnös, joka työntyy sen päästä. Köynnöstä heilutetaan ja heilutellaan kuin eläintä saaliin houkuttelemiseksi. Kun pahaa-aavistamaton saalis lähestyy, tämä POKéMON nielee sen kokonaisena.</v>
      </c>
      <c r="C1949" s="9" t="s">
        <v>1344</v>
      </c>
    </row>
    <row r="1950" ht="33.75" customHeight="1">
      <c r="A1950" s="6" t="s">
        <v>2907</v>
      </c>
      <c r="B1950" s="6" t="str">
        <f>IFERROR(__xludf.DUMMYFUNCTION("GOOGLETRANSLATE(A1950,""en"",""fi"")"),"Pitkää, päästä lähtevää köynnöstä heilutellaan kuin elävää olentoa saaliin houkuttelemiseksi. Kun pahaa-aavistamaton uhri lähestyy, se niellään kokonaisena.")</f>
        <v>Pitkää, päästä lähtevää köynnöstä heilutellaan kuin elävää olentoa saaliin houkuttelemiseksi. Kun pahaa-aavistamaton uhri lähestyy, se niellään kokonaisena.</v>
      </c>
      <c r="C1950" s="9" t="s">
        <v>1344</v>
      </c>
    </row>
    <row r="1951" ht="33.75" customHeight="1">
      <c r="A1951" s="6" t="s">
        <v>2909</v>
      </c>
      <c r="B1951" s="6" t="str">
        <f>IFERROR(__xludf.DUMMYFUNCTION("GOOGLETRANSLATE(A1951,""en"",""fi"")"),"Houkuttelee saalista suuhunsa hunajan kaltaisella tuoksulla. Avuton saalis sulatetaan liukenevalla nesteellä.")</f>
        <v>Houkuttelee saalista suuhunsa hunajan kaltaisella tuoksulla. Avuton saalis sulatetaan liukenevalla nesteellä.</v>
      </c>
      <c r="C1951" s="9" t="s">
        <v>1344</v>
      </c>
    </row>
    <row r="1952" ht="33.75" customHeight="1">
      <c r="A1952" s="6" t="s">
        <v>2910</v>
      </c>
      <c r="B1952" s="6" t="str">
        <f>IFERROR(__xludf.DUMMYFUNCTION("GOOGLETRANSLATE(A1952,""en"",""fi"")"),"Se kerää suuhunsa hunajaisen tuoksuista nestettä, joka on itse asiassa happoa, joka liuottaa mitä tahansa.")</f>
        <v>Se kerää suuhunsa hunajaisen tuoksuista nestettä, joka on itse asiassa happoa, joka liuottaa mitä tahansa.</v>
      </c>
      <c r="C1952" s="9" t="s">
        <v>1344</v>
      </c>
    </row>
    <row r="1953" ht="33.75" customHeight="1">
      <c r="A1953" s="6" t="s">
        <v>2911</v>
      </c>
      <c r="B1953" s="6" t="str">
        <f>IFERROR(__xludf.DUMMYFUNCTION("GOOGLETRANSLATE(A1953,""en"",""fi"")"),"Happo, joka on liuottanut monia saaliseläimiä, muuttuu makeammaksi, mikä tekee siitä entistä tehokkaamman saaliin houkuttelemisessa.")</f>
        <v>Happo, joka on liuottanut monia saaliseläimiä, muuttuu makeammaksi, mikä tekee siitä entistä tehokkaamman saaliin houkuttelemisessa.</v>
      </c>
      <c r="C1953" s="9" t="s">
        <v>1344</v>
      </c>
    </row>
    <row r="1954" ht="33.75" customHeight="1">
      <c r="A1954" s="6" t="s">
        <v>2912</v>
      </c>
      <c r="B1954" s="6" t="str">
        <f>IFERROR(__xludf.DUMMYFUNCTION("GOOGLETRANSLATE(A1954,""en"",""fi"")"),"Tämä kauhistuttava kasvi-Pokémon houkuttelee saalista aromaattisella hunajallaan ja sulattaa ne sitten suussaan.")</f>
        <v>Tämä kauhistuttava kasvi-Pokémon houkuttelee saalista aromaattisella hunajallaan ja sulattaa ne sitten suussaan.</v>
      </c>
      <c r="C1954" s="9" t="s">
        <v>1344</v>
      </c>
    </row>
    <row r="1955" ht="33.75" customHeight="1">
      <c r="A1955" s="6" t="s">
        <v>2916</v>
      </c>
      <c r="B1955" s="6" t="str">
        <f>IFERROR(__xludf.DUMMYFUNCTION("GOOGLETRANSLATE(A1955,""en"",""fi"")"),"Se kerää suuhunsa hunajaisen tuoksuista nestettä, joka on itse asiassa happoa, joka liuottaa mitä tahansa.")</f>
        <v>Se kerää suuhunsa hunajaisen tuoksuista nestettä, joka on itse asiassa happoa, joka liuottaa mitä tahansa.</v>
      </c>
      <c r="C1955" s="9" t="s">
        <v>1344</v>
      </c>
    </row>
    <row r="1956" ht="33.75" customHeight="1">
      <c r="A1956" s="6" t="s">
        <v>2917</v>
      </c>
      <c r="B1956" s="6" t="str">
        <f>IFERROR(__xludf.DUMMYFUNCTION("GOOGLETRANSLATE(A1956,""en"",""fi"")"),"Kun tämä Pokémon on nielnyt sen kehoonsa, jopa kovin esine sulaa tyhjyyteen.")</f>
        <v>Kun tämä Pokémon on nielnyt sen kehoonsa, jopa kovin esine sulaa tyhjyyteen.</v>
      </c>
      <c r="C1956" s="9" t="s">
        <v>1344</v>
      </c>
    </row>
    <row r="1957" ht="33.75" customHeight="1">
      <c r="A1957" s="6" t="s">
        <v>2919</v>
      </c>
      <c r="B1957" s="6" t="str">
        <f>IFERROR(__xludf.DUMMYFUNCTION("GOOGLETRANSLATE(A1957,""en"",""fi"")"),"Victreebelillä on pitkä köynnös, joka työntyy sen päästä. Köynnöstä heilutetaan ja heilutellaan kuin eläintä saaliin houkuttelemiseksi. Kun pahaa-aavistamaton saalis lähestyy, tämä Pokémon nielee sen kokonaisena.")</f>
        <v>Victreebelillä on pitkä köynnös, joka työntyy sen päästä. Köynnöstä heilutetaan ja heilutellaan kuin eläintä saaliin houkuttelemiseksi. Kun pahaa-aavistamaton saalis lähestyy, tämä Pokémon nielee sen kokonaisena.</v>
      </c>
      <c r="C1957" s="9" t="s">
        <v>1344</v>
      </c>
    </row>
    <row r="1958" ht="33.75" customHeight="1">
      <c r="A1958" s="6" t="s">
        <v>2921</v>
      </c>
      <c r="B1958" s="6" t="str">
        <f>IFERROR(__xludf.DUMMYFUNCTION("GOOGLETRANSLATE(A1958,""en"",""fi"")"),"Houkuttelee saalista makealla hunajan tuoksulla. Kokonaisena nieltynä saalis liukenee päivässä luineen kaikkineen.")</f>
        <v>Houkuttelee saalista makealla hunajan tuoksulla. Kokonaisena nieltynä saalis liukenee päivässä luineen kaikkineen.</v>
      </c>
      <c r="C1958" s="9" t="s">
        <v>1344</v>
      </c>
    </row>
    <row r="1959" ht="33.75" customHeight="1">
      <c r="A1959" s="6" t="s">
        <v>2923</v>
      </c>
      <c r="B1959" s="6" t="str">
        <f>IFERROR(__xludf.DUMMYFUNCTION("GOOGLETRANSLATE(A1959,""en"",""fi"")"),"Ajelehtii matalissa merissä. Vahingossa niitä koukkuun tarttuneet kalastajat saavat usein rangaistuksena niiden pistävästä haposta.")</f>
        <v>Ajelehtii matalissa merissä. Vahingossa niitä koukkuun tarttuneet kalastajat saavat usein rangaistuksena niiden pistävästä haposta.</v>
      </c>
      <c r="C1959" s="9" t="s">
        <v>1344</v>
      </c>
    </row>
    <row r="1960" ht="33.75" customHeight="1">
      <c r="A1960" s="6" t="s">
        <v>2925</v>
      </c>
      <c r="B1960" s="6" t="str">
        <f>IFERROR(__xludf.DUMMYFUNCTION("GOOGLETRANSLATE(A1960,""en"",""fi"")"),"Sitä voi joskus löytää kokonaan kuivana ja kurttuisena rannalta. Heitä se takaisin mereen elvyttääksesi sitä.")</f>
        <v>Sitä voi joskus löytää kokonaan kuivana ja kurttuisena rannalta. Heitä se takaisin mereen elvyttääksesi sitä.</v>
      </c>
      <c r="C1960" s="9" t="s">
        <v>1344</v>
      </c>
    </row>
    <row r="1961" ht="33.75" customHeight="1">
      <c r="A1961" s="6" t="s">
        <v>2927</v>
      </c>
      <c r="B1961" s="6" t="str">
        <f>IFERROR(__xludf.DUMMYFUNCTION("GOOGLETRANSLATE(A1961,""en"",""fi"")"),"Kun vuorovesi laskee, rannalle voi huuhtoutua kuivuneita TENTACOOL-jäämiä.")</f>
        <v>Kun vuorovesi laskee, rannalle voi huuhtoutua kuivuneita TENTACOOL-jäämiä.</v>
      </c>
      <c r="C1961" s="9" t="s">
        <v>1344</v>
      </c>
    </row>
    <row r="1962" ht="33.75" customHeight="1">
      <c r="A1962" s="6" t="s">
        <v>2928</v>
      </c>
      <c r="B1962" s="6" t="str">
        <f>IFERROR(__xludf.DUMMYFUNCTION("GOOGLETRANSLATE(A1962,""en"",""fi"")"),"Se ajelehtii päämäärättömästi aalloissa. Vedessä sitä on hyvin vaikea nähdä, eikä sitä ehkä huomaa ennen kuin se pistää.")</f>
        <v>Se ajelehtii päämäärättömästi aalloissa. Vedessä sitä on hyvin vaikea nähdä, eikä sitä ehkä huomaa ennen kuin se pistää.</v>
      </c>
      <c r="C1962" s="9" t="s">
        <v>1344</v>
      </c>
    </row>
    <row r="1963" ht="33.75" customHeight="1">
      <c r="A1963" s="6" t="s">
        <v>2930</v>
      </c>
      <c r="B1963" s="6" t="str">
        <f>IFERROR(__xludf.DUMMYFUNCTION("GOOGLETRANSLATE(A1963,""en"",""fi"")"),"Kun se kelluu aalloilla, se käyttää myrkyllisiä tuntosarviaan pistääkseen kaiken, mihin se koskee.")</f>
        <v>Kun se kelluu aalloilla, se käyttää myrkyllisiä tuntosarviaan pistääkseen kaiken, mihin se koskee.</v>
      </c>
      <c r="C1963" s="9" t="s">
        <v>1344</v>
      </c>
    </row>
    <row r="1964" ht="33.75" customHeight="1">
      <c r="A1964" s="6" t="s">
        <v>2932</v>
      </c>
      <c r="B1964" s="6" t="str">
        <f>IFERROR(__xludf.DUMMYFUNCTION("GOOGLETRANSLATE(A1964,""en"",""fi"")"),"TENTACOOLin ruumis koostuu pääosin vedestä. Jos se nostetaan merestä, se kuivuu kuin pergamentti. Jos tämä POKéMON sattuu kuivumaan, laita se takaisin mereen.")</f>
        <v>TENTACOOLin ruumis koostuu pääosin vedestä. Jos se nostetaan merestä, se kuivuu kuin pergamentti. Jos tämä POKéMON sattuu kuivumaan, laita se takaisin mereen.</v>
      </c>
      <c r="C1964" s="9" t="s">
        <v>1344</v>
      </c>
    </row>
    <row r="1965" ht="33.75" customHeight="1">
      <c r="A1965" s="6" t="s">
        <v>2934</v>
      </c>
      <c r="B1965" s="6" t="str">
        <f>IFERROR(__xludf.DUMMYFUNCTION("GOOGLETRANSLATE(A1965,""en"",""fi"")"),"TENTACOOL imee auringonvaloa ja taittaa sen kehonsa sisällä olevan veden avulla muuntaakseen sen sädeenergiaksi. Tämä POKéMON ampuu säteitä kristallinkaltaisista silmistään.")</f>
        <v>TENTACOOL imee auringonvaloa ja taittaa sen kehonsa sisällä olevan veden avulla muuntaakseen sen sädeenergiaksi. Tämä POKéMON ampuu säteitä kristallinkaltaisista silmistään.</v>
      </c>
      <c r="C1965" s="9" t="s">
        <v>1344</v>
      </c>
    </row>
    <row r="1966" ht="33.75" customHeight="1">
      <c r="A1966" s="6" t="s">
        <v>2935</v>
      </c>
      <c r="B1966" s="6" t="str">
        <f>IFERROR(__xludf.DUMMYFUNCTION("GOOGLETRANSLATE(A1966,""en"",""fi"")"),"Sen ruumis koostuu lähes kokonaan vedestä. Se kietoo vihollisensa ansaan kahdella pitkällä lonkerollaan ja sitten iskee myrkkypistimillä niiden kärjissä.")</f>
        <v>Sen ruumis koostuu lähes kokonaan vedestä. Se kietoo vihollisensa ansaan kahdella pitkällä lonkerollaan ja sitten iskee myrkkypistimillä niiden kärjissä.</v>
      </c>
      <c r="C1966" s="9" t="s">
        <v>1344</v>
      </c>
    </row>
    <row r="1967" ht="33.75" customHeight="1">
      <c r="A1967" s="6" t="s">
        <v>2936</v>
      </c>
      <c r="B1967" s="6" t="str">
        <f>IFERROR(__xludf.DUMMYFUNCTION("GOOGLETRANSLATE(A1967,""en"",""fi"")"),"Sen silmät ovat läpinäkyvät kuin kristallit. Niistä se ampuu salaperäisiä valonsäteitä.")</f>
        <v>Sen silmät ovat läpinäkyvät kuin kristallit. Niistä se ampuu salaperäisiä valonsäteitä.</v>
      </c>
      <c r="C1967" s="9" t="s">
        <v>1344</v>
      </c>
    </row>
    <row r="1968" ht="33.75" customHeight="1">
      <c r="A1968" s="6" t="s">
        <v>2937</v>
      </c>
      <c r="B1968" s="6" t="str">
        <f>IFERROR(__xludf.DUMMYFUNCTION("GOOGLETRANSLATE(A1968,""en"",""fi"")"),"Ajelehtii matalissa vesissä. Vahingossa koukkuun tarttuneet kalastajat saavat usein rangaistuksen piikkiensä kautta.")</f>
        <v>Ajelehtii matalissa vesissä. Vahingossa koukkuun tarttuneet kalastajat saavat usein rangaistuksen piikkiensä kautta.</v>
      </c>
      <c r="C1968" s="9" t="s">
        <v>1344</v>
      </c>
    </row>
    <row r="1969" ht="33.75" customHeight="1">
      <c r="A1969" s="6" t="s">
        <v>2938</v>
      </c>
      <c r="B1969" s="6" t="str">
        <f>IFERROR(__xludf.DUMMYFUNCTION("GOOGLETRANSLATE(A1969,""en"",""fi"")"),"Sen ruumis koostuu käytännössä vedestä. Se ampuu outoja säteitä kristallinkaltaisista silmistään.")</f>
        <v>Sen ruumis koostuu käytännössä vedestä. Se ampuu outoja säteitä kristallinkaltaisista silmistään.</v>
      </c>
      <c r="C1969" s="9" t="s">
        <v>1344</v>
      </c>
    </row>
    <row r="1970" ht="33.75" customHeight="1">
      <c r="A1970" s="6" t="s">
        <v>2939</v>
      </c>
      <c r="B1970" s="6" t="str">
        <f>IFERROR(__xludf.DUMMYFUNCTION("GOOGLETRANSLATE(A1970,""en"",""fi"")"),"Se ajelehtii merivirroissa. Lukemattomat kalastajat loukkaantuvat sen myrkyllisistä pistäjistä.")</f>
        <v>Se ajelehtii merivirroissa. Lukemattomat kalastajat loukkaantuvat sen myrkyllisistä pistäjistä.</v>
      </c>
      <c r="C1970" s="9" t="s">
        <v>1344</v>
      </c>
    </row>
    <row r="1971" ht="33.75" customHeight="1">
      <c r="A1971" s="6" t="s">
        <v>2941</v>
      </c>
      <c r="B1971" s="6" t="str">
        <f>IFERROR(__xludf.DUMMYFUNCTION("GOOGLETRANSLATE(A1971,""en"",""fi"")"),"Koska sen ruumis koostuu lähes kokonaan vedestä, se kutistuu, jos se ajautuu rannalle.")</f>
        <v>Koska sen ruumis koostuu lähes kokonaan vedestä, se kutistuu, jos se ajautuu rannalle.</v>
      </c>
      <c r="C1971" s="9" t="s">
        <v>1344</v>
      </c>
    </row>
    <row r="1972" ht="33.75" customHeight="1">
      <c r="A1972" s="6" t="s">
        <v>2942</v>
      </c>
      <c r="B1972" s="6" t="str">
        <f>IFERROR(__xludf.DUMMYFUNCTION("GOOGLETRANSLATE(A1972,""en"",""fi"")"),"Se ajelehtii päämäärättömästi aalloissa. Sitä on hyvin vaikea nähdä vedessä, eikä sitä ehkä huomaa ennen kuin se pistää.")</f>
        <v>Se ajelehtii päämäärättömästi aalloissa. Sitä on hyvin vaikea nähdä vedessä, eikä sitä ehkä huomaa ennen kuin se pistää.</v>
      </c>
      <c r="C1972" s="9" t="s">
        <v>1344</v>
      </c>
    </row>
    <row r="1973" ht="33.75" customHeight="1">
      <c r="A1973" s="6" t="s">
        <v>2943</v>
      </c>
      <c r="B1973" s="6" t="str">
        <f>IFERROR(__xludf.DUMMYFUNCTION("GOOGLETRANSLATE(A1973,""en"",""fi"")"),"Tentacoolin ruumis koostuu pääosin vedestä. Jos se nostetaan merestä, se kuivuu kuin pergamentti. Jos tämä Pokémon sattuu kuivumaan, laita se takaisin mereen.")</f>
        <v>Tentacoolin ruumis koostuu pääosin vedestä. Jos se nostetaan merestä, se kuivuu kuin pergamentti. Jos tämä Pokémon sattuu kuivumaan, laita se takaisin mereen.</v>
      </c>
      <c r="C1973" s="9" t="s">
        <v>1344</v>
      </c>
    </row>
    <row r="1974" ht="33.75" customHeight="1">
      <c r="A1974" s="6" t="s">
        <v>2944</v>
      </c>
      <c r="B1974" s="6" t="str">
        <f>IFERROR(__xludf.DUMMYFUNCTION("GOOGLETRANSLATE(A1974,""en"",""fi"")"),"Tentacool imee auringonvaloa ja taittaa sen käyttämällä kehonsa sisällä olevaa vettä muuntaakseen sen sädeenergiaksi. Tämä Pokémon ampuu säteitä pienestä pyöreästä elimestä silmiensä yläpuolella.")</f>
        <v>Tentacool imee auringonvaloa ja taittaa sen käyttämällä kehonsa sisällä olevaa vettä muuntaakseen sen sädeenergiaksi. Tämä Pokémon ampuu säteitä pienestä pyöreästä elimestä silmiensä yläpuolella.</v>
      </c>
      <c r="C1974" s="9" t="s">
        <v>1344</v>
      </c>
    </row>
    <row r="1975" ht="33.75" customHeight="1">
      <c r="A1975" s="6" t="s">
        <v>2945</v>
      </c>
      <c r="B1975" s="6" t="str">
        <f>IFERROR(__xludf.DUMMYFUNCTION("GOOGLETRANSLATE(A1975,""en"",""fi"")"),"Niitä voi löytää kuihtuneina rannoilta, mutta ne ovat usein vielä elossa. Vedessä liotettuina ne heräävät henkiin.")</f>
        <v>Niitä voi löytää kuihtuneina rannoilta, mutta ne ovat usein vielä elossa. Vedessä liotettuina ne heräävät henkiin.</v>
      </c>
      <c r="C1975" s="9" t="s">
        <v>1344</v>
      </c>
    </row>
    <row r="1976" ht="33.75" customHeight="1">
      <c r="A1976" s="6" t="s">
        <v>2946</v>
      </c>
      <c r="B1976" s="6" t="str">
        <f>IFERROR(__xludf.DUMMYFUNCTION("GOOGLETRANSLATE(A1976,""en"",""fi"")"),"Se ajelehtii matalissa merissä, kuten rantojen lähellä. Jos sen myrkylliset lonkerot purevat tai pistävät sinua, kiirehdi sairaalaan.")</f>
        <v>Se ajelehtii matalissa merissä, kuten rantojen lähellä. Jos sen myrkylliset lonkerot purevat tai pistävät sinua, kiirehdi sairaalaan.</v>
      </c>
      <c r="C1976" s="9" t="s">
        <v>1344</v>
      </c>
    </row>
    <row r="1977" ht="33.75" customHeight="1">
      <c r="A1977" s="6" t="s">
        <v>2947</v>
      </c>
      <c r="B1977" s="6" t="str">
        <f>IFERROR(__xludf.DUMMYFUNCTION("GOOGLETRANSLATE(A1977,""en"",""fi"")"),"Se ajelehtii meren halki saalista etsien. Sen myrkylliset lonkerot katkeavat joskus, mutta jonkin ajan kuluttua ne kasvavat takaisin.")</f>
        <v>Se ajelehtii meren halki saalista etsien. Sen myrkylliset lonkerot katkeavat joskus, mutta jonkin ajan kuluttua ne kasvavat takaisin.</v>
      </c>
      <c r="C1977" s="9" t="s">
        <v>1344</v>
      </c>
    </row>
    <row r="1978" ht="33.75" customHeight="1">
      <c r="A1978" s="6" t="s">
        <v>2949</v>
      </c>
      <c r="B1978" s="6" t="str">
        <f>IFERROR(__xludf.DUMMYFUNCTION("GOOGLETRANSLATE(A1978,""en"",""fi"")"),"Sen keho on 99 % vettä. Loput 1 % sisältää elimen, joka tuottaa sen myrkkyä.")</f>
        <v>Sen keho on 99 % vettä. Loput 1 % sisältää elimen, joka tuottaa sen myrkkyä.</v>
      </c>
      <c r="C1978" s="9" t="s">
        <v>1344</v>
      </c>
    </row>
    <row r="1979" ht="33.75" customHeight="1">
      <c r="A1979" s="6" t="s">
        <v>2950</v>
      </c>
      <c r="B1979" s="6" t="str">
        <f>IFERROR(__xludf.DUMMYFUNCTION("GOOGLETRANSLATE(A1979,""en"",""fi"")"),"Tentacool ei ole erityisen hyvä uimari. Se ajelehtii matalien merien pinnalla etsiessään saalista.")</f>
        <v>Tentacool ei ole erityisen hyvä uimari. Se ajelehtii matalien merien pinnalla etsiessään saalista.</v>
      </c>
      <c r="C1979" s="9" t="s">
        <v>1344</v>
      </c>
    </row>
    <row r="1980" ht="33.75" customHeight="1">
      <c r="A1980" s="6" t="s">
        <v>2952</v>
      </c>
      <c r="B1980" s="6" t="str">
        <f>IFERROR(__xludf.DUMMYFUNCTION("GOOGLETRANSLATE(A1980,""en"",""fi"")"),"Tämä Pokémon on tehty pääosin vedestä. Tentacoolin havaitseminen meressä on erittäin vaikeaa, koska sen ruumis sulautuu mereen.")</f>
        <v>Tämä Pokémon on tehty pääosin vedestä. Tentacoolin havaitseminen meressä on erittäin vaikeaa, koska sen ruumis sulautuu mereen.</v>
      </c>
      <c r="C1980" s="9" t="s">
        <v>1344</v>
      </c>
    </row>
    <row r="1981" ht="33.75" customHeight="1">
      <c r="A1981" s="6" t="s">
        <v>2956</v>
      </c>
      <c r="B1981" s="6" t="str">
        <f>IFERROR(__xludf.DUMMYFUNCTION("GOOGLETRANSLATE(A1981,""en"",""fi"")"),"Ne lähettävät säteitä lasinhohtoisista, magentanvärisistä palloista, jotka muistuttavat niiden pään päällä olevia silmiä, ja ne ajelehtivat matalissa merissä. Laskuveden aikaan niitä voi joskus löytää kuivuneilta rannoilta.")</f>
        <v>Ne lähettävät säteitä lasinhohtoisista, magentanvärisistä palloista, jotka muistuttavat niiden pään päällä olevia silmiä, ja ne ajelehtivat matalissa merissä. Laskuveden aikaan niitä voi joskus löytää kuivuneilta rannoilta.</v>
      </c>
      <c r="C1981" s="9" t="s">
        <v>1344</v>
      </c>
    </row>
    <row r="1982" ht="33.75" customHeight="1">
      <c r="A1982" s="6" t="s">
        <v>2957</v>
      </c>
      <c r="B1982" s="6" t="str">
        <f>IFERROR(__xludf.DUMMYFUNCTION("GOOGLETRANSLATE(A1982,""en"",""fi"")"),"Lonkerot pidetään yleensä lyhyinä. Metsästyksessä ne ojennetaan saaliin vangitsemiseksi ja liikkumattomana pitämiseksi.")</f>
        <v>Lonkerot pidetään yleensä lyhyinä. Metsästyksessä ne ojennetaan saaliin vangitsemiseksi ja liikkumattomana pitämiseksi.</v>
      </c>
      <c r="C1982" s="9" t="s">
        <v>1344</v>
      </c>
    </row>
    <row r="1983" ht="33.75" customHeight="1">
      <c r="A1983" s="6" t="s">
        <v>2958</v>
      </c>
      <c r="B1983" s="6" t="str">
        <f>IFERROR(__xludf.DUMMYFUNCTION("GOOGLETRANSLATE(A1983,""en"",""fi"")"),"Sen 80 lonkeroa voivat venytellä ja supistua vapaasti. Ne kietoutuvat saaliinsa ympärille ja heikentävät sitä myrkyllä.")</f>
        <v>Sen 80 lonkeroa voivat venytellä ja supistua vapaasti. Ne kietoutuvat saaliinsa ympärille ja heikentävät sitä myrkyllä.</v>
      </c>
      <c r="C1983" s="9" t="s">
        <v>1344</v>
      </c>
    </row>
    <row r="1984" ht="33.75" customHeight="1">
      <c r="A1984" s="6" t="s">
        <v>2960</v>
      </c>
      <c r="B1984" s="6" t="str">
        <f>IFERROR(__xludf.DUMMYFUNCTION("GOOGLETRANSLATE(A1984,""en"",""fi"")"),"Sen 80 lonkeroa imevät vettä ja venyvät lähes loputtomasti RAIKOTTAAkseen saalistaan ​​ja vihollisiaan.")</f>
        <v>Sen 80 lonkeroa imevät vettä ja venyvät lähes loputtomasti RAIKOTTAAkseen saalistaan ​​ja vihollisiaan.</v>
      </c>
      <c r="C1984" s="9" t="s">
        <v>1344</v>
      </c>
    </row>
    <row r="1985" ht="33.75" customHeight="1">
      <c r="A1985" s="6" t="s">
        <v>2961</v>
      </c>
      <c r="B1985" s="6" t="str">
        <f>IFERROR(__xludf.DUMMYFUNCTION("GOOGLETRANSLATE(A1985,""en"",""fi"")"),"Taistelussa se ojentaa kaikki 80 lonkeroaan ja vangitsee vastustajansa myrkylliseen verkkoon.")</f>
        <v>Taistelussa se ojentaa kaikki 80 lonkeroaan ja vangitsee vastustajansa myrkylliseen verkkoon.</v>
      </c>
      <c r="C1985" s="9" t="s">
        <v>1344</v>
      </c>
    </row>
    <row r="1986" ht="33.75" customHeight="1">
      <c r="A1986" s="6" t="s">
        <v>2963</v>
      </c>
      <c r="B1986" s="6" t="str">
        <f>IFERROR(__xludf.DUMMYFUNCTION("GOOGLETRANSLATE(A1986,""en"",""fi"")"),"Kun sen 80 tuntoelimet imevät vettä, se venyy ja muuttuu verkon kaltaiseksi, johon se voi kietoa saaliinsa.")</f>
        <v>Kun sen 80 tuntoelimet imevät vettä, se venyy ja muuttuu verkon kaltaiseksi, johon se voi kietoa saaliinsa.</v>
      </c>
      <c r="C1986" s="9" t="s">
        <v>1344</v>
      </c>
    </row>
    <row r="1987" ht="33.75" customHeight="1">
      <c r="A1987" s="6" t="s">
        <v>2965</v>
      </c>
      <c r="B1987" s="6" t="str">
        <f>IFERROR(__xludf.DUMMYFUNCTION("GOOGLETRANSLATE(A1987,""en"",""fi"")"),"TENTACRUELilla on päässään suuret punaiset pallot. Pallot hehkuvat ennen kuin ne iskevät lähiympäristöön voimakkaalla ultraäänisäteilyllä. Tämän POKéMONin purkaus luo karkeita aaltoja sen ympärille.")</f>
        <v>TENTACRUELilla on päässään suuret punaiset pallot. Pallot hehkuvat ennen kuin ne iskevät lähiympäristöön voimakkaalla ultraäänisäteilyllä. Tämän POKéMONin purkaus luo karkeita aaltoja sen ympärille.</v>
      </c>
      <c r="C1987" s="9" t="s">
        <v>1344</v>
      </c>
    </row>
    <row r="1988" ht="33.75" customHeight="1">
      <c r="A1988" s="6" t="s">
        <v>2967</v>
      </c>
      <c r="B1988" s="6" t="str">
        <f>IFERROR(__xludf.DUMMYFUNCTION("GOOGLETRANSLATE(A1988,""en"",""fi"")"),"TENTACRUELilla on lonkeroita, joita voi vapaasti pidentää ja lyhentää mielin määrin. Se kietoo saaliinsa lonkeroillaan ja heikentää sitä annostelemalla siihen ankaraa myrkkyä. Se voi pyydystää jopa 80 saalista samanaikaisesti.")</f>
        <v>TENTACRUELilla on lonkeroita, joita voi vapaasti pidentää ja lyhentää mielin määrin. Se kietoo saaliinsa lonkeroillaan ja heikentää sitä annostelemalla siihen ankaraa myrkkyä. Se voi pyydystää jopa 80 saalista samanaikaisesti.</v>
      </c>
      <c r="C1988" s="9" t="s">
        <v>1344</v>
      </c>
    </row>
    <row r="1989" ht="33.75" customHeight="1">
      <c r="A1989" s="6" t="s">
        <v>2969</v>
      </c>
      <c r="B1989" s="6" t="str">
        <f>IFERROR(__xludf.DUMMYFUNCTION("GOOGLETRANSLATE(A1989,""en"",""fi"")"),"Se elää monimutkaisissa kalliomuodostelmissa merenpohjassa ja pyydystää saalista 80 lonkerollaan. Sen punaiset pallot hohtavat, kun se kiihtyy tai levoton.")</f>
        <v>Se elää monimutkaisissa kalliomuodostelmissa merenpohjassa ja pyydystää saalista 80 lonkerollaan. Sen punaiset pallot hohtavat, kun se kiihtyy tai levoton.</v>
      </c>
      <c r="C1989" s="9" t="s">
        <v>1344</v>
      </c>
    </row>
    <row r="1990" ht="33.75" customHeight="1">
      <c r="A1990" s="6" t="s">
        <v>2970</v>
      </c>
      <c r="B1990" s="6" t="str">
        <f>IFERROR(__xludf.DUMMYFUNCTION("GOOGLETRANSLATE(A1990,""en"",""fi"")"),"Sillä on 80 lonkeroa, jotka liikkuvat vapaasti. Ne voivat pistää aiheuttaen myrkytyksen ja terävää, viiltävää kipua.")</f>
        <v>Sillä on 80 lonkeroa, jotka liikkuvat vapaasti. Ne voivat pistää aiheuttaen myrkytyksen ja terävää, viiltävää kipua.</v>
      </c>
      <c r="C1990" s="9" t="s">
        <v>1344</v>
      </c>
    </row>
    <row r="1991" ht="33.75" customHeight="1">
      <c r="A1991" s="6" t="s">
        <v>2972</v>
      </c>
      <c r="B1991" s="6" t="str">
        <f>IFERROR(__xludf.DUMMYFUNCTION("GOOGLETRANSLATE(A1991,""en"",""fi"")"),"80 lonkerolla uhrien houkuttelemiseksi se estää pakenemisen, kunnes saalis on myrkyn heikentämä.")</f>
        <v>80 lonkerolla uhrien houkuttelemiseksi se estää pakenemisen, kunnes saalis on myrkyn heikentämä.</v>
      </c>
      <c r="C1991" s="9" t="s">
        <v>1344</v>
      </c>
    </row>
    <row r="1992" ht="33.75" customHeight="1">
      <c r="A1992" s="6" t="s">
        <v>2974</v>
      </c>
      <c r="B1992" s="6" t="str">
        <f>IFERROR(__xludf.DUMMYFUNCTION("GOOGLETRANSLATE(A1992,""en"",""fi"")"),"Se varoittaa muita vaarasta väläyttämällä päänsä punaisia ​​palloja räikeästi.")</f>
        <v>Se varoittaa muita vaarasta väläyttämällä päänsä punaisia ​​palloja räikeästi.</v>
      </c>
      <c r="C1992" s="9" t="s">
        <v>1344</v>
      </c>
    </row>
    <row r="1993" ht="33.75" customHeight="1">
      <c r="A1993" s="6" t="s">
        <v>2975</v>
      </c>
      <c r="B1993" s="6" t="str">
        <f>IFERROR(__xludf.DUMMYFUNCTION("GOOGLETRANSLATE(A1993,""en"",""fi"")"),"Se ojentaa 80 lonkeroaan muodostaen ympäröivän myrkyllisen verkon, josta on vaikea päästä eroon.")</f>
        <v>Se ojentaa 80 lonkeroaan muodostaen ympäröivän myrkyllisen verkon, josta on vaikea päästä eroon.</v>
      </c>
      <c r="C1993" s="9" t="s">
        <v>1344</v>
      </c>
    </row>
    <row r="1994" ht="33.75" customHeight="1">
      <c r="A1994" s="6" t="s">
        <v>2976</v>
      </c>
      <c r="B1994" s="6" t="str">
        <f>IFERROR(__xludf.DUMMYFUNCTION("GOOGLETRANSLATE(A1994,""en"",""fi"")"),"Sen 80 lonkeroa imevät vettä ja venyvät lähes loputtomasti kuristaakseen saalistaan ​​ja vihollisiaan.")</f>
        <v>Sen 80 lonkeroa imevät vettä ja venyvät lähes loputtomasti kuristaakseen saalistaan ​​ja vihollisiaan.</v>
      </c>
      <c r="C1994" s="9" t="s">
        <v>1344</v>
      </c>
    </row>
    <row r="1995" ht="33.75" customHeight="1">
      <c r="A1995" s="6" t="s">
        <v>2978</v>
      </c>
      <c r="B1995" s="6" t="str">
        <f>IFERROR(__xludf.DUMMYFUNCTION("GOOGLETRANSLATE(A1995,""en"",""fi"")"),"Taistelussa se ojentaa kaikki 80 lonkeroaan ja vangitsee vastustajansa myrkylliseen verkkoon.")</f>
        <v>Taistelussa se ojentaa kaikki 80 lonkeroaan ja vangitsee vastustajansa myrkylliseen verkkoon.</v>
      </c>
      <c r="C1995" s="9" t="s">
        <v>1344</v>
      </c>
    </row>
    <row r="1996" ht="33.75" customHeight="1">
      <c r="A1996" s="6" t="s">
        <v>2979</v>
      </c>
      <c r="B1996" s="6" t="str">
        <f>IFERROR(__xludf.DUMMYFUNCTION("GOOGLETRANSLATE(A1996,""en"",""fi"")"),"Tentacruelilla on päässään suuret punaiset pallot. Pallot hehkuvat ennen kuin ne iskevät lähiympäristöön voimakkaalla ultraäänisäteilyllä. Tämän Pokémonin purkaus luo karkeita aaltoja sen ympärille.")</f>
        <v>Tentacruelilla on päässään suuret punaiset pallot. Pallot hehkuvat ennen kuin ne iskevät lähiympäristöön voimakkaalla ultraäänisäteilyllä. Tämän Pokémonin purkaus luo karkeita aaltoja sen ympärille.</v>
      </c>
      <c r="C1996" s="9" t="s">
        <v>1344</v>
      </c>
    </row>
    <row r="1997" ht="33.75" customHeight="1">
      <c r="A1997" s="6" t="s">
        <v>2980</v>
      </c>
      <c r="B1997" s="6" t="str">
        <f>IFERROR(__xludf.DUMMYFUNCTION("GOOGLETRANSLATE(A1997,""en"",""fi"")"),"Tentacruelilla on lonkeroita, joita voi vapaasti pidentää ja lyhentää mielin määrin. Se kietoo saaliinsa lonkeroillaan ja heikentää sitä annostelemalla siihen ankaraa myrkkyä. Se voi pyydystää jopa 80 saalista samanaikaisesti.")</f>
        <v>Tentacruelilla on lonkeroita, joita voi vapaasti pidentää ja lyhentää mielin määrin. Se kietoo saaliinsa lonkeroillaan ja heikentää sitä annostelemalla siihen ankaraa myrkkyä. Se voi pyydystää jopa 80 saalista samanaikaisesti.</v>
      </c>
      <c r="C1997" s="9" t="s">
        <v>1344</v>
      </c>
    </row>
    <row r="1998" ht="33.75" customHeight="1">
      <c r="A1998" s="6" t="s">
        <v>2981</v>
      </c>
      <c r="B1998" s="6" t="str">
        <f>IFERROR(__xludf.DUMMYFUNCTION("GOOGLETRANSLATE(A1998,""en"",""fi"")"),"Normaalisti sillä on 80 myrkyllistä lonkeroa. Mitä kauemmin se on ollut elossa, sitä vähemmän lonkeroita sillä on.")</f>
        <v>Normaalisti sillä on 80 myrkyllistä lonkeroa. Mitä kauemmin se on ollut elossa, sitä vähemmän lonkeroita sillä on.</v>
      </c>
      <c r="C1998" s="9" t="s">
        <v>1344</v>
      </c>
    </row>
    <row r="1999" ht="33.75" customHeight="1">
      <c r="A1999" s="6" t="s">
        <v>2983</v>
      </c>
      <c r="B1999" s="6" t="str">
        <f>IFERROR(__xludf.DUMMYFUNCTION("GOOGLETRANSLATE(A1999,""en"",""fi"")"),"Vaikka nämä Pokémonit ovat harvinaisia, suuren epidemian aikana kaikki kala-Pokémonit katoavat ympäröivästä merestä.")</f>
        <v>Vaikka nämä Pokémonit ovat harvinaisia, suuren epidemian aikana kaikki kala-Pokémonit katoavat ympäröivästä merestä.</v>
      </c>
      <c r="C1999" s="9" t="s">
        <v>1344</v>
      </c>
    </row>
    <row r="2000" ht="33.75" customHeight="1">
      <c r="A2000" s="6" t="s">
        <v>2984</v>
      </c>
      <c r="B2000" s="6" t="str">
        <f>IFERROR(__xludf.DUMMYFUNCTION("GOOGLETRANSLATE(A2000,""en"",""fi"")"),"Se ampuu punaisista palloistaan ​​ultraääniaaltoja heikentääkseen saalistaan ​​ja sitten käärii ne 80 lonkeroonsa.")</f>
        <v>Se ampuu punaisista palloistaan ​​ultraääniaaltoja heikentääkseen saalistaan ​​ja sitten käärii ne 80 lonkeroonsa.</v>
      </c>
      <c r="C2000" s="9" t="s">
        <v>1344</v>
      </c>
    </row>
    <row r="2001" ht="33.75" customHeight="1">
      <c r="A2001" s="6" t="s">
        <v>2985</v>
      </c>
      <c r="B2001" s="6" t="str">
        <f>IFERROR(__xludf.DUMMYFUNCTION("GOOGLETRANSLATE(A2001,""en"",""fi"")"),"Se kommunikoi muiden kaltaistensa kanssa valaisemalla päässään olevat punaiset pallot. Kun pallot vilkkuvat, se on varoitusmerkki.")</f>
        <v>Se kommunikoi muiden kaltaistensa kanssa valaisemalla päässään olevat punaiset pallot. Kun pallot vilkkuvat, se on varoitusmerkki.</v>
      </c>
      <c r="C2001" s="9" t="s">
        <v>1344</v>
      </c>
    </row>
    <row r="2002" ht="33.75" customHeight="1">
      <c r="A2002" s="6" t="s">
        <v>2986</v>
      </c>
      <c r="B2002" s="6" t="str">
        <f>IFERROR(__xludf.DUMMYFUNCTION("GOOGLETRANSLATE(A2002,""en"",""fi"")"),"Kun Tentacruelin pään punaiset pallot hehkuvat kirkkaasti, ole varovainen. Pokémon on ampumassa ultraääniaaltojen purkauksen.")</f>
        <v>Kun Tentacruelin pään punaiset pallot hehkuvat kirkkaasti, ole varovainen. Pokémon on ampumassa ultraääniaaltojen purkauksen.</v>
      </c>
      <c r="C2002" s="9" t="s">
        <v>1344</v>
      </c>
    </row>
    <row r="2003" ht="33.75" customHeight="1">
      <c r="A2003" s="6" t="s">
        <v>2987</v>
      </c>
      <c r="B2003" s="6" t="str">
        <f>IFERROR(__xludf.DUMMYFUNCTION("GOOGLETRANSLATE(A2003,""en"",""fi"")"),"Sen 80 lonkeroa voivat venyä ja kutistua vapaasti. Tentacruel kietoo saaliinsa levittäytyneiden lonkeroiden verkkoon ja antaa saaliilleen myrkyllisiä pistoja.")</f>
        <v>Sen 80 lonkeroa voivat venyä ja kutistua vapaasti. Tentacruel kietoo saaliinsa levittäytyneiden lonkeroiden verkkoon ja antaa saaliilleen myrkyllisiä pistoja.</v>
      </c>
      <c r="C2003" s="9" t="s">
        <v>1344</v>
      </c>
    </row>
    <row r="2004" ht="33.75" customHeight="1">
      <c r="A2004" s="6" t="s">
        <v>2988</v>
      </c>
      <c r="B2004" s="6" t="str">
        <f>IFERROR(__xludf.DUMMYFUNCTION("GOOGLETRANSLATE(A2004,""en"",""fi"")"),"Siinä on 80 lonkeroa, joista jokaisessa on myrkyllinen kärki. Nämä lonkerot ovat myös pidennettävissä, ja ne pitenevät, kun Tentacruel yrittää napata saalista. Ole varovainen.")</f>
        <v>Siinä on 80 lonkeroa, joista jokaisessa on myrkyllinen kärki. Nämä lonkerot ovat myös pidennettävissä, ja ne pitenevät, kun Tentacruel yrittää napata saalista. Ole varovainen.</v>
      </c>
      <c r="C2004" s="9" t="s">
        <v>1344</v>
      </c>
    </row>
    <row r="2005" ht="33.75" customHeight="1">
      <c r="A2005" s="6" t="s">
        <v>2989</v>
      </c>
      <c r="B2005" s="6" t="str">
        <f>IFERROR(__xludf.DUMMYFUNCTION("GOOGLETRANSLATE(A2005,""en"",""fi"")"),"Niitä tavataan pelloilla ja vuorilla. Ihmiset usein erehtyvät luulemaan niitä lohkareiksi ja astuvat tai kompastuvat niihin.")</f>
        <v>Niitä tavataan pelloilla ja vuorilla. Ihmiset usein erehtyvät luulemaan niitä lohkareiksi ja astuvat tai kompastuvat niihin.</v>
      </c>
      <c r="C2005" s="9" t="s">
        <v>1344</v>
      </c>
    </row>
    <row r="2006" ht="33.75" customHeight="1">
      <c r="A2006" s="6" t="s">
        <v>2990</v>
      </c>
      <c r="B2006" s="6" t="str">
        <f>IFERROR(__xludf.DUMMYFUNCTION("GOOGLETRANSLATE(A2006,""en"",""fi"")"),"Yleisesti löytyy vuoristopolkujen läheltä jne. Jos astut sellaisen päälle vahingossa, se suuttuu.")</f>
        <v>Yleisesti löytyy vuoristopolkujen läheltä jne. Jos astut sellaisen päälle vahingossa, se suuttuu.</v>
      </c>
      <c r="C2006" s="9" t="s">
        <v>1344</v>
      </c>
    </row>
    <row r="2007" ht="33.75" customHeight="1">
      <c r="A2007" s="6" t="s">
        <v>2991</v>
      </c>
      <c r="B2007" s="6" t="str">
        <f>IFERROR(__xludf.DUMMYFUNCTION("GOOGLETRANSLATE(A2007,""en"",""fi"")"),"Useimmat ihmiset eivät ehkä huomaa, mutta lähempi tarkastelu paljastaa, että GEODUDE-hahmoja on paljon.")</f>
        <v>Useimmat ihmiset eivät ehkä huomaa, mutta lähempi tarkastelu paljastaa, että GEODUDE-hahmoja on paljon.</v>
      </c>
      <c r="C2007" s="9" t="s">
        <v>1344</v>
      </c>
    </row>
    <row r="2008" ht="33.75" customHeight="1">
      <c r="A2008" s="6" t="s">
        <v>2992</v>
      </c>
      <c r="B2008" s="6" t="str">
        <f>IFERROR(__xludf.DUMMYFUNCTION("GOOGLETRANSLATE(A2008,""en"",""fi"")"),"Se käyttää käsiään kiivetäkseen tasaisesti jyrkkiä vuoristopolkuja. Se heiluttelee nyrkkejään suuttuessaan.")</f>
        <v>Se käyttää käsiään kiivetäkseen tasaisesti jyrkkiä vuoristopolkuja. Se heiluttelee nyrkkejään suuttuessaan.</v>
      </c>
      <c r="C2008" s="9" t="s">
        <v>1344</v>
      </c>
    </row>
    <row r="2009" ht="33.75" customHeight="1">
      <c r="A2009" s="6" t="s">
        <v>2993</v>
      </c>
      <c r="B2009" s="6" t="str">
        <f>IFERROR(__xludf.DUMMYFUNCTION("GOOGLETRANSLATE(A2009,""en"",""fi"")"),"Ylpeinä vankoista vartaloistaan ​​he ottavat mittaa toisistaan ​​kilpailussa siitä, kuka on vaikeampi.")</f>
        <v>Ylpeinä vankoista vartaloistaan ​​he ottavat mittaa toisistaan ​​kilpailussa siitä, kuka on vaikeampi.</v>
      </c>
      <c r="C2009" s="9" t="s">
        <v>1344</v>
      </c>
    </row>
    <row r="2010" ht="33.75" customHeight="1">
      <c r="A2010" s="6" t="s">
        <v>2994</v>
      </c>
      <c r="B2010" s="6" t="str">
        <f>IFERROR(__xludf.DUMMYFUNCTION("GOOGLETRANSLATE(A2010,""en"",""fi"")"),"Mitä pidempään GEODUDE elää, sitä enemmän sen reunat lohkeilevat ja kuluvat pois, mikä tekee siitä pyöreämmän näköisen. Tämän POKéMONin sydän pysyy kuitenkin aina kovana, rosoisena ja rosoisena.")</f>
        <v>Mitä pidempään GEODUDE elää, sitä enemmän sen reunat lohkeilevat ja kuluvat pois, mikä tekee siitä pyöreämmän näköisen. Tämän POKéMONin sydän pysyy kuitenkin aina kovana, rosoisena ja rosoisena.</v>
      </c>
      <c r="C2010" s="9" t="s">
        <v>1344</v>
      </c>
    </row>
    <row r="2011" ht="33.75" customHeight="1">
      <c r="A2011" s="6" t="s">
        <v>2995</v>
      </c>
      <c r="B2011" s="6" t="str">
        <f>IFERROR(__xludf.DUMMYFUNCTION("GOOGLETRANSLATE(A2011,""en"",""fi"")"),"Kun GEODUDE nukkuu sikeästi, se hautaa itsensä puoliksi maahan. Se ei herää, vaikka retkeilijät astuisivat sen päälle tietämättään. Aamulla tämä POKéMON vieree alamäkeen etsimään ruokaa.")</f>
        <v>Kun GEODUDE nukkuu sikeästi, se hautaa itsensä puoliksi maahan. Se ei herää, vaikka retkeilijät astuisivat sen päälle tietämättään. Aamulla tämä POKéMON vieree alamäkeen etsimään ruokaa.</v>
      </c>
      <c r="C2011" s="9" t="s">
        <v>1344</v>
      </c>
    </row>
    <row r="2012" ht="33.75" customHeight="1">
      <c r="A2012" s="6" t="s">
        <v>2997</v>
      </c>
      <c r="B2012" s="6" t="str">
        <f>IFERROR(__xludf.DUMMYFUNCTION("GOOGLETRANSLATE(A2012,""en"",""fi"")"),"Se kiipeää vuoristopolkuja käyttäen vain käsivarsiensa voimaa. Koska ne näyttävät aivan polkuja reunustavilta lohkareilta, retkeilijät saattavat astua niille huomaamattaan.")</f>
        <v>Se kiipeää vuoristopolkuja käyttäen vain käsivarsiensa voimaa. Koska ne näyttävät aivan polkuja reunustavilta lohkareilta, retkeilijät saattavat astua niille huomaamattaan.</v>
      </c>
      <c r="C2012" s="9" t="s">
        <v>1344</v>
      </c>
    </row>
    <row r="2013" ht="33.75" customHeight="1">
      <c r="A2013" s="6" t="s">
        <v>2998</v>
      </c>
      <c r="B2013" s="6" t="str">
        <f>IFERROR(__xludf.DUMMYFUNCTION("GOOGLETRANSLATE(A2013,""en"",""fi"")"),"Pyöreän muotonsa ansiosta se on helppo nostaa. Jotkut ovat käyttäneet niitä lumisotapeliin heitelläkseen toisiaan kohti.")</f>
        <v>Pyöreän muotonsa ansiosta se on helppo nostaa. Jotkut ovat käyttäneet niitä lumisotapeliin heitelläkseen toisiaan kohti.</v>
      </c>
      <c r="C2013" s="9" t="s">
        <v>1344</v>
      </c>
    </row>
    <row r="2014" ht="33.75" customHeight="1">
      <c r="A2014" s="6" t="s">
        <v>2999</v>
      </c>
      <c r="B2014" s="6" t="str">
        <f>IFERROR(__xludf.DUMMYFUNCTION("GOOGLETRANSLATE(A2014,""en"",""fi"")"),"Monet elävät vuoristopoluilla ja pysyvät puoliksi hautautuneina pitäen samalla silmällä kiipeilijöitä.")</f>
        <v>Monet elävät vuoristopoluilla ja pysyvät puoliksi hautautuneina pitäen samalla silmällä kiipeilijöitä.</v>
      </c>
      <c r="C2014" s="9" t="s">
        <v>1344</v>
      </c>
    </row>
    <row r="2015" ht="33.75" customHeight="1">
      <c r="A2015" s="6" t="s">
        <v>3000</v>
      </c>
      <c r="B2015" s="6" t="str">
        <f>IFERROR(__xludf.DUMMYFUNCTION("GOOGLETRANSLATE(A2015,""en"",""fi"")"),"Sitä on mahdotonta erottaa kivistä. Se iskee muita kiviä vasten kovuuskilpailuissa.")</f>
        <v>Sitä on mahdotonta erottaa kivistä. Se iskee muita kiviä vasten kovuuskilpailuissa.</v>
      </c>
      <c r="C2015" s="9" t="s">
        <v>1344</v>
      </c>
    </row>
    <row r="2016" ht="33.75" customHeight="1">
      <c r="A2016" s="6" t="s">
        <v>3002</v>
      </c>
      <c r="B2016" s="6" t="str">
        <f>IFERROR(__xludf.DUMMYFUNCTION("GOOGLETRANSLATE(A2016,""en"",""fi"")"),"Levossa se näyttää aivan kiveltä. Varomaton sen päälle astuminen saa sen heiluttamaan nyrkkejään vihaisesti.")</f>
        <v>Levossa se näyttää aivan kiveltä. Varomaton sen päälle astuminen saa sen heiluttamaan nyrkkejään vihaisesti.</v>
      </c>
      <c r="C2016" s="9" t="s">
        <v>1344</v>
      </c>
    </row>
    <row r="2017" ht="33.75" customHeight="1">
      <c r="A2017" s="6" t="s">
        <v>3003</v>
      </c>
      <c r="B2017" s="6" t="str">
        <f>IFERROR(__xludf.DUMMYFUNCTION("GOOGLETRANSLATE(A2017,""en"",""fi"")"),"Mitä pidempään Geodude elää, sitä enemmän sen reunat lohkeilevat ja kuluvat pois, mikä tekee siitä pyöreämmän näköisen. Tämän Pokémonin sydän pysyy kuitenkin aina kovana, rosoisena ja karheana.")</f>
        <v>Mitä pidempään Geodude elää, sitä enemmän sen reunat lohkeilevat ja kuluvat pois, mikä tekee siitä pyöreämmän näköisen. Tämän Pokémonin sydän pysyy kuitenkin aina kovana, rosoisena ja karheana.</v>
      </c>
      <c r="C2017" s="9" t="s">
        <v>1344</v>
      </c>
    </row>
    <row r="2018" ht="33.75" customHeight="1">
      <c r="A2018" s="6" t="s">
        <v>3005</v>
      </c>
      <c r="B2018" s="6" t="str">
        <f>IFERROR(__xludf.DUMMYFUNCTION("GOOGLETRANSLATE(A2018,""en"",""fi"")"),"Kun Geodude nukkuu sikeästi, se hautaa itsensä puoliväliin maahan. Se ei herää, vaikka retkeilijät astuisivat sen päälle tietämättään. Aamulla tämä Pokémon vierii alamäkeen etsien ruokaa.")</f>
        <v>Kun Geodude nukkuu sikeästi, se hautaa itsensä puoliväliin maahan. Se ei herää, vaikka retkeilijät astuisivat sen päälle tietämättään. Aamulla tämä Pokémon vierii alamäkeen etsien ruokaa.</v>
      </c>
      <c r="C2018" s="9" t="s">
        <v>1344</v>
      </c>
    </row>
    <row r="2019" ht="33.75" customHeight="1">
      <c r="A2019" s="6" t="s">
        <v>3008</v>
      </c>
      <c r="B2019" s="6" t="str">
        <f>IFERROR(__xludf.DUMMYFUNCTION("GOOGLETRANSLATE(A2019,""en"",""fi"")"),"Sen pyöreä runko tekee siitä helpon nostaa, mutta se on kova ja painava. Niillä on vaarallista leikkiä kuin lumipalloilla.")</f>
        <v>Sen pyöreä runko tekee siitä helpon nostaa, mutta se on kova ja painava. Niillä on vaarallista leikkiä kuin lumipalloilla.</v>
      </c>
      <c r="C2019" s="9" t="s">
        <v>1344</v>
      </c>
    </row>
    <row r="2020" ht="33.75" customHeight="1">
      <c r="A2020" s="6" t="s">
        <v>3009</v>
      </c>
      <c r="B2020" s="6" t="str">
        <f>IFERROR(__xludf.DUMMYFUNCTION("GOOGLETRANSLATE(A2020,""en"",""fi"")"),"Niitä löytyy runsaasti minkä tahansa tien varrelta. Eräs liikaa vapaa-aikaa omaava oppinut laski kerran niitä sata yhden reitin varrella.")</f>
        <v>Niitä löytyy runsaasti minkä tahansa tien varrelta. Eräs liikaa vapaa-aikaa omaava oppinut laski kerran niitä sata yhden reitin varrella.</v>
      </c>
      <c r="C2020" s="9" t="s">
        <v>1344</v>
      </c>
    </row>
    <row r="2021" ht="33.75" customHeight="1">
      <c r="A2021" s="6" t="s">
        <v>3011</v>
      </c>
      <c r="B2021" s="6" t="str">
        <f>IFERROR(__xludf.DUMMYFUNCTION("GOOGLETRANSLATE(A2021,""en"",""fi"")"),"Pitkään eläneiden geodude-käärmeiden kaikki reunat ovat hioutuneet täysin pyöreiksi. Niillä on myös rauhallinen ja hiljainen luonne.")</f>
        <v>Pitkään eläneiden geodude-käärmeiden kaikki reunat ovat hioutuneet täysin pyöreiksi. Niillä on myös rauhallinen ja hiljainen luonne.</v>
      </c>
      <c r="C2021" s="9" t="s">
        <v>1344</v>
      </c>
    </row>
    <row r="2022" ht="33.75" customHeight="1">
      <c r="A2022" s="6" t="s">
        <v>3012</v>
      </c>
      <c r="B2022" s="6" t="str">
        <f>IFERROR(__xludf.DUMMYFUNCTION("GOOGLETRANSLATE(A2022,""en"",""fi"")"),"Se käyttää molempia käsiään kiivetäkseen jyrkkiä kallioita. Ihmiset, jotka ovat nähneet sen toiminnassa, ovat alkaneet harrastaa boulderointia.")</f>
        <v>Se käyttää molempia käsiään kiivetäkseen jyrkkiä kallioita. Ihmiset, jotka ovat nähneet sen toiminnassa, ovat alkaneet harrastaa boulderointia.</v>
      </c>
      <c r="C2022" s="9" t="s">
        <v>1344</v>
      </c>
    </row>
    <row r="2023" ht="33.75" customHeight="1">
      <c r="A2023" s="6" t="s">
        <v>3013</v>
      </c>
      <c r="B2023" s="6" t="str">
        <f>IFERROR(__xludf.DUMMYFUNCTION("GOOGLETRANSLATE(A2023,""en"",""fi"")"),"Yleisesti tavattavissa vuoristopolkujen ja vastaavien lähellä. Jos astut sellaisen päälle vahingossa, se suuttuu.")</f>
        <v>Yleisesti tavattavissa vuoristopolkujen ja vastaavien lähellä. Jos astut sellaisen päälle vahingossa, se suuttuu.</v>
      </c>
      <c r="C2023" s="9" t="s">
        <v>1344</v>
      </c>
    </row>
    <row r="2024" ht="33.75" customHeight="1">
      <c r="A2024" s="6" t="s">
        <v>3014</v>
      </c>
      <c r="B2024" s="6" t="str">
        <f>IFERROR(__xludf.DUMMYFUNCTION("GOOGLETRANSLATE(A2024,""en"",""fi"")"),"Asuu vuoristoalueilla ja kiipeää käsivarsillaan karuja vuoristoteitä pitkin. Voi olla hankala – huolimaton potku saa sen raivostumaan ja jahtaamaan sinua.")</f>
        <v>Asuu vuoristoalueilla ja kiipeää käsivarsillaan karuja vuoristoteitä pitkin. Voi olla hankala – huolimaton potku saa sen raivostumaan ja jahtaamaan sinua.</v>
      </c>
      <c r="C2024" s="9" t="s">
        <v>1344</v>
      </c>
    </row>
    <row r="2025" ht="33.75" customHeight="1">
      <c r="A2025" s="6" t="s">
        <v>3016</v>
      </c>
      <c r="B2025" s="6" t="str">
        <f>IFERROR(__xludf.DUMMYFUNCTION("GOOGLETRANSLATE(A2025,""en"",""fi"")"),"Vierii alas rinnettä liikkuakseen. Se vierii minkä tahansa esteen yli hidastamatta tai muuttamatta suuntaansa.")</f>
        <v>Vierii alas rinnettä liikkuakseen. Se vierii minkä tahansa esteen yli hidastamatta tai muuttamatta suuntaansa.</v>
      </c>
      <c r="C2025" s="9" t="s">
        <v>1344</v>
      </c>
    </row>
    <row r="2026" ht="33.75" customHeight="1">
      <c r="A2026" s="6" t="s">
        <v>3017</v>
      </c>
      <c r="B2026" s="6" t="str">
        <f>IFERROR(__xludf.DUMMYFUNCTION("GOOGLETRANSLATE(A2026,""en"",""fi"")"),"Nähdään usein vierimässä alas vuoristopolkuja. Esteet ovat vain asioita, joiden yli vieritään suoraan, ei väistellä.")</f>
        <v>Nähdään usein vierimässä alas vuoristopolkuja. Esteet ovat vain asioita, joiden yli vieritään suoraan, ei väistellä.</v>
      </c>
      <c r="C2026" s="9" t="s">
        <v>1344</v>
      </c>
    </row>
    <row r="2027" ht="33.75" customHeight="1">
      <c r="A2027" s="6" t="s">
        <v>3019</v>
      </c>
      <c r="B2027" s="6" t="str">
        <f>IFERROR(__xludf.DUMMYFUNCTION("GOOGLETRANSLATE(A2027,""en"",""fi"")"),"Vapaana ja välinpitämättömänä luonteena se ei välitä, vaikka palasia irtoaisi sen vieriessä alas vuoria.")</f>
        <v>Vapaana ja välinpitämättömänä luonteena se ei välitä, vaikka palasia irtoaisi sen vieriessä alas vuoria.</v>
      </c>
      <c r="C2027" s="9" t="s">
        <v>1344</v>
      </c>
    </row>
    <row r="2028" ht="33.75" customHeight="1">
      <c r="A2028" s="6" t="s">
        <v>3021</v>
      </c>
      <c r="B2028" s="6" t="str">
        <f>IFERROR(__xludf.DUMMYFUNCTION("GOOGLETRANSLATE(A2028,""en"",""fi"")"),"Hitaana kävelijänä se liikkuu pyörien. Se ei kiinnitä huomiota mihinkään esineeseen, joka sattuu olemaan sen tiellä.")</f>
        <v>Hitaana kävelijänä se liikkuu pyörien. Se ei kiinnitä huomiota mihinkään esineeseen, joka sattuu olemaan sen tiellä.</v>
      </c>
      <c r="C2028" s="9" t="s">
        <v>1344</v>
      </c>
    </row>
    <row r="2029" ht="33.75" customHeight="1">
      <c r="A2029" s="6" t="s">
        <v>3022</v>
      </c>
      <c r="B2029" s="6" t="str">
        <f>IFERROR(__xludf.DUMMYFUNCTION("GOOGLETRANSLATE(A2029,""en"",""fi"")"),"Se kulkee pyörien vuoristopolkuja pitkin. Jos se kiihtyy liikaa, se pysähtyy törmäämällä valtaviin kiviin.")</f>
        <v>Se kulkee pyörien vuoristopolkuja pitkin. Jos se kiihtyy liikaa, se pysähtyy törmäämällä valtaviin kiviin.</v>
      </c>
      <c r="C2029" s="9" t="s">
        <v>1344</v>
      </c>
    </row>
    <row r="2030" ht="33.75" customHeight="1">
      <c r="A2030" s="6" t="s">
        <v>3023</v>
      </c>
      <c r="B2030" s="6" t="str">
        <f>IFERROR(__xludf.DUMMYFUNCTION("GOOGLETRANSLATE(A2030,""en"",""fi"")"),"GRAVELER kasvaa syömällä kiviä. Ilmeisesti se syö mieluummin sammaleen peittämiä kiviä. Tämä POKéMON syö tiensä läpi valtavan määrän kiviä päivittäin.")</f>
        <v>GRAVELER kasvaa syömällä kiviä. Ilmeisesti se syö mieluummin sammaleen peittämiä kiviä. Tämä POKéMON syö tiensä läpi valtavan määrän kiviä päivittäin.</v>
      </c>
      <c r="C2030" s="9" t="s">
        <v>1344</v>
      </c>
    </row>
    <row r="2031" ht="33.75" customHeight="1">
      <c r="A2031" s="6" t="s">
        <v>3025</v>
      </c>
      <c r="B2031" s="6" t="str">
        <f>IFERROR(__xludf.DUMMYFUNCTION("GOOGLETRANSLATE(A2031,""en"",""fi"")"),"Kivet ovat GRAVELERin lempiruokaa. Tämä POKéMON kiipeää vuorta juurelta huipulle ja herkuttelee samalla kivillä. Huipun saavuttua se vierii takaisin alas.")</f>
        <v>Kivet ovat GRAVELERin lempiruokaa. Tämä POKéMON kiipeää vuorta juurelta huipulle ja herkuttelee samalla kivillä. Huipun saavuttua se vierii takaisin alas.</v>
      </c>
      <c r="C2031" s="9" t="s">
        <v>1344</v>
      </c>
    </row>
    <row r="2032" ht="33.75" customHeight="1">
      <c r="A2032" s="6" t="s">
        <v>3027</v>
      </c>
      <c r="B2032" s="6" t="str">
        <f>IFERROR(__xludf.DUMMYFUNCTION("GOOGLETRANSLATE(A2032,""en"",""fi"")"),"Ne laskeutuvat vuorilta syöksymällä alas jyrkkiä rinteitä. Ne ovat niin raakoja, että ne murskaavat tieltään tiehensä estäviä puita ja massiivisia lohkareita jylisevillä taklauksilla.")</f>
        <v>Ne laskeutuvat vuorilta syöksymällä alas jyrkkiä rinteitä. Ne ovat niin raakoja, että ne murskaavat tieltään tiehensä estäviä puita ja massiivisia lohkareita jylisevillä taklauksilla.</v>
      </c>
      <c r="C2032" s="9" t="s">
        <v>1344</v>
      </c>
    </row>
    <row r="2033" ht="33.75" customHeight="1">
      <c r="A2033" s="6" t="s">
        <v>3028</v>
      </c>
      <c r="B2033" s="6" t="str">
        <f>IFERROR(__xludf.DUMMYFUNCTION("GOOGLETRANSLATE(A2033,""en"",""fi"")"),"Ole varovainen vaeltaessasi vuoristopoluilla. SORAVELI saattaa vieriä polkua pitkin hidastamatta.")</f>
        <v>Ole varovainen vaeltaessasi vuoristopoluilla. SORAVELI saattaa vieriä polkua pitkin hidastamatta.</v>
      </c>
      <c r="C2033" s="9" t="s">
        <v>1344</v>
      </c>
    </row>
    <row r="2034" ht="33.75" customHeight="1">
      <c r="A2034" s="6" t="s">
        <v>3030</v>
      </c>
      <c r="B2034" s="6" t="str">
        <f>IFERROR(__xludf.DUMMYFUNCTION("GOOGLETRANSLATE(A2034,""en"",""fi"")"),"SORUALAISET rakentavat kotinsa jyrkille kallioseinämille kaivamalla lukuisia vaakasuoria reikiä.")</f>
        <v>SORUALAISET rakentavat kotinsa jyrkille kallioseinämille kaivamalla lukuisia vaakasuoria reikiä.</v>
      </c>
      <c r="C2034" s="9" t="s">
        <v>1344</v>
      </c>
    </row>
    <row r="2035" ht="33.75" customHeight="1">
      <c r="A2035" s="6" t="s">
        <v>3031</v>
      </c>
      <c r="B2035" s="6" t="str">
        <f>IFERROR(__xludf.DUMMYFUNCTION("GOOGLETRANSLATE(A2035,""en"",""fi"")"),"Se syöksyy alas rinteitä välittämättä irtoavista ruumiinosistaan. Se syö päivittäin valtavasti kiviä.")</f>
        <v>Se syöksyy alas rinteitä välittämättä irtoavista ruumiinosistaan. Se syö päivittäin valtavasti kiviä.</v>
      </c>
      <c r="C2035" s="9" t="s">
        <v>1344</v>
      </c>
    </row>
    <row r="2036" ht="33.75" customHeight="1">
      <c r="A2036" s="6" t="s">
        <v>3033</v>
      </c>
      <c r="B2036" s="6" t="str">
        <f>IFERROR(__xludf.DUMMYFUNCTION("GOOGLETRANSLATE(A2036,""en"",""fi"")"),"Se liikkuu vuoristopolkuja pitkin. Kun se saa vauhtia, mikään Pokémon ei voi pysäyttää sitä vaikeuksitta.")</f>
        <v>Se liikkuu vuoristopolkuja pitkin. Kun se saa vauhtia, mikään Pokémon ei voi pysäyttää sitä vaikeuksitta.</v>
      </c>
      <c r="C2036" s="9" t="s">
        <v>1344</v>
      </c>
    </row>
    <row r="2037" ht="33.75" customHeight="1">
      <c r="A2037" s="6" t="s">
        <v>3034</v>
      </c>
      <c r="B2037" s="6" t="str">
        <f>IFERROR(__xludf.DUMMYFUNCTION("GOOGLETRANSLATE(A2037,""en"",""fi"")"),"Vapaana ja välinpitämättömänä luonteena se ei välitä, vaikka palasia irtoaisi sen vieriessä alas vuoria.")</f>
        <v>Vapaana ja välinpitämättömänä luonteena se ei välitä, vaikka palasia irtoaisi sen vieriessä alas vuoria.</v>
      </c>
      <c r="C2037" s="9" t="s">
        <v>1344</v>
      </c>
    </row>
    <row r="2038" ht="33.75" customHeight="1">
      <c r="A2038" s="6" t="s">
        <v>3036</v>
      </c>
      <c r="B2038" s="6" t="str">
        <f>IFERROR(__xludf.DUMMYFUNCTION("GOOGLETRANSLATE(A2038,""en"",""fi"")"),"Graveler kasvaa syömällä kiviä. Ilmeisesti se syö mieluummin sammaleen peittämiä kiviä. Tämä Pokémon syö tiensä läpi valtavan määrän kiviä päivittäin.")</f>
        <v>Graveler kasvaa syömällä kiviä. Ilmeisesti se syö mieluummin sammaleen peittämiä kiviä. Tämä Pokémon syö tiensä läpi valtavan määrän kiviä päivittäin.</v>
      </c>
      <c r="C2038" s="9" t="s">
        <v>1344</v>
      </c>
    </row>
    <row r="2039" ht="33.75" customHeight="1">
      <c r="A2039" s="6" t="s">
        <v>3037</v>
      </c>
      <c r="B2039" s="6" t="str">
        <f>IFERROR(__xludf.DUMMYFUNCTION("GOOGLETRANSLATE(A2039,""en"",""fi"")"),"Kivet ovat Gravelerin lempiruokaa. Tämä Pokémon kiipeää vuorta juurelta huipulle, herkutellen samalla kivillä. Huipun saavuttua se vierii takaisin alas.")</f>
        <v>Kivet ovat Gravelerin lempiruokaa. Tämä Pokémon kiipeää vuorta juurelta huipulle, herkutellen samalla kivillä. Huipun saavuttua se vierii takaisin alas.</v>
      </c>
      <c r="C2039" s="9" t="s">
        <v>1344</v>
      </c>
    </row>
    <row r="2040" ht="33.75" customHeight="1">
      <c r="A2040" s="6" t="s">
        <v>3038</v>
      </c>
      <c r="B2040" s="6" t="str">
        <f>IFERROR(__xludf.DUMMYFUNCTION("GOOGLETRANSLATE(A2040,""en"",""fi"")"),"Sammaleiset kivet ovat sen lempiruokaa. Se voi ahmia tonnin päivässä äänekkäästi rouskuen.")</f>
        <v>Sammaleiset kivet ovat sen lempiruokaa. Se voi ahmia tonnin päivässä äänekkäästi rouskuen.</v>
      </c>
      <c r="C2040" s="9" t="s">
        <v>1344</v>
      </c>
    </row>
    <row r="2041" ht="33.75" customHeight="1">
      <c r="A2041" s="6" t="s">
        <v>3040</v>
      </c>
      <c r="B2041" s="6" t="str">
        <f>IFERROR(__xludf.DUMMYFUNCTION("GOOGLETRANSLATE(A2041,""en"",""fi"")"),"Tämä hidasjalkainen Pokémon liikkuu käpertymällä ja pyörimällä kävelemisen sijaan. Riittävän vauhdin avulla sen nopeus voi ylittää 96 km/h.")</f>
        <v>Tämä hidasjalkainen Pokémon liikkuu käpertymällä ja pyörimällä kävelemisen sijaan. Riittävän vauhdin avulla sen nopeus voi ylittää 96 km/h.</v>
      </c>
      <c r="C2041" s="9" t="s">
        <v>1344</v>
      </c>
    </row>
    <row r="2042" ht="33.75" customHeight="1">
      <c r="A2042" s="6" t="s">
        <v>3042</v>
      </c>
      <c r="B2042" s="6" t="str">
        <f>IFERROR(__xludf.DUMMYFUNCTION("GOOGLETRANSLATE(A2042,""en"",""fi"")"),"Se kiipeää kallioita ylös kohti vuorenhuippua. Heti saavuttuaan huipun se vierii takaisin alas samaa reittiä kuin tuli.")</f>
        <v>Se kiipeää kallioita ylös kohti vuorenhuippua. Heti saavuttuaan huipun se vierii takaisin alas samaa reittiä kuin tuli.</v>
      </c>
      <c r="C2042" s="9" t="s">
        <v>1344</v>
      </c>
    </row>
    <row r="2043" ht="33.75" customHeight="1">
      <c r="A2043" s="6" t="s">
        <v>3043</v>
      </c>
      <c r="B2043" s="6" t="str">
        <f>IFERROR(__xludf.DUMMYFUNCTION("GOOGLETRANSLATE(A2043,""en"",""fi"")"),"Se kulkee vierimällä alas kallioita. Jos se putoaa jokeen, se räjähtää viimeisellä henkäyksellään.")</f>
        <v>Se kulkee vierimällä alas kallioita. Jos se putoaa jokeen, se räjähtää viimeisellä henkäyksellään.</v>
      </c>
      <c r="C2043" s="9" t="s">
        <v>1344</v>
      </c>
    </row>
    <row r="2044" ht="33.75" customHeight="1">
      <c r="A2044" s="6" t="s">
        <v>3045</v>
      </c>
      <c r="B2044" s="6" t="str">
        <f>IFERROR(__xludf.DUMMYFUNCTION("GOOGLETRANSLATE(A2044,""en"",""fi"")"),"Se asuu jyrkkiin kiviseiniin kaiverretuissa koloissa. Se nauttii rinteiden alas vierimisestä kuin lohkare kivivyöryn aikana, joten pidä katsetta ylöspäin vuoristoteillä liikkuessasi.")</f>
        <v>Se asuu jyrkkiin kiviseiniin kaiverretuissa koloissa. Se nauttii rinteiden alas vierimisestä kuin lohkare kivivyöryn aikana, joten pidä katsetta ylöspäin vuoristoteillä liikkuessasi.</v>
      </c>
      <c r="C2044" s="9" t="s">
        <v>1344</v>
      </c>
    </row>
    <row r="2045" ht="33.75" customHeight="1">
      <c r="A2045" s="6" t="s">
        <v>3046</v>
      </c>
      <c r="B2045" s="6" t="str">
        <f>IFERROR(__xludf.DUMMYFUNCTION("GOOGLETRANSLATE(A2045,""en"",""fi"")"),"Sen lohkaremainen ruumis on äärimmäisen kova. Se kestää helposti dynamiittiräjähdyksiä vahingoittumatta.")</f>
        <v>Sen lohkaremainen ruumis on äärimmäisen kova. Se kestää helposti dynamiittiräjähdyksiä vahingoittumatta.</v>
      </c>
      <c r="C2045" s="9" t="s">
        <v>1344</v>
      </c>
    </row>
    <row r="2046" ht="33.75" customHeight="1">
      <c r="A2046" s="6" t="s">
        <v>3047</v>
      </c>
      <c r="B2046" s="6" t="str">
        <f>IFERROR(__xludf.DUMMYFUNCTION("GOOGLETRANSLATE(A2046,""en"",""fi"")"),"Kun se luopuu nahastaan, sen ruumis muuttuu pehmeäksi ja valkoiseksi. Sen nahka kovettuu, kun se altistuu ilmalle.")</f>
        <v>Kun se luopuu nahastaan, sen ruumis muuttuu pehmeäksi ja valkoiseksi. Sen nahka kovettuu, kun se altistuu ilmalle.</v>
      </c>
      <c r="C2046" s="9" t="s">
        <v>1344</v>
      </c>
    </row>
    <row r="2047" ht="33.75" customHeight="1">
      <c r="A2047" s="6" t="s">
        <v>3048</v>
      </c>
      <c r="B2047" s="6" t="str">
        <f>IFERROR(__xludf.DUMMYFUNCTION("GOOGLETRANSLATE(A2047,""en"",""fi"")"),"Se luo nahkansa kerran vuodessa. Hylätty kuori kovettuu välittömästi ja murenee pois.")</f>
        <v>Se luo nahkansa kerran vuodessa. Hylätty kuori kovettuu välittömästi ja murenee pois.</v>
      </c>
      <c r="C2047" s="9" t="s">
        <v>1344</v>
      </c>
    </row>
    <row r="2048" ht="33.75" customHeight="1">
      <c r="A2048" s="6" t="s">
        <v>3050</v>
      </c>
      <c r="B2048" s="6" t="str">
        <f>IFERROR(__xludf.DUMMYFUNCTION("GOOGLETRANSLATE(A2048,""en"",""fi"")"),"Se pystyy räjäyttämään itsensä. Se käyttää tätä räjähdysvoimaa hypätäkseen vuorelta vuorelle.")</f>
        <v>Se pystyy räjäyttämään itsensä. Se käyttää tätä räjähdysvoimaa hypätäkseen vuorelta vuorelle.</v>
      </c>
      <c r="C2048" s="9" t="s">
        <v>1344</v>
      </c>
    </row>
    <row r="2049" ht="33.75" customHeight="1">
      <c r="A2049" s="6" t="s">
        <v>3051</v>
      </c>
      <c r="B2049" s="6" t="str">
        <f>IFERROR(__xludf.DUMMYFUNCTION("GOOGLETRANSLATE(A2049,""en"",""fi"")"),"Sen kivinen ruumis on niin kestävä, että edes tehokkaat dynamiittiräjähdykset eivät naarmuta sen karua nahkaa.")</f>
        <v>Sen kivinen ruumis on niin kestävä, että edes tehokkaat dynamiittiräjähdykset eivät naarmuta sen karua nahkaa.</v>
      </c>
      <c r="C2049" s="9" t="s">
        <v>1344</v>
      </c>
    </row>
    <row r="2050" ht="33.75" customHeight="1">
      <c r="A2050" s="6" t="s">
        <v>3052</v>
      </c>
      <c r="B2050" s="6" t="str">
        <f>IFERROR(__xludf.DUMMYFUNCTION("GOOGLETRANSLATE(A2050,""en"",""fi"")"),"Golemit asuvat vuorilla. Jos tapahtuu suuri maanjäristys, nämä Pokémonit vierivät joukoittain vuorilta alas kukkuloille.")</f>
        <v>Golemit asuvat vuorilla. Jos tapahtuu suuri maanjäristys, nämä Pokémonit vierivät joukoittain vuorilta alas kukkuloille.</v>
      </c>
      <c r="C2050" s="9" t="s">
        <v>1344</v>
      </c>
    </row>
    <row r="2051" ht="33.75" customHeight="1">
      <c r="A2051" s="6" t="s">
        <v>3053</v>
      </c>
      <c r="B2051" s="6" t="str">
        <f>IFERROR(__xludf.DUMMYFUNCTION("GOOGLETRANSLATE(A2051,""en"",""fi"")"),"GOLEMit tunnetaan siitä, että ne vierivät alas vuorilta. Jotta ne eivät vieriisi ihmisten koteihin alamäkeen, vuorten rinteisiin on kaivettu uria, jotka toimivat ohjaimina tämän POKéMONin kurssin muuttamiseksi.")</f>
        <v>GOLEMit tunnetaan siitä, että ne vierivät alas vuorilta. Jotta ne eivät vieriisi ihmisten koteihin alamäkeen, vuorten rinteisiin on kaivettu uria, jotka toimivat ohjaimina tämän POKéMONin kurssin muuttamiseksi.</v>
      </c>
      <c r="C2051" s="9" t="s">
        <v>1344</v>
      </c>
    </row>
    <row r="2052" ht="33.75" customHeight="1">
      <c r="A2052" s="6" t="s">
        <v>3054</v>
      </c>
      <c r="B2052" s="6" t="str">
        <f>IFERROR(__xludf.DUMMYFUNCTION("GOOGLETRANSLATE(A2052,""en"",""fi"")"),"Sen sanotaan elävän vuorenhuippujen tulivuorenkraattereissa. Kerran vuodessa se luopuu nahastaan ​​ja kasvaa suuremmaksi. Luopunut nahka murenee ja palaa maaperään.")</f>
        <v>Sen sanotaan elävän vuorenhuippujen tulivuorenkraattereissa. Kerran vuodessa se luopuu nahastaan ​​ja kasvaa suuremmaksi. Luopunut nahka murenee ja palaa maaperään.</v>
      </c>
      <c r="C2052" s="9" t="s">
        <v>1344</v>
      </c>
    </row>
    <row r="2053" ht="33.75" customHeight="1">
      <c r="A2053" s="6" t="s">
        <v>3056</v>
      </c>
      <c r="B2053" s="6" t="str">
        <f>IFERROR(__xludf.DUMMYFUNCTION("GOOGLETRANSLATE(A2053,""en"",""fi"")"),"Se on suljettu kovaan kuoreen, joka on yhtä karu kuin kivilaatat. Se luopuu nahastaan ​​kerran vuodessa kasvaakseen suuremmaksi.")</f>
        <v>Se on suljettu kovaan kuoreen, joka on yhtä karu kuin kivilaatat. Se luopuu nahastaan ​​kerran vuodessa kasvaakseen suuremmaksi.</v>
      </c>
      <c r="C2053" s="9" t="s">
        <v>1344</v>
      </c>
    </row>
    <row r="2054" ht="33.75" customHeight="1">
      <c r="A2054" s="6" t="s">
        <v>3057</v>
      </c>
      <c r="B2054" s="6" t="str">
        <f>IFERROR(__xludf.DUMMYFUNCTION("GOOGLETRANSLATE(A2054,""en"",""fi"")"),"Sen lohkaremainen ruumis on äärimmäisen kova. Se kestää helposti dynamiittiräjähdyksiä vaurioitumatta.")</f>
        <v>Sen lohkaremainen ruumis on äärimmäisen kova. Se kestää helposti dynamiittiräjähdyksiä vaurioitumatta.</v>
      </c>
      <c r="C2054" s="9" t="s">
        <v>1344</v>
      </c>
    </row>
    <row r="2055" ht="33.75" customHeight="1">
      <c r="A2055" s="6" t="s">
        <v>3059</v>
      </c>
      <c r="B2055" s="6" t="str">
        <f>IFERROR(__xludf.DUMMYFUNCTION("GOOGLETRANSLATE(A2055,""en"",""fi"")"),"Se luo nahansa kerran vuodessa. Sen lohkaremainen ruumis on niin sitkeä, ettei edes dynamiitti voi vahingoittaa sitä.")</f>
        <v>Se luo nahansa kerran vuodessa. Sen lohkaremainen ruumis on niin sitkeä, ettei edes dynamiitti voi vahingoittaa sitä.</v>
      </c>
      <c r="C2055" s="9" t="s">
        <v>1344</v>
      </c>
    </row>
    <row r="2056" ht="33.75" customHeight="1">
      <c r="A2056" s="6" t="s">
        <v>3061</v>
      </c>
      <c r="B2056" s="6" t="str">
        <f>IFERROR(__xludf.DUMMYFUNCTION("GOOGLETRANSLATE(A2056,""en"",""fi"")"),"Se syöksyy alas vuoria jättäen uria huipulta juurelle. Pysy kaukana näistä urista.")</f>
        <v>Se syöksyy alas vuoria jättäen uria huipulta juurelle. Pysy kaukana näistä urista.</v>
      </c>
      <c r="C2056" s="9" t="s">
        <v>1344</v>
      </c>
    </row>
    <row r="2057" ht="33.75" customHeight="1">
      <c r="A2057" s="6" t="s">
        <v>3063</v>
      </c>
      <c r="B2057" s="6" t="str">
        <f>IFERROR(__xludf.DUMMYFUNCTION("GOOGLETRANSLATE(A2057,""en"",""fi"")"),"Edes dynamiitti ei voi vahingoittaa sen kovaa, lohkaremaista ruumista. Se luo nahansa vain kerran vuodessa.")</f>
        <v>Edes dynamiitti ei voi vahingoittaa sen kovaa, lohkaremaista ruumista. Se luo nahansa vain kerran vuodessa.</v>
      </c>
      <c r="C2057" s="9" t="s">
        <v>1344</v>
      </c>
    </row>
    <row r="2058" ht="33.75" customHeight="1">
      <c r="A2058" s="6" t="s">
        <v>3065</v>
      </c>
      <c r="B2058" s="6" t="str">
        <f>IFERROR(__xludf.DUMMYFUNCTION("GOOGLETRANSLATE(A2058,""en"",""fi"")"),"Se luo nahkansa kerran vuodessa. Hylätty kuori kovettuu ja murenee heti pois.")</f>
        <v>Se luo nahkansa kerran vuodessa. Hylätty kuori kovettuu ja murenee heti pois.</v>
      </c>
      <c r="C2058" s="9" t="s">
        <v>1344</v>
      </c>
    </row>
    <row r="2059" ht="33.75" customHeight="1">
      <c r="A2059" s="6" t="s">
        <v>3067</v>
      </c>
      <c r="B2059" s="6" t="str">
        <f>IFERROR(__xludf.DUMMYFUNCTION("GOOGLETRANSLATE(A2059,""en"",""fi"")"),"Edes dynamiitti ei voi vahingoittaa sen kovaa, lohkaremaista ruumista. Se luopuu nahastaan ​​vain kerran vuodessa.")</f>
        <v>Edes dynamiitti ei voi vahingoittaa sen kovaa, lohkaremaista ruumista. Se luopuu nahastaan ​​vain kerran vuodessa.</v>
      </c>
      <c r="C2059" s="9" t="s">
        <v>1344</v>
      </c>
    </row>
    <row r="2060" ht="33.75" customHeight="1">
      <c r="A2060" s="6" t="s">
        <v>3068</v>
      </c>
      <c r="B2060" s="6" t="str">
        <f>IFERROR(__xludf.DUMMYFUNCTION("GOOGLETRANSLATE(A2060,""en"",""fi"")"),"Golemit asuvat vuorilla. Jos tapahtuu suuri maanjäristys, nämä Pokémonit vierivät vuorilta joukoittain alas kukkuloille.")</f>
        <v>Golemit asuvat vuorilla. Jos tapahtuu suuri maanjäristys, nämä Pokémonit vierivät vuorilta joukoittain alas kukkuloille.</v>
      </c>
      <c r="C2060" s="9" t="s">
        <v>1344</v>
      </c>
    </row>
    <row r="2061" ht="33.75" customHeight="1">
      <c r="A2061" s="6" t="s">
        <v>3069</v>
      </c>
      <c r="B2061" s="6" t="str">
        <f>IFERROR(__xludf.DUMMYFUNCTION("GOOGLETRANSLATE(A2061,""en"",""fi"")"),"Golemit tunnetaan vuorilta alas vierimisestä. Jotta ne eivät vieriisi ihmisten koteihin alamäkeen, vuorten rinteisiin on kaivettu uria, jotka toimivat ohjaimina tämän Pokémonin kurssin muuttamiseksi.")</f>
        <v>Golemit tunnetaan vuorilta alas vierimisestä. Jotta ne eivät vieriisi ihmisten koteihin alamäkeen, vuorten rinteisiin on kaivettu uria, jotka toimivat ohjaimina tämän Pokémonin kurssin muuttamiseksi.</v>
      </c>
      <c r="C2061" s="9" t="s">
        <v>1344</v>
      </c>
    </row>
    <row r="2062" ht="33.75" customHeight="1">
      <c r="A2062" s="6" t="s">
        <v>3071</v>
      </c>
      <c r="B2062" s="6" t="str">
        <f>IFERROR(__xludf.DUMMYFUNCTION("GOOGLETRANSLATE(A2062,""en"",""fi"")"),"Sen ruumis selviää dynamiittiräjähdyksistä naarmutta, mutta se vihaa sadetta ja kosteutta.")</f>
        <v>Sen ruumis selviää dynamiittiräjähdyksistä naarmutta, mutta se vihaa sadetta ja kosteutta.</v>
      </c>
      <c r="C2062" s="9" t="s">
        <v>1344</v>
      </c>
    </row>
    <row r="2063" ht="33.75" customHeight="1">
      <c r="A2063" s="6" t="s">
        <v>3076</v>
      </c>
      <c r="B2063" s="6" t="str">
        <f>IFERROR(__xludf.DUMMYFUNCTION("GOOGLETRANSLATE(A2063,""en"",""fi"")"),"Kerran vuodessa tämä Pokémon luopuu nahastaan, ja sen pudonnut kuori palaa maaperään. Tämä prosessi rikastuttaa maaperää, joten maanviljelijät keräävät kuoret.")</f>
        <v>Kerran vuodessa tämä Pokémon luopuu nahastaan, ja sen pudonnut kuori palaa maaperään. Tämä prosessi rikastuttaa maaperää, joten maanviljelijät keräävät kuoret.</v>
      </c>
      <c r="C2063" s="9" t="s">
        <v>1344</v>
      </c>
    </row>
    <row r="2064" ht="33.75" customHeight="1">
      <c r="A2064" s="6" t="s">
        <v>3077</v>
      </c>
      <c r="B2064" s="6" t="str">
        <f>IFERROR(__xludf.DUMMYFUNCTION("GOOGLETRANSLATE(A2064,""en"",""fi"")"),"Kun golemit vanhenevat, ne lopettavat kuorien pudottamisen. Niiden, jotka ovat eläneet pitkään, pitkään, kuoret ovat sammaleenvihreitä.")</f>
        <v>Kun golemit vanhenevat, ne lopettavat kuorien pudottamisen. Niiden, jotka ovat eläneet pitkään, pitkään, kuoret ovat sammaleenvihreitä.</v>
      </c>
      <c r="C2064" s="9" t="s">
        <v>1344</v>
      </c>
    </row>
    <row r="2065" ht="33.75" customHeight="1">
      <c r="A2065" s="6" t="s">
        <v>3079</v>
      </c>
      <c r="B2065" s="6" t="str">
        <f>IFERROR(__xludf.DUMMYFUNCTION("GOOGLETRANSLATE(A2065,""en"",""fi"")"),"Se räjäyttää oman ruumiinsa. Räjähdyksen voima voi siivittää sen jyrkkiä vuoristopolkuja ylös uskomattomalla nopeudella.")</f>
        <v>Se räjäyttää oman ruumiinsa. Räjähdyksen voima voi siivittää sen jyrkkiä vuoristopolkuja ylös uskomattomalla nopeudella.</v>
      </c>
      <c r="C2065" s="9" t="s">
        <v>1344</v>
      </c>
    </row>
    <row r="2066" ht="33.75" customHeight="1">
      <c r="A2066" s="6" t="s">
        <v>3081</v>
      </c>
      <c r="B2066" s="6" t="str">
        <f>IFERROR(__xludf.DUMMYFUNCTION("GOOGLETRANSLATE(A2066,""en"",""fi"")"),"Kun se luopuu nahastaan, sen ruumis muuttuu pehmeäksi ja valkoiseksi. Sen nahka kovettuu, kun se altistuu ilmalle.")</f>
        <v>Kun se luopuu nahastaan, sen ruumis muuttuu pehmeäksi ja valkoiseksi. Sen nahka kovettuu, kun se altistuu ilmalle.</v>
      </c>
      <c r="C2066" s="9" t="s">
        <v>1344</v>
      </c>
    </row>
    <row r="2067" ht="33.75" customHeight="1">
      <c r="A2067" s="6" t="s">
        <v>3083</v>
      </c>
      <c r="B2067" s="6" t="str">
        <f>IFERROR(__xludf.DUMMYFUNCTION("GOOGLETRANSLATE(A2067,""en"",""fi"")"),"Kivimäinen kuori irtoaa joka vuosi. Irronnut kuori murenee sitten ja palautuu multamassaksi, jota voidaan levittää pelloille kasvien kasvun edistämiseksi.")</f>
        <v>Kivimäinen kuori irtoaa joka vuosi. Irronnut kuori murenee sitten ja palautuu multamassaksi, jota voidaan levittää pelloille kasvien kasvun edistämiseksi.</v>
      </c>
      <c r="C2067" s="9" t="s">
        <v>1344</v>
      </c>
    </row>
    <row r="2068" ht="33.75" customHeight="1">
      <c r="A2068" s="6" t="s">
        <v>3085</v>
      </c>
      <c r="B2068" s="6" t="str">
        <f>IFERROR(__xludf.DUMMYFUNCTION("GOOGLETRANSLATE(A2068,""en"",""fi"")"),"Sen kaviot ovat 10 kertaa kovemmat kuin timantit. Se voi tallata minkä tahansa täysin tasaiseksi lyhyessä ajassa.")</f>
        <v>Sen kaviot ovat 10 kertaa kovemmat kuin timantit. Se voi tallata minkä tahansa täysin tasaiseksi lyhyessä ajassa.</v>
      </c>
      <c r="C2068" s="9" t="s">
        <v>1344</v>
      </c>
    </row>
    <row r="2069" ht="33.75" customHeight="1">
      <c r="A2069" s="6" t="s">
        <v>3087</v>
      </c>
      <c r="B2069" s="6" t="str">
        <f>IFERROR(__xludf.DUMMYFUNCTION("GOOGLETRANSLATE(A2069,""en"",""fi"")"),"Kykenee hyppäämään uskomattoman korkealle. Sen kaviot ja tukevat jalat vaimentavat kovan laskeutumisen iskuja.")</f>
        <v>Kykenee hyppäämään uskomattoman korkealle. Sen kaviot ja tukevat jalat vaimentavat kovan laskeutumisen iskuja.</v>
      </c>
      <c r="C2069" s="9" t="s">
        <v>1344</v>
      </c>
    </row>
    <row r="2070" ht="33.75" customHeight="1">
      <c r="A2070" s="6" t="s">
        <v>3088</v>
      </c>
      <c r="B2070" s="6" t="str">
        <f>IFERROR(__xludf.DUMMYFUNCTION("GOOGLETRANSLATE(A2070,""en"",""fi"")"),"Se on heikko juoksuherra heti syntymän jälkeen. Se muuttuu vähitellen nopeammaksi jahdaamalla vanhempiaan.")</f>
        <v>Se on heikko juoksuherra heti syntymän jälkeen. Se muuttuu vähitellen nopeammaksi jahdaamalla vanhempiaan.</v>
      </c>
      <c r="C2070" s="9" t="s">
        <v>1344</v>
      </c>
    </row>
    <row r="2071" ht="33.75" customHeight="1">
      <c r="A2071" s="6" t="s">
        <v>3089</v>
      </c>
      <c r="B2071" s="6" t="str">
        <f>IFERROR(__xludf.DUMMYFUNCTION("GOOGLETRANSLATE(A2071,""en"",""fi"")"),"Sen takajalat, joissa on timanttiakin kovat kaviot, potkaisevat taaksepäin kaiken, minkä se aistii takanaan.")</f>
        <v>Sen takajalat, joissa on timanttiakin kovat kaviot, potkaisevat taaksepäin kaiken, minkä se aistii takanaan.</v>
      </c>
      <c r="C2071" s="9" t="s">
        <v>1344</v>
      </c>
    </row>
    <row r="2072" ht="33.75" customHeight="1">
      <c r="A2072" s="6" t="s">
        <v>3091</v>
      </c>
      <c r="B2072" s="6" t="str">
        <f>IFERROR(__xludf.DUMMYFUNCTION("GOOGLETRANSLATE(A2072,""en"",""fi"")"),"Päivä päivältä pidemmäksi kasvavan ruohon yli hyppiminen on tehnyt siitä maailmanluokan hyppääjän.")</f>
        <v>Päivä päivältä pidemmäksi kasvavan ruohon yli hyppiminen on tehnyt siitä maailmanluokan hyppääjän.</v>
      </c>
      <c r="C2072" s="9" t="s">
        <v>1344</v>
      </c>
    </row>
    <row r="2073" ht="33.75" customHeight="1">
      <c r="A2073" s="6" t="s">
        <v>3093</v>
      </c>
      <c r="B2073" s="6" t="str">
        <f>IFERROR(__xludf.DUMMYFUNCTION("GOOGLETRANSLATE(A2073,""en"",""fi"")"),"PONYTA on syntyessään hyvin heikko. Se pystyy tuskin seisomaan. Tämä POKéMON vahvistuu kompuroimalla ja kaatumalla pysyäkseen vanhempansa vauhdissa.")</f>
        <v>PONYTA on syntyessään hyvin heikko. Se pystyy tuskin seisomaan. Tämä POKéMON vahvistuu kompuroimalla ja kaatumalla pysyäkseen vanhempansa vauhdissa.</v>
      </c>
      <c r="C2073" s="9" t="s">
        <v>1344</v>
      </c>
    </row>
    <row r="2074" ht="33.75" customHeight="1">
      <c r="A2074" s="6" t="s">
        <v>3094</v>
      </c>
      <c r="B2074" s="6" t="str">
        <f>IFERROR(__xludf.DUMMYFUNCTION("GOOGLETRANSLATE(A2074,""en"",""fi"")"),"Ponyta on syntyessään hyvin heikko. Se pystyy tuskin seisomaan. Sen jalat vahvistuvat, kun se kompastelee ja kaatuu yrittäessään pysyä vanhempansa vauhdissa.")</f>
        <v>Ponyta on syntyessään hyvin heikko. Se pystyy tuskin seisomaan. Sen jalat vahvistuvat, kun se kompastelee ja kaatuu yrittäessään pysyä vanhempansa vauhdissa.</v>
      </c>
      <c r="C2074" s="9" t="s">
        <v>1344</v>
      </c>
    </row>
    <row r="2075" ht="33.75" customHeight="1">
      <c r="A2075" s="6" t="s">
        <v>3096</v>
      </c>
      <c r="B2075" s="6" t="str">
        <f>IFERROR(__xludf.DUMMYFUNCTION("GOOGLETRANSLATE(A2075,""en"",""fi"")"),"Sen ruumis on kevyt ja jalat uskomattoman voimakkaat. Se voi ylittää Ayers Rockin yhdellä loikalla.")</f>
        <v>Sen ruumis on kevyt ja jalat uskomattoman voimakkaat. Se voi ylittää Ayers Rockin yhdellä loikalla.</v>
      </c>
      <c r="C2075" s="9" t="s">
        <v>1344</v>
      </c>
    </row>
    <row r="2076" ht="33.75" customHeight="1">
      <c r="A2076" s="6" t="s">
        <v>3097</v>
      </c>
      <c r="B2076" s="6" t="str">
        <f>IFERROR(__xludf.DUMMYFUNCTION("GOOGLETRANSLATE(A2076,""en"",""fi"")"),"Sen kaviot ovat kymmenen kertaa kovemmat kuin timantti. Se voi tallata minkä tahansa täysin tasaiseksi lyhyessä ajassa.")</f>
        <v>Sen kaviot ovat kymmenen kertaa kovemmat kuin timantti. Se voi tallata minkä tahansa täysin tasaiseksi lyhyessä ajassa.</v>
      </c>
      <c r="C2076" s="9" t="s">
        <v>1344</v>
      </c>
    </row>
    <row r="2077" ht="33.75" customHeight="1">
      <c r="A2077" s="6" t="s">
        <v>3099</v>
      </c>
      <c r="B2077" s="6" t="str">
        <f>IFERROR(__xludf.DUMMYFUNCTION("GOOGLETRANSLATE(A2077,""en"",""fi"")"),"Noin tunnin kuluttua syntymästä sen tulinen harja ja häntä kasvavat ulos, mikä antaa sille vaikuttavan ulkonäön.")</f>
        <v>Noin tunnin kuluttua syntymästä sen tulinen harja ja häntä kasvavat ulos, mikä antaa sille vaikuttavan ulkonäön.</v>
      </c>
      <c r="C2077" s="9" t="s">
        <v>1344</v>
      </c>
    </row>
    <row r="2078" ht="33.75" customHeight="1">
      <c r="A2078" s="6" t="s">
        <v>3100</v>
      </c>
      <c r="B2078" s="6" t="str">
        <f>IFERROR(__xludf.DUMMYFUNCTION("GOOGLETRANSLATE(A2078,""en"",""fi"")"),"Sen jalat vahvistuvat sen jahdatessa vanhempaansa. Se juoksee pelloilla ja vuorilla koko päivän.")</f>
        <v>Sen jalat vahvistuvat sen jahdatessa vanhempaansa. Se juoksee pelloilla ja vuorilla koko päivän.</v>
      </c>
      <c r="C2078" s="9" t="s">
        <v>1344</v>
      </c>
    </row>
    <row r="2079" ht="33.75" customHeight="1">
      <c r="A2079" s="6" t="s">
        <v>3102</v>
      </c>
      <c r="B2079" s="6" t="str">
        <f>IFERROR(__xludf.DUMMYFUNCTION("GOOGLETRANSLATE(A2079,""en"",""fi"")"),"Vastasyntyneenä se pystyy tuskin seisomaan. Laukan myötä sen jalat kuitenkin vahvistuvat ja nopeutuvat.")</f>
        <v>Vastasyntyneenä se pystyy tuskin seisomaan. Laukan myötä sen jalat kuitenkin vahvistuvat ja nopeutuvat.</v>
      </c>
      <c r="C2079" s="9" t="s">
        <v>1344</v>
      </c>
    </row>
    <row r="2080" ht="33.75" customHeight="1">
      <c r="A2080" s="6" t="s">
        <v>3103</v>
      </c>
      <c r="B2080" s="6" t="str">
        <f>IFERROR(__xludf.DUMMYFUNCTION("GOOGLETRANSLATE(A2080,""en"",""fi"")"),"Se on heikko juoksija heti syntymänsä jälkeen. Se nopeutuu vähitellen jahtaamalla vanhempiaan.")</f>
        <v>Se on heikko juoksija heti syntymänsä jälkeen. Se nopeutuu vähitellen jahtaamalla vanhempiaan.</v>
      </c>
      <c r="C2080" s="9" t="s">
        <v>1344</v>
      </c>
    </row>
    <row r="2081" ht="33.75" customHeight="1">
      <c r="A2081" s="6" t="s">
        <v>3104</v>
      </c>
      <c r="B2081" s="6" t="str">
        <f>IFERROR(__xludf.DUMMYFUNCTION("GOOGLETRANSLATE(A2081,""en"",""fi"")"),"Sen takajalat, joiden kaviot ovat timanttia kovemmat, potkaisevat taaksepäin kaiken, minkä se aistii takanaan.")</f>
        <v>Sen takajalat, joiden kaviot ovat timanttia kovemmat, potkaisevat taaksepäin kaiken, minkä se aistii takanaan.</v>
      </c>
      <c r="C2081" s="9" t="s">
        <v>1344</v>
      </c>
    </row>
    <row r="2082" ht="33.75" customHeight="1">
      <c r="A2082" s="6" t="s">
        <v>3105</v>
      </c>
      <c r="B2082" s="6" t="str">
        <f>IFERROR(__xludf.DUMMYFUNCTION("GOOGLETRANSLATE(A2082,""en"",""fi"")"),"Ponyta on syntyessään hyvin heikko. Se pystyy tuskin seisomaan. Tämä Pokémon vahvistuu kompuroimalla ja kaatumalla pysyäkseen vanhempansa vauhdissa.")</f>
        <v>Ponyta on syntyessään hyvin heikko. Se pystyy tuskin seisomaan. Tämä Pokémon vahvistuu kompuroimalla ja kaatumalla pysyäkseen vanhempansa vauhdissa.</v>
      </c>
      <c r="C2082" s="9" t="s">
        <v>1344</v>
      </c>
    </row>
    <row r="2083" ht="33.75" customHeight="1">
      <c r="A2083" s="6" t="s">
        <v>3106</v>
      </c>
      <c r="B2083" s="6" t="str">
        <f>IFERROR(__xludf.DUMMYFUNCTION("GOOGLETRANSLATE(A2083,""en"",""fi"")"),"Se ei pysty juoksemaan kunnolla vastasyntyneenä. Kun se kilpailee muiden lajitovereidensa kanssa, sen jalat vahvistuvat.")</f>
        <v>Se ei pysty juoksemaan kunnolla vastasyntyneenä. Kun se kilpailee muiden lajitovereidensa kanssa, sen jalat vahvistuvat.</v>
      </c>
      <c r="C2083" s="9" t="s">
        <v>1344</v>
      </c>
    </row>
    <row r="2084" ht="33.75" customHeight="1">
      <c r="A2084" s="6" t="s">
        <v>3107</v>
      </c>
      <c r="B2084" s="6" t="str">
        <f>IFERROR(__xludf.DUMMYFUNCTION("GOOGLETRANSLATE(A2084,""en"",""fi"")"),"Jos Ponyta on hyväksynyt sinut, sen palava harja ei ole mystisesti enää kuuma koskettaa.")</f>
        <v>Jos Ponyta on hyväksynyt sinut, sen palava harja ei ole mystisesti enää kuuma koskettaa.</v>
      </c>
      <c r="C2084" s="9" t="s">
        <v>1344</v>
      </c>
    </row>
    <row r="2085" ht="33.75" customHeight="1">
      <c r="A2085" s="6" t="s">
        <v>3108</v>
      </c>
      <c r="B2085" s="6" t="str">
        <f>IFERROR(__xludf.DUMMYFUNCTION("GOOGLETRANSLATE(A2085,""en"",""fi"")"),"Nämä Pokémonit elävät laumoissa ruohoalueilla. Vastasyntyneiltä varsoilta puuttuu tulisi harja, joka kehittyy noin tunnin kuluttua syntymästä.")</f>
        <v>Nämä Pokémonit elävät laumoissa ruohoalueilla. Vastasyntyneiltä varsoilta puuttuu tulisi harja, joka kehittyy noin tunnin kuluttua syntymästä.</v>
      </c>
      <c r="C2085" s="9" t="s">
        <v>1344</v>
      </c>
    </row>
    <row r="2086" ht="33.75" customHeight="1">
      <c r="A2086" s="6" t="s">
        <v>3109</v>
      </c>
      <c r="B2086" s="6" t="str">
        <f>IFERROR(__xludf.DUMMYFUNCTION("GOOGLETRANSLATE(A2086,""en"",""fi"")"),"Tämä erittäin kilpailuhenkinen POKéMON jahtaa kaikkea nopeasti liikkuvaa toivoen pääsevänsä kilpailemaan sen kanssa.")</f>
        <v>Tämä erittäin kilpailuhenkinen POKéMON jahtaa kaikkea nopeasti liikkuvaa toivoen pääsevänsä kilpailemaan sen kanssa.</v>
      </c>
      <c r="C2086" s="9" t="s">
        <v>1344</v>
      </c>
    </row>
    <row r="2087" ht="33.75" customHeight="1">
      <c r="A2087" s="6" t="s">
        <v>3110</v>
      </c>
      <c r="B2087" s="6" t="str">
        <f>IFERROR(__xludf.DUMMYFUNCTION("GOOGLETRANSLATE(A2087,""en"",""fi"")"),"Rakastaa vain juoksemista. Jos se näkee jotakin itseään nopeampaa, se lähtee takaa täyttä vauhtia.")</f>
        <v>Rakastaa vain juoksemista. Jos se näkee jotakin itseään nopeampaa, se lähtee takaa täyttä vauhtia.</v>
      </c>
      <c r="C2087" s="9" t="s">
        <v>1344</v>
      </c>
    </row>
    <row r="2088" ht="33.75" customHeight="1">
      <c r="A2088" s="6" t="s">
        <v>3111</v>
      </c>
      <c r="B2088" s="6" t="str">
        <f>IFERROR(__xludf.DUMMYFUNCTION("GOOGLETRANSLATE(A2088,""en"",""fi"")"),"Täydessä laukassa sen neljä kaviota tuskin koskettavat maata, koska se liikkuu niin uskomattoman nopeasti.")</f>
        <v>Täydessä laukassa sen neljä kaviota tuskin koskettavat maata, koska se liikkuu niin uskomattoman nopeasti.</v>
      </c>
      <c r="C2088" s="9" t="s">
        <v>1344</v>
      </c>
    </row>
    <row r="2089" ht="33.75" customHeight="1">
      <c r="A2089" s="6" t="s">
        <v>3112</v>
      </c>
      <c r="B2089" s="6" t="str">
        <f>IFERROR(__xludf.DUMMYFUNCTION("GOOGLETRANSLATE(A2089,""en"",""fi"")"),"Uskomattoman kiihtyvyyden ansiosta se saavuttaa huippunopeutensa 240 km/h vain kymmenen askeleen juostuaan.")</f>
        <v>Uskomattoman kiihtyvyyden ansiosta se saavuttaa huippunopeutensa 240 km/h vain kymmenen askeleen juostuaan.</v>
      </c>
      <c r="C2089" s="9" t="s">
        <v>1344</v>
      </c>
    </row>
    <row r="2090" ht="33.75" customHeight="1">
      <c r="A2090" s="6" t="s">
        <v>3113</v>
      </c>
      <c r="B2090" s="6" t="str">
        <f>IFERROR(__xludf.DUMMYFUNCTION("GOOGLETRANSLATE(A2090,""en"",""fi"")"),"Se rakastaa laukkaa. Mitä nopeammin se juoksee, sitä pidemmiksi sen harjan liehuvat liekit venyvät.")</f>
        <v>Se rakastaa laukkaa. Mitä nopeammin se juoksee, sitä pidemmiksi sen harjan liehuvat liekit venyvät.</v>
      </c>
      <c r="C2090" s="9" t="s">
        <v>1344</v>
      </c>
    </row>
    <row r="2091" ht="33.75" customHeight="1">
      <c r="A2091" s="6" t="s">
        <v>3114</v>
      </c>
      <c r="B2091" s="6" t="str">
        <f>IFERROR(__xludf.DUMMYFUNCTION("GOOGLETRANSLATE(A2091,""en"",""fi"")"),"RAPIDASHin näkee yleensä laukkaamassa pelloilla ja tasangoilla. Kuitenkin, kun tämä POKéMON vakavastuu, sen tulinen harja leimahtaa ja roihuaa sen laukatessa jopa 240 km/h nopeuteen.")</f>
        <v>RAPIDASHin näkee yleensä laukkaamassa pelloilla ja tasangoilla. Kuitenkin, kun tämä POKéMON vakavastuu, sen tulinen harja leimahtaa ja roihuaa sen laukatessa jopa 240 km/h nopeuteen.</v>
      </c>
      <c r="C2091" s="9" t="s">
        <v>1344</v>
      </c>
    </row>
    <row r="2092" ht="33.75" customHeight="1">
      <c r="A2092" s="6" t="s">
        <v>3115</v>
      </c>
      <c r="B2092" s="6" t="str">
        <f>IFERROR(__xludf.DUMMYFUNCTION("GOOGLETRANSLATE(A2092,""en"",""fi"")"),"Se yleensä laukkaa huolettomasti pelloilla ja tasangoilla. Mutta kun RAPIDASH muuttuu vakavaksi, sen tulinen harja leimahtaa ja roihuaa sen laukatessa jopa 240 km/h nopeuteen.")</f>
        <v>Se yleensä laukkaa huolettomasti pelloilla ja tasangoilla. Mutta kun RAPIDASH muuttuu vakavaksi, sen tulinen harja leimahtaa ja roihuaa sen laukatessa jopa 240 km/h nopeuteen.</v>
      </c>
      <c r="C2092" s="9" t="s">
        <v>1344</v>
      </c>
    </row>
    <row r="2093" ht="33.75" customHeight="1">
      <c r="A2093" s="6" t="s">
        <v>3116</v>
      </c>
      <c r="B2093" s="6" t="str">
        <f>IFERROR(__xludf.DUMMYFUNCTION("GOOGLETRANSLATE(A2093,""en"",""fi"")"),"Se voi laukkaa huippunopeudella 240 kilometriä tunnissa. Se voi kiitää yhtä nopeasti kuin luotijuna liekeissä.")</f>
        <v>Se voi laukkaa huippunopeudella 240 kilometriä tunnissa. Se voi kiitää yhtä nopeasti kuin luotijuna liekeissä.</v>
      </c>
      <c r="C2093" s="9" t="s">
        <v>1344</v>
      </c>
    </row>
    <row r="2094" ht="33.75" customHeight="1">
      <c r="A2094" s="6" t="s">
        <v>3117</v>
      </c>
      <c r="B2094" s="6" t="str">
        <f>IFERROR(__xludf.DUMMYFUNCTION("GOOGLETRANSLATE(A2094,""en"",""fi"")"),"Se laukkaa lähes 240 km/h nopeudella. Raivokkaasti liekehtivä harja se kiitää kuin nuoli.")</f>
        <v>Se laukkaa lähes 240 km/h nopeudella. Raivokkaasti liekehtivä harja se kiitää kuin nuoli.</v>
      </c>
      <c r="C2094" s="9" t="s">
        <v>1344</v>
      </c>
    </row>
    <row r="2095" ht="33.75" customHeight="1">
      <c r="A2095" s="6" t="s">
        <v>3118</v>
      </c>
      <c r="B2095" s="6" t="str">
        <f>IFERROR(__xludf.DUMMYFUNCTION("GOOGLETRANSLATE(A2095,""en"",""fi"")"),"Sen kiihtyvyys on hämmästyttävä. Se saavuttaa huippunopeuden paikaltaan 10 vaiheessa.")</f>
        <v>Sen kiihtyvyys on hämmästyttävä. Se saavuttaa huippunopeuden paikaltaan 10 vaiheessa.</v>
      </c>
      <c r="C2095" s="9" t="s">
        <v>1344</v>
      </c>
    </row>
    <row r="2096" ht="33.75" customHeight="1">
      <c r="A2096" s="6" t="s">
        <v>3119</v>
      </c>
      <c r="B2096" s="6" t="str">
        <f>IFERROR(__xludf.DUMMYFUNCTION("GOOGLETRANSLATE(A2096,""en"",""fi"")"),"Kun se laukkaa täysillä, sen liekehtivä harja kimaltelee ja korostaa sen kaunista ulkonäköä.")</f>
        <v>Kun se laukkaa täysillä, sen liekehtivä harja kimaltelee ja korostaa sen kaunista ulkonäköä.</v>
      </c>
      <c r="C2096" s="9" t="s">
        <v>1344</v>
      </c>
    </row>
    <row r="2097" ht="33.75" customHeight="1">
      <c r="A2097" s="6" t="s">
        <v>3120</v>
      </c>
      <c r="B2097" s="6" t="str">
        <f>IFERROR(__xludf.DUMMYFUNCTION("GOOGLETRANSLATE(A2097,""en"",""fi"")"),"Täydessä laukassa sen neljä kaviota tuskin koskettavat maata, koska se liikkuu niin uskomattoman nopeasti.")</f>
        <v>Täydessä laukassa sen neljä kaviota tuskin koskettavat maata, koska se liikkuu niin uskomattoman nopeasti.</v>
      </c>
      <c r="C2097" s="9" t="s">
        <v>1344</v>
      </c>
    </row>
    <row r="2098" ht="33.75" customHeight="1">
      <c r="A2098" s="6" t="s">
        <v>3121</v>
      </c>
      <c r="B2098" s="6" t="str">
        <f>IFERROR(__xludf.DUMMYFUNCTION("GOOGLETRANSLATE(A2098,""en"",""fi"")"),"Uskomattoman kiihtyvyyden ansiosta se saavuttaa huippunopeutensa 240 km/h vain 10 askeleen juostuaan.")</f>
        <v>Uskomattoman kiihtyvyyden ansiosta se saavuttaa huippunopeutensa 240 km/h vain 10 askeleen juostuaan.</v>
      </c>
      <c r="C2098" s="9" t="s">
        <v>1344</v>
      </c>
    </row>
    <row r="2099" ht="33.75" customHeight="1">
      <c r="A2099" s="6" t="s">
        <v>3123</v>
      </c>
      <c r="B2099" s="6" t="str">
        <f>IFERROR(__xludf.DUMMYFUNCTION("GOOGLETRANSLATE(A2099,""en"",""fi"")"),"Tämä kilpailuhenkinen Pokémon jahtaa kaikkea nopeasti liikkuvaa toivoen pääsevänsä kilpailemaan sen kanssa.")</f>
        <v>Tämä kilpailuhenkinen Pokémon jahtaa kaikkea nopeasti liikkuvaa toivoen pääsevänsä kilpailemaan sen kanssa.</v>
      </c>
      <c r="C2099" s="9" t="s">
        <v>1344</v>
      </c>
    </row>
    <row r="2100" ht="33.75" customHeight="1">
      <c r="A2100" s="6" t="s">
        <v>3124</v>
      </c>
      <c r="B2100" s="6" t="str">
        <f>IFERROR(__xludf.DUMMYFUNCTION("GOOGLETRANSLATE(A2100,""en"",""fi"")"),"Rapidashin näkee yleensä laukkaamassa pelloilla ja tasangoilla. Kuitenkin, kun tämä Pokémon vakavastuu, sen tulinen harja leimahtaa ja roihuaa sen laukatessa jopa 240 km/h nopeuteen.")</f>
        <v>Rapidashin näkee yleensä laukkaamassa pelloilla ja tasangoilla. Kuitenkin, kun tämä Pokémon vakavastuu, sen tulinen harja leimahtaa ja roihuaa sen laukatessa jopa 240 km/h nopeuteen.</v>
      </c>
      <c r="C2100" s="9" t="s">
        <v>1344</v>
      </c>
    </row>
    <row r="2101" ht="33.75" customHeight="1">
      <c r="A2101" s="6" t="s">
        <v>3125</v>
      </c>
      <c r="B2101" s="6" t="str">
        <f>IFERROR(__xludf.DUMMYFUNCTION("GOOGLETRANSLATE(A2101,""en"",""fi"")"),"Rakastaa vain juoksemista. Jos se näkee jotakin itseään nopeampaa, se lähtee takaa-ajoon täydellä vauhdilla.")</f>
        <v>Rakastaa vain juoksemista. Jos se näkee jotakin itseään nopeampaa, se lähtee takaa-ajoon täydellä vauhdilla.</v>
      </c>
      <c r="C2101" s="9" t="s">
        <v>1344</v>
      </c>
    </row>
    <row r="2102" ht="33.75" customHeight="1">
      <c r="A2102" s="6" t="s">
        <v>3126</v>
      </c>
      <c r="B2102" s="6" t="str">
        <f>IFERROR(__xludf.DUMMYFUNCTION("GOOGLETRANSLATE(A2102,""en"",""fi"")"),"Tämän Pokémonin voi nähdä laukkaavan peltojen läpi jopa 240 km/h nopeudella, sen tulinen harja lepattellen tuulessa.")</f>
        <v>Tämän Pokémonin voi nähdä laukkaavan peltojen läpi jopa 240 km/h nopeudella, sen tulinen harja lepattellen tuulessa.</v>
      </c>
      <c r="C2102" s="9" t="s">
        <v>1344</v>
      </c>
    </row>
    <row r="2103" ht="33.75" customHeight="1">
      <c r="A2103" s="6" t="s">
        <v>3128</v>
      </c>
      <c r="B2103" s="6" t="str">
        <f>IFERROR(__xludf.DUMMYFUNCTION("GOOGLETRANSLATE(A2103,""en"",""fi"")"),"Nopein juoksija ryhtyy johtajaksi, ja se määrää lauman vauhdin ja suunnan.")</f>
        <v>Nopein juoksija ryhtyy johtajaksi, ja se määrää lauman vauhdin ja suunnan.</v>
      </c>
      <c r="C2103" s="9" t="s">
        <v>1344</v>
      </c>
    </row>
    <row r="2104" ht="33.75" customHeight="1">
      <c r="A2104" s="6" t="s">
        <v>3129</v>
      </c>
      <c r="B2104" s="6" t="str">
        <f>IFERROR(__xludf.DUMMYFUNCTION("GOOGLETRANSLATE(A2104,""en"",""fi"")"),"Tulinen harja hehkuu, Rapidash syöksyy kuin nuoli halki maan. Tämä uskomattoman nopea olento voi kulkea Hisuin laajan alueen puolessatoista päivässä.")</f>
        <v>Tulinen harja hehkuu, Rapidash syöksyy kuin nuoli halki maan. Tämä uskomattoman nopea olento voi kulkea Hisuin laajan alueen puolessatoista päivässä.</v>
      </c>
      <c r="C2104" s="9" t="s">
        <v>1344</v>
      </c>
    </row>
    <row r="2105" ht="33.75" customHeight="1">
      <c r="A2105" s="6" t="s">
        <v>3131</v>
      </c>
      <c r="B2105" s="6" t="str">
        <f>IFERROR(__xludf.DUMMYFUNCTION("GOOGLETRANSLATE(A2105,""en"",""fi"")"),"Uskomattoman hidas ja höpsö. Kestää viisi sekuntia ennen kuin se tuntee kipua hyökkäyksen aikana.")</f>
        <v>Uskomattoman hidas ja höpsö. Kestää viisi sekuntia ennen kuin se tuntee kipua hyökkäyksen aikana.</v>
      </c>
      <c r="C2105" s="9" t="s">
        <v>1344</v>
      </c>
    </row>
    <row r="2106" ht="33.75" customHeight="1">
      <c r="A2106" s="6" t="s">
        <v>3132</v>
      </c>
      <c r="B2106" s="6" t="str">
        <f>IFERROR(__xludf.DUMMYFUNCTION("GOOGLETRANSLATE(A2106,""en"",""fi"")"),"Uskomattoman hidas ja laiska. Se on varsin tyytyväinen loikoillessaan murehtimatta ajasta.")</f>
        <v>Uskomattoman hidas ja laiska. Se on varsin tyytyväinen loikoillessaan murehtimatta ajasta.</v>
      </c>
      <c r="C2106" s="9" t="s">
        <v>1344</v>
      </c>
    </row>
    <row r="2107" ht="33.75" customHeight="1">
      <c r="A2107" s="6" t="s">
        <v>3134</v>
      </c>
      <c r="B2107" s="6" t="str">
        <f>IFERROR(__xludf.DUMMYFUNCTION("GOOGLETRANSLATE(A2107,""en"",""fi"")"),"Se laiskotelee tyhjänä veden lähellä. Jos jokin puree sen häntään, se ei edes huomaa sitä kokonaiseen päivään.")</f>
        <v>Se laiskotelee tyhjänä veden lähellä. Jos jokin puree sen häntään, se ei edes huomaa sitä kokonaiseen päivään.</v>
      </c>
      <c r="C2107" s="9" t="s">
        <v>1344</v>
      </c>
    </row>
    <row r="2108" ht="33.75" customHeight="1">
      <c r="A2108" s="6" t="s">
        <v>3135</v>
      </c>
      <c r="B2108" s="6" t="str">
        <f>IFERROR(__xludf.DUMMYFUNCTION("GOOGLETRANSLATE(A2108,""en"",""fi"")"),"Sen pyrstön kärjestä valuu makeaa mahlaa. Vaikka pyrstö ei olekaan ravitseva, sitä on miellyttävä pureskella.")</f>
        <v>Sen pyrstön kärjestä valuu makeaa mahlaa. Vaikka pyrstö ei olekaan ravitseva, sitä on miellyttävä pureskella.</v>
      </c>
      <c r="C2108" s="9" t="s">
        <v>1344</v>
      </c>
    </row>
    <row r="2109" ht="33.75" customHeight="1">
      <c r="A2109" s="6" t="s">
        <v>3137</v>
      </c>
      <c r="B2109" s="6" t="str">
        <f>IFERROR(__xludf.DUMMYFUNCTION("GOOGLETRANSLATE(A2109,""en"",""fi"")"),"Se on aina niin hajamielinen, ettei se reagoi, vaikka sen maukasta häntää purtaisiin.")</f>
        <v>Se on aina niin hajamielinen, ettei se reagoi, vaikka sen maukasta häntää purtaisiin.</v>
      </c>
      <c r="C2109" s="9" t="s">
        <v>1344</v>
      </c>
    </row>
    <row r="2110" ht="33.75" customHeight="1">
      <c r="A2110" s="6" t="s">
        <v>3138</v>
      </c>
      <c r="B2110" s="6" t="str">
        <f>IFERROR(__xludf.DUMMYFUNCTION("GOOGLETRANSLATE(A2110,""en"",""fi"")"),"SLOWPOKE käyttää häntäänsä saaliin pyydystämiseen upottamalla sen veteen joen rannalla. Tämä POKéMON kuitenkin usein unohtaa, mitä se tekee, ja viettää usein kokonaisia ​​päiviä vain loikoillen veden reunalla.")</f>
        <v>SLOWPOKE käyttää häntäänsä saaliin pyydystämiseen upottamalla sen veteen joen rannalla. Tämä POKéMON kuitenkin usein unohtaa, mitä se tekee, ja viettää usein kokonaisia ​​päiviä vain loikoillen veden reunalla.</v>
      </c>
      <c r="C2110" s="9" t="s">
        <v>1344</v>
      </c>
    </row>
    <row r="2111" ht="33.75" customHeight="1">
      <c r="A2111" s="6" t="s">
        <v>3140</v>
      </c>
      <c r="B2111" s="6" t="str">
        <f>IFERROR(__xludf.DUMMYFUNCTION("GOOGLETRANSLATE(A2111,""en"",""fi"")"),"Se pyydystää saalistaan ​​upottamalla häntäänsä veteen joen rannalla. Mutta se usein unohtaa, mitä tekee, ja viettää kokonaisia ​​päiviä vain loikoillen veden reunalla.")</f>
        <v>Se pyydystää saalistaan ​​upottamalla häntäänsä veteen joen rannalla. Mutta se usein unohtaa, mitä tekee, ja viettää kokonaisia ​​päiviä vain loikoillen veden reunalla.</v>
      </c>
      <c r="C2111" s="9" t="s">
        <v>1344</v>
      </c>
    </row>
    <row r="2112" ht="33.75" customHeight="1">
      <c r="A2112" s="6" t="s">
        <v>3141</v>
      </c>
      <c r="B2112" s="6" t="str">
        <f>IFERROR(__xludf.DUMMYFUNCTION("GOOGLETRANSLATE(A2112,""en"",""fi"")"),"Se on aina tyhjyyden vallassa ajatuksissaan, mutta kukaan ei tiedä, mitä se ajattelee. Se on hyvä kalastamaan pyrstöllään.")</f>
        <v>Se on aina tyhjyyden vallassa ajatuksissaan, mutta kukaan ei tiedä, mitä se ajattelee. Se on hyvä kalastamaan pyrstöllään.</v>
      </c>
      <c r="C2112" s="9" t="s">
        <v>1344</v>
      </c>
    </row>
    <row r="2113" ht="33.75" customHeight="1">
      <c r="A2113" s="6" t="s">
        <v>3142</v>
      </c>
      <c r="B2113" s="6" t="str">
        <f>IFERROR(__xludf.DUMMYFUNCTION("GOOGLETRANSLATE(A2113,""en"",""fi"")"),"Uskomattoman hidas ja höpsö. Kestää viisi sekuntia ennen kuin se tuntee kipua hyökkäyksen aikana.")</f>
        <v>Uskomattoman hidas ja höpsö. Kestää viisi sekuntia ennen kuin se tuntee kipua hyökkäyksen aikana.</v>
      </c>
      <c r="C2113" s="9" t="s">
        <v>1344</v>
      </c>
    </row>
    <row r="2114" ht="33.75" customHeight="1">
      <c r="A2114" s="6" t="s">
        <v>3143</v>
      </c>
      <c r="B2114" s="6" t="str">
        <f>IFERROR(__xludf.DUMMYFUNCTION("GOOGLETRANSLATE(A2114,""en"",""fi"")"),"Vaikka se on hidas, se on taitava kalastamaan pyrstöllään. Se ei tunne kipua, jos sitä purraan.")</f>
        <v>Vaikka se on hidas, se on taitava kalastamaan pyrstöllään. Se ei tunne kipua, jos sitä purraan.</v>
      </c>
      <c r="C2114" s="9" t="s">
        <v>1344</v>
      </c>
    </row>
    <row r="2115" ht="33.75" customHeight="1">
      <c r="A2115" s="6" t="s">
        <v>3145</v>
      </c>
      <c r="B2115" s="6" t="str">
        <f>IFERROR(__xludf.DUMMYFUNCTION("GOOGLETRANSLATE(A2115,""en"",""fi"")"),"Se laiskotelee tyhjänä veden lähellä. Jos jokin puree sen pyrstöstä, se ei edes huomaa sitä kokonaiseen päivään.")</f>
        <v>Se laiskotelee tyhjänä veden lähellä. Jos jokin puree sen pyrstöstä, se ei edes huomaa sitä kokonaiseen päivään.</v>
      </c>
      <c r="C2115" s="9" t="s">
        <v>1344</v>
      </c>
    </row>
    <row r="2116" ht="33.75" customHeight="1">
      <c r="A2116" s="6" t="s">
        <v>3146</v>
      </c>
      <c r="B2116" s="6" t="str">
        <f>IFERROR(__xludf.DUMMYFUNCTION("GOOGLETRANSLATE(A2116,""en"",""fi"")"),"Sen pyrstön kärjestä valuu makeaa mahlaa. Vaikka pyrstö ei olekaan ravitseva, sitä on miellyttävä pureskella.")</f>
        <v>Sen pyrstön kärjestä valuu makeaa mahlaa. Vaikka pyrstö ei olekaan ravitseva, sitä on miellyttävä pureskella.</v>
      </c>
      <c r="C2116" s="9" t="s">
        <v>1344</v>
      </c>
    </row>
    <row r="2117" ht="33.75" customHeight="1">
      <c r="A2117" s="6" t="s">
        <v>3148</v>
      </c>
      <c r="B2117" s="6" t="str">
        <f>IFERROR(__xludf.DUMMYFUNCTION("GOOGLETRANSLATE(A2117,""en"",""fi"")"),"Hidas Pokémon käyttää häntäänsä saaliin pyydystämiseen upottamalla sen veteen joen rannalla. Tämä Pokémon kuitenkin usein unohtaa, mitä se tekee, ja viettää kokonaisia ​​päiviä vain loikoillen veden reunalla.")</f>
        <v>Hidas Pokémon käyttää häntäänsä saaliin pyydystämiseen upottamalla sen veteen joen rannalla. Tämä Pokémon kuitenkin usein unohtaa, mitä se tekee, ja viettää kokonaisia ​​päiviä vain loikoillen veden reunalla.</v>
      </c>
      <c r="C2117" s="9" t="s">
        <v>1344</v>
      </c>
    </row>
    <row r="2118" ht="33.75" customHeight="1">
      <c r="A2118" s="6" t="s">
        <v>3151</v>
      </c>
      <c r="B2118" s="6" t="str">
        <f>IFERROR(__xludf.DUMMYFUNCTION("GOOGLETRANSLATE(A2118,""en"",""fi"")"),"Sen pitkä häntä katkeaa usein. Se ei kuitenkaan tunne kipua, ja häntä kasvaa takaisin, joten Hidaslintu ei ole siitä erityisen huolissaan.")</f>
        <v>Sen pitkä häntä katkeaa usein. Se ei kuitenkaan tunne kipua, ja häntä kasvaa takaisin, joten Hidaslintu ei ole siitä erityisen huolissaan.</v>
      </c>
      <c r="C2118" s="9" t="s">
        <v>1344</v>
      </c>
    </row>
    <row r="2119" ht="33.75" customHeight="1">
      <c r="A2119" s="6" t="s">
        <v>3153</v>
      </c>
      <c r="B2119" s="6" t="str">
        <f>IFERROR(__xludf.DUMMYFUNCTION("GOOGLETRANSLATE(A2119,""en"",""fi"")"),"Alolanin kotiruoanlaittoon kuuluu slowpoke-pyrstön kuivaaminen ja niiden hauduttaminen suolaiseksi muhennokseksi.")</f>
        <v>Alolanin kotiruoanlaittoon kuuluu slowpoke-pyrstön kuivaaminen ja niiden hauduttaminen suolaiseksi muhennokseksi.</v>
      </c>
      <c r="C2119" s="9" t="s">
        <v>1344</v>
      </c>
    </row>
    <row r="2120" ht="33.75" customHeight="1">
      <c r="A2120" s="6" t="s">
        <v>3155</v>
      </c>
      <c r="B2120" s="6" t="str">
        <f>IFERROR(__xludf.DUMMYFUNCTION("GOOGLETRANSLATE(A2120,""en"",""fi"")"),"On joitakin paikkoja, joissa Hidaspiiskaa palvotaan, koska on pitkään uskottu, että aina kun Hidaspiiska haukottelee, sataa.")</f>
        <v>On joitakin paikkoja, joissa Hidaspiiskaa palvotaan, koska on pitkään uskottu, että aina kun Hidaspiiska haukottelee, sataa.</v>
      </c>
      <c r="C2120" s="9" t="s">
        <v>1344</v>
      </c>
    </row>
    <row r="2121" ht="33.75" customHeight="1">
      <c r="A2121" s="6" t="s">
        <v>3157</v>
      </c>
      <c r="B2121" s="6" t="str">
        <f>IFERROR(__xludf.DUMMYFUNCTION("GOOGLETRANSLATE(A2121,""en"",""fi"")"),"Vaikka niiden luonnostaan ​​irtoavat pyrstöt löytyvät helposti lojumasta, ne ovat arvokas ainesosa ruoanlaitossa.")</f>
        <v>Vaikka niiden luonnostaan ​​irtoavat pyrstöt löytyvät helposti lojumasta, ne ovat arvokas ainesosa ruoanlaitossa.</v>
      </c>
      <c r="C2121" s="9" t="s">
        <v>1344</v>
      </c>
    </row>
    <row r="2122" ht="33.75" customHeight="1">
      <c r="A2122" s="6" t="s">
        <v>3158</v>
      </c>
      <c r="B2122" s="6" t="str">
        <f>IFERROR(__xludf.DUMMYFUNCTION("GOOGLETRANSLATE(A2122,""en"",""fi"")"),"Hidasälyisenä ja tietämättömänä tämä Pokémon ei tunne kipua, jos sen häntä syödään. Se ei myöskään huomaa, milloin sen häntä kasvaa takaisin.")</f>
        <v>Hidasälyisenä ja tietämättömänä tämä Pokémon ei tunne kipua, jos sen häntä syödään. Se ei myöskään huomaa, milloin sen häntä kasvaa takaisin.</v>
      </c>
      <c r="C2122" s="9" t="s">
        <v>1344</v>
      </c>
    </row>
    <row r="2123" ht="33.75" customHeight="1">
      <c r="A2123" s="6" t="s">
        <v>3160</v>
      </c>
      <c r="B2123" s="6" t="str">
        <f>IFERROR(__xludf.DUMMYFUNCTION("GOOGLETRANSLATE(A2123,""en"",""fi"")"),"Kun tämän Pokémonin häntä kastuu veteen, siitä tihkuu makeutta. Slowpoke käyttää tätä ominaisuutta houkutellakseen ja kalastaakseen muita Pokémoneja.")</f>
        <v>Kun tämän Pokémonin häntä kastuu veteen, siitä tihkuu makeutta. Slowpoke käyttää tätä ominaisuutta houkutellakseen ja kalastaakseen muita Pokémoneja.</v>
      </c>
      <c r="C2123" s="9" t="s">
        <v>1344</v>
      </c>
    </row>
    <row r="2124" ht="33.75" customHeight="1">
      <c r="A2124" s="6" t="s">
        <v>3163</v>
      </c>
      <c r="B2124" s="6" t="str">
        <f>IFERROR(__xludf.DUMMYFUNCTION("GOOGLETRANSLATE(A2124,""en"",""fi"")"),"SLOWPOKEn häntään kiinnittyneen SHELLDERin sanotaan syövän isännän tähteitä.")</f>
        <v>SLOWPOKEn häntään kiinnittyneen SHELLDERin sanotaan syövän isännän tähteitä.</v>
      </c>
      <c r="C2124" s="9" t="s">
        <v>1344</v>
      </c>
    </row>
    <row r="2125" ht="33.75" customHeight="1">
      <c r="A2125" s="6" t="s">
        <v>3165</v>
      </c>
      <c r="B2125" s="6" t="str">
        <f>IFERROR(__xludf.DUMMYFUNCTION("GOOGLETRANSLATE(A2125,""en"",""fi"")"),"Asuu laiskasti meren rannalla. Jos sen pyrstöstä irtoaa kuori, siitä tulee taas HITAA.")</f>
        <v>Asuu laiskasti meren rannalla. Jos sen pyrstöstä irtoaa kuori, siitä tulee taas HITAA.</v>
      </c>
      <c r="C2125" s="9" t="s">
        <v>1344</v>
      </c>
    </row>
    <row r="2126" ht="33.75" customHeight="1">
      <c r="A2126" s="6" t="s">
        <v>3166</v>
      </c>
      <c r="B2126" s="6" t="str">
        <f>IFERROR(__xludf.DUMMYFUNCTION("GOOGLETRANSLATE(A2126,""en"",""fi"")"),"Jos häntäänsä pureva SHELLDER heitetään pois ankarassa taistelussa, se palaa tavalliseksi SLOWPOKEksi.")</f>
        <v>Jos häntäänsä pureva SHELLDER heitetään pois ankarassa taistelussa, se palaa tavalliseksi SLOWPOKEksi.</v>
      </c>
      <c r="C2126" s="9" t="s">
        <v>1344</v>
      </c>
    </row>
    <row r="2127" ht="33.75" customHeight="1">
      <c r="A2127" s="6" t="s">
        <v>3167</v>
      </c>
      <c r="B2127" s="6" t="str">
        <f>IFERROR(__xludf.DUMMYFUNCTION("GOOGLETRANSLATE(A2127,""en"",""fi"")"),"Se oli alun perin luonnostaan ​​tylsä, mutta menetti kykynsä tuntea kipua SHELLDERin tihkuvan myrkyn vuoksi.")</f>
        <v>Se oli alun perin luonnostaan ​​tylsä, mutta menetti kykynsä tuntea kipua SHELLDERin tihkuvan myrkyn vuoksi.</v>
      </c>
      <c r="C2127" s="9" t="s">
        <v>1344</v>
      </c>
    </row>
    <row r="2128" ht="33.75" customHeight="1">
      <c r="A2128" s="6" t="s">
        <v>3169</v>
      </c>
      <c r="B2128" s="6" t="str">
        <f>IFERROR(__xludf.DUMMYFUNCTION("GOOGLETRANSLATE(A2128,""en"",""fi"")"),"Kiinnitetty SHELLDER ei päästä irti sen pyrstöstä pursuavan maukkaan maun vuoksi.")</f>
        <v>Kiinnitetty SHELLDER ei päästä irti sen pyrstöstä pursuavan maukkaan maun vuoksi.</v>
      </c>
      <c r="C2128" s="9" t="s">
        <v>1344</v>
      </c>
    </row>
    <row r="2129" ht="33.75" customHeight="1">
      <c r="A2129" s="6" t="s">
        <v>3171</v>
      </c>
      <c r="B2129" s="6" t="str">
        <f>IFERROR(__xludf.DUMMYFUNCTION("GOOGLETRANSLATE(A2129,""en"",""fi"")"),"SLOWBRON pyrstössä on tiukasti kiinnittynyt kuori, jolla on purenta. Tämän seurauksena pyrstöä ei voida enää käyttää kalastukseen. Tämä saa SLOWBRON vastahakoisesti uimaan ja pyydystämään saalista.")</f>
        <v>SLOWBRON pyrstössä on tiukasti kiinnittynyt kuori, jolla on purenta. Tämän seurauksena pyrstöä ei voida enää käyttää kalastukseen. Tämä saa SLOWBRON vastahakoisesti uimaan ja pyydystämään saalista.</v>
      </c>
      <c r="C2129" s="9" t="s">
        <v>1344</v>
      </c>
    </row>
    <row r="2130" ht="33.75" customHeight="1">
      <c r="A2130" s="6" t="s">
        <v>3172</v>
      </c>
      <c r="B2130" s="6" t="str">
        <f>IFERROR(__xludf.DUMMYFUNCTION("GOOGLETRANSLATE(A2130,""en"",""fi"")"),"Sen pyrstössä on tukevasti kiinnittynyt kuori, jolla on purenta. Tämän seurauksena häntää ei voida enää käyttää kalastukseen. Tämä pakottaa sen vastahakoisesti uimaan ja nappaamaan saalista.")</f>
        <v>Sen pyrstössä on tukevasti kiinnittynyt kuori, jolla on purenta. Tämän seurauksena häntää ei voida enää käyttää kalastukseen. Tämä pakottaa sen vastahakoisesti uimaan ja nappaamaan saalista.</v>
      </c>
      <c r="C2130" s="9" t="s">
        <v>1344</v>
      </c>
    </row>
    <row r="2131" ht="33.75" customHeight="1">
      <c r="A2131" s="6" t="s">
        <v>3173</v>
      </c>
      <c r="B2131" s="6" t="str">
        <f>IFERROR(__xludf.DUMMYFUNCTION("GOOGLETRANSLATE(A2131,""en"",""fi"")"),"Kun SLOWPOKE meni metsästämään mereen, SHELLDER puri sen pyrstöä. Tästä siitä kehittyi SLOWBRO.")</f>
        <v>Kun SLOWPOKE meni metsästämään mereen, SHELLDER puri sen pyrstöä. Tästä siitä kehittyi SLOWBRO.</v>
      </c>
      <c r="C2131" s="9" t="s">
        <v>1344</v>
      </c>
    </row>
    <row r="2132" ht="33.75" customHeight="1">
      <c r="A2132" s="6" t="s">
        <v>3174</v>
      </c>
      <c r="B2132" s="6" t="str">
        <f>IFERROR(__xludf.DUMMYFUNCTION("GOOGLETRANSLATE(A2132,""en"",""fi"")"),"SLOWPOKEn häntään tarttuvan SHELLDERin sanotaan syövän isännän tähteitä.")</f>
        <v>SLOWPOKEn häntään tarttuvan SHELLDERin sanotaan syövän isännän tähteitä.</v>
      </c>
      <c r="C2132" s="9" t="s">
        <v>1344</v>
      </c>
    </row>
    <row r="2133" ht="33.75" customHeight="1">
      <c r="A2133" s="6" t="s">
        <v>3176</v>
      </c>
      <c r="B2133" s="6" t="str">
        <f>IFERROR(__xludf.DUMMYFUNCTION("GOOGLETRANSLATE(A2133,""en"",""fi"")"),"Vaikka se on yleensä älytön, se näyttää inspiroituvan, jos sen pyrstössä oleva SHELLDER puree sitä.")</f>
        <v>Vaikka se on yleensä älytön, se näyttää inspiroituvan, jos sen pyrstössä oleva SHELLDER puree sitä.</v>
      </c>
      <c r="C2133" s="9" t="s">
        <v>1344</v>
      </c>
    </row>
    <row r="2134" ht="33.75" customHeight="1">
      <c r="A2134" s="6" t="s">
        <v>3177</v>
      </c>
      <c r="B2134" s="6" t="str">
        <f>IFERROR(__xludf.DUMMYFUNCTION("GOOGLETRANSLATE(A2134,""en"",""fi"")"),"Jos häntäänsä pureva SHELLDER heitetään pois ankarassa taistelussa, se palautuu tavalliseksi SLOWPOKEksi.")</f>
        <v>Jos häntäänsä pureva SHELLDER heitetään pois ankarassa taistelussa, se palautuu tavalliseksi SLOWPOKEksi.</v>
      </c>
      <c r="C2134" s="9" t="s">
        <v>1344</v>
      </c>
    </row>
    <row r="2135" ht="33.75" customHeight="1">
      <c r="A2135" s="6" t="s">
        <v>3178</v>
      </c>
      <c r="B2135" s="6" t="str">
        <f>IFERROR(__xludf.DUMMYFUNCTION("GOOGLETRANSLATE(A2135,""en"",""fi"")"),"Se oli alun perin luonnostaan ​​tylsä, mutta menetti kykynsä tuntea kipua SHELLDERin tihkuvan myrkyn vuoksi.")</f>
        <v>Se oli alun perin luonnostaan ​​tylsä, mutta menetti kykynsä tuntea kipua SHELLDERin tihkuvan myrkyn vuoksi.</v>
      </c>
      <c r="C2135" s="9" t="s">
        <v>1344</v>
      </c>
    </row>
    <row r="2136" ht="33.75" customHeight="1">
      <c r="A2136" s="6" t="s">
        <v>3179</v>
      </c>
      <c r="B2136" s="6" t="str">
        <f>IFERROR(__xludf.DUMMYFUNCTION("GOOGLETRANSLATE(A2136,""en"",""fi"")"),"Vaikka se on yleensä älytön, se näyttää inspiroituvan, jos sen pyrstössä oleva Shellder puree sitä.")</f>
        <v>Vaikka se on yleensä älytön, se näyttää inspiroituvan, jos sen pyrstössä oleva Shellder puree sitä.</v>
      </c>
      <c r="C2136" s="9" t="s">
        <v>1344</v>
      </c>
    </row>
    <row r="2137" ht="33.75" customHeight="1">
      <c r="A2137" s="6" t="s">
        <v>3180</v>
      </c>
      <c r="B2137" s="6" t="str">
        <f>IFERROR(__xludf.DUMMYFUNCTION("GOOGLETRANSLATE(A2137,""en"",""fi"")"),"Kiinnitetty Shellder ei päästä irti sen pyrstöstä pursuavan maukkaan maun vuoksi.")</f>
        <v>Kiinnitetty Shellder ei päästä irti sen pyrstöstä pursuavan maukkaan maun vuoksi.</v>
      </c>
      <c r="C2137" s="9" t="s">
        <v>1344</v>
      </c>
    </row>
    <row r="2138" ht="33.75" customHeight="1">
      <c r="A2138" s="6" t="s">
        <v>3181</v>
      </c>
      <c r="B2138" s="6" t="str">
        <f>IFERROR(__xludf.DUMMYFUNCTION("GOOGLETRANSLATE(A2138,""en"",""fi"")"),"Kun hidaslintu meni metsästämään mereen, Shellder puri sen häntää. Se teki siitä Hitaanrintaisen.")</f>
        <v>Kun hidaslintu meni metsästämään mereen, Shellder puri sen häntää. Se teki siitä Hitaanrintaisen.</v>
      </c>
      <c r="C2138" s="9" t="s">
        <v>1344</v>
      </c>
    </row>
    <row r="2139" ht="33.75" customHeight="1">
      <c r="A2139" s="6" t="s">
        <v>3182</v>
      </c>
      <c r="B2139" s="6" t="str">
        <f>IFERROR(__xludf.DUMMYFUNCTION("GOOGLETRANSLATE(A2139,""en"",""fi"")"),"Slowbron hännässä on tukevasti kiinnittynyt Shellder, jolla on purenta. Tämän seurauksena häntää ei voi enää käyttää kalastukseen. Tämä saa Slowbron vastahakoisesti uimaan ja pyydystämään saalista.")</f>
        <v>Slowbron hännässä on tukevasti kiinnittynyt Shellder, jolla on purenta. Tämän seurauksena häntää ei voi enää käyttää kalastukseen. Tämä saa Slowbron vastahakoisesti uimaan ja pyydystämään saalista.</v>
      </c>
      <c r="C2139" s="9" t="s">
        <v>1344</v>
      </c>
    </row>
    <row r="2140" ht="33.75" customHeight="1">
      <c r="A2140" s="6" t="s">
        <v>3183</v>
      </c>
      <c r="B2140" s="6" t="str">
        <f>IFERROR(__xludf.DUMMYFUNCTION("GOOGLETRANSLATE(A2140,""en"",""fi"")"),"Se väistyy katsellessaan merta. Shellderin myrkyn virratessa sen kehon läpi siitä tulee entistäkin väljempi.")</f>
        <v>Se väistyy katsellessaan merta. Shellderin myrkyn virratessa sen kehon läpi siitä tulee entistäkin väljempi.</v>
      </c>
      <c r="C2140" s="9" t="s">
        <v>1344</v>
      </c>
    </row>
    <row r="2141" ht="33.75" customHeight="1">
      <c r="A2141" s="6" t="s">
        <v>3184</v>
      </c>
      <c r="B2141" s="6" t="str">
        <f>IFERROR(__xludf.DUMMYFUNCTION("GOOGLETRANSLATE(A2141,""en"",""fi"")"),"Aina kun Shellder puree lujaa sen pyrstöön, se antaa Slowbrolle välähdyksen inspiraatiosta... jonka se unohtaa hetkeä myöhemmin.")</f>
        <v>Aina kun Shellder puree lujaa sen pyrstöön, se antaa Slowbrolle välähdyksen inspiraatiosta... jonka se unohtaa hetkeä myöhemmin.</v>
      </c>
      <c r="C2141" s="9" t="s">
        <v>1344</v>
      </c>
    </row>
    <row r="2142" ht="33.75" customHeight="1">
      <c r="A2142" s="6" t="s">
        <v>3185</v>
      </c>
      <c r="B2142" s="6" t="str">
        <f>IFERROR(__xludf.DUMMYFUNCTION("GOOGLETRANSLATE(A2142,""en"",""fi"")"),"Se vain etääntyy toisistaan. Se muuttuu takaisin Slowpokeksi, jos sen häntä ja Shellder katkeavat.")</f>
        <v>Se vain etääntyy toisistaan. Se muuttuu takaisin Slowpokeksi, jos sen häntä ja Shellder katkeavat.</v>
      </c>
      <c r="C2142" s="9" t="s">
        <v>1344</v>
      </c>
    </row>
    <row r="2143" ht="33.75" customHeight="1">
      <c r="A2143" s="6" t="s">
        <v>3186</v>
      </c>
      <c r="B2143" s="6" t="str">
        <f>IFERROR(__xludf.DUMMYFUNCTION("GOOGLETRANSLATE(A2143,""en"",""fi"")"),"Shellder, ahneudessaan imeä yhä enemmän makeutta Slowbron hännästä, on muuttunut spiraalinmuotoiseksi kuoreksi.")</f>
        <v>Shellder, ahneudessaan imeä yhä enemmän makeutta Slowbron hännästä, on muuttunut spiraalinmuotoiseksi kuoreksi.</v>
      </c>
      <c r="C2143" s="9" t="s">
        <v>1344</v>
      </c>
    </row>
    <row r="2144" ht="33.75" customHeight="1">
      <c r="A2144" s="6" t="s">
        <v>3187</v>
      </c>
      <c r="B2144" s="6" t="str">
        <f>IFERROR(__xludf.DUMMYFUNCTION("GOOGLETRANSLATE(A2144,""en"",""fi"")"),"Asuu laiskasti meren rannalla. Jos sen pyrstössä oleva Shellder irtoaa, siitä tulee taas Hidaslintu.")</f>
        <v>Asuu laiskasti meren rannalla. Jos sen pyrstössä oleva Shellder irtoaa, siitä tulee taas Hidaslintu.</v>
      </c>
      <c r="C2144" s="9" t="s">
        <v>1344</v>
      </c>
    </row>
    <row r="2145" ht="33.75" customHeight="1">
      <c r="A2145" s="6" t="s">
        <v>3188</v>
      </c>
      <c r="B2145" s="6" t="str">
        <f>IFERROR(__xludf.DUMMYFUNCTION("GOOGLETRANSLATE(A2145,""en"",""fi"")"),"Slowpokesta tuli Slowbro, kun Shellder puri sen pyrstöä. Pyrstöstä tihkuvat makeat maut saavat Shellderin tuntemaan kuin sen elämä olisi unelma.")</f>
        <v>Slowpokesta tuli Slowbro, kun Shellder puri sen pyrstöä. Pyrstöstä tihkuvat makeat maut saavat Shellderin tuntemaan kuin sen elämä olisi unelma.</v>
      </c>
      <c r="C2145" s="9" t="s">
        <v>1344</v>
      </c>
    </row>
    <row r="2146" ht="33.75" customHeight="1">
      <c r="A2146" s="6" t="s">
        <v>3189</v>
      </c>
      <c r="B2146" s="6" t="str">
        <f>IFERROR(__xludf.DUMMYFUNCTION("GOOGLETRANSLATE(A2146,""en"",""fi"")"),"Shellderin purema sai tämän Pokémonin seisomaan kahdella jalalla. Jos Shellder päästää irti, näyttää siltä, ​​että Slowbro muuttuu takaisin Slowpokeksi.")</f>
        <v>Shellderin purema sai tämän Pokémonin seisomaan kahdella jalalla. Jos Shellder päästää irti, näyttää siltä, ​​että Slowbro muuttuu takaisin Slowpokeksi.</v>
      </c>
      <c r="C2146" s="9" t="s">
        <v>1344</v>
      </c>
    </row>
    <row r="2147" ht="33.75" customHeight="1">
      <c r="A2147" s="6" t="s">
        <v>3190</v>
      </c>
      <c r="B2147" s="6" t="str">
        <f>IFERROR(__xludf.DUMMYFUNCTION("GOOGLETRANSLATE(A2147,""en"",""fi"")"),"Käyttää antigravitaatiota pysyäkseen leijunnassa. Ilmestyy ilman varoitusta ja käyttää UKKOS-AALTOA ja vastaavia liikkeitä.")</f>
        <v>Käyttää antigravitaatiota pysyäkseen leijunnassa. Ilmestyy ilman varoitusta ja käyttää UKKOS-AALTOA ja vastaavia liikkeitä.</v>
      </c>
      <c r="C2147" s="9" t="s">
        <v>1344</v>
      </c>
    </row>
    <row r="2148" ht="33.75" customHeight="1">
      <c r="A2148" s="6" t="s">
        <v>3191</v>
      </c>
      <c r="B2148" s="6" t="str">
        <f>IFERROR(__xludf.DUMMYFUNCTION("GOOGLETRANSLATE(A2148,""en"",""fi"")"),"Se syntyy kyvyllä uhmata painovoimaa. Se leijuu ilmassa voimakkaiden sähkömagneettisten aaltojen varassa.")</f>
        <v>Se syntyy kyvyllä uhmata painovoimaa. Se leijuu ilmassa voimakkaiden sähkömagneettisten aaltojen varassa.</v>
      </c>
      <c r="C2148" s="9" t="s">
        <v>1344</v>
      </c>
    </row>
    <row r="2149" ht="33.75" customHeight="1">
      <c r="A2149" s="6" t="s">
        <v>3192</v>
      </c>
      <c r="B2149" s="6" t="str">
        <f>IFERROR(__xludf.DUMMYFUNCTION("GOOGLETRANSLATE(A2149,""en"",""fi"")"),"Sähkömagneettiset aallot vetävät sitä puoleensa. Se voi lähestyä kouluttajia, jos he käyttävät POKéGEAR-laitteitaan.")</f>
        <v>Sähkömagneettiset aallot vetävät sitä puoleensa. Se voi lähestyä kouluttajia, jos he käyttävät POKéGEAR-laitteitaan.</v>
      </c>
      <c r="C2149" s="9" t="s">
        <v>1344</v>
      </c>
    </row>
    <row r="2150" ht="33.75" customHeight="1">
      <c r="A2150" s="6" t="s">
        <v>3193</v>
      </c>
      <c r="B2150" s="6" t="str">
        <f>IFERROR(__xludf.DUMMYFUNCTION("GOOGLETRANSLATE(A2150,""en"",""fi"")"),"Sen rungon sivuilla olevat yksiköt tuottavat antigravitaatioenergiaa pitääkseen sen ilmassa.")</f>
        <v>Sen rungon sivuilla olevat yksiköt tuottavat antigravitaatioenergiaa pitääkseen sen ilmassa.</v>
      </c>
      <c r="C2150" s="9" t="s">
        <v>1344</v>
      </c>
    </row>
    <row r="2151" ht="33.75" customHeight="1">
      <c r="A2151" s="6" t="s">
        <v>3194</v>
      </c>
      <c r="B2151" s="6" t="str">
        <f>IFERROR(__xludf.DUMMYFUNCTION("GOOGLETRANSLATE(A2151,""en"",""fi"")"),"Sen kehon kummallakin puolella olevien yksiköiden lähettämä sähkö saa sen toimimaan voimakkaana magneettina.")</f>
        <v>Sen kehon kummallakin puolella olevien yksiköiden lähettämä sähkö saa sen toimimaan voimakkaana magneettina.</v>
      </c>
      <c r="C2151" s="9" t="s">
        <v>1344</v>
      </c>
    </row>
    <row r="2152" ht="33.75" customHeight="1">
      <c r="A2152" s="6" t="s">
        <v>3196</v>
      </c>
      <c r="B2152" s="6" t="str">
        <f>IFERROR(__xludf.DUMMYFUNCTION("GOOGLETRANSLATE(A2152,""en"",""fi"")"),"MAGNEMIITTIA kiinnittyy sähkölinjoihin syöttääkseen sähköä. Jos talossasi on sähkökatkos, tarkista sulakkeet. Saatat löytää suuren määrän tätä POKéMONIA roikkumassa sulaketaulussa.")</f>
        <v>MAGNEMIITTIA kiinnittyy sähkölinjoihin syöttääkseen sähköä. Jos talossasi on sähkökatkos, tarkista sulakkeet. Saatat löytää suuren määrän tätä POKéMONIA roikkumassa sulaketaulussa.</v>
      </c>
      <c r="C2152" s="9" t="s">
        <v>1344</v>
      </c>
    </row>
    <row r="2153" ht="33.75" customHeight="1">
      <c r="A2153" s="6" t="s">
        <v>3197</v>
      </c>
      <c r="B2153" s="6" t="str">
        <f>IFERROR(__xludf.DUMMYFUNCTION("GOOGLETRANSLATE(A2153,""en"",""fi"")"),"MAGNEMITE leijuu ilmassa lähettämällä sivuillaan olevista yksiköistä sähkömagneettisia aaltoja. Nämä aallot estävät painovoiman. Tämä POKéMON ei pysty lentämään, jos sen sisäinen sähkönsaanti ehtyy.")</f>
        <v>MAGNEMITE leijuu ilmassa lähettämällä sivuillaan olevista yksiköistä sähkömagneettisia aaltoja. Nämä aallot estävät painovoiman. Tämä POKéMON ei pysty lentämään, jos sen sisäinen sähkönsaanti ehtyy.</v>
      </c>
      <c r="C2153" s="9" t="s">
        <v>1344</v>
      </c>
    </row>
    <row r="2154" ht="33.75" customHeight="1">
      <c r="A2154" s="6" t="s">
        <v>3198</v>
      </c>
      <c r="B2154" s="6" t="str">
        <f>IFERROR(__xludf.DUMMYFUNCTION("GOOGLETRANSLATE(A2154,""en"",""fi"")"),"Sen sivuilla olevat yksiköt ovat erittäin voimakkaita magneetteja. Ne tuottavat tarpeeksi magnetismia vetääkseen puoleensa rautaesineitä yli 90 metrin päästä.")</f>
        <v>Sen sivuilla olevat yksiköt ovat erittäin voimakkaita magneetteja. Ne tuottavat tarpeeksi magnetismia vetääkseen puoleensa rautaesineitä yli 90 metrin päästä.</v>
      </c>
      <c r="C2154" s="9" t="s">
        <v>1344</v>
      </c>
    </row>
    <row r="2155" ht="33.75" customHeight="1">
      <c r="A2155" s="6" t="s">
        <v>3199</v>
      </c>
      <c r="B2155" s="6" t="str">
        <f>IFERROR(__xludf.DUMMYFUNCTION("GOOGLETRANSLATE(A2155,""en"",""fi"")"),"Se liikkuu leijuen jatkuvasti. Se lähettää UKKOSJÄNKIÄ ja niin edelleen sivuillaan olevista yksiköistä.")</f>
        <v>Se liikkuu leijuen jatkuvasti. Se lähettää UKKOSJÄNKIÄ ja niin edelleen sivuillaan olevista yksiköistä.</v>
      </c>
      <c r="C2155" s="9" t="s">
        <v>1344</v>
      </c>
    </row>
    <row r="2156" ht="33.75" customHeight="1">
      <c r="A2156" s="6" t="s">
        <v>3200</v>
      </c>
      <c r="B2156" s="6" t="str">
        <f>IFERROR(__xludf.DUMMYFUNCTION("GOOGLETRANSLATE(A2156,""en"",""fi"")"),"Käyttää antigravitaatiota pysyäkseen leijunnassa. Ilmestyy ilman varoitusta ja käyttää UKKOS-aaltoa ja vastaavia liikkeitä.")</f>
        <v>Käyttää antigravitaatiota pysyäkseen leijunnassa. Ilmestyy ilman varoitusta ja käyttää UKKOS-aaltoa ja vastaavia liikkeitä.</v>
      </c>
      <c r="C2156" s="9" t="s">
        <v>1344</v>
      </c>
    </row>
    <row r="2157" ht="33.75" customHeight="1">
      <c r="A2157" s="6" t="s">
        <v>3202</v>
      </c>
      <c r="B2157" s="6" t="str">
        <f>IFERROR(__xludf.DUMMYFUNCTION("GOOGLETRANSLATE(A2157,""en"",""fi"")"),"Sen sivuilla olevat yksiköt tuottavat sähkömagneettisia aaltoja, jotka pitävät sen ilmassa. Se käyttää sähköä.")</f>
        <v>Sen sivuilla olevat yksiköt tuottavat sähkömagneettisia aaltoja, jotka pitävät sen ilmassa. Se käyttää sähköä.</v>
      </c>
      <c r="C2157" s="9" t="s">
        <v>1344</v>
      </c>
    </row>
    <row r="2158" ht="33.75" customHeight="1">
      <c r="A2158" s="6" t="s">
        <v>3203</v>
      </c>
      <c r="B2158" s="6" t="str">
        <f>IFERROR(__xludf.DUMMYFUNCTION("GOOGLETRANSLATE(A2158,""en"",""fi"")"),"Mitä nopeammin sen sivuilla olevat yksiköt pyörivät, sitä suuremman magneettisen voiman ne tuottavat.")</f>
        <v>Mitä nopeammin sen sivuilla olevat yksiköt pyörivät, sitä suuremman magneettisen voiman ne tuottavat.</v>
      </c>
      <c r="C2158" s="9" t="s">
        <v>1344</v>
      </c>
    </row>
    <row r="2159" ht="33.75" customHeight="1">
      <c r="A2159" s="6" t="s">
        <v>3204</v>
      </c>
      <c r="B2159" s="6" t="str">
        <f>IFERROR(__xludf.DUMMYFUNCTION("GOOGLETRANSLATE(A2159,""en"",""fi"")"),"Sähkömagneettiset aallot vetävät sitä puoleensa. Se voi lähestyä kouluttajia, jos he käyttävät Pokégearejaan.")</f>
        <v>Sähkömagneettiset aallot vetävät sitä puoleensa. Se voi lähestyä kouluttajia, jos he käyttävät Pokégearejaan.</v>
      </c>
      <c r="C2159" s="9" t="s">
        <v>1344</v>
      </c>
    </row>
    <row r="2160" ht="33.75" customHeight="1">
      <c r="A2160" s="6" t="s">
        <v>3206</v>
      </c>
      <c r="B2160" s="6" t="str">
        <f>IFERROR(__xludf.DUMMYFUNCTION("GOOGLETRANSLATE(A2160,""en"",""fi"")"),"Sen rungon sivuilla olevat yksiköt tuottavat antigravitaatioenergiaa pitääkseen sen ilmassa.")</f>
        <v>Sen rungon sivuilla olevat yksiköt tuottavat antigravitaatioenergiaa pitääkseen sen ilmassa.</v>
      </c>
      <c r="C2160" s="9" t="s">
        <v>1344</v>
      </c>
    </row>
    <row r="2161" ht="33.75" customHeight="1">
      <c r="A2161" s="6" t="s">
        <v>3208</v>
      </c>
      <c r="B2161" s="6" t="str">
        <f>IFERROR(__xludf.DUMMYFUNCTION("GOOGLETRANSLATE(A2161,""en"",""fi"")"),"Sen pään sivuilla olevien yksiköiden lähettämät sähkömagneettiset aallot karkottavat antigravitaatiota, mikä mahdollistaa sen kellumisen.")</f>
        <v>Sen pään sivuilla olevien yksiköiden lähettämät sähkömagneettiset aallot karkottavat antigravitaatiota, mikä mahdollistaa sen kellumisen.</v>
      </c>
      <c r="C2161" s="9" t="s">
        <v>1344</v>
      </c>
    </row>
    <row r="2162" ht="33.75" customHeight="1">
      <c r="A2162" s="6" t="s">
        <v>3210</v>
      </c>
      <c r="B2162" s="6" t="str">
        <f>IFERROR(__xludf.DUMMYFUNCTION("GOOGLETRANSLATE(A2162,""en"",""fi"")"),"Se liikkuu leijuen jatkuvasti. Se lähettää ukkosaaltoja ja muita vastaavia sivuillaan olevista yksiköistä.")</f>
        <v>Se liikkuu leijuen jatkuvasti. Se lähettää ukkosaaltoja ja muita vastaavia sivuillaan olevista yksiköistä.</v>
      </c>
      <c r="C2162" s="9" t="s">
        <v>1344</v>
      </c>
    </row>
    <row r="2163" ht="33.75" customHeight="1">
      <c r="A2163" s="6" t="s">
        <v>3211</v>
      </c>
      <c r="B2163" s="6" t="str">
        <f>IFERROR(__xludf.DUMMYFUNCTION("GOOGLETRANSLATE(A2163,""en"",""fi"")"),"Magnemiitti kiinnittyy sähkölinjoihin syöttääkseen sähköä. Jos talossasi on sähkökatkos, tarkista sulakkeet. Saatat löytää suuren määrän tätä Pokémonia roikkumassa sulaketaulussa.")</f>
        <v>Magnemiitti kiinnittyy sähkölinjoihin syöttääkseen sähköä. Jos talossasi on sähkökatkos, tarkista sulakkeet. Saatat löytää suuren määrän tätä Pokémonia roikkumassa sulaketaulussa.</v>
      </c>
      <c r="C2163" s="9" t="s">
        <v>1344</v>
      </c>
    </row>
    <row r="2164" ht="33.75" customHeight="1">
      <c r="A2164" s="6" t="s">
        <v>3212</v>
      </c>
      <c r="B2164" s="6" t="str">
        <f>IFERROR(__xludf.DUMMYFUNCTION("GOOGLETRANSLATE(A2164,""en"",""fi"")"),"Magnemiitti leijuu ilmassa lähettämällä sivuillaan olevista yksiköistä sähkömagneettisia aaltoja. Nämä aallot estävät painovoiman. Tämä Pokémon ei pysty lentämään, jos sen sisäinen sähkönsaanti ehtyy.")</f>
        <v>Magnemiitti leijuu ilmassa lähettämällä sivuillaan olevista yksiköistä sähkömagneettisia aaltoja. Nämä aallot estävät painovoiman. Tämä Pokémon ei pysty lentämään, jos sen sisäinen sähkönsaanti ehtyy.</v>
      </c>
      <c r="C2164" s="9" t="s">
        <v>1344</v>
      </c>
    </row>
    <row r="2165" ht="33.75" customHeight="1">
      <c r="A2165" s="6" t="s">
        <v>3214</v>
      </c>
      <c r="B2165" s="6" t="str">
        <f>IFERROR(__xludf.DUMMYFUNCTION("GOOGLETRANSLATE(A2165,""en"",""fi"")"),"Ne kokoontuvat paikkoihin, joissa on sähköä. Niitä voi löytää takertumasta voimalinjojen kannattelemiseen käytettyihin terästorneihin.")</f>
        <v>Ne kokoontuvat paikkoihin, joissa on sähköä. Niitä voi löytää takertumasta voimalinjojen kannattelemiseen käytettyihin terästorneihin.</v>
      </c>
      <c r="C2165" s="9" t="s">
        <v>1344</v>
      </c>
    </row>
    <row r="2166" ht="33.75" customHeight="1">
      <c r="A2166" s="6" t="s">
        <v>3218</v>
      </c>
      <c r="B2166" s="6" t="str">
        <f>IFERROR(__xludf.DUMMYFUNCTION("GOOGLETRANSLATE(A2166,""en"",""fi"")"),"Se lähettää sähkömagneettisia aaltoja, jotka päästävät sen leijumaan ilmassa. Sen koskettaminen sen syödessä sähköä antaa sinulle koko kehon kattavan sähköiskun.")</f>
        <v>Se lähettää sähkömagneettisia aaltoja, jotka päästävät sen leijumaan ilmassa. Sen koskettaminen sen syödessä sähköä antaa sinulle koko kehon kattavan sähköiskun.</v>
      </c>
      <c r="C2166" s="9" t="s">
        <v>1344</v>
      </c>
    </row>
    <row r="2167" ht="33.75" customHeight="1">
      <c r="A2167" s="6" t="s">
        <v>3220</v>
      </c>
      <c r="B2167" s="6" t="str">
        <f>IFERROR(__xludf.DUMMYFUNCTION("GOOGLETRANSLATE(A2167,""en"",""fi"")"),"Se on usein sähkökatkosten syy, minkä vuoksi jotkut voimalaitokset lähettävät sähköisiä signaaleja, joita se ei kestä.")</f>
        <v>Se on usein sähkökatkosten syy, minkä vuoksi jotkut voimalaitokset lähettävät sähköisiä signaaleja, joita se ei kestä.</v>
      </c>
      <c r="C2167" s="9" t="s">
        <v>1344</v>
      </c>
    </row>
    <row r="2168" ht="33.75" customHeight="1">
      <c r="A2168" s="6" t="s">
        <v>3221</v>
      </c>
      <c r="B2168" s="6" t="str">
        <f>IFERROR(__xludf.DUMMYFUNCTION("GOOGLETRANSLATE(A2168,""en"",""fi"")"),"Ehkäpä siksi, että sähkölinjat usein haudataan nykyään maahan, magnemiittihyökkäysten määrä voimalaitoksiin on lisääntynyt.")</f>
        <v>Ehkäpä siksi, että sähkölinjat usein haudataan nykyään maahan, magnemiittihyökkäysten määrä voimalaitoksiin on lisääntynyt.</v>
      </c>
      <c r="C2168" s="9" t="s">
        <v>1344</v>
      </c>
    </row>
    <row r="2169" ht="33.75" customHeight="1">
      <c r="A2169" s="6" t="s">
        <v>3222</v>
      </c>
      <c r="B2169" s="6" t="str">
        <f>IFERROR(__xludf.DUMMYFUNCTION("GOOGLETRANSLATE(A2169,""en"",""fi"")"),"Se on varustettu kyvyllä uhmata painovoimaa. Se kelluu ja säteilee voimakkaita sähkömagneettisia aaltoja.")</f>
        <v>Se on varustettu kyvyllä uhmata painovoimaa. Se kelluu ja säteilee voimakkaita sähkömagneettisia aaltoja.</v>
      </c>
      <c r="C2169" s="9" t="s">
        <v>1344</v>
      </c>
    </row>
    <row r="2170" ht="33.75" customHeight="1">
      <c r="A2170" s="6" t="s">
        <v>3227</v>
      </c>
      <c r="B2170" s="6" t="str">
        <f>IFERROR(__xludf.DUMMYFUNCTION("GOOGLETRANSLATE(A2170,""en"",""fi"")"),"Magnemitesta loppuu ajoittain sähkö ja se päätyy maahan. Jos annat paristot maadoitettuun Magnemiteen, se alkaa liikkua uudelleen.")</f>
        <v>Magnemitesta loppuu ajoittain sähkö ja se päätyy maahan. Jos annat paristot maadoitettuun Magnemiteen, se alkaa liikkua uudelleen.</v>
      </c>
      <c r="C2170" s="9" t="s">
        <v>1344</v>
      </c>
    </row>
    <row r="2171" ht="33.75" customHeight="1">
      <c r="A2171" s="6" t="s">
        <v>3229</v>
      </c>
      <c r="B2171" s="6" t="str">
        <f>IFERROR(__xludf.DUMMYFUNCTION("GOOGLETRANSLATE(A2171,""en"",""fi"")"),"Se elää sähköllä. Magnemiitti lentää ja lähettää sähkömagneettisia aaltoja kehonsa molemmin puolin olevista yksiköistä.")</f>
        <v>Se elää sähköllä. Magnemiitti lentää ja lähettää sähkömagneettisia aaltoja kehonsa molemmin puolin olevista yksiköistä.</v>
      </c>
      <c r="C2171" s="9" t="s">
        <v>1344</v>
      </c>
    </row>
    <row r="2172" ht="33.75" customHeight="1">
      <c r="A2172" s="6" t="s">
        <v>3230</v>
      </c>
      <c r="B2172" s="6" t="str">
        <f>IFERROR(__xludf.DUMMYFUNCTION("GOOGLETRANSLATE(A2172,""en"",""fi"")"),"Outo Pokémon, jolla on vain yksi silmä rautapallon sisällä. Epäilen, että tämä olento leijuu käsivarsiensa lähettämän magnetismin vuoksi, jotka muistuttavat hevosenkengän muotoisia magneetteja.")</f>
        <v>Outo Pokémon, jolla on vain yksi silmä rautapallon sisällä. Epäilen, että tämä olento leijuu käsivarsiensa lähettämän magnetismin vuoksi, jotka muistuttavat hevosenkengän muotoisia magneetteja.</v>
      </c>
      <c r="C2172" s="9" t="s">
        <v>1344</v>
      </c>
    </row>
    <row r="2173" ht="33.75" customHeight="1">
      <c r="A2173" s="6" t="s">
        <v>3232</v>
      </c>
      <c r="B2173" s="6" t="str">
        <f>IFERROR(__xludf.DUMMYFUNCTION("GOOGLETRANSLATE(A2173,""en"",""fi"")"),"Muodostuu useista toisiinsa liittyneistä MAGNEMIITEISTA. Ne ilmestyvät usein auringonpilkkujen leimahdusten yhteydessä.")</f>
        <v>Muodostuu useista toisiinsa liittyneistä MAGNEMIITEISTA. Ne ilmestyvät usein auringonpilkkujen leimahdusten yhteydessä.</v>
      </c>
      <c r="C2173" s="9" t="s">
        <v>1344</v>
      </c>
    </row>
    <row r="2174" ht="33.75" customHeight="1">
      <c r="A2174" s="6" t="s">
        <v>3234</v>
      </c>
      <c r="B2174" s="6" t="str">
        <f>IFERROR(__xludf.DUMMYFUNCTION("GOOGLETRANSLATE(A2174,""en"",""fi"")"),"Tuottaa outoja radiosignaaleja. Se nostaa lämpötilaa 3,6 Fahrenheit-astetta 3 300 jalan säteellä.")</f>
        <v>Tuottaa outoja radiosignaaleja. Se nostaa lämpötilaa 3,6 Fahrenheit-astetta 3 300 jalan säteellä.</v>
      </c>
      <c r="C2174" s="9" t="s">
        <v>1344</v>
      </c>
    </row>
    <row r="2175" ht="33.75" customHeight="1">
      <c r="A2175" s="6" t="s">
        <v>3236</v>
      </c>
      <c r="B2175" s="6" t="str">
        <f>IFERROR(__xludf.DUMMYFUNCTION("GOOGLETRANSLATE(A2175,""en"",""fi"")"),"Kolme MAGNEMIITTIA on yhdistetty voimakkaalla magneettisella voimalla. Liian lähelle meneminen voi aiheuttaa korvakipua.")</f>
        <v>Kolme MAGNEMIITTIA on yhdistetty voimakkaalla magneettisella voimalla. Liian lähelle meneminen voi aiheuttaa korvakipua.</v>
      </c>
      <c r="C2175" s="9" t="s">
        <v>1344</v>
      </c>
    </row>
    <row r="2176" ht="33.75" customHeight="1">
      <c r="A2176" s="6" t="s">
        <v>3238</v>
      </c>
      <c r="B2176" s="6" t="str">
        <f>IFERROR(__xludf.DUMMYFUNCTION("GOOGLETRANSLATE(A2176,""en"",""fi"")"),"MAGNEMIITTIA yhdistää niin voimakas magnetismi, että se kuivaa kaiken kosteuden lähiympäristöstään.")</f>
        <v>MAGNEMIITTIA yhdistää niin voimakas magnetismi, että se kuivaa kaiken kosteuden lähiympäristöstään.</v>
      </c>
      <c r="C2176" s="9" t="s">
        <v>1344</v>
      </c>
    </row>
    <row r="2177" ht="33.75" customHeight="1">
      <c r="A2177" s="6" t="s">
        <v>3239</v>
      </c>
      <c r="B2177" s="6" t="str">
        <f>IFERROR(__xludf.DUMMYFUNCTION("GOOGLETRANSLATE(A2177,""en"",""fi"")"),"Kun useita MAGNETONEJA kerääntyy yhteen, syntyvä magneettimyrsky häiritsee radioaaltoja.")</f>
        <v>Kun useita MAGNETONEJA kerääntyy yhteen, syntyvä magneettimyrsky häiritsee radioaaltoja.</v>
      </c>
      <c r="C2177" s="9" t="s">
        <v>1344</v>
      </c>
    </row>
    <row r="2178" ht="33.75" customHeight="1">
      <c r="A2178" s="6" t="s">
        <v>3240</v>
      </c>
      <c r="B2178" s="6" t="str">
        <f>IFERROR(__xludf.DUMMYFUNCTION("GOOGLETRANSLATE(A2178,""en"",""fi"")"),"MAGNETON säteilee voimakasta magneettista voimaa, joka on tappavaa mekaanisille laitteille. Tämän seurauksena suurkaupungit soittavat sireenejä varoittaakseen asukkaita tämän POKéMONin laajamittaisista epidemioista.")</f>
        <v>MAGNETON säteilee voimakasta magneettista voimaa, joka on tappavaa mekaanisille laitteille. Tämän seurauksena suurkaupungit soittavat sireenejä varoittaakseen asukkaita tämän POKéMONin laajamittaisista epidemioista.</v>
      </c>
      <c r="C2178" s="9" t="s">
        <v>1344</v>
      </c>
    </row>
    <row r="2179" ht="33.75" customHeight="1">
      <c r="A2179" s="6" t="s">
        <v>3242</v>
      </c>
      <c r="B2179" s="6" t="str">
        <f>IFERROR(__xludf.DUMMYFUNCTION("GOOGLETRANSLATE(A2179,""en"",""fi"")"),"MAGNETONI säteilee voimakasta magneettista voimaa, joka on tappavaa elektroniikalle ja tarkkuusinstrumenteille. Tästä syystä joidenkin kaupunkien sanotaan varoittavan ihmisiä pitämään tätä POKéMONIA POKé-PALLON sisällä.")</f>
        <v>MAGNETONI säteilee voimakasta magneettista voimaa, joka on tappavaa elektroniikalle ja tarkkuusinstrumenteille. Tästä syystä joidenkin kaupunkien sanotaan varoittavan ihmisiä pitämään tätä POKéMONIA POKé-PALLON sisällä.</v>
      </c>
      <c r="C2179" s="9" t="s">
        <v>1344</v>
      </c>
    </row>
    <row r="2180" ht="33.75" customHeight="1">
      <c r="A2180" s="6" t="s">
        <v>3244</v>
      </c>
      <c r="B2180" s="6" t="str">
        <f>IFERROR(__xludf.DUMMYFUNCTION("GOOGLETRANSLATE(A2180,""en"",""fi"")"),"Se on itse asiassa kolme magneettisesti yhdistettyä MAGNEMIITTIA. Se tuottaa voimakkaita radioaaltoja, jotka nostavat lämpötilaa 1 celsiusasteella 1 000 metrin säteellä.")</f>
        <v>Se on itse asiassa kolme magneettisesti yhdistettyä MAGNEMIITTIA. Se tuottaa voimakkaita radioaaltoja, jotka nostavat lämpötilaa 1 celsiusasteella 1 000 metrin säteellä.</v>
      </c>
      <c r="C2180" s="9" t="s">
        <v>1344</v>
      </c>
    </row>
    <row r="2181" ht="33.75" customHeight="1">
      <c r="A2181" s="6" t="s">
        <v>3245</v>
      </c>
      <c r="B2181" s="6" t="str">
        <f>IFERROR(__xludf.DUMMYFUNCTION("GOOGLETRANSLATE(A2181,""en"",""fi"")"),"Useista MAGNEMIITEISTA muodostunut toisiinsa kytkeytynyt joukko. Se purkaa voimakkaita magneettisia aaltoja korkealla jännitteellä.")</f>
        <v>Useista MAGNEMIITEISTA muodostunut toisiinsa kytkeytynyt joukko. Se purkaa voimakkaita magneettisia aaltoja korkealla jännitteellä.</v>
      </c>
      <c r="C2181" s="9" t="s">
        <v>1344</v>
      </c>
    </row>
    <row r="2182" ht="33.75" customHeight="1">
      <c r="A2182" s="6" t="s">
        <v>3247</v>
      </c>
      <c r="B2182" s="6" t="str">
        <f>IFERROR(__xludf.DUMMYFUNCTION("GOOGLETRANSLATE(A2182,""en"",""fi"")"),"Muodostuu useista toisiinsa liittyneistä magnemiiteista. Ne ilmestyvät usein auringonpilkkujen leimahdusten yhteydessä.")</f>
        <v>Muodostuu useista toisiinsa liittyneistä magnemiiteista. Ne ilmestyvät usein auringonpilkkujen leimahdusten yhteydessä.</v>
      </c>
      <c r="C2182" s="9" t="s">
        <v>1344</v>
      </c>
    </row>
    <row r="2183" ht="33.75" customHeight="1">
      <c r="A2183" s="6" t="s">
        <v>3248</v>
      </c>
      <c r="B2183" s="6" t="str">
        <f>IFERROR(__xludf.DUMMYFUNCTION("GOOGLETRANSLATE(A2183,""en"",""fi"")"),"Se on itse asiassa kolme MAGNEMIITTIA, jotka ovat yhteydessä toisiinsa magnetismin avulla. Ryhmä voi laukaista magneettimyrskyn.")</f>
        <v>Se on itse asiassa kolme MAGNEMIITTIA, jotka ovat yhteydessä toisiinsa magnetismin avulla. Ryhmä voi laukaista magneettimyrskyn.</v>
      </c>
      <c r="C2183" s="9" t="s">
        <v>1344</v>
      </c>
    </row>
    <row r="2184" ht="33.75" customHeight="1">
      <c r="A2184" s="6" t="s">
        <v>3249</v>
      </c>
      <c r="B2184" s="6" t="str">
        <f>IFERROR(__xludf.DUMMYFUNCTION("GOOGLETRANSLATE(A2184,""en"",""fi"")"),"Monet niistä ilmestyvät salaperäisesti, kun aurinkoa täplittää lisää auringonpilkkuja. Ne estävät televisioita näyttämästä kunnolla.")</f>
        <v>Monet niistä ilmestyvät salaperäisesti, kun aurinkoa täplittää lisää auringonpilkkuja. Ne estävät televisioita näyttämästä kunnolla.</v>
      </c>
      <c r="C2184" s="9" t="s">
        <v>1344</v>
      </c>
    </row>
    <row r="2185" ht="33.75" customHeight="1">
      <c r="A2185" s="6" t="s">
        <v>3250</v>
      </c>
      <c r="B2185" s="6" t="str">
        <f>IFERROR(__xludf.DUMMYFUNCTION("GOOGLETRANSLATE(A2185,""en"",""fi"")"),"MAGNEMIITTIA yhdistää niin voimakas magnetismi, että se kuivaa kaiken kosteuden läheisyydessään.")</f>
        <v>MAGNEMIITTIA yhdistää niin voimakas magnetismi, että se kuivaa kaiken kosteuden läheisyydessään.</v>
      </c>
      <c r="C2185" s="9" t="s">
        <v>1344</v>
      </c>
    </row>
    <row r="2186" ht="33.75" customHeight="1">
      <c r="A2186" s="6" t="s">
        <v>3251</v>
      </c>
      <c r="B2186" s="6" t="str">
        <f>IFERROR(__xludf.DUMMYFUNCTION("GOOGLETRANSLATE(A2186,""en"",""fi"")"),"Kolmen toisiinsa kytkeytyneen Magnemiitti-kerroksen voimakkaammat sähkömagneettiset aallot riittävät kuivattamaan ympäröivän kosteuden.")</f>
        <v>Kolmen toisiinsa kytkeytyneen Magnemiitti-kerroksen voimakkaammat sähkömagneettiset aallot riittävät kuivattamaan ympäröivän kosteuden.</v>
      </c>
      <c r="C2186" s="9" t="s">
        <v>1344</v>
      </c>
    </row>
    <row r="2187" ht="33.75" customHeight="1">
      <c r="A2187" s="6" t="s">
        <v>3252</v>
      </c>
      <c r="B2187" s="6" t="str">
        <f>IFERROR(__xludf.DUMMYFUNCTION("GOOGLETRANSLATE(A2187,""en"",""fi"")"),"Useista magnemiiteista muodostunut toisiinsa yhteydessä oleva klusteri. Se purkaa voimakkaita magneettisia aaltoja korkealla jännitteellä.")</f>
        <v>Useista magnemiiteista muodostunut toisiinsa yhteydessä oleva klusteri. Se purkaa voimakkaita magneettisia aaltoja korkealla jännitteellä.</v>
      </c>
      <c r="C2187" s="9" t="s">
        <v>1344</v>
      </c>
    </row>
    <row r="2188" ht="33.75" customHeight="1">
      <c r="A2188" s="6" t="s">
        <v>3253</v>
      </c>
      <c r="B2188" s="6" t="str">
        <f>IFERROR(__xludf.DUMMYFUNCTION("GOOGLETRANSLATE(A2188,""en"",""fi"")"),"Se tuottaa outoja radiosignaaleja. Se nostaa lämpötilaa 3,6 Fahrenheit-astetta 3 300 jalan säteellä.")</f>
        <v>Se tuottaa outoja radiosignaaleja. Se nostaa lämpötilaa 3,6 Fahrenheit-astetta 3 300 jalan säteellä.</v>
      </c>
      <c r="C2188" s="9" t="s">
        <v>1344</v>
      </c>
    </row>
    <row r="2189" ht="33.75" customHeight="1">
      <c r="A2189" s="6" t="s">
        <v>3255</v>
      </c>
      <c r="B2189" s="6" t="str">
        <f>IFERROR(__xludf.DUMMYFUNCTION("GOOGLETRANSLATE(A2189,""en"",""fi"")"),"Magneton säteilee voimakasta magneettista voimaa, joka on tappavaa mekaanisille laitteille. Tämän seurauksena suurkaupungit soittavat sireenejä varoittaakseen asukkaita tämän Pokémonin laajamittaisista epidemioista.")</f>
        <v>Magneton säteilee voimakasta magneettista voimaa, joka on tappavaa mekaanisille laitteille. Tämän seurauksena suurkaupungit soittavat sireenejä varoittaakseen asukkaita tämän Pokémonin laajamittaisista epidemioista.</v>
      </c>
      <c r="C2189" s="9" t="s">
        <v>1344</v>
      </c>
    </row>
    <row r="2190" ht="33.75" customHeight="1">
      <c r="A2190" s="6" t="s">
        <v>3256</v>
      </c>
      <c r="B2190" s="6" t="str">
        <f>IFERROR(__xludf.DUMMYFUNCTION("GOOGLETRANSLATE(A2190,""en"",""fi"")"),"Magneton säteilee voimakasta magneettista voimaa, joka on kohtalokasta elektroniikalle ja tarkkuusinstrumenteille. Tästä syystä joidenkin kaupunkien sanotaan varoittavan ihmisiä pitämään tätä Pokémonia Poképallon sisällä.")</f>
        <v>Magneton säteilee voimakasta magneettista voimaa, joka on kohtalokasta elektroniikalle ja tarkkuusinstrumenteille. Tästä syystä joidenkin kaupunkien sanotaan varoittavan ihmisiä pitämään tätä Pokémonia Poképallon sisällä.</v>
      </c>
      <c r="C2190" s="9" t="s">
        <v>1344</v>
      </c>
    </row>
    <row r="2191" ht="33.75" customHeight="1">
      <c r="A2191" s="6" t="s">
        <v>3257</v>
      </c>
      <c r="B2191" s="6" t="str">
        <f>IFERROR(__xludf.DUMMYFUNCTION("GOOGLETRANSLATE(A2191,""en"",""fi"")"),"Kun kolme magnemiittia yhdistyy, niiden aivot yhdistyvät. Ne eivät tule kolme kertaa älykkäämmiksi.")</f>
        <v>Kun kolme magnemiittia yhdistyy, niiden aivot yhdistyvät. Ne eivät tule kolme kertaa älykkäämmiksi.</v>
      </c>
      <c r="C2191" s="9" t="s">
        <v>1344</v>
      </c>
    </row>
    <row r="2192" ht="33.75" customHeight="1">
      <c r="A2192" s="6" t="s">
        <v>3259</v>
      </c>
      <c r="B2192" s="6" t="str">
        <f>IFERROR(__xludf.DUMMYFUNCTION("GOOGLETRANSLATE(A2192,""en"",""fi"")"),"Sen sähköteho on noin kolme kertaa suurempi kuin Magnemitella. Jostain syystä tämän Pokémonin ilmaantuminen tapahtuu, kun auringonpilkkuja ilmestyy paljon.")</f>
        <v>Sen sähköteho on noin kolme kertaa suurempi kuin Magnemitella. Jostain syystä tämän Pokémonin ilmaantuminen tapahtuu, kun auringonpilkkuja ilmestyy paljon.</v>
      </c>
      <c r="C2192" s="9" t="s">
        <v>1344</v>
      </c>
    </row>
    <row r="2193" ht="33.75" customHeight="1">
      <c r="A2193" s="6" t="s">
        <v>3260</v>
      </c>
      <c r="B2193" s="6" t="str">
        <f>IFERROR(__xludf.DUMMYFUNCTION("GOOGLETRANSLATE(A2193,""en"",""fi"")"),"Herkät laitteet voivat toimia virheellisesti Magnetonin asuttamilla alueilla, jotka lähettävät salaperäisiä sähköisiä signaaleja.")</f>
        <v>Herkät laitteet voivat toimia virheellisesti Magnetonin asuttamilla alueilla, jotka lähettävät salaperäisiä sähköisiä signaaleja.</v>
      </c>
      <c r="C2193" s="9" t="s">
        <v>1344</v>
      </c>
    </row>
    <row r="2194" ht="33.75" customHeight="1">
      <c r="A2194" s="6" t="s">
        <v>3262</v>
      </c>
      <c r="B2194" s="6" t="str">
        <f>IFERROR(__xludf.DUMMYFUNCTION("GOOGLETRANSLATE(A2194,""en"",""fi"")"),"Kun sadepilviä muodostuu, monet magnetonit kerääntyvät korkeille paikoille odottamaan salaman iskemistä.")</f>
        <v>Kun sadepilviä muodostuu, monet magnetonit kerääntyvät korkeille paikoille odottamaan salaman iskemistä.</v>
      </c>
      <c r="C2194" s="9" t="s">
        <v>1344</v>
      </c>
    </row>
    <row r="2195" ht="33.75" customHeight="1">
      <c r="A2195" s="6" t="s">
        <v>3264</v>
      </c>
      <c r="B2195" s="6" t="str">
        <f>IFERROR(__xludf.DUMMYFUNCTION("GOOGLETRANSLATE(A2195,""en"",""fi"")"),"Tämä Pokémon koostuu kolmesta toisiinsa yhdistyneestä Magnemite-pokémonista. Magneton lähettää voimakkaita radioaaltoja tutkiakseen ympäristöään.")</f>
        <v>Tämä Pokémon koostuu kolmesta toisiinsa yhdistyneestä Magnemite-pokémonista. Magneton lähettää voimakkaita radioaaltoja tutkiakseen ympäristöään.</v>
      </c>
      <c r="C2195" s="9" t="s">
        <v>1344</v>
      </c>
    </row>
    <row r="2196" ht="33.75" customHeight="1">
      <c r="A2196" s="6" t="s">
        <v>3265</v>
      </c>
      <c r="B2196" s="6" t="str">
        <f>IFERROR(__xludf.DUMMYFUNCTION("GOOGLETRANSLATE(A2196,""en"",""fi"")"),"Tämä Pokémon tuottaa jatkuvasti voimakasta magneettista voimaa. Useimmat tietokoneet menevät sekaisin, kun magnetoni lähestyy.")</f>
        <v>Tämä Pokémon tuottaa jatkuvasti voimakasta magneettista voimaa. Useimmat tietokoneet menevät sekaisin, kun magnetoni lähestyy.</v>
      </c>
      <c r="C2196" s="9" t="s">
        <v>1344</v>
      </c>
    </row>
    <row r="2197" ht="33.75" customHeight="1">
      <c r="A2197" s="6" t="s">
        <v>3266</v>
      </c>
      <c r="B2197" s="6" t="str">
        <f>IFERROR(__xludf.DUMMYFUNCTION("GOOGLETRANSLATE(A2197,""en"",""fi"")"),"Kolme Magnemiittia kokoontui kehittyäkseen täksi Pokémoniksi. Se aiheutti minulle paljon harmia, sillä sen voimakas magnetismi tuhoaa tutkimuslaitteeni.")</f>
        <v>Kolme Magnemiittia kokoontui kehittyäkseen täksi Pokémoniksi. Se aiheutti minulle paljon harmia, sillä sen voimakas magnetismi tuhoaa tutkimuslaitteeni.</v>
      </c>
      <c r="C2197" s="9" t="s">
        <v>1344</v>
      </c>
    </row>
    <row r="2198" ht="33.75" customHeight="1">
      <c r="A2198" s="6" t="s">
        <v>3268</v>
      </c>
      <c r="B2198" s="6" t="str">
        <f>IFERROR(__xludf.DUMMYFUNCTION("GOOGLETRANSLATE(A2198,""en"",""fi"")"),"Sen kädessään pitelemä vihreän sipulin oksa on sen ase. Sitä käytetään paljolti kuin metallista miekkaa.")</f>
        <v>Sen kädessään pitelemä vihreän sipulin oksa on sen ase. Sitä käytetään paljolti kuin metallista miekkaa.</v>
      </c>
      <c r="C2198" s="9" t="s">
        <v>1344</v>
      </c>
    </row>
    <row r="2199" ht="33.75" customHeight="1">
      <c r="A2199" s="6" t="s">
        <v>3269</v>
      </c>
      <c r="B2199" s="6" t="str">
        <f>IFERROR(__xludf.DUMMYFUNCTION("GOOGLETRANSLATE(A2199,""en"",""fi"")"),"Elää siellä, missä ruokokasvit kasvavat. Niitä näkee harvoin, joten niiden määrän uskotaan olevan vähenemässä.")</f>
        <v>Elää siellä, missä ruokokasvit kasvavat. Niitä näkee harvoin, joten niiden määrän uskotaan olevan vähenemässä.</v>
      </c>
      <c r="C2199" s="9" t="s">
        <v>1344</v>
      </c>
    </row>
    <row r="2200" ht="33.75" customHeight="1">
      <c r="A2200" s="6" t="s">
        <v>3271</v>
      </c>
      <c r="B2200" s="6" t="str">
        <f>IFERROR(__xludf.DUMMYFUNCTION("GOOGLETRANSLATE(A2200,""en"",""fi"")"),"Jos joku yrittää häiritä välttämättömien kasvien oksien kasvupaikkoja, se käyttää omaa oksiaan estääkseen heitä.")</f>
        <v>Jos joku yrittää häiritä välttämättömien kasvien oksien kasvupaikkoja, se käyttää omaa oksiaan estääkseen heitä.</v>
      </c>
      <c r="C2200" s="9" t="s">
        <v>1344</v>
      </c>
    </row>
    <row r="2201" ht="33.75" customHeight="1">
      <c r="A2201" s="6" t="s">
        <v>3273</v>
      </c>
      <c r="B2201" s="6" t="str">
        <f>IFERROR(__xludf.DUMMYFUNCTION("GOOGLETRANSLATE(A2201,""en"",""fi"")"),"Jos se syö hätämuonana kantamansa kasvitikun, se juoksee etsimään uutta tikkua.")</f>
        <v>Jos se syö hätämuonana kantamansa kasvitikun, se juoksee etsimään uutta tikkua.</v>
      </c>
      <c r="C2201" s="9" t="s">
        <v>1344</v>
      </c>
    </row>
    <row r="2202" ht="33.75" customHeight="1">
      <c r="A2202" s="6" t="s">
        <v>3274</v>
      </c>
      <c r="B2202" s="6" t="str">
        <f>IFERROR(__xludf.DUMMYFUNCTION("GOOGLETRANSLATE(A2202,""en"",""fi"")"),"Estääkseen niiden sukupuuton yhä useammat ihmiset ovat pyrkineet jalostamaan näitä POKéMONEJA.")</f>
        <v>Estääkseen niiden sukupuuton yhä useammat ihmiset ovat pyrkineet jalostamaan näitä POKéMONEJA.</v>
      </c>
      <c r="C2202" s="9" t="s">
        <v>1344</v>
      </c>
    </row>
    <row r="2203" ht="33.75" customHeight="1">
      <c r="A2203" s="6" t="s">
        <v>3275</v>
      </c>
      <c r="B2203" s="6" t="str">
        <f>IFERROR(__xludf.DUMMYFUNCTION("GOOGLETRANSLATE(A2203,""en"",""fi"")"),"FARFETCH’D nähdään aina jonkin kasvin kepin kanssa. Ilmeisesti on olemassa hyviä ja huonoja keppejä. Tämä POKéMON on tunnettu siitä, että se tappelee muiden kanssa kepeistä.")</f>
        <v>FARFETCH’D nähdään aina jonkin kasvin kepin kanssa. Ilmeisesti on olemassa hyviä ja huonoja keppejä. Tämä POKéMON on tunnettu siitä, että se tappelee muiden kanssa kepeistä.</v>
      </c>
      <c r="C2203" s="9" t="s">
        <v>1344</v>
      </c>
    </row>
    <row r="2204" ht="33.75" customHeight="1">
      <c r="A2204" s="6" t="s">
        <v>3276</v>
      </c>
      <c r="B2204" s="6" t="str">
        <f>IFERROR(__xludf.DUMMYFUNCTION("GOOGLETRANSLATE(A2204,""en"",""fi"")"),"Se nähdään aina kasvin kepin kanssa. Ilmeisesti on olemassa hyviä ja huonoja keppejä. Tämä POKéMON tappelee toisinaan muiden kanssa valituista kepeistä.")</f>
        <v>Se nähdään aina kasvin kepin kanssa. Ilmeisesti on olemassa hyviä ja huonoja keppejä. Tämä POKéMON tappelee toisinaan muiden kanssa valituista kepeistä.</v>
      </c>
      <c r="C2204" s="9" t="s">
        <v>1344</v>
      </c>
    </row>
    <row r="2205" ht="33.75" customHeight="1">
      <c r="A2205" s="6" t="s">
        <v>3277</v>
      </c>
      <c r="B2205" s="6" t="str">
        <f>IFERROR(__xludf.DUMMYFUNCTION("GOOGLETRANSLATE(A2205,""en"",""fi"")"),"Se kävelee aina kasvin varsi nokassaan. Vartta se käyttää pesän rakentamiseen.")</f>
        <v>Se kävelee aina kasvin varsi nokassaan. Vartta se käyttää pesän rakentamiseen.</v>
      </c>
      <c r="C2205" s="9" t="s">
        <v>1344</v>
      </c>
    </row>
    <row r="2206" ht="33.75" customHeight="1">
      <c r="A2206" s="6" t="s">
        <v>3278</v>
      </c>
      <c r="B2206" s="6" t="str">
        <f>IFERROR(__xludf.DUMMYFUNCTION("GOOGLETRANSLATE(A2206,""en"",""fi"")"),"Sen kädessään oleva kasvin varsi on sen ase. Vartta käytetään kuin miekkaa kaikenlaisten asioiden leikkaamiseen.")</f>
        <v>Sen kädessään oleva kasvin varsi on sen ase. Vartta käytetään kuin miekkaa kaikenlaisten asioiden leikkaamiseen.</v>
      </c>
      <c r="C2206" s="9" t="s">
        <v>1344</v>
      </c>
    </row>
    <row r="2207" ht="33.75" customHeight="1">
      <c r="A2207" s="6" t="s">
        <v>3279</v>
      </c>
      <c r="B2207" s="6" t="str">
        <f>IFERROR(__xludf.DUMMYFUNCTION("GOOGLETRANSLATE(A2207,""en"",""fi"")"),"Se ei voi elää ilman vartta, jota se pitää kiinni. Siksi se puolustaa vartta hyökkääjiltä elämällään.")</f>
        <v>Se ei voi elää ilman vartta, jota se pitää kiinni. Siksi se puolustaa vartta hyökkääjiltä elämällään.</v>
      </c>
      <c r="C2207" s="9" t="s">
        <v>1344</v>
      </c>
    </row>
    <row r="2208" ht="33.75" customHeight="1">
      <c r="A2208" s="6" t="s">
        <v>3281</v>
      </c>
      <c r="B2208" s="6" t="str">
        <f>IFERROR(__xludf.DUMMYFUNCTION("GOOGLETRANSLATE(A2208,""en"",""fi"")"),"Jos joku yrittää häiritä välttämättömien kasvien varsien kasvupaikkoja, se käyttää omaa varttaan estääkseen niitä.")</f>
        <v>Jos joku yrittää häiritä välttämättömien kasvien varsien kasvupaikkoja, se käyttää omaa varttaan estääkseen niitä.</v>
      </c>
      <c r="C2208" s="9" t="s">
        <v>1344</v>
      </c>
    </row>
    <row r="2209" ht="33.75" customHeight="1">
      <c r="A2209" s="6" t="s">
        <v>3282</v>
      </c>
      <c r="B2209" s="6" t="str">
        <f>IFERROR(__xludf.DUMMYFUNCTION("GOOGLETRANSLATE(A2209,""en"",""fi"")"),"Jos se syö hätämuonaa kantamansa kasvin varren, se juoksee etsimään uutta vartta.")</f>
        <v>Jos se syö hätämuonaa kantamansa kasvin varren, se juoksee etsimään uutta vartta.</v>
      </c>
      <c r="C2209" s="9" t="s">
        <v>1344</v>
      </c>
    </row>
    <row r="2210" ht="33.75" customHeight="1">
      <c r="A2210" s="6" t="s">
        <v>3286</v>
      </c>
      <c r="B2210" s="6" t="str">
        <f>IFERROR(__xludf.DUMMYFUNCTION("GOOGLETRANSLATE(A2210,""en"",""fi"")"),"Farfetch’d nähdään aina jonkin kasvin varren kanssa. Ilmeisesti on olemassa hyviä ja huonoja varsia. Tämä Pokémon tunnetaan siitä, että se taistelee muiden kanssa varsista.")</f>
        <v>Farfetch’d nähdään aina jonkin kasvin varren kanssa. Ilmeisesti on olemassa hyviä ja huonoja varsia. Tämä Pokémon tunnetaan siitä, että se taistelee muiden kanssa varsista.</v>
      </c>
      <c r="C2210" s="9" t="s">
        <v>1344</v>
      </c>
    </row>
    <row r="2211" ht="33.75" customHeight="1">
      <c r="A2211" s="6" t="s">
        <v>3288</v>
      </c>
      <c r="B2211" s="6" t="str">
        <f>IFERROR(__xludf.DUMMYFUNCTION("GOOGLETRANSLATE(A2211,""en"",""fi"")"),"Ne elävät siellä missä ruokokasvit kasvavat. Farfetch’dejä näkee harvoin, joten niiden määrän uskotaan olevan vähenemässä.")</f>
        <v>Ne elävät siellä missä ruokokasvit kasvavat. Farfetch’dejä näkee harvoin, joten niiden määrän uskotaan olevan vähenemässä.</v>
      </c>
      <c r="C2211" s="9" t="s">
        <v>1344</v>
      </c>
    </row>
    <row r="2212" ht="33.75" customHeight="1">
      <c r="A2212" s="6" t="s">
        <v>3290</v>
      </c>
      <c r="B2212" s="6" t="str">
        <f>IFERROR(__xludf.DUMMYFUNCTION("GOOGLETRANSLATE(A2212,""en"",""fi"")"),"Tämän Pokémonin siivissä oleva varsi toimii miekkana vastustajien kaatamiseen. Vaikeassa tilanteessa varsi voi toimia myös ruokana.")</f>
        <v>Tämän Pokémonin siivissä oleva varsi toimii miekkana vastustajien kaatamiseen. Vaikeassa tilanteessa varsi voi toimia myös ruokana.</v>
      </c>
      <c r="C2212" s="9" t="s">
        <v>1344</v>
      </c>
    </row>
    <row r="2213" ht="33.75" customHeight="1">
      <c r="A2213" s="6" t="s">
        <v>3291</v>
      </c>
      <c r="B2213" s="6" t="str">
        <f>IFERROR(__xludf.DUMMYFUNCTION("GOOGLETRANSLATE(A2213,""en"",""fi"")"),"Ne käyttävät aseena kasvin vartta, mutta eivät kaikki käytä sitä samalla tavalla. On havaittu useita erilaisia ​​varsitaistelutyylejä.")</f>
        <v>Ne käyttävät aseena kasvin vartta, mutta eivät kaikki käytä sitä samalla tavalla. On havaittu useita erilaisia ​​varsitaistelutyylejä.</v>
      </c>
      <c r="C2213" s="9" t="s">
        <v>1344</v>
      </c>
    </row>
    <row r="2214" ht="33.75" customHeight="1">
      <c r="A2214" s="6" t="s">
        <v>3293</v>
      </c>
      <c r="B2214" s="6" t="str">
        <f>IFERROR(__xludf.DUMMYFUNCTION("GOOGLETRANSLATE(A2214,""en"",""fi"")"),"Lintu, joka korvaa huonon lentonsa nopealla askelnopeudellaan. Jättää jättimäisiä jalanjälkiä.")</f>
        <v>Lintu, joka korvaa huonon lentonsa nopealla askelnopeudellaan. Jättää jättimäisiä jalanjälkiä.</v>
      </c>
      <c r="C2214" s="9" t="s">
        <v>1344</v>
      </c>
    </row>
    <row r="2215" ht="33.75" customHeight="1">
      <c r="A2215" s="6" t="s">
        <v>3295</v>
      </c>
      <c r="B2215" s="6" t="str">
        <f>IFERROR(__xludf.DUMMYFUNCTION("GOOGLETRANSLATE(A2215,""en"",""fi"")"),"Sen lyhyet siivet tekevät lentämisestä vaikeaa. Sen sijaan tämä POKéMON juoksee kovaa vauhtia kehittyneillä jaloilla.")</f>
        <v>Sen lyhyet siivet tekevät lentämisestä vaikeaa. Sen sijaan tämä POKéMON juoksee kovaa vauhtia kehittyneillä jaloilla.</v>
      </c>
      <c r="C2215" s="9" t="s">
        <v>1344</v>
      </c>
    </row>
    <row r="2216" ht="33.75" customHeight="1">
      <c r="A2216" s="6" t="s">
        <v>3297</v>
      </c>
      <c r="B2216" s="6" t="str">
        <f>IFERROR(__xludf.DUMMYFUNCTION("GOOGLETRANSLATE(A2216,""en"",""fi"")"),"Nostamalla ja laskemalla vuorotellen kahta päätään se tasapainottaa itseään ja on vakaampi juostessa.")</f>
        <v>Nostamalla ja laskemalla vuorotellen kahta päätään se tasapainottaa itseään ja on vakaampi juostessa.</v>
      </c>
      <c r="C2216" s="9" t="s">
        <v>1344</v>
      </c>
    </row>
    <row r="2217" ht="33.75" customHeight="1">
      <c r="A2217" s="6" t="s">
        <v>3299</v>
      </c>
      <c r="B2217" s="6" t="str">
        <f>IFERROR(__xludf.DUMMYFUNCTION("GOOGLETRANSLATE(A2217,""en"",""fi"")"),"Se juoksee ruohoisten tasankojen läpi voimakkain askelin jättäen jälkeensä jopa kymmenen senttimetrin syvyisiä jalanjälkiä.")</f>
        <v>Se juoksee ruohoisten tasankojen läpi voimakkain askelin jättäen jälkeensä jopa kymmenen senttimetrin syvyisiä jalanjälkiä.</v>
      </c>
      <c r="C2217" s="9" t="s">
        <v>1344</v>
      </c>
    </row>
    <row r="2218" ht="33.75" customHeight="1">
      <c r="A2218" s="6" t="s">
        <v>3301</v>
      </c>
      <c r="B2218" s="6" t="str">
        <f>IFERROR(__xludf.DUMMYFUNCTION("GOOGLETRANSLATE(A2218,""en"",""fi"")"),"Se elää ruohoisella tasangolla, josta se näkee kauas. Jos se näkee vihollisen, se juoksee karkuun 95 km/h nopeudella.")</f>
        <v>Se elää ruohoisella tasangolla, josta se näkee kauas. Jos se näkee vihollisen, se juoksee karkuun 95 km/h nopeudella.</v>
      </c>
      <c r="C2218" s="9" t="s">
        <v>1344</v>
      </c>
    </row>
    <row r="2219" ht="33.75" customHeight="1">
      <c r="A2219" s="6" t="s">
        <v>3303</v>
      </c>
      <c r="B2219" s="6" t="str">
        <f>IFERROR(__xludf.DUMMYFUNCTION("GOOGLETRANSLATE(A2219,""en"",""fi"")"),"DODUOn kaksi päätä eivät koskaan nuku samaan aikaan. Sen kaksi päätä nukkuvat vuorotellen, joten toinen pää voi aina pitää silmällä vihollisia, kun toinen nukkuu.")</f>
        <v>DODUOn kaksi päätä eivät koskaan nuku samaan aikaan. Sen kaksi päätä nukkuvat vuorotellen, joten toinen pää voi aina pitää silmällä vihollisia, kun toinen nukkuu.</v>
      </c>
      <c r="C2219" s="9" t="s">
        <v>1344</v>
      </c>
    </row>
    <row r="2220" ht="33.75" customHeight="1">
      <c r="A2220" s="6" t="s">
        <v>3305</v>
      </c>
      <c r="B2220" s="6" t="str">
        <f>IFERROR(__xludf.DUMMYFUNCTION("GOOGLETRANSLATE(A2220,""en"",""fi"")"),"DODUOn kahdessa päässä on täysin identtiset aivot. Tieteellinen tutkimus raportoi, että harvinaisissa tapauksissa tällä POKéMONilla on erilaiset aivot.")</f>
        <v>DODUOn kahdessa päässä on täysin identtiset aivot. Tieteellinen tutkimus raportoi, että harvinaisissa tapauksissa tällä POKéMONilla on erilaiset aivot.</v>
      </c>
      <c r="C2220" s="9" t="s">
        <v>1344</v>
      </c>
    </row>
    <row r="2221" ht="33.75" customHeight="1">
      <c r="A2221" s="6" t="s">
        <v>3307</v>
      </c>
      <c r="B2221" s="6" t="str">
        <f>IFERROR(__xludf.DUMMYFUNCTION("GOOGLETRANSLATE(A2221,""en"",""fi"")"),"Syödessään tai nukkuessaan toinen päistä pysyy aina valppaana vaaran varalta. Uhkaantuessaan se pakenee yli 95 kilometrin tuntinopeudella.")</f>
        <v>Syödessään tai nukkuessaan toinen päistä pysyy aina valppaana vaaran varalta. Uhkaantuessaan se pakenee yli 95 kilometrin tuntinopeudella.</v>
      </c>
      <c r="C2221" s="9" t="s">
        <v>1344</v>
      </c>
    </row>
    <row r="2222" ht="33.75" customHeight="1">
      <c r="A2222" s="6" t="s">
        <v>3309</v>
      </c>
      <c r="B2222" s="6" t="str">
        <f>IFERROR(__xludf.DUMMYFUNCTION("GOOGLETRANSLATE(A2222,""en"",""fi"")"),"Kaksipäinen POKéMON, joka löydettiin äkillisenä mutaationa. Se juoksee yli 95 kilometrin tuntinopeudella.")</f>
        <v>Kaksipäinen POKéMON, joka löydettiin äkillisenä mutaationa. Se juoksee yli 95 kilometrin tuntinopeudella.</v>
      </c>
      <c r="C2222" s="9" t="s">
        <v>1344</v>
      </c>
    </row>
    <row r="2223" ht="33.75" customHeight="1">
      <c r="A2223" s="6" t="s">
        <v>3310</v>
      </c>
      <c r="B2223" s="6" t="str">
        <f>IFERROR(__xludf.DUMMYFUNCTION("GOOGLETRANSLATE(A2223,""en"",""fi"")"),"Sen kahden pään aivot näyttävät kommunikoivan tunteita toisilleen telepaattisella voimalla.")</f>
        <v>Sen kahden pään aivot näyttävät kommunikoivan tunteita toisilleen telepaattisella voimalla.</v>
      </c>
      <c r="C2223" s="9" t="s">
        <v>1344</v>
      </c>
    </row>
    <row r="2224" ht="33.75" customHeight="1">
      <c r="A2224" s="6" t="s">
        <v>3312</v>
      </c>
      <c r="B2224" s="6" t="str">
        <f>IFERROR(__xludf.DUMMYFUNCTION("GOOGLETRANSLATE(A2224,""en"",""fi"")"),"Nostamalla ja laskemalla vuorotellen kahta päätään se tasapainottaa itseään ja on vakaampi juostessa.")</f>
        <v>Nostamalla ja laskemalla vuorotellen kahta päätään se tasapainottaa itseään ja on vakaampi juostessa.</v>
      </c>
      <c r="C2224" s="9" t="s">
        <v>1344</v>
      </c>
    </row>
    <row r="2225" ht="33.75" customHeight="1">
      <c r="A2225" s="6" t="s">
        <v>3314</v>
      </c>
      <c r="B2225" s="6" t="str">
        <f>IFERROR(__xludf.DUMMYFUNCTION("GOOGLETRANSLATE(A2225,""en"",""fi"")"),"Kaksipäinen Pokémon, joka löydettiin äkillisenä mutaationa. Se juoksee yli 95 kilometrin tuntinopeudella.")</f>
        <v>Kaksipäinen Pokémon, joka löydettiin äkillisenä mutaationa. Se juoksee yli 95 kilometrin tuntinopeudella.</v>
      </c>
      <c r="C2225" s="9" t="s">
        <v>1344</v>
      </c>
    </row>
    <row r="2226" ht="33.75" customHeight="1">
      <c r="A2226" s="6" t="s">
        <v>3316</v>
      </c>
      <c r="B2226" s="6" t="str">
        <f>IFERROR(__xludf.DUMMYFUNCTION("GOOGLETRANSLATE(A2226,""en"",""fi"")"),"Doduon kaksi päätä eivät koskaan nuku samaan aikaan. Sen kaksi päätä nukkuvat vuorotellen, joten toinen pää voi aina pitää silmällä vihollisia, kun toinen nukkuu.")</f>
        <v>Doduon kaksi päätä eivät koskaan nuku samaan aikaan. Sen kaksi päätä nukkuvat vuorotellen, joten toinen pää voi aina pitää silmällä vihollisia, kun toinen nukkuu.</v>
      </c>
      <c r="C2226" s="9" t="s">
        <v>1344</v>
      </c>
    </row>
    <row r="2227" ht="33.75" customHeight="1">
      <c r="A2227" s="6" t="s">
        <v>3318</v>
      </c>
      <c r="B2227" s="6" t="str">
        <f>IFERROR(__xludf.DUMMYFUNCTION("GOOGLETRANSLATE(A2227,""en"",""fi"")"),"Doduon kahdessa päässä on täysin identtiset aivot. Tieteellinen tutkimus raportoi, että harvinaisissa tapauksissa tällä Pokémonilla on erilaiset aivot.")</f>
        <v>Doduon kahdessa päässä on täysin identtiset aivot. Tieteellinen tutkimus raportoi, että harvinaisissa tapauksissa tällä Pokémonilla on erilaiset aivot.</v>
      </c>
      <c r="C2227" s="9" t="s">
        <v>1344</v>
      </c>
    </row>
    <row r="2228" ht="33.75" customHeight="1">
      <c r="A2228" s="6" t="s">
        <v>3320</v>
      </c>
      <c r="B2228" s="6" t="str">
        <f>IFERROR(__xludf.DUMMYFUNCTION("GOOGLETRANSLATE(A2228,""en"",""fi"")"),"Sen lyhyet siivet tekevät lentämisestä vaikeaa. Sen sijaan tämä Pokémon juoksee kovaa vauhtia kehittyneillä jaloilla.")</f>
        <v>Sen lyhyet siivet tekevät lentämisestä vaikeaa. Sen sijaan tämä Pokémon juoksee kovaa vauhtia kehittyneillä jaloilla.</v>
      </c>
      <c r="C2228" s="9" t="s">
        <v>1344</v>
      </c>
    </row>
    <row r="2229" ht="33.75" customHeight="1">
      <c r="A2229" s="6" t="s">
        <v>3321</v>
      </c>
      <c r="B2229" s="6" t="str">
        <f>IFERROR(__xludf.DUMMYFUNCTION("GOOGLETRANSLATE(A2229,""en"",""fi"")"),"Käyttää kolmea aivoaan monimutkaisten suunnitelmien toteuttamiseen. Kahden pään nukkuessa yksi pysyy hereillä.")</f>
        <v>Käyttää kolmea aivoaan monimutkaisten suunnitelmien toteuttamiseen. Kahden pään nukkuessa yksi pysyy hereillä.</v>
      </c>
      <c r="C2229" s="9" t="s">
        <v>1344</v>
      </c>
    </row>
    <row r="2230" ht="33.75" customHeight="1">
      <c r="A2230" s="6" t="s">
        <v>3322</v>
      </c>
      <c r="B2230" s="6" t="str">
        <f>IFERROR(__xludf.DUMMYFUNCTION("GOOGLETRANSLATE(A2230,""en"",""fi"")"),"Toinen DODUOn kahdesta päästä jakautuu muodostaen ainutlaatuisen lajin. Se liikkuu preerioilla lähes 65 kilometriä tunnissa.")</f>
        <v>Toinen DODUOn kahdesta päästä jakautuu muodostaen ainutlaatuisen lajin. Se liikkuu preerioilla lähes 65 kilometriä tunnissa.</v>
      </c>
      <c r="C2230" s="9" t="s">
        <v>1344</v>
      </c>
    </row>
    <row r="2231" ht="33.75" customHeight="1">
      <c r="A2231" s="6" t="s">
        <v>3324</v>
      </c>
      <c r="B2231" s="6" t="str">
        <f>IFERROR(__xludf.DUMMYFUNCTION("GOOGLETRANSLATE(A2231,""en"",""fi"")"),"Se kerää tietoa ja suunnittelee kolme kertaa viisaammin, mutta se saattaa ajatella liikaa ja lamaantua.")</f>
        <v>Se kerää tietoa ja suunnittelee kolme kertaa viisaammin, mutta se saattaa ajatella liikaa ja lamaantua.</v>
      </c>
      <c r="C2231" s="9" t="s">
        <v>1344</v>
      </c>
    </row>
    <row r="2232" ht="33.75" customHeight="1">
      <c r="A2232" s="6" t="s">
        <v>3325</v>
      </c>
      <c r="B2232" s="6" t="str">
        <f>IFERROR(__xludf.DUMMYFUNCTION("GOOGLETRANSLATE(A2232,""en"",""fi"")"),"Jos yksi päistä saa syödä, muutkin tulevat kylläisiksi eivätkä ne enää riitele.")</f>
        <v>Jos yksi päistä saa syödä, muutkin tulevat kylläisiksi eivätkä ne enää riitele.</v>
      </c>
      <c r="C2232" s="9" t="s">
        <v>1344</v>
      </c>
    </row>
    <row r="2233" ht="33.75" customHeight="1">
      <c r="A2233" s="6" t="s">
        <v>3326</v>
      </c>
      <c r="B2233" s="6" t="str">
        <f>IFERROR(__xludf.DUMMYFUNCTION("GOOGLETRANSLATE(A2233,""en"",""fi"")"),"Vihollinen, joka irrottaa katseensa mistä tahansa kolmesta päästä – edes sekunniksi – saa ankaran nokkaiskun.")</f>
        <v>Vihollinen, joka irrottaa katseensa mistä tahansa kolmesta päästä – edes sekunniksi – saa ankaran nokkaiskun.</v>
      </c>
      <c r="C2233" s="9" t="s">
        <v>1344</v>
      </c>
    </row>
    <row r="2234" ht="33.75" customHeight="1">
      <c r="A2234" s="6" t="s">
        <v>3327</v>
      </c>
      <c r="B2234" s="6" t="str">
        <f>IFERROR(__xludf.DUMMYFUNCTION("GOOGLETRANSLATE(A2234,""en"",""fi"")"),"Varo, jos DODRIOn kolme päätä katsovat kolmeen eri suuntaan. Se on varma merkki siitä, että se on varuillaan. Älä mene lähelle tätä POKéMONIA, jos se on varuillaan – se saattaa päättää nokkia sinua.")</f>
        <v>Varo, jos DODRIOn kolme päätä katsovat kolmeen eri suuntaan. Se on varma merkki siitä, että se on varuillaan. Älä mene lähelle tätä POKéMONIA, jos se on varuillaan – se saattaa päättää nokkia sinua.</v>
      </c>
      <c r="C2234" s="9" t="s">
        <v>1344</v>
      </c>
    </row>
    <row r="2235" ht="33.75" customHeight="1">
      <c r="A2235" s="6" t="s">
        <v>3328</v>
      </c>
      <c r="B2235" s="6" t="str">
        <f>IFERROR(__xludf.DUMMYFUNCTION("GOOGLETRANSLATE(A2235,""en"",""fi"")"),"Ilmeisesti päät eivät ole ainoat ruumiinosia, joita DODRIOlla on kolme. Sillä on myös kolme sydäntä ja keuhkoja, joten se pystyy juoksemaan pitkiä matkoja ilman lepoa.")</f>
        <v>Ilmeisesti päät eivät ole ainoat ruumiinosia, joita DODRIOlla on kolme. Sillä on myös kolme sydäntä ja keuhkoja, joten se pystyy juoksemaan pitkiä matkoja ilman lepoa.</v>
      </c>
      <c r="C2235" s="9" t="s">
        <v>1344</v>
      </c>
    </row>
    <row r="2236" ht="33.75" customHeight="1">
      <c r="A2236" s="6" t="s">
        <v>3330</v>
      </c>
      <c r="B2236" s="6" t="str">
        <f>IFERROR(__xludf.DUMMYFUNCTION("GOOGLETRANSLATE(A2236,""en"",""fi"")"),"Erikoinen kolmipäinen POKéMON-laji. Se kiipeää raivokkaasti ruohoisten tasankojen yli jopa kuivina ja vähäsateisina vuodenaikoina.")</f>
        <v>Erikoinen kolmipäinen POKéMON-laji. Se kiipeää raivokkaasti ruohoisten tasankojen yli jopa kuivina ja vähäsateisina vuodenaikoina.</v>
      </c>
      <c r="C2236" s="9" t="s">
        <v>1344</v>
      </c>
    </row>
    <row r="2237" ht="33.75" customHeight="1">
      <c r="A2237" s="6" t="s">
        <v>3332</v>
      </c>
      <c r="B2237" s="6" t="str">
        <f>IFERROR(__xludf.DUMMYFUNCTION("GOOGLETRANSLATE(A2237,""en"",""fi"")"),"Harvinainen ja outo laji. Kolme päätä symboloivat iloa, surua ja vihaa.")</f>
        <v>Harvinainen ja outo laji. Kolme päätä symboloivat iloa, surua ja vihaa.</v>
      </c>
      <c r="C2237" s="9" t="s">
        <v>1344</v>
      </c>
    </row>
    <row r="2238" ht="33.75" customHeight="1">
      <c r="A2238" s="6" t="s">
        <v>3334</v>
      </c>
      <c r="B2238" s="6" t="str">
        <f>IFERROR(__xludf.DUMMYFUNCTION("GOOGLETRANSLATE(A2238,""en"",""fi"")"),"Käyttää kolmea aivoaan monimutkaisten suunnitelmien toteuttamiseen. Kahden pään nukkuessa toisen sanotaan pysyvän hereillä.")</f>
        <v>Käyttää kolmea aivoaan monimutkaisten suunnitelmien toteuttamiseen. Kahden pään nukkuessa toisen sanotaan pysyvän hereillä.</v>
      </c>
      <c r="C2238" s="9" t="s">
        <v>1344</v>
      </c>
    </row>
    <row r="2239" ht="33.75" customHeight="1">
      <c r="A2239" s="6" t="s">
        <v>3336</v>
      </c>
      <c r="B2239" s="6" t="str">
        <f>IFERROR(__xludf.DUMMYFUNCTION("GOOGLETRANSLATE(A2239,""en"",""fi"")"),"Kun DODUO kehittyy täksi omituiseksi roduksi, toinen sen päistä jakautuu kahtia. Se juoksee lähes 64 km/h nopeudella.")</f>
        <v>Kun DODUO kehittyy täksi omituiseksi roduksi, toinen sen päistä jakautuu kahtia. Se juoksee lähes 64 km/h nopeudella.</v>
      </c>
      <c r="C2239" s="9" t="s">
        <v>1344</v>
      </c>
    </row>
    <row r="2240" ht="33.75" customHeight="1">
      <c r="A2240" s="6" t="s">
        <v>3338</v>
      </c>
      <c r="B2240" s="6" t="str">
        <f>IFERROR(__xludf.DUMMYFUNCTION("GOOGLETRANSLATE(A2240,""en"",""fi"")"),"Se kerää tietoa ja suunnittelee kolme kertaa viisaammin, mutta se saattaa ajatella liikaa ja vaipua liikkumattomuuden tilaan.")</f>
        <v>Se kerää tietoa ja suunnittelee kolme kertaa viisaammin, mutta se saattaa ajatella liikaa ja vaipua liikkumattomuuden tilaan.</v>
      </c>
      <c r="C2240" s="9" t="s">
        <v>1344</v>
      </c>
    </row>
    <row r="2241" ht="33.75" customHeight="1">
      <c r="A2241" s="6" t="s">
        <v>3340</v>
      </c>
      <c r="B2241" s="6" t="str">
        <f>IFERROR(__xludf.DUMMYFUNCTION("GOOGLETRANSLATE(A2241,""en"",""fi"")"),"Kun doduosta kehittyy tämä omituinen rotu, toinen sen päistä jakautuu kahtia. Se juoksee lähes 64 km/h nopeudella.")</f>
        <v>Kun doduosta kehittyy tämä omituinen rotu, toinen sen päistä jakautuu kahtia. Se juoksee lähes 64 km/h nopeudella.</v>
      </c>
      <c r="C2241" s="9" t="s">
        <v>1344</v>
      </c>
    </row>
    <row r="2242" ht="33.75" customHeight="1">
      <c r="A2242" s="6" t="s">
        <v>3342</v>
      </c>
      <c r="B2242" s="6" t="str">
        <f>IFERROR(__xludf.DUMMYFUNCTION("GOOGLETRANSLATE(A2242,""en"",""fi"")"),"Varo, jos Dodrion kolme päätä katsovat kolmeen eri suuntaan. Se on varma merkki siitä, että se on varuillaan. Älä mene lähelle tätä Pokémonia, jos se on varuillaan – se saattaa päättää nokkia sinua.")</f>
        <v>Varo, jos Dodrion kolme päätä katsovat kolmeen eri suuntaan. Se on varma merkki siitä, että se on varuillaan. Älä mene lähelle tätä Pokémonia, jos se on varuillaan – se saattaa päättää nokkia sinua.</v>
      </c>
      <c r="C2242" s="9" t="s">
        <v>1344</v>
      </c>
    </row>
    <row r="2243" ht="33.75" customHeight="1">
      <c r="A2243" s="6" t="s">
        <v>3344</v>
      </c>
      <c r="B2243" s="6" t="str">
        <f>IFERROR(__xludf.DUMMYFUNCTION("GOOGLETRANSLATE(A2243,""en"",""fi"")"),"Ilmeisesti Dodriolla ei ole ainoita ruumiinosia, joita sillä on kolme. Sillä on myös kolme sydäntä ja keuhkoja, joten se pystyy juoksemaan pitkiä matkoja ilman lepoa.")</f>
        <v>Ilmeisesti Dodriolla ei ole ainoita ruumiinosia, joita sillä on kolme. Sillä on myös kolme sydäntä ja keuhkoja, joten se pystyy juoksemaan pitkiä matkoja ilman lepoa.</v>
      </c>
      <c r="C2243" s="9" t="s">
        <v>1344</v>
      </c>
    </row>
    <row r="2244" ht="33.75" customHeight="1">
      <c r="A2244" s="6" t="s">
        <v>3347</v>
      </c>
      <c r="B2244" s="6" t="str">
        <f>IFERROR(__xludf.DUMMYFUNCTION("GOOGLETRANSLATE(A2244,""en"",""fi"")"),"Toinen doduon kahdesta päästä jakautuu muodostaen ainutlaatuisen lajin. Se juoksee preerioilla lähes 64 km/h nopeudella.")</f>
        <v>Toinen doduon kahdesta päästä jakautuu muodostaen ainutlaatuisen lajin. Se juoksee preerioilla lähes 64 km/h nopeudella.</v>
      </c>
      <c r="C2244" s="9" t="s">
        <v>1344</v>
      </c>
    </row>
    <row r="2245" ht="33.75" customHeight="1">
      <c r="A2245" s="6" t="s">
        <v>3348</v>
      </c>
      <c r="B2245" s="6" t="str">
        <f>IFERROR(__xludf.DUMMYFUNCTION("GOOGLETRANSLATE(A2245,""en"",""fi"")"),"Sen päässä oleva ulkoneva sarvi on erittäin kova. Sitä käytetään paksun jään läpi murskaamiseen.")</f>
        <v>Sen päässä oleva ulkoneva sarvi on erittäin kova. Sitä käytetään paksun jään läpi murskaamiseen.</v>
      </c>
      <c r="C2245" s="9" t="s">
        <v>1344</v>
      </c>
    </row>
    <row r="2246" ht="33.75" customHeight="1">
      <c r="A2246" s="6" t="s">
        <v>3350</v>
      </c>
      <c r="B2246" s="6" t="str">
        <f>IFERROR(__xludf.DUMMYFUNCTION("GOOGLETRANSLATE(A2246,""en"",""fi"")"),"Rakastaa jäätävän kylmyyttä. Nauttii uimisesta noin -14 asteen kylmässä ilmastossa.")</f>
        <v>Rakastaa jäätävän kylmyyttä. Nauttii uimisesta noin -14 asteen kylmässä ilmastossa.</v>
      </c>
      <c r="C2246" s="9" t="s">
        <v>1344</v>
      </c>
    </row>
    <row r="2247" ht="33.75" customHeight="1">
      <c r="A2247" s="6" t="s">
        <v>3354</v>
      </c>
      <c r="B2247" s="6" t="str">
        <f>IFERROR(__xludf.DUMMYFUNCTION("GOOGLETRANSLATE(A2247,""en"",""fi"")"),"Vaikka se ei osaa kävellä hyvin maalla, se on sulava uimari. Se rakastaa erityisesti kylmiä meriä.")</f>
        <v>Vaikka se ei osaa kävellä hyvin maalla, se on sulava uimari. Se rakastaa erityisesti kylmiä meriä.</v>
      </c>
      <c r="C2247" s="9" t="s">
        <v>1344</v>
      </c>
    </row>
    <row r="2248" ht="33.75" customHeight="1">
      <c r="A2248" s="6" t="s">
        <v>3355</v>
      </c>
      <c r="B2248" s="6" t="str">
        <f>IFERROR(__xludf.DUMMYFUNCTION("GOOGLETRANSLATE(A2248,""en"",""fi"")"),"Päivällä se usein nukkuu merenpohjassa matalassa vedessä. Sen sieraimet sulkeutuvat uinnin aikana.")</f>
        <v>Päivällä se usein nukkuu merenpohjassa matalassa vedessä. Sen sieraimet sulkeutuvat uinnin aikana.</v>
      </c>
      <c r="C2248" s="9" t="s">
        <v>1344</v>
      </c>
    </row>
    <row r="2249" ht="33.75" customHeight="1">
      <c r="A2249" s="6" t="s">
        <v>3356</v>
      </c>
      <c r="B2249" s="6" t="str">
        <f>IFERROR(__xludf.DUMMYFUNCTION("GOOGLETRANSLATE(A2249,""en"",""fi"")"),"Vaaleansininen turkki, joka sitä peittää, suojaa sitä kylmältä. Se rakastaa jäävuorien täyttämiä valtameriä.")</f>
        <v>Vaaleansininen turkki, joka sitä peittää, suojaa sitä kylmältä. Se rakastaa jäävuorien täyttämiä valtameriä.</v>
      </c>
      <c r="C2249" s="9" t="s">
        <v>1344</v>
      </c>
    </row>
    <row r="2250" ht="33.75" customHeight="1">
      <c r="A2250" s="6" t="s">
        <v>3358</v>
      </c>
      <c r="B2250" s="6" t="str">
        <f>IFERROR(__xludf.DUMMYFUNCTION("GOOGLETRANSLATE(A2250,""en"",""fi"")"),"SEEL metsästää saalista hyisessä meressä jääpeitteiden alla. Kun sen täytyy hengittää, se tekee reiän jäähän terävästi ulkonevalla päänsä osalla.")</f>
        <v>SEEL metsästää saalista hyisessä meressä jääpeitteiden alla. Kun sen täytyy hengittää, se tekee reiän jäähän terävästi ulkonevalla päänsä osalla.</v>
      </c>
      <c r="C2250" s="9" t="s">
        <v>1344</v>
      </c>
    </row>
    <row r="2251" ht="33.75" customHeight="1">
      <c r="A2251" s="6" t="s">
        <v>3360</v>
      </c>
      <c r="B2251" s="6" t="str">
        <f>IFERROR(__xludf.DUMMYFUNCTION("GOOGLETRANSLATE(A2251,""en"",""fi"")"),"SEEL metsästää saalista kylmissä, jään peittämissä merissä. Kun sen täytyy hengittää, se tekee reiän jäähän terävästi ulkonevalla päänsä osalla.")</f>
        <v>SEEL metsästää saalista kylmissä, jään peittämissä merissä. Kun sen täytyy hengittää, se tekee reiän jäähän terävästi ulkonevalla päänsä osalla.</v>
      </c>
      <c r="C2251" s="9" t="s">
        <v>1344</v>
      </c>
    </row>
    <row r="2252" ht="33.75" customHeight="1">
      <c r="A2252" s="6" t="s">
        <v>3362</v>
      </c>
      <c r="B2252" s="6" t="str">
        <f>IFERROR(__xludf.DUMMYFUNCTION("GOOGLETRANSLATE(A2252,""en"",""fi"")"),"Vaaleansinisen turkin peittämä, sen nahka on paksu ja kestävä. Se on aktiivinen jopa -4 celsiusasteen purevassa kylmyydessä.")</f>
        <v>Vaaleansinisen turkin peittämä, sen nahka on paksu ja kestävä. Se on aktiivinen jopa -4 celsiusasteen purevassa kylmyydessä.</v>
      </c>
      <c r="C2252" s="9" t="s">
        <v>1344</v>
      </c>
    </row>
    <row r="2253" ht="33.75" customHeight="1">
      <c r="A2253" s="6" t="s">
        <v>3364</v>
      </c>
      <c r="B2253" s="6" t="str">
        <f>IFERROR(__xludf.DUMMYFUNCTION("GOOGLETRANSLATE(A2253,""en"",""fi"")"),"Sen päässä oleva ulkoneva sarvi on erittäin kova. Sitä käytetään paksujen jäävuorten läpi murskaamiseen.")</f>
        <v>Sen päässä oleva ulkoneva sarvi on erittäin kova. Sitä käytetään paksujen jäävuorten läpi murskaamiseen.</v>
      </c>
      <c r="C2253" s="9" t="s">
        <v>1344</v>
      </c>
    </row>
    <row r="2254" ht="33.75" customHeight="1">
      <c r="A2254" s="6" t="s">
        <v>3366</v>
      </c>
      <c r="B2254" s="6" t="str">
        <f>IFERROR(__xludf.DUMMYFUNCTION("GOOGLETRANSLATE(A2254,""en"",""fi"")"),"Jäävuorilla elävä Pokémon. Se ui meressä käyttäen päänsä kärkeä jään rikkomiseen.")</f>
        <v>Jäävuorilla elävä Pokémon. Se ui meressä käyttäen päänsä kärkeä jään rikkomiseen.</v>
      </c>
      <c r="C2254" s="9" t="s">
        <v>1344</v>
      </c>
    </row>
    <row r="2255" ht="33.75" customHeight="1">
      <c r="A2255" s="6" t="s">
        <v>3367</v>
      </c>
      <c r="B2255" s="6" t="str">
        <f>IFERROR(__xludf.DUMMYFUNCTION("GOOGLETRANSLATE(A2255,""en"",""fi"")"),"Vaikka se ei osaa kävellä hyvin maalla, se on sulava uimari. Se rakastaa erityisesti kylmiä meriä.")</f>
        <v>Vaikka se ei osaa kävellä hyvin maalla, se on sulava uimari. Se rakastaa erityisesti kylmiä meriä.</v>
      </c>
      <c r="C2255" s="9" t="s">
        <v>1344</v>
      </c>
    </row>
    <row r="2256" ht="33.75" customHeight="1">
      <c r="A2256" s="6" t="s">
        <v>3368</v>
      </c>
      <c r="B2256" s="6" t="str">
        <f>IFERROR(__xludf.DUMMYFUNCTION("GOOGLETRANSLATE(A2256,""en"",""fi"")"),"Mitä kylmemmäksi tulee, sitä paremmalta se tuntuu. Se ui iloisesti valtamerissä, jotka ovat niin kylmiä, että ne ovat täynnä kelluvaa jäätä.")</f>
        <v>Mitä kylmemmäksi tulee, sitä paremmalta se tuntuu. Se ui iloisesti valtamerissä, jotka ovat niin kylmiä, että ne ovat täynnä kelluvaa jäätä.</v>
      </c>
      <c r="C2256" s="9" t="s">
        <v>1344</v>
      </c>
    </row>
    <row r="2257" ht="33.75" customHeight="1">
      <c r="A2257" s="6" t="s">
        <v>3369</v>
      </c>
      <c r="B2257" s="6" t="str">
        <f>IFERROR(__xludf.DUMMYFUNCTION("GOOGLETRANSLATE(A2257,""en"",""fi"")"),"Vaaleansinisen turkin peittämä, sen nahka on paksu ja kova. Se on aktiivinen purevassa -40 celsiusasteen pakkassa.")</f>
        <v>Vaaleansinisen turkin peittämä, sen nahka on paksu ja kova. Se on aktiivinen purevassa -40 celsiusasteen pakkassa.</v>
      </c>
      <c r="C2257" s="9" t="s">
        <v>1344</v>
      </c>
    </row>
    <row r="2258" ht="33.75" customHeight="1">
      <c r="A2258" s="6" t="s">
        <v>3370</v>
      </c>
      <c r="B2258" s="6" t="str">
        <f>IFERROR(__xludf.DUMMYFUNCTION("GOOGLETRANSLATE(A2258,""en"",""fi"")"),"Seel metsästää saalista hyisessä meressä jääpeitteiden alla. Kun sen täytyy hengittää, se tekee reiän jäähän terävästi ulkonevalla päänsä osalla.")</f>
        <v>Seel metsästää saalista hyisessä meressä jääpeitteiden alla. Kun sen täytyy hengittää, se tekee reiän jäähän terävästi ulkonevalla päänsä osalla.</v>
      </c>
      <c r="C2258" s="9" t="s">
        <v>1344</v>
      </c>
    </row>
    <row r="2259" ht="33.75" customHeight="1">
      <c r="A2259" s="6" t="s">
        <v>3372</v>
      </c>
      <c r="B2259" s="6" t="str">
        <f>IFERROR(__xludf.DUMMYFUNCTION("GOOGLETRANSLATE(A2259,""en"",""fi"")"),"Seelien on aina oletettu elävän vain kylmissä merissä. Niiden ilmestyminen Alolaan on mysteeri.")</f>
        <v>Seelien on aina oletettu elävän vain kylmissä merissä. Niiden ilmestyminen Alolaan on mysteeri.</v>
      </c>
      <c r="C2259" s="9" t="s">
        <v>1344</v>
      </c>
    </row>
    <row r="2260" ht="33.75" customHeight="1">
      <c r="A2260" s="6" t="s">
        <v>3374</v>
      </c>
      <c r="B2260" s="6" t="str">
        <f>IFERROR(__xludf.DUMMYFUNCTION("GOOGLETRANSLATE(A2260,""en"",""fi"")"),"Paksun rasvansa ansiosta kylmät meret eivät vaivaa sitä lainkaan, mutta lämpimissä vesissä se väsyy melko helposti.")</f>
        <v>Paksun rasvansa ansiosta kylmät meret eivät vaivaa sitä lainkaan, mutta lämpimissä vesissä se väsyy melko helposti.</v>
      </c>
      <c r="C2260" s="9" t="s">
        <v>1344</v>
      </c>
    </row>
    <row r="2261" ht="33.75" customHeight="1">
      <c r="A2261" s="6" t="s">
        <v>3376</v>
      </c>
      <c r="B2261" s="6" t="str">
        <f>IFERROR(__xludf.DUMMYFUNCTION("GOOGLETRANSLATE(A2261,""en"",""fi"")"),"Rakastaa jäätävän kylmyyttä. Nauttii uimisesta noin -5 celsiusasteen kylmässä ilmastossa.")</f>
        <v>Rakastaa jäätävän kylmyyttä. Nauttii uimisesta noin -5 celsiusasteen kylmässä ilmastossa.</v>
      </c>
      <c r="C2261" s="9" t="s">
        <v>1344</v>
      </c>
    </row>
    <row r="2262" ht="33.75" customHeight="1">
      <c r="A2262" s="6" t="s">
        <v>3378</v>
      </c>
      <c r="B2262" s="6" t="str">
        <f>IFERROR(__xludf.DUMMYFUNCTION("GOOGLETRANSLATE(A2262,""en"",""fi"")"),"Varastoi lämpöenergiaa kehoonsa. Ui tasaisesti 8 solmun nopeudella jopa erittäin kylmissä vesissä.")</f>
        <v>Varastoi lämpöenergiaa kehoonsa. Ui tasaisesti 8 solmun nopeudella jopa erittäin kylmissä vesissä.</v>
      </c>
      <c r="C2262" s="9" t="s">
        <v>1344</v>
      </c>
    </row>
    <row r="2263" ht="33.75" customHeight="1">
      <c r="A2263" s="6" t="s">
        <v>3379</v>
      </c>
      <c r="B2263" s="6" t="str">
        <f>IFERROR(__xludf.DUMMYFUNCTION("GOOGLETRANSLATE(A2263,""en"",""fi"")"),"Sen koko ruumis on lumivalkoinen. Se ei vahingoita itseään edes kovasta kylmyydestä ja ui voimakkaasti jäisissä vesissä.")</f>
        <v>Sen koko ruumis on lumivalkoinen. Se ei vahingoita itseään edes kovasta kylmyydestä ja ui voimakkaasti jäisissä vesissä.</v>
      </c>
      <c r="C2263" s="9" t="s">
        <v>1344</v>
      </c>
    </row>
    <row r="2264" ht="33.75" customHeight="1">
      <c r="A2264" s="6" t="s">
        <v>3380</v>
      </c>
      <c r="B2264" s="6" t="str">
        <f>IFERROR(__xludf.DUMMYFUNCTION("GOOGLETRANSLATE(A2264,""en"",""fi"")"),"Sen virtaviivainen vartalo vastustaa vähän vedessä. Mitä kylmempi lämpötila, sitä reippaammaksi se muuttuu.")</f>
        <v>Sen virtaviivainen vartalo vastustaa vähän vedessä. Mitä kylmempi lämpötila, sitä reippaammaksi se muuttuu.</v>
      </c>
      <c r="C2264" s="9" t="s">
        <v>1344</v>
      </c>
    </row>
    <row r="2265" ht="33.75" customHeight="1">
      <c r="A2265" s="6" t="s">
        <v>3381</v>
      </c>
      <c r="B2265" s="6" t="str">
        <f>IFERROR(__xludf.DUMMYFUNCTION("GOOGLETRANSLATE(A2265,""en"",""fi"")"),"Se rakastaa kylmiä meriä, joissa on jäälauttoja. Se käyttää pitkää häntäänsä uintisuunnan nopeaan vaihtamiseen.")</f>
        <v>Se rakastaa kylmiä meriä, joissa on jäälauttoja. Se käyttää pitkää häntäänsä uintisuunnan nopeaan vaihtamiseen.</v>
      </c>
      <c r="C2265" s="9" t="s">
        <v>1344</v>
      </c>
    </row>
    <row r="2266" ht="33.75" customHeight="1">
      <c r="A2266" s="6" t="s">
        <v>3382</v>
      </c>
      <c r="B2266" s="6" t="str">
        <f>IFERROR(__xludf.DUMMYFUNCTION("GOOGLETRANSLATE(A2266,""en"",""fi"")"),"Se nukkuu päivisin matalassa meren vedessä ja etsii sitten ruokaa yöllä, kun on kylmä.")</f>
        <v>Se nukkuu päivisin matalassa meren vedessä ja etsii sitten ruokaa yöllä, kun on kylmä.</v>
      </c>
      <c r="C2266" s="9" t="s">
        <v>1344</v>
      </c>
    </row>
    <row r="2267" ht="33.75" customHeight="1">
      <c r="A2267" s="6" t="s">
        <v>3383</v>
      </c>
      <c r="B2267" s="6" t="str">
        <f>IFERROR(__xludf.DUMMYFUNCTION("GOOGLETRANSLATE(A2267,""en"",""fi"")"),"DEWGONG rakastaa torkkua purevan kylmällä jäällä. Eräs merenkulkija luuli kauan sitten virheellisesti tämän jäätiköllä nukkuvan POKéMONin olevan merenneito.")</f>
        <v>DEWGONG rakastaa torkkua purevan kylmällä jäällä. Eräs merenkulkija luuli kauan sitten virheellisesti tämän jäätiköllä nukkuvan POKéMONin olevan merenneito.</v>
      </c>
      <c r="C2267" s="9" t="s">
        <v>1344</v>
      </c>
    </row>
    <row r="2268" ht="33.75" customHeight="1">
      <c r="A2268" s="6" t="s">
        <v>3385</v>
      </c>
      <c r="B2268" s="6" t="str">
        <f>IFERROR(__xludf.DUMMYFUNCTION("GOOGLETRANSLATE(A2268,""en"",""fi"")"),"Se rakastaa torkkua purevan kylmällä jäällä. Eräs merenkulkija luuli kauan sitten virheellisesti tämän jäätiköllä nukkuvan POKéMONin olevan merenneito.")</f>
        <v>Se rakastaa torkkua purevan kylmällä jäällä. Eräs merenkulkija luuli kauan sitten virheellisesti tämän jäätiköllä nukkuvan POKéMONin olevan merenneito.</v>
      </c>
      <c r="C2268" s="9" t="s">
        <v>1344</v>
      </c>
    </row>
    <row r="2269" ht="33.75" customHeight="1">
      <c r="A2269" s="6" t="s">
        <v>3386</v>
      </c>
      <c r="B2269" s="6" t="str">
        <f>IFERROR(__xludf.DUMMYFUNCTION("GOOGLETRANSLATE(A2269,""en"",""fi"")"),"Sen ruumis on peitetty puhtaanvalkoisella turkilla. Mitä kylmempi sää, sitä aktiivisemmaksi se muuttuu.")</f>
        <v>Sen ruumis on peitetty puhtaanvalkoisella turkilla. Mitä kylmempi sää, sitä aktiivisemmaksi se muuttuu.</v>
      </c>
      <c r="C2269" s="9" t="s">
        <v>1344</v>
      </c>
    </row>
    <row r="2270" ht="33.75" customHeight="1">
      <c r="A2270" s="6" t="s">
        <v>3387</v>
      </c>
      <c r="B2270" s="6" t="str">
        <f>IFERROR(__xludf.DUMMYFUNCTION("GOOGLETRANSLATE(A2270,""en"",""fi"")"),"Se varastoi lämpöenergiaa kehoonsa. Se ui tasaisesti kahdeksan solmun nopeudella jopa erittäin kylmissä vesissä.")</f>
        <v>Se varastoi lämpöenergiaa kehoonsa. Se ui tasaisesti kahdeksan solmun nopeudella jopa erittäin kylmissä vesissä.</v>
      </c>
      <c r="C2270" s="9" t="s">
        <v>1344</v>
      </c>
    </row>
    <row r="2271" ht="33.75" customHeight="1">
      <c r="A2271" s="6" t="s">
        <v>3388</v>
      </c>
      <c r="B2271" s="6" t="str">
        <f>IFERROR(__xludf.DUMMYFUNCTION("GOOGLETRANSLATE(A2271,""en"",""fi"")"),"Lumessa sen vartaloa peittävä puhtaanvalkoinen turkki suojaa sitä saalistajilta.")</f>
        <v>Lumessa sen vartaloa peittävä puhtaanvalkoinen turkki suojaa sitä saalistajilta.</v>
      </c>
      <c r="C2271" s="9" t="s">
        <v>1344</v>
      </c>
    </row>
    <row r="2272" ht="33.75" customHeight="1">
      <c r="A2272" s="6" t="s">
        <v>3389</v>
      </c>
      <c r="B2272" s="6" t="str">
        <f>IFERROR(__xludf.DUMMYFUNCTION("GOOGLETRANSLATE(A2272,""en"",""fi"")"),"Sen virtaviivaisella rungolla on alhainen vastus, ja se ui kylmissä valtamerissä kahdeksan solmun nopeudella.")</f>
        <v>Sen virtaviivaisella rungolla on alhainen vastus, ja se ui kylmissä valtamerissä kahdeksan solmun nopeudella.</v>
      </c>
      <c r="C2272" s="9" t="s">
        <v>1344</v>
      </c>
    </row>
    <row r="2273" ht="33.75" customHeight="1">
      <c r="A2273" s="6" t="s">
        <v>3390</v>
      </c>
      <c r="B2273" s="6" t="str">
        <f>IFERROR(__xludf.DUMMYFUNCTION("GOOGLETRANSLATE(A2273,""en"",""fi"")"),"Dewgong rakastaa torkkua purevan kylmällä jäällä. Eräs merenkulkija luuli kauan sitten virheellisesti tämän jäätiköllä nukkuvan Pokémonin olevan merenneito.")</f>
        <v>Dewgong rakastaa torkkua purevan kylmällä jäällä. Eräs merenkulkija luuli kauan sitten virheellisesti tämän jäätiköllä nukkuvan Pokémonin olevan merenneito.</v>
      </c>
      <c r="C2273" s="9" t="s">
        <v>1344</v>
      </c>
    </row>
    <row r="2274" ht="33.75" customHeight="1">
      <c r="A2274" s="6" t="s">
        <v>3391</v>
      </c>
      <c r="B2274" s="6" t="str">
        <f>IFERROR(__xludf.DUMMYFUNCTION("GOOGLETRANSLATE(A2274,""en"",""fi"")"),"Se ui valtameren halki kahdeksan solmun nopeudella etsien Pokémoneja, joista tulisi sen saalis. Se on erityisen ihastunut Wishiwashiin.")</f>
        <v>Se ui valtameren halki kahdeksan solmun nopeudella etsien Pokémoneja, joista tulisi sen saalis. Se on erityisen ihastunut Wishiwashiin.</v>
      </c>
      <c r="C2274" s="9" t="s">
        <v>1344</v>
      </c>
    </row>
    <row r="2275" ht="33.75" customHeight="1">
      <c r="A2275" s="6" t="s">
        <v>3393</v>
      </c>
      <c r="B2275" s="6" t="str">
        <f>IFERROR(__xludf.DUMMYFUNCTION("GOOGLETRANSLATE(A2275,""en"",""fi"")"),"Se ottaa aurinkoa rannalla aterioiden jälkeen. Sen ruumiinlämmön nousu auttaa sen ruoansulatusta.")</f>
        <v>Se ottaa aurinkoa rannalla aterioiden jälkeen. Sen ruumiinlämmön nousu auttaa sen ruoansulatusta.</v>
      </c>
      <c r="C2275" s="9" t="s">
        <v>1344</v>
      </c>
    </row>
    <row r="2276" ht="33.75" customHeight="1">
      <c r="A2276" s="6" t="s">
        <v>3394</v>
      </c>
      <c r="B2276" s="6" t="str">
        <f>IFERROR(__xludf.DUMMYFUNCTION("GOOGLETRANSLATE(A2276,""en"",""fi"")"),"Sen koko ruumis on lumivalkoinen. Se ei vahingoita itseään edes kovasta kylmyydestä ja ui voimakkaasti jäisissä vesissä.")</f>
        <v>Sen koko ruumis on lumivalkoinen. Se ei vahingoita itseään edes kovasta kylmyydestä ja ui voimakkaasti jäisissä vesissä.</v>
      </c>
      <c r="C2276" s="9" t="s">
        <v>1344</v>
      </c>
    </row>
    <row r="2277" ht="33.75" customHeight="1">
      <c r="A2277" s="6" t="s">
        <v>3396</v>
      </c>
      <c r="B2277" s="6" t="str">
        <f>IFERROR(__xludf.DUMMYFUNCTION("GOOGLETRANSLATE(A2277,""en"",""fi"")"),"Esiintyy likaisilla alueilla. Viihtyy imemällä tehtaista pumpattua saastunutta lietettä.")</f>
        <v>Esiintyy likaisilla alueilla. Viihtyy imemällä tehtaista pumpattua saastunutta lietettä.</v>
      </c>
      <c r="C2277" s="9" t="s">
        <v>1344</v>
      </c>
    </row>
    <row r="2278" ht="33.75" customHeight="1">
      <c r="A2278" s="6" t="s">
        <v>3398</v>
      </c>
      <c r="B2278" s="6" t="str">
        <f>IFERROR(__xludf.DUMMYFUNCTION("GOOGLETRANSLATE(A2278,""en"",""fi"")"),"Tehty kovettuneesta lietteestä. Se haisee liian mädäntyneelle koskettavaksi. Edes rikkaruohot eivät kasva sen tielle.")</f>
        <v>Tehty kovettuneesta lietteestä. Se haisee liian mädäntyneelle koskettavaksi. Edes rikkaruohot eivät kasva sen tielle.</v>
      </c>
      <c r="C2278" s="9" t="s">
        <v>1344</v>
      </c>
    </row>
    <row r="2279" ht="33.75" customHeight="1">
      <c r="A2279" s="6" t="s">
        <v>3400</v>
      </c>
      <c r="B2279" s="6" t="str">
        <f>IFERROR(__xludf.DUMMYFUNCTION("GOOGLETRANSLATE(A2279,""en"",""fi"")"),"Liikkuessaan se menettää ruumiinsa osia, joista muodostuu uutta GRIMERiä. Tämä pahentaa sitä ympäröivää hajua.")</f>
        <v>Liikkuessaan se menettää ruumiinsa osia, joista muodostuu uutta GRIMERiä. Tämä pahentaa sitä ympäröivää hajua.</v>
      </c>
      <c r="C2279" s="9" t="s">
        <v>1344</v>
      </c>
    </row>
    <row r="2280" ht="33.75" customHeight="1">
      <c r="A2280" s="6" t="s">
        <v>3401</v>
      </c>
      <c r="B2280" s="6" t="str">
        <f>IFERROR(__xludf.DUMMYFUNCTION("GOOGLETRANSLATE(A2280,""en"",""fi"")"),"Minne tahansa GRIMER on kulkenut, jäljelle on jäänyt niin paljon bakteereja, ettei mikään kasvi enää koskaan kasva.")</f>
        <v>Minne tahansa GRIMER on kulkenut, jäljelle on jäänyt niin paljon bakteereja, ettei mikään kasvi enää koskaan kasva.</v>
      </c>
      <c r="C2280" s="9" t="s">
        <v>1344</v>
      </c>
    </row>
    <row r="2281" ht="33.75" customHeight="1">
      <c r="A2281" s="6" t="s">
        <v>3403</v>
      </c>
      <c r="B2281" s="6" t="str">
        <f>IFERROR(__xludf.DUMMYFUNCTION("GOOGLETRANSLATE(A2281,""en"",""fi"")"),"Kun kahden tällaisen POKéMONin ruumiit yhdistyvät, syntyy uusia myrkkyjä.")</f>
        <v>Kun kahden tällaisen POKéMONin ruumiit yhdistyvät, syntyy uusia myrkkyjä.</v>
      </c>
      <c r="C2281" s="9" t="s">
        <v>1344</v>
      </c>
    </row>
    <row r="2282" ht="33.75" customHeight="1">
      <c r="A2282" s="6" t="s">
        <v>3405</v>
      </c>
      <c r="B2282" s="6" t="str">
        <f>IFERROR(__xludf.DUMMYFUNCTION("GOOGLETRANSLATE(A2282,""en"",""fi"")"),"GRIMERin liejuinen ja kumimainen ruumis voidaan työntää mistä tahansa aukosta, olipa se kuinka pieni tahansa. Tämä POKéMON menee viemäriputkiin juodakseen likaista jätevettä.")</f>
        <v>GRIMERin liejuinen ja kumimainen ruumis voidaan työntää mistä tahansa aukosta, olipa se kuinka pieni tahansa. Tämä POKéMON menee viemäriputkiin juodakseen likaista jätevettä.</v>
      </c>
      <c r="C2282" s="9" t="s">
        <v>1344</v>
      </c>
    </row>
    <row r="2283" ht="33.75" customHeight="1">
      <c r="A2283" s="6" t="s">
        <v>3407</v>
      </c>
      <c r="B2283" s="6" t="str">
        <f>IFERROR(__xludf.DUMMYFUNCTION("GOOGLETRANSLATE(A2283,""en"",""fi"")"),"GRIMER nousi saastuneelle merenpohjalle laskeutuneesta lieteestä. Tämä POKéMON rakastaa kaikkea saastaista. Se vuotaa jatkuvasti kammottavan bakteeripitoista nestettä kaikkialta kehostaan.")</f>
        <v>GRIMER nousi saastuneelle merenpohjalle laskeutuneesta lieteestä. Tämä POKéMON rakastaa kaikkea saastaista. Se vuotaa jatkuvasti kammottavan bakteeripitoista nestettä kaikkialta kehostaan.</v>
      </c>
      <c r="C2283" s="9" t="s">
        <v>1344</v>
      </c>
    </row>
    <row r="2284" ht="33.75" customHeight="1">
      <c r="A2284" s="6" t="s">
        <v>3409</v>
      </c>
      <c r="B2284" s="6" t="str">
        <f>IFERROR(__xludf.DUMMYFUNCTION("GOOGLETRANSLATE(A2284,""en"",""fi"")"),"Meren saastuneesta lietteestä syntyneiden GRIMERien lempiruoka on kaikki likainen. Ne syövät tehtaiden pumppaamasta jätevedestä.")</f>
        <v>Meren saastuneesta lietteestä syntyneiden GRIMERien lempiruoka on kaikki likainen. Ne syövät tehtaiden pumppaamasta jätevedestä.</v>
      </c>
      <c r="C2284" s="9" t="s">
        <v>1344</v>
      </c>
    </row>
    <row r="2285" ht="33.75" customHeight="1">
      <c r="A2285" s="6" t="s">
        <v>3410</v>
      </c>
      <c r="B2285" s="6" t="str">
        <f>IFERROR(__xludf.DUMMYFUNCTION("GOOGLETRANSLATE(A2285,""en"",""fi"")"),"Kuun röntgensäteille altistunut liete muuttui GRIMERiksi. Se rakastaa likaisten asioiden syömistä.")</f>
        <v>Kuun röntgensäteille altistunut liete muuttui GRIMERiksi. Se rakastaa likaisten asioiden syömistä.</v>
      </c>
      <c r="C2285" s="9" t="s">
        <v>1344</v>
      </c>
    </row>
    <row r="2286" ht="33.75" customHeight="1">
      <c r="A2286" s="6" t="s">
        <v>3412</v>
      </c>
      <c r="B2286" s="6" t="str">
        <f>IFERROR(__xludf.DUMMYFUNCTION("GOOGLETRANSLATE(A2286,""en"",""fi"")"),"Esiintyy likaisilla alueilla. Se viihtyy imemällä tehtaista pumpattua saastunutta lietettä.")</f>
        <v>Esiintyy likaisilla alueilla. Se viihtyy imemällä tehtaista pumpattua saastunutta lietettä.</v>
      </c>
      <c r="C2286" s="9" t="s">
        <v>1344</v>
      </c>
    </row>
    <row r="2287" ht="33.75" customHeight="1">
      <c r="A2287" s="6" t="s">
        <v>3414</v>
      </c>
      <c r="B2287" s="6" t="str">
        <f>IFERROR(__xludf.DUMMYFUNCTION("GOOGLETRANSLATE(A2287,""en"",""fi"")"),"Se syntyi, kun likaisen puron liete altistettiin kuun röntgensäteille. Se näkyy saastan joukossa.")</f>
        <v>Se syntyi, kun likaisen puron liete altistettiin kuun röntgensäteille. Se näkyy saastan joukossa.</v>
      </c>
      <c r="C2287" s="9" t="s">
        <v>1344</v>
      </c>
    </row>
    <row r="2288" ht="33.75" customHeight="1">
      <c r="A2288" s="6" t="s">
        <v>3415</v>
      </c>
      <c r="B2288" s="6" t="str">
        <f>IFERROR(__xludf.DUMMYFUNCTION("GOOGLETRANSLATE(A2288,""en"",""fi"")"),"Liikkuessaan se menettää osia ruumiistaan, joista muodostuu uutta GRIMERiä. Tämä pahentaa sitä ympäröivää hajua.")</f>
        <v>Liikkuessaan se menettää osia ruumiistaan, joista muodostuu uutta GRIMERiä. Tämä pahentaa sitä ympäröivää hajua.</v>
      </c>
      <c r="C2288" s="9" t="s">
        <v>1344</v>
      </c>
    </row>
    <row r="2289" ht="33.75" customHeight="1">
      <c r="A2289" s="6" t="s">
        <v>3417</v>
      </c>
      <c r="B2289" s="6" t="str">
        <f>IFERROR(__xludf.DUMMYFUNCTION("GOOGLETRANSLATE(A2289,""en"",""fi"")"),"Lietteestä syntyneet Pokémonit kerääntyvät nyt saastuneisiin paikkoihin ja lisäävät bakteerien määrää kehossaan.")</f>
        <v>Lietteestä syntyneet Pokémonit kerääntyvät nyt saastuneisiin paikkoihin ja lisäävät bakteerien määrää kehossaan.</v>
      </c>
      <c r="C2289" s="9" t="s">
        <v>1344</v>
      </c>
    </row>
    <row r="2290" ht="33.75" customHeight="1">
      <c r="A2290" s="6" t="s">
        <v>3419</v>
      </c>
      <c r="B2290" s="6" t="str">
        <f>IFERROR(__xludf.DUMMYFUNCTION("GOOGLETRANSLATE(A2290,""en"",""fi"")"),"Kuun röntgensäteille altistunut liete muuttui grimeriksi. Se rakastaa likaisten asioiden syömistä.")</f>
        <v>Kuun röntgensäteille altistunut liete muuttui grimeriksi. Se rakastaa likaisten asioiden syömistä.</v>
      </c>
      <c r="C2290" s="9" t="s">
        <v>1344</v>
      </c>
    </row>
    <row r="2291" ht="33.75" customHeight="1">
      <c r="A2291" s="6" t="s">
        <v>3421</v>
      </c>
      <c r="B2291" s="6" t="str">
        <f>IFERROR(__xludf.DUMMYFUNCTION("GOOGLETRANSLATE(A2291,""en"",""fi"")"),"Grimerin mudun ja kumin kaltainen ruumis voidaan työntää mistä tahansa aukosta, olipa se kuinka pieni tahansa. Tämä Pokémon menee viemäriputkiin juodakseen likaista jätevettä.")</f>
        <v>Grimerin mudun ja kumin kaltainen ruumis voidaan työntää mistä tahansa aukosta, olipa se kuinka pieni tahansa. Tämä Pokémon menee viemäriputkiin juodakseen likaista jätevettä.</v>
      </c>
      <c r="C2291" s="9" t="s">
        <v>1344</v>
      </c>
    </row>
    <row r="2292" ht="33.75" customHeight="1">
      <c r="A2292" s="6" t="s">
        <v>3422</v>
      </c>
      <c r="B2292" s="6" t="str">
        <f>IFERROR(__xludf.DUMMYFUNCTION("GOOGLETRANSLATE(A2292,""en"",""fi"")"),"Grimer nousi saastuneelle merenpohjalle laskeutuneesta lieteestä. Tämä Pokémon rakastaa kaikkea saastaista. Se vuotaa jatkuvasti kammottavan bakteeripitoista nestettä kaikkialta kehostaan.")</f>
        <v>Grimer nousi saastuneelle merenpohjalle laskeutuneesta lieteestä. Tämä Pokémon rakastaa kaikkea saastaista. Se vuotaa jatkuvasti kammottavan bakteeripitoista nestettä kaikkialta kehostaan.</v>
      </c>
      <c r="C2292" s="9" t="s">
        <v>1344</v>
      </c>
    </row>
    <row r="2293" ht="33.75" customHeight="1">
      <c r="A2293" s="6" t="s">
        <v>3425</v>
      </c>
      <c r="B2293" s="6" t="str">
        <f>IFERROR(__xludf.DUMMYFUNCTION("GOOGLETRANSLATE(A2293,""en"",""fi"")"),"Sen tärkein ravinnonlähde on tehtaiden limaiset teollisuusjätteet. Tämän Pokémonin määrä on vähentynyt viime vuosina.")</f>
        <v>Sen tärkein ravinnonlähde on tehtaiden limaiset teollisuusjätteet. Tämän Pokémonin määrä on vähentynyt viime vuosina.</v>
      </c>
      <c r="C2293" s="9" t="s">
        <v>1344</v>
      </c>
    </row>
    <row r="2294" ht="33.75" customHeight="1">
      <c r="A2294" s="6" t="s">
        <v>3427</v>
      </c>
      <c r="B2294" s="6" t="str">
        <f>IFERROR(__xludf.DUMMYFUNCTION("GOOGLETRANSLATE(A2294,""en"",""fi"")"),"Se syntyi lietteestä, joka muuttui altistuttuaan kuun röntgensäteille. Kun sen sisäinen bakteerikuorma vähenee, se kuolee.")</f>
        <v>Se syntyi lietteestä, joka muuttui altistuttuaan kuun röntgensäteille. Kun sen sisäinen bakteerikuorma vähenee, se kuolee.</v>
      </c>
      <c r="C2294" s="9" t="s">
        <v>1344</v>
      </c>
    </row>
    <row r="2295" ht="33.75" customHeight="1">
      <c r="A2295" s="6" t="s">
        <v>3429</v>
      </c>
      <c r="B2295" s="6" t="str">
        <f>IFERROR(__xludf.DUMMYFUNCTION("GOOGLETRANSLATE(A2295,""en"",""fi"")"),"Se syntyi merenpohjan lieteestä. Steriilissä ympäristössä sen kehon bakteerit eivät voi lisääntyä, ja se kuolee.")</f>
        <v>Se syntyi merenpohjan lieteestä. Steriilissä ympäristössä sen kehon bakteerit eivät voi lisääntyä, ja se kuolee.</v>
      </c>
      <c r="C2295" s="9" t="s">
        <v>1344</v>
      </c>
    </row>
    <row r="2296" ht="33.75" customHeight="1">
      <c r="A2296" s="6" t="s">
        <v>3430</v>
      </c>
      <c r="B2296" s="6" t="str">
        <f>IFERROR(__xludf.DUMMYFUNCTION("GOOGLETRANSLATE(A2296,""en"",""fi"")"),"Tehtaiden jätevedet ovat nykyään puhtaita, joten grimereillä ei ole mitään syötävää. Niiden sanotaan olevan sukupuuton partaalla.")</f>
        <v>Tehtaiden jätevedet ovat nykyään puhtaita, joten grimereillä ei ole mitään syötävää. Niiden sanotaan olevan sukupuuton partaalla.</v>
      </c>
      <c r="C2296" s="9" t="s">
        <v>1344</v>
      </c>
    </row>
    <row r="2297" ht="33.75" customHeight="1">
      <c r="A2297" s="6" t="s">
        <v>3432</v>
      </c>
      <c r="B2297" s="6" t="str">
        <f>IFERROR(__xludf.DUMMYFUNCTION("GOOGLETRANSLATE(A2297,""en"",""fi"")"),"Tehty jähmettyneestä lietteestä. Se haisee liian mädäntyneelle koskettavaksi. Edes rikkaruohot eivät kasva sen tielle.")</f>
        <v>Tehty jähmettyneestä lietteestä. Se haisee liian mädäntyneelle koskettavaksi. Edes rikkaruohot eivät kasva sen tielle.</v>
      </c>
      <c r="C2297" s="9" t="s">
        <v>1344</v>
      </c>
    </row>
    <row r="2298" ht="33.75" customHeight="1">
      <c r="A2298" s="6" t="s">
        <v>3433</v>
      </c>
      <c r="B2298" s="6" t="str">
        <f>IFERROR(__xludf.DUMMYFUNCTION("GOOGLETRANSLATE(A2298,""en"",""fi"")"),"Paksusti likaisen, iljettävän lietteen peitossa. Se on niin myrkyllistä, että jopa sen jalanjäljet ​​sisältävät myrkkyä.")</f>
        <v>Paksusti likaisen, iljettävän lietteen peitossa. Se on niin myrkyllistä, että jopa sen jalanjäljet ​​sisältävät myrkkyä.</v>
      </c>
      <c r="C2298" s="9" t="s">
        <v>1344</v>
      </c>
    </row>
    <row r="2299" ht="33.75" customHeight="1">
      <c r="A2299" s="6" t="s">
        <v>3434</v>
      </c>
      <c r="B2299" s="6" t="str">
        <f>IFERROR(__xludf.DUMMYFUNCTION("GOOGLETRANSLATE(A2299,""en"",""fi"")"),"Se haisee niin kamalalta, että se voi aiheuttaa pyörtymisen. Se menetti rappeutumisen vuoksi hajuaistinsa.")</f>
        <v>Se haisee niin kamalalta, että se voi aiheuttaa pyörtymisen. Se menetti rappeutumisen vuoksi hajuaistinsa.</v>
      </c>
      <c r="C2299" s="9" t="s">
        <v>1344</v>
      </c>
    </row>
    <row r="2300" ht="33.75" customHeight="1">
      <c r="A2300" s="6" t="s">
        <v>3435</v>
      </c>
      <c r="B2300" s="6" t="str">
        <f>IFERROR(__xludf.DUMMYFUNCTION("GOOGLETRANSLATE(A2300,""en"",""fi"")"),"Ne rakastavat kokoontua haiseville alueille, joissa lietettä kertyy ja pahentaa ympärillä olevaa hajua.")</f>
        <v>Ne rakastavat kokoontua haiseville alueille, joissa lietettä kertyy ja pahentaa ympärillä olevaa hajua.</v>
      </c>
      <c r="C2300" s="9" t="s">
        <v>1344</v>
      </c>
    </row>
    <row r="2301" ht="33.75" customHeight="1">
      <c r="A2301" s="6" t="s">
        <v>3436</v>
      </c>
      <c r="B2301" s="6" t="str">
        <f>IFERROR(__xludf.DUMMYFUNCTION("GOOGLETRANSLATE(A2301,""en"",""fi"")"),"Sen ruumis on tehty voimakkaasta myrkystä. Sen vahingossa koskettaminen aiheuttaa kuumetta, joka vaatii vuodelepoa.")</f>
        <v>Sen ruumis on tehty voimakkaasta myrkystä. Sen vahingossa koskettaminen aiheuttaa kuumetta, joka vaatii vuodelepoa.</v>
      </c>
      <c r="C2301" s="9" t="s">
        <v>1344</v>
      </c>
    </row>
    <row r="2302" ht="33.75" customHeight="1">
      <c r="A2302" s="6" t="s">
        <v>3437</v>
      </c>
      <c r="B2302" s="6" t="str">
        <f>IFERROR(__xludf.DUMMYFUNCTION("GOOGLETRANSLATE(A2302,""en"",""fi"")"),"Sen liikkuessa siitä vuotaa erittäin voimakasta myrkkyä, joka tekee maan karuksi kolmeksi vuodeksi.")</f>
        <v>Sen liikkuessa siitä vuotaa erittäin voimakasta myrkkyä, joka tekee maan karuksi kolmeksi vuodeksi.</v>
      </c>
      <c r="C2302" s="9" t="s">
        <v>1344</v>
      </c>
    </row>
    <row r="2303" ht="33.75" customHeight="1">
      <c r="A2303" s="6" t="s">
        <v>3438</v>
      </c>
      <c r="B2303" s="6" t="str">
        <f>IFERROR(__xludf.DUMMYFUNCTION("GOOGLETRANSLATE(A2303,""en"",""fi"")"),"MUKin ruumiista tihkuu iljettävää nestettä, joka löyhkää nenää koukistavasti. Jopa yksi pisara tämän POKéMONin ruumiinnestettä voi muuttaa altaan seisovaksi ja härskiintyneeksi.")</f>
        <v>MUKin ruumiista tihkuu iljettävää nestettä, joka löyhkää nenää koukistavasti. Jopa yksi pisara tämän POKéMONin ruumiinnestettä voi muuttaa altaan seisovaksi ja härskiintyneeksi.</v>
      </c>
      <c r="C2303" s="9" t="s">
        <v>1344</v>
      </c>
    </row>
    <row r="2304" ht="33.75" customHeight="1">
      <c r="A2304" s="6" t="s">
        <v>3439</v>
      </c>
      <c r="B2304" s="6" t="str">
        <f>IFERROR(__xludf.DUMMYFUNCTION("GOOGLETRANSLATE(A2304,""en"",""fi"")"),"Tämän POKéMONin lempiruoka on kaikki vastenmielisen likainen. Likaisissa kaupungeissa, joissa ihmiset eivät välitä heittää roskia kaduille, MUKit kokoontuvat varmasti.")</f>
        <v>Tämän POKéMONin lempiruoka on kaikki vastenmielisen likainen. Likaisissa kaupungeissa, joissa ihmiset eivät välitä heittää roskia kaduille, MUKit kokoontuvat varmasti.</v>
      </c>
      <c r="C2304" s="9" t="s">
        <v>1344</v>
      </c>
    </row>
    <row r="2305" ht="33.75" customHeight="1">
      <c r="A2305" s="6" t="s">
        <v>3440</v>
      </c>
      <c r="B2305" s="6" t="str">
        <f>IFERROR(__xludf.DUMMYFUNCTION("GOOGLETRANSLATE(A2305,""en"",""fi"")"),"Se viihtyy lämpimissä ja kosteissa elinympäristöissä. Kesällä sen elimistössä olevat myrkylliset aineet voimistuvat, minkä seurauksena MUK haisee mädäntyneeltä keittiöjätteeltä.")</f>
        <v>Se viihtyy lämpimissä ja kosteissa elinympäristöissä. Kesällä sen elimistössä olevat myrkylliset aineet voimistuvat, minkä seurauksena MUK haisee mädäntyneeltä keittiöjätteeltä.</v>
      </c>
      <c r="C2305" s="9" t="s">
        <v>1344</v>
      </c>
    </row>
    <row r="2306" ht="33.75" customHeight="1">
      <c r="A2306" s="6" t="s">
        <v>3441</v>
      </c>
      <c r="B2306" s="6" t="str">
        <f>IFERROR(__xludf.DUMMYFUNCTION("GOOGLETRANSLATE(A2306,""en"",""fi"")"),"Se on yleensä huomaamaton, koska se sulautuu maahan. Sen koskettaminen voi aiheuttaa vakavan myrkytyksen.")</f>
        <v>Se on yleensä huomaamaton, koska se sulautuu maahan. Sen koskettaminen voi aiheuttaa vakavan myrkytyksen.</v>
      </c>
      <c r="C2306" s="9" t="s">
        <v>1344</v>
      </c>
    </row>
    <row r="2307" ht="33.75" customHeight="1">
      <c r="A2307" s="6" t="s">
        <v>3442</v>
      </c>
      <c r="B2307" s="6" t="str">
        <f>IFERROR(__xludf.DUMMYFUNCTION("GOOGLETRANSLATE(A2307,""en"",""fi"")"),"Sen kehosta vuotaa myrkyllistä nestettä. Neste tappaa kasvit ja puut välittömästi joutuessaan kosketuksiin sen kanssa.")</f>
        <v>Sen kehosta vuotaa myrkyllistä nestettä. Neste tappaa kasvit ja puut välittömästi joutuessaan kosketuksiin sen kanssa.</v>
      </c>
      <c r="C2307" s="9" t="s">
        <v>1344</v>
      </c>
    </row>
    <row r="2308" ht="33.75" customHeight="1">
      <c r="A2308" s="6" t="s">
        <v>3443</v>
      </c>
      <c r="B2308" s="6" t="str">
        <f>IFERROR(__xludf.DUMMYFUNCTION("GOOGLETRANSLATE(A2308,""en"",""fi"")"),"Ne rakastavat kokoontua haiseville alueille, joille kertyy lietettä, mikä pahentaa niiden ympärillä olevaa hajua.")</f>
        <v>Ne rakastavat kokoontua haiseville alueille, joille kertyy lietettä, mikä pahentaa niiden ympärillä olevaa hajua.</v>
      </c>
      <c r="C2308" s="9" t="s">
        <v>1344</v>
      </c>
    </row>
    <row r="2309" ht="33.75" customHeight="1">
      <c r="A2309" s="6" t="s">
        <v>3444</v>
      </c>
      <c r="B2309" s="6" t="str">
        <f>IFERROR(__xludf.DUMMYFUNCTION("GOOGLETRANSLATE(A2309,""en"",""fi"")"),"Sen ruumis on tehty voimakkaasta myrkystä. Sen vahingossa tapahtuva koskettaminen aiheuttaa kuumetta, joka vaatii vuodelepoon ryhtymistä.")</f>
        <v>Sen ruumis on tehty voimakkaasta myrkystä. Sen vahingossa tapahtuva koskettaminen aiheuttaa kuumetta, joka vaatii vuodelepoon ryhtymistä.</v>
      </c>
      <c r="C2309" s="9" t="s">
        <v>1344</v>
      </c>
    </row>
    <row r="2310" ht="33.75" customHeight="1">
      <c r="A2310" s="6" t="s">
        <v>3446</v>
      </c>
      <c r="B2310" s="6" t="str">
        <f>IFERROR(__xludf.DUMMYFUNCTION("GOOGLETRANSLATE(A2310,""en"",""fi"")"),"Se on niin pahalle haisevaa! Mukin keho sisältää myrkyllisiä alkuaineita, ja mikä tahansa kasvi kuihtuu sen ohi kulkiessa.")</f>
        <v>Se on niin pahalle haisevaa! Mukin keho sisältää myrkyllisiä alkuaineita, ja mikä tahansa kasvi kuihtuu sen ohi kulkiessa.</v>
      </c>
      <c r="C2310" s="9" t="s">
        <v>1344</v>
      </c>
    </row>
    <row r="2311" ht="33.75" customHeight="1">
      <c r="A2311" s="6" t="s">
        <v>3447</v>
      </c>
      <c r="B2311" s="6" t="str">
        <f>IFERROR(__xludf.DUMMYFUNCTION("GOOGLETRANSLATE(A2311,""en"",""fi"")"),"Mukin ruumiista tihkuu iljettävää nestettä, joka löyhkää nenää koukistavasti. Jopa yksi pisara tämän Pokémonin ruumiinnestettä voi muuttaa lammen seisovaksi ja härskiintyneeksi.")</f>
        <v>Mukin ruumiista tihkuu iljettävää nestettä, joka löyhkää nenää koukistavasti. Jopa yksi pisara tämän Pokémonin ruumiinnestettä voi muuttaa lammen seisovaksi ja härskiintyneeksi.</v>
      </c>
      <c r="C2311" s="9" t="s">
        <v>1344</v>
      </c>
    </row>
    <row r="2312" ht="33.75" customHeight="1">
      <c r="A2312" s="6" t="s">
        <v>3449</v>
      </c>
      <c r="B2312" s="6" t="str">
        <f>IFERROR(__xludf.DUMMYFUNCTION("GOOGLETRANSLATE(A2312,""en"",""fi"")"),"Tämän Pokémonin lempiruoka on kaikki vastenmielisen likainen. Likaisissa kaupungeissa, joissa ihmiset eivät välitä heittää roskia kaduille, Mukit kokoontuvat varmasti.")</f>
        <v>Tämän Pokémonin lempiruoka on kaikki vastenmielisen likainen. Likaisissa kaupungeissa, joissa ihmiset eivät välitä heittää roskia kaduille, Mukit kokoontuvat varmasti.</v>
      </c>
      <c r="C2312" s="9" t="s">
        <v>1344</v>
      </c>
    </row>
    <row r="2313" ht="33.75" customHeight="1">
      <c r="A2313" s="6" t="s">
        <v>3451</v>
      </c>
      <c r="B2313" s="6" t="str">
        <f>IFERROR(__xludf.DUMMYFUNCTION("GOOGLETRANSLATE(A2313,""en"",""fi"")"),"Sen levittämä haju saa nenän rypistymään. Silti on Muk-faneja, jotka ajattelevat, että se on hyvä asia.")</f>
        <v>Sen levittämä haju saa nenän rypistymään. Silti on Muk-faneja, jotka ajattelevat, että se on hyvä asia.</v>
      </c>
      <c r="C2313" s="9" t="s">
        <v>1344</v>
      </c>
    </row>
    <row r="2314" ht="33.75" customHeight="1">
      <c r="A2314" s="6" t="s">
        <v>3453</v>
      </c>
      <c r="B2314" s="6" t="str">
        <f>IFERROR(__xludf.DUMMYFUNCTION("GOOGLETRANSLATE(A2314,""en"",""fi"")"),"Viimeaikaisten ympäristöparannusten jälkeen tätä Pokémonia ei juurikaan nähdä. Ihmiset arvelevat, että se saattaa kuolla sukupuuttoon jossain vaiheessa.")</f>
        <v>Viimeaikaisten ympäristöparannusten jälkeen tätä Pokémonia ei juurikaan nähdä. Ihmiset arvelevat, että se saattaa kuolla sukupuuttoon jossain vaiheessa.</v>
      </c>
      <c r="C2314" s="9" t="s">
        <v>1344</v>
      </c>
    </row>
    <row r="2315" ht="33.75" customHeight="1">
      <c r="A2315" s="6" t="s">
        <v>3455</v>
      </c>
      <c r="B2315" s="6" t="str">
        <f>IFERROR(__xludf.DUMMYFUNCTION("GOOGLETRANSLATE(A2315,""en"",""fi"")"),"Niiden ravinnonlähteet ovat vähentyneet ja niiden määrä on vähentynyt jyrkästi. Lietealtaita rakennetaan niiden sukupuuton estämiseksi.")</f>
        <v>Niiden ravinnonlähteet ovat vähentyneet ja niiden määrä on vähentynyt jyrkästi. Lietealtaita rakennetaan niiden sukupuuton estämiseksi.</v>
      </c>
      <c r="C2315" s="9" t="s">
        <v>1344</v>
      </c>
    </row>
    <row r="2316" ht="33.75" customHeight="1">
      <c r="A2316" s="6" t="s">
        <v>3456</v>
      </c>
      <c r="B2316" s="6" t="str">
        <f>IFERROR(__xludf.DUMMYFUNCTION("GOOGLETRANSLATE(A2316,""en"",""fi"")"),"Koska ne levittävät bakteereja kaikkialle, ne ovat pitkään olleet tuhoamisen kohteena, mikä on johtanut niiden populaation jyrkkään vähenemiseen.")</f>
        <v>Koska ne levittävät bakteereja kaikkialle, ne ovat pitkään olleet tuhoamisen kohteena, mikä on johtanut niiden populaation jyrkkään vähenemiseen.</v>
      </c>
      <c r="C2316" s="9" t="s">
        <v>1344</v>
      </c>
    </row>
    <row r="2317" ht="33.75" customHeight="1">
      <c r="A2317" s="6" t="s">
        <v>3457</v>
      </c>
      <c r="B2317" s="6" t="str">
        <f>IFERROR(__xludf.DUMMYFUNCTION("GOOGLETRANSLATE(A2317,""en"",""fi"")"),"Se haisee niin kamalalta, että se voi aiheuttaa pyörtymisen. Nenänsä rappeutumisen vuoksi se menetti hajuaistinsa.")</f>
        <v>Se haisee niin kamalalta, että se voi aiheuttaa pyörtymisen. Nenänsä rappeutumisen vuoksi se menetti hajuaistinsa.</v>
      </c>
      <c r="C2317" s="9" t="s">
        <v>1344</v>
      </c>
    </row>
    <row r="2318" ht="33.75" customHeight="1">
      <c r="A2318" s="6" t="s">
        <v>3461</v>
      </c>
      <c r="B2318" s="6" t="str">
        <f>IFERROR(__xludf.DUMMYFUNCTION("GOOGLETRANSLATE(A2318,""en"",""fi"")"),"Sen kova kuori torjuu kaikenlaiset hyökkäykset. Se on haavoittuvainen vain kuoren ollessa auki.")</f>
        <v>Sen kova kuori torjuu kaikenlaiset hyökkäykset. Se on haavoittuvainen vain kuoren ollessa auki.</v>
      </c>
      <c r="C2318" s="9" t="s">
        <v>1344</v>
      </c>
    </row>
    <row r="2319" ht="33.75" customHeight="1">
      <c r="A2319" s="6" t="s">
        <v>3462</v>
      </c>
      <c r="B2319" s="6" t="str">
        <f>IFERROR(__xludf.DUMMYFUNCTION("GOOGLETRANSLATE(A2319,""en"",""fi"")"),"Kuori kestää minkä tahansa hyökkäyksen. Kuitenkin, kun se on auki, herkkä ruumis paljastuu.")</f>
        <v>Kuori kestää minkä tahansa hyökkäyksen. Kuitenkin, kun se on auki, herkkä ruumis paljastuu.</v>
      </c>
      <c r="C2319" s="9" t="s">
        <v>1344</v>
      </c>
    </row>
    <row r="2320" ht="33.75" customHeight="1">
      <c r="A2320" s="6" t="s">
        <v>3463</v>
      </c>
      <c r="B2320" s="6" t="str">
        <f>IFERROR(__xludf.DUMMYFUNCTION("GOOGLETRANSLATE(A2320,""en"",""fi"")"),"Se ui selkä taaksepäin avaamalla ja sulkemalla kaksiosaista kuortaan. Se on yllättävän nopea.")</f>
        <v>Se ui selkä taaksepäin avaamalla ja sulkemalla kaksiosaista kuortaan. Se on yllättävän nopea.</v>
      </c>
      <c r="C2320" s="9" t="s">
        <v>1344</v>
      </c>
    </row>
    <row r="2321" ht="33.75" customHeight="1">
      <c r="A2321" s="6" t="s">
        <v>3465</v>
      </c>
      <c r="B2321" s="6" t="str">
        <f>IFERROR(__xludf.DUMMYFUNCTION("GOOGLETRANSLATE(A2321,""en"",""fi"")"),"Sen kuoriin jääneet hiekanjyvät sekoittuvat sen ruumiinnesteisiin muodostaen kauniita helmiä.")</f>
        <v>Sen kuoriin jääneet hiekanjyvät sekoittuvat sen ruumiinnesteisiin muodostaen kauniita helmiä.</v>
      </c>
      <c r="C2321" s="9" t="s">
        <v>1344</v>
      </c>
    </row>
    <row r="2322" ht="33.75" customHeight="1">
      <c r="A2322" s="6" t="s">
        <v>3467</v>
      </c>
      <c r="B2322" s="6" t="str">
        <f>IFERROR(__xludf.DUMMYFUNCTION("GOOGLETRANSLATE(A2322,""en"",""fi"")"),"Vastustajaan tarrautuminen paljastaa sen haavoittuvaiset osat, joten se käyttää tätä liikettä vain viimeisenä keinona.")</f>
        <v>Vastustajaan tarrautuminen paljastaa sen haavoittuvaiset osat, joten se käyttää tätä liikettä vain viimeisenä keinona.</v>
      </c>
      <c r="C2322" s="9" t="s">
        <v>1344</v>
      </c>
    </row>
    <row r="2323" ht="33.75" customHeight="1">
      <c r="A2323" s="6" t="s">
        <v>3469</v>
      </c>
      <c r="B2323" s="6" t="str">
        <f>IFERROR(__xludf.DUMMYFUNCTION("GOOGLETRANSLATE(A2323,""en"",""fi"")"),"Yöllä tämä POKéMON kaivaa leveällä kielellään reiän merenpohjan hiekkaan ja nukkuu siinä. Nukkuessaan SHELLDER sulkee kuorensa, mutta jättää kielen roikkumaan ulkona.")</f>
        <v>Yöllä tämä POKéMON kaivaa leveällä kielellään reiän merenpohjan hiekkaan ja nukkuu siinä. Nukkuessaan SHELLDER sulkee kuorensa, mutta jättää kielen roikkumaan ulkona.</v>
      </c>
      <c r="C2323" s="9" t="s">
        <v>1344</v>
      </c>
    </row>
    <row r="2324" ht="33.75" customHeight="1">
      <c r="A2324" s="6" t="s">
        <v>3471</v>
      </c>
      <c r="B2324" s="6" t="str">
        <f>IFERROR(__xludf.DUMMYFUNCTION("GOOGLETRANSLATE(A2324,""en"",""fi"")"),"Yöllä se kaivaa leveällä kielellään reiän merenpohjaan nukkumapaikkaa varten. Nukkuessaan se sulkee kuorensa, mutta jättää kielen roikkumaan ulos.")</f>
        <v>Yöllä se kaivaa leveällä kielellään reiän merenpohjaan nukkumapaikkaa varten. Nukkuessaan se sulkee kuorensa, mutta jättää kielen roikkumaan ulos.</v>
      </c>
      <c r="C2324" s="9" t="s">
        <v>1344</v>
      </c>
    </row>
    <row r="2325" ht="33.75" customHeight="1">
      <c r="A2325" s="6" t="s">
        <v>3474</v>
      </c>
      <c r="B2325" s="6" t="str">
        <f>IFERROR(__xludf.DUMMYFUNCTION("GOOGLETRANSLATE(A2325,""en"",""fi"")"),"Se on suljettu kuoreen, joka on timanttiakin kovempi. Sisältä se on kuitenkin yllättävän herkkä.")</f>
        <v>Se on suljettu kuoreen, joka on timanttiakin kovempi. Sisältä se on kuitenkin yllättävän herkkä.</v>
      </c>
      <c r="C2325" s="9" t="s">
        <v>1344</v>
      </c>
    </row>
    <row r="2326" ht="33.75" customHeight="1">
      <c r="A2326" s="6" t="s">
        <v>3475</v>
      </c>
      <c r="B2326" s="6" t="str">
        <f>IFERROR(__xludf.DUMMYFUNCTION("GOOGLETRANSLATE(A2326,""en"",""fi"")"),"Se ui takaperin avaamalla ja sulkemalla kahta kuortaan. Sen suuri kieli roikkuu aina ulkona.")</f>
        <v>Se ui takaperin avaamalla ja sulkemalla kahta kuortaan. Sen suuri kieli roikkuu aina ulkona.</v>
      </c>
      <c r="C2326" s="9" t="s">
        <v>1344</v>
      </c>
    </row>
    <row r="2327" ht="33.75" customHeight="1">
      <c r="A2327" s="6" t="s">
        <v>3476</v>
      </c>
      <c r="B2327" s="6" t="str">
        <f>IFERROR(__xludf.DUMMYFUNCTION("GOOGLETRANSLATE(A2327,""en"",""fi"")"),"Se ui selkä taaksepäin avaamalla ja sulkemalla kaksiosaisen kuorensa. Se on yllättävän nopea.")</f>
        <v>Se ui selkä taaksepäin avaamalla ja sulkemalla kaksiosaisen kuorensa. Se on yllättävän nopea.</v>
      </c>
      <c r="C2327" s="9" t="s">
        <v>1344</v>
      </c>
    </row>
    <row r="2328" ht="33.75" customHeight="1">
      <c r="A2328" s="6" t="s">
        <v>3477</v>
      </c>
      <c r="B2328" s="6" t="str">
        <f>IFERROR(__xludf.DUMMYFUNCTION("GOOGLETRANSLATE(A2328,""en"",""fi"")"),"Yöllä tämä Pokémon kaivaa leveällä kielellään reiän merenpohjan hiekkaan ja nukkuu siinä. Nukkuessaan Shellder sulkee kuorensa, mutta jättää kielen roikkumaan ulkona.")</f>
        <v>Yöllä tämä Pokémon kaivaa leveällä kielellään reiän merenpohjan hiekkaan ja nukkuu siinä. Nukkuessaan Shellder sulkee kuorensa, mutta jättää kielen roikkumaan ulkona.</v>
      </c>
      <c r="C2328" s="9" t="s">
        <v>1344</v>
      </c>
    </row>
    <row r="2329" ht="33.75" customHeight="1">
      <c r="A2329" s="6" t="s">
        <v>3479</v>
      </c>
      <c r="B2329" s="6" t="str">
        <f>IFERROR(__xludf.DUMMYFUNCTION("GOOGLETRANSLATE(A2329,""en"",""fi"")"),"Sen kuoren kovuus ylittää timantin kovuuden. Menneinä aikoina ihmiset käyttivät kuoria kilpien valmistukseen.")</f>
        <v>Sen kuoren kovuus ylittää timantin kovuuden. Menneinä aikoina ihmiset käyttivät kuoria kilpien valmistukseen.</v>
      </c>
      <c r="C2329" s="9" t="s">
        <v>1344</v>
      </c>
    </row>
    <row r="2330" ht="33.75" customHeight="1">
      <c r="A2330" s="6" t="s">
        <v>3481</v>
      </c>
      <c r="B2330" s="6" t="str">
        <f>IFERROR(__xludf.DUMMYFUNCTION("GOOGLETRANSLATE(A2330,""en"",""fi"")"),"Tämän Pokémonin kieli roikkuu aina ulkona. Se käyttää kieltään erittäin taitavasti kaivaakseen hiekkaa merenpohjasta etsiessään ruokaa.")</f>
        <v>Tämän Pokémonin kieli roikkuu aina ulkona. Se käyttää kieltään erittäin taitavasti kaivaakseen hiekkaa merenpohjasta etsiessään ruokaa.</v>
      </c>
      <c r="C2330" s="9" t="s">
        <v>1344</v>
      </c>
    </row>
    <row r="2331" ht="33.75" customHeight="1">
      <c r="A2331" s="6" t="s">
        <v>3482</v>
      </c>
      <c r="B2331" s="6" t="str">
        <f>IFERROR(__xludf.DUMMYFUNCTION("GOOGLETRANSLATE(A2331,""en"",""fi"")"),"Kuoren sisään kertyvä hiekka muuttuu lopulta helmeksi. Mutta helmi tulee tielle, joten se sylkee sen ulos ja heittää pois.")</f>
        <v>Kuoren sisään kertyvä hiekka muuttuu lopulta helmeksi. Mutta helmi tulee tielle, joten se sylkee sen ulos ja heittää pois.</v>
      </c>
      <c r="C2331" s="9" t="s">
        <v>1344</v>
      </c>
    </row>
    <row r="2332" ht="33.75" customHeight="1">
      <c r="A2332" s="6" t="s">
        <v>3483</v>
      </c>
      <c r="B2332" s="6" t="str">
        <f>IFERROR(__xludf.DUMMYFUNCTION("GOOGLETRANSLATE(A2332,""en"",""fi"")"),"Vaikka sen kuori on kiinni, sen kieli roikkuu edelleen ulkona. Jos nykäiset sitä kunnolla, Shellder avaa kuorensa iskusta.")</f>
        <v>Vaikka sen kuori on kiinni, sen kieli roikkuu edelleen ulkona. Jos nykäiset sitä kunnolla, Shellder avaa kuorensa iskusta.</v>
      </c>
      <c r="C2332" s="9" t="s">
        <v>1344</v>
      </c>
    </row>
    <row r="2333" ht="33.75" customHeight="1">
      <c r="A2333" s="6" t="s">
        <v>3485</v>
      </c>
      <c r="B2333" s="6" t="str">
        <f>IFERROR(__xludf.DUMMYFUNCTION("GOOGLETRANSLATE(A2333,""en"",""fi"")"),"Hyökkäyksen sattuessa se ampuu sarvensa nopeina sarjoina. Sen sisuskaluja ei ole koskaan nähty.")</f>
        <v>Hyökkäyksen sattuessa se ampuu sarvensa nopeina sarjoina. Sen sisuskaluja ei ole koskaan nähty.</v>
      </c>
      <c r="C2333" s="9" t="s">
        <v>1344</v>
      </c>
    </row>
    <row r="2334" ht="33.75" customHeight="1">
      <c r="A2334" s="6" t="s">
        <v>3486</v>
      </c>
      <c r="B2334" s="6" t="str">
        <f>IFERROR(__xludf.DUMMYFUNCTION("GOOGLETRANSLATE(A2334,""en"",""fi"")"),"Suojautuakseen se käyttää timanttia kovempaa kuortaan. Se myös ampuu piikkejä kuoresta.")</f>
        <v>Suojautuakseen se käyttää timanttia kovempaa kuortaan. Se myös ampuu piikkejä kuoresta.</v>
      </c>
      <c r="C2334" s="9" t="s">
        <v>1344</v>
      </c>
    </row>
    <row r="2335" ht="33.75" customHeight="1">
      <c r="A2335" s="6" t="s">
        <v>3487</v>
      </c>
      <c r="B2335" s="6" t="str">
        <f>IFERROR(__xludf.DUMMYFUNCTION("GOOGLETRANSLATE(A2335,""en"",""fi"")"),"Kun se paiskaa kuorensa kiinni, sitä on mahdotonta avata, edes ylivoimaisten tai vahvojen.")</f>
        <v>Kun se paiskaa kuorensa kiinni, sitä on mahdotonta avata, edes ylivoimaisten tai vahvojen.</v>
      </c>
      <c r="C2335" s="9" t="s">
        <v>1344</v>
      </c>
    </row>
    <row r="2336" ht="33.75" customHeight="1">
      <c r="A2336" s="6" t="s">
        <v>3488</v>
      </c>
      <c r="B2336" s="6" t="str">
        <f>IFERROR(__xludf.DUMMYFUNCTION("GOOGLETRANSLATE(A2336,""en"",""fi"")"),"Ankan vuorovesivirtojen merissä elävät kloysterit kasvattavat kuoriinsa suuria, teräviä piikkejä.")</f>
        <v>Ankan vuorovesivirtojen merissä elävät kloysterit kasvattavat kuoriinsa suuria, teräviä piikkejä.</v>
      </c>
      <c r="C2336" s="9" t="s">
        <v>1344</v>
      </c>
    </row>
    <row r="2337" ht="33.75" customHeight="1">
      <c r="A2337" s="6" t="s">
        <v>3489</v>
      </c>
      <c r="B2337" s="6" t="str">
        <f>IFERROR(__xludf.DUMMYFUNCTION("GOOGLETRANSLATE(A2337,""en"",""fi"")"),"Edes ohjus ei voi rikkoa piikkejä, joilla se iskee vastustajiaan. Ne ovat jopa kovempia kuin sen ammus.")</f>
        <v>Edes ohjus ei voi rikkoa piikkejä, joilla se iskee vastustajiaan. Ne ovat jopa kovempia kuin sen ammus.</v>
      </c>
      <c r="C2337" s="9" t="s">
        <v>1344</v>
      </c>
    </row>
    <row r="2338" ht="33.75" customHeight="1">
      <c r="A2338" s="6" t="s">
        <v>3491</v>
      </c>
      <c r="B2338" s="6" t="str">
        <f>IFERROR(__xludf.DUMMYFUNCTION("GOOGLETRANSLATE(A2338,""en"",""fi"")"),"CLOYSTER pystyy uimaan meressä. Se tekee sen nielemällä vettä ja suihkuttamalla sitä sitten taaksepäin. Tämä POKéMON ampuu piikkejä kuorestaan ​​käyttämällä samaa järjestelmää.")</f>
        <v>CLOYSTER pystyy uimaan meressä. Se tekee sen nielemällä vettä ja suihkuttamalla sitä sitten taaksepäin. Tämä POKéMON ampuu piikkejä kuorestaan ​​käyttämällä samaa järjestelmää.</v>
      </c>
      <c r="C2338" s="9" t="s">
        <v>1344</v>
      </c>
    </row>
    <row r="2339" ht="33.75" customHeight="1">
      <c r="A2339" s="6" t="s">
        <v>3492</v>
      </c>
      <c r="B2339" s="6" t="str">
        <f>IFERROR(__xludf.DUMMYFUNCTION("GOOGLETRANSLATE(A2339,""en"",""fi"")"),"Se ui meressä nielemällä vettä ja suihkuttamalla sitä sitten takaosaa kohti. CLOYSTER ampuu piikkejä kuorestaan ​​samalla järjestelmällä.")</f>
        <v>Se ui meressä nielemällä vettä ja suihkuttamalla sitä sitten takaosaa kohti. CLOYSTER ampuu piikkejä kuorestaan ​​samalla järjestelmällä.</v>
      </c>
      <c r="C2339" s="9" t="s">
        <v>1344</v>
      </c>
    </row>
    <row r="2340" ht="33.75" customHeight="1">
      <c r="A2340" s="6" t="s">
        <v>3493</v>
      </c>
      <c r="B2340" s="6" t="str">
        <f>IFERROR(__xludf.DUMMYFUNCTION("GOOGLETRANSLATE(A2340,""en"",""fi"")"),"Sen kuori on äärimmäisen kova. Sitä ei voida rikkoa edes pommilla. Kuori avautuu vain hyökkäyksen aikana.")</f>
        <v>Sen kuori on äärimmäisen kova. Sitä ei voida rikkoa edes pommilla. Kuori avautuu vain hyökkäyksen aikana.</v>
      </c>
      <c r="C2340" s="9" t="s">
        <v>1344</v>
      </c>
    </row>
    <row r="2341" ht="33.75" customHeight="1">
      <c r="A2341" s="6" t="s">
        <v>3495</v>
      </c>
      <c r="B2341" s="6" t="str">
        <f>IFERROR(__xludf.DUMMYFUNCTION("GOOGLETRANSLATE(A2341,""en"",""fi"")"),"Se taistelee pitämällä kuorensa tiukasti kiinni suojakseen ja ampumalla piikkejä vihollisten torjumiseksi.")</f>
        <v>Se taistelee pitämällä kuorensa tiukasti kiinni suojakseen ja ampumalla piikkejä vihollisten torjumiseksi.</v>
      </c>
      <c r="C2341" s="9" t="s">
        <v>1344</v>
      </c>
    </row>
    <row r="2342" ht="33.75" customHeight="1">
      <c r="A2342" s="6" t="s">
        <v>3496</v>
      </c>
      <c r="B2342" s="6" t="str">
        <f>IFERROR(__xludf.DUMMYFUNCTION("GOOGLETRANSLATE(A2342,""en"",""fi"")"),"Kun se paiskaa kuorensa kiinni, sitä on mahdotonta avata, edes ylivoimaisten.")</f>
        <v>Kun se paiskaa kuorensa kiinni, sitä on mahdotonta avata, edes ylivoimaisten.</v>
      </c>
      <c r="C2342" s="9" t="s">
        <v>1344</v>
      </c>
    </row>
    <row r="2343" ht="33.75" customHeight="1">
      <c r="A2343" s="6" t="s">
        <v>3497</v>
      </c>
      <c r="B2343" s="6" t="str">
        <f>IFERROR(__xludf.DUMMYFUNCTION("GOOGLETRANSLATE(A2343,""en"",""fi"")"),"Ankarissa vuorovesivirroissa elävillä ahvenioilla kasvaa kuoriinsa suuria, teräviä piikkejä.")</f>
        <v>Ankarissa vuorovesivirroissa elävillä ahvenioilla kasvaa kuoriinsa suuria, teräviä piikkejä.</v>
      </c>
      <c r="C2343" s="9" t="s">
        <v>1344</v>
      </c>
    </row>
    <row r="2344" ht="33.75" customHeight="1">
      <c r="A2344" s="6" t="s">
        <v>3498</v>
      </c>
      <c r="B2344" s="6" t="str">
        <f>IFERROR(__xludf.DUMMYFUNCTION("GOOGLETRANSLATE(A2344,""en"",""fi"")"),"Cloyster pystyy uimaan meressä. Se tekee sen nielemällä vettä ja suihkuttamalla sitä sitten taaksepäin. Tämä Pokémon ampuu piikkejä kuorestaan ​​käyttämällä samaa järjestelmää.")</f>
        <v>Cloyster pystyy uimaan meressä. Se tekee sen nielemällä vettä ja suihkuttamalla sitä sitten taaksepäin. Tämä Pokémon ampuu piikkejä kuorestaan ​​käyttämällä samaa järjestelmää.</v>
      </c>
      <c r="C2344" s="9" t="s">
        <v>1344</v>
      </c>
    </row>
    <row r="2345" ht="33.75" customHeight="1">
      <c r="A2345" s="6" t="s">
        <v>3499</v>
      </c>
      <c r="B2345" s="6" t="str">
        <f>IFERROR(__xludf.DUMMYFUNCTION("GOOGLETRANSLATE(A2345,""en"",""fi"")"),"Sen kovaa kuorta ei voida rikkoa – ei edes pommilla. Kuoren sisältö on tuntematon.")</f>
        <v>Sen kovaa kuorta ei voida rikkoa – ei edes pommilla. Kuoren sisältö on tuntematon.</v>
      </c>
      <c r="C2345" s="9" t="s">
        <v>1344</v>
      </c>
    </row>
    <row r="2346" ht="33.75" customHeight="1">
      <c r="A2346" s="6" t="s">
        <v>3500</v>
      </c>
      <c r="B2346" s="6" t="str">
        <f>IFERROR(__xludf.DUMMYFUNCTION("GOOGLETRANSLATE(A2346,""en"",""fi"")"),"Muinaisten metsästysheimojen hautojen kaivauksissa on löydetty monia keihäitä, joiden kärjessä on piikkejä, jotka olivat pudonneet tämän Pokémonin kuoresta.")</f>
        <v>Muinaisten metsästysheimojen hautojen kaivauksissa on löydetty monia keihäitä, joiden kärjessä on piikkejä, jotka olivat pudonneet tämän Pokémonin kuoresta.</v>
      </c>
      <c r="C2346" s="9" t="s">
        <v>1344</v>
      </c>
    </row>
    <row r="2347" ht="33.75" customHeight="1">
      <c r="A2347" s="6" t="s">
        <v>3502</v>
      </c>
      <c r="B2347" s="6" t="str">
        <f>IFERROR(__xludf.DUMMYFUNCTION("GOOGLETRANSLATE(A2347,""en"",""fi"")"),"Jos Cloysterin erittäin kovan kuoren alueet vaurioituvat, ne turpoavat ja kasvavat vähitellen suuriksi teräviksi piikeiksi.")</f>
        <v>Jos Cloysterin erittäin kovan kuoren alueet vaurioituvat, ne turpoavat ja kasvavat vähitellen suuriksi teräviksi piikeiksi.</v>
      </c>
      <c r="C2347" s="9" t="s">
        <v>1344</v>
      </c>
    </row>
    <row r="2348" ht="33.75" customHeight="1">
      <c r="A2348" s="6" t="s">
        <v>3503</v>
      </c>
      <c r="B2348" s="6" t="str">
        <f>IFERROR(__xludf.DUMMYFUNCTION("GOOGLETRANSLATE(A2348,""en"",""fi"")"),"Hidaskalan pyrstöt ovat sen lempiruokaa. Sen tiedetään jopa aika ajoin nousevan maihin etsimään hidaskalaa.")</f>
        <v>Hidaskalan pyrstöt ovat sen lempiruokaa. Sen tiedetään jopa aika ajoin nousevan maihin etsimään hidaskalaa.</v>
      </c>
      <c r="C2348" s="9" t="s">
        <v>1344</v>
      </c>
    </row>
    <row r="2349" ht="33.75" customHeight="1">
      <c r="A2349" s="6" t="s">
        <v>3504</v>
      </c>
      <c r="B2349" s="6" t="str">
        <f>IFERROR(__xludf.DUMMYFUNCTION("GOOGLETRANSLATE(A2349,""en"",""fi"")"),"Suojautumiseen se käyttää timanttiakin kovempaa kuortaan. Se myös ampuu piikkejä kuoresta.")</f>
        <v>Suojautumiseen se käyttää timanttiakin kovempaa kuortaan. Se myös ampuu piikkejä kuoresta.</v>
      </c>
      <c r="C2349" s="9" t="s">
        <v>1344</v>
      </c>
    </row>
    <row r="2350" ht="33.75" customHeight="1">
      <c r="A2350" s="6" t="s">
        <v>3506</v>
      </c>
      <c r="B2350" s="6" t="str">
        <f>IFERROR(__xludf.DUMMYFUNCTION("GOOGLETRANSLATE(A2350,""en"",""fi"")"),"Lähes näkymätön, tämä kaasumainen POKéMON peittää kohteen ja nukuttaa sen huomaamatta.")</f>
        <v>Lähes näkymätön, tämä kaasumainen POKéMON peittää kohteen ja nukuttaa sen huomaamatta.</v>
      </c>
      <c r="C2350" s="9" t="s">
        <v>1344</v>
      </c>
    </row>
    <row r="2351" ht="33.75" customHeight="1">
      <c r="A2351" s="6" t="s">
        <v>3508</v>
      </c>
      <c r="B2351" s="6" t="str">
        <f>IFERROR(__xludf.DUMMYFUNCTION("GOOGLETRANSLATE(A2351,""en"",""fi"")"),"Sanotaan esiintyvän ränsistyneissä, hylätyissä rakennuksissa. Sillä ei ole todellista muotoa, koska se näyttää olevan tehty kaasusta.")</f>
        <v>Sanotaan esiintyvän ränsistyneissä, hylätyissä rakennuksissa. Sillä ei ole todellista muotoa, koska se näyttää olevan tehty kaasusta.</v>
      </c>
      <c r="C2351" s="9" t="s">
        <v>1344</v>
      </c>
    </row>
    <row r="2352" ht="33.75" customHeight="1">
      <c r="A2352" s="6" t="s">
        <v>3509</v>
      </c>
      <c r="B2352" s="6" t="str">
        <f>IFERROR(__xludf.DUMMYFUNCTION("GOOGLETRANSLATE(A2352,""en"",""fi"")"),"Kaasumaisen ruumiinsa ansiosta se voi hiipiä minne tahansa. Tuuli voi kuitenkin kuljettaa sen pois.")</f>
        <v>Kaasumaisen ruumiinsa ansiosta se voi hiipiä minne tahansa. Tuuli voi kuitenkin kuljettaa sen pois.</v>
      </c>
      <c r="C2352" s="9" t="s">
        <v>1344</v>
      </c>
    </row>
    <row r="2353" ht="33.75" customHeight="1">
      <c r="A2353" s="6" t="s">
        <v>3511</v>
      </c>
      <c r="B2353" s="6" t="str">
        <f>IFERROR(__xludf.DUMMYFUNCTION("GOOGLETRANSLATE(A2353,""en"",""fi"")"),"Sen ohut runko on tehty kaasusta. Se voi kietoa sisäänsä minkä tahansa kokoisen vihollisen ja aiheuttaa tukehtumisen.")</f>
        <v>Sen ohut runko on tehty kaasusta. Se voi kietoa sisäänsä minkä tahansa kokoisen vihollisen ja aiheuttaa tukehtumisen.</v>
      </c>
      <c r="C2353" s="9" t="s">
        <v>1344</v>
      </c>
    </row>
    <row r="2354" ht="33.75" customHeight="1">
      <c r="A2354" s="6" t="s">
        <v>3513</v>
      </c>
      <c r="B2354" s="6" t="str">
        <f>IFERROR(__xludf.DUMMYFUNCTION("GOOGLETRANSLATE(A2354,""en"",""fi"")"),"Se kietoo vastustajansa kaasumaiseen ruumiiseensa ja heikentää saalistaan ​​hitaasti myrkyttämällä sitä ihon läpi.")</f>
        <v>Se kietoo vastustajansa kaasumaiseen ruumiiseensa ja heikentää saalistaan ​​hitaasti myrkyttämällä sitä ihon läpi.</v>
      </c>
      <c r="C2354" s="9" t="s">
        <v>1344</v>
      </c>
    </row>
    <row r="2355" ht="33.75" customHeight="1">
      <c r="A2355" s="6" t="s">
        <v>3515</v>
      </c>
      <c r="B2355" s="6" t="str">
        <f>IFERROR(__xludf.DUMMYFUNCTION("GOOGLETRANSLATE(A2355,""en"",""fi"")"),"GASTLY koostuu pääosin kaasumaisesta aineesta. Voimakkaan tuulen iskiessä kaasumainen kappale kutistuu nopeasti. Tämän POKéMONin ryhmät rykeltyvät talojen räystäiden alle paetakseen tuulen tukaloa.")</f>
        <v>GASTLY koostuu pääosin kaasumaisesta aineesta. Voimakkaan tuulen iskiessä kaasumainen kappale kutistuu nopeasti. Tämän POKéMONin ryhmät rykeltyvät talojen räystäiden alle paetakseen tuulen tukaloa.</v>
      </c>
      <c r="C2355" s="9" t="s">
        <v>1344</v>
      </c>
    </row>
    <row r="2356" ht="33.75" customHeight="1">
      <c r="A2356" s="6" t="s">
        <v>3516</v>
      </c>
      <c r="B2356" s="6" t="str">
        <f>IFERROR(__xludf.DUMMYFUNCTION("GOOGLETRANSLATE(A2356,""en"",""fi"")"),"Voimakkaassa tuulessa GASTLY-kalan kaasumainen ruumis hupenee nopeasti. Ne kerääntyvät talojen räystäiden alle paetakseen tuulen tukalaa iskua.")</f>
        <v>Voimakkaassa tuulessa GASTLY-kalan kaasumainen ruumis hupenee nopeasti. Ne kerääntyvät talojen räystäiden alle paetakseen tuulen tukalaa iskua.</v>
      </c>
      <c r="C2356" s="9" t="s">
        <v>1344</v>
      </c>
    </row>
    <row r="2357" ht="33.75" customHeight="1">
      <c r="A2357" s="6" t="s">
        <v>3517</v>
      </c>
      <c r="B2357" s="6" t="str">
        <f>IFERROR(__xludf.DUMMYFUNCTION("GOOGLETRANSLATE(A2357,""en"",""fi"")"),"Olento, joka esiintyy ohuena kaasuna. Se voi kaataa intialaisen norsun kietomalla saaliinsa sisäänsä kahdessa sekunnissa.")</f>
        <v>Olento, joka esiintyy ohuena kaasuna. Se voi kaataa intialaisen norsun kietomalla saaliinsa sisäänsä kahdessa sekunnissa.</v>
      </c>
      <c r="C2357" s="9" t="s">
        <v>1344</v>
      </c>
    </row>
    <row r="2358" ht="33.75" customHeight="1">
      <c r="A2358" s="6" t="s">
        <v>3518</v>
      </c>
      <c r="B2358" s="6" t="str">
        <f>IFERROR(__xludf.DUMMYFUNCTION("GOOGLETRANSLATE(A2358,""en"",""fi"")"),"Tämän Pokémonin ruumis koostuu 95-prosenttisesti kaasuista, joita voimakkaat tuulenpuuskat kuljettavat pois.")</f>
        <v>Tämän Pokémonin ruumis koostuu 95-prosenttisesti kaasuista, joita voimakkaat tuulenpuuskat kuljettavat pois.</v>
      </c>
      <c r="C2358" s="9" t="s">
        <v>1344</v>
      </c>
    </row>
    <row r="2359" ht="33.75" customHeight="1">
      <c r="A2359" s="6" t="s">
        <v>3520</v>
      </c>
      <c r="B2359" s="6" t="str">
        <f>IFERROR(__xludf.DUMMYFUNCTION("GOOGLETRANSLATE(A2359,""en"",""fi"")"),"Myrkyllisistä kaasuista syntynyt Pokémon. Se kukistaa jopa suurimmat viholliset kietomalla ne kaasuun.")</f>
        <v>Myrkyllisistä kaasuista syntynyt Pokémon. Se kukistaa jopa suurimmat viholliset kietomalla ne kaasuun.</v>
      </c>
      <c r="C2359" s="9" t="s">
        <v>1344</v>
      </c>
    </row>
    <row r="2360" ht="33.75" customHeight="1">
      <c r="A2360" s="6" t="s">
        <v>3523</v>
      </c>
      <c r="B2360" s="6" t="str">
        <f>IFERROR(__xludf.DUMMYFUNCTION("GOOGLETRANSLATE(A2360,""en"",""fi"")"),"Kaasuista syntynyt, kuka tahansa pyörtyisi, jos sen myrkkyä sisältävä kaasumainen ruumis nielaisisi hänet.")</f>
        <v>Kaasuista syntynyt, kuka tahansa pyörtyisi, jos sen myrkkyä sisältävä kaasumainen ruumis nielaisisi hänet.</v>
      </c>
      <c r="C2360" s="9" t="s">
        <v>1344</v>
      </c>
    </row>
    <row r="2361" ht="33.75" customHeight="1">
      <c r="A2361" s="6" t="s">
        <v>3525</v>
      </c>
      <c r="B2361" s="6" t="str">
        <f>IFERROR(__xludf.DUMMYFUNCTION("GOOGLETRANSLATE(A2361,""en"",""fi"")"),"Sen ruumis on tehty kaasusta. Vaikka siinä ei ole ainetta, se voi kietoa itseensä minkä tahansa kokoisen vihollisen ja tukehduttaa sen.")</f>
        <v>Sen ruumis on tehty kaasusta. Vaikka siinä ei ole ainetta, se voi kietoa itseensä minkä tahansa kokoisen vihollisen ja tukehduttaa sen.</v>
      </c>
      <c r="C2361" s="9" t="s">
        <v>1344</v>
      </c>
    </row>
    <row r="2362" ht="33.75" customHeight="1">
      <c r="A2362" s="6" t="s">
        <v>3526</v>
      </c>
      <c r="B2362" s="6" t="str">
        <f>IFERROR(__xludf.DUMMYFUNCTION("GOOGLETRANSLATE(A2362,""en"",""fi"")"),"Gastly koostuu pääosin kaasumaisesta aineesta. Voimakkaassa tuulessa kaasumainen aine hupenee nopeasti. Tämän Pokémonin ryhmät kerääntyvät talojen räystäiden alle paetakseen tuulen tukalaa iskua.")</f>
        <v>Gastly koostuu pääosin kaasumaisesta aineesta. Voimakkaassa tuulessa kaasumainen aine hupenee nopeasti. Tämän Pokémonin ryhmät kerääntyvät talojen räystäiden alle paetakseen tuulen tukalaa iskua.</v>
      </c>
      <c r="C2362" s="9" t="s">
        <v>1344</v>
      </c>
    </row>
    <row r="2363" ht="33.75" customHeight="1">
      <c r="A2363" s="6" t="s">
        <v>3528</v>
      </c>
      <c r="B2363" s="6" t="str">
        <f>IFERROR(__xludf.DUMMYFUNCTION("GOOGLETRANSLATE(A2363,""en"",""fi"")"),"Jos hylätyssä rakennuksessa nähdään välkkyvän outo valo, Gastly väijyy siellä.")</f>
        <v>Jos hylätyssä rakennuksessa nähdään välkkyvän outo valo, Gastly väijyy siellä.</v>
      </c>
      <c r="C2363" s="9" t="s">
        <v>1344</v>
      </c>
    </row>
    <row r="2364" ht="33.75" customHeight="1">
      <c r="A2364" s="6" t="s">
        <v>3529</v>
      </c>
      <c r="B2364" s="6" t="str">
        <f>IFERROR(__xludf.DUMMYFUNCTION("GOOGLETRANSLATE(A2364,""en"",""fi"")"),"Vaikka Gastly on tuskin näkyvissä, lähellä leijuu hento makea tuoksu.")</f>
        <v>Vaikka Gastly on tuskin näkyvissä, lähellä leijuu hento makea tuoksu.</v>
      </c>
      <c r="C2364" s="9" t="s">
        <v>1344</v>
      </c>
    </row>
    <row r="2365" ht="33.75" customHeight="1">
      <c r="A2365" s="6" t="s">
        <v>3531</v>
      </c>
      <c r="B2365" s="6" t="str">
        <f>IFERROR(__xludf.DUMMYFUNCTION("GOOGLETRANSLATE(A2365,""en"",""fi"")"),"Sanotaan, että hautausmaalta nouseva kaasu oli vainajien vääryyksien riivaamaa ja siitä tuli Pokémon.")</f>
        <v>Sanotaan, että hautausmaalta nouseva kaasu oli vainajien vääryyksien riivaamaa ja siitä tuli Pokémon.</v>
      </c>
      <c r="C2365" s="9" t="s">
        <v>1344</v>
      </c>
    </row>
    <row r="2366" ht="33.75" customHeight="1">
      <c r="A2366" s="6" t="s">
        <v>3533</v>
      </c>
      <c r="B2366" s="6" t="str">
        <f>IFERROR(__xludf.DUMMYFUNCTION("GOOGLETRANSLATE(A2366,""en"",""fi"")"),"Myrkyllinen kaasu muodostaa 95 % sen kehosta. Sanotaan, että loput 5 % koostuu kaasuun kuolleiden sieluista.")</f>
        <v>Myrkyllinen kaasu muodostaa 95 % sen kehosta. Sanotaan, että loput 5 % koostuu kaasuun kuolleiden sieluista.</v>
      </c>
      <c r="C2366" s="9" t="s">
        <v>1344</v>
      </c>
    </row>
    <row r="2367" ht="33.75" customHeight="1">
      <c r="A2367" s="6" t="s">
        <v>3535</v>
      </c>
      <c r="B2367" s="6" t="str">
        <f>IFERROR(__xludf.DUMMYFUNCTION("GOOGLETRANSLATE(A2367,""en"",""fi"")"),"Sanotaan esiintyvän ränsistyneissä, hylätyissä rakennuksissa. Sillä ei ole todellista muotoa, koska se näyttää olevan tehty kaasusta.")</f>
        <v>Sanotaan esiintyvän ränsistyneissä, hylätyissä rakennuksissa. Sillä ei ole todellista muotoa, koska se näyttää olevan tehty kaasusta.</v>
      </c>
      <c r="C2367" s="9" t="s">
        <v>1344</v>
      </c>
    </row>
    <row r="2368" ht="33.75" customHeight="1">
      <c r="A2368" s="6" t="s">
        <v>3536</v>
      </c>
      <c r="B2368" s="6" t="str">
        <f>IFERROR(__xludf.DUMMYFUNCTION("GOOGLETRANSLATE(A2368,""en"",""fi"")"),"Kaasumaista ja täysin käsin kosketeltavaa. Myös erittäin vaarallista – osan sen myrkyllisen ruumiin hengittäminen aiheuttaa välittömän pyörtymisen.")</f>
        <v>Kaasumaista ja täysin käsin kosketeltavaa. Myös erittäin vaarallista – osan sen myrkyllisen ruumiin hengittäminen aiheuttaa välittömän pyörtymisen.</v>
      </c>
      <c r="C2368" s="9" t="s">
        <v>1344</v>
      </c>
    </row>
    <row r="2369" ht="33.75" customHeight="1">
      <c r="A2369" s="6" t="s">
        <v>3538</v>
      </c>
      <c r="B2369" s="6" t="str">
        <f>IFERROR(__xludf.DUMMYFUNCTION("GOOGLETRANSLATE(A2369,""en"",""fi"")"),"Koska se pystyy livahtamaan lohkoseinien läpi, sen sanotaan olevan toisesta ulottuvuudesta.")</f>
        <v>Koska se pystyy livahtamaan lohkoseinien läpi, sen sanotaan olevan toisesta ulottuvuudesta.</v>
      </c>
      <c r="C2369" s="9" t="s">
        <v>1344</v>
      </c>
    </row>
    <row r="2370" ht="33.75" customHeight="1">
      <c r="A2370" s="6" t="s">
        <v>3539</v>
      </c>
      <c r="B2370" s="6" t="str">
        <f>IFERROR(__xludf.DUMMYFUNCTION("GOOGLETRANSLATE(A2370,""en"",""fi"")"),"Nuolemalla se nielee uhrin hengen. Se aiheuttaa vapinaa, joka ei lopu ennen uhrin kuolemaa.")</f>
        <v>Nuolemalla se nielee uhrin hengen. Se aiheuttaa vapinaa, joka ei lopu ennen uhrin kuolemaa.</v>
      </c>
      <c r="C2370" s="9" t="s">
        <v>1344</v>
      </c>
    </row>
    <row r="2371" ht="33.75" customHeight="1">
      <c r="A2371" s="6" t="s">
        <v>3540</v>
      </c>
      <c r="B2371" s="6" t="str">
        <f>IFERROR(__xludf.DUMMYFUNCTION("GOOGLETRANSLATE(A2371,""en"",""fi"")"),"Täydellisen pimeyden keskellä, missä mikään ei näy, VAIMORI vaanii hiljaa seuraavaa uhriaan.")</f>
        <v>Täydellisen pimeyden keskellä, missä mikään ei näy, VAIMORI vaanii hiljaa seuraavaa uhriaan.</v>
      </c>
      <c r="C2371" s="9" t="s">
        <v>1344</v>
      </c>
    </row>
    <row r="2372" ht="33.75" customHeight="1">
      <c r="A2372" s="6" t="s">
        <v>3542</v>
      </c>
      <c r="B2372" s="6" t="str">
        <f>IFERROR(__xludf.DUMMYFUNCTION("GOOGLETRANSLATE(A2372,""en"",""fi"")"),"Sen kieli on tehty kaasusta. Jos uhria nuolee, se alkaa täristä jatkuvasti, kunnes kuolema lopulta tulee.")</f>
        <v>Sen kieli on tehty kaasusta. Jos uhria nuolee, se alkaa täristä jatkuvasti, kunnes kuolema lopulta tulee.</v>
      </c>
      <c r="C2372" s="9" t="s">
        <v>1344</v>
      </c>
    </row>
    <row r="2373" ht="33.75" customHeight="1">
      <c r="A2373" s="6" t="s">
        <v>3545</v>
      </c>
      <c r="B2373" s="6" t="str">
        <f>IFERROR(__xludf.DUMMYFUNCTION("GOOGLETRANSLATE(A2373,""en"",""fi"")"),"Se piileskelee pimeässä ja suunnittelee seuraavan lähellä vaeltelevan elävän olennon hengen ottamista.")</f>
        <v>Se piileskelee pimeässä ja suunnittelee seuraavan lähellä vaeltelevan elävän olennon hengen ottamista.</v>
      </c>
      <c r="C2373" s="9" t="s">
        <v>1344</v>
      </c>
    </row>
    <row r="2374" ht="33.75" customHeight="1">
      <c r="A2374" s="6" t="s">
        <v>3547</v>
      </c>
      <c r="B2374" s="6" t="str">
        <f>IFERROR(__xludf.DUMMYFUNCTION("GOOGLETRANSLATE(A2374,""en"",""fi"")"),"HAUNTER on vaarallinen POKéMON. Jos sellainen houkuttelee sinua pimeydessä kelluessasi, et saa koskaan lähestyä sitä. Tämä POKéMON yrittää nuolla sinua kielellään ja varastaa henkesi.")</f>
        <v>HAUNTER on vaarallinen POKéMON. Jos sellainen houkuttelee sinua pimeydessä kelluessasi, et saa koskaan lähestyä sitä. Tämä POKéMON yrittää nuolla sinua kielellään ja varastaa henkesi.</v>
      </c>
      <c r="C2374" s="9" t="s">
        <v>1344</v>
      </c>
    </row>
    <row r="2375" ht="33.75" customHeight="1">
      <c r="A2375" s="6" t="s">
        <v>3549</v>
      </c>
      <c r="B2375" s="6" t="str">
        <f>IFERROR(__xludf.DUMMYFUNCTION("GOOGLETRANSLATE(A2375,""en"",""fi"")"),"Jos pimeydessä leijuva KUMMITUSOHJAAJA houkuttelee sinua luokseen, älä lähesty sitä. Tämä POKéMON yrittää nuolla sinua kielellään ja varastaa henkesi.")</f>
        <v>Jos pimeydessä leijuva KUMMITUSOHJAAJA houkuttelee sinua luokseen, älä lähesty sitä. Tämä POKéMON yrittää nuolla sinua kielellään ja varastaa henkesi.</v>
      </c>
      <c r="C2375" s="9" t="s">
        <v>1344</v>
      </c>
    </row>
    <row r="2376" ht="33.75" customHeight="1">
      <c r="A2376" s="6" t="s">
        <v>3550</v>
      </c>
      <c r="B2376" s="6" t="str">
        <f>IFERROR(__xludf.DUMMYFUNCTION("GOOGLETRANSLATE(A2376,""en"",""fi"")"),"Jos sinusta tuntuu, että sinua tarkkaillaan pimeässä, kun ketään ei ole lähellä, HAUNTER on siellä.")</f>
        <v>Jos sinusta tuntuu, että sinua tarkkaillaan pimeässä, kun ketään ei ole lähellä, HAUNTER on siellä.</v>
      </c>
      <c r="C2376" s="9" t="s">
        <v>1344</v>
      </c>
    </row>
    <row r="2377" ht="33.75" customHeight="1">
      <c r="A2377" s="6" t="s">
        <v>3551</v>
      </c>
      <c r="B2377" s="6" t="str">
        <f>IFERROR(__xludf.DUMMYFUNCTION("GOOGLETRANSLATE(A2377,""en"",""fi"")"),"Koska se pystyy livahtamaan lohkoseinien läpi, sen sanotaan olevan toisesta ulottuvuudesta.")</f>
        <v>Koska se pystyy livahtamaan lohkoseinien läpi, sen sanotaan olevan toisesta ulottuvuudesta.</v>
      </c>
      <c r="C2377" s="9" t="s">
        <v>1344</v>
      </c>
    </row>
    <row r="2378" ht="33.75" customHeight="1">
      <c r="A2378" s="6" t="s">
        <v>3552</v>
      </c>
      <c r="B2378" s="6" t="str">
        <f>IFERROR(__xludf.DUMMYFUNCTION("GOOGLETRANSLATE(A2378,""en"",""fi"")"),"Se voi livahtaa minkä tahansa esteen läpi. Se lymyilee seinien sisäpuolella pitääkseen vihollisiaan silmällä.")</f>
        <v>Se voi livahtaa minkä tahansa esteen läpi. Se lymyilee seinien sisäpuolella pitääkseen vihollisiaan silmällä.</v>
      </c>
      <c r="C2378" s="9" t="s">
        <v>1344</v>
      </c>
    </row>
    <row r="2379" ht="33.75" customHeight="1">
      <c r="A2379" s="6" t="s">
        <v>3554</v>
      </c>
      <c r="B2379" s="6" t="str">
        <f>IFERROR(__xludf.DUMMYFUNCTION("GOOGLETRANSLATE(A2379,""en"",""fi"")"),"Se nuolee kaasumaisella kielellään varastaakseen uhrin elinvoiman. Se väijyy pimeydessä saalista etsien.")</f>
        <v>Se nuolee kaasumaisella kielellään varastaakseen uhrin elinvoiman. Se väijyy pimeydessä saalista etsien.</v>
      </c>
      <c r="C2379" s="9" t="s">
        <v>1344</v>
      </c>
    </row>
    <row r="2380" ht="33.75" customHeight="1">
      <c r="A2380" s="6" t="s">
        <v>3555</v>
      </c>
      <c r="B2380" s="6" t="str">
        <f>IFERROR(__xludf.DUMMYFUNCTION("GOOGLETRANSLATE(A2380,""en"",""fi"")"),"Se tykkää väijyä pimeässä ja taputtaa olkapäitä kaasumaisella kädellä. Sen kosketus aiheuttaa loputonta vapinaa.")</f>
        <v>Se tykkää väijyä pimeässä ja taputtaa olkapäitä kaasumaisella kädellä. Sen kosketus aiheuttaa loputonta vapinaa.</v>
      </c>
      <c r="C2380" s="9" t="s">
        <v>1344</v>
      </c>
    </row>
    <row r="2381" ht="33.75" customHeight="1">
      <c r="A2381" s="6" t="s">
        <v>3556</v>
      </c>
      <c r="B2381" s="6" t="str">
        <f>IFERROR(__xludf.DUMMYFUNCTION("GOOGLETRANSLATE(A2381,""en"",""fi"")"),"Sen kieli on tehty kaasusta. Jos uhri nuolee sitä, se alkaa täristä jatkuvasti, kunnes kuolema lopulta tulee.")</f>
        <v>Sen kieli on tehty kaasusta. Jos uhri nuolee sitä, se alkaa täristä jatkuvasti, kunnes kuolema lopulta tulee.</v>
      </c>
      <c r="C2381" s="9" t="s">
        <v>1344</v>
      </c>
    </row>
    <row r="2382" ht="33.75" customHeight="1">
      <c r="A2382" s="6" t="s">
        <v>3557</v>
      </c>
      <c r="B2382" s="6" t="str">
        <f>IFERROR(__xludf.DUMMYFUNCTION("GOOGLETRANSLATE(A2382,""en"",""fi"")"),"Jos sinusta tuntuu, että sinua tarkkaillaan pimeässä, kun ketään ei ole lähellä, Haunter on siellä.")</f>
        <v>Jos sinusta tuntuu, että sinua tarkkaillaan pimeässä, kun ketään ei ole lähellä, Haunter on siellä.</v>
      </c>
      <c r="C2382" s="9" t="s">
        <v>1344</v>
      </c>
    </row>
    <row r="2383" ht="33.75" customHeight="1">
      <c r="A2383" s="6" t="s">
        <v>3559</v>
      </c>
      <c r="B2383" s="6" t="str">
        <f>IFERROR(__xludf.DUMMYFUNCTION("GOOGLETRANSLATE(A2383,""en"",""fi"")"),"Haunter on vaarallinen Pokémon. Jos sellainen houkuttelee sinua pimeydessä kelluessasi, et saa koskaan lähestyä sitä. Tämä Pokémon yrittää nuolla sinua kielellään ja varastaa henkesi.")</f>
        <v>Haunter on vaarallinen Pokémon. Jos sellainen houkuttelee sinua pimeydessä kelluessasi, et saa koskaan lähestyä sitä. Tämä Pokémon yrittää nuolla sinua kielellään ja varastaa henkesi.</v>
      </c>
      <c r="C2383" s="9" t="s">
        <v>1344</v>
      </c>
    </row>
    <row r="2384" ht="33.75" customHeight="1">
      <c r="A2384" s="6" t="s">
        <v>3560</v>
      </c>
      <c r="B2384" s="6" t="str">
        <f>IFERROR(__xludf.DUMMYFUNCTION("GOOGLETRANSLATE(A2384,""en"",""fi"")"),"Se iskee ihmisiin täydellisestä pimeydestä. Sen kylmän kielen nuolemat heikkenevät päivä päivältä, kunnes kuolevat.")</f>
        <v>Se iskee ihmisiin täydellisestä pimeydestä. Sen kylmän kielen nuolemat heikkenevät päivä päivältä, kunnes kuolevat.</v>
      </c>
      <c r="C2384" s="9" t="s">
        <v>1344</v>
      </c>
    </row>
    <row r="2385" ht="33.75" customHeight="1">
      <c r="A2385" s="6" t="s">
        <v>3561</v>
      </c>
      <c r="B2385" s="6" t="str">
        <f>IFERROR(__xludf.DUMMYFUNCTION("GOOGLETRANSLATE(A2385,""en"",""fi"")"),"Se pelkää valoa ja nauttii pimeydestä. Se saattaa olla sukupuuton partaalla kaupungeissa, jotka pysyvät kirkkaasti valaistuina yöllä.")</f>
        <v>Se pelkää valoa ja nauttii pimeydestä. Se saattaa olla sukupuuton partaalla kaupungeissa, jotka pysyvät kirkkaasti valaistuina yöllä.</v>
      </c>
      <c r="C2385" s="9" t="s">
        <v>1344</v>
      </c>
    </row>
    <row r="2386" ht="33.75" customHeight="1">
      <c r="A2386" s="6" t="s">
        <v>3563</v>
      </c>
      <c r="B2386" s="6" t="str">
        <f>IFERROR(__xludf.DUMMYFUNCTION("GOOGLETRANSLATE(A2386,""en"",""fi"")"),"Kuuttomina öinä Haunter etsii jotakuta kirottavaksi, joten on parasta olla lähtemättä ulos kävelemään.")</f>
        <v>Kuuttomina öinä Haunter etsii jotakuta kirottavaksi, joten on parasta olla lähtemättä ulos kävelemään.</v>
      </c>
      <c r="C2386" s="9" t="s">
        <v>1344</v>
      </c>
    </row>
    <row r="2387" ht="33.75" customHeight="1">
      <c r="A2387" s="6" t="s">
        <v>3564</v>
      </c>
      <c r="B2387" s="6" t="str">
        <f>IFERROR(__xludf.DUMMYFUNCTION("GOOGLETRANSLATE(A2387,""en"",""fi"")"),"On vaarallista mennä ulos yksin öisin, kun on surullinen. Kummitus saa sinut kiinni, etkä pääse takaisin kotiin.")</f>
        <v>On vaarallista mennä ulos yksin öisin, kun on surullinen. Kummitus saa sinut kiinni, etkä pääse takaisin kotiin.</v>
      </c>
      <c r="C2387" s="9" t="s">
        <v>1344</v>
      </c>
    </row>
    <row r="2388" ht="33.75" customHeight="1">
      <c r="A2388" s="6" t="s">
        <v>3566</v>
      </c>
      <c r="B2388" s="6" t="str">
        <f>IFERROR(__xludf.DUMMYFUNCTION("GOOGLETRANSLATE(A2388,""en"",""fi"")"),"Nuolemalla se nielee uhrin hengen. Se aiheuttaa vapinaa, joka ei lopu ennen uhrin kuolemaa.")</f>
        <v>Nuolemalla se nielee uhrin hengen. Se aiheuttaa vapinaa, joka ei lopu ennen uhrin kuolemaa.</v>
      </c>
      <c r="C2388" s="9" t="s">
        <v>1344</v>
      </c>
    </row>
    <row r="2389" ht="33.75" customHeight="1">
      <c r="A2389" s="6" t="s">
        <v>3567</v>
      </c>
      <c r="B2389" s="6" t="str">
        <f>IFERROR(__xludf.DUMMYFUNCTION("GOOGLETRANSLATE(A2389,""en"",""fi"")"),"Tämä pelottava, pahansuopa henki voi liitää seinien läpi ja ilmestyä minne haluaa. Huhujen mukaan kummitusten nuoleman uhrit kuihtuvat kuoliaaksi päivä päivältä.")</f>
        <v>Tämä pelottava, pahansuopa henki voi liitää seinien läpi ja ilmestyä minne haluaa. Huhujen mukaan kummitusten nuoleman uhrit kuihtuvat kuoliaaksi päivä päivältä.</v>
      </c>
      <c r="C2389" s="9" t="s">
        <v>1344</v>
      </c>
    </row>
    <row r="2390" ht="33.75" customHeight="1">
      <c r="A2390" s="6" t="s">
        <v>3568</v>
      </c>
      <c r="B2390" s="6" t="str">
        <f>IFERROR(__xludf.DUMMYFUNCTION("GOOGLETRANSLATE(A2390,""en"",""fi"")"),"Täydenkuun aikaan tämä POKéMON matkii ihmisten varjoja ja nauraa heidän pelolleen.")</f>
        <v>Täydenkuun aikaan tämä POKéMON matkii ihmisten varjoja ja nauraa heidän pelolleen.</v>
      </c>
      <c r="C2390" s="9" t="s">
        <v>1344</v>
      </c>
    </row>
    <row r="2391" ht="33.75" customHeight="1">
      <c r="A2391" s="6" t="s">
        <v>3570</v>
      </c>
      <c r="B2391" s="6" t="str">
        <f>IFERROR(__xludf.DUMMYFUNCTION("GOOGLETRANSLATE(A2391,""en"",""fi"")"),"Jos tunnet äkillisen vilunväristyksen, lähellä on GENGAR. Se saattaa yrittää langettaa sinulle kirouksen.")</f>
        <v>Jos tunnet äkillisen vilunväristyksen, lähellä on GENGAR. Se saattaa yrittää langettaa sinulle kirouksen.</v>
      </c>
      <c r="C2391" s="9" t="s">
        <v>1344</v>
      </c>
    </row>
    <row r="2392" ht="33.75" customHeight="1">
      <c r="A2392" s="6" t="s">
        <v>3572</v>
      </c>
      <c r="B2392" s="6" t="str">
        <f>IFERROR(__xludf.DUMMYFUNCTION("GOOGLETRANSLATE(A2392,""en"",""fi"")"),"Se varastaa lämpöä ympäristöstään. Jos tunnet äkillisen kylmyyden, on varmaa, että GENGAR on ilmestynyt.")</f>
        <v>Se varastaa lämpöä ympäristöstään. Jos tunnet äkillisen kylmyyden, on varmaa, että GENGAR on ilmestynyt.</v>
      </c>
      <c r="C2392" s="9" t="s">
        <v>1344</v>
      </c>
    </row>
    <row r="2393" ht="33.75" customHeight="1">
      <c r="A2393" s="6" t="s">
        <v>3574</v>
      </c>
      <c r="B2393" s="6" t="str">
        <f>IFERROR(__xludf.DUMMYFUNCTION("GOOGLETRANSLATE(A2393,""en"",""fi"")"),"Varastaakseen kohteensa hengen se livahtaa saaliinsa varjoon ja odottaa hiljaa tilaisuutta.")</f>
        <v>Varastaakseen kohteensa hengen se livahtaa saaliinsa varjoon ja odottaa hiljaa tilaisuutta.</v>
      </c>
      <c r="C2393" s="9" t="s">
        <v>1344</v>
      </c>
    </row>
    <row r="2394" ht="33.75" customHeight="1">
      <c r="A2394" s="6" t="s">
        <v>3576</v>
      </c>
      <c r="B2394" s="6" t="str">
        <f>IFERROR(__xludf.DUMMYFUNCTION("GOOGLETRANSLATE(A2394,""en"",""fi"")"),"Piiloutuessaan ihmisten varjoihin yöllä se imee heidän lämpöään. Sen aiheuttama kylmyys saa uhrit vapisemaan.")</f>
        <v>Piiloutuessaan ihmisten varjoihin yöllä se imee heidän lämpöään. Sen aiheuttama kylmyys saa uhrit vapisemaan.</v>
      </c>
      <c r="C2394" s="9" t="s">
        <v>1344</v>
      </c>
    </row>
    <row r="2395" ht="33.75" customHeight="1">
      <c r="A2395" s="6" t="s">
        <v>3577</v>
      </c>
      <c r="B2395" s="6" t="str">
        <f>IFERROR(__xludf.DUMMYFUNCTION("GOOGLETRANSLATE(A2395,""en"",""fi"")"),"Joskus pimeänä yönä katuvalon heittämä varjo yllättää sinut yhtäkkiä ja yllättäen. Se on itse asiassa GENGAR, joka juoksee ohitsesi ja teeskentelee olevansa varjosi.")</f>
        <v>Joskus pimeänä yönä katuvalon heittämä varjo yllättää sinut yhtäkkiä ja yllättäen. Se on itse asiassa GENGAR, joka juoksee ohitsesi ja teeskentelee olevansa varjosi.</v>
      </c>
      <c r="C2395" s="9" t="s">
        <v>1344</v>
      </c>
    </row>
    <row r="2396" ht="33.75" customHeight="1">
      <c r="A2396" s="6" t="s">
        <v>3579</v>
      </c>
      <c r="B2396" s="6" t="str">
        <f>IFERROR(__xludf.DUMMYFUNCTION("GOOGLETRANSLATE(A2396,""en"",""fi"")"),"Syvällä yöllä katuvalon heittämä varjo saattaa yhtäkkiä yllättää sinut. Se on itse asiassa GENGAR, joka juoksee ohitsesi ja teeskentelee olevansa varjosi.")</f>
        <v>Syvällä yöllä katuvalon heittämä varjo saattaa yhtäkkiä yllättää sinut. Se on itse asiassa GENGAR, joka juoksee ohitsesi ja teeskentelee olevansa varjosi.</v>
      </c>
      <c r="C2396" s="9" t="s">
        <v>1344</v>
      </c>
    </row>
    <row r="2397" ht="33.75" customHeight="1">
      <c r="A2397" s="6" t="s">
        <v>3580</v>
      </c>
      <c r="B2397" s="6" t="str">
        <f>IFERROR(__xludf.DUMMYFUNCTION("GOOGLETRANSLATE(A2397,""en"",""fi"")"),"Sen sanotaan nousevan pimeydestä ja varastavan vuorille eksyneiden ihmisten hengen.")</f>
        <v>Sen sanotaan nousevan pimeydestä ja varastavan vuorille eksyneiden ihmisten hengen.</v>
      </c>
      <c r="C2397" s="9" t="s">
        <v>1344</v>
      </c>
    </row>
    <row r="2398" ht="33.75" customHeight="1">
      <c r="A2398" s="6" t="s">
        <v>3581</v>
      </c>
      <c r="B2398" s="6" t="str">
        <f>IFERROR(__xludf.DUMMYFUNCTION("GOOGLETRANSLATE(A2398,""en"",""fi"")"),"Täydenkuun yönä, jos varjot liikkuvat omin avuin ja nauravat, sen täytyy olla GENGARin tekosia.")</f>
        <v>Täydenkuun yönä, jos varjot liikkuvat omin avuin ja nauravat, sen täytyy olla GENGARin tekosia.</v>
      </c>
      <c r="C2398" s="9" t="s">
        <v>1344</v>
      </c>
    </row>
    <row r="2399" ht="33.75" customHeight="1">
      <c r="A2399" s="6" t="s">
        <v>3582</v>
      </c>
      <c r="B2399" s="6" t="str">
        <f>IFERROR(__xludf.DUMMYFUNCTION("GOOGLETRANSLATE(A2399,""en"",""fi"")"),"Se piileskelee varjoissa. Sanotaan, että jos GENGAR piileskelee, se viilentää aluetta lähes 10 celsiusastetta.")</f>
        <v>Se piileskelee varjoissa. Sanotaan, että jos GENGAR piileskelee, se viilentää aluetta lähes 10 celsiusastetta.</v>
      </c>
      <c r="C2399" s="9" t="s">
        <v>1344</v>
      </c>
    </row>
    <row r="2400" ht="33.75" customHeight="1">
      <c r="A2400" s="6" t="s">
        <v>3583</v>
      </c>
      <c r="B2400" s="6" t="str">
        <f>IFERROR(__xludf.DUMMYFUNCTION("GOOGLETRANSLATE(A2400,""en"",""fi"")"),"Huoneiden varjoisissa nurkissa lymyillen se odottaa tilaisuuksia varastaa saaliinsa elinvoiman.")</f>
        <v>Huoneiden varjoisissa nurkissa lymyillen se odottaa tilaisuuksia varastaa saaliinsa elinvoiman.</v>
      </c>
      <c r="C2400" s="9" t="s">
        <v>1344</v>
      </c>
    </row>
    <row r="2401" ht="33.75" customHeight="1">
      <c r="A2401" s="6" t="s">
        <v>3585</v>
      </c>
      <c r="B2401" s="6" t="str">
        <f>IFERROR(__xludf.DUMMYFUNCTION("GOOGLETRANSLATE(A2401,""en"",""fi"")"),"Pimeydessä leijuva irvistys kuuluu GENGARille, joka nauttii kirousten langettamisesta ihmisille.")</f>
        <v>Pimeydessä leijuva irvistys kuuluu GENGARille, joka nauttii kirousten langettamisesta ihmisille.</v>
      </c>
      <c r="C2401" s="9" t="s">
        <v>1344</v>
      </c>
    </row>
    <row r="2402" ht="33.75" customHeight="1">
      <c r="A2402" s="6" t="s">
        <v>3589</v>
      </c>
      <c r="B2402" s="6" t="str">
        <f>IFERROR(__xludf.DUMMYFUNCTION("GOOGLETRANSLATE(A2402,""en"",""fi"")"),"Se varastaa lämpöä ympäristöstään. Jos tunnet äkillisen kylmyyden, on varmaa, että GENGAR on ilmestynyt.")</f>
        <v>Se varastaa lämpöä ympäristöstään. Jos tunnet äkillisen kylmyyden, on varmaa, että GENGAR on ilmestynyt.</v>
      </c>
      <c r="C2402" s="9" t="s">
        <v>1344</v>
      </c>
    </row>
    <row r="2403" ht="33.75" customHeight="1">
      <c r="A2403" s="6" t="s">
        <v>3590</v>
      </c>
      <c r="B2403" s="6" t="str">
        <f>IFERROR(__xludf.DUMMYFUNCTION("GOOGLETRANSLATE(A2403,""en"",""fi"")"),"Varastaakseen kohteensa hengen se livahtaa saaliinsa varjoon ja odottaa hiljaa tilaisuutta.")</f>
        <v>Varastaakseen kohteensa hengen se livahtaa saaliinsa varjoon ja odottaa hiljaa tilaisuutta.</v>
      </c>
      <c r="C2403" s="9" t="s">
        <v>1344</v>
      </c>
    </row>
    <row r="2404" ht="33.75" customHeight="1">
      <c r="A2404" s="6" t="s">
        <v>3591</v>
      </c>
      <c r="B2404" s="6" t="str">
        <f>IFERROR(__xludf.DUMMYFUNCTION("GOOGLETRANSLATE(A2404,""en"",""fi"")"),"Pimeydessä leijuva irvistys kuuluu Gengarille, joka nauttii kirousten langettamisesta ihmisille.")</f>
        <v>Pimeydessä leijuva irvistys kuuluu Gengarille, joka nauttii kirousten langettamisesta ihmisille.</v>
      </c>
      <c r="C2404" s="9" t="s">
        <v>1344</v>
      </c>
    </row>
    <row r="2405" ht="33.75" customHeight="1">
      <c r="A2405" s="6" t="s">
        <v>3593</v>
      </c>
      <c r="B2405" s="6" t="str">
        <f>IFERROR(__xludf.DUMMYFUNCTION("GOOGLETRANSLATE(A2405,""en"",""fi"")"),"Se piiloutuu varjoihin. Sanotaan, että jos Gengar piileskelee, se viilentää aluetta lähes 10 celsiusastetta.")</f>
        <v>Se piiloutuu varjoihin. Sanotaan, että jos Gengar piileskelee, se viilentää aluetta lähes 10 celsiusastetta.</v>
      </c>
      <c r="C2405" s="9" t="s">
        <v>1344</v>
      </c>
    </row>
    <row r="2406" ht="33.75" customHeight="1">
      <c r="A2406" s="6" t="s">
        <v>3595</v>
      </c>
      <c r="B2406" s="6" t="str">
        <f>IFERROR(__xludf.DUMMYFUNCTION("GOOGLETRANSLATE(A2406,""en"",""fi"")"),"Se piiloutuu ihmisten varjoihin yöllä ja imee itseensä heidän lämpönsä. Sen aiheuttama kylmyys saa uhrit vapisemaan.")</f>
        <v>Se piiloutuu ihmisten varjoihin yöllä ja imee itseensä heidän lämpönsä. Sen aiheuttama kylmyys saa uhrit vapisemaan.</v>
      </c>
      <c r="C2406" s="9" t="s">
        <v>1344</v>
      </c>
    </row>
    <row r="2407" ht="33.75" customHeight="1">
      <c r="A2407" s="6" t="s">
        <v>3597</v>
      </c>
      <c r="B2407" s="6" t="str">
        <f>IFERROR(__xludf.DUMMYFUNCTION("GOOGLETRANSLATE(A2407,""en"",""fi"")"),"Joskus pimeänä yönä katuvalon heittämä varjo yllättää sinut yllättäen. Se on itse asiassa Gengar, joka juoksee ohitsesi ja teeskentelee olevansa varjosi.")</f>
        <v>Joskus pimeänä yönä katuvalon heittämä varjo yllättää sinut yllättäen. Se on itse asiassa Gengar, joka juoksee ohitsesi ja teeskentelee olevansa varjosi.</v>
      </c>
      <c r="C2407" s="9" t="s">
        <v>1344</v>
      </c>
    </row>
    <row r="2408" ht="33.75" customHeight="1">
      <c r="A2408" s="6" t="s">
        <v>3599</v>
      </c>
      <c r="B2408" s="6" t="str">
        <f>IFERROR(__xludf.DUMMYFUNCTION("GOOGLETRANSLATE(A2408,""en"",""fi"")"),"Jos tunnet äkillisen kylmyyden hyökkäävän sinua kohti, se on merkki lähestyvästä Gengarista. Siltä ei pääse pakoon. Anna periksi.")</f>
        <v>Jos tunnet äkillisen kylmyyden hyökkäävän sinua kohti, se on merkki lähestyvästä Gengarista. Siltä ei pääse pakoon. Anna periksi.</v>
      </c>
      <c r="C2408" s="9" t="s">
        <v>1344</v>
      </c>
    </row>
    <row r="2409" ht="33.75" customHeight="1">
      <c r="A2409" s="6" t="s">
        <v>3600</v>
      </c>
      <c r="B2409" s="6" t="str">
        <f>IFERROR(__xludf.DUMMYFUNCTION("GOOGLETRANSLATE(A2409,""en"",""fi"")"),"Se ilmeisesti toivoo matkakumppania. Koska se oli itsekin kerran ihminen, se yrittää luoda sellaisen ottamalla muiden ihmisten hengen.")</f>
        <v>Se ilmeisesti toivoo matkakumppania. Koska se oli itsekin kerran ihminen, se yrittää luoda sellaisen ottamalla muiden ihmisten hengen.</v>
      </c>
      <c r="C2409" s="9" t="s">
        <v>1344</v>
      </c>
    </row>
    <row r="2410" ht="33.75" customHeight="1">
      <c r="A2410" s="6" t="s">
        <v>3602</v>
      </c>
      <c r="B2410" s="6" t="str">
        <f>IFERROR(__xludf.DUMMYFUNCTION("GOOGLETRANSLATE(A2410,""en"",""fi"")"),"Voit kuulla tarinoita ympäri maailmaa siitä, kuinka Gengar vierailee tuhmien lasten luona.")</f>
        <v>Voit kuulla tarinoita ympäri maailmaa siitä, kuinka Gengar vierailee tuhmien lasten luona.</v>
      </c>
      <c r="C2410" s="9" t="s">
        <v>1344</v>
      </c>
    </row>
    <row r="2411" ht="33.75" customHeight="1">
      <c r="A2411" s="6" t="s">
        <v>3603</v>
      </c>
      <c r="B2411" s="6" t="str">
        <f>IFERROR(__xludf.DUMMYFUNCTION("GOOGLETRANSLATE(A2411,""en"",""fi"")"),"Edes kotisi ei ole turvallinen. Gengar lymyilee löytämissään pimeissä huoneen nurkissa ja odottaa tilaisuuttaan napata saaliinsa.")</f>
        <v>Edes kotisi ei ole turvallinen. Gengar lymyilee löytämissään pimeissä huoneen nurkissa ja odottaa tilaisuuttaan napata saaliinsa.</v>
      </c>
      <c r="C2411" s="9" t="s">
        <v>1344</v>
      </c>
    </row>
    <row r="2412" ht="33.75" customHeight="1">
      <c r="A2412" s="6" t="s">
        <v>3605</v>
      </c>
      <c r="B2412" s="6" t="str">
        <f>IFERROR(__xludf.DUMMYFUNCTION("GOOGLETRANSLATE(A2412,""en"",""fi"")"),"Jos tunnet äkillisen vilunväristyksen, lähellä on Gengar. Se saattaa yrittää langettaa sinulle kirouksen.")</f>
        <v>Jos tunnet äkillisen vilunväristyksen, lähellä on Gengar. Se saattaa yrittää langettaa sinulle kirouksen.</v>
      </c>
      <c r="C2412" s="9" t="s">
        <v>1344</v>
      </c>
    </row>
    <row r="2413" ht="33.75" customHeight="1">
      <c r="A2413" s="6" t="s">
        <v>3606</v>
      </c>
      <c r="B2413" s="6" t="str">
        <f>IFERROR(__xludf.DUMMYFUNCTION("GOOGLETRANSLATE(A2413,""en"",""fi"")"),"Täydenkuun yönä, jos varjot liikkuvat omin avuin ja nauravat, sen täytyy olla Gengarin tekosia.")</f>
        <v>Täydenkuun yönä, jos varjot liikkuvat omin avuin ja nauravat, sen täytyy olla Gengarin tekosia.</v>
      </c>
      <c r="C2413" s="9" t="s">
        <v>1344</v>
      </c>
    </row>
    <row r="2414" ht="33.75" customHeight="1">
      <c r="A2414" s="6" t="s">
        <v>3607</v>
      </c>
      <c r="B2414" s="6" t="str">
        <f>IFERROR(__xludf.DUMMYFUNCTION("GOOGLETRANSLATE(A2414,""en"",""fi"")"),"Riivaa potentiaalisten uhrien varjot ja yrittää varastaa uhrien hengen. Jos varjosi alkaa nauraa, sinun on otettava nopeasti suojaloitsu!")</f>
        <v>Riivaa potentiaalisten uhrien varjot ja yrittää varastaa uhrien hengen. Jos varjosi alkaa nauraa, sinun on otettava nopeasti suojaloitsu!</v>
      </c>
      <c r="C2414" s="9" t="s">
        <v>1344</v>
      </c>
    </row>
    <row r="2415" ht="33.75" customHeight="1">
      <c r="A2415" s="6" t="s">
        <v>3608</v>
      </c>
      <c r="B2415" s="6" t="str">
        <f>IFERROR(__xludf.DUMMYFUNCTION("GOOGLETRANSLATE(A2415,""en"",""fi"")"),"Kasvaessaan sen kehon kiviset osat kovettuvat ja muuttuvat timantin kaltaisiksi, mutta mustiksi.")</f>
        <v>Kasvaessaan sen kehon kiviset osat kovettuvat ja muuttuvat timantin kaltaisiksi, mutta mustiksi.</v>
      </c>
      <c r="C2415" s="9" t="s">
        <v>1344</v>
      </c>
    </row>
    <row r="2416" ht="33.75" customHeight="1">
      <c r="A2416" s="6" t="s">
        <v>3610</v>
      </c>
      <c r="B2416" s="6" t="str">
        <f>IFERROR(__xludf.DUMMYFUNCTION("GOOGLETRANSLATE(A2416,""en"",""fi"")"),"Kaivaa koloissaan kovaa vauhtia etsien ruokaa. Sen jättämiä tunneleita DIGLETTit käyttävät kotinaan.")</f>
        <v>Kaivaa koloissaan kovaa vauhtia etsien ruokaa. Sen jättämiä tunneleita DIGLETTit käyttävät kotinaan.</v>
      </c>
      <c r="C2416" s="9" t="s">
        <v>1344</v>
      </c>
    </row>
    <row r="2417" ht="33.75" customHeight="1">
      <c r="A2417" s="6" t="s">
        <v>3611</v>
      </c>
      <c r="B2417" s="6" t="str">
        <f>IFERROR(__xludf.DUMMYFUNCTION("GOOGLETRANSLATE(A2417,""en"",""fi"")"),"Se kiemurtelee ja kiemurtelee maassa. Sen tunnelin jylinän jylinä kaikuu kauas.")</f>
        <v>Se kiemurtelee ja kiemurtelee maassa. Sen tunnelin jylinän jylinä kaikuu kauas.</v>
      </c>
      <c r="C2417" s="9" t="s">
        <v>1344</v>
      </c>
    </row>
    <row r="2418" ht="33.75" customHeight="1">
      <c r="A2418" s="6" t="s">
        <v>3613</v>
      </c>
      <c r="B2418" s="6" t="str">
        <f>IFERROR(__xludf.DUMMYFUNCTION("GOOGLETRANSLATE(A2418,""en"",""fi"")"),"Se porautuu nopeasti maan läpi 80 km/h nopeudella kiemurtelemalla ja vääntäytymällä massiivista, karua ruumistaan.")</f>
        <v>Se porautuu nopeasti maan läpi 80 km/h nopeudella kiemurtelemalla ja vääntäytymällä massiivista, karua ruumistaan.</v>
      </c>
      <c r="C2418" s="9" t="s">
        <v>1344</v>
      </c>
    </row>
    <row r="2419" ht="33.75" customHeight="1">
      <c r="A2419" s="6" t="s">
        <v>3615</v>
      </c>
      <c r="B2419" s="6" t="str">
        <f>IFERROR(__xludf.DUMMYFUNCTION("GOOGLETRANSLATE(A2419,""en"",""fi"")"),"Kaivaessaan maata se imee itseensä monia kovia esineitä. Tämä tekee sen ruumiista niin vankan.")</f>
        <v>Kaivaessaan maata se imee itseensä monia kovia esineitä. Tämä tekee sen ruumiista niin vankan.</v>
      </c>
      <c r="C2419" s="9" t="s">
        <v>1344</v>
      </c>
    </row>
    <row r="2420" ht="33.75" customHeight="1">
      <c r="A2420" s="6" t="s">
        <v>3616</v>
      </c>
      <c r="B2420" s="6" t="str">
        <f>IFERROR(__xludf.DUMMYFUNCTION("GOOGLETRANSLATE(A2420,""en"",""fi"")"),"ONIXilla on magneetti aivoissaan. Se toimii kompassina, jotta tämä POKéMON ei menetä suuntaa tunneleita kaivaessaan. Vanhetessaan sen kehosta tulee yhä pyöreämpi ja sileämpi.")</f>
        <v>ONIXilla on magneetti aivoissaan. Se toimii kompassina, jotta tämä POKéMON ei menetä suuntaa tunneleita kaivaessaan. Vanhetessaan sen kehosta tulee yhä pyöreämpi ja sileämpi.</v>
      </c>
      <c r="C2420" s="9" t="s">
        <v>1344</v>
      </c>
    </row>
    <row r="2421" ht="33.75" customHeight="1">
      <c r="A2421" s="6" t="s">
        <v>3618</v>
      </c>
      <c r="B2421" s="6" t="str">
        <f>IFERROR(__xludf.DUMMYFUNCTION("GOOGLETRANSLATE(A2421,""en"",""fi"")"),"Sen aivoissa on magneetti, joka estää ONIXia menettämästä suuntaa tunnelointia tehdessään. Vanhetessaan sen kehosta tulee tasaisesti pyöreämpi ja sileämpi.")</f>
        <v>Sen aivoissa on magneetti, joka estää ONIXia menettämästä suuntaa tunnelointia tehdessään. Vanhetessaan sen kehosta tulee tasaisesti pyöreämpi ja sileämpi.</v>
      </c>
      <c r="C2421" s="9" t="s">
        <v>1344</v>
      </c>
    </row>
    <row r="2422" ht="33.75" customHeight="1">
      <c r="A2422" s="6" t="s">
        <v>3619</v>
      </c>
      <c r="B2422" s="6" t="str">
        <f>IFERROR(__xludf.DUMMYFUNCTION("GOOGLETRANSLATE(A2422,""en"",""fi"")"),"Se elää yleensä maan alla. Se etsii ruokaa poratessaan tiensä maan läpi 80 kilometriä tunnissa.")</f>
        <v>Se elää yleensä maan alla. Se etsii ruokaa poratessaan tiensä maan läpi 80 kilometriä tunnissa.</v>
      </c>
      <c r="C2422" s="9" t="s">
        <v>1344</v>
      </c>
    </row>
    <row r="2423" ht="33.75" customHeight="1">
      <c r="A2423" s="6" t="s">
        <v>3620</v>
      </c>
      <c r="B2423" s="6" t="str">
        <f>IFERROR(__xludf.DUMMYFUNCTION("GOOGLETRANSLATE(A2423,""en"",""fi"")"),"Kasvaessaan sen kehon kiviset osat kovettuvat ja muuttuvat mustien timanttien kaltaisiksi.")</f>
        <v>Kasvaessaan sen kehon kiviset osat kovettuvat ja muuttuvat mustien timanttien kaltaisiksi.</v>
      </c>
      <c r="C2423" s="9" t="s">
        <v>1344</v>
      </c>
    </row>
    <row r="2424" ht="33.75" customHeight="1">
      <c r="A2424" s="6" t="s">
        <v>3621</v>
      </c>
      <c r="B2424" s="6" t="str">
        <f>IFERROR(__xludf.DUMMYFUNCTION("GOOGLETRANSLATE(A2424,""en"",""fi"")"),"Kun se kulkee maan alla, se aiheuttaa jyrinää ja vapinaa. Se voi liikkua 80 km/h nopeudella.")</f>
        <v>Kun se kulkee maan alla, se aiheuttaa jyrinää ja vapinaa. Se voi liikkua 80 km/h nopeudella.</v>
      </c>
      <c r="C2424" s="9" t="s">
        <v>1344</v>
      </c>
    </row>
    <row r="2425" ht="33.75" customHeight="1">
      <c r="A2425" s="6" t="s">
        <v>3622</v>
      </c>
      <c r="B2425" s="6" t="str">
        <f>IFERROR(__xludf.DUMMYFUNCTION("GOOGLETRANSLATE(A2425,""en"",""fi"")"),"Se kiemurtelee maassa pitkän ja karhean ruumiinsa avulla. Se syö aina kaivaessaan maahan.")</f>
        <v>Se kiemurtelee maassa pitkän ja karhean ruumiinsa avulla. Se syö aina kaivaessaan maahan.</v>
      </c>
      <c r="C2425" s="9" t="s">
        <v>1344</v>
      </c>
    </row>
    <row r="2426" ht="33.75" customHeight="1">
      <c r="A2426" s="6" t="s">
        <v>3624</v>
      </c>
      <c r="B2426" s="6" t="str">
        <f>IFERROR(__xludf.DUMMYFUNCTION("GOOGLETRANSLATE(A2426,""en"",""fi"")"),"Se kaivautuu maahan 80 km/h nopeudella syöden suuria lohkareita.")</f>
        <v>Se kaivautuu maahan 80 km/h nopeudella syöden suuria lohkareita.</v>
      </c>
      <c r="C2426" s="9" t="s">
        <v>1344</v>
      </c>
    </row>
    <row r="2427" ht="33.75" customHeight="1">
      <c r="A2427" s="6" t="s">
        <v>3625</v>
      </c>
      <c r="B2427" s="6" t="str">
        <f>IFERROR(__xludf.DUMMYFUNCTION("GOOGLETRANSLATE(A2427,""en"",""fi"")"),"Se porautuu nopeasti maan läpi 80 km/h nopeudella kiemurtelemalla ja vääntäytymällä massiivista, karua ruumistaan.")</f>
        <v>Se porautuu nopeasti maan läpi 80 km/h nopeudella kiemurtelemalla ja vääntäytymällä massiivista, karua ruumistaan.</v>
      </c>
      <c r="C2427" s="9" t="s">
        <v>1344</v>
      </c>
    </row>
    <row r="2428" ht="33.75" customHeight="1">
      <c r="A2428" s="6" t="s">
        <v>3626</v>
      </c>
      <c r="B2428" s="6" t="str">
        <f>IFERROR(__xludf.DUMMYFUNCTION("GOOGLETRANSLATE(A2428,""en"",""fi"")"),"Avattuaan suuren suunsa se nielee valtavia määriä maata ja luo pitkiä tunneleita.")</f>
        <v>Avattuaan suuren suunsa se nielee valtavia määriä maata ja luo pitkiä tunneleita.</v>
      </c>
      <c r="C2428" s="9" t="s">
        <v>1344</v>
      </c>
    </row>
    <row r="2429" ht="33.75" customHeight="1">
      <c r="A2429" s="6" t="s">
        <v>3627</v>
      </c>
      <c r="B2429" s="6" t="str">
        <f>IFERROR(__xludf.DUMMYFUNCTION("GOOGLETRANSLATE(A2429,""en"",""fi"")"),"Etsii kourissaan ruokaa nopeasti. Diglett käyttää sen jättämiä tunneleita kotina.")</f>
        <v>Etsii kourissaan ruokaa nopeasti. Diglett käyttää sen jättämiä tunneleita kotina.</v>
      </c>
      <c r="C2429" s="9" t="s">
        <v>1344</v>
      </c>
    </row>
    <row r="2430" ht="33.75" customHeight="1">
      <c r="A2430" s="6" t="s">
        <v>3628</v>
      </c>
      <c r="B2430" s="6" t="str">
        <f>IFERROR(__xludf.DUMMYFUNCTION("GOOGLETRANSLATE(A2430,""en"",""fi"")"),"Onixilla on magneetti aivoissaan. Se toimii kompassina, jotta tämä Pokémon ei menetä suuntaa tunneleita kaivaessaan. Vanhetessaan sen kehosta tulee yhä pyöreämpi ja sileämpi.")</f>
        <v>Onixilla on magneetti aivoissaan. Se toimii kompassina, jotta tämä Pokémon ei menetä suuntaa tunneleita kaivaessaan. Vanhetessaan sen kehosta tulee yhä pyöreämpi ja sileämpi.</v>
      </c>
      <c r="C2430" s="9" t="s">
        <v>1344</v>
      </c>
    </row>
    <row r="2431" ht="33.75" customHeight="1">
      <c r="A2431" s="6" t="s">
        <v>3629</v>
      </c>
      <c r="B2431" s="6" t="str">
        <f>IFERROR(__xludf.DUMMYFUNCTION("GOOGLETRANSLATE(A2431,""en"",""fi"")"),"Tämä valtavien kivien ketju muistuttaa jättiläismäistä käärmettä. Maapallon pinta järistyy sen kaivautuessa syvälle maan alle ja syödessä matkallaan lohkareita.")</f>
        <v>Tämä valtavien kivien ketju muistuttaa jättiläismäistä käärmettä. Maapallon pinta järistyy sen kaivautuessa syvälle maan alle ja syödessä matkallaan lohkareita.</v>
      </c>
      <c r="C2431" s="9" t="s">
        <v>1344</v>
      </c>
    </row>
    <row r="2432" ht="33.75" customHeight="1">
      <c r="A2432" s="6" t="s">
        <v>3630</v>
      </c>
      <c r="B2432" s="6" t="str">
        <f>IFERROR(__xludf.DUMMYFUNCTION("GOOGLETRANSLATE(A2432,""en"",""fi"")"),"Nukuttaa viholliset ja syö sitten heidän unensa. Sattuu silloin tällöin sairastumaan syötyään pahoja unia.")</f>
        <v>Nukuttaa viholliset ja syö sitten heidän unensa. Sattuu silloin tällöin sairastumaan syötyään pahoja unia.</v>
      </c>
      <c r="C2432" s="9" t="s">
        <v>1344</v>
      </c>
    </row>
    <row r="2433" ht="33.75" customHeight="1">
      <c r="A2433" s="6" t="s">
        <v>3631</v>
      </c>
      <c r="B2433" s="6" t="str">
        <f>IFERROR(__xludf.DUMMYFUNCTION("GOOGLETRANSLATE(A2433,""en"",""fi"")"),"Jos nukut sen vieressä koko ajan, se näyttää sinulle joskus unia, joissa se on syönyt aiemmin.")</f>
        <v>Jos nukut sen vieressä koko ajan, se näyttää sinulle joskus unia, joissa se on syönyt aiemmin.</v>
      </c>
      <c r="C2433" s="9" t="s">
        <v>1344</v>
      </c>
    </row>
    <row r="2434" ht="33.75" customHeight="1">
      <c r="A2434" s="6" t="s">
        <v>3632</v>
      </c>
      <c r="B2434" s="6" t="str">
        <f>IFERROR(__xludf.DUMMYFUNCTION("GOOGLETRANSLATE(A2434,""en"",""fi"")"),"Jos luulet nähneesi hyvän unen, mutta et muista sitä, DROWZEE on luultavasti syönyt sen.")</f>
        <v>Jos luulet nähneesi hyvän unen, mutta et muista sitä, DROWZEE on luultavasti syönyt sen.</v>
      </c>
      <c r="C2434" s="9" t="s">
        <v>1344</v>
      </c>
    </row>
    <row r="2435" ht="33.75" customHeight="1">
      <c r="A2435" s="6" t="s">
        <v>3633</v>
      </c>
      <c r="B2435" s="6" t="str">
        <f>IFERROR(__xludf.DUMMYFUNCTION("GOOGLETRANSLATE(A2435,""en"",""fi"")"),"Se muistaa jokaisen syömänsä unen. Se syö harvoin aikuisten unia, koska lasten unet ovat paljon maukkaampia.")</f>
        <v>Se muistaa jokaisen syömänsä unen. Se syö harvoin aikuisten unia, koska lasten unet ovat paljon maukkaampia.</v>
      </c>
      <c r="C2435" s="9" t="s">
        <v>1344</v>
      </c>
    </row>
    <row r="2436" ht="33.75" customHeight="1">
      <c r="A2436" s="6" t="s">
        <v>3634</v>
      </c>
      <c r="B2436" s="6" t="str">
        <f>IFERROR(__xludf.DUMMYFUNCTION("GOOGLETRANSLATE(A2436,""en"",""fi"")"),"Kun se nykii kuonoaan, se voi kertoa, missä joku nukkuu ja mistä hän unelmoi.")</f>
        <v>Kun se nykii kuonoaan, se voi kertoa, missä joku nukkuu ja mistä hän unelmoi.</v>
      </c>
      <c r="C2436" s="9" t="s">
        <v>1344</v>
      </c>
    </row>
    <row r="2437" ht="33.75" customHeight="1">
      <c r="A2437" s="6" t="s">
        <v>3635</v>
      </c>
      <c r="B2437" s="6" t="str">
        <f>IFERROR(__xludf.DUMMYFUNCTION("GOOGLETRANSLATE(A2437,""en"",""fi"")"),"Jos nenäsi kutisee nukkuessasi, se on varma merkki siitä, että jokin näistä POKéMONeista seisoo tyynysi yläpuolella ja yrittää syödä untasi sieraimiesi kautta.")</f>
        <v>Jos nenäsi kutisee nukkuessasi, se on varma merkki siitä, että jokin näistä POKéMONeista seisoo tyynysi yläpuolella ja yrittää syödä untasi sieraimiesi kautta.</v>
      </c>
      <c r="C2437" s="9" t="s">
        <v>1344</v>
      </c>
    </row>
    <row r="2438" ht="33.75" customHeight="1">
      <c r="A2438" s="6" t="s">
        <v>3636</v>
      </c>
      <c r="B2438" s="6" t="str">
        <f>IFERROR(__xludf.DUMMYFUNCTION("GOOGLETRANSLATE(A2438,""en"",""fi"")"),"Jos nenäsi kutisee nukkuessasi, se on varma merkki siitä, että DROWZEE seisoo tyynysi yläpuolella ja yrittää syödä untasi sieraimiesi kautta.")</f>
        <v>Jos nenäsi kutisee nukkuessasi, se on varma merkki siitä, että DROWZEE seisoo tyynysi yläpuolella ja yrittää syödä untasi sieraimiesi kautta.</v>
      </c>
      <c r="C2438" s="9" t="s">
        <v>1344</v>
      </c>
    </row>
    <row r="2439" ht="33.75" customHeight="1">
      <c r="A2439" s="6" t="s">
        <v>3637</v>
      </c>
      <c r="B2439" s="6" t="str">
        <f>IFERROR(__xludf.DUMMYFUNCTION("GOOGLETRANSLATE(A2439,""en"",""fi"")"),"Legendaarisen baku-eläimen jälkeläinen, jonka sanotaan syövän unia. Se on taitava hypnotisoinnissa.")</f>
        <v>Legendaarisen baku-eläimen jälkeläinen, jonka sanotaan syövän unia. Se on taitava hypnotisoinnissa.</v>
      </c>
      <c r="C2439" s="9" t="s">
        <v>1344</v>
      </c>
    </row>
    <row r="2440" ht="33.75" customHeight="1">
      <c r="A2440" s="6" t="s">
        <v>3639</v>
      </c>
      <c r="B2440" s="6" t="str">
        <f>IFERROR(__xludf.DUMMYFUNCTION("GOOGLETRANSLATE(A2440,""en"",""fi"")"),"Nukuttaa viholliset ja syö sitten heidän unensa. Sairastuu toisinaan syötyään vain pahoja unia.")</f>
        <v>Nukuttaa viholliset ja syö sitten heidän unensa. Sairastuu toisinaan syötyään vain pahoja unia.</v>
      </c>
      <c r="C2440" s="9" t="s">
        <v>1344</v>
      </c>
    </row>
    <row r="2441" ht="33.75" customHeight="1">
      <c r="A2441" s="6" t="s">
        <v>3640</v>
      </c>
      <c r="B2441" s="6" t="str">
        <f>IFERROR(__xludf.DUMMYFUNCTION("GOOGLETRANSLATE(A2441,""en"",""fi"")"),"Se pystyy haistelemaan isolla nenällään, mitä ihmiset näkevät unissa. Se rakastaa hauskoja unia.")</f>
        <v>Se pystyy haistelemaan isolla nenällään, mitä ihmiset näkevät unissa. Se rakastaa hauskoja unia.</v>
      </c>
      <c r="C2441" s="9" t="s">
        <v>1344</v>
      </c>
    </row>
    <row r="2442" ht="33.75" customHeight="1">
      <c r="A2442" s="6" t="s">
        <v>3641</v>
      </c>
      <c r="B2442" s="6" t="str">
        <f>IFERROR(__xludf.DUMMYFUNCTION("GOOGLETRANSLATE(A2442,""en"",""fi"")"),"Jos luulet nähneesi hyvän unen, mutta et muista sitä, DROWZEE on luultavasti syönyt sen.")</f>
        <v>Jos luulet nähneesi hyvän unen, mutta et muista sitä, DROWZEE on luultavasti syönyt sen.</v>
      </c>
      <c r="C2442" s="9" t="s">
        <v>1344</v>
      </c>
    </row>
    <row r="2443" ht="33.75" customHeight="1">
      <c r="A2443" s="6" t="s">
        <v>3642</v>
      </c>
      <c r="B2443" s="6" t="str">
        <f>IFERROR(__xludf.DUMMYFUNCTION("GOOGLETRANSLATE(A2443,""en"",""fi"")"),"Se muistaa jokaisen syömänsä unen. Se syö harvoin aikuisten unia, koska lasten unet ovat paljon maukkaampia.")</f>
        <v>Se muistaa jokaisen syömänsä unen. Se syö harvoin aikuisten unia, koska lasten unet ovat paljon maukkaampia.</v>
      </c>
      <c r="C2443" s="9" t="s">
        <v>1344</v>
      </c>
    </row>
    <row r="2444" ht="33.75" customHeight="1">
      <c r="A2444" s="6" t="s">
        <v>3643</v>
      </c>
      <c r="B2444" s="6" t="str">
        <f>IFERROR(__xludf.DUMMYFUNCTION("GOOGLETRANSLATE(A2444,""en"",""fi"")"),"Jos luulet nähneesi hyvän unen, mutta et muista sitä, Drowzee on luultavasti syönyt sen.")</f>
        <v>Jos luulet nähneesi hyvän unen, mutta et muista sitä, Drowzee on luultavasti syönyt sen.</v>
      </c>
      <c r="C2444" s="9" t="s">
        <v>1344</v>
      </c>
    </row>
    <row r="2445" ht="33.75" customHeight="1">
      <c r="A2445" s="6" t="s">
        <v>3644</v>
      </c>
      <c r="B2445" s="6" t="str">
        <f>IFERROR(__xludf.DUMMYFUNCTION("GOOGLETRANSLATE(A2445,""en"",""fi"")"),"Jos nenäsi kutisee nukkuessasi, se on varma merkki siitä, että yksi näistä Pokémoneista seisoo tyynysi yläpuolella ja yrittää syödä untasi sierainten kautta.")</f>
        <v>Jos nenäsi kutisee nukkuessasi, se on varma merkki siitä, että yksi näistä Pokémoneista seisoo tyynysi yläpuolella ja yrittää syödä untasi sierainten kautta.</v>
      </c>
      <c r="C2445" s="9" t="s">
        <v>1344</v>
      </c>
    </row>
    <row r="2446" ht="33.75" customHeight="1">
      <c r="A2446" s="6" t="s">
        <v>3646</v>
      </c>
      <c r="B2446" s="6" t="str">
        <f>IFERROR(__xludf.DUMMYFUNCTION("GOOGLETRANSLATE(A2446,""en"",""fi"")"),"Tämä Pokémon ravitsee itseään syömällä unia, ja sen uskotaan jakavan yhteisen esi-isän Munnan ja Musharnan kanssa.")</f>
        <v>Tämä Pokémon ravitsee itseään syömällä unia, ja sen uskotaan jakavan yhteisen esi-isän Munnan ja Musharnan kanssa.</v>
      </c>
      <c r="C2446" s="9" t="s">
        <v>1344</v>
      </c>
    </row>
    <row r="2447" ht="33.75" customHeight="1">
      <c r="A2447" s="6" t="s">
        <v>3647</v>
      </c>
      <c r="B2447" s="6" t="str">
        <f>IFERROR(__xludf.DUMMYFUNCTION("GOOGLETRANSLATE(A2447,""en"",""fi"")"),"Se pitää todella hauskoja unia maukkaina. Kun se ystävystyy ihmisten kanssa, se saattaa näyttää heille herkullisimpia unia, joita se on koskaan syönyt.")</f>
        <v>Se pitää todella hauskoja unia maukkaina. Kun se ystävystyy ihmisten kanssa, se saattaa näyttää heille herkullisimpia unia, joita se on koskaan syönyt.</v>
      </c>
      <c r="C2447" s="9" t="s">
        <v>1344</v>
      </c>
    </row>
    <row r="2448" ht="33.75" customHeight="1">
      <c r="A2448" s="6" t="s">
        <v>3648</v>
      </c>
      <c r="B2448" s="6" t="str">
        <f>IFERROR(__xludf.DUMMYFUNCTION("GOOGLETRANSLATE(A2448,""en"",""fi"")"),"Sen voi havaita virkistysalueiden lähellä, aikomuksenaan syödä siellä sinä päivänä viihtyneiden lasten miellyttäviä unia.")</f>
        <v>Sen voi havaita virkistysalueiden lähellä, aikomuksenaan syödä siellä sinä päivänä viihtyneiden lasten miellyttäviä unia.</v>
      </c>
      <c r="C2448" s="9" t="s">
        <v>1344</v>
      </c>
    </row>
    <row r="2449" ht="33.75" customHeight="1">
      <c r="A2449" s="6" t="s">
        <v>3650</v>
      </c>
      <c r="B2449" s="6" t="str">
        <f>IFERROR(__xludf.DUMMYFUNCTION("GOOGLETRANSLATE(A2449,""en"",""fi"")"),"Se nukuttaa saaliinsa ja syö niiden unet. Pahat unet tuntuvat maistuvan kitkeriltä, ​​joten Drowzee ei erityisemmin pidä niiden syömisestä.")</f>
        <v>Se nukuttaa saaliinsa ja syö niiden unet. Pahat unet tuntuvat maistuvan kitkeriltä, ​​joten Drowzee ei erityisemmin pidä niiden syömisestä.</v>
      </c>
      <c r="C2449" s="9" t="s">
        <v>1344</v>
      </c>
    </row>
    <row r="2450" ht="33.75" customHeight="1">
      <c r="A2450" s="6" t="s">
        <v>3651</v>
      </c>
      <c r="B2450" s="6" t="str">
        <f>IFERROR(__xludf.DUMMYFUNCTION("GOOGLETRANSLATE(A2450,""en"",""fi"")"),"Jos nukut sen vieressä koko ajan, se näyttää sinulle joskus unia, joissa se on syönyt aiemmin.")</f>
        <v>Jos nukut sen vieressä koko ajan, se näyttää sinulle joskus unia, joissa se on syönyt aiemmin.</v>
      </c>
      <c r="C2450" s="9" t="s">
        <v>1344</v>
      </c>
    </row>
    <row r="2451" ht="33.75" customHeight="1">
      <c r="A2451" s="6" t="s">
        <v>3653</v>
      </c>
      <c r="B2451" s="6" t="str">
        <f>IFERROR(__xludf.DUMMYFUNCTION("GOOGLETRANSLATE(A2451,""en"",""fi"")"),"Kun se kohtaa vihollisen silmät, se käyttää yhdistelmää PSI-liikkeitä, kuten HYPNOOSI ja SEKAUTUS.")</f>
        <v>Kun se kohtaa vihollisen silmät, se käyttää yhdistelmää PSI-liikkeitä, kuten HYPNOOSI ja SEKAUTUS.</v>
      </c>
      <c r="C2451" s="9" t="s">
        <v>1344</v>
      </c>
    </row>
    <row r="2452" ht="33.75" customHeight="1">
      <c r="A2452" s="6" t="s">
        <v>3654</v>
      </c>
      <c r="B2452" s="6" t="str">
        <f>IFERROR(__xludf.DUMMYFUNCTION("GOOGLETRANSLATE(A2452,""en"",""fi"")"),"Vältä katsekontaktia, jos kohtaat sellaisen. Se yrittää nukuttaa sinut heilurin avulla.")</f>
        <v>Vältä katsekontaktia, jos kohtaat sellaisen. Se yrittää nukuttaa sinut heilurin avulla.</v>
      </c>
      <c r="C2452" s="9" t="s">
        <v>1344</v>
      </c>
    </row>
    <row r="2453" ht="33.75" customHeight="1">
      <c r="A2453" s="6" t="s">
        <v>3656</v>
      </c>
      <c r="B2453" s="6" t="str">
        <f>IFERROR(__xludf.DUMMYFUNCTION("GOOGLETRANSLATE(A2453,""en"",""fi"")"),"Kun se on hyvin nälkäinen, se nukuttaa kohtaamansa ihmiset ja sitten se herkuttelee heidän unillaan.")</f>
        <v>Kun se on hyvin nälkäinen, se nukuttaa kohtaamansa ihmiset ja sitten se herkuttelee heidän unillaan.</v>
      </c>
      <c r="C2453" s="9" t="s">
        <v>1344</v>
      </c>
    </row>
    <row r="2454" ht="33.75" customHeight="1">
      <c r="A2454" s="6" t="s">
        <v>3658</v>
      </c>
      <c r="B2454" s="6" t="str">
        <f>IFERROR(__xludf.DUMMYFUNCTION("GOOGLETRANSLATE(A2454,""en"",""fi"")"),"Kun heiluria pidetään aina kädessä ja se keinuu tasaisesti, se aiheuttaa uneliaisuutta lähellä oleville.")</f>
        <v>Kun heiluria pidetään aina kädessä ja se keinuu tasaisesti, se aiheuttaa uneliaisuutta lähellä oleville.</v>
      </c>
      <c r="C2454" s="9" t="s">
        <v>1344</v>
      </c>
    </row>
    <row r="2455" ht="33.75" customHeight="1">
      <c r="A2455" s="6" t="s">
        <v>3659</v>
      </c>
      <c r="B2455" s="6" t="str">
        <f>IFERROR(__xludf.DUMMYFUNCTION("GOOGLETRANSLATE(A2455,""en"",""fi"")"),"Mitä kauemmin se heiluttaa heiluriaan, sitä kauemmin sen hypnoosivaikutukset kestävät.")</f>
        <v>Mitä kauemmin se heiluttaa heiluriaan, sitä kauemmin sen hypnoosivaikutukset kestävät.</v>
      </c>
      <c r="C2455" s="9" t="s">
        <v>1344</v>
      </c>
    </row>
    <row r="2456" ht="33.75" customHeight="1">
      <c r="A2456" s="6" t="s">
        <v>3660</v>
      </c>
      <c r="B2456" s="6" t="str">
        <f>IFERROR(__xludf.DUMMYFUNCTION("GOOGLETRANSLATE(A2456,""en"",""fi"")"),"HYPNO pitelee heiluria kädessään. Heilurin kaarimainen liike ja kimallus tuudittavat vihollisen syvään hypnoositilaan. Samaan aikaan kun tämä POKéMON etsii saalista, se hioo heiluria.")</f>
        <v>HYPNO pitelee heiluria kädessään. Heilurin kaarimainen liike ja kimallus tuudittavat vihollisen syvään hypnoositilaan. Samaan aikaan kun tämä POKéMON etsii saalista, se hioo heiluria.</v>
      </c>
      <c r="C2456" s="9" t="s">
        <v>1344</v>
      </c>
    </row>
    <row r="2457" ht="33.75" customHeight="1">
      <c r="A2457" s="6" t="s">
        <v>3661</v>
      </c>
      <c r="B2457" s="6" t="str">
        <f>IFERROR(__xludf.DUMMYFUNCTION("GOOGLETRANSLATE(A2457,""en"",""fi"")"),"Heilurin kaarimainen liike ja kimallus HYPNON kädessä tuudittavat vihollisen syvään hypnoosiin. Saalistaan ​​etsiessään se kiillottaa heiluria.")</f>
        <v>Heilurin kaarimainen liike ja kimallus HYPNON kädessä tuudittavat vihollisen syvään hypnoosiin. Saalistaan ​​etsiessään se kiillottaa heiluria.</v>
      </c>
      <c r="C2457" s="9" t="s">
        <v>1344</v>
      </c>
    </row>
    <row r="2458" ht="33.75" customHeight="1">
      <c r="A2458" s="6" t="s">
        <v>3662</v>
      </c>
      <c r="B2458" s="6" t="str">
        <f>IFERROR(__xludf.DUMMYFUNCTION("GOOGLETRANSLATE(A2458,""en"",""fi"")"),"Se kantaa mukanaan heilurin kaltaista laitetta. Kerran tapahtui tapaus, jossa se vei pois hypnotisoimansa lapsen.")</f>
        <v>Se kantaa mukanaan heilurin kaltaista laitetta. Kerran tapahtui tapaus, jossa se vei pois hypnotisoimansa lapsen.</v>
      </c>
      <c r="C2458" s="9" t="s">
        <v>1344</v>
      </c>
    </row>
    <row r="2459" ht="33.75" customHeight="1">
      <c r="A2459" s="6" t="s">
        <v>3663</v>
      </c>
      <c r="B2459" s="6" t="str">
        <f>IFERROR(__xludf.DUMMYFUNCTION("GOOGLETRANSLATE(A2459,""en"",""fi"")"),"Heiluriliikkeen näkeminen voi saada unen kolmessa sekunnissa, jopa juuri heränneelle.")</f>
        <v>Heiluriliikkeen näkeminen voi saada unen kolmessa sekunnissa, jopa juuri heränneelle.</v>
      </c>
      <c r="C2459" s="9" t="s">
        <v>1344</v>
      </c>
    </row>
    <row r="2460" ht="33.75" customHeight="1">
      <c r="A2460" s="6" t="s">
        <v>3665</v>
      </c>
      <c r="B2460" s="6" t="str">
        <f>IFERROR(__xludf.DUMMYFUNCTION("GOOGLETRANSLATE(A2460,""en"",""fi"")"),"Kun heiluria pidetään aina kädessä ja se heiluu tasaisesti, se aiheuttaa uneliaisuutta kaikille lähellä oleville.")</f>
        <v>Kun heiluria pidetään aina kädessä ja se heiluu tasaisesti, se aiheuttaa uneliaisuutta kaikille lähellä oleville.</v>
      </c>
      <c r="C2460" s="9" t="s">
        <v>1344</v>
      </c>
    </row>
    <row r="2461" ht="33.75" customHeight="1">
      <c r="A2461" s="6" t="s">
        <v>3666</v>
      </c>
      <c r="B2461" s="6" t="str">
        <f>IFERROR(__xludf.DUMMYFUNCTION("GOOGLETRANSLATE(A2461,""en"",""fi"")"),"Hypno pitelee heiluria kädessään. Heilurin kaarimainen liike ja kimallus tuudittavat vihollisen syvään hypnoositilaan. Saalistaan ​​etsiessään tämä Pokémon hioo heiluria.")</f>
        <v>Hypno pitelee heiluria kädessään. Heilurin kaarimainen liike ja kimallus tuudittavat vihollisen syvään hypnoositilaan. Saalistaan ​​etsiessään tämä Pokémon hioo heiluria.</v>
      </c>
      <c r="C2461" s="9" t="s">
        <v>1344</v>
      </c>
    </row>
    <row r="2462" ht="33.75" customHeight="1">
      <c r="A2462" s="6" t="s">
        <v>3669</v>
      </c>
      <c r="B2462" s="6" t="str">
        <f>IFERROR(__xludf.DUMMYFUNCTION("GOOGLETRANSLATE(A2462,""en"",""fi"")"),"Vaikka se on erittäin vaarallinen Pokémon, ihmiset, jotka tarvitsevat hyvää ja sikeää unta, kutsuvat sitä pelastajakseen.")</f>
        <v>Vaikka se on erittäin vaarallinen Pokémon, ihmiset, jotka tarvitsevat hyvää ja sikeää unta, kutsuvat sitä pelastajakseen.</v>
      </c>
      <c r="C2462" s="9" t="s">
        <v>1344</v>
      </c>
    </row>
    <row r="2463" ht="33.75" customHeight="1">
      <c r="A2463" s="6" t="s">
        <v>3671</v>
      </c>
      <c r="B2463" s="6" t="str">
        <f>IFERROR(__xludf.DUMMYFUNCTION("GOOGLETRANSLATE(A2463,""en"",""fi"")"),"Se nukuttaa jokaisen vastaantulijan ja maistaa heidän uniaan. Se vie mennessään jokaisen, joka näkee hyvän unen.")</f>
        <v>Se nukuttaa jokaisen vastaantulijan ja maistaa heidän uniaan. Se vie mennessään jokaisen, joka näkee hyvän unen.</v>
      </c>
      <c r="C2463" s="9" t="s">
        <v>1344</v>
      </c>
    </row>
    <row r="2464" ht="33.75" customHeight="1">
      <c r="A2464" s="6" t="s">
        <v>3672</v>
      </c>
      <c r="B2464" s="6" t="str">
        <f>IFERROR(__xludf.DUMMYFUNCTION("GOOGLETRANSLATE(A2464,""en"",""fi"")"),"Alolassa Hypnon pääkohde on Komala. Se vahingoittaa ihmisiä harvoin.")</f>
        <v>Alolassa Hypnon pääkohde on Komala. Se vahingoittaa ihmisiä harvoin.</v>
      </c>
      <c r="C2464" s="9" t="s">
        <v>1344</v>
      </c>
    </row>
    <row r="2465" ht="33.75" customHeight="1">
      <c r="A2465" s="6" t="s">
        <v>3674</v>
      </c>
      <c r="B2465" s="6" t="str">
        <f>IFERROR(__xludf.DUMMYFUNCTION("GOOGLETRANSLATE(A2465,""en"",""fi"")"),"On olemassa joitakin hypnolaitteita, jotka auttavat lääkäreitä potilaiden kanssa, jotka eivät voi nukkua öisin sairaaloissa.")</f>
        <v>On olemassa joitakin hypnolaitteita, jotka auttavat lääkäreitä potilaiden kanssa, jotka eivät voi nukkua öisin sairaaloissa.</v>
      </c>
      <c r="C2465" s="9" t="s">
        <v>1344</v>
      </c>
    </row>
    <row r="2466" ht="33.75" customHeight="1">
      <c r="A2466" s="6" t="s">
        <v>3676</v>
      </c>
      <c r="B2466" s="6" t="str">
        <f>IFERROR(__xludf.DUMMYFUNCTION("GOOGLETRANSLATE(A2466,""en"",""fi"")"),"Sen pihdit eivät ole vain tehokkaita aseita, vaan niitä käytetään tasapainon ylläpitämiseen sivuttain kävellessä.")</f>
        <v>Sen pihdit eivät ole vain tehokkaita aseita, vaan niitä käytetään tasapainon ylläpitämiseen sivuttain kävellessä.</v>
      </c>
      <c r="C2466" s="9" t="s">
        <v>1344</v>
      </c>
    </row>
    <row r="2467" ht="33.75" customHeight="1">
      <c r="A2467" s="6" t="s">
        <v>3677</v>
      </c>
      <c r="B2467" s="6" t="str">
        <f>IFERROR(__xludf.DUMMYFUNCTION("GOOGLETRANSLATE(A2467,""en"",""fi"")"),"Sen pihdit ovat loistavia aseita. Ne joskus katkeavat taistelun aikana, mutta kasvavat nopeasti takaisin.")</f>
        <v>Sen pihdit ovat loistavia aseita. Ne joskus katkeavat taistelun aikana, mutta kasvavat nopeasti takaisin.</v>
      </c>
      <c r="C2467" s="9" t="s">
        <v>1344</v>
      </c>
    </row>
    <row r="2468" ht="33.75" customHeight="1">
      <c r="A2468" s="6" t="s">
        <v>3679</v>
      </c>
      <c r="B2468" s="6" t="str">
        <f>IFERROR(__xludf.DUMMYFUNCTION("GOOGLETRANSLATE(A2468,""en"",""fi"")"),"Jos se aistii lähestyvän vaaran, se peittää itsensä suustaan ​​tulevilla kuplilla näyttääkseen suuremmalta.")</f>
        <v>Jos se aistii lähestyvän vaaran, se peittää itsensä suustaan ​​tulevilla kuplilla näyttääkseen suuremmalta.</v>
      </c>
      <c r="C2468" s="9" t="s">
        <v>1344</v>
      </c>
    </row>
    <row r="2469" ht="33.75" customHeight="1">
      <c r="A2469" s="6" t="s">
        <v>3680</v>
      </c>
      <c r="B2469" s="6" t="str">
        <f>IFERROR(__xludf.DUMMYFUNCTION("GOOGLETRANSLATE(A2469,""en"",""fi"")"),"Pihdit katkeavat helposti. Jos se irtoaa, se ei jostain syystä pysty kävelemään sivuttain.")</f>
        <v>Pihdit katkeavat helposti. Jos se irtoaa, se ei jostain syystä pysty kävelemään sivuttain.</v>
      </c>
      <c r="C2469" s="9" t="s">
        <v>1344</v>
      </c>
    </row>
    <row r="2470" ht="33.75" customHeight="1">
      <c r="A2470" s="6" t="s">
        <v>3682</v>
      </c>
      <c r="B2470" s="6" t="str">
        <f>IFERROR(__xludf.DUMMYFUNCTION("GOOGLETRANSLATE(A2470,""en"",""fi"")"),"Jos se ei löydä ruokaa, se imee ravinteita nielemällä suullisen hiekkaa.")</f>
        <v>Jos se ei löydä ruokaa, se imee ravinteita nielemällä suullisen hiekkaa.</v>
      </c>
      <c r="C2470" s="9" t="s">
        <v>1344</v>
      </c>
    </row>
    <row r="2471" ht="33.75" customHeight="1">
      <c r="A2471" s="6" t="s">
        <v>3684</v>
      </c>
      <c r="B2471" s="6" t="str">
        <f>IFERROR(__xludf.DUMMYFUNCTION("GOOGLETRANSLATE(A2471,""en"",""fi"")"),"RAPUT elävät rannoilla, kaivautuneina hiekkaan kaivettuihin koloihin. Hiekkarannoilla, joissa on vähän ruokaa, näitä POKéMONEJA voi nähdä riitelemässä keskenään reviirinsä puolesta.")</f>
        <v>RAPUT elävät rannoilla, kaivautuneina hiekkaan kaivettuihin koloihin. Hiekkarannoilla, joissa on vähän ruokaa, näitä POKéMONEJA voi nähdä riitelemässä keskenään reviirinsä puolesta.</v>
      </c>
      <c r="C2471" s="9" t="s">
        <v>1344</v>
      </c>
    </row>
    <row r="2472" ht="33.75" customHeight="1">
      <c r="A2472" s="6" t="s">
        <v>3685</v>
      </c>
      <c r="B2472" s="6" t="str">
        <f>IFERROR(__xludf.DUMMYFUNCTION("GOOGLETRANSLATE(A2472,""en"",""fi"")"),"RAPUT elävät rannoille kaivetuissa koloissa. Hiekkarannoilla, joissa on vähän ruokaa, ne voivat kiistelemään reviirinsä puolesta.")</f>
        <v>RAPUT elävät rannoille kaivetuissa koloissa. Hiekkarannoilla, joissa on vähän ruokaa, ne voivat kiistelemään reviirinsä puolesta.</v>
      </c>
      <c r="C2472" s="9" t="s">
        <v>1344</v>
      </c>
    </row>
    <row r="2473" ht="33.75" customHeight="1">
      <c r="A2473" s="6" t="s">
        <v>3686</v>
      </c>
      <c r="B2473" s="6" t="str">
        <f>IFERROR(__xludf.DUMMYFUNCTION("GOOGLETRANSLATE(A2473,""en"",""fi"")"),"Sitä voi löytää meren läheltä. Suuret pihdit kasvavat takaisin, jos ne revitään irti kuopistaan.")</f>
        <v>Sitä voi löytää meren läheltä. Suuret pihdit kasvavat takaisin, jos ne revitään irti kuopistaan.</v>
      </c>
      <c r="C2473" s="9" t="s">
        <v>1344</v>
      </c>
    </row>
    <row r="2474" ht="33.75" customHeight="1">
      <c r="A2474" s="6" t="s">
        <v>3687</v>
      </c>
      <c r="B2474" s="6" t="str">
        <f>IFERROR(__xludf.DUMMYFUNCTION("GOOGLETRANSLATE(A2474,""en"",""fi"")"),"Se elää hiekkarannoille kaivetuissa koloissa. Sen pihdit kasvavat täysin takaisin, jos ne katkeavat taistelussa.")</f>
        <v>Se elää hiekkarannoille kaivetuissa koloissa. Sen pihdit kasvavat täysin takaisin, jos ne katkeavat taistelussa.</v>
      </c>
      <c r="C2474" s="9" t="s">
        <v>1344</v>
      </c>
    </row>
    <row r="2475" ht="33.75" customHeight="1">
      <c r="A2475" s="6" t="s">
        <v>3689</v>
      </c>
      <c r="B2475" s="6" t="str">
        <f>IFERROR(__xludf.DUMMYFUNCTION("GOOGLETRANSLATE(A2475,""en"",""fi"")"),"Jos se aistii lähestyvän vaaran, se peittää itsensä suustaan ​​tulevilla kuplilla näyttääkseen suuremmalta.")</f>
        <v>Jos se aistii lähestyvän vaaran, se peittää itsensä suustaan ​​tulevilla kuplilla näyttääkseen suuremmalta.</v>
      </c>
      <c r="C2475" s="9" t="s">
        <v>1344</v>
      </c>
    </row>
    <row r="2476" ht="33.75" customHeight="1">
      <c r="A2476" s="6" t="s">
        <v>3690</v>
      </c>
      <c r="B2476" s="6" t="str">
        <f>IFERROR(__xludf.DUMMYFUNCTION("GOOGLETRANSLATE(A2476,""en"",""fi"")"),"Pihdit katkeavat helposti. Jos se irtoaa pihdeistä, se ei jostain syystä pysty kävelemään sivuttain.")</f>
        <v>Pihdit katkeavat helposti. Jos se irtoaa pihdeistä, se ei jostain syystä pysty kävelemään sivuttain.</v>
      </c>
      <c r="C2476" s="9" t="s">
        <v>1344</v>
      </c>
    </row>
    <row r="2477" ht="33.75" customHeight="1">
      <c r="A2477" s="6" t="s">
        <v>3692</v>
      </c>
      <c r="B2477" s="6" t="str">
        <f>IFERROR(__xludf.DUMMYFUNCTION("GOOGLETRANSLATE(A2477,""en"",""fi"")"),"Krabbyt elävät rannoilla, kaivautuneina hiekkaan kaivettuihin koloihin. Hiekkarannoilla, joilla on vähän ruokaa, näitä Pokémoneja voi nähdä riitelemässä keskenään reviirinsä puolesta.")</f>
        <v>Krabbyt elävät rannoilla, kaivautuneina hiekkaan kaivettuihin koloihin. Hiekkarannoilla, joilla on vähän ruokaa, näitä Pokémoneja voi nähdä riitelemässä keskenään reviirinsä puolesta.</v>
      </c>
      <c r="C2477" s="9" t="s">
        <v>1344</v>
      </c>
    </row>
    <row r="2478" ht="33.75" customHeight="1">
      <c r="A2478" s="6" t="s">
        <v>3693</v>
      </c>
      <c r="B2478" s="6" t="str">
        <f>IFERROR(__xludf.DUMMYFUNCTION("GOOGLETRANSLATE(A2478,""en"",""fi"")"),"Suuressa pihdeissä on 10 000 hevosvoiman murskausteho. Sen valtava koko tekee siitä kuitenkin kömpelön käyttää.")</f>
        <v>Suuressa pihdeissä on 10 000 hevosvoiman murskausteho. Sen valtava koko tekee siitä kuitenkin kömpelön käyttää.</v>
      </c>
      <c r="C2478" s="9" t="s">
        <v>1344</v>
      </c>
    </row>
    <row r="2479" ht="33.75" customHeight="1">
      <c r="A2479" s="6" t="s">
        <v>3695</v>
      </c>
      <c r="B2479" s="6" t="str">
        <f>IFERROR(__xludf.DUMMYFUNCTION("GOOGLETRANSLATE(A2479,""en"",""fi"")"),"Yksi kynsi kasvoi valtavasti ja kovaksi kuin teräs. Sen voima on 10 000 hv. Se on kuitenkin liian painava.")</f>
        <v>Yksi kynsi kasvoi valtavasti ja kovaksi kuin teräs. Sen voima on 10 000 hv. Se on kuitenkin liian painava.</v>
      </c>
      <c r="C2479" s="9" t="s">
        <v>1344</v>
      </c>
    </row>
    <row r="2480" ht="33.75" customHeight="1">
      <c r="A2480" s="6" t="s">
        <v>3696</v>
      </c>
      <c r="B2480" s="6" t="str">
        <f>IFERROR(__xludf.DUMMYFUNCTION("GOOGLETRANSLATE(A2480,""en"",""fi"")"),"Se tuskin pystyy nostamaan massiivista, ylikasvanutta pihtiään. Pihdin koko tekee oikean tähtäyksen vaikeaksi.")</f>
        <v>Se tuskin pystyy nostamaan massiivista, ylikasvanutta pihtiään. Pihdin koko tekee oikean tähtäyksen vaikeaksi.</v>
      </c>
      <c r="C2480" s="9" t="s">
        <v>1344</v>
      </c>
    </row>
    <row r="2481" ht="33.75" customHeight="1">
      <c r="A2481" s="6" t="s">
        <v>3698</v>
      </c>
      <c r="B2481" s="6" t="str">
        <f>IFERROR(__xludf.DUMMYFUNCTION("GOOGLETRANSLATE(A2481,""en"",""fi"")"),"Sen pihdit kasvavat omituisen suuriksi. Jos se nostaa pihdit liian nopeasti, se menettää tasapainonsa ja horjuu.")</f>
        <v>Sen pihdit kasvavat omituisen suuriksi. Jos se nostaa pihdit liian nopeasti, se menettää tasapainonsa ja horjuu.</v>
      </c>
      <c r="C2481" s="9" t="s">
        <v>1344</v>
      </c>
    </row>
    <row r="2482" ht="33.75" customHeight="1">
      <c r="A2482" s="6" t="s">
        <v>3699</v>
      </c>
      <c r="B2482" s="6" t="str">
        <f>IFERROR(__xludf.DUMMYFUNCTION("GOOGLETRANSLATE(A2482,""en"",""fi"")"),"Sen ylisuuri kynsi on erittäin voimakas, mutta taistelun ulkopuolella kynsi on vain tiellä.")</f>
        <v>Sen ylisuuri kynsi on erittäin voimakas, mutta taistelun ulkopuolella kynsi on vain tiellä.</v>
      </c>
      <c r="C2482" s="9" t="s">
        <v>1344</v>
      </c>
    </row>
    <row r="2483" ht="33.75" customHeight="1">
      <c r="A2483" s="6" t="s">
        <v>3700</v>
      </c>
      <c r="B2483" s="6" t="str">
        <f>IFERROR(__xludf.DUMMYFUNCTION("GOOGLETRANSLATE(A2483,""en"",""fi"")"),"KINGLERillä on valtava, ylisuuri kynsi. Se heiluttaa tätä valtavaa kynttä ilmassa kommunikoidakseen muiden kanssa. Koska kynsi on niin painava, POKéMON väsyy kuitenkin nopeasti.")</f>
        <v>KINGLERillä on valtava, ylisuuri kynsi. Se heiluttaa tätä valtavaa kynttä ilmassa kommunikoidakseen muiden kanssa. Koska kynsi on niin painava, POKéMON väsyy kuitenkin nopeasti.</v>
      </c>
      <c r="C2483" s="9" t="s">
        <v>1344</v>
      </c>
    </row>
    <row r="2484" ht="33.75" customHeight="1">
      <c r="A2484" s="6" t="s">
        <v>3701</v>
      </c>
      <c r="B2484" s="6" t="str">
        <f>IFERROR(__xludf.DUMMYFUNCTION("GOOGLETRANSLATE(A2484,""en"",""fi"")"),"Se heiluttaa valtavaa, ylisuuria kynsiään ilmassa kommunikoidakseen muiden kanssa. Mutta koska kynsi on niin painava, tämä POKéMON väsyy nopeasti.")</f>
        <v>Se heiluttaa valtavaa, ylisuuria kynsiään ilmassa kommunikoidakseen muiden kanssa. Mutta koska kynsi on niin painava, tämä POKéMON väsyy nopeasti.</v>
      </c>
      <c r="C2484" s="9" t="s">
        <v>1344</v>
      </c>
    </row>
    <row r="2485" ht="33.75" customHeight="1">
      <c r="A2485" s="6" t="s">
        <v>3702</v>
      </c>
      <c r="B2485" s="6" t="str">
        <f>IFERROR(__xludf.DUMMYFUNCTION("GOOGLETRANSLATE(A2485,""en"",""fi"")"),"Sen suuressa ja kovassa pihdeissä on 10 000 hevosvoimaa. Koska se on niin suuri, sitä on kuitenkin hankala liikuttaa.")</f>
        <v>Sen suuressa ja kovassa pihdeissä on 10 000 hevosvoimaa. Koska se on niin suuri, sitä on kuitenkin hankala liikuttaa.</v>
      </c>
      <c r="C2485" s="9" t="s">
        <v>1344</v>
      </c>
    </row>
    <row r="2486" ht="33.75" customHeight="1">
      <c r="A2486" s="6" t="s">
        <v>3703</v>
      </c>
      <c r="B2486" s="6" t="str">
        <f>IFERROR(__xludf.DUMMYFUNCTION("GOOGLETRANSLATE(A2486,""en"",""fi"")"),"Suuressa pihdeissä on 10 000 hevosvoiman murskausvoima. Sen valtava koko tekee siitä kuitenkin kömpelön käyttää.")</f>
        <v>Suuressa pihdeissä on 10 000 hevosvoiman murskausvoima. Sen valtava koko tekee siitä kuitenkin kömpelön käyttää.</v>
      </c>
      <c r="C2486" s="9" t="s">
        <v>1344</v>
      </c>
    </row>
    <row r="2487" ht="33.75" customHeight="1">
      <c r="A2487" s="6" t="s">
        <v>3704</v>
      </c>
      <c r="B2487" s="6" t="str">
        <f>IFERROR(__xludf.DUMMYFUNCTION("GOOGLETRANSLATE(A2487,""en"",""fi"")"),"Suuremmassa pihtikiväärissä on 10 000 hevosvoimaa. Se on kuitenkin niin painava, että sitä on vaikea tähtätä.")</f>
        <v>Suuremmassa pihtikiväärissä on 10 000 hevosvoimaa. Se on kuitenkin niin painava, että sitä on vaikea tähtätä.</v>
      </c>
      <c r="C2487" s="9" t="s">
        <v>1344</v>
      </c>
    </row>
    <row r="2488" ht="33.75" customHeight="1">
      <c r="A2488" s="6" t="s">
        <v>3705</v>
      </c>
      <c r="B2488" s="6" t="str">
        <f>IFERROR(__xludf.DUMMYFUNCTION("GOOGLETRANSLATE(A2488,""en"",""fi"")"),"Se tuskin pystyy nostamaan massiivista, ylikasvanutta pihtiään. Pihdin koko tekee oikean tähtäyksen vaikeaksi.")</f>
        <v>Se tuskin pystyy nostamaan massiivista, ylikasvanutta pihtiään. Pihdin koko tekee oikean tähtäyksen vaikeaksi.</v>
      </c>
      <c r="C2488" s="9" t="s">
        <v>1344</v>
      </c>
    </row>
    <row r="2489" ht="33.75" customHeight="1">
      <c r="A2489" s="6" t="s">
        <v>3706</v>
      </c>
      <c r="B2489" s="6" t="str">
        <f>IFERROR(__xludf.DUMMYFUNCTION("GOOGLETRANSLATE(A2489,""en"",""fi"")"),"Sen pihdit kasvavat omituisen suuriksi. Jos se nostaa pihdit liian nopeasti, se menettää tasapainonsa ja horjuu.")</f>
        <v>Sen pihdit kasvavat omituisen suuriksi. Jos se nostaa pihdit liian nopeasti, se menettää tasapainonsa ja horjuu.</v>
      </c>
      <c r="C2489" s="9" t="s">
        <v>1344</v>
      </c>
    </row>
    <row r="2490" ht="33.75" customHeight="1">
      <c r="A2490" s="6" t="s">
        <v>3707</v>
      </c>
      <c r="B2490" s="6" t="str">
        <f>IFERROR(__xludf.DUMMYFUNCTION("GOOGLETRANSLATE(A2490,""en"",""fi"")"),"Sen suuret ja kovat pihdit ovat 10 000 hevosvoiman tehoisia. Kokonsa ansiosta niitä on kuitenkin hankala liikuttaa.")</f>
        <v>Sen suuret ja kovat pihdit ovat 10 000 hevosvoiman tehoisia. Kokonsa ansiosta niitä on kuitenkin hankala liikuttaa.</v>
      </c>
      <c r="C2490" s="9" t="s">
        <v>1344</v>
      </c>
    </row>
    <row r="2491" ht="33.75" customHeight="1">
      <c r="A2491" s="6" t="s">
        <v>3709</v>
      </c>
      <c r="B2491" s="6" t="str">
        <f>IFERROR(__xludf.DUMMYFUNCTION("GOOGLETRANSLATE(A2491,""en"",""fi"")"),"Kinglerillä on valtava, ylisuuri kynsi. Se heiluttaa tätä valtavaa kynttä ilmassa kommunikoidakseen muiden kanssa. Koska kynsi on kuitenkin niin painava, Pokémon väsyy nopeasti.")</f>
        <v>Kinglerillä on valtava, ylisuuri kynsi. Se heiluttaa tätä valtavaa kynttä ilmassa kommunikoidakseen muiden kanssa. Koska kynsi on kuitenkin niin painava, Pokémon väsyy nopeasti.</v>
      </c>
      <c r="C2491" s="9" t="s">
        <v>1344</v>
      </c>
    </row>
    <row r="2492" ht="33.75" customHeight="1">
      <c r="A2492" s="6" t="s">
        <v>3710</v>
      </c>
      <c r="B2492" s="6" t="str">
        <f>IFERROR(__xludf.DUMMYFUNCTION("GOOGLETRANSLATE(A2492,""en"",""fi"")"),"Yksi kynsi kasvoi valtavasti ja on teräskova. Siinä on 10 000 hevosvoimaa. Se on kuitenkin liian painava.")</f>
        <v>Yksi kynsi kasvoi valtavasti ja on teräskova. Siinä on 10 000 hevosvoimaa. Se on kuitenkin liian painava.</v>
      </c>
      <c r="C2492" s="9" t="s">
        <v>1344</v>
      </c>
    </row>
    <row r="2493" ht="33.75" customHeight="1">
      <c r="A2493" s="6" t="s">
        <v>3711</v>
      </c>
      <c r="B2493" s="6" t="str">
        <f>IFERROR(__xludf.DUMMYFUNCTION("GOOGLETRANSLATE(A2493,""en"",""fi"")"),"Sen ylisuuri kynsi on erittäin voimakas, mutta taistelun ulkopuolella kynsi on vain tiellä.")</f>
        <v>Sen ylisuuri kynsi on erittäin voimakas, mutta taistelun ulkopuolella kynsi on vain tiellä.</v>
      </c>
      <c r="C2493" s="9" t="s">
        <v>1344</v>
      </c>
    </row>
    <row r="2494" ht="33.75" customHeight="1">
      <c r="A2494" s="6" t="s">
        <v>3712</v>
      </c>
      <c r="B2494" s="6" t="str">
        <f>IFERROR(__xludf.DUMMYFUNCTION("GOOGLETRANSLATE(A2494,""en"",""fi"")"),"Yleensä voimalaitoksissa. Ne sekoitetaan helposti POKÉ-PALLOIHIN, ja ne ovat tehneet sähköiskun monille ihmisille.")</f>
        <v>Yleensä voimalaitoksissa. Ne sekoitetaan helposti POKÉ-PALLOIHIN, ja ne ovat tehneet sähköiskun monille ihmisille.</v>
      </c>
      <c r="C2494" s="9" t="s">
        <v>1344</v>
      </c>
    </row>
    <row r="2495" ht="33.75" customHeight="1">
      <c r="A2495" s="6" t="s">
        <v>3713</v>
      </c>
      <c r="B2495" s="6" t="str">
        <f>IFERROR(__xludf.DUMMYFUNCTION("GOOGLETRANSLATE(A2495,""en"",""fi"")"),"Sen sanotaan naamioituvan POKÉ-PALLOKSI. Se tuhoutuu itse hyvin pienellä ärsykkeellä.")</f>
        <v>Sen sanotaan naamioituvan POKÉ-PALLOKSI. Se tuhoutuu itse hyvin pienellä ärsykkeellä.</v>
      </c>
      <c r="C2495" s="9" t="s">
        <v>1344</v>
      </c>
    </row>
    <row r="2496" ht="33.75" customHeight="1">
      <c r="A2496" s="6" t="s">
        <v>3714</v>
      </c>
      <c r="B2496" s="6" t="str">
        <f>IFERROR(__xludf.DUMMYFUNCTION("GOOGLETRANSLATE(A2496,""en"",""fi"")"),"Se liikkuu vierimällä. Jos maa on epätasainen, äkillinen tärinä töyssyyn osumisesta voi saada sen räjähtämään.")</f>
        <v>Se liikkuu vierimällä. Jos maa on epätasainen, äkillinen tärinä töyssyyn osumisesta voi saada sen räjähtämään.</v>
      </c>
      <c r="C2496" s="9" t="s">
        <v>1344</v>
      </c>
    </row>
    <row r="2497" ht="33.75" customHeight="1">
      <c r="A2497" s="6" t="s">
        <v>3715</v>
      </c>
      <c r="B2497" s="6" t="str">
        <f>IFERROR(__xludf.DUMMYFUNCTION("GOOGLETRANSLATE(A2497,""en"",""fi"")"),"Se löydettiin, kun POKÉ-pallot esiteltiin. Sanotaan, että niiden välillä on jonkinlainen yhteys.")</f>
        <v>Se löydettiin, kun POKÉ-pallot esiteltiin. Sanotaan, että niiden välillä on jonkinlainen yhteys.</v>
      </c>
      <c r="C2497" s="9" t="s">
        <v>1344</v>
      </c>
    </row>
    <row r="2498" ht="33.75" customHeight="1">
      <c r="A2498" s="6" t="s">
        <v>3716</v>
      </c>
      <c r="B2498" s="6" t="str">
        <f>IFERROR(__xludf.DUMMYFUNCTION("GOOGLETRANSLATE(A2498,""en"",""fi"")"),"Tämän POKéMONin tutkimuksen aikana havaittiin, että sen osia ei löydy luonnosta.")</f>
        <v>Tämän POKéMONin tutkimuksen aikana havaittiin, että sen osia ei löydy luonnosta.</v>
      </c>
      <c r="C2498" s="9" t="s">
        <v>1344</v>
      </c>
    </row>
    <row r="2499" ht="33.75" customHeight="1">
      <c r="A2499" s="6" t="s">
        <v>3717</v>
      </c>
      <c r="B2499" s="6" t="str">
        <f>IFERROR(__xludf.DUMMYFUNCTION("GOOGLETRANSLATE(A2499,""en"",""fi"")"),"VOLTORB havaittiin ensimmäisen kerran POKé-PALLOJA valmistavassa yrityksessä. Yhteys havainnon ja sen välillä, että tämä POKéMON näyttää hyvin samankaltaiselta kuin POKé-PALLO, on edelleen mysteeri.")</f>
        <v>VOLTORB havaittiin ensimmäisen kerran POKé-PALLOJA valmistavassa yrityksessä. Yhteys havainnon ja sen välillä, että tämä POKéMON näyttää hyvin samankaltaiselta kuin POKé-PALLO, on edelleen mysteeri.</v>
      </c>
      <c r="C2499" s="9" t="s">
        <v>1344</v>
      </c>
    </row>
    <row r="2500" ht="33.75" customHeight="1">
      <c r="A2500" s="6" t="s">
        <v>3719</v>
      </c>
      <c r="B2500" s="6" t="str">
        <f>IFERROR(__xludf.DUMMYFUNCTION("GOOGLETRANSLATE(A2500,""en"",""fi"")"),"VOLTORB on äärimmäisen herkkä – se räjähtää pienimmästäkin iskusta. Huhutaan, että se luotiin, kun POKé-PALLO altistettiin voimakkaalle energiapulssille.")</f>
        <v>VOLTORB on äärimmäisen herkkä – se räjähtää pienimmästäkin iskusta. Huhutaan, että se luotiin, kun POKé-PALLO altistettiin voimakkaalle energiapulssille.</v>
      </c>
      <c r="C2500" s="9" t="s">
        <v>1344</v>
      </c>
    </row>
    <row r="2501" ht="33.75" customHeight="1">
      <c r="A2501" s="6" t="s">
        <v>3720</v>
      </c>
      <c r="B2501" s="6" t="str">
        <f>IFERROR(__xludf.DUMMYFUNCTION("GOOGLETRANSLATE(A2501,""en"",""fi"")"),"Se muistuttaa omituisesti ja selittämättömästi POKÉ-PALLOA. Koska se räjähtää pienimmästäkin tärinästä, jopa kokeneet VALMENTAJAT suhtautuvat siihen varoen.")</f>
        <v>Se muistuttaa omituisesti ja selittämättömästi POKÉ-PALLOA. Koska se räjähtää pienimmästäkin tärinästä, jopa kokeneet VALMENTAJAT suhtautuvat siihen varoen.</v>
      </c>
      <c r="C2501" s="9" t="s">
        <v>1344</v>
      </c>
    </row>
    <row r="2502" ht="33.75" customHeight="1">
      <c r="A2502" s="6" t="s">
        <v>3723</v>
      </c>
      <c r="B2502" s="6" t="str">
        <f>IFERROR(__xludf.DUMMYFUNCTION("GOOGLETRANSLATE(A2502,""en"",""fi"")"),"Elämänmuoto, jonka henkilöllisyys on tuntematon. Sen sanotaan KIRKAAVAN tai äkillisesti ITSETUHOUTUVAN.")</f>
        <v>Elämänmuoto, jonka henkilöllisyys on tuntematon. Sen sanotaan KIRKAAVAN tai äkillisesti ITSETUHOUTUVAN.</v>
      </c>
      <c r="C2502" s="9" t="s">
        <v>1344</v>
      </c>
    </row>
    <row r="2503" ht="33.75" customHeight="1">
      <c r="A2503" s="6" t="s">
        <v>3725</v>
      </c>
      <c r="B2503" s="6" t="str">
        <f>IFERROR(__xludf.DUMMYFUNCTION("GOOGLETRANSLATE(A2503,""en"",""fi"")"),"Yleensä voimalaitoksissa. Helposti POKÉ-PALLOKSI luultavaksi luultu, se on tehnyt vaikutuksen moniin ihmisiin.")</f>
        <v>Yleensä voimalaitoksissa. Helposti POKÉ-PALLOKSI luultavaksi luultu, se on tehnyt vaikutuksen moniin ihmisiin.</v>
      </c>
      <c r="C2503" s="9" t="s">
        <v>1344</v>
      </c>
    </row>
    <row r="2504" ht="33.75" customHeight="1">
      <c r="A2504" s="6" t="s">
        <v>3726</v>
      </c>
      <c r="B2504" s="6" t="str">
        <f>IFERROR(__xludf.DUMMYFUNCTION("GOOGLETRANSLATE(A2504,""en"",""fi"")"),"Se näyttää aivan Poképallolta. Se on vaarallinen, koska se voi saada sähköiskun tai räjähtää kosketuksesta.")</f>
        <v>Se näyttää aivan Poképallolta. Se on vaarallinen, koska se voi saada sähköiskun tai räjähtää kosketuksesta.</v>
      </c>
      <c r="C2504" s="9" t="s">
        <v>1344</v>
      </c>
    </row>
    <row r="2505" ht="33.75" customHeight="1">
      <c r="A2505" s="6" t="s">
        <v>3728</v>
      </c>
      <c r="B2505" s="6" t="str">
        <f>IFERROR(__xludf.DUMMYFUNCTION("GOOGLETRANSLATE(A2505,""en"",""fi"")"),"Se löydettiin, kun Poképallot esiteltiin. Sanotaan, että niiden välillä on jonkinlainen yhteys.")</f>
        <v>Se löydettiin, kun Poképallot esiteltiin. Sanotaan, että niiden välillä on jonkinlainen yhteys.</v>
      </c>
      <c r="C2505" s="9" t="s">
        <v>1344</v>
      </c>
    </row>
    <row r="2506" ht="33.75" customHeight="1">
      <c r="A2506" s="6" t="s">
        <v>3729</v>
      </c>
      <c r="B2506" s="6" t="str">
        <f>IFERROR(__xludf.DUMMYFUNCTION("GOOGLETRANSLATE(A2506,""en"",""fi"")"),"Se näyttää aivan Poképallolta. Se on vaarallinen, koska se voi saada sähköiskun tai räjähtää kosketuksesta.")</f>
        <v>Se näyttää aivan Poképallolta. Se on vaarallinen, koska se voi saada sähköiskun tai räjähtää kosketuksesta.</v>
      </c>
      <c r="C2506" s="9" t="s">
        <v>1344</v>
      </c>
    </row>
    <row r="2507" ht="33.75" customHeight="1">
      <c r="A2507" s="6" t="s">
        <v>3730</v>
      </c>
      <c r="B2507" s="6" t="str">
        <f>IFERROR(__xludf.DUMMYFUNCTION("GOOGLETRANSLATE(A2507,""en"",""fi"")"),"Yleensä voimalaitoksissa. Helposti Poképalloksi luultava, se on tehnyt monille ihmisille sähköiskun.")</f>
        <v>Yleensä voimalaitoksissa. Helposti Poképalloksi luultava, se on tehnyt monille ihmisille sähköiskun.</v>
      </c>
      <c r="C2507" s="9" t="s">
        <v>1344</v>
      </c>
    </row>
    <row r="2508" ht="33.75" customHeight="1">
      <c r="A2508" s="6" t="s">
        <v>3731</v>
      </c>
      <c r="B2508" s="6" t="str">
        <f>IFERROR(__xludf.DUMMYFUNCTION("GOOGLETRANSLATE(A2508,""en"",""fi"")"),"Voltorb nähtiin ensimmäisen kerran Poképalloja valmistavassa yrityksessä. Yhteys havainnon ja Pokémonin ulkonäön ja Poképallon välisen suhteen on edelleen mysteeri.")</f>
        <v>Voltorb nähtiin ensimmäisen kerran Poképalloja valmistavassa yrityksessä. Yhteys havainnon ja Pokémonin ulkonäön ja Poképallon välisen suhteen on edelleen mysteeri.</v>
      </c>
      <c r="C2508" s="9" t="s">
        <v>1344</v>
      </c>
    </row>
    <row r="2509" ht="33.75" customHeight="1">
      <c r="A2509" s="6" t="s">
        <v>3733</v>
      </c>
      <c r="B2509" s="6" t="str">
        <f>IFERROR(__xludf.DUMMYFUNCTION("GOOGLETRANSLATE(A2509,""en"",""fi"")"),"Voltorb on äärimmäisen herkkä – se räjähtää pienimmästäkin iskusta. Huhutaan, että se luotiin, kun Poképallo altistettiin voimakkaalle energiapulssille.")</f>
        <v>Voltorb on äärimmäisen herkkä – se räjähtää pienimmästäkin iskusta. Huhutaan, että se luotiin, kun Poképallo altistettiin voimakkaalle energiapulssille.</v>
      </c>
      <c r="C2509" s="9" t="s">
        <v>1344</v>
      </c>
    </row>
    <row r="2510" ht="33.75" customHeight="1">
      <c r="A2510" s="6" t="s">
        <v>3736</v>
      </c>
      <c r="B2510" s="6" t="str">
        <f>IFERROR(__xludf.DUMMYFUNCTION("GOOGLETRANSLATE(A2510,""en"",""fi"")"),"Sen sanotaan naamioituvan Poképalloksi. Se tuhoutuu itsestään hyvin pienellä ärsykkeellä.")</f>
        <v>Sen sanotaan naamioituvan Poképalloksi. Se tuhoutuu itsestään hyvin pienellä ärsykkeellä.</v>
      </c>
      <c r="C2510" s="9" t="s">
        <v>1344</v>
      </c>
    </row>
    <row r="2511" ht="33.75" customHeight="1">
      <c r="A2511" s="6" t="s">
        <v>3738</v>
      </c>
      <c r="B2511" s="6" t="str">
        <f>IFERROR(__xludf.DUMMYFUNCTION("GOOGLETRANSLATE(A2511,""en"",""fi"")"),"Arvoituksellinen Pokémon, joka sattuu muistuttamaan Poképalloa. Innostuessaan se purkaa vatsaansa varastoiman sähkövirran ja päästää sitten äänekkään, riehakkaan naurun.")</f>
        <v>Arvoituksellinen Pokémon, joka sattuu muistuttamaan Poképalloa. Innostuessaan se purkaa vatsaansa varastoiman sähkövirran ja päästää sitten äänekkään, riehakkaan naurun.</v>
      </c>
      <c r="C2511" s="9" t="s">
        <v>1344</v>
      </c>
    </row>
    <row r="2512" ht="33.75" customHeight="1">
      <c r="A2512" s="6" t="s">
        <v>3740</v>
      </c>
      <c r="B2512" s="6" t="str">
        <f>IFERROR(__xludf.DUMMYFUNCTION("GOOGLETRANSLATE(A2512,""en"",""fi"")"),"Se varastoi sähköenergiaa erittäin korkean paineen alaisena. Se räjähtää usein lähes ilman provokaatiota.")</f>
        <v>Se varastoi sähköenergiaa erittäin korkean paineen alaisena. Se räjähtää usein lähes ilman provokaatiota.</v>
      </c>
      <c r="C2512" s="9" t="s">
        <v>1344</v>
      </c>
    </row>
    <row r="2513" ht="33.75" customHeight="1">
      <c r="A2513" s="6" t="s">
        <v>3742</v>
      </c>
      <c r="B2513" s="6" t="str">
        <f>IFERROR(__xludf.DUMMYFUNCTION("GOOGLETRANSLATE(A2513,""en"",""fi"")"),"Varastoi sähköenergiaa kehoonsa. Pieninkin isku voi laukaista valtavan räjähdyksen.")</f>
        <v>Varastoi sähköenergiaa kehoonsa. Pieninkin isku voi laukaista valtavan räjähdyksen.</v>
      </c>
      <c r="C2513" s="9" t="s">
        <v>1344</v>
      </c>
    </row>
    <row r="2514" ht="33.75" customHeight="1">
      <c r="A2514" s="6" t="s">
        <v>3743</v>
      </c>
      <c r="B2514" s="6" t="str">
        <f>IFERROR(__xludf.DUMMYFUNCTION("GOOGLETRANSLATE(A2514,""en"",""fi"")"),"Se on vaarallinen. Jos siinä on liikaa sähköä eikä sillä ole mitään tekemistä, se huvittaa itseään räjähtämällä.")</f>
        <v>Se on vaarallinen. Jos siinä on liikaa sähköä eikä sillä ole mitään tekemistä, se huvittaa itseään räjähtämällä.</v>
      </c>
      <c r="C2514" s="9" t="s">
        <v>1344</v>
      </c>
    </row>
    <row r="2515" ht="33.75" customHeight="1">
      <c r="A2515" s="6" t="s">
        <v>3745</v>
      </c>
      <c r="B2515" s="6" t="str">
        <f>IFERROR(__xludf.DUMMYFUNCTION("GOOGLETRANSLATE(A2515,""en"",""fi"")"),"Se varastoi valtavan määrän sähköenergiaa kehoonsa. Jopa pieni isku saa sen räjähtämään.")</f>
        <v>Se varastoi valtavan määrän sähköenergiaa kehoonsa. Jopa pieni isku saa sen räjähtämään.</v>
      </c>
      <c r="C2515" s="9" t="s">
        <v>1344</v>
      </c>
    </row>
    <row r="2516" ht="33.75" customHeight="1">
      <c r="A2516" s="6" t="s">
        <v>3747</v>
      </c>
      <c r="B2516" s="6" t="str">
        <f>IFERROR(__xludf.DUMMYFUNCTION("GOOGLETRANSLATE(A2516,""en"",""fi"")"),"Mitä enemmän energiaa se latautuu, sitä nopeammin se toimii. Mutta tämä myös lisää sen räjähdysherkkyyttä.")</f>
        <v>Mitä enemmän energiaa se latautuu, sitä nopeammin se toimii. Mutta tämä myös lisää sen räjähdysherkkyyttä.</v>
      </c>
      <c r="C2516" s="9" t="s">
        <v>1344</v>
      </c>
    </row>
    <row r="2517" ht="33.75" customHeight="1">
      <c r="A2517" s="6" t="s">
        <v>3750</v>
      </c>
      <c r="B2517" s="6" t="str">
        <f>IFERROR(__xludf.DUMMYFUNCTION("GOOGLETRANSLATE(A2517,""en"",""fi"")"),"ELEKTRODI kuluttaa ilmakehässä olevaa sähköä. Päivinä, jolloin salama iskee, voit nähdä tämän POKéMONin räjähtävän joka puolelle syötyään liikaa sähköä.")</f>
        <v>ELEKTRODI kuluttaa ilmakehässä olevaa sähköä. Päivinä, jolloin salama iskee, voit nähdä tämän POKéMONin räjähtävän joka puolelle syötyään liikaa sähköä.</v>
      </c>
      <c r="C2517" s="9" t="s">
        <v>1344</v>
      </c>
    </row>
    <row r="2518" ht="33.75" customHeight="1">
      <c r="A2518" s="6" t="s">
        <v>3751</v>
      </c>
      <c r="B2518" s="6" t="str">
        <f>IFERROR(__xludf.DUMMYFUNCTION("GOOGLETRANSLATE(A2518,""en"",""fi"")"),"Yksi ELECTRODEn ominaisuuksista on sen vetovoima sähköön. Se on ongelmallinen POKéMON, joka kerääntyy enimmäkseen sähkölaitoksille syömään juuri tuotettua sähköä.")</f>
        <v>Yksi ELECTRODEn ominaisuuksista on sen vetovoima sähköön. Se on ongelmallinen POKéMON, joka kerääntyy enimmäkseen sähkölaitoksille syömään juuri tuotettua sähköä.</v>
      </c>
      <c r="C2518" s="9" t="s">
        <v>1344</v>
      </c>
    </row>
    <row r="2519" ht="33.75" customHeight="1">
      <c r="A2519" s="6" t="s">
        <v>3753</v>
      </c>
      <c r="B2519" s="6" t="str">
        <f>IFERROR(__xludf.DUMMYFUNCTION("GOOGLETRANSLATE(A2519,""en"",""fi"")"),"Niitä esiintyy sankoin joukoin sähkövoimaloissa. Koska ne käyttävät sähköä, ne aiheuttavat massiivisia ja kaoottisia sähkökatkoksia lähikaupungeissa.")</f>
        <v>Niitä esiintyy sankoin joukoin sähkövoimaloissa. Koska ne käyttävät sähköä, ne aiheuttavat massiivisia ja kaoottisia sähkökatkoksia lähikaupungeissa.</v>
      </c>
      <c r="C2519" s="9" t="s">
        <v>1344</v>
      </c>
    </row>
    <row r="2520" ht="33.75" customHeight="1">
      <c r="A2520" s="6" t="s">
        <v>3755</v>
      </c>
      <c r="B2520" s="6" t="str">
        <f>IFERROR(__xludf.DUMMYFUNCTION("GOOGLETRANSLATE(A2520,""en"",""fi"")"),"Se räjähtää pienimmistäkin ärsykkeistä. Sitä pelätään, ja sille annetaan lempinimi ""Pommipallo"".")</f>
        <v>Se räjähtää pienimmistäkin ärsykkeistä. Sitä pelätään, ja sille annetaan lempinimi "Pommipallo".</v>
      </c>
      <c r="C2520" s="9" t="s">
        <v>1344</v>
      </c>
    </row>
    <row r="2521" ht="33.75" customHeight="1">
      <c r="A2521" s="6" t="s">
        <v>3757</v>
      </c>
      <c r="B2521" s="6" t="str">
        <f>IFERROR(__xludf.DUMMYFUNCTION("GOOGLETRANSLATE(A2521,""en"",""fi"")"),"Sen tiedetään ajelehtivan tuulen mukana, jos se on paisunut niin paljon, että se on täynnä varastoitunutta sähköä.")</f>
        <v>Sen tiedetään ajelehtivan tuulen mukana, jos se on paisunut niin paljon, että se on täynnä varastoitunutta sähköä.</v>
      </c>
      <c r="C2521" s="9" t="s">
        <v>1344</v>
      </c>
    </row>
    <row r="2522" ht="33.75" customHeight="1">
      <c r="A2522" s="6" t="s">
        <v>3758</v>
      </c>
      <c r="B2522" s="6" t="str">
        <f>IFERROR(__xludf.DUMMYFUNCTION("GOOGLETRANSLATE(A2522,""en"",""fi"")"),"Se varastoi kehoonsa valtavan määrän sähköenergiaa. Jopa pieni isku saa sen räjähtämään.")</f>
        <v>Se varastoi kehoonsa valtavan määrän sähköenergiaa. Jopa pieni isku saa sen räjähtämään.</v>
      </c>
      <c r="C2522" s="9" t="s">
        <v>1344</v>
      </c>
    </row>
    <row r="2523" ht="33.75" customHeight="1">
      <c r="A2523" s="6" t="s">
        <v>3759</v>
      </c>
      <c r="B2523" s="6" t="str">
        <f>IFERROR(__xludf.DUMMYFUNCTION("GOOGLETRANSLATE(A2523,""en"",""fi"")"),"Elektrodi syö sähköä ilmakehässä. Päivinä, jolloin salama iskee, voit nähdä tämän Pokémonin räjähtävän joka paikkaan syötyään liikaa sähköä.")</f>
        <v>Elektrodi syö sähköä ilmakehässä. Päivinä, jolloin salama iskee, voit nähdä tämän Pokémonin räjähtävän joka paikkaan syötyään liikaa sähköä.</v>
      </c>
      <c r="C2523" s="9" t="s">
        <v>1344</v>
      </c>
    </row>
    <row r="2524" ht="33.75" customHeight="1">
      <c r="A2524" s="6" t="s">
        <v>3760</v>
      </c>
      <c r="B2524" s="6" t="str">
        <f>IFERROR(__xludf.DUMMYFUNCTION("GOOGLETRANSLATE(A2524,""en"",""fi"")"),"Yksi Electroden ominaisuuksista on sen vetovoima sähköön. Se on ongelmallinen Pokémon, joka kerääntyy enimmäkseen sähkölaitoksille syömään juuri tuotettua sähköä.")</f>
        <v>Yksi Electroden ominaisuuksista on sen vetovoima sähköön. Se on ongelmallinen Pokémon, joka kerääntyy enimmäkseen sähkölaitoksille syömään juuri tuotettua sähköä.</v>
      </c>
      <c r="C2524" s="9" t="s">
        <v>1344</v>
      </c>
    </row>
    <row r="2525" ht="33.75" customHeight="1">
      <c r="A2525" s="6" t="s">
        <v>3761</v>
      </c>
      <c r="B2525" s="6" t="str">
        <f>IFERROR(__xludf.DUMMYFUNCTION("GOOGLETRANSLATE(A2525,""en"",""fi"")"),"Sen kehon pinnalla oleva kudos on koostumukseltaan yllättävän samanlaista kuin aprikoosilla. Ärtyneenä tämä Pokémon päästää 20 salamaniskun verran sähkövirtaa.")</f>
        <v>Sen kehon pinnalla oleva kudos on koostumukseltaan yllättävän samanlaista kuin aprikoosilla. Ärtyneenä tämä Pokémon päästää 20 salamaniskun verran sähkövirtaa.</v>
      </c>
      <c r="C2525" s="9" t="s">
        <v>1344</v>
      </c>
    </row>
    <row r="2526" ht="33.75" customHeight="1">
      <c r="A2526" s="6" t="s">
        <v>3762</v>
      </c>
      <c r="B2526" s="6" t="str">
        <f>IFERROR(__xludf.DUMMYFUNCTION("GOOGLETRANSLATE(A2526,""en"",""fi"")"),"Usein luullaan muniksi. Häiriintyessään ne kerääntyvät nopeasti ja hyökkäävät parvina.")</f>
        <v>Usein luullaan muniksi. Häiriintyessään ne kerääntyvät nopeasti ja hyökkäävät parvina.</v>
      </c>
      <c r="C2526" s="9" t="s">
        <v>1344</v>
      </c>
    </row>
    <row r="2527" ht="33.75" customHeight="1">
      <c r="A2527" s="6" t="s">
        <v>3763</v>
      </c>
      <c r="B2527" s="6" t="str">
        <f>IFERROR(__xludf.DUMMYFUNCTION("GOOGLETRANSLATE(A2527,""en"",""fi"")"),"Päät vetävät toisiaan puoleensa ja pyörivät ympäri. Tasapainon ylläpitämiseksi tarvitaan kuusi päätä.")</f>
        <v>Päät vetävät toisiaan puoleensa ja pyörivät ympäri. Tasapainon ylläpitämiseksi tarvitaan kuusi päätä.</v>
      </c>
      <c r="C2527" s="9" t="s">
        <v>1344</v>
      </c>
    </row>
    <row r="2528" ht="33.75" customHeight="1">
      <c r="A2528" s="6" t="s">
        <v>3764</v>
      </c>
      <c r="B2528" s="6" t="str">
        <f>IFERROR(__xludf.DUMMYFUNCTION("GOOGLETRANSLATE(A2528,""en"",""fi"")"),"Kuori on erittäin kestävä. Vaikka se halkeaisi, se selviää ilman sisällön läikkymistä.")</f>
        <v>Kuori on erittäin kestävä. Vaikka se halkeaisi, se selviää ilman sisällön läikkymistä.</v>
      </c>
      <c r="C2528" s="9" t="s">
        <v>1344</v>
      </c>
    </row>
    <row r="2529" ht="33.75" customHeight="1">
      <c r="A2529" s="6" t="s">
        <v>3765</v>
      </c>
      <c r="B2529" s="6" t="str">
        <f>IFERROR(__xludf.DUMMYFUNCTION("GOOGLETRANSLATE(A2529,""en"",""fi"")"),"Käyttäen vain telepatiaa, jota he voivat vastaanottaa, ne muodostavat aina kuuden EXEGGCUTE-hahmon klusterin.")</f>
        <v>Käyttäen vain telepatiaa, jota he voivat vastaanottaa, ne muodostavat aina kuuden EXEGGCUTE-hahmon klusterin.</v>
      </c>
      <c r="C2529" s="9" t="s">
        <v>1344</v>
      </c>
    </row>
    <row r="2530" ht="33.75" customHeight="1">
      <c r="A2530" s="6" t="s">
        <v>3766</v>
      </c>
      <c r="B2530" s="6" t="str">
        <f>IFERROR(__xludf.DUMMYFUNCTION("GOOGLETRANSLATE(A2530,""en"",""fi"")"),"Jos yksikin erottuu ryhmästä, kuuden välinen energiaside saa heidät välittömästi liittymään takaisin.")</f>
        <v>Jos yksikin erottuu ryhmästä, kuuden välinen energiaside saa heidät välittömästi liittymään takaisin.</v>
      </c>
      <c r="C2530" s="9" t="s">
        <v>1344</v>
      </c>
    </row>
    <row r="2531" ht="33.75" customHeight="1">
      <c r="A2531" s="6" t="s">
        <v>3767</v>
      </c>
      <c r="B2531" s="6" t="str">
        <f>IFERROR(__xludf.DUMMYFUNCTION("GOOGLETRANSLATE(A2531,""en"",""fi"")"),"Tämä POKéMON koostuu kuudesta munasta, jotka muodostavat tiiviisti yhteen kietoutuneen ryppään. Kuusi munaa vetävät toisiaan puoleensa ja pyörivät ympäriinsä. Kun muniin ilmestyy yhä enemmän halkeamia, EXEGGCUTE on lähellä evoluutiota.")</f>
        <v>Tämä POKéMON koostuu kuudesta munasta, jotka muodostavat tiiviisti yhteen kietoutuneen ryppään. Kuusi munaa vetävät toisiaan puoleensa ja pyörivät ympäriinsä. Kun muniin ilmestyy yhä enemmän halkeamia, EXEGGCUTE on lähellä evoluutiota.</v>
      </c>
      <c r="C2531" s="9" t="s">
        <v>1344</v>
      </c>
    </row>
    <row r="2532" ht="33.75" customHeight="1">
      <c r="A2532" s="6" t="s">
        <v>3768</v>
      </c>
      <c r="B2532" s="6" t="str">
        <f>IFERROR(__xludf.DUMMYFUNCTION("GOOGLETRANSLATE(A2532,""en"",""fi"")"),"Se koostuu kuudesta toisistaan ​​huolehtivasta munasta. Munat vetävät toisiaan puoleensa ja pyörivät ympäriinsä. Kun halkeamia alkaa ilmestyä yhä enemmän, se on lähellä evoluutiota.")</f>
        <v>Se koostuu kuudesta toisistaan ​​huolehtivasta munasta. Munat vetävät toisiaan puoleensa ja pyörivät ympäriinsä. Kun halkeamia alkaa ilmestyä yhä enemmän, se on lähellä evoluutiota.</v>
      </c>
      <c r="C2532" s="9" t="s">
        <v>1344</v>
      </c>
    </row>
    <row r="2533" ht="33.75" customHeight="1">
      <c r="A2533" s="6" t="s">
        <v>3770</v>
      </c>
      <c r="B2533" s="6" t="str">
        <f>IFERROR(__xludf.DUMMYFUNCTION("GOOGLETRANSLATE(A2533,""en"",""fi"")"),"Vaikka se näyttää jonkinlaisilta munilta, sen havaittiin olevan elämänmuoto, joka muistuttaa enemmän kasvien siemeniä.")</f>
        <v>Vaikka se näyttää jonkinlaisilta munilta, sen havaittiin olevan elämänmuoto, joka muistuttaa enemmän kasvien siemeniä.</v>
      </c>
      <c r="C2533" s="9" t="s">
        <v>1344</v>
      </c>
    </row>
    <row r="2534" ht="33.75" customHeight="1">
      <c r="A2534" s="6" t="s">
        <v>3771</v>
      </c>
      <c r="B2534" s="6" t="str">
        <f>IFERROR(__xludf.DUMMYFUNCTION("GOOGLETRANSLATE(A2534,""en"",""fi"")"),"Se sekoitetaan usein muniin. Häirittyinä ne kerääntyvät nopeasti ja hyökkäävät parvina.")</f>
        <v>Se sekoitetaan usein muniin. Häirittyinä ne kerääntyvät nopeasti ja hyökkäävät parvina.</v>
      </c>
      <c r="C2534" s="9" t="s">
        <v>1344</v>
      </c>
    </row>
    <row r="2535" ht="33.75" customHeight="1">
      <c r="A2535" s="6" t="s">
        <v>3772</v>
      </c>
      <c r="B2535" s="6" t="str">
        <f>IFERROR(__xludf.DUMMYFUNCTION("GOOGLETRANSLATE(A2535,""en"",""fi"")"),"Sen kuusi munaa keskustelevat telepatian avulla. Ne voivat nopeasti kokoontua yhteen, jos ne erkanevat toisistaan.")</f>
        <v>Sen kuusi munaa keskustelevat telepatian avulla. Ne voivat nopeasti kokoontua yhteen, jos ne erkanevat toisistaan.</v>
      </c>
      <c r="C2535" s="9" t="s">
        <v>1344</v>
      </c>
    </row>
    <row r="2536" ht="33.75" customHeight="1">
      <c r="A2536" s="6" t="s">
        <v>3774</v>
      </c>
      <c r="B2536" s="6" t="str">
        <f>IFERROR(__xludf.DUMMYFUNCTION("GOOGLETRANSLATE(A2536,""en"",""fi"")"),"Niiden kuoret ovat erittäin kestäviä. Vaikka ne halkeaisivat, ne selviävät hengissä läikyttämättä sisältöään.")</f>
        <v>Niiden kuoret ovat erittäin kestäviä. Vaikka ne halkeaisivat, ne selviävät hengissä läikyttämättä sisältöään.</v>
      </c>
      <c r="C2536" s="9" t="s">
        <v>1344</v>
      </c>
    </row>
    <row r="2537" ht="33.75" customHeight="1">
      <c r="A2537" s="6" t="s">
        <v>3775</v>
      </c>
      <c r="B2537" s="6" t="str">
        <f>IFERROR(__xludf.DUMMYFUNCTION("GOOGLETRANSLATE(A2537,""en"",""fi"")"),"Käyttäen vain itse käyttämäänsä telepatiaa, he muodostavat aina kuuden EXEGGCUTE-hahmon klusterin.")</f>
        <v>Käyttäen vain itse käyttämäänsä telepatiaa, he muodostavat aina kuuden EXEGGCUTE-hahmon klusterin.</v>
      </c>
      <c r="C2537" s="9" t="s">
        <v>1344</v>
      </c>
    </row>
    <row r="2538" ht="33.75" customHeight="1">
      <c r="A2538" s="6" t="s">
        <v>3776</v>
      </c>
      <c r="B2538" s="6" t="str">
        <f>IFERROR(__xludf.DUMMYFUNCTION("GOOGLETRANSLATE(A2538,""en"",""fi"")"),"Vaikka se näyttää jonkinlaisilta munilta, sen havaittiin olevan elämänmuoto, joka muistuttaa enemmän kasvien siemeniä.")</f>
        <v>Vaikka se näyttää jonkinlaisilta munilta, sen havaittiin olevan elämänmuoto, joka muistuttaa enemmän kasvien siemeniä.</v>
      </c>
      <c r="C2538" s="9" t="s">
        <v>1344</v>
      </c>
    </row>
    <row r="2539" ht="33.75" customHeight="1">
      <c r="A2539" s="6" t="s">
        <v>3778</v>
      </c>
      <c r="B2539" s="6" t="str">
        <f>IFERROR(__xludf.DUMMYFUNCTION("GOOGLETRANSLATE(A2539,""en"",""fi"")"),"Tämä Pokémon koostuu kuudesta munasta, jotka muodostavat tiiviisti yhteen kietoutuneen ryppään. Kuusi munaa vetävät toisiaan puoleensa ja pyörivät ympäriinsä. Kun muniin ilmestyy yhä enemmän halkeamia, Exeggcute on lähellä evoluutiota.")</f>
        <v>Tämä Pokémon koostuu kuudesta munasta, jotka muodostavat tiiviisti yhteen kietoutuneen ryppään. Kuusi munaa vetävät toisiaan puoleensa ja pyörivät ympäriinsä. Kun muniin ilmestyy yhä enemmän halkeamia, Exeggcute on lähellä evoluutiota.</v>
      </c>
      <c r="C2539" s="9" t="s">
        <v>1344</v>
      </c>
    </row>
    <row r="2540" ht="33.75" customHeight="1">
      <c r="A2540" s="6" t="s">
        <v>3780</v>
      </c>
      <c r="B2540" s="6" t="str">
        <f>IFERROR(__xludf.DUMMYFUNCTION("GOOGLETRANSLATE(A2540,""en"",""fi"")"),"Sen kuusi munaa käyttävät telepatiaa kommunikoidakseen keskenään. Sen uskotaan kantavan kasvien ja muiden lajien geenejä.")</f>
        <v>Sen kuusi munaa käyttävät telepatiaa kommunikoidakseen keskenään. Sen uskotaan kantavan kasvien ja muiden lajien geenejä.</v>
      </c>
      <c r="C2540" s="9" t="s">
        <v>1344</v>
      </c>
    </row>
    <row r="2541" ht="33.75" customHeight="1">
      <c r="A2541" s="6" t="s">
        <v>3781</v>
      </c>
      <c r="B2541" s="6" t="str">
        <f>IFERROR(__xludf.DUMMYFUNCTION("GOOGLETRANSLATE(A2541,""en"",""fi"")"),"Kuusi niistä muodostaa yhdessä täysimittaisen Pokémonin. Crabrawler usein metsästää sitä, mutta se ajaa sen pois psykokineesin avulla.")</f>
        <v>Kuusi niistä muodostaa yhdessä täysimittaisen Pokémonin. Crabrawler usein metsästää sitä, mutta se ajaa sen pois psykokineesin avulla.</v>
      </c>
      <c r="C2541" s="9" t="s">
        <v>1344</v>
      </c>
    </row>
    <row r="2542" ht="33.75" customHeight="1">
      <c r="A2542" s="6" t="s">
        <v>3783</v>
      </c>
      <c r="B2542" s="6" t="str">
        <f>IFERROR(__xludf.DUMMYFUNCTION("GOOGLETRANSLATE(A2542,""en"",""fi"")"),"Kuusi niistä muodostaa yhden Pokémonin. Jos yksi kuudesta katoaa, seuraavana aamuna niitä on jälleen kuusi.")</f>
        <v>Kuusi niistä muodostaa yhden Pokémonin. Jos yksi kuudesta katoaa, seuraavana aamuna niitä on jälleen kuusi.</v>
      </c>
      <c r="C2542" s="9" t="s">
        <v>1344</v>
      </c>
    </row>
    <row r="2543" ht="33.75" customHeight="1">
      <c r="A2543" s="6" t="s">
        <v>3785</v>
      </c>
      <c r="B2543" s="6" t="str">
        <f>IFERROR(__xludf.DUMMYFUNCTION("GOOGLETRANSLATE(A2543,""en"",""fi"")"),"Vaikka ne ovat saman kokoisia kuin muut Exeggcute-hahmot, Alolassa valmistetut ovat melko painavia. Niiden kuoret on pakattu täyteen.")</f>
        <v>Vaikka ne ovat saman kokoisia kuin muut Exeggcute-hahmot, Alolassa valmistetut ovat melko painavia. Niiden kuoret on pakattu täyteen.</v>
      </c>
      <c r="C2543" s="9" t="s">
        <v>1344</v>
      </c>
    </row>
    <row r="2544" ht="33.75" customHeight="1">
      <c r="A2544" s="6" t="s">
        <v>3787</v>
      </c>
      <c r="B2544" s="6" t="str">
        <f>IFERROR(__xludf.DUMMYFUNCTION("GOOGLETRANSLATE(A2544,""en"",""fi"")"),"Päät vetävät toisiaan puoleensa ja pyörivät ympäri. Jotta se pysyisi tasapainossa, päitä täytyy olla kuusi.")</f>
        <v>Päät vetävät toisiaan puoleensa ja pyörivät ympäri. Jotta se pysyisi tasapainossa, päitä täytyy olla kuusi.</v>
      </c>
      <c r="C2544" s="9" t="s">
        <v>1344</v>
      </c>
    </row>
    <row r="2545" ht="33.75" customHeight="1">
      <c r="A2545" s="6" t="s">
        <v>3788</v>
      </c>
      <c r="B2545" s="6" t="str">
        <f>IFERROR(__xludf.DUMMYFUNCTION("GOOGLETRANSLATE(A2545,""en"",""fi"")"),"Vaikka se saattaa näyttää vain joukolta munia, se on oikea Pokémon. Exeggcute kommunikoi ilmeisesti muiden kaltaistensa kanssa telepaattisesti.")</f>
        <v>Vaikka se saattaa näyttää vain joukolta munia, se on oikea Pokémon. Exeggcute kommunikoi ilmeisesti muiden kaltaistensa kanssa telepaattisesti.</v>
      </c>
      <c r="C2545" s="9" t="s">
        <v>1344</v>
      </c>
    </row>
    <row r="2546" ht="33.75" customHeight="1">
      <c r="A2546" s="6" t="s">
        <v>3789</v>
      </c>
      <c r="B2546" s="6" t="str">
        <f>IFERROR(__xludf.DUMMYFUNCTION("GOOGLETRANSLATE(A2546,""en"",""fi"")"),"Nämä Pokémonit hermostuvat, jos he eivät ole kuuden hengen ryhmässä. Heti kun yksikin ryhmän jäsen katoaa, Exeggcutesta tulee pelkurimainen.")</f>
        <v>Nämä Pokémonit hermostuvat, jos he eivät ole kuuden hengen ryhmässä. Heti kun yksikin ryhmän jäsen katoaa, Exeggcutesta tulee pelkurimainen.</v>
      </c>
      <c r="C2546" s="9" t="s">
        <v>1344</v>
      </c>
    </row>
    <row r="2547" ht="33.75" customHeight="1">
      <c r="A2547" s="6" t="s">
        <v>3791</v>
      </c>
      <c r="B2547" s="6" t="str">
        <f>IFERROR(__xludf.DUMMYFUNCTION("GOOGLETRANSLATE(A2547,""en"",""fi"")"),"Legendan mukaan harvinaisissa tapauksissa yksi sen päistä putoaa irti ja jatkaa matkaansa TOSISUNTOMUNANA.")</f>
        <v>Legendan mukaan harvinaisissa tapauksissa yksi sen päistä putoaa irti ja jatkaa matkaansa TOSISUNTOMUNANA.</v>
      </c>
      <c r="C2547" s="9" t="s">
        <v>1344</v>
      </c>
    </row>
    <row r="2548" ht="33.75" customHeight="1">
      <c r="A2548" s="6" t="s">
        <v>3792</v>
      </c>
      <c r="B2548" s="6" t="str">
        <f>IFERROR(__xludf.DUMMYFUNCTION("GOOGLETRANSLATE(A2548,""en"",""fi"")"),"Sen huuto on hyvin äänekästä. Tämä johtuu siitä, että jokainen kolmesta päästä ajattelee mitä haluaa.")</f>
        <v>Sen huuto on hyvin äänekästä. Tämä johtuu siitä, että jokainen kolmesta päästä ajattelee mitä haluaa.</v>
      </c>
      <c r="C2548" s="9" t="s">
        <v>1344</v>
      </c>
    </row>
    <row r="2549" ht="33.75" customHeight="1">
      <c r="A2549" s="6" t="s">
        <v>3794</v>
      </c>
      <c r="B2549" s="6" t="str">
        <f>IFERROR(__xludf.DUMMYFUNCTION("GOOGLETRANSLATE(A2549,""en"",""fi"")"),"Sen kolme päätä ajattelevat itsenäisesti. Ne ovat kuitenkin ystävällisiä eivätkä koskaan näytä riitelevän.")</f>
        <v>Sen kolme päätä ajattelevat itsenäisesti. Ne ovat kuitenkin ystävällisiä eivätkä koskaan näytä riitelevän.</v>
      </c>
      <c r="C2549" s="9" t="s">
        <v>1344</v>
      </c>
    </row>
    <row r="2550" ht="33.75" customHeight="1">
      <c r="A2550" s="6" t="s">
        <v>3798</v>
      </c>
      <c r="B2550" s="6" t="str">
        <f>IFERROR(__xludf.DUMMYFUNCTION("GOOGLETRANSLATE(A2550,""en"",""fi"")"),"Jos pää putoaa irti, se lähettää telepaattisen kutsun etsien muita muodostaakseen EXEGGCUTE-ryppää.")</f>
        <v>Jos pää putoaa irti, se lähettää telepaattisen kutsun etsien muita muodostaakseen EXEGGCUTE-ryppää.</v>
      </c>
      <c r="C2550" s="9" t="s">
        <v>1344</v>
      </c>
    </row>
    <row r="2551" ht="33.75" customHeight="1">
      <c r="A2551" s="6" t="s">
        <v>3799</v>
      </c>
      <c r="B2551" s="6" t="str">
        <f>IFERROR(__xludf.DUMMYFUNCTION("GOOGLETRANSLATE(A2551,""en"",""fi"")"),"Hyvässä ympäristössä eläminen saa sen kasvattamaan paljon päitä. Pää, joka putoaa pois, muuttuu TODELLISEKSI MUNAKSI.")</f>
        <v>Hyvässä ympäristössä eläminen saa sen kasvattamaan paljon päitä. Pää, joka putoaa pois, muuttuu TODELLISEKSI MUNAKSI.</v>
      </c>
      <c r="C2551" s="9" t="s">
        <v>1344</v>
      </c>
    </row>
    <row r="2552" ht="33.75" customHeight="1">
      <c r="A2552" s="6" t="s">
        <v>3800</v>
      </c>
      <c r="B2552" s="6" t="str">
        <f>IFERROR(__xludf.DUMMYFUNCTION("GOOGLETRANSLATE(A2552,""en"",""fi"")"),"EXEGGUTOR on alun perin peräisin tropiikista. Sen päät kasvavat tasaisesti suuremmiksi altistuessaan voimakkaalle auringonvalolle. Sanotaan, että kun päät putoavat irti, ne ryhmittyvät muodostaen EXEGGCUTE-lajin.")</f>
        <v>EXEGGUTOR on alun perin peräisin tropiikista. Sen päät kasvavat tasaisesti suuremmiksi altistuessaan voimakkaalle auringonvalolle. Sanotaan, että kun päät putoavat irti, ne ryhmittyvät muodostaen EXEGGCUTE-lajin.</v>
      </c>
      <c r="C2552" s="9" t="s">
        <v>1344</v>
      </c>
    </row>
    <row r="2553" ht="33.75" customHeight="1">
      <c r="A2553" s="6" t="s">
        <v>3802</v>
      </c>
      <c r="B2553" s="6" t="str">
        <f>IFERROR(__xludf.DUMMYFUNCTION("GOOGLETRANSLATE(A2553,""en"",""fi"")"),"Alun perin tropiikilta kotoisin olevien EXEGGUTOR-palojen päät kasvavat suuremmiksi altistuessaan voimakkaalle auringonvalolle. Sanotaan, että kun päät putoavat, ne ryhmittyvät muodostaen EXEGGCUTE-palojen.")</f>
        <v>Alun perin tropiikilta kotoisin olevien EXEGGUTOR-palojen päät kasvavat suuremmiksi altistuessaan voimakkaalle auringonvalolle. Sanotaan, että kun päät putoavat, ne ryhmittyvät muodostaen EXEGGCUTE-palojen.</v>
      </c>
      <c r="C2553" s="9" t="s">
        <v>1344</v>
      </c>
    </row>
    <row r="2554" ht="33.75" customHeight="1">
      <c r="A2554" s="6" t="s">
        <v>3804</v>
      </c>
      <c r="B2554" s="6" t="str">
        <f>IFERROR(__xludf.DUMMYFUNCTION("GOOGLETRANSLATE(A2554,""en"",""fi"")"),"Sitä kutsutaan ”Käveleväksi trooppiseksi sademetsäksi”. Jokaisella pähkinällä on omat kasvot ja tahtonsa.")</f>
        <v>Sitä kutsutaan ”Käveleväksi trooppiseksi sademetsäksi”. Jokaisella pähkinällä on omat kasvot ja tahtonsa.</v>
      </c>
      <c r="C2554" s="9" t="s">
        <v>1344</v>
      </c>
    </row>
    <row r="2555" ht="33.75" customHeight="1">
      <c r="A2555" s="6" t="s">
        <v>3805</v>
      </c>
      <c r="B2555" s="6" t="str">
        <f>IFERROR(__xludf.DUMMYFUNCTION("GOOGLETRANSLATE(A2555,""en"",""fi"")"),"Sanotaan, että harvinaisissa tapauksissa yksi sen päistä putoaa irti ja jatkaa matkaansa TOSISEGGCUTE-hahmossa.")</f>
        <v>Sanotaan, että harvinaisissa tapauksissa yksi sen päistä putoaa irti ja jatkaa matkaansa TOSISEGGCUTE-hahmossa.</v>
      </c>
      <c r="C2555" s="9" t="s">
        <v>1344</v>
      </c>
    </row>
    <row r="2556" ht="33.75" customHeight="1">
      <c r="A2556" s="6" t="s">
        <v>3807</v>
      </c>
      <c r="B2556" s="6" t="str">
        <f>IFERROR(__xludf.DUMMYFUNCTION("GOOGLETRANSLATE(A2556,""en"",""fi"")"),"Sitä kutsutaan ”Käveleväksi viidakoksi”. Jos pää kasvaa liian suureksi, se putoaa ja siitä tulee TOSISUMUNA.")</f>
        <v>Sitä kutsutaan ”Käveleväksi viidakoksi”. Jos pää kasvaa liian suureksi, se putoaa ja siitä tulee TOSISUMUNA.</v>
      </c>
      <c r="C2556" s="9" t="s">
        <v>1344</v>
      </c>
    </row>
    <row r="2557" ht="33.75" customHeight="1">
      <c r="A2557" s="6" t="s">
        <v>3809</v>
      </c>
      <c r="B2557" s="6" t="str">
        <f>IFERROR(__xludf.DUMMYFUNCTION("GOOGLETRANSLATE(A2557,""en"",""fi"")"),"Sen kolme päätä ajattelevat itsenäisesti. Ne ovat kuitenkin ystävällisiä eivätkä koskaan näytä riitelevän.")</f>
        <v>Sen kolme päätä ajattelevat itsenäisesti. Ne ovat kuitenkin ystävällisiä eivätkä koskaan näytä riitelevän.</v>
      </c>
      <c r="C2557" s="9" t="s">
        <v>1344</v>
      </c>
    </row>
    <row r="2558" ht="33.75" customHeight="1">
      <c r="A2558" s="6" t="s">
        <v>3811</v>
      </c>
      <c r="B2558" s="6" t="str">
        <f>IFERROR(__xludf.DUMMYFUNCTION("GOOGLETRANSLATE(A2558,""en"",""fi"")"),"Sitä kutsutaan nimellä ”Kävelevä viidakko”. Jos pää kasvaa liian suureksi, se putoaa ja siitä tulee Exeggcute.")</f>
        <v>Sitä kutsutaan nimellä ”Kävelevä viidakko”. Jos pää kasvaa liian suureksi, se putoaa ja siitä tulee Exeggcute.</v>
      </c>
      <c r="C2558" s="9" t="s">
        <v>1344</v>
      </c>
    </row>
    <row r="2559" ht="33.75" customHeight="1">
      <c r="A2559" s="6" t="s">
        <v>3812</v>
      </c>
      <c r="B2559" s="6" t="str">
        <f>IFERROR(__xludf.DUMMYFUNCTION("GOOGLETRANSLATE(A2559,""en"",""fi"")"),"Exeggutor on alun perin kotoisin tropiikista. Sen päät kasvavat tasaisesti suuremmiksi altistuessaan voimakkaalle auringonvalolle. Sanotaan, että kun päät putoavat irti, ne ryhmittyvät muodostaen Exeggcute-lajin.")</f>
        <v>Exeggutor on alun perin kotoisin tropiikista. Sen päät kasvavat tasaisesti suuremmiksi altistuessaan voimakkaalle auringonvalolle. Sanotaan, että kun päät putoavat irti, ne ryhmittyvät muodostaen Exeggcute-lajin.</v>
      </c>
      <c r="C2559" s="9" t="s">
        <v>1344</v>
      </c>
    </row>
    <row r="2560" ht="33.75" customHeight="1">
      <c r="A2560" s="6" t="s">
        <v>3814</v>
      </c>
      <c r="B2560" s="6" t="str">
        <f>IFERROR(__xludf.DUMMYFUNCTION("GOOGLETRANSLATE(A2560,""en"",""fi"")"),"Jokaisella sen päällä on oma tahtonsa. Ne käyttävät telepatiaa keskustellakseen suunnitelmistaan ​​ennen yhteisen päätöksen tekemistä.")</f>
        <v>Jokaisella sen päällä on oma tahtonsa. Ne käyttävät telepatiaa keskustellakseen suunnitelmistaan ​​ennen yhteisen päätöksen tekemistä.</v>
      </c>
      <c r="C2560" s="9" t="s">
        <v>1344</v>
      </c>
    </row>
    <row r="2561" ht="33.75" customHeight="1">
      <c r="A2561" s="6" t="s">
        <v>3815</v>
      </c>
      <c r="B2561" s="6" t="str">
        <f>IFERROR(__xludf.DUMMYFUNCTION("GOOGLETRANSLATE(A2561,""en"",""fi"")"),"Kun aika koittaa, yksi sen kolmesta päästä putoaa pois. Pian pudonneesta päästä kasvaa Exeggcute.")</f>
        <v>Kun aika koittaa, yksi sen kolmesta päästä putoaa pois. Pian pudonneesta päästä kasvaa Exeggcute.</v>
      </c>
      <c r="C2561" s="9" t="s">
        <v>1344</v>
      </c>
    </row>
    <row r="2562" ht="33.75" customHeight="1">
      <c r="A2562" s="6" t="s">
        <v>3817</v>
      </c>
      <c r="B2562" s="6" t="str">
        <f>IFERROR(__xludf.DUMMYFUNCTION("GOOGLETRANSLATE(A2562,""en"",""fi"")"),"Se kohtaa vihollisensa psyykkisillä voimilla. Jokainen sen kolmesta päästä ampuu psykokineettistä energiaa, kolminkertaistaen sen voiman.")</f>
        <v>Se kohtaa vihollisensa psyykkisillä voimilla. Jokainen sen kolmesta päästä ampuu psykokineettistä energiaa, kolminkertaistaen sen voiman.</v>
      </c>
      <c r="C2562" s="9" t="s">
        <v>1344</v>
      </c>
    </row>
    <row r="2563" ht="33.75" customHeight="1">
      <c r="A2563" s="6" t="s">
        <v>3819</v>
      </c>
      <c r="B2563" s="6" t="str">
        <f>IFERROR(__xludf.DUMMYFUNCTION("GOOGLETRANSLATE(A2563,""en"",""fi"")"),"Jokaisella sen kolmella päällä on omat ajatuksensa. Kun ne haluavat mennä eri suuntiin, Exeggutor ei pysty liikkumaan.")</f>
        <v>Jokaisella sen kolmella päällä on omat ajatuksensa. Kun ne haluavat mennä eri suuntiin, Exeggutor ei pysty liikkumaan.</v>
      </c>
      <c r="C2563" s="9" t="s">
        <v>1344</v>
      </c>
    </row>
    <row r="2564" ht="33.75" customHeight="1">
      <c r="A2564" s="6" t="s">
        <v>3820</v>
      </c>
      <c r="B2564" s="6" t="str">
        <f>IFERROR(__xludf.DUMMYFUNCTION("GOOGLETRANSLATE(A2564,""en"",""fi"")"),"Sen huuto on hyvin äänekästä. Tämä johtuu siitä, että jokainen kolmesta päästä ajattelee mitä haluaa.")</f>
        <v>Sen huuto on hyvin äänekästä. Tämä johtuu siitä, että jokainen kolmesta päästä ajattelee mitä haluaa.</v>
      </c>
      <c r="C2564" s="9" t="s">
        <v>1344</v>
      </c>
    </row>
    <row r="2565" ht="33.75" customHeight="1">
      <c r="A2565" s="6" t="s">
        <v>3822</v>
      </c>
      <c r="B2565" s="6" t="str">
        <f>IFERROR(__xludf.DUMMYFUNCTION("GOOGLETRANSLATE(A2565,""en"",""fi"")"),"Jokainen Exeggutorin kolmesta päästä ajattelee eri ajatuksia. Kolmikko ei näytä olevan kovin kiinnostunut toisistaan.")</f>
        <v>Jokainen Exeggutorin kolmesta päästä ajattelee eri ajatuksia. Kolmikko ei näytä olevan kovin kiinnostunut toisistaan.</v>
      </c>
      <c r="C2565" s="9" t="s">
        <v>1344</v>
      </c>
    </row>
    <row r="2566" ht="33.75" customHeight="1">
      <c r="A2566" s="6" t="s">
        <v>3824</v>
      </c>
      <c r="B2566" s="6" t="str">
        <f>IFERROR(__xludf.DUMMYFUNCTION("GOOGLETRANSLATE(A2566,""en"",""fi"")"),"Yhdessä Exeggutorin kolme päätä voivat lähettää voimakasta psyykkistä energiaa. Pilvinen päivä tekee tästä Pokémonista hitaan.")</f>
        <v>Yhdessä Exeggutorin kolme päätä voivat lähettää voimakasta psyykkistä energiaa. Pilvinen päivä tekee tästä Pokémonista hitaan.</v>
      </c>
      <c r="C2566" s="9" t="s">
        <v>1344</v>
      </c>
    </row>
    <row r="2567" ht="33.75" customHeight="1">
      <c r="A2567" s="6" t="s">
        <v>3826</v>
      </c>
      <c r="B2567" s="6" t="str">
        <f>IFERROR(__xludf.DUMMYFUNCTION("GOOGLETRANSLATE(A2567,""en"",""fi"")"),"Koska se ei koskaan poista kallokypäräänsä, kukaan ei ole koskaan nähnyt tämän POKéMONin todellista kasvoa.")</f>
        <v>Koska se ei koskaan poista kallokypäräänsä, kukaan ei ole koskaan nähnyt tämän POKéMONin todellista kasvoa.</v>
      </c>
      <c r="C2567" s="9" t="s">
        <v>1344</v>
      </c>
    </row>
    <row r="2568" ht="33.75" customHeight="1">
      <c r="A2568" s="6" t="s">
        <v>3828</v>
      </c>
      <c r="B2568" s="6" t="str">
        <f>IFERROR(__xludf.DUMMYFUNCTION("GOOGLETRANSLATE(A2568,""en"",""fi"")"),"Kantaa kuolleen äitinsä kalloa. Sen huudot kaikuvat kallon sisällä ja tulevat ulos surullisena melodiana.")</f>
        <v>Kantaa kuolleen äitinsä kalloa. Sen huudot kaikuvat kallon sisällä ja tulevat ulos surullisena melodiana.</v>
      </c>
      <c r="C2568" s="9" t="s">
        <v>1344</v>
      </c>
    </row>
    <row r="2569" ht="33.75" customHeight="1">
      <c r="A2569" s="6" t="s">
        <v>3829</v>
      </c>
      <c r="B2569" s="6" t="str">
        <f>IFERROR(__xludf.DUMMYFUNCTION("GOOGLETRANSLATE(A2569,""en"",""fi"")"),"Jos se on surullinen tai yksinäinen, sen kantama kallo vapisee ja päästää yksinkertaisen ja murheellisen äänen.")</f>
        <v>Jos se on surullinen tai yksinäinen, sen kantama kallo vapisee ja päästää yksinkertaisen ja murheellisen äänen.</v>
      </c>
      <c r="C2569" s="9" t="s">
        <v>1344</v>
      </c>
    </row>
    <row r="2570" ht="33.75" customHeight="1">
      <c r="A2570" s="6" t="s">
        <v>3831</v>
      </c>
      <c r="B2570" s="6" t="str">
        <f>IFERROR(__xludf.DUMMYFUNCTION("GOOGLETRANSLATE(A2570,""en"",""fi"")"),"Se kantaa aina kuolleen äitinsä kalloa, joten kenelläkään ei ole aavistustakaan, miltä sen piilossa oleva naama näyttää.")</f>
        <v>Se kantaa aina kuolleen äitinsä kalloa, joten kenelläkään ei ole aavistustakaan, miltä sen piilossa oleva naama näyttää.</v>
      </c>
      <c r="C2570" s="9" t="s">
        <v>1344</v>
      </c>
    </row>
    <row r="2571" ht="33.75" customHeight="1">
      <c r="A2571" s="6" t="s">
        <v>3833</v>
      </c>
      <c r="B2571" s="6" t="str">
        <f>IFERROR(__xludf.DUMMYFUNCTION("GOOGLETRANSLATE(A2571,""en"",""fi"")"),"Se menetti emonsa syntymänsä jälkeen. Se kantaa emonsa kalloa paljastamatta koskaan todellista kasvojaan.")</f>
        <v>Se menetti emonsa syntymänsä jälkeen. Se kantaa emonsa kalloa paljastamatta koskaan todellista kasvojaan.</v>
      </c>
      <c r="C2571" s="9" t="s">
        <v>1344</v>
      </c>
    </row>
    <row r="2572" ht="33.75" customHeight="1">
      <c r="A2572" s="6" t="s">
        <v>3834</v>
      </c>
      <c r="B2572" s="6" t="str">
        <f>IFERROR(__xludf.DUMMYFUNCTION("GOOGLETRANSLATE(A2572,""en"",""fi"")"),"CUBONE kaipaa äitiä, jota se ei koskaan enää näe. Nähdessään äitinsä kuvan täysikuun aikaan se itkee. POKéMONin kallossa olevat tahrat ovat syntyneet sen vuodattamista kyynelistä.")</f>
        <v>CUBONE kaipaa äitiä, jota se ei koskaan enää näe. Nähdessään äitinsä kuvan täysikuun aikaan se itkee. POKéMONin kallossa olevat tahrat ovat syntyneet sen vuodattamista kyynelistä.</v>
      </c>
      <c r="C2572" s="9" t="s">
        <v>1344</v>
      </c>
    </row>
    <row r="2573" ht="33.75" customHeight="1">
      <c r="A2573" s="6" t="s">
        <v>3835</v>
      </c>
      <c r="B2573" s="6" t="str">
        <f>IFERROR(__xludf.DUMMYFUNCTION("GOOGLETRANSLATE(A2573,""en"",""fi"")"),"Se kaipaa äitiä, jota se ei enää koskaan näe. Nähdessään äitinsä kuvan täysikuun aikaan se itkee. Tahrat sen pääkallossa ovat peräisin sen kyynelistä.")</f>
        <v>Se kaipaa äitiä, jota se ei enää koskaan näe. Nähdessään äitinsä kuvan täysikuun aikaan se itkee. Tahrat sen pääkallossa ovat peräisin sen kyynelistä.</v>
      </c>
      <c r="C2573" s="9" t="s">
        <v>1344</v>
      </c>
    </row>
    <row r="2574" ht="33.75" customHeight="1">
      <c r="A2574" s="6" t="s">
        <v>3837</v>
      </c>
      <c r="B2574" s="6" t="str">
        <f>IFERROR(__xludf.DUMMYFUNCTION("GOOGLETRANSLATE(A2574,""en"",""fi"")"),"Se kantaa kuolleen äitinsä kalloa päässään. Kun se tulee yksinäiseksi, sen sanotaan itkevän äänekkäästi.")</f>
        <v>Se kantaa kuolleen äitinsä kalloa päässään. Kun se tulee yksinäiseksi, sen sanotaan itkevän äänekkäästi.</v>
      </c>
      <c r="C2574" s="9" t="s">
        <v>1344</v>
      </c>
    </row>
    <row r="2575" ht="33.75" customHeight="1">
      <c r="A2575" s="6" t="s">
        <v>3838</v>
      </c>
      <c r="B2575" s="6" t="str">
        <f>IFERROR(__xludf.DUMMYFUNCTION("GOOGLETRANSLATE(A2575,""en"",""fi"")"),"Koska se ei koskaan poista kallokypäräänsä, kukaan ei ole koskaan nähnyt tämän POKéMONin todellista kasvoa.")</f>
        <v>Koska se ei koskaan poista kallokypäräänsä, kukaan ei ole koskaan nähnyt tämän POKéMONin todellista kasvoa.</v>
      </c>
      <c r="C2575" s="9" t="s">
        <v>1344</v>
      </c>
    </row>
    <row r="2576" ht="33.75" customHeight="1">
      <c r="A2576" s="6" t="s">
        <v>3839</v>
      </c>
      <c r="B2576" s="6" t="str">
        <f>IFERROR(__xludf.DUMMYFUNCTION("GOOGLETRANSLATE(A2576,""en"",""fi"")"),"Kun se ajattelee kuollutta äitiään, se itkee. Sen itku saa sen kantaman kallon helisemään ontoksi.")</f>
        <v>Kun se ajattelee kuollutta äitiään, se itkee. Sen itku saa sen kantaman kallon helisemään ontoksi.</v>
      </c>
      <c r="C2576" s="9" t="s">
        <v>1344</v>
      </c>
    </row>
    <row r="2577" ht="33.75" customHeight="1">
      <c r="A2577" s="6" t="s">
        <v>3840</v>
      </c>
      <c r="B2577" s="6" t="str">
        <f>IFERROR(__xludf.DUMMYFUNCTION("GOOGLETRANSLATE(A2577,""en"",""fi"")"),"Jos se on surullinen tai yksinäinen, sen kantama kallo tärisee ja päästää valittavan ja murheellisen äänen.")</f>
        <v>Jos se on surullinen tai yksinäinen, sen kantama kallo tärisee ja päästää valittavan ja murheellisen äänen.</v>
      </c>
      <c r="C2577" s="9" t="s">
        <v>1344</v>
      </c>
    </row>
    <row r="2578" ht="33.75" customHeight="1">
      <c r="A2578" s="6" t="s">
        <v>3841</v>
      </c>
      <c r="B2578" s="6" t="str">
        <f>IFERROR(__xludf.DUMMYFUNCTION("GOOGLETRANSLATE(A2578,""en"",""fi"")"),"Cubone kaipaa äitiä, jota se ei enää koskaan näe. Nähdessään äitinsä kuvan täysikuun aikaan se itkee. Pokémonin kallossa olevat tahrat ovat syntyneet sen vuodattamista kyynelistä.")</f>
        <v>Cubone kaipaa äitiä, jota se ei enää koskaan näe. Nähdessään äitinsä kuvan täysikuun aikaan se itkee. Pokémonin kallossa olevat tahrat ovat syntyneet sen vuodattamista kyynelistä.</v>
      </c>
      <c r="C2578" s="9" t="s">
        <v>1344</v>
      </c>
    </row>
    <row r="2579" ht="33.75" customHeight="1">
      <c r="A2579" s="6" t="s">
        <v>3842</v>
      </c>
      <c r="B2579" s="6" t="str">
        <f>IFERROR(__xludf.DUMMYFUNCTION("GOOGLETRANSLATE(A2579,""en"",""fi"")"),"Kun se ajattelee kuollutta äitiään, se itkee äänekkäästi. Mandibuzzit, jotka kuulevat sen itkun, hyökkäävät sen kimppuun ilmasta.")</f>
        <v>Kun se ajattelee kuollutta äitiään, se itkee äänekkäästi. Mandibuzzit, jotka kuulevat sen itkun, hyökkäävät sen kimppuun ilmasta.</v>
      </c>
      <c r="C2579" s="9" t="s">
        <v>1344</v>
      </c>
    </row>
    <row r="2580" ht="33.75" customHeight="1">
      <c r="A2580" s="6" t="s">
        <v>3843</v>
      </c>
      <c r="B2580" s="6" t="str">
        <f>IFERROR(__xludf.DUMMYFUNCTION("GOOGLETRANSLATE(A2580,""en"",""fi"")"),"Päässään oleva kallo on sen kuolleen äitin ​​kallo. Joidenkin mukaan se kehittyy, kun se käsittelee äitinsä kuoleman aiheuttamaa tuskaa.")</f>
        <v>Päässään oleva kallo on sen kuolleen äitin ​​kallo. Joidenkin mukaan se kehittyy, kun se käsittelee äitinsä kuoleman aiheuttamaa tuskaa.</v>
      </c>
      <c r="C2580" s="9" t="s">
        <v>1344</v>
      </c>
    </row>
    <row r="2581" ht="33.75" customHeight="1">
      <c r="A2581" s="6" t="s">
        <v>3845</v>
      </c>
      <c r="B2581" s="6" t="str">
        <f>IFERROR(__xludf.DUMMYFUNCTION("GOOGLETRANSLATE(A2581,""en"",""fi"")"),"Yöllä se itkee äänekkäästi kuollutta emoaan, mutta nuo huudot houkuttelevat vain sen luonnollisen vihollisen – Mandibuzzin.")</f>
        <v>Yöllä se itkee äänekkäästi kuollutta emoaan, mutta nuo huudot houkuttelevat vain sen luonnollisen vihollisen – Mandibuzzin.</v>
      </c>
      <c r="C2581" s="9" t="s">
        <v>1344</v>
      </c>
    </row>
    <row r="2582" ht="33.75" customHeight="1">
      <c r="A2582" s="6" t="s">
        <v>3846</v>
      </c>
      <c r="B2582" s="6" t="str">
        <f>IFERROR(__xludf.DUMMYFUNCTION("GOOGLETRANSLATE(A2582,""en"",""fi"")"),"Se kantaa emonsa kalloa päässään, joten kukaan ei tiedä, miltä sen paljas naama näyttää. On kuitenkin selvää, että se itkee aina.")</f>
        <v>Se kantaa emonsa kalloa päässään, joten kukaan ei tiedä, miltä sen paljas naama näyttää. On kuitenkin selvää, että se itkee aina.</v>
      </c>
      <c r="C2582" s="9" t="s">
        <v>1344</v>
      </c>
    </row>
    <row r="2583" ht="33.75" customHeight="1">
      <c r="A2583" s="6" t="s">
        <v>3848</v>
      </c>
      <c r="B2583" s="6" t="str">
        <f>IFERROR(__xludf.DUMMYFUNCTION("GOOGLETRANSLATE(A2583,""en"",""fi"")"),"Kun sen poismenneen äidin muisto tuo sen kyyneliin, sen huuto kaikuu surullisesti pääkallossa, jota se pitää päässään.")</f>
        <v>Kun sen poismenneen äidin muisto tuo sen kyyneliin, sen huuto kaikuu surullisesti pääkallossa, jota se pitää päässään.</v>
      </c>
      <c r="C2583" s="9" t="s">
        <v>1344</v>
      </c>
    </row>
    <row r="2584" ht="33.75" customHeight="1">
      <c r="A2584" s="6" t="s">
        <v>3850</v>
      </c>
      <c r="B2584" s="6" t="str">
        <f>IFERROR(__xludf.DUMMYFUNCTION("GOOGLETRANSLATE(A2584,""en"",""fi"")"),"Tämä Pokémon kantaa kuolleen äitinsä kalloa. Joskus Cubonen unet saavat sen itkemään, mutta jokainen Cubonen vuodattama kyynel vahvistaa sitä.")</f>
        <v>Tämä Pokémon kantaa kuolleen äitinsä kalloa. Joskus Cubonen unet saavat sen itkemään, mutta jokainen Cubonen vuodattama kyynel vahvistaa sitä.</v>
      </c>
      <c r="C2584" s="9" t="s">
        <v>1344</v>
      </c>
    </row>
    <row r="2585" ht="33.75" customHeight="1">
      <c r="A2585" s="6" t="s">
        <v>3851</v>
      </c>
      <c r="B2585" s="6" t="str">
        <f>IFERROR(__xludf.DUMMYFUNCTION("GOOGLETRANSLATE(A2585,""en"",""fi"")"),"Sen tärkein ase on luu, jota se pitää sisällään. Se heittää luun taitavasti kuin bumerangin tyrmättyihin kohteisiin.")</f>
        <v>Sen tärkein ase on luu, jota se pitää sisällään. Se heittää luun taitavasti kuin bumerangin tyrmättyihin kohteisiin.</v>
      </c>
      <c r="C2585" s="9" t="s">
        <v>1344</v>
      </c>
    </row>
    <row r="2586" ht="33.75" customHeight="1">
      <c r="A2586" s="6" t="s">
        <v>3853</v>
      </c>
      <c r="B2586" s="6" t="str">
        <f>IFERROR(__xludf.DUMMYFUNCTION("GOOGLETRANSLATE(A2586,""en"",""fi"")"),"Pieni ja heikko POKéMON on taitava luupamppunsa kanssa. Se on aikojen saatossa muuttunut entistä ilkeämmäksi.")</f>
        <v>Pieni ja heikko POKéMON on taitava luupamppunsa kanssa. Se on aikojen saatossa muuttunut entistä ilkeämmäksi.</v>
      </c>
      <c r="C2586" s="9" t="s">
        <v>1344</v>
      </c>
    </row>
    <row r="2587" ht="33.75" customHeight="1">
      <c r="A2587" s="6" t="s">
        <v>3855</v>
      </c>
      <c r="B2587" s="6" t="str">
        <f>IFERROR(__xludf.DUMMYFUNCTION("GOOGLETRANSLATE(A2587,""en"",""fi"")"),"Sen on nähty hakkaavan lohkareita kantamallaan luulla voidakseen lähettää viestejä muille.")</f>
        <v>Sen on nähty hakkaavan lohkareita kantamallaan luulla voidakseen lähettää viestejä muille.</v>
      </c>
      <c r="C2587" s="9" t="s">
        <v>1344</v>
      </c>
    </row>
    <row r="2588" ht="33.75" customHeight="1">
      <c r="A2588" s="6" t="s">
        <v>3857</v>
      </c>
      <c r="B2588" s="6" t="str">
        <f>IFERROR(__xludf.DUMMYFUNCTION("GOOGLETRANSLATE(A2588,""en"",""fi"")"),"Se kerää luita tuntemattomasta paikasta. Huhujen mukaan jossain päin maailmaa on olemassa MAROWAK-hautausmaa.")</f>
        <v>Se kerää luita tuntemattomasta paikasta. Huhujen mukaan jossain päin maailmaa on olemassa MAROWAK-hautausmaa.</v>
      </c>
      <c r="C2588" s="9" t="s">
        <v>1344</v>
      </c>
    </row>
    <row r="2589" ht="33.75" customHeight="1">
      <c r="A2589" s="6" t="s">
        <v>3858</v>
      </c>
      <c r="B2589" s="6" t="str">
        <f>IFERROR(__xludf.DUMMYFUNCTION("GOOGLETRANSLATE(A2589,""en"",""fi"")"),"Jossain päin maailmaa on hautausmaa vain MAROWAKILLE. Se saa luunsa noista haudoista.")</f>
        <v>Jossain päin maailmaa on hautausmaa vain MAROWAKILLE. Se saa luunsa noista haudoista.</v>
      </c>
      <c r="C2589" s="9" t="s">
        <v>1344</v>
      </c>
    </row>
    <row r="2590" ht="33.75" customHeight="1">
      <c r="A2590" s="6" t="s">
        <v>3859</v>
      </c>
      <c r="B2590" s="6" t="str">
        <f>IFERROR(__xludf.DUMMYFUNCTION("GOOGLETRANSLATE(A2590,""en"",""fi"")"),"MAROWAK on CUBONEn kehittynyt muoto, joka on voittanut surunsa äitinsä menetyksestä ja kasvanut kovaksi. Tämän POKéMONin karaistunut ja kovettunut mieli ei murru helposti.")</f>
        <v>MAROWAK on CUBONEn kehittynyt muoto, joka on voittanut surunsa äitinsä menetyksestä ja kasvanut kovaksi. Tämän POKéMONin karaistunut ja kovettunut mieli ei murru helposti.</v>
      </c>
      <c r="C2590" s="9" t="s">
        <v>1344</v>
      </c>
    </row>
    <row r="2591" ht="33.75" customHeight="1">
      <c r="A2591" s="6" t="s">
        <v>3860</v>
      </c>
      <c r="B2591" s="6" t="str">
        <f>IFERROR(__xludf.DUMMYFUNCTION("GOOGLETRANSLATE(A2591,""en"",""fi"")"),"MAROWAK on CUBONEn kehittynyt muoto, joka on kasvanut kovaksi voitettuaan äitinsä menettämisen surun. Sen karaistunut ja kovettunut mieli ei murru helposti.")</f>
        <v>MAROWAK on CUBONEn kehittynyt muoto, joka on kasvanut kovaksi voitettuaan äitinsä menettämisen surun. Sen karaistunut ja kovettunut mieli ei murru helposti.</v>
      </c>
      <c r="C2591" s="9" t="s">
        <v>1344</v>
      </c>
    </row>
    <row r="2592" ht="33.75" customHeight="1">
      <c r="A2592" s="6" t="s">
        <v>3862</v>
      </c>
      <c r="B2592" s="6" t="str">
        <f>IFERROR(__xludf.DUMMYFUNCTION("GOOGLETRANSLATE(A2592,""en"",""fi"")"),"Se on pieni ja alun perin hyvin heikko. Sen luonne muuttui raivokkaaksi, kun se alkoi käyttää luita.")</f>
        <v>Se on pieni ja alun perin hyvin heikko. Sen luonne muuttui raivokkaaksi, kun se alkoi käyttää luita.</v>
      </c>
      <c r="C2592" s="9" t="s">
        <v>1344</v>
      </c>
    </row>
    <row r="2593" ht="33.75" customHeight="1">
      <c r="A2593" s="6" t="s">
        <v>3863</v>
      </c>
      <c r="B2593" s="6" t="str">
        <f>IFERROR(__xludf.DUMMYFUNCTION("GOOGLETRANSLATE(A2593,""en"",""fi"")"),"Syntymästään lähtien tämä villi Pokémon pitää jatkuvasti luita hallussaan. Se on taitava käyttämään niitä aseina.")</f>
        <v>Syntymästään lähtien tämä villi Pokémon pitää jatkuvasti luita hallussaan. Se on taitava käyttämään niitä aseina.</v>
      </c>
      <c r="C2593" s="9" t="s">
        <v>1344</v>
      </c>
    </row>
    <row r="2594" ht="33.75" customHeight="1">
      <c r="A2594" s="6" t="s">
        <v>3865</v>
      </c>
      <c r="B2594" s="6" t="str">
        <f>IFERROR(__xludf.DUMMYFUNCTION("GOOGLETRANSLATE(A2594,""en"",""fi"")"),"Sen on nähty hakkaavan lohkareita kantamallaan luulla voidakseen lähettää viestejä muille.")</f>
        <v>Sen on nähty hakkaavan lohkareita kantamallaan luulla voidakseen lähettää viestejä muille.</v>
      </c>
      <c r="C2594" s="9" t="s">
        <v>1344</v>
      </c>
    </row>
    <row r="2595" ht="33.75" customHeight="1">
      <c r="A2595" s="6" t="s">
        <v>3867</v>
      </c>
      <c r="B2595" s="6" t="str">
        <f>IFERROR(__xludf.DUMMYFUNCTION("GOOGLETRANSLATE(A2595,""en"",""fi"")"),"Se kerää luita tuntemattomasta paikasta. Jotkut kuiskaavat, että jossain päin maailmaa on olemassa MAROWAK-hautausmaa.")</f>
        <v>Se kerää luita tuntemattomasta paikasta. Jotkut kuiskaavat, että jossain päin maailmaa on olemassa MAROWAK-hautausmaa.</v>
      </c>
      <c r="C2595" s="9" t="s">
        <v>1344</v>
      </c>
    </row>
    <row r="2596" ht="33.75" customHeight="1">
      <c r="A2596" s="6" t="s">
        <v>3870</v>
      </c>
      <c r="B2596" s="6" t="str">
        <f>IFERROR(__xludf.DUMMYFUNCTION("GOOGLETRANSLATE(A2596,""en"",""fi"")"),"Marowak on Cubonen kehittynyt muoto, joka on voittanut surunsa äitinsä menetyksestä ja kasvanut kovaksi. Tämän Pokémonin karaistunut ja kovettunut mieli ei murru helposti.")</f>
        <v>Marowak on Cubonen kehittynyt muoto, joka on voittanut surunsa äitinsä menetyksestä ja kasvanut kovaksi. Tämän Pokémonin karaistunut ja kovettunut mieli ei murru helposti.</v>
      </c>
      <c r="C2596" s="9" t="s">
        <v>1344</v>
      </c>
    </row>
    <row r="2597" ht="33.75" customHeight="1">
      <c r="A2597" s="6" t="s">
        <v>3872</v>
      </c>
      <c r="B2597" s="6" t="str">
        <f>IFERROR(__xludf.DUMMYFUNCTION("GOOGLETRANSLATE(A2597,""en"",""fi"")"),"Alun perin se oli heikko ja arka. Evoluution jälkeen sen luonteesta tulee väkivaltainen, ja se alkaa käyttää luita aseina.")</f>
        <v>Alun perin se oli heikko ja arka. Evoluution jälkeen sen luonteesta tulee väkivaltainen, ja se alkaa käyttää luita aseina.</v>
      </c>
      <c r="C2597" s="9" t="s">
        <v>1344</v>
      </c>
    </row>
    <row r="2598" ht="33.75" customHeight="1">
      <c r="A2598" s="6" t="s">
        <v>3873</v>
      </c>
      <c r="B2598" s="6" t="str">
        <f>IFERROR(__xludf.DUMMYFUNCTION("GOOGLETRANSLATE(A2598,""en"",""fi"")"),"Tämä Pokémon janoaa kostoa luonnolliselle viholliselleen, Mandibuzzille. Se heittelee luita kuin bumerangeja yrittäessään kaataa sen.")</f>
        <v>Tämä Pokémon janoaa kostoa luonnolliselle viholliselleen, Mandibuzzille. Se heittelee luita kuin bumerangeja yrittäessään kaataa sen.</v>
      </c>
      <c r="C2598" s="9" t="s">
        <v>1344</v>
      </c>
    </row>
    <row r="2599" ht="33.75" customHeight="1">
      <c r="A2599" s="6" t="s">
        <v>3875</v>
      </c>
      <c r="B2599" s="6" t="str">
        <f>IFERROR(__xludf.DUMMYFUNCTION("GOOGLETRANSLATE(A2599,""en"",""fi"")"),"Se heittelee luita Mandibuzzia kohti kaataakseen sen. Marowakin uskotaan yrittävän kostaa vanhempansa puolesta.")</f>
        <v>Se heittelee luita Mandibuzzia kohti kaataakseen sen. Marowakin uskotaan yrittävän kostaa vanhempansa puolesta.</v>
      </c>
      <c r="C2599" s="9" t="s">
        <v>1344</v>
      </c>
    </row>
    <row r="2600" ht="33.75" customHeight="1">
      <c r="A2600" s="6" t="s">
        <v>3877</v>
      </c>
      <c r="B2600" s="6" t="str">
        <f>IFERROR(__xludf.DUMMYFUNCTION("GOOGLETRANSLATE(A2600,""en"",""fi"")"),"Ne jyskyttävät luitaan rytmisesti kommunikoidakseen keskenään. On lähes 50 erilaista rytmistä kuviota.")</f>
        <v>Ne jyskyttävät luitaan rytmisesti kommunikoidakseen keskenään. On lähes 50 erilaista rytmistä kuviota.</v>
      </c>
      <c r="C2600" s="9" t="s">
        <v>1344</v>
      </c>
    </row>
    <row r="2601" ht="33.75" customHeight="1">
      <c r="A2601" s="6" t="s">
        <v>3878</v>
      </c>
      <c r="B2601" s="6" t="str">
        <f>IFERROR(__xludf.DUMMYFUNCTION("GOOGLETRANSLATE(A2601,""en"",""fi"")"),"Pieni ja heikko Pokémon on taitava luunuijansa kanssa. Se on muuttunut aikojen saatossa entistä ilkeämmäksi.")</f>
        <v>Pieni ja heikko Pokémon on taitava luunuijansa kanssa. Se on muuttunut aikojen saatossa entistä ilkeämmäksi.</v>
      </c>
      <c r="C2601" s="9" t="s">
        <v>1344</v>
      </c>
    </row>
    <row r="2602" ht="33.75" customHeight="1">
      <c r="A2602" s="6" t="s">
        <v>3880</v>
      </c>
      <c r="B2602" s="6" t="str">
        <f>IFERROR(__xludf.DUMMYFUNCTION("GOOGLETRANSLATE(A2602,""en"",""fi"")"),"Tämä Pokémon voitti surunsa ja kehitti itselleen vankan uuden ruumiin. Marowak kohtaa vastustajansa rohkeasti käyttäen luuta aseena.")</f>
        <v>Tämä Pokémon voitti surunsa ja kehitti itselleen vankan uuden ruumiin. Marowak kohtaa vastustajansa rohkeasti käyttäen luuta aseena.</v>
      </c>
      <c r="C2602" s="9" t="s">
        <v>1344</v>
      </c>
    </row>
    <row r="2603" ht="33.75" customHeight="1">
      <c r="A2603" s="6" t="s">
        <v>3882</v>
      </c>
      <c r="B2603" s="6" t="str">
        <f>IFERROR(__xludf.DUMMYFUNCTION("GOOGLETRANSLATE(A2603,""en"",""fi"")"),"Kun tämä Pokémon kehittyi, sen emokallon kallo yhdistyi siihen. Myös Marowakin temperamentti muuttui samaan aikaan ilkeäksi.")</f>
        <v>Kun tämä Pokémon kehittyi, sen emokallon kallo yhdistyi siihen. Myös Marowakin temperamentti muuttui samaan aikaan ilkeäksi.</v>
      </c>
      <c r="C2603" s="9" t="s">
        <v>1344</v>
      </c>
    </row>
    <row r="2604" ht="33.75" customHeight="1">
      <c r="A2604" s="6" t="s">
        <v>3884</v>
      </c>
      <c r="B2604" s="6" t="str">
        <f>IFERROR(__xludf.DUMMYFUNCTION("GOOGLETRANSLATE(A2604,""en"",""fi"")"),"Kiireessä sen jalat pitenevät asteittain. Se juoksee sujuvasti erittäin pitkillä, loikkivilla askeleilla.")</f>
        <v>Kiireessä sen jalat pitenevät asteittain. Se juoksee sujuvasti erittäin pitkillä, loikkivilla askeleilla.</v>
      </c>
      <c r="C2604" s="9" t="s">
        <v>1344</v>
      </c>
    </row>
    <row r="2605" ht="33.75" customHeight="1">
      <c r="A2605" s="6" t="s">
        <v>3887</v>
      </c>
      <c r="B2605" s="6" t="str">
        <f>IFERROR(__xludf.DUMMYFUNCTION("GOOGLETRANSLATE(A2605,""en"",""fi"")"),"Potkiessaan sen jalkapohja kovaksi muuttuu osumassa kuin timantti ja tuhoaa vihollisensa.")</f>
        <v>Potkiessaan sen jalkapohja kovaksi muuttuu osumassa kuin timantti ja tuhoaa vihollisensa.</v>
      </c>
      <c r="C2605" s="9" t="s">
        <v>1344</v>
      </c>
    </row>
    <row r="2606" ht="33.75" customHeight="1">
      <c r="A2606" s="6" t="s">
        <v>3888</v>
      </c>
      <c r="B2606" s="6" t="str">
        <f>IFERROR(__xludf.DUMMYFUNCTION("GOOGLETRANSLATE(A2606,""en"",""fi"")"),"Tällä upealla POKé MONilla on mahtava tasapainotaju. Se voi potkaista peräkkäin mistä tahansa asennosta.")</f>
        <v>Tällä upealla POKé MONilla on mahtava tasapainotaju. Se voi potkaista peräkkäin mistä tahansa asennosta.</v>
      </c>
      <c r="C2606" s="9" t="s">
        <v>1344</v>
      </c>
    </row>
    <row r="2607" ht="33.75" customHeight="1">
      <c r="A2607" s="6" t="s">
        <v>3890</v>
      </c>
      <c r="B2607" s="6" t="str">
        <f>IFERROR(__xludf.DUMMYFUNCTION("GOOGLETRANSLATE(A2607,""en"",""fi"")"),"Jos se alkaa potkia toistuvasti, molemmat jalat ojentuvat vielä pidemmälle iskeäkseen pakenevaa vihollista.")</f>
        <v>Jos se alkaa potkia toistuvasti, molemmat jalat ojentuvat vielä pidemmälle iskeäkseen pakenevaa vihollista.</v>
      </c>
      <c r="C2607" s="9" t="s">
        <v>1344</v>
      </c>
    </row>
    <row r="2608" ht="33.75" customHeight="1">
      <c r="A2608" s="6" t="s">
        <v>3892</v>
      </c>
      <c r="B2608" s="6" t="str">
        <f>IFERROR(__xludf.DUMMYFUNCTION("GOOGLETRANSLATE(A2608,""en"",""fi"")"),"Sitä kutsutaan myös potkumestariksi. Se käyttää joustavia jalkojaan kaikkien tunnettujen potkujen suorittamiseen.")</f>
        <v>Sitä kutsutaan myös potkumestariksi. Se käyttää joustavia jalkojaan kaikkien tunnettujen potkujen suorittamiseen.</v>
      </c>
      <c r="C2608" s="9" t="s">
        <v>1344</v>
      </c>
    </row>
    <row r="2609" ht="33.75" customHeight="1">
      <c r="A2609" s="6" t="s">
        <v>3893</v>
      </c>
      <c r="B2609" s="6" t="str">
        <f>IFERROR(__xludf.DUMMYFUNCTION("GOOGLETRANSLATE(A2609,""en"",""fi"")"),"HITMONLEE:n jalat supistuvat ja venyvät vapaasti. Näillä jousimaisilla jaloilla se syöksyy vihollisten päälle tuhoisilla potkuilla. Taistelun jälkeen se hieroo jalkojaan ja rentouttaa lihaksiaan voittaakseen väsymyksen.")</f>
        <v>HITMONLEE:n jalat supistuvat ja venyvät vapaasti. Näillä jousimaisilla jaloilla se syöksyy vihollisten päälle tuhoisilla potkuilla. Taistelun jälkeen se hieroo jalkojaan ja rentouttaa lihaksiaan voittaakseen väsymyksen.</v>
      </c>
      <c r="C2609" s="9" t="s">
        <v>1344</v>
      </c>
    </row>
    <row r="2610" ht="33.75" customHeight="1">
      <c r="A2610" s="6" t="s">
        <v>3895</v>
      </c>
      <c r="B2610" s="6" t="str">
        <f>IFERROR(__xludf.DUMMYFUNCTION("GOOGLETRANSLATE(A2610,""en"",""fi"")"),"Sen jalat venyttelevät ja supistuvat vapaasti. Näitä jousimaisia ​​raajoja käyttäen se syöksyy vihollisten päälle tuhoisilla potkuilla. Taistelun jälkeen se hieroo väsyneitä jalkojaan.")</f>
        <v>Sen jalat venyttelevät ja supistuvat vapaasti. Näitä jousimaisia ​​raajoja käyttäen se syöksyy vihollisten päälle tuhoisilla potkuilla. Taistelun jälkeen se hieroo väsyneitä jalkojaan.</v>
      </c>
      <c r="C2610" s="9" t="s">
        <v>1344</v>
      </c>
    </row>
    <row r="2611" ht="33.75" customHeight="1">
      <c r="A2611" s="6" t="s">
        <v>3897</v>
      </c>
      <c r="B2611" s="6" t="str">
        <f>IFERROR(__xludf.DUMMYFUNCTION("GOOGLETRANSLATE(A2611,""en"",""fi"")"),"Jalat supistuvat ja venyvät vapaasti. Venyvien jalkojen ansiosta se voi osua kaukaiseen viholliseen nousevalla potkulla.")</f>
        <v>Jalat supistuvat ja venyvät vapaasti. Venyvien jalkojen ansiosta se voi osua kaukaiseen viholliseen nousevalla potkulla.</v>
      </c>
      <c r="C2611" s="9" t="s">
        <v>1344</v>
      </c>
    </row>
    <row r="2612" ht="33.75" customHeight="1">
      <c r="A2612" s="6" t="s">
        <v>3898</v>
      </c>
      <c r="B2612" s="6" t="str">
        <f>IFERROR(__xludf.DUMMYFUNCTION("GOOGLETRANSLATE(A2612,""en"",""fi"")"),"Kiireessä sen jalat pitenevät asteittain. Se juoksee sujuvasti erittäin pitkillä, loikkivilla askeleilla.")</f>
        <v>Kiireessä sen jalat pitenevät asteittain. Se juoksee sujuvasti erittäin pitkillä, loikkivilla askeleilla.</v>
      </c>
      <c r="C2612" s="9" t="s">
        <v>1344</v>
      </c>
    </row>
    <row r="2613" ht="33.75" customHeight="1">
      <c r="A2613" s="6" t="s">
        <v>3899</v>
      </c>
      <c r="B2613" s="6" t="str">
        <f>IFERROR(__xludf.DUMMYFUNCTION("GOOGLETRANSLATE(A2613,""en"",""fi"")"),"Sen jalat voivat venyä kaksinkertaisiksi. Ensikertalaiset viholliset säikähtävät sen ulottuvuuden vuoksi.")</f>
        <v>Sen jalat voivat venyä kaksinkertaisiksi. Ensikertalaiset viholliset säikähtävät sen ulottuvuuden vuoksi.</v>
      </c>
      <c r="C2613" s="9" t="s">
        <v>1344</v>
      </c>
    </row>
    <row r="2614" ht="33.75" customHeight="1">
      <c r="A2614" s="6" t="s">
        <v>3900</v>
      </c>
      <c r="B2614" s="6" t="str">
        <f>IFERROR(__xludf.DUMMYFUNCTION("GOOGLETRANSLATE(A2614,""en"",""fi"")"),"Tällä upealla Pokémonilla on mahtava tasapainoaisti. Se voi potkaista peräkkäin mistä tahansa asennosta.")</f>
        <v>Tällä upealla Pokémonilla on mahtava tasapainoaisti. Se voi potkaista peräkkäin mistä tahansa asennosta.</v>
      </c>
      <c r="C2614" s="9" t="s">
        <v>1344</v>
      </c>
    </row>
    <row r="2615" ht="33.75" customHeight="1">
      <c r="A2615" s="6" t="s">
        <v>3901</v>
      </c>
      <c r="B2615" s="6" t="str">
        <f>IFERROR(__xludf.DUMMYFUNCTION("GOOGLETRANSLATE(A2615,""en"",""fi"")"),"Jos se alkaa potkia toistuvasti, molemmat jalat ojentuvat vielä pidemmäksi iskeäkseen pakenevaa vihollista.")</f>
        <v>Jos se alkaa potkia toistuvasti, molemmat jalat ojentuvat vielä pidemmäksi iskeäkseen pakenevaa vihollista.</v>
      </c>
      <c r="C2615" s="9" t="s">
        <v>1344</v>
      </c>
    </row>
    <row r="2616" ht="33.75" customHeight="1">
      <c r="A2616" s="6" t="s">
        <v>3902</v>
      </c>
      <c r="B2616" s="6" t="str">
        <f>IFERROR(__xludf.DUMMYFUNCTION("GOOGLETRANSLATE(A2616,""en"",""fi"")"),"Hitmonleen jalat supistuvat ja venyvät vapaasti. Näillä jousimaisilla jaloilla se syöksyy vihollisten päälle tuhoisilla potkuilla. Taistelun jälkeen se hieroo jalkojaan ja rentouttaa lihaksiaan voittaakseen väsymyksen.")</f>
        <v>Hitmonleen jalat supistuvat ja venyvät vapaasti. Näillä jousimaisilla jaloilla se syöksyy vihollisten päälle tuhoisilla potkuilla. Taistelun jälkeen se hieroo jalkojaan ja rentouttaa lihaksiaan voittaakseen väsymyksen.</v>
      </c>
      <c r="C2616" s="9" t="s">
        <v>1344</v>
      </c>
    </row>
    <row r="2617" ht="33.75" customHeight="1">
      <c r="A2617" s="6" t="s">
        <v>3903</v>
      </c>
      <c r="B2617" s="6" t="str">
        <f>IFERROR(__xludf.DUMMYFUNCTION("GOOGLETRANSLATE(A2617,""en"",""fi"")"),"Potkiessaan sen jalkapohja kovaksi muuttuu osuessaan timantin lailla ja tuhoaa vihollisensa.")</f>
        <v>Potkiessaan sen jalkapohja kovaksi muuttuu osuessaan timantin lailla ja tuhoaa vihollisensa.</v>
      </c>
      <c r="C2617" s="9" t="s">
        <v>1344</v>
      </c>
    </row>
    <row r="2618" ht="33.75" customHeight="1">
      <c r="A2618" s="6" t="s">
        <v>3904</v>
      </c>
      <c r="B2618" s="6" t="str">
        <f>IFERROR(__xludf.DUMMYFUNCTION("GOOGLETRANSLATE(A2618,""en"",""fi"")"),"Vaikka se ei näennäisesti tee mitään, se ampuu lyöntejä salamannopeina volleyina, joita on mahdotonta nähdä.")</f>
        <v>Vaikka se ei näennäisesti tee mitään, se ampuu lyöntejä salamannopeina volleyina, joita on mahdotonta nähdä.</v>
      </c>
      <c r="C2618" s="9" t="s">
        <v>1344</v>
      </c>
    </row>
    <row r="2619" ht="33.75" customHeight="1">
      <c r="A2619" s="6" t="s">
        <v>3905</v>
      </c>
      <c r="B2619" s="6" t="str">
        <f>IFERROR(__xludf.DUMMYFUNCTION("GOOGLETRANSLATE(A2619,""en"",""fi"")"),"Lävistää korkkiruuvin tavoin. Se voi lävistää betoniseinän samalla tavalla kuin pora.")</f>
        <v>Lävistää korkkiruuvin tavoin. Se voi lävistää betoniseinän samalla tavalla kuin pora.</v>
      </c>
      <c r="C2619" s="9" t="s">
        <v>1344</v>
      </c>
    </row>
    <row r="2620" ht="33.75" customHeight="1">
      <c r="A2620" s="6" t="s">
        <v>3907</v>
      </c>
      <c r="B2620" s="6" t="str">
        <f>IFERROR(__xludf.DUMMYFUNCTION("GOOGLETRANSLATE(A2620,""en"",""fi"")"),"Sen iskut viiltävät ilmaa. Se näyttää kuitenkin tarvitsevan lyhyen tauon kolmen minuutin taistelun jälkeen.")</f>
        <v>Sen iskut viiltävät ilmaa. Se näyttää kuitenkin tarvitsevan lyhyen tauon kolmen minuutin taistelun jälkeen.</v>
      </c>
      <c r="C2620" s="9" t="s">
        <v>1344</v>
      </c>
    </row>
    <row r="2621" ht="33.75" customHeight="1">
      <c r="A2621" s="6" t="s">
        <v>3908</v>
      </c>
      <c r="B2621" s="6" t="str">
        <f>IFERROR(__xludf.DUMMYFUNCTION("GOOGLETRANSLATE(A2621,""en"",""fi"")"),"Sen iskut viiltävät ilmaa. Ne sinkoutuvat niin suurella nopeudella, että pienikin naarmu voi aiheuttaa palovamman.")</f>
        <v>Sen iskut viiltävät ilmaa. Ne sinkoutuvat niin suurella nopeudella, että pienikin naarmu voi aiheuttaa palovamman.</v>
      </c>
      <c r="C2621" s="9" t="s">
        <v>1344</v>
      </c>
    </row>
    <row r="2622" ht="33.75" customHeight="1">
      <c r="A2622" s="6" t="s">
        <v>3909</v>
      </c>
      <c r="B2622" s="6" t="str">
        <f>IFERROR(__xludf.DUMMYFUNCTION("GOOGLETRANSLATE(A2622,""en"",""fi"")"),"Lisätäkseen kaikkien lyöntiliikkeidensä voimaa se pyörittää käsiään juuri ennen osumaa.")</f>
        <v>Lisätäkseen kaikkien lyöntiliikkeidensä voimaa se pyörittää käsiään juuri ennen osumaa.</v>
      </c>
      <c r="C2622" s="9" t="s">
        <v>1344</v>
      </c>
    </row>
    <row r="2623" ht="33.75" customHeight="1">
      <c r="A2623" s="6" t="s">
        <v>3911</v>
      </c>
      <c r="B2623" s="6" t="str">
        <f>IFERROR(__xludf.DUMMYFUNCTION("GOOGLETRANSLATE(A2623,""en"",""fi"")"),"HITMONCHANin sanotaan omaavan nyrkkeilijän hengen, joka on työskennellyt kohti maailmanmestaruutta. Tällä POKéMONilla on lannistumaton henki, eikä hän koskaan anna periksi vastoinkäymisissä.")</f>
        <v>HITMONCHANin sanotaan omaavan nyrkkeilijän hengen, joka on työskennellyt kohti maailmanmestaruutta. Tällä POKéMONilla on lannistumaton henki, eikä hän koskaan anna periksi vastoinkäymisissä.</v>
      </c>
      <c r="C2623" s="9" t="s">
        <v>1344</v>
      </c>
    </row>
    <row r="2624" ht="33.75" customHeight="1">
      <c r="A2624" s="6" t="s">
        <v>3913</v>
      </c>
      <c r="B2624" s="6" t="str">
        <f>IFERROR(__xludf.DUMMYFUNCTION("GOOGLETRANSLATE(A2624,""en"",""fi"")"),"HITMONCHANin sanotaan omaavan nyrkkeilijän hengen, joka tähtäsi maailmanmestaruuteen. Lannistumaton henki tarkoittaa, ettei se koskaan anna periksi.")</f>
        <v>HITMONCHANin sanotaan omaavan nyrkkeilijän hengen, joka tähtäsi maailmanmestaruuteen. Lannistumaton henki tarkoittaa, ettei se koskaan anna periksi.</v>
      </c>
      <c r="C2624" s="9" t="s">
        <v>1344</v>
      </c>
    </row>
    <row r="2625" ht="33.75" customHeight="1">
      <c r="A2625" s="6" t="s">
        <v>3914</v>
      </c>
      <c r="B2625" s="6" t="str">
        <f>IFERROR(__xludf.DUMMYFUNCTION("GOOGLETRANSLATE(A2625,""en"",""fi"")"),"Ammattilaisnyrkkeilijän henki on valaissut tämän POKéMONin. Se heittää lyöntejä, jotka ovat nopeampia kuin luotijuna.")</f>
        <v>Ammattilaisnyrkkeilijän henki on valaissut tämän POKéMONin. Se heittää lyöntejä, jotka ovat nopeampia kuin luotijuna.</v>
      </c>
      <c r="C2625" s="9" t="s">
        <v>1344</v>
      </c>
    </row>
    <row r="2626" ht="33.75" customHeight="1">
      <c r="A2626" s="6" t="s">
        <v>3917</v>
      </c>
      <c r="B2626" s="6" t="str">
        <f>IFERROR(__xludf.DUMMYFUNCTION("GOOGLETRANSLATE(A2626,""en"",""fi"")"),"Vaikka se ei näennäisesti tee mitään, se ampuu lyöntejä salamannopeina volleyina, joita on mahdotonta nähdä.")</f>
        <v>Vaikka se ei näennäisesti tee mitään, se ampuu lyöntejä salamannopeina volleyina, joita on mahdotonta nähdä.</v>
      </c>
      <c r="C2626" s="9" t="s">
        <v>1344</v>
      </c>
    </row>
    <row r="2627" ht="33.75" customHeight="1">
      <c r="A2627" s="6" t="s">
        <v>3919</v>
      </c>
      <c r="B2627" s="6" t="str">
        <f>IFERROR(__xludf.DUMMYFUNCTION("GOOGLETRANSLATE(A2627,""en"",""fi"")"),"Sen heittämät käsivarsia vääntävät iskut murskaavat jopa betonin. Se lepää kolmen minuutin taistelun jälkeen.")</f>
        <v>Sen heittämät käsivarsia vääntävät iskut murskaavat jopa betonin. Se lepää kolmen minuutin taistelun jälkeen.</v>
      </c>
      <c r="C2627" s="9" t="s">
        <v>1344</v>
      </c>
    </row>
    <row r="2628" ht="33.75" customHeight="1">
      <c r="A2628" s="6" t="s">
        <v>3921</v>
      </c>
      <c r="B2628" s="6" t="str">
        <f>IFERROR(__xludf.DUMMYFUNCTION("GOOGLETRANSLATE(A2628,""en"",""fi"")"),"Ammattilaisnyrkkeilijän henki on vallannut tämän Pokémonin. Se lyö luotijunaa nopeammin.")</f>
        <v>Ammattilaisnyrkkeilijän henki on vallannut tämän Pokémonin. Se lyö luotijunaa nopeammin.</v>
      </c>
      <c r="C2628" s="9" t="s">
        <v>1344</v>
      </c>
    </row>
    <row r="2629" ht="33.75" customHeight="1">
      <c r="A2629" s="6" t="s">
        <v>3922</v>
      </c>
      <c r="B2629" s="6" t="str">
        <f>IFERROR(__xludf.DUMMYFUNCTION("GOOGLETRANSLATE(A2629,""en"",""fi"")"),"Hitmonchanin sanotaan omaavan nyrkkeilijän hengen, joka on työskennellyt kohti maailmanmestaruutta. Tällä Pokémonilla on lannistumaton henki, eikä se koskaan anna periksi vastoinkäymisten edessä.")</f>
        <v>Hitmonchanin sanotaan omaavan nyrkkeilijän hengen, joka on työskennellyt kohti maailmanmestaruutta. Tällä Pokémonilla on lannistumaton henki, eikä se koskaan anna periksi vastoinkäymisten edessä.</v>
      </c>
      <c r="C2629" s="9" t="s">
        <v>1344</v>
      </c>
    </row>
    <row r="2630" ht="33.75" customHeight="1">
      <c r="A2630" s="6" t="s">
        <v>3924</v>
      </c>
      <c r="B2630" s="6" t="str">
        <f>IFERROR(__xludf.DUMMYFUNCTION("GOOGLETRANSLATE(A2630,""en"",""fi"")"),"Lävistää korkkiruuvin tavoin. Se voi lävistää betoniseinän kuin pora.")</f>
        <v>Lävistää korkkiruuvin tavoin. Se voi lävistää betoniseinän kuin pora.</v>
      </c>
      <c r="C2630" s="9" t="s">
        <v>1344</v>
      </c>
    </row>
    <row r="2631" ht="33.75" customHeight="1">
      <c r="A2631" s="6" t="s">
        <v>3926</v>
      </c>
      <c r="B2631" s="6" t="str">
        <f>IFERROR(__xludf.DUMMYFUNCTION("GOOGLETRANSLATE(A2631,""en"",""fi"")"),"Sen kieli ojenee kuin kameleontin. Se jättää kihelmöivän tunteen nuollessaan vihollisia.")</f>
        <v>Sen kieli ojenee kuin kameleontin. Se jättää kihelmöivän tunteen nuollessaan vihollisia.</v>
      </c>
      <c r="C2631" s="9" t="s">
        <v>1344</v>
      </c>
    </row>
    <row r="2632" ht="33.75" customHeight="1">
      <c r="A2632" s="6" t="s">
        <v>3927</v>
      </c>
      <c r="B2632" s="6" t="str">
        <f>IFERROR(__xludf.DUMMYFUNCTION("GOOGLETRANSLATE(A2632,""en"",""fi"")"),"Sen kieli on lähes 2,1 metriä pitkä ja liikkuu vapaammin kuin sen etujalat. Sen nuoleminen voi aiheuttaa halvaantumisen.")</f>
        <v>Sen kieli on lähes 2,1 metriä pitkä ja liikkuu vapaammin kuin sen etujalat. Sen nuoleminen voi aiheuttaa halvaantumisen.</v>
      </c>
      <c r="C2632" s="9" t="s">
        <v>1344</v>
      </c>
    </row>
    <row r="2633" ht="33.75" customHeight="1">
      <c r="A2633" s="6" t="s">
        <v>3928</v>
      </c>
      <c r="B2633" s="6" t="str">
        <f>IFERROR(__xludf.DUMMYFUNCTION("GOOGLETRANSLATE(A2633,""en"",""fi"")"),"Sen kielellä on hyvin kehittyneet hermot, jotka ulottuvat aivan kärkeen asti, joten sitä voidaan manipuloida taitavasti.")</f>
        <v>Sen kielellä on hyvin kehittyneet hermot, jotka ulottuvat aivan kärkeen asti, joten sitä voidaan manipuloida taitavasti.</v>
      </c>
      <c r="C2633" s="9" t="s">
        <v>1344</v>
      </c>
    </row>
    <row r="2634" ht="33.75" customHeight="1">
      <c r="A2634" s="6" t="s">
        <v>3930</v>
      </c>
      <c r="B2634" s="6" t="str">
        <f>IFERROR(__xludf.DUMMYFUNCTION("GOOGLETRANSLATE(A2634,""en"",""fi"")"),"Sen pitkä, tahmealla syljellä peittynyt kieli tarttuu mihin tahansa, joten se on erittäin hyödyllinen.")</f>
        <v>Sen pitkä, tahmealla syljellä peittynyt kieli tarttuu mihin tahansa, joten se on erittäin hyödyllinen.</v>
      </c>
      <c r="C2634" s="9" t="s">
        <v>1344</v>
      </c>
    </row>
    <row r="2635" ht="33.75" customHeight="1">
      <c r="A2635" s="6" t="s">
        <v>3932</v>
      </c>
      <c r="B2635" s="6" t="str">
        <f>IFERROR(__xludf.DUMMYFUNCTION("GOOGLETRANSLATE(A2635,""en"",""fi"")"),"Sen kieli on yli 190 cm pitkä. Se nuolee tätä pitkää kieltään puhtaaksi ruumiistaan.")</f>
        <v>Sen kieli on yli 190 cm pitkä. Se nuolee tätä pitkää kieltään puhtaaksi ruumiistaan.</v>
      </c>
      <c r="C2635" s="9" t="s">
        <v>1344</v>
      </c>
    </row>
    <row r="2636" ht="33.75" customHeight="1">
      <c r="A2636" s="6" t="s">
        <v>3933</v>
      </c>
      <c r="B2636" s="6" t="str">
        <f>IFERROR(__xludf.DUMMYFUNCTION("GOOGLETRANSLATE(A2636,""en"",""fi"")"),"Aina kun LICKITUNG kohtaa jotain uutta, se nuolee sitä poikkeuksetta. Se tekee niin, koska se muistaa asioita rakenteen ja maun perusteella. Se on hieman epäluotettava happamista asioista.")</f>
        <v>Aina kun LICKITUNG kohtaa jotain uutta, se nuolee sitä poikkeuksetta. Se tekee niin, koska se muistaa asioita rakenteen ja maun perusteella. Se on hieman epäluotettava happamista asioista.</v>
      </c>
      <c r="C2636" s="9" t="s">
        <v>1344</v>
      </c>
    </row>
    <row r="2637" ht="33.75" customHeight="1">
      <c r="A2637" s="6" t="s">
        <v>3936</v>
      </c>
      <c r="B2637" s="6" t="str">
        <f>IFERROR(__xludf.DUMMYFUNCTION("GOOGLETRANSLATE(A2637,""en"",""fi"")"),"Aina kun se näkee jotain outoa, se nuolee esinettä, koska se muistaa asioita rakenteen ja maun perusteella. Happamat asiat pelottavat sitä jonkin verran.")</f>
        <v>Aina kun se näkee jotain outoa, se nuolee esinettä, koska se muistaa asioita rakenteen ja maun perusteella. Happamat asiat pelottavat sitä jonkin verran.</v>
      </c>
      <c r="C2637" s="9" t="s">
        <v>1344</v>
      </c>
    </row>
    <row r="2638" ht="33.75" customHeight="1">
      <c r="A2638" s="6" t="s">
        <v>3938</v>
      </c>
      <c r="B2638" s="6" t="str">
        <f>IFERROR(__xludf.DUMMYFUNCTION("GOOGLETRANSLATE(A2638,""en"",""fi"")"),"Sen kieli on kaksi kertaa vartalon pituinen. Sitä voidaan liikuttaa kuin käsivartta ruoan nappaamiseen ja hyökkäämiseen.")</f>
        <v>Sen kieli on kaksi kertaa vartalon pituinen. Sitä voidaan liikuttaa kuin käsivartta ruoan nappaamiseen ja hyökkäämiseen.</v>
      </c>
      <c r="C2638" s="9" t="s">
        <v>1344</v>
      </c>
    </row>
    <row r="2639" ht="33.75" customHeight="1">
      <c r="A2639" s="6" t="s">
        <v>3939</v>
      </c>
      <c r="B2639" s="6" t="str">
        <f>IFERROR(__xludf.DUMMYFUNCTION("GOOGLETRANSLATE(A2639,""en"",""fi"")"),"Sen kieli ojenee kuin kameleontin. Se jättää kihelmöivän tunteen nuollessaan vihollisia.")</f>
        <v>Sen kieli ojenee kuin kameleontin. Se jättää kihelmöivän tunteen nuollessaan vihollisia.</v>
      </c>
      <c r="C2639" s="9" t="s">
        <v>1344</v>
      </c>
    </row>
    <row r="2640" ht="33.75" customHeight="1">
      <c r="A2640" s="6" t="s">
        <v>3940</v>
      </c>
      <c r="B2640" s="6" t="str">
        <f>IFERROR(__xludf.DUMMYFUNCTION("GOOGLETRANSLATE(A2640,""en"",""fi"")"),"Käsien sijaan se käyttää kieltään, joka on kaksi kertaa sen pituinen. Sen tahmea sylki tarttuu mihin tahansa.")</f>
        <v>Käsien sijaan se käyttää kieltään, joka on kaksi kertaa sen pituinen. Sen tahmea sylki tarttuu mihin tahansa.</v>
      </c>
      <c r="C2640" s="9" t="s">
        <v>1344</v>
      </c>
    </row>
    <row r="2641" ht="33.75" customHeight="1">
      <c r="A2641" s="6" t="s">
        <v>3942</v>
      </c>
      <c r="B2641" s="6" t="str">
        <f>IFERROR(__xludf.DUMMYFUNCTION("GOOGLETRANSLATE(A2641,""en"",""fi"")"),"Kun se ojentaa yli kahden metrin pituisen kielensä, sen häntä värisee. On mahdollista, että ne ovat yhteydessä toisiinsa.")</f>
        <v>Kun se ojentaa yli kahden metrin pituisen kielensä, sen häntä värisee. On mahdollista, että ne ovat yhteydessä toisiinsa.</v>
      </c>
      <c r="C2641" s="9" t="s">
        <v>1344</v>
      </c>
    </row>
    <row r="2642" ht="33.75" customHeight="1">
      <c r="A2642" s="6" t="s">
        <v>3943</v>
      </c>
      <c r="B2642" s="6" t="str">
        <f>IFERROR(__xludf.DUMMYFUNCTION("GOOGLETRANSLATE(A2642,""en"",""fi"")"),"Sen kielellä on hyvin kehittyneet hermot, jotka ulottuvat aivan kärkeen asti, joten sitä voidaan manipuloida taitavasti.")</f>
        <v>Sen kielellä on hyvin kehittyneet hermot, jotka ulottuvat aivan kärkeen asti, joten sitä voidaan manipuloida taitavasti.</v>
      </c>
      <c r="C2642" s="9" t="s">
        <v>1344</v>
      </c>
    </row>
    <row r="2643" ht="33.75" customHeight="1">
      <c r="A2643" s="6" t="s">
        <v>3945</v>
      </c>
      <c r="B2643" s="6" t="str">
        <f>IFERROR(__xludf.DUMMYFUNCTION("GOOGLETRANSLATE(A2643,""en"",""fi"")"),"Sen pitkä, tahmealla syljellä peittynyt kieli tarttuu kaikkeen, joten se on erittäin hyödyllinen.")</f>
        <v>Sen pitkä, tahmealla syljellä peittynyt kieli tarttuu kaikkeen, joten se on erittäin hyödyllinen.</v>
      </c>
      <c r="C2643" s="9" t="s">
        <v>1344</v>
      </c>
    </row>
    <row r="2644" ht="33.75" customHeight="1">
      <c r="A2644" s="6" t="s">
        <v>3947</v>
      </c>
      <c r="B2644" s="6" t="str">
        <f>IFERROR(__xludf.DUMMYFUNCTION("GOOGLETRANSLATE(A2644,""en"",""fi"")"),"Pitkän, syljen peittämän kielen nuoleminen aiheuttaa kihelmöivän tunteen. Kielen ojentaminen vetää häntäänsä taaksepäin.")</f>
        <v>Pitkän, syljen peittämän kielen nuoleminen aiheuttaa kihelmöivän tunteen. Kielen ojentaminen vetää häntäänsä taaksepäin.</v>
      </c>
      <c r="C2644" s="9" t="s">
        <v>1344</v>
      </c>
    </row>
    <row r="2645" ht="33.75" customHeight="1">
      <c r="A2645" s="6" t="s">
        <v>3949</v>
      </c>
      <c r="B2645" s="6" t="str">
        <f>IFERROR(__xludf.DUMMYFUNCTION("GOOGLETRANSLATE(A2645,""en"",""fi"")"),"Aina kun Lickitung kohtaa jotain uutta, se nuolee sitä poikkeuksetta. Se tekee niin, koska se muistaa asioita rakenteen ja maun perusteella. Se on hieman epäluotettava happamista asioista.")</f>
        <v>Aina kun Lickitung kohtaa jotain uutta, se nuolee sitä poikkeuksetta. Se tekee niin, koska se muistaa asioita rakenteen ja maun perusteella. Se on hieman epäluotettava happamista asioista.</v>
      </c>
      <c r="C2645" s="9" t="s">
        <v>1344</v>
      </c>
    </row>
    <row r="2646" ht="33.75" customHeight="1">
      <c r="A2646" s="6" t="s">
        <v>3950</v>
      </c>
      <c r="B2646" s="6" t="str">
        <f>IFERROR(__xludf.DUMMYFUNCTION("GOOGLETRANSLATE(A2646,""en"",""fi"")"),"Se nuolee kaikkea ympärillään. Jos et puhdista kohtaa, josta se on nuollut sinua, saat ihottumaa!")</f>
        <v>Se nuolee kaikkea ympärillään. Jos et puhdista kohtaa, josta se on nuollut sinua, saat ihottumaa!</v>
      </c>
      <c r="C2646" s="9" t="s">
        <v>1344</v>
      </c>
    </row>
    <row r="2647" ht="33.75" customHeight="1">
      <c r="A2647" s="6" t="s">
        <v>3952</v>
      </c>
      <c r="B2647" s="6" t="str">
        <f>IFERROR(__xludf.DUMMYFUNCTION("GOOGLETRANSLATE(A2647,""en"",""fi"")"),"Se nuolee lian puhtaaksi kielellään. Kaikki mitä se nuolee, haisee aina jälkeenpäin, joten onko se todella puhdasta...kyseenalaista.")</f>
        <v>Se nuolee lian puhtaaksi kielellään. Kaikki mitä se nuolee, haisee aina jälkeenpäin, joten onko se todella puhdasta...kyseenalaista.</v>
      </c>
      <c r="C2647" s="9" t="s">
        <v>1344</v>
      </c>
    </row>
    <row r="2648" ht="33.75" customHeight="1">
      <c r="A2648" s="6" t="s">
        <v>3953</v>
      </c>
      <c r="B2648" s="6" t="str">
        <f>IFERROR(__xludf.DUMMYFUNCTION("GOOGLETRANSLATE(A2648,""en"",""fi"")"),"Sen kieli on lähes kaksi metriä pitkä ja liikkuu vapaammin kuin sen etujalat. Sen nuoleminen voi aiheuttaa halvaantumisen.")</f>
        <v>Sen kieli on lähes kaksi metriä pitkä ja liikkuu vapaammin kuin sen etujalat. Sen nuoleminen voi aiheuttaa halvaantumisen.</v>
      </c>
      <c r="C2648" s="9" t="s">
        <v>1344</v>
      </c>
    </row>
    <row r="2649" ht="33.75" customHeight="1">
      <c r="A2649" s="6" t="s">
        <v>3955</v>
      </c>
      <c r="B2649" s="6" t="str">
        <f>IFERROR(__xludf.DUMMYFUNCTION("GOOGLETRANSLATE(A2649,""en"",""fi"")"),"Jos tämän Pokémonin tahmeaa sylkeä joutuu päällesi etkä puhdista sitä pois, se aiheuttaa voimakasta kutinaa. Kutina ei myöskään katoa.")</f>
        <v>Jos tämän Pokémonin tahmeaa sylkeä joutuu päällesi etkä puhdista sitä pois, se aiheuttaa voimakasta kutinaa. Kutina ei myöskään katoa.</v>
      </c>
      <c r="C2649" s="9" t="s">
        <v>1344</v>
      </c>
    </row>
    <row r="2650" ht="33.75" customHeight="1">
      <c r="A2650" s="6" t="s">
        <v>3957</v>
      </c>
      <c r="B2650" s="6" t="str">
        <f>IFERROR(__xludf.DUMMYFUNCTION("GOOGLETRANSLATE(A2650,""en"",""fi"")"),"Ötökkä-Pokémonit ovat Lickitungin tärkein ravinnonlähde. Tämä Pokémon lamauttaa saaliinsa pitkällä kielellään nuolemalla ja nielee sen sitten kokonaisena.")</f>
        <v>Ötökkä-Pokémonit ovat Lickitungin tärkein ravinnonlähde. Tämä Pokémon lamauttaa saaliinsa pitkällä kielellään nuolemalla ja nielee sen sitten kokonaisena.</v>
      </c>
      <c r="C2650" s="9" t="s">
        <v>1344</v>
      </c>
    </row>
    <row r="2651" ht="33.75" customHeight="1">
      <c r="A2651" s="6" t="s">
        <v>3958</v>
      </c>
      <c r="B2651" s="6" t="str">
        <f>IFERROR(__xludf.DUMMYFUNCTION("GOOGLETRANSLATE(A2651,""en"",""fi"")"),"Käyttää pitkää kieltään taitavasti kuin se olisi käsivarsi. Pokémonin sitkeä sylki, kun se on kerätty ja keitetty, tuottaa vahvan ja erittäin hyödyllisen liiman.")</f>
        <v>Käyttää pitkää kieltään taitavasti kuin se olisi käsivarsi. Pokémonin sitkeä sylki, kun se on kerätty ja keitetty, tuottaa vahvan ja erittäin hyödyllisen liiman.</v>
      </c>
      <c r="C2651" s="9" t="s">
        <v>1344</v>
      </c>
    </row>
    <row r="2652" ht="33.75" customHeight="1">
      <c r="A2652" s="6" t="s">
        <v>3960</v>
      </c>
      <c r="B2652" s="6" t="str">
        <f>IFERROR(__xludf.DUMMYFUNCTION("GOOGLETRANSLATE(A2652,""en"",""fi"")"),"Koska se varastoi kehossaan useita erilaisia ​​myrkyllisiä kaasuja, se on altis räjähtämään varoittamatta.")</f>
        <v>Koska se varastoi kehossaan useita erilaisia ​​myrkyllisiä kaasuja, se on altis räjähtämään varoittamatta.</v>
      </c>
      <c r="C2652" s="9" t="s">
        <v>1344</v>
      </c>
    </row>
    <row r="2653" ht="33.75" customHeight="1">
      <c r="A2653" s="6" t="s">
        <v>3962</v>
      </c>
      <c r="B2653" s="6" t="str">
        <f>IFERROR(__xludf.DUMMYFUNCTION("GOOGLETRANSLATE(A2653,""en"",""fi"")"),"Kuumissa paikoissa sen sisäiset kaasut voivat laajentua ja räjähtää ilman varoitusta. Ole erittäin varovainen!")</f>
        <v>Kuumissa paikoissa sen sisäiset kaasut voivat laajentua ja räjähtää ilman varoitusta. Ole erittäin varovainen!</v>
      </c>
      <c r="C2653" s="9" t="s">
        <v>1344</v>
      </c>
    </row>
    <row r="2654" ht="33.75" customHeight="1">
      <c r="A2654" s="6" t="s">
        <v>3964</v>
      </c>
      <c r="B2654" s="6" t="str">
        <f>IFERROR(__xludf.DUMMYFUNCTION("GOOGLETRANSLATE(A2654,""en"",""fi"")"),"Sen ohut, kalvomainen ruumis on täynnä kaasuja, jotka aiheuttavat jatkuvaa nuhaa, yskää ja kyynelehtiviä silmiä.")</f>
        <v>Sen ohut, kalvomainen ruumis on täynnä kaasuja, jotka aiheuttavat jatkuvaa nuhaa, yskää ja kyynelehtiviä silmiä.</v>
      </c>
      <c r="C2654" s="9" t="s">
        <v>1344</v>
      </c>
    </row>
    <row r="2655" ht="33.75" customHeight="1">
      <c r="A2655" s="6" t="s">
        <v>3965</v>
      </c>
      <c r="B2655" s="6" t="str">
        <f>IFERROR(__xludf.DUMMYFUNCTION("GOOGLETRANSLATE(A2655,""en"",""fi"")"),"Sen sisältämät myrkylliset kaasut ovat hieman ilmaa kevyempiä, minkä vuoksi se pysyy hieman ilmassa.")</f>
        <v>Sen sisältämät myrkylliset kaasut ovat hieman ilmaa kevyempiä, minkä vuoksi se pysyy hieman ilmassa.</v>
      </c>
      <c r="C2655" s="9" t="s">
        <v>1344</v>
      </c>
    </row>
    <row r="2656" ht="33.75" customHeight="1">
      <c r="A2656" s="6" t="s">
        <v>3967</v>
      </c>
      <c r="B2656" s="6" t="str">
        <f>IFERROR(__xludf.DUMMYFUNCTION("GOOGLETRANSLATE(A2656,""en"",""fi"")"),"Jos sitä pääsee tarpeeksi lähelle, kun siitä tulee myrkyllistä kaasua, sen sisällä pyörteilevän kaasun voi nähdä.")</f>
        <v>Jos sitä pääsee tarpeeksi lähelle, kun siitä tulee myrkyllistä kaasua, sen sisällä pyörteilevän kaasun voi nähdä.</v>
      </c>
      <c r="C2656" s="9" t="s">
        <v>1344</v>
      </c>
    </row>
    <row r="2657" ht="33.75" customHeight="1">
      <c r="A2657" s="6" t="s">
        <v>3968</v>
      </c>
      <c r="B2657" s="6" t="str">
        <f>IFERROR(__xludf.DUMMYFUNCTION("GOOGLETRANSLATE(A2657,""en"",""fi"")"),"Jos KOFFING kiihtyy, se lisää sisäisten kaasujensa myrkyllisyyttä ja suihkuttaa niitä ulos kaikkialle kehoonsa. Tämä POKéMON voi myös täyttää pyöreän ruumiinsa liikaa ja sitten räjähtää.")</f>
        <v>Jos KOFFING kiihtyy, se lisää sisäisten kaasujensa myrkyllisyyttä ja suihkuttaa niitä ulos kaikkialle kehoonsa. Tämä POKéMON voi myös täyttää pyöreän ruumiinsa liikaa ja sitten räjähtää.</v>
      </c>
      <c r="C2657" s="9" t="s">
        <v>1344</v>
      </c>
    </row>
    <row r="2658" ht="33.75" customHeight="1">
      <c r="A2658" s="6" t="s">
        <v>3970</v>
      </c>
      <c r="B2658" s="6" t="str">
        <f>IFERROR(__xludf.DUMMYFUNCTION("GOOGLETRANSLATE(A2658,""en"",""fi"")"),"KOFFING ilmentää myrkyllisiä aineita. Se sekoittaa myrkkyjä raa'an jätteen kanssa laukaisten kemiallisen reaktion, joka johtaa erittäin voimakkaaseen myrkkykaasuun. Mitä korkeampi lämpötila, sitä enemmän kaasua tämä POKéMON valmistaa.")</f>
        <v>KOFFING ilmentää myrkyllisiä aineita. Se sekoittaa myrkkyjä raa'an jätteen kanssa laukaisten kemiallisen reaktion, joka johtaa erittäin voimakkaaseen myrkkykaasuun. Mitä korkeampi lämpötila, sitä enemmän kaasua tämä POKéMON valmistaa.</v>
      </c>
      <c r="C2658" s="9" t="s">
        <v>1344</v>
      </c>
    </row>
    <row r="2659" ht="33.75" customHeight="1">
      <c r="A2659" s="6" t="s">
        <v>3971</v>
      </c>
      <c r="B2659" s="6" t="str">
        <f>IFERROR(__xludf.DUMMYFUNCTION("GOOGLETRANSLATE(A2659,""en"",""fi"")"),"Lähelle pääseminen antaa sinulle mahdollisuuden tarkkailla KOFFINGin ohuen kalvon läpi sisällä pyöriviä myrkyllisiä kaasuja. Se räjähtää pienimmästäkin ärsykkeestä.")</f>
        <v>Lähelle pääseminen antaa sinulle mahdollisuuden tarkkailla KOFFINGin ohuen kalvon läpi sisällä pyöriviä myrkyllisiä kaasuja. Se räjähtää pienimmästäkin ärsykkeestä.</v>
      </c>
      <c r="C2659" s="9" t="s">
        <v>1344</v>
      </c>
    </row>
    <row r="2660" ht="33.75" customHeight="1">
      <c r="A2660" s="6" t="s">
        <v>3972</v>
      </c>
      <c r="B2660" s="6" t="str">
        <f>IFERROR(__xludf.DUMMYFUNCTION("GOOGLETRANSLATE(A2660,""en"",""fi"")"),"Sen ohut, ilmapallomainen ruumis on täynnä hirvittävän myrkyllisiä kaasuja. Se haisee pahalle ollessaan lähellä.")</f>
        <v>Sen ohut, ilmapallomainen ruumis on täynnä hirvittävän myrkyllisiä kaasuja. Se haisee pahalle ollessaan lähellä.</v>
      </c>
      <c r="C2660" s="9" t="s">
        <v>1344</v>
      </c>
    </row>
    <row r="2661" ht="33.75" customHeight="1">
      <c r="A2661" s="6" t="s">
        <v>3973</v>
      </c>
      <c r="B2661" s="6" t="str">
        <f>IFERROR(__xludf.DUMMYFUNCTION("GOOGLETRANSLATE(A2661,""en"",""fi"")"),"Sen kehossa olevat ilmaa kevyemmät kaasut pitävät sen ilmassa. Kaasut eivät ainoastaan ​​haise, vaan ne ovat myös räjähdysherkkiä.")</f>
        <v>Sen kehossa olevat ilmaa kevyemmät kaasut pitävät sen ilmassa. Kaasut eivät ainoastaan ​​haise, vaan ne ovat myös räjähdysherkkiä.</v>
      </c>
      <c r="C2661" s="9" t="s">
        <v>1344</v>
      </c>
    </row>
    <row r="2662" ht="33.75" customHeight="1">
      <c r="A2662" s="6" t="s">
        <v>3974</v>
      </c>
      <c r="B2662" s="6" t="str">
        <f>IFERROR(__xludf.DUMMYFUNCTION("GOOGLETRANSLATE(A2662,""en"",""fi"")"),"Sen sisältämät myrkylliset kaasut ovat hieman ilmaa kevyempiä, minkä vuoksi se leijuu lievästi ilmassa.")</f>
        <v>Sen sisältämät myrkylliset kaasut ovat hieman ilmaa kevyempiä, minkä vuoksi se leijuu lievästi ilmassa.</v>
      </c>
      <c r="C2662" s="9" t="s">
        <v>1344</v>
      </c>
    </row>
    <row r="2663" ht="33.75" customHeight="1">
      <c r="A2663" s="6" t="s">
        <v>3975</v>
      </c>
      <c r="B2663" s="6" t="str">
        <f>IFERROR(__xludf.DUMMYFUNCTION("GOOGLETRANSLATE(A2663,""en"",""fi"")"),"Myrkyllistä kaasua pidätetään sen ohuen, ilmapallomaisen rungon sisällä, joten se voi aiheuttaa massiivisia räjähdyksiä.")</f>
        <v>Myrkyllistä kaasua pidätetään sen ohuen, ilmapallomaisen rungon sisällä, joten se voi aiheuttaa massiivisia räjähdyksiä.</v>
      </c>
      <c r="C2663" s="9" t="s">
        <v>1344</v>
      </c>
    </row>
    <row r="2664" ht="33.75" customHeight="1">
      <c r="A2664" s="6" t="s">
        <v>3976</v>
      </c>
      <c r="B2664" s="6" t="str">
        <f>IFERROR(__xludf.DUMMYFUNCTION("GOOGLETRANSLATE(A2664,""en"",""fi"")"),"Jos Koffing kiihtyy, se lisää sisäisten kaasujensa myrkyllisyyttä ja suihkuttaa niitä ulos kaikkialle kehoonsa. Tämä Pokémon voi myös ylipaisuttaa pyöreää ruumistaan ​​ja sitten räjähtää.")</f>
        <v>Jos Koffing kiihtyy, se lisää sisäisten kaasujensa myrkyllisyyttä ja suihkuttaa niitä ulos kaikkialle kehoonsa. Tämä Pokémon voi myös ylipaisuttaa pyöreää ruumistaan ​​ja sitten räjähtää.</v>
      </c>
      <c r="C2664" s="9" t="s">
        <v>1344</v>
      </c>
    </row>
    <row r="2665" ht="33.75" customHeight="1">
      <c r="A2665" s="6" t="s">
        <v>3977</v>
      </c>
      <c r="B2665" s="6" t="str">
        <f>IFERROR(__xludf.DUMMYFUNCTION("GOOGLETRANSLATE(A2665,""en"",""fi"")"),"Koffing ilmentää myrkyllisiä aineita. Se sekoittaa myrkkyjä raa'an jätteen kanssa laukaisten kemiallisen reaktion, joka johtaa erittäin voimakkaaseen myrkkykaasuun. Mitä korkeampi lämpötila, sitä enemmän kaasua tämä Pokémon valmistaa.")</f>
        <v>Koffing ilmentää myrkyllisiä aineita. Se sekoittaa myrkkyjä raa'an jätteen kanssa laukaisten kemiallisen reaktion, joka johtaa erittäin voimakkaaseen myrkkykaasuun. Mitä korkeampi lämpötila, sitä enemmän kaasua tämä Pokémon valmistaa.</v>
      </c>
      <c r="C2665" s="9" t="s">
        <v>1344</v>
      </c>
    </row>
    <row r="2666" ht="33.75" customHeight="1">
      <c r="A2666" s="6" t="s">
        <v>3978</v>
      </c>
      <c r="B2666" s="6" t="str">
        <f>IFERROR(__xludf.DUMMYFUNCTION("GOOGLETRANSLATE(A2666,""en"",""fi"")"),"Sen ruumis on täynnä myrkyllistä kaasua. Se kelluu kaatopaikoille etsien raa'an, mätänevän jätteen höyryjä.")</f>
        <v>Sen ruumis on täynnä myrkyllistä kaasua. Se kelluu kaatopaikoille etsien raa'an, mätänevän jätteen höyryjä.</v>
      </c>
      <c r="C2666" s="9" t="s">
        <v>1344</v>
      </c>
    </row>
    <row r="2667" ht="33.75" customHeight="1">
      <c r="A2667" s="6" t="s">
        <v>3979</v>
      </c>
      <c r="B2667" s="6" t="str">
        <f>IFERROR(__xludf.DUMMYFUNCTION("GOOGLETRANSLATE(A2667,""en"",""fi"")"),"Se rakastaa saastunutta ilmaa. Jotkut väittävät, että koffingeja oli ennen Galarin alueella runsaammin kuin nyt.")</f>
        <v>Se rakastaa saastunutta ilmaa. Jotkut väittävät, että koffingeja oli ennen Galarin alueella runsaammin kuin nyt.</v>
      </c>
      <c r="C2667" s="9" t="s">
        <v>1344</v>
      </c>
    </row>
    <row r="2668" ht="33.75" customHeight="1">
      <c r="A2668" s="6" t="s">
        <v>3980</v>
      </c>
      <c r="B2668" s="6" t="str">
        <f>IFERROR(__xludf.DUMMYFUNCTION("GOOGLETRANSLATE(A2668,""en"",""fi"")"),"Kun kahdenlaisia ​​myrkyllisiä kaasuja kohtaavat, kaksi KOFFINGIA voi sulautua yhteen VISUMISEKSI vuosien kuluessa.")</f>
        <v>Kun kahdenlaisia ​​myrkyllisiä kaasuja kohtaavat, kaksi KOFFINGIA voi sulautua yhteen VISUMISEKSI vuosien kuluessa.</v>
      </c>
      <c r="C2668" s="9" t="s">
        <v>1344</v>
      </c>
    </row>
    <row r="2669" ht="33.75" customHeight="1">
      <c r="A2669" s="6" t="s">
        <v>3981</v>
      </c>
      <c r="B2669" s="6" t="str">
        <f>IFERROR(__xludf.DUMMYFUNCTION("GOOGLETRANSLATE(A2669,""en"",""fi"")"),"Se elää ja kasvaa imemällä itseensä pölyä, bakteereja ja myrkyllisiä kaasuja, joita on myrkyllisessä jätteessä ja roskissa.")</f>
        <v>Se elää ja kasvaa imemällä itseensä pölyä, bakteereja ja myrkyllisiä kaasuja, joita on myrkyllisessä jätteessä ja roskissa.</v>
      </c>
      <c r="C2669" s="9" t="s">
        <v>1344</v>
      </c>
    </row>
    <row r="2670" ht="33.75" customHeight="1">
      <c r="A2670" s="6" t="s">
        <v>3983</v>
      </c>
      <c r="B2670" s="6" t="str">
        <f>IFERROR(__xludf.DUMMYFUNCTION("GOOGLETRANSLATE(A2670,""en"",""fi"")"),"Jos toinen KOFFING-kaksosista täyttyy, toinen tyhjenee. Se sekoittaa jatkuvasti myrkyllisiä kaasujaan.")</f>
        <v>Jos toinen KOFFING-kaksosista täyttyy, toinen tyhjenee. Se sekoittaa jatkuvasti myrkyllisiä kaasujaan.</v>
      </c>
      <c r="C2670" s="9" t="s">
        <v>1344</v>
      </c>
    </row>
    <row r="2671" ht="33.75" customHeight="1">
      <c r="A2671" s="6" t="s">
        <v>3984</v>
      </c>
      <c r="B2671" s="6" t="str">
        <f>IFERROR(__xludf.DUMMYFUNCTION("GOOGLETRANSLATE(A2671,""en"",""fi"")"),"Huippuluokan hajuvesi valmistetaan sen sisäisistä myrkyllisistä kaasuista laimentamalla ne korkeimpaan mahdolliseen pitoisuuteen.")</f>
        <v>Huippuluokan hajuvesi valmistetaan sen sisäisistä myrkyllisistä kaasuista laimentamalla ne korkeimpaan mahdolliseen pitoisuuteen.</v>
      </c>
      <c r="C2671" s="9" t="s">
        <v>1344</v>
      </c>
    </row>
    <row r="2672" ht="33.75" customHeight="1">
      <c r="A2672" s="6" t="s">
        <v>3986</v>
      </c>
      <c r="B2672" s="6" t="str">
        <f>IFERROR(__xludf.DUMMYFUNCTION("GOOGLETRANSLATE(A2672,""en"",""fi"")"),"Kun se hengittää sisään myrkyllisiä kaasuja roskista, sen ruumis laajenee ja sen sisäosat haisevat paljon pahemmalta.")</f>
        <v>Kun se hengittää sisään myrkyllisiä kaasuja roskista, sen ruumis laajenee ja sen sisäosat haisevat paljon pahemmalta.</v>
      </c>
      <c r="C2672" s="9" t="s">
        <v>1344</v>
      </c>
    </row>
    <row r="2673" ht="33.75" customHeight="1">
      <c r="A2673" s="6" t="s">
        <v>3987</v>
      </c>
      <c r="B2673" s="6" t="str">
        <f>IFERROR(__xludf.DUMMYFUNCTION("GOOGLETRANSLATE(A2673,""en"",""fi"")"),"WEEZING rakastaa mädäntyneen keittiöjätteen kaasuja. Tämä POKéMON löytää likaisen ja hoitamattoman talon ja tekee siitä kotinsa. Yöllä, kun talossa olevat ihmiset nukkuvat, se penkoo roskia.")</f>
        <v>WEEZING rakastaa mädäntyneen keittiöjätteen kaasuja. Tämä POKéMON löytää likaisen ja hoitamattoman talon ja tekee siitä kotinsa. Yöllä, kun talossa olevat ihmiset nukkuvat, se penkoo roskia.</v>
      </c>
      <c r="C2673" s="9" t="s">
        <v>1344</v>
      </c>
    </row>
    <row r="2674" ht="33.75" customHeight="1">
      <c r="A2674" s="6" t="s">
        <v>3990</v>
      </c>
      <c r="B2674" s="6" t="str">
        <f>IFERROR(__xludf.DUMMYFUNCTION("GOOGLETRANSLATE(A2674,""en"",""fi"")"),"WEEZING vuorotellen kutistaa ja paisuttaa kaksoisruumiitaan sekoittaen niiden sisällä myrkyllisiä kaasuja. Mitä enemmän kaasuja sekoitetaan, sitä voimakkaammiksi myrkyt tulevat. POKéMONista tulee myös mädäntyneempi.")</f>
        <v>WEEZING vuorotellen kutistaa ja paisuttaa kaksoisruumiitaan sekoittaen niiden sisällä myrkyllisiä kaasuja. Mitä enemmän kaasuja sekoitetaan, sitä voimakkaammiksi myrkyt tulevat. POKéMONista tulee myös mädäntyneempi.</v>
      </c>
      <c r="C2674" s="9" t="s">
        <v>1344</v>
      </c>
    </row>
    <row r="2675" ht="33.75" customHeight="1">
      <c r="A2675" s="6" t="s">
        <v>3992</v>
      </c>
      <c r="B2675" s="6" t="str">
        <f>IFERROR(__xludf.DUMMYFUNCTION("GOOGLETRANSLATE(A2675,""en"",""fi"")"),"Laimentamalla sen myrkyllisiä kaasuja erityisellä menetelmällä voidaan erottaa korkeimman luokan hajuvesi. VISUILLE roskista purkautuvat kaasut ovat lopullinen juhla.")</f>
        <v>Laimentamalla sen myrkyllisiä kaasuja erityisellä menetelmällä voidaan erottaa korkeimman luokan hajuvesi. VISUILLE roskista purkautuvat kaasut ovat lopullinen juhla.</v>
      </c>
      <c r="C2675" s="9" t="s">
        <v>1344</v>
      </c>
    </row>
    <row r="2676" ht="33.75" customHeight="1">
      <c r="A2676" s="6" t="s">
        <v>3995</v>
      </c>
      <c r="B2676" s="6" t="str">
        <f>IFERROR(__xludf.DUMMYFUNCTION("GOOGLETRANSLATE(A2676,""en"",""fi"")"),"Hyvin harvoin äkillinen mutaatio voi johtaa kahden pienen KOFFING-kaksosen yhdistymiseen WEEZING-muodostelmana.")</f>
        <v>Hyvin harvoin äkillinen mutaatio voi johtaa kahden pienen KOFFING-kaksosen yhdistymiseen WEEZING-muodostelmana.</v>
      </c>
      <c r="C2676" s="9" t="s">
        <v>1344</v>
      </c>
    </row>
    <row r="2677" ht="33.75" customHeight="1">
      <c r="A2677" s="6" t="s">
        <v>3997</v>
      </c>
      <c r="B2677" s="6" t="str">
        <f>IFERROR(__xludf.DUMMYFUNCTION("GOOGLETRANSLATE(A2677,""en"",""fi"")"),"Kun kahdenlaisia ​​myrkyllisiä kaasuja kohtaavat, kaksi KOFFINGIA voi sulautua VISUMISEKSI vuosien kuluessa.")</f>
        <v>Kun kahdenlaisia ​​myrkyllisiä kaasuja kohtaavat, kaksi KOFFINGIA voi sulautua VISUMISEKSI vuosien kuluessa.</v>
      </c>
      <c r="C2677" s="9" t="s">
        <v>1344</v>
      </c>
    </row>
    <row r="2678" ht="33.75" customHeight="1">
      <c r="A2678" s="6" t="s">
        <v>3998</v>
      </c>
      <c r="B2678" s="6" t="str">
        <f>IFERROR(__xludf.DUMMYFUNCTION("GOOGLETRANSLATE(A2678,""en"",""fi"")"),"Se kasvaa syömällä roskista vapautuvia kaasuja. Vaikka se on hyvin harvinaista, siitä on löydetty kolmosia.")</f>
        <v>Se kasvaa syömällä roskista vapautuvia kaasuja. Vaikka se on hyvin harvinaista, siitä on löydetty kolmosia.</v>
      </c>
      <c r="C2678" s="9" t="s">
        <v>1344</v>
      </c>
    </row>
    <row r="2679" ht="33.75" customHeight="1">
      <c r="A2679" s="6" t="s">
        <v>4001</v>
      </c>
      <c r="B2679" s="6" t="str">
        <f>IFERROR(__xludf.DUMMYFUNCTION("GOOGLETRANSLATE(A2679,""en"",""fi"")"),"Jos toinen KOFFING-kaksosista täyttyy, toinen tyhjenee. Se sekoittaa jatkuvasti myrkyllisiä kaasujaan.")</f>
        <v>Jos toinen KOFFING-kaksosista täyttyy, toinen tyhjenee. Se sekoittaa jatkuvasti myrkyllisiä kaasujaan.</v>
      </c>
      <c r="C2679" s="9" t="s">
        <v>1344</v>
      </c>
    </row>
    <row r="2680" ht="33.75" customHeight="1">
      <c r="A2680" s="6" t="s">
        <v>4004</v>
      </c>
      <c r="B2680" s="6" t="str">
        <f>IFERROR(__xludf.DUMMYFUNCTION("GOOGLETRANSLATE(A2680,""en"",""fi"")"),"Huippuluokan hajuvesi valmistetaan sen sisäisistä myrkyllisistä kaasuista laimentamalla ne korkeimpaan mahdolliseen pitoisuuteen.")</f>
        <v>Huippuluokan hajuvesi valmistetaan sen sisäisistä myrkyllisistä kaasuista laimentamalla ne korkeimpaan mahdolliseen pitoisuuteen.</v>
      </c>
      <c r="C2680" s="9" t="s">
        <v>1344</v>
      </c>
    </row>
    <row r="2681" ht="33.75" customHeight="1">
      <c r="A2681" s="6" t="s">
        <v>4007</v>
      </c>
      <c r="B2681" s="6" t="str">
        <f>IFERROR(__xludf.DUMMYFUNCTION("GOOGLETRANSLATE(A2681,""en"",""fi"")"),"Roskien myrkyllisten höyryjen hengittäminen ja niiden sekoittaminen kehoonsa saa sen levittämään vielä pahempaa hajua.")</f>
        <v>Roskien myrkyllisten höyryjen hengittäminen ja niiden sekoittaminen kehoonsa saa sen levittämään vielä pahempaa hajua.</v>
      </c>
      <c r="C2681" s="9" t="s">
        <v>1344</v>
      </c>
    </row>
    <row r="2682" ht="33.75" customHeight="1">
      <c r="A2682" s="6" t="s">
        <v>4009</v>
      </c>
      <c r="B2682" s="6" t="str">
        <f>IFERROR(__xludf.DUMMYFUNCTION("GOOGLETRANSLATE(A2682,""en"",""fi"")"),"Jos toinen kaksoiskoffingeista täyttyy, toinen tyhjenee. Se sekoittaa jatkuvasti myrkyllisiä kaasujaan.")</f>
        <v>Jos toinen kaksoiskoffingeista täyttyy, toinen tyhjenee. Se sekoittaa jatkuvasti myrkyllisiä kaasujaan.</v>
      </c>
      <c r="C2682" s="9" t="s">
        <v>1344</v>
      </c>
    </row>
    <row r="2683" ht="33.75" customHeight="1">
      <c r="A2683" s="6" t="s">
        <v>4010</v>
      </c>
      <c r="B2683" s="6" t="str">
        <f>IFERROR(__xludf.DUMMYFUNCTION("GOOGLETRANSLATE(A2683,""en"",""fi"")"),"Hyvin harvoin äkillinen mutaatio voi johtaa kahden pienen Koffing-kaksosen yhdistymiseen Weezingiksi.")</f>
        <v>Hyvin harvoin äkillinen mutaatio voi johtaa kahden pienen Koffing-kaksosen yhdistymiseen Weezingiksi.</v>
      </c>
      <c r="C2683" s="9" t="s">
        <v>1344</v>
      </c>
    </row>
    <row r="2684" ht="33.75" customHeight="1">
      <c r="A2684" s="6" t="s">
        <v>4012</v>
      </c>
      <c r="B2684" s="6" t="str">
        <f>IFERROR(__xludf.DUMMYFUNCTION("GOOGLETRANSLATE(A2684,""en"",""fi"")"),"Weezing rakastaa mädäntyneen keittiöjätteen kaasuja. Tämä Pokémon löytää likaisen ja hoitamattoman talon ja tekee siitä kotinsa. Yöllä, kun talon asukkaat nukkuvat, se penkoo roskia.")</f>
        <v>Weezing rakastaa mädäntyneen keittiöjätteen kaasuja. Tämä Pokémon löytää likaisen ja hoitamattoman talon ja tekee siitä kotinsa. Yöllä, kun talon asukkaat nukkuvat, se penkoo roskia.</v>
      </c>
      <c r="C2684" s="9" t="s">
        <v>1344</v>
      </c>
    </row>
    <row r="2685" ht="33.75" customHeight="1">
      <c r="A2685" s="6" t="s">
        <v>4014</v>
      </c>
      <c r="B2685" s="6" t="str">
        <f>IFERROR(__xludf.DUMMYFUNCTION("GOOGLETRANSLATE(A2685,""en"",""fi"")"),"Pissaaminen vuorotellen kutistaa ja paisuttaa kaksoisruumiitaan sekoittaen sisällään myrkyllisiä kaasuja. Mitä enemmän kaasuja sekoittuu, sitä voimakkaammiksi myrkyt tulevat. Pokémonista tulee myös mädäntyneempi.")</f>
        <v>Pissaaminen vuorotellen kutistaa ja paisuttaa kaksoisruumiitaan sekoittaen sisällään myrkyllisiä kaasuja. Mitä enemmän kaasuja sekoittuu, sitä voimakkaammiksi myrkyt tulevat. Pokémonista tulee myös mädäntyneempi.</v>
      </c>
      <c r="C2685" s="9" t="s">
        <v>1344</v>
      </c>
    </row>
    <row r="2686" ht="33.75" customHeight="1">
      <c r="A2686" s="6" t="s">
        <v>4016</v>
      </c>
      <c r="B2686" s="6" t="str">
        <f>IFERROR(__xludf.DUMMYFUNCTION("GOOGLETRANSLATE(A2686,""en"",""fi"")"),"Tämä Pokémon elää ja kasvaa imemällä itseensä roskissa olevaa myrkyllistä kaasua, pölyä ja bakteereja.")</f>
        <v>Tämä Pokémon elää ja kasvaa imemällä itseensä roskissa olevaa myrkyllistä kaasua, pölyä ja bakteereja.</v>
      </c>
      <c r="C2686" s="9" t="s">
        <v>1344</v>
      </c>
    </row>
    <row r="2687" ht="33.75" customHeight="1">
      <c r="A2687" s="6" t="s">
        <v>4017</v>
      </c>
      <c r="B2687" s="6" t="str">
        <f>IFERROR(__xludf.DUMMYFUNCTION("GOOGLETRANSLATE(A2687,""en"",""fi"")"),"Se sekoittaa kaasuja kahden ruumiinsa välillä. Kerrotaan, että näitä Pokémoneja nähtiin aikoinaan kaikkialla Galarin alueella.")</f>
        <v>Se sekoittaa kaasuja kahden ruumiinsa välillä. Kerrotaan, että näitä Pokémoneja nähtiin aikoinaan kaikkialla Galarin alueella.</v>
      </c>
      <c r="C2687" s="9" t="s">
        <v>1344</v>
      </c>
    </row>
    <row r="2688" ht="33.75" customHeight="1">
      <c r="A2688" s="6" t="s">
        <v>4019</v>
      </c>
      <c r="B2688" s="6" t="str">
        <f>IFERROR(__xludf.DUMMYFUNCTION("GOOGLETRANSLATE(A2688,""en"",""fi"")"),"Se ei pysty imemään ilmaa aivan yhtä hyvin kuin galarialainen Weezing, mutta sen tuottamat toksiinit ovat voimakkaampia kuin vastineensa.")</f>
        <v>Se ei pysty imemään ilmaa aivan yhtä hyvin kuin galarialainen Weezing, mutta sen tuottamat toksiinit ovat voimakkaampia kuin vastineensa.</v>
      </c>
      <c r="C2688" s="9" t="s">
        <v>1344</v>
      </c>
    </row>
    <row r="2689" ht="33.75" customHeight="1">
      <c r="A2689" s="6" t="s">
        <v>4021</v>
      </c>
      <c r="B2689" s="6" t="str">
        <f>IFERROR(__xludf.DUMMYFUNCTION("GOOGLETRANSLATE(A2689,""en"",""fi"")"),"Sen massiiviset luut ovat tuhat kertaa kovempia kuin ihmisen luut. Se voi helposti lennättää perävaunun ilmaan.")</f>
        <v>Sen massiiviset luut ovat tuhat kertaa kovempia kuin ihmisen luut. Se voi helposti lennättää perävaunun ilmaan.</v>
      </c>
      <c r="C2689" s="9" t="s">
        <v>1344</v>
      </c>
    </row>
    <row r="2690" ht="33.75" customHeight="1">
      <c r="A2690" s="6" t="s">
        <v>4023</v>
      </c>
      <c r="B2690" s="6" t="str">
        <f>IFERROR(__xludf.DUMMYFUNCTION("GOOGLETRANSLATE(A2690,""en"",""fi"")"),"Yhden radan ajattelutapaa noudattava POKéMON. Latauksen jälkeen se ei pysähdy ennen kuin nukahtaa.")</f>
        <v>Yhden radan ajattelutapaa noudattava POKéMON. Latauksen jälkeen se ei pysähdy ennen kuin nukahtaa.</v>
      </c>
      <c r="C2690" s="9" t="s">
        <v>1344</v>
      </c>
    </row>
    <row r="2691" ht="33.75" customHeight="1">
      <c r="A2691" s="6" t="s">
        <v>4024</v>
      </c>
      <c r="B2691" s="6" t="str">
        <f>IFERROR(__xludf.DUMMYFUNCTION("GOOGLETRANSLATE(A2691,""en"",""fi"")"),"Se on kömpelö neljän lyhyen jalkansa vuoksi. Se voi rynnätä ja juosta vain yhteen suuntaan.")</f>
        <v>Se on kömpelö neljän lyhyen jalkansa vuoksi. Se voi rynnätä ja juosta vain yhteen suuntaan.</v>
      </c>
      <c r="C2691" s="9" t="s">
        <v>1344</v>
      </c>
    </row>
    <row r="2692" ht="33.75" customHeight="1">
      <c r="A2692" s="6" t="s">
        <v>4026</v>
      </c>
      <c r="B2692" s="6" t="str">
        <f>IFERROR(__xludf.DUMMYFUNCTION("GOOGLETRANSLATE(A2692,""en"",""fi"")"),"Se ei välitä, jos sen tiellä on jotain. Se vain rynnäköi ja tuhoaa kaikki esteet.")</f>
        <v>Se ei välitä, jos sen tiellä on jotain. Se vain rynnäköi ja tuhoaa kaikki esteet.</v>
      </c>
      <c r="C2692" s="9" t="s">
        <v>1344</v>
      </c>
    </row>
    <row r="2693" ht="33.75" customHeight="1">
      <c r="A2693" s="6" t="s">
        <v>4027</v>
      </c>
      <c r="B2693" s="6" t="str">
        <f>IFERROR(__xludf.DUMMYFUNCTION("GOOGLETRANSLATE(A2693,""en"",""fi"")"),"Se muistaa vain yhden asian kerrallaan. Kun se alkaa kiirehtiä, se unohtaa miksi se aloitti.")</f>
        <v>Se muistaa vain yhden asian kerrallaan. Kun se alkaa kiirehtiä, se unohtaa miksi se aloitti.</v>
      </c>
      <c r="C2693" s="9" t="s">
        <v>1344</v>
      </c>
    </row>
    <row r="2694" ht="33.75" customHeight="1">
      <c r="A2694" s="6" t="s">
        <v>4028</v>
      </c>
      <c r="B2694" s="6" t="str">
        <f>IFERROR(__xludf.DUMMYFUNCTION("GOOGLETRANSLATE(A2694,""en"",""fi"")"),"RHYHORN juoksee suoraa linjaa ja murskaa kaiken tielleen tulevan. Se ei välitä, vaikka se törmäisi päätä myöten teräslohkareeseen. Tämä POKéMON saattaa kuitenkin tuntea törmäyksestä jonkin verran kipua seuraavana päivänä.")</f>
        <v>RHYHORN juoksee suoraa linjaa ja murskaa kaiken tielleen tulevan. Se ei välitä, vaikka se törmäisi päätä myöten teräslohkareeseen. Tämä POKéMON saattaa kuitenkin tuntea törmäyksestä jonkin verran kipua seuraavana päivänä.</v>
      </c>
      <c r="C2694" s="9" t="s">
        <v>1344</v>
      </c>
    </row>
    <row r="2695" ht="33.75" customHeight="1">
      <c r="A2695" s="6" t="s">
        <v>4030</v>
      </c>
      <c r="B2695" s="6" t="str">
        <f>IFERROR(__xludf.DUMMYFUNCTION("GOOGLETRANSLATE(A2695,""en"",""fi"")"),"RHYHORNin aivot ovat hyvin pienet. Ne ovat niin tiheät, että juostessaan se unohtaa, miksi se alun perin lähti juoksemaan. Se ilmeisesti muistaa joskus, jos se tuhoaa jonkin.")</f>
        <v>RHYHORNin aivot ovat hyvin pienet. Ne ovat niin tiheät, että juostessaan se unohtaa, miksi se alun perin lähti juoksemaan. Se ilmeisesti muistaa joskus, jos se tuhoaa jonkin.</v>
      </c>
      <c r="C2695" s="9" t="s">
        <v>1344</v>
      </c>
    </row>
    <row r="2696" ht="33.75" customHeight="1">
      <c r="A2696" s="6" t="s">
        <v>4031</v>
      </c>
      <c r="B2696" s="6" t="str">
        <f>IFERROR(__xludf.DUMMYFUNCTION("GOOGLETRANSLATE(A2696,""en"",""fi"")"),"Kun se kerran lähtee juoksemaan, se ei pysähdy. Sen pienet aivot tekevät siitä niin tyhmän, ettei se muista, miksi se alun perin lähti juoksemaan.")</f>
        <v>Kun se kerran lähtee juoksemaan, se ei pysähdy. Sen pienet aivot tekevät siitä niin tyhmän, ettei se muista, miksi se alun perin lähti juoksemaan.</v>
      </c>
      <c r="C2696" s="9" t="s">
        <v>1344</v>
      </c>
    </row>
    <row r="2697" ht="33.75" customHeight="1">
      <c r="A2697" s="6" t="s">
        <v>4033</v>
      </c>
      <c r="B2697" s="6" t="str">
        <f>IFERROR(__xludf.DUMMYFUNCTION("GOOGLETRANSLATE(A2697,""en"",""fi"")"),"Vahva, mutta ei liian kirkas, tämä POKéMON voi rikkoa jopa pilvenpiirtäjän latautuvilla VÄLINEillään.")</f>
        <v>Vahva, mutta ei liian kirkas, tämä POKéMON voi rikkoa jopa pilvenpiirtäjän latautuvilla VÄLINEillään.</v>
      </c>
      <c r="C2697" s="9" t="s">
        <v>1344</v>
      </c>
    </row>
    <row r="2698" ht="33.75" customHeight="1">
      <c r="A2698" s="6" t="s">
        <v>4035</v>
      </c>
      <c r="B2698" s="6" t="str">
        <f>IFERROR(__xludf.DUMMYFUNCTION("GOOGLETRANSLATE(A2698,""en"",""fi"")"),"Sen massiiviset luut ovat 1000 kertaa kovempia kuin ihmisluut. Sen TALJA voi lennättää puoliperävaunun ilmaan.")</f>
        <v>Sen massiiviset luut ovat 1000 kertaa kovempia kuin ihmisluut. Sen TALJA voi lennättää puoliperävaunun ilmaan.</v>
      </c>
      <c r="C2698" s="9" t="s">
        <v>1344</v>
      </c>
    </row>
    <row r="2699" ht="33.75" customHeight="1">
      <c r="A2699" s="6" t="s">
        <v>4036</v>
      </c>
      <c r="B2699" s="6" t="str">
        <f>IFERROR(__xludf.DUMMYFUNCTION("GOOGLETRANSLATE(A2699,""en"",""fi"")"),"Sen ruumis on verhottu paksuun nahkaan, ja se kaataa rakennuksia. Valitettavasti se ei ole fiksu.")</f>
        <v>Sen ruumis on verhottu paksuun nahkaan, ja se kaataa rakennuksia. Valitettavasti se ei ole fiksu.</v>
      </c>
      <c r="C2699" s="9" t="s">
        <v>1344</v>
      </c>
    </row>
    <row r="2700" ht="33.75" customHeight="1">
      <c r="A2700" s="6" t="s">
        <v>4037</v>
      </c>
      <c r="B2700" s="6" t="str">
        <f>IFERROR(__xludf.DUMMYFUNCTION("GOOGLETRANSLATE(A2700,""en"",""fi"")"),"Sen voimakkaat taklaukset voivat tuhota mitä tahansa. Se on kuitenkin liian hidasälyinen auttamaan ihmisiä työskentelyssä.")</f>
        <v>Sen voimakkaat taklaukset voivat tuhota mitä tahansa. Se on kuitenkin liian hidasälyinen auttamaan ihmisiä työskentelyssä.</v>
      </c>
      <c r="C2700" s="9" t="s">
        <v>1344</v>
      </c>
    </row>
    <row r="2701" ht="33.75" customHeight="1">
      <c r="A2701" s="6" t="s">
        <v>4038</v>
      </c>
      <c r="B2701" s="6" t="str">
        <f>IFERROR(__xludf.DUMMYFUNCTION("GOOGLETRANSLATE(A2701,""en"",""fi"")"),"Se ei välitä, jos sen tiellä on mitään. Se vain rynnäköi ja tuhoaa kaikki esteet.")</f>
        <v>Se ei välitä, jos sen tiellä on mitään. Se vain rynnäköi ja tuhoaa kaikki esteet.</v>
      </c>
      <c r="C2701" s="9" t="s">
        <v>1344</v>
      </c>
    </row>
    <row r="2702" ht="33.75" customHeight="1">
      <c r="A2702" s="6" t="s">
        <v>4040</v>
      </c>
      <c r="B2702" s="6" t="str">
        <f>IFERROR(__xludf.DUMMYFUNCTION("GOOGLETRANSLATE(A2702,""en"",""fi"")"),"Vahva, mutta ei liian kirkas, tämä Pokémon voi rikkoa jopa pilvenpiirtäjän rynnäkköväkeillään.")</f>
        <v>Vahva, mutta ei liian kirkas, tämä Pokémon voi rikkoa jopa pilvenpiirtäjän rynnäkköväkeillään.</v>
      </c>
      <c r="C2702" s="9" t="s">
        <v>1344</v>
      </c>
    </row>
    <row r="2703" ht="33.75" customHeight="1">
      <c r="A2703" s="6" t="s">
        <v>4041</v>
      </c>
      <c r="B2703" s="6" t="str">
        <f>IFERROR(__xludf.DUMMYFUNCTION("GOOGLETRANSLATE(A2703,""en"",""fi"")"),"Rhyhorn juoksee suoraa linjaa ja murskaa kaiken tielleen tulevan. Se ei välitä, vaikka se törmäisi päätä myöten teräslohkareeseen. Tämä Pokémon saattaa kuitenkin tuntea törmäyksestä jonkin verran kipua seuraavana päivänä.")</f>
        <v>Rhyhorn juoksee suoraa linjaa ja murskaa kaiken tielleen tulevan. Se ei välitä, vaikka se törmäisi päätä myöten teräslohkareeseen. Tämä Pokémon saattaa kuitenkin tuntea törmäyksestä jonkin verran kipua seuraavana päivänä.</v>
      </c>
      <c r="C2703" s="9" t="s">
        <v>1344</v>
      </c>
    </row>
    <row r="2704" ht="33.75" customHeight="1">
      <c r="A2704" s="6" t="s">
        <v>4042</v>
      </c>
      <c r="B2704" s="6" t="str">
        <f>IFERROR(__xludf.DUMMYFUNCTION("GOOGLETRANSLATE(A2704,""en"",""fi"")"),"Rhyhornin aivot ovat hyvin pienet. Ne ovat niin tiheät, että juostessaan se unohtaa, miksi se alun perin lähti juoksemaan. Se ilmeisesti muistaa joskus, jos se tuhoaa jonkin.")</f>
        <v>Rhyhornin aivot ovat hyvin pienet. Ne ovat niin tiheät, että juostessaan se unohtaa, miksi se alun perin lähti juoksemaan. Se ilmeisesti muistaa joskus, jos se tuhoaa jonkin.</v>
      </c>
      <c r="C2704" s="9" t="s">
        <v>1344</v>
      </c>
    </row>
    <row r="2705" ht="33.75" customHeight="1">
      <c r="A2705" s="6" t="s">
        <v>4043</v>
      </c>
      <c r="B2705" s="6" t="str">
        <f>IFERROR(__xludf.DUMMYFUNCTION("GOOGLETRANSLATE(A2705,""en"",""fi"")"),"Pokémon, jolla on yhden radan ajattelutapa. Kun se latautuu, se ei lopeta juoksemista ennen kuin nukahtaa.")</f>
        <v>Pokémon, jolla on yhden radan ajattelutapa. Kun se latautuu, se ei lopeta juoksemista ennen kuin nukahtaa.</v>
      </c>
      <c r="C2705" s="9" t="s">
        <v>1344</v>
      </c>
    </row>
    <row r="2706" ht="33.75" customHeight="1">
      <c r="A2706" s="6" t="s">
        <v>4044</v>
      </c>
      <c r="B2706" s="6" t="str">
        <f>IFERROR(__xludf.DUMMYFUNCTION("GOOGLETRANSLATE(A2706,""en"",""fi"")"),"Vahva, mutta ei liian kirkas, tämä Pokémon voi rikkoa jopa pilvenpiirtäjän rynnäkkövälineillään.")</f>
        <v>Vahva, mutta ei liian kirkas, tämä Pokémon voi rikkoa jopa pilvenpiirtäjän rynnäkkövälineillään.</v>
      </c>
      <c r="C2706" s="9" t="s">
        <v>1344</v>
      </c>
    </row>
    <row r="2707" ht="33.75" customHeight="1">
      <c r="A2707" s="6" t="s">
        <v>4045</v>
      </c>
      <c r="B2707" s="6" t="str">
        <f>IFERROR(__xludf.DUMMYFUNCTION("GOOGLETRANSLATE(A2707,""en"",""fi"")"),"Naurettavan vahva – kun se törmää vuoreen, vuori hajoaa. Mutta sen lyhyet jalat kamppailevat käännöksien kanssa, eikä se pysty pysähtymään, ellei se törmää johonkin.")</f>
        <v>Naurettavan vahva – kun se törmää vuoreen, vuori hajoaa. Mutta sen lyhyet jalat kamppailevat käännöksien kanssa, eikä se pysty pysähtymään, ellei se törmää johonkin.</v>
      </c>
      <c r="C2707" s="9" t="s">
        <v>1344</v>
      </c>
    </row>
    <row r="2708" ht="33.75" customHeight="1">
      <c r="A2708" s="6" t="s">
        <v>4047</v>
      </c>
      <c r="B2708" s="6" t="str">
        <f>IFERROR(__xludf.DUMMYFUNCTION("GOOGLETRANSLATE(A2708,""en"",""fi"")"),"Panssarin kaltaisen nahan suojaamana se pystyy elämään 3 600 asteen sulassa laavassa.")</f>
        <v>Panssarin kaltaisen nahan suojaamana se pystyy elämään 3 600 asteen sulassa laavassa.</v>
      </c>
      <c r="C2708" s="9" t="s">
        <v>1344</v>
      </c>
    </row>
    <row r="2709" ht="33.75" customHeight="1">
      <c r="A2709" s="6" t="s">
        <v>4048</v>
      </c>
      <c r="B2709" s="6" t="str">
        <f>IFERROR(__xludf.DUMMYFUNCTION("GOOGLETRANSLATE(A2709,""en"",""fi"")"),"Kävelee takajaloillaan. Osoittaa älykkyyden merkkejä. Sen panssarin kaltainen nahka hylkii jopa sulaa laavaa.")</f>
        <v>Kävelee takajaloillaan. Osoittaa älykkyyden merkkejä. Sen panssarin kaltainen nahka hylkii jopa sulaa laavaa.</v>
      </c>
      <c r="C2709" s="9" t="s">
        <v>1344</v>
      </c>
    </row>
    <row r="2710" ht="33.75" customHeight="1">
      <c r="A2710" s="6" t="s">
        <v>4049</v>
      </c>
      <c r="B2710" s="6" t="str">
        <f>IFERROR(__xludf.DUMMYFUNCTION("GOOGLETRANSLATE(A2710,""en"",""fi"")"),"Sen karu nahka suojaa sitä jopa laavan kuumuudelta. Nahka tekee siitä kuitenkin myös tunnottoman.")</f>
        <v>Sen karu nahka suojaa sitä jopa laavan kuumuudelta. Nahka tekee siitä kuitenkin myös tunnottoman.</v>
      </c>
      <c r="C2710" s="9" t="s">
        <v>1344</v>
      </c>
    </row>
    <row r="2711" ht="33.75" customHeight="1">
      <c r="A2711" s="6" t="s">
        <v>4050</v>
      </c>
      <c r="B2711" s="6" t="str">
        <f>IFERROR(__xludf.DUMMYFUNCTION("GOOGLETRANSLATE(A2711,""en"",""fi"")"),"Sen aivot kehittyivät, kun se alkoi kävellä takajaloilla. Sen paksu nahka suojaa sitä jopa magmassa.")</f>
        <v>Sen aivot kehittyivät, kun se alkoi kävellä takajaloilla. Sen paksu nahka suojaa sitä jopa magmassa.</v>
      </c>
      <c r="C2711" s="9" t="s">
        <v>1344</v>
      </c>
    </row>
    <row r="2712" ht="33.75" customHeight="1">
      <c r="A2712" s="6" t="s">
        <v>4052</v>
      </c>
      <c r="B2712" s="6" t="str">
        <f>IFERROR(__xludf.DUMMYFUNCTION("GOOGLETRANSLATE(A2712,""en"",""fi"")"),"Pyörittämällä kevyesti poramaista sarveaan se voi helposti rikkoa jopa raakatimantin.")</f>
        <v>Pyörittämällä kevyesti poramaista sarveaan se voi helposti rikkoa jopa raakatimantin.</v>
      </c>
      <c r="C2712" s="9" t="s">
        <v>1344</v>
      </c>
    </row>
    <row r="2713" ht="33.75" customHeight="1">
      <c r="A2713" s="6" t="s">
        <v>4053</v>
      </c>
      <c r="B2713" s="6" t="str">
        <f>IFERROR(__xludf.DUMMYFUNCTION("GOOGLETRANSLATE(A2713,""en"",""fi"")"),"RHYDONIN sarvi voi murskata jopa hiomattomat timantit. Yksi pyrstön isku voi kaataa rakennuksen. Tämän POKéMONin nahka on äärimmäisen kestävä. Edes suorat tykin osumat eivät jätä naarmua.")</f>
        <v>RHYDONIN sarvi voi murskata jopa hiomattomat timantit. Yksi pyrstön isku voi kaataa rakennuksen. Tämän POKéMONin nahka on äärimmäisen kestävä. Edes suorat tykin osumat eivät jätä naarmua.</v>
      </c>
      <c r="C2713" s="9" t="s">
        <v>1344</v>
      </c>
    </row>
    <row r="2714" ht="33.75" customHeight="1">
      <c r="A2714" s="6" t="s">
        <v>4055</v>
      </c>
      <c r="B2714" s="6" t="str">
        <f>IFERROR(__xludf.DUMMYFUNCTION("GOOGLETRANSLATE(A2714,""en"",""fi"")"),"RHYDONilla on torvi, joka toimii porana. Sitä käytetään kivien ja lohkareiden tuhoamiseen. Tämä POKéMON törmää toisinaan magmapuroihin, mutta panssarin kaltainen nahka estää sitä tuntemasta kuumuutta.")</f>
        <v>RHYDONilla on torvi, joka toimii porana. Sitä käytetään kivien ja lohkareiden tuhoamiseen. Tämä POKéMON törmää toisinaan magmapuroihin, mutta panssarin kaltainen nahka estää sitä tuntemasta kuumuutta.</v>
      </c>
      <c r="C2714" s="9" t="s">
        <v>1344</v>
      </c>
    </row>
    <row r="2715" ht="33.75" customHeight="1">
      <c r="A2715" s="6" t="s">
        <v>4056</v>
      </c>
      <c r="B2715" s="6" t="str">
        <f>IFERROR(__xludf.DUMMYFUNCTION("GOOGLETRANSLATE(A2715,""en"",""fi"")"),"Sen porakoneen tavoin pyörivä sarvi tuhoaa korkeita rakennuksia yhdellä iskulla. Se seisoo takajaloillaan, ja sen aivot ovat hyvin kehittyneet.")</f>
        <v>Sen porakoneen tavoin pyörivä sarvi tuhoaa korkeita rakennuksia yhdellä iskulla. Se seisoo takajaloillaan, ja sen aivot ovat hyvin kehittyneet.</v>
      </c>
      <c r="C2715" s="9" t="s">
        <v>1344</v>
      </c>
    </row>
    <row r="2716" ht="33.75" customHeight="1">
      <c r="A2716" s="6" t="s">
        <v>4058</v>
      </c>
      <c r="B2716" s="6" t="str">
        <f>IFERROR(__xludf.DUMMYFUNCTION("GOOGLETRANSLATE(A2716,""en"",""fi"")"),"Se alkaa kävellä takajaloillaan evoluution jälkeen. Se voi lävistää reikiä lohkareiden läpi sarvellaan.")</f>
        <v>Se alkaa kävellä takajaloillaan evoluution jälkeen. Se voi lävistää reikiä lohkareiden läpi sarvellaan.</v>
      </c>
      <c r="C2716" s="9" t="s">
        <v>1344</v>
      </c>
    </row>
    <row r="2717" ht="33.75" customHeight="1">
      <c r="A2717" s="6" t="s">
        <v>4060</v>
      </c>
      <c r="B2717" s="6" t="str">
        <f>IFERROR(__xludf.DUMMYFUNCTION("GOOGLETRANSLATE(A2717,""en"",""fi"")"),"Panssarin kaltaisen nahan suojaamana se pystyy elämään 3 600 Fahrenheit-asteen sulassa laavassa.")</f>
        <v>Panssarin kaltaisen nahan suojaamana se pystyy elämään 3 600 Fahrenheit-asteen sulassa laavassa.</v>
      </c>
      <c r="C2717" s="9" t="s">
        <v>1344</v>
      </c>
    </row>
    <row r="2718" ht="33.75" customHeight="1">
      <c r="A2718" s="6" t="s">
        <v>4062</v>
      </c>
      <c r="B2718" s="6" t="str">
        <f>IFERROR(__xludf.DUMMYFUNCTION("GOOGLETRANSLATE(A2718,""en"",""fi"")"),"Sen aivot kehittyivät sen jälkeen, kun se nousi takajaloilleen. Sen poran sarvi poraa tunneleita kiinteän kallion läpi.")</f>
        <v>Sen aivot kehittyivät sen jälkeen, kun se nousi takajaloilleen. Sen poran sarvi poraa tunneleita kiinteän kallion läpi.</v>
      </c>
      <c r="C2718" s="9" t="s">
        <v>1344</v>
      </c>
    </row>
    <row r="2719" ht="33.75" customHeight="1">
      <c r="A2719" s="6" t="s">
        <v>4065</v>
      </c>
      <c r="B2719" s="6" t="str">
        <f>IFERROR(__xludf.DUMMYFUNCTION("GOOGLETRANSLATE(A2719,""en"",""fi"")"),"Takajaloilleen seisominen vapautti sen etujalat ja teki siitä älykkäämmän. Se on kuitenkin hyvin hajamielinen.")</f>
        <v>Takajaloilleen seisominen vapautti sen etujalat ja teki siitä älykkäämmän. Se on kuitenkin hyvin hajamielinen.</v>
      </c>
      <c r="C2719" s="9" t="s">
        <v>1344</v>
      </c>
    </row>
    <row r="2720" ht="33.75" customHeight="1">
      <c r="A2720" s="6" t="s">
        <v>4066</v>
      </c>
      <c r="B2720" s="6" t="str">
        <f>IFERROR(__xludf.DUMMYFUNCTION("GOOGLETRANSLATE(A2720,""en"",""fi"")"),"Sen aivot kehittyivät, kun se alkoi kävellä takajaloilla. Sen paksu nahka suojaa sitä jopa magmassa.")</f>
        <v>Sen aivot kehittyivät, kun se alkoi kävellä takajaloilla. Sen paksu nahka suojaa sitä jopa magmassa.</v>
      </c>
      <c r="C2720" s="9" t="s">
        <v>1344</v>
      </c>
    </row>
    <row r="2721" ht="33.75" customHeight="1">
      <c r="A2721" s="6" t="s">
        <v>4067</v>
      </c>
      <c r="B2721" s="6" t="str">
        <f>IFERROR(__xludf.DUMMYFUNCTION("GOOGLETRANSLATE(A2721,""en"",""fi"")"),"Rhydonin sarvi voi murskata jopa hiomattomat timantit. Yksi pyyhkäisyn isku voi kaataa rakennuksen. Tämän Pokémonin nahka on äärimmäisen kestävä. Edes suorat tykin osumat eivät jätä naarmua.")</f>
        <v>Rhydonin sarvi voi murskata jopa hiomattomat timantit. Yksi pyyhkäisyn isku voi kaataa rakennuksen. Tämän Pokémonin nahka on äärimmäisen kestävä. Edes suorat tykin osumat eivät jätä naarmua.</v>
      </c>
      <c r="C2721" s="9" t="s">
        <v>1344</v>
      </c>
    </row>
    <row r="2722" ht="33.75" customHeight="1">
      <c r="A2722" s="6" t="s">
        <v>4068</v>
      </c>
      <c r="B2722" s="6" t="str">
        <f>IFERROR(__xludf.DUMMYFUNCTION("GOOGLETRANSLATE(A2722,""en"",""fi"")"),"Rhydonilla on sarvi, joka toimii porana. Sitä käytetään kivien ja lohkareiden tuhoamiseen. Tämä Pokémon törmää toisinaan magmapuroihin, mutta panssarin kaltainen nahka estää sitä tuntemasta kuumuutta.")</f>
        <v>Rhydonilla on sarvi, joka toimii porana. Sitä käytetään kivien ja lohkareiden tuhoamiseen. Tämä Pokémon törmää toisinaan magmapuroihin, mutta panssarin kaltainen nahka estää sitä tuntemasta kuumuutta.</v>
      </c>
      <c r="C2722" s="9" t="s">
        <v>1344</v>
      </c>
    </row>
    <row r="2723" ht="33.75" customHeight="1">
      <c r="A2723" s="6" t="s">
        <v>4069</v>
      </c>
      <c r="B2723" s="6" t="str">
        <f>IFERROR(__xludf.DUMMYFUNCTION("GOOGLETRANSLATE(A2723,""en"",""fi"")"),"Sen aivot kehittyivät, kun se alkoi kävellä takajaloillaan. Sen panssarin kaltainen nahka hylkii jopa sulaa laavaa.")</f>
        <v>Sen aivot kehittyivät, kun se alkoi kävellä takajaloillaan. Sen panssarin kaltainen nahka hylkii jopa sulaa laavaa.</v>
      </c>
      <c r="C2723" s="9" t="s">
        <v>1344</v>
      </c>
    </row>
    <row r="2724" ht="33.75" customHeight="1">
      <c r="A2724" s="6" t="s">
        <v>4070</v>
      </c>
      <c r="B2724" s="6" t="str">
        <f>IFERROR(__xludf.DUMMYFUNCTION("GOOGLETRANSLATE(A2724,""en"",""fi"")"),"Pyörittää nopeasti sarveaan porautuakseen kallioperän läpi. Se kekselee vulkaanisilla alueilla, suojattuna laavan kuumuudelta kovan, panssarin kaltaisen nahkansa ansiosta.")</f>
        <v>Pyörittää nopeasti sarveaan porautuakseen kallioperän läpi. Se kekselee vulkaanisilla alueilla, suojattuna laavan kuumuudelta kovan, panssarin kaltaisen nahkansa ansiosta.</v>
      </c>
      <c r="C2724" s="9" t="s">
        <v>1344</v>
      </c>
    </row>
    <row r="2725" ht="33.75" customHeight="1">
      <c r="A2725" s="6" t="s">
        <v>4072</v>
      </c>
      <c r="B2725" s="6" t="str">
        <f>IFERROR(__xludf.DUMMYFUNCTION("GOOGLETRANSLATE(A2725,""en"",""fi"")"),"Harvinainen ja vaikeasti tavoitettava POKéMON, jonka sanotaan tuovan onnea niille, jotka onnistuvat saamaan sen.")</f>
        <v>Harvinainen ja vaikeasti tavoitettava POKéMON, jonka sanotaan tuovan onnea niille, jotka onnistuvat saamaan sen.</v>
      </c>
      <c r="C2725" s="9" t="s">
        <v>1344</v>
      </c>
    </row>
    <row r="2726" ht="33.75" customHeight="1">
      <c r="A2726" s="6" t="s">
        <v>4075</v>
      </c>
      <c r="B2726" s="6" t="str">
        <f>IFERROR(__xludf.DUMMYFUNCTION("GOOGLETRANSLATE(A2726,""en"",""fi"")"),"Lempeä ja hyväsydäminen POKéMON, joka jakaa ravitsevia muniaan, jos se näkee loukkaantuneen POKéMONin.")</f>
        <v>Lempeä ja hyväsydäminen POKéMON, joka jakaa ravitsevia muniaan, jos se näkee loukkaantuneen POKéMONin.</v>
      </c>
      <c r="C2726" s="9" t="s">
        <v>1344</v>
      </c>
    </row>
    <row r="2727" ht="33.75" customHeight="1">
      <c r="A2727" s="6" t="s">
        <v>4076</v>
      </c>
      <c r="B2727" s="6" t="str">
        <f>IFERROR(__xludf.DUMMYFUNCTION("GOOGLETRANSLATE(A2727,""en"",""fi"")"),"Se kävelee varovasti estääkseen munansa rikkoutumisen. Se on kuitenkin erittäin nopea karkaamaan.")</f>
        <v>Se kävelee varovasti estääkseen munansa rikkoutumisen. Se on kuitenkin erittäin nopea karkaamaan.</v>
      </c>
      <c r="C2727" s="9" t="s">
        <v>1344</v>
      </c>
    </row>
    <row r="2728" ht="33.75" customHeight="1">
      <c r="A2728" s="6" t="s">
        <v>4078</v>
      </c>
      <c r="B2728" s="6" t="str">
        <f>IFERROR(__xludf.DUMMYFUNCTION("GOOGLETRANSLATE(A2728,""en"",""fi"")"),"Harvalukuisena ja vaikeasti pyydystettävänä sen sanotaan tuovan onnellisuutta kouluttajalle, joka sen pyydystää.")</f>
        <v>Harvalukuisena ja vaikeasti pyydystettävänä sen sanotaan tuovan onnellisuutta kouluttajalle, joka sen pyydystää.</v>
      </c>
      <c r="C2728" s="9" t="s">
        <v>1344</v>
      </c>
    </row>
    <row r="2729" ht="33.75" customHeight="1">
      <c r="A2729" s="6" t="s">
        <v>4079</v>
      </c>
      <c r="B2729" s="6" t="str">
        <f>IFERROR(__xludf.DUMMYFUNCTION("GOOGLETRANSLATE(A2729,""en"",""fi"")"),"Ihmiset yrittävät pyydystää sitä sen erittäin ravitsevien munien vuoksi, mutta sitä löytyy harvoin.")</f>
        <v>Ihmiset yrittävät pyydystää sitä sen erittäin ravitsevien munien vuoksi, mutta sitä löytyy harvoin.</v>
      </c>
      <c r="C2729" s="9" t="s">
        <v>1344</v>
      </c>
    </row>
    <row r="2730" ht="33.75" customHeight="1">
      <c r="A2730" s="6" t="s">
        <v>4081</v>
      </c>
      <c r="B2730" s="6" t="str">
        <f>IFERROR(__xludf.DUMMYFUNCTION("GOOGLETRANSLATE(A2730,""en"",""fi"")"),"CHANSEY munii päivittäin ravitsemuksellisesti erinomaisia ​​munia. Munat ovat niin herkullisia, että jopa ruokahalunsa menettäneet ihmiset ahmivat ne helposti ja innokkaasti.")</f>
        <v>CHANSEY munii päivittäin ravitsemuksellisesti erinomaisia ​​munia. Munat ovat niin herkullisia, että jopa ruokahalunsa menettäneet ihmiset ahmivat ne helposti ja innokkaasti.</v>
      </c>
      <c r="C2730" s="9" t="s">
        <v>1344</v>
      </c>
    </row>
    <row r="2731" ht="33.75" customHeight="1">
      <c r="A2731" s="6" t="s">
        <v>4083</v>
      </c>
      <c r="B2731" s="6" t="str">
        <f>IFERROR(__xludf.DUMMYFUNCTION("GOOGLETRANSLATE(A2731,""en"",""fi"")"),"CHANSEY munii ravitsemuksellisesti erinomaisia ​​munia joka päivä. Munat ovat niin herkullisia, että jopa ruokahalunsa menettäneet ihmiset ahmivat niitä innokkaasti.")</f>
        <v>CHANSEY munii ravitsemuksellisesti erinomaisia ​​munia joka päivä. Munat ovat niin herkullisia, että jopa ruokahalunsa menettäneet ihmiset ahmivat niitä innokkaasti.</v>
      </c>
      <c r="C2731" s="9" t="s">
        <v>1344</v>
      </c>
    </row>
    <row r="2732" ht="33.75" customHeight="1">
      <c r="A2732" s="6" t="s">
        <v>4085</v>
      </c>
      <c r="B2732" s="6" t="str">
        <f>IFERROR(__xludf.DUMMYFUNCTION("GOOGLETRANSLATE(A2732,""en"",""fi"")"),"Se munii useita munia päivässä. Munat ovat ilmeisen ravinteikasta ja erittäin herkullista.")</f>
        <v>Se munii useita munia päivässä. Munat ovat ilmeisen ravinteikasta ja erittäin herkullista.</v>
      </c>
      <c r="C2732" s="9" t="s">
        <v>1344</v>
      </c>
    </row>
    <row r="2733" ht="33.75" customHeight="1">
      <c r="A2733" s="6" t="s">
        <v>4086</v>
      </c>
      <c r="B2733" s="6" t="str">
        <f>IFERROR(__xludf.DUMMYFUNCTION("GOOGLETRANSLATE(A2733,""en"",""fi"")"),"Harvinainen ja vaikeasti tavoitettava POKéMON, jonka sanotaan tuovan onnea niille, jotka onnistuvat nappaamaan sellaisen.")</f>
        <v>Harvinainen ja vaikeasti tavoitettava POKéMON, jonka sanotaan tuovan onnea niille, jotka onnistuvat nappaamaan sellaisen.</v>
      </c>
      <c r="C2733" s="9" t="s">
        <v>1344</v>
      </c>
    </row>
    <row r="2734" ht="33.75" customHeight="1">
      <c r="A2734" s="6" t="s">
        <v>4088</v>
      </c>
      <c r="B2734" s="6" t="str">
        <f>IFERROR(__xludf.DUMMYFUNCTION("GOOGLETRANSLATE(A2734,""en"",""fi"")"),"Sen sanotaan tuovan onnellisuutta. Myötätuntoisena se jakaa munansa loukkaantuneiden ihmisten kanssa.")</f>
        <v>Sen sanotaan tuovan onnellisuutta. Myötätuntoisena se jakaa munansa loukkaantuneiden ihmisten kanssa.</v>
      </c>
      <c r="C2734" s="9" t="s">
        <v>1344</v>
      </c>
    </row>
    <row r="2735" ht="33.75" customHeight="1">
      <c r="A2735" s="6" t="s">
        <v>4090</v>
      </c>
      <c r="B2735" s="6" t="str">
        <f>IFERROR(__xludf.DUMMYFUNCTION("GOOGLETRANSLATE(A2735,""en"",""fi"")"),"Se munii useita munia päivässä eikä jaa niitä niiden kanssa, joilla on pahuus sydämessään.")</f>
        <v>Se munii useita munia päivässä eikä jaa niitä niiden kanssa, joilla on pahuus sydämessään.</v>
      </c>
      <c r="C2735" s="9" t="s">
        <v>1344</v>
      </c>
    </row>
    <row r="2736" ht="33.75" customHeight="1">
      <c r="A2736" s="6" t="s">
        <v>4092</v>
      </c>
      <c r="B2736" s="6" t="str">
        <f>IFERROR(__xludf.DUMMYFUNCTION("GOOGLETRANSLATE(A2736,""en"",""fi"")"),"Ystävällinen Pokémon, joka munii erittäin ravitsevia munia ja jakaa niitä loukkaantuneiden Pokémonien tai ihmisten kanssa.")</f>
        <v>Ystävällinen Pokémon, joka munii erittäin ravitsevia munia ja jakaa niitä loukkaantuneiden Pokémonien tai ihmisten kanssa.</v>
      </c>
      <c r="C2736" s="9" t="s">
        <v>1344</v>
      </c>
    </row>
    <row r="2737" ht="33.75" customHeight="1">
      <c r="A2737" s="6" t="s">
        <v>4093</v>
      </c>
      <c r="B2737" s="6" t="str">
        <f>IFERROR(__xludf.DUMMYFUNCTION("GOOGLETRANSLATE(A2737,""en"",""fi"")"),"Koska sitä on vähän ja se on vaikea pyydystää, sen sanotaan tuovan onnea kouluttajalle, joka sen pyydystää.")</f>
        <v>Koska sitä on vähän ja se on vaikea pyydystää, sen sanotaan tuovan onnea kouluttajalle, joka sen pyydystää.</v>
      </c>
      <c r="C2737" s="9" t="s">
        <v>1344</v>
      </c>
    </row>
    <row r="2738" ht="33.75" customHeight="1">
      <c r="A2738" s="6" t="s">
        <v>4095</v>
      </c>
      <c r="B2738" s="6" t="str">
        <f>IFERROR(__xludf.DUMMYFUNCTION("GOOGLETRANSLATE(A2738,""en"",""fi"")"),"Chansey munii ravitsemuksellisesti erinomaisia ​​munia päivittäin. Munat ovat niin herkullisia, että jopa ruokahalunsa menettäneet ihmiset ahmivat ne helposti ja innokkaasti.")</f>
        <v>Chansey munii ravitsemuksellisesti erinomaisia ​​munia päivittäin. Munat ovat niin herkullisia, että jopa ruokahalunsa menettäneet ihmiset ahmivat ne helposti ja innokkaasti.</v>
      </c>
      <c r="C2738" s="9" t="s">
        <v>1344</v>
      </c>
    </row>
    <row r="2739" ht="33.75" customHeight="1">
      <c r="A2739" s="6" t="s">
        <v>4096</v>
      </c>
      <c r="B2739" s="6" t="str">
        <f>IFERROR(__xludf.DUMMYFUNCTION("GOOGLETRANSLATE(A2739,""en"",""fi"")"),"Chanseyn munimat munat ovat ravinteikasta ja monien Pokémonien suosikkiruokaa.")</f>
        <v>Chanseyn munimat munat ovat ravinteikasta ja monien Pokémonien suosikkiruokaa.</v>
      </c>
      <c r="C2739" s="9" t="s">
        <v>1344</v>
      </c>
    </row>
    <row r="2740" ht="33.75" customHeight="1">
      <c r="A2740" s="6" t="s">
        <v>4098</v>
      </c>
      <c r="B2740" s="6" t="str">
        <f>IFERROR(__xludf.DUMMYFUNCTION("GOOGLETRANSLATE(A2740,""en"",""fi"")"),"Nämä Pokémonit eivät ole ainoastaan ​​nopeita juoksijoita, vaan niitä on myös vähän, joten jokaisen, joka löytää sellaisen, täytyy olla todella onnekas.")</f>
        <v>Nämä Pokémonit eivät ole ainoastaan ​​nopeita juoksijoita, vaan niitä on myös vähän, joten jokaisen, joka löytää sellaisen, täytyy olla todella onnekas.</v>
      </c>
      <c r="C2740" s="9" t="s">
        <v>1344</v>
      </c>
    </row>
    <row r="2741" ht="33.75" customHeight="1">
      <c r="A2741" s="6" t="s">
        <v>4100</v>
      </c>
      <c r="B2741" s="6" t="str">
        <f>IFERROR(__xludf.DUMMYFUNCTION("GOOGLETRANSLATE(A2741,""en"",""fi"")"),"Näyttää siltä, ​​että muiden Pokémonien yritykset ottaa siltä herkullinen ja ravitseva muna saivat Chanseyn pakenemaan nopeammin.")</f>
        <v>Näyttää siltä, ​​että muiden Pokémonien yritykset ottaa siltä herkullinen ja ravitseva muna saivat Chanseyn pakenemaan nopeammin.</v>
      </c>
      <c r="C2741" s="9" t="s">
        <v>1344</v>
      </c>
    </row>
    <row r="2742" ht="33.75" customHeight="1">
      <c r="A2742" s="6" t="s">
        <v>4101</v>
      </c>
      <c r="B2742" s="6" t="str">
        <f>IFERROR(__xludf.DUMMYFUNCTION("GOOGLETRANSLATE(A2742,""en"",""fi"")"),"Koska ihmiset ovat aiemmin kalastaneet liikaa niiden vatsassa olevia munia, Chanseyn populaatio on edelleen hyvin pieni.")</f>
        <v>Koska ihmiset ovat aiemmin kalastaneet liikaa niiden vatsassa olevia munia, Chanseyn populaatio on edelleen hyvin pieni.</v>
      </c>
      <c r="C2742" s="9" t="s">
        <v>1344</v>
      </c>
    </row>
    <row r="2743" ht="33.75" customHeight="1">
      <c r="A2743" s="6" t="s">
        <v>4103</v>
      </c>
      <c r="B2743" s="6" t="str">
        <f>IFERROR(__xludf.DUMMYFUNCTION("GOOGLETRANSLATE(A2743,""en"",""fi"")"),"Lempeä ja hyväsydäminen Pokémon, joka jakaa ravitsevia muniaan, jos se näkee loukkaantuneen Pokémonin.")</f>
        <v>Lempeä ja hyväsydäminen Pokémon, joka jakaa ravitsevia muniaan, jos se näkee loukkaantuneen Pokémonin.</v>
      </c>
      <c r="C2743" s="9" t="s">
        <v>1344</v>
      </c>
    </row>
    <row r="2744" ht="33.75" customHeight="1">
      <c r="A2744" s="6" t="s">
        <v>4104</v>
      </c>
      <c r="B2744" s="6" t="str">
        <f>IFERROR(__xludf.DUMMYFUNCTION("GOOGLETRANSLATE(A2744,""en"",""fi"")"),"Chanseyn kananmuna ei ole ainoastaan ​​herkullinen, vaan myös täynnä ravintoaineita. Sitä käytetään korkealaatuisena ruoanlaiton ainesosana.")</f>
        <v>Chanseyn kananmuna ei ole ainoastaan ​​herkullinen, vaan myös täynnä ravintoaineita. Sitä käytetään korkealaatuisena ruoanlaiton ainesosana.</v>
      </c>
      <c r="C2744" s="9" t="s">
        <v>1344</v>
      </c>
    </row>
    <row r="2745" ht="33.75" customHeight="1">
      <c r="A2745" s="6" t="s">
        <v>4106</v>
      </c>
      <c r="B2745" s="6" t="str">
        <f>IFERROR(__xludf.DUMMYFUNCTION("GOOGLETRANSLATE(A2745,""en"",""fi"")"),"Tämä laji oli aikoinaan hyvin hidas. Suojellakseen muniaan muilta olennoilta nämä Pokémonit oppivat pakenemaan nopeasti.")</f>
        <v>Tämä laji oli aikoinaan hyvin hidas. Suojellakseen muniaan muilta olennoilta nämä Pokémonit oppivat pakenemaan nopeasti.</v>
      </c>
      <c r="C2745" s="9" t="s">
        <v>1344</v>
      </c>
    </row>
    <row r="2746" ht="33.75" customHeight="1">
      <c r="A2746" s="6" t="s">
        <v>4107</v>
      </c>
      <c r="B2746" s="6" t="str">
        <f>IFERROR(__xludf.DUMMYFUNCTION("GOOGLETRANSLATE(A2746,""en"",""fi"")"),"Tämä puhdassydäminen Pokémon jakaa munansa haavoittuneiden kanssa.")</f>
        <v>Tämä puhdassydäminen Pokémon jakaa munansa haavoittuneiden kanssa.</v>
      </c>
      <c r="C2746" s="9" t="s">
        <v>1344</v>
      </c>
    </row>
    <row r="2747" ht="33.75" customHeight="1">
      <c r="A2747" s="6" t="s">
        <v>4109</v>
      </c>
      <c r="B2747" s="6" t="str">
        <f>IFERROR(__xludf.DUMMYFUNCTION("GOOGLETRANSLATE(A2747,""en"",""fi"")"),"Koko vartalo on peittynyt leveisiin, merilevän kaltaisiin köynnöksiin. Sen köynnökset tärisevät sen kävellessä.")</f>
        <v>Koko vartalo on peittynyt leveisiin, merilevän kaltaisiin köynnöksiin. Sen köynnökset tärisevät sen kävellessä.</v>
      </c>
      <c r="C2747" s="9" t="s">
        <v>1344</v>
      </c>
    </row>
    <row r="2748" ht="33.75" customHeight="1">
      <c r="A2748" s="6" t="s">
        <v>4110</v>
      </c>
      <c r="B2748" s="6" t="str">
        <f>IFERROR(__xludf.DUMMYFUNCTION("GOOGLETRANSLATE(A2748,""en"",""fi"")"),"Sen identiteettiä hämärtävät paksut, siniset köynnökset. Köynnösten sanotaan kasvavan jatkuvasti.")</f>
        <v>Sen identiteettiä hämärtävät paksut, siniset köynnökset. Köynnösten sanotaan kasvavan jatkuvasti.</v>
      </c>
      <c r="C2748" s="9" t="s">
        <v>1344</v>
      </c>
    </row>
    <row r="2749" ht="33.75" customHeight="1">
      <c r="A2749" s="6" t="s">
        <v>4112</v>
      </c>
      <c r="B2749" s="6" t="str">
        <f>IFERROR(__xludf.DUMMYFUNCTION("GOOGLETRANSLATE(A2749,""en"",""fi"")"),"Koko sen vartaloa peittävät köynnökset heiluvat jatkuvasti. Ne hermostuttavat tehokkaasti sen vihollisia.")</f>
        <v>Koko sen vartaloa peittävät köynnökset heiluvat jatkuvasti. Ne hermostuttavat tehokkaasti sen vihollisia.</v>
      </c>
      <c r="C2749" s="9" t="s">
        <v>1344</v>
      </c>
    </row>
    <row r="2750" ht="33.75" customHeight="1">
      <c r="A2750" s="6" t="s">
        <v>4114</v>
      </c>
      <c r="B2750" s="6" t="str">
        <f>IFERROR(__xludf.DUMMYFUNCTION("GOOGLETRANSLATE(A2750,""en"",""fi"")"),"Se sotkee ​​köynnöksillään minkä tahansa liikkuvan esineen. Niiden hienovarainen tärinä on kutittavaa, jos jäät ansaan.")</f>
        <v>Se sotkee ​​köynnöksillään minkä tahansa liikkuvan esineen. Niiden hienovarainen tärinä on kutittavaa, jos jäät ansaan.</v>
      </c>
      <c r="C2750" s="9" t="s">
        <v>1344</v>
      </c>
    </row>
    <row r="2751" ht="33.75" customHeight="1">
      <c r="A2751" s="6" t="s">
        <v>4115</v>
      </c>
      <c r="B2751" s="6" t="str">
        <f>IFERROR(__xludf.DUMMYFUNCTION("GOOGLETRANSLATE(A2751,""en"",""fi"")"),"Taistelun aikana se liikuttaa jatkuvasti vartaloaan peittäviä köynnöksiä ärsyttääkseen vastustajaansa.")</f>
        <v>Taistelun aikana se liikuttaa jatkuvasti vartaloaan peittäviä köynnöksiä ärsyttääkseen vastustajaansa.</v>
      </c>
      <c r="C2751" s="9" t="s">
        <v>1344</v>
      </c>
    </row>
    <row r="2752" ht="33.75" customHeight="1">
      <c r="A2752" s="6" t="s">
        <v>4116</v>
      </c>
      <c r="B2752" s="6" t="str">
        <f>IFERROR(__xludf.DUMMYFUNCTION("GOOGLETRANSLATE(A2752,""en"",""fi"")"),"TANGELAn köynnökset katkeavat helposti, jos niihin tarttuu. Tämä tapahtuu kivuttomasti, minkä ansiosta se pääsee nopeasti pakoon. Kadonneet köynnökset korvataan uusilla jo seuraavana päivänä.")</f>
        <v>TANGELAn köynnökset katkeavat helposti, jos niihin tarttuu. Tämä tapahtuu kivuttomasti, minkä ansiosta se pääsee nopeasti pakoon. Kadonneet köynnökset korvataan uusilla jo seuraavana päivänä.</v>
      </c>
      <c r="C2752" s="9" t="s">
        <v>1344</v>
      </c>
    </row>
    <row r="2753" ht="33.75" customHeight="1">
      <c r="A2753" s="6" t="s">
        <v>4117</v>
      </c>
      <c r="B2753" s="6" t="str">
        <f>IFERROR(__xludf.DUMMYFUNCTION("GOOGLETRANSLATE(A2753,""en"",""fi"")"),"Sen köynnökset katkeavat helposti ja kivuttomasti, jos niihin tarttuu, jolloin se pääsee nopeasti pakoon. Kadonneet köynnökset korvautuvat uusilla versoilla jo seuraavana päivänä.")</f>
        <v>Sen köynnökset katkeavat helposti ja kivuttomasti, jos niihin tarttuu, jolloin se pääsee nopeasti pakoon. Kadonneet köynnökset korvautuvat uusilla versoilla jo seuraavana päivänä.</v>
      </c>
      <c r="C2753" s="9" t="s">
        <v>1344</v>
      </c>
    </row>
    <row r="2754" ht="33.75" customHeight="1">
      <c r="A2754" s="6" t="s">
        <v>4118</v>
      </c>
      <c r="B2754" s="6" t="str">
        <f>IFERROR(__xludf.DUMMYFUNCTION("GOOGLETRANSLATE(A2754,""en"",""fi"")"),"Siniset köynnökset kätkevät POKéMONien identiteetin takkuiseen massaan. Se kietoo sisäänsä kaiken lähelle tulevan.")</f>
        <v>Siniset köynnökset kätkevät POKéMONien identiteetin takkuiseen massaan. Se kietoo sisäänsä kaiken lähelle tulevan.</v>
      </c>
      <c r="C2754" s="9" t="s">
        <v>1344</v>
      </c>
    </row>
    <row r="2755" ht="33.75" customHeight="1">
      <c r="A2755" s="6" t="s">
        <v>4119</v>
      </c>
      <c r="B2755" s="6" t="str">
        <f>IFERROR(__xludf.DUMMYFUNCTION("GOOGLETRANSLATE(A2755,""en"",""fi"")"),"Koko vartalo on leveiden, merilevän kaltaisten köynnösten peitossa. Köynnökset huojuvat sen kävellessä.")</f>
        <v>Koko vartalo on leveiden, merilevän kaltaisten köynnösten peitossa. Köynnökset huojuvat sen kävellessä.</v>
      </c>
      <c r="C2755" s="9" t="s">
        <v>1344</v>
      </c>
    </row>
    <row r="2756" ht="33.75" customHeight="1">
      <c r="A2756" s="6" t="s">
        <v>4120</v>
      </c>
      <c r="B2756" s="6" t="str">
        <f>IFERROR(__xludf.DUMMYFUNCTION("GOOGLETRANSLATE(A2756,""en"",""fi"")"),"Sitä ympäröivät siniset köynnökset. Kukaan ei ole nähnyt tämän köynnöskasvuston takana piilevää kasvoja.")</f>
        <v>Sitä ympäröivät siniset köynnökset. Kukaan ei ole nähnyt tämän köynnöskasvuston takana piilevää kasvoja.</v>
      </c>
      <c r="C2756" s="9" t="s">
        <v>1344</v>
      </c>
    </row>
    <row r="2757" ht="33.75" customHeight="1">
      <c r="A2757" s="6" t="s">
        <v>4121</v>
      </c>
      <c r="B2757" s="6" t="str">
        <f>IFERROR(__xludf.DUMMYFUNCTION("GOOGLETRANSLATE(A2757,""en"",""fi"")"),"Sen vartaloa ympäröivät siniset köynnökset ovat hienojen karvojen peitossa. Sen tiedetään olevan kutiava.")</f>
        <v>Sen vartaloa ympäröivät siniset köynnökset ovat hienojen karvojen peitossa. Sen tiedetään olevan kutiava.</v>
      </c>
      <c r="C2757" s="9" t="s">
        <v>1344</v>
      </c>
    </row>
    <row r="2758" ht="33.75" customHeight="1">
      <c r="A2758" s="6" t="s">
        <v>4122</v>
      </c>
      <c r="B2758" s="6" t="str">
        <f>IFERROR(__xludf.DUMMYFUNCTION("GOOGLETRANSLATE(A2758,""en"",""fi"")"),"Koko sen vartaloa peittävät köynnökset heiluvat jatkuvasti. Ne hermostuttavat tehokkaasti sen vihollisia.")</f>
        <v>Koko sen vartaloa peittävät köynnökset heiluvat jatkuvasti. Ne hermostuttavat tehokkaasti sen vihollisia.</v>
      </c>
      <c r="C2758" s="9" t="s">
        <v>1344</v>
      </c>
    </row>
    <row r="2759" ht="33.75" customHeight="1">
      <c r="A2759" s="6" t="s">
        <v>4123</v>
      </c>
      <c r="B2759" s="6" t="str">
        <f>IFERROR(__xludf.DUMMYFUNCTION("GOOGLETRANSLATE(A2759,""en"",""fi"")"),"Monet kiemurtelevat köynnökset peittävät sitä, joten sen todellinen identiteetti jää tuntemattomaksi. Siniset köynnökset kasvavat koko sen elämän ajan.")</f>
        <v>Monet kiemurtelevat köynnökset peittävät sitä, joten sen todellinen identiteetti jää tuntemattomaksi. Siniset köynnökset kasvavat koko sen elämän ajan.</v>
      </c>
      <c r="C2759" s="9" t="s">
        <v>1344</v>
      </c>
    </row>
    <row r="2760" ht="33.75" customHeight="1">
      <c r="A2760" s="6" t="s">
        <v>4124</v>
      </c>
      <c r="B2760" s="6" t="str">
        <f>IFERROR(__xludf.DUMMYFUNCTION("GOOGLETRANSLATE(A2760,""en"",""fi"")"),"Tangelan köynnökset katkeavat helposti, jos niihin tarttuu. Tämä tapahtuu kivuttomasti, minkä ansiosta se pääsee nopeasti pakoon. Kadonneet köynnökset korvautuvat uusilla jo seuraavana päivänä.")</f>
        <v>Tangelan köynnökset katkeavat helposti, jos niihin tarttuu. Tämä tapahtuu kivuttomasti, minkä ansiosta se pääsee nopeasti pakoon. Kadonneet köynnökset korvautuvat uusilla jo seuraavana päivänä.</v>
      </c>
      <c r="C2760" s="9" t="s">
        <v>1344</v>
      </c>
    </row>
    <row r="2761" ht="33.75" customHeight="1">
      <c r="A2761" s="6" t="s">
        <v>4126</v>
      </c>
      <c r="B2761" s="6" t="str">
        <f>IFERROR(__xludf.DUMMYFUNCTION("GOOGLETRANSLATE(A2761,""en"",""fi"")"),"Sen identiteettiä hämärtävät paksut siniset köynnökset. Köynnösten sanotaan kasvavan jatkuvasti.")</f>
        <v>Sen identiteettiä hämärtävät paksut siniset köynnökset. Köynnösten sanotaan kasvavan jatkuvasti.</v>
      </c>
      <c r="C2761" s="9" t="s">
        <v>1344</v>
      </c>
    </row>
    <row r="2762" ht="33.75" customHeight="1">
      <c r="A2762" s="6" t="s">
        <v>4127</v>
      </c>
      <c r="B2762" s="6" t="str">
        <f>IFERROR(__xludf.DUMMYFUNCTION("GOOGLETRANSLATE(A2762,""en"",""fi"")"),"Köynnösvyyhden alle piiloutuneena, vaikka köynnökset revittäisiin irti, tämän Pokémonin todellinen ulkonäkö on edelleen mysteeri.")</f>
        <v>Köynnösvyyhden alle piiloutuneena, vaikka köynnökset revittäisiin irti, tämän Pokémonin todellinen ulkonäkö on edelleen mysteeri.</v>
      </c>
      <c r="C2762" s="9" t="s">
        <v>1344</v>
      </c>
    </row>
    <row r="2763" ht="33.75" customHeight="1">
      <c r="A2763" s="6" t="s">
        <v>4129</v>
      </c>
      <c r="B2763" s="6" t="str">
        <f>IFERROR(__xludf.DUMMYFUNCTION("GOOGLETRANSLATE(A2763,""en"",""fi"")"),"Tangela-köynnöksillä on tunnusomainen tuoksu. Joissakin Galarin osissa Tangela-köynnöksiä käytetään yrtteinä.")</f>
        <v>Tangela-köynnöksillä on tunnusomainen tuoksu. Joissakin Galarin osissa Tangela-köynnöksiä käytetään yrtteinä.</v>
      </c>
      <c r="C2763" s="9" t="s">
        <v>1344</v>
      </c>
    </row>
    <row r="2764" ht="33.75" customHeight="1">
      <c r="A2764" s="6" t="s">
        <v>4130</v>
      </c>
      <c r="B2764" s="6" t="str">
        <f>IFERROR(__xludf.DUMMYFUNCTION("GOOGLETRANSLATE(A2764,""en"",""fi"")"),"Se on kokonaan sinisten köynnösten peitossa, mikä estää vilauksen sen todellisesta luonteesta. Köynnökset antavat pureskeltaessa virkistävän tunteen – ne ovat hyödyllinen mauste.")</f>
        <v>Se on kokonaan sinisten köynnösten peitossa, mikä estää vilauksen sen todellisesta luonteesta. Köynnökset antavat pureskeltaessa virkistävän tunteen – ne ovat hyödyllinen mauste.</v>
      </c>
      <c r="C2764" s="9" t="s">
        <v>1344</v>
      </c>
    </row>
    <row r="2765" ht="33.75" customHeight="1">
      <c r="A2765" s="6" t="s">
        <v>4132</v>
      </c>
      <c r="B2765" s="6" t="str">
        <f>IFERROR(__xludf.DUMMYFUNCTION("GOOGLETRANSLATE(A2765,""en"",""fi"")"),"Vauva uskaltautuu harvoin ulos äitinsä suojapussista ennen kuin se on 3-vuotias.")</f>
        <v>Vauva uskaltautuu harvoin ulos äitinsä suojapussista ennen kuin se on 3-vuotias.</v>
      </c>
      <c r="C2765" s="9" t="s">
        <v>1344</v>
      </c>
    </row>
    <row r="2766" ht="33.75" customHeight="1">
      <c r="A2766" s="6" t="s">
        <v>4133</v>
      </c>
      <c r="B2766" s="6" t="str">
        <f>IFERROR(__xludf.DUMMYFUNCTION("GOOGLETRANSLATE(A2766,""en"",""fi"")"),"Kasvattaa poikasensa vatsapussissaan. Ei pakene taistelua suojellakseen poikasiaan.")</f>
        <v>Kasvattaa poikasensa vatsapussissaan. Ei pakene taistelua suojellakseen poikasiaan.</v>
      </c>
      <c r="C2766" s="9" t="s">
        <v>1344</v>
      </c>
    </row>
    <row r="2767" ht="33.75" customHeight="1">
      <c r="A2767" s="6" t="s">
        <v>4135</v>
      </c>
      <c r="B2767" s="6" t="str">
        <f>IFERROR(__xludf.DUMMYFUNCTION("GOOGLETRANSLATE(A2767,""en"",""fi"")"),"Jos se on turvallista, poikanen nousee vatsapussista leikkimään. Aikuinen pitää poikasta tarkasti silmällä.")</f>
        <v>Jos se on turvallista, poikanen nousee vatsapussista leikkimään. Aikuinen pitää poikasta tarkasti silmällä.</v>
      </c>
      <c r="C2767" s="9" t="s">
        <v>1344</v>
      </c>
    </row>
    <row r="2768" ht="33.75" customHeight="1">
      <c r="A2768" s="6" t="s">
        <v>4138</v>
      </c>
      <c r="B2768" s="6" t="str">
        <f>IFERROR(__xludf.DUMMYFUNCTION("GOOGLETRANSLATE(A2768,""en"",""fi"")"),"Suojellakseen poikasiaan se ei koskaan anna periksi taistelussa, olipa haavoittunut kuinka pahasti tahansa.")</f>
        <v>Suojellakseen poikasiaan se ei koskaan anna periksi taistelussa, olipa haavoittunut kuinka pahasti tahansa.</v>
      </c>
      <c r="C2768" s="9" t="s">
        <v>1344</v>
      </c>
    </row>
    <row r="2769" ht="33.75" customHeight="1">
      <c r="A2769" s="6" t="s">
        <v>4140</v>
      </c>
      <c r="B2769" s="6" t="str">
        <f>IFERROR(__xludf.DUMMYFUNCTION("GOOGLETRANSLATE(A2769,""en"",""fi"")"),"Välttääkseen vauvan murskaantumisen pussissaan, se nukkuu aina seisten.")</f>
        <v>Välttääkseen vauvan murskaantumisen pussissaan, se nukkuu aina seisten.</v>
      </c>
      <c r="C2769" s="9" t="s">
        <v>1344</v>
      </c>
    </row>
    <row r="2770" ht="33.75" customHeight="1">
      <c r="A2770" s="6" t="s">
        <v>4141</v>
      </c>
      <c r="B2770" s="6" t="str">
        <f>IFERROR(__xludf.DUMMYFUNCTION("GOOGLETRANSLATE(A2770,""en"",""fi"")"),"Jos kohtaat yksin leikkivän KANGASKHANin, älä koskaan häiritse sitä tai yritä saada sitä kiinni. Vauva-POKéMONin vanhempi on varmasti lähistöllä, ja se raivostuu sinulle rajusti.")</f>
        <v>Jos kohtaat yksin leikkivän KANGASKHANin, älä koskaan häiritse sitä tai yritä saada sitä kiinni. Vauva-POKéMONin vanhempi on varmasti lähistöllä, ja se raivostuu sinulle rajusti.</v>
      </c>
      <c r="C2770" s="9" t="s">
        <v>1344</v>
      </c>
    </row>
    <row r="2771" ht="33.75" customHeight="1">
      <c r="A2771" s="6" t="s">
        <v>4142</v>
      </c>
      <c r="B2771" s="6" t="str">
        <f>IFERROR(__xludf.DUMMYFUNCTION("GOOGLETRANSLATE(A2771,""en"",""fi"")"),"Jos kohtaat yksin leikkivän pienen KANGASKHANin, älä koskaan yritä saada sitä kiinni. Vauvan vanhempi on varmasti lähistöllä, ja vauva raivostuu rajusti.")</f>
        <v>Jos kohtaat yksin leikkivän pienen KANGASKHANin, älä koskaan yritä saada sitä kiinni. Vauvan vanhempi on varmasti lähistöllä, ja vauva raivostuu rajusti.</v>
      </c>
      <c r="C2771" s="9" t="s">
        <v>1344</v>
      </c>
    </row>
    <row r="2772" ht="33.75" customHeight="1">
      <c r="A2772" s="6" t="s">
        <v>4143</v>
      </c>
      <c r="B2772" s="6" t="str">
        <f>IFERROR(__xludf.DUMMYFUNCTION("GOOGLETRANSLATE(A2772,""en"",""fi"")"),"Naaras kasvattaa jälkeläisensä vatsallaan olevassa pussissa. Se on taitava hyökkäämään KOMEETTAISKUA käyttäen.")</f>
        <v>Naaras kasvattaa jälkeläisensä vatsallaan olevassa pussissa. Se on taitava hyökkäämään KOMEETTAISKUA käyttäen.</v>
      </c>
      <c r="C2772" s="9" t="s">
        <v>1344</v>
      </c>
    </row>
    <row r="2773" ht="33.75" customHeight="1">
      <c r="A2773" s="6" t="s">
        <v>4144</v>
      </c>
      <c r="B2773" s="6" t="str">
        <f>IFERROR(__xludf.DUMMYFUNCTION("GOOGLETRANSLATE(A2773,""en"",""fi"")"),"Vauva uskaltautuu harvoin ulos äitinsä suojapussista ennen kuin se on kolmevuotias.")</f>
        <v>Vauva uskaltautuu harvoin ulos äitinsä suojapussista ennen kuin se on kolmevuotias.</v>
      </c>
      <c r="C2773" s="9" t="s">
        <v>1344</v>
      </c>
    </row>
    <row r="2774" ht="33.75" customHeight="1">
      <c r="A2774" s="6" t="s">
        <v>4145</v>
      </c>
      <c r="B2774" s="6" t="str">
        <f>IFERROR(__xludf.DUMMYFUNCTION("GOOGLETRANSLATE(A2774,""en"",""fi"")"),"Se kasvattaa jälkeläisensä vatsapussissaan. Se päästää poikasen ulos leikkimään vain silloin, kun se tuntee olonsa turvalliseksi.")</f>
        <v>Se kasvattaa jälkeläisensä vatsapussissaan. Se päästää poikasen ulos leikkimään vain silloin, kun se tuntee olonsa turvalliseksi.</v>
      </c>
      <c r="C2774" s="9" t="s">
        <v>1344</v>
      </c>
    </row>
    <row r="2775" ht="33.75" customHeight="1">
      <c r="A2775" s="6" t="s">
        <v>4146</v>
      </c>
      <c r="B2775" s="6" t="str">
        <f>IFERROR(__xludf.DUMMYFUNCTION("GOOGLETRANSLATE(A2775,""en"",""fi"")"),"Jos kohtaat yksin leikkivän Kangaskhanin, älä koskaan häiritse sitä tai yritä saada sitä kiinni. Vauvan Pokémonin vanhempi on varmasti lähistöllä, ja se raivostuu sinulle rajusti.")</f>
        <v>Jos kohtaat yksin leikkivän Kangaskhanin, älä koskaan häiritse sitä tai yritä saada sitä kiinni. Vauvan Pokémonin vanhempi on varmasti lähistöllä, ja se raivostuu sinulle rajusti.</v>
      </c>
      <c r="C2775" s="9" t="s">
        <v>1344</v>
      </c>
    </row>
    <row r="2776" ht="33.75" customHeight="1">
      <c r="A2776" s="6" t="s">
        <v>4148</v>
      </c>
      <c r="B2776" s="6" t="str">
        <f>IFERROR(__xludf.DUMMYFUNCTION("GOOGLETRANSLATE(A2776,""en"",""fi"")"),"Kangaskhanin äidinrakkaus on niin syvää, että se uhmaa kuolemaa suojellakseen jälkeläisiään.")</f>
        <v>Kangaskhanin äidinrakkaus on niin syvää, että se uhmaa kuolemaa suojellakseen jälkeläisiään.</v>
      </c>
      <c r="C2776" s="9" t="s">
        <v>1344</v>
      </c>
    </row>
    <row r="2777" ht="33.75" customHeight="1">
      <c r="A2777" s="6" t="s">
        <v>4151</v>
      </c>
      <c r="B2777" s="6" t="str">
        <f>IFERROR(__xludf.DUMMYFUNCTION("GOOGLETRANSLATE(A2777,""en"",""fi"")"),"Lapsi pussukassa lähtee kotoa noin kolmen vuoden iän jälkeen. Se on ainoa kerta, kun äidin kuullaan itkevän villisti.")</f>
        <v>Lapsi pussukassa lähtee kotoa noin kolmen vuoden iän jälkeen. Se on ainoa kerta, kun äidin kuullaan itkevän villisti.</v>
      </c>
      <c r="C2777" s="9" t="s">
        <v>1344</v>
      </c>
    </row>
    <row r="2778" ht="33.75" customHeight="1">
      <c r="A2778" s="6" t="s">
        <v>4153</v>
      </c>
      <c r="B2778" s="6" t="str">
        <f>IFERROR(__xludf.DUMMYFUNCTION("GOOGLETRANSLATE(A2778,""en"",""fi"")"),"Kangaskhan suojelee lastaan ​​pitämällä tätä pussukassa. Se ei anna minkäänlaista anteeksi niille, jotka vahingoittavat sen lasta, ja lyö heidät alas.")</f>
        <v>Kangaskhan suojelee lastaan ​​pitämällä tätä pussukassa. Se ei anna minkäänlaista anteeksi niille, jotka vahingoittavat sen lasta, ja lyö heidät alas.</v>
      </c>
      <c r="C2778" s="9" t="s">
        <v>1344</v>
      </c>
    </row>
    <row r="2779" ht="33.75" customHeight="1">
      <c r="A2779" s="6" t="s">
        <v>4155</v>
      </c>
      <c r="B2779" s="6" t="str">
        <f>IFERROR(__xludf.DUMMYFUNCTION("GOOGLETRANSLATE(A2779,""en"",""fi"")"),"Sinun ei pitäisi mennä lähelle lasta, kun se leikkii emonsa pussin ulkopuolella. Äiti on aina lähellä ja pitää siitä huolta.")</f>
        <v>Sinun ei pitäisi mennä lähelle lasta, kun se leikkii emonsa pussin ulkopuolella. Äiti on aina lähellä ja pitää siitä huolta.</v>
      </c>
      <c r="C2779" s="9" t="s">
        <v>1344</v>
      </c>
    </row>
    <row r="2780" ht="33.75" customHeight="1">
      <c r="A2780" s="6" t="s">
        <v>4157</v>
      </c>
      <c r="B2780" s="6" t="str">
        <f>IFERROR(__xludf.DUMMYFUNCTION("GOOGLETRANSLATE(A2780,""en"",""fi"")"),"Kasvattaa poikasensa vatsapussissaan. Ei pakene taistelua suojellakseen poikasiaan.")</f>
        <v>Kasvattaa poikasensa vatsapussissaan. Ei pakene taistelua suojellakseen poikasiaan.</v>
      </c>
      <c r="C2780" s="9" t="s">
        <v>1344</v>
      </c>
    </row>
    <row r="2781" ht="33.75" customHeight="1">
      <c r="A2781" s="6" t="s">
        <v>4159</v>
      </c>
      <c r="B2781" s="6" t="str">
        <f>IFERROR(__xludf.DUMMYFUNCTION("GOOGLETRANSLATE(A2781,""en"",""fi"")"),"Vaikka Kangaskhan kantaa vauvaansa pussissa vatsallaan, se on nopea jaloillaan. Se pelottelee vastustajiaan nopeilla iskuilla.")</f>
        <v>Vaikka Kangaskhan kantaa vauvaansa pussissa vatsallaan, se on nopea jaloillaan. Se pelottelee vastustajiaan nopeilla iskuilla.</v>
      </c>
      <c r="C2781" s="9" t="s">
        <v>1344</v>
      </c>
    </row>
    <row r="2782" ht="33.75" customHeight="1">
      <c r="A2782" s="6" t="s">
        <v>4161</v>
      </c>
      <c r="B2782" s="6" t="str">
        <f>IFERROR(__xludf.DUMMYFUNCTION("GOOGLETRANSLATE(A2782,""en"",""fi"")"),"On olemassa tietoja kadonneesta ihmislapsesta, jonka lapseton Kangaskhan kasvatti.")</f>
        <v>On olemassa tietoja kadonneesta ihmislapsesta, jonka lapseton Kangaskhan kasvatti.</v>
      </c>
      <c r="C2782" s="9" t="s">
        <v>1344</v>
      </c>
    </row>
    <row r="2783" ht="33.75" customHeight="1">
      <c r="A2783" s="6" t="s">
        <v>4163</v>
      </c>
      <c r="B2783" s="6" t="str">
        <f>IFERROR(__xludf.DUMMYFUNCTION("GOOGLETRANSLATE(A2783,""en"",""fi"")"),"Tunnetaan siitä, että se ampuu alas lentäviä hyönteisiä tarkoilla mustesuihkuilla veden pinnalta.")</f>
        <v>Tunnetaan siitä, että se ampuu alas lentäviä hyönteisiä tarkoilla mustesuihkuilla veden pinnalta.</v>
      </c>
      <c r="C2783" s="9" t="s">
        <v>1344</v>
      </c>
    </row>
    <row r="2784" ht="33.75" customHeight="1">
      <c r="A2784" s="6" t="s">
        <v>4164</v>
      </c>
      <c r="B2784" s="6" t="str">
        <f>IFERROR(__xludf.DUMMYFUNCTION("GOOGLETRANSLATE(A2784,""en"",""fi"")"),"Jos se aistii vaaran, se suihkuttaa voimakkaasti vettä tai erityistä mustetta suustaan.")</f>
        <v>Jos se aistii vaaran, se suihkuttaa voimakkaasti vettä tai erityistä mustetta suustaan.</v>
      </c>
      <c r="C2784" s="9" t="s">
        <v>1344</v>
      </c>
    </row>
    <row r="2785" ht="33.75" customHeight="1">
      <c r="A2785" s="6" t="s">
        <v>4166</v>
      </c>
      <c r="B2785" s="6" t="str">
        <f>IFERROR(__xludf.DUMMYFUNCTION("GOOGLETRANSLATE(A2785,""en"",""fi"")"),"Jos suurempi vihollinen hyökkää sitä vastaan, se ui nopeasti turvaan hallitsemalla taitavasti selkäeväänsä.")</f>
        <v>Jos suurempi vihollinen hyökkää sitä vastaan, se ui nopeasti turvaan hallitsemalla taitavasti selkäeväänsä.</v>
      </c>
      <c r="C2785" s="9" t="s">
        <v>1344</v>
      </c>
    </row>
    <row r="2786" ht="33.75" customHeight="1">
      <c r="A2786" s="6" t="s">
        <v>4168</v>
      </c>
      <c r="B2786" s="6" t="str">
        <f>IFERROR(__xludf.DUMMYFUNCTION("GOOGLETRANSLATE(A2786,""en"",""fi"")"),"Sen suuret, kehittyneet evät liikkuvat nopeasti, minkä ansiosta se voi uida taaksepäin katsomatta edelleen eteenpäin.")</f>
        <v>Sen suuret, kehittyneet evät liikkuvat nopeasti, minkä ansiosta se voi uida taaksepäin katsomatta edelleen eteenpäin.</v>
      </c>
      <c r="C2786" s="9" t="s">
        <v>1344</v>
      </c>
    </row>
    <row r="2787" ht="33.75" customHeight="1">
      <c r="A2787" s="6" t="s">
        <v>4170</v>
      </c>
      <c r="B2787" s="6" t="str">
        <f>IFERROR(__xludf.DUMMYFUNCTION("GOOGLETRANSLATE(A2787,""en"",""fi"")"),"Turvallisessa paikassa ne voivat nähdä leikkisästi sotkemassa häntiään yhteen.")</f>
        <v>Turvallisessa paikassa ne voivat nähdä leikkisästi sotkemassa häntiään yhteen.</v>
      </c>
      <c r="C2787" s="9" t="s">
        <v>1344</v>
      </c>
    </row>
    <row r="2788" ht="33.75" customHeight="1">
      <c r="A2788" s="6" t="s">
        <v>4172</v>
      </c>
      <c r="B2788" s="6" t="str">
        <f>IFERROR(__xludf.DUMMYFUNCTION("GOOGLETRANSLATE(A2788,""en"",""fi"")"),"HEVONEN syö pieniä hyönteisiä ja sammalta kivistä. Jos merivirta muuttuu nopeaksi, tämä POKéMON ankkuroi itsensä kietomalla pyrstönsä kivien tai korallien ympärille estääkseen sen huuhtoutumisen pois.")</f>
        <v>HEVONEN syö pieniä hyönteisiä ja sammalta kivistä. Jos merivirta muuttuu nopeaksi, tämä POKéMON ankkuroi itsensä kietomalla pyrstönsä kivien tai korallien ympärille estääkseen sen huuhtoutumisen pois.</v>
      </c>
      <c r="C2788" s="9" t="s">
        <v>1344</v>
      </c>
    </row>
    <row r="2789" ht="33.75" customHeight="1">
      <c r="A2789" s="6" t="s">
        <v>4173</v>
      </c>
      <c r="B2789" s="6" t="str">
        <f>IFERROR(__xludf.DUMMYFUNCTION("GOOGLETRANSLATE(A2789,""en"",""fi"")"),"Jos HEVONEN aistii vaaran, se suihkuttaa refleksinomaisesti suustaan ​​tiheää mustaa mustetta ja yrittää paeta. Tämä POKéMON ui räpyttelemällä taitavasti eviään selässään.")</f>
        <v>Jos HEVONEN aistii vaaran, se suihkuttaa refleksinomaisesti suustaan ​​tiheää mustaa mustetta ja yrittää paeta. Tämä POKéMON ui räpyttelemällä taitavasti eviään selässään.</v>
      </c>
      <c r="C2789" s="9" t="s">
        <v>1344</v>
      </c>
    </row>
    <row r="2790" ht="33.75" customHeight="1">
      <c r="A2790" s="6" t="s">
        <v>4175</v>
      </c>
      <c r="B2790" s="6" t="str">
        <f>IFERROR(__xludf.DUMMYFUNCTION("GOOGLETRANSLATE(A2790,""en"",""fi"")"),"Heilauttamalla taitavasti selkäeviä puolelta toiselle se liikkuu mihin tahansa suuntaan katsoessaan eteenpäin. Se sylkee mustetta paetakseen, jos se aistii vaaran.")</f>
        <v>Heilauttamalla taitavasti selkäeviä puolelta toiselle se liikkuu mihin tahansa suuntaan katsoessaan eteenpäin. Se sylkee mustetta paetakseen, jos se aistii vaaran.</v>
      </c>
      <c r="C2790" s="9" t="s">
        <v>1344</v>
      </c>
    </row>
    <row r="2791" ht="33.75" customHeight="1">
      <c r="A2791" s="6" t="s">
        <v>4177</v>
      </c>
      <c r="B2791" s="6" t="str">
        <f>IFERROR(__xludf.DUMMYFUNCTION("GOOGLETRANSLATE(A2791,""en"",""fi"")"),"Se pitää tasapainon yllä pyrstöllään, joka on kierretty kelan muotoon. Se voi suihkuttaa mustetta suustaan.")</f>
        <v>Se pitää tasapainon yllä pyrstöllään, joka on kierretty kelan muotoon. Se voi suihkuttaa mustetta suustaan.</v>
      </c>
      <c r="C2791" s="9" t="s">
        <v>1344</v>
      </c>
    </row>
    <row r="2792" ht="33.75" customHeight="1">
      <c r="A2792" s="6" t="s">
        <v>4178</v>
      </c>
      <c r="B2792" s="6" t="str">
        <f>IFERROR(__xludf.DUMMYFUNCTION("GOOGLETRANSLATE(A2792,""en"",""fi"")"),"Se tekee pesänsä korallien varjoon. Jos se aistii vaaran, se sylkee sameaa mustetta ja pakenee.")</f>
        <v>Se tekee pesänsä korallien varjoon. Jos se aistii vaaran, se sylkee sameaa mustetta ja pakenee.</v>
      </c>
      <c r="C2792" s="9" t="s">
        <v>1344</v>
      </c>
    </row>
    <row r="2793" ht="33.75" customHeight="1">
      <c r="A2793" s="6" t="s">
        <v>4180</v>
      </c>
      <c r="B2793" s="6" t="str">
        <f>IFERROR(__xludf.DUMMYFUNCTION("GOOGLETRANSLATE(A2793,""en"",""fi"")"),"Jos suurempi vihollinen hyökkää sitä vastaan, se ui nopeasti turvaan hallitsemalla taitavasti hyvin kehittynyttä selkäeväänsä.")</f>
        <v>Jos suurempi vihollinen hyökkää sitä vastaan, se ui nopeasti turvaan hallitsemalla taitavasti hyvin kehittynyttä selkäeväänsä.</v>
      </c>
      <c r="C2793" s="9" t="s">
        <v>1344</v>
      </c>
    </row>
    <row r="2794" ht="33.75" customHeight="1">
      <c r="A2794" s="6" t="s">
        <v>4181</v>
      </c>
      <c r="B2794" s="6" t="str">
        <f>IFERROR(__xludf.DUMMYFUNCTION("GOOGLETRANSLATE(A2794,""en"",""fi"")"),"Horsea syö pieniä hyönteisiä ja sammalta kivistä. Jos merivirta muuttuu nopeaksi, tämä Pokémon ankkuroi itsensä kietomalla häntänsä kivien tai korallien ympärille estääkseen sen huuhtoutumisen pois.")</f>
        <v>Horsea syö pieniä hyönteisiä ja sammalta kivistä. Jos merivirta muuttuu nopeaksi, tämä Pokémon ankkuroi itsensä kietomalla häntänsä kivien tai korallien ympärille estääkseen sen huuhtoutumisen pois.</v>
      </c>
      <c r="C2794" s="9" t="s">
        <v>1344</v>
      </c>
    </row>
    <row r="2795" ht="33.75" customHeight="1">
      <c r="A2795" s="6" t="s">
        <v>4182</v>
      </c>
      <c r="B2795" s="6" t="str">
        <f>IFERROR(__xludf.DUMMYFUNCTION("GOOGLETRANSLATE(A2795,""en"",""fi"")"),"Jos Horsea aistii vaaran, se suihkuttaa refleksinomaisesti suustaan ​​tiheää mustaa mustetta ja yrittää paeta. Tämä Pokémon ui räpyttelemällä taitavasti evää selässään.")</f>
        <v>Jos Horsea aistii vaaran, se suihkuttaa refleksinomaisesti suustaan ​​tiheää mustaa mustetta ja yrittää paeta. Tämä Pokémon ui räpyttelemällä taitavasti evää selässään.</v>
      </c>
      <c r="C2795" s="9" t="s">
        <v>1344</v>
      </c>
    </row>
    <row r="2796" ht="33.75" customHeight="1">
      <c r="A2796" s="6" t="s">
        <v>4183</v>
      </c>
      <c r="B2796" s="6" t="str">
        <f>IFERROR(__xludf.DUMMYFUNCTION("GOOGLETRANSLATE(A2796,""en"",""fi"")"),"Horsea asuu valtamerissä, joissa on lempeät virtaukset. Jos tämä Pokémon on hyökkäyksen kohteena, se sylkee ulos pikimustaa mustetta ja pakenee.")</f>
        <v>Horsea asuu valtamerissä, joissa on lempeät virtaukset. Jos tämä Pokémon on hyökkäyksen kohteena, se sylkee ulos pikimustaa mustetta ja pakenee.</v>
      </c>
      <c r="C2796" s="9" t="s">
        <v>1344</v>
      </c>
    </row>
    <row r="2797" ht="33.75" customHeight="1">
      <c r="A2797" s="6" t="s">
        <v>4184</v>
      </c>
      <c r="B2797" s="6" t="str">
        <f>IFERROR(__xludf.DUMMYFUNCTION("GOOGLETRANSLATE(A2797,""en"",""fi"")"),"Ne uivat tanssimaisin liikkein ja aiheuttavat pyörteitä. Horseat kilpailevat siitä, mikä niistä pystyy tuottamaan suurimman pyörteen.")</f>
        <v>Ne uivat tanssimaisin liikkein ja aiheuttavat pyörteitä. Horseat kilpailevat siitä, mikä niistä pystyy tuottamaan suurimman pyörteen.</v>
      </c>
      <c r="C2797" s="9" t="s">
        <v>1344</v>
      </c>
    </row>
    <row r="2798" ht="33.75" customHeight="1">
      <c r="A2798" s="6" t="s">
        <v>4185</v>
      </c>
      <c r="B2798" s="6" t="str">
        <f>IFERROR(__xludf.DUMMYFUNCTION("GOOGLETRANSLATE(A2798,""en"",""fi"")"),"Pystyy uimaan taaksepäin räpyttelemällä nopeasti siipimäisiä rintaeviään ja paksua pyrstöään.")</f>
        <v>Pystyy uimaan taaksepäin räpyttelemällä nopeasti siipimäisiä rintaeviään ja paksua pyrstöään.</v>
      </c>
      <c r="C2798" s="9" t="s">
        <v>1344</v>
      </c>
    </row>
    <row r="2799" ht="33.75" customHeight="1">
      <c r="A2799" s="6" t="s">
        <v>4186</v>
      </c>
      <c r="B2799" s="6" t="str">
        <f>IFERROR(__xludf.DUMMYFUNCTION("GOOGLETRANSLATE(A2799,""en"",""fi"")"),"Takaevän koskettaminen aiheuttaa tunnottomuutta. Se kiinnittää pyrstönsä koralliin pysyäkseen paikallaan nukkuessaan.")</f>
        <v>Takaevän koskettaminen aiheuttaa tunnottomuutta. Se kiinnittää pyrstönsä koralliin pysyäkseen paikallaan nukkuessaan.</v>
      </c>
      <c r="C2799" s="9" t="s">
        <v>1344</v>
      </c>
    </row>
    <row r="2800" ht="33.75" customHeight="1">
      <c r="A2800" s="6" t="s">
        <v>4187</v>
      </c>
      <c r="B2800" s="6" t="str">
        <f>IFERROR(__xludf.DUMMYFUNCTION("GOOGLETRANSLATE(A2800,""en"",""fi"")"),"Sen solujen tutkimus paljasti geenin, jota ei löydy HORSEAsta. Siitä tuli kuuma puheenaihe.")</f>
        <v>Sen solujen tutkimus paljasti geenin, jota ei löydy HORSEAsta. Siitä tuli kuuma puheenaihe.</v>
      </c>
      <c r="C2800" s="9" t="s">
        <v>1344</v>
      </c>
    </row>
    <row r="2801" ht="33.75" customHeight="1">
      <c r="A2801" s="6" t="s">
        <v>4188</v>
      </c>
      <c r="B2801" s="6" t="str">
        <f>IFERROR(__xludf.DUMMYFUNCTION("GOOGLETRANSLATE(A2801,""en"",""fi"")"),"Sen evien kärjistä vuotaa myrkkyä. Sen evät ja luut ovat erittäin arvostettuja ainesosia yrttilääkkeissä.")</f>
        <v>Sen evien kärjistä vuotaa myrkkyä. Sen evät ja luut ovat erittäin arvostettuja ainesosia yrttilääkkeissä.</v>
      </c>
      <c r="C2801" s="9" t="s">
        <v>1344</v>
      </c>
    </row>
    <row r="2802" ht="33.75" customHeight="1">
      <c r="A2802" s="6" t="s">
        <v>4189</v>
      </c>
      <c r="B2802" s="6" t="str">
        <f>IFERROR(__xludf.DUMMYFUNCTION("GOOGLETRANSLATE(A2802,""en"",""fi"")"),"Uros kasvattaa poikaset. Jos sitä lähestytään, se käyttää myrkyllisiä piikkejään torjuakseen tunkeilijan.")</f>
        <v>Uros kasvattaa poikaset. Jos sitä lähestytään, se käyttää myrkyllisiä piikkejään torjuakseen tunkeilijan.</v>
      </c>
      <c r="C2802" s="9" t="s">
        <v>1344</v>
      </c>
    </row>
    <row r="2803" ht="33.75" customHeight="1">
      <c r="A2803" s="6" t="s">
        <v>4190</v>
      </c>
      <c r="B2803" s="6" t="str">
        <f>IFERROR(__xludf.DUMMYFUNCTION("GOOGLETRANSLATE(A2803,""en"",""fi"")"),"SEADRA nukkuu luikerreltuaan korallien oksien välissä. Korallien keräämistä yrittävät joutuvat toisinaan tämän POKéMONin myrkkypiikkien pistoksiin, jos he eivät huomaa sitä.")</f>
        <v>SEADRA nukkuu luikerreltuaan korallien oksien välissä. Korallien keräämistä yrittävät joutuvat toisinaan tämän POKéMONin myrkkypiikkien pistoksiin, jos he eivät huomaa sitä.</v>
      </c>
      <c r="C2803" s="9" t="s">
        <v>1344</v>
      </c>
    </row>
    <row r="2804" ht="33.75" customHeight="1">
      <c r="A2804" s="6" t="s">
        <v>4191</v>
      </c>
      <c r="B2804" s="6" t="str">
        <f>IFERROR(__xludf.DUMMYFUNCTION("GOOGLETRANSLATE(A2804,""en"",""fi"")"),"SEADRA tuottaa pyörteitä pyörittämällä kehoaan. Pyörteet ovat niin voimakkaita, että ne nielevät jopa kalastusveneet. Tämä POKéMON heikentää saalistaan ​​näillä virtauksilla ja nielee sen sitten kokonaisena.")</f>
        <v>SEADRA tuottaa pyörteitä pyörittämällä kehoaan. Pyörteet ovat niin voimakkaita, että ne nielevät jopa kalastusveneet. Tämä POKéMON heikentää saalistaan ​​näillä virtauksilla ja nielee sen sitten kokonaisena.</v>
      </c>
      <c r="C2804" s="9" t="s">
        <v>1344</v>
      </c>
    </row>
    <row r="2805" ht="33.75" customHeight="1">
      <c r="A2805" s="6" t="s">
        <v>4192</v>
      </c>
      <c r="B2805" s="6" t="str">
        <f>IFERROR(__xludf.DUMMYFUNCTION("GOOGLETRANSLATE(A2805,""en"",""fi"")"),"Sen kehossa olevat myrkylliset piikit ovat erittäin arvostettuja ainesosia perinteisen yrttilääkkeen valmistuksessa. Se ei armahda mitään pesäänsä lähestyvää.")</f>
        <v>Sen kehossa olevat myrkylliset piikit ovat erittäin arvostettuja ainesosia perinteisen yrttilääkkeen valmistuksessa. Se ei armahda mitään pesäänsä lähestyvää.</v>
      </c>
      <c r="C2805" s="9" t="s">
        <v>1344</v>
      </c>
    </row>
    <row r="2806" ht="33.75" customHeight="1">
      <c r="A2806" s="6" t="s">
        <v>4193</v>
      </c>
      <c r="B2806" s="6" t="str">
        <f>IFERROR(__xludf.DUMMYFUNCTION("GOOGLETRANSLATE(A2806,""en"",""fi"")"),"Sen ruumis on täynnä teräviä piikkejä. Varomaton kosketus voi aiheuttaa piikkien takia pyörtymisen.")</f>
        <v>Sen ruumis on täynnä teräviä piikkejä. Varomaton kosketus voi aiheuttaa piikkien takia pyörtymisen.</v>
      </c>
      <c r="C2806" s="9" t="s">
        <v>1344</v>
      </c>
    </row>
    <row r="2807" ht="33.75" customHeight="1">
      <c r="A2807" s="6" t="s">
        <v>4195</v>
      </c>
      <c r="B2807" s="6" t="str">
        <f>IFERROR(__xludf.DUMMYFUNCTION("GOOGLETRANSLATE(A2807,""en"",""fi"")"),"Se pystyy uimaan taaksepäin räpyttelemällä nopeasti siipimäisiä rintaeviään ja paksua pyrstöään.")</f>
        <v>Se pystyy uimaan taaksepäin räpyttelemällä nopeasti siipimäisiä rintaeviään ja paksua pyrstöään.</v>
      </c>
      <c r="C2807" s="9" t="s">
        <v>1344</v>
      </c>
    </row>
    <row r="2808" ht="33.75" customHeight="1">
      <c r="A2808" s="6" t="s">
        <v>4197</v>
      </c>
      <c r="B2808" s="6" t="str">
        <f>IFERROR(__xludf.DUMMYFUNCTION("GOOGLETRANSLATE(A2808,""en"",""fi"")"),"Sen piikit tarjoavat suojaa. Sen evät ja luut ovat arvostettuja perinteisen lääketieteen ainesosia.")</f>
        <v>Sen piikit tarjoavat suojaa. Sen evät ja luut ovat arvostettuja perinteisen lääketieteen ainesosia.</v>
      </c>
      <c r="C2808" s="9" t="s">
        <v>1344</v>
      </c>
    </row>
    <row r="2809" ht="33.75" customHeight="1">
      <c r="A2809" s="6" t="s">
        <v>4199</v>
      </c>
      <c r="B2809" s="6" t="str">
        <f>IFERROR(__xludf.DUMMYFUNCTION("GOOGLETRANSLATE(A2809,""en"",""fi"")"),"Sen piikit tarjoavat suojaa. Sen evät ja luut ovat arvostettuja perinteisen lääketieteen ainesosia.")</f>
        <v>Sen piikit tarjoavat suojaa. Sen evät ja luut ovat arvostettuja perinteisen lääketieteen ainesosia.</v>
      </c>
      <c r="C2809" s="9" t="s">
        <v>1344</v>
      </c>
    </row>
    <row r="2810" ht="33.75" customHeight="1">
      <c r="A2810" s="6" t="s">
        <v>4201</v>
      </c>
      <c r="B2810" s="6" t="str">
        <f>IFERROR(__xludf.DUMMYFUNCTION("GOOGLETRANSLATE(A2810,""en"",""fi"")"),"Seadra nukkuu luikerrettuaan korallien oksien välissä. Korallien keräämistä yrittävät joutuvat toisinaan tämän Pokémonin myrkkypiikkien pistoksiin, jos he eivät huomaa sitä.")</f>
        <v>Seadra nukkuu luikerrettuaan korallien oksien välissä. Korallien keräämistä yrittävät joutuvat toisinaan tämän Pokémonin myrkkypiikkien pistoksiin, jos he eivät huomaa sitä.</v>
      </c>
      <c r="C2810" s="9" t="s">
        <v>1344</v>
      </c>
    </row>
    <row r="2811" ht="33.75" customHeight="1">
      <c r="A2811" s="6" t="s">
        <v>4203</v>
      </c>
      <c r="B2811" s="6" t="str">
        <f>IFERROR(__xludf.DUMMYFUNCTION("GOOGLETRANSLATE(A2811,""en"",""fi"")"),"Seadra tuottaa pyörteitä pyörittämällä kehoaan. Pyörteet ovat niin voimakkaita, että ne voivat niellä jopa kalastusveneitä. Tämä Pokémon heikentää saalista näillä virtauksilla ja nielee sen sitten kokonaisena.")</f>
        <v>Seadra tuottaa pyörteitä pyörittämällä kehoaan. Pyörteet ovat niin voimakkaita, että ne voivat niellä jopa kalastusveneitä. Tämä Pokémon heikentää saalista näillä virtauksilla ja nielee sen sitten kokonaisena.</v>
      </c>
      <c r="C2811" s="9" t="s">
        <v>1344</v>
      </c>
    </row>
    <row r="2812" ht="33.75" customHeight="1">
      <c r="A2812" s="6" t="s">
        <v>4205</v>
      </c>
      <c r="B2812" s="6" t="str">
        <f>IFERROR(__xludf.DUMMYFUNCTION("GOOGLETRANSLATE(A2812,""en"",""fi"")"),"Takaevän koskettaminen aiheuttaa tunnottomuutta. Se kiinnittää pyrstönsä koralliin pysyäkseen paikallaan nukkuessaan.")</f>
        <v>Takaevän koskettaminen aiheuttaa tunnottomuutta. Se kiinnittää pyrstönsä koralliin pysyäkseen paikallaan nukkuessaan.</v>
      </c>
      <c r="C2812" s="9" t="s">
        <v>1344</v>
      </c>
    </row>
    <row r="2813" ht="33.75" customHeight="1">
      <c r="A2813" s="6" t="s">
        <v>4207</v>
      </c>
      <c r="B2813" s="6" t="str">
        <f>IFERROR(__xludf.DUMMYFUNCTION("GOOGLETRANSLATE(A2813,""en"",""fi"")"),"Urokset kasvattavat jälkeläiset. Seadran kasvattaessa poikasia niiden selässä olevat piikit erittävät paksumpaa ja vahvempaa myrkkyä.")</f>
        <v>Urokset kasvattavat jälkeläiset. Seadran kasvattaessa poikasia niiden selässä olevat piikit erittävät paksumpaa ja vahvempaa myrkkyä.</v>
      </c>
      <c r="C2813" s="9" t="s">
        <v>1344</v>
      </c>
    </row>
    <row r="2814" ht="33.75" customHeight="1">
      <c r="A2814" s="6" t="s">
        <v>4208</v>
      </c>
      <c r="B2814" s="6" t="str">
        <f>IFERROR(__xludf.DUMMYFUNCTION("GOOGLETRANSLATE(A2814,""en"",""fi"")"),"Seadran suu on kapea, mutta sen imuteho on voimakas. Se voi hetkessä imeä sisäänsä ruokaa, joka on suuaukkoa suurempaa.")</f>
        <v>Seadran suu on kapea, mutta sen imuteho on voimakas. Se voi hetkessä imeä sisäänsä ruokaa, joka on suuaukkoa suurempaa.</v>
      </c>
      <c r="C2814" s="9" t="s">
        <v>1344</v>
      </c>
    </row>
    <row r="2815" ht="33.75" customHeight="1">
      <c r="A2815" s="6" t="s">
        <v>4209</v>
      </c>
      <c r="B2815" s="6" t="str">
        <f>IFERROR(__xludf.DUMMYFUNCTION("GOOGLETRANSLATE(A2815,""en"",""fi"")"),"Sen pyrstöevä liehuu kuin elegantti tanssiaismekko, mistä se on saanut lempinimen Vesikuningatar.")</f>
        <v>Sen pyrstöevä liehuu kuin elegantti tanssiaismekko, mistä se on saanut lempinimen Vesikuningatar.</v>
      </c>
      <c r="C2815" s="9" t="s">
        <v>1344</v>
      </c>
    </row>
    <row r="2816" ht="33.75" customHeight="1">
      <c r="A2816" s="6" t="s">
        <v>4211</v>
      </c>
      <c r="B2816" s="6" t="str">
        <f>IFERROR(__xludf.DUMMYFUNCTION("GOOGLETRANSLATE(A2816,""en"",""fi"")"),"Kun niiden on aika munia, ne voidaan nähdä uimassa jokia ja putouksia pitkin suurina parvina.")</f>
        <v>Kun niiden on aika munia, ne voidaan nähdä uimassa jokia ja putouksia pitkin suurina parvina.</v>
      </c>
      <c r="C2816" s="9" t="s">
        <v>1344</v>
      </c>
    </row>
    <row r="2817" ht="33.75" customHeight="1">
      <c r="A2817" s="6" t="s">
        <v>4214</v>
      </c>
      <c r="B2817" s="6" t="str">
        <f>IFERROR(__xludf.DUMMYFUNCTION("GOOGLETRANSLATE(A2817,""en"",""fi"")"),"Sen selkä-, rinta- ja pyrstöevät aaltoilevat tyylikkäästi vedessä. Siksi sitä kutsutaan vesitanssijaksi.")</f>
        <v>Sen selkä-, rinta- ja pyrstöevät aaltoilevat tyylikkäästi vedessä. Siksi sitä kutsutaan vesitanssijaksi.</v>
      </c>
      <c r="C2817" s="9" t="s">
        <v>1344</v>
      </c>
    </row>
    <row r="2818" ht="33.75" customHeight="1">
      <c r="A2818" s="6" t="s">
        <v>4215</v>
      </c>
      <c r="B2818" s="6" t="str">
        <f>IFERROR(__xludf.DUMMYFUNCTION("GOOGLETRANSLATE(A2818,""en"",""fi"")"),"Se on vahva uimari ja pystyy uimaan tauotta nopeissa puroissa tasaisella viiden solmun nopeudella.")</f>
        <v>Se on vahva uimari ja pystyy uimaan tauotta nopeissa puroissa tasaisella viiden solmun nopeudella.</v>
      </c>
      <c r="C2818" s="9" t="s">
        <v>1344</v>
      </c>
    </row>
    <row r="2819" ht="33.75" customHeight="1">
      <c r="A2819" s="6" t="s">
        <v>4217</v>
      </c>
      <c r="B2819" s="6" t="str">
        <f>IFERROR(__xludf.DUMMYFUNCTION("GOOGLETRANSLATE(A2819,""en"",""fi"")"),"Kutuaikana ne uivat sulavasti vedessä etsien täydellistä kumppaniaan.")</f>
        <v>Kutuaikana ne uivat sulavasti vedessä etsien täydellistä kumppaniaan.</v>
      </c>
      <c r="C2819" s="9" t="s">
        <v>1344</v>
      </c>
    </row>
    <row r="2820" ht="33.75" customHeight="1">
      <c r="A2820" s="6" t="s">
        <v>4219</v>
      </c>
      <c r="B2820" s="6" t="str">
        <f>IFERROR(__xludf.DUMMYFUNCTION("GOOGLETRANSLATE(A2820,""en"",""fi"")"),"GOLDEEN on erittäin kaunis POKéMON, jonka evät liehuvat elegantisti vedessä. Älä kuitenkaan laske varovaisuuttasi tämän POKéMONin lähellä - se voi törmätä sinuun voimakkaasti sarvellaan.")</f>
        <v>GOLDEEN on erittäin kaunis POKéMON, jonka evät liehuvat elegantisti vedessä. Älä kuitenkaan laske varovaisuuttasi tämän POKéMONin lähellä - se voi törmätä sinuun voimakkaasti sarvellaan.</v>
      </c>
      <c r="C2820" s="9" t="s">
        <v>1344</v>
      </c>
    </row>
    <row r="2821" ht="33.75" customHeight="1">
      <c r="A2821" s="6" t="s">
        <v>4222</v>
      </c>
      <c r="B2821" s="6" t="str">
        <f>IFERROR(__xludf.DUMMYFUNCTION("GOOGLETRANSLATE(A2821,""en"",""fi"")"),"GOLDEEN rakastaa uida vapaana joissa ja lammissa. Jos jokin näistä POKéMONeista laitetaan akvaarioon, se rikkoo paksuimmankin lasin yhdellä sarvensa iskulla ja pääsee karkuun.")</f>
        <v>GOLDEEN rakastaa uida vapaana joissa ja lammissa. Jos jokin näistä POKéMONeista laitetaan akvaarioon, se rikkoo paksuimmankin lasin yhdellä sarvensa iskulla ja pääsee karkuun.</v>
      </c>
      <c r="C2821" s="9" t="s">
        <v>1344</v>
      </c>
    </row>
    <row r="2822" ht="33.75" customHeight="1">
      <c r="A2822" s="6" t="s">
        <v>4223</v>
      </c>
      <c r="B2822" s="6" t="str">
        <f>IFERROR(__xludf.DUMMYFUNCTION("GOOGLETRANSLATE(A2822,""en"",""fi"")"),"Keväällä GOLDEEN-parvia voi nähdä uimassa putouksissa ja joissa. Se aiheuttaa huimaavaa vahinkoa yhdellä ainoalla sarvellaan.")</f>
        <v>Keväällä GOLDEEN-parvia voi nähdä uimassa putouksissa ja joissa. Se aiheuttaa huimaavaa vahinkoa yhdellä ainoalla sarvellaan.</v>
      </c>
      <c r="C2822" s="9" t="s">
        <v>1344</v>
      </c>
    </row>
    <row r="2823" ht="33.75" customHeight="1">
      <c r="A2823" s="6" t="s">
        <v>4225</v>
      </c>
      <c r="B2823" s="6" t="str">
        <f>IFERROR(__xludf.DUMMYFUNCTION("GOOGLETRANSLATE(A2823,""en"",""fi"")"),"Sen selkä- ja rintaevät ovat vahvasti kehittyneet kuin lihakset. Se voi uida viiden solmun nopeudella.")</f>
        <v>Sen selkä- ja rintaevät ovat vahvasti kehittyneet kuin lihakset. Se voi uida viiden solmun nopeudella.</v>
      </c>
      <c r="C2823" s="9" t="s">
        <v>1344</v>
      </c>
    </row>
    <row r="2824" ht="33.75" customHeight="1">
      <c r="A2824" s="6" t="s">
        <v>4226</v>
      </c>
      <c r="B2824" s="6" t="str">
        <f>IFERROR(__xludf.DUMMYFUNCTION("GOOGLETRANSLATE(A2824,""en"",""fi"")"),"Sen pyrstöevä liehuu kuin elegantti tanssiaispuku, mistä se on saanut lempinimen ""Veden kuningatar"".")</f>
        <v>Sen pyrstöevä liehuu kuin elegantti tanssiaispuku, mistä se on saanut lempinimen "Veden kuningatar".</v>
      </c>
      <c r="C2824" s="9" t="s">
        <v>1344</v>
      </c>
    </row>
    <row r="2825" ht="33.75" customHeight="1">
      <c r="A2825" s="6" t="s">
        <v>4228</v>
      </c>
      <c r="B2825" s="6" t="str">
        <f>IFERROR(__xludf.DUMMYFUNCTION("GOOGLETRANSLATE(A2825,""en"",""fi"")"),"Se ui tyylikkäästi heiluttamalla pyrstöeväänsä kuin mekkoa. Sillä on kuningattaren ulkonäkö.")</f>
        <v>Se ui tyylikkäästi heiluttamalla pyrstöeväänsä kuin mekkoa. Sillä on kuningattaren ulkonäkö.</v>
      </c>
      <c r="C2825" s="9" t="s">
        <v>1344</v>
      </c>
    </row>
    <row r="2826" ht="33.75" customHeight="1">
      <c r="A2826" s="6" t="s">
        <v>4229</v>
      </c>
      <c r="B2826" s="6" t="str">
        <f>IFERROR(__xludf.DUMMYFUNCTION("GOOGLETRANSLATE(A2826,""en"",""fi"")"),"Se ui tasaisesti viiden solmun nopeudella. Jos se aistii vaaran, se iskee takaisin terävällä sarvellaan.")</f>
        <v>Se ui tasaisesti viiden solmun nopeudella. Jos se aistii vaaran, se iskee takaisin terävällä sarvellaan.</v>
      </c>
      <c r="C2826" s="9" t="s">
        <v>1344</v>
      </c>
    </row>
    <row r="2827" ht="33.75" customHeight="1">
      <c r="A2827" s="6" t="s">
        <v>4230</v>
      </c>
      <c r="B2827" s="6" t="str">
        <f>IFERROR(__xludf.DUMMYFUNCTION("GOOGLETRANSLATE(A2827,""en"",""fi"")"),"Vaikka se näyttää erittäin elegantilta uidessaan evät avattuna, se voi iskeä voimakkaasti sarvellaan.")</f>
        <v>Vaikka se näyttää erittäin elegantilta uidessaan evät avattuna, se voi iskeä voimakkaasti sarvellaan.</v>
      </c>
      <c r="C2827" s="9" t="s">
        <v>1344</v>
      </c>
    </row>
    <row r="2828" ht="33.75" customHeight="1">
      <c r="A2828" s="6" t="s">
        <v>4231</v>
      </c>
      <c r="B2828" s="6" t="str">
        <f>IFERROR(__xludf.DUMMYFUNCTION("GOOGLETRANSLATE(A2828,""en"",""fi"")"),"Sen selkä-, rinta- ja pyrstöevät huojuvat tyylikkäästi vedessä. Siksi sitä kutsutaan vesitanssijaksi.")</f>
        <v>Sen selkä-, rinta- ja pyrstöevät huojuvat tyylikkäästi vedessä. Siksi sitä kutsutaan vesitanssijaksi.</v>
      </c>
      <c r="C2828" s="9" t="s">
        <v>1344</v>
      </c>
    </row>
    <row r="2829" ht="33.75" customHeight="1">
      <c r="A2829" s="6" t="s">
        <v>4233</v>
      </c>
      <c r="B2829" s="6" t="str">
        <f>IFERROR(__xludf.DUMMYFUNCTION("GOOGLETRANSLATE(A2829,""en"",""fi"")"),"Se on vahva uimari ja pystyy uimaan tauotta nopeissa puroissa tasaisella viiden solmun tunnissa nopeudella.")</f>
        <v>Se on vahva uimari ja pystyy uimaan tauotta nopeissa puroissa tasaisella viiden solmun tunnissa nopeudella.</v>
      </c>
      <c r="C2829" s="9" t="s">
        <v>1344</v>
      </c>
    </row>
    <row r="2830" ht="33.75" customHeight="1">
      <c r="A2830" s="6" t="s">
        <v>4235</v>
      </c>
      <c r="B2830" s="6" t="str">
        <f>IFERROR(__xludf.DUMMYFUNCTION("GOOGLETRANSLATE(A2830,""en"",""fi"")"),"Sen selkä-, rinta- ja pyrstöevät huojuvat tyylikkäästi vedessä. Siksi sitä kutsutaan vesitanssijaksi.")</f>
        <v>Sen selkä-, rinta- ja pyrstöevät huojuvat tyylikkäästi vedessä. Siksi sitä kutsutaan vesitanssijaksi.</v>
      </c>
      <c r="C2830" s="9" t="s">
        <v>1344</v>
      </c>
    </row>
    <row r="2831" ht="33.75" customHeight="1">
      <c r="A2831" s="6" t="s">
        <v>4236</v>
      </c>
      <c r="B2831" s="6" t="str">
        <f>IFERROR(__xludf.DUMMYFUNCTION("GOOGLETRANSLATE(A2831,""en"",""fi"")"),"Goldene on erittäin kaunis Pokémon, jonka evät liehuvat elegantisti vedessä. Älä kuitenkaan laske varovaisuuttasi tämän Pokémonin lähellä – se voi iskeä sinuun voimakkaasti sarvellaan.")</f>
        <v>Goldene on erittäin kaunis Pokémon, jonka evät liehuvat elegantisti vedessä. Älä kuitenkaan laske varovaisuuttasi tämän Pokémonin lähellä – se voi iskeä sinuun voimakkaasti sarvellaan.</v>
      </c>
      <c r="C2831" s="9" t="s">
        <v>1344</v>
      </c>
    </row>
    <row r="2832" ht="33.75" customHeight="1">
      <c r="A2832" s="6" t="s">
        <v>4238</v>
      </c>
      <c r="B2832" s="6" t="str">
        <f>IFERROR(__xludf.DUMMYFUNCTION("GOOGLETRANSLATE(A2832,""en"",""fi"")"),"Goldeneen rakastaa uida vapaana joissa ja lammissa. Jos jokin näistä Pokémoneista laitetaan akvaarioon, se rikkoo paksuimmankin lasin yhdellä sarvensa iskulla ja pääsee karkuun.")</f>
        <v>Goldeneen rakastaa uida vapaana joissa ja lammissa. Jos jokin näistä Pokémoneista laitetaan akvaarioon, se rikkoo paksuimmankin lasin yhdellä sarvensa iskulla ja pääsee karkuun.</v>
      </c>
      <c r="C2832" s="9" t="s">
        <v>1344</v>
      </c>
    </row>
    <row r="2833" ht="33.75" customHeight="1">
      <c r="A2833" s="6" t="s">
        <v>4240</v>
      </c>
      <c r="B2833" s="6" t="str">
        <f>IFERROR(__xludf.DUMMYFUNCTION("GOOGLETRANSLATE(A2833,""en"",""fi"")"),"Kun sää lämpenee, ne muodostavat parvia ja uivat ylävirtaan. Tämä näky toimii runollisena muistutuksena kevään saapumisesta.")</f>
        <v>Kun sää lämpenee, ne muodostavat parvia ja uivat ylävirtaan. Tämä näky toimii runollisena muistutuksena kevään saapumisesta.</v>
      </c>
      <c r="C2833" s="9" t="s">
        <v>1344</v>
      </c>
    </row>
    <row r="2834" ht="33.75" customHeight="1">
      <c r="A2834" s="6" t="s">
        <v>4241</v>
      </c>
      <c r="B2834" s="6" t="str">
        <f>IFERROR(__xludf.DUMMYFUNCTION("GOOGLETRANSLATE(A2834,""en"",""fi"")"),"Sen sarven pituuden ja evien kauneuden lumoamia monet oudot kouluttajat kasvattavat vain Goldeneenia.")</f>
        <v>Sen sarven pituuden ja evien kauneuden lumoamia monet oudot kouluttajat kasvattavat vain Goldeneenia.</v>
      </c>
      <c r="C2834" s="9" t="s">
        <v>1344</v>
      </c>
    </row>
    <row r="2835" ht="33.75" customHeight="1">
      <c r="A2835" s="6" t="s">
        <v>4242</v>
      </c>
      <c r="B2835" s="6" t="str">
        <f>IFERROR(__xludf.DUMMYFUNCTION("GOOGLETRANSLATE(A2835,""en"",""fi"")"),"Vaikka Goldenit tunnetaan upeista pyrstöevistään, ne ilmeisesti kilpailevat keskenään siitä, kenen sarvi on paksuin ja terävin.")</f>
        <v>Vaikka Goldenit tunnetaan upeista pyrstöevistään, ne ilmeisesti kilpailevat keskenään siitä, kenen sarvi on paksuin ja terävin.</v>
      </c>
      <c r="C2835" s="9" t="s">
        <v>1344</v>
      </c>
    </row>
    <row r="2836" ht="33.75" customHeight="1">
      <c r="A2836" s="6" t="s">
        <v>4243</v>
      </c>
      <c r="B2836" s="6" t="str">
        <f>IFERROR(__xludf.DUMMYFUNCTION("GOOGLETRANSLATE(A2836,""en"",""fi"")"),"Tapa, jolla se ui lepattaen mekkoa muistuttavia eviään, on ansainnut sille nimen ""veden prinsessa"".")</f>
        <v>Tapa, jolla se ui lepattaen mekkoa muistuttavia eviään, on ansainnut sille nimen "veden prinsessa".</v>
      </c>
      <c r="C2836" s="9" t="s">
        <v>1344</v>
      </c>
    </row>
    <row r="2837" ht="33.75" customHeight="1">
      <c r="A2837" s="6" t="s">
        <v>4245</v>
      </c>
      <c r="B2837" s="6" t="str">
        <f>IFERROR(__xludf.DUMMYFUNCTION("GOOGLETRANSLATE(A2837,""en"",""fi"")"),"Sen selkä-, rinta- ja pyrstöevät huojuvat tyylikkäästi vedessä. Siksi sitä kutsutaan vesitanssijaksi.")</f>
        <v>Sen selkä-, rinta- ja pyrstöevät huojuvat tyylikkäästi vedessä. Siksi sitä kutsutaan vesitanssijaksi.</v>
      </c>
      <c r="C2837" s="9" t="s">
        <v>1344</v>
      </c>
    </row>
    <row r="2838" ht="33.75" customHeight="1">
      <c r="A2838" s="6" t="s">
        <v>4246</v>
      </c>
      <c r="B2838" s="6" t="str">
        <f>IFERROR(__xludf.DUMMYFUNCTION("GOOGLETRANSLATE(A2838,""en"",""fi"")"),"Syksyn kutuaikana ne voivat nähdä uiden täydellä teholla jokia ja puroja ylös.")</f>
        <v>Syksyn kutuaikana ne voivat nähdä uiden täydellä teholla jokia ja puroja ylös.</v>
      </c>
      <c r="C2838" s="9" t="s">
        <v>1344</v>
      </c>
    </row>
    <row r="2839" ht="33.75" customHeight="1">
      <c r="A2839" s="6" t="s">
        <v>4247</v>
      </c>
      <c r="B2839" s="6" t="str">
        <f>IFERROR(__xludf.DUMMYFUNCTION("GOOGLETRANSLATE(A2839,""en"",""fi"")"),"Uroksen tehtävänä on tehdä pesä kaivertamalla lohkareita puroon päässään olevan sarven avulla.")</f>
        <v>Uroksen tehtävänä on tehdä pesä kaivertamalla lohkareita puroon päässään olevan sarven avulla.</v>
      </c>
      <c r="C2839" s="9" t="s">
        <v>1344</v>
      </c>
    </row>
    <row r="2840" ht="33.75" customHeight="1">
      <c r="A2840" s="6" t="s">
        <v>4248</v>
      </c>
      <c r="B2840" s="6" t="str">
        <f>IFERROR(__xludf.DUMMYFUNCTION("GOOGLETRANSLATE(A2840,""en"",""fi"")"),"Kutuaikana SEAKEING-kaloja kerääntyy kaikkialta ja ne värjäävät joet kirkkaanpunaisiksi.")</f>
        <v>Kutuaikana SEAKEING-kaloja kerääntyy kaikkialta ja ne värjäävät joet kirkkaanpunaisiksi.</v>
      </c>
      <c r="C2840" s="9" t="s">
        <v>1344</v>
      </c>
    </row>
    <row r="2841" ht="33.75" customHeight="1">
      <c r="A2841" s="6" t="s">
        <v>4249</v>
      </c>
      <c r="B2841" s="6" t="str">
        <f>IFERROR(__xludf.DUMMYFUNCTION("GOOGLETRANSLATE(A2841,""en"",""fi"")"),"Sarvellaan se poraa reikiä joenpohjan lohkareisiin ja tekee pesiä estääkseen munien huuhtoutumisen pois.")</f>
        <v>Sarvellaan se poraa reikiä joenpohjan lohkareisiin ja tekee pesiä estääkseen munien huuhtoutumisen pois.</v>
      </c>
      <c r="C2841" s="9" t="s">
        <v>1344</v>
      </c>
    </row>
    <row r="2842" ht="33.75" customHeight="1">
      <c r="A2842" s="6" t="s">
        <v>4250</v>
      </c>
      <c r="B2842" s="6" t="str">
        <f>IFERROR(__xludf.DUMMYFUNCTION("GOOGLETRANSLATE(A2842,""en"",""fi"")"),"Syksyn saapuessa koiraat partioivat pesiensä ympäristöä suojellakseen poikasiaan.")</f>
        <v>Syksyn saapuessa koiraat partioivat pesiensä ympäristöä suojellakseen poikasiaan.</v>
      </c>
      <c r="C2842" s="9" t="s">
        <v>1344</v>
      </c>
    </row>
    <row r="2843" ht="33.75" customHeight="1">
      <c r="A2843" s="6" t="s">
        <v>4251</v>
      </c>
      <c r="B2843" s="6" t="str">
        <f>IFERROR(__xludf.DUMMYFUNCTION("GOOGLETRANSLATE(A2843,""en"",""fi"")"),"Syksyllä SEAKING-koiria voi nähdä esittämässä seurustelutansseja jokiuomissa naaraiden houkuttelemiseksi. Tänä vuodenaikana tämän POKéMONin ruumiinväritys on kauneimmillaan.")</f>
        <v>Syksyllä SEAKING-koiria voi nähdä esittämässä seurustelutansseja jokiuomissa naaraiden houkuttelemiseksi. Tänä vuodenaikana tämän POKéMONin ruumiinväritys on kauneimmillaan.</v>
      </c>
      <c r="C2843" s="9" t="s">
        <v>1344</v>
      </c>
    </row>
    <row r="2844" ht="33.75" customHeight="1">
      <c r="A2844" s="6" t="s">
        <v>4252</v>
      </c>
      <c r="B2844" s="6" t="str">
        <f>IFERROR(__xludf.DUMMYFUNCTION("GOOGLETRANSLATE(A2844,""en"",""fi"")"),"SEAKING on erittäin suojelevainen muniensa suhteen. Uros ja naaras partioivat vuorotellen pesänsä ja munien ympärillä. Näiden POKéMONien munien vartiointi kestää yli kuukauden.")</f>
        <v>SEAKING on erittäin suojelevainen muniensa suhteen. Uros ja naaras partioivat vuorotellen pesänsä ja munien ympärillä. Näiden POKéMONien munien vartiointi kestää yli kuukauden.</v>
      </c>
      <c r="C2844" s="9" t="s">
        <v>1344</v>
      </c>
    </row>
    <row r="2845" ht="33.75" customHeight="1">
      <c r="A2845" s="6" t="s">
        <v>4253</v>
      </c>
      <c r="B2845" s="6" t="str">
        <f>IFERROR(__xludf.DUMMYFUNCTION("GOOGLETRANSLATE(A2845,""en"",""fi"")"),"Se tekee reikiä jokiuomien lohkareisiin. Tämä on nerokas innovaatio, joka estää sen munia joutumasta virran hyökkäyksen kohteeksi tai huuhtoutumasta pois.")</f>
        <v>Se tekee reikiä jokiuomien lohkareisiin. Tämä on nerokas innovaatio, joka estää sen munia joutumasta virran hyökkäyksen kohteeksi tai huuhtoutumasta pois.</v>
      </c>
      <c r="C2845" s="9" t="s">
        <v>1344</v>
      </c>
    </row>
    <row r="2846" ht="33.75" customHeight="1">
      <c r="A2846" s="6" t="s">
        <v>4254</v>
      </c>
      <c r="B2846" s="6" t="str">
        <f>IFERROR(__xludf.DUMMYFUNCTION("GOOGLETRANSLATE(A2846,""en"",""fi"")"),"Sen päässä oleva sarvi on terävä kuin pora. Se poraa reiän lohkareeseen pesänsä rakentamiseksi.")</f>
        <v>Sen päässä oleva sarvi on terävä kuin pora. Se poraa reiän lohkareeseen pesänsä rakentamiseksi.</v>
      </c>
      <c r="C2846" s="9" t="s">
        <v>1344</v>
      </c>
    </row>
    <row r="2847" ht="33.75" customHeight="1">
      <c r="A2847" s="6" t="s">
        <v>4255</v>
      </c>
      <c r="B2847" s="6" t="str">
        <f>IFERROR(__xludf.DUMMYFUNCTION("GOOGLETRANSLATE(A2847,""en"",""fi"")"),"Syksyn kutuaikana ne voivat nähdä uivat voimakkaasti jokia ja puroja ylös.")</f>
        <v>Syksyn kutuaikana ne voivat nähdä uivat voimakkaasti jokia ja puroja ylös.</v>
      </c>
      <c r="C2847" s="9" t="s">
        <v>1344</v>
      </c>
    </row>
    <row r="2848" ht="33.75" customHeight="1">
      <c r="A2848" s="6" t="s">
        <v>4257</v>
      </c>
      <c r="B2848" s="6" t="str">
        <f>IFERROR(__xludf.DUMMYFUNCTION("GOOGLETRANSLATE(A2848,""en"",""fi"")"),"Se tekee pesänsä kovertamalla sarvellaan kiviä puroihin. Se puolustaa munia elämällään.")</f>
        <v>Se tekee pesänsä kovertamalla sarvellaan kiviä puroihin. Se puolustaa munia elämällään.</v>
      </c>
      <c r="C2848" s="9" t="s">
        <v>1344</v>
      </c>
    </row>
    <row r="2849" ht="33.75" customHeight="1">
      <c r="A2849" s="6" t="s">
        <v>4258</v>
      </c>
      <c r="B2849" s="6" t="str">
        <f>IFERROR(__xludf.DUMMYFUNCTION("GOOGLETRANSLATE(A2849,""en"",""fi"")"),"Suojellakseen perhettään se taistelee terävällä sarvellaan. Se asuu purojen onteloissa kallioissa.")</f>
        <v>Suojellakseen perhettään se taistelee terävällä sarvellaan. Se asuu purojen onteloissa kallioissa.</v>
      </c>
      <c r="C2849" s="9" t="s">
        <v>1344</v>
      </c>
    </row>
    <row r="2850" ht="33.75" customHeight="1">
      <c r="A2850" s="6" t="s">
        <v>4259</v>
      </c>
      <c r="B2850" s="6" t="str">
        <f>IFERROR(__xludf.DUMMYFUNCTION("GOOGLETRANSLATE(A2850,""en"",""fi"")"),"Syksyllä sen ruumis muuttuu rasvaisemmaksi valmistautuessaan kosimaan. Se saa kauniita värejä.")</f>
        <v>Syksyllä sen ruumis muuttuu rasvaisemmaksi valmistautuessaan kosimaan. Se saa kauniita värejä.</v>
      </c>
      <c r="C2850" s="9" t="s">
        <v>1344</v>
      </c>
    </row>
    <row r="2851" ht="33.75" customHeight="1">
      <c r="A2851" s="6" t="s">
        <v>4261</v>
      </c>
      <c r="B2851" s="6" t="str">
        <f>IFERROR(__xludf.DUMMYFUNCTION("GOOGLETRANSLATE(A2851,""en"",""fi"")"),"Kutuaikana SEA-kaloja kerääntyy kaikkialta, mikä saa joet näyttämään kirkkaan punaisilta.")</f>
        <v>Kutuaikana SEA-kaloja kerääntyy kaikkialta, mikä saa joet näyttämään kirkkaan punaisilta.</v>
      </c>
      <c r="C2851" s="9" t="s">
        <v>1344</v>
      </c>
    </row>
    <row r="2852" ht="33.75" customHeight="1">
      <c r="A2852" s="6" t="s">
        <v>4262</v>
      </c>
      <c r="B2852" s="6" t="str">
        <f>IFERROR(__xludf.DUMMYFUNCTION("GOOGLETRANSLATE(A2852,""en"",""fi"")"),"Syksyllä Seaking-urokset esittävät seurustelutansseja jokiuomissa naaraiden houkuttelemiseksi. Tänä vuodenaikana tämän Pokémonin ruumiinväritys on kauneimmillaan.")</f>
        <v>Syksyllä Seaking-urokset esittävät seurustelutansseja jokiuomissa naaraiden houkuttelemiseksi. Tänä vuodenaikana tämän Pokémonin ruumiinväritys on kauneimmillaan.</v>
      </c>
      <c r="C2852" s="9" t="s">
        <v>1344</v>
      </c>
    </row>
    <row r="2853" ht="33.75" customHeight="1">
      <c r="A2853" s="6" t="s">
        <v>4265</v>
      </c>
      <c r="B2853" s="6" t="str">
        <f>IFERROR(__xludf.DUMMYFUNCTION("GOOGLETRANSLATE(A2853,""en"",""fi"")"),"Seaking on erittäin suojelevainen muniensa suhteen. Uros ja naaras partioivat vuorotellen pesänsä ja munien ympärillä. Näiden Pokémonien munien vartiointi kestää yli kuukauden.")</f>
        <v>Seaking on erittäin suojelevainen muniensa suhteen. Uros ja naaras partioivat vuorotellen pesänsä ja munien ympärillä. Näiden Pokémonien munien vartiointi kestää yli kuukauden.</v>
      </c>
      <c r="C2853" s="9" t="s">
        <v>1344</v>
      </c>
    </row>
    <row r="2854" ht="33.75" customHeight="1">
      <c r="A2854" s="6" t="s">
        <v>4267</v>
      </c>
      <c r="B2854" s="6" t="str">
        <f>IFERROR(__xludf.DUMMYFUNCTION("GOOGLETRANSLATE(A2854,""en"",""fi"")"),"Kun sää kylmenee, koko sen ruumis punastuu syvän punaiseksi. Tämä näky toimii runollisena muistutuksena syksyn saapumisesta.")</f>
        <v>Kun sää kylmenee, koko sen ruumis punastuu syvän punaiseksi. Tämä näky toimii runollisena muistutuksena syksyn saapumisesta.</v>
      </c>
      <c r="C2854" s="9" t="s">
        <v>1344</v>
      </c>
    </row>
    <row r="2855" ht="33.75" customHeight="1">
      <c r="A2855" s="6" t="s">
        <v>4268</v>
      </c>
      <c r="B2855" s="6" t="str">
        <f>IFERROR(__xludf.DUMMYFUNCTION("GOOGLETRANSLATE(A2855,""en"",""fi"")"),"Seakingista hulluna olevat kouluttajat jakautuvat torviharrastajiin ja evien harrastajiin. Nämä kaksi ryhmää eivät tule hyvin toimeen keskenään.")</f>
        <v>Seakingista hulluna olevat kouluttajat jakautuvat torviharrastajiin ja evien harrastajiin. Nämä kaksi ryhmää eivät tule hyvin toimeen keskenään.</v>
      </c>
      <c r="C2855" s="9" t="s">
        <v>1344</v>
      </c>
    </row>
    <row r="2856" ht="33.75" customHeight="1">
      <c r="A2856" s="6" t="s">
        <v>4270</v>
      </c>
      <c r="B2856" s="6" t="str">
        <f>IFERROR(__xludf.DUMMYFUNCTION("GOOGLETRANSLATE(A2856,""en"",""fi"")"),"Sen sarvi pyörii kuin pora ja kovertaa tasaisesti kiviä – jopa kovempia. Koiraan väritys on eloisampi.")</f>
        <v>Sen sarvi pyörii kuin pora ja kovertaa tasaisesti kiviä – jopa kovempia. Koiraan väritys on eloisampi.</v>
      </c>
      <c r="C2856" s="9" t="s">
        <v>1344</v>
      </c>
    </row>
    <row r="2857" ht="33.75" customHeight="1">
      <c r="A2857" s="6" t="s">
        <v>4271</v>
      </c>
      <c r="B2857" s="6" t="str">
        <f>IFERROR(__xludf.DUMMYFUNCTION("GOOGLETRANSLATE(A2857,""en"",""fi"")"),"Houkutellakseen naaraita koiraat tanssivat joen pohjassa. Naaraat kerääntyvät sen koiraan ympärille, joka tanssii sulavimmin.")</f>
        <v>Houkutellakseen naaraita koiraat tanssivat joen pohjassa. Naaraat kerääntyvät sen koiraan ympärille, joka tanssii sulavimmin.</v>
      </c>
      <c r="C2857" s="9" t="s">
        <v>1344</v>
      </c>
    </row>
    <row r="2858" ht="33.75" customHeight="1">
      <c r="A2858" s="6" t="s">
        <v>4273</v>
      </c>
      <c r="B2858" s="6" t="str">
        <f>IFERROR(__xludf.DUMMYFUNCTION("GOOGLETRANSLATE(A2858,""en"",""fi"")"),"Koiran tehtävänä on tehdä pesä kaivertamalla lohkareita puroon päässään olevan sarven avulla.")</f>
        <v>Koiran tehtävänä on tehdä pesä kaivertamalla lohkareita puroon päässään olevan sarven avulla.</v>
      </c>
      <c r="C2858" s="9" t="s">
        <v>1344</v>
      </c>
    </row>
    <row r="2859" ht="33.75" customHeight="1">
      <c r="A2859" s="6" t="s">
        <v>4274</v>
      </c>
      <c r="B2859" s="6" t="str">
        <f>IFERROR(__xludf.DUMMYFUNCTION("GOOGLETRANSLATE(A2859,""en"",""fi"")"),"Arvoituksellinen POKéMON, joka pystyy vaivattomasti regeneroimaan minkä tahansa taistelussa menettämänsä raajan.")</f>
        <v>Arvoituksellinen POKéMON, joka pystyy vaivattomasti regeneroimaan minkä tahansa taistelussa menettämänsä raajan.</v>
      </c>
      <c r="C2859" s="9" t="s">
        <v>1344</v>
      </c>
    </row>
    <row r="2860" ht="33.75" customHeight="1">
      <c r="A2860" s="6" t="s">
        <v>4276</v>
      </c>
      <c r="B2860" s="6" t="str">
        <f>IFERROR(__xludf.DUMMYFUNCTION("GOOGLETRANSLATE(A2860,""en"",""fi"")"),"Niin kauan kuin keskiosa on vahingoittumaton, se voi kasvaa takaisin kokonaan, vaikka se pilkottaisiin palasiksi.")</f>
        <v>Niin kauan kuin keskiosa on vahingoittumaton, se voi kasvaa takaisin kokonaan, vaikka se pilkottaisiin palasiksi.</v>
      </c>
      <c r="C2860" s="9" t="s">
        <v>1344</v>
      </c>
    </row>
    <row r="2861" ht="33.75" customHeight="1">
      <c r="A2861" s="6" t="s">
        <v>4278</v>
      </c>
      <c r="B2861" s="6" t="str">
        <f>IFERROR(__xludf.DUMMYFUNCTION("GOOGLETRANSLATE(A2861,""en"",""fi"")"),"Yöllä sen kehon keskiosa lepattaa hitaasti samalla rytmillä kuin ihmisen sydämenlyönti.")</f>
        <v>Yöllä sen kehon keskiosa lepattaa hitaasti samalla rytmillä kuin ihmisen sydämenlyönti.</v>
      </c>
      <c r="C2861" s="9" t="s">
        <v>1344</v>
      </c>
    </row>
    <row r="2862" ht="33.75" customHeight="1">
      <c r="A2862" s="6" t="s">
        <v>4279</v>
      </c>
      <c r="B2862" s="6" t="str">
        <f>IFERROR(__xludf.DUMMYFUNCTION("GOOGLETRANSLATE(A2862,""en"",""fi"")"),"Vaikka sen runko repeytyisi, se voi uusiutua niin kauan kuin hehkuva keskusydin pysyy ehjänä.")</f>
        <v>Vaikka sen runko repeytyisi, se voi uusiutua niin kauan kuin hehkuva keskusydin pysyy ehjänä.</v>
      </c>
      <c r="C2862" s="9" t="s">
        <v>1344</v>
      </c>
    </row>
    <row r="2863" ht="33.75" customHeight="1">
      <c r="A2863" s="6" t="s">
        <v>4281</v>
      </c>
      <c r="B2863" s="6" t="str">
        <f>IFERROR(__xludf.DUMMYFUNCTION("GOOGLETRANSLATE(A2863,""en"",""fi"")"),"Kun tähdet tuikkivat yöllä, se kelluu ylös merenpohjasta ja sen kehon keskiosa välkkyy.")</f>
        <v>Kun tähdet tuikkivat yöllä, se kelluu ylös merenpohjasta ja sen kehon keskiosa välkkyy.</v>
      </c>
      <c r="C2863" s="9" t="s">
        <v>1344</v>
      </c>
    </row>
    <row r="2864" ht="33.75" customHeight="1">
      <c r="A2864" s="6" t="s">
        <v>4282</v>
      </c>
      <c r="B2864" s="6" t="str">
        <f>IFERROR(__xludf.DUMMYFUNCTION("GOOGLETRANSLATE(A2864,""en"",""fi"")"),"STARYUn keskiosassa on elin nimeltä ydin, joka hohtaa kirkkaan punaisena. Jos menet rannalle loppukesästä, näiden POKéMONien hohtavat ytimet näyttävät taivaan tähdiltä.")</f>
        <v>STARYUn keskiosassa on elin nimeltä ydin, joka hohtaa kirkkaan punaisena. Jos menet rannalle loppukesästä, näiden POKéMONien hohtavat ytimet näyttävät taivaan tähdiltä.</v>
      </c>
      <c r="C2864" s="9" t="s">
        <v>1344</v>
      </c>
    </row>
    <row r="2865" ht="33.75" customHeight="1">
      <c r="A2865" s="6" t="s">
        <v>4284</v>
      </c>
      <c r="B2865" s="6" t="str">
        <f>IFERROR(__xludf.DUMMYFUNCTION("GOOGLETRANSLATE(A2865,""en"",""fi"")"),"STARYU ilmeisesti kommunikoi yötaivaan tähtien kanssa väläyttämällä punaisen ytimen ruumiinsa keskellä. Jos osia sen ruumiista repeytyy, tämä POKéMON yksinkertaisesti luo puuttuvat osat ja raajat.")</f>
        <v>STARYU ilmeisesti kommunikoi yötaivaan tähtien kanssa väläyttämällä punaisen ytimen ruumiinsa keskellä. Jos osia sen ruumiista repeytyy, tämä POKéMON yksinkertaisesti luo puuttuvat osat ja raajat.</v>
      </c>
      <c r="C2865" s="9" t="s">
        <v>1344</v>
      </c>
    </row>
    <row r="2866" ht="33.75" customHeight="1">
      <c r="A2866" s="6" t="s">
        <v>4285</v>
      </c>
      <c r="B2866" s="6" t="str">
        <f>IFERROR(__xludf.DUMMYFUNCTION("GOOGLETRANSLATE(A2866,""en"",""fi"")"),"Se kerääntyy muiden joukkoon yöllä ja saa punaisen ytimensä hehkumaan tuikkien tähtien valossa. Se voi luoda uusia raajoja, jos ne irrotetaan sen kehosta.")</f>
        <v>Se kerääntyy muiden joukkoon yöllä ja saa punaisen ytimensä hehkumaan tuikkien tähtien valossa. Se voi luoda uusia raajoja, jos ne irrotetaan sen kehosta.</v>
      </c>
      <c r="C2866" s="9" t="s">
        <v>1344</v>
      </c>
    </row>
    <row r="2867" ht="33.75" customHeight="1">
      <c r="A2867" s="6" t="s">
        <v>4287</v>
      </c>
      <c r="B2867" s="6" t="str">
        <f>IFERROR(__xludf.DUMMYFUNCTION("GOOGLETRANSLATE(A2867,""en"",""fi"")"),"Se esiintyy suurina määrinä merenrannoilla. Yöllä sen ydin välkkyy punaisena valona.")</f>
        <v>Se esiintyy suurina määrinä merenrannoilla. Yöllä sen ydin välkkyy punaisena valona.</v>
      </c>
      <c r="C2867" s="9" t="s">
        <v>1344</v>
      </c>
    </row>
    <row r="2868" ht="33.75" customHeight="1">
      <c r="A2868" s="6" t="s">
        <v>4288</v>
      </c>
      <c r="B2868" s="6" t="str">
        <f>IFERROR(__xludf.DUMMYFUNCTION("GOOGLETRANSLATE(A2868,""en"",""fi"")"),"Jos sen runko repeytyy, se voi kasvaa takaisin, jos punainen ydin on jäljellä. Ydin välähtää keskiyöllä.")</f>
        <v>Jos sen runko repeytyy, se voi kasvaa takaisin, jos punainen ydin on jäljellä. Ydin välähtää keskiyöllä.</v>
      </c>
      <c r="C2868" s="9" t="s">
        <v>1344</v>
      </c>
    </row>
    <row r="2869" ht="33.75" customHeight="1">
      <c r="A2869" s="6" t="s">
        <v>4289</v>
      </c>
      <c r="B2869" s="6" t="str">
        <f>IFERROR(__xludf.DUMMYFUNCTION("GOOGLETRANSLATE(A2869,""en"",""fi"")"),"Yöllä sen kehon keskiosa lepattaa hitaasti samalla rytmillä kuin ihmisen sydämenlyönti.")</f>
        <v>Yöllä sen kehon keskiosa lepattaa hitaasti samalla rytmillä kuin ihmisen sydämenlyönti.</v>
      </c>
      <c r="C2869" s="9" t="s">
        <v>1344</v>
      </c>
    </row>
    <row r="2870" ht="33.75" customHeight="1">
      <c r="A2870" s="6" t="s">
        <v>4291</v>
      </c>
      <c r="B2870" s="6" t="str">
        <f>IFERROR(__xludf.DUMMYFUNCTION("GOOGLETRANSLATE(A2870,""en"",""fi"")"),"Vaikka sen runko repeytyisi, se voi uudistua niin kauan kuin hehkuva keskusydin pysyy ehjänä.")</f>
        <v>Vaikka sen runko repeytyisi, se voi uudistua niin kauan kuin hehkuva keskusydin pysyy ehjänä.</v>
      </c>
      <c r="C2870" s="9" t="s">
        <v>1344</v>
      </c>
    </row>
    <row r="2871" ht="33.75" customHeight="1">
      <c r="A2871" s="6" t="s">
        <v>4293</v>
      </c>
      <c r="B2871" s="6" t="str">
        <f>IFERROR(__xludf.DUMMYFUNCTION("GOOGLETRANSLATE(A2871,""en"",""fi"")"),"Niin kauan kuin sen punainen ydin on jäljellä, se voi uudistaa kehonsa välittömästi, vaikka se repeytyisi kappaleiksi.")</f>
        <v>Niin kauan kuin sen punainen ydin on jäljellä, se voi uudistaa kehonsa välittömästi, vaikka se repeytyisi kappaleiksi.</v>
      </c>
      <c r="C2871" s="9" t="s">
        <v>1344</v>
      </c>
    </row>
    <row r="2872" ht="33.75" customHeight="1">
      <c r="A2872" s="6" t="s">
        <v>4294</v>
      </c>
      <c r="B2872" s="6" t="str">
        <f>IFERROR(__xludf.DUMMYFUNCTION("GOOGLETRANSLATE(A2872,""en"",""fi"")"),"Staryun keskiosassa on elin nimeltä ydin, joka hohtaa kirkkaan punaisena. Jos menet rannalle loppukesästä, näiden Pokémonien hohtavat ytimet näyttävät taivaan tähdiltä.")</f>
        <v>Staryun keskiosassa on elin nimeltä ydin, joka hohtaa kirkkaan punaisena. Jos menet rannalle loppukesästä, näiden Pokémonien hohtavat ytimet näyttävät taivaan tähdiltä.</v>
      </c>
      <c r="C2872" s="9" t="s">
        <v>1344</v>
      </c>
    </row>
    <row r="2873" ht="33.75" customHeight="1">
      <c r="A2873" s="6" t="s">
        <v>4295</v>
      </c>
      <c r="B2873" s="6" t="str">
        <f>IFERROR(__xludf.DUMMYFUNCTION("GOOGLETRANSLATE(A2873,""en"",""fi"")"),"Staryu ilmeisesti kommunikoi yötaivaan tähtien kanssa väläyttämällä punaisen ytimen kehonsa keskellä. Jos osia sen ruumiista repeytyy, tämä Pokémon yksinkertaisesti luo puuttuvat osat ja raajat.")</f>
        <v>Staryu ilmeisesti kommunikoi yötaivaan tähtien kanssa väläyttämällä punaisen ytimen kehonsa keskellä. Jos osia sen ruumiista repeytyy, tämä Pokémon yksinkertaisesti luo puuttuvat osat ja raajat.</v>
      </c>
      <c r="C2873" s="9" t="s">
        <v>1344</v>
      </c>
    </row>
    <row r="2874" ht="33.75" customHeight="1">
      <c r="A2874" s="6" t="s">
        <v>4297</v>
      </c>
      <c r="B2874" s="6" t="str">
        <f>IFERROR(__xludf.DUMMYFUNCTION("GOOGLETRANSLATE(A2874,""en"",""fi"")"),"Suuri määrä näitä Pokémoneja asuu meren rannalla. Yöllä niiden keskeltä säteilee outo punainen hehku.")</f>
        <v>Suuri määrä näitä Pokémoneja asuu meren rannalla. Yöllä niiden keskeltä säteilee outo punainen hehku.</v>
      </c>
      <c r="C2874" s="9" t="s">
        <v>1344</v>
      </c>
    </row>
    <row r="2875" ht="33.75" customHeight="1">
      <c r="A2875" s="6" t="s">
        <v>4298</v>
      </c>
      <c r="B2875" s="6" t="str">
        <f>IFERROR(__xludf.DUMMYFUNCTION("GOOGLETRANSLATE(A2875,""en"",""fi"")"),"Lumineon ja muut nakertelevat tätä Pokémonia. Punaisen ytimensä ansiosta se uusiutuu nopeasti, joten heidän välipalahyökkäyksensä eivät häiritse sitä.")</f>
        <v>Lumineon ja muut nakertelevat tätä Pokémonia. Punaisen ytimensä ansiosta se uusiutuu nopeasti, joten heidän välipalahyökkäyksensä eivät häiritse sitä.</v>
      </c>
      <c r="C2875" s="9" t="s">
        <v>1344</v>
      </c>
    </row>
    <row r="2876" ht="33.75" customHeight="1">
      <c r="A2876" s="6" t="s">
        <v>4299</v>
      </c>
      <c r="B2876" s="6" t="str">
        <f>IFERROR(__xludf.DUMMYFUNCTION("GOOGLETRANSLATE(A2876,""en"",""fi"")"),"Monissa paikoissa on kansantarinoita tähtipölystä, joka putoaa mereen ja muuttuu Staryuksi.")</f>
        <v>Monissa paikoissa on kansantarinoita tähtipölystä, joka putoaa mereen ja muuttuu Staryuksi.</v>
      </c>
      <c r="C2876" s="9" t="s">
        <v>1344</v>
      </c>
    </row>
    <row r="2877" ht="33.75" customHeight="1">
      <c r="A2877" s="6" t="s">
        <v>4300</v>
      </c>
      <c r="B2877" s="6" t="str">
        <f>IFERROR(__xludf.DUMMYFUNCTION("GOOGLETRANSLATE(A2877,""en"",""fi"")"),"Mitkään vammat eivät voi vaivata Staryua. Sen hämmästyttävät uudistumisvoimat palauttavat sen alkuperäiseen tilaansa puolessa päivässä!")</f>
        <v>Mitkään vammat eivät voi vaivata Staryua. Sen hämmästyttävät uudistumisvoimat palauttavat sen alkuperäiseen tilaansa puolessa päivässä!</v>
      </c>
      <c r="C2877" s="9" t="s">
        <v>1344</v>
      </c>
    </row>
    <row r="2878" ht="33.75" customHeight="1">
      <c r="A2878" s="6" t="s">
        <v>4301</v>
      </c>
      <c r="B2878" s="6" t="str">
        <f>IFERROR(__xludf.DUMMYFUNCTION("GOOGLETRANSLATE(A2878,""en"",""fi"")"),"Niin kauan kuin keskiosa on vahingoittumaton, tämä Pokémon voi kasvaa takaisin kokonaan, vaikka se pilkottaisiin palasiksi.")</f>
        <v>Niin kauan kuin keskiosa on vahingoittumaton, tämä Pokémon voi kasvaa takaisin kokonaan, vaikka se pilkottaisiin palasiksi.</v>
      </c>
      <c r="C2878" s="9" t="s">
        <v>1344</v>
      </c>
    </row>
    <row r="2879" ht="33.75" customHeight="1">
      <c r="A2879" s="6" t="s">
        <v>4302</v>
      </c>
      <c r="B2879" s="6" t="str">
        <f>IFERROR(__xludf.DUMMYFUNCTION("GOOGLETRANSLATE(A2879,""en"",""fi"")"),"Jos vierailet rannalla loppukesästä, voit nähdä Staryun linturyhmien syttyvän tasaiseen rytmiin.")</f>
        <v>Jos vierailet rannalla loppukesästä, voit nähdä Staryun linturyhmien syttyvän tasaiseen rytmiin.</v>
      </c>
      <c r="C2879" s="9" t="s">
        <v>1344</v>
      </c>
    </row>
    <row r="2880" ht="33.75" customHeight="1">
      <c r="A2880" s="6" t="s">
        <v>4303</v>
      </c>
      <c r="B2880" s="6" t="str">
        <f>IFERROR(__xludf.DUMMYFUNCTION("GOOGLETRANSLATE(A2880,""en"",""fi"")"),"Kala-Pokémonit näykkivät sitä, mutta Staryu ei välitä. Sen ruumis uusiutuu nopeasti, vaikka osa siitä repeytyisi kokonaan irti.")</f>
        <v>Kala-Pokémonit näykkivät sitä, mutta Staryu ei välitä. Sen ruumis uusiutuu nopeasti, vaikka osa siitä repeytyisi kokonaan irti.</v>
      </c>
      <c r="C2880" s="9" t="s">
        <v>1344</v>
      </c>
    </row>
    <row r="2881" ht="33.75" customHeight="1">
      <c r="A2881" s="6" t="s">
        <v>4304</v>
      </c>
      <c r="B2881" s="6" t="str">
        <f>IFERROR(__xludf.DUMMYFUNCTION("GOOGLETRANSLATE(A2881,""en"",""fi"")"),"Sen keskusydin hehkuu sateenkaaren seitsemässä värissä. Jotkut ihmiset arvostavat ydintä jalokivenä.")</f>
        <v>Sen keskusydin hehkuu sateenkaaren seitsemässä värissä. Jotkut ihmiset arvostavat ydintä jalokivenä.</v>
      </c>
      <c r="C2881" s="9" t="s">
        <v>1344</v>
      </c>
    </row>
    <row r="2882" ht="33.75" customHeight="1">
      <c r="A2882" s="6" t="s">
        <v>4305</v>
      </c>
      <c r="B2882" s="6" t="str">
        <f>IFERROR(__xludf.DUMMYFUNCTION("GOOGLETRANSLATE(A2882,""en"",""fi"")"),"Keskiosaa kutsutaan ytimeksi. Ihmiset luulevat sen kommunikoivan, kun se hehkuu seitsemässä värissä.")</f>
        <v>Keskiosaa kutsutaan ytimeksi. Ihmiset luulevat sen kommunikoivan, kun se hehkuu seitsemässä värissä.</v>
      </c>
      <c r="C2882" s="9" t="s">
        <v>1344</v>
      </c>
    </row>
    <row r="2883" ht="33.75" customHeight="1">
      <c r="A2883" s="6" t="s">
        <v>4306</v>
      </c>
      <c r="B2883" s="6" t="str">
        <f>IFERROR(__xludf.DUMMYFUNCTION("GOOGLETRANSLATE(A2883,""en"",""fi"")"),"Sen rungon keskiosaa kutsutaan ytimeksi. Se hehkuu eri värillä joka kerta, kun se nähdään.")</f>
        <v>Sen rungon keskiosaa kutsutaan ytimeksi. Se hehkuu eri värillä joka kerta, kun se nähdään.</v>
      </c>
      <c r="C2883" s="9" t="s">
        <v>1344</v>
      </c>
    </row>
    <row r="2884" ht="33.75" customHeight="1">
      <c r="A2884" s="6" t="s">
        <v>4307</v>
      </c>
      <c r="B2884" s="6" t="str">
        <f>IFERROR(__xludf.DUMMYFUNCTION("GOOGLETRANSLATE(A2884,""en"",""fi"")"),"Ympäristöstä riippumatta sen ruumis kasvaa symmetrisen geometrisen muodon mukaisesti.")</f>
        <v>Ympäristöstä riippumatta sen ruumis kasvaa symmetrisen geometrisen muodon mukaisesti.</v>
      </c>
      <c r="C2884" s="9" t="s">
        <v>1344</v>
      </c>
    </row>
    <row r="2885" ht="33.75" customHeight="1">
      <c r="A2885" s="6" t="s">
        <v>4308</v>
      </c>
      <c r="B2885" s="6" t="str">
        <f>IFERROR(__xludf.DUMMYFUNCTION("GOOGLETRANSLATE(A2885,""en"",""fi"")"),"Sanotaan, että se käyttää seitsemänväristä kehonsa ydintä lähettääkseen sähköaaltoja avaruuteen.")</f>
        <v>Sanotaan, että se käyttää seitsemänväristä kehonsa ydintä lähettääkseen sähköaaltoja avaruuteen.</v>
      </c>
      <c r="C2885" s="9" t="s">
        <v>1344</v>
      </c>
    </row>
    <row r="2886" ht="33.75" customHeight="1">
      <c r="A2886" s="6" t="s">
        <v>4310</v>
      </c>
      <c r="B2886" s="6" t="str">
        <f>IFERROR(__xludf.DUMMYFUNCTION("GOOGLETRANSLATE(A2886,""en"",""fi"")"),"STARMIEn keskiosa – ydin – hohtaa kirkkaasti seitsemässä värissä. Hohtavan luonteensa vuoksi tälle POKéMONille on annettu lempinimi ""meren helmi"".")</f>
        <v>STARMIEn keskiosa – ydin – hohtaa kirkkaasti seitsemässä värissä. Hohtavan luonteensa vuoksi tälle POKéMONille on annettu lempinimi "meren helmi".</v>
      </c>
      <c r="C2886" s="9" t="s">
        <v>1344</v>
      </c>
    </row>
    <row r="2887" ht="33.75" customHeight="1">
      <c r="A2887" s="6" t="s">
        <v>4312</v>
      </c>
      <c r="B2887" s="6" t="str">
        <f>IFERROR(__xludf.DUMMYFUNCTION("GOOGLETRANSLATE(A2887,""en"",""fi"")"),"STARMIE ui vedessä pyörittämällä tähdenmuotoista vartaloaan aivan kuin se olisi laivan potkuri. Tämän POKéMONin kehon keskellä oleva ydin hehkuu seitsemässä värissä.")</f>
        <v>STARMIE ui vedessä pyörittämällä tähdenmuotoista vartaloaan aivan kuin se olisi laivan potkuri. Tämän POKéMONin kehon keskellä oleva ydin hehkuu seitsemässä värissä.</v>
      </c>
      <c r="C2887" s="9" t="s">
        <v>1344</v>
      </c>
    </row>
    <row r="2888" ht="33.75" customHeight="1">
      <c r="A2888" s="6" t="s">
        <v>4313</v>
      </c>
      <c r="B2888" s="6" t="str">
        <f>IFERROR(__xludf.DUMMYFUNCTION("GOOGLETRANSLATE(A2888,""en"",""fi"")"),"Muinaiset ihmiset kuvittelivat, että TÄHTIT muuttuivat yöllä lempeillä aalloilla tuikkivien tähtien heijastuksista.")</f>
        <v>Muinaiset ihmiset kuvittelivat, että TÄHTIT muuttuivat yöllä lempeillä aalloilla tuikkivien tähtien heijastuksista.</v>
      </c>
      <c r="C2888" s="9" t="s">
        <v>1344</v>
      </c>
    </row>
    <row r="2889" ht="33.75" customHeight="1">
      <c r="A2889" s="6" t="s">
        <v>4315</v>
      </c>
      <c r="B2889" s="6" t="str">
        <f>IFERROR(__xludf.DUMMYFUNCTION("GOOGLETRANSLATE(A2889,""en"",""fi"")"),"Tällä POKéMONilla on geometrinen ruumis. Sen ruumiin perusteella paikalliset epäilevät sitä avaruusolennoksi.")</f>
        <v>Tällä POKéMONilla on geometrinen ruumis. Sen ruumiin perusteella paikalliset epäilevät sitä avaruusolennoksi.</v>
      </c>
      <c r="C2889" s="9" t="s">
        <v>1344</v>
      </c>
    </row>
    <row r="2890" ht="33.75" customHeight="1">
      <c r="A2890" s="6" t="s">
        <v>4316</v>
      </c>
      <c r="B2890" s="6" t="str">
        <f>IFERROR(__xludf.DUMMYFUNCTION("GOOGLETRANSLATE(A2890,""en"",""fi"")"),"Sen rungon keskellä on punainen ydin, joka lähettää salaperäisiä radiosignaaleja yötaivaalle.")</f>
        <v>Sen rungon keskellä on punainen ydin, joka lähettää salaperäisiä radiosignaaleja yötaivaalle.</v>
      </c>
      <c r="C2890" s="9" t="s">
        <v>1344</v>
      </c>
    </row>
    <row r="2891" ht="33.75" customHeight="1">
      <c r="A2891" s="6" t="s">
        <v>4320</v>
      </c>
      <c r="B2891" s="6" t="str">
        <f>IFERROR(__xludf.DUMMYFUNCTION("GOOGLETRANSLATE(A2891,""en"",""fi"")"),"Sen rungon keskiosaa kutsutaan ytimeksi. Se hehkuu eri värillä joka kerta, kun se nähdään.")</f>
        <v>Sen rungon keskiosaa kutsutaan ytimeksi. Se hehkuu eri värillä joka kerta, kun se nähdään.</v>
      </c>
      <c r="C2891" s="9" t="s">
        <v>1344</v>
      </c>
    </row>
    <row r="2892" ht="33.75" customHeight="1">
      <c r="A2892" s="6" t="s">
        <v>4324</v>
      </c>
      <c r="B2892" s="6" t="str">
        <f>IFERROR(__xludf.DUMMYFUNCTION("GOOGLETRANSLATE(A2892,""en"",""fi"")"),"Ympäristöstä riippumatta sen ruumis kasvaa symmetrisen geometrisen muodon mukaisesti.")</f>
        <v>Ympäristöstä riippumatta sen ruumis kasvaa symmetrisen geometrisen muodon mukaisesti.</v>
      </c>
      <c r="C2892" s="9" t="s">
        <v>1344</v>
      </c>
    </row>
    <row r="2893" ht="33.75" customHeight="1">
      <c r="A2893" s="6" t="s">
        <v>4326</v>
      </c>
      <c r="B2893" s="6" t="str">
        <f>IFERROR(__xludf.DUMMYFUNCTION("GOOGLETRANSLATE(A2893,""en"",""fi"")"),"Sen ydin loistaa monissa väreissä ja lähettää radiosignaaleja avaruuteen kommunikoidakseen jonkin kanssa.")</f>
        <v>Sen ydin loistaa monissa väreissä ja lähettää radiosignaaleja avaruuteen kommunikoidakseen jonkin kanssa.</v>
      </c>
      <c r="C2893" s="9" t="s">
        <v>1344</v>
      </c>
    </row>
    <row r="2894" ht="33.75" customHeight="1">
      <c r="A2894" s="6" t="s">
        <v>4327</v>
      </c>
      <c r="B2894" s="6" t="str">
        <f>IFERROR(__xludf.DUMMYFUNCTION("GOOGLETRANSLATE(A2894,""en"",""fi"")"),"Starmien keskiosa – ydin – hohtaa kirkkaasti seitsemässä värissä. Hohtavan luonteensa vuoksi tälle Pokémonille on annettu lempinimi ""meren helmi"".")</f>
        <v>Starmien keskiosa – ydin – hohtaa kirkkaasti seitsemässä värissä. Hohtavan luonteensa vuoksi tälle Pokémonille on annettu lempinimi "meren helmi".</v>
      </c>
      <c r="C2894" s="9" t="s">
        <v>1344</v>
      </c>
    </row>
    <row r="2895" ht="33.75" customHeight="1">
      <c r="A2895" s="6" t="s">
        <v>4329</v>
      </c>
      <c r="B2895" s="6" t="str">
        <f>IFERROR(__xludf.DUMMYFUNCTION("GOOGLETRANSLATE(A2895,""en"",""fi"")"),"Starmie ui vedessä pyörittämällä tähdenmuotoista vartaloaan aivan kuin se olisi laivan potkuri. Tämän Pokémonin kehon keskellä oleva ydin hehkuu seitsemässä värissä.")</f>
        <v>Starmie ui vedessä pyörittämällä tähdenmuotoista vartaloaan aivan kuin se olisi laivan potkuri. Tämän Pokémonin kehon keskellä oleva ydin hehkuu seitsemässä värissä.</v>
      </c>
      <c r="C2895" s="9" t="s">
        <v>1344</v>
      </c>
    </row>
    <row r="2896" ht="33.75" customHeight="1">
      <c r="A2896" s="6" t="s">
        <v>4331</v>
      </c>
      <c r="B2896" s="6" t="str">
        <f>IFERROR(__xludf.DUMMYFUNCTION("GOOGLETRANSLATE(A2896,""en"",""fi"")"),"Sen kiiltävän ytimen uskotaan vastaanottavan ja lähettävän arvoituksellisia signaaleja. Sen tiedetään aiheuttavan päänsärkyä sitä lähestyville.")</f>
        <v>Sen kiiltävän ytimen uskotaan vastaanottavan ja lähettävän arvoituksellisia signaaleja. Sen tiedetään aiheuttavan päänsärkyä sitä lähestyville.</v>
      </c>
      <c r="C2896" s="9" t="s">
        <v>1344</v>
      </c>
    </row>
    <row r="2897" ht="33.75" customHeight="1">
      <c r="A2897" s="6" t="s">
        <v>4332</v>
      </c>
      <c r="B2897" s="6" t="str">
        <f>IFERROR(__xludf.DUMMYFUNCTION("GOOGLETRANSLATE(A2897,""en"",""fi"")"),"Sen epätavallinen, abstraktia taidetta muistuttava ruumiinmuoto sai paikalliset ihmiset levittämään huhuja, että tämä Pokémon saattaa olla avaruudesta tullut tunkeilija.")</f>
        <v>Sen epätavallinen, abstraktia taidetta muistuttava ruumiinmuoto sai paikalliset ihmiset levittämään huhuja, että tämä Pokémon saattaa olla avaruudesta tullut tunkeilija.</v>
      </c>
      <c r="C2897" s="9" t="s">
        <v>1344</v>
      </c>
    </row>
    <row r="2898" ht="33.75" customHeight="1">
      <c r="A2898" s="6" t="s">
        <v>4333</v>
      </c>
      <c r="B2898" s="6" t="str">
        <f>IFERROR(__xludf.DUMMYFUNCTION("GOOGLETRANSLATE(A2898,""en"",""fi"")"),"Sen kimaltelevaa ydintä kutsutaan ""meren jalokiveksi"". Tästä ytimestä voidaan tehdä kalliita asusteita, joilla käydään kauppaa salaa.")</f>
        <v>Sen kimaltelevaa ydintä kutsutaan "meren jalokiveksi". Tästä ytimestä voidaan tehdä kalliita asusteita, joilla käydään kauppaa salaa.</v>
      </c>
      <c r="C2898" s="9" t="s">
        <v>1344</v>
      </c>
    </row>
    <row r="2899" ht="33.75" customHeight="1">
      <c r="A2899" s="6" t="s">
        <v>4335</v>
      </c>
      <c r="B2899" s="6" t="str">
        <f>IFERROR(__xludf.DUMMYFUNCTION("GOOGLETRANSLATE(A2899,""en"",""fi"")"),"Se pyörittää geometrisesti muotoiltua vartaloaan uidakseen vedessä. Se näyttää jatkuvasti lähettävän salaperäisiä radioaaltoja.")</f>
        <v>Se pyörittää geometrisesti muotoiltua vartaloaan uidakseen vedessä. Se näyttää jatkuvasti lähettävän salaperäisiä radioaaltoja.</v>
      </c>
      <c r="C2899" s="9" t="s">
        <v>1344</v>
      </c>
    </row>
    <row r="2900" ht="33.75" customHeight="1">
      <c r="A2900" s="6" t="s">
        <v>4336</v>
      </c>
      <c r="B2900" s="6" t="str">
        <f>IFERROR(__xludf.DUMMYFUNCTION("GOOGLETRANSLATE(A2900,""en"",""fi"")"),"Keskiosaa kutsutaan ytimeksi. Ihmiset luulevat sen kommunikoivan, kun se hehkuu seitsemässä värissä.")</f>
        <v>Keskiosaa kutsutaan ytimeksi. Ihmiset luulevat sen kommunikoivan, kun se hehkuu seitsemässä värissä.</v>
      </c>
      <c r="C2900" s="9" t="s">
        <v>1344</v>
      </c>
    </row>
    <row r="2901" ht="33.75" customHeight="1">
      <c r="A2901" s="6" t="s">
        <v>4338</v>
      </c>
      <c r="B2901" s="6" t="str">
        <f>IFERROR(__xludf.DUMMYFUNCTION("GOOGLETRANSLATE(A2901,""en"",""fi"")"),"Tällä Pokémonilla on elin, jota kutsutaan sen ytimeksi. Elin hohtaa seitsemässä värissä, kun Starmie vapauttaa voimakkaita psyykkisiä voimiaan.")</f>
        <v>Tällä Pokémonilla on elin, jota kutsutaan sen ytimeksi. Elin hohtaa seitsemässä värissä, kun Starmie vapauttaa voimakkaita psyykkisiä voimiaan.</v>
      </c>
      <c r="C2901" s="9" t="s">
        <v>1344</v>
      </c>
    </row>
    <row r="2902" ht="33.75" customHeight="1">
      <c r="A2902" s="6" t="s">
        <v>4340</v>
      </c>
      <c r="B2902" s="6" t="str">
        <f>IFERROR(__xludf.DUMMYFUNCTION("GOOGLETRANSLATE(A2902,""en"",""fi"")"),"Starmie ui pyörittämällä kehoaan kovaa vauhtia. Meren halki risteillessään tämä Pokémon imee itseensä pientä planktonia.")</f>
        <v>Starmie ui pyörittämällä kehoaan kovaa vauhtia. Meren halki risteillessään tämä Pokémon imee itseensä pientä planktonia.</v>
      </c>
      <c r="C2902" s="9" t="s">
        <v>1344</v>
      </c>
    </row>
    <row r="2903" ht="33.75" customHeight="1">
      <c r="A2903" s="6" t="s">
        <v>4342</v>
      </c>
      <c r="B2903" s="6" t="str">
        <f>IFERROR(__xludf.DUMMYFUNCTION("GOOGLETRANSLATE(A2903,""en"",""fi"")"),"Jos se keskeytetään matkimisen aikana, se läimäyttää loukkaajaa leveillä käsillään.")</f>
        <v>Jos se keskeytetään matkimisen aikana, se läimäyttää loukkaajaa leveillä käsillään.</v>
      </c>
      <c r="C2903" s="9" t="s">
        <v>1344</v>
      </c>
    </row>
    <row r="2904" ht="33.75" customHeight="1">
      <c r="A2904" s="6" t="s">
        <v>4343</v>
      </c>
      <c r="B2904" s="6" t="str">
        <f>IFERROR(__xludf.DUMMYFUNCTION("GOOGLETRANSLATE(A2904,""en"",""fi"")"),"Harjoittelee aina pantomiimiaan. Se saa viholliset uskomaan, että on olemassa jotain, mitä ei oikeasti ole.")</f>
        <v>Harjoittelee aina pantomiimiaan. Se saa viholliset uskomaan, että on olemassa jotain, mitä ei oikeasti ole.</v>
      </c>
      <c r="C2904" s="9" t="s">
        <v>1344</v>
      </c>
    </row>
    <row r="2905" ht="33.75" customHeight="1">
      <c r="A2905" s="6" t="s">
        <v>4344</v>
      </c>
      <c r="B2905" s="6" t="str">
        <f>IFERROR(__xludf.DUMMYFUNCTION("GOOGLETRANSLATE(A2905,""en"",""fi"")"),"Se on syntymästään asti taitava miimikko, ja se saa kyvyn luoda näkymättömiä esineitä kypsyessään.")</f>
        <v>Se on syntymästään asti taitava miimikko, ja se saa kyvyn luoda näkymättömiä esineitä kypsyessään.</v>
      </c>
      <c r="C2905" s="9" t="s">
        <v>1344</v>
      </c>
    </row>
    <row r="2906" ht="33.75" customHeight="1">
      <c r="A2906" s="6" t="s">
        <v>4345</v>
      </c>
      <c r="B2906" s="6" t="str">
        <f>IFERROR(__xludf.DUMMYFUNCTION("GOOGLETRANSLATE(A2906,""en"",""fi"")"),"Sen sormenpäät lähettävät erikoisen voimakentän, joka kovettaa ilman ja luo todellisen seinän.")</f>
        <v>Sen sormenpäät lähettävät erikoisen voimakentän, joka kovettaa ilman ja luo todellisen seinän.</v>
      </c>
      <c r="C2906" s="9" t="s">
        <v>1344</v>
      </c>
    </row>
    <row r="2907" ht="33.75" customHeight="1">
      <c r="A2907" s="6" t="s">
        <v>4346</v>
      </c>
      <c r="B2907" s="6" t="str">
        <f>IFERROR(__xludf.DUMMYFUNCTION("GOOGLETRANSLATE(A2907,""en"",""fi"")"),"Se käyttää sormissaan olevaa salaperäistä voimaa jähmettääkseen ilman näkymättömäksi seinäksi.")</f>
        <v>Se käyttää sormissaan olevaa salaperäistä voimaa jähmettääkseen ilman näkymättömäksi seinäksi.</v>
      </c>
      <c r="C2907" s="9" t="s">
        <v>1344</v>
      </c>
    </row>
    <row r="2908" ht="33.75" customHeight="1">
      <c r="A2908" s="6" t="s">
        <v>4347</v>
      </c>
      <c r="B2908" s="6" t="str">
        <f>IFERROR(__xludf.DUMMYFUNCTION("GOOGLETRANSLATE(A2908,""en"",""fi"")"),"MR. MIME on pantomiimin mestari. Sen eleet ja liikkeet vakuuttavat katsojat siitä, että jokin näkymätön on todella olemassa. Kun siihen uskotaan, se on olemassa kuin se olisi todellinen asia.")</f>
        <v>MR. MIME on pantomiimin mestari. Sen eleet ja liikkeet vakuuttavat katsojat siitä, että jokin näkymätön on todella olemassa. Kun siihen uskotaan, se on olemassa kuin se olisi todellinen asia.</v>
      </c>
      <c r="C2908" s="9" t="s">
        <v>1344</v>
      </c>
    </row>
    <row r="2909" ht="33.75" customHeight="1">
      <c r="A2909" s="6" t="s">
        <v>4348</v>
      </c>
      <c r="B2909" s="6" t="str">
        <f>IFERROR(__xludf.DUMMYFUNCTION("GOOGLETRANSLATE(A2909,""en"",""fi"")"),"MR. MIME on pantomiimin mestari. Se voi vakuuttaa muut siitä, että jokin näkymätön on todella olemassa. Kun kuvitteelliseen objektiin kerran uskotaan, siitä tulee todellinen.")</f>
        <v>MR. MIME on pantomiimin mestari. Se voi vakuuttaa muut siitä, että jokin näkymätön on todella olemassa. Kun kuvitteelliseen objektiin kerran uskotaan, siitä tulee todellinen.</v>
      </c>
      <c r="C2909" s="9" t="s">
        <v>1344</v>
      </c>
    </row>
    <row r="2910" ht="33.75" customHeight="1">
      <c r="A2910" s="6" t="s">
        <v>4350</v>
      </c>
      <c r="B2910" s="6" t="str">
        <f>IFERROR(__xludf.DUMMYFUNCTION("GOOGLETRANSLATE(A2910,""en"",""fi"")"),"Se on taitava huijaamaan ihmisiä. Sen sanotaan pystyvän luomaan muureja tyhjästä matkimalla.")</f>
        <v>Se on taitava huijaamaan ihmisiä. Sen sanotaan pystyvän luomaan muureja tyhjästä matkimalla.</v>
      </c>
      <c r="C2910" s="9" t="s">
        <v>1344</v>
      </c>
    </row>
    <row r="2911" ht="33.75" customHeight="1">
      <c r="A2911" s="6" t="s">
        <v>4352</v>
      </c>
      <c r="B2911" s="6" t="str">
        <f>IFERROR(__xludf.DUMMYFUNCTION("GOOGLETRANSLATE(A2911,""en"",""fi"")"),"Jos se keskeytetään matkimisen aikana, se yhtäkkiä LÄPÄISEE loukkaajaa KAKSINKERTAISESTI leveillä käsillään.")</f>
        <v>Jos se keskeytetään matkimisen aikana, se yhtäkkiä LÄPÄISEE loukkaajaa KAKSINKERTAISESTI leveillä käsillään.</v>
      </c>
      <c r="C2911" s="9" t="s">
        <v>1344</v>
      </c>
    </row>
    <row r="2912" ht="33.75" customHeight="1">
      <c r="A2912" s="6" t="s">
        <v>4353</v>
      </c>
      <c r="B2912" s="6" t="str">
        <f>IFERROR(__xludf.DUMMYFUNCTION("GOOGLETRANSLATE(A2912,""en"",""fi"")"),"Hän on pantomiimin asiantuntija, joka pystyy luomaan näkymättömiä mutta kiinteitä seiniä matkivien eleiden avulla.")</f>
        <v>Hän on pantomiimin asiantuntija, joka pystyy luomaan näkymättömiä mutta kiinteitä seiniä matkivien eleiden avulla.</v>
      </c>
      <c r="C2912" s="9" t="s">
        <v>1344</v>
      </c>
    </row>
    <row r="2913" ht="33.75" customHeight="1">
      <c r="A2913" s="6" t="s">
        <v>4354</v>
      </c>
      <c r="B2913" s="6" t="str">
        <f>IFERROR(__xludf.DUMMYFUNCTION("GOOGLETRANSLATE(A2913,""en"",""fi"")"),"Sen sormenpäistä lähtevät säteilyt jähmettävät ilman näkymättömiksi muureiksi, jotka torjuvat jopa ankarimmat hyökkäykset.")</f>
        <v>Sen sormenpäistä lähtevät säteilyt jähmettävät ilman näkymättömiksi muureiksi, jotka torjuvat jopa ankarimmat hyökkäykset.</v>
      </c>
      <c r="C2913" s="9" t="s">
        <v>1344</v>
      </c>
    </row>
    <row r="2914" ht="33.75" customHeight="1">
      <c r="A2914" s="6" t="s">
        <v>4356</v>
      </c>
      <c r="B2914" s="6" t="str">
        <f>IFERROR(__xludf.DUMMYFUNCTION("GOOGLETRANSLATE(A2914,""en"",""fi"")"),"Se muodostaa näkymättömän seinän ilmaan värähtelemällä sormenpäitään tarkasti pysäyttääkseen ilmassa olevat molekyylit.")</f>
        <v>Se muodostaa näkymättömän seinän ilmaan värähtelemällä sormenpäitään tarkasti pysäyttääkseen ilmassa olevat molekyylit.</v>
      </c>
      <c r="C2914" s="9" t="s">
        <v>1344</v>
      </c>
    </row>
    <row r="2915" ht="33.75" customHeight="1">
      <c r="A2915" s="6" t="s">
        <v>4357</v>
      </c>
      <c r="B2915" s="6" t="str">
        <f>IFERROR(__xludf.DUMMYFUNCTION("GOOGLETRANSLATE(A2915,""en"",""fi"")"),"Taitava miimikko syntymästään asti, se saa kyvyn luoda näkymättömiä esineitä kypsyessään.")</f>
        <v>Taitava miimikko syntymästään asti, se saa kyvyn luoda näkymättömiä esineitä kypsyessään.</v>
      </c>
      <c r="C2915" s="9" t="s">
        <v>1344</v>
      </c>
    </row>
    <row r="2916" ht="33.75" customHeight="1">
      <c r="A2916" s="6" t="s">
        <v>4358</v>
      </c>
      <c r="B2916" s="6" t="str">
        <f>IFERROR(__xludf.DUMMYFUNCTION("GOOGLETRANSLATE(A2916,""en"",""fi"")"),"Herra Miimikko on pantomiimin mestari. Sen eleet ja liikkeet vakuuttavat katsojat siitä, että jokin näkymätön on todella olemassa. Kun katsojat ovat vakuuttuneita, näkymätön asia on olemassa ikään kuin se olisi todellinen.")</f>
        <v>Herra Miimikko on pantomiimin mestari. Sen eleet ja liikkeet vakuuttavat katsojat siitä, että jokin näkymätön on todella olemassa. Kun katsojat ovat vakuuttuneita, näkymätön asia on olemassa ikään kuin se olisi todellinen.</v>
      </c>
      <c r="C2916" s="9" t="s">
        <v>1344</v>
      </c>
    </row>
    <row r="2917" ht="33.75" customHeight="1">
      <c r="A2917" s="6" t="s">
        <v>4362</v>
      </c>
      <c r="B2917" s="6" t="str">
        <f>IFERROR(__xludf.DUMMYFUNCTION("GOOGLETRANSLATE(A2917,""en"",""fi"")"),"Sen pantomiimitaidot ovat upeat. Saatat lumoutua sitä katsellessasi, mutta seuraavaksi herra Miimikko on tehnyt todellisen muurin.")</f>
        <v>Sen pantomiimitaidot ovat upeat. Saatat lumoutua sitä katsellessasi, mutta seuraavaksi herra Miimikko on tehnyt todellisen muurin.</v>
      </c>
      <c r="C2917" s="9" t="s">
        <v>1344</v>
      </c>
    </row>
    <row r="2918" ht="33.75" customHeight="1">
      <c r="A2918" s="6" t="s">
        <v>4363</v>
      </c>
      <c r="B2918" s="6" t="str">
        <f>IFERROR(__xludf.DUMMYFUNCTION("GOOGLETRANSLATE(A2918,""en"",""fi"")"),"Se luo näkymättömiä muureja pantomiimillään. Jos et teeskentele vaikuttunutta, se hyökkää kimppuusi tuplaläimäyksellä!")</f>
        <v>Se luo näkymättömiä muureja pantomiimillään. Jos et teeskentele vaikuttunutta, se hyökkää kimppuusi tuplaläimäyksellä!</v>
      </c>
      <c r="C2918" s="9" t="s">
        <v>1344</v>
      </c>
    </row>
    <row r="2919" ht="33.75" customHeight="1">
      <c r="A2919" s="6" t="s">
        <v>4364</v>
      </c>
      <c r="B2919" s="6" t="str">
        <f>IFERROR(__xludf.DUMMYFUNCTION("GOOGLETRANSLATE(A2919,""en"",""fi"")"),"Harjoittelee aina pantomiimiesitystään. Se saa viholliset uskomaan, että on olemassa jotain, mitä ei oikeasti ole.")</f>
        <v>Harjoittelee aina pantomiimiesitystään. Se saa viholliset uskomaan, että on olemassa jotain, mitä ei oikeasti ole.</v>
      </c>
      <c r="C2919" s="9" t="s">
        <v>1344</v>
      </c>
    </row>
    <row r="2920" ht="33.75" customHeight="1">
      <c r="A2920" s="6" t="s">
        <v>4366</v>
      </c>
      <c r="B2920" s="6" t="str">
        <f>IFERROR(__xludf.DUMMYFUNCTION("GOOGLETRANSLATE(A2920,""en"",""fi"")"),"Sen käsien leveys ei ehkä ole sattumaa – monet tiedemiehet uskovat, että sen kämmenet suurenivat erityisesti pantomiimia varten.")</f>
        <v>Sen käsien leveys ei ehkä ole sattumaa – monet tiedemiehet uskovat, että sen kämmenet suurenivat erityisesti pantomiimia varten.</v>
      </c>
      <c r="C2920" s="9" t="s">
        <v>1344</v>
      </c>
    </row>
    <row r="2921" ht="33.75" customHeight="1">
      <c r="A2921" s="6" t="s">
        <v>4367</v>
      </c>
      <c r="B2921" s="6" t="str">
        <f>IFERROR(__xludf.DUMMYFUNCTION("GOOGLETRANSLATE(A2921,""en"",""fi"")"),"Se tunnetaan huippuluokan pantomiimitaidoistaan. Se suojaa itseään kaikenlaisilta hyökkäyksiltä lähettämällä sormistaan ​​auroja luodakseen seiniä.")</f>
        <v>Se tunnetaan huippuluokan pantomiimitaidoistaan. Se suojaa itseään kaikenlaisilta hyökkäyksiltä lähettämällä sormistaan ​​auroja luodakseen seiniä.</v>
      </c>
      <c r="C2921" s="9" t="s">
        <v>1344</v>
      </c>
    </row>
    <row r="2922" ht="33.75" customHeight="1">
      <c r="A2922" s="6" t="s">
        <v>4368</v>
      </c>
      <c r="B2922" s="6" t="str">
        <f>IFERROR(__xludf.DUMMYFUNCTION("GOOGLETRANSLATE(A2922,""en"",""fi"")"),"Tämän pellemäisen Pokémonin käytös muistuttaa pantomiimia. Se luo näkymättömiä seiniä sormenpäistään lähtevän voiman avulla.")</f>
        <v>Tämän pellemäisen Pokémonin käytös muistuttaa pantomiimia. Se luo näkymättömiä seiniä sormenpäistään lähtevän voiman avulla.</v>
      </c>
      <c r="C2922" s="9" t="s">
        <v>1344</v>
      </c>
    </row>
    <row r="2923" ht="33.75" customHeight="1">
      <c r="A2923" s="6" t="s">
        <v>4369</v>
      </c>
      <c r="B2923" s="6" t="str">
        <f>IFERROR(__xludf.DUMMYFUNCTION("GOOGLETRANSLATE(A2923,""en"",""fi"")"),"Ninjamaisella ketteryydellä ja nopeudella se voi luoda illuusion, että niitä on useampi kuin yksi.")</f>
        <v>Ninjamaisella ketteryydellä ja nopeudella se voi luoda illuusion, että niitä on useampi kuin yksi.</v>
      </c>
      <c r="C2923" s="9" t="s">
        <v>1344</v>
      </c>
    </row>
    <row r="2924" ht="33.75" customHeight="1">
      <c r="A2924" s="6" t="s">
        <v>4370</v>
      </c>
      <c r="B2924" s="6" t="str">
        <f>IFERROR(__xludf.DUMMYFUNCTION("GOOGLETRANSLATE(A2924,""en"",""fi"")"),"Hyppää korkeasta ruohosta ja viipaloi saalista viikatteillaan. Liike näyttää ninjan liikkeeltä.")</f>
        <v>Hyppää korkeasta ruohosta ja viipaloi saalista viikatteillaan. Liike näyttää ninjan liikkeeltä.</v>
      </c>
      <c r="C2924" s="9" t="s">
        <v>1344</v>
      </c>
    </row>
    <row r="2925" ht="33.75" customHeight="1">
      <c r="A2925" s="6" t="s">
        <v>4371</v>
      </c>
      <c r="B2925" s="6" t="str">
        <f>IFERROR(__xludf.DUMMYFUNCTION("GOOGLETRANSLATE(A2925,""en"",""fi"")"),"Se viiltää ruohoa terävillä viikatteillaan liian nopeasti ihmissilmän seurattavaksi.")</f>
        <v>Se viiltää ruohoa terävillä viikatteillaan liian nopeasti ihmissilmän seurattavaksi.</v>
      </c>
      <c r="C2925" s="9" t="s">
        <v>1344</v>
      </c>
    </row>
    <row r="2926" ht="33.75" customHeight="1">
      <c r="A2926" s="6" t="s">
        <v>4372</v>
      </c>
      <c r="B2926" s="6" t="str">
        <f>IFERROR(__xludf.DUMMYFUNCTION("GOOGLETRANSLATE(A2926,""en"",""fi"")"),"Liikkuessaan se jättää jälkeensä vain sumennuksen. Jos se piiloutuu ruohikkoon, sen suojaavat värit tekevät siitä näkymättömän.")</f>
        <v>Liikkuessaan se jättää jälkeensä vain sumennuksen. Jos se piiloutuu ruohikkoon, sen suojaavat värit tekevät siitä näkymättömän.</v>
      </c>
      <c r="C2926" s="9" t="s">
        <v>1344</v>
      </c>
    </row>
    <row r="2927" ht="33.75" customHeight="1">
      <c r="A2927" s="6" t="s">
        <v>4373</v>
      </c>
      <c r="B2927" s="6" t="str">
        <f>IFERROR(__xludf.DUMMYFUNCTION("GOOGLETRANSLATE(A2927,""en"",""fi"")"),"Se on erittäin ylpeä nopeudestaan. Se liikkuu niin nopeasti, ettei vastustaja edes tiedä, mikä sen kaatoi.")</f>
        <v>Se on erittäin ylpeä nopeudestaan. Se liikkuu niin nopeasti, ettei vastustaja edes tiedä, mikä sen kaatoi.</v>
      </c>
      <c r="C2927" s="9" t="s">
        <v>1344</v>
      </c>
    </row>
    <row r="2928" ht="33.75" customHeight="1">
      <c r="A2928" s="6" t="s">
        <v>4374</v>
      </c>
      <c r="B2928" s="6" t="str">
        <f>IFERROR(__xludf.DUMMYFUNCTION("GOOGLETRANSLATE(A2928,""en"",""fi"")"),"SCYTHER on sokaisevan nopea. Sen salamannopeus parantaa sen kyynärvarsissa olevien kaksoisviikatteiden tehokkuutta. Tämän POKéMONin viikatteet ovat niin tehokkaita, että ne voivat viiltää paksuja tukin läpi yhdellä voimakkaalla vedolla.")</f>
        <v>SCYTHER on sokaisevan nopea. Sen salamannopeus parantaa sen kyynärvarsissa olevien kaksoisviikatteiden tehokkuutta. Tämän POKéMONin viikatteet ovat niin tehokkaita, että ne voivat viiltää paksuja tukin läpi yhdellä voimakkaalla vedolla.</v>
      </c>
      <c r="C2928" s="9" t="s">
        <v>1344</v>
      </c>
    </row>
    <row r="2929" ht="33.75" customHeight="1">
      <c r="A2929" s="6" t="s">
        <v>4375</v>
      </c>
      <c r="B2929" s="6" t="str">
        <f>IFERROR(__xludf.DUMMYFUNCTION("GOOGLETRANSLATE(A2929,""en"",""fi"")"),"Sen sokaisevan nopea nopeus lisää sen kahden kyynärvarsiviikatteen terävyyttä. Viikatteet voivat viiltää paksuja tukin läpi yhdellä voimakkaalla vedolla.")</f>
        <v>Sen sokaisevan nopea nopeus lisää sen kahden kyynärvarsiviikatteen terävyyttä. Viikatteet voivat viiltää paksuja tukin läpi yhdellä voimakkaalla vedolla.</v>
      </c>
      <c r="C2929" s="9" t="s">
        <v>1344</v>
      </c>
    </row>
    <row r="2930" ht="33.75" customHeight="1">
      <c r="A2930" s="6" t="s">
        <v>4376</v>
      </c>
      <c r="B2930" s="6" t="str">
        <f>IFERROR(__xludf.DUMMYFUNCTION("GOOGLETRANSLATE(A2930,""en"",""fi"")"),"Se repii ja silppuaa saalistaan ​​terävillä viikatteillaan. Se levittää siipensä lentoon hyvin harvoin.")</f>
        <v>Se repii ja silppuaa saalistaan ​​terävillä viikatteillaan. Se levittää siipensä lentoon hyvin harvoin.</v>
      </c>
      <c r="C2930" s="9" t="s">
        <v>1344</v>
      </c>
    </row>
    <row r="2931" ht="33.75" customHeight="1">
      <c r="A2931" s="6" t="s">
        <v>4377</v>
      </c>
      <c r="B2931" s="6" t="str">
        <f>IFERROR(__xludf.DUMMYFUNCTION("GOOGLETRANSLATE(A2931,""en"",""fi"")"),"Ninjamaisella ketteryydellä ja nopeudella se voi luoda illuusion siitä, että sitä itseään on useampi kuin yksi.")</f>
        <v>Ninjamaisella ketteryydellä ja nopeudella se voi luoda illuusion siitä, että sitä itseään on useampi kuin yksi.</v>
      </c>
      <c r="C2931" s="9" t="s">
        <v>1344</v>
      </c>
    </row>
    <row r="2932" ht="33.75" customHeight="1">
      <c r="A2932" s="6" t="s">
        <v>4379</v>
      </c>
      <c r="B2932" s="6" t="str">
        <f>IFERROR(__xludf.DUMMYFUNCTION("GOOGLETRANSLATE(A2932,""en"",""fi"")"),"Sen hyökkäysviikatteita on lähes mahdotonta torjua. Sen liikkeet ovat kuin ninjan.")</f>
        <v>Sen hyökkäysviikatteita on lähes mahdotonta torjua. Sen liikkeet ovat kuin ninjan.</v>
      </c>
      <c r="C2932" s="9" t="s">
        <v>1344</v>
      </c>
    </row>
    <row r="2933" ht="33.75" customHeight="1">
      <c r="A2933" s="6" t="s">
        <v>4380</v>
      </c>
      <c r="B2933" s="6" t="str">
        <f>IFERROR(__xludf.DUMMYFUNCTION("GOOGLETRANSLATE(A2933,""en"",""fi"")"),"Sen kyynärvarsien terävät viikatteet terävöityvät entisestään leikkaamalla kovia esineitä.")</f>
        <v>Sen kyynärvarsien terävät viikatteet terävöityvät entisestään leikkaamalla kovia esineitä.</v>
      </c>
      <c r="C2933" s="9" t="s">
        <v>1344</v>
      </c>
    </row>
    <row r="2934" ht="33.75" customHeight="1">
      <c r="A2934" s="6" t="s">
        <v>4382</v>
      </c>
      <c r="B2934" s="6" t="str">
        <f>IFERROR(__xludf.DUMMYFUNCTION("GOOGLETRANSLATE(A2934,""en"",""fi"")"),"Liikkuessaan se jättää jälkeensä vain sumun. Jos se piiloutuu ruohikkoon, sen suojaava väritys tekee siitä näkymättömän.")</f>
        <v>Liikkuessaan se jättää jälkeensä vain sumun. Jos se piiloutuu ruohikkoon, sen suojaava väritys tekee siitä näkymättömän.</v>
      </c>
      <c r="C2934" s="9" t="s">
        <v>1344</v>
      </c>
    </row>
    <row r="2935" ht="33.75" customHeight="1">
      <c r="A2935" s="6" t="s">
        <v>4383</v>
      </c>
      <c r="B2935" s="6" t="str">
        <f>IFERROR(__xludf.DUMMYFUNCTION("GOOGLETRANSLATE(A2935,""en"",""fi"")"),"Scyther on sokaisevan nopea. Sen salamannopeus parantaa sen kyynärvarsissa olevien kaksoisviikatteiden tehokkuutta. Tämän Pokémonin viikatteet ovat niin tehokkaita, että ne voivat viiltää paksuja tukin läpi yhdellä voimakkaalla vedolla.")</f>
        <v>Scyther on sokaisevan nopea. Sen salamannopeus parantaa sen kyynärvarsissa olevien kaksoisviikatteiden tehokkuutta. Tämän Pokémonin viikatteet ovat niin tehokkaita, että ne voivat viiltää paksuja tukin läpi yhdellä voimakkaalla vedolla.</v>
      </c>
      <c r="C2935" s="9" t="s">
        <v>1344</v>
      </c>
    </row>
    <row r="2936" ht="33.75" customHeight="1">
      <c r="A2936" s="6" t="s">
        <v>4385</v>
      </c>
      <c r="B2936" s="6" t="str">
        <f>IFERROR(__xludf.DUMMYFUNCTION("GOOGLETRANSLATE(A2936,""en"",""fi"")"),"Se hämmentää saalistaan ​​nopeilla, ninjamaisilla liikkeillään. Sitten, hetkessä, se halkaisee sen viikatteillaan.")</f>
        <v>Se hämmentää saalistaan ​​nopeilla, ninjamaisilla liikkeillään. Sitten, hetkessä, se halkaisee sen viikatteillaan.</v>
      </c>
      <c r="C2936" s="9" t="s">
        <v>1344</v>
      </c>
    </row>
    <row r="2937" ht="33.75" customHeight="1">
      <c r="A2937" s="6" t="s">
        <v>4388</v>
      </c>
      <c r="B2937" s="6" t="str">
        <f>IFERROR(__xludf.DUMMYFUNCTION("GOOGLETRANSLATE(A2937,""en"",""fi"")"),"Nuorena ne asuvat yhdessä syvällä vuoristossa ja harjoittelevat taistelemaan viikatteillaan ja liikkumaan suurilla nopeuksilla.")</f>
        <v>Nuorena ne asuvat yhdessä syvällä vuoristossa ja harjoittelevat taistelemaan viikatteillaan ja liikkumaan suurilla nopeuksilla.</v>
      </c>
      <c r="C2937" s="9" t="s">
        <v>1344</v>
      </c>
    </row>
    <row r="2938" ht="33.75" customHeight="1">
      <c r="A2938" s="6" t="s">
        <v>4390</v>
      </c>
      <c r="B2938" s="6" t="str">
        <f>IFERROR(__xludf.DUMMYFUNCTION("GOOGLETRANSLATE(A2938,""en"",""fi"")"),"Sen kaksi terävää viikatettä ovat enemmän kuin vain aseita. Se käyttää niitä taitavasti saaliinsa pukemiseen ennen syömistä.")</f>
        <v>Sen kaksi terävää viikatettä ovat enemmän kuin vain aseita. Se käyttää niitä taitavasti saaliinsa pukemiseen ennen syömistä.</v>
      </c>
      <c r="C2938" s="9" t="s">
        <v>1344</v>
      </c>
    </row>
    <row r="2939" ht="33.75" customHeight="1">
      <c r="A2939" s="6" t="s">
        <v>4393</v>
      </c>
      <c r="B2939" s="6" t="str">
        <f>IFERROR(__xludf.DUMMYFUNCTION("GOOGLETRANSLATE(A2939,""en"",""fi"")"),"Jotkut kutsuvat sitä ninjaksi. Sen liikkeet – huomaamattoman nopeat – riittävät halkaisemaan ilman kahtia. Se on erittäin suosittu Alolassa.")</f>
        <v>Jotkut kutsuvat sitä ninjaksi. Sen liikkeet – huomaamattoman nopeat – riittävät halkaisemaan ilman kahtia. Se on erittäin suosittu Alolassa.</v>
      </c>
      <c r="C2939" s="9" t="s">
        <v>1344</v>
      </c>
    </row>
    <row r="2940" ht="33.75" customHeight="1">
      <c r="A2940" s="6" t="s">
        <v>4395</v>
      </c>
      <c r="B2940" s="6" t="str">
        <f>IFERROR(__xludf.DUMMYFUNCTION("GOOGLETRANSLATE(A2940,""en"",""fi"")"),"Hyppää korkeasta ruohosta ja viiltää saalista viikatteillaan. Liike näyttää ninjan liikkeeltä.")</f>
        <v>Hyppää korkeasta ruohosta ja viiltää saalista viikatteillaan. Liike näyttää ninjan liikkeeltä.</v>
      </c>
      <c r="C2940" s="9" t="s">
        <v>1344</v>
      </c>
    </row>
    <row r="2941" ht="33.75" customHeight="1">
      <c r="A2941" s="6" t="s">
        <v>4396</v>
      </c>
      <c r="B2941" s="6" t="str">
        <f>IFERROR(__xludf.DUMMYFUNCTION("GOOGLETRANSLATE(A2941,""en"",""fi"")"),"Scytherin käydessä yhä useampia taisteluita, sen viikatteet terävöityvät ja terävöityvät. Yhdellä viikatteella Scyther voi kaataa valtavan puun.")</f>
        <v>Scytherin käydessä yhä useampia taisteluita, sen viikatteet terävöityvät ja terävöityvät. Yhdellä viikatteella Scyther voi kaataa valtavan puun.</v>
      </c>
      <c r="C2941" s="9" t="s">
        <v>1344</v>
      </c>
    </row>
    <row r="2942" ht="33.75" customHeight="1">
      <c r="A2942" s="6" t="s">
        <v>4397</v>
      </c>
      <c r="B2942" s="6" t="str">
        <f>IFERROR(__xludf.DUMMYFUNCTION("GOOGLETRANSLATE(A2942,""en"",""fi"")"),"Jos törmäät metsäalueeseen, jossa paljon puita on kaadettu, olet löytänyt viikatemiehen reviirin.")</f>
        <v>Jos törmäät metsäalueeseen, jossa paljon puita on kaadettu, olet löytänyt viikatemiehen reviirin.</v>
      </c>
      <c r="C2942" s="9" t="s">
        <v>1344</v>
      </c>
    </row>
    <row r="2943" ht="33.75" customHeight="1">
      <c r="A2943" s="6" t="s">
        <v>4399</v>
      </c>
      <c r="B2943" s="6" t="str">
        <f>IFERROR(__xludf.DUMMYFUNCTION("GOOGLETRANSLATE(A2943,""en"",""fi"")"),"Sen kyynärvarsien suuret, ilkeän terävät viikatteet ovat todella pelottavia aseita. Preyn pakoyritykset estyvät poikkeuksetta tämän Pokémonin ketterillä liikkeillä.")</f>
        <v>Sen kyynärvarsien suuret, ilkeän terävät viikatteet ovat todella pelottavia aseita. Preyn pakoyritykset estyvät poikkeuksetta tämän Pokémonin ketterillä liikkeillä.</v>
      </c>
      <c r="C2943" s="9" t="s">
        <v>1344</v>
      </c>
    </row>
    <row r="2944" ht="33.75" customHeight="1">
      <c r="A2944" s="6" t="s">
        <v>4400</v>
      </c>
      <c r="B2944" s="6" t="str">
        <f>IFERROR(__xludf.DUMMYFUNCTION("GOOGLETRANSLATE(A2944,""en"",""fi"")"),"Se heiluttelee viettelevästi lanteitaan kävellessään. Se voi saada ihmiset tanssimaan yhdessä sen kanssa.")</f>
        <v>Se heiluttelee viettelevästi lanteitaan kävellessään. Se voi saada ihmiset tanssimaan yhdessä sen kanssa.</v>
      </c>
      <c r="C2944" s="9" t="s">
        <v>1344</v>
      </c>
    </row>
    <row r="2945" ht="33.75" customHeight="1">
      <c r="A2945" s="6" t="s">
        <v>4402</v>
      </c>
      <c r="B2945" s="6" t="str">
        <f>IFERROR(__xludf.DUMMYFUNCTION("GOOGLETRANSLATE(A2945,""en"",""fi"")"),"Näyttää liikkuvan omassa rytmissään, ikään kuin tanssisi. Se heiluttaa lantiotaan kävellessään.")</f>
        <v>Näyttää liikkuvan omassa rytmissään, ikään kuin tanssisi. Se heiluttaa lantiotaan kävellessään.</v>
      </c>
      <c r="C2945" s="9" t="s">
        <v>1344</v>
      </c>
    </row>
    <row r="2946" ht="33.75" customHeight="1">
      <c r="A2946" s="6" t="s">
        <v>4403</v>
      </c>
      <c r="B2946" s="6" t="str">
        <f>IFERROR(__xludf.DUMMYFUNCTION("GOOGLETRANSLATE(A2946,""en"",""fi"")"),"Se keinuttelee kehoaan rytmisesti. Se näyttää muuttavan rytmiä tuntemusten mukaan.")</f>
        <v>Se keinuttelee kehoaan rytmisesti. Se näyttää muuttavan rytmiä tuntemusten mukaan.</v>
      </c>
      <c r="C2946" s="9" t="s">
        <v>1344</v>
      </c>
    </row>
    <row r="2947" ht="33.75" customHeight="1">
      <c r="A2947" s="6" t="s">
        <v>4404</v>
      </c>
      <c r="B2947" s="6" t="str">
        <f>IFERROR(__xludf.DUMMYFUNCTION("GOOGLETRANSLATE(A2947,""en"",""fi"")"),"Se puhuu samanlaista kieltä kuin ihmiset. Se näyttää kuitenkin kommunikoivan tanssimalla.")</f>
        <v>Se puhuu samanlaista kieltä kuin ihmiset. Se näyttää kuitenkin kommunikoivan tanssimalla.</v>
      </c>
      <c r="C2947" s="9" t="s">
        <v>1344</v>
      </c>
    </row>
    <row r="2948" ht="33.75" customHeight="1">
      <c r="A2948" s="6" t="s">
        <v>4406</v>
      </c>
      <c r="B2948" s="6" t="str">
        <f>IFERROR(__xludf.DUMMYFUNCTION("GOOGLETRANSLATE(A2948,""en"",""fi"")"),"Siinä on useita erilaisia ​​itkukuvioita, joilla jokaisella näyttää olevan oma merkityksensä.")</f>
        <v>Siinä on useita erilaisia ​​itkukuvioita, joilla jokaisella näyttää olevan oma merkityksensä.</v>
      </c>
      <c r="C2948" s="9" t="s">
        <v>1344</v>
      </c>
    </row>
    <row r="2949" ht="33.75" customHeight="1">
      <c r="A2949" s="6" t="s">
        <v>4407</v>
      </c>
      <c r="B2949" s="6" t="str">
        <f>IFERROR(__xludf.DUMMYFUNCTION("GOOGLETRANSLATE(A2949,""en"",""fi"")"),"JYNX kävelee rytmikkäästi, keinuen ja ravistellen lantiotaan kuin tanssien. Sen liikkeet ovat niin pomppivan houkuttelevia, että sen näkevät ihmiset tekevät pakkoa ravistella lantiotaan ajattelematta lainkaan, mitä he tekevät.")</f>
        <v>JYNX kävelee rytmikkäästi, keinuen ja ravistellen lantiotaan kuin tanssien. Sen liikkeet ovat niin pomppivan houkuttelevia, että sen näkevät ihmiset tekevät pakkoa ravistella lantiotaan ajattelematta lainkaan, mitä he tekevät.</v>
      </c>
      <c r="C2949" s="9" t="s">
        <v>1344</v>
      </c>
    </row>
    <row r="2950" ht="33.75" customHeight="1">
      <c r="A2950" s="6" t="s">
        <v>4408</v>
      </c>
      <c r="B2950" s="6" t="str">
        <f>IFERROR(__xludf.DUMMYFUNCTION("GOOGLETRANSLATE(A2950,""en"",""fi"")"),"JYNX heiluu rytmisesti kuin tanssien. Sen liikkeet ovat niin pomppivan houkuttelevia, että sen näkevät ihmiset pakottavat heiluttamaan lantiotaan huomaamattaan.")</f>
        <v>JYNX heiluu rytmisesti kuin tanssien. Sen liikkeet ovat niin pomppivan houkuttelevia, että sen näkevät ihmiset pakottavat heiluttamaan lantiotaan huomaamattaan.</v>
      </c>
      <c r="C2950" s="9" t="s">
        <v>1344</v>
      </c>
    </row>
    <row r="2951" ht="33.75" customHeight="1">
      <c r="A2951" s="6" t="s">
        <v>4409</v>
      </c>
      <c r="B2951" s="6" t="str">
        <f>IFERROR(__xludf.DUMMYFUNCTION("GOOGLETRANSLATE(A2951,""en"",""fi"")"),"Se puhuu kielellä, joka kuulostaa ihmiseltä. Tutkimus on käynnissä sen selvittämiseksi, mitä sanotaan.")</f>
        <v>Se puhuu kielellä, joka kuulostaa ihmiseltä. Tutkimus on käynnissä sen selvittämiseksi, mitä sanotaan.</v>
      </c>
      <c r="C2951" s="9" t="s">
        <v>1344</v>
      </c>
    </row>
    <row r="2952" ht="33.75" customHeight="1">
      <c r="A2952" s="6" t="s">
        <v>4410</v>
      </c>
      <c r="B2952" s="6" t="str">
        <f>IFERROR(__xludf.DUMMYFUNCTION("GOOGLETRANSLATE(A2952,""en"",""fi"")"),"Sen huudot kuulostavat ihmispuheelta. On kuitenkin mahdotonta sanoa, mitä se yrittää sanoa.")</f>
        <v>Sen huudot kuulostavat ihmispuheelta. On kuitenkin mahdotonta sanoa, mitä se yrittää sanoa.</v>
      </c>
      <c r="C2952" s="9" t="s">
        <v>1344</v>
      </c>
    </row>
    <row r="2953" ht="33.75" customHeight="1">
      <c r="A2953" s="6" t="s">
        <v>4411</v>
      </c>
      <c r="B2953" s="6" t="str">
        <f>IFERROR(__xludf.DUMMYFUNCTION("GOOGLETRANSLATE(A2953,""en"",""fi"")"),"Se keinuttaa kehoaan rytmisesti. Se näyttää muuttavan rytmiä tunteidensa mukaan.")</f>
        <v>Se keinuttaa kehoaan rytmisesti. Se näyttää muuttavan rytmiä tunteidensa mukaan.</v>
      </c>
      <c r="C2953" s="9" t="s">
        <v>1344</v>
      </c>
    </row>
    <row r="2954" ht="33.75" customHeight="1">
      <c r="A2954" s="6" t="s">
        <v>4412</v>
      </c>
      <c r="B2954" s="6" t="str">
        <f>IFERROR(__xludf.DUMMYFUNCTION("GOOGLETRANSLATE(A2954,""en"",""fi"")"),"Se puhuu samanlaista kieltä kuin ihmisten kieli. Se näyttää kuitenkin kommunikoivan tanssin avulla.")</f>
        <v>Se puhuu samanlaista kieltä kuin ihmisten kieli. Se näyttää kuitenkin kommunikoivan tanssin avulla.</v>
      </c>
      <c r="C2954" s="9" t="s">
        <v>1344</v>
      </c>
    </row>
    <row r="2955" ht="33.75" customHeight="1">
      <c r="A2955" s="6" t="s">
        <v>4413</v>
      </c>
      <c r="B2955" s="6" t="str">
        <f>IFERROR(__xludf.DUMMYFUNCTION("GOOGLETRANSLATE(A2955,""en"",""fi"")"),"Se heiluttelee lanteitaan kävellessään. Se voi saada ihmiset tanssimaan yhdessä sen kanssa.")</f>
        <v>Se heiluttelee lanteitaan kävellessään. Se voi saada ihmiset tanssimaan yhdessä sen kanssa.</v>
      </c>
      <c r="C2955" s="9" t="s">
        <v>1344</v>
      </c>
    </row>
    <row r="2956" ht="33.75" customHeight="1">
      <c r="A2956" s="6" t="s">
        <v>4414</v>
      </c>
      <c r="B2956" s="6" t="str">
        <f>IFERROR(__xludf.DUMMYFUNCTION("GOOGLETRANSLATE(A2956,""en"",""fi"")"),"Jynx kävelee rytmikkäästi, keinuen ja ravistellen lanteitaan kuin tanssien. Sen liikkeet ovat niin pomppivan houkuttelevia, että sen näkevät ihmiset tekevät pakkoa ravistella lanteitaan ajattelematta lainkaan, mitä he tekevät.")</f>
        <v>Jynx kävelee rytmikkäästi, keinuen ja ravistellen lanteitaan kuin tanssien. Sen liikkeet ovat niin pomppivan houkuttelevia, että sen näkevät ihmiset tekevät pakkoa ravistella lanteitaan ajattelematta lainkaan, mitä he tekevät.</v>
      </c>
      <c r="C2956" s="9" t="s">
        <v>1344</v>
      </c>
    </row>
    <row r="2957" ht="33.75" customHeight="1">
      <c r="A2957" s="6" t="s">
        <v>4416</v>
      </c>
      <c r="B2957" s="6" t="str">
        <f>IFERROR(__xludf.DUMMYFUNCTION("GOOGLETRANSLATE(A2957,""en"",""fi"")"),"Se heiluttaa lantiotaan aivan omaan rytmiinsä. Alolassa asuvan Jynxin tarkat liikkeet ovat todella upeita.")</f>
        <v>Se heiluttaa lantiotaan aivan omaan rytmiinsä. Alolassa asuvan Jynxin tarkat liikkeet ovat todella upeita.</v>
      </c>
      <c r="C2957" s="9" t="s">
        <v>1344</v>
      </c>
    </row>
    <row r="2958" ht="33.75" customHeight="1">
      <c r="A2958" s="6" t="s">
        <v>4418</v>
      </c>
      <c r="B2958" s="6" t="str">
        <f>IFERROR(__xludf.DUMMYFUNCTION("GOOGLETRANSLATE(A2958,""en"",""fi"")"),"Sen oudot huudot kuulostavat ihmiskieleltä. Jotkut muusikot säveltävät lauluja Jynxin laulettavaksi.")</f>
        <v>Sen oudot huudot kuulostavat ihmiskieleltä. Jotkut muusikot säveltävät lauluja Jynxin laulettavaksi.</v>
      </c>
      <c r="C2958" s="9" t="s">
        <v>1344</v>
      </c>
    </row>
    <row r="2959" ht="33.75" customHeight="1">
      <c r="A2959" s="6" t="s">
        <v>4419</v>
      </c>
      <c r="B2959" s="6" t="str">
        <f>IFERROR(__xludf.DUMMYFUNCTION("GOOGLETRANSLATE(A2959,""en"",""fi"")"),"Tietyillä Galarin alueilla Jynxiä pelättiin ja palvottiin aikoinaan Jään kuningattarena.")</f>
        <v>Tietyillä Galarin alueilla Jynxiä pelättiin ja palvottiin aikoinaan Jään kuningattarena.</v>
      </c>
      <c r="C2959" s="9" t="s">
        <v>1344</v>
      </c>
    </row>
    <row r="2960" ht="33.75" customHeight="1">
      <c r="A2960" s="6" t="s">
        <v>4421</v>
      </c>
      <c r="B2960" s="6" t="str">
        <f>IFERROR(__xludf.DUMMYFUNCTION("GOOGLETRANSLATE(A2960,""en"",""fi"")"),"Galarin Jynxeillä on usein kauniit ja herkät äänet. Jotkut näistä Pokémoneista ovat jopa keränneet fanikunnan.")</f>
        <v>Galarin Jynxeillä on usein kauniit ja herkät äänet. Jotkut näistä Pokémoneista ovat jopa keränneet fanikunnan.</v>
      </c>
      <c r="C2960" s="9" t="s">
        <v>1344</v>
      </c>
    </row>
    <row r="2961" ht="33.75" customHeight="1">
      <c r="A2961" s="6" t="s">
        <v>4423</v>
      </c>
      <c r="B2961" s="6" t="str">
        <f>IFERROR(__xludf.DUMMYFUNCTION("GOOGLETRANSLATE(A2961,""en"",""fi"")"),"Normaalisti voimalaitosten lähellä esiintyviä niitä voi harhailla pois ja aiheuttaa suuria sähkökatkoksia kaupungeissa.")</f>
        <v>Normaalisti voimalaitosten lähellä esiintyviä niitä voi harhailla pois ja aiheuttaa suuria sähkökatkoksia kaupungeissa.</v>
      </c>
      <c r="C2961" s="9" t="s">
        <v>1344</v>
      </c>
    </row>
    <row r="2962" ht="33.75" customHeight="1">
      <c r="A2962" s="6" t="s">
        <v>4425</v>
      </c>
      <c r="B2962" s="6" t="str">
        <f>IFERROR(__xludf.DUMMYFUNCTION("GOOGLETRANSLATE(A2962,""en"",""fi"")"),"Jos tapahtuu iso sähkökatko, on varmaa, että tämä POKéMON on syönyt sähköä voimalaitoksessa.")</f>
        <v>Jos tapahtuu iso sähkökatko, on varmaa, että tämä POKéMON on syönyt sähköä voimalaitoksessa.</v>
      </c>
      <c r="C2962" s="9" t="s">
        <v>1344</v>
      </c>
    </row>
    <row r="2963" ht="33.75" customHeight="1">
      <c r="A2963" s="6" t="s">
        <v>4426</v>
      </c>
      <c r="B2963" s="6" t="str">
        <f>IFERROR(__xludf.DUMMYFUNCTION("GOOGLETRANSLATE(A2963,""en"",""fi"")"),"Sähkö kulkee sen kehon pinnalla. Pimeydessä koko sen ruumis hehkuu vaaleansinisenä.")</f>
        <v>Sähkö kulkee sen kehon pinnalla. Pimeydessä koko sen ruumis hehkuu vaaleansinisenä.</v>
      </c>
      <c r="C2963" s="9" t="s">
        <v>1344</v>
      </c>
    </row>
    <row r="2964" ht="33.75" customHeight="1">
      <c r="A2964" s="6" t="s">
        <v>4427</v>
      </c>
      <c r="B2964" s="6" t="str">
        <f>IFERROR(__xludf.DUMMYFUNCTION("GOOGLETRANSLATE(A2964,""en"",""fi"")"),"Sen keho purkaa jatkuvasti sähköä. Lähelle meneminen saa hiuksesi nousemaan pystyyn.")</f>
        <v>Sen keho purkaa jatkuvasti sähköä. Lähelle meneminen saa hiuksesi nousemaan pystyyn.</v>
      </c>
      <c r="C2964" s="9" t="s">
        <v>1344</v>
      </c>
    </row>
    <row r="2965" ht="33.75" customHeight="1">
      <c r="A2965" s="6" t="s">
        <v>4429</v>
      </c>
      <c r="B2965" s="6" t="str">
        <f>IFERROR(__xludf.DUMMYFUNCTION("GOOGLETRANSLATE(A2965,""en"",""fi"")"),"Kun kaksi ELECTABUZZ-kuuloketta koskettavat toisiaan, ne ohjaavat sähkövirtoja ja viestivät tunteitaan.")</f>
        <v>Kun kaksi ELECTABUZZ-kuuloketta koskettavat toisiaan, ne ohjaavat sähkövirtoja ja viestivät tunteitaan.</v>
      </c>
      <c r="C2965" s="9" t="s">
        <v>1344</v>
      </c>
    </row>
    <row r="2966" ht="33.75" customHeight="1">
      <c r="A2966" s="6" t="s">
        <v>4431</v>
      </c>
      <c r="B2966" s="6" t="str">
        <f>IFERROR(__xludf.DUMMYFUNCTION("GOOGLETRANSLATE(A2966,""en"",""fi"")"),"Myrskyn saapuessa tämän POKéMONin jengit kilpailevat keskenään kiivetäkseen korkeuksille, joihin salamat todennäköisesti iskevät. Joissakin kaupungeissa käytetään ELECTABUZZia salamanjohtimien sijasta.")</f>
        <v>Myrskyn saapuessa tämän POKéMONin jengit kilpailevat keskenään kiivetäkseen korkeuksille, joihin salamat todennäköisesti iskevät. Joissakin kaupungeissa käytetään ELECTABUZZia salamanjohtimien sijasta.</v>
      </c>
      <c r="C2966" s="9" t="s">
        <v>1344</v>
      </c>
    </row>
    <row r="2967" ht="33.75" customHeight="1">
      <c r="A2967" s="6" t="s">
        <v>4432</v>
      </c>
      <c r="B2967" s="6" t="str">
        <f>IFERROR(__xludf.DUMMYFUNCTION("GOOGLETRANSLATE(A2967,""en"",""fi"")"),"Kun myrsky lähestyy, se kilpailee muiden kanssa kiivetäkseen korkeuksille, joilla salama todennäköisesti iskee. Joissakin kaupungeissa käytetään ELECTABUZZ-tekniikkaa salamanjohtimien sijaan.")</f>
        <v>Kun myrsky lähestyy, se kilpailee muiden kanssa kiivetäkseen korkeuksille, joilla salama todennäköisesti iskee. Joissakin kaupungeissa käytetään ELECTABUZZ-tekniikkaa salamanjohtimien sijaan.</v>
      </c>
      <c r="C2967" s="9" t="s">
        <v>1344</v>
      </c>
    </row>
    <row r="2968" ht="33.75" customHeight="1">
      <c r="A2968" s="6" t="s">
        <v>4433</v>
      </c>
      <c r="B2968" s="6" t="str">
        <f>IFERROR(__xludf.DUMMYFUNCTION("GOOGLETRANSLATE(A2968,""en"",""fi"")"),"Se rakastaa vahvaa sähköä. Se esiintyy toisinaan suurten voimalaitosten lähellä ja niin edelleen.")</f>
        <v>Se rakastaa vahvaa sähköä. Se esiintyy toisinaan suurten voimalaitosten lähellä ja niin edelleen.</v>
      </c>
      <c r="C2968" s="9" t="s">
        <v>1344</v>
      </c>
    </row>
    <row r="2969" ht="33.75" customHeight="1">
      <c r="A2969" s="6" t="s">
        <v>4434</v>
      </c>
      <c r="B2969" s="6" t="str">
        <f>IFERROR(__xludf.DUMMYFUNCTION("GOOGLETRANSLATE(A2969,""en"",""fi"")"),"Puolet kaikista sähkökatkoksista tapahtuu, kun tämä Pokémon ilmestyy voimalaitoksiin ja syö sähköä.")</f>
        <v>Puolet kaikista sähkökatkoksista tapahtuu, kun tämä Pokémon ilmestyy voimalaitoksiin ja syö sähköä.</v>
      </c>
      <c r="C2969" s="9" t="s">
        <v>1344</v>
      </c>
    </row>
    <row r="2970" ht="33.75" customHeight="1">
      <c r="A2970" s="6" t="s">
        <v>4435</v>
      </c>
      <c r="B2970" s="6" t="str">
        <f>IFERROR(__xludf.DUMMYFUNCTION("GOOGLETRANSLATE(A2970,""en"",""fi"")"),"Se pyörittää käsivarsiaan hieman tehostaakseen iskujaan. Viholliset ovat usein paenneet sillä välin.")</f>
        <v>Se pyörittää käsivarsiaan hieman tehostaakseen iskujaan. Viholliset ovat usein paenneet sillä välin.</v>
      </c>
      <c r="C2970" s="9" t="s">
        <v>1344</v>
      </c>
    </row>
    <row r="2971" ht="33.75" customHeight="1">
      <c r="A2971" s="6" t="s">
        <v>4437</v>
      </c>
      <c r="B2971" s="6" t="str">
        <f>IFERROR(__xludf.DUMMYFUNCTION("GOOGLETRANSLATE(A2971,""en"",""fi"")"),"Sähkö kulkee sen kehon pinnalla. Pimeydessä koko sen keho hehkuu vaaleansinisenä.")</f>
        <v>Sähkö kulkee sen kehon pinnalla. Pimeydessä koko sen keho hehkuu vaaleansinisenä.</v>
      </c>
      <c r="C2971" s="9" t="s">
        <v>1344</v>
      </c>
    </row>
    <row r="2972" ht="33.75" customHeight="1">
      <c r="A2972" s="6" t="s">
        <v>4439</v>
      </c>
      <c r="B2972" s="6" t="str">
        <f>IFERROR(__xludf.DUMMYFUNCTION("GOOGLETRANSLATE(A2972,""en"",""fi"")"),"Sen keho purkaa jatkuvasti sähköä. Sen lähelle meneminen saa hiuksesi nousemaan pystyyn.")</f>
        <v>Sen keho purkaa jatkuvasti sähköä. Sen lähelle meneminen saa hiuksesi nousemaan pystyyn.</v>
      </c>
      <c r="C2972" s="9" t="s">
        <v>1344</v>
      </c>
    </row>
    <row r="2973" ht="33.75" customHeight="1">
      <c r="A2973" s="6" t="s">
        <v>4442</v>
      </c>
      <c r="B2973" s="6" t="str">
        <f>IFERROR(__xludf.DUMMYFUNCTION("GOOGLETRANSLATE(A2973,""en"",""fi"")"),"Tutkimus salaman varastoinnista Electabuzziin edistyy, jotta tätä energiaa voidaan käyttää milloin tahansa.")</f>
        <v>Tutkimus salaman varastoinnista Electabuzziin edistyy, jotta tätä energiaa voidaan käyttää milloin tahansa.</v>
      </c>
      <c r="C2973" s="9" t="s">
        <v>1344</v>
      </c>
    </row>
    <row r="2974" ht="33.75" customHeight="1">
      <c r="A2974" s="6" t="s">
        <v>4444</v>
      </c>
      <c r="B2974" s="6" t="str">
        <f>IFERROR(__xludf.DUMMYFUNCTION("GOOGLETRANSLATE(A2974,""en"",""fi"")"),"Sähkö kulkee sen kehon pinnalla. Pimeydessä koko sen keho hehkuu vaaleansinisenä.")</f>
        <v>Sähkö kulkee sen kehon pinnalla. Pimeydessä koko sen keho hehkuu vaaleansinisenä.</v>
      </c>
      <c r="C2974" s="9" t="s">
        <v>1344</v>
      </c>
    </row>
    <row r="2975" ht="33.75" customHeight="1">
      <c r="A2975" s="6" t="s">
        <v>4445</v>
      </c>
      <c r="B2975" s="6" t="str">
        <f>IFERROR(__xludf.DUMMYFUNCTION("GOOGLETRANSLATE(A2975,""en"",""fi"")"),"Myrskyn saapuessa tämän Pokémonin jengit kilpailevat keskenään kiivetäkseen korkeuksiin, joihin salamat todennäköisesti iskevät. Joissakin kaupungeissa käytetään Electabuzzia salamanjohtimien sijasta.")</f>
        <v>Myrskyn saapuessa tämän Pokémonin jengit kilpailevat keskenään kiivetäkseen korkeuksiin, joihin salamat todennäköisesti iskevät. Joissakin kaupungeissa käytetään Electabuzzia salamanjohtimien sijasta.</v>
      </c>
      <c r="C2975" s="9" t="s">
        <v>1344</v>
      </c>
    </row>
    <row r="2976" ht="33.75" customHeight="1">
      <c r="A2976" s="6" t="s">
        <v>4446</v>
      </c>
      <c r="B2976" s="6" t="str">
        <f>IFERROR(__xludf.DUMMYFUNCTION("GOOGLETRANSLATE(A2976,""en"",""fi"")"),"Puolet kaikista äkillisistä sähkökatkoksista johtuu sähkövoimaloihin kerääntyvästä sähkösurinasta, joka kuluttaa sähköä.")</f>
        <v>Puolet kaikista äkillisistä sähkökatkoksista johtuu sähkövoimaloihin kerääntyvästä sähkösurinasta, joka kuluttaa sähköä.</v>
      </c>
      <c r="C2976" s="9" t="s">
        <v>1344</v>
      </c>
    </row>
    <row r="2977" ht="33.75" customHeight="1">
      <c r="A2977" s="6" t="s">
        <v>4448</v>
      </c>
      <c r="B2977" s="6" t="str">
        <f>IFERROR(__xludf.DUMMYFUNCTION("GOOGLETRANSLATE(A2977,""en"",""fi"")"),"Siitä vuotaa sähköä paljon suurempia määriä kuin se syö sähköä.")</f>
        <v>Siitä vuotaa sähköä paljon suurempia määriä kuin se syö sähköä.</v>
      </c>
      <c r="C2977" s="9" t="s">
        <v>1344</v>
      </c>
    </row>
    <row r="2978" ht="33.75" customHeight="1">
      <c r="A2978" s="6" t="s">
        <v>4450</v>
      </c>
      <c r="B2978" s="6" t="str">
        <f>IFERROR(__xludf.DUMMYFUNCTION("GOOGLETRANSLATE(A2978,""en"",""fi"")"),"Sähkö läpäisee sen kehon. Se heilauttaa käsiään ympäri latautuakseen sähköä ennen kuin päästää irti iskun.")</f>
        <v>Sähkö läpäisee sen kehon. Se heilauttaa käsiään ympäri latautuakseen sähköä ennen kuin päästää irti iskun.</v>
      </c>
      <c r="C2978" s="9" t="s">
        <v>1344</v>
      </c>
    </row>
    <row r="2979" ht="33.75" customHeight="1">
      <c r="A2979" s="6" t="s">
        <v>4452</v>
      </c>
      <c r="B2979" s="6" t="str">
        <f>IFERROR(__xludf.DUMMYFUNCTION("GOOGLETRANSLATE(A2979,""en"",""fi"")"),"Vaikka sitä usein syytetään sähkökatkoksista, totuus on, että katkosten syynä on useimmiten sähköyhtiön tekemä virhe.")</f>
        <v>Vaikka sitä usein syytetään sähkökatkoksista, totuus on, että katkosten syynä on useimmiten sähköyhtiön tekemä virhe.</v>
      </c>
      <c r="C2979" s="9" t="s">
        <v>1344</v>
      </c>
    </row>
    <row r="2980" ht="33.75" customHeight="1">
      <c r="A2980" s="6" t="s">
        <v>4454</v>
      </c>
      <c r="B2980" s="6" t="str">
        <f>IFERROR(__xludf.DUMMYFUNCTION("GOOGLETRANSLATE(A2980,""en"",""fi"")"),"Jos tapahtuu suuri sähkökatkos, on varmaa, että tämä Pokémon on syönyt sähköä voimalaitoksessa.")</f>
        <v>Jos tapahtuu suuri sähkökatkos, on varmaa, että tämä Pokémon on syönyt sähköä voimalaitoksessa.</v>
      </c>
      <c r="C2980" s="9" t="s">
        <v>1344</v>
      </c>
    </row>
    <row r="2981" ht="33.75" customHeight="1">
      <c r="A2981" s="6" t="s">
        <v>4456</v>
      </c>
      <c r="B2981" s="6" t="str">
        <f>IFERROR(__xludf.DUMMYFUNCTION("GOOGLETRANSLATE(A2981,""en"",""fi"")"),"Monet voimalaitokset pitävät maatyyppisiä Pokémoneja suojana sähköä etsiviä Electabuzzeja vastaan.")</f>
        <v>Monet voimalaitokset pitävät maatyyppisiä Pokémoneja suojana sähköä etsiviä Electabuzzeja vastaan.</v>
      </c>
      <c r="C2981" s="9" t="s">
        <v>1344</v>
      </c>
    </row>
    <row r="2982" ht="33.75" customHeight="1">
      <c r="A2982" s="6" t="s">
        <v>4457</v>
      </c>
      <c r="B2982" s="6" t="str">
        <f>IFERROR(__xludf.DUMMYFUNCTION("GOOGLETRANSLATE(A2982,""en"",""fi"")"),"Myrskyn lähestyessä monet näistä Pokémoneista kerääntyvät korkeiden puiden alle ja odottavat salaman iskemistä.")</f>
        <v>Myrskyn lähestyessä monet näistä Pokémoneista kerääntyvät korkeiden puiden alle ja odottavat salaman iskemistä.</v>
      </c>
      <c r="C2982" s="9" t="s">
        <v>1344</v>
      </c>
    </row>
    <row r="2983" ht="33.75" customHeight="1">
      <c r="A2983" s="6" t="s">
        <v>4459</v>
      </c>
      <c r="B2983" s="6" t="str">
        <f>IFERROR(__xludf.DUMMYFUNCTION("GOOGLETRANSLATE(A2983,""en"",""fi"")"),"Käyttää sähköenergiaa. Äkillisten sadekuurojen aikana uhkaavien ukkospilvien alla voi nähdä Electabuzzien kiipeilevän korkeiden puiden läpi, missä Pokémonit odottavat salaman iskemistä.")</f>
        <v>Käyttää sähköenergiaa. Äkillisten sadekuurojen aikana uhkaavien ukkospilvien alla voi nähdä Electabuzzien kiipeilevän korkeiden puiden läpi, missä Pokémonit odottavat salaman iskemistä.</v>
      </c>
      <c r="C2983" s="9" t="s">
        <v>1344</v>
      </c>
    </row>
    <row r="2984" ht="33.75" customHeight="1">
      <c r="A2984" s="6" t="s">
        <v>4461</v>
      </c>
      <c r="B2984" s="6" t="str">
        <f>IFERROR(__xludf.DUMMYFUNCTION("GOOGLETRANSLATE(A2984,""en"",""fi"")"),"Sen ruumis palaa aina oranssilla hehkulla, minkä ansiosta se voi piiloutua täydellisesti liekkien sekaan.")</f>
        <v>Sen ruumis palaa aina oranssilla hehkulla, minkä ansiosta se voi piiloutua täydellisesti liekkien sekaan.</v>
      </c>
      <c r="C2984" s="9" t="s">
        <v>1344</v>
      </c>
    </row>
    <row r="2985" ht="33.75" customHeight="1">
      <c r="A2985" s="6" t="s">
        <v>4462</v>
      </c>
      <c r="B2985" s="6" t="str">
        <f>IFERROR(__xludf.DUMMYFUNCTION("GOOGLETRANSLATE(A2985,""en"",""fi"")"),"Syntynyt aktiivisessa tulivuoressa. Sen ruumis on aina liekkien peitossa, joten se näyttää suurelta tulipallolta.")</f>
        <v>Syntynyt aktiivisessa tulivuoressa. Sen ruumis on aina liekkien peitossa, joten se näyttää suurelta tulipallolta.</v>
      </c>
      <c r="C2985" s="9" t="s">
        <v>1344</v>
      </c>
    </row>
    <row r="2986" ht="33.75" customHeight="1">
      <c r="A2986" s="6" t="s">
        <v>4464</v>
      </c>
      <c r="B2986" s="6" t="str">
        <f>IFERROR(__xludf.DUMMYFUNCTION("GOOGLETRANSLATE(A2986,""en"",""fi"")"),"Se ei pidä kylmistä paikoista, joten se puhaltaa polttavia liekkejä tehdäkseen ympäristöstä itselleen sopivan.")</f>
        <v>Se ei pidä kylmistä paikoista, joten se puhaltaa polttavia liekkejä tehdäkseen ympäristöstä itselleen sopivan.</v>
      </c>
      <c r="C2986" s="9" t="s">
        <v>1344</v>
      </c>
    </row>
    <row r="2987" ht="33.75" customHeight="1">
      <c r="A2987" s="6" t="s">
        <v>4465</v>
      </c>
      <c r="B2987" s="6" t="str">
        <f>IFERROR(__xludf.DUMMYFUNCTION("GOOGLETRANSLATE(A2987,""en"",""fi"")"),"Sen ruumiin tulinen pinta säteilee väreilevää, aaltoilevaa loistoa, joka on samanlainen kuin aurinko.")</f>
        <v>Sen ruumiin tulinen pinta säteilee väreilevää, aaltoilevaa loistoa, joka on samanlainen kuin aurinko.</v>
      </c>
      <c r="C2987" s="9" t="s">
        <v>1344</v>
      </c>
    </row>
    <row r="2988" ht="33.75" customHeight="1">
      <c r="A2988" s="6" t="s">
        <v>4467</v>
      </c>
      <c r="B2988" s="6" t="str">
        <f>IFERROR(__xludf.DUMMYFUNCTION("GOOGLETRANSLATE(A2988,""en"",""fi"")"),"Se liikkuu useammin kuumilla alueilla. Se voi parantaa itsensä kastamalla haavansa laavaan.")</f>
        <v>Se liikkuu useammin kuumilla alueilla. Se voi parantaa itsensä kastamalla haavansa laavaan.</v>
      </c>
      <c r="C2988" s="9" t="s">
        <v>1344</v>
      </c>
    </row>
    <row r="2989" ht="33.75" customHeight="1">
      <c r="A2989" s="6" t="s">
        <v>4469</v>
      </c>
      <c r="B2989" s="6" t="str">
        <f>IFERROR(__xludf.DUMMYFUNCTION("GOOGLETRANSLATE(A2989,""en"",""fi"")"),"Taistelussa MAGMAR puhaltaa kuumia liekkejä kaikkialle kehoonsa pelotellakseen vastustajaansa. Tämän POKéMONin tulisia purkauksia luo helleaaltoja, jotka sytyttävät ruohon ja puut sen ympäristössä.")</f>
        <v>Taistelussa MAGMAR puhaltaa kuumia liekkejä kaikkialle kehoonsa pelotellakseen vastustajaansa. Tämän POKéMONin tulisia purkauksia luo helleaaltoja, jotka sytyttävät ruohon ja puut sen ympäristössä.</v>
      </c>
      <c r="C2989" s="9" t="s">
        <v>1344</v>
      </c>
    </row>
    <row r="2990" ht="33.75" customHeight="1">
      <c r="A2990" s="6" t="s">
        <v>4470</v>
      </c>
      <c r="B2990" s="6" t="str">
        <f>IFERROR(__xludf.DUMMYFUNCTION("GOOGLETRANSLATE(A2990,""en"",""fi"")"),"Taistelussa se puhaltaa voimakkaita liekkejä kaikkialle kehoonsa pelotellakseen vihollistaan. Nämä tulisia purkauksia luovat helleaaltoja, jotka sytyttävät alueen ruohon ja puut.")</f>
        <v>Taistelussa se puhaltaa voimakkaita liekkejä kaikkialle kehoonsa pelotellakseen vihollistaan. Nämä tulisia purkauksia luovat helleaaltoja, jotka sytyttävät alueen ruohon ja puut.</v>
      </c>
      <c r="C2990" s="9" t="s">
        <v>1344</v>
      </c>
    </row>
    <row r="2991" ht="33.75" customHeight="1">
      <c r="A2991" s="6" t="s">
        <v>4471</v>
      </c>
      <c r="B2991" s="6" t="str">
        <f>IFERROR(__xludf.DUMMYFUNCTION("GOOGLETRANSLATE(A2991,""en"",""fi"")"),"Löytyy tulivuoren suun läheltä. Tämän tulta hengittävän olennon ruumiinlämpö on lähes 2 200 celsiusastetta.")</f>
        <v>Löytyy tulivuoren suun läheltä. Tämän tulta hengittävän olennon ruumiinlämpö on lähes 2 200 celsiusastetta.</v>
      </c>
      <c r="C2991" s="9" t="s">
        <v>1344</v>
      </c>
    </row>
    <row r="2992" ht="33.75" customHeight="1">
      <c r="A2992" s="6" t="s">
        <v>4472</v>
      </c>
      <c r="B2992" s="6" t="str">
        <f>IFERROR(__xludf.DUMMYFUNCTION("GOOGLETRANSLATE(A2992,""en"",""fi"")"),"Sen ruumis palaa aina oranssilla hehkulla, minkä ansiosta se voi piiloutua täydellisesti liekkien keskelle.")</f>
        <v>Sen ruumis palaa aina oranssilla hehkulla, minkä ansiosta se voi piiloutua täydellisesti liekkien keskelle.</v>
      </c>
      <c r="C2992" s="9" t="s">
        <v>1344</v>
      </c>
    </row>
    <row r="2993" ht="33.75" customHeight="1">
      <c r="A2993" s="6" t="s">
        <v>4473</v>
      </c>
      <c r="B2993" s="6" t="str">
        <f>IFERROR(__xludf.DUMMYFUNCTION("GOOGLETRANSLATE(A2993,""en"",""fi"")"),"Se on syntynyt tulivuoren purkauksessa, ja sen ruumis on peitetty liekeillä, jotka hohtavat kuin aurinko.")</f>
        <v>Se on syntynyt tulivuoren purkauksessa, ja sen ruumis on peitetty liekeillä, jotka hohtavat kuin aurinko.</v>
      </c>
      <c r="C2993" s="9" t="s">
        <v>1344</v>
      </c>
    </row>
    <row r="2994" ht="33.75" customHeight="1">
      <c r="A2994" s="6" t="s">
        <v>4475</v>
      </c>
      <c r="B2994" s="6" t="str">
        <f>IFERROR(__xludf.DUMMYFUNCTION("GOOGLETRANSLATE(A2994,""en"",""fi"")"),"Kun se hengittää syvään, sen kehon ympärille muodostuu lämpöaaltoja, jotka vaikeuttavat näkemistä selvästi.")</f>
        <v>Kun se hengittää syvään, sen kehon ympärille muodostuu lämpöaaltoja, jotka vaikeuttavat näkemistä selvästi.</v>
      </c>
      <c r="C2994" s="9" t="s">
        <v>1344</v>
      </c>
    </row>
    <row r="2995" ht="33.75" customHeight="1">
      <c r="A2995" s="6" t="s">
        <v>4476</v>
      </c>
      <c r="B2995" s="6" t="str">
        <f>IFERROR(__xludf.DUMMYFUNCTION("GOOGLETRANSLATE(A2995,""en"",""fi"")"),"Se ei pidä kylmistä paikoista, joten se puhaltaa polttavia liekkejä tehdäkseen ympäristöstä itselleen sopivan.")</f>
        <v>Se ei pidä kylmistä paikoista, joten se puhaltaa polttavia liekkejä tehdäkseen ympäristöstä itselleen sopivan.</v>
      </c>
      <c r="C2995" s="9" t="s">
        <v>1344</v>
      </c>
    </row>
    <row r="2996" ht="33.75" customHeight="1">
      <c r="A2996" s="6" t="s">
        <v>4477</v>
      </c>
      <c r="B2996" s="6" t="str">
        <f>IFERROR(__xludf.DUMMYFUNCTION("GOOGLETRANSLATE(A2996,""en"",""fi"")"),"Magmarin uloshengittämään polttavaan tuleen muodostuu lämpöaaltoja sen ympärille, mikä tekee Pokémonin näkemisestä vaikeaa.")</f>
        <v>Magmarin uloshengittämään polttavaan tuleen muodostuu lämpöaaltoja sen ympärille, mikä tekee Pokémonin näkemisestä vaikeaa.</v>
      </c>
      <c r="C2996" s="9" t="s">
        <v>1344</v>
      </c>
    </row>
    <row r="2997" ht="33.75" customHeight="1">
      <c r="A2997" s="6" t="s">
        <v>4479</v>
      </c>
      <c r="B2997" s="6" t="str">
        <f>IFERROR(__xludf.DUMMYFUNCTION("GOOGLETRANSLATE(A2997,""en"",""fi"")"),"Taistelussa Magmar puhaltaa kuumia liekkejä kaikkialle kehoonsa pelotellakseen vastustajaansa. Tämän Pokémonin tulisia purkauksia luo helleaaltoja, jotka sytyttävät ruohon ja puut sen ympäristössä.")</f>
        <v>Taistelussa Magmar puhaltaa kuumia liekkejä kaikkialle kehoonsa pelotellakseen vastustajaansa. Tämän Pokémonin tulisia purkauksia luo helleaaltoja, jotka sytyttävät ruohon ja puut sen ympäristössä.</v>
      </c>
      <c r="C2997" s="9" t="s">
        <v>1344</v>
      </c>
    </row>
    <row r="2998" ht="33.75" customHeight="1">
      <c r="A2998" s="6" t="s">
        <v>4480</v>
      </c>
      <c r="B2998" s="6" t="str">
        <f>IFERROR(__xludf.DUMMYFUNCTION("GOOGLETRANSLATE(A2998,""en"",""fi"")"),"Kun se on väsynyt, se hyppää tulivuoren suulle ja kastelee ruumiinsa magmassa helpottaakseen väsymystään. Sen ruumis palaa 2 192 Fahrenheit-asteessa.")</f>
        <v>Kun se on väsynyt, se hyppää tulivuoren suulle ja kastelee ruumiinsa magmassa helpottaakseen väsymystään. Sen ruumis palaa 2 192 Fahrenheit-asteessa.</v>
      </c>
      <c r="C2998" s="9" t="s">
        <v>1344</v>
      </c>
    </row>
    <row r="2999" ht="33.75" customHeight="1">
      <c r="A2999" s="6" t="s">
        <v>4481</v>
      </c>
      <c r="B2999" s="6" t="str">
        <f>IFERROR(__xludf.DUMMYFUNCTION("GOOGLETRANSLATE(A2999,""en"",""fi"")"),"Vihastuttuaan se purkaa loistavaa tulta kaikkialle kehoonsa. Se ei rauhoitu ennen kuin sen vastustaja on palanut tuhkaksi.")</f>
        <v>Vihastuttuaan se purkaa loistavaa tulta kaikkialle kehoonsa. Se ei rauhoitu ennen kuin sen vastustaja on palanut tuhkaksi.</v>
      </c>
      <c r="C2999" s="9" t="s">
        <v>1344</v>
      </c>
    </row>
    <row r="3000" ht="33.75" customHeight="1">
      <c r="A3000" s="6" t="s">
        <v>4483</v>
      </c>
      <c r="B3000" s="6" t="str">
        <f>IFERROR(__xludf.DUMMYFUNCTION("GOOGLETRANSLATE(A3000,""en"",""fi"")"),"Koko sen ruumis palaa. Kun se hengittää, lämpötila nousee. Kun se aivastaa, liekit leimahtavat!")</f>
        <v>Koko sen ruumis palaa. Kun se hengittää, lämpötila nousee. Kun se aivastaa, liekit leimahtavat!</v>
      </c>
      <c r="C3000" s="9" t="s">
        <v>1344</v>
      </c>
    </row>
    <row r="3001" ht="33.75" customHeight="1">
      <c r="A3001" s="6" t="s">
        <v>4484</v>
      </c>
      <c r="B3001" s="6" t="str">
        <f>IFERROR(__xludf.DUMMYFUNCTION("GOOGLETRANSLATE(A3001,""en"",""fi"")"),"Mitä kuumempi paikka, sitä paremmalta ne tuntuvat. Alolan magmareiden sanotaan olevan kestävämpiä kuin muiden alueiden magmarien.")</f>
        <v>Mitä kuumempi paikka, sitä paremmalta ne tuntuvat. Alolan magmareiden sanotaan olevan kestävämpiä kuin muiden alueiden magmarien.</v>
      </c>
      <c r="C3001" s="9" t="s">
        <v>1344</v>
      </c>
    </row>
    <row r="3002" ht="33.75" customHeight="1">
      <c r="A3002" s="6" t="s">
        <v>4485</v>
      </c>
      <c r="B3002" s="6" t="str">
        <f>IFERROR(__xludf.DUMMYFUNCTION("GOOGLETRANSLATE(A3002,""en"",""fi"")"),"Magmar tuhoaa saaliinsa tulella. Mutta se katuu tätä tapaa tajuttuaan polttaneensa aiotun saaliinsa rapeiksi paloiksi.")</f>
        <v>Magmar tuhoaa saaliinsa tulella. Mutta se katuu tätä tapaa tajuttuaan polttaneensa aiotun saaliinsa rapeiksi paloiksi.</v>
      </c>
      <c r="C3002" s="9" t="s">
        <v>1344</v>
      </c>
    </row>
    <row r="3003" ht="33.75" customHeight="1">
      <c r="A3003" s="6" t="s">
        <v>4487</v>
      </c>
      <c r="B3003" s="6" t="str">
        <f>IFERROR(__xludf.DUMMYFUNCTION("GOOGLETRANSLATE(A3003,""en"",""fi"")"),"Näiden Pokémonien ruumiit palavat jatkuvasti. Magmaria pelätään yhtenä tulipalojen syttyjistä.")</f>
        <v>Näiden Pokémonien ruumiit palavat jatkuvasti. Magmaria pelätään yhtenä tulipalojen syttyjistä.</v>
      </c>
      <c r="C3003" s="9" t="s">
        <v>1344</v>
      </c>
    </row>
    <row r="3004" ht="33.75" customHeight="1">
      <c r="A3004" s="6" t="s">
        <v>4488</v>
      </c>
      <c r="B3004" s="6" t="str">
        <f>IFERROR(__xludf.DUMMYFUNCTION("GOOGLETRANSLATE(A3004,""en"",""fi"")"),"Legendan mukaan tämä Pokémon syntyi tulivuoren kraatterissa. Haavoittuessaan se kylpee laavassa parantaakseen kehonsa, aivan kuten kuumassa lähteessä liotettaisiin.")</f>
        <v>Legendan mukaan tämä Pokémon syntyi tulivuoren kraatterissa. Haavoittuessaan se kylpee laavassa parantaakseen kehonsa, aivan kuten kuumassa lähteessä liotettaisiin.</v>
      </c>
      <c r="C3004" s="9" t="s">
        <v>1344</v>
      </c>
    </row>
    <row r="3005" ht="33.75" customHeight="1">
      <c r="A3005" s="6" t="s">
        <v>4490</v>
      </c>
      <c r="B3005" s="6" t="str">
        <f>IFERROR(__xludf.DUMMYFUNCTION("GOOGLETRANSLATE(A3005,""en"",""fi"")"),"Jos se ei saa uhria puristettua pihdeillään, se heilauttaa sitä ympäri ja heittää sitä lujaa.")</f>
        <v>Jos se ei saa uhria puristettua pihdeillään, se heilauttaa sitä ympäri ja heittää sitä lujaa.</v>
      </c>
      <c r="C3005" s="9" t="s">
        <v>1344</v>
      </c>
    </row>
    <row r="3006" ht="33.75" customHeight="1">
      <c r="A3006" s="6" t="s">
        <v>4492</v>
      </c>
      <c r="B3006" s="6" t="str">
        <f>IFERROR(__xludf.DUMMYFUNCTION("GOOGLETRANSLATE(A3006,""en"",""fi"")"),"Puristaa saalistaan ​​pihdeillään ja lujaa! Se ei voi liikkua kylmässä, joten se elää lämpimissä paikoissa.")</f>
        <v>Puristaa saalistaan ​​pihdeillään ja lujaa! Se ei voi liikkua kylmässä, joten se elää lämpimissä paikoissa.</v>
      </c>
      <c r="C3006" s="9" t="s">
        <v>1344</v>
      </c>
    </row>
    <row r="3007" ht="33.75" customHeight="1">
      <c r="A3007" s="6" t="s">
        <v>4494</v>
      </c>
      <c r="B3007" s="6" t="str">
        <f>IFERROR(__xludf.DUMMYFUNCTION("GOOGLETRANSLATE(A3007,""en"",""fi"")"),"Sarvillaan se kaivaa koloja nukkuakseen yöllä. Aamulla kostea multa tarttuu sen ruumiiseen.")</f>
        <v>Sarvillaan se kaivaa koloja nukkuakseen yöllä. Aamulla kostea multa tarttuu sen ruumiiseen.</v>
      </c>
      <c r="C3007" s="9" t="s">
        <v>1344</v>
      </c>
    </row>
    <row r="3008" ht="33.75" customHeight="1">
      <c r="A3008" s="6" t="s">
        <v>4495</v>
      </c>
      <c r="B3008" s="6" t="str">
        <f>IFERROR(__xludf.DUMMYFUNCTION("GOOGLETRANSLATE(A3008,""en"",""fi"")"),"Heiluttaa pitkiä sarviaan villisti hyökätessään. Kylminä kausina se piiloutuu syvälle metsiin.")</f>
        <v>Heiluttaa pitkiä sarviaan villisti hyökätessään. Kylminä kausina se piiloutuu syvälle metsiin.</v>
      </c>
      <c r="C3008" s="9" t="s">
        <v>1344</v>
      </c>
    </row>
    <row r="3009" ht="33.75" customHeight="1">
      <c r="A3009" s="6" t="s">
        <v>4497</v>
      </c>
      <c r="B3009" s="6" t="str">
        <f>IFERROR(__xludf.DUMMYFUNCTION("GOOGLETRANSLATE(A3009,""en"",""fi"")"),"Kun lämpötila laskee yöllä, se nukkuu puiden latvoissa tai juurien välissä, missä se on hyvin piilossa.")</f>
        <v>Kun lämpötila laskee yöllä, se nukkuu puiden latvoissa tai juurien välissä, missä se on hyvin piilossa.</v>
      </c>
      <c r="C3009" s="9" t="s">
        <v>1344</v>
      </c>
    </row>
    <row r="3010" ht="33.75" customHeight="1">
      <c r="A3010" s="6" t="s">
        <v>4499</v>
      </c>
      <c r="B3010" s="6" t="str">
        <f>IFERROR(__xludf.DUMMYFUNCTION("GOOGLETRANSLATE(A3010,""en"",""fi"")"),"PINSIR on hämmästyttävän vahva. Se voi tarttua sarviinsa kaksi kertaa sen painoiseen viholliseen ja nostaa sen helposti. Tämän POKéMONin liikkeet hidastuvat kylmissä paikoissa.")</f>
        <v>PINSIR on hämmästyttävän vahva. Se voi tarttua sarviinsa kaksi kertaa sen painoiseen viholliseen ja nostaa sen helposti. Tämän POKéMONin liikkeet hidastuvat kylmissä paikoissa.</v>
      </c>
      <c r="C3010" s="9" t="s">
        <v>1344</v>
      </c>
    </row>
    <row r="3011" ht="33.75" customHeight="1">
      <c r="A3011" s="6" t="s">
        <v>4500</v>
      </c>
      <c r="B3011" s="6" t="str">
        <f>IFERROR(__xludf.DUMMYFUNCTION("GOOGLETRANSLATE(A3011,""en"",""fi"")"),"PINSIRillä on pari massiivisia sarvia. Näiden sarvien pinnasta työntyvät piikit. Piikit iskeytyvät syvälle vihollisen kehoon, kun pihdit sulkeutuvat, mikä tekee vihollisen pakenemisesta vaikeaa.")</f>
        <v>PINSIRillä on pari massiivisia sarvia. Näiden sarvien pinnasta työntyvät piikit. Piikit iskeytyvät syvälle vihollisen kehoon, kun pihdit sulkeutuvat, mikä tekee vihollisen pakenemisesta vaikeaa.</v>
      </c>
      <c r="C3011" s="9" t="s">
        <v>1344</v>
      </c>
    </row>
    <row r="3012" ht="33.75" customHeight="1">
      <c r="A3012" s="6" t="s">
        <v>4501</v>
      </c>
      <c r="B3012" s="6" t="str">
        <f>IFERROR(__xludf.DUMMYFUNCTION("GOOGLETRANSLATE(A3012,""en"",""fi"")"),"Niiden pihdit ovat riittävän vahvat murskaamaan paksuja puita. Koska ne eivät pidä kylmästä, ne kaivautuvat maan alle ja nukkuvat kylminä öinä.")</f>
        <v>Niiden pihdit ovat riittävän vahvat murskaamaan paksuja puita. Koska ne eivät pidä kylmästä, ne kaivautuvat maan alle ja nukkuvat kylminä öinä.</v>
      </c>
      <c r="C3012" s="9" t="s">
        <v>1344</v>
      </c>
    </row>
    <row r="3013" ht="33.75" customHeight="1">
      <c r="A3013" s="6" t="s">
        <v>4502</v>
      </c>
      <c r="B3013" s="6" t="str">
        <f>IFERROR(__xludf.DUMMYFUNCTION("GOOGLETRANSLATE(A3013,""en"",""fi"")"),"Sen kaksi pitkää pihtisarvea ovat voimakkaat. Kun ne tarttuvat viholliseen, ne eivät päästä irti ennen kuin vihollinen on revitty.")</f>
        <v>Sen kaksi pitkää pihtisarvea ovat voimakkaat. Kun ne tarttuvat viholliseen, ne eivät päästä irti ennen kuin vihollinen on revitty.</v>
      </c>
      <c r="C3013" s="9" t="s">
        <v>1344</v>
      </c>
    </row>
    <row r="3014" ht="33.75" customHeight="1">
      <c r="A3014" s="6" t="s">
        <v>4504</v>
      </c>
      <c r="B3014" s="6" t="str">
        <f>IFERROR(__xludf.DUMMYFUNCTION("GOOGLETRANSLATE(A3014,""en"",""fi"")"),"Jos se ei onnistu murskaamaan vihollista pihdeissään, se pyörähtää ympäri ja heittää vastustajan ympäri.")</f>
        <v>Jos se ei onnistu murskaamaan vihollista pihdeissään, se pyörähtää ympäri ja heittää vastustajan ympäri.</v>
      </c>
      <c r="C3014" s="9" t="s">
        <v>1344</v>
      </c>
    </row>
    <row r="3015" ht="33.75" customHeight="1">
      <c r="A3015" s="6" t="s">
        <v>4506</v>
      </c>
      <c r="B3015" s="6" t="str">
        <f>IFERROR(__xludf.DUMMYFUNCTION("GOOGLETRANSLATE(A3015,""en"",""fi"")"),"Se puristaa saalista pihdeillään, kunnes se repäisee sen kahtia. Mitä se ei voi repiä, sen se heittää kauas.")</f>
        <v>Se puristaa saalista pihdeillään, kunnes se repäisee sen kahtia. Mitä se ei voi repiä, sen se heittää kauas.</v>
      </c>
      <c r="C3015" s="9" t="s">
        <v>1344</v>
      </c>
    </row>
    <row r="3016" ht="33.75" customHeight="1">
      <c r="A3016" s="6" t="s">
        <v>4508</v>
      </c>
      <c r="B3016" s="6" t="str">
        <f>IFERROR(__xludf.DUMMYFUNCTION("GOOGLETRANSLATE(A3016,""en"",""fi"")"),"Se kaivaa yöksi nukkumaan koloja pinssarvillaan. Aamulla kostea multa tarttuu sen ruumiiseen.")</f>
        <v>Se kaivaa yöksi nukkumaan koloja pinssarvillaan. Aamulla kostea multa tarttuu sen ruumiiseen.</v>
      </c>
      <c r="C3016" s="9" t="s">
        <v>1344</v>
      </c>
    </row>
    <row r="3017" ht="33.75" customHeight="1">
      <c r="A3017" s="6" t="s">
        <v>4511</v>
      </c>
      <c r="B3017" s="6" t="str">
        <f>IFERROR(__xludf.DUMMYFUNCTION("GOOGLETRANSLATE(A3017,""en"",""fi"")"),"Se heiluttelee pitkiä pihtisarvejaan villisti hyökätessään. Kylminä kausina se piiloutuu syvälle metsiin.")</f>
        <v>Se heiluttelee pitkiä pihtisarvejaan villisti hyökätessään. Kylminä kausina se piiloutuu syvälle metsiin.</v>
      </c>
      <c r="C3017" s="9" t="s">
        <v>1344</v>
      </c>
    </row>
    <row r="3018" ht="33.75" customHeight="1">
      <c r="A3018" s="6" t="s">
        <v>4513</v>
      </c>
      <c r="B3018" s="6" t="str">
        <f>IFERROR(__xludf.DUMMYFUNCTION("GOOGLETRANSLATE(A3018,""en"",""fi"")"),"Se tarttuu saaliiseen voimakkailla pihdeillään eikä päästä irti ennen kuin saalis on revitty kahtia.")</f>
        <v>Se tarttuu saaliiseen voimakkailla pihdeillään eikä päästä irti ennen kuin saalis on revitty kahtia.</v>
      </c>
      <c r="C3018" s="9" t="s">
        <v>1344</v>
      </c>
    </row>
    <row r="3019" ht="33.75" customHeight="1">
      <c r="A3019" s="6" t="s">
        <v>4514</v>
      </c>
      <c r="B3019" s="6" t="str">
        <f>IFERROR(__xludf.DUMMYFUNCTION("GOOGLETRANSLATE(A3019,""en"",""fi"")"),"Pinsir on hämmästyttävän vahva. Se voi tarttua sarviinsa kaksi kertaa sen painoiseen viholliseen ja nostaa sen helposti. Tämän Pokémonin liikkeet hidastuvat kylmissä paikoissa.")</f>
        <v>Pinsir on hämmästyttävän vahva. Se voi tarttua sarviinsa kaksi kertaa sen painoiseen viholliseen ja nostaa sen helposti. Tämän Pokémonin liikkeet hidastuvat kylmissä paikoissa.</v>
      </c>
      <c r="C3019" s="9" t="s">
        <v>1344</v>
      </c>
    </row>
    <row r="3020" ht="33.75" customHeight="1">
      <c r="A3020" s="6" t="s">
        <v>4515</v>
      </c>
      <c r="B3020" s="6" t="str">
        <f>IFERROR(__xludf.DUMMYFUNCTION("GOOGLETRANSLATE(A3020,""en"",""fi"")"),"Pinsirillä on pari massiivisia sarvia. Sarvien pinnasta työntyy esiin piikkejä. Piikit iskeytyvät syvälle vihollisen kehoon, kun pihdit sulkeutuvat, mikä tekee vihollisen pakenemisesta vaikeaa.")</f>
        <v>Pinsirillä on pari massiivisia sarvia. Sarvien pinnasta työntyy esiin piikkejä. Piikit iskeytyvät syvälle vihollisen kehoon, kun pihdit sulkeutuvat, mikä tekee vihollisen pakenemisesta vaikeaa.</v>
      </c>
      <c r="C3020" s="9" t="s">
        <v>1344</v>
      </c>
    </row>
    <row r="3021" ht="33.75" customHeight="1">
      <c r="A3021" s="6" t="s">
        <v>4517</v>
      </c>
      <c r="B3021" s="6" t="str">
        <f>IFERROR(__xludf.DUMMYFUNCTION("GOOGLETRANSLATE(A3021,""en"",""fi"")"),"Se tarttuu saaliiseensa pihdeillään ja halkaisee ne erilleen. Vaikka se on voimakas Pokémon, se ei kestä kylmää.")</f>
        <v>Se tarttuu saaliiseensa pihdeillään ja halkaisee ne erilleen. Vaikka se on voimakas Pokémon, se ei kestä kylmää.</v>
      </c>
      <c r="C3021" s="9" t="s">
        <v>1344</v>
      </c>
    </row>
    <row r="3022" ht="33.75" customHeight="1">
      <c r="A3022" s="6" t="s">
        <v>4519</v>
      </c>
      <c r="B3022" s="6" t="str">
        <f>IFERROR(__xludf.DUMMYFUNCTION("GOOGLETRANSLATE(A3022,""en"",""fi"")"),"Yksi napakka isku sen sarvista riittää halkaisemaan suuren puun. Sen suurin kilpailija Alolassa on Vikavolt.")</f>
        <v>Yksi napakka isku sen sarvista riittää halkaisemaan suuren puun. Sen suurin kilpailija Alolassa on Vikavolt.</v>
      </c>
      <c r="C3022" s="9" t="s">
        <v>1344</v>
      </c>
    </row>
    <row r="3023" ht="33.75" customHeight="1">
      <c r="A3023" s="6" t="s">
        <v>4521</v>
      </c>
      <c r="B3023" s="6" t="str">
        <f>IFERROR(__xludf.DUMMYFUNCTION("GOOGLETRANSLATE(A3023,""en"",""fi"")"),"Se joutuu aluekiistoihin Vikavoltin kanssa. Jostain syystä se ilmeisesti tulee hyvin toimeen Heracrossin kanssa Alolassa.")</f>
        <v>Se joutuu aluekiistoihin Vikavoltin kanssa. Jostain syystä se ilmeisesti tulee hyvin toimeen Heracrossin kanssa Alolassa.</v>
      </c>
      <c r="C3023" s="9" t="s">
        <v>1344</v>
      </c>
    </row>
    <row r="3024" ht="33.75" customHeight="1">
      <c r="A3024" s="6" t="s">
        <v>4524</v>
      </c>
      <c r="B3024" s="6" t="str">
        <f>IFERROR(__xludf.DUMMYFUNCTION("GOOGLETRANSLATE(A3024,""en"",""fi"")"),"Vaikka se on sitkeä, se ei kestä kylmää hyvin. Yön laskeutuessa se hautautuu lehtiin ja nukkuu.")</f>
        <v>Vaikka se on sitkeä, se ei kestä kylmää hyvin. Yön laskeutuessa se hautautuu lehtiin ja nukkuu.</v>
      </c>
      <c r="C3024" s="9" t="s">
        <v>1344</v>
      </c>
    </row>
    <row r="3025" ht="33.75" customHeight="1">
      <c r="A3025" s="6" t="s">
        <v>4526</v>
      </c>
      <c r="B3025" s="6" t="str">
        <f>IFERROR(__xludf.DUMMYFUNCTION("GOOGLETRANSLATE(A3025,""en"",""fi"")"),"Puristaa saalistaan ​​pihdeillään ja lujaa! Se ei voi liikkua kylmässä, joten se elää lämpimissä paikoissa.")</f>
        <v>Puristaa saalistaan ​​pihdeillään ja lujaa! Se ei voi liikkua kylmässä, joten se elää lämpimissä paikoissa.</v>
      </c>
      <c r="C3025" s="9" t="s">
        <v>1344</v>
      </c>
    </row>
    <row r="3026" ht="33.75" customHeight="1">
      <c r="A3026" s="6" t="s">
        <v>4527</v>
      </c>
      <c r="B3026" s="6" t="str">
        <f>IFERROR(__xludf.DUMMYFUNCTION("GOOGLETRANSLATE(A3026,""en"",""fi"")"),"Nämä Pokémonit arvioivat toisiaan pinssien perusteella. Paksummat ja vaikuttavammat pihdit ovat suositumpia vastakkaisen sukupuolen keskuudessa.")</f>
        <v>Nämä Pokémonit arvioivat toisiaan pinssien perusteella. Paksummat ja vaikuttavammat pihdit ovat suositumpia vastakkaisen sukupuolen keskuudessa.</v>
      </c>
      <c r="C3026" s="9" t="s">
        <v>1344</v>
      </c>
    </row>
    <row r="3027" ht="33.75" customHeight="1">
      <c r="A3027" s="6" t="s">
        <v>4528</v>
      </c>
      <c r="B3027" s="6" t="str">
        <f>IFERROR(__xludf.DUMMYFUNCTION("GOOGLETRANSLATE(A3027,""en"",""fi"")"),"Tämä Pokémon puristaa saaliinsa pihdeillään ja joko halkaisee saaliin kahtia tai heittää sen pois.")</f>
        <v>Tämä Pokémon puristaa saaliinsa pihdeillään ja joko halkaisee saaliin kahtia tai heittää sen pois.</v>
      </c>
      <c r="C3027" s="9" t="s">
        <v>1344</v>
      </c>
    </row>
    <row r="3028" ht="33.75" customHeight="1">
      <c r="A3028" s="6" t="s">
        <v>4530</v>
      </c>
      <c r="B3028" s="6" t="str">
        <f>IFERROR(__xludf.DUMMYFUNCTION("GOOGLETRANSLATE(A3028,""en"",""fi"")"),"Kun se kohdistaa vihollisen, se rynnistää raivokkaasti ja piiskaa ruumistaan ​​pitkillä hännillään.")</f>
        <v>Kun se kohdistaa vihollisen, se rynnistää raivokkaasti ja piiskaa ruumistaan ​​pitkillä hännillään.</v>
      </c>
      <c r="C3028" s="9" t="s">
        <v>1344</v>
      </c>
    </row>
    <row r="3029" ht="33.75" customHeight="1">
      <c r="A3029" s="6" t="s">
        <v>4531</v>
      </c>
      <c r="B3029" s="6" t="str">
        <f>IFERROR(__xludf.DUMMYFUNCTION("GOOGLETRANSLATE(A3029,""en"",""fi"")"),"Räjähtävä ja kestävä POKéMON. Kun se on kerran juossut, se ei pysähdy ennen kuin osuu johonkin.")</f>
        <v>Räjähtävä ja kestävä POKéMON. Kun se on kerran juossut, se ei pysähdy ennen kuin osuu johonkin.</v>
      </c>
      <c r="C3029" s="9" t="s">
        <v>1344</v>
      </c>
    </row>
    <row r="3030" ht="33.75" customHeight="1">
      <c r="A3030" s="6" t="s">
        <v>4533</v>
      </c>
      <c r="B3030" s="6" t="str">
        <f>IFERROR(__xludf.DUMMYFUNCTION("GOOGLETRANSLATE(A3030,""en"",""fi"")"),"Ne taistelevat toisiaan vastaan ​​lukitsemalla sarvet yhteen. Lauman suojelija on ylpeä sen taistelun arpeuttamista sarvista.")</f>
        <v>Ne taistelevat toisiaan vastaan ​​lukitsemalla sarvet yhteen. Lauman suojelija on ylpeä sen taistelun arpeuttamista sarvista.</v>
      </c>
      <c r="C3030" s="9" t="s">
        <v>1344</v>
      </c>
    </row>
    <row r="3031" ht="33.75" customHeight="1">
      <c r="A3031" s="6" t="s">
        <v>4535</v>
      </c>
      <c r="B3031" s="6" t="str">
        <f>IFERROR(__xludf.DUMMYFUNCTION("GOOGLETRANSLATE(A3031,""en"",""fi"")"),"Lisättyään taistelutahtoaan piiskaamalla itseään kolmella hännällään se ryntää täydellä vauhdilla.")</f>
        <v>Lisättyään taistelutahtoaan piiskaamalla itseään kolmella hännällään se ryntää täydellä vauhdilla.</v>
      </c>
      <c r="C3031" s="9" t="s">
        <v>1344</v>
      </c>
    </row>
    <row r="3032" ht="33.75" customHeight="1">
      <c r="A3032" s="6" t="s">
        <v>4536</v>
      </c>
      <c r="B3032" s="6" t="str">
        <f>IFERROR(__xludf.DUMMYFUNCTION("GOOGLETRANSLATE(A3032,""en"",""fi"")"),"Nämä väkivaltaiset POKéMONit taistelevat laumansa muita jäseniä vastaan ​​​​osoittaakseen voimansa.")</f>
        <v>Nämä väkivaltaiset POKéMONit taistelevat laumansa muita jäseniä vastaan ​​​​osoittaakseen voimansa.</v>
      </c>
      <c r="C3032" s="9" t="s">
        <v>1344</v>
      </c>
    </row>
    <row r="3033" ht="33.75" customHeight="1">
      <c r="A3033" s="6" t="s">
        <v>4538</v>
      </c>
      <c r="B3033" s="6" t="str">
        <f>IFERROR(__xludf.DUMMYFUNCTION("GOOGLETRANSLATE(A3033,""en"",""fi"")"),"Tämä POKéMON ei ole tyytyväinen, ellei se riehu koko ajan. Jos TAUROSilla ei ole vastustajaa taisteltavana, se hyökkää tiheiden puiden kimppuun ja kaataa ne rauhoittaakseen itsensä.")</f>
        <v>Tämä POKéMON ei ole tyytyväinen, ellei se riehu koko ajan. Jos TAUROSilla ei ole vastustajaa taisteltavana, se hyökkää tiheiden puiden kimppuun ja kaataa ne rauhoittaakseen itsensä.</v>
      </c>
      <c r="C3033" s="9" t="s">
        <v>1344</v>
      </c>
    </row>
    <row r="3034" ht="33.75" customHeight="1">
      <c r="A3034" s="6" t="s">
        <v>4539</v>
      </c>
      <c r="B3034" s="6" t="str">
        <f>IFERROR(__xludf.DUMMYFUNCTION("GOOGLETRANSLATE(A3034,""en"",""fi"")"),"Se ei ole tyytyväinen, ellei se riehu koko ajan. Jos TAUROSilla ei ole vastustajaa taisteltavana, se hyökkää tiheiden puiden kimppuun ja kaataa ne rauhoittaakseen itsensä.")</f>
        <v>Se ei ole tyytyväinen, ellei se riehu koko ajan. Jos TAUROSilla ei ole vastustajaa taisteltavana, se hyökkää tiheiden puiden kimppuun ja kaataa ne rauhoittaakseen itsensä.</v>
      </c>
      <c r="C3034" s="9" t="s">
        <v>1344</v>
      </c>
    </row>
    <row r="3035" ht="33.75" customHeight="1">
      <c r="A3035" s="6" t="s">
        <v>4542</v>
      </c>
      <c r="B3035" s="6" t="str">
        <f>IFERROR(__xludf.DUMMYFUNCTION("GOOGLETRANSLATE(A3035,""en"",""fi"")"),"Kun se on aikeissa HYÖKKÄÄ, se piiskaa ruumistaan ​​toistuvasti kolmella pitkällä hännällään.")</f>
        <v>Kun se on aikeissa HYÖKKÄÄ, se piiskaa ruumistaan ​​toistuvasti kolmella pitkällä hännällään.</v>
      </c>
      <c r="C3035" s="9" t="s">
        <v>1344</v>
      </c>
    </row>
    <row r="3036" ht="33.75" customHeight="1">
      <c r="A3036" s="6" t="s">
        <v>4543</v>
      </c>
      <c r="B3036" s="6" t="str">
        <f>IFERROR(__xludf.DUMMYFUNCTION("GOOGLETRANSLATE(A3036,""en"",""fi"")"),"Kun se tähtää viholliseensa, se hyökkää suin päin. Se on kuuluisa väkivaltaisesta luonteestaan.")</f>
        <v>Kun se tähtää viholliseensa, se hyökkää suin päin. Se on kuuluisa väkivaltaisesta luonteestaan.</v>
      </c>
      <c r="C3036" s="9" t="s">
        <v>1344</v>
      </c>
    </row>
    <row r="3037" ht="33.75" customHeight="1">
      <c r="A3037" s="6" t="s">
        <v>4544</v>
      </c>
      <c r="B3037" s="6" t="str">
        <f>IFERROR(__xludf.DUMMYFUNCTION("GOOGLETRANSLATE(A3037,""en"",""fi"")"),"Ne taistelevat toisiaan vastaan ​​lukitsemalla sarvet yhteen. Lauman suojelija on ylpeä sen taistelun arpeuttamista sarvista.")</f>
        <v>Ne taistelevat toisiaan vastaan ​​lukitsemalla sarvet yhteen. Lauman suojelija on ylpeä sen taistelun arpeuttamista sarvista.</v>
      </c>
      <c r="C3037" s="9" t="s">
        <v>1344</v>
      </c>
    </row>
    <row r="3038" ht="33.75" customHeight="1">
      <c r="A3038" s="6" t="s">
        <v>4545</v>
      </c>
      <c r="B3038" s="6" t="str">
        <f>IFERROR(__xludf.DUMMYFUNCTION("GOOGLETRANSLATE(A3038,""en"",""fi"")"),"Kun se on aikeissa tarttua hyökkäykseen, se piiskaa ruumistaan ​​toistuvasti kolmella pitkällä hännällään.")</f>
        <v>Kun se on aikeissa tarttua hyökkäykseen, se piiskaa ruumistaan ​​toistuvasti kolmella pitkällä hännällään.</v>
      </c>
      <c r="C3038" s="9" t="s">
        <v>1344</v>
      </c>
    </row>
    <row r="3039" ht="33.75" customHeight="1">
      <c r="A3039" s="6" t="s">
        <v>4546</v>
      </c>
      <c r="B3039" s="6" t="str">
        <f>IFERROR(__xludf.DUMMYFUNCTION("GOOGLETRANSLATE(A3039,""en"",""fi"")"),"Tämä Pokémon ei ole tyytyväinen, ellei se riehu koko ajan. Jos Taurosilla ei ole vastustajaa taisteltavana, se hyökkää paksujen puiden kimppuun ja kaataa ne rauhoittaakseen itsensä.")</f>
        <v>Tämä Pokémon ei ole tyytyväinen, ellei se riehu koko ajan. Jos Taurosilla ei ole vastustajaa taisteltavana, se hyökkää paksujen puiden kimppuun ja kaataa ne rauhoittaakseen itsensä.</v>
      </c>
      <c r="C3039" s="9" t="s">
        <v>1344</v>
      </c>
    </row>
    <row r="3040" ht="33.75" customHeight="1">
      <c r="A3040" s="6" t="s">
        <v>4547</v>
      </c>
      <c r="B3040" s="6" t="str">
        <f>IFERROR(__xludf.DUMMYFUNCTION("GOOGLETRANSLATE(A3040,""en"",""fi"")"),"Historiallisesti ihmiset ympäri maailmaa ovat ratsastaneet Tauroilla, mutta käytännön sanotaan saaneen alkunsa Alolassa.")</f>
        <v>Historiallisesti ihmiset ympäri maailmaa ovat ratsastaneet Tauroilla, mutta käytännön sanotaan saaneen alkunsa Alolassa.</v>
      </c>
      <c r="C3040" s="9" t="s">
        <v>1344</v>
      </c>
    </row>
    <row r="3041" ht="33.75" customHeight="1">
      <c r="A3041" s="6" t="s">
        <v>4548</v>
      </c>
      <c r="B3041" s="6" t="str">
        <f>IFERROR(__xludf.DUMMYFUNCTION("GOOGLETRANSLATE(A3041,""en"",""fi"")"),"Vaikka sen tiedetään olevan hurja Pokémon, Alolan alueen Tauroksilla sanotaan olevan jonkin verran rauhallisuutta.")</f>
        <v>Vaikka sen tiedetään olevan hurja Pokémon, Alolan alueen Tauroksilla sanotaan olevan jonkin verran rauhallisuutta.</v>
      </c>
      <c r="C3041" s="9" t="s">
        <v>1344</v>
      </c>
    </row>
    <row r="3042" ht="33.75" customHeight="1">
      <c r="A3042" s="6" t="s">
        <v>4549</v>
      </c>
      <c r="B3042" s="6" t="str">
        <f>IFERROR(__xludf.DUMMYFUNCTION("GOOGLETRANSLATE(A3042,""en"",""fi"")"),"Ne elävät ryhmissä. Se, jolla on pisimmät, paksuimmat ja arpeutuneimmat sarvet, on lauman pomo.")</f>
        <v>Ne elävät ryhmissä. Se, jolla on pisimmät, paksuimmat ja arpeutuneimmat sarvet, on lauman pomo.</v>
      </c>
      <c r="C3042" s="9" t="s">
        <v>1344</v>
      </c>
    </row>
    <row r="3043" ht="33.75" customHeight="1">
      <c r="A3043" s="6" t="s">
        <v>4550</v>
      </c>
      <c r="B3043" s="6" t="str">
        <f>IFERROR(__xludf.DUMMYFUNCTION("GOOGLETRANSLATE(A3043,""en"",""fi"")"),"Ilmasto näyttää liittyvän siihen, miksi Alolan taurot ovat hieman rauhallisempia kuin muiden alueiden taurot.")</f>
        <v>Ilmasto näyttää liittyvän siihen, miksi Alolan taurot ovat hieman rauhallisempia kuin muiden alueiden taurot.</v>
      </c>
      <c r="C3043" s="9" t="s">
        <v>1344</v>
      </c>
    </row>
    <row r="3044" ht="33.75" customHeight="1">
      <c r="A3044" s="6" t="s">
        <v>4551</v>
      </c>
      <c r="B3044" s="6" t="str">
        <f>IFERROR(__xludf.DUMMYFUNCTION("GOOGLETRANSLATE(A3044,""en"",""fi"")"),"Räikkä ja kestävä Pokémon. Kun se on kerran juossut, se ei pysähdy ennen kuin osuu johonkin.")</f>
        <v>Räikkä ja kestävä Pokémon. Kun se on kerran juossut, se ei pysähdy ennen kuin osuu johonkin.</v>
      </c>
      <c r="C3044" s="9" t="s">
        <v>1344</v>
      </c>
    </row>
    <row r="3045" ht="33.75" customHeight="1">
      <c r="A3045" s="6" t="s">
        <v>4553</v>
      </c>
      <c r="B3045" s="6" t="str">
        <f>IFERROR(__xludf.DUMMYFUNCTION("GOOGLETRANSLATE(A3045,""en"",""fi"")"),"Kun Tauros alkaa piiskaa itseään hännällään, se on varoitus siitä, että Pokémon on rynnäkkökiihtymässä hämmästyttävällä nopeudella.")</f>
        <v>Kun Tauros alkaa piiskaa itseään hännällään, se on varoitus siitä, että Pokémon on rynnäkkökiihtymässä hämmästyttävällä nopeudella.</v>
      </c>
      <c r="C3045" s="9" t="s">
        <v>1344</v>
      </c>
    </row>
    <row r="3046" ht="33.75" customHeight="1">
      <c r="A3046" s="6" t="s">
        <v>4555</v>
      </c>
      <c r="B3046" s="6" t="str">
        <f>IFERROR(__xludf.DUMMYFUNCTION("GOOGLETRANSLATE(A3046,""en"",""fi"")"),"Galarin alueen Taurot ovat luonteeltaan epävakaita, eivätkä he anna ihmisten ratsastaa selällään.")</f>
        <v>Galarin alueen Taurot ovat luonteeltaan epävakaita, eivätkä he anna ihmisten ratsastaa selällään.</v>
      </c>
      <c r="C3046" s="9" t="s">
        <v>1344</v>
      </c>
    </row>
    <row r="3047" ht="33.75" customHeight="1">
      <c r="A3047" s="6" t="s">
        <v>4557</v>
      </c>
      <c r="B3047" s="6" t="str">
        <f>IFERROR(__xludf.DUMMYFUNCTION("GOOGLETRANSLATE(A3047,""en"",""fi"")"),"Kaukaisessa menneisyydessä se oli jonkin verran vahvempi kuin nykyään olemassa olevat hirvittävän heikot jälkeläiset.")</f>
        <v>Kaukaisessa menneisyydessä se oli jonkin verran vahvempi kuin nykyään olemassa olevat hirvittävän heikot jälkeläiset.</v>
      </c>
      <c r="C3047" s="9" t="s">
        <v>1344</v>
      </c>
    </row>
    <row r="3048" ht="33.75" customHeight="1">
      <c r="A3048" s="6" t="s">
        <v>4559</v>
      </c>
      <c r="B3048" s="6" t="str">
        <f>IFERROR(__xludf.DUMMYFUNCTION("GOOGLETRANSLATE(A3048,""en"",""fi"")"),"Kuuluisa erittäin epäluotettavana. Sitä voi löytää uimasta merissä, järvissä, joissa ja matalissa lätäköissä.")</f>
        <v>Kuuluisa erittäin epäluotettavana. Sitä voi löytää uimasta merissä, järvissä, joissa ja matalissa lätäköissä.</v>
      </c>
      <c r="C3048" s="9" t="s">
        <v>1344</v>
      </c>
    </row>
    <row r="3049" ht="33.75" customHeight="1">
      <c r="A3049" s="6" t="s">
        <v>4561</v>
      </c>
      <c r="B3049" s="6" t="str">
        <f>IFERROR(__xludf.DUMMYFUNCTION("GOOGLETRANSLATE(A3049,""en"",""fi"")"),"Heikotehoinen ja säälittävä POKéMON. Se saattaa hypätä korkealle harvoin, mutta ei koskaan yli kaksi metriä.")</f>
        <v>Heikotehoinen ja säälittävä POKéMON. Se saattaa hypätä korkealle harvoin, mutta ei koskaan yli kaksi metriä.</v>
      </c>
      <c r="C3049" s="9" t="s">
        <v>1344</v>
      </c>
    </row>
    <row r="3050" ht="33.75" customHeight="1">
      <c r="A3050" s="6" t="s">
        <v>4563</v>
      </c>
      <c r="B3050" s="6" t="str">
        <f>IFERROR(__xludf.DUMMYFUNCTION("GOOGLETRANSLATE(A3050,""en"",""fi"")"),"Se hyppii ja loiskii ilman syytä, minkä ansiosta petoeläimet, kuten PIDGEOTTO, voivat helposti napata sen kesken hypyn.")</f>
        <v>Se hyppii ja loiskii ilman syytä, minkä ansiosta petoeläimet, kuten PIDGEOTTO, voivat helposti napata sen kesken hypyn.</v>
      </c>
      <c r="C3050" s="9" t="s">
        <v>1344</v>
      </c>
    </row>
    <row r="3051" ht="33.75" customHeight="1">
      <c r="A3051" s="6" t="s">
        <v>4565</v>
      </c>
      <c r="B3051" s="6" t="str">
        <f>IFERROR(__xludf.DUMMYFUNCTION("GOOGLETRANSLATE(A3051,""en"",""fi"")"),"Tämä heikko ja säälittävä POKéMON työntyy helposti jokien mukana voimakkaissa virtauksissa.")</f>
        <v>Tämä heikko ja säälittävä POKéMON työntyy helposti jokien mukana voimakkaissa virtauksissa.</v>
      </c>
      <c r="C3051" s="9" t="s">
        <v>1344</v>
      </c>
    </row>
    <row r="3052" ht="33.75" customHeight="1">
      <c r="A3052" s="6" t="s">
        <v>4566</v>
      </c>
      <c r="B3052" s="6" t="str">
        <f>IFERROR(__xludf.DUMMYFUNCTION("GOOGLETRANSLATE(A3052,""en"",""fi"")"),"MAGIKARP on säälittävä tekosyy POKéMONille, joka pystyy vain pyörimään ja roiskimaan. Tämä käytös sai tiedemiehet ryhtymään tutkimukseen sen suhteen.")</f>
        <v>MAGIKARP on säälittävä tekosyy POKéMONille, joka pystyy vain pyörimään ja roiskimaan. Tämä käytös sai tiedemiehet ryhtymään tutkimukseen sen suhteen.</v>
      </c>
      <c r="C3052" s="9" t="s">
        <v>1344</v>
      </c>
    </row>
    <row r="3053" ht="33.75" customHeight="1">
      <c r="A3053" s="6" t="s">
        <v>4567</v>
      </c>
      <c r="B3053" s="6" t="str">
        <f>IFERROR(__xludf.DUMMYFUNCTION("GOOGLETRANSLATE(A3053,""en"",""fi"")"),"MAGIKARP on käytännössä hyödytön taistelussa, koska se voi vain loiskia ympäriinsä. Tämän seurauksena sitä pidetään heikkona. Se on kuitenkin itse asiassa erittäin kestävä POKéMON, joka voi selviytyä missä tahansa vesistössä riippumatta siitä, kuinka saas"&amp;"tunut se on.")</f>
        <v>MAGIKARP on käytännössä hyödytön taistelussa, koska se voi vain loiskia ympäriinsä. Tämän seurauksena sitä pidetään heikkona. Se on kuitenkin itse asiassa erittäin kestävä POKéMON, joka voi selviytyä missä tahansa vesistössä riippumatta siitä, kuinka saastunut se on.</v>
      </c>
      <c r="C3053" s="9" t="s">
        <v>1344</v>
      </c>
    </row>
    <row r="3054" ht="33.75" customHeight="1">
      <c r="A3054" s="6" t="s">
        <v>4570</v>
      </c>
      <c r="B3054" s="6" t="str">
        <f>IFERROR(__xludf.DUMMYFUNCTION("GOOGLETRANSLATE(A3054,""en"",""fi"")"),"Sen uintilihakset ovat heikot, joten virtaukset huuhtovat sen helposti mukaansa. Paikoissa, joissa vesi on lammikoita, voi nähdä paljon MAGIKARP-jäänteitä virtauksen kerrostamana.")</f>
        <v>Sen uintilihakset ovat heikot, joten virtaukset huuhtovat sen helposti mukaansa. Paikoissa, joissa vesi on lammikoita, voi nähdä paljon MAGIKARP-jäänteitä virtauksen kerrostamana.</v>
      </c>
      <c r="C3054" s="9" t="s">
        <v>1344</v>
      </c>
    </row>
    <row r="3055" ht="33.75" customHeight="1">
      <c r="A3055" s="6" t="s">
        <v>4572</v>
      </c>
      <c r="B3055" s="6" t="str">
        <f>IFERROR(__xludf.DUMMYFUNCTION("GOOGLETRANSLATE(A3055,""en"",""fi"")"),"Se on käytännössä arvoton sekä tehon että nopeuden suhteen. Se on maailman heikoin ja säälittävin POKéMON.")</f>
        <v>Se on käytännössä arvoton sekä tehon että nopeuden suhteen. Se on maailman heikoin ja säälittävin POKéMON.</v>
      </c>
      <c r="C3055" s="9" t="s">
        <v>1344</v>
      </c>
    </row>
    <row r="3056" ht="33.75" customHeight="1">
      <c r="A3056" s="6" t="s">
        <v>4573</v>
      </c>
      <c r="B3056" s="6" t="str">
        <f>IFERROR(__xludf.DUMMYFUNCTION("GOOGLETRANSLATE(A3056,""en"",""fi"")"),"Sen sanotaan olevan maailman heikoin Pokémon. Kukaan ei tiedä, miksi se on onnistunut selviytymään.")</f>
        <v>Sen sanotaan olevan maailman heikoin Pokémon. Kukaan ei tiedä, miksi se on onnistunut selviytymään.</v>
      </c>
      <c r="C3056" s="9" t="s">
        <v>1344</v>
      </c>
    </row>
    <row r="3057" ht="33.75" customHeight="1">
      <c r="A3057" s="6" t="s">
        <v>4574</v>
      </c>
      <c r="B3057" s="6" t="str">
        <f>IFERROR(__xludf.DUMMYFUNCTION("GOOGLETRANSLATE(A3057,""en"",""fi"")"),"Se ei pysty uimaan edes hitaasti virtaavia virtauksia vastaan. Se loiskii aina jostain syystä.")</f>
        <v>Se ei pysty uimaan edes hitaasti virtaavia virtauksia vastaan. Se loiskii aina jostain syystä.</v>
      </c>
      <c r="C3057" s="9" t="s">
        <v>1344</v>
      </c>
    </row>
    <row r="3058" ht="33.75" customHeight="1">
      <c r="A3058" s="6" t="s">
        <v>4576</v>
      </c>
      <c r="B3058" s="6" t="str">
        <f>IFERROR(__xludf.DUMMYFUNCTION("GOOGLETRANSLATE(A3058,""en"",""fi"")"),"Monta vuotta elänyt MAGIKARP voi hypätä vuoren Roiskeella. Liike on kuitenkin edelleen hyödytön.")</f>
        <v>Monta vuotta elänyt MAGIKARP voi hypätä vuoren Roiskeella. Liike on kuitenkin edelleen hyödytön.</v>
      </c>
      <c r="C3058" s="9" t="s">
        <v>1344</v>
      </c>
    </row>
    <row r="3059" ht="33.75" customHeight="1">
      <c r="A3059" s="6" t="s">
        <v>4578</v>
      </c>
      <c r="B3059" s="6" t="str">
        <f>IFERROR(__xludf.DUMMYFUNCTION("GOOGLETRANSLATE(A3059,""en"",""fi"")"),"Heikotehoinen ja säälittävä Pokémon. Se saattaa hypätä korkealle harvinaisissa tapauksissa, mutta yleensä korkeintaan kaksi metriä.")</f>
        <v>Heikotehoinen ja säälittävä Pokémon. Se saattaa hypätä korkealle harvinaisissa tapauksissa, mutta yleensä korkeintaan kaksi metriä.</v>
      </c>
      <c r="C3059" s="9" t="s">
        <v>1344</v>
      </c>
    </row>
    <row r="3060" ht="33.75" customHeight="1">
      <c r="A3060" s="6" t="s">
        <v>4580</v>
      </c>
      <c r="B3060" s="6" t="str">
        <f>IFERROR(__xludf.DUMMYFUNCTION("GOOGLETRANSLATE(A3060,""en"",""fi"")"),"Monia vuosia elänyt Magikarp voi hypätä vuoren Roiskeella. Liike on kuitenkin edelleen hyödytön.")</f>
        <v>Monia vuosia elänyt Magikarp voi hypätä vuoren Roiskeella. Liike on kuitenkin edelleen hyödytön.</v>
      </c>
      <c r="C3060" s="9" t="s">
        <v>1344</v>
      </c>
    </row>
    <row r="3061" ht="33.75" customHeight="1">
      <c r="A3061" s="6" t="s">
        <v>4581</v>
      </c>
      <c r="B3061" s="6" t="str">
        <f>IFERROR(__xludf.DUMMYFUNCTION("GOOGLETRANSLATE(A3061,""en"",""fi"")"),"Se on käytännössä arvoton sekä voiman että nopeuden suhteen. Se on maailman heikoin ja säälittävin Pokémon.")</f>
        <v>Se on käytännössä arvoton sekä voiman että nopeuden suhteen. Se on maailman heikoin ja säälittävin Pokémon.</v>
      </c>
      <c r="C3061" s="9" t="s">
        <v>1344</v>
      </c>
    </row>
    <row r="3062" ht="33.75" customHeight="1">
      <c r="A3062" s="6" t="s">
        <v>4583</v>
      </c>
      <c r="B3062" s="6" t="str">
        <f>IFERROR(__xludf.DUMMYFUNCTION("GOOGLETRANSLATE(A3062,""en"",""fi"")"),"Magikarp on säälittävä tekosyy Pokémonille, joka pystyy vain pyörittelemään ja roiskimaan. Tämä käytös sai tiedemiehet ryhtymään tutkimukseen sen suhteen.")</f>
        <v>Magikarp on säälittävä tekosyy Pokémonille, joka pystyy vain pyörittelemään ja roiskimaan. Tämä käytös sai tiedemiehet ryhtymään tutkimukseen sen suhteen.</v>
      </c>
      <c r="C3062" s="9" t="s">
        <v>1344</v>
      </c>
    </row>
    <row r="3063" ht="33.75" customHeight="1">
      <c r="A3063" s="6" t="s">
        <v>4585</v>
      </c>
      <c r="B3063" s="6" t="str">
        <f>IFERROR(__xludf.DUMMYFUNCTION("GOOGLETRANSLATE(A3063,""en"",""fi"")"),"Magikarp on käytännössä hyödytön taistelussa, koska se voi vain loiskia ympäriinsä. Tämän seurauksena sitä pidetään heikkona. Se on kuitenkin itse asiassa erittäin kestävä Pokémon, joka voi selviytyä missä tahansa vesistössä riippumatta siitä, kuinka saas"&amp;"tunut se on.")</f>
        <v>Magikarp on käytännössä hyödytön taistelussa, koska se voi vain loiskia ympäriinsä. Tämän seurauksena sitä pidetään heikkona. Se on kuitenkin itse asiassa erittäin kestävä Pokémon, joka voi selviytyä missä tahansa vesistössä riippumatta siitä, kuinka saastunut se on.</v>
      </c>
      <c r="C3063" s="9" t="s">
        <v>1344</v>
      </c>
    </row>
    <row r="3064" ht="33.75" customHeight="1">
      <c r="A3064" s="6" t="s">
        <v>4587</v>
      </c>
      <c r="B3064" s="6" t="str">
        <f>IFERROR(__xludf.DUMMYFUNCTION("GOOGLETRANSLATE(A3064,""en"",""fi"")"),"Vaikka tämä Pokémon on heikko ja avuton, se on uskomattoman hedelmällinen. Niitä on niin paljon, että kyllästyt pian näkemään niitä.")</f>
        <v>Vaikka tämä Pokémon on heikko ja avuton, se on uskomattoman hedelmällinen. Niitä on niin paljon, että kyllästyt pian näkemään niitä.</v>
      </c>
      <c r="C3064" s="9" t="s">
        <v>1344</v>
      </c>
    </row>
    <row r="3065" ht="33.75" customHeight="1">
      <c r="A3065" s="6" t="s">
        <v>4590</v>
      </c>
      <c r="B3065" s="6" t="str">
        <f>IFERROR(__xludf.DUMMYFUNCTION("GOOGLETRANSLATE(A3065,""en"",""fi"")"),"Sen holtittomat loikat tekevät siitä helpon saalistajien saaliiksi. Onneksi monet Pokémonit elävät pidempään Magikarpin ansiosta.")</f>
        <v>Sen holtittomat loikat tekevät siitä helpon saalistajien saaliiksi. Onneksi monet Pokémonit elävät pidempään Magikarpin ansiosta.</v>
      </c>
      <c r="C3065" s="9" t="s">
        <v>1344</v>
      </c>
    </row>
    <row r="3066" ht="33.75" customHeight="1">
      <c r="A3066" s="6" t="s">
        <v>4591</v>
      </c>
      <c r="B3066" s="6" t="str">
        <f>IFERROR(__xludf.DUMMYFUNCTION("GOOGLETRANSLATE(A3066,""en"",""fi"")"),"Kaukaisessa menneisyydessä ne olivat melko vahvoja, mutta ajan myötä ne ovat vähitellen heikkeneneet.")</f>
        <v>Kaukaisessa menneisyydessä ne olivat melko vahvoja, mutta ajan myötä ne ovat vähitellen heikkeneneet.</v>
      </c>
      <c r="C3066" s="9" t="s">
        <v>1344</v>
      </c>
    </row>
    <row r="3067" ht="33.75" customHeight="1">
      <c r="A3067" s="6" t="s">
        <v>4593</v>
      </c>
      <c r="B3067" s="6" t="str">
        <f>IFERROR(__xludf.DUMMYFUNCTION("GOOGLETRANSLATE(A3067,""en"",""fi"")"),"Koska ne pitävät otteessaan elämään, likainen vesi ei häiritse niitä lainkaan. Ne elävät vesissä kaikkialla maailmassa!")</f>
        <v>Koska ne pitävät otteessaan elämään, likainen vesi ei häiritse niitä lainkaan. Ne elävät vesissä kaikkialla maailmassa!</v>
      </c>
      <c r="C3067" s="9" t="s">
        <v>1344</v>
      </c>
    </row>
    <row r="3068" ht="33.75" customHeight="1">
      <c r="A3068" s="6" t="s">
        <v>4595</v>
      </c>
      <c r="B3068" s="6" t="str">
        <f>IFERROR(__xludf.DUMMYFUNCTION("GOOGLETRANSLATE(A3068,""en"",""fi"")"),"Kuuluisa erittäin epäluotettavana. Sitä voi löytää uimasta merissä, järvissä, joissa ja matalissa lätäköissä.")</f>
        <v>Kuuluisa erittäin epäluotettavana. Sitä voi löytää uimasta merissä, järvissä, joissa ja matalissa lätäköissä.</v>
      </c>
      <c r="C3068" s="9" t="s">
        <v>1344</v>
      </c>
    </row>
    <row r="3069" ht="33.75" customHeight="1">
      <c r="A3069" s="6" t="s">
        <v>4597</v>
      </c>
      <c r="B3069" s="6" t="str">
        <f>IFERROR(__xludf.DUMMYFUNCTION("GOOGLETRANSLATE(A3069,""en"",""fi"")"),"Tämä heikko ja säälittävä Pokémon työntyy helposti jokien mukana voimakkaissa virtauksissa.")</f>
        <v>Tämä heikko ja säälittävä Pokémon työntyy helposti jokien mukana voimakkaissa virtauksissa.</v>
      </c>
      <c r="C3069" s="9" t="s">
        <v>1344</v>
      </c>
    </row>
    <row r="3070" ht="33.75" customHeight="1">
      <c r="A3070" s="6" t="s">
        <v>4598</v>
      </c>
      <c r="B3070" s="6" t="str">
        <f>IFERROR(__xludf.DUMMYFUNCTION("GOOGLETRANSLATE(A3070,""en"",""fi"")"),"Heikko, säälittävä ja idioottimainen Pokémon, joka on kuitenkin erittäin kestävä. Samea vesi ei häiritse sitä, ja sitä voi tavata monenlaisissa paikoissa.")</f>
        <v>Heikko, säälittävä ja idioottimainen Pokémon, joka on kuitenkin erittäin kestävä. Samea vesi ei häiritse sitä, ja sitä voi tavata monenlaisissa paikoissa.</v>
      </c>
      <c r="C3070" s="9" t="s">
        <v>1344</v>
      </c>
    </row>
    <row r="3071" ht="33.75" customHeight="1">
      <c r="A3071" s="6" t="s">
        <v>4599</v>
      </c>
      <c r="B3071" s="6" t="str">
        <f>IFERROR(__xludf.DUMMYFUNCTION("GOOGLETRANSLATE(A3071,""en"",""fi"")"),"Harvoin nähty luonnossa. Valtava ja ilkeä, se kykenee tuhoamaan kokonaisia ​​kaupunkeja raivoissaan.")</f>
        <v>Harvoin nähty luonnossa. Valtava ja ilkeä, se kykenee tuhoamaan kokonaisia ​​kaupunkeja raivoissaan.</v>
      </c>
      <c r="C3071" s="9" t="s">
        <v>1344</v>
      </c>
    </row>
    <row r="3072" ht="33.75" customHeight="1">
      <c r="A3072" s="6" t="s">
        <v>4600</v>
      </c>
      <c r="B3072" s="6" t="str">
        <f>IFERROR(__xludf.DUMMYFUNCTION("GOOGLETRANSLATE(A3072,""en"",""fi"")"),"Raa'an julma ja valtavan tuhoisa. Tunnettu kaupunkien täydellisestä tuhoamisesta muinaisilla ajoilla.")</f>
        <v>Raa'an julma ja valtavan tuhoisa. Tunnettu kaupunkien täydellisestä tuhoamisesta muinaisilla ajoilla.</v>
      </c>
      <c r="C3072" s="9" t="s">
        <v>1344</v>
      </c>
    </row>
    <row r="3073" ht="33.75" customHeight="1">
      <c r="A3073" s="6" t="s">
        <v>4601</v>
      </c>
      <c r="B3073" s="6" t="str">
        <f>IFERROR(__xludf.DUMMYFUNCTION("GOOGLETRANSLATE(A3073,""en"",""fi"")"),"He sanovat, että menneiden sotien aikana GYARADOS ilmestyi ja jätti jälkeensä hehkuvia raunioita.")</f>
        <v>He sanovat, että menneiden sotien aikana GYARADOS ilmestyi ja jätti jälkeensä hehkuvia raunioita.</v>
      </c>
      <c r="C3073" s="9" t="s">
        <v>1344</v>
      </c>
    </row>
    <row r="3074" ht="33.75" customHeight="1">
      <c r="A3074" s="6" t="s">
        <v>4602</v>
      </c>
      <c r="B3074" s="6" t="str">
        <f>IFERROR(__xludf.DUMMYFUNCTION("GOOGLETRANSLATE(A3074,""en"",""fi"")"),"Kun se ilmestyy, se siirtyy ram-sivulle. Se pysyy raivoissaan, kunnes tuhoaa kaiken ympärillään.")</f>
        <v>Kun se ilmestyy, se siirtyy ram-sivulle. Se pysyy raivoissaan, kunnes tuhoaa kaiken ympärillään.</v>
      </c>
      <c r="C3074" s="9" t="s">
        <v>1344</v>
      </c>
    </row>
    <row r="3075" ht="33.75" customHeight="1">
      <c r="A3075" s="6" t="s">
        <v>4603</v>
      </c>
      <c r="B3075" s="6" t="str">
        <f>IFERROR(__xludf.DUMMYFUNCTION("GOOGLETRANSLATE(A3075,""en"",""fi"")"),"Se ilmestyy aina, kun maailmassa on konflikti, ja polttaa maan tasalle kaikki paikat, joiden läpi se kulkee.")</f>
        <v>Se ilmestyy aina, kun maailmassa on konflikti, ja polttaa maan tasalle kaikki paikat, joiden läpi se kulkee.</v>
      </c>
      <c r="C3075" s="9" t="s">
        <v>1344</v>
      </c>
    </row>
    <row r="3076" ht="33.75" customHeight="1">
      <c r="A3076" s="6" t="s">
        <v>4604</v>
      </c>
      <c r="B3076" s="6" t="str">
        <f>IFERROR(__xludf.DUMMYFUNCTION("GOOGLETRANSLATE(A3076,""en"",""fi"")"),"Kun MAGIKARP kehittyy GYARADOSiksi, sen aivosolut käyvät läpi rakenteellisen muutoksen. Sanotaan, että tämä muutos on syypää tämän POKéMONin villisti väkivaltaiseen luonteeseen.")</f>
        <v>Kun MAGIKARP kehittyy GYARADOSiksi, sen aivosolut käyvät läpi rakenteellisen muutoksen. Sanotaan, että tämä muutos on syypää tämän POKéMONin villisti väkivaltaiseen luonteeseen.</v>
      </c>
      <c r="C3076" s="9" t="s">
        <v>1344</v>
      </c>
    </row>
    <row r="3077" ht="33.75" customHeight="1">
      <c r="A3077" s="6" t="s">
        <v>4605</v>
      </c>
      <c r="B3077" s="6" t="str">
        <f>IFERROR(__xludf.DUMMYFUNCTION("GOOGLETRANSLATE(A3077,""en"",""fi"")"),"Kun GYARADOS riehuu, sen raju veri ei tyynny ennen kuin se on polttanut kaiken maan tasalle. Tämän POKéMONin riehumisista on tietoa kokonaisen kuukauden ajan.")</f>
        <v>Kun GYARADOS riehuu, sen raju veri ei tyynny ennen kuin se on polttanut kaiken maan tasalle. Tämän POKéMONin riehumisista on tietoa kokonaisen kuukauden ajan.</v>
      </c>
      <c r="C3077" s="9" t="s">
        <v>1344</v>
      </c>
    </row>
    <row r="3078" ht="33.75" customHeight="1">
      <c r="A3078" s="6" t="s">
        <v>4607</v>
      </c>
      <c r="B3078" s="6" t="str">
        <f>IFERROR(__xludf.DUMMYFUNCTION("GOOGLETRANSLATE(A3078,""en"",""fi"")"),"Se on äärimmäisen ilkeä ja väkivaltainen POKéMON. Kun ihmiset alkavat taistella, se ilmestyy ja polttaa kaiken maan tasalle kuumilla liekeillä.")</f>
        <v>Se on äärimmäisen ilkeä ja väkivaltainen POKéMON. Kun ihmiset alkavat taistella, se ilmestyy ja polttaa kaiken maan tasalle kuumilla liekeillä.</v>
      </c>
      <c r="C3078" s="9" t="s">
        <v>1344</v>
      </c>
    </row>
    <row r="3079" ht="33.75" customHeight="1">
      <c r="A3079" s="6" t="s">
        <v>4609</v>
      </c>
      <c r="B3079" s="6" t="str">
        <f>IFERROR(__xludf.DUMMYFUNCTION("GOOGLETRANSLATE(A3079,""en"",""fi"")"),"Sillä on äärimmäisen aggressiivinen luonne. Sen suusta ampuma HYPERSÄDE polttaa kaikki kohteet täysin.")</f>
        <v>Sillä on äärimmäisen aggressiivinen luonne. Sen suusta ampuma HYPERSÄDE polttaa kaikki kohteet täysin.</v>
      </c>
      <c r="C3079" s="9" t="s">
        <v>1344</v>
      </c>
    </row>
    <row r="3080" ht="33.75" customHeight="1">
      <c r="A3080" s="6" t="s">
        <v>4612</v>
      </c>
      <c r="B3080" s="6" t="str">
        <f>IFERROR(__xludf.DUMMYFUNCTION("GOOGLETRANSLATE(A3080,""en"",""fi"")"),"Kun se ilmestyy, sen raivo ei laannu ennen kuin se on tuhonnut ympäröivät pellot ja vuoret.")</f>
        <v>Kun se ilmestyy, sen raivo ei laannu ennen kuin se on tuhonnut ympäröivät pellot ja vuoret.</v>
      </c>
      <c r="C3080" s="9" t="s">
        <v>1344</v>
      </c>
    </row>
    <row r="3081" ht="33.75" customHeight="1">
      <c r="A3081" s="6" t="s">
        <v>4614</v>
      </c>
      <c r="B3081" s="6" t="str">
        <f>IFERROR(__xludf.DUMMYFUNCTION("GOOGLETRANSLATE(A3081,""en"",""fi"")"),"Muinaisessa kirjallisuudessa on kuvaus gyaradoksesta, joka tuhosi kylän väkivallan leimahdellessa.")</f>
        <v>Muinaisessa kirjallisuudessa on kuvaus gyaradoksesta, joka tuhosi kylän väkivallan leimahdellessa.</v>
      </c>
      <c r="C3081" s="9" t="s">
        <v>1344</v>
      </c>
    </row>
    <row r="3082" ht="33.75" customHeight="1">
      <c r="A3082" s="6" t="s">
        <v>4616</v>
      </c>
      <c r="B3082" s="6" t="str">
        <f>IFERROR(__xludf.DUMMYFUNCTION("GOOGLETRANSLATE(A3082,""en"",""fi"")"),"Kun gyarados alkaa riehua, se polttaa kaiken maan tasalle, jopa ankarassa myrskyssä.")</f>
        <v>Kun gyarados alkaa riehua, se polttaa kaiken maan tasalle, jopa ankarassa myrskyssä.</v>
      </c>
      <c r="C3082" s="9" t="s">
        <v>1344</v>
      </c>
    </row>
    <row r="3083" ht="33.75" customHeight="1">
      <c r="A3083" s="6" t="s">
        <v>4617</v>
      </c>
      <c r="B3083" s="6" t="str">
        <f>IFERROR(__xludf.DUMMYFUNCTION("GOOGLETRANSLATE(A3083,""en"",""fi"")"),"He sanovat, että menneiden taisteluiden aikana GYARADOS ilmestyi ja jätti jälkeensä liekehtiviä raunioita.")</f>
        <v>He sanovat, että menneiden taisteluiden aikana GYARADOS ilmestyi ja jätti jälkeensä liekehtiviä raunioita.</v>
      </c>
      <c r="C3083" s="9" t="s">
        <v>1344</v>
      </c>
    </row>
    <row r="3084" ht="33.75" customHeight="1">
      <c r="A3084" s="6" t="s">
        <v>4618</v>
      </c>
      <c r="B3084" s="6" t="str">
        <f>IFERROR(__xludf.DUMMYFUNCTION("GOOGLETRANSLATE(A3084,""en"",""fi"")"),"Heti ilmestyttyään se riehuu. Se pysyy raivoissaan, kunnes tuhoaa kaiken ympärillään.")</f>
        <v>Heti ilmestyttyään se riehuu. Se pysyy raivoissaan, kunnes tuhoaa kaiken ympärillään.</v>
      </c>
      <c r="C3084" s="9" t="s">
        <v>1344</v>
      </c>
    </row>
    <row r="3085" ht="33.75" customHeight="1">
      <c r="A3085" s="6" t="s">
        <v>4619</v>
      </c>
      <c r="B3085" s="6" t="str">
        <f>IFERROR(__xludf.DUMMYFUNCTION("GOOGLETRANSLATE(A3085,""en"",""fi"")"),"Kun Gyarados alkaa riehua, se polttaa kaiken maan tasalle, jopa ankarassa myrskyssä.")</f>
        <v>Kun Gyarados alkaa riehua, se polttaa kaiken maan tasalle, jopa ankarassa myrskyssä.</v>
      </c>
      <c r="C3085" s="9" t="s">
        <v>1344</v>
      </c>
    </row>
    <row r="3086" ht="33.75" customHeight="1">
      <c r="A3086" s="6" t="s">
        <v>4623</v>
      </c>
      <c r="B3086" s="6" t="str">
        <f>IFERROR(__xludf.DUMMYFUNCTION("GOOGLETRANSLATE(A3086,""en"",""fi"")"),"Muinaisessa kirjallisuudessa on maininta Gyaradosista, joka tuhosi kylän väkivallan leimahdettua.")</f>
        <v>Muinaisessa kirjallisuudessa on maininta Gyaradosista, joka tuhosi kylän väkivallan leimahdettua.</v>
      </c>
      <c r="C3086" s="9" t="s">
        <v>1344</v>
      </c>
    </row>
    <row r="3087" ht="33.75" customHeight="1">
      <c r="A3087" s="6" t="s">
        <v>4625</v>
      </c>
      <c r="B3087" s="6" t="str">
        <f>IFERROR(__xludf.DUMMYFUNCTION("GOOGLETRANSLATE(A3087,""en"",""fi"")"),"Kun Magikarp kehittyy Gyaradokseksi, sen aivosolut käyvät läpi rakenteellisen muutoksen. Sanotaan, että tämä muutos on syypää tämän Pokémonin villisti väkivaltaiseen luonteeseen.")</f>
        <v>Kun Magikarp kehittyy Gyaradokseksi, sen aivosolut käyvät läpi rakenteellisen muutoksen. Sanotaan, että tämä muutos on syypää tämän Pokémonin villisti väkivaltaiseen luonteeseen.</v>
      </c>
      <c r="C3087" s="9" t="s">
        <v>1344</v>
      </c>
    </row>
    <row r="3088" ht="33.75" customHeight="1">
      <c r="A3088" s="6" t="s">
        <v>4627</v>
      </c>
      <c r="B3088" s="6" t="str">
        <f>IFERROR(__xludf.DUMMYFUNCTION("GOOGLETRANSLATE(A3088,""en"",""fi"")"),"Kun Gyarados riehuu, sen raivoisa veri ei tyynny ennen kuin se on polttanut kaiken maan tasalle. Tämän Pokémonin riehumisista on tietoa, jotka ovat kestäneet kokonaisen kuukauden.")</f>
        <v>Kun Gyarados riehuu, sen raivoisa veri ei tyynny ennen kuin se on polttanut kaiken maan tasalle. Tämän Pokémonin riehumisista on tietoa, jotka ovat kestäneet kokonaisen kuukauden.</v>
      </c>
      <c r="C3088" s="9" t="s">
        <v>1344</v>
      </c>
    </row>
    <row r="3089" ht="33.75" customHeight="1">
      <c r="A3089" s="6" t="s">
        <v>4629</v>
      </c>
      <c r="B3089" s="6" t="str">
        <f>IFERROR(__xludf.DUMMYFUNCTION("GOOGLETRANSLATE(A3089,""en"",""fi"")"),"Kertomus kertoo kaupungista, joka suututti Gyaradosin. Ennen auringonnousua seuraavana päivänä liekit tuhosivat kaupungin täysin jättämättä jälkeään.")</f>
        <v>Kertomus kertoo kaupungista, joka suututti Gyaradosin. Ennen auringonnousua seuraavana päivänä liekit tuhosivat kaupungin täysin jättämättä jälkeään.</v>
      </c>
      <c r="C3089" s="9" t="s">
        <v>1344</v>
      </c>
    </row>
    <row r="3090" ht="33.75" customHeight="1">
      <c r="A3090" s="6" t="s">
        <v>4631</v>
      </c>
      <c r="B3090" s="6" t="str">
        <f>IFERROR(__xludf.DUMMYFUNCTION("GOOGLETRANSLATE(A3090,""en"",""fi"")"),"Jotkut vannovat, että kaikki Gyaradosin ilmestymispaikat ovat tuhon omaisia.")</f>
        <v>Jotkut vannovat, että kaikki Gyaradosin ilmestymispaikat ovat tuhon omaisia.</v>
      </c>
      <c r="C3090" s="9" t="s">
        <v>1344</v>
      </c>
    </row>
    <row r="3091" ht="33.75" customHeight="1">
      <c r="A3091" s="6" t="s">
        <v>4633</v>
      </c>
      <c r="B3091" s="6" t="str">
        <f>IFERROR(__xludf.DUMMYFUNCTION("GOOGLETRANSLATE(A3091,""en"",""fi"")"),"Se ampuu hypersäteitä kaikkiin suuntiin polttaen ympäröivän alueen tuhkaksi. On joitakin alueita, joilla sitä kutsutaan ""tuhon jumaluudeksi"".")</f>
        <v>Se ampuu hypersäteitä kaikkiin suuntiin polttaen ympäröivän alueen tuhkaksi. On joitakin alueita, joilla sitä kutsutaan "tuhon jumaluudeksi".</v>
      </c>
      <c r="C3091" s="9" t="s">
        <v>1344</v>
      </c>
    </row>
    <row r="3092" ht="33.75" customHeight="1">
      <c r="A3092" s="6" t="s">
        <v>4635</v>
      </c>
      <c r="B3092" s="6" t="str">
        <f>IFERROR(__xludf.DUMMYFUNCTION("GOOGLETRANSLATE(A3092,""en"",""fi"")"),"Evoluution energia stimuloi sen aivosoluja voimakkaasti, mikä teki siitä hyvin raivoisan.")</f>
        <v>Evoluution energia stimuloi sen aivosoluja voimakkaasti, mikä teki siitä hyvin raivoisan.</v>
      </c>
      <c r="C3092" s="9" t="s">
        <v>1344</v>
      </c>
    </row>
    <row r="3093" ht="33.75" customHeight="1">
      <c r="A3093" s="6" t="s">
        <v>4636</v>
      </c>
      <c r="B3093" s="6" t="str">
        <f>IFERROR(__xludf.DUMMYFUNCTION("GOOGLETRANSLATE(A3093,""en"",""fi"")"),"Sillä on äärimmäisen aggressiivinen luonne. Sen suusta ampuma hypersäde polttaa kaikki kohteet täysin.")</f>
        <v>Sillä on äärimmäisen aggressiivinen luonne. Sen suusta ampuma hypersäde polttaa kaikki kohteet täysin.</v>
      </c>
      <c r="C3093" s="9" t="s">
        <v>1344</v>
      </c>
    </row>
    <row r="3094" ht="33.75" customHeight="1">
      <c r="A3094" s="6" t="s">
        <v>4638</v>
      </c>
      <c r="B3094" s="6" t="str">
        <f>IFERROR(__xludf.DUMMYFUNCTION("GOOGLETRANSLATE(A3094,""en"",""fi"")"),"Epäilen tämän Pokémonin olevan muinaisissa teksteissä mainitun lohikäärmeen oikea henkilöllisyys. Teksteissä väitetään, että se tuhosi kokonaisen kylän kitansa valkohehkuisilla säteillä.")</f>
        <v>Epäilen tämän Pokémonin olevan muinaisissa teksteissä mainitun lohikäärmeen oikea henkilöllisyys. Teksteissä väitetään, että se tuhosi kokonaisen kylän kitansa valkohehkuisilla säteillä.</v>
      </c>
      <c r="C3094" s="9" t="s">
        <v>1344</v>
      </c>
    </row>
    <row r="3095" ht="33.75" customHeight="1">
      <c r="A3095" s="6" t="s">
        <v>4640</v>
      </c>
      <c r="B3095" s="6" t="str">
        <f>IFERROR(__xludf.DUMMYFUNCTION("GOOGLETRANSLATE(A3095,""en"",""fi"")"),"Pokémon, jota on metsästetty lähes sukupuuttoon. Se voi kuljettaa ihmisiä veden yli.")</f>
        <v>Pokémon, jota on metsästetty lähes sukupuuttoon. Se voi kuljettaa ihmisiä veden yli.</v>
      </c>
      <c r="C3095" s="9" t="s">
        <v>1344</v>
      </c>
    </row>
    <row r="3096" ht="33.75" customHeight="1">
      <c r="A3096" s="6" t="s">
        <v>4642</v>
      </c>
      <c r="B3096" s="6" t="str">
        <f>IFERROR(__xludf.DUMMYFUNCTION("GOOGLETRANSLATE(A3096,""en"",""fi"")"),"Lempeä sielu, joka osaa lukea ihmisten ajatuksia. Se voi kuljettaa ihmisiä meren yli selässään.")</f>
        <v>Lempeä sielu, joka osaa lukea ihmisten ajatuksia. Se voi kuljettaa ihmisiä meren yli selässään.</v>
      </c>
      <c r="C3096" s="9" t="s">
        <v>1344</v>
      </c>
    </row>
    <row r="3097" ht="33.75" customHeight="1">
      <c r="A3097" s="6" t="s">
        <v>4644</v>
      </c>
      <c r="B3097" s="6" t="str">
        <f>IFERROR(__xludf.DUMMYFUNCTION("GOOGLETRANSLATE(A3097,""en"",""fi"")"),"Heillä on lempeät sydämet. Koska he harvoin taistelevat, monet heistä on jäänyt kiinni. Heidän lukumääränsä on vähentynyt.")</f>
        <v>Heillä on lempeät sydämet. Koska he harvoin taistelevat, monet heistä on jäänyt kiinni. Heidän lukumääränsä on vähentynyt.</v>
      </c>
      <c r="C3097" s="9" t="s">
        <v>1344</v>
      </c>
    </row>
    <row r="3098" ht="33.75" customHeight="1">
      <c r="A3098" s="6" t="s">
        <v>4646</v>
      </c>
      <c r="B3098" s="6" t="str">
        <f>IFERROR(__xludf.DUMMYFUNCTION("GOOGLETRANSLATE(A3098,""en"",""fi"")"),"Se kuljettaa ihmisiä meren yli selällään. Se voi laulaa lumoavan huudon, jos se on hyvällä tuulella.")</f>
        <v>Se kuljettaa ihmisiä meren yli selällään. Se voi laulaa lumoavan huudon, jos se on hyvällä tuulella.</v>
      </c>
      <c r="C3098" s="9" t="s">
        <v>1344</v>
      </c>
    </row>
    <row r="3099" ht="33.75" customHeight="1">
      <c r="A3099" s="6" t="s">
        <v>4648</v>
      </c>
      <c r="B3099" s="6" t="str">
        <f>IFERROR(__xludf.DUMMYFUNCTION("GOOGLETRANSLATE(A3099,""en"",""fi"")"),"Tämä lempeä POKéMON rakastaa kyydin antamista ja tarjoaa erittäin mukavan tavan liikkua.")</f>
        <v>Tämä lempeä POKéMON rakastaa kyydin antamista ja tarjoaa erittäin mukavan tavan liikkua.</v>
      </c>
      <c r="C3099" s="9" t="s">
        <v>1344</v>
      </c>
    </row>
    <row r="3100" ht="33.75" customHeight="1">
      <c r="A3100" s="6" t="s">
        <v>4649</v>
      </c>
      <c r="B3100" s="6" t="str">
        <f>IFERROR(__xludf.DUMMYFUNCTION("GOOGLETRANSLATE(A3100,""en"",""fi"")"),"Ihmiset ovat ajaneet LAPRASin lähes sukupuuton partaalle. Iltaisin tämän POKéMONin sanotaan laulavan valittavasti etsiessään sitä, mitä vain harvat lajitoverinsa ovat enää jäljellä.")</f>
        <v>Ihmiset ovat ajaneet LAPRASin lähes sukupuuton partaalle. Iltaisin tämän POKéMONin sanotaan laulavan valittavasti etsiessään sitä, mitä vain harvat lajitoverinsa ovat enää jäljellä.</v>
      </c>
      <c r="C3100" s="9" t="s">
        <v>1344</v>
      </c>
    </row>
    <row r="3101" ht="33.75" customHeight="1">
      <c r="A3101" s="6" t="s">
        <v>4651</v>
      </c>
      <c r="B3101" s="6" t="str">
        <f>IFERROR(__xludf.DUMMYFUNCTION("GOOGLETRANSLATE(A3101,""en"",""fi"")"),"Ihmiset ovat ajaneet LAPRASin lähes sukupuuton partaalle. Iltaisin sen sanotaan laulavan valittavasti etsiessään sitä, mitä harvat lajinsa edustajat ovat enää jäljellä.")</f>
        <v>Ihmiset ovat ajaneet LAPRASin lähes sukupuuton partaalle. Iltaisin sen sanotaan laulavan valittavasti etsiessään sitä, mitä harvat lajinsa edustajat ovat enää jäljellä.</v>
      </c>
      <c r="C3101" s="9" t="s">
        <v>1344</v>
      </c>
    </row>
    <row r="3102" ht="33.75" customHeight="1">
      <c r="A3102" s="6" t="s">
        <v>4653</v>
      </c>
      <c r="B3102" s="6" t="str">
        <f>IFERROR(__xludf.DUMMYFUNCTION("GOOGLETRANSLATE(A3102,""en"",""fi"")"),"Sen korkea älykkyys mahdollistaa ihmispuheen ymmärtämisen. Se kuljettaa mielellään ihmisiä selässään.")</f>
        <v>Sen korkea älykkyys mahdollistaa ihmispuheen ymmärtämisen. Se kuljettaa mielellään ihmisiä selässään.</v>
      </c>
      <c r="C3102" s="9" t="s">
        <v>1344</v>
      </c>
    </row>
    <row r="3103" ht="33.75" customHeight="1">
      <c r="A3103" s="6" t="s">
        <v>4654</v>
      </c>
      <c r="B3103" s="6" t="str">
        <f>IFERROR(__xludf.DUMMYFUNCTION("GOOGLETRANSLATE(A3103,""en"",""fi"")"),"Lähes sukupuuttoon kuollut POKéMON. Se voi kuljettaa ihmisiä selässään.")</f>
        <v>Lähes sukupuuttoon kuollut POKéMON. Se voi kuljettaa ihmisiä selässään.</v>
      </c>
      <c r="C3103" s="9" t="s">
        <v>1344</v>
      </c>
    </row>
    <row r="3104" ht="33.75" customHeight="1">
      <c r="A3104" s="6" t="s">
        <v>4655</v>
      </c>
      <c r="B3104" s="6" t="str">
        <f>IFERROR(__xludf.DUMMYFUNCTION("GOOGLETRANSLATE(A3104,""en"",""fi"")"),"Se rakastaa meren ylittämistä ihmisten ja Pokémonien kanssa selässään. Se ymmärtää ihmispuhetta.")</f>
        <v>Se rakastaa meren ylittämistä ihmisten ja Pokémonien kanssa selässään. Se ymmärtää ihmispuhetta.</v>
      </c>
      <c r="C3104" s="9" t="s">
        <v>1344</v>
      </c>
    </row>
    <row r="3105" ht="33.75" customHeight="1">
      <c r="A3105" s="6" t="s">
        <v>4656</v>
      </c>
      <c r="B3105" s="6" t="str">
        <f>IFERROR(__xludf.DUMMYFUNCTION("GOOGLETRANSLATE(A3105,""en"",""fi"")"),"Heillä on lempeät sydämet. Koska he harvoin taistelevat, monet ovat jääneet kiinni. Heidän määränsä on vähentynyt.")</f>
        <v>Heillä on lempeät sydämet. Koska he harvoin taistelevat, monet ovat jääneet kiinni. Heidän määränsä on vähentynyt.</v>
      </c>
      <c r="C3105" s="9" t="s">
        <v>1344</v>
      </c>
    </row>
    <row r="3106" ht="33.75" customHeight="1">
      <c r="A3106" s="6" t="s">
        <v>4657</v>
      </c>
      <c r="B3106" s="6" t="str">
        <f>IFERROR(__xludf.DUMMYFUNCTION("GOOGLETRANSLATE(A3106,""en"",""fi"")"),"Se pystyy ymmärtämään ihmispuhetta ja on erittäin älykäs, ja rakastaa uida meressä ihmisten selässään.")</f>
        <v>Se pystyy ymmärtämään ihmispuhetta ja on erittäin älykäs, ja rakastaa uida meressä ihmisten selässään.</v>
      </c>
      <c r="C3106" s="9" t="s">
        <v>1344</v>
      </c>
    </row>
    <row r="3107" ht="33.75" customHeight="1">
      <c r="A3107" s="6" t="s">
        <v>4659</v>
      </c>
      <c r="B3107" s="6" t="str">
        <f>IFERROR(__xludf.DUMMYFUNCTION("GOOGLETRANSLATE(A3107,""en"",""fi"")"),"Ihmiset ovat ajaneet Laprasin lähes sukupuuton partaalle. Iltaisin tämän Pokémonin sanotaan laulavan valittavasti etsiessään sitä, mitä harvat lajitoverinsa ovat enää jäljellä.")</f>
        <v>Ihmiset ovat ajaneet Laprasin lähes sukupuuton partaalle. Iltaisin tämän Pokémonin sanotaan laulavan valittavasti etsiessään sitä, mitä harvat lajitoverinsa ovat enää jäljellä.</v>
      </c>
      <c r="C3107" s="9" t="s">
        <v>1344</v>
      </c>
    </row>
    <row r="3108" ht="33.75" customHeight="1">
      <c r="A3108" s="6" t="s">
        <v>4660</v>
      </c>
      <c r="B3108" s="6" t="str">
        <f>IFERROR(__xludf.DUMMYFUNCTION("GOOGLETRANSLATE(A3108,""en"",""fi"")"),"Sen korkea älykkyys mahdollistaa ihmispuheen ymmärtämisen. Hyvällä tuulella se laulaa kauniilla äänellään.")</f>
        <v>Sen korkea älykkyys mahdollistaa ihmispuheen ymmärtämisen. Hyvällä tuulella se laulaa kauniilla äänellään.</v>
      </c>
      <c r="C3108" s="9" t="s">
        <v>1344</v>
      </c>
    </row>
    <row r="3109" ht="33.75" customHeight="1">
      <c r="A3109" s="6" t="s">
        <v>4661</v>
      </c>
      <c r="B3109" s="6" t="str">
        <f>IFERROR(__xludf.DUMMYFUNCTION("GOOGLETRANSLATE(A3109,""en"",""fi"")"),"Nämä Pokémonit olivat aikoinaan sukupuuton partaalla salametsästyksen vuoksi. Suojelumääräysten vuoksi niitä on nyt ylitarjontaa.")</f>
        <v>Nämä Pokémonit olivat aikoinaan sukupuuton partaalla salametsästyksen vuoksi. Suojelumääräysten vuoksi niitä on nyt ylitarjontaa.</v>
      </c>
      <c r="C3109" s="9" t="s">
        <v>1344</v>
      </c>
    </row>
    <row r="3110" ht="33.75" customHeight="1">
      <c r="A3110" s="6" t="s">
        <v>4663</v>
      </c>
      <c r="B3110" s="6" t="str">
        <f>IFERROR(__xludf.DUMMYFUNCTION("GOOGLETRANSLATE(A3110,""en"",""fi"")"),"Se tykkää uida ihmisten selässään. Alolan alueella se on tärkeä kulkuväline vesillä.")</f>
        <v>Se tykkää uida ihmisten selässään. Alolan alueella se on tärkeä kulkuväline vesillä.</v>
      </c>
      <c r="C3110" s="9" t="s">
        <v>1344</v>
      </c>
    </row>
    <row r="3111" ht="33.75" customHeight="1">
      <c r="A3111" s="6" t="s">
        <v>4666</v>
      </c>
      <c r="B3111" s="6" t="str">
        <f>IFERROR(__xludf.DUMMYFUNCTION("GOOGLETRANSLATE(A3111,""en"",""fi"")"),"Niitä on pidetty niin vaalimana, että niitä on nyt ylitarjontaa. Kala-Pokémon-populaatio on vähentynyt vesissä, joissa on liikaa Lapras-pokémoneja.")</f>
        <v>Niitä on pidetty niin vaalimana, että niitä on nyt ylitarjontaa. Kala-Pokémon-populaatio on vähentynyt vesissä, joissa on liikaa Lapras-pokémoneja.</v>
      </c>
      <c r="C3111" s="9" t="s">
        <v>1344</v>
      </c>
    </row>
    <row r="3112" ht="33.75" customHeight="1">
      <c r="A3112" s="6" t="s">
        <v>4668</v>
      </c>
      <c r="B3112" s="6" t="str">
        <f>IFERROR(__xludf.DUMMYFUNCTION("GOOGLETRANSLATE(A3112,""en"",""fi"")"),"Lempeä sielu, joka ymmärtää ihmispuhetta. Se voi kuljettaa ihmisiä meren yli selässään.")</f>
        <v>Lempeä sielu, joka ymmärtää ihmispuhetta. Se voi kuljettaa ihmisiä meren yli selässään.</v>
      </c>
      <c r="C3112" s="9" t="s">
        <v>1344</v>
      </c>
    </row>
    <row r="3113" ht="33.75" customHeight="1">
      <c r="A3113" s="6" t="s">
        <v>4670</v>
      </c>
      <c r="B3113" s="6" t="str">
        <f>IFERROR(__xludf.DUMMYFUNCTION("GOOGLETRANSLATE(A3113,""en"",""fi"")"),"Älykäs ja hyväsydäminen Pokémon liitää meren pinnalla kauniin laulunsa kaikuessa ympärillään.")</f>
        <v>Älykäs ja hyväsydäminen Pokémon liitää meren pinnalla kauniin laulunsa kaikuessa ympärillään.</v>
      </c>
      <c r="C3113" s="9" t="s">
        <v>1344</v>
      </c>
    </row>
    <row r="3114" ht="33.75" customHeight="1">
      <c r="A3114" s="6" t="s">
        <v>4671</v>
      </c>
      <c r="B3114" s="6" t="str">
        <f>IFERROR(__xludf.DUMMYFUNCTION("GOOGLETRANSLATE(A3114,""en"",""fi"")"),"Jäisten merien ylittäminen ei ole ongelma tälle kylmänkestävälle Pokémonille. Sen sileä iho on hieman viileä koskettaa.")</f>
        <v>Jäisten merien ylittäminen ei ole ongelma tälle kylmänkestävälle Pokémonille. Sen sileä iho on hieman viileä koskettaa.</v>
      </c>
      <c r="C3114" s="9" t="s">
        <v>1344</v>
      </c>
    </row>
    <row r="3115" ht="33.75" customHeight="1">
      <c r="A3115" s="6" t="s">
        <v>4674</v>
      </c>
      <c r="B3115" s="6" t="str">
        <f>IFERROR(__xludf.DUMMYFUNCTION("GOOGLETRANSLATE(A3115,""en"",""fi"")"),"Kykenee kopioimaan vihollisen geneettisen koodin ja muuttamaan itsensä välittömästi vihollisen kopioksi.")</f>
        <v>Kykenee kopioimaan vihollisen geneettisen koodin ja muuttamaan itsensä välittömästi vihollisen kopioksi.</v>
      </c>
      <c r="C3115" s="9" t="s">
        <v>1344</v>
      </c>
    </row>
    <row r="3116" ht="33.75" customHeight="1">
      <c r="A3116" s="6" t="s">
        <v>4675</v>
      </c>
      <c r="B3116" s="6" t="str">
        <f>IFERROR(__xludf.DUMMYFUNCTION("GOOGLETRANSLATE(A3116,""en"",""fi"")"),"Kun se havaitsee vihollisen, sen ruumis muuttuu lähes täydelliseksi kopioksi vastustajasta.")</f>
        <v>Kun se havaitsee vihollisen, sen ruumis muuttuu lähes täydelliseksi kopioksi vastustajasta.</v>
      </c>
      <c r="C3116" s="9" t="s">
        <v>1344</v>
      </c>
    </row>
    <row r="3117" ht="33.75" customHeight="1">
      <c r="A3117" s="6" t="s">
        <v>4676</v>
      </c>
      <c r="B3117" s="6" t="str">
        <f>IFERROR(__xludf.DUMMYFUNCTION("GOOGLETRANSLATE(A3117,""en"",""fi"")"),"Se voi muuttua miksi tahansa. Nukkuessaan se muuttuu kiveksi välttääkseen hyökkäyksen.")</f>
        <v>Se voi muuttua miksi tahansa. Nukkuessaan se muuttuu kiveksi välttääkseen hyökkäyksen.</v>
      </c>
      <c r="C3117" s="9" t="s">
        <v>1344</v>
      </c>
    </row>
    <row r="3118" ht="33.75" customHeight="1">
      <c r="A3118" s="6" t="s">
        <v>4677</v>
      </c>
      <c r="B3118" s="6" t="str">
        <f>IFERROR(__xludf.DUMMYFUNCTION("GOOGLETRANSLATE(A3118,""en"",""fi"")"),"Sen muodonmuutoskyky on täydellinen. Jos se kuitenkin naurattaa, se ei pysty säilyttämään naamiotaan.")</f>
        <v>Sen muodonmuutoskyky on täydellinen. Jos se kuitenkin naurattaa, se ei pysty säilyttämään naamiotaan.</v>
      </c>
      <c r="C3118" s="9" t="s">
        <v>1344</v>
      </c>
    </row>
    <row r="3119" ht="33.75" customHeight="1">
      <c r="A3119" s="6" t="s">
        <v>4680</v>
      </c>
      <c r="B3119" s="6" t="str">
        <f>IFERROR(__xludf.DUMMYFUNCTION("GOOGLETRANSLATE(A3119,""en"",""fi"")"),"Kun se kohtaa toisen SAMANLAISEN, se liikkuu normaalia nopeammin kopioidakseen vastustajan täsmälleen.")</f>
        <v>Kun se kohtaa toisen SAMANLAISEN, se liikkuu normaalia nopeammin kopioidakseen vastustajan täsmälleen.</v>
      </c>
      <c r="C3119" s="9" t="s">
        <v>1344</v>
      </c>
    </row>
    <row r="3120" ht="33.75" customHeight="1">
      <c r="A3120" s="6" t="s">
        <v>4683</v>
      </c>
      <c r="B3120" s="6" t="str">
        <f>IFERROR(__xludf.DUMMYFUNCTION("GOOGLETRANSLATE(A3120,""en"",""fi"")"),"DITTO järjestelee solurakennettaan uudelleen muuttaakseen itsensä muihin muotoihin. Jos se kuitenkin yrittää muuttaa itsensä joksikin muistinsa avulla, tämä POKéMON onnistuu erehtymään yksityiskohdissa.")</f>
        <v>DITTO järjestelee solurakennettaan uudelleen muuttaakseen itsensä muihin muotoihin. Jos se kuitenkin yrittää muuttaa itsensä joksikin muistinsa avulla, tämä POKéMON onnistuu erehtymään yksityiskohdissa.</v>
      </c>
      <c r="C3120" s="9" t="s">
        <v>1344</v>
      </c>
    </row>
    <row r="3121" ht="33.75" customHeight="1">
      <c r="A3121" s="6" t="s">
        <v>4685</v>
      </c>
      <c r="B3121" s="6" t="str">
        <f>IFERROR(__xludf.DUMMYFUNCTION("GOOGLETRANSLATE(A3121,""en"",""fi"")"),"DITTO järjestelee solurakennettaan uudelleen muuttaakseen itseään. Jos se kuitenkin yrittää muuttua muistinsa perusteella, se saa virheellisiä tietoja.")</f>
        <v>DITTO järjestelee solurakennettaan uudelleen muuttaakseen itseään. Jos se kuitenkin yrittää muuttua muistinsa perusteella, se saa virheellisiä tietoja.</v>
      </c>
      <c r="C3121" s="9" t="s">
        <v>1344</v>
      </c>
    </row>
    <row r="3122" ht="33.75" customHeight="1">
      <c r="A3122" s="6" t="s">
        <v>4686</v>
      </c>
      <c r="B3122" s="6" t="str">
        <f>IFERROR(__xludf.DUMMYFUNCTION("GOOGLETRANSLATE(A3122,""en"",""fi"")"),"Se voi vapaasti yhdistää oman solurakenteensa uudelleen muuntuakseen muiksi elämänmuodoiksi.")</f>
        <v>Se voi vapaasti yhdistää oman solurakenteensa uudelleen muuntuakseen muiksi elämänmuodoiksi.</v>
      </c>
      <c r="C3122" s="9" t="s">
        <v>1344</v>
      </c>
    </row>
    <row r="3123" ht="33.75" customHeight="1">
      <c r="A3123" s="6" t="s">
        <v>4688</v>
      </c>
      <c r="B3123" s="6" t="str">
        <f>IFERROR(__xludf.DUMMYFUNCTION("GOOGLETRANSLATE(A3123,""en"",""fi"")"),"Kykenee kopioimaan vastustajan geneettisen koodin ja muuttamaan itsensä välittömästi vihollisen kopioksi.")</f>
        <v>Kykenee kopioimaan vastustajan geneettisen koodin ja muuttamaan itsensä välittömästi vihollisen kopioksi.</v>
      </c>
      <c r="C3123" s="9" t="s">
        <v>1344</v>
      </c>
    </row>
    <row r="3124" ht="33.75" customHeight="1">
      <c r="A3124" s="6" t="s">
        <v>4690</v>
      </c>
      <c r="B3124" s="6" t="str">
        <f>IFERROR(__xludf.DUMMYFUNCTION("GOOGLETRANSLATE(A3124,""en"",""fi"")"),"Sillä on kyky rakentaa koko solurakenteensa uudelleen ja muuttua siksi, mitä se näkee.")</f>
        <v>Sillä on kyky rakentaa koko solurakenteensa uudelleen ja muuttua siksi, mitä se näkee.</v>
      </c>
      <c r="C3124" s="9" t="s">
        <v>1344</v>
      </c>
    </row>
    <row r="3125" ht="33.75" customHeight="1">
      <c r="A3125" s="6" t="s">
        <v>4692</v>
      </c>
      <c r="B3125" s="6" t="str">
        <f>IFERROR(__xludf.DUMMYFUNCTION("GOOGLETRANSLATE(A3125,""en"",""fi"")"),"Sen muodonmuutoskyky on täydellinen. Jos se kuitenkin naurattaa, se ei pysty säilyttämään naamiotaan.")</f>
        <v>Sen muodonmuutoskyky on täydellinen. Jos se kuitenkin naurattaa, se ei pysty säilyttämään naamiotaan.</v>
      </c>
      <c r="C3125" s="9" t="s">
        <v>1344</v>
      </c>
    </row>
    <row r="3126" ht="33.75" customHeight="1">
      <c r="A3126" s="6" t="s">
        <v>4694</v>
      </c>
      <c r="B3126" s="6" t="str">
        <f>IFERROR(__xludf.DUMMYFUNCTION("GOOGLETRANSLATE(A3126,""en"",""fi"")"),"Se voi rakentaa koko solurakenteensa uudelleen ja muuttua näkemäkseen, mutta se palautuu normaaliksi rentoutuessaan.")</f>
        <v>Se voi rakentaa koko solurakenteensa uudelleen ja muuttua näkemäkseen, mutta se palautuu normaaliksi rentoutuessaan.</v>
      </c>
      <c r="C3126" s="9" t="s">
        <v>1344</v>
      </c>
    </row>
    <row r="3127" ht="33.75" customHeight="1">
      <c r="A3127" s="6" t="s">
        <v>4695</v>
      </c>
      <c r="B3127" s="6" t="str">
        <f>IFERROR(__xludf.DUMMYFUNCTION("GOOGLETRANSLATE(A3127,""en"",""fi"")"),"Se voi vapaasti rekombinoida omaa solurakennettaan muuntuakseen muiksi elämänmuodoiksi.")</f>
        <v>Se voi vapaasti rekombinoida omaa solurakennettaan muuntuakseen muiksi elämänmuodoiksi.</v>
      </c>
      <c r="C3127" s="9" t="s">
        <v>1344</v>
      </c>
    </row>
    <row r="3128" ht="33.75" customHeight="1">
      <c r="A3128" s="6" t="s">
        <v>4697</v>
      </c>
      <c r="B3128" s="6" t="str">
        <f>IFERROR(__xludf.DUMMYFUNCTION("GOOGLETRANSLATE(A3128,""en"",""fi"")"),"Ditto järjestelee solurakennettaan uudelleen muuttaakseen itsensä muihin muotoihin. Jos se kuitenkin yrittää muuttaa itsensä joksikin muistinsa avulla, tämä Pokémon onnistuu erehtymään yksityiskohdissa.")</f>
        <v>Ditto järjestelee solurakennettaan uudelleen muuttaakseen itsensä muihin muotoihin. Jos se kuitenkin yrittää muuttaa itsensä joksikin muistinsa avulla, tämä Pokémon onnistuu erehtymään yksityiskohdissa.</v>
      </c>
      <c r="C3128" s="9" t="s">
        <v>1344</v>
      </c>
    </row>
    <row r="3129" ht="33.75" customHeight="1">
      <c r="A3129" s="6" t="s">
        <v>4699</v>
      </c>
      <c r="B3129" s="6" t="str">
        <f>IFERROR(__xludf.DUMMYFUNCTION("GOOGLETRANSLATE(A3129,""en"",""fi"")"),"Se voi järjestää solunsa uudelleen ja tehdä itsestään kopion kaikesta näkemästään. Kopion laatu riippuu yksilöstä.")</f>
        <v>Se voi järjestää solunsa uudelleen ja tehdä itsestään kopion kaikesta näkemästään. Kopion laatu riippuu yksilöstä.</v>
      </c>
      <c r="C3129" s="9" t="s">
        <v>1344</v>
      </c>
    </row>
    <row r="3130" ht="33.75" customHeight="1">
      <c r="A3130" s="6" t="s">
        <v>4701</v>
      </c>
      <c r="B3130" s="6" t="str">
        <f>IFERROR(__xludf.DUMMYFUNCTION("GOOGLETRANSLATE(A3130,""en"",""fi"")"),"Hämmästyttävän muodonmuutoskykynsä ansiosta se tulee toimeen minkä tahansa kanssa. Se ei tule hyvin toimeen Ditto-toverinsa kanssa.")</f>
        <v>Hämmästyttävän muodonmuutoskykynsä ansiosta se tulee toimeen minkä tahansa kanssa. Se ei tule hyvin toimeen Ditto-toverinsa kanssa.</v>
      </c>
      <c r="C3130" s="9" t="s">
        <v>1344</v>
      </c>
    </row>
    <row r="3131" ht="33.75" customHeight="1">
      <c r="A3131" s="6" t="s">
        <v>4702</v>
      </c>
      <c r="B3131" s="6" t="str">
        <f>IFERROR(__xludf.DUMMYFUNCTION("GOOGLETRANSLATE(A3131,""en"",""fi"")"),"Vaikka se voi muuttua miksi tahansa, jokaisella Ditolla on ilmeisesti omat vahvuutensa ja heikkoutensa muuntautumisten suhteen.")</f>
        <v>Vaikka se voi muuttua miksi tahansa, jokaisella Ditolla on ilmeisesti omat vahvuutensa ja heikkoutensa muuntautumisten suhteen.</v>
      </c>
      <c r="C3131" s="9" t="s">
        <v>1344</v>
      </c>
    </row>
    <row r="3132" ht="33.75" customHeight="1">
      <c r="A3132" s="6" t="s">
        <v>4705</v>
      </c>
      <c r="B3132" s="6" t="str">
        <f>IFERROR(__xludf.DUMMYFUNCTION("GOOGLETRANSLATE(A3132,""en"",""fi"")"),"Se muuttuu miksi tahansa näkemäkseen. Jos asia, joksi se muuttuu, ei ole aivan sen edessä, Ditto luottaa muistiinsa – joten joskus se epäonnistuu.")</f>
        <v>Se muuttuu miksi tahansa näkemäkseen. Jos asia, joksi se muuttuu, ei ole aivan sen edessä, Ditto luottaa muistiinsa – joten joskus se epäonnistuu.</v>
      </c>
      <c r="C3132" s="9" t="s">
        <v>1344</v>
      </c>
    </row>
    <row r="3133" ht="33.75" customHeight="1">
      <c r="A3133" s="6" t="s">
        <v>4707</v>
      </c>
      <c r="B3133" s="6" t="str">
        <f>IFERROR(__xludf.DUMMYFUNCTION("GOOGLETRANSLATE(A3133,""en"",""fi"")"),"Kun se havaitsee vihollisen, sen ruumis muuttuu lähes täydelliseksi kopioksi vastustajasta.")</f>
        <v>Kun se havaitsee vihollisen, sen ruumis muuttuu lähes täydelliseksi kopioksi vastustajasta.</v>
      </c>
      <c r="C3133" s="9" t="s">
        <v>1344</v>
      </c>
    </row>
    <row r="3134" ht="33.75" customHeight="1">
      <c r="A3134" s="6" t="s">
        <v>4709</v>
      </c>
      <c r="B3134" s="6" t="str">
        <f>IFERROR(__xludf.DUMMYFUNCTION("GOOGLETRANSLATE(A3134,""en"",""fi"")"),"Kun se kohtaa toisen Ditton, se liikkuu normaalia nopeammin kopioidakseen vastustajan täsmälleen.")</f>
        <v>Kun se kohtaa toisen Ditton, se liikkuu normaalia nopeammin kopioidakseen vastustajan täsmälleen.</v>
      </c>
      <c r="C3134" s="9" t="s">
        <v>1344</v>
      </c>
    </row>
    <row r="3135" ht="33.75" customHeight="1">
      <c r="A3135" s="6" t="s">
        <v>4710</v>
      </c>
      <c r="B3135" s="6" t="str">
        <f>IFERROR(__xludf.DUMMYFUNCTION("GOOGLETRANSLATE(A3135,""en"",""fi"")"),"Sen geneettinen koodi on epäsäännöllinen. Se voi mutatoitua, jos se altistuu alkuaineiden STONE säteilylle.")</f>
        <v>Sen geneettinen koodi on epäsäännöllinen. Se voi mutatoitua, jos se altistuu alkuaineiden STONE säteilylle.</v>
      </c>
      <c r="C3135" s="9" t="s">
        <v>1344</v>
      </c>
    </row>
    <row r="3136" ht="33.75" customHeight="1">
      <c r="A3136" s="6" t="s">
        <v>4712</v>
      </c>
      <c r="B3136" s="6" t="str">
        <f>IFERROR(__xludf.DUMMYFUNCTION("GOOGLETRANSLATE(A3136,""en"",""fi"")"),"Sen geneettinen koodi on epävakaa, joten se voi kehittyä monin eri tavoin. Niitä on elossa vain muutama.")</f>
        <v>Sen geneettinen koodi on epävakaa, joten se voi kehittyä monin eri tavoin. Niitä on elossa vain muutama.</v>
      </c>
      <c r="C3136" s="9" t="s">
        <v>1344</v>
      </c>
    </row>
    <row r="3137" ht="33.75" customHeight="1">
      <c r="A3137" s="6" t="s">
        <v>4713</v>
      </c>
      <c r="B3137" s="6" t="str">
        <f>IFERROR(__xludf.DUMMYFUNCTION("GOOGLETRANSLATE(A3137,""en"",""fi"")"),"Sillä on kyky muuttaa kehonsa koostumusta ympäristöönsä sopivaksi.")</f>
        <v>Sillä on kyky muuttaa kehonsa koostumusta ympäristöönsä sopivaksi.</v>
      </c>
      <c r="C3137" s="9" t="s">
        <v>1344</v>
      </c>
    </row>
    <row r="3138" ht="33.75" customHeight="1">
      <c r="A3138" s="6" t="s">
        <v>4714</v>
      </c>
      <c r="B3138" s="6" t="str">
        <f>IFERROR(__xludf.DUMMYFUNCTION("GOOGLETRANSLATE(A3138,""en"",""fi"")"),"Sen epäsäännöllisesti muodostuneeseen DNA:han vaikuttaa sen ympäristö. Se kehittyy, jos sen ympäristö muuttuu.")</f>
        <v>Sen epäsäännöllisesti muodostuneeseen DNA:han vaikuttaa sen ympäristö. Se kehittyy, jos sen ympäristö muuttuu.</v>
      </c>
      <c r="C3138" s="9" t="s">
        <v>1344</v>
      </c>
    </row>
    <row r="3139" ht="33.75" customHeight="1">
      <c r="A3139" s="6" t="s">
        <v>4715</v>
      </c>
      <c r="B3139" s="6" t="str">
        <f>IFERROR(__xludf.DUMMYFUNCTION("GOOGLETRANSLATE(A3139,""en"",""fi"")"),"Sen kyky kehittyä moniin eri muotoihin mahdollistaa sen sopeutumisen sujuvasti ja täydellisesti mihin tahansa ympäristöön.")</f>
        <v>Sen kyky kehittyä moniin eri muotoihin mahdollistaa sen sopeutumisen sujuvasti ja täydellisesti mihin tahansa ympäristöön.</v>
      </c>
      <c r="C3139" s="9" t="s">
        <v>1344</v>
      </c>
    </row>
    <row r="3140" ht="33.75" customHeight="1">
      <c r="A3140" s="6" t="s">
        <v>4716</v>
      </c>
      <c r="B3140" s="6" t="str">
        <f>IFERROR(__xludf.DUMMYFUNCTION("GOOGLETRANSLATE(A3140,""en"",""fi"")"),"EEVEE:llä on epävakaa geneettinen koostumus, joka mutatoituu äkillisesti elinympäristön vuoksi. Erilaisten KIVEIDEN säteily saa tämän POKéMONin kehittymään.")</f>
        <v>EEVEE:llä on epävakaa geneettinen koostumus, joka mutatoituu äkillisesti elinympäristön vuoksi. Erilaisten KIVEIDEN säteily saa tämän POKéMONin kehittymään.</v>
      </c>
      <c r="C3140" s="9" t="s">
        <v>1344</v>
      </c>
    </row>
    <row r="3141" ht="33.75" customHeight="1">
      <c r="A3141" s="6" t="s">
        <v>4718</v>
      </c>
      <c r="B3141" s="6" t="str">
        <f>IFERROR(__xludf.DUMMYFUNCTION("GOOGLETRANSLATE(A3141,""en"",""fi"")"),"EEVEE:llä on epävakaa geneettinen koostumus, joka mutatoituu äkillisesti ympäristön vuoksi. Erilaisten KIVEIDEN säteily saa tämän POKéMONin kehittymään.")</f>
        <v>EEVEE:llä on epävakaa geneettinen koostumus, joka mutatoituu äkillisesti ympäristön vuoksi. Erilaisten KIVEIDEN säteily saa tämän POKéMONin kehittymään.</v>
      </c>
      <c r="C3141" s="9" t="s">
        <v>1344</v>
      </c>
    </row>
    <row r="3142" ht="33.75" customHeight="1">
      <c r="A3142" s="6" t="s">
        <v>4719</v>
      </c>
      <c r="B3142" s="6" t="str">
        <f>IFERROR(__xludf.DUMMYFUNCTION("GOOGLETRANSLATE(A3142,""en"",""fi"")"),"Erittäin harvinainen POKéMON, joka voi kehittyä monella eri tavalla ärsykkeistä riippuen.")</f>
        <v>Erittäin harvinainen POKéMON, joka voi kehittyä monella eri tavalla ärsykkeistä riippuen.</v>
      </c>
      <c r="C3142" s="9" t="s">
        <v>1344</v>
      </c>
    </row>
    <row r="3143" ht="33.75" customHeight="1">
      <c r="A3143" s="6" t="s">
        <v>4720</v>
      </c>
      <c r="B3143" s="6" t="str">
        <f>IFERROR(__xludf.DUMMYFUNCTION("GOOGLETRANSLATE(A3143,""en"",""fi"")"),"Sen geneettinen koodi on epäsäännöllinen. Se voi mutatoitua, jos se altistuu KIVET-elementin säteilylle.")</f>
        <v>Sen geneettinen koodi on epäsäännöllinen. Se voi mutatoitua, jos se altistuu KIVET-elementin säteilylle.</v>
      </c>
      <c r="C3143" s="9" t="s">
        <v>1344</v>
      </c>
    </row>
    <row r="3144" ht="33.75" customHeight="1">
      <c r="A3144" s="6" t="s">
        <v>4722</v>
      </c>
      <c r="B3144" s="6" t="str">
        <f>IFERROR(__xludf.DUMMYFUNCTION("GOOGLETRANSLATE(A3144,""en"",""fi"")"),"Harvinainen Pokémon, joka sopeutuu ankariin ympäristöihin ottamalla erilaisia ​​evolutiivisia muotoja.")</f>
        <v>Harvinainen Pokémon, joka sopeutuu ankariin ympäristöihin ottamalla erilaisia ​​evolutiivisia muotoja.</v>
      </c>
      <c r="C3144" s="9" t="s">
        <v>1344</v>
      </c>
    </row>
    <row r="3145" ht="33.75" customHeight="1">
      <c r="A3145" s="6" t="s">
        <v>4724</v>
      </c>
      <c r="B3145" s="6" t="str">
        <f>IFERROR(__xludf.DUMMYFUNCTION("GOOGLETRANSLATE(A3145,""en"",""fi"")"),"Koska sen geneettinen koostumus on epäsäännöllinen, se muuttaa muotoaan nopeasti useista syistä johtuen.")</f>
        <v>Koska sen geneettinen koostumus on epäsäännöllinen, se muuttaa muotoaan nopeasti useista syistä johtuen.</v>
      </c>
      <c r="C3145" s="9" t="s">
        <v>1344</v>
      </c>
    </row>
    <row r="3146" ht="33.75" customHeight="1">
      <c r="A3146" s="6" t="s">
        <v>4727</v>
      </c>
      <c r="B3146" s="6" t="str">
        <f>IFERROR(__xludf.DUMMYFUNCTION("GOOGLETRANSLATE(A3146,""en"",""fi"")"),"Sillä on kyky muuttaa kehonsa koostumusta ympäristönsä olosuhteisiin sopivaksi.")</f>
        <v>Sillä on kyky muuttaa kehonsa koostumusta ympäristönsä olosuhteisiin sopivaksi.</v>
      </c>
      <c r="C3146" s="9" t="s">
        <v>1344</v>
      </c>
    </row>
    <row r="3147" ht="33.75" customHeight="1">
      <c r="A3147" s="6" t="s">
        <v>4729</v>
      </c>
      <c r="B3147" s="6" t="str">
        <f>IFERROR(__xludf.DUMMYFUNCTION("GOOGLETRANSLATE(A3147,""en"",""fi"")"),"Sen epäsäännöllisesti muodostuneeseen DNA:han vaikuttaa sen ympäristö. Se kehittyy, jos sen ympäristö muuttuu.")</f>
        <v>Sen epäsäännöllisesti muodostuneeseen DNA:han vaikuttaa sen ympäristö. Se kehittyy, jos sen ympäristö muuttuu.</v>
      </c>
      <c r="C3147" s="9" t="s">
        <v>1344</v>
      </c>
    </row>
    <row r="3148" ht="33.75" customHeight="1">
      <c r="A3148" s="6" t="s">
        <v>4730</v>
      </c>
      <c r="B3148" s="6" t="str">
        <f>IFERROR(__xludf.DUMMYFUNCTION("GOOGLETRANSLATE(A3148,""en"",""fi"")"),"Epävakaan geneettisen koostumuksensa ansiosta tämä erityinen Pokémon kätkee sisäänsä monia erilaisia ​​​​mahdollisuuksia evoluutiossa.")</f>
        <v>Epävakaan geneettisen koostumuksensa ansiosta tämä erityinen Pokémon kätkee sisäänsä monia erilaisia ​​​​mahdollisuuksia evoluutiossa.</v>
      </c>
      <c r="C3148" s="9" t="s">
        <v>1344</v>
      </c>
    </row>
    <row r="3149" ht="33.75" customHeight="1">
      <c r="A3149" s="6" t="s">
        <v>4732</v>
      </c>
      <c r="B3149" s="6" t="str">
        <f>IFERROR(__xludf.DUMMYFUNCTION("GOOGLETRANSLATE(A3149,""en"",""fi"")"),"Eeveellä on epävakaa geneettinen koostumus, joka mutatoituu äkillisesti elinympäristön vuoksi. Erilaisten kivien säteily saa tämän Pokémonin kehittymään.")</f>
        <v>Eeveellä on epävakaa geneettinen koostumus, joka mutatoituu äkillisesti elinympäristön vuoksi. Erilaisten kivien säteily saa tämän Pokémonin kehittymään.</v>
      </c>
      <c r="C3149" s="9" t="s">
        <v>1344</v>
      </c>
    </row>
    <row r="3150" ht="33.75" customHeight="1">
      <c r="A3150" s="6" t="s">
        <v>4733</v>
      </c>
      <c r="B3150" s="6" t="str">
        <f>IFERROR(__xludf.DUMMYFUNCTION("GOOGLETRANSLATE(A3150,""en"",""fi"")"),"Epätasapainoisen ja epävakaan geneettisen koostumuksensa ansiosta se kätkee sisäänsä monia mahdollisia evoluutioita.")</f>
        <v>Epätasapainoisen ja epävakaan geneettisen koostumuksensa ansiosta se kätkee sisäänsä monia mahdollisia evoluutioita.</v>
      </c>
      <c r="C3150" s="9" t="s">
        <v>1344</v>
      </c>
    </row>
    <row r="3151" ht="33.75" customHeight="1">
      <c r="A3151" s="6" t="s">
        <v>4736</v>
      </c>
      <c r="B3151" s="6" t="str">
        <f>IFERROR(__xludf.DUMMYFUNCTION("GOOGLETRANSLATE(A3151,""en"",""fi"")"),"Nykytutkimukset osoittavat, että se voi kehittyä uskomattomaksi kahdeksaksi eri Pokémon-lajiksi.")</f>
        <v>Nykytutkimukset osoittavat, että se voi kehittyä uskomattomaksi kahdeksaksi eri Pokémon-lajiksi.</v>
      </c>
      <c r="C3151" s="9" t="s">
        <v>1344</v>
      </c>
    </row>
    <row r="3152" ht="33.75" customHeight="1">
      <c r="A3152" s="6" t="s">
        <v>4738</v>
      </c>
      <c r="B3152" s="6" t="str">
        <f>IFERROR(__xludf.DUMMYFUNCTION("GOOGLETRANSLATE(A3152,""en"",""fi"")"),"Kysymys siitä, miksi vain Eeveellä on niin epävakaat geenit, on edelleen ratkaisematta.")</f>
        <v>Kysymys siitä, miksi vain Eeveellä on niin epävakaat geenit, on edelleen ratkaisematta.</v>
      </c>
      <c r="C3152" s="9" t="s">
        <v>1344</v>
      </c>
    </row>
    <row r="3153" ht="33.75" customHeight="1">
      <c r="A3153" s="6" t="s">
        <v>4741</v>
      </c>
      <c r="B3153" s="6" t="str">
        <f>IFERROR(__xludf.DUMMYFUNCTION("GOOGLETRANSLATE(A3153,""en"",""fi"")"),"Ympäristö vaikuttaa helposti sen geeneihin. Jopa sen kasvot alkavat näyttää kouluttajansa kasvoilta.")</f>
        <v>Ympäristö vaikuttaa helposti sen geeneihin. Jopa sen kasvot alkavat näyttää kouluttajansa kasvoilta.</v>
      </c>
      <c r="C3153" s="9" t="s">
        <v>1344</v>
      </c>
    </row>
    <row r="3154" ht="33.75" customHeight="1">
      <c r="A3154" s="6" t="s">
        <v>4742</v>
      </c>
      <c r="B3154" s="6" t="str">
        <f>IFERROR(__xludf.DUMMYFUNCTION("GOOGLETRANSLATE(A3154,""en"",""fi"")"),"Se voi kehittyä monenlaisiksi. Eeveen geenit ovat avain Pokémonien evoluution mysteerien ratkaisemiseen.")</f>
        <v>Se voi kehittyä monenlaisiksi. Eeveen geenit ovat avain Pokémonien evoluution mysteerien ratkaisemiseen.</v>
      </c>
      <c r="C3154" s="9" t="s">
        <v>1344</v>
      </c>
    </row>
    <row r="3155" ht="33.75" customHeight="1">
      <c r="A3155" s="6" t="s">
        <v>4745</v>
      </c>
      <c r="B3155" s="6" t="str">
        <f>IFERROR(__xludf.DUMMYFUNCTION("GOOGLETRANSLATE(A3155,""en"",""fi"")"),"Sisältää potentiaalin kehittyä moniin eri muotoihin. Eeveessä piilee avain Pokémonin evoluution mysteereihin – olen siitä varma.")</f>
        <v>Sisältää potentiaalin kehittyä moniin eri muotoihin. Eeveessä piilee avain Pokémonin evoluution mysteereihin – olen siitä varma.</v>
      </c>
      <c r="C3155" s="9" t="s">
        <v>1344</v>
      </c>
    </row>
    <row r="3156" ht="33.75" customHeight="1">
      <c r="A3156" s="6" t="s">
        <v>4746</v>
      </c>
      <c r="B3156" s="6" t="str">
        <f>IFERROR(__xludf.DUMMYFUNCTION("GOOGLETRANSLATE(A3156,""en"",""fi"")"),"Asuu veden lähellä. Sen pitkässä pyrstössä on harjanne ja evä, jota usein luullaan merenneidon eväksi.")</f>
        <v>Asuu veden lähellä. Sen pitkässä pyrstössä on harjanne ja evä, jota usein luullaan merenneidon eväksi.</v>
      </c>
      <c r="C3156" s="9" t="s">
        <v>1344</v>
      </c>
    </row>
    <row r="3157" ht="33.75" customHeight="1">
      <c r="A3157" s="6" t="s">
        <v>4748</v>
      </c>
      <c r="B3157" s="6" t="str">
        <f>IFERROR(__xludf.DUMMYFUNCTION("GOOGLETRANSLATE(A3157,""en"",""fi"")"),"Sen solurakenne on samanlainen kuin vesimolekyylien. Se sulaa pois ja muuttuu näkymättömäksi vedessä.")</f>
        <v>Sen solurakenne on samanlainen kuin vesimolekyylien. Se sulaa pois ja muuttuu näkymättömäksi vedessä.</v>
      </c>
      <c r="C3157" s="9" t="s">
        <v>1344</v>
      </c>
    </row>
    <row r="3158" ht="33.75" customHeight="1">
      <c r="A3158" s="6" t="s">
        <v>4750</v>
      </c>
      <c r="B3158" s="6" t="str">
        <f>IFERROR(__xludf.DUMMYFUNCTION("GOOGLETRANSLATE(A3158,""en"",""fi"")"),"Kun VAPOREONin evät alkavat värähdellä, se on merkki siitä, että sadetta tulee muutaman tunnin kuluessa.")</f>
        <v>Kun VAPOREONin evät alkavat värähdellä, se on merkki siitä, että sadetta tulee muutaman tunnin kuluessa.</v>
      </c>
      <c r="C3158" s="9" t="s">
        <v>1344</v>
      </c>
    </row>
    <row r="3159" ht="33.75" customHeight="1">
      <c r="A3159" s="6" t="s">
        <v>4752</v>
      </c>
      <c r="B3159" s="6" t="str">
        <f>IFERROR(__xludf.DUMMYFUNCTION("GOOGLETRANSLATE(A3159,""en"",""fi"")"),"Se viihtyy kauniissa rannoissa. Koska sen solut ovat vesimolekyylien kaltaisia, se voisi sulaa vedessä.")</f>
        <v>Se viihtyy kauniissa rannoissa. Koska sen solut ovat vesimolekyylien kaltaisia, se voisi sulaa vedessä.</v>
      </c>
      <c r="C3159" s="9" t="s">
        <v>1344</v>
      </c>
    </row>
    <row r="3160" ht="33.75" customHeight="1">
      <c r="A3160" s="6" t="s">
        <v>4753</v>
      </c>
      <c r="B3160" s="6" t="str">
        <f>IFERROR(__xludf.DUMMYFUNCTION("GOOGLETRANSLATE(A3160,""en"",""fi"")"),"Koska se käyttää uintiin pyrstönsä kärjessä olevia eviä, se sulautuu veteen täydellisesti.")</f>
        <v>Koska se käyttää uintiin pyrstönsä kärjessä olevia eviä, se sulautuu veteen täydellisesti.</v>
      </c>
      <c r="C3160" s="9" t="s">
        <v>1344</v>
      </c>
    </row>
    <row r="3161" ht="33.75" customHeight="1">
      <c r="A3161" s="6" t="s">
        <v>4755</v>
      </c>
      <c r="B3161" s="6" t="str">
        <f>IFERROR(__xludf.DUMMYFUNCTION("GOOGLETRANSLATE(A3161,""en"",""fi"")"),"VAPOREON koki spontaanin mutaation ja kasvatti evät ja kidukset, jotka mahdollistavat sen elämän veden alla. Tällä POKéMONilla on kyky hallita vettä vapaasti.")</f>
        <v>VAPOREON koki spontaanin mutaation ja kasvatti evät ja kidukset, jotka mahdollistavat sen elämän veden alla. Tällä POKéMONilla on kyky hallita vettä vapaasti.</v>
      </c>
      <c r="C3161" s="9" t="s">
        <v>1344</v>
      </c>
    </row>
    <row r="3162" ht="33.75" customHeight="1">
      <c r="A3162" s="6" t="s">
        <v>4756</v>
      </c>
      <c r="B3162" s="6" t="str">
        <f>IFERROR(__xludf.DUMMYFUNCTION("GOOGLETRANSLATE(A3162,""en"",""fi"")"),"VAPOREONit kokivat spontaanin mutaation ja kasvattivat evät ja kidukset, jotka mahdollistavat niiden elämän veden alla. Niillä on kyky hallita vettä vapaasti.")</f>
        <v>VAPOREONit kokivat spontaanin mutaation ja kasvattivat evät ja kidukset, jotka mahdollistavat niiden elämän veden alla. Niillä on kyky hallita vettä vapaasti.</v>
      </c>
      <c r="C3162" s="9" t="s">
        <v>1344</v>
      </c>
    </row>
    <row r="3163" ht="33.75" customHeight="1">
      <c r="A3163" s="6" t="s">
        <v>4757</v>
      </c>
      <c r="B3163" s="6" t="str">
        <f>IFERROR(__xludf.DUMMYFUNCTION("GOOGLETRANSLATE(A3163,""en"",""fi"")"),"Sen kehon solurakenne on samanlainen kuin veden molekyylikoostumus. Se voi sulaa näkymättömästi veteen.")</f>
        <v>Sen kehon solurakenne on samanlainen kuin veden molekyylikoostumus. Se voi sulaa näkymättömästi veteen.</v>
      </c>
      <c r="C3163" s="9" t="s">
        <v>1344</v>
      </c>
    </row>
    <row r="3164" ht="33.75" customHeight="1">
      <c r="A3164" s="6" t="s">
        <v>4758</v>
      </c>
      <c r="B3164" s="6" t="str">
        <f>IFERROR(__xludf.DUMMYFUNCTION("GOOGLETRANSLATE(A3164,""en"",""fi"")"),"Asuu veden lähellä. Sen pitkässä pyrstössä on harjanne ja evä, jota usein luullaan merenneidon eväksi.")</f>
        <v>Asuu veden lähellä. Sen pitkässä pyrstössä on harjanne ja evä, jota usein luullaan merenneidon eväksi.</v>
      </c>
      <c r="C3164" s="9" t="s">
        <v>1344</v>
      </c>
    </row>
    <row r="3165" ht="33.75" customHeight="1">
      <c r="A3165" s="6" t="s">
        <v>4759</v>
      </c>
      <c r="B3165" s="6" t="str">
        <f>IFERROR(__xludf.DUMMYFUNCTION("GOOGLETRANSLATE(A3165,""en"",""fi"")"),"Se on kehittynyt sopivaksi vesieliöille. Se voi sulaa näkymättömästi veteen.")</f>
        <v>Se on kehittynyt sopivaksi vesieliöille. Se voi sulaa näkymättömästi veteen.</v>
      </c>
      <c r="C3165" s="9" t="s">
        <v>1344</v>
      </c>
    </row>
    <row r="3166" ht="33.75" customHeight="1">
      <c r="A3166" s="6" t="s">
        <v>4761</v>
      </c>
      <c r="B3166" s="6" t="str">
        <f>IFERROR(__xludf.DUMMYFUNCTION("GOOGLETRANSLATE(A3166,""en"",""fi"")"),"Sen solukoostumus on samanlainen kuin vesimolekyylien. Tämän seurauksena se voi sulaa vedeksi.")</f>
        <v>Sen solukoostumus on samanlainen kuin vesimolekyylien. Tämän seurauksena se voi sulaa vedeksi.</v>
      </c>
      <c r="C3166" s="9" t="s">
        <v>1344</v>
      </c>
    </row>
    <row r="3167" ht="33.75" customHeight="1">
      <c r="A3167" s="6" t="s">
        <v>4762</v>
      </c>
      <c r="B3167" s="6" t="str">
        <f>IFERROR(__xludf.DUMMYFUNCTION("GOOGLETRANSLATE(A3167,""en"",""fi"")"),"Kun VAPOREONin evät alkavat värähdellä, se on merkki siitä, että sadetta tulee muutaman tunnin kuluessa.")</f>
        <v>Kun VAPOREONin evät alkavat värähdellä, se on merkki siitä, että sadetta tulee muutaman tunnin kuluessa.</v>
      </c>
      <c r="C3167" s="9" t="s">
        <v>1344</v>
      </c>
    </row>
    <row r="3168" ht="33.75" customHeight="1">
      <c r="A3168" s="6" t="s">
        <v>4764</v>
      </c>
      <c r="B3168" s="6" t="str">
        <f>IFERROR(__xludf.DUMMYFUNCTION("GOOGLETRANSLATE(A3168,""en"",""fi"")"),"Se viihtyy kauniissa rannoissa. Koska sen solut ovat vesimolekyylien kaltaisia, se voisi sulaa vedessä.")</f>
        <v>Se viihtyy kauniissa rannoissa. Koska sen solut ovat vesimolekyylien kaltaisia, se voisi sulaa vedessä.</v>
      </c>
      <c r="C3168" s="9" t="s">
        <v>1344</v>
      </c>
    </row>
    <row r="3169" ht="33.75" customHeight="1">
      <c r="A3169" s="6" t="s">
        <v>4765</v>
      </c>
      <c r="B3169" s="6" t="str">
        <f>IFERROR(__xludf.DUMMYFUNCTION("GOOGLETRANSLATE(A3169,""en"",""fi"")"),"Sen solukoostumus on samanlainen kuin vesimolekyylien. Tämän seurauksena sitä ei voida nähdä, kun se sulaa vedeksi.")</f>
        <v>Sen solukoostumus on samanlainen kuin vesimolekyylien. Tämän seurauksena sitä ei voida nähdä, kun se sulaa vedeksi.</v>
      </c>
      <c r="C3169" s="9" t="s">
        <v>1344</v>
      </c>
    </row>
    <row r="3170" ht="33.75" customHeight="1">
      <c r="A3170" s="6" t="s">
        <v>4767</v>
      </c>
      <c r="B3170" s="6" t="str">
        <f>IFERROR(__xludf.DUMMYFUNCTION("GOOGLETRANSLATE(A3170,""en"",""fi"")"),"Vaporeonille tapahtui spontaanisti mutaatio, ja sille kasvoi evät ja kidukset, joiden avulla se voi elää veden alla. Tällä Pokémonilla on kyky hallita vettä vapaasti.")</f>
        <v>Vaporeonille tapahtui spontaanisti mutaatio, ja sille kasvoi evät ja kidukset, joiden avulla se voi elää veden alla. Tällä Pokémonilla on kyky hallita vettä vapaasti.</v>
      </c>
      <c r="C3170" s="9" t="s">
        <v>1344</v>
      </c>
    </row>
    <row r="3171" ht="33.75" customHeight="1">
      <c r="A3171" s="6" t="s">
        <v>4768</v>
      </c>
      <c r="B3171" s="6" t="str">
        <f>IFERROR(__xludf.DUMMYFUNCTION("GOOGLETRANSLATE(A3171,""en"",""fi"")"),"Sen solut koostuvat vesimolekyylien kaltaisista yksiköistä. Se elää veden lähellä ja sitä usein luullaan merenneidoksi.")</f>
        <v>Sen solut koostuvat vesimolekyylien kaltaisista yksiköistä. Se elää veden lähellä ja sitä usein luullaan merenneidoksi.</v>
      </c>
      <c r="C3171" s="9" t="s">
        <v>1344</v>
      </c>
    </row>
    <row r="3172" ht="33.75" customHeight="1">
      <c r="A3172" s="6" t="s">
        <v>4770</v>
      </c>
      <c r="B3172" s="6" t="str">
        <f>IFERROR(__xludf.DUMMYFUNCTION("GOOGLETRANSLATE(A3172,""en"",""fi"")"),"Se sulautuu veteen ja pyyhkii pois kaikki merkit läsnäolostaan ​​odottaen kärsivällisesti saalistaan, kala-Pokémonia.")</f>
        <v>Se sulautuu veteen ja pyyhkii pois kaikki merkit läsnäolostaan ​​odottaen kärsivällisesti saalistaan, kala-Pokémonia.</v>
      </c>
      <c r="C3172" s="9" t="s">
        <v>1344</v>
      </c>
    </row>
    <row r="3173" ht="33.75" customHeight="1">
      <c r="A3173" s="6" t="s">
        <v>4773</v>
      </c>
      <c r="B3173" s="6" t="str">
        <f>IFERROR(__xludf.DUMMYFUNCTION("GOOGLETRANSLATE(A3173,""en"",""fi"")"),"Kirkkaat ja puhtaat vedet ovat sen tavanomainen elinympäristö. Kun se on vihollisen hyökkäyksen uhan alla, se sukeltaa veteen piiloon.")</f>
        <v>Kirkkaat ja puhtaat vedet ovat sen tavanomainen elinympäristö. Kun se on vihollisen hyökkäyksen uhan alla, se sukeltaa veteen piiloon.</v>
      </c>
      <c r="C3173" s="9" t="s">
        <v>1344</v>
      </c>
    </row>
    <row r="3174" ht="33.75" customHeight="1">
      <c r="A3174" s="6" t="s">
        <v>4777</v>
      </c>
      <c r="B3174" s="6" t="str">
        <f>IFERROR(__xludf.DUMMYFUNCTION("GOOGLETRANSLATE(A3174,""en"",""fi"")"),"Se havaitsee lähellä olevan kosteuden evällään. Kun sen evä alkaa täristä nopeasti, se tarkoittaa, että muutaman tunnin kuluttua sataa.")</f>
        <v>Se havaitsee lähellä olevan kosteuden evällään. Kun sen evä alkaa täristä nopeasti, se tarkoittaa, että muutaman tunnin kuluttua sataa.</v>
      </c>
      <c r="C3174" s="9" t="s">
        <v>1344</v>
      </c>
    </row>
    <row r="3175" ht="33.75" customHeight="1">
      <c r="A3175" s="6" t="s">
        <v>4779</v>
      </c>
      <c r="B3175" s="6" t="str">
        <f>IFERROR(__xludf.DUMMYFUNCTION("GOOGLETRANSLATE(A3175,""en"",""fi"")"),"Sen solurakenne on samanlainen kuin vesimolekyylien. Se sulaa veteen ja muuttuu näkymättömäksi.")</f>
        <v>Sen solurakenne on samanlainen kuin vesimolekyylien. Se sulaa veteen ja muuttuu näkymättömäksi.</v>
      </c>
      <c r="C3175" s="9" t="s">
        <v>1344</v>
      </c>
    </row>
    <row r="3176" ht="33.75" customHeight="1">
      <c r="A3176" s="6" t="s">
        <v>4781</v>
      </c>
      <c r="B3176" s="6" t="str">
        <f>IFERROR(__xludf.DUMMYFUNCTION("GOOGLETRANSLATE(A3176,""en"",""fi"")"),"Kun Vaporeonin evät alkavat värähdellä, se on merkki siitä, että sadetta tulee muutaman tunnin kuluessa.")</f>
        <v>Kun Vaporeonin evät alkavat värähdellä, se on merkki siitä, että sadetta tulee muutaman tunnin kuluessa.</v>
      </c>
      <c r="C3176" s="9" t="s">
        <v>1344</v>
      </c>
    </row>
    <row r="3177" ht="33.75" customHeight="1">
      <c r="A3177" s="6" t="s">
        <v>4783</v>
      </c>
      <c r="B3177" s="6" t="str">
        <f>IFERROR(__xludf.DUMMYFUNCTION("GOOGLETRANSLATE(A3177,""en"",""fi"")"),"Testit osoittavat, että sen solut muistuttavat läheisesti vesimolekyylejä, mikä kenties selittää sen kyvyn kätkeä muotonsa veden alla. Uskon, että merenneitoperinteen alkuperä on tässä Pokémonissa.")</f>
        <v>Testit osoittavat, että sen solut muistuttavat läheisesti vesimolekyylejä, mikä kenties selittää sen kyvyn kätkeä muotonsa veden alla. Uskon, että merenneitoperinteen alkuperä on tässä Pokémonissa.</v>
      </c>
      <c r="C3177" s="9" t="s">
        <v>1344</v>
      </c>
    </row>
    <row r="3178" ht="33.75" customHeight="1">
      <c r="A3178" s="6" t="s">
        <v>4786</v>
      </c>
      <c r="B3178" s="6" t="str">
        <f>IFERROR(__xludf.DUMMYFUNCTION("GOOGLETRANSLATE(A3178,""en"",""fi"")"),"Se kerää ilmakehään negatiivisia ioneja, jotka voivat laukaista 10 000 voltin salamoita.")</f>
        <v>Se kerää ilmakehään negatiivisia ioneja, jotka voivat laukaista 10 000 voltin salamoita.</v>
      </c>
      <c r="C3178" s="9" t="s">
        <v>1344</v>
      </c>
    </row>
    <row r="3179" ht="33.75" customHeight="1">
      <c r="A3179" s="6" t="s">
        <v>4787</v>
      </c>
      <c r="B3179" s="6" t="str">
        <f>IFERROR(__xludf.DUMMYFUNCTION("GOOGLETRANSLATE(A3179,""en"",""fi"")"),"Herkkä POKé MON, joka helposti surullistuu tai suuttuu. Joka kerta, kun sen mieliala muuttuu, se latautuu.")</f>
        <v>Herkkä POKé MON, joka helposti surullistuu tai suuttuu. Joka kerta, kun sen mieliala muuttuu, se latautuu.</v>
      </c>
      <c r="C3179" s="9" t="s">
        <v>1344</v>
      </c>
    </row>
    <row r="3180" ht="33.75" customHeight="1">
      <c r="A3180" s="6" t="s">
        <v>4789</v>
      </c>
      <c r="B3180" s="6" t="str">
        <f>IFERROR(__xludf.DUMMYFUNCTION("GOOGLETRANSLATE(A3180,""en"",""fi"")"),"Se keskittää kennojensa lähettämät heikot sähkövaraukset ja laukaisee voimakkaita salamoita.")</f>
        <v>Se keskittää kennojensa lähettämät heikot sähkövaraukset ja laukaisee voimakkaita salamoita.</v>
      </c>
      <c r="C3180" s="9" t="s">
        <v>1344</v>
      </c>
    </row>
    <row r="3181" ht="33.75" customHeight="1">
      <c r="A3181" s="6" t="s">
        <v>4791</v>
      </c>
      <c r="B3181" s="6" t="str">
        <f>IFERROR(__xludf.DUMMYFUNCTION("GOOGLETRANSLATE(A3181,""en"",""fi"")"),"Jokainen sen kehon karva nousee pystyyn, jos siihen tulee sähkövaraus.")</f>
        <v>Jokainen sen kehon karva nousee pystyyn, jos siihen tulee sähkövaraus.</v>
      </c>
      <c r="C3181" s="9" t="s">
        <v>1344</v>
      </c>
    </row>
    <row r="3182" ht="33.75" customHeight="1">
      <c r="A3182" s="6" t="s">
        <v>4793</v>
      </c>
      <c r="B3182" s="6" t="str">
        <f>IFERROR(__xludf.DUMMYFUNCTION("GOOGLETRANSLATE(A3182,""en"",""fi"")"),"Sen turkissa syntyvät negatiivisesti varautuneet ionit aiheuttavat jatkuvaa kipinöintiääntä.")</f>
        <v>Sen turkissa syntyvät negatiivisesti varautuneet ionit aiheuttavat jatkuvaa kipinöintiääntä.</v>
      </c>
      <c r="C3182" s="9" t="s">
        <v>1344</v>
      </c>
    </row>
    <row r="3183" ht="33.75" customHeight="1">
      <c r="A3183" s="6" t="s">
        <v>4794</v>
      </c>
      <c r="B3183" s="6" t="str">
        <f>IFERROR(__xludf.DUMMYFUNCTION("GOOGLETRANSLATE(A3183,""en"",""fi"")"),"JOLTEONin kennot tuottavat vähän sähköä. Tätä tehoa vahvistaa sen turkin staattinen sähkö, minkä ansiosta POKéMON voi pudottaa salamoja. Harjaksinen turkki on tehty sähköisesti varautuneista neuloista.")</f>
        <v>JOLTEONin kennot tuottavat vähän sähköä. Tätä tehoa vahvistaa sen turkin staattinen sähkö, minkä ansiosta POKéMON voi pudottaa salamoja. Harjaksinen turkki on tehty sähköisesti varautuneista neuloista.</v>
      </c>
      <c r="C3183" s="9" t="s">
        <v>1344</v>
      </c>
    </row>
    <row r="3184" ht="33.75" customHeight="1">
      <c r="A3184" s="6" t="s">
        <v>4796</v>
      </c>
      <c r="B3184" s="6" t="str">
        <f>IFERROR(__xludf.DUMMYFUNCTION("GOOGLETRANSLATE(A3184,""en"",""fi"")"),"Sen solut tuottavat heikkoa virtaa, jota sen turkin staattinen sähkö vahvistaa ja joka saa aikaan salamaiskuja. Harjaksinen turkki on tehty sähköisesti varautuneista neuloista.")</f>
        <v>Sen solut tuottavat heikkoa virtaa, jota sen turkin staattinen sähkö vahvistaa ja joka saa aikaan salamaiskuja. Harjaksinen turkki on tehty sähköisesti varautuneista neuloista.</v>
      </c>
      <c r="C3184" s="9" t="s">
        <v>1344</v>
      </c>
    </row>
    <row r="3185" ht="33.75" customHeight="1">
      <c r="A3185" s="6" t="s">
        <v>4797</v>
      </c>
      <c r="B3185" s="6" t="str">
        <f>IFERROR(__xludf.DUMMYFUNCTION("GOOGLETRANSLATE(A3185,""en"",""fi"")"),"Jos se on vihainen tai säikähtänyt, sen turkki nousee pystyyn kuin terävät neulat, jotka lävistävät vihollisia.")</f>
        <v>Jos se on vihainen tai säikähtänyt, sen turkki nousee pystyyn kuin terävät neulat, jotka lävistävät vihollisia.</v>
      </c>
      <c r="C3185" s="9" t="s">
        <v>1344</v>
      </c>
    </row>
    <row r="3186" ht="33.75" customHeight="1">
      <c r="A3186" s="6" t="s">
        <v>4798</v>
      </c>
      <c r="B3186" s="6" t="str">
        <f>IFERROR(__xludf.DUMMYFUNCTION("GOOGLETRANSLATE(A3186,""en"",""fi"")"),"Se kerää ilmakehään negatiivisia ioneja, jotka laukaisevat 10 000 voltin salamoita.")</f>
        <v>Se kerää ilmakehään negatiivisia ioneja, jotka laukaisevat 10 000 voltin salamoita.</v>
      </c>
      <c r="C3186" s="9" t="s">
        <v>1344</v>
      </c>
    </row>
    <row r="3187" ht="33.75" customHeight="1">
      <c r="A3187" s="6" t="s">
        <v>4799</v>
      </c>
      <c r="B3187" s="6" t="str">
        <f>IFERROR(__xludf.DUMMYFUNCTION("GOOGLETRANSLATE(A3187,""en"",""fi"")"),"Se ohjaa 10 000 voltin tehoa ja voi nostaa kaikki ruumiinsa karvat kuin teräviä neuloja.")</f>
        <v>Se ohjaa 10 000 voltin tehoa ja voi nostaa kaikki ruumiinsa karvat kuin teräviä neuloja.</v>
      </c>
      <c r="C3187" s="9" t="s">
        <v>1344</v>
      </c>
    </row>
    <row r="3188" ht="33.75" customHeight="1">
      <c r="A3188" s="6" t="s">
        <v>4800</v>
      </c>
      <c r="B3188" s="6" t="str">
        <f>IFERROR(__xludf.DUMMYFUNCTION("GOOGLETRANSLATE(A3188,""en"",""fi"")"),"Jos se on levoton, se käyttää sähköä suoristaakseen turkkinsa ja laukaistakseen sen pieninä nippuina.")</f>
        <v>Jos se on levoton, se käyttää sähköä suoristaakseen turkkinsa ja laukaistakseen sen pieninä nippuina.</v>
      </c>
      <c r="C3188" s="9" t="s">
        <v>1344</v>
      </c>
    </row>
    <row r="3189" ht="33.75" customHeight="1">
      <c r="A3189" s="6" t="s">
        <v>4801</v>
      </c>
      <c r="B3189" s="6" t="str">
        <f>IFERROR(__xludf.DUMMYFUNCTION("GOOGLETRANSLATE(A3189,""en"",""fi"")"),"Varastoimalla sähköä kehoonsa se voi ampua harjasmaista turkkiaan kuin ohjussarven.")</f>
        <v>Varastoimalla sähköä kehoonsa se voi ampua harjasmaista turkkiaan kuin ohjussarven.</v>
      </c>
      <c r="C3189" s="9" t="s">
        <v>1344</v>
      </c>
    </row>
    <row r="3190" ht="33.75" customHeight="1">
      <c r="A3190" s="6" t="s">
        <v>4802</v>
      </c>
      <c r="B3190" s="6" t="str">
        <f>IFERROR(__xludf.DUMMYFUNCTION("GOOGLETRANSLATE(A3190,""en"",""fi"")"),"Jolteonin solut tuottavat vähän sähköä. Tätä tehoa vahvistaa sen turkin staattinen sähkö, minkä ansiosta Pokémon voi pudottaa salamoja. Harjaksinen turkki on tehty sähköisesti varautuneista neuloista.")</f>
        <v>Jolteonin solut tuottavat vähän sähköä. Tätä tehoa vahvistaa sen turkin staattinen sähkö, minkä ansiosta Pokémon voi pudottaa salamoja. Harjaksinen turkki on tehty sähköisesti varautuneista neuloista.</v>
      </c>
      <c r="C3190" s="9" t="s">
        <v>1344</v>
      </c>
    </row>
    <row r="3191" ht="33.75" customHeight="1">
      <c r="A3191" s="6" t="s">
        <v>4804</v>
      </c>
      <c r="B3191" s="6" t="str">
        <f>IFERROR(__xludf.DUMMYFUNCTION("GOOGLETRANSLATE(A3191,""en"",""fi"")"),"Ne lähettävät noin 10 000 voltin sähkövarauksia. Koska ne ovat erittäin jännitteisiä, niiden lähellä voi olla vaikea kasvaa.")</f>
        <v>Ne lähettävät noin 10 000 voltin sähkövarauksia. Koska ne ovat erittäin jännitteisiä, niiden lähellä voi olla vaikea kasvaa.</v>
      </c>
      <c r="C3191" s="9" t="s">
        <v>1344</v>
      </c>
    </row>
    <row r="3192" ht="33.75" customHeight="1">
      <c r="A3192" s="6" t="s">
        <v>4806</v>
      </c>
      <c r="B3192" s="6" t="str">
        <f>IFERROR(__xludf.DUMMYFUNCTION("GOOGLETRANSLATE(A3192,""en"",""fi"")"),"Kun sen turkki nousee pystyyn, se on merkki siitä, että se on päästämässä sähköiskun. Ole varovainen, sillä joskus salama iskee myös sen viereen.")</f>
        <v>Kun sen turkki nousee pystyyn, se on merkki siitä, että se on päästämässä sähköiskun. Ole varovainen, sillä joskus salama iskee myös sen viereen.</v>
      </c>
      <c r="C3192" s="9" t="s">
        <v>1344</v>
      </c>
    </row>
    <row r="3193" ht="33.75" customHeight="1">
      <c r="A3193" s="6" t="s">
        <v>4807</v>
      </c>
      <c r="B3193" s="6" t="str">
        <f>IFERROR(__xludf.DUMMYFUNCTION("GOOGLETRANSLATE(A3193,""en"",""fi"")"),"Sen keuhkoissa on elin, joka tuottaa sähköä. Sähkön rätinää voi kuulla sen uloshengityksessä.")</f>
        <v>Sen keuhkoissa on elin, joka tuottaa sähköä. Sähkön rätinää voi kuulla sen uloshengityksessä.</v>
      </c>
      <c r="C3193" s="9" t="s">
        <v>1344</v>
      </c>
    </row>
    <row r="3194" ht="33.75" customHeight="1">
      <c r="A3194" s="6" t="s">
        <v>4808</v>
      </c>
      <c r="B3194" s="6" t="str">
        <f>IFERROR(__xludf.DUMMYFUNCTION("GOOGLETRANSLATE(A3194,""en"",""fi"")"),"Sen turkki nousee pystyyn ja muuttuu neulojen kaltaiseksi, joita se ampuu vihollisia kohti. Kun ne ovat heikentyneet, se viimeistelee ne 10 000 voltin sähköiskulla.")</f>
        <v>Sen turkki nousee pystyyn ja muuttuu neulojen kaltaiseksi, joita se ampuu vihollisia kohti. Kun ne ovat heikentyneet, se viimeistelee ne 10 000 voltin sähköiskulla.</v>
      </c>
      <c r="C3194" s="9" t="s">
        <v>1344</v>
      </c>
    </row>
    <row r="3195" ht="33.75" customHeight="1">
      <c r="A3195" s="6" t="s">
        <v>4809</v>
      </c>
      <c r="B3195" s="6" t="str">
        <f>IFERROR(__xludf.DUMMYFUNCTION("GOOGLETRANSLATE(A3195,""en"",""fi"")"),"Herkkä Pokémon, joka helposti sureutuu tai suuttuu. Joka kerta, kun sen mieliala muuttuu, se latautuu voimalla.")</f>
        <v>Herkkä Pokémon, joka helposti sureutuu tai suuttuu. Joka kerta, kun sen mieliala muuttuu, se latautuu voimalla.</v>
      </c>
      <c r="C3195" s="9" t="s">
        <v>1344</v>
      </c>
    </row>
    <row r="3196" ht="33.75" customHeight="1">
      <c r="A3196" s="6" t="s">
        <v>4811</v>
      </c>
      <c r="B3196" s="6" t="str">
        <f>IFERROR(__xludf.DUMMYFUNCTION("GOOGLETRANSLATE(A3196,""en"",""fi"")"),"Raivostuneena se harjaa turkkinsa teräviksi, neulanmuotoisiksi harjaksiksi. Sen hengityksessä voi kuulla sähkön rätinää uloshengittäessä.")</f>
        <v>Raivostuneena se harjaa turkkinsa teräviksi, neulanmuotoisiksi harjaksiksi. Sen hengityksessä voi kuulla sähkön rätinää uloshengittäessä.</v>
      </c>
      <c r="C3196" s="9" t="s">
        <v>1344</v>
      </c>
    </row>
    <row r="3197" ht="33.75" customHeight="1">
      <c r="A3197" s="6" t="s">
        <v>4812</v>
      </c>
      <c r="B3197" s="6" t="str">
        <f>IFERROR(__xludf.DUMMYFUNCTION("GOOGLETRANSLATE(A3197,""en"",""fi"")"),"Kun se varastoi lämpöenergiaa kehoonsa, sen lämpötila voi nousta yli 1600 asteeseen.")</f>
        <v>Kun se varastoi lämpöenergiaa kehoonsa, sen lämpötila voi nousta yli 1600 asteeseen.</v>
      </c>
      <c r="C3197" s="9" t="s">
        <v>1344</v>
      </c>
    </row>
    <row r="3198" ht="33.75" customHeight="1">
      <c r="A3198" s="6" t="s">
        <v>4814</v>
      </c>
      <c r="B3198" s="6" t="str">
        <f>IFERROR(__xludf.DUMMYFUNCTION("GOOGLETRANSLATE(A3198,""en"",""fi"")"),"Sen ruumiissa on liekkikammio. Se hengittää sisään ja puhaltaa sitten ulos yli 1 000 celsiusasteen tulen.")</f>
        <v>Sen ruumiissa on liekkikammio. Se hengittää sisään ja puhaltaa sitten ulos yli 1 000 celsiusasteen tulen.</v>
      </c>
      <c r="C3198" s="9" t="s">
        <v>1344</v>
      </c>
    </row>
    <row r="3199" ht="33.75" customHeight="1">
      <c r="A3199" s="6" t="s">
        <v>4816</v>
      </c>
      <c r="B3199" s="6" t="str">
        <f>IFERROR(__xludf.DUMMYFUNCTION("GOOGLETRANSLATE(A3199,""en"",""fi"")"),"Se varastoi osan hengittämästään ilmasta sisäiseen liekkipussiinsa, joka lämmittää sen yli 3 000 asteeseen.")</f>
        <v>Se varastoi osan hengittämästään ilmasta sisäiseen liekkipussiinsa, joka lämmittää sen yli 3 000 asteeseen.</v>
      </c>
      <c r="C3199" s="9" t="s">
        <v>1344</v>
      </c>
    </row>
    <row r="3200" ht="33.75" customHeight="1">
      <c r="A3200" s="6" t="s">
        <v>4817</v>
      </c>
      <c r="B3200" s="6" t="str">
        <f>IFERROR(__xludf.DUMMYFUNCTION("GOOGLETRANSLATE(A3200,""en"",""fi"")"),"Se pöyhii turkiskaulustaan ​​​​viilentääkseen ruumiinlämpöään, joka voi nousta 1 650 asteeseen.")</f>
        <v>Se pöyhii turkiskaulustaan ​​​​viilentääkseen ruumiinlämpöään, joka voi nousta 1 650 asteeseen.</v>
      </c>
      <c r="C3200" s="9" t="s">
        <v>1344</v>
      </c>
    </row>
    <row r="3201" ht="33.75" customHeight="1">
      <c r="A3201" s="6" t="s">
        <v>4819</v>
      </c>
      <c r="B3201" s="6" t="str">
        <f>IFERROR(__xludf.DUMMYFUNCTION("GOOGLETRANSLATE(A3201,""en"",""fi"")"),"Kun se on varastoinut tarpeeksi lämpöä, tämän POKéMONin ruumiinlämpötila voi nousta jopa 1700 asteeseen.")</f>
        <v>Kun se on varastoinut tarpeeksi lämpöä, tämän POKéMONin ruumiinlämpötila voi nousta jopa 1700 asteeseen.</v>
      </c>
      <c r="C3201" s="9" t="s">
        <v>1344</v>
      </c>
    </row>
    <row r="3202" ht="33.75" customHeight="1">
      <c r="A3202" s="6" t="s">
        <v>4820</v>
      </c>
      <c r="B3202" s="6" t="str">
        <f>IFERROR(__xludf.DUMMYFUNCTION("GOOGLETRANSLATE(A3202,""en"",""fi"")"),"FLAREONin pörröisellä turkilla on toiminnallinen tarkoitus – se vapauttaa lämpöä ilmaan, jotta sen ruumis ei kuumene liikaa. Tämän POKéMONin ruumiinlämpötila voi nousta enintään 1 650 Fahrenheit-asteeseen.")</f>
        <v>FLAREONin pörröisellä turkilla on toiminnallinen tarkoitus – se vapauttaa lämpöä ilmaan, jotta sen ruumis ei kuumene liikaa. Tämän POKéMONin ruumiinlämpötila voi nousta enintään 1 650 Fahrenheit-asteeseen.</v>
      </c>
      <c r="C3202" s="9" t="s">
        <v>1344</v>
      </c>
    </row>
    <row r="3203" ht="33.75" customHeight="1">
      <c r="A3203" s="6" t="s">
        <v>4821</v>
      </c>
      <c r="B3203" s="6" t="str">
        <f>IFERROR(__xludf.DUMMYFUNCTION("GOOGLETRANSLATE(A3203,""en"",""fi"")"),"FLAREONin pörröinen turkki vapauttaa lämpöä ilmaan, jotta sen ruumis ei kuumene liikaa. Sen ruumiinlämpötila voi nousta korkeintaan 1 650 Fahrenheit-asteeseen.")</f>
        <v>FLAREONin pörröinen turkki vapauttaa lämpöä ilmaan, jotta sen ruumis ei kuumene liikaa. Sen ruumiinlämpötila voi nousta korkeintaan 1 650 Fahrenheit-asteeseen.</v>
      </c>
      <c r="C3203" s="9" t="s">
        <v>1344</v>
      </c>
    </row>
    <row r="3204" ht="33.75" customHeight="1">
      <c r="A3204" s="6" t="s">
        <v>4823</v>
      </c>
      <c r="B3204" s="6" t="str">
        <f>IFERROR(__xludf.DUMMYFUNCTION("GOOGLETRANSLATE(A3204,""en"",""fi"")"),"Sen ruumiissa on liekkipussi. Syvän sisäänhengityksen jälkeen se puhaltaa ulos lähes 1 000 celsiusasteen liekit.")</f>
        <v>Sen ruumiissa on liekkipussi. Syvän sisäänhengityksen jälkeen se puhaltaa ulos lähes 1 000 celsiusasteen liekit.</v>
      </c>
      <c r="C3204" s="9" t="s">
        <v>1344</v>
      </c>
    </row>
    <row r="3205" ht="33.75" customHeight="1">
      <c r="A3205" s="6" t="s">
        <v>4825</v>
      </c>
      <c r="B3205" s="6" t="str">
        <f>IFERROR(__xludf.DUMMYFUNCTION("GOOGLETRANSLATE(A3205,""en"",""fi"")"),"Kun se varastoi lämpöenergiaa kehoonsa, sen lämpötila voi nousta yli 1 600 celsiusasteeseen.")</f>
        <v>Kun se varastoi lämpöenergiaa kehoonsa, sen lämpötila voi nousta yli 1 600 celsiusasteeseen.</v>
      </c>
      <c r="C3205" s="9" t="s">
        <v>1344</v>
      </c>
    </row>
    <row r="3206" ht="33.75" customHeight="1">
      <c r="A3206" s="6" t="s">
        <v>4829</v>
      </c>
      <c r="B3206" s="6" t="str">
        <f>IFERROR(__xludf.DUMMYFUNCTION("GOOGLETRANSLATE(A3206,""en"",""fi"")"),"Sen ruumiissa on liekkipussi. Sen ruumiinlämpötila nousee ennen taistelua 1 650 Fahrenheit-asteeseen.")</f>
        <v>Sen ruumiissa on liekkipussi. Sen ruumiinlämpötila nousee ennen taistelua 1 650 Fahrenheit-asteeseen.</v>
      </c>
      <c r="C3206" s="9" t="s">
        <v>1344</v>
      </c>
    </row>
    <row r="3207" ht="33.75" customHeight="1">
      <c r="A3207" s="6" t="s">
        <v>4830</v>
      </c>
      <c r="B3207" s="6" t="str">
        <f>IFERROR(__xludf.DUMMYFUNCTION("GOOGLETRANSLATE(A3207,""en"",""fi"")"),"Hengitetty ilma kuumennetaan sen kehon liekkipussissa yli 3 000 Fahrenheit-asteeseen.")</f>
        <v>Hengitetty ilma kuumennetaan sen kehon liekkipussissa yli 3 000 Fahrenheit-asteeseen.</v>
      </c>
      <c r="C3207" s="9" t="s">
        <v>1344</v>
      </c>
    </row>
    <row r="3208" ht="33.75" customHeight="1">
      <c r="A3208" s="6" t="s">
        <v>4832</v>
      </c>
      <c r="B3208" s="6" t="str">
        <f>IFERROR(__xludf.DUMMYFUNCTION("GOOGLETRANSLATE(A3208,""en"",""fi"")"),"Se varastoi osan hengittämästään ilmasta sisäiseen liekkipussiinsa, joka lämmittää sen yli 3 000 celsiusasteeseen.")</f>
        <v>Se varastoi osan hengittämästään ilmasta sisäiseen liekkipussiinsa, joka lämmittää sen yli 3 000 celsiusasteeseen.</v>
      </c>
      <c r="C3208" s="9" t="s">
        <v>1344</v>
      </c>
    </row>
    <row r="3209" ht="33.75" customHeight="1">
      <c r="A3209" s="6" t="s">
        <v>4834</v>
      </c>
      <c r="B3209" s="6" t="str">
        <f>IFERROR(__xludf.DUMMYFUNCTION("GOOGLETRANSLATE(A3209,""en"",""fi"")"),"Se pöyhii turkiskaulustaan ​​​​viilentääkseen ruumiinlämpöään, joka voi nousta 1 650 celsiusasteeseen.")</f>
        <v>Se pöyhii turkiskaulustaan ​​​​viilentääkseen ruumiinlämpöään, joka voi nousta 1 650 celsiusasteeseen.</v>
      </c>
      <c r="C3209" s="9" t="s">
        <v>1344</v>
      </c>
    </row>
    <row r="3210" ht="33.75" customHeight="1">
      <c r="A3210" s="6" t="s">
        <v>4836</v>
      </c>
      <c r="B3210" s="6" t="str">
        <f>IFERROR(__xludf.DUMMYFUNCTION("GOOGLETRANSLATE(A3210,""en"",""fi"")"),"Sisäänhengitetty ilma kuljetetaan liekkipussiinsa, lämmitetään ja uloshengitetään yli 3 000 Fahrenheit-astetta lämpötilaan nousevana tulena.")</f>
        <v>Sisäänhengitetty ilma kuljetetaan liekkipussiinsa, lämmitetään ja uloshengitetään yli 3 000 Fahrenheit-astetta lämpötilaan nousevana tulena.</v>
      </c>
      <c r="C3210" s="9" t="s">
        <v>1344</v>
      </c>
    </row>
    <row r="3211" ht="33.75" customHeight="1">
      <c r="A3211" s="6" t="s">
        <v>4839</v>
      </c>
      <c r="B3211" s="6" t="str">
        <f>IFERROR(__xludf.DUMMYFUNCTION("GOOGLETRANSLATE(A3211,""en"",""fi"")"),"Sen ruumiissa on liekkipussi. Syvän sisäänhengityksen jälkeen se puhaltaa ulos lähes 1 000 celsiusasteen liekit.")</f>
        <v>Sen ruumiissa on liekkipussi. Syvän sisäänhengityksen jälkeen se puhaltaa ulos lähes 1 000 celsiusasteen liekit.</v>
      </c>
      <c r="C3211" s="9" t="s">
        <v>1344</v>
      </c>
    </row>
    <row r="3212" ht="33.75" customHeight="1">
      <c r="A3212" s="6" t="s">
        <v>4840</v>
      </c>
      <c r="B3212" s="6" t="str">
        <f>IFERROR(__xludf.DUMMYFUNCTION("GOOGLETRANSLATE(A3212,""en"",""fi"")"),"Flareonin pörröisellä turkilla on toiminnallinen tarkoitus – se vapauttaa lämpöä ilmaan, jotta sen ruumis ei kuumene liikaa. Tämän Pokémonin ruumiinlämpötila voi nousta korkeintaan 1 650 Fahrenheit-asteeseen.")</f>
        <v>Flareonin pörröisellä turkilla on toiminnallinen tarkoitus – se vapauttaa lämpöä ilmaan, jotta sen ruumis ei kuumene liikaa. Tämän Pokémonin ruumiinlämpötila voi nousta korkeintaan 1 650 Fahrenheit-asteeseen.</v>
      </c>
      <c r="C3212" s="9" t="s">
        <v>1344</v>
      </c>
    </row>
    <row r="3213" ht="33.75" customHeight="1">
      <c r="A3213" s="6" t="s">
        <v>4842</v>
      </c>
      <c r="B3213" s="6" t="str">
        <f>IFERROR(__xludf.DUMMYFUNCTION("GOOGLETRANSLATE(A3213,""en"",""fi"")"),"Kun se saa saaliin tai löytää marjoja, se sylkee niihin tulta, kunnes ne ovat kypsiä, ja sitten se hotkaisee ne.")</f>
        <v>Kun se saa saaliin tai löytää marjoja, se sylkee niihin tulta, kunnes ne ovat kypsiä, ja sitten se hotkaisee ne.</v>
      </c>
      <c r="C3213" s="9" t="s">
        <v>1344</v>
      </c>
    </row>
    <row r="3214" ht="33.75" customHeight="1">
      <c r="A3214" s="6" t="s">
        <v>4845</v>
      </c>
      <c r="B3214" s="6" t="str">
        <f>IFERROR(__xludf.DUMMYFUNCTION("GOOGLETRANSLATE(A3214,""en"",""fi"")"),"Sen keskimääräinen ruumiinlämpötila on 1 300–1 500 Fahrenheit-astetta. Sen sisäisessä liekkipussissa lämpötila nousee 3 000 asteeseen.")</f>
        <v>Sen keskimääräinen ruumiinlämpötila on 1 300–1 500 Fahrenheit-astetta. Sen sisäisessä liekkipussissa lämpötila nousee 3 000 asteeseen.</v>
      </c>
      <c r="C3214" s="9" t="s">
        <v>1344</v>
      </c>
    </row>
    <row r="3215" ht="33.75" customHeight="1">
      <c r="A3215" s="6" t="s">
        <v>4847</v>
      </c>
      <c r="B3215" s="6" t="str">
        <f>IFERROR(__xludf.DUMMYFUNCTION("GOOGLETRANSLATE(A3215,""en"",""fi"")"),"Jos se hengittää syvään sisään, se on merkki siitä, että se on hyökkäämässä. Valmistaudu yli 1 000 celsiusasteen liekkien osumaan siihen!")</f>
        <v>Jos se hengittää syvään sisään, se on merkki siitä, että se on hyökkäämässä. Valmistaudu yli 1 000 celsiusasteen liekkien osumaan siihen!</v>
      </c>
      <c r="C3215" s="9" t="s">
        <v>1344</v>
      </c>
    </row>
    <row r="3216" ht="33.75" customHeight="1">
      <c r="A3216" s="6" t="s">
        <v>4848</v>
      </c>
      <c r="B3216" s="6" t="str">
        <f>IFERROR(__xludf.DUMMYFUNCTION("GOOGLETRANSLATE(A3216,""en"",""fi"")"),"Flareonin sisällä oleva liekkikammio syttyy, kun sitä sekoitetaan, ja lämpötila nousee jopa 1 650 Fahrenheit-asteeseen.")</f>
        <v>Flareonin sisällä oleva liekkikammio syttyy, kun sitä sekoitetaan, ja lämpötila nousee jopa 1 650 Fahrenheit-asteeseen.</v>
      </c>
      <c r="C3216" s="9" t="s">
        <v>1344</v>
      </c>
    </row>
    <row r="3217" ht="33.75" customHeight="1">
      <c r="A3217" s="6" t="s">
        <v>4849</v>
      </c>
      <c r="B3217" s="6" t="str">
        <f>IFERROR(__xludf.DUMMYFUNCTION("GOOGLETRANSLATE(A3217,""en"",""fi"")"),"Sen ruumiissa on liekkikammio. Se hengittää sisään ja puhaltaa ulos yli 1 000 celsiusasteen tulta.")</f>
        <v>Sen ruumiissa on liekkikammio. Se hengittää sisään ja puhaltaa ulos yli 1 000 celsiusasteen tulta.</v>
      </c>
      <c r="C3217" s="9" t="s">
        <v>1344</v>
      </c>
    </row>
    <row r="3218" ht="33.75" customHeight="1">
      <c r="A3218" s="6" t="s">
        <v>4850</v>
      </c>
      <c r="B3218" s="6" t="str">
        <f>IFERROR(__xludf.DUMMYFUNCTION("GOOGLETRANSLATE(A3218,""en"",""fi"")"),"Kun se on varastoinut tarpeeksi lämpöä, tämän Pokémonin ruumiinlämpötila voi nousta jopa 1700 Fahrenheit-asteeseen.")</f>
        <v>Kun se on varastoinut tarpeeksi lämpöä, tämän Pokémonin ruumiinlämpötila voi nousta jopa 1700 Fahrenheit-asteeseen.</v>
      </c>
      <c r="C3218" s="9" t="s">
        <v>1344</v>
      </c>
    </row>
    <row r="3219" ht="33.75" customHeight="1">
      <c r="A3219" s="6" t="s">
        <v>4852</v>
      </c>
      <c r="B3219" s="6" t="str">
        <f>IFERROR(__xludf.DUMMYFUNCTION("GOOGLETRANSLATE(A3219,""en"",""fi"")"),"Liekit palavat tämän Pokémonin sisällä olevassa pussimaisessa elimessä. Kun Flareon hengittää sisään, liekit voimistuvat ja saavuttavat mahtavat 3 000 Fahrenheit-astetta.")</f>
        <v>Liekit palavat tämän Pokémonin sisällä olevassa pussimaisessa elimessä. Kun Flareon hengittää sisään, liekit voimistuvat ja saavuttavat mahtavat 3 000 Fahrenheit-astetta.</v>
      </c>
      <c r="C3219" s="9" t="s">
        <v>1344</v>
      </c>
    </row>
    <row r="3220" ht="33.75" customHeight="1">
      <c r="A3220" s="6" t="s">
        <v>4853</v>
      </c>
      <c r="B3220" s="6" t="str">
        <f>IFERROR(__xludf.DUMMYFUNCTION("GOOGLETRANSLATE(A3220,""en"",""fi"")"),"POKéMON, joka koostuu kokonaan ohjelmointikoodista. Pystyy liikkumaan vapaasti kyberavaruudessa.")</f>
        <v>POKéMON, joka koostuu kokonaan ohjelmointikoodista. Pystyy liikkumaan vapaasti kyberavaruudessa.</v>
      </c>
      <c r="C3220" s="9" t="s">
        <v>1344</v>
      </c>
    </row>
    <row r="3221" ht="33.75" customHeight="1">
      <c r="A3221" s="6" t="s">
        <v>4855</v>
      </c>
      <c r="B3221" s="6" t="str">
        <f>IFERROR(__xludf.DUMMYFUNCTION("GOOGLETRANSLATE(A3221,""en"",""fi"")"),"Ainoat POKéMONit, joiden ihmiset odottavat voivan lentää avaruuteen. Kukaan ei kuitenkaan ole vielä onnistunut siinä.")</f>
        <v>Ainoat POKéMONit, joiden ihmiset odottavat voivan lentää avaruuteen. Kukaan ei kuitenkaan ole vielä onnistunut siinä.</v>
      </c>
      <c r="C3221" s="9" t="s">
        <v>1344</v>
      </c>
    </row>
    <row r="3222" ht="33.75" customHeight="1">
      <c r="A3222" s="6" t="s">
        <v>4856</v>
      </c>
      <c r="B3222" s="6" t="str">
        <f>IFERROR(__xludf.DUMMYFUNCTION("GOOGLETRANSLATE(A3222,""en"",""fi"")"),"Se on ihmisen tekemä POKéMON. Koska se ei hengitä, ihmiset haluavat kokeilla sitä missä tahansa ympäristössä.")</f>
        <v>Se on ihmisen tekemä POKéMON. Koska se ei hengitä, ihmiset haluavat kokeilla sitä missä tahansa ympäristössä.</v>
      </c>
      <c r="C3222" s="9" t="s">
        <v>1344</v>
      </c>
    </row>
    <row r="3223" ht="33.75" customHeight="1">
      <c r="A3223" s="6" t="s">
        <v>4858</v>
      </c>
      <c r="B3223" s="6" t="str">
        <f>IFERROR(__xludf.DUMMYFUNCTION("GOOGLETRANSLATE(A3223,""en"",""fi"")"),"Tutkimuksen tuloksena syntynyt ihmisen tekemä POKéMON. Se on ohjelmoitu vain perusliikkeillä.")</f>
        <v>Tutkimuksen tuloksena syntynyt ihmisen tekemä POKéMON. Se on ohjelmoitu vain perusliikkeillä.</v>
      </c>
      <c r="C3223" s="9" t="s">
        <v>1344</v>
      </c>
    </row>
    <row r="3224" ht="33.75" customHeight="1">
      <c r="A3224" s="6" t="s">
        <v>4859</v>
      </c>
      <c r="B3224" s="6" t="str">
        <f>IFERROR(__xludf.DUMMYFUNCTION("GOOGLETRANSLATE(A3224,""en"",""fi"")"),"Laajan tutkimuksen tuloksena luotu keinotekoinen POKéMON pystyy suorittamaan vain sen, mitä sen ohjelmassa on.")</f>
        <v>Laajan tutkimuksen tuloksena luotu keinotekoinen POKéMON pystyy suorittamaan vain sen, mitä sen ohjelmassa on.</v>
      </c>
      <c r="C3224" s="9" t="s">
        <v>1344</v>
      </c>
    </row>
    <row r="3225" ht="33.75" customHeight="1">
      <c r="A3225" s="6" t="s">
        <v>4862</v>
      </c>
      <c r="B3225" s="6" t="str">
        <f>IFERROR(__xludf.DUMMYFUNCTION("GOOGLETRANSLATE(A3225,""en"",""fi"")"),"PORYGON pystyy palauttamaan itsensä kokonaan takaisin ohjelmadataksi ja siirtymään kyberavaruuteen. Tämä POKéMON on kopiosuojattu, joten sitä ei voi kopioida.")</f>
        <v>PORYGON pystyy palauttamaan itsensä kokonaan takaisin ohjelmadataksi ja siirtymään kyberavaruuteen. Tämä POKéMON on kopiosuojattu, joten sitä ei voi kopioida.</v>
      </c>
      <c r="C3225" s="9" t="s">
        <v>1344</v>
      </c>
    </row>
    <row r="3226" ht="33.75" customHeight="1">
      <c r="A3226" s="6" t="s">
        <v>4863</v>
      </c>
      <c r="B3226" s="6" t="str">
        <f>IFERROR(__xludf.DUMMYFUNCTION("GOOGLETRANSLATE(A3226,""en"",""fi"")"),"Se pystyy palauttamaan itsensä kokonaan takaisin ohjelmadataksi päästäkseen kyberavaruuteen. PORYGON on kopiosuojattu, joten sitä ei voida kopioida.")</f>
        <v>Se pystyy palauttamaan itsensä kokonaan takaisin ohjelmadataksi päästäkseen kyberavaruuteen. PORYGON on kopiosuojattu, joten sitä ei voida kopioida.</v>
      </c>
      <c r="C3226" s="9" t="s">
        <v>1344</v>
      </c>
    </row>
    <row r="3227" ht="33.75" customHeight="1">
      <c r="A3227" s="6" t="s">
        <v>4867</v>
      </c>
      <c r="B3227" s="6" t="str">
        <f>IFERROR(__xludf.DUMMYFUNCTION("GOOGLETRANSLATE(A3227,""en"",""fi"")"),"Käyttämällä edistyneintä teknologiaa tiedemiehet onnistuivat vihdoin luomaan ensimmäisen keinotekoisen POKéMONin.")</f>
        <v>Käyttämällä edistyneintä teknologiaa tiedemiehet onnistuivat vihdoin luomaan ensimmäisen keinotekoisen POKéMONin.</v>
      </c>
      <c r="C3227" s="9" t="s">
        <v>1344</v>
      </c>
    </row>
    <row r="3228" ht="33.75" customHeight="1">
      <c r="A3228" s="6" t="s">
        <v>4870</v>
      </c>
      <c r="B3228" s="6" t="str">
        <f>IFERROR(__xludf.DUMMYFUNCTION("GOOGLETRANSLATE(A3228,""en"",""fi"")"),"POKéMON, joka koostuu kokonaan ohjelmointikoodista. Se pystyy liikkumaan vapaasti kyberavaruudessa.")</f>
        <v>POKéMON, joka koostuu kokonaan ohjelmointikoodista. Se pystyy liikkumaan vapaasti kyberavaruudessa.</v>
      </c>
      <c r="C3228" s="9" t="s">
        <v>1344</v>
      </c>
    </row>
    <row r="3229" ht="33.75" customHeight="1">
      <c r="A3229" s="6" t="s">
        <v>4871</v>
      </c>
      <c r="B3229" s="6" t="str">
        <f>IFERROR(__xludf.DUMMYFUNCTION("GOOGLETRANSLATE(A3229,""en"",""fi"")"),"Maailman ensimmäinen keinotekoisesti luotu Pokémon. Se voi matkustaa elektronisessa avaruudessa.")</f>
        <v>Maailman ensimmäinen keinotekoisesti luotu Pokémon. Se voi matkustaa elektronisessa avaruudessa.</v>
      </c>
      <c r="C3229" s="9" t="s">
        <v>1344</v>
      </c>
    </row>
    <row r="3230" ht="33.75" customHeight="1">
      <c r="A3230" s="6" t="s">
        <v>4873</v>
      </c>
      <c r="B3230" s="6" t="str">
        <f>IFERROR(__xludf.DUMMYFUNCTION("GOOGLETRANSLATE(A3230,""en"",""fi"")"),"Keinotekoinen Pokémon, joka on luotu edistyneillä tieteellisillä keinoilla. Se voi liikkua vapaasti kyberavaruudessa.")</f>
        <v>Keinotekoinen Pokémon, joka on luotu edistyneillä tieteellisillä keinoilla. Se voi liikkua vapaasti kyberavaruudessa.</v>
      </c>
      <c r="C3230" s="9" t="s">
        <v>1344</v>
      </c>
    </row>
    <row r="3231" ht="33.75" customHeight="1">
      <c r="A3231" s="6" t="s">
        <v>4874</v>
      </c>
      <c r="B3231" s="6" t="str">
        <f>IFERROR(__xludf.DUMMYFUNCTION("GOOGLETRANSLATE(A3231,""en"",""fi"")"),"Se on ihmisen tekemä Pokémon. Koska se ei hengitä, ihmiset haluavat kokeilla sitä missä tahansa ympäristössä.")</f>
        <v>Se on ihmisen tekemä Pokémon. Koska se ei hengitä, ihmiset haluavat kokeilla sitä missä tahansa ympäristössä.</v>
      </c>
      <c r="C3231" s="9" t="s">
        <v>1344</v>
      </c>
    </row>
    <row r="3232" ht="33.75" customHeight="1">
      <c r="A3232" s="6" t="s">
        <v>4875</v>
      </c>
      <c r="B3232" s="6" t="str">
        <f>IFERROR(__xludf.DUMMYFUNCTION("GOOGLETRANSLATE(A3232,""en"",""fi"")"),"Tutkimuksen tuloksena syntynyt ihmisen tekemä Pokémon. Se on ohjelmoitu vain perusliikkeillä.")</f>
        <v>Tutkimuksen tuloksena syntynyt ihmisen tekemä Pokémon. Se on ohjelmoitu vain perusliikkeillä.</v>
      </c>
      <c r="C3232" s="9" t="s">
        <v>1344</v>
      </c>
    </row>
    <row r="3233" ht="33.75" customHeight="1">
      <c r="A3233" s="6" t="s">
        <v>4876</v>
      </c>
      <c r="B3233" s="6" t="str">
        <f>IFERROR(__xludf.DUMMYFUNCTION("GOOGLETRANSLATE(A3233,""en"",""fi"")"),"Tutkimuksen tuloksena syntynyt ihmisen tekemä Pokémon. Se on ohjelmoitu vain perusliikkeillä.")</f>
        <v>Tutkimuksen tuloksena syntynyt ihmisen tekemä Pokémon. Se on ohjelmoitu vain perusliikkeillä.</v>
      </c>
      <c r="C3233" s="9" t="s">
        <v>1344</v>
      </c>
    </row>
    <row r="3234" ht="33.75" customHeight="1">
      <c r="A3234" s="6" t="s">
        <v>4878</v>
      </c>
      <c r="B3234" s="6" t="str">
        <f>IFERROR(__xludf.DUMMYFUNCTION("GOOGLETRANSLATE(A3234,""en"",""fi"")"),"Pokémon, joka koostuu kokonaan ohjelmointikoodista. Se pystyy liikkumaan vapaasti kyberavaruudessa.")</f>
        <v>Pokémon, joka koostuu kokonaan ohjelmointikoodista. Se pystyy liikkumaan vapaasti kyberavaruudessa.</v>
      </c>
      <c r="C3234" s="9" t="s">
        <v>1344</v>
      </c>
    </row>
    <row r="3235" ht="33.75" customHeight="1">
      <c r="A3235" s="6" t="s">
        <v>4880</v>
      </c>
      <c r="B3235" s="6" t="str">
        <f>IFERROR(__xludf.DUMMYFUNCTION("GOOGLETRANSLATE(A3235,""en"",""fi"")"),"Porygon pystyy palauttamaan itsensä kokonaan takaisin ohjelmadataksi ja siirtymään kyberavaruuteen. Tämä Pokémon on kopiosuojattu, joten sitä ei voi kopioida.")</f>
        <v>Porygon pystyy palauttamaan itsensä kokonaan takaisin ohjelmadataksi ja siirtymään kyberavaruuteen. Tämä Pokémon on kopiosuojattu, joten sitä ei voi kopioida.</v>
      </c>
      <c r="C3235" s="9" t="s">
        <v>1344</v>
      </c>
    </row>
    <row r="3236" ht="33.75" customHeight="1">
      <c r="A3236" s="6" t="s">
        <v>4883</v>
      </c>
      <c r="B3236" s="6" t="str">
        <f>IFERROR(__xludf.DUMMYFUNCTION("GOOGLETRANSLATE(A3236,""en"",""fi"")"),"Noin 20 vuotta sitten se luotiin keinotekoisesti hyödyntäen aikansa uusinta teknologiaa.")</f>
        <v>Noin 20 vuotta sitten se luotiin keinotekoisesti hyödyntäen aikansa uusinta teknologiaa.</v>
      </c>
      <c r="C3236" s="9" t="s">
        <v>1344</v>
      </c>
    </row>
    <row r="3237" ht="33.75" customHeight="1">
      <c r="A3237" s="6" t="s">
        <v>4885</v>
      </c>
      <c r="B3237" s="6" t="str">
        <f>IFERROR(__xludf.DUMMYFUNCTION("GOOGLETRANSLATE(A3237,""en"",""fi"")"),"Se voi muuntaa kehonsa digitaaliseksi dataksi, mikä mahdollistaa sen pääsyn kyberavaruuteen.")</f>
        <v>Se voi muuntaa kehonsa digitaaliseksi dataksi, mikä mahdollistaa sen pääsyn kyberavaruuteen.</v>
      </c>
      <c r="C3237" s="9" t="s">
        <v>1344</v>
      </c>
    </row>
    <row r="3238" ht="33.75" customHeight="1">
      <c r="A3238" s="6" t="s">
        <v>4886</v>
      </c>
      <c r="B3238" s="6" t="str">
        <f>IFERROR(__xludf.DUMMYFUNCTION("GOOGLETRANSLATE(A3238,""en"",""fi"")"),"Tämä Pokémon luotiin 20 vuotta sitten huipputieteen avulla, joten monet sen osat ovat sittemmin vanhentuneet.")</f>
        <v>Tämä Pokémon luotiin 20 vuotta sitten huipputieteen avulla, joten monet sen osat ovat sittemmin vanhentuneet.</v>
      </c>
      <c r="C3238" s="9" t="s">
        <v>1344</v>
      </c>
    </row>
    <row r="3239" ht="33.75" customHeight="1">
      <c r="A3239" s="6" t="s">
        <v>4887</v>
      </c>
      <c r="B3239" s="6" t="str">
        <f>IFERROR(__xludf.DUMMYFUNCTION("GOOGLETRANSLATE(A3239,""en"",""fi"")"),"Sen rakensivat 20 vuotta sitten tiedemiehet, jotka unelmoivat avaruuden tutkimisesta. Heidän unelmansa eivät ole vielä toteutuneet.")</f>
        <v>Sen rakensivat 20 vuotta sitten tiedemiehet, jotka unelmoivat avaruuden tutkimisesta. Heidän unelmansa eivät ole vielä toteutuneet.</v>
      </c>
      <c r="C3239" s="9" t="s">
        <v>1344</v>
      </c>
    </row>
    <row r="3240" ht="33.75" customHeight="1">
      <c r="A3240" s="6" t="s">
        <v>4889</v>
      </c>
      <c r="B3240" s="6" t="str">
        <f>IFERROR(__xludf.DUMMYFUNCTION("GOOGLETRANSLATE(A3240,""en"",""fi"")"),"Ainoa Pokémon, jonka ihmiset odottavat pystyvän lentämään avaruuteen. Kukaan ei kuitenkaan ole vielä onnistunut siinä.")</f>
        <v>Ainoa Pokémon, jonka ihmiset odottavat pystyvän lentämään avaruuteen. Kukaan ei kuitenkaan ole vielä onnistunut siinä.</v>
      </c>
      <c r="C3240" s="9" t="s">
        <v>1344</v>
      </c>
    </row>
    <row r="3241" ht="33.75" customHeight="1">
      <c r="A3241" s="6" t="s">
        <v>4890</v>
      </c>
      <c r="B3241" s="6" t="str">
        <f>IFERROR(__xludf.DUMMYFUNCTION("GOOGLETRANSLATE(A3241,""en"",""fi"")"),"Porygonin luomiseen käytettiin huipputeknologiaa. Se oli ensimmäinen tietokoneohjelmoinnin avulla luotu keinotekoinen Pokémon.")</f>
        <v>Porygonin luomiseen käytettiin huipputeknologiaa. Se oli ensimmäinen tietokoneohjelmoinnin avulla luotu keinotekoinen Pokémon.</v>
      </c>
      <c r="C3241" s="9" t="s">
        <v>1344</v>
      </c>
    </row>
    <row r="3242" ht="33.75" customHeight="1">
      <c r="A3242" s="6" t="s">
        <v>4892</v>
      </c>
      <c r="B3242" s="6" t="str">
        <f>IFERROR(__xludf.DUMMYFUNCTION("GOOGLETRANSLATE(A3242,""en"",""fi"")"),"Viime vuosina tämä laji on ollut erittäin hyödyllinen kyberavaruudessa. Nämä Pokémonit kiertelevät ympäriinsä tarkistaen, ettei epäilyttävää dataa ole olemassa.")</f>
        <v>Viime vuosina tämä laji on ollut erittäin hyödyllinen kyberavaruudessa. Nämä Pokémonit kiertelevät ympäriinsä tarkistaen, ettei epäilyttävää dataa ole olemassa.</v>
      </c>
      <c r="C3242" s="9" t="s">
        <v>1344</v>
      </c>
    </row>
    <row r="3243" ht="33.75" customHeight="1">
      <c r="A3243" s="6" t="s">
        <v>4893</v>
      </c>
      <c r="B3243" s="6" t="str">
        <f>IFERROR(__xludf.DUMMYFUNCTION("GOOGLETRANSLATE(A3243,""en"",""fi"")"),"Siinä ei ole havaittavaa sydämenlyöntiä eikä se tunnu vetävän henkeä, ja silti se näyttää toimivan ongelmitta. En pysty edes selittämään tätä äärimmäisen omituista poikkeavuutta.")</f>
        <v>Siinä ei ole havaittavaa sydämenlyöntiä eikä se tunnu vetävän henkeä, ja silti se näyttää toimivan ongelmitta. En pysty edes selittämään tätä äärimmäisen omituista poikkeavuutta.</v>
      </c>
      <c r="C3243" s="9" t="s">
        <v>1344</v>
      </c>
    </row>
    <row r="3244" ht="33.75" customHeight="1">
      <c r="A3244" s="6" t="s">
        <v>4895</v>
      </c>
      <c r="B3244" s="6" t="str">
        <f>IFERROR(__xludf.DUMMYFUNCTION("GOOGLETRANSLATE(A3244,""en"",""fi"")"),"Vaikka se on ollut sukupuuttoon kuollut jo kauan sitten, se voidaan harvinaisissa tapauksissa herättää geneettisesti fossiileista henkiin.")</f>
        <v>Vaikka se on ollut sukupuuttoon kuollut jo kauan sitten, se voidaan harvinaisissa tapauksissa herättää geneettisesti fossiileista henkiin.</v>
      </c>
      <c r="C3244" s="9" t="s">
        <v>1344</v>
      </c>
    </row>
    <row r="3245" ht="33.75" customHeight="1">
      <c r="A3245" s="6" t="s">
        <v>4897</v>
      </c>
      <c r="B3245" s="6" t="str">
        <f>IFERROR(__xludf.DUMMYFUNCTION("GOOGLETRANSLATE(A3245,""en"",""fi"")"),"Fossiilista löydetty muinainen POKéMON. Se ui kiertämällä taitavasti kymmentä lonkeroaan.")</f>
        <v>Fossiilista löydetty muinainen POKéMON. Se ui kiertämällä taitavasti kymmentä lonkeroaan.</v>
      </c>
      <c r="C3245" s="9" t="s">
        <v>1344</v>
      </c>
    </row>
    <row r="3246" ht="33.75" customHeight="1">
      <c r="A3246" s="6" t="s">
        <v>4898</v>
      </c>
      <c r="B3246" s="6" t="str">
        <f>IFERROR(__xludf.DUMMYFUNCTION("GOOGLETRANSLATE(A3246,""en"",""fi"")"),"Muinaisesta fossiilista herätetty POKéMON käyttää kuoressaan varastoitunutta ilmaa uppoamiseen ja nousemiseen vedessä.")</f>
        <v>Muinaisesta fossiilista herätetty POKéMON käyttää kuoressaan varastoitunutta ilmaa uppoamiseen ja nousemiseen vedessä.</v>
      </c>
      <c r="C3246" s="9" t="s">
        <v>1344</v>
      </c>
    </row>
    <row r="3247" ht="33.75" customHeight="1">
      <c r="A3247" s="6" t="s">
        <v>4900</v>
      </c>
      <c r="B3247" s="6" t="str">
        <f>IFERROR(__xludf.DUMMYFUNCTION("GOOGLETRANSLATE(A3247,""en"",""fi"")"),"Tämän muinaisten aikojen POKéMONin sanotaan navigoineen merellä kiertämällä taitavasti kymmentä lonkeroaan.")</f>
        <v>Tämän muinaisten aikojen POKéMONin sanotaan navigoineen merellä kiertämällä taitavasti kymmentä lonkeroaan.</v>
      </c>
      <c r="C3247" s="9" t="s">
        <v>1344</v>
      </c>
    </row>
    <row r="3248" ht="33.75" customHeight="1">
      <c r="A3248" s="6" t="s">
        <v>4902</v>
      </c>
      <c r="B3248" s="6" t="str">
        <f>IFERROR(__xludf.DUMMYFUNCTION("GOOGLETRANSLATE(A3248,""en"",""fi"")"),"Esihistoriallisella ajalla se ui merenpohjassa syöden planktonia. Sen fossiileja löytyy joskus.")</f>
        <v>Esihistoriallisella ajalla se ui merenpohjassa syöden planktonia. Sen fossiileja löytyy joskus.</v>
      </c>
      <c r="C3248" s="9" t="s">
        <v>1344</v>
      </c>
    </row>
    <row r="3249" ht="33.75" customHeight="1">
      <c r="A3249" s="6" t="s">
        <v>4904</v>
      </c>
      <c r="B3249" s="6" t="str">
        <f>IFERROR(__xludf.DUMMYFUNCTION("GOOGLETRANSLATE(A3249,""en"",""fi"")"),"OMANYTE on yksi muinaisista ja kauan sitten sukupuuttoon kuolleista POKéMONeista, jotka ihmiset ovat luoneet fossiileista. Jos vihollinen hyökkää sitä vastaan, se vetäytyy kovaan kuoreensa.")</f>
        <v>OMANYTE on yksi muinaisista ja kauan sitten sukupuuttoon kuolleista POKéMONeista, jotka ihmiset ovat luoneet fossiileista. Jos vihollinen hyökkää sitä vastaan, se vetäytyy kovaan kuoreensa.</v>
      </c>
      <c r="C3249" s="9" t="s">
        <v>1344</v>
      </c>
    </row>
    <row r="3250" ht="33.75" customHeight="1">
      <c r="A3250" s="6" t="s">
        <v>4907</v>
      </c>
      <c r="B3250" s="6" t="str">
        <f>IFERROR(__xludf.DUMMYFUNCTION("GOOGLETRANSLATE(A3250,""en"",""fi"")"),"Yksi muinaisista ja kauan sitten sukupuuttoon kuolleista POKéMONeista, jotka ihmiset ovat luoneet fossiileista. Hyökkäyksen sattuessa se vetäytyy kovaan kuoreensa.")</f>
        <v>Yksi muinaisista ja kauan sitten sukupuuttoon kuolleista POKéMONeista, jotka ihmiset ovat luoneet fossiileista. Hyökkäyksen sattuessa se vetäytyy kovaan kuoreensa.</v>
      </c>
      <c r="C3250" s="9" t="s">
        <v>1344</v>
      </c>
    </row>
    <row r="3251" ht="33.75" customHeight="1">
      <c r="A3251" s="6" t="s">
        <v>4908</v>
      </c>
      <c r="B3251" s="6" t="str">
        <f>IFERROR(__xludf.DUMMYFUNCTION("GOOGLETRANSLATE(A3251,""en"",""fi"")"),"Se on esihistoriallinen POKéMON, joka eli alkukantaisessa meressä. Se ui kiertämällä kymmentä lonkeroaan.")</f>
        <v>Se on esihistoriallinen POKéMON, joka eli alkukantaisessa meressä. Se ui kiertämällä kymmentä lonkeroaan.</v>
      </c>
      <c r="C3251" s="9" t="s">
        <v>1344</v>
      </c>
    </row>
    <row r="3252" ht="33.75" customHeight="1">
      <c r="A3252" s="6" t="s">
        <v>4910</v>
      </c>
      <c r="B3252" s="6" t="str">
        <f>IFERROR(__xludf.DUMMYFUNCTION("GOOGLETRANSLATE(A3252,""en"",""fi"")"),"Vaikka se on ollut sukupuuttoon kuollut jo kauan sitten, se voidaan harvinaisissa tapauksissa synnyttää geneettisesti fossiileista.")</f>
        <v>Vaikka se on ollut sukupuuttoon kuollut jo kauan sitten, se voidaan harvinaisissa tapauksissa synnyttää geneettisesti fossiileista.</v>
      </c>
      <c r="C3252" s="9" t="s">
        <v>1344</v>
      </c>
    </row>
    <row r="3253" ht="33.75" customHeight="1">
      <c r="A3253" s="6" t="s">
        <v>4911</v>
      </c>
      <c r="B3253" s="6" t="str">
        <f>IFERROR(__xludf.DUMMYFUNCTION("GOOGLETRANSLATE(A3253,""en"",""fi"")"),"Pokémon, joka herätettiin henkiin fossiilista nykyaikaisen tieteen avulla. Se ui muinaisissa merissä.")</f>
        <v>Pokémon, joka herätettiin henkiin fossiilista nykyaikaisen tieteen avulla. Se ui muinaisissa merissä.</v>
      </c>
      <c r="C3253" s="9" t="s">
        <v>1344</v>
      </c>
    </row>
    <row r="3254" ht="33.75" customHeight="1">
      <c r="A3254" s="6" t="s">
        <v>4912</v>
      </c>
      <c r="B3254" s="6" t="str">
        <f>IFERROR(__xludf.DUMMYFUNCTION("GOOGLETRANSLATE(A3254,""en"",""fi"")"),"Muinaisesta fossiilista herätetty Pokémon käyttää kuoressaan varastoitunutta ilmaa uppoamiseen ja nousemiseen vedessä.")</f>
        <v>Muinaisesta fossiilista herätetty Pokémon käyttää kuoressaan varastoitunutta ilmaa uppoamiseen ja nousemiseen vedessä.</v>
      </c>
      <c r="C3254" s="9" t="s">
        <v>1344</v>
      </c>
    </row>
    <row r="3255" ht="33.75" customHeight="1">
      <c r="A3255" s="6" t="s">
        <v>4913</v>
      </c>
      <c r="B3255" s="6" t="str">
        <f>IFERROR(__xludf.DUMMYFUNCTION("GOOGLETRANSLATE(A3255,""en"",""fi"")"),"Tämän muinaisten aikojen Pokémonin sanotaan navigoineen meressä taitavasti kiertämällä kymmentä lonkeroaan.")</f>
        <v>Tämän muinaisten aikojen Pokémonin sanotaan navigoineen meressä taitavasti kiertämällä kymmentä lonkeroaan.</v>
      </c>
      <c r="C3255" s="9" t="s">
        <v>1344</v>
      </c>
    </row>
    <row r="3256" ht="33.75" customHeight="1">
      <c r="A3256" s="6" t="s">
        <v>4915</v>
      </c>
      <c r="B3256" s="6" t="str">
        <f>IFERROR(__xludf.DUMMYFUNCTION("GOOGLETRANSLATE(A3256,""en"",""fi"")"),"Tämä esihistoriallinen Pokémon eli alkukantaisessa meressä ja ui kiertämällä kymmentä lonkeroaan.")</f>
        <v>Tämä esihistoriallinen Pokémon eli alkukantaisessa meressä ja ui kiertämällä kymmentä lonkeroaan.</v>
      </c>
      <c r="C3256" s="9" t="s">
        <v>1344</v>
      </c>
    </row>
    <row r="3257" ht="33.75" customHeight="1">
      <c r="A3257" s="6" t="s">
        <v>4917</v>
      </c>
      <c r="B3257" s="6" t="str">
        <f>IFERROR(__xludf.DUMMYFUNCTION("GOOGLETRANSLATE(A3257,""en"",""fi"")"),"Omanyte on yksi muinaisista ja kauan sitten sukupuuttoon kuolleista Pokémoneista, jotka ihmiset ovat luoneet fossiileista. Jos vihollinen hyökkää sitä vastaan, se vetäytyy kovaan kuoreensa.")</f>
        <v>Omanyte on yksi muinaisista ja kauan sitten sukupuuttoon kuolleista Pokémoneista, jotka ihmiset ovat luoneet fossiileista. Jos vihollinen hyökkää sitä vastaan, se vetäytyy kovaan kuoreensa.</v>
      </c>
      <c r="C3257" s="9" t="s">
        <v>1344</v>
      </c>
    </row>
    <row r="3258" ht="33.75" customHeight="1">
      <c r="A3258" s="6" t="s">
        <v>4918</v>
      </c>
      <c r="B3258" s="6" t="str">
        <f>IFERROR(__xludf.DUMMYFUNCTION("GOOGLETRANSLATE(A3258,""en"",""fi"")"),"Omanyte eli antiikin merissä. Sen fossiileista on löydetty Archeopsin puremajälkiä, joten Archeops ilmeisesti saalisti sitä.")</f>
        <v>Omanyte eli antiikin merissä. Sen fossiileista on löydetty Archeopsin puremajälkiä, joten Archeops ilmeisesti saalisti sitä.</v>
      </c>
      <c r="C3258" s="9" t="s">
        <v>1344</v>
      </c>
    </row>
    <row r="3259" ht="33.75" customHeight="1">
      <c r="A3259" s="6" t="s">
        <v>4919</v>
      </c>
      <c r="B3259" s="6" t="str">
        <f>IFERROR(__xludf.DUMMYFUNCTION("GOOGLETRANSLATE(A3259,""en"",""fi"")"),"Se on restauroitu muinaisesta fossiilista. Nuo Helix-fossiilit on kaivettu esiin alueilta, jotka olivat aikoinaan valtameriä kauan, kauan sitten.")</f>
        <v>Se on restauroitu muinaisesta fossiilista. Nuo Helix-fossiilit on kaivettu esiin alueilta, jotka olivat aikoinaan valtameriä kauan, kauan sitten.</v>
      </c>
      <c r="C3259" s="9" t="s">
        <v>1344</v>
      </c>
    </row>
    <row r="3260" ht="33.75" customHeight="1">
      <c r="A3260" s="6" t="s">
        <v>4920</v>
      </c>
      <c r="B3260" s="6" t="str">
        <f>IFERROR(__xludf.DUMMYFUNCTION("GOOGLETRANSLATE(A3260,""en"",""fi"")"),"Fossiilista löydetty muinainen Pokémon. Se ui pyörittelemällä taitavasti kymmentä lonkeroaan.")</f>
        <v>Fossiilista löydetty muinainen Pokémon. Se ui pyörittelemällä taitavasti kymmentä lonkeroaan.</v>
      </c>
      <c r="C3260" s="9" t="s">
        <v>1344</v>
      </c>
    </row>
    <row r="3261" ht="33.75" customHeight="1">
      <c r="A3261" s="6" t="s">
        <v>4921</v>
      </c>
      <c r="B3261" s="6" t="str">
        <f>IFERROR(__xludf.DUMMYFUNCTION("GOOGLETRANSLATE(A3261,""en"",""fi"")"),"Koska jotkut omanytit onnistuvat pakenemaan ennallistamisen jälkeen tai ihmisten päästämät ne luontoon, tästä lajista on tulossa ongelma.")</f>
        <v>Koska jotkut omanytit onnistuvat pakenemaan ennallistamisen jälkeen tai ihmisten päästämät ne luontoon, tästä lajista on tulossa ongelma.</v>
      </c>
      <c r="C3261" s="9" t="s">
        <v>1344</v>
      </c>
    </row>
    <row r="3262" ht="33.75" customHeight="1">
      <c r="A3262" s="6" t="s">
        <v>4922</v>
      </c>
      <c r="B3262" s="6" t="str">
        <f>IFERROR(__xludf.DUMMYFUNCTION("GOOGLETRANSLATE(A3262,""en"",""fi"")"),"Tämä Pokémon kuuluu muinaiseen, sukupuuttoon kuolleeseen lajiin. Omanyte meloo vedessä kymmenellä lonkerollaan näyttäen siltä kuin se vain ajelehtisi.")</f>
        <v>Tämä Pokémon kuuluu muinaiseen, sukupuuttoon kuolleeseen lajiin. Omanyte meloo vedessä kymmenellä lonkerollaan näyttäen siltä kuin se vain ajelehtisi.</v>
      </c>
      <c r="C3262" s="9" t="s">
        <v>1344</v>
      </c>
    </row>
    <row r="3263" ht="33.75" customHeight="1">
      <c r="A3263" s="6" t="s">
        <v>4924</v>
      </c>
      <c r="B3263" s="6" t="str">
        <f>IFERROR(__xludf.DUMMYFUNCTION("GOOGLETRANSLATE(A3263,""en"",""fi"")"),"Esihistoriallinen POKéMON, joka kuoli sukupuuttoon, kun sen raskas kuori esti saaliin pyydystämisen.")</f>
        <v>Esihistoriallinen POKéMON, joka kuoli sukupuuttoon, kun sen raskas kuori esti saaliin pyydystämisen.</v>
      </c>
      <c r="C3263" s="9" t="s">
        <v>1344</v>
      </c>
    </row>
    <row r="3264" ht="33.75" customHeight="1">
      <c r="A3264" s="6" t="s">
        <v>4925</v>
      </c>
      <c r="B3264" s="6" t="str">
        <f>IFERROR(__xludf.DUMMYFUNCTION("GOOGLETRANSLATE(A3264,""en"",""fi"")"),"Terävät nokat ympäröivät sen suuta. Sen kuori oli liian suuri liikkuakseen vapaasti, joten se kuoli sukupuuttoon.")</f>
        <v>Terävät nokat ympäröivät sen suuta. Sen kuori oli liian suuri liikkuakseen vapaasti, joten se kuoli sukupuuttoon.</v>
      </c>
      <c r="C3264" s="9" t="s">
        <v>1344</v>
      </c>
    </row>
    <row r="3265" ht="33.75" customHeight="1">
      <c r="A3265" s="6" t="s">
        <v>4927</v>
      </c>
      <c r="B3265" s="6" t="str">
        <f>IFERROR(__xludf.DUMMYFUNCTION("GOOGLETRANSLATE(A3265,""en"",""fi"")"),"Ilmeisesti se halkaisi SHELLDERin kuoren terävillä hampaillaan ja imi sisukset ulos.")</f>
        <v>Ilmeisesti se halkaisi SHELLDERin kuoren terävillä hampaillaan ja imi sisukset ulos.</v>
      </c>
      <c r="C3265" s="9" t="s">
        <v>1344</v>
      </c>
    </row>
    <row r="3266" ht="33.75" customHeight="1">
      <c r="A3266" s="6" t="s">
        <v>4929</v>
      </c>
      <c r="B3266" s="6" t="str">
        <f>IFERROR(__xludf.DUMMYFUNCTION("GOOGLETRANSLATE(A3266,""en"",""fi"")"),"Kun se on kerran kiertynyt saaliinsa ympärille, se ei koskaan päästä irti. Se syö saaliin repimällä sitä terävillä hampailla.")</f>
        <v>Kun se on kerran kiertynyt saaliinsa ympärille, se ei koskaan päästä irti. Se syö saaliin repimällä sitä terävillä hampailla.</v>
      </c>
      <c r="C3266" s="9" t="s">
        <v>1344</v>
      </c>
    </row>
    <row r="3267" ht="33.75" customHeight="1">
      <c r="A3267" s="6" t="s">
        <v>4931</v>
      </c>
      <c r="B3267" s="6" t="str">
        <f>IFERROR(__xludf.DUMMYFUNCTION("GOOGLETRANSLATE(A3267,""en"",""fi"")"),"Sen painava kuori mahdollisti sen pääsyn vain lähellä olevaan ruokaan. Tämä voi olla syynä sen sukupuuttoon.")</f>
        <v>Sen painava kuori mahdollisti sen pääsyn vain lähellä olevaan ruokaan. Tämä voi olla syynä sen sukupuuttoon.</v>
      </c>
      <c r="C3267" s="9" t="s">
        <v>1344</v>
      </c>
    </row>
    <row r="3268" ht="33.75" customHeight="1">
      <c r="A3268" s="6" t="s">
        <v>4933</v>
      </c>
      <c r="B3268" s="6" t="str">
        <f>IFERROR(__xludf.DUMMYFUNCTION("GOOGLETRANSLATE(A3268,""en"",""fi"")"),"OMASTAR käyttää lonkeroitaan saaliinsa pyydystämiseen. Sen uskotaan kuolleen sukupuuttoon, koska sen kuori kasvoi liian suureksi ja raskaaksi, mikä teki sen liikkeistä liian hitaita ja raskaita.")</f>
        <v>OMASTAR käyttää lonkeroitaan saaliinsa pyydystämiseen. Sen uskotaan kuolleen sukupuuttoon, koska sen kuori kasvoi liian suureksi ja raskaaksi, mikä teki sen liikkeistä liian hitaita ja raskaita.</v>
      </c>
      <c r="C3268" s="9" t="s">
        <v>1344</v>
      </c>
    </row>
    <row r="3269" ht="33.75" customHeight="1">
      <c r="A3269" s="6" t="s">
        <v>4935</v>
      </c>
      <c r="B3269" s="6" t="str">
        <f>IFERROR(__xludf.DUMMYFUNCTION("GOOGLETRANSLATE(A3269,""en"",""fi"")"),"OMASTAR käyttää lonkeroitaan saaliinsa pyydystämiseen. Sen uskotaan kuolleen sukupuuttoon, koska sen kuori kasvoi liian suureksi, mikä teki sen liikkeistä hitaita ja raskkaita.")</f>
        <v>OMASTAR käyttää lonkeroitaan saaliinsa pyydystämiseen. Sen uskotaan kuolleen sukupuuttoon, koska sen kuori kasvoi liian suureksi, mikä teki sen liikkeistä hitaita ja raskkaita.</v>
      </c>
      <c r="C3269" s="9" t="s">
        <v>1344</v>
      </c>
    </row>
    <row r="3270" ht="33.75" customHeight="1">
      <c r="A3270" s="6" t="s">
        <v>4937</v>
      </c>
      <c r="B3270" s="6" t="str">
        <f>IFERROR(__xludf.DUMMYFUNCTION("GOOGLETRANSLATE(A3270,""en"",""fi"")"),"Sen lonkerot ovat erittäin kehittyneet, aivan kuin ne olisivat käsiä ja jalkoja. Heti kun se saa saaliinsa ansaan, se puree.")</f>
        <v>Sen lonkerot ovat erittäin kehittyneet, aivan kuin ne olisivat käsiä ja jalkoja. Heti kun se saa saaliinsa ansaan, se puree.</v>
      </c>
      <c r="C3270" s="9" t="s">
        <v>1344</v>
      </c>
    </row>
    <row r="3271" ht="33.75" customHeight="1">
      <c r="A3271" s="6" t="s">
        <v>4939</v>
      </c>
      <c r="B3271" s="6" t="str">
        <f>IFERROR(__xludf.DUMMYFUNCTION("GOOGLETRANSLATE(A3271,""en"",""fi"")"),"Vaikka sillä oli vahvat torahampaat ja lonkerot, se kuoli sukupuuttoon, kun sen raskas kuori esti sitä kykenemästä saalistamaan.")</f>
        <v>Vaikka sillä oli vahvat torahampaat ja lonkerot, se kuoli sukupuuttoon, kun sen raskas kuori esti sitä kykenemästä saalistamaan.</v>
      </c>
      <c r="C3271" s="9" t="s">
        <v>1344</v>
      </c>
    </row>
    <row r="3272" ht="33.75" customHeight="1">
      <c r="A3272" s="6" t="s">
        <v>4943</v>
      </c>
      <c r="B3272" s="6" t="str">
        <f>IFERROR(__xludf.DUMMYFUNCTION("GOOGLETRANSLATE(A3272,""en"",""fi"")"),"Tämän Pokémonin uskotaan kuolleen sukupuuttoon, koska sen spiraalimainen kuori kasvoi liian suureksi.")</f>
        <v>Tämän Pokémonin uskotaan kuolleen sukupuuttoon, koska sen spiraalimainen kuori kasvoi liian suureksi.</v>
      </c>
      <c r="C3272" s="9" t="s">
        <v>1344</v>
      </c>
    </row>
    <row r="3273" ht="33.75" customHeight="1">
      <c r="A3273" s="6" t="s">
        <v>4945</v>
      </c>
      <c r="B3273" s="6" t="str">
        <f>IFERROR(__xludf.DUMMYFUNCTION("GOOGLETRANSLATE(A3273,""en"",""fi"")"),"Ilmeisesti se halkaisi SHELLDERin kuoren terävillä hampaillaan ja imi sisukset ulos.")</f>
        <v>Ilmeisesti se halkaisi SHELLDERin kuoren terävillä hampaillaan ja imi sisukset ulos.</v>
      </c>
      <c r="C3273" s="9" t="s">
        <v>1344</v>
      </c>
    </row>
    <row r="3274" ht="33.75" customHeight="1">
      <c r="A3274" s="6" t="s">
        <v>4947</v>
      </c>
      <c r="B3274" s="6" t="str">
        <f>IFERROR(__xludf.DUMMYFUNCTION("GOOGLETRANSLATE(A3274,""en"",""fi"")"),"Omastar käyttää lonkeroitaan saaliinsa pyydystämiseen. Sen uskotaan kuolleen sukupuuttoon, koska sen kuori kasvoi liian suureksi ja raskaaksi, mikä teki sen liikkeistä liian hitaita ja raskaita.")</f>
        <v>Omastar käyttää lonkeroitaan saaliinsa pyydystämiseen. Sen uskotaan kuolleen sukupuuttoon, koska sen kuori kasvoi liian suureksi ja raskaaksi, mikä teki sen liikkeistä liian hitaita ja raskaita.</v>
      </c>
      <c r="C3274" s="9" t="s">
        <v>1344</v>
      </c>
    </row>
    <row r="3275" ht="33.75" customHeight="1">
      <c r="A3275" s="6" t="s">
        <v>4949</v>
      </c>
      <c r="B3275" s="6" t="str">
        <f>IFERROR(__xludf.DUMMYFUNCTION("GOOGLETRANSLATE(A3275,""en"",""fi"")"),"Sen raskaan kuoren uskotaan olevan syy tämän muinaisen Pokémonin kuolemaan. Se on ilmeisesti Octilleryn kaukainen esi-isä.")</f>
        <v>Sen raskaan kuoren uskotaan olevan syy tämän muinaisen Pokémonin kuolemaan. Se on ilmeisesti Octilleryn kaukainen esi-isä.</v>
      </c>
      <c r="C3275" s="9" t="s">
        <v>1344</v>
      </c>
    </row>
    <row r="3276" ht="33.75" customHeight="1">
      <c r="A3276" s="6" t="s">
        <v>4951</v>
      </c>
      <c r="B3276" s="6" t="str">
        <f>IFERROR(__xludf.DUMMYFUNCTION("GOOGLETRANSLATE(A3276,""en"",""fi"")"),"Se käärii saaliinsa lonkeroihinsa lamauttaakseen sen ja viimeistelee sen sitten terävillä hampaillaan.")</f>
        <v>Se käärii saaliinsa lonkeroihinsa lamauttaakseen sen ja viimeistelee sen sitten terävillä hampaillaan.</v>
      </c>
      <c r="C3276" s="9" t="s">
        <v>1344</v>
      </c>
    </row>
    <row r="3277" ht="33.75" customHeight="1">
      <c r="A3277" s="6" t="s">
        <v>4952</v>
      </c>
      <c r="B3277" s="6" t="str">
        <f>IFERROR(__xludf.DUMMYFUNCTION("GOOGLETRANSLATE(A3277,""en"",""fi"")"),"Sen terävä nokka ympäröi sen suuta. Sen kuori oli liian suuri liikkuakseen vapaasti, joten se kuoli sukupuuttoon.")</f>
        <v>Sen terävä nokka ympäröi sen suuta. Sen kuori oli liian suuri liikkuakseen vapaasti, joten se kuoli sukupuuttoon.</v>
      </c>
      <c r="C3277" s="9" t="s">
        <v>1344</v>
      </c>
    </row>
    <row r="3278" ht="33.75" customHeight="1">
      <c r="A3278" s="6" t="s">
        <v>4953</v>
      </c>
      <c r="B3278" s="6" t="str">
        <f>IFERROR(__xludf.DUMMYFUNCTION("GOOGLETRANSLATE(A3278,""en"",""fi"")"),"Suuren ja raskaan kuoren painamana Omastar ei pystynyt liikkumaan kovin nopeasti. Jotkut sanovat sen kuolleen sukupuuttoon, koska se ei kyennyt saamaan ruokaa.")</f>
        <v>Suuren ja raskaan kuoren painamana Omastar ei pystynyt liikkumaan kovin nopeasti. Jotkut sanovat sen kuolleen sukupuuttoon, koska se ei kyennyt saamaan ruokaa.</v>
      </c>
      <c r="C3278" s="9" t="s">
        <v>1344</v>
      </c>
    </row>
    <row r="3279" ht="33.75" customHeight="1">
      <c r="A3279" s="6" t="s">
        <v>4954</v>
      </c>
      <c r="B3279" s="6" t="str">
        <f>IFERROR(__xludf.DUMMYFUNCTION("GOOGLETRANSLATE(A3279,""en"",""fi"")"),"Omastarin terävät kulmahampaat pystyivät murskaamaan kiven, mutta Pokémon voi hyökätä vain saaliin kimppuun, joka tulee sen lonkeroiden ulottuville.")</f>
        <v>Omastarin terävät kulmahampaat pystyivät murskaamaan kiven, mutta Pokémon voi hyökätä vain saaliin kimppuun, joka tulee sen lonkeroiden ulottuville.</v>
      </c>
      <c r="C3279" s="9" t="s">
        <v>1344</v>
      </c>
    </row>
    <row r="3280" ht="33.75" customHeight="1">
      <c r="A3280" s="6" t="s">
        <v>4956</v>
      </c>
      <c r="B3280" s="6" t="str">
        <f>IFERROR(__xludf.DUMMYFUNCTION("GOOGLETRANSLATE(A3280,""en"",""fi"")"),"POKéMON, joka herätettiin henkiin aikoinaan merenpohjasta löydetystä fossiilista.")</f>
        <v>POKéMON, joka herätettiin henkiin aikoinaan merenpohjasta löydetystä fossiilista.</v>
      </c>
      <c r="C3280" s="9" t="s">
        <v>1344</v>
      </c>
    </row>
    <row r="3281" ht="33.75" customHeight="1">
      <c r="A3281" s="6" t="s">
        <v>4957</v>
      </c>
      <c r="B3281" s="6" t="str">
        <f>IFERROR(__xludf.DUMMYFUNCTION("GOOGLETRANSLATE(A3281,""en"",""fi"")"),"Fossiilista löydetty POKéMON. Se käyttää selässään olevia silmiä piileskellessään merenpohjassa.")</f>
        <v>Fossiilista löydetty POKéMON. Se käyttää selässään olevia silmiä piileskellessään merenpohjassa.</v>
      </c>
      <c r="C3281" s="9" t="s">
        <v>1344</v>
      </c>
    </row>
    <row r="3282" ht="33.75" customHeight="1">
      <c r="A3282" s="6" t="s">
        <v>4959</v>
      </c>
      <c r="B3282" s="6" t="str">
        <f>IFERROR(__xludf.DUMMYFUNCTION("GOOGLETRANSLATE(A3282,""en"",""fi"")"),"Harvinaisissa tapauksissa joitakin on löydetty fossiileina, joiksi ne ovat tulleet piiloutuessaan merenpohjaan.")</f>
        <v>Harvinaisissa tapauksissa joitakin on löydetty fossiileina, joiksi ne ovat tulleet piiloutuessaan merenpohjaan.</v>
      </c>
      <c r="C3282" s="9" t="s">
        <v>1344</v>
      </c>
    </row>
    <row r="3283" ht="33.75" customHeight="1">
      <c r="A3283" s="6" t="s">
        <v>4960</v>
      </c>
      <c r="B3283" s="6" t="str">
        <f>IFERROR(__xludf.DUMMYFUNCTION("GOOGLETRANSLATE(A3283,""en"",""fi"")"),"Tämä POKéMON eli muinaisina aikoina. Harvinaisissa tapauksissa se on löydetty elävänä fossiilina.")</f>
        <v>Tämä POKéMON eli muinaisina aikoina. Harvinaisissa tapauksissa se on löydetty elävänä fossiilina.</v>
      </c>
      <c r="C3283" s="9" t="s">
        <v>1344</v>
      </c>
    </row>
    <row r="3284" ht="33.75" customHeight="1">
      <c r="A3284" s="6" t="s">
        <v>4962</v>
      </c>
      <c r="B3284" s="6" t="str">
        <f>IFERROR(__xludf.DUMMYFUNCTION("GOOGLETRANSLATE(A3284,""en"",""fi"")"),"Kolmesataa miljoonaa vuotta sitten se piileskeli merenpohjassa. Sillä on myös selässään hohtavat silmät.")</f>
        <v>Kolmesataa miljoonaa vuotta sitten se piileskeli merenpohjassa. Sillä on myös selässään hohtavat silmät.</v>
      </c>
      <c r="C3284" s="9" t="s">
        <v>1344</v>
      </c>
    </row>
    <row r="3285" ht="33.75" customHeight="1">
      <c r="A3285" s="6" t="s">
        <v>4963</v>
      </c>
      <c r="B3285" s="6" t="str">
        <f>IFERROR(__xludf.DUMMYFUNCTION("GOOGLETRANSLATE(A3285,""en"",""fi"")"),"KABUTO on fossiilista uusiutunut POKéMON. Erittäin harvinaisissa tapauksissa on kuitenkin löydetty eläviä esimerkkejä. POKéMON ei ole muuttunut lainkaan 300 miljoonaan vuoteen.")</f>
        <v>KABUTO on fossiilista uusiutunut POKéMON. Erittäin harvinaisissa tapauksissa on kuitenkin löydetty eläviä esimerkkejä. POKéMON ei ole muuttunut lainkaan 300 miljoonaan vuoteen.</v>
      </c>
      <c r="C3285" s="9" t="s">
        <v>1344</v>
      </c>
    </row>
    <row r="3286" ht="33.75" customHeight="1">
      <c r="A3286" s="6" t="s">
        <v>4965</v>
      </c>
      <c r="B3286" s="6" t="str">
        <f>IFERROR(__xludf.DUMMYFUNCTION("GOOGLETRANSLATE(A3286,""en"",""fi"")"),"Se on fossiilista uusiutunut POKéMON. Harvinaisissa tapauksissa on kuitenkin löydetty eläviä esimerkkejä. KABUTO ei ole muuttunut 300 miljoonaan vuoteen.")</f>
        <v>Se on fossiilista uusiutunut POKéMON. Harvinaisissa tapauksissa on kuitenkin löydetty eläviä esimerkkejä. KABUTO ei ole muuttunut 300 miljoonaan vuoteen.</v>
      </c>
      <c r="C3286" s="9" t="s">
        <v>1344</v>
      </c>
    </row>
    <row r="3287" ht="33.75" customHeight="1">
      <c r="A3287" s="6" t="s">
        <v>4966</v>
      </c>
      <c r="B3287" s="6" t="str">
        <f>IFERROR(__xludf.DUMMYFUNCTION("GOOGLETRANSLATE(A3287,""en"",""fi"")"),"Tämä POKéMON luotiin muinaisen olennon fossiilista. Se suojaa itseään kovalla kuorella.")</f>
        <v>Tämä POKéMON luotiin muinaisen olennon fossiilista. Se suojaa itseään kovalla kuorella.</v>
      </c>
      <c r="C3287" s="9" t="s">
        <v>1344</v>
      </c>
    </row>
    <row r="3288" ht="33.75" customHeight="1">
      <c r="A3288" s="6" t="s">
        <v>4968</v>
      </c>
      <c r="B3288" s="6" t="str">
        <f>IFERROR(__xludf.DUMMYFUNCTION("GOOGLETRANSLATE(A3288,""en"",""fi"")"),"POKéMON, joka on uusiutunut kauan sitten merenpohjasta löydetystä fossiilista.")</f>
        <v>POKéMON, joka on uusiutunut kauan sitten merenpohjasta löydetystä fossiilista.</v>
      </c>
      <c r="C3288" s="9" t="s">
        <v>1344</v>
      </c>
    </row>
    <row r="3289" ht="33.75" customHeight="1">
      <c r="A3289" s="6" t="s">
        <v>4969</v>
      </c>
      <c r="B3289" s="6" t="str">
        <f>IFERROR(__xludf.DUMMYFUNCTION("GOOGLETRANSLATE(A3289,""en"",""fi"")"),"Sen uskotaan olleen asuttu rannoilla 300 miljoonaa vuotta sitten. Sitä suojaa jäykkä kuori.")</f>
        <v>Sen uskotaan olleen asuttu rannoilla 300 miljoonaa vuotta sitten. Sitä suojaa jäykkä kuori.</v>
      </c>
      <c r="C3289" s="9" t="s">
        <v>1344</v>
      </c>
    </row>
    <row r="3290" ht="33.75" customHeight="1">
      <c r="A3290" s="6" t="s">
        <v>4971</v>
      </c>
      <c r="B3290" s="6" t="str">
        <f>IFERROR(__xludf.DUMMYFUNCTION("GOOGLETRANSLATE(A3290,""en"",""fi"")"),"Tämä Pokémon eli muinaisina aikoina. Harvinaisissa tapauksissa se on löydetty elävänä fossiilina.")</f>
        <v>Tämä Pokémon eli muinaisina aikoina. Harvinaisissa tapauksissa se on löydetty elävänä fossiilina.</v>
      </c>
      <c r="C3290" s="9" t="s">
        <v>1344</v>
      </c>
    </row>
    <row r="3291" ht="33.75" customHeight="1">
      <c r="A3291" s="6" t="s">
        <v>4972</v>
      </c>
      <c r="B3291" s="6" t="str">
        <f>IFERROR(__xludf.DUMMYFUNCTION("GOOGLETRANSLATE(A3291,""en"",""fi"")"),"Tämä Pokémon luotiin muinaisen olennon fossiilista. Se suojaa itseään kovalla kuorella.")</f>
        <v>Tämä Pokémon luotiin muinaisen olennon fossiilista. Se suojaa itseään kovalla kuorella.</v>
      </c>
      <c r="C3291" s="9" t="s">
        <v>1344</v>
      </c>
    </row>
    <row r="3292" ht="33.75" customHeight="1">
      <c r="A3292" s="6" t="s">
        <v>4973</v>
      </c>
      <c r="B3292" s="6" t="str">
        <f>IFERROR(__xludf.DUMMYFUNCTION("GOOGLETRANSLATE(A3292,""en"",""fi"")"),"Kabuto on fossiilista uusiutunut Pokémon. Hyvin harvinaisissa tapauksissa on kuitenkin löydetty eläviä esimerkkejä. Pokémon ei ole muuttunut lainkaan 300 miljoonaan vuoteen.")</f>
        <v>Kabuto on fossiilista uusiutunut Pokémon. Hyvin harvinaisissa tapauksissa on kuitenkin löydetty eläviä esimerkkejä. Pokémon ei ole muuttunut lainkaan 300 miljoonaan vuoteen.</v>
      </c>
      <c r="C3292" s="9" t="s">
        <v>1344</v>
      </c>
    </row>
    <row r="3293" ht="33.75" customHeight="1">
      <c r="A3293" s="6" t="s">
        <v>4975</v>
      </c>
      <c r="B3293" s="6" t="str">
        <f>IFERROR(__xludf.DUMMYFUNCTION("GOOGLETRANSLATE(A3293,""en"",""fi"")"),"Tämä Pokémon kukoisti 300 miljoonaa vuotta sitten. Sanotaan, että eläviä yksilöitä voi edelleen nähdä tietyllä alueella – harvinainen näky.")</f>
        <v>Tämä Pokémon kukoisti 300 miljoonaa vuotta sitten. Sanotaan, että eläviä yksilöitä voi edelleen nähdä tietyllä alueella – harvinainen näky.</v>
      </c>
      <c r="C3293" s="9" t="s">
        <v>1344</v>
      </c>
    </row>
    <row r="3294" ht="33.75" customHeight="1">
      <c r="A3294" s="6" t="s">
        <v>4977</v>
      </c>
      <c r="B3294" s="6" t="str">
        <f>IFERROR(__xludf.DUMMYFUNCTION("GOOGLETRANSLATE(A3294,""en"",""fi"")"),"Tämä Pokémon kuoli sukupuuttoon kaikkialla, paitsi muutamilla alueilla. Se suojaa itseään kovalla kuorellaan.")</f>
        <v>Tämä Pokémon kuoli sukupuuttoon kaikkialla, paitsi muutamilla alueilla. Se suojaa itseään kovalla kuorellaan.</v>
      </c>
      <c r="C3294" s="9" t="s">
        <v>1344</v>
      </c>
    </row>
    <row r="3295" ht="33.75" customHeight="1">
      <c r="A3295" s="6" t="s">
        <v>4978</v>
      </c>
      <c r="B3295" s="6" t="str">
        <f>IFERROR(__xludf.DUMMYFUNCTION("GOOGLETRANSLATE(A3295,""en"",""fi"")"),"Fossiilista löydetty Pokémon. Se käytti selässään olevia silmiä piileskellessään merenpohjassa.")</f>
        <v>Fossiilista löydetty Pokémon. Se käytti selässään olevia silmiä piileskellessään merenpohjassa.</v>
      </c>
      <c r="C3295" s="9" t="s">
        <v>1344</v>
      </c>
    </row>
    <row r="3296" ht="33.75" customHeight="1">
      <c r="A3296" s="6" t="s">
        <v>4980</v>
      </c>
      <c r="B3296" s="6" t="str">
        <f>IFERROR(__xludf.DUMMYFUNCTION("GOOGLETRANSLATE(A3296,""en"",""fi"")"),"Tämä laji on lähes kokonaan sukupuuttoon kuollut. Kabuto-kakadut sulkasavat kolmen päivän välein, minkä vuoksi niiden kuoret kovenevat ja kovetuvat.")</f>
        <v>Tämä laji on lähes kokonaan sukupuuttoon kuollut. Kabuto-kakadut sulkasavat kolmen päivän välein, minkä vuoksi niiden kuoret kovenevat ja kovetuvat.</v>
      </c>
      <c r="C3296" s="9" t="s">
        <v>1344</v>
      </c>
    </row>
    <row r="3297" ht="33.75" customHeight="1">
      <c r="A3297" s="6" t="s">
        <v>4981</v>
      </c>
      <c r="B3297" s="6" t="str">
        <f>IFERROR(__xludf.DUMMYFUNCTION("GOOGLETRANSLATE(A3297,""en"",""fi"")"),"Vaikka jotkut sanovat tämän lajin kuolleen sukupuuttoon, Kabuto-havainnot ovat ilmeisesti melko yleisiä joissakin paikoissa.")</f>
        <v>Vaikka jotkut sanovat tämän lajin kuolleen sukupuuttoon, Kabuto-havainnot ovat ilmeisesti melko yleisiä joissakin paikoissa.</v>
      </c>
      <c r="C3297" s="9" t="s">
        <v>1344</v>
      </c>
    </row>
    <row r="3298" ht="33.75" customHeight="1">
      <c r="A3298" s="6" t="s">
        <v>4982</v>
      </c>
      <c r="B3298" s="6" t="str">
        <f>IFERROR(__xludf.DUMMYFUNCTION("GOOGLETRANSLATE(A3298,""en"",""fi"")"),"Sen virtaviivainen muoto sopii täydellisesti uimiseen. Se viiltää saalista kynsillään ja imee siitä nesteitä.")</f>
        <v>Sen virtaviivainen muoto sopii täydellisesti uimiseen. Se viiltää saalista kynsillään ja imee siitä nesteitä.</v>
      </c>
      <c r="C3298" s="9" t="s">
        <v>1344</v>
      </c>
    </row>
    <row r="3299" ht="33.75" customHeight="1">
      <c r="A3299" s="6" t="s">
        <v>4984</v>
      </c>
      <c r="B3299" s="6" t="str">
        <f>IFERROR(__xludf.DUMMYFUNCTION("GOOGLETRANSLATE(A3299,""en"",""fi"")"),"Hoikka ja nopea uimari. Se viiltää saalistaan ​​terävillä sirpeillään ja juo sen ruumiinnesteitä.")</f>
        <v>Hoikka ja nopea uimari. Se viiltää saalistaan ​​terävillä sirpeillään ja juo sen ruumiinnesteitä.</v>
      </c>
      <c r="C3299" s="9" t="s">
        <v>1344</v>
      </c>
    </row>
    <row r="3300" ht="33.75" customHeight="1">
      <c r="A3300" s="6" t="s">
        <v>4985</v>
      </c>
      <c r="B3300" s="6" t="str">
        <f>IFERROR(__xludf.DUMMYFUNCTION("GOOGLETRANSLATE(A3300,""en"",""fi"")"),"Vedessä se vetää raajansa sisäänpäin tiivistääkseen kokoaan ja sitten se heiluttelee kuortaan uidakseen nopeasti.")</f>
        <v>Vedessä se vetää raajansa sisäänpäin tiivistääkseen kokoaan ja sitten se heiluttelee kuortaan uidakseen nopeasti.</v>
      </c>
      <c r="C3300" s="9" t="s">
        <v>1344</v>
      </c>
    </row>
    <row r="3301" ht="33.75" customHeight="1">
      <c r="A3301" s="6" t="s">
        <v>4986</v>
      </c>
      <c r="B3301" s="6" t="str">
        <f>IFERROR(__xludf.DUMMYFUNCTION("GOOGLETRANSLATE(A3301,""en"",""fi"")"),"Terävillä kynsillään tämä raivoisa, muinainen POKéMON repii saaliinsa kappaleiksi ja imee niiden ruumiinnesteitä.")</f>
        <v>Terävillä kynsillään tämä raivoisa, muinainen POKéMON repii saaliinsa kappaleiksi ja imee niiden ruumiinnesteitä.</v>
      </c>
      <c r="C3301" s="9" t="s">
        <v>1344</v>
      </c>
    </row>
    <row r="3302" ht="33.75" customHeight="1">
      <c r="A3302" s="6" t="s">
        <v>4987</v>
      </c>
      <c r="B3302" s="6" t="str">
        <f>IFERROR(__xludf.DUMMYFUNCTION("GOOGLETRANSLATE(A3302,""en"",""fi"")"),"Se pystyi uida nopeasti vedessä taittamalla terävät sirppinsä tiiviisti kokoon.")</f>
        <v>Se pystyi uida nopeasti vedessä taittamalla terävät sirppinsä tiiviisti kokoon.</v>
      </c>
      <c r="C3302" s="9" t="s">
        <v>1344</v>
      </c>
    </row>
    <row r="3303" ht="33.75" customHeight="1">
      <c r="A3303" s="6" t="s">
        <v>4989</v>
      </c>
      <c r="B3303" s="6" t="str">
        <f>IFERROR(__xludf.DUMMYFUNCTION("GOOGLETRANSLATE(A3303,""en"",""fi"")"),"Muinaisina aikoina kabutopsit uivat veden alla metsästääkseen saalistaan. Pokémon oli ilmeisesti kehittymässä vesieliöistä maalla eläviksi, kuten sen kidusten ja jalkojen muutokset osoittavat.")</f>
        <v>Muinaisina aikoina kabutopsit uivat veden alla metsästääkseen saalistaan. Pokémon oli ilmeisesti kehittymässä vesieliöistä maalla eläviksi, kuten sen kidusten ja jalkojen muutokset osoittavat.</v>
      </c>
      <c r="C3303" s="9" t="s">
        <v>1344</v>
      </c>
    </row>
    <row r="3304" ht="33.75" customHeight="1">
      <c r="A3304" s="6" t="s">
        <v>4990</v>
      </c>
      <c r="B3304" s="6" t="str">
        <f>IFERROR(__xludf.DUMMYFUNCTION("GOOGLETRANSLATE(A3304,""en"",""fi"")"),"KABUTOPS ui aikoinaan veden alla metsästääkseen saalista. Se oli ilmeisesti kehittymässä vesieliöstä maalla eläväksi, kuten sen kidusten ja jalkojen muutokset osoittavat.")</f>
        <v>KABUTOPS ui aikoinaan veden alla metsästääkseen saalista. Se oli ilmeisesti kehittymässä vesieliöstä maalla eläväksi, kuten sen kidusten ja jalkojen muutokset osoittavat.</v>
      </c>
      <c r="C3304" s="9" t="s">
        <v>1344</v>
      </c>
    </row>
    <row r="3305" ht="33.75" customHeight="1">
      <c r="A3305" s="6" t="s">
        <v>4991</v>
      </c>
      <c r="B3305" s="6" t="str">
        <f>IFERROR(__xludf.DUMMYFUNCTION("GOOGLETRANSLATE(A3305,""en"",""fi"")"),"Se ui vapaasti vedessä. Se pyydystää saaliin viikatteen kaltaisilla käsillään ja imee uhrin nesteet.")</f>
        <v>Se ui vapaasti vedessä. Se pyydystää saaliin viikatteen kaltaisilla käsillään ja imee uhrin nesteet.</v>
      </c>
      <c r="C3305" s="9" t="s">
        <v>1344</v>
      </c>
    </row>
    <row r="3306" ht="33.75" customHeight="1">
      <c r="A3306" s="6" t="s">
        <v>4992</v>
      </c>
      <c r="B3306" s="6" t="str">
        <f>IFERROR(__xludf.DUMMYFUNCTION("GOOGLETRANSLATE(A3306,""en"",""fi"")"),"Sen virtaviivainen muoto on täydellinen uimiseen. Se viiltää saalista kynsillään ja imee sen nesteet pois.")</f>
        <v>Sen virtaviivainen muoto on täydellinen uimiseen. Se viiltää saalista kynsillään ja imee sen nesteet pois.</v>
      </c>
      <c r="C3306" s="9" t="s">
        <v>1344</v>
      </c>
    </row>
    <row r="3307" ht="33.75" customHeight="1">
      <c r="A3307" s="6" t="s">
        <v>4993</v>
      </c>
      <c r="B3307" s="6" t="str">
        <f>IFERROR(__xludf.DUMMYFUNCTION("GOOGLETRANSLATE(A3307,""en"",""fi"")"),"Tämän Pokémonin uskotaan tulleen maalle, koska sen saalis sopeutui maaelämään.")</f>
        <v>Tämän Pokémonin uskotaan tulleen maalle, koska sen saalis sopeutui maaelämään.</v>
      </c>
      <c r="C3307" s="9" t="s">
        <v>1344</v>
      </c>
    </row>
    <row r="3308" ht="33.75" customHeight="1">
      <c r="A3308" s="6" t="s">
        <v>4995</v>
      </c>
      <c r="B3308" s="6" t="str">
        <f>IFERROR(__xludf.DUMMYFUNCTION("GOOGLETRANSLATE(A3308,""en"",""fi"")"),"Terävillä kynsillään tämä raivoisa, muinainen Pokémon repii saaliinsa kappaleiksi ja imee niiden ruumiinnesteitä.")</f>
        <v>Terävillä kynsillään tämä raivoisa, muinainen Pokémon repii saaliinsa kappaleiksi ja imee niiden ruumiinnesteitä.</v>
      </c>
      <c r="C3308" s="9" t="s">
        <v>1344</v>
      </c>
    </row>
    <row r="3309" ht="33.75" customHeight="1">
      <c r="A3309" s="6" t="s">
        <v>4996</v>
      </c>
      <c r="B3309" s="6" t="str">
        <f>IFERROR(__xludf.DUMMYFUNCTION("GOOGLETRANSLATE(A3309,""en"",""fi"")"),"Muinaisina aikoina kabutopsit uivat veden alla metsästääkseen saalistaan. Pokémonit olivat ilmeisesti kehittymässä vesieliöistä maalla eläviksi, mikä käy ilmi sen kidusten ja jalkojen muutoksista.")</f>
        <v>Muinaisina aikoina kabutopsit uivat veden alla metsästääkseen saalistaan. Pokémonit olivat ilmeisesti kehittymässä vesieliöistä maalla eläviksi, mikä käy ilmi sen kidusten ja jalkojen muutoksista.</v>
      </c>
      <c r="C3309" s="9" t="s">
        <v>1344</v>
      </c>
    </row>
    <row r="3310" ht="33.75" customHeight="1">
      <c r="A3310" s="6" t="s">
        <v>4997</v>
      </c>
      <c r="B3310" s="6" t="str">
        <f>IFERROR(__xludf.DUMMYFUNCTION("GOOGLETRANSLATE(A3310,""en"",""fi"")"),"Sen ruumis oli alkanut muuttua, jotta se kykenisi toimimaan maalla. Mutta se ei sopeutunut ajoissa ja kuoli sukupuuttoon.")</f>
        <v>Sen ruumis oli alkanut muuttua, jotta se kykenisi toimimaan maalla. Mutta se ei sopeutunut ajoissa ja kuoli sukupuuttoon.</v>
      </c>
      <c r="C3310" s="9" t="s">
        <v>1344</v>
      </c>
    </row>
    <row r="3311" ht="33.75" customHeight="1">
      <c r="A3311" s="6" t="s">
        <v>4998</v>
      </c>
      <c r="B3311" s="6" t="str">
        <f>IFERROR(__xludf.DUMMYFUNCTION("GOOGLETRANSLATE(A3311,""en"",""fi"")"),"Se ui noin 29 solmun nopeudella, lähestyy nopeasti saalistaan ​​ja viivoittaa sitä viikatteillaan lopettaakseen sen.")</f>
        <v>Se ui noin 29 solmun nopeudella, lähestyy nopeasti saalistaan ​​ja viivoittaa sitä viikatteillaan lopettaakseen sen.</v>
      </c>
      <c r="C3311" s="9" t="s">
        <v>1344</v>
      </c>
    </row>
    <row r="3312" ht="33.75" customHeight="1">
      <c r="A3312" s="6" t="s">
        <v>4999</v>
      </c>
      <c r="B3312" s="6" t="str">
        <f>IFERROR(__xludf.DUMMYFUNCTION("GOOGLETRANSLATE(A3312,""en"",""fi"")"),"Hoikka ja nopea uimari. Se viilsi saalistaan ​​terävillä sirpeillään ja joi sen ruumiinnesteet.")</f>
        <v>Hoikka ja nopea uimari. Se viilsi saalistaan ​​terävillä sirpeillään ja joi sen ruumiinnesteet.</v>
      </c>
      <c r="C3312" s="9" t="s">
        <v>1344</v>
      </c>
    </row>
    <row r="3313" ht="33.75" customHeight="1">
      <c r="A3313" s="6" t="s">
        <v>5000</v>
      </c>
      <c r="B3313" s="6" t="str">
        <f>IFERROR(__xludf.DUMMYFUNCTION("GOOGLETRANSLATE(A3313,""en"",""fi"")"),"Kabutops viipaloi saaliinsa ja imee nesteet ulos. Hylätyistä ruumiinosista tulee ruokaa muille Pokémoneille.")</f>
        <v>Kabutops viipaloi saaliinsa ja imee nesteet ulos. Hylätyistä ruumiinosista tulee ruokaa muille Pokémoneille.</v>
      </c>
      <c r="C3313" s="9" t="s">
        <v>1344</v>
      </c>
    </row>
    <row r="3314" ht="33.75" customHeight="1">
      <c r="A3314" s="6" t="s">
        <v>5001</v>
      </c>
      <c r="B3314" s="6" t="str">
        <f>IFERROR(__xludf.DUMMYFUNCTION("GOOGLETRANSLATE(A3314,""en"",""fi"")"),"Tämän lajin sukupuuton syytä ei tiedetä. Kabutopsit olivat aggressiivisia Pokémoneja, jotka asuttivat lämpimiä meriä.")</f>
        <v>Tämän lajin sukupuuton syytä ei tiedetä. Kabutopsit olivat aggressiivisia Pokémoneja, jotka asuttivat lämpimiä meriä.</v>
      </c>
      <c r="C3314" s="9" t="s">
        <v>1344</v>
      </c>
    </row>
    <row r="3315" ht="33.75" customHeight="1">
      <c r="A3315" s="6" t="s">
        <v>5002</v>
      </c>
      <c r="B3315" s="6" t="str">
        <f>IFERROR(__xludf.DUMMYFUNCTION("GOOGLETRANSLATE(A3315,""en"",""fi"")"),"Raivoisa, esihistoriallinen POKéMON, joka hyökkää vihollisen kurkkuun sahalaitaisilla, sahan kaltaisilla hampaillaan.")</f>
        <v>Raivoisa, esihistoriallinen POKéMON, joka hyökkää vihollisen kurkkuun sahalaitaisilla, sahan kaltaisilla hampaillaan.</v>
      </c>
      <c r="C3315" s="9" t="s">
        <v>1344</v>
      </c>
    </row>
    <row r="3316" ht="33.75" customHeight="1">
      <c r="A3316" s="6" t="s">
        <v>5004</v>
      </c>
      <c r="B3316" s="6" t="str">
        <f>IFERROR(__xludf.DUMMYFUNCTION("GOOGLETRANSLATE(A3316,""en"",""fi"")"),"Villi POKéMON, joka kuoli sukupuuttoon muinaisina aikoina. Se herätettiin henkiin meripihkasta otetulla DNA:lla.")</f>
        <v>Villi POKéMON, joka kuoli sukupuuttoon muinaisina aikoina. Se herätettiin henkiin meripihkasta otetulla DNA:lla.</v>
      </c>
      <c r="C3316" s="9" t="s">
        <v>1344</v>
      </c>
    </row>
    <row r="3317" ht="33.75" customHeight="1">
      <c r="A3317" s="6" t="s">
        <v>5005</v>
      </c>
      <c r="B3317" s="6" t="str">
        <f>IFERROR(__xludf.DUMMYFUNCTION("GOOGLETRANSLATE(A3317,""en"",""fi"")"),"Kaukaisesta menneisyydestä peräisin oleva ilkeä POKéMON näyttää lentäneen levittämällä siipensä ja liitämällä.")</f>
        <v>Kaukaisesta menneisyydestä peräisin oleva ilkeä POKéMON näyttää lentäneen levittämällä siipensä ja liitämällä.</v>
      </c>
      <c r="C3317" s="9" t="s">
        <v>1344</v>
      </c>
    </row>
    <row r="3318" ht="33.75" customHeight="1">
      <c r="A3318" s="6" t="s">
        <v>5006</v>
      </c>
      <c r="B3318" s="6" t="str">
        <f>IFERROR(__xludf.DUMMYFUNCTION("GOOGLETRANSLATE(A3318,""en"",""fi"")"),"Tämän ilkeän POKé MONin kerrotaan lentäneen muinaisella taivaalla kirkuen korkeita huutoja.")</f>
        <v>Tämän ilkeän POKé MONin kerrotaan lentäneen muinaisella taivaalla kirkuen korkeita huutoja.</v>
      </c>
      <c r="C3318" s="9" t="s">
        <v>1344</v>
      </c>
    </row>
    <row r="3319" ht="33.75" customHeight="1">
      <c r="A3319" s="6" t="s">
        <v>5007</v>
      </c>
      <c r="B3319" s="6" t="str">
        <f>IFERROR(__xludf.DUMMYFUNCTION("GOOGLETRANSLATE(A3319,""en"",""fi"")"),"Esihistoriallisina aikoina tämä POKéMON lensi vapaasti ja pelottomasti taivaalla.")</f>
        <v>Esihistoriallisina aikoina tämä POKéMON lensi vapaasti ja pelottomasti taivaalla.</v>
      </c>
      <c r="C3319" s="9" t="s">
        <v>1344</v>
      </c>
    </row>
    <row r="3320" ht="33.75" customHeight="1">
      <c r="A3320" s="6" t="s">
        <v>5009</v>
      </c>
      <c r="B3320" s="6" t="str">
        <f>IFERROR(__xludf.DUMMYFUNCTION("GOOGLETRANSLATE(A3320,""en"",""fi"")"),"AERODACTYL on dinosaurusten aikakauden POKéMON. Se luotiin uudelleen meripihkasta uutetusta geneettisestä materiaalista. Sen uskotaan olleen taivaiden kuningas muinaisissa ajoissa.")</f>
        <v>AERODACTYL on dinosaurusten aikakauden POKéMON. Se luotiin uudelleen meripihkasta uutetusta geneettisestä materiaalista. Sen uskotaan olleen taivaiden kuningas muinaisissa ajoissa.</v>
      </c>
      <c r="C3320" s="9" t="s">
        <v>1344</v>
      </c>
    </row>
    <row r="3321" ht="33.75" customHeight="1">
      <c r="A3321" s="6" t="s">
        <v>5010</v>
      </c>
      <c r="B3321" s="6" t="str">
        <f>IFERROR(__xludf.DUMMYFUNCTION("GOOGLETRANSLATE(A3321,""en"",""fi"")"),"AERODACTYL on dinosaurusten aikakauden POKéMON. Se luotiin uudelleen meripihkasta uutetusta DNA:sta. Sen uskotaan olleen taivaiden kuningas.")</f>
        <v>AERODACTYL on dinosaurusten aikakauden POKéMON. Se luotiin uudelleen meripihkasta uutetusta DNA:sta. Sen uskotaan olleen taivaiden kuningas.</v>
      </c>
      <c r="C3321" s="9" t="s">
        <v>1344</v>
      </c>
    </row>
    <row r="3322" ht="33.75" customHeight="1">
      <c r="A3322" s="6" t="s">
        <v>5012</v>
      </c>
      <c r="B3322" s="6" t="str">
        <f>IFERROR(__xludf.DUMMYFUNCTION("GOOGLETRANSLATE(A3322,""en"",""fi"")"),"Se luotiin uudelleen dinosauruksen geneettisestä aineksesta, jota löydettiin meripihkasta. Se lentää korkeilla äänillä.")</f>
        <v>Se luotiin uudelleen dinosauruksen geneettisestä aineksesta, jota löydettiin meripihkasta. Se lentää korkeilla äänillä.</v>
      </c>
      <c r="C3322" s="9" t="s">
        <v>1344</v>
      </c>
    </row>
    <row r="3323" ht="33.75" customHeight="1">
      <c r="A3323" s="6" t="s">
        <v>5013</v>
      </c>
      <c r="B3323" s="6" t="str">
        <f>IFERROR(__xludf.DUMMYFUNCTION("GOOGLETRANSLATE(A3323,""en"",""fi"")"),"Raivoisa, esihistoriallinen POKéMON, joka hyökkää vihollisen kurkkuun sahalaitaisilla, sahan kaltaisilla hampaillaan.")</f>
        <v>Raivoisa, esihistoriallinen POKéMON, joka hyökkää vihollisen kurkkuun sahalaitaisilla, sahan kaltaisilla hampaillaan.</v>
      </c>
      <c r="C3323" s="9" t="s">
        <v>1344</v>
      </c>
    </row>
    <row r="3324" ht="33.75" customHeight="1">
      <c r="A3324" s="6" t="s">
        <v>5015</v>
      </c>
      <c r="B3324" s="6" t="str">
        <f>IFERROR(__xludf.DUMMYFUNCTION("GOOGLETRANSLATE(A3324,""en"",""fi"")"),"Pokémon, joka vaelsi taivailla dinosaurusten aikakaudella. Sen hampaat ovat kuin sahanterät.")</f>
        <v>Pokémon, joka vaelsi taivailla dinosaurusten aikakaudella. Sen hampaat ovat kuin sahanterät.</v>
      </c>
      <c r="C3324" s="9" t="s">
        <v>1344</v>
      </c>
    </row>
    <row r="3325" ht="33.75" customHeight="1">
      <c r="A3325" s="6" t="s">
        <v>5016</v>
      </c>
      <c r="B3325" s="6" t="str">
        <f>IFERROR(__xludf.DUMMYFUNCTION("GOOGLETRANSLATE(A3325,""en"",""fi"")"),"Kaukaisesta menneisyydestä peräisin oleva ilkeä Pokémon näyttää lentäneen levittämällä siipiään ja liitämällä.")</f>
        <v>Kaukaisesta menneisyydestä peräisin oleva ilkeä Pokémon näyttää lentäneen levittämällä siipiään ja liitämällä.</v>
      </c>
      <c r="C3325" s="9" t="s">
        <v>1344</v>
      </c>
    </row>
    <row r="3326" ht="33.75" customHeight="1">
      <c r="A3326" s="6" t="s">
        <v>5017</v>
      </c>
      <c r="B3326" s="6" t="str">
        <f>IFERROR(__xludf.DUMMYFUNCTION("GOOGLETRANSLATE(A3326,""en"",""fi"")"),"Tämän ilkeän Pokémonin sanotaan lentäneen muinaisilla taivailla kirkuen korkeita huutoja.")</f>
        <v>Tämän ilkeän Pokémonin sanotaan lentäneen muinaisilla taivailla kirkuen korkeita huutoja.</v>
      </c>
      <c r="C3326" s="9" t="s">
        <v>1344</v>
      </c>
    </row>
    <row r="3327" ht="33.75" customHeight="1">
      <c r="A3327" s="6" t="s">
        <v>5018</v>
      </c>
      <c r="B3327" s="6" t="str">
        <f>IFERROR(__xludf.DUMMYFUNCTION("GOOGLETRANSLATE(A3327,""en"",""fi"")"),"Aerodactyl on dinosaurusten aikakauden Pokémon. Se luotiin uudelleen meripihkasta uutetusta geneettisestä materiaalista. Sen uskotaan olleen taivaiden kuningas muinaisina aikoina.")</f>
        <v>Aerodactyl on dinosaurusten aikakauden Pokémon. Se luotiin uudelleen meripihkasta uutetusta geneettisestä materiaalista. Sen uskotaan olleen taivaiden kuningas muinaisina aikoina.</v>
      </c>
      <c r="C3327" s="9" t="s">
        <v>1344</v>
      </c>
    </row>
    <row r="3328" ht="33.75" customHeight="1">
      <c r="A3328" s="6" t="s">
        <v>5020</v>
      </c>
      <c r="B3328" s="6" t="str">
        <f>IFERROR(__xludf.DUMMYFUNCTION("GOOGLETRANSLATE(A3328,""en"",""fi"")"),"Dinosaurusten aikakauden Pokémon. Se käytti sahamaisia ​​hampaitaan saaliinsa silppuamiseen ennen sen syömistä.")</f>
        <v>Dinosaurusten aikakauden Pokémon. Se käytti sahamaisia ​​hampaitaan saaliinsa silppuamiseen ennen sen syömistä.</v>
      </c>
      <c r="C3328" s="9" t="s">
        <v>1344</v>
      </c>
    </row>
    <row r="3329" ht="33.75" customHeight="1">
      <c r="A3329" s="6" t="s">
        <v>5022</v>
      </c>
      <c r="B3329" s="6" t="str">
        <f>IFERROR(__xludf.DUMMYFUNCTION("GOOGLETRANSLATE(A3329,""en"",""fi"")"),"Muinaisina aikoina se hallitsi taivaita. Yleisesti hyväksytyn teorian mukaan se kuoli sukupuuttoon suuren meteoritörmäyksen seurauksena.")</f>
        <v>Muinaisina aikoina se hallitsi taivaita. Yleisesti hyväksytyn teorian mukaan se kuoli sukupuuttoon suuren meteoritörmäyksen seurauksena.</v>
      </c>
      <c r="C3329" s="9" t="s">
        <v>1344</v>
      </c>
    </row>
    <row r="3330" ht="33.75" customHeight="1">
      <c r="A3330" s="6" t="s">
        <v>5023</v>
      </c>
      <c r="B3330" s="6" t="str">
        <f>IFERROR(__xludf.DUMMYFUNCTION("GOOGLETRANSLATE(A3330,""en"",""fi"")"),"Meripihkasta löydetystä DNA:sta ennallistettu Pokémon osoitti odotettua suurempaa raivoa. Joitakin uhreja seurasi.")</f>
        <v>Meripihkasta löydetystä DNA:sta ennallistettu Pokémon osoitti odotettua suurempaa raivoa. Joitakin uhreja seurasi.</v>
      </c>
      <c r="C3330" s="9" t="s">
        <v>1344</v>
      </c>
    </row>
    <row r="3331" ht="33.75" customHeight="1">
      <c r="A3331" s="6" t="s">
        <v>5024</v>
      </c>
      <c r="B3331" s="6" t="str">
        <f>IFERROR(__xludf.DUMMYFUNCTION("GOOGLETRANSLATE(A3331,""en"",""fi"")"),"Se lensi muinaisen mantereen yllä avoimen taivaan halki kuin omansa. Maata koskettaessaan sen kävely oli heikkoa ja hidasta.")</f>
        <v>Se lensi muinaisen mantereen yllä avoimen taivaan halki kuin omansa. Maata koskettaessaan sen kävely oli heikkoa ja hidasta.</v>
      </c>
      <c r="C3331" s="9" t="s">
        <v>1344</v>
      </c>
    </row>
    <row r="3332" ht="33.75" customHeight="1">
      <c r="A3332" s="6" t="s">
        <v>5026</v>
      </c>
      <c r="B3332" s="6" t="str">
        <f>IFERROR(__xludf.DUMMYFUNCTION("GOOGLETRANSLATE(A3332,""en"",""fi"")"),"Villi Pokémon, joka kuoli sukupuuttoon muinaisina aikoina. Se herätettiin henkiin meripihkasta otetulla DNA:lla.")</f>
        <v>Villi Pokémon, joka kuoli sukupuuttoon muinaisina aikoina. Se herätettiin henkiin meripihkasta otetulla DNA:lla.</v>
      </c>
      <c r="C3332" s="9" t="s">
        <v>1344</v>
      </c>
    </row>
    <row r="3333" ht="33.75" customHeight="1">
      <c r="A3333" s="6" t="s">
        <v>5027</v>
      </c>
      <c r="B3333" s="6" t="str">
        <f>IFERROR(__xludf.DUMMYFUNCTION("GOOGLETRANSLATE(A3333,""en"",""fi"")"),"Tämä on hurja Pokémon muinaisista ajoista. Ilmeisesti edes nykyteknologia ei kykene tuottamaan täydellisesti restauroitua yksilöä.")</f>
        <v>Tämä on hurja Pokémon muinaisista ajoista. Ilmeisesti edes nykyteknologia ei kykene tuottamaan täydellisesti restauroitua yksilöä.</v>
      </c>
      <c r="C3333" s="9" t="s">
        <v>1344</v>
      </c>
    </row>
    <row r="3334" ht="33.75" customHeight="1">
      <c r="A3334" s="6" t="s">
        <v>5028</v>
      </c>
      <c r="B3334" s="6" t="str">
        <f>IFERROR(__xludf.DUMMYFUNCTION("GOOGLETRANSLATE(A3334,""en"",""fi"")"),"Aerodactylin sahan kaltaiset kulmahampaat voivat repiä ihon kappaleiksi – jopa terästyyppisen Pokémonin ihon.")</f>
        <v>Aerodactylin sahan kaltaiset kulmahampaat voivat repiä ihon kappaleiksi – jopa terästyyppisen Pokémonin ihon.</v>
      </c>
      <c r="C3334" s="9" t="s">
        <v>1344</v>
      </c>
    </row>
    <row r="3335" ht="33.75" customHeight="1">
      <c r="A3335" s="6" t="s">
        <v>5029</v>
      </c>
      <c r="B3335" s="6" t="str">
        <f>IFERROR(__xludf.DUMMYFUNCTION("GOOGLETRANSLATE(A3335,""en"",""fi"")"),"Hyvin laiska. Syö ja nukkuu vain. Kun sen pyöreä massa kasvaa, siitä tulee yhä laiskampi.")</f>
        <v>Hyvin laiska. Syö ja nukkuu vain. Kun sen pyöreä massa kasvaa, siitä tulee yhä laiskampi.</v>
      </c>
      <c r="C3335" s="9" t="s">
        <v>1344</v>
      </c>
    </row>
    <row r="3336" ht="33.75" customHeight="1">
      <c r="A3336" s="6" t="s">
        <v>5031</v>
      </c>
      <c r="B3336" s="6" t="str">
        <f>IFERROR(__xludf.DUMMYFUNCTION("GOOGLETRANSLATE(A3336,""en"",""fi"")"),"Syö mitä tahansa, vaikka ruoka sattuisi olemaan vähän homeista. Vatsa ei koskaan mene sekaisin.")</f>
        <v>Syö mitä tahansa, vaikka ruoka sattuisi olemaan vähän homeista. Vatsa ei koskaan mene sekaisin.</v>
      </c>
      <c r="C3336" s="9" t="s">
        <v>1344</v>
      </c>
    </row>
    <row r="3337" ht="33.75" customHeight="1">
      <c r="A3337" s="6" t="s">
        <v>5032</v>
      </c>
      <c r="B3337" s="6" t="str">
        <f>IFERROR(__xludf.DUMMYFUNCTION("GOOGLETRANSLATE(A3337,""en"",""fi"")"),"Se, mikä kuulostaa sen huudolta, voi todellisuudessa olla sen kuorsausta tai nälkäisen vatsan kurnimista.")</f>
        <v>Se, mikä kuulostaa sen huudolta, voi todellisuudessa olla sen kuorsausta tai nälkäisen vatsan kurnimista.</v>
      </c>
      <c r="C3337" s="9" t="s">
        <v>1344</v>
      </c>
    </row>
    <row r="3338" ht="33.75" customHeight="1">
      <c r="A3338" s="6" t="s">
        <v>5033</v>
      </c>
      <c r="B3338" s="6" t="str">
        <f>IFERROR(__xludf.DUMMYFUNCTION("GOOGLETRANSLATE(A3338,""en"",""fi"")"),"Sen mahan ruoansulatusnesteet voivat liuottaa minkä tahansa tyyppisiä myrkkyjä. Se voi jopa syödä maasta irronneita esineitä.")</f>
        <v>Sen mahan ruoansulatusnesteet voivat liuottaa minkä tahansa tyyppisiä myrkkyjä. Se voi jopa syödä maasta irronneita esineitä.</v>
      </c>
      <c r="C3338" s="9" t="s">
        <v>1344</v>
      </c>
    </row>
    <row r="3339" ht="33.75" customHeight="1">
      <c r="A3339" s="6" t="s">
        <v>5035</v>
      </c>
      <c r="B3339" s="6" t="str">
        <f>IFERROR(__xludf.DUMMYFUNCTION("GOOGLETRANSLATE(A3339,""en"",""fi"")"),"Tämän POKéMONin vatsa on niin vahva, ettei edes homeisen tai pilaantuneen ruoan syöminen vaikuta siihen.")</f>
        <v>Tämän POKéMONin vatsa on niin vahva, ettei edes homeisen tai pilaantuneen ruoan syöminen vaikuta siihen.</v>
      </c>
      <c r="C3339" s="9" t="s">
        <v>1344</v>
      </c>
    </row>
    <row r="3340" ht="33.75" customHeight="1">
      <c r="A3340" s="6" t="s">
        <v>5036</v>
      </c>
      <c r="B3340" s="6" t="str">
        <f>IFERROR(__xludf.DUMMYFUNCTION("GOOGLETRANSLATE(A3340,""en"",""fi"")"),"SNORLAXin tyypillinen päivä koostuu pelkästä syömisestä ja nukkumisesta. Se on niin säyseä POKéMON, että jotkut lapset käyttävät sen valtavaa vatsaa leikkipaikkana.")</f>
        <v>SNORLAXin tyypillinen päivä koostuu pelkästä syömisestä ja nukkumisesta. Se on niin säyseä POKéMON, että jotkut lapset käyttävät sen valtavaa vatsaa leikkipaikkana.</v>
      </c>
      <c r="C3340" s="9" t="s">
        <v>1344</v>
      </c>
    </row>
    <row r="3341" ht="33.75" customHeight="1">
      <c r="A3341" s="6" t="s">
        <v>5037</v>
      </c>
      <c r="B3341" s="6" t="str">
        <f>IFERROR(__xludf.DUMMYFUNCTION("GOOGLETRANSLATE(A3341,""en"",""fi"")"),"SNORLAXin tyypillinen päivä koostuu pelkästä syömisestä ja nukkumisesta. Se on niin säyseä POKéMON, että jotkut lapset käyttävät sen isoa vatsaa leikkipaikkana.")</f>
        <v>SNORLAXin tyypillinen päivä koostuu pelkästä syömisestä ja nukkumisesta. Se on niin säyseä POKéMON, että jotkut lapset käyttävät sen isoa vatsaa leikkipaikkana.</v>
      </c>
      <c r="C3341" s="9" t="s">
        <v>1344</v>
      </c>
    </row>
    <row r="3342" ht="33.75" customHeight="1">
      <c r="A3342" s="6" t="s">
        <v>5038</v>
      </c>
      <c r="B3342" s="6" t="str">
        <f>IFERROR(__xludf.DUMMYFUNCTION("GOOGLETRANSLATE(A3342,""en"",""fi"")"),"Se ei ole kylläinen, ellei se syö yli 400 kiloa ruokaa joka päivä. Syötyään se menee heti nukkumaan.")</f>
        <v>Se ei ole kylläinen, ellei se syö yli 400 kiloa ruokaa joka päivä. Syötyään se menee heti nukkumaan.</v>
      </c>
      <c r="C3342" s="9" t="s">
        <v>1344</v>
      </c>
    </row>
    <row r="3343" ht="33.75" customHeight="1">
      <c r="A3343" s="6" t="s">
        <v>5040</v>
      </c>
      <c r="B3343" s="6" t="str">
        <f>IFERROR(__xludf.DUMMYFUNCTION("GOOGLETRANSLATE(A3343,""en"",""fi"")"),"Sen vatsa voi sulattaa minkä tahansa ruoan, vaikka se sattuisi olemaan homeista tai mätää.")</f>
        <v>Sen vatsa voi sulattaa minkä tahansa ruoan, vaikka se sattuisi olemaan homeista tai mätää.</v>
      </c>
      <c r="C3343" s="9" t="s">
        <v>1344</v>
      </c>
    </row>
    <row r="3344" ht="33.75" customHeight="1">
      <c r="A3344" s="6" t="s">
        <v>5041</v>
      </c>
      <c r="B3344" s="6" t="str">
        <f>IFERROR(__xludf.DUMMYFUNCTION("GOOGLETRANSLATE(A3344,""en"",""fi"")"),"Se lopettaa syömisen vain nukkuakseen. Se ei tunne oloaan kylläiseksi, ellei se syö lähes 400 kiloa päivässä.")</f>
        <v>Se lopettaa syömisen vain nukkuakseen. Se ei tunne oloaan kylläiseksi, ellei se syö lähes 400 kiloa päivässä.</v>
      </c>
      <c r="C3344" s="9" t="s">
        <v>1344</v>
      </c>
    </row>
    <row r="3345" ht="33.75" customHeight="1">
      <c r="A3345" s="6" t="s">
        <v>5042</v>
      </c>
      <c r="B3345" s="6" t="str">
        <f>IFERROR(__xludf.DUMMYFUNCTION("GOOGLETRANSLATE(A3345,""en"",""fi"")"),"Kun sen vatsa on täynnä, siitä tulee liian apaattinen edes nostaakseen sormea, joten se on turvallista pomppia vatsallaan.")</f>
        <v>Kun sen vatsa on täynnä, siitä tulee liian apaattinen edes nostaakseen sormea, joten se on turvallista pomppia vatsallaan.</v>
      </c>
      <c r="C3345" s="9" t="s">
        <v>1344</v>
      </c>
    </row>
    <row r="3346" ht="33.75" customHeight="1">
      <c r="A3346" s="6" t="s">
        <v>5043</v>
      </c>
      <c r="B3346" s="6" t="str">
        <f>IFERROR(__xludf.DUMMYFUNCTION("GOOGLETRANSLATE(A3346,""en"",""fi"")"),"Se, mikä kuulostaa sen huudolta, voi todellisuudessa olla sen kuorsausta tai nälkäisen vatsan kurnimista.")</f>
        <v>Se, mikä kuulostaa sen huudolta, voi todellisuudessa olla sen kuorsausta tai nälkäisen vatsan kurnimista.</v>
      </c>
      <c r="C3346" s="9" t="s">
        <v>1344</v>
      </c>
    </row>
    <row r="3347" ht="33.75" customHeight="1">
      <c r="A3347" s="6" t="s">
        <v>5044</v>
      </c>
      <c r="B3347" s="6" t="str">
        <f>IFERROR(__xludf.DUMMYFUNCTION("GOOGLETRANSLATE(A3347,""en"",""fi"")"),"Sen mahan ruoansulatusnesteet voivat liuottaa minkä tahansa tyyppisiä myrkkyjä. Se voi jopa syödä maasta irronneita esineitä.")</f>
        <v>Sen mahan ruoansulatusnesteet voivat liuottaa minkä tahansa tyyppisiä myrkkyjä. Se voi jopa syödä maasta irronneita esineitä.</v>
      </c>
      <c r="C3347" s="9" t="s">
        <v>1344</v>
      </c>
    </row>
    <row r="3348" ht="33.75" customHeight="1">
      <c r="A3348" s="6" t="s">
        <v>5045</v>
      </c>
      <c r="B3348" s="6" t="str">
        <f>IFERROR(__xludf.DUMMYFUNCTION("GOOGLETRANSLATE(A3348,""en"",""fi"")"),"Snorlaxin tyypillinen päivä koostuu vain syömisestä ja nukkumisesta. Se on niin säyseä Pokémon, että jotkut lapset käyttävät sen laajaa vatsaa leikkipaikkana.")</f>
        <v>Snorlaxin tyypillinen päivä koostuu vain syömisestä ja nukkumisesta. Se on niin säyseä Pokémon, että jotkut lapset käyttävät sen laajaa vatsaa leikkipaikkana.</v>
      </c>
      <c r="C3348" s="9" t="s">
        <v>1344</v>
      </c>
    </row>
    <row r="3349" ht="33.75" customHeight="1">
      <c r="A3349" s="6" t="s">
        <v>5047</v>
      </c>
      <c r="B3349" s="6" t="str">
        <f>IFERROR(__xludf.DUMMYFUNCTION("GOOGLETRANSLATE(A3349,""en"",""fi"")"),"Sen vatsan sanotaan olevan verrattoman vahva. Jopa Mukin myrkky on vain häivähdys mausteita Snorlaxin kielellä.")</f>
        <v>Sen vatsan sanotaan olevan verrattoman vahva. Jopa Mukin myrkky on vain häivähdys mausteita Snorlaxin kielellä.</v>
      </c>
      <c r="C3349" s="9" t="s">
        <v>1344</v>
      </c>
    </row>
    <row r="3350" ht="33.75" customHeight="1">
      <c r="A3350" s="6" t="s">
        <v>5048</v>
      </c>
      <c r="B3350" s="6" t="str">
        <f>IFERROR(__xludf.DUMMYFUNCTION("GOOGLETRANSLATE(A3350,""en"",""fi"")"),"Se syö lähes 400 kiloa ruokaa joka päivä. Se alkaa torkahtaa syödessään – ja jatkaa syömistä jopa nukkuessaan.")</f>
        <v>Se syö lähes 400 kiloa ruokaa joka päivä. Se alkaa torkahtaa syödessään – ja jatkaa syömistä jopa nukkuessaan.</v>
      </c>
      <c r="C3350" s="9" t="s">
        <v>1344</v>
      </c>
    </row>
    <row r="3351" ht="33.75" customHeight="1">
      <c r="A3351" s="6" t="s">
        <v>5049</v>
      </c>
      <c r="B3351" s="6" t="str">
        <f>IFERROR(__xludf.DUMMYFUNCTION("GOOGLETRANSLATE(A3351,""en"",""fi"")"),"Se ei tee mitään muuta kuin syö ja nukkuu. Kun sitä kehotetaan ponnistelemaan tosissaan, se ilmeisesti osoittaa mahtavaa voimaa.")</f>
        <v>Se ei tee mitään muuta kuin syö ja nukkuu. Kun sitä kehotetaan ponnistelemaan tosissaan, se ilmeisesti osoittaa mahtavaa voimaa.</v>
      </c>
      <c r="C3351" s="9" t="s">
        <v>1344</v>
      </c>
    </row>
    <row r="3352" ht="33.75" customHeight="1">
      <c r="A3352" s="6" t="s">
        <v>5050</v>
      </c>
      <c r="B3352" s="6" t="str">
        <f>IFERROR(__xludf.DUMMYFUNCTION("GOOGLETRANSLATE(A3352,""en"",""fi"")"),"Se ei ole kiinnostunut mistään muusta kuin syömisestä. Vaikka kiipeäisit sen vatsalle sen nukkuessa, se ei näytä välittävän ollenkaan!")</f>
        <v>Se ei ole kiinnostunut mistään muusta kuin syömisestä. Vaikka kiipeäisit sen vatsalle sen nukkuessa, se ei näytä välittävän ollenkaan!</v>
      </c>
      <c r="C3352" s="9" t="s">
        <v>1344</v>
      </c>
    </row>
    <row r="3353" ht="33.75" customHeight="1">
      <c r="A3353" s="6" t="s">
        <v>5052</v>
      </c>
      <c r="B3353" s="6" t="str">
        <f>IFERROR(__xludf.DUMMYFUNCTION("GOOGLETRANSLATE(A3353,""en"",""fi"")"),"Tämän Pokémonin vatsa on niin vahva, ettei edes homeisen tai pilaantuneen ruoan syöminen vaikuta siihen.")</f>
        <v>Tämän Pokémonin vatsa on niin vahva, ettei edes homeisen tai pilaantuneen ruoan syöminen vaikuta siihen.</v>
      </c>
      <c r="C3353" s="9" t="s">
        <v>1344</v>
      </c>
    </row>
    <row r="3354" ht="33.75" customHeight="1">
      <c r="A3354" s="6" t="s">
        <v>5053</v>
      </c>
      <c r="B3354" s="6" t="str">
        <f>IFERROR(__xludf.DUMMYFUNCTION("GOOGLETRANSLATE(A3354,""en"",""fi"")"),"Tämä ahmatti ilmestyy kyliin varoittamatta ja ahmii kaikki niiden riisiviljat – tällaisia ​​​​tapauksia on pitkään pidetty vakavimpien katastrofien joukossa.")</f>
        <v>Tämä ahmatti ilmestyy kyliin varoittamatta ja ahmii kaikki niiden riisiviljat – tällaisia ​​​​tapauksia on pitkään pidetty vakavimpien katastrofien joukossa.</v>
      </c>
      <c r="C3354" s="9" t="s">
        <v>1344</v>
      </c>
    </row>
    <row r="3355" ht="33.75" customHeight="1">
      <c r="A3355" s="6" t="s">
        <v>5055</v>
      </c>
      <c r="B3355" s="6" t="str">
        <f>IFERROR(__xludf.DUMMYFUNCTION("GOOGLETRANSLATE(A3355,""en"",""fi"")"),"Legendaarinen lintu-POKéMON, jonka sanotaan ilmestyvän jäisiin vuoriin eksyneille tuhoon tuomituille ihmisille.")</f>
        <v>Legendaarinen lintu-POKéMON, jonka sanotaan ilmestyvän jäisiin vuoriin eksyneille tuhoon tuomituille ihmisille.</v>
      </c>
      <c r="C3355" s="9" t="s">
        <v>1344</v>
      </c>
    </row>
    <row r="3356" ht="33.75" customHeight="1">
      <c r="A3356" s="6" t="s">
        <v>5056</v>
      </c>
      <c r="B3356" s="6" t="str">
        <f>IFERROR(__xludf.DUMMYFUNCTION("GOOGLETRANSLATE(A3356,""en"",""fi"")"),"Legendaarinen lintu-POKéMON. Se jäädyttää talvi-ilmassa olevan veden ja tekee siitä lunta.")</f>
        <v>Legendaarinen lintu-POKéMON. Se jäädyttää talvi-ilmassa olevan veden ja tekee siitä lunta.</v>
      </c>
      <c r="C3356" s="9" t="s">
        <v>1344</v>
      </c>
    </row>
    <row r="3357" ht="33.75" customHeight="1">
      <c r="A3357" s="6" t="s">
        <v>5059</v>
      </c>
      <c r="B3357" s="6" t="str">
        <f>IFERROR(__xludf.DUMMYFUNCTION("GOOGLETRANSLATE(A3357,""en"",""fi"")"),"Tämän legendaarisen lintu-POKéMONin upeiden, näennäisen läpikuultavien siipien sanotaan olevan tehty jäästä.")</f>
        <v>Tämän legendaarisen lintu-POKéMONin upeiden, näennäisen läpikuultavien siipien sanotaan olevan tehty jäästä.</v>
      </c>
      <c r="C3357" s="9" t="s">
        <v>1344</v>
      </c>
    </row>
    <row r="3358" ht="33.75" customHeight="1">
      <c r="A3358" s="6" t="s">
        <v>5061</v>
      </c>
      <c r="B3358" s="6" t="str">
        <f>IFERROR(__xludf.DUMMYFUNCTION("GOOGLETRANSLATE(A3358,""en"",""fi"")"),"Yksi legendaarisista Pokémon-linnuista, se jäähdyttää ilmakehän kosteutta luodakseen lunta lentäessään.")</f>
        <v>Yksi legendaarisista Pokémon-linnuista, se jäähdyttää ilmakehän kosteutta luodakseen lunta lentäessään.</v>
      </c>
      <c r="C3358" s="9" t="s">
        <v>1344</v>
      </c>
    </row>
    <row r="3359" ht="33.75" customHeight="1">
      <c r="A3359" s="6" t="s">
        <v>5062</v>
      </c>
      <c r="B3359" s="6" t="str">
        <f>IFERROR(__xludf.DUMMYFUNCTION("GOOGLETRANSLATE(A3359,""en"",""fi"")"),"Legendaarinen lintu-POKéMON. Lentäessään taivaalla se viilentää ilmaa ja aiheuttaa lunta.")</f>
        <v>Legendaarinen lintu-POKéMON. Lentäessään taivaalla se viilentää ilmaa ja aiheuttaa lunta.</v>
      </c>
      <c r="C3359" s="9" t="s">
        <v>1344</v>
      </c>
    </row>
    <row r="3360" ht="33.75" customHeight="1">
      <c r="A3360" s="6" t="s">
        <v>5063</v>
      </c>
      <c r="B3360" s="6" t="str">
        <f>IFERROR(__xludf.DUMMYFUNCTION("GOOGLETRANSLATE(A3360,""en"",""fi"")"),"ARTICUNO on legendaarinen lintu-POKéMON, joka pystyy hallitsemaan jäätä. Sen siipien räpyttely viilentää ilmaa. Tämän seurauksena sanotaan, että kun tämä POKéMON lentää, sataa lunta.")</f>
        <v>ARTICUNO on legendaarinen lintu-POKéMON, joka pystyy hallitsemaan jäätä. Sen siipien räpyttely viilentää ilmaa. Tämän seurauksena sanotaan, että kun tämä POKéMON lentää, sataa lunta.</v>
      </c>
      <c r="C3360" s="9" t="s">
        <v>1344</v>
      </c>
    </row>
    <row r="3361" ht="33.75" customHeight="1">
      <c r="A3361" s="6" t="s">
        <v>5064</v>
      </c>
      <c r="B3361" s="6" t="str">
        <f>IFERROR(__xludf.DUMMYFUNCTION("GOOGLETRANSLATE(A3361,""en"",""fi"")"),"Yksi legendaarisista lintu-POKéMONeista. Pitkän pyrstönsä ansiosta sen lentomuoto on upea.")</f>
        <v>Yksi legendaarisista lintu-POKéMONeista. Pitkän pyrstönsä ansiosta sen lentomuoto on upea.</v>
      </c>
      <c r="C3361" s="9" t="s">
        <v>1344</v>
      </c>
    </row>
    <row r="3362" ht="33.75" customHeight="1">
      <c r="A3362" s="6" t="s">
        <v>5066</v>
      </c>
      <c r="B3362" s="6" t="str">
        <f>IFERROR(__xludf.DUMMYFUNCTION("GOOGLETRANSLATE(A3362,""en"",""fi"")"),"Legendaarinen lintu-Pokémon. Se voi aiheuttaa lumimyrskyjä jäädyttämällä ilman kosteutta.")</f>
        <v>Legendaarinen lintu-Pokémon. Se voi aiheuttaa lumimyrskyjä jäädyttämällä ilman kosteutta.</v>
      </c>
      <c r="C3362" s="9" t="s">
        <v>1344</v>
      </c>
    </row>
    <row r="3363" ht="33.75" customHeight="1">
      <c r="A3363" s="6" t="s">
        <v>5067</v>
      </c>
      <c r="B3363" s="6" t="str">
        <f>IFERROR(__xludf.DUMMYFUNCTION("GOOGLETRANSLATE(A3363,""en"",""fi"")"),"Tämän legendaarisen lintu-Pokémonin upeiden, näennäisesti läpikuultavien siipien sanotaan olevan tehty jäästä.")</f>
        <v>Tämän legendaarisen lintu-Pokémonin upeiden, näennäisesti läpikuultavien siipien sanotaan olevan tehty jäästä.</v>
      </c>
      <c r="C3363" s="9" t="s">
        <v>1344</v>
      </c>
    </row>
    <row r="3364" ht="33.75" customHeight="1">
      <c r="A3364" s="6" t="s">
        <v>5069</v>
      </c>
      <c r="B3364" s="6" t="str">
        <f>IFERROR(__xludf.DUMMYFUNCTION("GOOGLETRANSLATE(A3364,""en"",""fi"")"),"Yksi legendaarisista lintu-Pokémoneista, se jäähdyttää ilmakehän kosteutta luodakseen lunta lentäessään.")</f>
        <v>Yksi legendaarisista lintu-Pokémoneista, se jäähdyttää ilmakehän kosteutta luodakseen lunta lentäessään.</v>
      </c>
      <c r="C3364" s="9" t="s">
        <v>1344</v>
      </c>
    </row>
    <row r="3365" ht="33.75" customHeight="1">
      <c r="A3365" s="6" t="s">
        <v>5071</v>
      </c>
      <c r="B3365" s="6" t="str">
        <f>IFERROR(__xludf.DUMMYFUNCTION("GOOGLETRANSLATE(A3365,""en"",""fi"")"),"Legendaarinen lintu-Pokémon, jonka sanotaan ilmestyvän jäisiin vuoriin eksyneille tuhoon tuomituille ihmisille.")</f>
        <v>Legendaarinen lintu-Pokémon, jonka sanotaan ilmestyvän jäisiin vuoriin eksyneille tuhoon tuomituille ihmisille.</v>
      </c>
      <c r="C3365" s="9" t="s">
        <v>1344</v>
      </c>
    </row>
    <row r="3366" ht="33.75" customHeight="1">
      <c r="A3366" s="6" t="s">
        <v>5073</v>
      </c>
      <c r="B3366" s="6" t="str">
        <f>IFERROR(__xludf.DUMMYFUNCTION("GOOGLETRANSLATE(A3366,""en"",""fi"")"),"Articuno on legendaarinen lintu-Pokémon, joka pystyy hallitsemaan jäätä. Sen siipien räpyttely viilentää ilmaa. Tämän Pokémonin sanotaan lentävän ja satavan lunta.")</f>
        <v>Articuno on legendaarinen lintu-Pokémon, joka pystyy hallitsemaan jäätä. Sen siipien räpyttely viilentää ilmaa. Tämän Pokémonin sanotaan lentävän ja satavan lunta.</v>
      </c>
      <c r="C3366" s="9" t="s">
        <v>1344</v>
      </c>
    </row>
    <row r="3367" ht="33.75" customHeight="1">
      <c r="A3367" s="6" t="s">
        <v>5075</v>
      </c>
      <c r="B3367" s="6" t="str">
        <f>IFERROR(__xludf.DUMMYFUNCTION("GOOGLETRANSLATE(A3367,""en"",""fi"")"),"Legendaarinen lintu-Pokémon. Se jäädyttää talvi-ilmassa olevan veden ja tekee siitä lunta.")</f>
        <v>Legendaarinen lintu-Pokémon. Se jäädyttää talvi-ilmassa olevan veden ja tekee siitä lunta.</v>
      </c>
      <c r="C3367" s="9" t="s">
        <v>1344</v>
      </c>
    </row>
    <row r="3368" ht="33.75" customHeight="1">
      <c r="A3368" s="6" t="s">
        <v>5076</v>
      </c>
      <c r="B3368" s="6" t="str">
        <f>IFERROR(__xludf.DUMMYFUNCTION("GOOGLETRANSLATE(A3368,""en"",""fi"")"),"Sanotaan, että tämän Pokémonin kauniit siniset siivet ovat jäätä. Articuno lentää lumihuippuisten vuorten yli, sen pitkä häntä lepattellen sen perässä.")</f>
        <v>Sanotaan, että tämän Pokémonin kauniit siniset siivet ovat jäätä. Articuno lentää lumihuippuisten vuorten yli, sen pitkä häntä lepattellen sen perässä.</v>
      </c>
      <c r="C3368" s="9" t="s">
        <v>1344</v>
      </c>
    </row>
    <row r="3369" ht="33.75" customHeight="1">
      <c r="A3369" s="6" t="s">
        <v>5077</v>
      </c>
      <c r="B3369" s="6" t="str">
        <f>IFERROR(__xludf.DUMMYFUNCTION("GOOGLETRANSLATE(A3369,""en"",""fi"")"),"Tämä Pokémon voi hallita jäätä mielensä mukaan. Articunon sanotaan elävän lumisilla vuorilla, joita peittää ikirouta.")</f>
        <v>Tämä Pokémon voi hallita jäätä mielensä mukaan. Articunon sanotaan elävän lumisilla vuorilla, joita peittää ikirouta.</v>
      </c>
      <c r="C3369" s="9" t="s">
        <v>1344</v>
      </c>
    </row>
    <row r="3370" ht="33.75" customHeight="1">
      <c r="A3370" s="6" t="s">
        <v>5078</v>
      </c>
      <c r="B3370" s="6" t="str">
        <f>IFERROR(__xludf.DUMMYFUNCTION("GOOGLETRANSLATE(A3370,""en"",""fi"")"),"Legendaarinen lintu-POKéMON, jonka sanotaan ilmestyvän pilvistä pudottaen valtavia salamoita.")</f>
        <v>Legendaarinen lintu-POKéMON, jonka sanotaan ilmestyvän pilvistä pudottaen valtavia salamoita.</v>
      </c>
      <c r="C3370" s="9" t="s">
        <v>1344</v>
      </c>
    </row>
    <row r="3371" ht="33.75" customHeight="1">
      <c r="A3371" s="6" t="s">
        <v>5080</v>
      </c>
      <c r="B3371" s="6" t="str">
        <f>IFERROR(__xludf.DUMMYFUNCTION("GOOGLETRANSLATE(A3371,""en"",""fi"")"),"Tämän legendaarisen lintu-POKéMONin sanotaan ilmestyvän, kun taivas pimenee ja salamointi iskee.")</f>
        <v>Tämän legendaarisen lintu-POKéMONin sanotaan ilmestyvän, kun taivas pimenee ja salamointi iskee.</v>
      </c>
      <c r="C3371" s="9" t="s">
        <v>1344</v>
      </c>
    </row>
    <row r="3372" ht="33.75" customHeight="1">
      <c r="A3372" s="6" t="s">
        <v>5081</v>
      </c>
      <c r="B3372" s="6" t="str">
        <f>IFERROR(__xludf.DUMMYFUNCTION("GOOGLETRANSLATE(A3372,""en"",""fi"")"),"Tämä legendaarinen lintu-POKéMON aiheuttaa rajuja ukkosmyrskyjä räpyttelemällä kimaltelevia siipiään.")</f>
        <v>Tämä legendaarinen lintu-POKéMON aiheuttaa rajuja ukkosmyrskyjä räpyttelemällä kimaltelevia siipiään.</v>
      </c>
      <c r="C3372" s="9" t="s">
        <v>1344</v>
      </c>
    </row>
    <row r="3373" ht="33.75" customHeight="1">
      <c r="A3373" s="6" t="s">
        <v>5083</v>
      </c>
      <c r="B3373" s="6" t="str">
        <f>IFERROR(__xludf.DUMMYFUNCTION("GOOGLETRANSLATE(A3373,""en"",""fi"")"),"Tämän legendaarisen lintu-POKéMONin sanotaan ilmestyvän vain, kun ukkospilvi jakautuu kahtia.")</f>
        <v>Tämän legendaarisen lintu-POKéMONin sanotaan ilmestyvän vain, kun ukkospilvi jakautuu kahtia.</v>
      </c>
      <c r="C3373" s="9" t="s">
        <v>1344</v>
      </c>
    </row>
    <row r="3374" ht="33.75" customHeight="1">
      <c r="A3374" s="6" t="s">
        <v>5084</v>
      </c>
      <c r="B3374" s="6" t="str">
        <f>IFERROR(__xludf.DUMMYFUNCTION("GOOGLETRANSLATE(A3374,""en"",""fi"")"),"Legendaarinen lintu-POKéMON. Sanotaan, että sen siipien räpyttelystä johtuva salama aiheuttaa kesämyrskyjä.")</f>
        <v>Legendaarinen lintu-POKéMON. Sanotaan, että sen siipien räpyttelystä johtuva salama aiheuttaa kesämyrskyjä.</v>
      </c>
      <c r="C3374" s="9" t="s">
        <v>1344</v>
      </c>
    </row>
    <row r="3375" ht="33.75" customHeight="1">
      <c r="A3375" s="6" t="s">
        <v>5085</v>
      </c>
      <c r="B3375" s="6" t="str">
        <f>IFERROR(__xludf.DUMMYFUNCTION("GOOGLETRANSLATE(A3375,""en"",""fi"")"),"ZAPDOS on legendaarinen lintu-POKéMON, jolla on kyky hallita sähköä. Se elää yleensä ukkospilvissä. POKéMON saa voimaa, jos siihen iskee salama.")</f>
        <v>ZAPDOS on legendaarinen lintu-POKéMON, jolla on kyky hallita sähköä. Se elää yleensä ukkospilvissä. POKéMON saa voimaa, jos siihen iskee salama.</v>
      </c>
      <c r="C3375" s="9" t="s">
        <v>1344</v>
      </c>
    </row>
    <row r="3376" ht="33.75" customHeight="1">
      <c r="A3376" s="6" t="s">
        <v>5086</v>
      </c>
      <c r="B3376" s="6" t="str">
        <f>IFERROR(__xludf.DUMMYFUNCTION("GOOGLETRANSLATE(A3376,""en"",""fi"")"),"ZAPDOS on legendaarinen lintu-POKéMON, jolla on kyky hallita sähköä. Se elää yleensä ukkospilvissä. Se saa voimaa, jos salama iskee siihen.")</f>
        <v>ZAPDOS on legendaarinen lintu-POKéMON, jolla on kyky hallita sähköä. Se elää yleensä ukkospilvissä. Se saa voimaa, jos salama iskee siihen.</v>
      </c>
      <c r="C3376" s="9" t="s">
        <v>1344</v>
      </c>
    </row>
    <row r="3377" ht="33.75" customHeight="1">
      <c r="A3377" s="6" t="s">
        <v>5087</v>
      </c>
      <c r="B3377" s="6" t="str">
        <f>IFERROR(__xludf.DUMMYFUNCTION("GOOGLETRANSLATE(A3377,""en"",""fi"")"),"Yksi legendaarisista lintu-POKéMONeista. Lentäessään se päästää rätinää ja napsahtelua.")</f>
        <v>Yksi legendaarisista lintu-POKéMONeista. Lentäessään se päästää rätinää ja napsahtelua.</v>
      </c>
      <c r="C3377" s="9" t="s">
        <v>1344</v>
      </c>
    </row>
    <row r="3378" ht="33.75" customHeight="1">
      <c r="A3378" s="6" t="s">
        <v>5089</v>
      </c>
      <c r="B3378" s="6" t="str">
        <f>IFERROR(__xludf.DUMMYFUNCTION("GOOGLETRANSLATE(A3378,""en"",""fi"")"),"Legendaarinen Pokémon, jonka sanotaan elävän ukkospilvissä. Se hallitsee vapaasti salamoita.")</f>
        <v>Legendaarinen Pokémon, jonka sanotaan elävän ukkospilvissä. Se hallitsee vapaasti salamoita.</v>
      </c>
      <c r="C3378" s="9" t="s">
        <v>1344</v>
      </c>
    </row>
    <row r="3379" ht="33.75" customHeight="1">
      <c r="A3379" s="6" t="s">
        <v>5090</v>
      </c>
      <c r="B3379" s="6" t="str">
        <f>IFERROR(__xludf.DUMMYFUNCTION("GOOGLETRANSLATE(A3379,""en"",""fi"")"),"Tämä legendaarinen lintu-Pokémon aiheuttaa rajuja ukkosmyrskyjä räpyttelemällä kimaltelevia siipiään.")</f>
        <v>Tämä legendaarinen lintu-Pokémon aiheuttaa rajuja ukkosmyrskyjä räpyttelemällä kimaltelevia siipiään.</v>
      </c>
      <c r="C3379" s="9" t="s">
        <v>1344</v>
      </c>
    </row>
    <row r="3380" ht="33.75" customHeight="1">
      <c r="A3380" s="6" t="s">
        <v>5092</v>
      </c>
      <c r="B3380" s="6" t="str">
        <f>IFERROR(__xludf.DUMMYFUNCTION("GOOGLETRANSLATE(A3380,""en"",""fi"")"),"Tämän legendaarisen lintu-Pokémonin sanotaan ilmestyvän vain, kun ukkospilvi jakautuu kahtia.")</f>
        <v>Tämän legendaarisen lintu-Pokémonin sanotaan ilmestyvän vain, kun ukkospilvi jakautuu kahtia.</v>
      </c>
      <c r="C3380" s="9" t="s">
        <v>1344</v>
      </c>
    </row>
    <row r="3381" ht="33.75" customHeight="1">
      <c r="A3381" s="6" t="s">
        <v>5093</v>
      </c>
      <c r="B3381" s="6" t="str">
        <f>IFERROR(__xludf.DUMMYFUNCTION("GOOGLETRANSLATE(A3381,""en"",""fi"")"),"Legendaarinen lintu-Pokémon, jonka sanotaan ilmestyvän pilvistä pudottaen valtavia salamoita.")</f>
        <v>Legendaarinen lintu-Pokémon, jonka sanotaan ilmestyvän pilvistä pudottaen valtavia salamoita.</v>
      </c>
      <c r="C3381" s="9" t="s">
        <v>1344</v>
      </c>
    </row>
    <row r="3382" ht="33.75" customHeight="1">
      <c r="A3382" s="6" t="s">
        <v>5095</v>
      </c>
      <c r="B3382" s="6" t="str">
        <f>IFERROR(__xludf.DUMMYFUNCTION("GOOGLETRANSLATE(A3382,""en"",""fi"")"),"Zapdos on legendaarinen lintu-Pokémon, jolla on kyky hallita sähköä. Se elää yleensä ukkospilvissä. Pokémon saa voimaa, jos salama iskee siihen.")</f>
        <v>Zapdos on legendaarinen lintu-Pokémon, jolla on kyky hallita sähköä. Se elää yleensä ukkospilvissä. Pokémon saa voimaa, jos salama iskee siihen.</v>
      </c>
      <c r="C3382" s="9" t="s">
        <v>1344</v>
      </c>
    </row>
    <row r="3383" ht="33.75" customHeight="1">
      <c r="A3383" s="6" t="s">
        <v>5097</v>
      </c>
      <c r="B3383" s="6" t="str">
        <f>IFERROR(__xludf.DUMMYFUNCTION("GOOGLETRANSLATE(A3383,""en"",""fi"")"),"Tämän legendaarisen lintu-Pokémonin sanotaan ilmestyvän, kun taivas pimenee ja salamointi iskee.")</f>
        <v>Tämän legendaarisen lintu-Pokémonin sanotaan ilmestyvän, kun taivas pimenee ja salamointi iskee.</v>
      </c>
      <c r="C3383" s="9" t="s">
        <v>1344</v>
      </c>
    </row>
    <row r="3384" ht="33.75" customHeight="1">
      <c r="A3384" s="6" t="s">
        <v>5099</v>
      </c>
      <c r="B3384" s="6" t="str">
        <f>IFERROR(__xludf.DUMMYFUNCTION("GOOGLETRANSLATE(A3384,""en"",""fi"")"),"Tämä Pokémon hallitsee täysin sähköä. Tarinoiden mukaan Zapdos pesii pikimustien ukkospilvien syvyyksissä.")</f>
        <v>Tämä Pokémon hallitsee täysin sähköä. Tarinoiden mukaan Zapdos pesii pikimustien ukkospilvien syvyyksissä.</v>
      </c>
      <c r="C3384" s="9" t="s">
        <v>1344</v>
      </c>
    </row>
    <row r="3385" ht="33.75" customHeight="1">
      <c r="A3385" s="6" t="s">
        <v>5100</v>
      </c>
      <c r="B3385" s="6" t="str">
        <f>IFERROR(__xludf.DUMMYFUNCTION("GOOGLETRANSLATE(A3385,""en"",""fi"")"),"Zapdos on legendaarinen lintu-Pokémon. Sanotaan, että kun Zapdos hieroo höyheniä yhteen, salama iskee heti perään.")</f>
        <v>Zapdos on legendaarinen lintu-Pokémon. Sanotaan, että kun Zapdos hieroo höyheniä yhteen, salama iskee heti perään.</v>
      </c>
      <c r="C3385" s="9" t="s">
        <v>1344</v>
      </c>
    </row>
    <row r="3386" ht="33.75" customHeight="1">
      <c r="A3386" s="6" t="s">
        <v>5101</v>
      </c>
      <c r="B3386" s="6" t="str">
        <f>IFERROR(__xludf.DUMMYFUNCTION("GOOGLETRANSLATE(A3386,""en"",""fi"")"),"Tunnetaan legendaarisena tulilintuna. Jokainen sen siivenlyönti luo häikäisevän liekkien välähdyksen.")</f>
        <v>Tunnetaan legendaarisena tulilintuna. Jokainen sen siivenlyönti luo häikäisevän liekkien välähdyksen.</v>
      </c>
      <c r="C3386" s="9" t="s">
        <v>1344</v>
      </c>
    </row>
    <row r="3387" ht="33.75" customHeight="1">
      <c r="A3387" s="6" t="s">
        <v>5102</v>
      </c>
      <c r="B3387" s="6" t="str">
        <f>IFERROR(__xludf.DUMMYFUNCTION("GOOGLETRANSLATE(A3387,""en"",""fi"")"),"Legendaarinen lintu-POKéMON. Kun se räpyttelee liekehtiviä siipiään, jopa yötaivas muuttuu punaiseksi.")</f>
        <v>Legendaarinen lintu-POKéMON. Kun se räpyttelee liekehtiviä siipiään, jopa yötaivas muuttuu punaiseksi.</v>
      </c>
      <c r="C3387" s="9" t="s">
        <v>1344</v>
      </c>
    </row>
    <row r="3388" ht="33.75" customHeight="1">
      <c r="A3388" s="6" t="s">
        <v>5103</v>
      </c>
      <c r="B3388" s="6" t="str">
        <f>IFERROR(__xludf.DUMMYFUNCTION("GOOGLETRANSLATE(A3388,""en"",""fi"")"),"Tämä legendaarinen POKéMON sirottelee kekäleitä jokaisella siivenläpäyksellä. Se on jännittävä näky.")</f>
        <v>Tämä legendaarinen POKéMON sirottelee kekäleitä jokaisella siivenläpäyksellä. Se on jännittävä näky.</v>
      </c>
      <c r="C3388" s="9" t="s">
        <v>1344</v>
      </c>
    </row>
    <row r="3389" ht="33.75" customHeight="1">
      <c r="A3389" s="6" t="s">
        <v>5104</v>
      </c>
      <c r="B3389" s="6" t="str">
        <f>IFERROR(__xludf.DUMMYFUNCTION("GOOGLETRANSLATE(A3389,""en"",""fi"")"),"Tämän legendaarisen lintu-POKéMONin sanotaan tuovan aikaisen kevään talvisiin maihin, joissa se vierailee.")</f>
        <v>Tämän legendaarisen lintu-POKéMONin sanotaan tuovan aikaisen kevään talvisiin maihin, joissa se vierailee.</v>
      </c>
      <c r="C3389" s="9" t="s">
        <v>1344</v>
      </c>
    </row>
    <row r="3390" ht="33.75" customHeight="1">
      <c r="A3390" s="6" t="s">
        <v>5105</v>
      </c>
      <c r="B3390" s="6" t="str">
        <f>IFERROR(__xludf.DUMMYFUNCTION("GOOGLETRANSLATE(A3390,""en"",""fi"")"),"Legendaarinen lintu-POKéMON. Sen sanotaan muuttavan etelästä kevään mukana.")</f>
        <v>Legendaarinen lintu-POKéMON. Sen sanotaan muuttavan etelästä kevään mukana.</v>
      </c>
      <c r="C3390" s="9" t="s">
        <v>1344</v>
      </c>
    </row>
    <row r="3391" ht="33.75" customHeight="1">
      <c r="A3391" s="6" t="s">
        <v>5106</v>
      </c>
      <c r="B3391" s="6" t="str">
        <f>IFERROR(__xludf.DUMMYFUNCTION("GOOGLETRANSLATE(A3391,""en"",""fi"")"),"MOLTRES on legendaarinen lintu-POKéMON, jolla on kyky hallita tulta. Jos tämä POKéMON loukkaantuu, sen sanotaan kastavan ruumiinsa tulivuoren sulaan magmaan palamaan ja parantamaan itsensä.")</f>
        <v>MOLTRES on legendaarinen lintu-POKéMON, jolla on kyky hallita tulta. Jos tämä POKéMON loukkaantuu, sen sanotaan kastavan ruumiinsa tulivuoren sulaan magmaan palamaan ja parantamaan itsensä.</v>
      </c>
      <c r="C3391" s="9" t="s">
        <v>1344</v>
      </c>
    </row>
    <row r="3392" ht="33.75" customHeight="1">
      <c r="A3392" s="6" t="s">
        <v>5107</v>
      </c>
      <c r="B3392" s="6" t="str">
        <f>IFERROR(__xludf.DUMMYFUNCTION("GOOGLETRANSLATE(A3392,""en"",""fi"")"),"MOLTRES on legendaarinen lintu-POKéMON, joka osaa hallita tulta. Jos se loukkaantuu, sen sanotaan kastavan ruumiinsa tulivuoren sulaan magmaan palamaan ja parantamaan itsensä.")</f>
        <v>MOLTRES on legendaarinen lintu-POKéMON, joka osaa hallita tulta. Jos se loukkaantuu, sen sanotaan kastavan ruumiinsa tulivuoren sulaan magmaan palamaan ja parantamaan itsensä.</v>
      </c>
      <c r="C3392" s="9" t="s">
        <v>1344</v>
      </c>
    </row>
    <row r="3393" ht="33.75" customHeight="1">
      <c r="A3393" s="6" t="s">
        <v>5108</v>
      </c>
      <c r="B3393" s="6" t="str">
        <f>IFERROR(__xludf.DUMMYFUNCTION("GOOGLETRANSLATE(A3393,""en"",""fi"")"),"Yksi legendaarisista lintu-POKéMONeista. Sen näkevät hämmästyvät sen oransseista, tulessa hehkuvista siivistä.")</f>
        <v>Yksi legendaarisista lintu-POKéMONeista. Sen näkevät hämmästyvät sen oransseista, tulessa hehkuvista siivistä.</v>
      </c>
      <c r="C3393" s="9" t="s">
        <v>1344</v>
      </c>
    </row>
    <row r="3394" ht="33.75" customHeight="1">
      <c r="A3394" s="6" t="s">
        <v>5109</v>
      </c>
      <c r="B3394" s="6" t="str">
        <f>IFERROR(__xludf.DUMMYFUNCTION("GOOGLETRANSLATE(A3394,""en"",""fi"")"),"Sen sanotaan olevan legendaarinen tulilintu-POKéMON. Jokainen sen siivenlyönti luo häikäisevän liekkien leimahduksen.")</f>
        <v>Sen sanotaan olevan legendaarinen tulilintu-POKéMON. Jokainen sen siivenlyönti luo häikäisevän liekkien leimahduksen.</v>
      </c>
      <c r="C3394" s="9" t="s">
        <v>1344</v>
      </c>
    </row>
    <row r="3395" ht="33.75" customHeight="1">
      <c r="A3395" s="6" t="s">
        <v>5110</v>
      </c>
      <c r="B3395" s="6" t="str">
        <f>IFERROR(__xludf.DUMMYFUNCTION("GOOGLETRANSLATE(A3395,""en"",""fi"")"),"Yksi legendaarisista lintu-Pokémoneista. Sanotaan, että sen ilmestyminen ennustaa kevään tuloa.")</f>
        <v>Yksi legendaarisista lintu-Pokémoneista. Sanotaan, että sen ilmestyminen ennustaa kevään tuloa.</v>
      </c>
      <c r="C3395" s="9" t="s">
        <v>1344</v>
      </c>
    </row>
    <row r="3396" ht="33.75" customHeight="1">
      <c r="A3396" s="6" t="s">
        <v>5112</v>
      </c>
      <c r="B3396" s="6" t="str">
        <f>IFERROR(__xludf.DUMMYFUNCTION("GOOGLETRANSLATE(A3396,""en"",""fi"")"),"Tämä legendaarinen Pokémon sirottelee kekäleitä jokaisella siivenläpäyksellään. Se on jännittävä näky.")</f>
        <v>Tämä legendaarinen Pokémon sirottelee kekäleitä jokaisella siivenläpäyksellään. Se on jännittävä näky.</v>
      </c>
      <c r="C3396" s="9" t="s">
        <v>1344</v>
      </c>
    </row>
    <row r="3397" ht="33.75" customHeight="1">
      <c r="A3397" s="6" t="s">
        <v>5113</v>
      </c>
      <c r="B3397" s="6" t="str">
        <f>IFERROR(__xludf.DUMMYFUNCTION("GOOGLETRANSLATE(A3397,""en"",""fi"")"),"Tämän legendaarisen lintu-Pokémonin sanotaan tuovan aikaisen kevään talvisiin maihin, joissa se vierailee.")</f>
        <v>Tämän legendaarisen lintu-Pokémonin sanotaan tuovan aikaisen kevään talvisiin maihin, joissa se vierailee.</v>
      </c>
      <c r="C3397" s="9" t="s">
        <v>1344</v>
      </c>
    </row>
    <row r="3398" ht="33.75" customHeight="1">
      <c r="A3398" s="6" t="s">
        <v>5114</v>
      </c>
      <c r="B3398" s="6" t="str">
        <f>IFERROR(__xludf.DUMMYFUNCTION("GOOGLETRANSLATE(A3398,""en"",""fi"")"),"Sen sanotaan olevan legendaarinen tulilintu-Pokémon. Jokainen sen siivenlyönti luo häikäisevän liekkien leimahduksen.")</f>
        <v>Sen sanotaan olevan legendaarinen tulilintu-Pokémon. Jokainen sen siivenlyönti luo häikäisevän liekkien leimahduksen.</v>
      </c>
      <c r="C3398" s="9" t="s">
        <v>1344</v>
      </c>
    </row>
    <row r="3399" ht="33.75" customHeight="1">
      <c r="A3399" s="6" t="s">
        <v>5115</v>
      </c>
      <c r="B3399" s="6" t="str">
        <f>IFERROR(__xludf.DUMMYFUNCTION("GOOGLETRANSLATE(A3399,""en"",""fi"")"),"Moltres on legendaarinen lintu-Pokémon, jolla on kyky hallita tulta. Jos tämä Pokémon loukkaantuu, sen sanotaan kastavan ruumiinsa tulivuoren sulaan magmaan palamaan ja parantamaan itsensä.")</f>
        <v>Moltres on legendaarinen lintu-Pokémon, jolla on kyky hallita tulta. Jos tämä Pokémon loukkaantuu, sen sanotaan kastavan ruumiinsa tulivuoren sulaan magmaan palamaan ja parantamaan itsensä.</v>
      </c>
      <c r="C3399" s="9" t="s">
        <v>1344</v>
      </c>
    </row>
    <row r="3400" ht="33.75" customHeight="1">
      <c r="A3400" s="6" t="s">
        <v>5116</v>
      </c>
      <c r="B3400" s="6" t="str">
        <f>IFERROR(__xludf.DUMMYFUNCTION("GOOGLETRANSLATE(A3400,""en"",""fi"")"),"Legendaarinen lintu-Pokémon. Kun se räpyttelee liekehtiviä siipiään, jopa yötaivas muuttuu punaiseksi.")</f>
        <v>Legendaarinen lintu-Pokémon. Kun se räpyttelee liekehtiviä siipiään, jopa yötaivas muuttuu punaiseksi.</v>
      </c>
      <c r="C3400" s="9" t="s">
        <v>1344</v>
      </c>
    </row>
    <row r="3401" ht="33.75" customHeight="1">
      <c r="A3401" s="6" t="s">
        <v>5117</v>
      </c>
      <c r="B3401" s="6" t="str">
        <f>IFERROR(__xludf.DUMMYFUNCTION("GOOGLETRANSLATE(A3401,""en"",""fi"")"),"Se on yksi legendaarisista lintu-Pokémoneista. Kun Moltres räpyttelee liekehtiviä siipiään, ne hohtavat häikäisevän punaisena.")</f>
        <v>Se on yksi legendaarisista lintu-Pokémoneista. Kun Moltres räpyttelee liekehtiviä siipiään, ne hohtavat häikäisevän punaisena.</v>
      </c>
      <c r="C3401" s="9" t="s">
        <v>1344</v>
      </c>
    </row>
    <row r="3402" ht="33.75" customHeight="1">
      <c r="A3402" s="6" t="s">
        <v>5118</v>
      </c>
      <c r="B3402" s="6" t="str">
        <f>IFERROR(__xludf.DUMMYFUNCTION("GOOGLETRANSLATE(A3402,""en"",""fi"")"),"Tarinoissa kerrotaan, kuinka tämä Pokémon käyttää säteileviä, liekkien peittämiä siipiään valaisemaan polkuja vuorilla eksyneille.")</f>
        <v>Tarinoissa kerrotaan, kuinka tämä Pokémon käyttää säteileviä, liekkien peittämiä siipiään valaisemaan polkuja vuorilla eksyneille.</v>
      </c>
      <c r="C3402" s="9" t="s">
        <v>1344</v>
      </c>
    </row>
    <row r="3403" ht="33.75" customHeight="1">
      <c r="A3403" s="6" t="s">
        <v>5120</v>
      </c>
      <c r="B3403" s="6" t="str">
        <f>IFERROR(__xludf.DUMMYFUNCTION("GOOGLETRANSLATE(A3403,""en"",""fi"")"),"Pitkään pidetty myyttisenä POKéMONina, kunnes pieni yhdyskunta löydettiin veden alta.")</f>
        <v>Pitkään pidetty myyttisenä POKéMONina, kunnes pieni yhdyskunta löydettiin veden alta.</v>
      </c>
      <c r="C3403" s="9" t="s">
        <v>1344</v>
      </c>
    </row>
    <row r="3404" ht="33.75" customHeight="1">
      <c r="A3404" s="6" t="s">
        <v>5121</v>
      </c>
      <c r="B3404" s="6" t="str">
        <f>IFERROR(__xludf.DUMMYFUNCTION("GOOGLETRANSLATE(A3404,""en"",""fi"")"),"Tämän myyttisen POKéMONin olemassaolo vahvistettiin vasta äskettäin kalastajan toimesta, joka sai sellaisen kiinni.")</f>
        <v>Tämän myyttisen POKéMONin olemassaolo vahvistettiin vasta äskettäin kalastajan toimesta, joka sai sellaisen kiinni.</v>
      </c>
      <c r="C3404" s="9" t="s">
        <v>1344</v>
      </c>
    </row>
    <row r="3405" ht="33.75" customHeight="1">
      <c r="A3405" s="6" t="s">
        <v>5122</v>
      </c>
      <c r="B3405" s="6" t="str">
        <f>IFERROR(__xludf.DUMMYFUNCTION("GOOGLETRANSLATE(A3405,""en"",""fi"")"),"Se syntyy aluksi suurena. Se luo nahkansa toistuvasti kasvaessaan tasaisesti pituudeltaan.")</f>
        <v>Se syntyy aluksi suurena. Se luo nahkansa toistuvasti kasvaessaan tasaisesti pituudeltaan.</v>
      </c>
      <c r="C3405" s="9" t="s">
        <v>1344</v>
      </c>
    </row>
    <row r="3406" ht="33.75" customHeight="1">
      <c r="A3406" s="6" t="s">
        <v>5123</v>
      </c>
      <c r="B3406" s="6" t="str">
        <f>IFERROR(__xludf.DUMMYFUNCTION("GOOGLETRANSLATE(A3406,""en"",""fi"")"),"Tämä POKéMON on täynnä elämänenergiaa. Se luo jatkuvasti nahkaansa ja kasvaa tasaisesti suuremmaksi.")</f>
        <v>Tämä POKéMON on täynnä elämänenergiaa. Se luo jatkuvasti nahkaansa ja kasvaa tasaisesti suuremmaksi.</v>
      </c>
      <c r="C3406" s="9" t="s">
        <v>1344</v>
      </c>
    </row>
    <row r="3407" ht="33.75" customHeight="1">
      <c r="A3407" s="6" t="s">
        <v>5124</v>
      </c>
      <c r="B3407" s="6" t="str">
        <f>IFERROR(__xludf.DUMMYFUNCTION("GOOGLETRANSLATE(A3407,""en"",""fi"")"),"Se karistaa useita ihokerroksia kasvaessaan. Tämän prosessin aikana sitä suojaa nopea vesiputous.")</f>
        <v>Se karistaa useita ihokerroksia kasvaessaan. Tämän prosessin aikana sitä suojaa nopea vesiputous.</v>
      </c>
      <c r="C3407" s="9" t="s">
        <v>1344</v>
      </c>
    </row>
    <row r="3408" ht="33.75" customHeight="1">
      <c r="A3408" s="6" t="s">
        <v>5126</v>
      </c>
      <c r="B3408" s="6" t="str">
        <f>IFERROR(__xludf.DUMMYFUNCTION("GOOGLETRANSLATE(A3408,""en"",""fi"")"),"DRATINI jatkuvasti luo ja kuorii vanhaa nahkaansa. Se tekee niin, koska sen kehon elämänenergia kasvaa tasaisesti ja saavuttaa hallitsemattomat tasot.")</f>
        <v>DRATINI jatkuvasti luo ja kuorii vanhaa nahkaansa. Se tekee niin, koska sen kehon elämänenergia kasvaa tasaisesti ja saavuttaa hallitsemattomat tasot.</v>
      </c>
      <c r="C3408" s="9" t="s">
        <v>1344</v>
      </c>
    </row>
    <row r="3409" ht="33.75" customHeight="1">
      <c r="A3409" s="6" t="s">
        <v>5127</v>
      </c>
      <c r="B3409" s="6" t="str">
        <f>IFERROR(__xludf.DUMMYFUNCTION("GOOGLETRANSLATE(A3409,""en"",""fi"")"),"DRATINI jatkuvasti luopuu ja kuorii pois vanhan nahkansa. Se tekee niin, koska sen kehon elämänenergia kasvaa tasaisesti ja saavuttaa hallitsemattomat tasot.")</f>
        <v>DRATINI jatkuvasti luopuu ja kuorii pois vanhan nahkansa. Se tekee niin, koska sen kehon elämänenergia kasvaa tasaisesti ja saavuttaa hallitsemattomat tasot.</v>
      </c>
      <c r="C3409" s="9" t="s">
        <v>1344</v>
      </c>
    </row>
    <row r="3410" ht="33.75" customHeight="1">
      <c r="A3410" s="6" t="s">
        <v>5128</v>
      </c>
      <c r="B3410" s="6" t="str">
        <f>IFERROR(__xludf.DUMMYFUNCTION("GOOGLETRANSLATE(A3410,""en"",""fi"")"),"Jopa poikaset voivat kasvaa yli 2 metrin pituisiksi. Ne kasvavat suuremmiksi luomalla toistuvasti nahkaa.")</f>
        <v>Jopa poikaset voivat kasvaa yli 2 metrin pituisiksi. Ne kasvavat suuremmiksi luomalla toistuvasti nahkaa.</v>
      </c>
      <c r="C3410" s="9" t="s">
        <v>1344</v>
      </c>
    </row>
    <row r="3411" ht="33.75" customHeight="1">
      <c r="A3411" s="6" t="s">
        <v>5129</v>
      </c>
      <c r="B3411" s="6" t="str">
        <f>IFERROR(__xludf.DUMMYFUNCTION("GOOGLETRANSLATE(A3411,""en"",""fi"")"),"Pitkään pidetty myyttisenä POKéMONina, kunnes pieni yhdyskunta löydettiin veden alla.")</f>
        <v>Pitkään pidetty myyttisenä POKéMONina, kunnes pieni yhdyskunta löydettiin veden alla.</v>
      </c>
      <c r="C3411" s="9" t="s">
        <v>1344</v>
      </c>
    </row>
    <row r="3412" ht="33.75" customHeight="1">
      <c r="A3412" s="6" t="s">
        <v>5131</v>
      </c>
      <c r="B3412" s="6" t="str">
        <f>IFERROR(__xludf.DUMMYFUNCTION("GOOGLETRANSLATE(A3412,""en"",""fi"")"),"Sitä kutsutaan ""Mirage Pokémoniksi"", koska niin harvat ovat nähneet sen. Sen irronnut nahka on löydetty.")</f>
        <v>Sitä kutsutaan "Mirage Pokémoniksi", koska niin harvat ovat nähneet sen. Sen irronnut nahka on löydetty.</v>
      </c>
      <c r="C3412" s="9" t="s">
        <v>1344</v>
      </c>
    </row>
    <row r="3413" ht="33.75" customHeight="1">
      <c r="A3413" s="6" t="s">
        <v>5133</v>
      </c>
      <c r="B3413" s="6" t="str">
        <f>IFERROR(__xludf.DUMMYFUNCTION("GOOGLETRANSLATE(A3413,""en"",""fi"")"),"Tämä Pokémon on täynnä elämänenergiaa. Se luopuu jatkuvasti ihoaan ja kasvaa tasaisesti suuremmaksi.")</f>
        <v>Tämä Pokémon on täynnä elämänenergiaa. Se luopuu jatkuvasti ihoaan ja kasvaa tasaisesti suuremmaksi.</v>
      </c>
      <c r="C3413" s="9" t="s">
        <v>1344</v>
      </c>
    </row>
    <row r="3414" ht="33.75" customHeight="1">
      <c r="A3414" s="6" t="s">
        <v>5136</v>
      </c>
      <c r="B3414" s="6" t="str">
        <f>IFERROR(__xludf.DUMMYFUNCTION("GOOGLETRANSLATE(A3414,""en"",""fi"")"),"Dratini jatkuvasti luopuu ja kuorii pois vanhan nahkansa. Se tekee niin, koska sen kehon elämänenergia kasvaa tasaisesti ja saavuttaa hallitsemattomat tasot.")</f>
        <v>Dratini jatkuvasti luopuu ja kuorii pois vanhan nahkansa. Se tekee niin, koska sen kehon elämänenergia kasvaa tasaisesti ja saavuttaa hallitsemattomat tasot.</v>
      </c>
      <c r="C3414" s="9" t="s">
        <v>1344</v>
      </c>
    </row>
    <row r="3415" ht="33.75" customHeight="1">
      <c r="A3415" s="6" t="s">
        <v>5137</v>
      </c>
      <c r="B3415" s="6" t="str">
        <f>IFERROR(__xludf.DUMMYFUNCTION("GOOGLETRANSLATE(A3415,""en"",""fi"")"),"Se kasvaa luopumalla toistuvasta sulkasateesta. Ruskettuneesta irtonahasta tehdyt saappaat ovat superluksustuote.")</f>
        <v>Se kasvaa luopumalla toistuvasta sulkasateesta. Ruskettuneesta irtonahasta tehdyt saappaat ovat superluksustuote.</v>
      </c>
      <c r="C3415" s="9" t="s">
        <v>1344</v>
      </c>
    </row>
    <row r="3416" ht="33.75" customHeight="1">
      <c r="A3416" s="6" t="s">
        <v>5138</v>
      </c>
      <c r="B3416" s="6" t="str">
        <f>IFERROR(__xludf.DUMMYFUNCTION("GOOGLETRANSLATE(A3416,""en"",""fi"")"),"Kymmenen tunnin taistelun jälkeen kalastaja onnistui vetämään sellaisen ylös ja varmistamaan sen olemassaolon.")</f>
        <v>Kymmenen tunnin taistelun jälkeen kalastaja onnistui vetämään sellaisen ylös ja varmistamaan sen olemassaolon.</v>
      </c>
      <c r="C3416" s="9" t="s">
        <v>1344</v>
      </c>
    </row>
    <row r="3417" ht="33.75" customHeight="1">
      <c r="A3417" s="6" t="s">
        <v>5140</v>
      </c>
      <c r="B3417" s="6" t="str">
        <f>IFERROR(__xludf.DUMMYFUNCTION("GOOGLETRANSLATE(A3417,""en"",""fi"")"),"Se on vielä heikko, joten se lymyilee vesistöjen pohjalla, syö kaiken alas vajoavan ruoan ja elää hiljaista elämää.")</f>
        <v>Se on vielä heikko, joten se lymyilee vesistöjen pohjalla, syö kaiken alas vajoavan ruoan ja elää hiljaista elämää.</v>
      </c>
      <c r="C3417" s="9" t="s">
        <v>1344</v>
      </c>
    </row>
    <row r="3418" ht="33.75" customHeight="1">
      <c r="A3418" s="6" t="s">
        <v>5141</v>
      </c>
      <c r="B3418" s="6" t="str">
        <f>IFERROR(__xludf.DUMMYFUNCTION("GOOGLETRANSLATE(A3418,""en"",""fi"")"),"Se luo nahkansa – lähes päivittäin – ja kasvaa suuremmaksi. Sen nahka on pehmeä heti luomisen jälkeen.")</f>
        <v>Se luo nahkansa – lähes päivittäin – ja kasvaa suuremmaksi. Sen nahka on pehmeä heti luomisen jälkeen.</v>
      </c>
      <c r="C3418" s="9" t="s">
        <v>1344</v>
      </c>
    </row>
    <row r="3419" ht="33.75" customHeight="1">
      <c r="A3419" s="6" t="s">
        <v>5143</v>
      </c>
      <c r="B3419" s="6" t="str">
        <f>IFERROR(__xludf.DUMMYFUNCTION("GOOGLETRANSLATE(A3419,""en"",""fi"")"),"Pitkään myytiksi luultu Pokémon sai vasta äskettäin vahvistuksen kalastajan toimesta, joka sai sellaisen.")</f>
        <v>Pitkään myytiksi luultu Pokémon sai vasta äskettäin vahvistuksen kalastajan toimesta, joka sai sellaisen.</v>
      </c>
      <c r="C3419" s="9" t="s">
        <v>1344</v>
      </c>
    </row>
    <row r="3420" ht="33.75" customHeight="1">
      <c r="A3420" s="6" t="s">
        <v>5144</v>
      </c>
      <c r="B3420" s="6" t="str">
        <f>IFERROR(__xludf.DUMMYFUNCTION("GOOGLETRANSLATE(A3420,""en"",""fi"")"),"Dratini asuu nopeasti virtaavien vesistöjen, kuten vesiputousten, lähellä. Kasvaessaan Dratini luopuu nahkansa useita kertoja.")</f>
        <v>Dratini asuu nopeasti virtaavien vesistöjen, kuten vesiputousten, lähellä. Kasvaessaan Dratini luopuu nahkansa useita kertoja.</v>
      </c>
      <c r="C3420" s="9" t="s">
        <v>1344</v>
      </c>
    </row>
    <row r="3421" ht="33.75" customHeight="1">
      <c r="A3421" s="6" t="s">
        <v>5146</v>
      </c>
      <c r="B3421" s="6" t="str">
        <f>IFERROR(__xludf.DUMMYFUNCTION("GOOGLETRANSLATE(A3421,""en"",""fi"")"),"Tätä Pokémonia pidettiin pitkään vain myyttina. Dratinin otsassa oleva pieni kyhmy on itse asiassa sarvi, joka on yhä kasvamassa.")</f>
        <v>Tätä Pokémonia pidettiin pitkään vain myyttina. Dratinin otsassa oleva pieni kyhmy on itse asiassa sarvi, joka on yhä kasvamassa.</v>
      </c>
      <c r="C3421" s="9" t="s">
        <v>1344</v>
      </c>
    </row>
    <row r="3422" ht="33.75" customHeight="1">
      <c r="A3422" s="6" t="s">
        <v>5148</v>
      </c>
      <c r="B3422" s="6" t="str">
        <f>IFERROR(__xludf.DUMMYFUNCTION("GOOGLETRANSLATE(A3422,""en"",""fi"")"),"Mystinen POKéMON, joka huokuu lempeää auraa. Kyky muuttaa ilmasto-olosuhteita.")</f>
        <v>Mystinen POKéMON, joka huokuu lempeää auraa. Kyky muuttaa ilmasto-olosuhteita.</v>
      </c>
      <c r="C3422" s="9" t="s">
        <v>1344</v>
      </c>
    </row>
    <row r="3423" ht="33.75" customHeight="1">
      <c r="A3423" s="6" t="s">
        <v>5149</v>
      </c>
      <c r="B3423" s="6" t="str">
        <f>IFERROR(__xludf.DUMMYFUNCTION("GOOGLETRANSLATE(A3423,""en"",""fi"")"),"Silminnäkijän mukaan sen ruumista ympäröi outo aura, joka antoi sille mystisen ilmeen.")</f>
        <v>Silminnäkijän mukaan sen ruumista ympäröi outo aura, joka antoi sille mystisen ilmeen.</v>
      </c>
      <c r="C3423" s="9" t="s">
        <v>1344</v>
      </c>
    </row>
    <row r="3424" ht="33.75" customHeight="1">
      <c r="A3424" s="6" t="s">
        <v>5150</v>
      </c>
      <c r="B3424" s="6" t="str">
        <f>IFERROR(__xludf.DUMMYFUNCTION("GOOGLETRANSLATE(A3424,""en"",""fi"")"),"He sanovat, että jos se säteilee auraa koko kehostaan, sää alkaa muuttua välittömästi.")</f>
        <v>He sanovat, että jos se säteilee auraa koko kehostaan, sää alkaa muuttua välittömästi.</v>
      </c>
      <c r="C3424" s="9" t="s">
        <v>1344</v>
      </c>
    </row>
    <row r="3425" ht="33.75" customHeight="1">
      <c r="A3425" s="6" t="s">
        <v>5152</v>
      </c>
      <c r="B3425" s="6" t="str">
        <f>IFERROR(__xludf.DUMMYFUNCTION("GOOGLETRANSLATE(A3425,""en"",""fi"")"),"Sen kristalliset pallot näyttävät antavan tälle POKéMONille kyvyn hallita säätä vapaasti.")</f>
        <v>Sen kristalliset pallot näyttävät antavan tälle POKéMONille kyvyn hallita säätä vapaasti.</v>
      </c>
      <c r="C3425" s="9" t="s">
        <v>1344</v>
      </c>
    </row>
    <row r="3426" ht="33.75" customHeight="1">
      <c r="A3426" s="6" t="s">
        <v>5153</v>
      </c>
      <c r="B3426" s="6" t="str">
        <f>IFERROR(__xludf.DUMMYFUNCTION("GOOGLETRANSLATE(A3426,""en"",""fi"")"),"Sitä kutsutaan jumalaiseksi POKéMONiksi. Kun sen koko keho kirkastuu hieman, sää muuttuu.")</f>
        <v>Sitä kutsutaan jumalaiseksi POKéMONiksi. Kun sen koko keho kirkastuu hieman, sää muuttuu.</v>
      </c>
      <c r="C3426" s="9" t="s">
        <v>1344</v>
      </c>
    </row>
    <row r="3427" ht="33.75" customHeight="1">
      <c r="A3427" s="6" t="s">
        <v>5154</v>
      </c>
      <c r="B3427" s="6" t="str">
        <f>IFERROR(__xludf.DUMMYFUNCTION("GOOGLETRANSLATE(A3427,""en"",""fi"")"),"DRAGONAIR varastoi valtavan määrän energiaa kehoonsa. Sen sanotaan muuttavan lähiympäristönsä sääolosuhteita purkamalla energiaa kaulassaan ja hännässään olevista kristalleista.")</f>
        <v>DRAGONAIR varastoi valtavan määrän energiaa kehoonsa. Sen sanotaan muuttavan lähiympäristönsä sääolosuhteita purkamalla energiaa kaulassaan ja hännässään olevista kristalleista.</v>
      </c>
      <c r="C3427" s="9" t="s">
        <v>1344</v>
      </c>
    </row>
    <row r="3428" ht="33.75" customHeight="1">
      <c r="A3428" s="6" t="s">
        <v>5156</v>
      </c>
      <c r="B3428" s="6" t="str">
        <f>IFERROR(__xludf.DUMMYFUNCTION("GOOGLETRANSLATE(A3428,""en"",""fi"")"),"LOHIKÄÄRMEENKARJA varastoi valtavan määrän energiaa kehoonsa. Sen sanotaan muuttavan ympärillään olevaa säätä menettämällä energiaa kaulassaan ja hännässään olevista kristalleista.")</f>
        <v>LOHIKÄÄRMEENKARJA varastoi valtavan määrän energiaa kehoonsa. Sen sanotaan muuttavan ympärillään olevaa säätä menettämällä energiaa kaulassaan ja hännässään olevista kristalleista.</v>
      </c>
      <c r="C3428" s="9" t="s">
        <v>1344</v>
      </c>
    </row>
    <row r="3429" ht="33.75" customHeight="1">
      <c r="A3429" s="6" t="s">
        <v>5157</v>
      </c>
      <c r="B3429" s="6" t="str">
        <f>IFERROR(__xludf.DUMMYFUNCTION("GOOGLETRANSLATE(A3429,""en"",""fi"")"),"Sen sanotaan elävän merissä ja järvissä. Vaikka sillä ei ole siipiä, sitä on nähty lentävän satunnaisesti.")</f>
        <v>Sen sanotaan elävän merissä ja järvissä. Vaikka sillä ei ole siipiä, sitä on nähty lentävän satunnaisesti.</v>
      </c>
      <c r="C3429" s="9" t="s">
        <v>1344</v>
      </c>
    </row>
    <row r="3430" ht="33.75" customHeight="1">
      <c r="A3430" s="6" t="s">
        <v>5159</v>
      </c>
      <c r="B3430" s="6" t="str">
        <f>IFERROR(__xludf.DUMMYFUNCTION("GOOGLETRANSLATE(A3430,""en"",""fi"")"),"Mystinen POKéMON, jolla on lempeä aura. Sen sanotaan pystyvän muuttamaan säätä.")</f>
        <v>Mystinen POKéMON, jolla on lempeä aura. Sen sanotaan pystyvän muuttamaan säätä.</v>
      </c>
      <c r="C3430" s="9" t="s">
        <v>1344</v>
      </c>
    </row>
    <row r="3431" ht="33.75" customHeight="1">
      <c r="A3431" s="6" t="s">
        <v>5160</v>
      </c>
      <c r="B3431" s="6" t="str">
        <f>IFERROR(__xludf.DUMMYFUNCTION("GOOGLETRANSLATE(A3431,""en"",""fi"")"),"Jos sen kehoon muodostuu aura, sää muuttuu välittömästi. Sen sanotaan elävän merissä ja järvissä.")</f>
        <v>Jos sen kehoon muodostuu aura, sää muuttuu välittömästi. Sen sanotaan elävän merissä ja järvissä.</v>
      </c>
      <c r="C3431" s="9" t="s">
        <v>1344</v>
      </c>
    </row>
    <row r="3432" ht="33.75" customHeight="1">
      <c r="A3432" s="6" t="s">
        <v>5161</v>
      </c>
      <c r="B3432" s="6" t="str">
        <f>IFERROR(__xludf.DUMMYFUNCTION("GOOGLETRANSLATE(A3432,""en"",""fi"")"),"Sen kristalliset pallot näyttävät antavan tälle Pokémonille voiman hallita säätä vapaasti.")</f>
        <v>Sen kristalliset pallot näyttävät antavan tälle Pokémonille voiman hallita säätä vapaasti.</v>
      </c>
      <c r="C3432" s="9" t="s">
        <v>1344</v>
      </c>
    </row>
    <row r="3433" ht="33.75" customHeight="1">
      <c r="A3433" s="6" t="s">
        <v>5163</v>
      </c>
      <c r="B3433" s="6" t="str">
        <f>IFERROR(__xludf.DUMMYFUNCTION("GOOGLETRANSLATE(A3433,""en"",""fi"")"),"Mystinen Pokémon, jolla on lempeä aura. Sen sanotaan pystyvän muuttamaan säätä.")</f>
        <v>Mystinen Pokémon, jolla on lempeä aura. Sen sanotaan pystyvän muuttamaan säätä.</v>
      </c>
      <c r="C3433" s="9" t="s">
        <v>1344</v>
      </c>
    </row>
    <row r="3434" ht="33.75" customHeight="1">
      <c r="A3434" s="6" t="s">
        <v>5164</v>
      </c>
      <c r="B3434" s="6" t="str">
        <f>IFERROR(__xludf.DUMMYFUNCTION("GOOGLETRANSLATE(A3434,""en"",""fi"")"),"Dragonair varastoi valtavan määrän energiaa kehoonsa. Sen sanotaan muuttavan lähiympäristönsä sääolosuhteita purkamalla energiaa kaulassaan ja pyrstössään olevista kristalleista.")</f>
        <v>Dragonair varastoi valtavan määrän energiaa kehoonsa. Sen sanotaan muuttavan lähiympäristönsä sääolosuhteita purkamalla energiaa kaulassaan ja pyrstössään olevista kristalleista.</v>
      </c>
      <c r="C3434" s="9" t="s">
        <v>1344</v>
      </c>
    </row>
    <row r="3435" ht="33.75" customHeight="1">
      <c r="A3435" s="6" t="s">
        <v>5165</v>
      </c>
      <c r="B3435" s="6" t="str">
        <f>IFERROR(__xludf.DUMMYFUNCTION("GOOGLETRANSLATE(A3435,""en"",""fi"")"),"On pitkään ajateltu, että sen kiteiset pallot kykenevät hallitsemaan säätä.")</f>
        <v>On pitkään ajateltu, että sen kiteiset pallot kykenevät hallitsemaan säätä.</v>
      </c>
      <c r="C3435" s="9" t="s">
        <v>1344</v>
      </c>
    </row>
    <row r="3436" ht="33.75" customHeight="1">
      <c r="A3436" s="6" t="s">
        <v>5167</v>
      </c>
      <c r="B3436" s="6" t="str">
        <f>IFERROR(__xludf.DUMMYFUNCTION("GOOGLETRANSLATE(A3436,""en"",""fi"")"),"Maatalouskansat ovat muinaisista ajoista lähtien kunnioittaneet sitä säätä hallitsevana tekijänä.")</f>
        <v>Maatalouskansat ovat muinaisista ajoista lähtien kunnioittaneet sitä säätä hallitsevana tekijänä.</v>
      </c>
      <c r="C3436" s="9" t="s">
        <v>1344</v>
      </c>
    </row>
    <row r="3437" ht="33.75" customHeight="1">
      <c r="A3437" s="6" t="s">
        <v>5168</v>
      </c>
      <c r="B3437" s="6" t="str">
        <f>IFERROR(__xludf.DUMMYFUNCTION("GOOGLETRANSLATE(A3437,""en"",""fi"")"),"Järvet, joissa Dragonairit asuvat, ovat täynnä ihmisten uhreja, koska he uskovat tämän Pokémonin pystyvän hallitsemaan säätä.")</f>
        <v>Järvet, joissa Dragonairit asuvat, ovat täynnä ihmisten uhreja, koska he uskovat tämän Pokémonin pystyvän hallitsemaan säätä.</v>
      </c>
      <c r="C3437" s="9" t="s">
        <v>1344</v>
      </c>
    </row>
    <row r="3438" ht="33.75" customHeight="1">
      <c r="A3438" s="6" t="s">
        <v>5169</v>
      </c>
      <c r="B3438" s="6" t="str">
        <f>IFERROR(__xludf.DUMMYFUNCTION("GOOGLETRANSLATE(A3438,""en"",""fi"")"),"Jotkut sanovat, että jos näet sen vuoden alussa lentämässä taivaalla ja vääntämässä vartaloaan, olet terve koko vuoden.")</f>
        <v>Jotkut sanovat, että jos näet sen vuoden alussa lentämässä taivaalla ja vääntämässä vartaloaan, olet terve koko vuoden.</v>
      </c>
      <c r="C3438" s="9" t="s">
        <v>1344</v>
      </c>
    </row>
    <row r="3439" ht="33.75" customHeight="1">
      <c r="A3439" s="6" t="s">
        <v>5170</v>
      </c>
      <c r="B3439" s="6" t="str">
        <f>IFERROR(__xludf.DUMMYFUNCTION("GOOGLETRANSLATE(A3439,""en"",""fi"")"),"Tämä Pokémon elää koskemattomissa valtamerissä ja järvissä. Se voi hallita säätä ja käyttää tätä voimaa lentääkseen taivaalle tuulen varassa.")</f>
        <v>Tämä Pokémon elää koskemattomissa valtamerissä ja järvissä. Se voi hallita säätä ja käyttää tätä voimaa lentääkseen taivaalle tuulen varassa.</v>
      </c>
      <c r="C3439" s="9" t="s">
        <v>1344</v>
      </c>
    </row>
    <row r="3440" ht="33.75" customHeight="1">
      <c r="A3440" s="6" t="s">
        <v>5171</v>
      </c>
      <c r="B3440" s="6" t="str">
        <f>IFERROR(__xludf.DUMMYFUNCTION("GOOGLETRANSLATE(A3440,""en"",""fi"")"),"Tämä Pokémon kerää voimaa pyrstössään oleviin palloihin ja hallitsee säätä. Auran ympäröimänä Dragonairilla on mystinen ulkonäkö.")</f>
        <v>Tämä Pokémon kerää voimaa pyrstössään oleviin palloihin ja hallitsee säätä. Auran ympäröimänä Dragonairilla on mystinen ulkonäkö.</v>
      </c>
      <c r="C3440" s="9" t="s">
        <v>1344</v>
      </c>
    </row>
    <row r="3441" ht="33.75" customHeight="1">
      <c r="A3441" s="6" t="s">
        <v>5172</v>
      </c>
      <c r="B3441" s="6" t="str">
        <f>IFERROR(__xludf.DUMMYFUNCTION("GOOGLETRANSLATE(A3441,""en"",""fi"")"),"Äärimmäisen harvoin nähty meri-POKéMON. Sen älykkyyden sanotaan vastaavan ihmisten älykkyyttä.")</f>
        <v>Äärimmäisen harvoin nähty meri-POKéMON. Sen älykkyyden sanotaan vastaavan ihmisten älykkyyttä.</v>
      </c>
      <c r="C3441" s="9" t="s">
        <v>1344</v>
      </c>
    </row>
    <row r="3442" ht="33.75" customHeight="1">
      <c r="A3442" s="6" t="s">
        <v>5173</v>
      </c>
      <c r="B3442" s="6" t="str">
        <f>IFERROR(__xludf.DUMMYFUNCTION("GOOGLETRANSLATE(A3442,""en"",""fi"")"),"Sanotaan, että tämä POKéMON asuu jossain meressä ja että se lentää. Se on kuitenkin vain huhu.")</f>
        <v>Sanotaan, että tämä POKéMON asuu jossain meressä ja että se lentää. Se on kuitenkin vain huhu.</v>
      </c>
      <c r="C3442" s="9" t="s">
        <v>1344</v>
      </c>
    </row>
    <row r="3443" ht="33.75" customHeight="1">
      <c r="A3443" s="6" t="s">
        <v>5174</v>
      </c>
      <c r="B3443" s="6" t="str">
        <f>IFERROR(__xludf.DUMMYFUNCTION("GOOGLETRANSLATE(A3443,""en"",""fi"")"),"Kerrotaan, että tämä Pokémon lentää jatkuvasti valtavien merien yllä ja pelastaa hukkuvia ihmisiä.")</f>
        <v>Kerrotaan, että tämä Pokémon lentää jatkuvasti valtavien merien yllä ja pelastaa hukkuvia ihmisiä.</v>
      </c>
      <c r="C3443" s="9" t="s">
        <v>1344</v>
      </c>
    </row>
    <row r="3444" ht="33.75" customHeight="1">
      <c r="A3444" s="6" t="s">
        <v>5175</v>
      </c>
      <c r="B3444" s="6" t="str">
        <f>IFERROR(__xludf.DUMMYFUNCTION("GOOGLETRANSLATE(A3444,""en"",""fi"")"),"Tämän merellisen POKé MONin vaikuttava rakenne antaa sen lentää vapaasti raivoavien merien yli ongelmitta.")</f>
        <v>Tämän merellisen POKé MONin vaikuttava rakenne antaa sen lentää vapaasti raivoavien merien yli ongelmitta.</v>
      </c>
      <c r="C3444" s="9" t="s">
        <v>1344</v>
      </c>
    </row>
    <row r="3445" ht="33.75" customHeight="1">
      <c r="A3445" s="6" t="s">
        <v>5176</v>
      </c>
      <c r="B3445" s="6" t="str">
        <f>IFERROR(__xludf.DUMMYFUNCTION("GOOGLETRANSLATE(A3445,""en"",""fi"")"),"Sanotaan, että jossain meressä on saari, jossa nämä kerääntyvät. Vain ne elävät siellä.")</f>
        <v>Sanotaan, että jossain meressä on saari, jossa nämä kerääntyvät. Vain ne elävät siellä.</v>
      </c>
      <c r="C3445" s="9" t="s">
        <v>1344</v>
      </c>
    </row>
    <row r="3446" ht="33.75" customHeight="1">
      <c r="A3446" s="6" t="s">
        <v>5177</v>
      </c>
      <c r="B3446" s="6" t="str">
        <f>IFERROR(__xludf.DUMMYFUNCTION("GOOGLETRANSLATE(A3446,""en"",""fi"")"),"DRAGONITE pystyy kiertämään maapallon vain kuudessatoista tunnissa. Se on hyväsydäminen POKéMON, joka johdattaa myrskyssä eksyneet ja haaksirikkoutuneet laivat turvaan maihin.")</f>
        <v>DRAGONITE pystyy kiertämään maapallon vain kuudessatoista tunnissa. Se on hyväsydäminen POKéMON, joka johdattaa myrskyssä eksyneet ja haaksirikkoutuneet laivat turvaan maihin.</v>
      </c>
      <c r="C3446" s="9" t="s">
        <v>1344</v>
      </c>
    </row>
    <row r="3447" ht="33.75" customHeight="1">
      <c r="A3447" s="6" t="s">
        <v>5178</v>
      </c>
      <c r="B3447" s="6" t="str">
        <f>IFERROR(__xludf.DUMMYFUNCTION("GOOGLETRANSLATE(A3447,""en"",""fi"")"),"Se voi kiertää maapallon vain 16 tunnissa. Se on hyväsydäminen POKéMON, joka johdattaa myrskyssä eksyneet ja haaksirikkoutuneet laivat turvaan maihin.")</f>
        <v>Se voi kiertää maapallon vain 16 tunnissa. Se on hyväsydäminen POKéMON, joka johdattaa myrskyssä eksyneet ja haaksirikkoutuneet laivat turvaan maihin.</v>
      </c>
      <c r="C3447" s="9" t="s">
        <v>1344</v>
      </c>
    </row>
    <row r="3448" ht="33.75" customHeight="1">
      <c r="A3448" s="6" t="s">
        <v>5179</v>
      </c>
      <c r="B3448" s="6" t="str">
        <f>IFERROR(__xludf.DUMMYFUNCTION("GOOGLETRANSLATE(A3448,""en"",""fi"")"),"Se pystyy lentämään suuresta ja kömpelöstä ruumiinrakenteestaan ​​huolimatta. Se kiertää maapallon vain 16 tunnissa.")</f>
        <v>Se pystyy lentämään suuresta ja kömpelöstä ruumiinrakenteestaan ​​huolimatta. Se kiertää maapallon vain 16 tunnissa.</v>
      </c>
      <c r="C3448" s="9" t="s">
        <v>1344</v>
      </c>
    </row>
    <row r="3449" ht="33.75" customHeight="1">
      <c r="A3449" s="6" t="s">
        <v>5180</v>
      </c>
      <c r="B3449" s="6" t="str">
        <f>IFERROR(__xludf.DUMMYFUNCTION("GOOGLETRANSLATE(A3449,""en"",""fi"")"),"Vain hyvin harvat ihmiset näkevät tämän POKéMONin. Sen älykkyyden sanotaan vastaavan ihmisten älykkyyttä.")</f>
        <v>Vain hyvin harvat ihmiset näkevät tämän POKéMONin. Sen älykkyyden sanotaan vastaavan ihmisten älykkyyttä.</v>
      </c>
      <c r="C3449" s="9" t="s">
        <v>1344</v>
      </c>
    </row>
    <row r="3450" ht="33.75" customHeight="1">
      <c r="A3450" s="6" t="s">
        <v>5181</v>
      </c>
      <c r="B3450" s="6" t="str">
        <f>IFERROR(__xludf.DUMMYFUNCTION("GOOGLETRANSLATE(A3450,""en"",""fi"")"),"Sen sanotaan asuvan jossain meressä. Se opastaa hylkyjen miehistöjä rantaan.")</f>
        <v>Sen sanotaan asuvan jossain meressä. Se opastaa hylkyjen miehistöjä rantaan.</v>
      </c>
      <c r="C3450" s="9" t="s">
        <v>1344</v>
      </c>
    </row>
    <row r="3451" ht="33.75" customHeight="1">
      <c r="A3451" s="6" t="s">
        <v>5182</v>
      </c>
      <c r="B3451" s="6" t="str">
        <f>IFERROR(__xludf.DUMMYFUNCTION("GOOGLETRANSLATE(A3451,""en"",""fi"")"),"Sanotaan, että tämä Pokémon lentää jatkuvasti valtavien merien yllä ja pelastaa hukkuvia ihmisiä.")</f>
        <v>Sanotaan, että tämä Pokémon lentää jatkuvasti valtavien merien yllä ja pelastaa hukkuvia ihmisiä.</v>
      </c>
      <c r="C3451" s="9" t="s">
        <v>1344</v>
      </c>
    </row>
    <row r="3452" ht="33.75" customHeight="1">
      <c r="A3452" s="6" t="s">
        <v>5183</v>
      </c>
      <c r="B3452" s="6" t="str">
        <f>IFERROR(__xludf.DUMMYFUNCTION("GOOGLETRANSLATE(A3452,""en"",""fi"")"),"Tällä meri-Pokémonilla on vaikuttava rakenne, jonka ansiosta se voi lentää vapaasti raivoavien merien yli ongelmitta.")</f>
        <v>Tällä meri-Pokémonilla on vaikuttava rakenne, jonka ansiosta se voi lentää vapaasti raivoavien merien yli ongelmitta.</v>
      </c>
      <c r="C3452" s="9" t="s">
        <v>1344</v>
      </c>
    </row>
    <row r="3453" ht="33.75" customHeight="1">
      <c r="A3453" s="6" t="s">
        <v>5184</v>
      </c>
      <c r="B3453" s="6" t="str">
        <f>IFERROR(__xludf.DUMMYFUNCTION("GOOGLETRANSLATE(A3453,""en"",""fi"")"),"Dragonite pystyy kiertämään maapallon vain 16 tunnissa. Se on hyväsydäminen Pokémon, joka johdattaa myrskyssä eksyneet ja haaksirikkoutuneet laivat turvaan maihin.")</f>
        <v>Dragonite pystyy kiertämään maapallon vain 16 tunnissa. Se on hyväsydäminen Pokémon, joka johdattaa myrskyssä eksyneet ja haaksirikkoutuneet laivat turvaan maihin.</v>
      </c>
      <c r="C3453" s="9" t="s">
        <v>1344</v>
      </c>
    </row>
    <row r="3454" ht="33.75" customHeight="1">
      <c r="A3454" s="6" t="s">
        <v>5186</v>
      </c>
      <c r="B3454" s="6" t="str">
        <f>IFERROR(__xludf.DUMMYFUNCTION("GOOGLETRANSLATE(A3454,""en"",""fi"")"),"Tämä Pokémon pelasti haaksirikkoutuneen miehen ja vei hänet syrjäiselle saarelle – paratiisiin, jossa asuu yksinomaan Dragonite.")</f>
        <v>Tämä Pokémon pelasti haaksirikkoutuneen miehen ja vei hänet syrjäiselle saarelle – paratiisiin, jossa asuu yksinomaan Dragonite.</v>
      </c>
      <c r="C3454" s="9" t="s">
        <v>1344</v>
      </c>
    </row>
    <row r="3455" ht="33.75" customHeight="1">
      <c r="A3455" s="6" t="s">
        <v>5187</v>
      </c>
      <c r="B3455" s="6" t="str">
        <f>IFERROR(__xludf.DUMMYFUNCTION("GOOGLETRANSLATE(A3455,""en"",""fi"")"),"Vedä tämän normaalisti rauhallisen Pokémonin viha niskaasi omalla vastuullasi, sillä se murskaa kaiken palasiksi ennen kuin on tyytyväinen.")</f>
        <v>Vedä tämän normaalisti rauhallisen Pokémonin viha niskaasi omalla vastuullasi, sillä se murskaa kaiken palasiksi ennen kuin on tyytyväinen.</v>
      </c>
      <c r="C3455" s="9" t="s">
        <v>1344</v>
      </c>
    </row>
    <row r="3456" ht="33.75" customHeight="1">
      <c r="A3456" s="6" t="s">
        <v>5188</v>
      </c>
      <c r="B3456" s="6" t="str">
        <f>IFERROR(__xludf.DUMMYFUNCTION("GOOGLETRANSLATE(A3456,""en"",""fi"")"),"Se lentää raivoavien merien yllä kuin ne eivät olisi mitään. Tämän havaittuaan laivan kapteeni nimesi tämän Pokémonin ""meri-inkarnaatioksi"".")</f>
        <v>Se lentää raivoavien merien yllä kuin ne eivät olisi mitään. Tämän havaittuaan laivan kapteeni nimesi tämän Pokémonin "meri-inkarnaatioksi".</v>
      </c>
      <c r="C3456" s="9" t="s">
        <v>1344</v>
      </c>
    </row>
    <row r="3457" ht="33.75" customHeight="1">
      <c r="A3457" s="6" t="s">
        <v>5189</v>
      </c>
      <c r="B3457" s="6" t="str">
        <f>IFERROR(__xludf.DUMMYFUNCTION("GOOGLETRANSLATE(A3457,""en"",""fi"")"),"Kuulet usein tarinoita tästä hyväsydämisestä Pokémonista, joka pelastaa ihmisiä tai hukkumassa olevia Pokémoneja.")</f>
        <v>Kuulet usein tarinoita tästä hyväsydämisestä Pokémonista, joka pelastaa ihmisiä tai hukkumassa olevia Pokémoneja.</v>
      </c>
      <c r="C3457" s="9" t="s">
        <v>1344</v>
      </c>
    </row>
    <row r="3458" ht="33.75" customHeight="1">
      <c r="A3458" s="6" t="s">
        <v>5190</v>
      </c>
      <c r="B3458" s="6" t="str">
        <f>IFERROR(__xludf.DUMMYFUNCTION("GOOGLETRANSLATE(A3458,""en"",""fi"")"),"Sanotaan, että tämä Pokémon asuu jossain meressä ja että se lentää. Nämä ovat kuitenkin vain huhuja.")</f>
        <v>Sanotaan, että tämä Pokémon asuu jossain meressä ja että se lentää. Nämä ovat kuitenkin vain huhuja.</v>
      </c>
      <c r="C3458" s="9" t="s">
        <v>1344</v>
      </c>
    </row>
    <row r="3459" ht="33.75" customHeight="1">
      <c r="A3459" s="6" t="s">
        <v>5192</v>
      </c>
      <c r="B3459" s="6" t="str">
        <f>IFERROR(__xludf.DUMMYFUNCTION("GOOGLETRANSLATE(A3459,""en"",""fi"")"),"Se on hyväsydäminen Pokémon. Jos se havaitsee hukkuvan ihmisen tai Pokémonin, Dragoniten on yksinkertaisesti autettava heitä.")</f>
        <v>Se on hyväsydäminen Pokémon. Jos se havaitsee hukkuvan ihmisen tai Pokémonin, Dragoniten on yksinkertaisesti autettava heitä.</v>
      </c>
      <c r="C3459" s="9" t="s">
        <v>1344</v>
      </c>
    </row>
    <row r="3460" ht="33.75" customHeight="1">
      <c r="A3460" s="6" t="s">
        <v>5194</v>
      </c>
      <c r="B3460" s="6" t="str">
        <f>IFERROR(__xludf.DUMMYFUNCTION("GOOGLETRANSLATE(A3460,""en"",""fi"")"),"Tämä Pokémon tunnetaan nimellä Sea Incarnate. Monien laivojen keulassa on Dragonitea muistuttavia keulakuvia.")</f>
        <v>Tämä Pokémon tunnetaan nimellä Sea Incarnate. Monien laivojen keulassa on Dragonitea muistuttavia keulakuvia.</v>
      </c>
      <c r="C3460" s="9" t="s">
        <v>1344</v>
      </c>
    </row>
    <row r="3461" ht="33.75" customHeight="1">
      <c r="A3461" s="6" t="s">
        <v>5195</v>
      </c>
      <c r="B3461" s="6" t="str">
        <f>IFERROR(__xludf.DUMMYFUNCTION("GOOGLETRANSLATE(A3461,""en"",""fi"")"),"Sen loi tiedemies vuosien hirvittävien geenien silmukointi- ja DNA-muokkauskokeiden jälkeen.")</f>
        <v>Sen loi tiedemies vuosien hirvittävien geenien silmukointi- ja DNA-muokkauskokeiden jälkeen.</v>
      </c>
      <c r="C3461" s="9" t="s">
        <v>1344</v>
      </c>
    </row>
    <row r="3462" ht="33.75" customHeight="1">
      <c r="A3462" s="6" t="s">
        <v>5196</v>
      </c>
      <c r="B3462" s="6" t="str">
        <f>IFERROR(__xludf.DUMMYFUNCTION("GOOGLETRANSLATE(A3462,""en"",""fi"")"),"Sen DNA on lähes sama kuin MEW:n. Sen koko ja luonne ovat kuitenkin hyvin erilaiset.")</f>
        <v>Sen DNA on lähes sama kuin MEW:n. Sen koko ja luonne ovat kuitenkin hyvin erilaiset.</v>
      </c>
      <c r="C3462" s="9" t="s">
        <v>1344</v>
      </c>
    </row>
    <row r="3463" ht="33.75" customHeight="1">
      <c r="A3463" s="6" t="s">
        <v>5198</v>
      </c>
      <c r="B3463" s="6" t="str">
        <f>IFERROR(__xludf.DUMMYFUNCTION("GOOGLETRANSLATE(A3463,""en"",""fi"")"),"Koska sen taistelukyvyt on nostettu huipputasolle, se ajattelee vain vihollistensa voittamista.")</f>
        <v>Koska sen taistelukyvyt on nostettu huipputasolle, se ajattelee vain vihollistensa voittamista.</v>
      </c>
      <c r="C3463" s="9" t="s">
        <v>1344</v>
      </c>
    </row>
    <row r="3464" ht="33.75" customHeight="1">
      <c r="A3464" s="6" t="s">
        <v>5199</v>
      </c>
      <c r="B3464" s="6" t="str">
        <f>IFERROR(__xludf.DUMMYFUNCTION("GOOGLETRANSLATE(A3464,""en"",""fi"")"),"Se pysyy yleensä liikkumattomana säästääkseen energiaa, jotta se voi päästää koko voimansa valloilleen taistelussa.")</f>
        <v>Se pysyy yleensä liikkumattomana säästääkseen energiaa, jotta se voi päästää koko voimansa valloilleen taistelussa.</v>
      </c>
      <c r="C3464" s="9" t="s">
        <v>1344</v>
      </c>
    </row>
    <row r="3465" ht="33.75" customHeight="1">
      <c r="A3465" s="6" t="s">
        <v>5200</v>
      </c>
      <c r="B3465" s="6" t="str">
        <f>IFERROR(__xludf.DUMMYFUNCTION("GOOGLETRANSLATE(A3465,""en"",""fi"")"),"Tämän POKéMONin sanotaan lepäävän hiljaa tuntemattomassa luolassa, ja se luotiin yksinomaan taistelua varten.")</f>
        <v>Tämän POKéMONin sanotaan lepäävän hiljaa tuntemattomassa luolassa, ja se luotiin yksinomaan taistelua varten.</v>
      </c>
      <c r="C3465" s="9" t="s">
        <v>1344</v>
      </c>
    </row>
    <row r="3466" ht="33.75" customHeight="1">
      <c r="A3466" s="6" t="s">
        <v>5202</v>
      </c>
      <c r="B3466" s="6" t="str">
        <f>IFERROR(__xludf.DUMMYFUNCTION("GOOGLETRANSLATE(A3466,""en"",""fi"")"),"MEWTWO on geenimanipulaation avulla luotu POKéMON. Vaikka ihmisten tieteellinen voima loi tämän POKéMONin kehon, he eivät onnistuneet antamaan MEWTWOlle myötätuntoista sydäntä.")</f>
        <v>MEWTWO on geenimanipulaation avulla luotu POKéMON. Vaikka ihmisten tieteellinen voima loi tämän POKéMONin kehon, he eivät onnistuneet antamaan MEWTWOlle myötätuntoista sydäntä.</v>
      </c>
      <c r="C3466" s="9" t="s">
        <v>1344</v>
      </c>
    </row>
    <row r="3467" ht="33.75" customHeight="1">
      <c r="A3467" s="6" t="s">
        <v>5203</v>
      </c>
      <c r="B3467" s="6" t="str">
        <f>IFERROR(__xludf.DUMMYFUNCTION("GOOGLETRANSLATE(A3467,""en"",""fi"")"),"Geenimanipulaatiolla luotu POKéMON. Vaikka ihmisten tieteellinen voima loi sille ruumiin, he eivät kuitenkaan onnistuneet antamaan sille lämmintä sydäntä.")</f>
        <v>Geenimanipulaatiolla luotu POKéMON. Vaikka ihmisten tieteellinen voima loi sille ruumiin, he eivät kuitenkaan onnistuneet antamaan sille lämmintä sydäntä.</v>
      </c>
      <c r="C3467" s="9" t="s">
        <v>1344</v>
      </c>
    </row>
    <row r="3468" ht="33.75" customHeight="1">
      <c r="A3468" s="6" t="s">
        <v>5206</v>
      </c>
      <c r="B3468" s="6" t="str">
        <f>IFERROR(__xludf.DUMMYFUNCTION("GOOGLETRANSLATE(A3468,""en"",""fi"")"),"POKéMON, jonka geneettistä koodia yhdisteltiin toistuvasti tutkimusta varten. Siitä tuli sen seurauksena ilkeämielinen.")</f>
        <v>POKéMON, jonka geneettistä koodia yhdisteltiin toistuvasti tutkimusta varten. Siitä tuli sen seurauksena ilkeämielinen.</v>
      </c>
      <c r="C3468" s="9" t="s">
        <v>1344</v>
      </c>
    </row>
    <row r="3469" ht="33.75" customHeight="1">
      <c r="A3469" s="6" t="s">
        <v>5208</v>
      </c>
      <c r="B3469" s="6" t="str">
        <f>IFERROR(__xludf.DUMMYFUNCTION("GOOGLETRANSLATE(A3469,""en"",""fi"")"),"Sen loi tiedemies vuosien hirvittävien geenien silmukointi- ja DNA-muokkauskokeiden jälkeen.")</f>
        <v>Sen loi tiedemies vuosien hirvittävien geenien silmukointi- ja DNA-muokkauskokeiden jälkeen.</v>
      </c>
      <c r="C3469" s="9" t="s">
        <v>1344</v>
      </c>
    </row>
    <row r="3470" ht="33.75" customHeight="1">
      <c r="A3470" s="6" t="s">
        <v>5209</v>
      </c>
      <c r="B3470" s="6" t="str">
        <f>IFERROR(__xludf.DUMMYFUNCTION("GOOGLETRANSLATE(A3470,""en"",""fi"")"),"MEW:n geenien rekombinaatiosta luotu Pokémon. Sen sanotaan omaavan villiinki sydämen Pokémoneista.")</f>
        <v>MEW:n geenien rekombinaatiosta luotu Pokémon. Sen sanotaan omaavan villiinki sydämen Pokémoneista.</v>
      </c>
      <c r="C3470" s="9" t="s">
        <v>1344</v>
      </c>
    </row>
    <row r="3471" ht="33.75" customHeight="1">
      <c r="A3471" s="6" t="s">
        <v>5210</v>
      </c>
      <c r="B3471" s="6" t="str">
        <f>IFERROR(__xludf.DUMMYFUNCTION("GOOGLETRANSLATE(A3471,""en"",""fi"")"),"Koska sen taistelukyvyt on nostettu huipputasolle, se ajattelee vain vihollistensa voittamista.")</f>
        <v>Koska sen taistelukyvyt on nostettu huipputasolle, se ajattelee vain vihollistensa voittamista.</v>
      </c>
      <c r="C3471" s="9" t="s">
        <v>1344</v>
      </c>
    </row>
    <row r="3472" ht="33.75" customHeight="1">
      <c r="A3472" s="6" t="s">
        <v>5212</v>
      </c>
      <c r="B3472" s="6" t="str">
        <f>IFERROR(__xludf.DUMMYFUNCTION("GOOGLETRANSLATE(A3472,""en"",""fi"")"),"Se pysyy yleensä liikkumattomana energian säästämiseksi, jotta se voi vapauttaa täyden voimansa taistelussa.")</f>
        <v>Se pysyy yleensä liikkumattomana energian säästämiseksi, jotta se voi vapauttaa täyden voimansa taistelussa.</v>
      </c>
      <c r="C3472" s="9" t="s">
        <v>1344</v>
      </c>
    </row>
    <row r="3473" ht="33.75" customHeight="1">
      <c r="A3473" s="6" t="s">
        <v>5213</v>
      </c>
      <c r="B3473" s="6" t="str">
        <f>IFERROR(__xludf.DUMMYFUNCTION("GOOGLETRANSLATE(A3473,""en"",""fi"")"),"Mew'n geenien rekombinaatiosta luotu Pokémon. Sen sanotaan omaavan villiinki sydämen Pokémoneista.")</f>
        <v>Mew'n geenien rekombinaatiosta luotu Pokémon. Sen sanotaan omaavan villiinki sydämen Pokémoneista.</v>
      </c>
      <c r="C3473" s="9" t="s">
        <v>1344</v>
      </c>
    </row>
    <row r="3474" ht="33.75" customHeight="1">
      <c r="A3474" s="6" t="s">
        <v>5215</v>
      </c>
      <c r="B3474" s="6" t="str">
        <f>IFERROR(__xludf.DUMMYFUNCTION("GOOGLETRANSLATE(A3474,""en"",""fi"")"),"Sen loi tiedemies vuosien hirvittävien geenien silmukointi- ja DNA-muokkauskokeiden jälkeen.")</f>
        <v>Sen loi tiedemies vuosien hirvittävien geenien silmukointi- ja DNA-muokkauskokeiden jälkeen.</v>
      </c>
      <c r="C3474" s="9" t="s">
        <v>1344</v>
      </c>
    </row>
    <row r="3475" ht="33.75" customHeight="1">
      <c r="A3475" s="6" t="s">
        <v>5217</v>
      </c>
      <c r="B3475" s="6" t="str">
        <f>IFERROR(__xludf.DUMMYFUNCTION("GOOGLETRANSLATE(A3475,""en"",""fi"")"),"Mewtwo on geenimanipulaation avulla luotu Pokémon. Vaikka ihmisten tieteellinen voima loi tämän Pokémonin kehon, he eivät onnistuneet antamaan Mewtwolle myötätuntoista sydäntä.")</f>
        <v>Mewtwo on geenimanipulaation avulla luotu Pokémon. Vaikka ihmisten tieteellinen voima loi tämän Pokémonin kehon, he eivät onnistuneet antamaan Mewtwolle myötätuntoista sydäntä.</v>
      </c>
      <c r="C3475" s="9" t="s">
        <v>1344</v>
      </c>
    </row>
    <row r="3476" ht="33.75" customHeight="1">
      <c r="A3476" s="6" t="s">
        <v>5219</v>
      </c>
      <c r="B3476" s="6" t="str">
        <f>IFERROR(__xludf.DUMMYFUNCTION("GOOGLETRANSLATE(A3476,""en"",""fi"")"),"Sen DNA on lähes sama kuin Mew'n. Sen koko ja luonne ovat kuitenkin hyvin erilaiset.")</f>
        <v>Sen DNA on lähes sama kuin Mew'n. Sen koko ja luonne ovat kuitenkin hyvin erilaiset.</v>
      </c>
      <c r="C3476" s="9" t="s">
        <v>1344</v>
      </c>
    </row>
    <row r="3477" ht="33.75" customHeight="1">
      <c r="A3477" s="6" t="s">
        <v>5220</v>
      </c>
      <c r="B3477" s="6" t="str">
        <f>IFERROR(__xludf.DUMMYFUNCTION("GOOGLETRANSLATE(A3477,""en"",""fi"")"),"Niin harvinainen, että monet asiantuntijat pitävät sitä edelleen kangastuksena. Vain harvat ihmiset ovat nähneet sen maailmanlaajuisesti.")</f>
        <v>Niin harvinainen, että monet asiantuntijat pitävät sitä edelleen kangastuksena. Vain harvat ihmiset ovat nähneet sen maailmanlaajuisesti.</v>
      </c>
      <c r="C3477" s="9" t="s">
        <v>1344</v>
      </c>
    </row>
    <row r="3478" ht="33.75" customHeight="1">
      <c r="A3478" s="6" t="s">
        <v>5221</v>
      </c>
      <c r="B3478" s="6" t="str">
        <f>IFERROR(__xludf.DUMMYFUNCTION("GOOGLETRANSLATE(A3478,""en"",""fi"")"),"Mikroskoopin läpi katsottuna tämän POKéMONin lyhyet, hienot ja hentoiset hiukset näkyvät.")</f>
        <v>Mikroskoopin läpi katsottuna tämän POKéMONin lyhyet, hienot ja hentoiset hiukset näkyvät.</v>
      </c>
      <c r="C3478" s="9" t="s">
        <v>1344</v>
      </c>
    </row>
    <row r="3479" ht="33.75" customHeight="1">
      <c r="A3479" s="6" t="s">
        <v>5223</v>
      </c>
      <c r="B3479" s="6" t="str">
        <f>IFERROR(__xludf.DUMMYFUNCTION("GOOGLETRANSLATE(A3479,""en"",""fi"")"),"Ilmeisesti se näkyy vain niille ihmisille, jotka ovat puhdassydämisiä ja joilla on voimakas halu nähdä se.")</f>
        <v>Ilmeisesti se näkyy vain niille ihmisille, jotka ovat puhdassydämisiä ja joilla on voimakas halu nähdä se.</v>
      </c>
      <c r="C3479" s="9" t="s">
        <v>1344</v>
      </c>
    </row>
    <row r="3480" ht="33.75" customHeight="1">
      <c r="A3480" s="6" t="s">
        <v>5225</v>
      </c>
      <c r="B3480" s="6" t="str">
        <f>IFERROR(__xludf.DUMMYFUNCTION("GOOGLETRANSLATE(A3480,""en"",""fi"")"),"Sen DNA:n sanotaan sisältävän kaikkien POKéMONien geneettiset koodit, joten se voi käyttää kaikenlaisia ​​tekniikoita.")</f>
        <v>Sen DNA:n sanotaan sisältävän kaikkien POKéMONien geneettiset koodit, joten se voi käyttää kaikenlaisia ​​tekniikoita.</v>
      </c>
      <c r="C3480" s="9" t="s">
        <v>1344</v>
      </c>
    </row>
    <row r="3481" ht="33.75" customHeight="1">
      <c r="A3481" s="6" t="s">
        <v>5226</v>
      </c>
      <c r="B3481" s="6" t="str">
        <f>IFERROR(__xludf.DUMMYFUNCTION("GOOGLETRANSLATE(A3481,""en"",""fi"")"),"Koska se voi oppia minkä tahansa liikkeen, jotkut alkoivat tutkia, onko se kaikkien POKéMONien esi-isä.")</f>
        <v>Koska se voi oppia minkä tahansa liikkeen, jotkut alkoivat tutkia, onko se kaikkien POKéMONien esi-isä.</v>
      </c>
      <c r="C3481" s="9" t="s">
        <v>1344</v>
      </c>
    </row>
    <row r="3482" ht="33.75" customHeight="1">
      <c r="A3482" s="6" t="s">
        <v>5228</v>
      </c>
      <c r="B3482" s="6" t="str">
        <f>IFERROR(__xludf.DUMMYFUNCTION("GOOGLETRANSLATE(A3482,""en"",""fi"")"),"MEWin sanotaan omaavan kaikkien POKéMONien geneettisen koostumuksen. Se pystyy tekemään itsestään näkymättömän milloin tahansa, joten se välttyy täysin huomiotta, vaikka se lähestyisi ihmisiä.")</f>
        <v>MEWin sanotaan omaavan kaikkien POKéMONien geneettisen koostumuksen. Se pystyy tekemään itsestään näkymättömän milloin tahansa, joten se välttyy täysin huomiotta, vaikka se lähestyisi ihmisiä.</v>
      </c>
      <c r="C3482" s="9" t="s">
        <v>1344</v>
      </c>
    </row>
    <row r="3483" ht="33.75" customHeight="1">
      <c r="A3483" s="6" t="s">
        <v>5230</v>
      </c>
      <c r="B3483" s="6" t="str">
        <f>IFERROR(__xludf.DUMMYFUNCTION("GOOGLETRANSLATE(A3483,""en"",""fi"")"),"MEWin sanotaan omaavan kaikkien POKéMONien geenit. Se pystyy tekemään itsestään näkymättömän milloin tahansa, joten se välttyy täysin huomiotta, vaikka se lähestyisi ihmisiä.")</f>
        <v>MEWin sanotaan omaavan kaikkien POKéMONien geenit. Se pystyy tekemään itsestään näkymättömän milloin tahansa, joten se välttyy täysin huomiotta, vaikka se lähestyisi ihmisiä.</v>
      </c>
      <c r="C3483" s="9" t="s">
        <v>1344</v>
      </c>
    </row>
    <row r="3484" ht="33.75" customHeight="1">
      <c r="A3484" s="6" t="s">
        <v>5231</v>
      </c>
      <c r="B3484" s="6" t="str">
        <f>IFERROR(__xludf.DUMMYFUNCTION("GOOGLETRANSLATE(A3484,""en"",""fi"")"),"Etelä-Amerikasta kotoisin oleva POKéMON, jonka luultiin kuolleen sukupuuttoon. Se on erittäin älykäs ja oppii kaikki liikkeet.")</f>
        <v>Etelä-Amerikasta kotoisin oleva POKéMON, jonka luultiin kuolleen sukupuuttoon. Se on erittäin älykäs ja oppii kaikki liikkeet.</v>
      </c>
      <c r="C3484" s="9" t="s">
        <v>1344</v>
      </c>
    </row>
    <row r="3485" ht="33.75" customHeight="1">
      <c r="A3485" s="6" t="s">
        <v>5233</v>
      </c>
      <c r="B3485" s="6" t="str">
        <f>IFERROR(__xludf.DUMMYFUNCTION("GOOGLETRANSLATE(A3485,""en"",""fi"")"),"Koska MEW voi käyttää kaikenlaisia ​​liikkeitä, monet tiedemiehet uskovat sen olevan Pokémonien esi-isä.")</f>
        <v>Koska MEW voi käyttää kaikenlaisia ​​liikkeitä, monet tiedemiehet uskovat sen olevan Pokémonien esi-isä.</v>
      </c>
      <c r="C3485" s="9" t="s">
        <v>1344</v>
      </c>
    </row>
    <row r="3486" ht="33.75" customHeight="1">
      <c r="A3486" s="6" t="s">
        <v>5234</v>
      </c>
      <c r="B3486" s="6" t="str">
        <f>IFERROR(__xludf.DUMMYFUNCTION("GOOGLETRANSLATE(A3486,""en"",""fi"")"),"Sen DNA:n sanotaan sisältävän kaikkien Pokémonien geneettiset koodit, joten se voi käyttää kaikenlaisia ​​tekniikoita.")</f>
        <v>Sen DNA:n sanotaan sisältävän kaikkien Pokémonien geneettiset koodit, joten se voi käyttää kaikenlaisia ​​tekniikoita.</v>
      </c>
      <c r="C3486" s="9" t="s">
        <v>1344</v>
      </c>
    </row>
    <row r="3487" ht="33.75" customHeight="1">
      <c r="A3487" s="6" t="s">
        <v>5236</v>
      </c>
      <c r="B3487" s="6" t="str">
        <f>IFERROR(__xludf.DUMMYFUNCTION("GOOGLETRANSLATE(A3487,""en"",""fi"")"),"Koska Mew pystyy käyttämään kaikenlaisia ​​liikkeitä, monet tiedemiehet uskovat sen olevan Pokémonien esi-isä.")</f>
        <v>Koska Mew pystyy käyttämään kaikenlaisia ​​liikkeitä, monet tiedemiehet uskovat sen olevan Pokémonien esi-isä.</v>
      </c>
      <c r="C3487" s="9" t="s">
        <v>1344</v>
      </c>
    </row>
    <row r="3488" ht="33.75" customHeight="1">
      <c r="A3488" s="6" t="s">
        <v>5237</v>
      </c>
      <c r="B3488" s="6" t="str">
        <f>IFERROR(__xludf.DUMMYFUNCTION("GOOGLETRANSLATE(A3488,""en"",""fi"")"),"Mew'n sanotaan omaavan kaikkien Pokémonien geneettisen koostumuksen. Se pystyy tekemään itsestään näkymättömän milloin tahansa, joten se välttyy kokonaan huomiotta, vaikka se lähestyisi ihmisiä.")</f>
        <v>Mew'n sanotaan omaavan kaikkien Pokémonien geneettisen koostumuksen. Se pystyy tekemään itsestään näkymättömän milloin tahansa, joten se välttyy kokonaan huomiotta, vaikka se lähestyisi ihmisiä.</v>
      </c>
      <c r="C3488" s="9" t="s">
        <v>1344</v>
      </c>
    </row>
    <row r="3489" ht="33.75" customHeight="1">
      <c r="A3489" s="6" t="s">
        <v>5238</v>
      </c>
      <c r="B3489" s="6" t="str">
        <f>IFERROR(__xludf.DUMMYFUNCTION("GOOGLETRANSLATE(A3489,""en"",""fi"")"),"Mikroskoopilla katsottuna tämän Pokémonin lyhyet, hienot ja herkät hiukset näkyvät.")</f>
        <v>Mikroskoopilla katsottuna tämän Pokémonin lyhyet, hienot ja herkät hiukset näkyvät.</v>
      </c>
      <c r="C3489" s="9" t="s">
        <v>1344</v>
      </c>
    </row>
    <row r="3490" ht="33.75" customHeight="1">
      <c r="A3490" s="6" t="s">
        <v>5239</v>
      </c>
      <c r="B3490" s="6" t="str">
        <f>IFERROR(__xludf.DUMMYFUNCTION("GOOGLETRANSLATE(A3490,""en"",""fi"")"),"Sen päässä olevasta lehdestä leijuu lempeästi makea tuoksu. Se on säyseä ja rakastaa nauttia auringonsäteistä.")</f>
        <v>Sen päässä olevasta lehdestä leijuu lempeästi makea tuoksu. Se on säyseä ja rakastaa nauttia auringonsäteistä.</v>
      </c>
      <c r="C3490" s="9" t="s">
        <v>1344</v>
      </c>
    </row>
    <row r="3491" ht="33.75" customHeight="1">
      <c r="A3491" s="6" t="s">
        <v>5240</v>
      </c>
      <c r="B3491" s="6" t="str">
        <f>IFERROR(__xludf.DUMMYFUNCTION("GOOGLETRANSLATE(A3491,""en"",""fi"")"),"Sen miellyttävän aromaattiset lehdet pystyvät säätelemään kosteutta ja lämpötilaa.")</f>
        <v>Sen miellyttävän aromaattiset lehdet pystyvät säätelemään kosteutta ja lämpötilaa.</v>
      </c>
      <c r="C3491" s="9" t="s">
        <v>1344</v>
      </c>
    </row>
    <row r="3492" ht="33.75" customHeight="1">
      <c r="A3492" s="6" t="s">
        <v>5241</v>
      </c>
      <c r="B3492" s="6" t="str">
        <f>IFERROR(__xludf.DUMMYFUNCTION("GOOGLETRANSLATE(A3492,""en"",""fi"")"),"Se rakastaa paistatella auringonvalossa. Se käyttää päänsä lehteä etsiäkseen lämpimiä paikkoja.")</f>
        <v>Se rakastaa paistatella auringonvalossa. Se käyttää päänsä lehteä etsiäkseen lämpimiä paikkoja.</v>
      </c>
      <c r="C3492" s="9" t="s">
        <v>1344</v>
      </c>
    </row>
    <row r="3493" ht="33.75" customHeight="1">
      <c r="A3493" s="6" t="s">
        <v>5242</v>
      </c>
      <c r="B3493" s="6" t="str">
        <f>IFERROR(__xludf.DUMMYFUNCTION("GOOGLETRANSLATE(A3493,""en"",""fi"")"),"Taistelussa CHIKORITA heiluttaa lehteään pitääkseen vihollisen loitolla. Lehdestä leijuu kuitenkin myös makea tuoksu, joka rauhoittaa taistelevat POKéMONit ja luo ympärille viihtyisän ja ystävällisen ilmapiirin.")</f>
        <v>Taistelussa CHIKORITA heiluttaa lehteään pitääkseen vihollisen loitolla. Lehdestä leijuu kuitenkin myös makea tuoksu, joka rauhoittaa taistelevat POKéMONit ja luo ympärille viihtyisän ja ystävällisen ilmapiirin.</v>
      </c>
      <c r="C3493" s="9" t="s">
        <v>1344</v>
      </c>
    </row>
    <row r="3494" ht="33.75" customHeight="1">
      <c r="A3494" s="6" t="s">
        <v>5243</v>
      </c>
      <c r="B3494" s="6" t="str">
        <f>IFERROR(__xludf.DUMMYFUNCTION("GOOGLETRANSLATE(A3494,""en"",""fi"")"),"Se heiluttaa lehteään pitääkseen viholliset loitolla. Lehdestä leijuu kuitenkin myös makea tuoksu, joka luo ystävällisen ilmapiirin, joka rauhoittaa taistelijat.")</f>
        <v>Se heiluttaa lehteään pitääkseen viholliset loitolla. Lehdestä leijuu kuitenkin myös makea tuoksu, joka luo ystävällisen ilmapiirin, joka rauhoittaa taistelijat.</v>
      </c>
      <c r="C3494" s="9" t="s">
        <v>1344</v>
      </c>
    </row>
    <row r="3495" ht="33.75" customHeight="1">
      <c r="A3495" s="6" t="s">
        <v>5245</v>
      </c>
      <c r="B3495" s="6" t="str">
        <f>IFERROR(__xludf.DUMMYFUNCTION("GOOGLETRANSLATE(A3495,""en"",""fi"")"),"Sen miellyttävän aromaattiset lehdet pystyvät säätelemään kosteutta ja lämpötilaa.")</f>
        <v>Sen miellyttävän aromaattiset lehdet pystyvät säätelemään kosteutta ja lämpötilaa.</v>
      </c>
      <c r="C3495" s="9" t="s">
        <v>1344</v>
      </c>
    </row>
    <row r="3496" ht="33.75" customHeight="1">
      <c r="A3496" s="6" t="s">
        <v>5246</v>
      </c>
      <c r="B3496" s="6" t="str">
        <f>IFERROR(__xludf.DUMMYFUNCTION("GOOGLETRANSLATE(A3496,""en"",""fi"")"),"Sen päässä olevasta lehdestä leijuu lempeästi makea tuoksu. Se on säyseä ja rakastaa auringonsäteitä.")</f>
        <v>Sen päässä olevasta lehdestä leijuu lempeästi makea tuoksu. Se on säyseä ja rakastaa auringonsäteitä.</v>
      </c>
      <c r="C3496" s="9" t="s">
        <v>1344</v>
      </c>
    </row>
    <row r="3497" ht="33.75" customHeight="1">
      <c r="A3497" s="6" t="s">
        <v>5247</v>
      </c>
      <c r="B3497" s="6" t="str">
        <f>IFERROR(__xludf.DUMMYFUNCTION("GOOGLETRANSLATE(A3497,""en"",""fi"")"),"Se käyttää päänsä lehteä lämpötilan ja kosteuden määrittämiseen. Se rakastaa auringonottoa.")</f>
        <v>Se käyttää päänsä lehteä lämpötilan ja kosteuden määrittämiseen. Se rakastaa auringonottoa.</v>
      </c>
      <c r="C3497" s="9" t="s">
        <v>1344</v>
      </c>
    </row>
    <row r="3498" ht="33.75" customHeight="1">
      <c r="A3498" s="6" t="s">
        <v>5248</v>
      </c>
      <c r="B3498" s="6" t="str">
        <f>IFERROR(__xludf.DUMMYFUNCTION("GOOGLETRANSLATE(A3498,""en"",""fi"")"),"Sen päässä olevasta lehdestä leijuu lempeästi makea tuoksu. Se on säyseä ja rakastaa auringonsäteitä.")</f>
        <v>Sen päässä olevasta lehdestä leijuu lempeästi makea tuoksu. Se on säyseä ja rakastaa auringonsäteitä.</v>
      </c>
      <c r="C3498" s="9" t="s">
        <v>1344</v>
      </c>
    </row>
    <row r="3499" ht="33.75" customHeight="1">
      <c r="A3499" s="6" t="s">
        <v>5249</v>
      </c>
      <c r="B3499" s="6" t="str">
        <f>IFERROR(__xludf.DUMMYFUNCTION("GOOGLETRANSLATE(A3499,""en"",""fi"")"),"Sen miellyttävän aromaattinen lehti pystyy tarkistamaan kosteuden ja lämpötilan.")</f>
        <v>Sen miellyttävän aromaattinen lehti pystyy tarkistamaan kosteuden ja lämpötilan.</v>
      </c>
      <c r="C3499" s="9" t="s">
        <v>1344</v>
      </c>
    </row>
    <row r="3500" ht="33.75" customHeight="1">
      <c r="A3500" s="6" t="s">
        <v>5251</v>
      </c>
      <c r="B3500" s="6" t="str">
        <f>IFERROR(__xludf.DUMMYFUNCTION("GOOGLETRANSLATE(A3500,""en"",""fi"")"),"Sen päässä olevasta lehdestä leijuu lempeästi makea tuoksu. Se on säyseä ja rakastaa auringonsäteitä.")</f>
        <v>Sen päässä olevasta lehdestä leijuu lempeästi makea tuoksu. Se on säyseä ja rakastaa auringonsäteitä.</v>
      </c>
      <c r="C3500" s="9" t="s">
        <v>1344</v>
      </c>
    </row>
    <row r="3501" ht="33.75" customHeight="1">
      <c r="A3501" s="6" t="s">
        <v>5252</v>
      </c>
      <c r="B3501" s="6" t="str">
        <f>IFERROR(__xludf.DUMMYFUNCTION("GOOGLETRANSLATE(A3501,""en"",""fi"")"),"Taistelussa Chikorita heiluttaa lehteään pitääkseen vihollisen loitolla. Lehdestä leijuu kuitenkin myös makea tuoksu, joka rauhoittaa taistelevan Pokémonin ja luo ympärille viihtyisän ja ystävällisen ilmapiirin.")</f>
        <v>Taistelussa Chikorita heiluttaa lehteään pitääkseen vihollisen loitolla. Lehdestä leijuu kuitenkin myös makea tuoksu, joka rauhoittaa taistelevan Pokémonin ja luo ympärille viihtyisän ja ystävällisen ilmapiirin.</v>
      </c>
      <c r="C3501" s="9" t="s">
        <v>1344</v>
      </c>
    </row>
    <row r="3502" ht="33.75" customHeight="1">
      <c r="A3502" s="6" t="s">
        <v>5253</v>
      </c>
      <c r="B3502" s="6" t="str">
        <f>IFERROR(__xludf.DUMMYFUNCTION("GOOGLETRANSLATE(A3502,""en"",""fi"")"),"Mausteiden tuoksu tulee sen kaulasta. Jostain syystä sen nuuhkiminen saa sinut haluamaan taistella.")</f>
        <v>Mausteiden tuoksu tulee sen kaulasta. Jostain syystä sen nuuhkiminen saa sinut haluamaan taistella.</v>
      </c>
      <c r="C3502" s="9" t="s">
        <v>1344</v>
      </c>
    </row>
    <row r="3503" ht="33.75" customHeight="1">
      <c r="A3503" s="6" t="s">
        <v>5254</v>
      </c>
      <c r="B3503" s="6" t="str">
        <f>IFERROR(__xludf.DUMMYFUNCTION("GOOGLETRANSLATE(A3503,""en"",""fi"")"),"Sen kaulasta leijuu mausteinen tuoksu. Tuoksu toimii terveyden palauttajana.")</f>
        <v>Sen kaulasta leijuu mausteinen tuoksu. Tuoksu toimii terveyden palauttajana.</v>
      </c>
      <c r="C3503" s="9" t="s">
        <v>1344</v>
      </c>
    </row>
    <row r="3504" ht="33.75" customHeight="1">
      <c r="A3504" s="6" t="s">
        <v>5255</v>
      </c>
      <c r="B3504" s="6" t="str">
        <f>IFERROR(__xludf.DUMMYFUNCTION("GOOGLETRANSLATE(A3504,""en"",""fi"")"),"Sen kaulassa olevista lehdistä leijuva tuoksu saa jokaisen, joka sitä haistaa, energiseksi.")</f>
        <v>Sen kaulassa olevista lehdistä leijuva tuoksu saa jokaisen, joka sitä haistaa, energiseksi.</v>
      </c>
      <c r="C3504" s="9" t="s">
        <v>1344</v>
      </c>
    </row>
    <row r="3505" ht="33.75" customHeight="1">
      <c r="A3505" s="6" t="s">
        <v>5256</v>
      </c>
      <c r="B3505" s="6" t="str">
        <f>IFERROR(__xludf.DUMMYFUNCTION("GOOGLETRANSLATE(A3505,""en"",""fi"")"),"BAYLEEFin kaulaa reunustavat käpristyneet lehdet. Jokaisen putkimaisen lehden sisällä on pieni puunverso. Verson tuoksu piristää ihmisiä.")</f>
        <v>BAYLEEFin kaulaa reunustavat käpristyneet lehdet. Jokaisen putkimaisen lehden sisällä on pieni puunverso. Verson tuoksu piristää ihmisiä.</v>
      </c>
      <c r="C3505" s="9" t="s">
        <v>1344</v>
      </c>
    </row>
    <row r="3506" ht="33.75" customHeight="1">
      <c r="A3506" s="6" t="s">
        <v>5257</v>
      </c>
      <c r="B3506" s="6" t="str">
        <f>IFERROR(__xludf.DUMMYFUNCTION("GOOGLETRANSLATE(A3506,""en"",""fi"")"),"Laakerinlehden kaulaa reunustavat käpristyneet lehdet. Jokaisen lehden sisällä on pieni puunverso. Verson tuoksu piristää ihmisiä.")</f>
        <v>Laakerinlehden kaulaa reunustavat käpristyneet lehdet. Jokaisen lehden sisällä on pieni puunverso. Verson tuoksu piristää ihmisiä.</v>
      </c>
      <c r="C3506" s="9" t="s">
        <v>1344</v>
      </c>
    </row>
    <row r="3507" ht="33.75" customHeight="1">
      <c r="A3507" s="6" t="s">
        <v>5258</v>
      </c>
      <c r="B3507" s="6" t="str">
        <f>IFERROR(__xludf.DUMMYFUNCTION("GOOGLETRANSLATE(A3507,""en"",""fi"")"),"Sen kaulasta leijuu mausteinen tuoksu, joka toimii terveyttä palauttavana piristeenä.")</f>
        <v>Sen kaulasta leijuu mausteinen tuoksu, joka toimii terveyttä palauttavana piristeenä.</v>
      </c>
      <c r="C3507" s="9" t="s">
        <v>1344</v>
      </c>
    </row>
    <row r="3508" ht="33.75" customHeight="1">
      <c r="A3508" s="6" t="s">
        <v>5259</v>
      </c>
      <c r="B3508" s="6" t="str">
        <f>IFERROR(__xludf.DUMMYFUNCTION("GOOGLETRANSLATE(A3508,""en"",""fi"")"),"Sen kaulaa ympäröivät nuput levittävät mausteista tuoksua, joka piristää ihmisiä.")</f>
        <v>Sen kaulaa ympäröivät nuput levittävät mausteista tuoksua, joka piristää ihmisiä.</v>
      </c>
      <c r="C3508" s="9" t="s">
        <v>1344</v>
      </c>
    </row>
    <row r="3509" ht="33.75" customHeight="1">
      <c r="A3509" s="6" t="s">
        <v>5260</v>
      </c>
      <c r="B3509" s="6" t="str">
        <f>IFERROR(__xludf.DUMMYFUNCTION("GOOGLETRANSLATE(A3509,""en"",""fi"")"),"Laakerinlehden kaulaa reunustavat käpristyneet lehdet. Jokaisen putkimaisen lehden sisällä on pieni puunverso. Verson tuoksu piristää ihmisiä.")</f>
        <v>Laakerinlehden kaulaa reunustavat käpristyneet lehdet. Jokaisen putkimaisen lehden sisällä on pieni puunverso. Verson tuoksu piristää ihmisiä.</v>
      </c>
      <c r="C3509" s="9" t="s">
        <v>1344</v>
      </c>
    </row>
    <row r="3510" ht="33.75" customHeight="1">
      <c r="A3510" s="6" t="s">
        <v>5261</v>
      </c>
      <c r="B3510" s="6" t="str">
        <f>IFERROR(__xludf.DUMMYFUNCTION("GOOGLETRANSLATE(A3510,""en"",""fi"")"),"Sen terälehdistä nouseva tuoksu sisältää ainetta, joka rauhoittaa aggressiivisia tunteita.")</f>
        <v>Sen terälehdistä nouseva tuoksu sisältää ainetta, joka rauhoittaa aggressiivisia tunteita.</v>
      </c>
      <c r="C3510" s="9" t="s">
        <v>1344</v>
      </c>
    </row>
    <row r="3511" ht="33.75" customHeight="1">
      <c r="A3511" s="6" t="s">
        <v>5263</v>
      </c>
      <c r="B3511" s="6" t="str">
        <f>IFERROR(__xludf.DUMMYFUNCTION("GOOGLETRANSLATE(A3511,""en"",""fi"")"),"MEGANIUMin hengityksellä on voima elvyttää kuollutta ruohoa ja kasveja. Se voi tehdä niistä jälleen terveitä.")</f>
        <v>MEGANIUMin hengityksellä on voima elvyttää kuollutta ruohoa ja kasveja. Se voi tehdä niistä jälleen terveitä.</v>
      </c>
      <c r="C3511" s="9" t="s">
        <v>1344</v>
      </c>
    </row>
    <row r="3512" ht="33.75" customHeight="1">
      <c r="A3512" s="6" t="s">
        <v>5265</v>
      </c>
      <c r="B3512" s="6" t="str">
        <f>IFERROR(__xludf.DUMMYFUNCTION("GOOGLETRANSLATE(A3512,""en"",""fi"")"),"Jokainen sen vieressä seisova virkistyy, aivan kuin rentoutuisi aurinkoisessa metsässä.")</f>
        <v>Jokainen sen vieressä seisova virkistyy, aivan kuin rentoutuisi aurinkoisessa metsässä.</v>
      </c>
      <c r="C3512" s="9" t="s">
        <v>1344</v>
      </c>
    </row>
    <row r="3513" ht="33.75" customHeight="1">
      <c r="A3513" s="6" t="s">
        <v>5266</v>
      </c>
      <c r="B3513" s="6" t="str">
        <f>IFERROR(__xludf.DUMMYFUNCTION("GOOGLETRANSLATE(A3513,""en"",""fi"")"),"MEGANIUMin kukan tuoksu rauhoittaa ja tyynnyttää tunteita. Taistelussa tämä POKéMON erittää lisää rauhoittavaa tuoksuaan lannistaakseen vihollisen taistelutahtoa.")</f>
        <v>MEGANIUMin kukan tuoksu rauhoittaa ja tyynnyttää tunteita. Taistelussa tämä POKéMON erittää lisää rauhoittavaa tuoksuaan lannistaakseen vihollisen taistelutahtoa.</v>
      </c>
      <c r="C3513" s="9" t="s">
        <v>1344</v>
      </c>
    </row>
    <row r="3514" ht="33.75" customHeight="1">
      <c r="A3514" s="6" t="s">
        <v>5268</v>
      </c>
      <c r="B3514" s="6" t="str">
        <f>IFERROR(__xludf.DUMMYFUNCTION("GOOGLETRANSLATE(A3514,""en"",""fi"")"),"MEGANIUMIN kukan tuoksu rauhoittaa ja tyynnyttää tunteita. Taistelussa se erittää lisää rauhoittavaa tuoksuaan lannistaakseen vihollisen taistelutahtoa.")</f>
        <v>MEGANIUMIN kukan tuoksu rauhoittaa ja tyynnyttää tunteita. Taistelussa se erittää lisää rauhoittavaa tuoksuaan lannistaakseen vihollisen taistelutahtoa.</v>
      </c>
      <c r="C3514" s="9" t="s">
        <v>1344</v>
      </c>
    </row>
    <row r="3515" ht="33.75" customHeight="1">
      <c r="A3515" s="6" t="s">
        <v>5269</v>
      </c>
      <c r="B3515" s="6" t="str">
        <f>IFERROR(__xludf.DUMMYFUNCTION("GOOGLETRANSLATE(A3515,""en"",""fi"")"),"MEGANIUMin hengityksellä on voima elvyttää kuollutta ruohoa ja kasveja. Se voi tehdä niistä jälleen terveitä.")</f>
        <v>MEGANIUMin hengityksellä on voima elvyttää kuollutta ruohoa ja kasveja. Se voi tehdä niistä jälleen terveitä.</v>
      </c>
      <c r="C3515" s="9" t="s">
        <v>1344</v>
      </c>
    </row>
    <row r="3516" ht="33.75" customHeight="1">
      <c r="A3516" s="6" t="s">
        <v>5270</v>
      </c>
      <c r="B3516" s="6" t="str">
        <f>IFERROR(__xludf.DUMMYFUNCTION("GOOGLETRANSLATE(A3516,""en"",""fi"")"),"Sen hengityksellä on fantastinen kyky herättää kuolleita kasveja ja kukkia henkiin.")</f>
        <v>Sen hengityksellä on fantastinen kyky herättää kuolleita kasveja ja kukkia henkiin.</v>
      </c>
      <c r="C3516" s="9" t="s">
        <v>1344</v>
      </c>
    </row>
    <row r="3517" ht="33.75" customHeight="1">
      <c r="A3517" s="6" t="s">
        <v>5271</v>
      </c>
      <c r="B3517" s="6" t="str">
        <f>IFERROR(__xludf.DUMMYFUNCTION("GOOGLETRANSLATE(A3517,""en"",""fi"")"),"Meganiumin hengityksellä on voima elvyttää kuollutta ruohoa ja kasveja. Se voi tehdä niistä jälleen terveitä.")</f>
        <v>Meganiumin hengityksellä on voima elvyttää kuollutta ruohoa ja kasveja. Se voi tehdä niistä jälleen terveitä.</v>
      </c>
      <c r="C3517" s="9" t="s">
        <v>1344</v>
      </c>
    </row>
    <row r="3518" ht="33.75" customHeight="1">
      <c r="A3518" s="6" t="s">
        <v>5274</v>
      </c>
      <c r="B3518" s="6" t="str">
        <f>IFERROR(__xludf.DUMMYFUNCTION("GOOGLETRANSLATE(A3518,""en"",""fi"")"),"Meganiumin kukan tuoksu rauhoittaa ja tyynnyttää tunteita. Taistelussa tämä Pokémon erittää lisää rauhoittavaa tuoksuaan lannistaakseen vihollisen taistelutahtoa.")</f>
        <v>Meganiumin kukan tuoksu rauhoittaa ja tyynnyttää tunteita. Taistelussa tämä Pokémon erittää lisää rauhoittavaa tuoksuaan lannistaakseen vihollisen taistelutahtoa.</v>
      </c>
      <c r="C3518" s="9" t="s">
        <v>1344</v>
      </c>
    </row>
    <row r="3519" ht="33.75" customHeight="1">
      <c r="A3519" s="6" t="s">
        <v>5276</v>
      </c>
      <c r="B3519" s="6" t="str">
        <f>IFERROR(__xludf.DUMMYFUNCTION("GOOGLETRANSLATE(A3519,""en"",""fi"")"),"Se on arka ja käpertyy aina palloksi. Hyökkäyksen sattuessa se levittää selkäänsä suojakseen.")</f>
        <v>Se on arka ja käpertyy aina palloksi. Hyökkäyksen sattuessa se levittää selkäänsä suojakseen.</v>
      </c>
      <c r="C3519" s="9" t="s">
        <v>1344</v>
      </c>
    </row>
    <row r="3520" ht="33.75" customHeight="1">
      <c r="A3520" s="6" t="s">
        <v>5277</v>
      </c>
      <c r="B3520" s="6" t="str">
        <f>IFERROR(__xludf.DUMMYFUNCTION("GOOGLETRANSLATE(A3520,""en"",""fi"")"),"Se pysyy yleensä kumarassa. Jos se on vihainen tai yllättynyt, se ampuu liekkejä selästään.")</f>
        <v>Se pysyy yleensä kumarassa. Jos se on vihainen tai yllättynyt, se ampuu liekkejä selästään.</v>
      </c>
      <c r="C3520" s="9" t="s">
        <v>1344</v>
      </c>
    </row>
    <row r="3521" ht="33.75" customHeight="1">
      <c r="A3521" s="6" t="s">
        <v>5278</v>
      </c>
      <c r="B3521" s="6" t="str">
        <f>IFERROR(__xludf.DUMMYFUNCTION("GOOGLETRANSLATE(A3521,""en"",""fi"")"),"Sen selästä purkautuva tuli palaa kuumimmin, kun se on vihainen. Liekit pelottavat vihollisia.")</f>
        <v>Sen selästä purkautuva tuli palaa kuumimmin, kun se on vihainen. Liekit pelottavat vihollisia.</v>
      </c>
      <c r="C3521" s="9" t="s">
        <v>1344</v>
      </c>
    </row>
    <row r="3522" ht="33.75" customHeight="1">
      <c r="A3522" s="6" t="s">
        <v>5279</v>
      </c>
      <c r="B3522" s="6" t="str">
        <f>IFERROR(__xludf.DUMMYFUNCTION("GOOGLETRANSLATE(A3522,""en"",""fi"")"),"CYNDAQUIL suojaa itseään sytyttämällä liekkejä selälleen. Liekit ovat voimakkaita, jos POKéMON on vihainen. Jos se on kuitenkin väsynyt, liekit pauhaavat epätäydellisen palamisen seurauksena.")</f>
        <v>CYNDAQUIL suojaa itseään sytyttämällä liekkejä selälleen. Liekit ovat voimakkaita, jos POKéMON on vihainen. Jos se on kuitenkin väsynyt, liekit pauhaavat epätäydellisen palamisen seurauksena.</v>
      </c>
      <c r="C3522" s="9" t="s">
        <v>1344</v>
      </c>
    </row>
    <row r="3523" ht="33.75" customHeight="1">
      <c r="A3523" s="6" t="s">
        <v>5280</v>
      </c>
      <c r="B3523" s="6" t="str">
        <f>IFERROR(__xludf.DUMMYFUNCTION("GOOGLETRANSLATE(A3523,""en"",""fi"")"),"Se ampuu liekkejä selästään suojautuakseen. Tuli palaa voimakkaasti, jos POKéMON on vihainen. Kun se on väsynyt, se roiskuu epätäydellisen palamisen seurauksena.")</f>
        <v>Se ampuu liekkejä selästään suojautuakseen. Tuli palaa voimakkaasti, jos POKéMON on vihainen. Kun se on väsynyt, se roiskuu epätäydellisen palamisen seurauksena.</v>
      </c>
      <c r="C3523" s="9" t="s">
        <v>1344</v>
      </c>
    </row>
    <row r="3524" ht="33.75" customHeight="1">
      <c r="A3524" s="6" t="s">
        <v>5281</v>
      </c>
      <c r="B3524" s="6" t="str">
        <f>IFERROR(__xludf.DUMMYFUNCTION("GOOGLETRANSLATE(A3524,""en"",""fi"")"),"Se on arka ja käpertyy aina palloksi. Jos sitä vastaan ​​hyökätään, se levittää selkäänsä suojakseen.")</f>
        <v>Se on arka ja käpertyy aina palloksi. Jos sitä vastaan ​​hyökätään, se levittää selkäänsä suojakseen.</v>
      </c>
      <c r="C3524" s="9" t="s">
        <v>1344</v>
      </c>
    </row>
    <row r="3525" ht="33.75" customHeight="1">
      <c r="A3525" s="6" t="s">
        <v>5283</v>
      </c>
      <c r="B3525" s="6" t="str">
        <f>IFERROR(__xludf.DUMMYFUNCTION("GOOGLETRANSLATE(A3525,""en"",""fi"")"),"Se on luonteeltaan arka. Jos se säikähtää, sen selässä olevat liekit palavat voimakkaammin.")</f>
        <v>Se on luonteeltaan arka. Jos se säikähtää, sen selässä olevat liekit palavat voimakkaammin.</v>
      </c>
      <c r="C3525" s="9" t="s">
        <v>1344</v>
      </c>
    </row>
    <row r="3526" ht="33.75" customHeight="1">
      <c r="A3526" s="6" t="s">
        <v>5284</v>
      </c>
      <c r="B3526" s="6" t="str">
        <f>IFERROR(__xludf.DUMMYFUNCTION("GOOGLETRANSLATE(A3526,""en"",""fi"")"),"Se on arka ja käpertyy aina palloksi. Hyökkäyksen sattuessa se levittää selkäänsä suojakseen.")</f>
        <v>Se on arka ja käpertyy aina palloksi. Hyökkäyksen sattuessa se levittää selkäänsä suojakseen.</v>
      </c>
      <c r="C3526" s="9" t="s">
        <v>1344</v>
      </c>
    </row>
    <row r="3527" ht="33.75" customHeight="1">
      <c r="A3527" s="6" t="s">
        <v>5285</v>
      </c>
      <c r="B3527" s="6" t="str">
        <f>IFERROR(__xludf.DUMMYFUNCTION("GOOGLETRANSLATE(A3527,""en"",""fi"")"),"Cyndaquil suojaa itseään sytyttämällä liekkejä selässään. Liekit ovat voimakkaita, jos Pokémon on vihainen. Jos se on kuitenkin väsynyt, liekit pauhaavat epätäydellisen palamisen seurauksena.")</f>
        <v>Cyndaquil suojaa itseään sytyttämällä liekkejä selässään. Liekit ovat voimakkaita, jos Pokémon on vihainen. Jos se on kuitenkin väsynyt, liekit pauhaavat epätäydellisen palamisen seurauksena.</v>
      </c>
      <c r="C3527" s="9" t="s">
        <v>1344</v>
      </c>
    </row>
    <row r="3528" ht="33.75" customHeight="1">
      <c r="A3528" s="6" t="s">
        <v>5288</v>
      </c>
      <c r="B3528" s="6" t="str">
        <f>IFERROR(__xludf.DUMMYFUNCTION("GOOGLETRANSLATE(A3528,""en"",""fi"")"),"Kotoisin Johto-alueelta. Vaikka se yleensä käpertyy palloksi aran luonteensa vuoksi, sillä on valtava tulivoima.")</f>
        <v>Kotoisin Johto-alueelta. Vaikka se yleensä käpertyy palloksi aran luonteensa vuoksi, sillä on valtava tulivoima.</v>
      </c>
      <c r="C3528" s="9" t="s">
        <v>1344</v>
      </c>
    </row>
    <row r="3529" ht="33.75" customHeight="1">
      <c r="A3529" s="6" t="s">
        <v>5289</v>
      </c>
      <c r="B3529" s="6" t="str">
        <f>IFERROR(__xludf.DUMMYFUNCTION("GOOGLETRANSLATE(A3529,""en"",""fi"")"),"Ole varovainen, jos se kääntää selkänsä taistelun aikana. Se tarkoittaa, että se hyökkää tuli selässään.")</f>
        <v>Ole varovainen, jos se kääntää selkänsä taistelun aikana. Se tarkoittaa, että se hyökkää tuli selässään.</v>
      </c>
      <c r="C3529" s="9" t="s">
        <v>1344</v>
      </c>
    </row>
    <row r="3530" ht="33.75" customHeight="1">
      <c r="A3530" s="6" t="s">
        <v>5291</v>
      </c>
      <c r="B3530" s="6" t="str">
        <f>IFERROR(__xludf.DUMMYFUNCTION("GOOGLETRANSLATE(A3530,""en"",""fi"")"),"Tämä POKéMON on kokonaan peitetty palamattomalla turkilla. Se kestää minkä tahansa tulipalon.")</f>
        <v>Tämä POKéMON on kokonaan peitetty palamattomalla turkilla. Se kestää minkä tahansa tulipalon.</v>
      </c>
      <c r="C3530" s="9" t="s">
        <v>1344</v>
      </c>
    </row>
    <row r="3531" ht="33.75" customHeight="1">
      <c r="A3531" s="6" t="s">
        <v>5293</v>
      </c>
      <c r="B3531" s="6" t="str">
        <f>IFERROR(__xludf.DUMMYFUNCTION("GOOGLETRANSLATE(A3531,""en"",""fi"")"),"Ennen taistelua se kääntää selkänsä vastustajalleen osoittaakseen kuinka raivokkaasti sen tuli roihuaa.")</f>
        <v>Ennen taistelua se kääntää selkänsä vastustajalleen osoittaakseen kuinka raivokkaasti sen tuli roihuaa.</v>
      </c>
      <c r="C3531" s="9" t="s">
        <v>1344</v>
      </c>
    </row>
    <row r="3532" ht="33.75" customHeight="1">
      <c r="A3532" s="6" t="s">
        <v>5294</v>
      </c>
      <c r="B3532" s="6" t="str">
        <f>IFERROR(__xludf.DUMMYFUNCTION("GOOGLETRANSLATE(A3532,""en"",""fi"")"),"QUILAVA pitää vihollisensa loitolla liekkiensä voimakkuudella ja ylikuumennetun ilman puuskilla. Tämä POKéMON käyttää erinomaista ketteryyttään väistelläkseen hyökkäyksiä jopa samalla, kun se polttaa vihollista liekeillä.")</f>
        <v>QUILAVA pitää vihollisensa loitolla liekkiensä voimakkuudella ja ylikuumennetun ilman puuskilla. Tämä POKéMON käyttää erinomaista ketteryyttään väistelläkseen hyökkäyksiä jopa samalla, kun se polttaa vihollista liekeillä.</v>
      </c>
      <c r="C3532" s="9" t="s">
        <v>1344</v>
      </c>
    </row>
    <row r="3533" ht="33.75" customHeight="1">
      <c r="A3533" s="6" t="s">
        <v>5296</v>
      </c>
      <c r="B3533" s="6" t="str">
        <f>IFERROR(__xludf.DUMMYFUNCTION("GOOGLETRANSLATE(A3533,""en"",""fi"")"),"Se pelottelee vihollisia voimakkailla liekkien puuskilla ja ylikuumennetulla ilmalla. Nopean ketteryytensä ansiosta se pystyy väistelemään hyökkäyksiä jopa vihollista polttaessaan.")</f>
        <v>Se pelottelee vihollisia voimakkailla liekkien puuskilla ja ylikuumennetulla ilmalla. Nopean ketteryytensä ansiosta se pystyy väistelemään hyökkäyksiä jopa vihollista polttaessaan.</v>
      </c>
      <c r="C3533" s="9" t="s">
        <v>1344</v>
      </c>
    </row>
    <row r="3534" ht="33.75" customHeight="1">
      <c r="A3534" s="6" t="s">
        <v>5297</v>
      </c>
      <c r="B3534" s="6" t="str">
        <f>IFERROR(__xludf.DUMMYFUNCTION("GOOGLETRANSLATE(A3534,""en"",""fi"")"),"Se pelottaa vihollisia liekkiensä kuumuudella. Tuli palaa voimakkaammin, kun se on valmis taisteluun.")</f>
        <v>Se pelottaa vihollisia liekkiensä kuumuudella. Tuli palaa voimakkaammin, kun se on valmis taisteluun.</v>
      </c>
      <c r="C3534" s="9" t="s">
        <v>1344</v>
      </c>
    </row>
    <row r="3535" ht="33.75" customHeight="1">
      <c r="A3535" s="6" t="s">
        <v>5298</v>
      </c>
      <c r="B3535" s="6" t="str">
        <f>IFERROR(__xludf.DUMMYFUNCTION("GOOGLETRANSLATE(A3535,""en"",""fi"")"),"Tämä Pokémon on kokonaan peitetty palamattomalla turkilla. Se kestää minkä tahansa tulipalon.")</f>
        <v>Tämä Pokémon on kokonaan peitetty palamattomalla turkilla. Se kestää minkä tahansa tulipalon.</v>
      </c>
      <c r="C3535" s="9" t="s">
        <v>1344</v>
      </c>
    </row>
    <row r="3536" ht="33.75" customHeight="1">
      <c r="A3536" s="6" t="s">
        <v>5299</v>
      </c>
      <c r="B3536" s="6" t="str">
        <f>IFERROR(__xludf.DUMMYFUNCTION("GOOGLETRANSLATE(A3536,""en"",""fi"")"),"Quilava pitää vihollisensa loitolla liekkiensä voimakkuudella ja ylikuumennetun ilman puuskilla. Tämä Pokémon käyttää poikkeuksellista ketteryyttään väistelläkseen hyökkäyksiä, vaikka se polttaisi vihollista liekeillä.")</f>
        <v>Quilava pitää vihollisensa loitolla liekkiensä voimakkuudella ja ylikuumennetun ilman puuskilla. Tämä Pokémon käyttää poikkeuksellista ketteryyttään väistelläkseen hyökkäyksiä, vaikka se polttaisi vihollista liekeillä.</v>
      </c>
      <c r="C3536" s="9" t="s">
        <v>1344</v>
      </c>
    </row>
    <row r="3537" ht="33.75" customHeight="1">
      <c r="A3537" s="6" t="s">
        <v>5300</v>
      </c>
      <c r="B3537" s="6" t="str">
        <f>IFERROR(__xludf.DUMMYFUNCTION("GOOGLETRANSLATE(A3537,""en"",""fi"")"),"Tämän olennon turkki on hyvin salaperäinen – se on täysin immuuni liekin polttavalle kosketukselle. Jos Quilava kääntää selkänsä sinulle, ole varovainen! Tällainen asento ennakoi tulevaa hyökkäystä.")</f>
        <v>Tämän olennon turkki on hyvin salaperäinen – se on täysin immuuni liekin polttavalle kosketukselle. Jos Quilava kääntää selkänsä sinulle, ole varovainen! Tällainen asento ennakoi tulevaa hyökkäystä.</v>
      </c>
      <c r="C3537" s="9" t="s">
        <v>1344</v>
      </c>
    </row>
    <row r="3538" ht="33.75" customHeight="1">
      <c r="A3538" s="6" t="s">
        <v>5302</v>
      </c>
      <c r="B3538" s="6" t="str">
        <f>IFERROR(__xludf.DUMMYFUNCTION("GOOGLETRANSLATE(A3538,""en"",""fi"")"),"Jos sen raivo huipentuu, se kuumenee niin paljon, että kaikki siihen liittyvä syttyy välittömästi liekkeihin.")</f>
        <v>Jos sen raivo huipentuu, se kuumenee niin paljon, että kaikki siihen liittyvä syttyy välittömästi liekkeihin.</v>
      </c>
      <c r="C3538" s="9" t="s">
        <v>1344</v>
      </c>
    </row>
    <row r="3539" ht="33.75" customHeight="1">
      <c r="A3539" s="6" t="s">
        <v>5304</v>
      </c>
      <c r="B3539" s="6" t="str">
        <f>IFERROR(__xludf.DUMMYFUNCTION("GOOGLETRANSLATE(A3539,""en"",""fi"")"),"Sillä on salainen, tuhoisa ele. Se hieroo hehkuvaa turkkiaan yhteen aiheuttaakseen valtavia räjähdyksiä.")</f>
        <v>Sillä on salainen, tuhoisa ele. Se hieroo hehkuvaa turkkiaan yhteen aiheuttaakseen valtavia räjähdyksiä.</v>
      </c>
      <c r="C3539" s="9" t="s">
        <v>1344</v>
      </c>
    </row>
    <row r="3540" ht="33.75" customHeight="1">
      <c r="A3540" s="6" t="s">
        <v>5305</v>
      </c>
      <c r="B3540" s="6" t="str">
        <f>IFERROR(__xludf.DUMMYFUNCTION("GOOGLETRANSLATE(A3540,""en"",""fi"")"),"Kun sen ruumiista tuleva lämpö saa sen ympärillä olevan ilman hohtamaan, se on merkki siitä, että se on valmis taisteluun.")</f>
        <v>Kun sen ruumiista tuleva lämpö saa sen ympärillä olevan ilman hohtamaan, se on merkki siitä, että se on valmis taisteluun.</v>
      </c>
      <c r="C3540" s="9" t="s">
        <v>1344</v>
      </c>
    </row>
    <row r="3541" ht="33.75" customHeight="1">
      <c r="A3541" s="6" t="s">
        <v>5307</v>
      </c>
      <c r="B3541" s="6" t="str">
        <f>IFERROR(__xludf.DUMMYFUNCTION("GOOGLETRANSLATE(A3541,""en"",""fi"")"),"TYPHLOSION kätkee itsensä kimaltelevan kuuman usvan taakse, jonka se luo erittäin kuumilla liekeillään. Tämä POKéMON luo roihuavia räjähdyksiä, jotka polttavat kaiken tuhkaksi.")</f>
        <v>TYPHLOSION kätkee itsensä kimaltelevan kuuman usvan taakse, jonka se luo erittäin kuumilla liekeillään. Tämä POKéMON luo roihuavia räjähdyksiä, jotka polttavat kaiken tuhkaksi.</v>
      </c>
      <c r="C3541" s="9" t="s">
        <v>1344</v>
      </c>
    </row>
    <row r="3542" ht="33.75" customHeight="1">
      <c r="A3542" s="6" t="s">
        <v>5309</v>
      </c>
      <c r="B3542" s="6" t="str">
        <f>IFERROR(__xludf.DUMMYFUNCTION("GOOGLETRANSLATE(A3542,""en"",""fi"")"),"Se voi piiloutua hohtavan kuumuuden taakse, jonka se luo voimakkailla liekeillään. TYPHLOSION luo roihuavia räjähdyksiä, jotka polttavat kaiken tuhkaksi.")</f>
        <v>Se voi piiloutua hohtavan kuumuuden taakse, jonka se luo voimakkailla liekeillään. TYPHLOSION luo roihuavia räjähdyksiä, jotka polttavat kaiken tuhkaksi.</v>
      </c>
      <c r="C3542" s="9" t="s">
        <v>1344</v>
      </c>
    </row>
    <row r="3543" ht="33.75" customHeight="1">
      <c r="A3543" s="6" t="s">
        <v>5310</v>
      </c>
      <c r="B3543" s="6" t="str">
        <f>IFERROR(__xludf.DUMMYFUNCTION("GOOGLETRANSLATE(A3543,""en"",""fi"")"),"Sillä on salainen, tuhoisa ele. Se hieroo hehkuvaa turkkiaan yhteen aiheuttaakseen valtavia räjähdyksiä.")</f>
        <v>Sillä on salainen, tuhoisa ele. Se hieroo hehkuvaa turkkiaan yhteen aiheuttaakseen valtavia räjähdyksiä.</v>
      </c>
      <c r="C3543" s="9" t="s">
        <v>1344</v>
      </c>
    </row>
    <row r="3544" ht="33.75" customHeight="1">
      <c r="A3544" s="6" t="s">
        <v>5311</v>
      </c>
      <c r="B3544" s="6" t="str">
        <f>IFERROR(__xludf.DUMMYFUNCTION("GOOGLETRANSLATE(A3544,""en"",""fi"")"),"Se hyökkää tuliräjähdyksillä. Se luo lämpöhohteita voimakkaalla tulella piiloutuakseen.")</f>
        <v>Se hyökkää tuliräjähdyksillä. Se luo lämpöhohteita voimakkaalla tulella piiloutuakseen.</v>
      </c>
      <c r="C3544" s="9" t="s">
        <v>1344</v>
      </c>
    </row>
    <row r="3545" ht="33.75" customHeight="1">
      <c r="A3545" s="6" t="s">
        <v>5312</v>
      </c>
      <c r="B3545" s="6" t="str">
        <f>IFERROR(__xludf.DUMMYFUNCTION("GOOGLETRANSLATE(A3545,""en"",""fi"")"),"Typhlosion kätkee itsensä hohtavan kuuman usvan taakse, jonka se luo erittäin kuumilla liekuillaan. Tämä Pokémon luo roihuavia räjähdyksiä, jotka polttavat kaiken tuhkaksi.")</f>
        <v>Typhlosion kätkee itsensä hohtavan kuuman usvan taakse, jonka se luo erittäin kuumilla liekuillaan. Tämä Pokémon luo roihuavia räjähdyksiä, jotka polttavat kaiken tuhkaksi.</v>
      </c>
      <c r="C3545" s="9" t="s">
        <v>1344</v>
      </c>
    </row>
    <row r="3546" ht="33.75" customHeight="1">
      <c r="A3546" s="6" t="s">
        <v>5313</v>
      </c>
      <c r="B3546" s="6" t="str">
        <f>IFERROR(__xludf.DUMMYFUNCTION("GOOGLETRANSLATE(A3546,""en"",""fi"")"),"Sanotaan puhdistavan kadonneita, hylättyjä sieluja liekeillään ja ohjaavan heidät tuonpuoleiseen. Uskon, että sen muotoon on vaikuttanut Hisuin keskustassa kohoavan pyhän vuoren energia.")</f>
        <v>Sanotaan puhdistavan kadonneita, hylättyjä sieluja liekeillään ja ohjaavan heidät tuonpuoleiseen. Uskon, että sen muotoon on vaikuttanut Hisuin keskustassa kohoavan pyhän vuoren energia.</v>
      </c>
      <c r="C3546" s="9" t="s">
        <v>1344</v>
      </c>
    </row>
    <row r="3547" ht="33.75" customHeight="1">
      <c r="A3547" s="6" t="s">
        <v>5314</v>
      </c>
      <c r="B3547" s="6" t="str">
        <f>IFERROR(__xludf.DUMMYFUNCTION("GOOGLETRANSLATE(A3547,""en"",""fi"")"),"Sen hyvin kehittyneet leuat ovat voimakkaat ja kykenevät murskaamaan mitä tahansa. Jopa sen kouluttajan on oltava varovainen.")</f>
        <v>Sen hyvin kehittyneet leuat ovat voimakkaat ja kykenevät murskaamaan mitä tahansa. Jopa sen kouluttajan on oltava varovainen.</v>
      </c>
      <c r="C3547" s="9" t="s">
        <v>1344</v>
      </c>
    </row>
    <row r="3548" ht="33.75" customHeight="1">
      <c r="A3548" s="6" t="s">
        <v>5315</v>
      </c>
      <c r="B3548" s="6" t="str">
        <f>IFERROR(__xludf.DUMMYFUNCTION("GOOGLETRANSLATE(A3548,""en"",""fi"")"),"Se on pieni mutta karu ja sitkeä. Se ei epäröi purra mitään, mikä liikkuu.")</f>
        <v>Se on pieni mutta karu ja sitkeä. Se ei epäröi purra mitään, mikä liikkuu.</v>
      </c>
      <c r="C3548" s="9" t="s">
        <v>1344</v>
      </c>
    </row>
    <row r="3549" ht="33.75" customHeight="1">
      <c r="A3549" s="6" t="s">
        <v>5316</v>
      </c>
      <c r="B3549" s="6" t="str">
        <f>IFERROR(__xludf.DUMMYFUNCTION("GOOGLETRANSLATE(A3549,""en"",""fi"")"),"Tämä karkea otus jyrää kaikkia näkemiään liikkuvia kohteita. Selän kääntämistä sille ei suositella.")</f>
        <v>Tämä karkea otus jyrää kaikkia näkemiään liikkuvia kohteita. Selän kääntämistä sille ei suositella.</v>
      </c>
      <c r="C3549" s="9" t="s">
        <v>1344</v>
      </c>
    </row>
    <row r="3550" ht="33.75" customHeight="1">
      <c r="A3550" s="6" t="s">
        <v>5317</v>
      </c>
      <c r="B3550" s="6" t="str">
        <f>IFERROR(__xludf.DUMMYFUNCTION("GOOGLETRANSLATE(A3550,""en"",""fi"")"),"Pienestä koostaan ​​huolimatta TOTODILEn leuat ovat erittäin voimakkaat. Vaikka POKéMON saattaa luulla vain leikkisän näykkivän, sen purema on tarpeeksi voimakas aiheuttamaan vakavia vammoja.")</f>
        <v>Pienestä koostaan ​​huolimatta TOTODILEn leuat ovat erittäin voimakkaat. Vaikka POKéMON saattaa luulla vain leikkisän näykkivän, sen purema on tarpeeksi voimakas aiheuttamaan vakavia vammoja.</v>
      </c>
      <c r="C3550" s="9" t="s">
        <v>1344</v>
      </c>
    </row>
    <row r="3551" ht="33.75" customHeight="1">
      <c r="A3551" s="6" t="s">
        <v>5318</v>
      </c>
      <c r="B3551" s="6" t="str">
        <f>IFERROR(__xludf.DUMMYFUNCTION("GOOGLETRANSLATE(A3551,""en"",""fi"")"),"Pienestä ruumiistaan ​​huolimatta TOTODILEn leuat ovat erittäin voimakkaat. Vaikka se saattaa luulla vain leikkisän näykkivän, sen purenta on tarpeeksi voimakas aiheuttamaan vakavan vamman.")</f>
        <v>Pienestä ruumiistaan ​​huolimatta TOTODILEn leuat ovat erittäin voimakkaat. Vaikka se saattaa luulla vain leikkisän näykkivän, sen purenta on tarpeeksi voimakas aiheuttamaan vakavan vamman.</v>
      </c>
      <c r="C3551" s="9" t="s">
        <v>1344</v>
      </c>
    </row>
    <row r="3552" ht="33.75" customHeight="1">
      <c r="A3552" s="6" t="s">
        <v>5319</v>
      </c>
      <c r="B3552" s="6" t="str">
        <f>IFERROR(__xludf.DUMMYFUNCTION("GOOGLETRANSLATE(A3552,""en"",""fi"")"),"Se on pieni mutta karu ja sitkeä. Se ei epäröi purra mitään, mikä liikkuu.")</f>
        <v>Se on pieni mutta karu ja sitkeä. Se ei epäröi purra mitään, mikä liikkuu.</v>
      </c>
      <c r="C3552" s="9" t="s">
        <v>1344</v>
      </c>
    </row>
    <row r="3553" ht="33.75" customHeight="1">
      <c r="A3553" s="6" t="s">
        <v>5320</v>
      </c>
      <c r="B3553" s="6" t="str">
        <f>IFERROR(__xludf.DUMMYFUNCTION("GOOGLETRANSLATE(A3553,""en"",""fi"")"),"Sen hyvin kehittyneet leuat ovat voimakkaat ja kykenevät murskaamaan mitä tahansa. Jopa sen KOULUTTAJAN on oltava varovainen.")</f>
        <v>Sen hyvin kehittyneet leuat ovat voimakkaat ja kykenevät murskaamaan mitä tahansa. Jopa sen KOULUTTAJAN on oltava varovainen.</v>
      </c>
      <c r="C3553" s="9" t="s">
        <v>1344</v>
      </c>
    </row>
    <row r="3554" ht="33.75" customHeight="1">
      <c r="A3554" s="6" t="s">
        <v>5321</v>
      </c>
      <c r="B3554" s="6" t="str">
        <f>IFERROR(__xludf.DUMMYFUNCTION("GOOGLETRANSLATE(A3554,""en"",""fi"")"),"Sillä on tapana purra mitä tahansa kehittyneillä leuoillaan. Jopa sen kouluttajan on oltava varovainen.")</f>
        <v>Sillä on tapana purra mitä tahansa kehittyneillä leuoillaan. Jopa sen kouluttajan on oltava varovainen.</v>
      </c>
      <c r="C3554" s="9" t="s">
        <v>1344</v>
      </c>
    </row>
    <row r="3555" ht="33.75" customHeight="1">
      <c r="A3555" s="6" t="s">
        <v>5322</v>
      </c>
      <c r="B3555" s="6" t="str">
        <f>IFERROR(__xludf.DUMMYFUNCTION("GOOGLETRANSLATE(A3555,""en"",""fi"")"),"Sen voimakkaat ja hyvin kehittyneet leuat pystyvät murskaamaan mitä tahansa. Jopa sen kouluttajan on oltava varovainen.")</f>
        <v>Sen voimakkaat ja hyvin kehittyneet leuat pystyvät murskaamaan mitä tahansa. Jopa sen kouluttajan on oltava varovainen.</v>
      </c>
      <c r="C3555" s="9" t="s">
        <v>1344</v>
      </c>
    </row>
    <row r="3556" ht="33.75" customHeight="1">
      <c r="A3556" s="6" t="s">
        <v>5324</v>
      </c>
      <c r="B3556" s="6" t="str">
        <f>IFERROR(__xludf.DUMMYFUNCTION("GOOGLETRANSLATE(A3556,""en"",""fi"")"),"Pienestä koostaan ​​huolimatta Totodilen leuat ovat erittäin voimakkaat. Vaikka Pokémon saattaa luulla vain leikkisän näykkivän, sen purema on tarpeeksi voimakas aiheuttamaan vakavia vammoja.")</f>
        <v>Pienestä koostaan ​​huolimatta Totodilen leuat ovat erittäin voimakkaat. Vaikka Pokémon saattaa luulla vain leikkisän näykkivän, sen purema on tarpeeksi voimakas aiheuttamaan vakavia vammoja.</v>
      </c>
      <c r="C3556" s="9" t="s">
        <v>1344</v>
      </c>
    </row>
    <row r="3557" ht="33.75" customHeight="1">
      <c r="A3557" s="6" t="s">
        <v>5325</v>
      </c>
      <c r="B3557" s="6" t="str">
        <f>IFERROR(__xludf.DUMMYFUNCTION("GOOGLETRANSLATE(A3557,""en"",""fi"")"),"Jos se menettää hampaansa, uusi kasvaa sen tilalle. Sen suussa on aina 48 hampaista.")</f>
        <v>Jos se menettää hampaansa, uusi kasvaa sen tilalle. Sen suussa on aina 48 hampaista.</v>
      </c>
      <c r="C3557" s="9" t="s">
        <v>1344</v>
      </c>
    </row>
    <row r="3558" ht="33.75" customHeight="1">
      <c r="A3558" s="6" t="s">
        <v>5326</v>
      </c>
      <c r="B3558" s="6" t="str">
        <f>IFERROR(__xludf.DUMMYFUNCTION("GOOGLETRANSLATE(A3558,""en"",""fi"")"),"Se avaa valtavat leukansa ammolleen hyökätessään. Jos se menettää purressaan kulmahampaitaan, ne kasvavat takaisin.")</f>
        <v>Se avaa valtavat leukansa ammolleen hyökätessään. Jos se menettää purressaan kulmahampaitaan, ne kasvavat takaisin.</v>
      </c>
      <c r="C3558" s="9" t="s">
        <v>1344</v>
      </c>
    </row>
    <row r="3559" ht="33.75" customHeight="1">
      <c r="A3559" s="6" t="s">
        <v>5327</v>
      </c>
      <c r="B3559" s="6" t="str">
        <f>IFERROR(__xludf.DUMMYFUNCTION("GOOGLETRANSLATE(A3559,""en"",""fi"")"),"Sen kulmahampaiden kärjet ovat taaksepäin kallistuneet. Kun kulmahampaat ovat kiinni, saaliilla ei ole toivoa paeta.")</f>
        <v>Sen kulmahampaiden kärjet ovat taaksepäin kallistuneet. Kun kulmahampaat ovat kiinni, saaliilla ei ole toivoa paeta.</v>
      </c>
      <c r="C3559" s="9" t="s">
        <v>1344</v>
      </c>
    </row>
    <row r="3560" ht="33.75" customHeight="1">
      <c r="A3560" s="6" t="s">
        <v>5328</v>
      </c>
      <c r="B3560" s="6" t="str">
        <f>IFERROR(__xludf.DUMMYFUNCTION("GOOGLETRANSLATE(A3560,""en"",""fi"")"),"Kun CROCONAW on puristanut leukansa viholliseensa, se ei missään nimessä päästä irti. Koska sen kulmahampaiden kärjet ovat haarukkamaiset kuin piikkiset ongenkoukut, niitä on mahdotonta poistaa niiden upottua maahan.")</f>
        <v>Kun CROCONAW on puristanut leukansa viholliseensa, se ei missään nimessä päästä irti. Koska sen kulmahampaiden kärjet ovat haarukkamaiset kuin piikkiset ongenkoukut, niitä on mahdotonta poistaa niiden upottua maahan.</v>
      </c>
      <c r="C3560" s="9" t="s">
        <v>1344</v>
      </c>
    </row>
    <row r="3561" ht="33.75" customHeight="1">
      <c r="A3561" s="6" t="s">
        <v>5329</v>
      </c>
      <c r="B3561" s="6" t="str">
        <f>IFERROR(__xludf.DUMMYFUNCTION("GOOGLETRANSLATE(A3561,""en"",""fi"")"),"Kun sen leuat ovat kerran puristaneet vihollistaan, se ei missään nimessä päästä irti. Koska sen kulmahampaiden kärjet ovat haarukkamaiset taaksepäin kuin ongenkoukut, ne juuttuvat pysyvästi kiinni viholliseen.")</f>
        <v>Kun sen leuat ovat kerran puristaneet vihollistaan, se ei missään nimessä päästä irti. Koska sen kulmahampaiden kärjet ovat haarukkamaiset taaksepäin kuin ongenkoukut, ne juuttuvat pysyvästi kiinni viholliseen.</v>
      </c>
      <c r="C3561" s="9" t="s">
        <v>1344</v>
      </c>
    </row>
    <row r="3562" ht="33.75" customHeight="1">
      <c r="A3562" s="6" t="s">
        <v>5330</v>
      </c>
      <c r="B3562" s="6" t="str">
        <f>IFERROR(__xludf.DUMMYFUNCTION("GOOGLETRANSLATE(A3562,""en"",""fi"")"),"Kun se puree alas, se ei päästä irti ennen kuin menettää kulmahampaansa. Uudet kulmahampaat kasvavat nopeasti tilalle.")</f>
        <v>Kun se puree alas, se ei päästä irti ennen kuin menettää kulmahampaansa. Uudet kulmahampaat kasvavat nopeasti tilalle.</v>
      </c>
      <c r="C3562" s="9" t="s">
        <v>1344</v>
      </c>
    </row>
    <row r="3563" ht="33.75" customHeight="1">
      <c r="A3563" s="6" t="s">
        <v>5331</v>
      </c>
      <c r="B3563" s="6" t="str">
        <f>IFERROR(__xludf.DUMMYFUNCTION("GOOGLETRANSLATE(A3563,""en"",""fi"")"),"Kun Croconaw on puristanut leukansa viholliseensa, se ei missään nimessä päästä irti. Koska sen kulmahampaiden kärjet ovat haarukkamaiset kuin piikkiset ongenkoukut, niitä on mahdotonta poistaa niiden upottua sisään.")</f>
        <v>Kun Croconaw on puristanut leukansa viholliseensa, se ei missään nimessä päästä irti. Koska sen kulmahampaiden kärjet ovat haarukkamaiset kuin piikkiset ongenkoukut, niitä on mahdotonta poistaa niiden upottua sisään.</v>
      </c>
      <c r="C3563" s="9" t="s">
        <v>1344</v>
      </c>
    </row>
    <row r="3564" ht="33.75" customHeight="1">
      <c r="A3564" s="6" t="s">
        <v>5333</v>
      </c>
      <c r="B3564" s="6" t="str">
        <f>IFERROR(__xludf.DUMMYFUNCTION("GOOGLETRANSLATE(A3564,""en"",""fi"")"),"Kun se puree massiivisilla ja voimakkailla leuoillaan, se pudistelee päätään ja repii uhrinsa raa'asti irti.")</f>
        <v>Kun se puree massiivisilla ja voimakkailla leuoillaan, se pudistelee päätään ja repii uhrinsa raa'asti irti.</v>
      </c>
      <c r="C3564" s="9" t="s">
        <v>1344</v>
      </c>
    </row>
    <row r="3565" ht="33.75" customHeight="1">
      <c r="A3565" s="6" t="s">
        <v>5334</v>
      </c>
      <c r="B3565" s="6" t="str">
        <f>IFERROR(__xludf.DUMMYFUNCTION("GOOGLETRANSLATE(A3565,""en"",""fi"")"),"Sen on vaikea kannatella omaa painoaan vedessä, joten se laskeutuu kontalleen. Mutta se liikkuu nopeasti.")</f>
        <v>Sen on vaikea kannatella omaa painoaan vedessä, joten se laskeutuu kontalleen. Mutta se liikkuu nopeasti.</v>
      </c>
      <c r="C3565" s="9" t="s">
        <v>1344</v>
      </c>
    </row>
    <row r="3566" ht="33.75" customHeight="1">
      <c r="A3566" s="6" t="s">
        <v>5335</v>
      </c>
      <c r="B3566" s="6" t="str">
        <f>IFERROR(__xludf.DUMMYFUNCTION("GOOGLETRANSLATE(A3566,""en"",""fi"")"),"Vaikka sillä on massiivinen ruumis, sen voimakkaat takajalat mahdollistavat nopean liikkumisen jopa maassa.")</f>
        <v>Vaikka sillä on massiivinen ruumis, sen voimakkaat takajalat mahdollistavat nopean liikkumisen jopa maassa.</v>
      </c>
      <c r="C3566" s="9" t="s">
        <v>1344</v>
      </c>
    </row>
    <row r="3567" ht="33.75" customHeight="1">
      <c r="A3567" s="6" t="s">
        <v>5336</v>
      </c>
      <c r="B3567" s="6" t="str">
        <f>IFERROR(__xludf.DUMMYFUNCTION("GOOGLETRANSLATE(A3567,""en"",""fi"")"),"FERALIGATR pelottelee vihollisiaan avaamalla valtavan kitansa. Taistelussa se potkaisee maata lujaa paksuilla ja voimakkailla takajaloillaan ja hyökkää vihollisen kimppuun uskomattomalla nopeudella.")</f>
        <v>FERALIGATR pelottelee vihollisiaan avaamalla valtavan kitansa. Taistelussa se potkaisee maata lujaa paksuilla ja voimakkailla takajaloillaan ja hyökkää vihollisen kimppuun uskomattomalla nopeudella.</v>
      </c>
      <c r="C3567" s="9" t="s">
        <v>1344</v>
      </c>
    </row>
    <row r="3568" ht="33.75" customHeight="1">
      <c r="A3568" s="6" t="s">
        <v>5338</v>
      </c>
      <c r="B3568" s="6" t="str">
        <f>IFERROR(__xludf.DUMMYFUNCTION("GOOGLETRANSLATE(A3568,""en"",""fi"")"),"Se avaa valtavan kitansa pelotellakseen vihollisia. Taistelussa se juoksee käyttäen paksuja ja voimakkaita takajalkojaan hyökätäkseen vihollisen kimppuun uskomattomalla nopeudella.")</f>
        <v>Se avaa valtavan kitansa pelotellakseen vihollisia. Taistelussa se juoksee käyttäen paksuja ja voimakkaita takajalkojaan hyökätäkseen vihollisen kimppuun uskomattomalla nopeudella.</v>
      </c>
      <c r="C3568" s="9" t="s">
        <v>1344</v>
      </c>
    </row>
    <row r="3569" ht="33.75" customHeight="1">
      <c r="A3569" s="6" t="s">
        <v>5339</v>
      </c>
      <c r="B3569" s="6" t="str">
        <f>IFERROR(__xludf.DUMMYFUNCTION("GOOGLETRANSLATE(A3569,""en"",""fi"")"),"Kun se puree massiivisilla ja voimakkailla leuoillaan, se pudistelee päätään ja repii uhrinsa raa'asti.")</f>
        <v>Kun se puree massiivisilla ja voimakkailla leuoillaan, se pudistelee päätään ja repii uhrinsa raa'asti.</v>
      </c>
      <c r="C3569" s="9" t="s">
        <v>1344</v>
      </c>
    </row>
    <row r="3570" ht="33.75" customHeight="1">
      <c r="A3570" s="6" t="s">
        <v>5340</v>
      </c>
      <c r="B3570" s="6" t="str">
        <f>IFERROR(__xludf.DUMMYFUNCTION("GOOGLETRANSLATE(A3570,""en"",""fi"")"),"Se liikkuu yleensä hitaasti, mutta hyökätessään ja purressaan saalista se etenee sokaisevaa vauhtia.")</f>
        <v>Se liikkuu yleensä hitaasti, mutta hyökätessään ja purressaan saalista se etenee sokaisevaa vauhtia.</v>
      </c>
      <c r="C3570" s="9" t="s">
        <v>1344</v>
      </c>
    </row>
    <row r="3571" ht="33.75" customHeight="1">
      <c r="A3571" s="6" t="s">
        <v>5341</v>
      </c>
      <c r="B3571" s="6" t="str">
        <f>IFERROR(__xludf.DUMMYFUNCTION("GOOGLETRANSLATE(A3571,""en"",""fi"")"),"Sen on vaikea kannatella painoaan vedessä, joten se joskus laskeutuu kontalleen. Mutta se liikkuu nopeasti.")</f>
        <v>Sen on vaikea kannatella painoaan vedessä, joten se joskus laskeutuu kontalleen. Mutta se liikkuu nopeasti.</v>
      </c>
      <c r="C3571" s="9" t="s">
        <v>1344</v>
      </c>
    </row>
    <row r="3572" ht="33.75" customHeight="1">
      <c r="A3572" s="6" t="s">
        <v>5342</v>
      </c>
      <c r="B3572" s="6" t="str">
        <f>IFERROR(__xludf.DUMMYFUNCTION("GOOGLETRANSLATE(A3572,""en"",""fi"")"),"Feraligatr pelottelee vihollisiaan avaamalla valtavan kitansa. Taistelussa se potkaisee maata lujaa paksuilla ja voimakkailla takajaloillaan ja hyökkää vihollisen kimppuun uskomattomalla nopeudella.")</f>
        <v>Feraligatr pelottelee vihollisiaan avaamalla valtavan kitansa. Taistelussa se potkaisee maata lujaa paksuilla ja voimakkailla takajaloillaan ja hyökkää vihollisen kimppuun uskomattomalla nopeudella.</v>
      </c>
      <c r="C3572" s="9" t="s">
        <v>1344</v>
      </c>
    </row>
    <row r="3573" ht="33.75" customHeight="1">
      <c r="A3573" s="6" t="s">
        <v>5343</v>
      </c>
      <c r="B3573" s="6" t="str">
        <f>IFERROR(__xludf.DUMMYFUNCTION("GOOGLETRANSLATE(A3573,""en"",""fi"")"),"Hyvin varovainen POKéMON, se nostaa itsensä ilmaan käyttäen häntäänsä nähdäkseen paremmin ympäristönsä.")</f>
        <v>Hyvin varovainen POKéMON, se nostaa itsensä ilmaan käyttäen häntäänsä nähdäkseen paremmin ympäristönsä.</v>
      </c>
      <c r="C3573" s="9" t="s">
        <v>1344</v>
      </c>
    </row>
    <row r="3574" ht="33.75" customHeight="1">
      <c r="A3574" s="6" t="s">
        <v>5345</v>
      </c>
      <c r="B3574" s="6" t="str">
        <f>IFERROR(__xludf.DUMMYFUNCTION("GOOGLETRANSLATE(A3574,""en"",""fi"")"),"Se seisoo hännällään nähdäkseen kauas. Jos se havaitsee vihollisen, se huutaa kovaa varoittaakseen lajitovereitaan.")</f>
        <v>Se seisoo hännällään nähdäkseen kauas. Jos se havaitsee vihollisen, se huutaa kovaa varoittaakseen lajitovereitaan.</v>
      </c>
      <c r="C3574" s="9" t="s">
        <v>1344</v>
      </c>
    </row>
    <row r="3575" ht="33.75" customHeight="1">
      <c r="A3575" s="6" t="s">
        <v>5346</v>
      </c>
      <c r="B3575" s="6" t="str">
        <f>IFERROR(__xludf.DUMMYFUNCTION("GOOGLETRANSLATE(A3575,""en"",""fi"")"),"Tähystäessään se varoittaa muita vaarasta kirskumalla ja lyömällä maata hännällään.")</f>
        <v>Tähystäessään se varoittaa muita vaarasta kirskumalla ja lyömällä maata hännällään.</v>
      </c>
      <c r="C3575" s="9" t="s">
        <v>1344</v>
      </c>
    </row>
    <row r="3576" ht="33.75" customHeight="1">
      <c r="A3576" s="6" t="s">
        <v>5347</v>
      </c>
      <c r="B3576" s="6" t="str">
        <f>IFERROR(__xludf.DUMMYFUNCTION("GOOGLETRANSLATE(A3576,""en"",""fi"")"),"Kun SENTRET nukkuu, se tekee niin toisen seisoessa vartijana. Vartija herättää muut ensimmäisestä vaaran merkistä. Kun tämä POKéMON irtoaa laumastaan, se ei pysty nukkumaan pelon vuoksi.")</f>
        <v>Kun SENTRET nukkuu, se tekee niin toisen seisoessa vartijana. Vartija herättää muut ensimmäisestä vaaran merkistä. Kun tämä POKéMON irtoaa laumastaan, se ei pysty nukkumaan pelon vuoksi.</v>
      </c>
      <c r="C3576" s="9" t="s">
        <v>1344</v>
      </c>
    </row>
    <row r="3577" ht="33.75" customHeight="1">
      <c r="A3577" s="6" t="s">
        <v>5349</v>
      </c>
      <c r="B3577" s="6" t="str">
        <f>IFERROR(__xludf.DUMMYFUNCTION("GOOGLETRANSLATE(A3577,""en"",""fi"")"),"Ne vuorottelevat vartiossa, kun on aika mennä nukkumaan. Vartiomies herättää muut, jos se aistii vaaran. Jos yksi joutuu erilleen, se menettää unensa pelosta.")</f>
        <v>Ne vuorottelevat vartiossa, kun on aika mennä nukkumaan. Vartiomies herättää muut, jos se aistii vaaran. Jos yksi joutuu erilleen, se menettää unensa pelosta.</v>
      </c>
      <c r="C3577" s="9" t="s">
        <v>1344</v>
      </c>
    </row>
    <row r="3578" ht="33.75" customHeight="1">
      <c r="A3578" s="6" t="s">
        <v>5351</v>
      </c>
      <c r="B3578" s="6" t="str">
        <f>IFERROR(__xludf.DUMMYFUNCTION("GOOGLETRANSLATE(A3578,""en"",""fi"")"),"Se on luonteeltaan hyvin hermostunut. Se seisoo korkealla hännällään, jotta se voi tarkkailla laajoja alueita.")</f>
        <v>Se on luonteeltaan hyvin hermostunut. Se seisoo korkealla hännällään, jotta se voi tarkkailla laajoja alueita.</v>
      </c>
      <c r="C3578" s="9" t="s">
        <v>1344</v>
      </c>
    </row>
    <row r="3579" ht="33.75" customHeight="1">
      <c r="A3579" s="6" t="s">
        <v>5352</v>
      </c>
      <c r="B3579" s="6" t="str">
        <f>IFERROR(__xludf.DUMMYFUNCTION("GOOGLETRANSLATE(A3579,""en"",""fi"")"),"Hyvin varovainen Pokémon, se nostaa itsensä ylös häntäänsä käyttäen saadakseen paremman näkymän ympäristöönsä.")</f>
        <v>Hyvin varovainen Pokémon, se nostaa itsensä ylös häntäänsä käyttäen saadakseen paremman näkymän ympäristöönsä.</v>
      </c>
      <c r="C3579" s="9" t="s">
        <v>1344</v>
      </c>
    </row>
    <row r="3580" ht="33.75" customHeight="1">
      <c r="A3580" s="6" t="s">
        <v>5353</v>
      </c>
      <c r="B3580" s="6" t="str">
        <f>IFERROR(__xludf.DUMMYFUNCTION("GOOGLETRANSLATE(A3580,""en"",""fi"")"),"Kun Sentret nukkuu, se tekee niin toisen vartioidessaan. Vartija herättää muut ensimmäisestä vaaran merkistä. Kun tämä Pokémon irtoaa laumastaan, se ei pysty nukkumaan pelon vuoksi.")</f>
        <v>Kun Sentret nukkuu, se tekee niin toisen vartioidessaan. Vartija herättää muut ensimmäisestä vaaran merkistä. Kun tämä Pokémon irtoaa laumastaan, se ei pysty nukkumaan pelon vuoksi.</v>
      </c>
      <c r="C3580" s="9" t="s">
        <v>1344</v>
      </c>
    </row>
    <row r="3581" ht="33.75" customHeight="1">
      <c r="A3581" s="6" t="s">
        <v>5355</v>
      </c>
      <c r="B3581" s="6" t="str">
        <f>IFERROR(__xludf.DUMMYFUNCTION("GOOGLETRANSLATE(A3581,""en"",""fi"")"),"Se tekee pesän, joka sopii pitkälle ja laihalle ruumiilleen. Muut POKéMONit eivät pääse pesään.")</f>
        <v>Se tekee pesän, joka sopii pitkälle ja laihalle ruumiilleen. Muut POKéMONit eivät pääse pesään.</v>
      </c>
      <c r="C3581" s="9" t="s">
        <v>1344</v>
      </c>
    </row>
    <row r="3582" ht="33.75" customHeight="1">
      <c r="A3582" s="6" t="s">
        <v>5357</v>
      </c>
      <c r="B3582" s="6" t="str">
        <f>IFERROR(__xludf.DUMMYFUNCTION("GOOGLETRANSLATE(A3582,""en"",""fi"")"),"Ei ole selvää, mistä häntä alkaa. Lyhyistä jaloistaan ​​huolimatta se on nopea metsästämään RATTATAA.")</f>
        <v>Ei ole selvää, mistä häntä alkaa. Lyhyistä jaloistaan ​​huolimatta se on nopea metsästämään RATTATAA.</v>
      </c>
      <c r="C3582" s="9" t="s">
        <v>1344</v>
      </c>
    </row>
    <row r="3583" ht="33.75" customHeight="1">
      <c r="A3583" s="6" t="s">
        <v>5358</v>
      </c>
      <c r="B3583" s="6" t="str">
        <f>IFERROR(__xludf.DUMMYFUNCTION("GOOGLETRANSLATE(A3583,""en"",""fi"")"),"Se elää kapeissa koloissa, jotka sopivat sen hoikkaan vartaloon. Mitä syvemmälle pesät menevät, sitä labyrinttimaisemmiksi ne muuttuvat.")</f>
        <v>Se elää kapeissa koloissa, jotka sopivat sen hoikkaan vartaloon. Mitä syvemmälle pesät menevät, sitä labyrinttimaisemmiksi ne muuttuvat.</v>
      </c>
      <c r="C3583" s="9" t="s">
        <v>1344</v>
      </c>
    </row>
    <row r="3584" ht="33.75" customHeight="1">
      <c r="A3584" s="6" t="s">
        <v>5359</v>
      </c>
      <c r="B3584" s="6" t="str">
        <f>IFERROR(__xludf.DUMMYFUNCTION("GOOGLETRANSLATE(A3584,""en"",""fi"")"),"FURRETilla on hyvin hoikka rakenne. Hyökkäyksen kohteena se voi liukua sujuvasti ahtaiden paikkojen läpi ja paeta. Lyhyistä raajoistaan ​​huolimatta tämä POKéMON on erittäin ketterä ja nopea.")</f>
        <v>FURRETilla on hyvin hoikka rakenne. Hyökkäyksen kohteena se voi liukua sujuvasti ahtaiden paikkojen läpi ja paeta. Lyhyistä raajoistaan ​​huolimatta tämä POKéMON on erittäin ketterä ja nopea.</v>
      </c>
      <c r="C3584" s="9" t="s">
        <v>1344</v>
      </c>
    </row>
    <row r="3585" ht="33.75" customHeight="1">
      <c r="A3585" s="6" t="s">
        <v>5361</v>
      </c>
      <c r="B3585" s="6" t="str">
        <f>IFERROR(__xludf.DUMMYFUNCTION("GOOGLETRANSLATE(A3585,""en"",""fi"")"),"TURKILLA on hyvin hoikka rakenne. Hyökkäyksen kohteeksi joutuessaan se voi puikkelehtia ahtaissa tiloissa ja paeta. Lyhyistä raajoistaan ​​huolimatta se on erittäin ketterä ja nopea.")</f>
        <v>TURKILLA on hyvin hoikka rakenne. Hyökkäyksen kohteeksi joutuessaan se voi puikkelehtia ahtaissa tiloissa ja paeta. Lyhyistä raajoistaan ​​huolimatta se on erittäin ketterä ja nopea.</v>
      </c>
      <c r="C3585" s="9" t="s">
        <v>1344</v>
      </c>
    </row>
    <row r="3586" ht="33.75" customHeight="1">
      <c r="A3586" s="6" t="s">
        <v>5362</v>
      </c>
      <c r="B3586" s="6" t="str">
        <f>IFERROR(__xludf.DUMMYFUNCTION("GOOGLETRANSLATE(A3586,""en"",""fi"")"),"Sen häntä alkaa mahdottomalta. Lyhyistä jaloistaan ​​huolimatta se on nopea metsästämään RATTATAA.")</f>
        <v>Sen häntä alkaa mahdottomalta. Lyhyistä jaloistaan ​​huolimatta se on nopea metsästämään RATTATAA.</v>
      </c>
      <c r="C3586" s="9" t="s">
        <v>1344</v>
      </c>
    </row>
    <row r="3587" ht="33.75" customHeight="1">
      <c r="A3587" s="6" t="s">
        <v>5364</v>
      </c>
      <c r="B3587" s="6" t="str">
        <f>IFERROR(__xludf.DUMMYFUNCTION("GOOGLETRANSLATE(A3587,""en"",""fi"")"),"Emo nukuttaa poikasensa käpertymällä niiden ympärille. Se ahdistaa viholliset nopeasti.")</f>
        <v>Emo nukuttaa poikasensa käpertymällä niiden ympärille. Se ahdistaa viholliset nopeasti.</v>
      </c>
      <c r="C3587" s="9" t="s">
        <v>1344</v>
      </c>
    </row>
    <row r="3588" ht="33.75" customHeight="1">
      <c r="A3588" s="6" t="s">
        <v>5365</v>
      </c>
      <c r="B3588" s="6" t="str">
        <f>IFERROR(__xludf.DUMMYFUNCTION("GOOGLETRANSLATE(A3588,""en"",""fi"")"),"Se tekee pesän, joka sopii pitkälle ja laihalle ruumiilleen. Muut Pokémonit eivät pääse pesään.")</f>
        <v>Se tekee pesän, joka sopii pitkälle ja laihalle ruumiilleen. Muut Pokémonit eivät pääse pesään.</v>
      </c>
      <c r="C3588" s="9" t="s">
        <v>1344</v>
      </c>
    </row>
    <row r="3589" ht="33.75" customHeight="1">
      <c r="A3589" s="6" t="s">
        <v>5367</v>
      </c>
      <c r="B3589" s="6" t="str">
        <f>IFERROR(__xludf.DUMMYFUNCTION("GOOGLETRANSLATE(A3589,""en"",""fi"")"),"Ei ole selvää, mistä häntä alkaa. Lyhyistä jaloistaan ​​huolimatta se on nopea ja jahtaa mielellään RATTATAA.")</f>
        <v>Ei ole selvää, mistä häntä alkaa. Lyhyistä jaloistaan ​​huolimatta se on nopea ja jahtaa mielellään RATTATAA.</v>
      </c>
      <c r="C3589" s="9" t="s">
        <v>1344</v>
      </c>
    </row>
    <row r="3590" ht="33.75" customHeight="1">
      <c r="A3590" s="6" t="s">
        <v>5368</v>
      </c>
      <c r="B3590" s="6" t="str">
        <f>IFERROR(__xludf.DUMMYFUNCTION("GOOGLETRANSLATE(A3590,""en"",""fi"")"),"Furretilla on hyvin hoikka rakenne. Hyökkäyksen kohteena se voi liukua sulavasti ahtaiden paikkojen läpi ja paeta. Lyhyistä raajoistaan ​​huolimatta tämä Pokémon on erittäin ketterä ja nopea.")</f>
        <v>Furretilla on hyvin hoikka rakenne. Hyökkäyksen kohteena se voi liukua sulavasti ahtaiden paikkojen läpi ja paeta. Lyhyistä raajoistaan ​​huolimatta tämä Pokémon on erittäin ketterä ja nopea.</v>
      </c>
      <c r="C3590" s="9" t="s">
        <v>1344</v>
      </c>
    </row>
    <row r="3591" ht="33.75" customHeight="1">
      <c r="A3591" s="6" t="s">
        <v>5369</v>
      </c>
      <c r="B3591" s="6" t="str">
        <f>IFERROR(__xludf.DUMMYFUNCTION("GOOGLETRANSLATE(A3591,""en"",""fi"")"),"Se seisoo aina yhdellä jalalla. Se vaihtaa jalkaa niin nopeasti, että liikettä on harvoin havaittavissa.")</f>
        <v>Se seisoo aina yhdellä jalalla. Se vaihtaa jalkaa niin nopeasti, että liikettä on harvoin havaittavissa.</v>
      </c>
      <c r="C3591" s="9" t="s">
        <v>1344</v>
      </c>
    </row>
    <row r="3592" ht="33.75" customHeight="1">
      <c r="A3592" s="6" t="s">
        <v>5371</v>
      </c>
      <c r="B3592" s="6" t="str">
        <f>IFERROR(__xludf.DUMMYFUNCTION("GOOGLETRANSLATE(A3592,""en"",""fi"")"),"Sillä on täydellinen ajantaju. Tapahtuipa mitä tahansa, se pysyy rytmissä kallistamalla päätään tarkasti tahdissa.")</f>
        <v>Sillä on täydellinen ajantaju. Tapahtuipa mitä tahansa, se pysyy rytmissä kallistamalla päätään tarkasti tahdissa.</v>
      </c>
      <c r="C3592" s="9" t="s">
        <v>1344</v>
      </c>
    </row>
    <row r="3593" ht="33.75" customHeight="1">
      <c r="A3593" s="6" t="s">
        <v>5372</v>
      </c>
      <c r="B3593" s="6" t="str">
        <f>IFERROR(__xludf.DUMMYFUNCTION("GOOGLETRANSLATE(A3593,""en"",""fi"")"),"Se alkaa huhuilla samaan aikaan joka päivä. Jotkut valmentajat käyttävät niitä kellojen sijasta.")</f>
        <v>Se alkaa huhuilla samaan aikaan joka päivä. Jotkut valmentajat käyttävät niitä kellojen sijasta.</v>
      </c>
      <c r="C3593" s="9" t="s">
        <v>1344</v>
      </c>
    </row>
    <row r="3594" ht="33.75" customHeight="1">
      <c r="A3594" s="6" t="s">
        <v>5373</v>
      </c>
      <c r="B3594" s="6" t="str">
        <f>IFERROR(__xludf.DUMMYFUNCTION("GOOGLETRANSLATE(A3594,""en"",""fi"")"),"HOOTHOOTilla on sisäinen elin, joka aistii ja seuraa maapallon pyörimistä. Tämän erityisen elimen avulla tämä POKéMON alkaa huutaa täsmälleen samaan aikaan joka päivä.")</f>
        <v>HOOTHOOTilla on sisäinen elin, joka aistii ja seuraa maapallon pyörimistä. Tämän erityisen elimen avulla tämä POKéMON alkaa huutaa täsmälleen samaan aikaan joka päivä.</v>
      </c>
      <c r="C3594" s="9" t="s">
        <v>1344</v>
      </c>
    </row>
    <row r="3595" ht="33.75" customHeight="1">
      <c r="A3595" s="6" t="s">
        <v>5374</v>
      </c>
      <c r="B3595" s="6" t="str">
        <f>IFERROR(__xludf.DUMMYFUNCTION("GOOGLETRANSLATE(A3595,""en"",""fi"")"),"Sillä on sisäinen elin, joka aistii maapallon pyörimisen. Tämän erityisen elimen avulla HOOTHOOT alkaa huhuilla täsmälleen samaan aikaan joka päivä.")</f>
        <v>Sillä on sisäinen elin, joka aistii maapallon pyörimisen. Tämän erityisen elimen avulla HOOTHOOT alkaa huhuilla täsmälleen samaan aikaan joka päivä.</v>
      </c>
      <c r="C3595" s="9" t="s">
        <v>1344</v>
      </c>
    </row>
    <row r="3596" ht="33.75" customHeight="1">
      <c r="A3596" s="6" t="s">
        <v>5376</v>
      </c>
      <c r="B3596" s="6" t="str">
        <f>IFERROR(__xludf.DUMMYFUNCTION("GOOGLETRANSLATE(A3596,""en"",""fi"")"),"Se seisoo aina yhdellä jalalla. Vaikka sitä vastaan ​​hyökättäisiin, se ei tue itseään molemmilla jaloilla.")</f>
        <v>Se seisoo aina yhdellä jalalla. Vaikka sitä vastaan ​​hyökättäisiin, se ei tue itseään molemmilla jaloilla.</v>
      </c>
      <c r="C3596" s="9" t="s">
        <v>1344</v>
      </c>
    </row>
    <row r="3597" ht="33.75" customHeight="1">
      <c r="A3597" s="6" t="s">
        <v>5377</v>
      </c>
      <c r="B3597" s="6" t="str">
        <f>IFERROR(__xludf.DUMMYFUNCTION("GOOGLETRANSLATE(A3597,""en"",""fi"")"),"Se vaihtaa seisoma-asentoa niin nopeasti, ettei sitä näe. Se itkee samaan aikaan joka päivä.")</f>
        <v>Se vaihtaa seisoma-asentoa niin nopeasti, ettei sitä näe. Se itkee samaan aikaan joka päivä.</v>
      </c>
      <c r="C3597" s="9" t="s">
        <v>1344</v>
      </c>
    </row>
    <row r="3598" ht="33.75" customHeight="1">
      <c r="A3598" s="6" t="s">
        <v>5378</v>
      </c>
      <c r="B3598" s="6" t="str">
        <f>IFERROR(__xludf.DUMMYFUNCTION("GOOGLETRANSLATE(A3598,""en"",""fi"")"),"Se mittaa aikaa tarkasti. Joissakin maissa sitä pidetään viisaana ystävänä, joka tuntee maailman tavat.")</f>
        <v>Se mittaa aikaa tarkasti. Joissakin maissa sitä pidetään viisaana ystävänä, joka tuntee maailman tavat.</v>
      </c>
      <c r="C3598" s="9" t="s">
        <v>1344</v>
      </c>
    </row>
    <row r="3599" ht="33.75" customHeight="1">
      <c r="A3599" s="6" t="s">
        <v>5379</v>
      </c>
      <c r="B3599" s="6" t="str">
        <f>IFERROR(__xludf.DUMMYFUNCTION("GOOGLETRANSLATE(A3599,""en"",""fi"")"),"Hoothootilla on sisäinen elin, joka aistii ja seuraa maapallon pyörimistä. Tämän erityisen elimen avulla tämä Pokémon alkaa huutaa täsmälleen samaan aikaan joka päivä.")</f>
        <v>Hoothootilla on sisäinen elin, joka aistii ja seuraa maapallon pyörimistä. Tämän erityisen elimen avulla tämä Pokémon alkaa huutaa täsmälleen samaan aikaan joka päivä.</v>
      </c>
      <c r="C3599" s="9" t="s">
        <v>1344</v>
      </c>
    </row>
    <row r="3600" ht="33.75" customHeight="1">
      <c r="A3600" s="6" t="s">
        <v>5380</v>
      </c>
      <c r="B3600" s="6" t="str">
        <f>IFERROR(__xludf.DUMMYFUNCTION("GOOGLETRANSLATE(A3600,""en"",""fi"")"),"Se kallistaa päätään joka päivä samaan rytmiin. Kauan sitten ihmiset kasvattivat näitä Pokémoneja kelloiksi.")</f>
        <v>Se kallistaa päätään joka päivä samaan rytmiin. Kauan sitten ihmiset kasvattivat näitä Pokémoneja kelloiksi.</v>
      </c>
      <c r="C3600" s="9" t="s">
        <v>1344</v>
      </c>
    </row>
    <row r="3601" ht="33.75" customHeight="1">
      <c r="A3601" s="6" t="s">
        <v>5381</v>
      </c>
      <c r="B3601" s="6" t="str">
        <f>IFERROR(__xludf.DUMMYFUNCTION("GOOGLETRANSLATE(A3601,""en"",""fi"")"),"Se huutaa samaan aikaan joka päivä. Kauan sitten ihmiset vaalivat sitä ja pitivät sitä jumalallisena sanansaattajana, joka lähetettiin kertomaan aika.")</f>
        <v>Se huutaa samaan aikaan joka päivä. Kauan sitten ihmiset vaalivat sitä ja pitivät sitä jumalallisena sanansaattajana, joka lähetettiin kertomaan aika.</v>
      </c>
      <c r="C3601" s="9" t="s">
        <v>1344</v>
      </c>
    </row>
    <row r="3602" ht="33.75" customHeight="1">
      <c r="A3602" s="6" t="s">
        <v>5382</v>
      </c>
      <c r="B3602" s="6" t="str">
        <f>IFERROR(__xludf.DUMMYFUNCTION("GOOGLETRANSLATE(A3602,""en"",""fi"")"),"Se alkaa huhuilla samaan aikaan joka päivä. Jotkut kouluttajat käyttävät niitä kellojen sijasta.")</f>
        <v>Se alkaa huhuilla samaan aikaan joka päivä. Jotkut kouluttajat käyttävät niitä kellojen sijasta.</v>
      </c>
      <c r="C3602" s="9" t="s">
        <v>1344</v>
      </c>
    </row>
    <row r="3603" ht="33.75" customHeight="1">
      <c r="A3603" s="6" t="s">
        <v>5383</v>
      </c>
      <c r="B3603" s="6" t="str">
        <f>IFERROR(__xludf.DUMMYFUNCTION("GOOGLETRANSLATE(A3603,""en"",""fi"")"),"Sen silmät ovat erityisesti sopeutuneet. Ne keskittävät himmeänkin valon ja mahdollistavat sen näkemisen pimeässä.")</f>
        <v>Sen silmät ovat erityisesti sopeutuneet. Ne keskittävät himmeänkin valon ja mahdollistavat sen näkemisen pimeässä.</v>
      </c>
      <c r="C3603" s="9" t="s">
        <v>1344</v>
      </c>
    </row>
    <row r="3604" ht="33.75" customHeight="1">
      <c r="A3604" s="6" t="s">
        <v>5384</v>
      </c>
      <c r="B3604" s="6" t="str">
        <f>IFERROR(__xludf.DUMMYFUNCTION("GOOGLETRANSLATE(A3604,""en"",""fi"")"),"Kun sen täytyy ajatella, se kääntää päätään 180 astetta terävöittääkseen älyllisiä kykyjään.")</f>
        <v>Kun sen täytyy ajatella, se kääntää päätään 180 astetta terävöittääkseen älyllisiä kykyjään.</v>
      </c>
      <c r="C3604" s="9" t="s">
        <v>1344</v>
      </c>
    </row>
    <row r="3605" ht="33.75" customHeight="1">
      <c r="A3605" s="6" t="s">
        <v>5385</v>
      </c>
      <c r="B3605" s="6" t="str">
        <f>IFERROR(__xludf.DUMMYFUNCTION("GOOGLETRANSLATE(A3605,""en"",""fi"")"),"Sen erittäin pehmeät höyhenet eivät pidä ääntä lennon aikana. Se hiipii hiljaa saaliinsa luokse huomaamatta.")</f>
        <v>Sen erittäin pehmeät höyhenet eivät pidä ääntä lennon aikana. Se hiipii hiljaa saaliinsa luokse huomaamatta.</v>
      </c>
      <c r="C3605" s="9" t="s">
        <v>1344</v>
      </c>
    </row>
    <row r="3606" ht="33.75" customHeight="1">
      <c r="A3606" s="6" t="s">
        <v>5387</v>
      </c>
      <c r="B3606" s="6" t="str">
        <f>IFERROR(__xludf.DUMMYFUNCTION("GOOGLETRANSLATE(A3606,""en"",""fi"")"),"NOCTOWL ei koskaan epäonnistu saaliin nappaamisessa pimeässä. Tämä POKéMON on menestyksensä velkaa erinomaiselle näkökyvylleen, jonka ansiosta se näkee vähäisessä valossa, sekä pehmeille, taipuisille siivilleen, jotka eivät pidä ääntä lennon aikana.")</f>
        <v>NOCTOWL ei koskaan epäonnistu saaliin nappaamisessa pimeässä. Tämä POKéMON on menestyksensä velkaa erinomaiselle näkökyvylleen, jonka ansiosta se näkee vähäisessä valossa, sekä pehmeille, taipuisille siivilleen, jotka eivät pidä ääntä lennon aikana.</v>
      </c>
      <c r="C3606" s="9" t="s">
        <v>1344</v>
      </c>
    </row>
    <row r="3607" ht="33.75" customHeight="1">
      <c r="A3607" s="6" t="s">
        <v>5391</v>
      </c>
      <c r="B3607" s="6" t="str">
        <f>IFERROR(__xludf.DUMMYFUNCTION("GOOGLETRANSLATE(A3607,""en"",""fi"")"),"Se pyydystää saalista erehtymättä pimeydessä. NOCTOWL-suvun menestys perustuu niiden erinomaiseen näkökykyyn, jonka ansiosta ne näkevät vähässä valossa, sekä taipuisiin ja äänettömiin siivihinsä.")</f>
        <v>Se pyydystää saalista erehtymättä pimeydessä. NOCTOWL-suvun menestys perustuu niiden erinomaiseen näkökykyyn, jonka ansiosta ne näkevät vähässä valossa, sekä taipuisiin ja äänettömiin siivihinsä.</v>
      </c>
      <c r="C3607" s="9" t="s">
        <v>1344</v>
      </c>
    </row>
    <row r="3608" ht="33.75" customHeight="1">
      <c r="A3608" s="6" t="s">
        <v>5393</v>
      </c>
      <c r="B3608" s="6" t="str">
        <f>IFERROR(__xludf.DUMMYFUNCTION("GOOGLETRANSLATE(A3608,""en"",""fi"")"),"Kun sen täytyy ajatella, se kääntää päätään 180 astetta terävöittääkseen älyllisiä kykyjään.")</f>
        <v>Kun sen täytyy ajatella, se kääntää päätään 180 astetta terävöittääkseen älyllisiä kykyjään.</v>
      </c>
      <c r="C3608" s="9" t="s">
        <v>1344</v>
      </c>
    </row>
    <row r="3609" ht="33.75" customHeight="1">
      <c r="A3609" s="6" t="s">
        <v>5394</v>
      </c>
      <c r="B3609" s="6" t="str">
        <f>IFERROR(__xludf.DUMMYFUNCTION("GOOGLETRANSLATE(A3609,""en"",""fi"")"),"Sen silmät ovat erityiset. Ne pystyvät erottamaan esineitä, kunhan niitä on vähänkin valoa.")</f>
        <v>Sen silmät ovat erityiset. Ne pystyvät erottamaan esineitä, kunhan niitä on vähänkin valoa.</v>
      </c>
      <c r="C3609" s="9" t="s">
        <v>1344</v>
      </c>
    </row>
    <row r="3610" ht="33.75" customHeight="1">
      <c r="A3610" s="6" t="s">
        <v>5395</v>
      </c>
      <c r="B3610" s="6" t="str">
        <f>IFERROR(__xludf.DUMMYFUNCTION("GOOGLETRANSLATE(A3610,""en"",""fi"")"),"Jos se kääntää päänsä ylösalaisin, se on merkki siitä, että se ajattelee erittäin monimutkaisesti.")</f>
        <v>Jos se kääntää päänsä ylösalaisin, se on merkki siitä, että se ajattelee erittäin monimutkaisesti.</v>
      </c>
      <c r="C3610" s="9" t="s">
        <v>1344</v>
      </c>
    </row>
    <row r="3611" ht="33.75" customHeight="1">
      <c r="A3611" s="6" t="s">
        <v>5396</v>
      </c>
      <c r="B3611" s="6" t="str">
        <f>IFERROR(__xludf.DUMMYFUNCTION("GOOGLETRANSLATE(A3611,""en"",""fi"")"),"Sen silmät on kehitetty erityisesti, jotta se näkee selvästi jopa hämärässä ja vähäisessä valossa.")</f>
        <v>Sen silmät on kehitetty erityisesti, jotta se näkee selvästi jopa hämärässä ja vähäisessä valossa.</v>
      </c>
      <c r="C3611" s="9" t="s">
        <v>1344</v>
      </c>
    </row>
    <row r="3612" ht="33.75" customHeight="1">
      <c r="A3612" s="6" t="s">
        <v>5397</v>
      </c>
      <c r="B3612" s="6" t="str">
        <f>IFERROR(__xludf.DUMMYFUNCTION("GOOGLETRANSLATE(A3612,""en"",""fi"")"),"Yököykky ei koskaan epäonnistu saaliin nappaamisessa pimeässä. Tämä Pokémon on menestyksensä velkaa erinomaiselle näölleen, jonka ansiosta se näkee vähäisessä valossa, sekä pehmeille, taipuisille siivilleen, jotka eivät pidä ääntä lennon aikana.")</f>
        <v>Yököykky ei koskaan epäonnistu saaliin nappaamisessa pimeässä. Tämä Pokémon on menestyksensä velkaa erinomaiselle näölleen, jonka ansiosta se näkee vähäisessä valossa, sekä pehmeille, taipuisille siivilleen, jotka eivät pidä ääntä lennon aikana.</v>
      </c>
      <c r="C3612" s="9" t="s">
        <v>1344</v>
      </c>
    </row>
    <row r="3613" ht="33.75" customHeight="1">
      <c r="A3613" s="6" t="s">
        <v>5398</v>
      </c>
      <c r="B3613" s="6" t="str">
        <f>IFERROR(__xludf.DUMMYFUNCTION("GOOGLETRANSLATE(A3613,""en"",""fi"")"),"Sen silmät näkevät pilkkopimeässä, joten se ei koskaan päästä saalistaan ​​karkuun. Jotkut kutsuvat sitä jopa ""pimeiden öiden keisariksi"".")</f>
        <v>Sen silmät näkevät pilkkopimeässä, joten se ei koskaan päästä saalistaan ​​karkuun. Jotkut kutsuvat sitä jopa "pimeiden öiden keisariksi".</v>
      </c>
      <c r="C3613" s="9" t="s">
        <v>1344</v>
      </c>
    </row>
    <row r="3614" ht="33.75" customHeight="1">
      <c r="A3614" s="6" t="s">
        <v>5399</v>
      </c>
      <c r="B3614" s="6" t="str">
        <f>IFERROR(__xludf.DUMMYFUNCTION("GOOGLETRANSLATE(A3614,""en"",""fi"")"),"Kun se kääntää päänsä kokonaan ylösalaisin, tiedät, että sitä vaivaa jokin. Jos et jätä sitä rauhaan, se nokkaa sinua.")</f>
        <v>Kun se kääntää päänsä kokonaan ylösalaisin, tiedät, että sitä vaivaa jokin. Jos et jätä sitä rauhaan, se nokkaa sinua.</v>
      </c>
      <c r="C3614" s="9" t="s">
        <v>1344</v>
      </c>
    </row>
    <row r="3615" ht="33.75" customHeight="1">
      <c r="A3615" s="6" t="s">
        <v>5400</v>
      </c>
      <c r="B3615" s="6" t="str">
        <f>IFERROR(__xludf.DUMMYFUNCTION("GOOGLETRANSLATE(A3615,""en"",""fi"")"),"Se on hyvin arka. Se pelkää liikkua yksin. Mutta se on aktiivinen ryhmässä.")</f>
        <v>Se on hyvin arka. Se pelkää liikkua yksin. Mutta se on aktiivinen ryhmässä.</v>
      </c>
      <c r="C3615" s="9" t="s">
        <v>1344</v>
      </c>
    </row>
    <row r="3616" ht="33.75" customHeight="1">
      <c r="A3616" s="6" t="s">
        <v>5401</v>
      </c>
      <c r="B3616" s="6" t="str">
        <f>IFERROR(__xludf.DUMMYFUNCTION("GOOGLETRANSLATE(A3616,""en"",""fi"")"),"Kun sää kylmenee, paljon LEDYBA-ryhmiä kokoontuu kaikkialta ryhmittymään ja pitämään toisiaan lämpiminä.")</f>
        <v>Kun sää kylmenee, paljon LEDYBA-ryhmiä kokoontuu kaikkialta ryhmittymään ja pitämään toisiaan lämpiminä.</v>
      </c>
      <c r="C3616" s="9" t="s">
        <v>1344</v>
      </c>
    </row>
    <row r="3617" ht="33.75" customHeight="1">
      <c r="A3617" s="6" t="s">
        <v>5402</v>
      </c>
      <c r="B3617" s="6" t="str">
        <f>IFERROR(__xludf.DUMMYFUNCTION("GOOGLETRANSLATE(A3617,""en"",""fi"")"),"Se on arka ja kerääntyy muiden joukkoon. Sen jaloista erittyvä neste osoittaa sen sijainnin.")</f>
        <v>Se on arka ja kerääntyy muiden joukkoon. Sen jaloista erittyvä neste osoittaa sen sijainnin.</v>
      </c>
      <c r="C3617" s="9" t="s">
        <v>1344</v>
      </c>
    </row>
    <row r="3618" ht="33.75" customHeight="1">
      <c r="A3618" s="6" t="s">
        <v>5404</v>
      </c>
      <c r="B3618" s="6" t="str">
        <f>IFERROR(__xludf.DUMMYFUNCTION("GOOGLETRANSLATE(A3618,""en"",""fi"")"),"LEDYBA erittää aromaattista nestettä kohdasta, josta sen jalat liittyvät kehoon. Tätä nestettä käytetään kommunikointiin muiden kanssa. Tämä POKéMON välittää tunteitaan muille muuttamalla nesteen tuoksua.")</f>
        <v>LEDYBA erittää aromaattista nestettä kohdasta, josta sen jalat liittyvät kehoon. Tätä nestettä käytetään kommunikointiin muiden kanssa. Tämä POKéMON välittää tunteitaan muille muuttamalla nesteen tuoksua.</v>
      </c>
      <c r="C3618" s="9" t="s">
        <v>1344</v>
      </c>
    </row>
    <row r="3619" ht="33.75" customHeight="1">
      <c r="A3619" s="6" t="s">
        <v>5405</v>
      </c>
      <c r="B3619" s="6" t="str">
        <f>IFERROR(__xludf.DUMMYFUNCTION("GOOGLETRANSLATE(A3619,""en"",""fi"")"),"LEDYBA-käärmeet kommunikoivat nesteen avulla, jota ne erittävät jalkojen ja kehon liitoskohdasta. Niiden sanotaan välittävän tunteita muille muuttamalla nesteen tuoksua.")</f>
        <v>LEDYBA-käärmeet kommunikoivat nesteen avulla, jota ne erittävät jalkojen ja kehon liitoskohdasta. Niiden sanotaan välittävän tunteita muille muuttamalla nesteen tuoksua.</v>
      </c>
      <c r="C3619" s="9" t="s">
        <v>1344</v>
      </c>
    </row>
    <row r="3620" ht="33.75" customHeight="1">
      <c r="A3620" s="6" t="s">
        <v>5406</v>
      </c>
      <c r="B3620" s="6" t="str">
        <f>IFERROR(__xludf.DUMMYFUNCTION("GOOGLETRANSLATE(A3620,""en"",""fi"")"),"Kun sää kylmenee, lukuisat LEDYBA-olentojen jäsenet kokoontuvat kaikkialta ryhmittymään ja lämmittämään toisiaan.")</f>
        <v>Kun sää kylmenee, lukuisat LEDYBA-olentojen jäsenet kokoontuvat kaikkialta ryhmittymään ja lämmittämään toisiaan.</v>
      </c>
      <c r="C3620" s="9" t="s">
        <v>1344</v>
      </c>
    </row>
    <row r="3621" ht="33.75" customHeight="1">
      <c r="A3621" s="6" t="s">
        <v>5407</v>
      </c>
      <c r="B3621" s="6" t="str">
        <f>IFERROR(__xludf.DUMMYFUNCTION("GOOGLETRANSLATE(A3621,""en"",""fi"")"),"Se on niin arka, ettei se voi liikkua, ellei se ole muiden parven seurassa. Se ilmaisee tunteitaan hajulla.")</f>
        <v>Se on niin arka, ettei se voi liikkua, ellei se ole muiden parven seurassa. Se ilmaisee tunteitaan hajulla.</v>
      </c>
      <c r="C3621" s="9" t="s">
        <v>1344</v>
      </c>
    </row>
    <row r="3622" ht="33.75" customHeight="1">
      <c r="A3622" s="6" t="s">
        <v>5408</v>
      </c>
      <c r="B3622" s="6" t="str">
        <f>IFERROR(__xludf.DUMMYFUNCTION("GOOGLETRANSLATE(A3622,""en"",""fi"")"),"Kun sää kylmenee, paljon Ledyba-väkeä kokoontuu kaikkialta pitämään toisiaan lämpiminä.")</f>
        <v>Kun sää kylmenee, paljon Ledyba-väkeä kokoontuu kaikkialta pitämään toisiaan lämpiminä.</v>
      </c>
      <c r="C3622" s="9" t="s">
        <v>1344</v>
      </c>
    </row>
    <row r="3623" ht="33.75" customHeight="1">
      <c r="A3623" s="6" t="s">
        <v>5409</v>
      </c>
      <c r="B3623" s="6" t="str">
        <f>IFERROR(__xludf.DUMMYFUNCTION("GOOGLETRANSLATE(A3623,""en"",""fi"")"),"Ledyba erittää aromaattista nestettä kohdasta, josta sen jalat liittyvät kehoon. Tätä nestettä käytetään kommunikointiin muiden kanssa. Tämä Pokémon välittää tunteitaan muille muuttamalla nesteen tuoksua.")</f>
        <v>Ledyba erittää aromaattista nestettä kohdasta, josta sen jalat liittyvät kehoon. Tätä nestettä käytetään kommunikointiin muiden kanssa. Tämä Pokémon välittää tunteitaan muille muuttamalla nesteen tuoksua.</v>
      </c>
      <c r="C3623" s="9" t="s">
        <v>1344</v>
      </c>
    </row>
    <row r="3624" ht="33.75" customHeight="1">
      <c r="A3624" s="6" t="s">
        <v>5410</v>
      </c>
      <c r="B3624" s="6" t="str">
        <f>IFERROR(__xludf.DUMMYFUNCTION("GOOGLETRANSLATE(A3624,""en"",""fi"")"),"Ne ovat arkoja ja levottomia, jos ne eivät ole parvessa muiden lajitovereidensa kanssa. Niiden selkäkuvio vaihtelee hieman lajista toiseen.")</f>
        <v>Ne ovat arkoja ja levottomia, jos ne eivät ole parvessa muiden lajitovereidensa kanssa. Niiden selkäkuvio vaihtelee hieman lajista toiseen.</v>
      </c>
      <c r="C3624" s="9" t="s">
        <v>1344</v>
      </c>
    </row>
    <row r="3625" ht="33.75" customHeight="1">
      <c r="A3625" s="6" t="s">
        <v>5411</v>
      </c>
      <c r="B3625" s="6" t="str">
        <f>IFERROR(__xludf.DUMMYFUNCTION("GOOGLETRANSLATE(A3625,""en"",""fi"")"),"Ne kommunikoivat keskenään käyttämällä ruumiinnesteitä, jotka erittävät hajuja. Kun ne ovat vihaisia, niiden haju haisee happamalle.")</f>
        <v>Ne kommunikoivat keskenään käyttämällä ruumiinnesteitä, jotka erittävät hajuja. Kun ne ovat vihaisia, niiden haju haisee happamalle.</v>
      </c>
      <c r="C3625" s="9" t="s">
        <v>1344</v>
      </c>
    </row>
    <row r="3626" ht="33.75" customHeight="1">
      <c r="A3626" s="6" t="s">
        <v>5412</v>
      </c>
      <c r="B3626" s="6" t="str">
        <f>IFERROR(__xludf.DUMMYFUNCTION("GOOGLETRANSLATE(A3626,""en"",""fi"")"),"Tämä Pokémon on hyvin herkkä kylmälle. Alolan lämmössä se näyttää melko vilkkaalta.")</f>
        <v>Tämä Pokémon on hyvin herkkä kylmälle. Alolan lämmössä se näyttää melko vilkkaalta.</v>
      </c>
      <c r="C3626" s="9" t="s">
        <v>1344</v>
      </c>
    </row>
    <row r="3627" ht="33.75" customHeight="1">
      <c r="A3627" s="6" t="s">
        <v>5413</v>
      </c>
      <c r="B3627" s="6" t="str">
        <f>IFERROR(__xludf.DUMMYFUNCTION("GOOGLETRANSLATE(A3627,""en"",""fi"")"),"Nämä hyvin pelkurimaiset Pokémonit liittyvät yhteen ja käyttävät Reflectiä suojellakseen pesäänsä.")</f>
        <v>Nämä hyvin pelkurimaiset Pokémonit liittyvät yhteen ja käyttävät Reflectiä suojellakseen pesäänsä.</v>
      </c>
      <c r="C3627" s="9" t="s">
        <v>1344</v>
      </c>
    </row>
    <row r="3628" ht="33.75" customHeight="1">
      <c r="A3628" s="6" t="s">
        <v>5415</v>
      </c>
      <c r="B3628" s="6" t="str">
        <f>IFERROR(__xludf.DUMMYFUNCTION("GOOGLETRANSLATE(A3628,""en"",""fi"")"),"Kun tähdet välkkyvät yötaivaalla, se lepattaa ympäriinsä sirotellen hehkuvaa jauhetta.")</f>
        <v>Kun tähdet välkkyvät yötaivaalla, se lepattaa ympäriinsä sirotellen hehkuvaa jauhetta.</v>
      </c>
      <c r="C3628" s="9" t="s">
        <v>1344</v>
      </c>
    </row>
    <row r="3629" ht="33.75" customHeight="1">
      <c r="A3629" s="6" t="s">
        <v>5416</v>
      </c>
      <c r="B3629" s="6" t="str">
        <f>IFERROR(__xludf.DUMMYFUNCTION("GOOGLETRANSLATE(A3629,""en"",""fi"")"),"Sen selässä olevat tähtikuviot kasvavat suuremmiksi tai pienemmiksi riippuen yötaivaan tähtien määrästä.")</f>
        <v>Sen selässä olevat tähtikuviot kasvavat suuremmiksi tai pienemmiksi riippuen yötaivaan tähtien määrästä.</v>
      </c>
      <c r="C3629" s="9" t="s">
        <v>1344</v>
      </c>
    </row>
    <row r="3630" ht="33.75" customHeight="1">
      <c r="A3630" s="6" t="s">
        <v>5417</v>
      </c>
      <c r="B3630" s="6" t="str">
        <f>IFERROR(__xludf.DUMMYFUNCTION("GOOGLETRANSLATE(A3630,""en"",""fi"")"),"Päivällä, kun tulee lämmin, se käpertyy suuren lehden sisään ja vaipuu syvään uneen.")</f>
        <v>Päivällä, kun tulee lämmin, se käpertyy suuren lehden sisään ja vaipuu syvään uneen.</v>
      </c>
      <c r="C3630" s="9" t="s">
        <v>1344</v>
      </c>
    </row>
    <row r="3631" ht="33.75" customHeight="1">
      <c r="A3631" s="6" t="s">
        <v>5418</v>
      </c>
      <c r="B3631" s="6" t="str">
        <f>IFERROR(__xludf.DUMMYFUNCTION("GOOGLETRANSLATE(A3631,""en"",""fi"")"),"Sanotaan, että maissa, joissa on puhdas ilma ja tähtien täyttämä taivas, asuu lukemattomia määriä LEDIANEJA. Tähän on hyvä syy - POKéMONit käyttävät tähtien valoa energianaan.")</f>
        <v>Sanotaan, että maissa, joissa on puhdas ilma ja tähtien täyttämä taivas, asuu lukemattomia määriä LEDIANEJA. Tähän on hyvä syy - POKéMONit käyttävät tähtien valoa energianaan.</v>
      </c>
      <c r="C3631" s="9" t="s">
        <v>1344</v>
      </c>
    </row>
    <row r="3632" ht="33.75" customHeight="1">
      <c r="A3632" s="6" t="s">
        <v>5419</v>
      </c>
      <c r="B3632" s="6" t="str">
        <f>IFERROR(__xludf.DUMMYFUNCTION("GOOGLETRANSLATE(A3632,""en"",""fi"")"),"Sanotaan, että maissa, joissa on puhdas ilma ja tähtien täyttämä taivas, asuu paljon LEDIALAISIA. Hyvästä syystä he käyttävät tähtien valoa energianaan.")</f>
        <v>Sanotaan, että maissa, joissa on puhdas ilma ja tähtien täyttämä taivas, asuu paljon LEDIALAISIA. Hyvästä syystä he käyttävät tähtien valoa energianaan.</v>
      </c>
      <c r="C3632" s="9" t="s">
        <v>1344</v>
      </c>
    </row>
    <row r="3633" ht="33.75" customHeight="1">
      <c r="A3633" s="6" t="s">
        <v>5420</v>
      </c>
      <c r="B3633" s="6" t="str">
        <f>IFERROR(__xludf.DUMMYFUNCTION("GOOGLETRANSLATE(A3633,""en"",""fi"")"),"Se käyttää tähtien valoa energianaan. Kun yöllä ilmestyy lisää tähtiä, sen selässä olevat kuviot suurenevat.")</f>
        <v>Se käyttää tähtien valoa energianaan. Kun yöllä ilmestyy lisää tähtiä, sen selässä olevat kuviot suurenevat.</v>
      </c>
      <c r="C3633" s="9" t="s">
        <v>1344</v>
      </c>
    </row>
    <row r="3634" ht="33.75" customHeight="1">
      <c r="A3634" s="6" t="s">
        <v>5421</v>
      </c>
      <c r="B3634" s="6" t="str">
        <f>IFERROR(__xludf.DUMMYFUNCTION("GOOGLETRANSLATE(A3634,""en"",""fi"")"),"Sen selässä olevat täpläkuviot kasvavat suuremmiksi tai pienemmiksi riippuen yötaivaan tähtien määrästä.")</f>
        <v>Sen selässä olevat täpläkuviot kasvavat suuremmiksi tai pienemmiksi riippuen yötaivaan tähtien määrästä.</v>
      </c>
      <c r="C3634" s="9" t="s">
        <v>1344</v>
      </c>
    </row>
    <row r="3635" ht="33.75" customHeight="1">
      <c r="A3635" s="6" t="s">
        <v>5422</v>
      </c>
      <c r="B3635" s="6" t="str">
        <f>IFERROR(__xludf.DUMMYFUNCTION("GOOGLETRANSLATE(A3635,""en"",""fi"")"),"Sanotaan, että maissa, joissa on puhdas ilma ja tähtien täyttämä taivas, asuu lukemattomia määriä ledialaisia. Tähän on hyvä syy – Pokémonit käyttävät tähtien valoa energianaan.")</f>
        <v>Sanotaan, että maissa, joissa on puhdas ilma ja tähtien täyttämä taivas, asuu lukemattomia määriä ledialaisia. Tähän on hyvä syy – Pokémonit käyttävät tähtien valoa energianaan.</v>
      </c>
      <c r="C3635" s="9" t="s">
        <v>1344</v>
      </c>
    </row>
    <row r="3636" ht="33.75" customHeight="1">
      <c r="A3636" s="6" t="s">
        <v>5423</v>
      </c>
      <c r="B3636" s="6" t="str">
        <f>IFERROR(__xludf.DUMMYFUNCTION("GOOGLETRANSLATE(A3636,""en"",""fi"")"),"Vaikka uskotaan, että tähtien valo antaa sille energiaa, tämä Pokémon rakastaa myös marjojen syömistä. Päivällä se käpertyy ruohikkoon nukkumaan.")</f>
        <v>Vaikka uskotaan, että tähtien valo antaa sille energiaa, tämä Pokémon rakastaa myös marjojen syömistä. Päivällä se käpertyy ruohikkoon nukkumaan.</v>
      </c>
      <c r="C3636" s="9" t="s">
        <v>1344</v>
      </c>
    </row>
    <row r="3637" ht="33.75" customHeight="1">
      <c r="A3637" s="6" t="s">
        <v>5424</v>
      </c>
      <c r="B3637" s="6" t="str">
        <f>IFERROR(__xludf.DUMMYFUNCTION("GOOGLETRANSLATE(A3637,""en"",""fi"")"),"Taistelussa se lyö kaikilla neljällä kädellään. Kunkin yksittäisen iskun voima on mitätön, joten se pyrkii voittamaan määrän eikä laadun perusteella.")</f>
        <v>Taistelussa se lyö kaikilla neljällä kädellään. Kunkin yksittäisen iskun voima on mitätön, joten se pyrkii voittamaan määrän eikä laadun perusteella.</v>
      </c>
      <c r="C3637" s="9" t="s">
        <v>1344</v>
      </c>
    </row>
    <row r="3638" ht="33.75" customHeight="1">
      <c r="A3638" s="6" t="s">
        <v>5426</v>
      </c>
      <c r="B3638" s="6" t="str">
        <f>IFERROR(__xludf.DUMMYFUNCTION("GOOGLETRANSLATE(A3638,""en"",""fi"")"),"Sanotaan, että sen selän kuviot liittyvät yötaivaan tähtiin, mutta tämän suhteen yksityiskohdat ovat edelleen epäselviä.")</f>
        <v>Sanotaan, että sen selän kuviot liittyvät yötaivaan tähtiin, mutta tämän suhteen yksityiskohdat ovat edelleen epäselviä.</v>
      </c>
      <c r="C3638" s="9" t="s">
        <v>1344</v>
      </c>
    </row>
    <row r="3639" ht="33.75" customHeight="1">
      <c r="A3639" s="6" t="s">
        <v>5427</v>
      </c>
      <c r="B3639" s="6" t="str">
        <f>IFERROR(__xludf.DUMMYFUNCTION("GOOGLETRANSLATE(A3639,""en"",""fi"")"),"Se lentää yötaivaan halki ja sirottelee kimaltelevaa pölyä. Joidenkin mukaan jos tuo pöly tarttuu sinuun, sinulle tapahtuu hyviä asioita.")</f>
        <v>Se lentää yötaivaan halki ja sirottelee kimaltelevaa pölyä. Joidenkin mukaan jos tuo pöly tarttuu sinuun, sinulle tapahtuu hyviä asioita.</v>
      </c>
      <c r="C3639" s="9" t="s">
        <v>1344</v>
      </c>
    </row>
    <row r="3640" ht="33.75" customHeight="1">
      <c r="A3640" s="6" t="s">
        <v>5428</v>
      </c>
      <c r="B3640" s="6" t="str">
        <f>IFERROR(__xludf.DUMMYFUNCTION("GOOGLETRANSLATE(A3640,""en"",""fi"")"),"Se makaa päiväkausia samassa asennossa verkossaan odottaen tietämättömän saaliinsa vaeltavan lähelle.")</f>
        <v>Se makaa päiväkausia samassa asennossa verkossaan odottaen tietämättömän saaliinsa vaeltavan lähelle.</v>
      </c>
      <c r="C3640" s="9" t="s">
        <v>1344</v>
      </c>
    </row>
    <row r="3641" ht="33.75" customHeight="1">
      <c r="A3641" s="6" t="s">
        <v>5430</v>
      </c>
      <c r="B3641" s="6" t="str">
        <f>IFERROR(__xludf.DUMMYFUNCTION("GOOGLETRANSLATE(A3641,""en"",""fi"")"),"Se kutoo verkkoa ohuesta – mutta kestävästä – langasta. Sitten se odottaa kärsivällisesti saaliinsa pyydystämistä.")</f>
        <v>Se kutoo verkkoa ohuesta – mutta kestävästä – langasta. Sitten se odottaa kärsivällisesti saaliinsa pyydystämistä.</v>
      </c>
      <c r="C3641" s="9" t="s">
        <v>1344</v>
      </c>
    </row>
    <row r="3642" ht="33.75" customHeight="1">
      <c r="A3642" s="6" t="s">
        <v>5431</v>
      </c>
      <c r="B3642" s="6" t="str">
        <f>IFERROR(__xludf.DUMMYFUNCTION("GOOGLETRANSLATE(A3642,""en"",""fi"")"),"Jos saalis jää kiinni kehrätystä narusta tehtyyn pesäänsä, se odottaa liikkumatta, kunnes tulee pimeää.")</f>
        <v>Jos saalis jää kiinni kehrätystä narusta tehtyyn pesäänsä, se odottaa liikkumatta, kunnes tulee pimeää.</v>
      </c>
      <c r="C3642" s="9" t="s">
        <v>1344</v>
      </c>
    </row>
    <row r="3643" ht="33.75" customHeight="1">
      <c r="A3643" s="6" t="s">
        <v>5432</v>
      </c>
      <c r="B3643" s="6" t="str">
        <f>IFERROR(__xludf.DUMMYFUNCTION("GOOGLETRANSLATE(A3643,""en"",""fi"")"),"SPINARAKin kehräämää verkkoa voidaan pitää sen toisena hermostona. Sanotaan, että tämä POKéMON pystyy päättelemään, millainen saalis koskettaa sen verkkoa, pelkästään niiden pienten värähtelyjen perusteella, joita se tuntee verkon säikeiden läpi.")</f>
        <v>SPINARAKin kehräämää verkkoa voidaan pitää sen toisena hermostona. Sanotaan, että tämä POKéMON pystyy päättelemään, millainen saalis koskettaa sen verkkoa, pelkästään niiden pienten värähtelyjen perusteella, joita se tuntee verkon säikeiden läpi.</v>
      </c>
      <c r="C3643" s="9" t="s">
        <v>1344</v>
      </c>
    </row>
    <row r="3644" ht="33.75" customHeight="1">
      <c r="A3644" s="6" t="s">
        <v>5433</v>
      </c>
      <c r="B3644" s="6" t="str">
        <f>IFERROR(__xludf.DUMMYFUNCTION("GOOGLETRANSLATE(A3644,""en"",""fi"")"),"Sen kehräämää verkkoa voidaan pitää sen toisena hermostona. Sanotaan, että SPINARAK tunnistaa saaliinsa verkon läpi tuntemiensa pienten värähtelyjen perusteella.")</f>
        <v>Sen kehräämää verkkoa voidaan pitää sen toisena hermostona. Sanotaan, että SPINARAK tunnistaa saaliinsa verkon läpi tuntemiensa pienten värähtelyjen perusteella.</v>
      </c>
      <c r="C3644" s="9" t="s">
        <v>1344</v>
      </c>
    </row>
    <row r="3645" ht="33.75" customHeight="1">
      <c r="A3645" s="6" t="s">
        <v>5434</v>
      </c>
      <c r="B3645" s="6" t="str">
        <f>IFERROR(__xludf.DUMMYFUNCTION("GOOGLETRANSLATE(A3645,""en"",""fi"")"),"Se kutoo verkkoa ohuesta mutta kestävästä langasta. Sitten se odottaa kärsivällisesti saaliinsa pyydystämistä.")</f>
        <v>Se kutoo verkkoa ohuesta mutta kestävästä langasta. Sitten se odottaa kärsivällisesti saaliinsa pyydystämistä.</v>
      </c>
      <c r="C3645" s="9" t="s">
        <v>1344</v>
      </c>
    </row>
    <row r="3646" ht="33.75" customHeight="1">
      <c r="A3646" s="6" t="s">
        <v>5435</v>
      </c>
      <c r="B3646" s="6" t="str">
        <f>IFERROR(__xludf.DUMMYFUNCTION("GOOGLETRANSLATE(A3646,""en"",""fi"")"),"Se virittää ansan kehrämällä ohuesta mutta vahvasta silkistä tehdyn verkon. Se odottaa liikkumatta saalista.")</f>
        <v>Se virittää ansan kehrämällä ohuesta mutta vahvasta silkistä tehdyn verkon. Se odottaa liikkumatta saalista.</v>
      </c>
      <c r="C3646" s="9" t="s">
        <v>1344</v>
      </c>
    </row>
    <row r="3647" ht="33.75" customHeight="1">
      <c r="A3647" s="6" t="s">
        <v>5437</v>
      </c>
      <c r="B3647" s="6" t="str">
        <f>IFERROR(__xludf.DUMMYFUNCTION("GOOGLETRANSLATE(A3647,""en"",""fi"")"),"Se kutoo verkkoa ohuesta – mutta kestävästä – langasta. Sitten se odottaa kärsivällisesti saaliinsa pyydystämistä.")</f>
        <v>Se kutoo verkkoa ohuesta – mutta kestävästä – langasta. Sitten se odottaa kärsivällisesti saaliinsa pyydystämistä.</v>
      </c>
      <c r="C3647" s="9" t="s">
        <v>1344</v>
      </c>
    </row>
    <row r="3648" ht="33.75" customHeight="1">
      <c r="A3648" s="6" t="s">
        <v>5439</v>
      </c>
      <c r="B3648" s="6" t="str">
        <f>IFERROR(__xludf.DUMMYFUNCTION("GOOGLETRANSLATE(A3648,""en"",""fi"")"),"Spinarakin kehräämää verkkoa voidaan pitää sen toisena hermostona. Sanotaan, että tämä Pokémon pystyy päättelemään, millainen saalis koskettaa sen verkkoa, pelkästään niiden pienten värähtelyjen perusteella, joita se tuntee verkon säikeiden läpi.")</f>
        <v>Spinarakin kehräämää verkkoa voidaan pitää sen toisena hermostona. Sanotaan, että tämä Pokémon pystyy päättelemään, millainen saalis koskettaa sen verkkoa, pelkästään niiden pienten värähtelyjen perusteella, joita se tuntee verkon säikeiden läpi.</v>
      </c>
      <c r="C3648" s="9" t="s">
        <v>1344</v>
      </c>
    </row>
    <row r="3649" ht="33.75" customHeight="1">
      <c r="A3649" s="6" t="s">
        <v>5441</v>
      </c>
      <c r="B3649" s="6" t="str">
        <f>IFERROR(__xludf.DUMMYFUNCTION("GOOGLETRANSLATE(A3649,""en"",""fi"")"),"Se odottaa tarkkaavaisesti, kunnes sen suosikkisaalis, Cutiefly, jää kiinni sen verkkoon. Itse asiassa se on melko kärsivällinen Pokémon.")</f>
        <v>Se odottaa tarkkaavaisesti, kunnes sen suosikkisaalis, Cutiefly, jää kiinni sen verkkoon. Itse asiassa se on melko kärsivällinen Pokémon.</v>
      </c>
      <c r="C3649" s="9" t="s">
        <v>1344</v>
      </c>
    </row>
    <row r="3650" ht="33.75" customHeight="1">
      <c r="A3650" s="6" t="s">
        <v>5442</v>
      </c>
      <c r="B3650" s="6" t="str">
        <f>IFERROR(__xludf.DUMMYFUNCTION("GOOGLETRANSLATE(A3650,""en"",""fi"")"),"Jotkut kalastajat kutovat sen tukevaa lankaa verkkoihin pyydystääkseen Pokémoneja.")</f>
        <v>Jotkut kalastajat kutovat sen tukevaa lankaa verkkoihin pyydystääkseen Pokémoneja.</v>
      </c>
      <c r="C3650" s="9" t="s">
        <v>1344</v>
      </c>
    </row>
    <row r="3651" ht="33.75" customHeight="1">
      <c r="A3651" s="6" t="s">
        <v>5443</v>
      </c>
      <c r="B3651" s="6" t="str">
        <f>IFERROR(__xludf.DUMMYFUNCTION("GOOGLETRANSLATE(A3651,""en"",""fi"")"),"Suustaan ​​lähtevillä langoilla se muodostaa tukevia verkkoja, jotka eivät katkea, vaikka niiden päälle laittaisi kiven.")</f>
        <v>Suustaan ​​lähtevillä langoilla se muodostaa tukevia verkkoja, jotka eivät katkea, vaikka niiden päälle laittaisi kiven.</v>
      </c>
      <c r="C3651" s="9" t="s">
        <v>1344</v>
      </c>
    </row>
    <row r="3652" ht="33.75" customHeight="1">
      <c r="A3652" s="6" t="s">
        <v>5444</v>
      </c>
      <c r="B3652" s="6" t="str">
        <f>IFERROR(__xludf.DUMMYFUNCTION("GOOGLETRANSLATE(A3652,""en"",""fi"")"),"Vaikka sen hampaiden myrkky ei ole kovin vahvaa, se on riittävän tehokas heikentämään sen verkkoon jäävää saalista.")</f>
        <v>Vaikka sen hampaiden myrkky ei ole kovin vahvaa, se on riittävän tehokas heikentämään sen verkkoon jäävää saalista.</v>
      </c>
      <c r="C3652" s="9" t="s">
        <v>1344</v>
      </c>
    </row>
    <row r="3653" ht="33.75" customHeight="1">
      <c r="A3653" s="6" t="s">
        <v>5445</v>
      </c>
      <c r="B3653" s="6" t="str">
        <f>IFERROR(__xludf.DUMMYFUNCTION("GOOGLETRANSLATE(A3653,""en"",""fi"")"),"Se kehrää narua paitsi takapuolestaan ​​myös suustaan. On vaikea sanoa, kumpi pää on kumpi.")</f>
        <v>Se kehrää narua paitsi takapuolestaan ​​myös suustaan. On vaikea sanoa, kumpi pää on kumpi.</v>
      </c>
      <c r="C3653" s="9" t="s">
        <v>1344</v>
      </c>
    </row>
    <row r="3654" ht="33.75" customHeight="1">
      <c r="A3654" s="6" t="s">
        <v>5446</v>
      </c>
      <c r="B3654" s="6" t="str">
        <f>IFERROR(__xludf.DUMMYFUNCTION("GOOGLETRANSLATE(A3654,""en"",""fi"")"),"Yksittäinen säie erityistä narua pyörii loputtomasti sen takaosasta. Naru johtaa takaisin pesäänsä.")</f>
        <v>Yksittäinen säie erityistä narua pyörii loputtomasti sen takaosasta. Naru johtaa takaisin pesäänsä.</v>
      </c>
      <c r="C3654" s="9" t="s">
        <v>1344</v>
      </c>
    </row>
    <row r="3655" ht="33.75" customHeight="1">
      <c r="A3655" s="6" t="s">
        <v>5447</v>
      </c>
      <c r="B3655" s="6" t="str">
        <f>IFERROR(__xludf.DUMMYFUNCTION("GOOGLETRANSLATE(A3655,""en"",""fi"")"),"Sen sijaan, että se tekisi pesän yhteen tiettyyn paikkaan, se vaeltaa pimeän laskeuduttua etsimässä ruokaa.")</f>
        <v>Sen sijaan, että se tekisi pesän yhteen tiettyyn paikkaan, se vaeltaa pimeän laskeuduttua etsimässä ruokaa.</v>
      </c>
      <c r="C3655" s="9" t="s">
        <v>1344</v>
      </c>
    </row>
    <row r="3656" ht="33.75" customHeight="1">
      <c r="A3656" s="6" t="s">
        <v>5449</v>
      </c>
      <c r="B3656" s="6" t="str">
        <f>IFERROR(__xludf.DUMMYFUNCTION("GOOGLETRANSLATE(A3656,""en"",""fi"")"),"ARIADOSin jaloissa on pienet koukkuiset kynnet, joiden avulla se voi kiivetä katoissa ja pystysuorilla seinillä. Tämä POKéMON kuristaa vihollisen ohuella ja vahvalla silkkiverkolla.")</f>
        <v>ARIADOSin jaloissa on pienet koukkuiset kynnet, joiden avulla se voi kiivetä katoissa ja pystysuorilla seinillä. Tämä POKéMON kuristaa vihollisen ohuella ja vahvalla silkkiverkolla.</v>
      </c>
      <c r="C3656" s="9" t="s">
        <v>1344</v>
      </c>
    </row>
    <row r="3657" ht="33.75" customHeight="1">
      <c r="A3657" s="6" t="s">
        <v>5450</v>
      </c>
      <c r="B3657" s="6" t="str">
        <f>IFERROR(__xludf.DUMMYFUNCTION("GOOGLETRANSLATE(A3657,""en"",""fi"")"),"Sen jalkojen kärjissä on pienet koukkuiset kynnet, joiden avulla se voi kiivetä katoissa ja pystysuorilla seinillä. Se kuristaa vihollistaan ​​ohuilla ja vahvoilla silkkiverkoilla.")</f>
        <v>Sen jalkojen kärjissä on pienet koukkuiset kynnet, joiden avulla se voi kiivetä katoissa ja pystysuorilla seinillä. Se kuristaa vihollistaan ​​ohuilla ja vahvoilla silkkiverkoilla.</v>
      </c>
      <c r="C3657" s="9" t="s">
        <v>1344</v>
      </c>
    </row>
    <row r="3658" ht="33.75" customHeight="1">
      <c r="A3658" s="6" t="s">
        <v>5451</v>
      </c>
      <c r="B3658" s="6" t="str">
        <f>IFERROR(__xludf.DUMMYFUNCTION("GOOGLETRANSLATE(A3658,""en"",""fi"")"),"Se kiinnittää silkkiä saaliiseensa ja päästää sen vapaaksi. Myöhemmin se jäljittää silkin saaliinsa ja sen ystävien luo.")</f>
        <v>Se kiinnittää silkkiä saaliiseensa ja päästää sen vapaaksi. Myöhemmin se jäljittää silkin saaliinsa ja sen ystävien luo.</v>
      </c>
      <c r="C3658" s="9" t="s">
        <v>1344</v>
      </c>
    </row>
    <row r="3659" ht="33.75" customHeight="1">
      <c r="A3659" s="6" t="s">
        <v>5453</v>
      </c>
      <c r="B3659" s="6" t="str">
        <f>IFERROR(__xludf.DUMMYFUNCTION("GOOGLETRANSLATE(A3659,""en"",""fi"")"),"Se pyörittää narua paitsi takapuolestaan ​​myös suustaan. On vaikea sanoa, kumpi pää on kumpi.")</f>
        <v>Se pyörittää narua paitsi takapuolestaan ​​myös suustaan. On vaikea sanoa, kumpi pää on kumpi.</v>
      </c>
      <c r="C3659" s="9" t="s">
        <v>1344</v>
      </c>
    </row>
    <row r="3660" ht="33.75" customHeight="1">
      <c r="A3660" s="6" t="s">
        <v>5454</v>
      </c>
      <c r="B3660" s="6" t="str">
        <f>IFERROR(__xludf.DUMMYFUNCTION("GOOGLETRANSLATE(A3660,""en"",""fi"")"),"Ariadosin jaloissa on pienet koukkuiset kynnet, joiden avulla se voi kiivetä katoissa ja pystysuorilla seinillä. Tämä Pokémon kuristaa vihollisen ohuilla ja vahvoilla silkkiverkoilla.")</f>
        <v>Ariadosin jaloissa on pienet koukkuiset kynnet, joiden avulla se voi kiivetä katoissa ja pystysuorilla seinillä. Tämä Pokémon kuristaa vihollisen ohuilla ja vahvoilla silkkiverkoilla.</v>
      </c>
      <c r="C3660" s="9" t="s">
        <v>1344</v>
      </c>
    </row>
    <row r="3661" ht="33.75" customHeight="1">
      <c r="A3661" s="6" t="s">
        <v>5456</v>
      </c>
      <c r="B3661" s="6" t="str">
        <f>IFERROR(__xludf.DUMMYFUNCTION("GOOGLETRANSLATE(A3661,""en"",""fi"")"),"Joillakin alueilla ihmiset käyttävät Ariadosin kehräämää narua omaan kutomiseen. Tuloksena oleva kangas on suosittua kestävyytensä ansiosta.")</f>
        <v>Joillakin alueilla ihmiset käyttävät Ariadosin kehräämää narua omaan kutomiseen. Tuloksena oleva kangas on suosittua kestävyytensä ansiosta.</v>
      </c>
      <c r="C3661" s="9" t="s">
        <v>1344</v>
      </c>
    </row>
    <row r="3662" ht="33.75" customHeight="1">
      <c r="A3662" s="6" t="s">
        <v>5458</v>
      </c>
      <c r="B3662" s="6" t="str">
        <f>IFERROR(__xludf.DUMMYFUNCTION("GOOGLETRANSLATE(A3662,""en"",""fi"")"),"Se kehrää lankaa sekä takapuolestaan ​​että suustaan. Sitten se käärii saaliinsa lankaan ja siemailee sen ruumiinnesteitä kaikessa rauhassa.")</f>
        <v>Se kehrää lankaa sekä takapuolestaan ​​että suustaan. Sitten se käärii saaliinsa lankaan ja siemailee sen ruumiinnesteitä kaikessa rauhassa.</v>
      </c>
      <c r="C3662" s="9" t="s">
        <v>1344</v>
      </c>
    </row>
    <row r="3663" ht="33.75" customHeight="1">
      <c r="A3663" s="6" t="s">
        <v>5460</v>
      </c>
      <c r="B3663" s="6" t="str">
        <f>IFERROR(__xludf.DUMMYFUNCTION("GOOGLETRANSLATE(A3663,""en"",""fi"")"),"Joka yö se vaeltelee ympäriinsä etsien saalista, jonka liikkeitä se hillitsee oksentamalla lankoja ennen kuin puree niitä hampaillaan.")</f>
        <v>Joka yö se vaeltelee ympäriinsä etsien saalista, jonka liikkeitä se hillitsee oksentamalla lankoja ennen kuin puree niitä hampaillaan.</v>
      </c>
      <c r="C3663" s="9" t="s">
        <v>1344</v>
      </c>
    </row>
    <row r="3664" ht="33.75" customHeight="1">
      <c r="A3664" s="6" t="s">
        <v>5461</v>
      </c>
      <c r="B3664" s="6" t="str">
        <f>IFERROR(__xludf.DUMMYFUNCTION("GOOGLETRANSLATE(A3664,""en"",""fi"")"),"Se sylkee suustaan ​​lankoja saalistaakseen. Yön laskeutuessa se jättää verkkonsa ja lähtee aggressiivisesti metsästämään.")</f>
        <v>Se sylkee suustaan ​​lankoja saalistaakseen. Yön laskeutuessa se jättää verkkonsa ja lähtee aggressiivisesti metsästämään.</v>
      </c>
      <c r="C3664" s="9" t="s">
        <v>1344</v>
      </c>
    </row>
    <row r="3665" ht="33.75" customHeight="1">
      <c r="A3665" s="6" t="s">
        <v>5463</v>
      </c>
      <c r="B3665" s="6" t="str">
        <f>IFERROR(__xludf.DUMMYFUNCTION("GOOGLETRANSLATE(A3665,""en"",""fi"")"),"Se lentää niin hiljaa pimeyden läpi neljällä siivellään, ettei sitä ehkä huomaa edes lähellä ollessaan.")</f>
        <v>Se lentää niin hiljaa pimeyden läpi neljällä siivellään, ettei sitä ehkä huomaa edes lähellä ollessaan.</v>
      </c>
      <c r="C3665" s="9" t="s">
        <v>1344</v>
      </c>
    </row>
    <row r="3666" ht="33.75" customHeight="1">
      <c r="A3666" s="6" t="s">
        <v>5464</v>
      </c>
      <c r="B3666" s="6" t="str">
        <f>IFERROR(__xludf.DUMMYFUNCTION("GOOGLETRANSLATE(A3666,""en"",""fi"")"),"Jalkojen siipien kehitys mahdollistaa nopean lentämisen, mutta tekee myös pysähtymisen ja lepäämisen vaikeaksi.")</f>
        <v>Jalkojen siipien kehitys mahdollistaa nopean lentämisen, mutta tekee myös pysähtymisen ja lepäämisen vaikeaksi.</v>
      </c>
      <c r="C3666" s="9" t="s">
        <v>1344</v>
      </c>
    </row>
    <row r="3667" ht="33.75" customHeight="1">
      <c r="A3667" s="6" t="s">
        <v>5465</v>
      </c>
      <c r="B3667" s="6" t="str">
        <f>IFERROR(__xludf.DUMMYFUNCTION("GOOGLETRANSLATE(A3667,""en"",""fi"")"),"Pyrkimyksenään lentää nopeammin mutta hiljaisemmin, sen takajalkoihin kasvoi uudet siivet.")</f>
        <v>Pyrkimyksenään lentää nopeammin mutta hiljaisemmin, sen takajalkoihin kasvoi uudet siivet.</v>
      </c>
      <c r="C3667" s="9" t="s">
        <v>1344</v>
      </c>
    </row>
    <row r="3668" ht="33.75" customHeight="1">
      <c r="A3668" s="6" t="s">
        <v>5466</v>
      </c>
      <c r="B3668" s="6" t="str">
        <f>IFERROR(__xludf.DUMMYFUNCTION("GOOGLETRANSLATE(A3668,""en"",""fi"")"),"Jos tämä POKéMON lentää räpyttelemällä vain siipiparia joko etu- tai takajaloillaan, se on todiste siitä, että CROBAT on lentänyt pitkän matkan. Se vaihtaa siipiään, jos se on väsynyt.")</f>
        <v>Jos tämä POKéMON lentää räpyttelemällä vain siipiparia joko etu- tai takajaloillaan, se on todiste siitä, että CROBAT on lentänyt pitkän matkan. Se vaihtaa siipiään, jos se on väsynyt.</v>
      </c>
      <c r="C3668" s="9" t="s">
        <v>1344</v>
      </c>
    </row>
    <row r="3669" ht="33.75" customHeight="1">
      <c r="A3669" s="6" t="s">
        <v>5468</v>
      </c>
      <c r="B3669" s="6" t="str">
        <f>IFERROR(__xludf.DUMMYFUNCTION("GOOGLETRANSLATE(A3669,""en"",""fi"")"),"KROBATT hiipii saaliinsa luo tuskin ääntä pitävillä siipillään. Tämä POKéMON lepää roikkuen puun oksalla takajalat toimivat siipinä.")</f>
        <v>KROBATT hiipii saaliinsa luo tuskin ääntä pitävillä siipillään. Tämä POKéMON lepää roikkuen puun oksalla takajalat toimivat siipinä.</v>
      </c>
      <c r="C3669" s="9" t="s">
        <v>1344</v>
      </c>
    </row>
    <row r="3670" ht="33.75" customHeight="1">
      <c r="A3670" s="6" t="s">
        <v>5470</v>
      </c>
      <c r="B3670" s="6" t="str">
        <f>IFERROR(__xludf.DUMMYFUNCTION("GOOGLETRANSLATE(A3670,""en"",""fi"")"),"Evoluution aikana sen takajalat muuttuivat siiviksi. Lepuuttamalla vuorotellen etu- ja takasiipiä se voi lentää koko päivän pysähtymättä.")</f>
        <v>Evoluution aikana sen takajalat muuttuivat siiviksi. Lepuuttamalla vuorotellen etu- ja takasiipiä se voi lentää koko päivän pysähtymättä.</v>
      </c>
      <c r="C3670" s="9" t="s">
        <v>1344</v>
      </c>
    </row>
    <row r="3671" ht="33.75" customHeight="1">
      <c r="A3671" s="6" t="s">
        <v>5471</v>
      </c>
      <c r="B3671" s="6" t="str">
        <f>IFERROR(__xludf.DUMMYFUNCTION("GOOGLETRANSLATE(A3671,""en"",""fi"")"),"Se lentää niin äänettömästi pimeyden läpi neljällä siivellään, ettei sitä ehkä huomaa edes lähellä ollessaan.")</f>
        <v>Se lentää niin äänettömästi pimeyden läpi neljällä siivellään, ettei sitä ehkä huomaa edes lähellä ollessaan.</v>
      </c>
      <c r="C3671" s="9" t="s">
        <v>1344</v>
      </c>
    </row>
    <row r="3672" ht="33.75" customHeight="1">
      <c r="A3672" s="6" t="s">
        <v>5473</v>
      </c>
      <c r="B3672" s="6" t="str">
        <f>IFERROR(__xludf.DUMMYFUNCTION("GOOGLETRANSLATE(A3672,""en"",""fi"")"),"Neljän siiven ansiosta se lentää nopeammin ja hiljaisemmin. Se aktivoituu yön laskeutuessa.")</f>
        <v>Neljän siiven ansiosta se lentää nopeammin ja hiljaisemmin. Se aktivoituu yön laskeutuessa.</v>
      </c>
      <c r="C3672" s="9" t="s">
        <v>1344</v>
      </c>
    </row>
    <row r="3673" ht="33.75" customHeight="1">
      <c r="A3673" s="6" t="s">
        <v>5474</v>
      </c>
      <c r="B3673" s="6" t="str">
        <f>IFERROR(__xludf.DUMMYFUNCTION("GOOGLETRANSLATE(A3673,""en"",""fi"")"),"Pokémon, jonka lento-ominaisuudet paranivat huomattavasti muuttamalla sen jalat siiviksi.")</f>
        <v>Pokémon, jonka lento-ominaisuudet paranivat huomattavasti muuttamalla sen jalat siiviksi.</v>
      </c>
      <c r="C3673" s="9" t="s">
        <v>1344</v>
      </c>
    </row>
    <row r="3674" ht="33.75" customHeight="1">
      <c r="A3674" s="6" t="s">
        <v>5475</v>
      </c>
      <c r="B3674" s="6" t="str">
        <f>IFERROR(__xludf.DUMMYFUNCTION("GOOGLETRANSLATE(A3674,""en"",""fi"")"),"Jalkojen muuttuminen siiviksi teki siitä paremman lentämisen, mutta kömpelömmän kävelyn.")</f>
        <v>Jalkojen muuttuminen siiviksi teki siitä paremman lentämisen, mutta kömpelömmän kävelyn.</v>
      </c>
      <c r="C3674" s="9" t="s">
        <v>1344</v>
      </c>
    </row>
    <row r="3675" ht="33.75" customHeight="1">
      <c r="A3675" s="6" t="s">
        <v>5476</v>
      </c>
      <c r="B3675" s="6" t="str">
        <f>IFERROR(__xludf.DUMMYFUNCTION("GOOGLETRANSLATE(A3675,""en"",""fi"")"),"Neljän siiven ansiosta se voi lentää nopeammin ja hiljaisemmin, joten se voi hiipiä saaliinsa kimppuun huomaamattaan.")</f>
        <v>Neljän siiven ansiosta se voi lentää nopeammin ja hiljaisemmin, joten se voi hiipiä saaliinsa kimppuun huomaamattaan.</v>
      </c>
      <c r="C3675" s="9" t="s">
        <v>1344</v>
      </c>
    </row>
    <row r="3676" ht="33.75" customHeight="1">
      <c r="A3676" s="6" t="s">
        <v>5477</v>
      </c>
      <c r="B3676" s="6" t="str">
        <f>IFERROR(__xludf.DUMMYFUNCTION("GOOGLETRANSLATE(A3676,""en"",""fi"")"),"Jos tämä Pokémon lentää räpyttelemällä vain siipiparia joko etu- tai takajaloillaan, se on todiste siitä, että Crobat on lentänyt pitkän matkan. Se vaihtaa siipiään, jos se on väsynyt.")</f>
        <v>Jos tämä Pokémon lentää räpyttelemällä vain siipiparia joko etu- tai takajaloillaan, se on todiste siitä, että Crobat on lentänyt pitkän matkan. Se vaihtaa siipiään, jos se on väsynyt.</v>
      </c>
      <c r="C3676" s="9" t="s">
        <v>1344</v>
      </c>
    </row>
    <row r="3677" ht="33.75" customHeight="1">
      <c r="A3677" s="6" t="s">
        <v>5479</v>
      </c>
      <c r="B3677" s="6" t="str">
        <f>IFERROR(__xludf.DUMMYFUNCTION("GOOGLETRANSLATE(A3677,""en"",""fi"")"),"Krobatti hiipii saaliinsa luo käyttäen siipiä, jotka tuskin pitävät ääntä. Tämä Pokémon lepää roikkuen puun oksalla takajalkojensa toimiessa siipinä.")</f>
        <v>Krobatti hiipii saaliinsa luo käyttäen siipiä, jotka tuskin pitävät ääntä. Tämä Pokémon lepää roikkuen puun oksalla takajalkojensa toimiessa siipinä.</v>
      </c>
      <c r="C3677" s="9" t="s">
        <v>1344</v>
      </c>
    </row>
    <row r="3678" ht="33.75" customHeight="1">
      <c r="A3678" s="6" t="s">
        <v>5480</v>
      </c>
      <c r="B3678" s="6" t="str">
        <f>IFERROR(__xludf.DUMMYFUNCTION("GOOGLETRANSLATE(A3678,""en"",""fi"")"),"Sen molemmat jalat muuttuivat siiviksi, minkä seurauksena se ei pysty liikkumaan hyvin maassa. Se pystyy vain ryömiä ympäriinsä.")</f>
        <v>Sen molemmat jalat muuttuivat siiviksi, minkä seurauksena se ei pysty liikkumaan hyvin maassa. Se pystyy vain ryömiä ympäriinsä.</v>
      </c>
      <c r="C3678" s="9" t="s">
        <v>1344</v>
      </c>
    </row>
    <row r="3679" ht="33.75" customHeight="1">
      <c r="A3679" s="6" t="s">
        <v>5481</v>
      </c>
      <c r="B3679" s="6" t="str">
        <f>IFERROR(__xludf.DUMMYFUNCTION("GOOGLETRANSLATE(A3679,""en"",""fi"")"),"Hiljaisena ja nopeana nelisiipisellä lennossaan se puree saalistaan ​​ennen kuin ne tajuavat, mitä tapahtuu. Sydämenlyönnissä se imee niiden veret.")</f>
        <v>Hiljaisena ja nopeana nelisiipisellä lennossaan se puree saalistaan ​​ennen kuin ne tajuavat, mitä tapahtuu. Sydämenlyönnissä se imee niiden veret.</v>
      </c>
      <c r="C3679" s="9" t="s">
        <v>1344</v>
      </c>
    </row>
    <row r="3680" ht="33.75" customHeight="1">
      <c r="A3680" s="6" t="s">
        <v>5482</v>
      </c>
      <c r="B3680" s="6" t="str">
        <f>IFERROR(__xludf.DUMMYFUNCTION("GOOGLETRANSLATE(A3680,""en"",""fi"")"),"Sen torahampaat ovat niin terävät, että jos se puree sinua pimeässä ja imee vertasi, et huomaa kipua etkä tajua tulleensa purruksi.")</f>
        <v>Sen torahampaat ovat niin terävät, että jos se puree sinua pimeässä ja imee vertasi, et huomaa kipua etkä tajua tulleensa purruksi.</v>
      </c>
      <c r="C3680" s="9" t="s">
        <v>1344</v>
      </c>
    </row>
    <row r="3681" ht="33.75" customHeight="1">
      <c r="A3681" s="6" t="s">
        <v>5483</v>
      </c>
      <c r="B3681" s="6" t="str">
        <f>IFERROR(__xludf.DUMMYFUNCTION("GOOGLETRANSLATE(A3681,""en"",""fi"")"),"Se syö elävien ihmisten ja Pokémonien verta. Jos se ei pysty juomaan verta edes hetkeen, siitä tulee heikko eikä se pysty lentämään.")</f>
        <v>Se syö elävien ihmisten ja Pokémonien verta. Jos se ei pysty juomaan verta edes hetkeen, siitä tulee heikko eikä se pysty lentämään.</v>
      </c>
      <c r="C3681" s="9" t="s">
        <v>1344</v>
      </c>
    </row>
    <row r="3682" ht="33.75" customHeight="1">
      <c r="A3682" s="6" t="s">
        <v>5484</v>
      </c>
      <c r="B3682" s="6" t="str">
        <f>IFERROR(__xludf.DUMMYFUNCTION("GOOGLETRANSLATE(A3682,""en"",""fi"")"),"Sen molemmat jalat ovat muuttuneet siiviksi. Äänettömästi Crobat lentää nopeasti saalistaan ​​kohti ja upottaa kulmahampaansa kohteensa niskaan.")</f>
        <v>Sen molemmat jalat ovat muuttuneet siiviksi. Äänettömästi Crobat lentää nopeasti saalistaan ​​kohti ja upottaa kulmahampaansa kohteensa niskaan.</v>
      </c>
      <c r="C3682" s="9" t="s">
        <v>1344</v>
      </c>
    </row>
    <row r="3683" ht="33.75" customHeight="1">
      <c r="A3683" s="6" t="s">
        <v>5487</v>
      </c>
      <c r="B3683" s="6" t="str">
        <f>IFERROR(__xludf.DUMMYFUNCTION("GOOGLETRANSLATE(A3683,""en"",""fi"")"),"Tämä Pokémon räpyttelee taitavasti neljää siipeään. Crobat voi lentää ahtaiden luolien läpi hidastamatta.")</f>
        <v>Tämä Pokémon räpyttelee taitavasti neljää siipeään. Crobat voi lentää ahtaiden luolien läpi hidastamatta.</v>
      </c>
      <c r="C3683" s="9" t="s">
        <v>1344</v>
      </c>
    </row>
    <row r="3684" ht="33.75" customHeight="1">
      <c r="A3684" s="6" t="s">
        <v>5488</v>
      </c>
      <c r="B3684" s="6" t="str">
        <f>IFERROR(__xludf.DUMMYFUNCTION("GOOGLETRANSLATE(A3684,""en"",""fi"")"),"Sen takaraajat ovat muuttuneet toisiksi siipiksi. Crobat ohjaa taitavasti neljää siipeään syöksyäkseen upealla tavalla ahtaimmissakin luolissa menettämättä nopeuttaan.")</f>
        <v>Sen takaraajat ovat muuttuneet toisiksi siipiksi. Crobat ohjaa taitavasti neljää siipeään syöksyäkseen upealla tavalla ahtaimmissakin luolissa menettämättä nopeuttaan.</v>
      </c>
      <c r="C3684" s="9" t="s">
        <v>1344</v>
      </c>
    </row>
    <row r="3685" ht="33.75" customHeight="1">
      <c r="A3685" s="6" t="s">
        <v>5489</v>
      </c>
      <c r="B3685" s="6" t="str">
        <f>IFERROR(__xludf.DUMMYFUNCTION("GOOGLETRANSLATE(A3685,""en"",""fi"")"),"Se ampuu positiivista ja negatiivista sähköä kahden antenninsa kärkien väliin ja tuhoaa vihollisensa.")</f>
        <v>Se ampuu positiivista ja negatiivista sähköä kahden antenninsa kärkien väliin ja tuhoaa vihollisensa.</v>
      </c>
      <c r="C3685" s="9" t="s">
        <v>1344</v>
      </c>
    </row>
    <row r="3686" ht="33.75" customHeight="1">
      <c r="A3686" s="6" t="s">
        <v>5490</v>
      </c>
      <c r="B3686" s="6" t="str">
        <f>IFERROR(__xludf.DUMMYFUNCTION("GOOGLETRANSLATE(A3686,""en"",""fi"")"),"Pimeällä merenpohjalla sen ainoa kommunikointikeino ovat jatkuvasti vilkkuvat valot.")</f>
        <v>Pimeällä merenpohjalla sen ainoa kommunikointikeino ovat jatkuvasti vilkkuvat valot.</v>
      </c>
      <c r="C3686" s="9" t="s">
        <v>1344</v>
      </c>
    </row>
    <row r="3687" ht="33.75" customHeight="1">
      <c r="A3687" s="6" t="s">
        <v>5491</v>
      </c>
      <c r="B3687" s="6" t="str">
        <f>IFERROR(__xludf.DUMMYFUNCTION("GOOGLETRANSLATE(A3687,""en"",""fi"")"),"Sen evästä kehittyneissä tuntosarvissa kulkee sekä positiivisia että negatiivisia varauksia.")</f>
        <v>Sen evästä kehittyneissä tuntosarvissa kulkee sekä positiivisia että negatiivisia varauksia.</v>
      </c>
      <c r="C3687" s="9" t="s">
        <v>1344</v>
      </c>
    </row>
    <row r="3688" ht="33.75" customHeight="1">
      <c r="A3688" s="6" t="s">
        <v>5492</v>
      </c>
      <c r="B3688" s="6" t="str">
        <f>IFERROR(__xludf.DUMMYFUNCTION("GOOGLETRANSLATE(A3688,""en"",""fi"")"),"CHINCHOU vapauttaa positiivisia ja negatiivisia sähkövarauksia kahdesta antennistaan, mikä pyörryttää saalistaan. Tämä POKéMON väläyttää sähkövalojaan vaihtaakseen signaaleja muiden POKéMONien kanssa.")</f>
        <v>CHINCHOU vapauttaa positiivisia ja negatiivisia sähkövarauksia kahdesta antennistaan, mikä pyörryttää saalistaan. Tämä POKéMON väläyttää sähkövalojaan vaihtaakseen signaaleja muiden POKéMONien kanssa.</v>
      </c>
      <c r="C3688" s="9" t="s">
        <v>1344</v>
      </c>
    </row>
    <row r="3689" ht="33.75" customHeight="1">
      <c r="A3689" s="6" t="s">
        <v>5494</v>
      </c>
      <c r="B3689" s="6" t="str">
        <f>IFERROR(__xludf.DUMMYFUNCTION("GOOGLETRANSLATE(A3689,""en"",""fi"")"),"CHINCHOUn kaksi antennia on täynnä kennoja, jotka tuottavat voimakasta sähköä. Tämän POKéMONin kennot tuottavat niin paljon sähköenergiaa, että se jopa kihelmöi hieman.")</f>
        <v>CHINCHOUn kaksi antennia on täynnä kennoja, jotka tuottavat voimakasta sähköä. Tämän POKéMONin kennot tuottavat niin paljon sähköenergiaa, että se jopa kihelmöi hieman.</v>
      </c>
      <c r="C3689" s="9" t="s">
        <v>1344</v>
      </c>
    </row>
    <row r="3690" ht="33.75" customHeight="1">
      <c r="A3690" s="6" t="s">
        <v>5495</v>
      </c>
      <c r="B3690" s="6" t="str">
        <f>IFERROR(__xludf.DUMMYFUNCTION("GOOGLETRANSLATE(A3690,""en"",""fi"")"),"Kun se aistii vaaran, se purkaa positiivista ja negatiivista sähköä kahdesta antennistaan. Se elää syvyyksissä, joihin auringonvalo ei pääse.")</f>
        <v>Kun se aistii vaaran, se purkaa positiivista ja negatiivista sähköä kahdesta antennistaan. Se elää syvyyksissä, joihin auringonvalo ei pääse.</v>
      </c>
      <c r="C3690" s="9" t="s">
        <v>1344</v>
      </c>
    </row>
    <row r="3691" ht="33.75" customHeight="1">
      <c r="A3691" s="6" t="s">
        <v>5496</v>
      </c>
      <c r="B3691" s="6" t="str">
        <f>IFERROR(__xludf.DUMMYFUNCTION("GOOGLETRANSLATE(A3691,""en"",""fi"")"),"Pimeällä merenpohjalla sen ainoa kommunikointikeino ovat jatkuvasti vilkkuvat valot.")</f>
        <v>Pimeällä merenpohjalla sen ainoa kommunikointikeino ovat jatkuvasti vilkkuvat valot.</v>
      </c>
      <c r="C3691" s="9" t="s">
        <v>1344</v>
      </c>
    </row>
    <row r="3692" ht="33.75" customHeight="1">
      <c r="A3692" s="6" t="s">
        <v>5498</v>
      </c>
      <c r="B3692" s="6" t="str">
        <f>IFERROR(__xludf.DUMMYFUNCTION("GOOGLETRANSLATE(A3692,""en"",""fi"")"),"Se ampuu positiivista ja negatiivista sähköä kahden antenninsa kärkien väliin ja tuhoaa vihollisensa.")</f>
        <v>Se ampuu positiivista ja negatiivista sähköä kahden antenninsa kärkien väliin ja tuhoaa vihollisensa.</v>
      </c>
      <c r="C3692" s="9" t="s">
        <v>1344</v>
      </c>
    </row>
    <row r="3693" ht="33.75" customHeight="1">
      <c r="A3693" s="6" t="s">
        <v>5499</v>
      </c>
      <c r="B3693" s="6" t="str">
        <f>IFERROR(__xludf.DUMMYFUNCTION("GOOGLETRANSLATE(A3693,""en"",""fi"")"),"Se purkaa positiivista ja negatiivista sähköä antennikärjistään antaakseen sähköiskuja vihollisilleen.")</f>
        <v>Se purkaa positiivista ja negatiivista sähköä antennikärjistään antaakseen sähköiskuja vihollisilleen.</v>
      </c>
      <c r="C3693" s="9" t="s">
        <v>1344</v>
      </c>
    </row>
    <row r="3694" ht="33.75" customHeight="1">
      <c r="A3694" s="6" t="s">
        <v>5500</v>
      </c>
      <c r="B3694" s="6" t="str">
        <f>IFERROR(__xludf.DUMMYFUNCTION("GOOGLETRANSLATE(A3694,""en"",""fi"")"),"Chinchou päästää positiivisia ja negatiivisia sähkövarauksia kahdesta antennistaan ​​pyörryttääkseen saaliinsa. Tämä Pokémon väläyttää sähkövalojaan vaihtaakseen signaaleja muiden Pokémonien kanssa.")</f>
        <v>Chinchou päästää positiivisia ja negatiivisia sähkövarauksia kahdesta antennistaan ​​pyörryttääkseen saaliinsa. Tämä Pokémon väläyttää sähkövalojaan vaihtaakseen signaaleja muiden Pokémonien kanssa.</v>
      </c>
      <c r="C3694" s="9" t="s">
        <v>1344</v>
      </c>
    </row>
    <row r="3695" ht="33.75" customHeight="1">
      <c r="A3695" s="6" t="s">
        <v>5502</v>
      </c>
      <c r="B3695" s="6" t="str">
        <f>IFERROR(__xludf.DUMMYFUNCTION("GOOGLETRANSLATE(A3695,""en"",""fi"")"),"Chinchoun kaksi antennia on täynnä soluja, jotka tuottavat voimakasta sähköä. Tämän Pokémonin solut tuottavat niin paljon sähköenergiaa, että se jopa saa itsensä kihelmöimään hieman.")</f>
        <v>Chinchoun kaksi antennia on täynnä soluja, jotka tuottavat voimakasta sähköä. Tämän Pokémonin solut tuottavat niin paljon sähköenergiaa, että se jopa saa itsensä kihelmöimään hieman.</v>
      </c>
      <c r="C3695" s="9" t="s">
        <v>1344</v>
      </c>
    </row>
    <row r="3696" ht="33.75" customHeight="1">
      <c r="A3696" s="6" t="s">
        <v>5504</v>
      </c>
      <c r="B3696" s="6" t="str">
        <f>IFERROR(__xludf.DUMMYFUNCTION("GOOGLETRANSLATE(A3696,""en"",""fi"")"),"Sen kaksi tuntosarvia olivat alun perin eviä. Se purkaa sähköä tainnuttaakseen saaliinsa ennen hyökkäystä.")</f>
        <v>Sen kaksi tuntosarvia olivat alun perin eviä. Se purkaa sähköä tainnuttaakseen saaliinsa ennen hyökkäystä.</v>
      </c>
      <c r="C3696" s="9" t="s">
        <v>1344</v>
      </c>
    </row>
    <row r="3697" ht="33.75" customHeight="1">
      <c r="A3697" s="6" t="s">
        <v>5506</v>
      </c>
      <c r="B3697" s="6" t="str">
        <f>IFERROR(__xludf.DUMMYFUNCTION("GOOGLETRANSLATE(A3697,""en"",""fi"")"),"Se elää syvyyksissä auringonvalon ulottumattomissa. Se väläyttää valoja tuntosarvissaan kommunikoidakseen muiden kaltaistensa kanssa.")</f>
        <v>Se elää syvyyksissä auringonvalon ulottumattomissa. Se väläyttää valoja tuntosarvissaan kommunikoidakseen muiden kaltaistensa kanssa.</v>
      </c>
      <c r="C3697" s="9" t="s">
        <v>1344</v>
      </c>
    </row>
    <row r="3698" ht="33.75" customHeight="1">
      <c r="A3698" s="6" t="s">
        <v>5507</v>
      </c>
      <c r="B3698" s="6" t="str">
        <f>IFERROR(__xludf.DUMMYFUNCTION("GOOGLETRANSLATE(A3698,""en"",""fi"")"),"Sen kaksi tuntosarvea hohtavat pehmeästi houkutellakseen saalista, mikä tekee siitä hyödyllisen Pokémonin yökalastukseen.")</f>
        <v>Sen kaksi tuntosarvea hohtavat pehmeästi houkutellakseen saalista, mikä tekee siitä hyödyllisen Pokémonin yökalastukseen.</v>
      </c>
      <c r="C3698" s="9" t="s">
        <v>1344</v>
      </c>
    </row>
    <row r="3699" ht="33.75" customHeight="1">
      <c r="A3699" s="6" t="s">
        <v>5509</v>
      </c>
      <c r="B3699" s="6" t="str">
        <f>IFERROR(__xludf.DUMMYFUNCTION("GOOGLETRANSLATE(A3699,""en"",""fi"")"),"Chinchout räpyttelevät kiiltäviä tuntosarviaan toisilleen vallatakseen oman reviirinsä.")</f>
        <v>Chinchout räpyttelevät kiiltäviä tuntosarviaan toisilleen vallatakseen oman reviirinsä.</v>
      </c>
      <c r="C3699" s="9" t="s">
        <v>1344</v>
      </c>
    </row>
    <row r="3700" ht="33.75" customHeight="1">
      <c r="A3700" s="6" t="s">
        <v>5511</v>
      </c>
      <c r="B3700" s="6" t="str">
        <f>IFERROR(__xludf.DUMMYFUNCTION("GOOGLETRANSLATE(A3700,""en"",""fi"")"),"Sen evästä kehittyneissä tuntosarvissa virtaa sekä positiivisia että negatiivisia varauksia.")</f>
        <v>Sen evästä kehittyneissä tuntosarvissa virtaa sekä positiivisia että negatiivisia varauksia.</v>
      </c>
      <c r="C3700" s="9" t="s">
        <v>1344</v>
      </c>
    </row>
    <row r="3701" ht="33.75" customHeight="1">
      <c r="A3701" s="6" t="s">
        <v>5513</v>
      </c>
      <c r="B3701" s="6" t="str">
        <f>IFERROR(__xludf.DUMMYFUNCTION("GOOGLETRANSLATE(A3701,""en"",""fi"")"),"Sen lähettämä valo on niin kirkasta, että se voi valaista merenpinnan yli viiden kilometrin syvyydestä.")</f>
        <v>Sen lähettämä valo on niin kirkasta, että se voi valaista merenpinnan yli viiden kilometrin syvyydestä.</v>
      </c>
      <c r="C3701" s="9" t="s">
        <v>1344</v>
      </c>
    </row>
    <row r="3702" ht="33.75" customHeight="1">
      <c r="A3702" s="6" t="s">
        <v>5515</v>
      </c>
      <c r="B3702" s="6" t="str">
        <f>IFERROR(__xludf.DUMMYFUNCTION("GOOGLETRANSLATE(A3702,""en"",""fi"")"),"Se sokaisee saaliin voimakkaalla valonpurkauksella ja nielee sitten liikkumattoman saaliin yhdellä kulauksella.")</f>
        <v>Se sokaisee saaliin voimakkaalla valonpurkauksella ja nielee sitten liikkumattoman saaliin yhdellä kulauksella.</v>
      </c>
      <c r="C3702" s="9" t="s">
        <v>1344</v>
      </c>
    </row>
    <row r="3703" ht="33.75" customHeight="1">
      <c r="A3703" s="6" t="s">
        <v>5516</v>
      </c>
      <c r="B3703" s="6" t="str">
        <f>IFERROR(__xludf.DUMMYFUNCTION("GOOGLETRANSLATE(A3703,""en"",""fi"")"),"Tämä POKéMON käyttää ruumiinsa kirkasta osaa, joka on muuttunut selkäevästä, houkutellakseen saalista.")</f>
        <v>Tämä POKéMON käyttää ruumiinsa kirkasta osaa, joka on muuttunut selkäevästä, houkutellakseen saalista.</v>
      </c>
      <c r="C3703" s="9" t="s">
        <v>1344</v>
      </c>
    </row>
    <row r="3704" ht="33.75" customHeight="1">
      <c r="A3704" s="6" t="s">
        <v>5517</v>
      </c>
      <c r="B3704" s="6" t="str">
        <f>IFERROR(__xludf.DUMMYFUNCTION("GOOGLETRANSLATE(A3704,""en"",""fi"")"),"LANTURNia kutsutaan lempinimellä ""syvänmeren tähti"" sen valaistun antennin mukaan. Tämä POKéMON tuottaa valoa aiheuttamalla kemiallisen reaktion bakteerien ja niiden ruumiinnesteiden välillä antennin sisällä.")</f>
        <v>LANTURNia kutsutaan lempinimellä "syvänmeren tähti" sen valaistun antennin mukaan. Tämä POKéMON tuottaa valoa aiheuttamalla kemiallisen reaktion bakteerien ja niiden ruumiinnesteiden välillä antennin sisällä.</v>
      </c>
      <c r="C3704" s="9" t="s">
        <v>1344</v>
      </c>
    </row>
    <row r="3705" ht="33.75" customHeight="1">
      <c r="A3705" s="6" t="s">
        <v>5519</v>
      </c>
      <c r="B3705" s="6" t="str">
        <f>IFERROR(__xludf.DUMMYFUNCTION("GOOGLETRANSLATE(A3705,""en"",""fi"")"),"LANTURNin tiedetään säteilevän valoa. Jos katsot yöllä laivasta alas pimeään mereen, voit joskus nähdä tämän POKéMONin valon nousevan syvyyksistä, joissa se ui. Se antaa merelle tähtitaivaan yön vaikutelman.")</f>
        <v>LANTURNin tiedetään säteilevän valoa. Jos katsot yöllä laivasta alas pimeään mereen, voit joskus nähdä tämän POKéMONin valon nousevan syvyyksistä, joissa se ui. Se antaa merelle tähtitaivaan yön vaikutelman.</v>
      </c>
      <c r="C3705" s="9" t="s">
        <v>1344</v>
      </c>
    </row>
    <row r="3706" ht="33.75" customHeight="1">
      <c r="A3706" s="6" t="s">
        <v>5521</v>
      </c>
      <c r="B3706" s="6" t="str">
        <f>IFERROR(__xludf.DUMMYFUNCTION("GOOGLETRANSLATE(A3706,""en"",""fi"")"),"Sen selässä olevat valoa emittoivat pallot ovat erittäin kirkkaita. Ne muodostuvat osasta sen selkäevää. Tämä POKéMON valaisee syvänmeren musteen pimeyttä.")</f>
        <v>Sen selässä olevat valoa emittoivat pallot ovat erittäin kirkkaita. Ne muodostuvat osasta sen selkäevää. Tämä POKéMON valaisee syvänmeren musteen pimeyttä.</v>
      </c>
      <c r="C3706" s="9" t="s">
        <v>1344</v>
      </c>
    </row>
    <row r="3707" ht="33.75" customHeight="1">
      <c r="A3707" s="6" t="s">
        <v>5522</v>
      </c>
      <c r="B3707" s="6" t="str">
        <f>IFERROR(__xludf.DUMMYFUNCTION("GOOGLETRANSLATE(A3707,""en"",""fi"")"),"Sen lähettämä valo on niin kirkasta, että se voi valaista merenpinnan yli viiden kilometrin syvyydestä.")</f>
        <v>Sen lähettämä valo on niin kirkasta, että se voi valaista merenpinnan yli viiden kilometrin syvyydestä.</v>
      </c>
      <c r="C3707" s="9" t="s">
        <v>1344</v>
      </c>
    </row>
    <row r="3708" ht="33.75" customHeight="1">
      <c r="A3708" s="6" t="s">
        <v>5523</v>
      </c>
      <c r="B3708" s="6" t="str">
        <f>IFERROR(__xludf.DUMMYFUNCTION("GOOGLETRANSLATE(A3708,""en"",""fi"")"),"LANTURNin valo voi loistaa suurista syvyyksistä. Se on saanut lempinimen ""Syvänmeren tähti"".")</f>
        <v>LANTURNin valo voi loistaa suurista syvyyksistä. Se on saanut lempinimen "Syvänmeren tähti".</v>
      </c>
      <c r="C3708" s="9" t="s">
        <v>1344</v>
      </c>
    </row>
    <row r="3709" ht="33.75" customHeight="1">
      <c r="A3709" s="6" t="s">
        <v>5524</v>
      </c>
      <c r="B3709" s="6" t="str">
        <f>IFERROR(__xludf.DUMMYFUNCTION("GOOGLETRANSLATE(A3709,""en"",""fi"")"),"Se sokaisee saaliinsa voimakkaalla valonvälähdyksellä. Kun saalis on toimintakyvytön, Pokémon nielee sen yhdellä kulauksella.")</f>
        <v>Se sokaisee saaliinsa voimakkaalla valonvälähdyksellä. Kun saalis on toimintakyvytön, Pokémon nielee sen yhdellä kulauksella.</v>
      </c>
      <c r="C3709" s="9" t="s">
        <v>1344</v>
      </c>
    </row>
    <row r="3710" ht="33.75" customHeight="1">
      <c r="A3710" s="6" t="s">
        <v>5526</v>
      </c>
      <c r="B3710" s="6" t="str">
        <f>IFERROR(__xludf.DUMMYFUNCTION("GOOGLETRANSLATE(A3710,""en"",""fi"")"),"Lanturnin valo voi loistaa suurista syvyyksistä. Se on saanut lempinimen ""Syvänmeren tähti"".")</f>
        <v>Lanturnin valo voi loistaa suurista syvyyksistä. Se on saanut lempinimen "Syvänmeren tähti".</v>
      </c>
      <c r="C3710" s="9" t="s">
        <v>1344</v>
      </c>
    </row>
    <row r="3711" ht="33.75" customHeight="1">
      <c r="A3711" s="6" t="s">
        <v>5527</v>
      </c>
      <c r="B3711" s="6" t="str">
        <f>IFERROR(__xludf.DUMMYFUNCTION("GOOGLETRANSLATE(A3711,""en"",""fi"")"),"Lanturnia kutsutaan lempinimellä ""syvänmeren tähti"" sen valaistun antennin mukaan. Tämä Pokémon tuottaa valoa aiheuttamalla kemiallisen reaktion bakteerien ja ruumiinnesteiden välillä antennin sisällä.")</f>
        <v>Lanturnia kutsutaan lempinimellä "syvänmeren tähti" sen valaistun antennin mukaan. Tämä Pokémon tuottaa valoa aiheuttamalla kemiallisen reaktion bakteerien ja ruumiinnesteiden välillä antennin sisällä.</v>
      </c>
      <c r="C3711" s="9" t="s">
        <v>1344</v>
      </c>
    </row>
    <row r="3712" ht="33.75" customHeight="1">
      <c r="A3712" s="6" t="s">
        <v>5529</v>
      </c>
      <c r="B3712" s="6" t="str">
        <f>IFERROR(__xludf.DUMMYFUNCTION("GOOGLETRANSLATE(A3712,""en"",""fi"")"),"Lanturnin tiedetään säteilevän valoa. Jos katsot yöllä laivasta alas pimeään mereen, voit joskus nähdä tämän Pokémonin valon nousevan syvyyksistä, joissa se ui. Se antaa merelle tähtitaivaan vaikutelman.")</f>
        <v>Lanturnin tiedetään säteilevän valoa. Jos katsot yöllä laivasta alas pimeään mereen, voit joskus nähdä tämän Pokémonin valon nousevan syvyyksistä, joissa se ui. Se antaa merelle tähtitaivaan vaikutelman.</v>
      </c>
      <c r="C3712" s="9" t="s">
        <v>1344</v>
      </c>
    </row>
    <row r="3713" ht="33.75" customHeight="1">
      <c r="A3713" s="6" t="s">
        <v>5530</v>
      </c>
      <c r="B3713" s="6" t="str">
        <f>IFERROR(__xludf.DUMMYFUNCTION("GOOGLETRANSLATE(A3713,""en"",""fi"")"),"Jos katsot yöllä mereen ja näet valon, joka hohtaa kuin tähdet, se on Lanturn.")</f>
        <v>Jos katsot yöllä mereen ja näet valon, joka hohtaa kuin tähdet, se on Lanturn.</v>
      </c>
      <c r="C3713" s="9" t="s">
        <v>1344</v>
      </c>
    </row>
    <row r="3714" ht="33.75" customHeight="1">
      <c r="A3714" s="6" t="s">
        <v>5531</v>
      </c>
      <c r="B3714" s="6" t="str">
        <f>IFERROR(__xludf.DUMMYFUNCTION("GOOGLETRANSLATE(A3714,""en"",""fi"")"),"Tämä Pokémon väläyttää kirkasta valoa, joka sokaisee saaliinsa. Tämä luo sille aukon sähköiskun suorittamiseen.")</f>
        <v>Tämä Pokémon väläyttää kirkasta valoa, joka sokaisee saaliinsa. Tämä luo sille aukon sähköiskun suorittamiseen.</v>
      </c>
      <c r="C3714" s="9" t="s">
        <v>1344</v>
      </c>
    </row>
    <row r="3715" ht="33.75" customHeight="1">
      <c r="A3715" s="6" t="s">
        <v>5533</v>
      </c>
      <c r="B3715" s="6" t="str">
        <f>IFERROR(__xludf.DUMMYFUNCTION("GOOGLETRANSLATE(A3715,""en"",""fi"")"),"Kun Lanturnin tuntosarvien sisällä elävät bakteerit imevät sen ruumiinnesteitä, syntyy voimakas luminesoiva vaikutus.")</f>
        <v>Kun Lanturnin tuntosarvien sisällä elävät bakteerit imevät sen ruumiinnesteitä, syntyy voimakas luminesoiva vaikutus.</v>
      </c>
      <c r="C3715" s="9" t="s">
        <v>1344</v>
      </c>
    </row>
    <row r="3716" ht="33.75" customHeight="1">
      <c r="A3716" s="6" t="s">
        <v>5534</v>
      </c>
      <c r="B3716" s="6" t="str">
        <f>IFERROR(__xludf.DUMMYFUNCTION("GOOGLETRANSLATE(A3716,""en"",""fi"")"),"Se elää syvällä meren syvyyksissä. Se sokaisee saaliinsa valolla ja käyttää hetken, jolloin ne häikäistyvät, nielläkseen ne kokonaisina.")</f>
        <v>Se elää syvällä meren syvyyksissä. Se sokaisee saaliinsa valolla ja käyttää hetken, jolloin ne häikäistyvät, nielläkseen ne kokonaisina.</v>
      </c>
      <c r="C3716" s="9" t="s">
        <v>1344</v>
      </c>
    </row>
    <row r="3717" ht="33.75" customHeight="1">
      <c r="A3717" s="6" t="s">
        <v>5535</v>
      </c>
      <c r="B3717" s="6" t="str">
        <f>IFERROR(__xludf.DUMMYFUNCTION("GOOGLETRANSLATE(A3717,""en"",""fi"")"),"Se ei ole vielä taitava varastoimaan sähköä. Se saattaa lähettää tärinän, jos se on huvittunut tai säikähtänyt.")</f>
        <v>Se ei ole vielä taitava varastoimaan sähköä. Se saattaa lähettää tärinän, jos se on huvittunut tai säikähtänyt.</v>
      </c>
      <c r="C3717" s="9" t="s">
        <v>1344</v>
      </c>
    </row>
    <row r="3718" ht="33.75" customHeight="1">
      <c r="A3718" s="6" t="s">
        <v>5537</v>
      </c>
      <c r="B3718" s="6" t="str">
        <f>IFERROR(__xludf.DUMMYFUNCTION("GOOGLETRANSLATE(A3718,""en"",""fi"")"),"Pienestä koostaan ​​huolimatta se voi ällistyttää jopa aikuiset ihmiset. Jos se kuitenkin tekee niin, se yllättää myös itsensä.")</f>
        <v>Pienestä koostaan ​​huolimatta se voi ällistyttää jopa aikuiset ihmiset. Jos se kuitenkin tekee niin, se yllättää myös itsensä.</v>
      </c>
      <c r="C3718" s="9" t="s">
        <v>1344</v>
      </c>
    </row>
    <row r="3719" ht="33.75" customHeight="1">
      <c r="A3719" s="6" t="s">
        <v>5538</v>
      </c>
      <c r="B3719" s="6" t="str">
        <f>IFERROR(__xludf.DUMMYFUNCTION("GOOGLETRANSLATE(A3719,""en"",""fi"")"),"Se ei ole taitava sähköenergian varastoinnissa. Minkä tahansa tyyppinen sähköisku saa sen purkamaan energiaa itsestään.")</f>
        <v>Se ei ole taitava sähköenergian varastoinnissa. Minkä tahansa tyyppinen sähköisku saa sen purkamaan energiaa itsestään.</v>
      </c>
      <c r="C3719" s="9" t="s">
        <v>1344</v>
      </c>
    </row>
    <row r="3720" ht="33.75" customHeight="1">
      <c r="A3720" s="6" t="s">
        <v>5539</v>
      </c>
      <c r="B3720" s="6" t="str">
        <f>IFERROR(__xludf.DUMMYFUNCTION("GOOGLETRANSLATE(A3720,""en"",""fi"")"),"PICHU latautuu sähköllä helpommin ukkospilvien aikaan tai erittäin kuivalla ilmalla. Voit kuulla tästä POKéMONista tulevan staattisen sähkön rätinän.")</f>
        <v>PICHU latautuu sähköllä helpommin ukkospilvien aikaan tai erittäin kuivalla ilmalla. Voit kuulla tästä POKéMONista tulevan staattisen sähkön rätinän.</v>
      </c>
      <c r="C3720" s="9" t="s">
        <v>1344</v>
      </c>
    </row>
    <row r="3721" ht="33.75" customHeight="1">
      <c r="A3721" s="6" t="s">
        <v>5541</v>
      </c>
      <c r="B3721" s="6" t="str">
        <f>IFERROR(__xludf.DUMMYFUNCTION("GOOGLETRANSLATE(A3721,""en"",""fi"")"),"Kun PICHU leikkii muiden PICHUjen kanssa, se saattaa aiheuttaa oikosulun toisen PICHUn kanssa, mikä aiheuttaa kipinäsateen. Tässä tapauksessa tämä POKéMON alkaa itkeä säikähtäen kipinöiden välähdyksestä.")</f>
        <v>Kun PICHU leikkii muiden PICHUjen kanssa, se saattaa aiheuttaa oikosulun toisen PICHUn kanssa, mikä aiheuttaa kipinäsateen. Tässä tapauksessa tämä POKéMON alkaa itkeä säikähtäen kipinöiden välähdyksestä.</v>
      </c>
      <c r="C3721" s="9" t="s">
        <v>1344</v>
      </c>
    </row>
    <row r="3722" ht="33.75" customHeight="1">
      <c r="A3722" s="6" t="s">
        <v>5542</v>
      </c>
      <c r="B3722" s="6" t="str">
        <f>IFERROR(__xludf.DUMMYFUNCTION("GOOGLETRANSLATE(A3722,""en"",""fi"")"),"Se on vielä kyvytön säilyttämään sähköä. Säikähtäessään se purkaa vahingossa virtaa. Sen kyky pitää virta paranee vanhetessaan.")</f>
        <v>Se on vielä kyvytön säilyttämään sähköä. Säikähtäessään se purkaa vahingossa virtaa. Sen kyky pitää virta paranee vanhetessaan.</v>
      </c>
      <c r="C3722" s="9" t="s">
        <v>1344</v>
      </c>
    </row>
    <row r="3723" ht="33.75" customHeight="1">
      <c r="A3723" s="6" t="s">
        <v>5544</v>
      </c>
      <c r="B3723" s="6" t="str">
        <f>IFERROR(__xludf.DUMMYFUNCTION("GOOGLETRANSLATE(A3723,""en"",""fi"")"),"Sen poskissa olevat sähköpussit ovat vielä pieniä. Ne eivät pysty vielä varastoimaan paljon sähköä.")</f>
        <v>Sen poskissa olevat sähköpussit ovat vielä pieniä. Ne eivät pysty vielä varastoimaan paljon sähköä.</v>
      </c>
      <c r="C3723" s="9" t="s">
        <v>1344</v>
      </c>
    </row>
    <row r="3724" ht="33.75" customHeight="1">
      <c r="A3724" s="6" t="s">
        <v>5545</v>
      </c>
      <c r="B3724" s="6" t="str">
        <f>IFERROR(__xludf.DUMMYFUNCTION("GOOGLETRANSLATE(A3724,""en"",""fi"")"),"Se leikkii muiden kanssa koskettamalla häntäänsä ja sytyttämällä kipinöitä. Tämä näyttää olevan rohkeuden testi.")</f>
        <v>Se leikkii muiden kanssa koskettamalla häntäänsä ja sytyttämällä kipinöitä. Tämä näyttää olevan rohkeuden testi.</v>
      </c>
      <c r="C3724" s="9" t="s">
        <v>1344</v>
      </c>
    </row>
    <row r="3725" ht="33.75" customHeight="1">
      <c r="A3725" s="6" t="s">
        <v>5547</v>
      </c>
      <c r="B3725" s="6" t="str">
        <f>IFERROR(__xludf.DUMMYFUNCTION("GOOGLETRANSLATE(A3725,""en"",""fi"")"),"Sen poskissa olevat sähköpussit ovat pienet. Jo pienikin sähkövuoto saa sen säikähtämään.")</f>
        <v>Sen poskissa olevat sähköpussit ovat pienet. Jo pienikin sähkövuoto saa sen säikähtämään.</v>
      </c>
      <c r="C3725" s="9" t="s">
        <v>1344</v>
      </c>
    </row>
    <row r="3726" ht="33.75" customHeight="1">
      <c r="A3726" s="6" t="s">
        <v>5548</v>
      </c>
      <c r="B3726" s="6" t="str">
        <f>IFERROR(__xludf.DUMMYFUNCTION("GOOGLETRANSLATE(A3726,""en"",""fi"")"),"Pichu latautuu sähköllä helpommin ukkospilvien aikaan tai erittäin kuivalla ilmalla. Voit kuulla tästä Pokémonista lähtevän staattisen sähkön rätinän.")</f>
        <v>Pichu latautuu sähköllä helpommin ukkospilvien aikaan tai erittäin kuivalla ilmalla. Voit kuulla tästä Pokémonista lähtevän staattisen sähkön rätinän.</v>
      </c>
      <c r="C3726" s="9" t="s">
        <v>1344</v>
      </c>
    </row>
    <row r="3727" ht="33.75" customHeight="1">
      <c r="A3727" s="6" t="s">
        <v>5550</v>
      </c>
      <c r="B3727" s="6" t="str">
        <f>IFERROR(__xludf.DUMMYFUNCTION("GOOGLETRANSLATE(A3727,""en"",""fi"")"),"Kun Pichu leikkii muiden kanssa, se saattaa aiheuttaa oikosulun toisen Pichun kanssa, mikä aiheuttaa kipinäsateen. Tässä tapauksessa tämä Pokémon alkaa itkeä säikähtäen kipinöiden välähdyksestä.")</f>
        <v>Kun Pichu leikkii muiden kanssa, se saattaa aiheuttaa oikosulun toisen Pichun kanssa, mikä aiheuttaa kipinäsateen. Tässä tapauksessa tämä Pokémon alkaa itkeä säikähtäen kipinöiden välähdyksestä.</v>
      </c>
      <c r="C3727" s="9" t="s">
        <v>1344</v>
      </c>
    </row>
    <row r="3728" ht="33.75" customHeight="1">
      <c r="A3728" s="6" t="s">
        <v>5551</v>
      </c>
      <c r="B3728" s="6" t="str">
        <f>IFERROR(__xludf.DUMMYFUNCTION("GOOGLETRANSLATE(A3728,""en"",""fi"")"),"Se ei ole vielä taitava hallitsemaan sähköä. Jos irrotat katseesi siitä, se saattaa sähköiskua itseensä.")</f>
        <v>Se ei ole vielä taitava hallitsemaan sähköä. Jos irrotat katseesi siitä, se saattaa sähköiskua itseensä.</v>
      </c>
      <c r="C3728" s="9" t="s">
        <v>1344</v>
      </c>
    </row>
    <row r="3729" ht="33.75" customHeight="1">
      <c r="A3729" s="6" t="s">
        <v>5553</v>
      </c>
      <c r="B3729" s="6" t="str">
        <f>IFERROR(__xludf.DUMMYFUNCTION("GOOGLETRANSLATE(A3729,""en"",""fi"")"),"Vaikka tämä Pokémon on söpöstä ulkonäöstä huolimatta, niiden, jotka haluavat elää sellaisen kanssa, tulisi valmistautua joutumaan sen sähköiskujen kohteeksi.")</f>
        <v>Vaikka tämä Pokémon on söpöstä ulkonäöstä huolimatta, niiden, jotka haluavat elää sellaisen kanssa, tulisi valmistautua joutumaan sen sähköiskujen kohteeksi.</v>
      </c>
      <c r="C3729" s="9" t="s">
        <v>1344</v>
      </c>
    </row>
    <row r="3730" ht="33.75" customHeight="1">
      <c r="A3730" s="6" t="s">
        <v>5554</v>
      </c>
      <c r="B3730" s="6" t="str">
        <f>IFERROR(__xludf.DUMMYFUNCTION("GOOGLETRANSLATE(A3730,""en"",""fi"")"),"Se ei vieläkään osaa käyttää sähköä hyvin. Yllättyessään tai innostuessaan se purkaa tahattomasti sähköä.")</f>
        <v>Se ei vieläkään osaa käyttää sähköä hyvin. Yllättyessään tai innostuessaan se purkaa tahattomasti sähköä.</v>
      </c>
      <c r="C3730" s="9" t="s">
        <v>1344</v>
      </c>
    </row>
    <row r="3731" ht="33.75" customHeight="1">
      <c r="A3731" s="6" t="s">
        <v>5555</v>
      </c>
      <c r="B3731" s="6" t="str">
        <f>IFERROR(__xludf.DUMMYFUNCTION("GOOGLETRANSLATE(A3731,""en"",""fi"")"),"Sen poskissa on sähköpusseja. Täyteen ladattuina Pichu soittaa erittäin energisesti.")</f>
        <v>Sen poskissa on sähköpusseja. Täyteen ladattuina Pichu soittaa erittäin energisesti.</v>
      </c>
      <c r="C3731" s="9" t="s">
        <v>1344</v>
      </c>
    </row>
    <row r="3732" ht="33.75" customHeight="1">
      <c r="A3732" s="6" t="s">
        <v>5557</v>
      </c>
      <c r="B3732" s="6" t="str">
        <f>IFERROR(__xludf.DUMMYFUNCTION("GOOGLETRANSLATE(A3732,""en"",""fi"")"),"Pichu varastoi sähköä poskillaan oleviin pusseihin, mutta purkaa sitä tahattomasti ollessaan levoton tai kiihtynyt. Koska Pokémon on vielä kehittymätön, sen sähkönkäsittely on melko kömpelöä.")</f>
        <v>Pichu varastoi sähköä poskillaan oleviin pusseihin, mutta purkaa sitä tahattomasti ollessaan levoton tai kiihtynyt. Koska Pokémon on vielä kehittymätön, sen sähkönkäsittely on melko kömpelöä.</v>
      </c>
      <c r="C3732" s="9" t="s">
        <v>1344</v>
      </c>
    </row>
    <row r="3733" ht="33.75" customHeight="1">
      <c r="A3733" s="6" t="s">
        <v>5559</v>
      </c>
      <c r="B3733" s="6" t="str">
        <f>IFERROR(__xludf.DUMMYFUNCTION("GOOGLETRANSLATE(A3733,""en"",""fi"")"),"Epätavallisen, tähtimäisen siluettinsa vuoksi ihmiset uskovat, että se tuli tänne meteorin mukana.")</f>
        <v>Epätavallisen, tähtimäisen siluettinsa vuoksi ihmiset uskovat, että se tuli tänne meteorin mukana.</v>
      </c>
      <c r="C3733" s="9" t="s">
        <v>1344</v>
      </c>
    </row>
    <row r="3734" ht="33.75" customHeight="1">
      <c r="A3734" s="6" t="s">
        <v>5560</v>
      </c>
      <c r="B3734" s="6" t="str">
        <f>IFERROR(__xludf.DUMMYFUNCTION("GOOGLETRANSLATE(A3734,""en"",""fi"")"),"Kun lukuisat meteorit valaisevat yötaivasta, CLEFFA-havainnot lisääntyvät oudolla tavalla.")</f>
        <v>Kun lukuisat meteorit valaisevat yötaivasta, CLEFFA-havainnot lisääntyvät oudolla tavalla.</v>
      </c>
      <c r="C3734" s="9" t="s">
        <v>1344</v>
      </c>
    </row>
    <row r="3735" ht="33.75" customHeight="1">
      <c r="A3735" s="6" t="s">
        <v>5561</v>
      </c>
      <c r="B3735" s="6" t="str">
        <f>IFERROR(__xludf.DUMMYFUNCTION("GOOGLETRANSLATE(A3735,""en"",""fi"")"),"Jos meteoriitin törmäyskohta löytyy, tämä POKéMON on varmasti sen välittömässä läheisyydessä.")</f>
        <v>Jos meteoriitin törmäyskohta löytyy, tämä POKéMON on varmasti sen välittömässä läheisyydessä.</v>
      </c>
      <c r="C3735" s="9" t="s">
        <v>1344</v>
      </c>
    </row>
    <row r="3736" ht="33.75" customHeight="1">
      <c r="A3736" s="6" t="s">
        <v>5562</v>
      </c>
      <c r="B3736" s="6" t="str">
        <f>IFERROR(__xludf.DUMMYFUNCTION("GOOGLETRANSLATE(A3736,""en"",""fi"")"),"Öinä, jolloin on paljon tähdenlentoja, CLEFFA-pokemoneja voi nähdä tanssimassa kehässä. Ne tanssivat läpi yön ja pysähtyvät vasta aamunkoitteessa, jolloin nämä POKéMONit sammuttavat janonsa aamukasteella.")</f>
        <v>Öinä, jolloin on paljon tähdenlentoja, CLEFFA-pokemoneja voi nähdä tanssimassa kehässä. Ne tanssivat läpi yön ja pysähtyvät vasta aamunkoitteessa, jolloin nämä POKéMONit sammuttavat janonsa aamukasteella.</v>
      </c>
      <c r="C3736" s="9" t="s">
        <v>1344</v>
      </c>
    </row>
    <row r="3737" ht="33.75" customHeight="1">
      <c r="A3737" s="6" t="s">
        <v>5563</v>
      </c>
      <c r="B3737" s="6" t="str">
        <f>IFERROR(__xludf.DUMMYFUNCTION("GOOGLETRANSLATE(A3737,""en"",""fi"")"),"Öinä, jolloin on paljon tähdenlentoja, CLEFFA-lintuja voi nähdä tanssimassa kehässä. Ne tanssivat aamunkoittoon asti, jolloin ne sammuttavat janonsa aamukasteella.")</f>
        <v>Öinä, jolloin on paljon tähdenlentoja, CLEFFA-lintuja voi nähdä tanssimassa kehässä. Ne tanssivat aamunkoittoon asti, jolloin ne sammuttavat janonsa aamukasteella.</v>
      </c>
      <c r="C3737" s="9" t="s">
        <v>1344</v>
      </c>
    </row>
    <row r="3738" ht="33.75" customHeight="1">
      <c r="A3738" s="6" t="s">
        <v>5565</v>
      </c>
      <c r="B3738" s="6" t="str">
        <f>IFERROR(__xludf.DUMMYFUNCTION("GOOGLETRANSLATE(A3738,""en"",""fi"")"),"Kun lukuisat meteorit valaisevat yötaivasta, CLEFFA-havainnot lisääntyvät oudolla tavalla.")</f>
        <v>Kun lukuisat meteorit valaisevat yötaivasta, CLEFFA-havainnot lisääntyvät oudolla tavalla.</v>
      </c>
      <c r="C3738" s="9" t="s">
        <v>1344</v>
      </c>
    </row>
    <row r="3739" ht="33.75" customHeight="1">
      <c r="A3739" s="6" t="s">
        <v>5566</v>
      </c>
      <c r="B3739" s="6" t="str">
        <f>IFERROR(__xludf.DUMMYFUNCTION("GOOGLETRANSLATE(A3739,""en"",""fi"")"),"Epätavallisen, tähtimäisen siluettinsa vuoksi ihmiset uskovat, että se tuli tänne meteorin mukana.")</f>
        <v>Epätavallisen, tähtimäisen siluettinsa vuoksi ihmiset uskovat, että se tuli tänne meteorin mukana.</v>
      </c>
      <c r="C3739" s="9" t="s">
        <v>1344</v>
      </c>
    </row>
    <row r="3740" ht="33.75" customHeight="1">
      <c r="A3740" s="6" t="s">
        <v>5567</v>
      </c>
      <c r="B3740" s="6" t="str">
        <f>IFERROR(__xludf.DUMMYFUNCTION("GOOGLETRANSLATE(A3740,""en"",""fi"")"),"Sen siluetti on kuin tähti. Sen uskotaan saapuvan paikalle tähdenlentojen päällä ratsastaen.")</f>
        <v>Sen siluetti on kuin tähti. Sen uskotaan saapuvan paikalle tähdenlentojen päällä ratsastaen.</v>
      </c>
      <c r="C3740" s="9" t="s">
        <v>1344</v>
      </c>
    </row>
    <row r="3741" ht="33.75" customHeight="1">
      <c r="A3741" s="6" t="s">
        <v>5568</v>
      </c>
      <c r="B3741" s="6" t="str">
        <f>IFERROR(__xludf.DUMMYFUNCTION("GOOGLETRANSLATE(A3741,""en"",""fi"")"),"Monet ilmestyvät, kun yötaivas on täynnä tähdenlentoja. Ne katoavat auringonnousun myötä.")</f>
        <v>Monet ilmestyvät, kun yötaivas on täynnä tähdenlentoja. Ne katoavat auringonnousun myötä.</v>
      </c>
      <c r="C3741" s="9" t="s">
        <v>1344</v>
      </c>
    </row>
    <row r="3742" ht="33.75" customHeight="1">
      <c r="A3742" s="6" t="s">
        <v>5569</v>
      </c>
      <c r="B3742" s="6" t="str">
        <f>IFERROR(__xludf.DUMMYFUNCTION("GOOGLETRANSLATE(A3742,""en"",""fi"")"),"Se nähdään usein, kun tähdenlennot täyttävät yötaivaan. Sen sanotaan saapuvan ratsastaen tähdenlennon selässä.")</f>
        <v>Se nähdään usein, kun tähdenlennot täyttävät yötaivaan. Sen sanotaan saapuvan ratsastaen tähdenlennon selässä.</v>
      </c>
      <c r="C3742" s="9" t="s">
        <v>1344</v>
      </c>
    </row>
    <row r="3743" ht="33.75" customHeight="1">
      <c r="A3743" s="6" t="s">
        <v>5570</v>
      </c>
      <c r="B3743" s="6" t="str">
        <f>IFERROR(__xludf.DUMMYFUNCTION("GOOGLETRANSLATE(A3743,""en"",""fi"")"),"Paikallisten huhujen mukaan Cleffoja nähdään usein paikoissa, joissa tähdenlennot ovat pudonneet.")</f>
        <v>Paikallisten huhujen mukaan Cleffoja nähdään usein paikoissa, joissa tähdenlennot ovat pudonneet.</v>
      </c>
      <c r="C3743" s="9" t="s">
        <v>1344</v>
      </c>
    </row>
    <row r="3744" ht="33.75" customHeight="1">
      <c r="A3744" s="6" t="s">
        <v>5571</v>
      </c>
      <c r="B3744" s="6" t="str">
        <f>IFERROR(__xludf.DUMMYFUNCTION("GOOGLETRANSLATE(A3744,""en"",""fi"")"),"Öinä, jolloin tähdenlentoja on paljon, Cleffan voi nähdä tanssivan kehässä. Ne tanssivat läpi yön ja pysähtyvät vasta aamunkoitteessa, jolloin nämä Pokémonit sammuttavat janonsa aamukasteella.")</f>
        <v>Öinä, jolloin tähdenlentoja on paljon, Cleffan voi nähdä tanssivan kehässä. Ne tanssivat läpi yön ja pysähtyvät vasta aamunkoitteessa, jolloin nämä Pokémonit sammuttavat janonsa aamukasteella.</v>
      </c>
      <c r="C3744" s="9" t="s">
        <v>1344</v>
      </c>
    </row>
    <row r="3745" ht="33.75" customHeight="1">
      <c r="A3745" s="6" t="s">
        <v>5573</v>
      </c>
      <c r="B3745" s="6" t="str">
        <f>IFERROR(__xludf.DUMMYFUNCTION("GOOGLETRANSLATE(A3745,""en"",""fi"")"),"Myöhään öisin, tähdenlennon valaisemina, se tuijottaa intensiivisesti taivasta kohti, ikään kuin ajatellen kotiaan.")</f>
        <v>Myöhään öisin, tähdenlennon valaisemina, se tuijottaa intensiivisesti taivasta kohti, ikään kuin ajatellen kotiaan.</v>
      </c>
      <c r="C3745" s="9" t="s">
        <v>1344</v>
      </c>
    </row>
    <row r="3746" ht="33.75" customHeight="1">
      <c r="A3746" s="6" t="s">
        <v>5575</v>
      </c>
      <c r="B3746" s="6" t="str">
        <f>IFERROR(__xludf.DUMMYFUNCTION("GOOGLETRANSLATE(A3746,""en"",""fi"")"),"Siluettinsa vuoksi sen uskotaan olevan uudestisyntynyt tähti. Jostain syystä se rakastaa Minioria.")</f>
        <v>Siluettinsa vuoksi sen uskotaan olevan uudestisyntynyt tähti. Jostain syystä se rakastaa Minioria.</v>
      </c>
      <c r="C3746" s="9" t="s">
        <v>1344</v>
      </c>
    </row>
    <row r="3747" ht="33.75" customHeight="1">
      <c r="A3747" s="6" t="s">
        <v>5576</v>
      </c>
      <c r="B3747" s="6" t="str">
        <f>IFERROR(__xludf.DUMMYFUNCTION("GOOGLETRANSLATE(A3747,""en"",""fi"")"),"Öinä, jolloin tähdenlentoja on paljon, ne kerääntyvät laumoihin ja tanssivat ympyrää. Jos näet ne, tapahtuu jotain hyvää!")</f>
        <v>Öinä, jolloin tähdenlentoja on paljon, ne kerääntyvät laumoihin ja tanssivat ympyrää. Jos näet ne, tapahtuu jotain hyvää!</v>
      </c>
      <c r="C3747" s="9" t="s">
        <v>1344</v>
      </c>
    </row>
    <row r="3748" ht="33.75" customHeight="1">
      <c r="A3748" s="6" t="s">
        <v>5578</v>
      </c>
      <c r="B3748" s="6" t="str">
        <f>IFERROR(__xludf.DUMMYFUNCTION("GOOGLETRANSLATE(A3748,""en"",""fi"")"),"Cleffan sanotaan ratsastaneen täällä tähdenlennon kyydissä, ja se näyttää ilmestyvän paikoissa, joihin meteoriitit ovat osuneet aiemmin.")</f>
        <v>Cleffan sanotaan ratsastaneen täällä tähdenlennon kyydissä, ja se näyttää ilmestyvän paikoissa, joihin meteoriitit ovat osuneet aiemmin.</v>
      </c>
      <c r="C3748" s="9" t="s">
        <v>1344</v>
      </c>
    </row>
    <row r="3749" ht="33.75" customHeight="1">
      <c r="A3749" s="6" t="s">
        <v>5580</v>
      </c>
      <c r="B3749" s="6" t="str">
        <f>IFERROR(__xludf.DUMMYFUNCTION("GOOGLETRANSLATE(A3749,""en"",""fi"")"),"Siluetissa ne muistuttavat tuikkivaa tähtien valoa. Kun tähdenlentoja sataa yötaivaalta, Cleffat kokoontuvat joukoittain ja tanssivat aivan kuin he olisivat todellakin tähtien inkarnaatioita.")</f>
        <v>Siluetissa ne muistuttavat tuikkivaa tähtien valoa. Kun tähdenlentoja sataa yötaivaalta, Cleffat kokoontuvat joukoittain ja tanssivat aivan kuin he olisivat todellakin tähtien inkarnaatioita.</v>
      </c>
      <c r="C3749" s="9" t="s">
        <v>1344</v>
      </c>
    </row>
    <row r="3750" ht="33.75" customHeight="1">
      <c r="A3750" s="6" t="s">
        <v>5583</v>
      </c>
      <c r="B3750" s="6" t="str">
        <f>IFERROR(__xludf.DUMMYFUNCTION("GOOGLETRANSLATE(A3750,""en"",""fi"")"),"Sillä on erittäin pehmeä runko. Jos se alkaa pyöriä, se pomppii ympäriinsä eikä sitä voi pysäyttää.")</f>
        <v>Sillä on erittäin pehmeä runko. Jos se alkaa pyöriä, se pomppii ympäriinsä eikä sitä voi pysäyttää.</v>
      </c>
      <c r="C3750" s="9" t="s">
        <v>1344</v>
      </c>
    </row>
    <row r="3751" ht="33.75" customHeight="1">
      <c r="A3751" s="6" t="s">
        <v>5585</v>
      </c>
      <c r="B3751" s="6" t="str">
        <f>IFERROR(__xludf.DUMMYFUNCTION("GOOGLETRANSLATE(A3751,""en"",""fi"")"),"Sen erittäin joustava ja kimmoisa runko saa sen pomppimaan jatkuvasti – milloin ja missä tahansa.")</f>
        <v>Sen erittäin joustava ja kimmoisa runko saa sen pomppimaan jatkuvasti – milloin ja missä tahansa.</v>
      </c>
      <c r="C3751" s="9" t="s">
        <v>1344</v>
      </c>
    </row>
    <row r="3752" ht="33.75" customHeight="1">
      <c r="A3752" s="6" t="s">
        <v>5588</v>
      </c>
      <c r="B3752" s="6" t="str">
        <f>IFERROR(__xludf.DUMMYFUNCTION("GOOGLETRANSLATE(A3752,""en"",""fi"")"),"Lyhyiden jalkojensa sijaan se liikkuu pomppimalla pehmeällä, hellällä vartalollaan.")</f>
        <v>Lyhyiden jalkojensa sijaan se liikkuu pomppimalla pehmeällä, hellällä vartalollaan.</v>
      </c>
      <c r="C3752" s="9" t="s">
        <v>1344</v>
      </c>
    </row>
    <row r="3753" ht="33.75" customHeight="1">
      <c r="A3753" s="6" t="s">
        <v>5591</v>
      </c>
      <c r="B3753" s="6" t="str">
        <f>IFERROR(__xludf.DUMMYFUNCTION("GOOGLETRANSLATE(A3753,""en"",""fi"")"),"IGGLYBUFFin äänihuulet eivät ole riittävän kehittyneet. Sen kurkku loukkaantuisi, jos se laulaisi liikaa. Tämä POKéMON kurlaa makealla vedellä puhtaasta purosta.")</f>
        <v>IGGLYBUFFin äänihuulet eivät ole riittävän kehittyneet. Sen kurkku loukkaantuisi, jos se laulaisi liikaa. Tämä POKéMON kurlaa makealla vedellä puhtaasta purosta.</v>
      </c>
      <c r="C3753" s="9" t="s">
        <v>1344</v>
      </c>
    </row>
    <row r="3754" ht="33.75" customHeight="1">
      <c r="A3754" s="6" t="s">
        <v>5592</v>
      </c>
      <c r="B3754" s="6" t="str">
        <f>IFERROR(__xludf.DUMMYFUNCTION("GOOGLETRANSLATE(A3754,""en"",""fi"")"),"IGGLYBUFFilla on pehmeä ja muhkea vartalo, joka tuntuu hyvin paljon vaahtokarkilta. Tästä vartalosta leijuu lempeän makea tuoksu, joka rauhoittaa ja tyynnyttää vihollisten tunteita.")</f>
        <v>IGGLYBUFFilla on pehmeä ja muhkea vartalo, joka tuntuu hyvin paljon vaahtokarkilta. Tästä vartalosta leijuu lempeän makea tuoksu, joka rauhoittaa ja tyynnyttää vihollisten tunteita.</v>
      </c>
      <c r="C3754" s="9" t="s">
        <v>1344</v>
      </c>
    </row>
    <row r="3755" ht="33.75" customHeight="1">
      <c r="A3755" s="6" t="s">
        <v>5594</v>
      </c>
      <c r="B3755" s="6" t="str">
        <f>IFERROR(__xludf.DUMMYFUNCTION("GOOGLETRANSLATE(A3755,""en"",""fi"")"),"Sen pehmeä ja taipuisa ruumis on erittäin kimmoisa. Kun se laulaa jatkuvasti täydellä voimallaan, sen ruumis muuttuu tasaisesti syvenevän vaaleanpunaiseksi.")</f>
        <v>Sen pehmeä ja taipuisa ruumis on erittäin kimmoisa. Kun se laulaa jatkuvasti täydellä voimallaan, sen ruumis muuttuu tasaisesti syvenevän vaaleanpunaiseksi.</v>
      </c>
      <c r="C3755" s="9" t="s">
        <v>1344</v>
      </c>
    </row>
    <row r="3756" ht="33.75" customHeight="1">
      <c r="A3756" s="6" t="s">
        <v>5596</v>
      </c>
      <c r="B3756" s="6" t="str">
        <f>IFERROR(__xludf.DUMMYFUNCTION("GOOGLETRANSLATE(A3756,""en"",""fi"")"),"Sen erittäin joustava ja kimmoisa runko saa sen pomppimaan jatkuvasti – milloin ja missä tahansa.")</f>
        <v>Sen erittäin joustava ja kimmoisa runko saa sen pomppimaan jatkuvasti – milloin ja missä tahansa.</v>
      </c>
      <c r="C3756" s="9" t="s">
        <v>1344</v>
      </c>
    </row>
    <row r="3757" ht="33.75" customHeight="1">
      <c r="A3757" s="6" t="s">
        <v>5597</v>
      </c>
      <c r="B3757" s="6" t="str">
        <f>IFERROR(__xludf.DUMMYFUNCTION("GOOGLETRANSLATE(A3757,""en"",""fi"")"),"Sillä on pehmeä ja kimmoisa runko. Kun se alkaa pomppia, sitä on mahdotonta pysäyttää.")</f>
        <v>Sillä on pehmeä ja kimmoisa runko. Kun se alkaa pomppia, sitä on mahdotonta pysäyttää.</v>
      </c>
      <c r="C3757" s="9" t="s">
        <v>1344</v>
      </c>
    </row>
    <row r="3758" ht="33.75" customHeight="1">
      <c r="A3758" s="6" t="s">
        <v>5599</v>
      </c>
      <c r="B3758" s="6" t="str">
        <f>IFERROR(__xludf.DUMMYFUNCTION("GOOGLETRANSLATE(A3758,""en"",""fi"")"),"Sen vartalolla on hennon makea tuoksu, ja se on kimmoisa ja pehmeä. Jos se pomppaa kerrankaan, se ei voi pysähtyä.")</f>
        <v>Sen vartalolla on hennon makea tuoksu, ja se on kimmoisa ja pehmeä. Jos se pomppaa kerrankaan, se ei voi pysähtyä.</v>
      </c>
      <c r="C3758" s="9" t="s">
        <v>1344</v>
      </c>
    </row>
    <row r="3759" ht="33.75" customHeight="1">
      <c r="A3759" s="6" t="s">
        <v>5600</v>
      </c>
      <c r="B3759" s="6" t="str">
        <f>IFERROR(__xludf.DUMMYFUNCTION("GOOGLETRANSLATE(A3759,""en"",""fi"")"),"Igglybuffin äänihuulet eivät ole riittävän kehittyneet. Sen kurkku loukkaantuisi, jos se laulaisi liikaa. Tämä Pokémon kurlaa makealla vedellä puhtaasta purosta.")</f>
        <v>Igglybuffin äänihuulet eivät ole riittävän kehittyneet. Sen kurkku loukkaantuisi, jos se laulaisi liikaa. Tämä Pokémon kurlaa makealla vedellä puhtaasta purosta.</v>
      </c>
      <c r="C3759" s="9" t="s">
        <v>1344</v>
      </c>
    </row>
    <row r="3760" ht="33.75" customHeight="1">
      <c r="A3760" s="6" t="s">
        <v>5602</v>
      </c>
      <c r="B3760" s="6" t="str">
        <f>IFERROR(__xludf.DUMMYFUNCTION("GOOGLETRANSLATE(A3760,""en"",""fi"")"),"Igglybuffilla on pehmeä ja muhkea vartalo, joka tuntuu hyvin paljon vaahtokarkilta. Tästä vartalosta leijuu lempeän makea tuoksu, joka rauhoittaa ja tyynnyttää vihollisten tunteita.")</f>
        <v>Igglybuffilla on pehmeä ja muhkea vartalo, joka tuntuu hyvin paljon vaahtokarkilta. Tästä vartalosta leijuu lempeän makea tuoksu, joka rauhoittaa ja tyynnyttää vihollisten tunteita.</v>
      </c>
      <c r="C3760" s="9" t="s">
        <v>1344</v>
      </c>
    </row>
    <row r="3761" ht="33.75" customHeight="1">
      <c r="A3761" s="6" t="s">
        <v>5603</v>
      </c>
      <c r="B3761" s="6" t="str">
        <f>IFERROR(__xludf.DUMMYFUNCTION("GOOGLETRANSLATE(A3761,""en"",""fi"")"),"Se tykkää laulaa, mutta ei ole vielä siinä hyvä. Kehumalla ja kannustuksella se paranee pikkuhiljaa.")</f>
        <v>Se tykkää laulaa, mutta ei ole vielä siinä hyvä. Kehumalla ja kannustuksella se paranee pikkuhiljaa.</v>
      </c>
      <c r="C3761" s="9" t="s">
        <v>1344</v>
      </c>
    </row>
    <row r="3762" ht="33.75" customHeight="1">
      <c r="A3762" s="6" t="s">
        <v>5605</v>
      </c>
      <c r="B3762" s="6" t="str">
        <f>IFERROR(__xludf.DUMMYFUNCTION("GOOGLETRANSLATE(A3762,""en"",""fi"")"),"Se liikkuu pomppimalla. Liikkuessaan paljon se hikoilee, ja sen kehosta lähtee makea tuoksu.")</f>
        <v>Se liikkuu pomppimalla. Liikkuessaan paljon se hikoilee, ja sen kehosta lähtee makea tuoksu.</v>
      </c>
      <c r="C3762" s="9" t="s">
        <v>1344</v>
      </c>
    </row>
    <row r="3763" ht="33.75" customHeight="1">
      <c r="A3763" s="6" t="s">
        <v>5606</v>
      </c>
      <c r="B3763" s="6" t="str">
        <f>IFERROR(__xludf.DUMMYFUNCTION("GOOGLETRANSLATE(A3763,""en"",""fi"")"),"Se harjoittelee aina laulamistaan, koska se haluaa kehittyä. Se laulaa unissaan jopa nukkuessaan!")</f>
        <v>Se harjoittelee aina laulamistaan, koska se haluaa kehittyä. Se laulaa unissaan jopa nukkuessaan!</v>
      </c>
      <c r="C3763" s="9" t="s">
        <v>1344</v>
      </c>
    </row>
    <row r="3764" ht="33.75" customHeight="1">
      <c r="A3764" s="6" t="s">
        <v>5609</v>
      </c>
      <c r="B3764" s="6" t="str">
        <f>IFERROR(__xludf.DUMMYFUNCTION("GOOGLETRANSLATE(A3764,""en"",""fi"")"),"Omalla jalallaan se harjoittelee laulamista jatkuvasti. Sinun pitäisi antaa sen pitää taukoa, jotta sen kurkku ei satu.")</f>
        <v>Omalla jalallaan se harjoittelee laulamista jatkuvasti. Sinun pitäisi antaa sen pitää taukoa, jotta sen kurkku ei satu.</v>
      </c>
      <c r="C3764" s="9" t="s">
        <v>1344</v>
      </c>
    </row>
    <row r="3765" ht="33.75" customHeight="1">
      <c r="A3765" s="6" t="s">
        <v>5610</v>
      </c>
      <c r="B3765" s="6" t="str">
        <f>IFERROR(__xludf.DUMMYFUNCTION("GOOGLETRANSLATE(A3765,""en"",""fi"")"),"Igglybuff rakastaa laulamista. Sen vaahtokarkkia muistuttava ruumis tuoksuu heikosti makealta.")</f>
        <v>Igglybuff rakastaa laulamista. Sen vaahtokarkkia muistuttava ruumis tuoksuu heikosti makealta.</v>
      </c>
      <c r="C3765" s="9" t="s">
        <v>1344</v>
      </c>
    </row>
    <row r="3766" ht="33.75" customHeight="1">
      <c r="A3766" s="6" t="s">
        <v>5611</v>
      </c>
      <c r="B3766" s="6" t="str">
        <f>IFERROR(__xludf.DUMMYFUNCTION("GOOGLETRANSLATE(A3766,""en"",""fi"")"),"Igglybuff hyödyntää pehmeää kehoaan ja liikkuu kuin pomppisi. Sen ruumis muuttuu syvän vaaleanpunaiseksi lämpötilan noustessa.")</f>
        <v>Igglybuff hyödyntää pehmeää kehoaan ja liikkuu kuin pomppisi. Sen ruumis muuttuu syvän vaaleanpunaiseksi lämpötilan noustessa.</v>
      </c>
      <c r="C3766" s="9" t="s">
        <v>1344</v>
      </c>
    </row>
    <row r="3767" ht="33.75" customHeight="1">
      <c r="A3767" s="6" t="s">
        <v>5612</v>
      </c>
      <c r="B3767" s="6" t="str">
        <f>IFERROR(__xludf.DUMMYFUNCTION("GOOGLETRANSLATE(A3767,""en"",""fi"")"),"Simpukankuori näyttää olevan täynnä iloa. Sanotaan, että se jakaa onnea, kun sitä kohdellaan ystävällisesti.")</f>
        <v>Simpukankuori näyttää olevan täynnä iloa. Sanotaan, että se jakaa onnea, kun sitä kohdellaan ystävällisesti.</v>
      </c>
      <c r="C3767" s="9" t="s">
        <v>1344</v>
      </c>
    </row>
    <row r="3768" ht="33.75" customHeight="1">
      <c r="A3768" s="6" t="s">
        <v>5614</v>
      </c>
      <c r="B3768" s="6" t="str">
        <f>IFERROR(__xludf.DUMMYFUNCTION("GOOGLETRANSLATE(A3768,""en"",""fi"")"),"Sananlasku sanoo, että onni saavuttaa sen, joka pystyy nostamaan nukkuvan togepin ylös.")</f>
        <v>Sananlasku sanoo, että onni saavuttaa sen, joka pystyy nostamaan nukkuvan togepin ylös.</v>
      </c>
      <c r="C3768" s="9" t="s">
        <v>1344</v>
      </c>
    </row>
    <row r="3769" ht="33.75" customHeight="1">
      <c r="A3769" s="6" t="s">
        <v>5615</v>
      </c>
      <c r="B3769" s="6" t="str">
        <f>IFERROR(__xludf.DUMMYFUNCTION("GOOGLETRANSLATE(A3769,""en"",""fi"")"),"Sitä pidetään onnen symbolina. Sen kuoren sanotaan olevan täynnä onnellisuutta.")</f>
        <v>Sitä pidetään onnen symbolina. Sen kuoren sanotaan olevan täynnä onnellisuutta.</v>
      </c>
      <c r="C3769" s="9" t="s">
        <v>1344</v>
      </c>
    </row>
    <row r="3770" ht="33.75" customHeight="1">
      <c r="A3770" s="6" t="s">
        <v>5616</v>
      </c>
      <c r="B3770" s="6" t="str">
        <f>IFERROR(__xludf.DUMMYFUNCTION("GOOGLETRANSLATE(A3770,""en"",""fi"")"),"Energianaan TOGEPI käyttää ihmisten ja POKéMONien huokumia myötätunnon ja mielihyvän positiivisia tunteita. Tämä POKéMON varastoi onnellisuuden tunteita kuoreensa ja jakaa ne sitten muiden kanssa.")</f>
        <v>Energianaan TOGEPI käyttää ihmisten ja POKéMONien huokumia myötätunnon ja mielihyvän positiivisia tunteita. Tämä POKéMON varastoi onnellisuuden tunteita kuoreensa ja jakaa ne sitten muiden kanssa.</v>
      </c>
      <c r="C3770" s="9" t="s">
        <v>1344</v>
      </c>
    </row>
    <row r="3771" ht="33.75" customHeight="1">
      <c r="A3771" s="6" t="s">
        <v>5617</v>
      </c>
      <c r="B3771" s="6" t="str">
        <f>IFERROR(__xludf.DUMMYFUNCTION("GOOGLETRANSLATE(A3771,""en"",""fi"")"),"Energianaan se käyttää ihmisten ja POKéMONien huokumia myötätunnon ja mielihyvän tunteita. Se varastoi onnellisuuden tunteita kuoreensa ja jakaa ne sitten eteenpäin.")</f>
        <v>Energianaan se käyttää ihmisten ja POKéMONien huokumia myötätunnon ja mielihyvän tunteita. Se varastoi onnellisuuden tunteita kuoreensa ja jakaa ne sitten eteenpäin.</v>
      </c>
      <c r="C3771" s="9" t="s">
        <v>1344</v>
      </c>
    </row>
    <row r="3772" ht="33.75" customHeight="1">
      <c r="A3772" s="6" t="s">
        <v>5618</v>
      </c>
      <c r="B3772" s="6" t="str">
        <f>IFERROR(__xludf.DUMMYFUNCTION("GOOGLETRANSLATE(A3772,""en"",""fi"")"),"Sananlasku väittää, että onni tulee sille, joka saa nukkuvan TOGEPI:n nousemaan seisomaan.")</f>
        <v>Sananlasku väittää, että onni tulee sille, joka saa nukkuvan TOGEPI:n nousemaan seisomaan.</v>
      </c>
      <c r="C3772" s="9" t="s">
        <v>1344</v>
      </c>
    </row>
    <row r="3773" ht="33.75" customHeight="1">
      <c r="A3773" s="6" t="s">
        <v>5619</v>
      </c>
      <c r="B3773" s="6" t="str">
        <f>IFERROR(__xludf.DUMMYFUNCTION("GOOGLETRANSLATE(A3773,""en"",""fi"")"),"Sen kuoren sanotaan olevan täynnä onnea, jota se jakaa hyväsydämisten ihmisten kanssa.")</f>
        <v>Sen kuoren sanotaan olevan täynnä onnea, jota se jakaa hyväsydämisten ihmisten kanssa.</v>
      </c>
      <c r="C3773" s="9" t="s">
        <v>1344</v>
      </c>
    </row>
    <row r="3774" ht="33.75" customHeight="1">
      <c r="A3774" s="6" t="s">
        <v>5620</v>
      </c>
      <c r="B3774" s="6" t="str">
        <f>IFERROR(__xludf.DUMMYFUNCTION("GOOGLETRANSLATE(A3774,""en"",""fi"")"),"Se muuttaa muiden ystävällisyyden ja ilon onnellisuudeksi, jonka se varastoi kuoreensa.")</f>
        <v>Se muuttaa muiden ystävällisyyden ja ilon onnellisuudeksi, jonka se varastoi kuoreensa.</v>
      </c>
      <c r="C3774" s="9" t="s">
        <v>1344</v>
      </c>
    </row>
    <row r="3775" ht="33.75" customHeight="1">
      <c r="A3775" s="6" t="s">
        <v>5621</v>
      </c>
      <c r="B3775" s="6" t="str">
        <f>IFERROR(__xludf.DUMMYFUNCTION("GOOGLETRANSLATE(A3775,""en"",""fi"")"),"Sananlasku väittää, että onni tulee sille, joka saa nukkuvan Togepin nousemaan ylös.")</f>
        <v>Sananlasku väittää, että onni tulee sille, joka saa nukkuvan Togepin nousemaan ylös.</v>
      </c>
      <c r="C3775" s="9" t="s">
        <v>1344</v>
      </c>
    </row>
    <row r="3776" ht="33.75" customHeight="1">
      <c r="A3776" s="6" t="s">
        <v>5623</v>
      </c>
      <c r="B3776" s="6" t="str">
        <f>IFERROR(__xludf.DUMMYFUNCTION("GOOGLETRANSLATE(A3776,""en"",""fi"")"),"Energianaan Togepi käyttää ihmisten ja Pokémonien huokumia myötätunnon ja nautinnon positiivisia tunteita. Tämä Pokémon varastoi onnellisuuden tunteita kuoreensa ja jakaa ne sitten muiden kanssa.")</f>
        <v>Energianaan Togepi käyttää ihmisten ja Pokémonien huokumia myötätunnon ja nautinnon positiivisia tunteita. Tämä Pokémon varastoi onnellisuuden tunteita kuoreensa ja jakaa ne sitten muiden kanssa.</v>
      </c>
      <c r="C3776" s="9" t="s">
        <v>1344</v>
      </c>
    </row>
    <row r="3777" ht="33.75" customHeight="1">
      <c r="A3777" s="6" t="s">
        <v>5624</v>
      </c>
      <c r="B3777" s="6" t="str">
        <f>IFERROR(__xludf.DUMMYFUNCTION("GOOGLETRANSLATE(A3777,""en"",""fi"")"),"Tämä soikea olento sekoitetaan usein liikkuvaan munaan, kun se nähdään pelloilla tai vuorilla. Sen vilpitön hymy rauhoittaa sielua.")</f>
        <v>Tämä soikea olento sekoitetaan usein liikkuvaan munaan, kun se nähdään pelloilla tai vuorilla. Sen vilpitön hymy rauhoittaa sielua.</v>
      </c>
      <c r="C3777" s="9" t="s">
        <v>1344</v>
      </c>
    </row>
    <row r="3778" ht="33.75" customHeight="1">
      <c r="A3778" s="6" t="s">
        <v>5625</v>
      </c>
      <c r="B3778" s="6" t="str">
        <f>IFERROR(__xludf.DUMMYFUNCTION("GOOGLETRANSLATE(A3778,""en"",""fi"")"),"He sanovat, että se ilmestyy hyväsydämisten ja huolehtivien ihmisten eteen ja hukuttaa heidät onnellisuuteen.")</f>
        <v>He sanovat, että se ilmestyy hyväsydämisten ja huolehtivien ihmisten eteen ja hukuttaa heidät onnellisuuteen.</v>
      </c>
      <c r="C3778" s="9" t="s">
        <v>1344</v>
      </c>
    </row>
    <row r="3779" ht="33.75" customHeight="1">
      <c r="A3779" s="6" t="s">
        <v>5626</v>
      </c>
      <c r="B3779" s="6" t="str">
        <f>IFERROR(__xludf.DUMMYFUNCTION("GOOGLETRANSLATE(A3779,""en"",""fi"")"),"Se masentuu, jos se ei ole ystävällisten ihmisten seurassa. Se voi leijua ilmassa liikauttamatta siipiään.")</f>
        <v>Se masentuu, jos se ei ole ystävällisten ihmisten seurassa. Se voi leijua ilmassa liikauttamatta siipiään.</v>
      </c>
      <c r="C3779" s="9" t="s">
        <v>1344</v>
      </c>
    </row>
    <row r="3780" ht="33.75" customHeight="1">
      <c r="A3780" s="6" t="s">
        <v>5627</v>
      </c>
      <c r="B3780" s="6" t="str">
        <f>IFERROR(__xludf.DUMMYFUNCTION("GOOGLETRANSLATE(A3780,""en"",""fi"")"),"Vaikka se ei räpyttele siipiään paljon, se pysyy ilmassa seuratessaan kouluttajaansa.")</f>
        <v>Vaikka se ei räpyttele siipiään paljon, se pysyy ilmassa seuratessaan kouluttajaansa.</v>
      </c>
      <c r="C3780" s="9" t="s">
        <v>1344</v>
      </c>
    </row>
    <row r="3781" ht="33.75" customHeight="1">
      <c r="A3781" s="6" t="s">
        <v>5628</v>
      </c>
      <c r="B3781" s="6" t="str">
        <f>IFERROR(__xludf.DUMMYFUNCTION("GOOGLETRANSLATE(A3781,""en"",""fi"")"),"TOGETICin sanotaan olevan onnea tuova POKéMON. Kun POKéMON havaitsee puhdassydämisen henkilön, sen sanotaan ilmestyvän ja jakavan onnensa kyseisen henkilön kanssa.")</f>
        <v>TOGETICin sanotaan olevan onnea tuova POKéMON. Kun POKéMON havaitsee puhdassydämisen henkilön, sen sanotaan ilmestyvän ja jakavan onnensa kyseisen henkilön kanssa.</v>
      </c>
      <c r="C3781" s="9" t="s">
        <v>1344</v>
      </c>
    </row>
    <row r="3782" ht="33.75" customHeight="1">
      <c r="A3782" s="6" t="s">
        <v>5629</v>
      </c>
      <c r="B3782" s="6" t="str">
        <f>IFERROR(__xludf.DUMMYFUNCTION("GOOGLETRANSLATE(A3782,""en"",""fi"")"),"Sen sanotaan olevan onnea tuova POKéMON. Kun se havaitsee puhdassydämisen ihmisen, TOGETIC ilmestyy ja jakaa onnensa kyseisen henkilön kanssa.")</f>
        <v>Sen sanotaan olevan onnea tuova POKéMON. Kun se havaitsee puhdassydämisen ihmisen, TOGETIC ilmestyy ja jakaa onnensa kyseisen henkilön kanssa.</v>
      </c>
      <c r="C3782" s="9" t="s">
        <v>1344</v>
      </c>
    </row>
    <row r="3783" ht="33.75" customHeight="1">
      <c r="A3783" s="6" t="s">
        <v>5630</v>
      </c>
      <c r="B3783" s="6" t="str">
        <f>IFERROR(__xludf.DUMMYFUNCTION("GOOGLETRANSLATE(A3783,""en"",""fi"")"),"Se masentuu, jos se ei ole ystävällisten ihmisten seurassa. Se voi leijua ilmassa liikauttamatta siipiään.")</f>
        <v>Se masentuu, jos se ei ole ystävällisten ihmisten seurassa. Se voi leijua ilmassa liikauttamatta siipiään.</v>
      </c>
      <c r="C3783" s="9" t="s">
        <v>1344</v>
      </c>
    </row>
    <row r="3784" ht="33.75" customHeight="1">
      <c r="A3784" s="6" t="s">
        <v>5631</v>
      </c>
      <c r="B3784" s="6" t="str">
        <f>IFERROR(__xludf.DUMMYFUNCTION("GOOGLETRANSLATE(A3784,""en"",""fi"")"),"He sanovat, että se ilmestyy hyväsydämisten, välittävien ihmisten eteen ja suihkuttaa heidät onnellisuuteen.")</f>
        <v>He sanovat, että se ilmestyy hyväsydämisten, välittävien ihmisten eteen ja suihkuttaa heidät onnellisuuteen.</v>
      </c>
      <c r="C3784" s="9" t="s">
        <v>1344</v>
      </c>
    </row>
    <row r="3785" ht="33.75" customHeight="1">
      <c r="A3785" s="6" t="s">
        <v>5632</v>
      </c>
      <c r="B3785" s="6" t="str">
        <f>IFERROR(__xludf.DUMMYFUNCTION("GOOGLETRANSLATE(A3785,""en"",""fi"")"),"Sen sanotaan ilmestyvän ystävällisten ihmisten eteen levittämään hehkuvaa untuvaa, jota kutsutaan ""ilopölyksi"".")</f>
        <v>Sen sanotaan ilmestyvän ystävällisten ihmisten eteen levittämään hehkuvaa untuvaa, jota kutsutaan "ilopölyksi".</v>
      </c>
      <c r="C3785" s="9" t="s">
        <v>1344</v>
      </c>
    </row>
    <row r="3786" ht="33.75" customHeight="1">
      <c r="A3786" s="6" t="s">
        <v>5633</v>
      </c>
      <c r="B3786" s="6" t="str">
        <f>IFERROR(__xludf.DUMMYFUNCTION("GOOGLETRANSLATE(A3786,""en"",""fi"")"),"Jakaakseen onneaan se lentää ympäri maailmaa etsien hyväsydämisiä ihmisiä.")</f>
        <v>Jakaakseen onneaan se lentää ympäri maailmaa etsien hyväsydämisiä ihmisiä.</v>
      </c>
      <c r="C3786" s="9" t="s">
        <v>1344</v>
      </c>
    </row>
    <row r="3787" ht="33.75" customHeight="1">
      <c r="A3787" s="6" t="s">
        <v>5634</v>
      </c>
      <c r="B3787" s="6" t="str">
        <f>IFERROR(__xludf.DUMMYFUNCTION("GOOGLETRANSLATE(A3787,""en"",""fi"")"),"Jakaakseen onneaan se lentää ympäri maailmaa etsien hyväsydämisiä ihmisiä.")</f>
        <v>Jakaakseen onneaan se lentää ympäri maailmaa etsien hyväsydämisiä ihmisiä.</v>
      </c>
      <c r="C3787" s="9" t="s">
        <v>1344</v>
      </c>
    </row>
    <row r="3788" ht="33.75" customHeight="1">
      <c r="A3788" s="6" t="s">
        <v>5636</v>
      </c>
      <c r="B3788" s="6" t="str">
        <f>IFERROR(__xludf.DUMMYFUNCTION("GOOGLETRANSLATE(A3788,""en"",""fi"")"),"Togeticin sanotaan olevan onnea tuova Pokémon. Kun Pokémon havaitsee puhdassydämisen henkilön, sen sanotaan ilmestyvän ja jakavan onnensa kyseisen henkilön kanssa.")</f>
        <v>Togeticin sanotaan olevan onnea tuova Pokémon. Kun Pokémon havaitsee puhdassydämisen henkilön, sen sanotaan ilmestyvän ja jakavan onnensa kyseisen henkilön kanssa.</v>
      </c>
      <c r="C3788" s="9" t="s">
        <v>1344</v>
      </c>
    </row>
    <row r="3789" ht="33.75" customHeight="1">
      <c r="A3789" s="6" t="s">
        <v>5637</v>
      </c>
      <c r="B3789" s="6" t="str">
        <f>IFERROR(__xludf.DUMMYFUNCTION("GOOGLETRANSLATE(A3789,""en"",""fi"")"),"Togeticin näkemisestä luonnossa ei ole tietoja. Huhujen mukaan se kehittyy luotettavan ihmiskumppanin rakastavan hoivan alaisena, jolle Pokémon sitten tuo suurta iloa.")</f>
        <v>Togeticin näkemisestä luonnossa ei ole tietoja. Huhujen mukaan se kehittyy luotettavan ihmiskumppanin rakastavan hoivan alaisena, jolle Pokémon sitten tuo suurta iloa.</v>
      </c>
      <c r="C3789" s="9" t="s">
        <v>1344</v>
      </c>
    </row>
    <row r="3790" ht="33.75" customHeight="1">
      <c r="A3790" s="6" t="s">
        <v>5638</v>
      </c>
      <c r="B3790" s="6" t="str">
        <f>IFERROR(__xludf.DUMMYFUNCTION("GOOGLETRANSLATE(A3790,""en"",""fi"")"),"Koska sen siivet eivät ole vielä täysin kasvaneet, sen täytyy hypätä liikkuakseen. Se tuijottaa aina jotakin.")</f>
        <v>Koska sen siivet eivät ole vielä täysin kasvaneet, sen täytyy hypätä liikkuakseen. Se tuijottaa aina jotakin.</v>
      </c>
      <c r="C3790" s="9" t="s">
        <v>1344</v>
      </c>
    </row>
    <row r="3791" ht="33.75" customHeight="1">
      <c r="A3791" s="6" t="s">
        <v>5640</v>
      </c>
      <c r="B3791" s="6" t="str">
        <f>IFERROR(__xludf.DUMMYFUNCTION("GOOGLETRANSLATE(A3791,""en"",""fi"")"),"Se yleensä etsii ravintoa maasta, mutta voi harvinaisissa tapauksissa hypätä oksille nokkimaan versoja.")</f>
        <v>Se yleensä etsii ravintoa maasta, mutta voi harvinaisissa tapauksissa hypätä oksille nokkimaan versoja.</v>
      </c>
      <c r="C3791" s="9" t="s">
        <v>1344</v>
      </c>
    </row>
    <row r="3792" ht="33.75" customHeight="1">
      <c r="A3792" s="6" t="s">
        <v>5641</v>
      </c>
      <c r="B3792" s="6" t="str">
        <f>IFERROR(__xludf.DUMMYFUNCTION("GOOGLETRANSLATE(A3792,""en"",""fi"")"),"Se on erittäin hyvä kiipeilemään puunrunkoja ja syö mielellään puiden uusia versoja.")</f>
        <v>Se on erittäin hyvä kiipeilemään puunrunkoja ja syö mielellään puiden uusia versoja.</v>
      </c>
      <c r="C3792" s="9" t="s">
        <v>1344</v>
      </c>
    </row>
    <row r="3793" ht="33.75" customHeight="1">
      <c r="A3793" s="6" t="s">
        <v>5643</v>
      </c>
      <c r="B3793" s="6" t="str">
        <f>IFERROR(__xludf.DUMMYFUNCTION("GOOGLETRANSLATE(A3793,""en"",""fi"")"),"NATU ei voi lentää, koska sen siivet eivät ole vielä täysin kasvaneet. Jos katseesi kohtaavat tämän POKéMONin silmät, se tuijottaa sinua takaisin intensiivisesti. Mutta jos liikut vähänkään, se hyppää turvaan.")</f>
        <v>NATU ei voi lentää, koska sen siivet eivät ole vielä täysin kasvaneet. Jos katseesi kohtaavat tämän POKéMONin silmät, se tuijottaa sinua takaisin intensiivisesti. Mutta jos liikut vähänkään, se hyppää turvaan.</v>
      </c>
      <c r="C3793" s="9" t="s">
        <v>1344</v>
      </c>
    </row>
    <row r="3794" ht="33.75" customHeight="1">
      <c r="A3794" s="6" t="s">
        <v>5645</v>
      </c>
      <c r="B3794" s="6" t="str">
        <f>IFERROR(__xludf.DUMMYFUNCTION("GOOGLETRANSLATE(A3794,""en"",""fi"")"),"NATUlla on erittäin kehittynyt hyppykyky. POKéMON räpyttelee ja hyppää aikuista pidemmille puiden oksille nyppiäkseen puun uusia versoja.")</f>
        <v>NATUlla on erittäin kehittynyt hyppykyky. POKéMON räpyttelee ja hyppää aikuista pidemmille puiden oksille nyppiäkseen puun uusia versoja.</v>
      </c>
      <c r="C3794" s="9" t="s">
        <v>1344</v>
      </c>
    </row>
    <row r="3795" ht="33.75" customHeight="1">
      <c r="A3795" s="6" t="s">
        <v>5647</v>
      </c>
      <c r="B3795" s="6" t="str">
        <f>IFERROR(__xludf.DUMMYFUNCTION("GOOGLETRANSLATE(A3795,""en"",""fi"")"),"Se kiipeää savannilla kasvavien lyhyiden puiden latvoihin nokkimaan uusia versoja. NATUn silmät näyttävät siltä kuin ne tarkkailisivat jatkuvasti jotakin.")</f>
        <v>Se kiipeää savannilla kasvavien lyhyiden puiden latvoihin nokkimaan uusia versoja. NATUn silmät näyttävät siltä kuin ne tarkkailisivat jatkuvasti jotakin.</v>
      </c>
      <c r="C3795" s="9" t="s">
        <v>1344</v>
      </c>
    </row>
    <row r="3796" ht="33.75" customHeight="1">
      <c r="A3796" s="6" t="s">
        <v>5648</v>
      </c>
      <c r="B3796" s="6" t="str">
        <f>IFERROR(__xludf.DUMMYFUNCTION("GOOGLETRANSLATE(A3796,""en"",""fi"")"),"Koska sen siivet eivät ole vielä täysin kasvaneet, sen täytyy hypätä liikkuakseen. Se tuijottaa aina jotakin.")</f>
        <v>Koska sen siivet eivät ole vielä täysin kasvaneet, sen täytyy hypätä liikkuakseen. Se tuijottaa aina jotakin.</v>
      </c>
      <c r="C3796" s="9" t="s">
        <v>1344</v>
      </c>
    </row>
    <row r="3797" ht="33.75" customHeight="1">
      <c r="A3797" s="6" t="s">
        <v>5649</v>
      </c>
      <c r="B3797" s="6" t="str">
        <f>IFERROR(__xludf.DUMMYFUNCTION("GOOGLETRANSLATE(A3797,""en"",""fi"")"),"Se poimii ruokaa kaktuksista, väistäen taitavasti silmuja ja piikkejä. Se näyttää hyppivän liikkuessaan.")</f>
        <v>Se poimii ruokaa kaktuksista, väistäen taitavasti silmuja ja piikkejä. Se näyttää hyppivän liikkuessaan.</v>
      </c>
      <c r="C3797" s="9" t="s">
        <v>1344</v>
      </c>
    </row>
    <row r="3798" ht="33.75" customHeight="1">
      <c r="A3798" s="6" t="s">
        <v>5650</v>
      </c>
      <c r="B3798" s="6" t="str">
        <f>IFERROR(__xludf.DUMMYFUNCTION("GOOGLETRANSLATE(A3798,""en"",""fi"")"),"Natu ei voi lentää, koska sen siivet eivät ole vielä täysin kasvaneet. Jos katseesi kohtaavat tämän Pokémonin silmien, se tuijottaa sinua takaisin intensiivisesti. Mutta jos liikut vähänkään, se hyppää turvaan.")</f>
        <v>Natu ei voi lentää, koska sen siivet eivät ole vielä täysin kasvaneet. Jos katseesi kohtaavat tämän Pokémonin silmien, se tuijottaa sinua takaisin intensiivisesti. Mutta jos liikut vähänkään, se hyppää turvaan.</v>
      </c>
      <c r="C3798" s="9" t="s">
        <v>1344</v>
      </c>
    </row>
    <row r="3799" ht="33.75" customHeight="1">
      <c r="A3799" s="6" t="s">
        <v>5651</v>
      </c>
      <c r="B3799" s="6" t="str">
        <f>IFERROR(__xludf.DUMMYFUNCTION("GOOGLETRANSLATE(A3799,""en"",""fi"")"),"Natulla on erittäin kehittynyt hyppykyky. Pokémon räpyttelee ja hyppää aikuisia pidemmille puiden oksille nyppiäkseen puun uusia versoja.")</f>
        <v>Natulla on erittäin kehittynyt hyppykyky. Pokémon räpyttelee ja hyppää aikuisia pidemmille puiden oksille nyppiäkseen puun uusia versoja.</v>
      </c>
      <c r="C3799" s="9" t="s">
        <v>1344</v>
      </c>
    </row>
    <row r="3800" ht="33.75" customHeight="1">
      <c r="A3800" s="6" t="s">
        <v>5652</v>
      </c>
      <c r="B3800" s="6" t="str">
        <f>IFERROR(__xludf.DUMMYFUNCTION("GOOGLETRANSLATE(A3800,""en"",""fi"")"),"Vaikka se ei vieläkään osaa lentää, sen hyppyvoima on huomattava. Se hyppää korkealle puihin ja nyppii silmuja oksista.")</f>
        <v>Vaikka se ei vieläkään osaa lentää, sen hyppyvoima on huomattava. Se hyppää korkealle puihin ja nyppii silmuja oksista.</v>
      </c>
      <c r="C3800" s="9" t="s">
        <v>1344</v>
      </c>
    </row>
    <row r="3801" ht="33.75" customHeight="1">
      <c r="A3801" s="6" t="s">
        <v>5653</v>
      </c>
      <c r="B3801" s="6" t="str">
        <f>IFERROR(__xludf.DUMMYFUNCTION("GOOGLETRANSLATE(A3801,""en"",""fi"")"),"Sen katse antaa vaikutelman, että se tarkkailee sinua tarkasti. Jos lähestyt sitä, Natu hyppää pois.")</f>
        <v>Sen katse antaa vaikutelman, että se tarkkailee sinua tarkasti. Jos lähestyt sitä, Natu hyppää pois.</v>
      </c>
      <c r="C3801" s="9" t="s">
        <v>1344</v>
      </c>
    </row>
    <row r="3802" ht="33.75" customHeight="1">
      <c r="A3802" s="6" t="s">
        <v>5654</v>
      </c>
      <c r="B3802" s="6" t="str">
        <f>IFERROR(__xludf.DUMMYFUNCTION("GOOGLETRANSLATE(A3802,""en"",""fi"")"),"Sanotaan, että se pysyy hiljaa ja liikkumattomana, koska se näkee sekä menneisyyden että tulevaisuuden samaan aikaan.")</f>
        <v>Sanotaan, että se pysyy hiljaa ja liikkumattomana, koska se näkee sekä menneisyyden että tulevaisuuden samaan aikaan.</v>
      </c>
      <c r="C3802" s="9" t="s">
        <v>1344</v>
      </c>
    </row>
    <row r="3803" ht="33.75" customHeight="1">
      <c r="A3803" s="6" t="s">
        <v>5655</v>
      </c>
      <c r="B3803" s="6" t="str">
        <f>IFERROR(__xludf.DUMMYFUNCTION("GOOGLETRANSLATE(A3803,""en"",""fi"")"),"Etelä-Amerikassa sanotaan, että oikea silmä näkee tulevaisuuden ja vasen silmä menneisyyden.")</f>
        <v>Etelä-Amerikassa sanotaan, että oikea silmä näkee tulevaisuuden ja vasen silmä menneisyyden.</v>
      </c>
      <c r="C3803" s="9" t="s">
        <v>1344</v>
      </c>
    </row>
    <row r="3804" ht="33.75" customHeight="1">
      <c r="A3804" s="6" t="s">
        <v>5657</v>
      </c>
      <c r="B3804" s="6" t="str">
        <f>IFERROR(__xludf.DUMMYFUNCTION("GOOGLETRANSLATE(A3804,""en"",""fi"")"),"Kun se alkaa meditoida auringonnousun aikaan, koko päivä kuluu ennen kuin se liikkuu uudelleen.")</f>
        <v>Kun se alkaa meditoida auringonnousun aikaan, koko päivä kuluu ennen kuin se liikkuu uudelleen.</v>
      </c>
      <c r="C3804" s="9" t="s">
        <v>1344</v>
      </c>
    </row>
    <row r="3805" ht="33.75" customHeight="1">
      <c r="A3805" s="6" t="s">
        <v>5659</v>
      </c>
      <c r="B3805" s="6" t="str">
        <f>IFERROR(__xludf.DUMMYFUNCTION("GOOGLETRANSLATE(A3805,""en"",""fi"")"),"XATU seisoo juurtuneena ja liikkumatta yhdessä paikassa koko päivän. Ihmiset uskovat, että tämä POKéMON tekee niin pelätessään tulevaisuuden kauheita asioita.")</f>
        <v>XATU seisoo juurtuneena ja liikkumatta yhdessä paikassa koko päivän. Ihmiset uskovat, että tämä POKéMON tekee niin pelätessään tulevaisuuden kauheita asioita.</v>
      </c>
      <c r="C3805" s="9" t="s">
        <v>1344</v>
      </c>
    </row>
    <row r="3806" ht="33.75" customHeight="1">
      <c r="A3806" s="6" t="s">
        <v>5660</v>
      </c>
      <c r="B3806" s="6" t="str">
        <f>IFERROR(__xludf.DUMMYFUNCTION("GOOGLETRANSLATE(A3806,""en"",""fi"")"),"XATUn tiedetään seisovan liikkumattomana tuijottaen aurinkoa koko päivän. Jotkut ihmiset kunnioittavat sitä mystisenä POKéMONina, koska he uskovat XATUn omaavan kyvyn nähdä tulevaisuuteen.")</f>
        <v>XATUn tiedetään seisovan liikkumattomana tuijottaen aurinkoa koko päivän. Jotkut ihmiset kunnioittavat sitä mystisenä POKéMONina, koska he uskovat XATUn omaavan kyvyn nähdä tulevaisuuteen.</v>
      </c>
      <c r="C3806" s="9" t="s">
        <v>1344</v>
      </c>
    </row>
    <row r="3807" ht="33.75" customHeight="1">
      <c r="A3807" s="6" t="s">
        <v>5661</v>
      </c>
      <c r="B3807" s="6" t="str">
        <f>IFERROR(__xludf.DUMMYFUNCTION("GOOGLETRANSLATE(A3807,""en"",""fi"")"),"Sillä on arvoituksellinen kyky ennustaa tulevaisuutta. Jotkut ihmiset eri maissa ovat pitkään uskoneet, että XATU:t ovat lähettiläitä toisesta maailmasta.")</f>
        <v>Sillä on arvoituksellinen kyky ennustaa tulevaisuutta. Jotkut ihmiset eri maissa ovat pitkään uskoneet, että XATU:t ovat lähettiläitä toisesta maailmasta.</v>
      </c>
      <c r="C3807" s="9" t="s">
        <v>1344</v>
      </c>
    </row>
    <row r="3808" ht="33.75" customHeight="1">
      <c r="A3808" s="6" t="s">
        <v>5662</v>
      </c>
      <c r="B3808" s="6" t="str">
        <f>IFERROR(__xludf.DUMMYFUNCTION("GOOGLETRANSLATE(A3808,""en"",""fi"")"),"Tämä outo Pokémon näkee sekä menneisyyden että tulevaisuuden. Se tarkkailee auringon liikettä koko päivän.")</f>
        <v>Tämä outo Pokémon näkee sekä menneisyyden että tulevaisuuden. Se tarkkailee auringon liikettä koko päivän.</v>
      </c>
      <c r="C3808" s="9" t="s">
        <v>1344</v>
      </c>
    </row>
    <row r="3809" ht="33.75" customHeight="1">
      <c r="A3809" s="6" t="s">
        <v>5664</v>
      </c>
      <c r="B3809" s="6" t="str">
        <f>IFERROR(__xludf.DUMMYFUNCTION("GOOGLETRANSLATE(A3809,""en"",""fi"")"),"Kun se alkaa meditoida auringonnousun aikaan, koko päivä kuluu ennen kuin se liikkuu uudelleen.")</f>
        <v>Kun se alkaa meditoida auringonnousun aikaan, koko päivä kuluu ennen kuin se liikkuu uudelleen.</v>
      </c>
      <c r="C3809" s="9" t="s">
        <v>1344</v>
      </c>
    </row>
    <row r="3810" ht="33.75" customHeight="1">
      <c r="A3810" s="6" t="s">
        <v>5665</v>
      </c>
      <c r="B3810" s="6" t="str">
        <f>IFERROR(__xludf.DUMMYFUNCTION("GOOGLETRANSLATE(A3810,""en"",""fi"")"),"Xatu seisoo juurtuneena ja liikkumatta yhdessä paikassa koko päivän. Ihmiset uskovat, että tämä Pokémon tekee niin pelätessään tulevaisuuden kauheita asioita.")</f>
        <v>Xatu seisoo juurtuneena ja liikkumatta yhdessä paikassa koko päivän. Ihmiset uskovat, että tämä Pokémon tekee niin pelätessään tulevaisuuden kauheita asioita.</v>
      </c>
      <c r="C3810" s="9" t="s">
        <v>1344</v>
      </c>
    </row>
    <row r="3811" ht="33.75" customHeight="1">
      <c r="A3811" s="6" t="s">
        <v>5667</v>
      </c>
      <c r="B3811" s="6" t="str">
        <f>IFERROR(__xludf.DUMMYFUNCTION("GOOGLETRANSLATE(A3811,""en"",""fi"")"),"Xatun tiedetään seisovan liikkumattomana tuijottaen aurinkoa koko päivän. Jotkut ihmiset kunnioittavat sitä mystisenä Pokémonina, koska he uskovat Xatun omaavan kyvyn nähdä tulevaisuuteen.")</f>
        <v>Xatun tiedetään seisovan liikkumattomana tuijottaen aurinkoa koko päivän. Jotkut ihmiset kunnioittavat sitä mystisenä Pokémonina, koska he uskovat Xatun omaavan kyvyn nähdä tulevaisuuteen.</v>
      </c>
      <c r="C3811" s="9" t="s">
        <v>1344</v>
      </c>
    </row>
    <row r="3812" ht="33.75" customHeight="1">
      <c r="A3812" s="6" t="s">
        <v>5669</v>
      </c>
      <c r="B3812" s="6" t="str">
        <f>IFERROR(__xludf.DUMMYFUNCTION("GOOGLETRANSLATE(A3812,""en"",""fi"")"),"Sanotaan, että vaikka tällä Pokémonilla on kyky ennustaa tulevaisuutta, se ei ole tarpeeksi voimakas muuttamaan näkemäänsä tulevaisuutta.")</f>
        <v>Sanotaan, että vaikka tällä Pokémonilla on kyky ennustaa tulevaisuutta, se ei ole tarpeeksi voimakas muuttamaan näkemäänsä tulevaisuutta.</v>
      </c>
      <c r="C3812" s="9" t="s">
        <v>1344</v>
      </c>
    </row>
    <row r="3813" ht="33.75" customHeight="1">
      <c r="A3813" s="6" t="s">
        <v>5670</v>
      </c>
      <c r="B3813" s="6" t="str">
        <f>IFERROR(__xludf.DUMMYFUNCTION("GOOGLETRANSLATE(A3813,""en"",""fi"")"),"Vaikka se näkee tulevaisuuden, sillä ei ole halua muuttaa sitä, minkä vuoksi se luultavasti pysyy aina liikkumattomana.")</f>
        <v>Vaikka se näkee tulevaisuuden, sillä ei ole halua muuttaa sitä, minkä vuoksi se luultavasti pysyy aina liikkumattomana.</v>
      </c>
      <c r="C3813" s="9" t="s">
        <v>1344</v>
      </c>
    </row>
    <row r="3814" ht="33.75" customHeight="1">
      <c r="A3814" s="6" t="s">
        <v>5672</v>
      </c>
      <c r="B3814" s="6" t="str">
        <f>IFERROR(__xludf.DUMMYFUNCTION("GOOGLETRANSLATE(A3814,""en"",""fi"")"),"Jos sen kehoon kertyy staattista sähköä, sen fleecekankaan tilavuus kaksinkertaistuu. Sen koskettaminen aiheuttaa sähköiskun.")</f>
        <v>Jos sen kehoon kertyy staattista sähköä, sen fleecekankaan tilavuus kaksinkertaistuu. Sen koskettaminen aiheuttaa sähköiskun.</v>
      </c>
      <c r="C3814" s="9" t="s">
        <v>1344</v>
      </c>
    </row>
    <row r="3815" ht="33.75" customHeight="1">
      <c r="A3815" s="6" t="s">
        <v>5673</v>
      </c>
      <c r="B3815" s="6" t="str">
        <f>IFERROR(__xludf.DUMMYFUNCTION("GOOGLETRANSLATE(A3815,""en"",""fi"")"),"Sen turkki kasvaa jatkuvasti. Kesällä turkki karvaa kokonaan, mutta kasvaa takaisin viikossa.")</f>
        <v>Sen turkki kasvaa jatkuvasti. Kesällä turkki karvaa kokonaan, mutta kasvaa takaisin viikossa.</v>
      </c>
      <c r="C3815" s="9" t="s">
        <v>1344</v>
      </c>
    </row>
    <row r="3816" ht="33.75" customHeight="1">
      <c r="A3816" s="6" t="s">
        <v>5675</v>
      </c>
      <c r="B3816" s="6" t="str">
        <f>IFERROR(__xludf.DUMMYFUNCTION("GOOGLETRANSLATE(A3816,""en"",""fi"")"),"Se varastoi paljon ilmaa pehmeään turkkiinsa, minkä ansiosta se pysyy viileänä kesällä ja lämpimänä talvella.")</f>
        <v>Se varastoi paljon ilmaa pehmeään turkkiinsa, minkä ansiosta se pysyy viileänä kesällä ja lämpimänä talvella.</v>
      </c>
      <c r="C3816" s="9" t="s">
        <v>1344</v>
      </c>
    </row>
    <row r="3817" ht="33.75" customHeight="1">
      <c r="A3817" s="6" t="s">
        <v>5676</v>
      </c>
      <c r="B3817" s="6" t="str">
        <f>IFERROR(__xludf.DUMMYFUNCTION("GOOGLETRANSLATE(A3817,""en"",""fi"")"),"MAREEPin pörröinen villaturkki hankautuu yhteen ja varaa staattisen sähkön. Mitä enemmän staattista sähköä sen pyrstössä on, sitä kirkkaammin sen hännänpäässä oleva hehkulamppu palaa.")</f>
        <v>MAREEPin pörröinen villaturkki hankautuu yhteen ja varaa staattisen sähkön. Mitä enemmän staattista sähköä sen pyrstössä on, sitä kirkkaammin sen hännänpäässä oleva hehkulamppu palaa.</v>
      </c>
      <c r="C3817" s="9" t="s">
        <v>1344</v>
      </c>
    </row>
    <row r="3818" ht="33.75" customHeight="1">
      <c r="A3818" s="6" t="s">
        <v>5677</v>
      </c>
      <c r="B3818" s="6" t="str">
        <f>IFERROR(__xludf.DUMMYFUNCTION("GOOGLETRANSLATE(A3818,""en"",""fi"")"),"Sen pörröinen villa hankautuu yhteen ja varaa staattisen sähkön. Mitä enemmän energiaa latautuu, sitä kirkkaammin sen pyrstön kärjessä oleva hehkulamppu hehkuu.")</f>
        <v>Sen pörröinen villa hankautuu yhteen ja varaa staattisen sähkön. Mitä enemmän energiaa latautuu, sitä kirkkaammin sen pyrstön kärjessä oleva hehkulamppu hehkuu.</v>
      </c>
      <c r="C3818" s="9" t="s">
        <v>1344</v>
      </c>
    </row>
    <row r="3819" ht="33.75" customHeight="1">
      <c r="A3819" s="6" t="s">
        <v>5678</v>
      </c>
      <c r="B3819" s="6" t="str">
        <f>IFERROR(__xludf.DUMMYFUNCTION("GOOGLETRANSLATE(A3819,""en"",""fi"")"),"Jos sen kehoon kertyy staattista sähköä, sen fleecevuori kaksinkertaistuu tilavuudeltaan. Sen koskettaminen aiheuttaa sähköiskun.")</f>
        <v>Jos sen kehoon kertyy staattista sähköä, sen fleecevuori kaksinkertaistuu tilavuudeltaan. Sen koskettaminen aiheuttaa sähköiskun.</v>
      </c>
      <c r="C3819" s="9" t="s">
        <v>1344</v>
      </c>
    </row>
    <row r="3820" ht="33.75" customHeight="1">
      <c r="A3820" s="6" t="s">
        <v>5679</v>
      </c>
      <c r="B3820" s="6" t="str">
        <f>IFERROR(__xludf.DUMMYFUNCTION("GOOGLETRANSLATE(A3820,""en"",""fi"")"),"Sen pörröinen turkki turpoaa kaksinkertaiseksi staattisen sähkön kertyessä. Sen koskettaminen voi olla järkyttävää.")</f>
        <v>Sen pörröinen turkki turpoaa kaksinkertaiseksi staattisen sähkön kertyessä. Sen koskettaminen voi olla järkyttävää.</v>
      </c>
      <c r="C3820" s="9" t="s">
        <v>1344</v>
      </c>
    </row>
    <row r="3821" ht="33.75" customHeight="1">
      <c r="A3821" s="6" t="s">
        <v>5681</v>
      </c>
      <c r="B3821" s="6" t="str">
        <f>IFERROR(__xludf.DUMMYFUNCTION("GOOGLETRANSLATE(A3821,""en"",""fi"")"),"Kun kylmä sää lisää staattista sähköä, sen villa kaksinkertaistuu kooltaan ja sen hännänpää hehkuu hieman.")</f>
        <v>Kun kylmä sää lisää staattista sähköä, sen villa kaksinkertaistuu kooltaan ja sen hännänpää hehkuu hieman.</v>
      </c>
      <c r="C3821" s="9" t="s">
        <v>1344</v>
      </c>
    </row>
    <row r="3822" ht="33.75" customHeight="1">
      <c r="A3822" s="6" t="s">
        <v>5683</v>
      </c>
      <c r="B3822" s="6" t="str">
        <f>IFERROR(__xludf.DUMMYFUNCTION("GOOGLETRANSLATE(A3822,""en"",""fi"")"),"Mareepin pörröinen villaturkki hankautuu yhteen ja varaa staattisen sähkön. Mitä enemmän staattista sähköä sen hännänpäässä on, sitä kirkkaammin sen pyrstönpäässä oleva hehkulamppu hehkuu.")</f>
        <v>Mareepin pörröinen villaturkki hankautuu yhteen ja varaa staattisen sähkön. Mitä enemmän staattista sähköä sen hännänpäässä on, sitä kirkkaammin sen pyrstönpäässä oleva hehkulamppu hehkuu.</v>
      </c>
      <c r="C3822" s="9" t="s">
        <v>1344</v>
      </c>
    </row>
    <row r="3823" ht="33.75" customHeight="1">
      <c r="A3823" s="6" t="s">
        <v>5684</v>
      </c>
      <c r="B3823" s="6" t="str">
        <f>IFERROR(__xludf.DUMMYFUNCTION("GOOGLETRANSLATE(A3823,""en"",""fi"")"),"Mareepin fleecekankaasta valmistetut vaatteet latautuvat helposti staattisella sähköllä, joten niihin käytetään erityistä prosessia.")</f>
        <v>Mareepin fleecekankaasta valmistetut vaatteet latautuvat helposti staattisella sähköllä, joten niihin käytetään erityistä prosessia.</v>
      </c>
      <c r="C3823" s="9" t="s">
        <v>1344</v>
      </c>
    </row>
    <row r="3824" ht="33.75" customHeight="1">
      <c r="A3824" s="6" t="s">
        <v>5685</v>
      </c>
      <c r="B3824" s="6" t="str">
        <f>IFERROR(__xludf.DUMMYFUNCTION("GOOGLETRANSLATE(A3824,""en"",""fi"")"),"Sen fleecen hankaaminen tuottaa sähköä. Haluat varmasti silittää sitä, koska se on söpö, mutta jos käytät sitä paljaalla kädellä, saat tuskallisen sähköiskun.")</f>
        <v>Sen fleecen hankaaminen tuottaa sähköä. Haluat varmasti silittää sitä, koska se on söpö, mutta jos käytät sitä paljaalla kädellä, saat tuskallisen sähköiskun.</v>
      </c>
      <c r="C3824" s="9" t="s">
        <v>1344</v>
      </c>
    </row>
    <row r="3825" ht="33.75" customHeight="1">
      <c r="A3825" s="6" t="s">
        <v>5686</v>
      </c>
      <c r="B3825" s="6" t="str">
        <f>IFERROR(__xludf.DUMMYFUNCTION("GOOGLETRANSLATE(A3825,""en"",""fi"")"),"Liian suuren sähkön varastoinnin seurauksena sille kehittyi laikkuja, joilla edes untuvainen villa ei kasva.")</f>
        <v>Liian suuren sähkön varastoinnin seurauksena sille kehittyi laikkuja, joilla edes untuvainen villa ei kasva.</v>
      </c>
      <c r="C3825" s="9" t="s">
        <v>1344</v>
      </c>
    </row>
    <row r="3826" ht="33.75" customHeight="1">
      <c r="A3826" s="6" t="s">
        <v>5688</v>
      </c>
      <c r="B3826" s="6" t="str">
        <f>IFERROR(__xludf.DUMMYFUNCTION("GOOGLETRANSLATE(A3826,""en"",""fi"")"),"Sen pörröinen fleece varastoi helposti sähköä. Sen kumimainen nahka estää sähköiskun.")</f>
        <v>Sen pörröinen fleece varastoi helposti sähköä. Sen kumimainen nahka estää sähköiskun.</v>
      </c>
      <c r="C3826" s="9" t="s">
        <v>1344</v>
      </c>
    </row>
    <row r="3827" ht="33.75" customHeight="1">
      <c r="A3827" s="6" t="s">
        <v>5689</v>
      </c>
      <c r="B3827" s="6" t="str">
        <f>IFERROR(__xludf.DUMMYFUNCTION("GOOGLETRANSLATE(A3827,""en"",""fi"")"),"Kumisen ja sähköä kestävän ihonsa ansiosta se voi varastoida paljon sähköä turkkiinsa.")</f>
        <v>Kumisen ja sähköä kestävän ihonsa ansiosta se voi varastoida paljon sähköä turkkiinsa.</v>
      </c>
      <c r="C3827" s="9" t="s">
        <v>1344</v>
      </c>
    </row>
    <row r="3828" ht="33.75" customHeight="1">
      <c r="A3828" s="6" t="s">
        <v>5690</v>
      </c>
      <c r="B3828" s="6" t="str">
        <f>IFERROR(__xludf.DUMMYFUNCTION("GOOGLETRANSLATE(A3828,""en"",""fi"")"),"FLAAFFYn villan laatu muuttuu siten, että se voi tuottaa paljon staattista sähköä pienellä villamäärällä. Sen nahan paljaat ja liukkaat osat on suojattu sähköltä.")</f>
        <v>FLAAFFYn villan laatu muuttuu siten, että se voi tuottaa paljon staattista sähköä pienellä villamäärällä. Sen nahan paljaat ja liukkaat osat on suojattu sähköltä.</v>
      </c>
      <c r="C3828" s="9" t="s">
        <v>1344</v>
      </c>
    </row>
    <row r="3829" ht="33.75" customHeight="1">
      <c r="A3829" s="6" t="s">
        <v>5691</v>
      </c>
      <c r="B3829" s="6" t="str">
        <f>IFERROR(__xludf.DUMMYFUNCTION("GOOGLETRANSLATE(A3829,""en"",""fi"")"),"Sen fleecen laatu muuttuu ja pieni määrä villaa tuottaa voimakasta staattista sähköä. Sen nahan paljaat, liukkaat osat ovat suojattuja sähköltä.")</f>
        <v>Sen fleecen laatu muuttuu ja pieni määrä villaa tuottaa voimakasta staattista sähköä. Sen nahan paljaat, liukkaat osat ovat suojattuja sähköltä.</v>
      </c>
      <c r="C3829" s="9" t="s">
        <v>1344</v>
      </c>
    </row>
    <row r="3830" ht="33.75" customHeight="1">
      <c r="A3830" s="6" t="s">
        <v>5692</v>
      </c>
      <c r="B3830" s="6" t="str">
        <f>IFERROR(__xludf.DUMMYFUNCTION("GOOGLETRANSLATE(A3830,""en"",""fi"")"),"Liian suuren sähkön varastoinnin seurauksena sille kehittyi laikkuja, joilla edes untuvainen villa ei kasva.")</f>
        <v>Liian suuren sähkön varastoinnin seurauksena sille kehittyi laikkuja, joilla edes untuvainen villa ei kasva.</v>
      </c>
      <c r="C3830" s="9" t="s">
        <v>1344</v>
      </c>
    </row>
    <row r="3831" ht="33.75" customHeight="1">
      <c r="A3831" s="6" t="s">
        <v>5693</v>
      </c>
      <c r="B3831" s="6" t="str">
        <f>IFERROR(__xludf.DUMMYFUNCTION("GOOGLETRANSLATE(A3831,""en"",""fi"")"),"Jos sen turkki latautuu täyteen sähköllä, sen pyrstö syttyy. Se ampuu karvoja, jotka lentävät iskusta irti.")</f>
        <v>Jos sen turkki latautuu täyteen sähköllä, sen pyrstö syttyy. Se ampuu karvoja, jotka lentävät iskusta irti.</v>
      </c>
      <c r="C3831" s="9" t="s">
        <v>1344</v>
      </c>
    </row>
    <row r="3832" ht="33.75" customHeight="1">
      <c r="A3832" s="6" t="s">
        <v>5695</v>
      </c>
      <c r="B3832" s="6" t="str">
        <f>IFERROR(__xludf.DUMMYFUNCTION("GOOGLETRANSLATE(A3832,""en"",""fi"")"),"Sen kumimaisilla, sähköä johtamattomilla ihoalueilla, jotka estävät sähköiskun, ei kasva edes untuvainen villa.")</f>
        <v>Sen kumimaisilla, sähköä johtamattomilla ihoalueilla, jotka estävät sähköiskun, ei kasva edes untuvainen villa.</v>
      </c>
      <c r="C3832" s="9" t="s">
        <v>1344</v>
      </c>
    </row>
    <row r="3833" ht="33.75" customHeight="1">
      <c r="A3833" s="6" t="s">
        <v>5696</v>
      </c>
      <c r="B3833" s="6" t="str">
        <f>IFERROR(__xludf.DUMMYFUNCTION("GOOGLETRANSLATE(A3833,""en"",""fi"")"),"Flaaffyn villan laatu muuttuu niin, että se voi tuottaa paljon staattista sähköä pienellä villamäärällä. Sen nahan paljaat ja liukkaat osat ovat suojattuja sähköltä.")</f>
        <v>Flaaffyn villan laatu muuttuu niin, että se voi tuottaa paljon staattista sähköä pienellä villamäärällä. Sen nahan paljaat ja liukkaat osat ovat suojattuja sähköltä.</v>
      </c>
      <c r="C3833" s="9" t="s">
        <v>1344</v>
      </c>
    </row>
    <row r="3834" ht="33.75" customHeight="1">
      <c r="A3834" s="6" t="s">
        <v>5697</v>
      </c>
      <c r="B3834" s="6" t="str">
        <f>IFERROR(__xludf.DUMMYFUNCTION("GOOGLETRANSLATE(A3834,""en"",""fi"")"),"Niissä kehon kohdissa, joissa villaa ei kasva, sen iho on kumimaista eikä johda sähköä. Näitä kohtia on turvallista koskettaa.")</f>
        <v>Niissä kehon kohdissa, joissa villaa ei kasva, sen iho on kumimaista eikä johda sähköä. Näitä kohtia on turvallista koskettaa.</v>
      </c>
      <c r="C3834" s="9" t="s">
        <v>1344</v>
      </c>
    </row>
    <row r="3835" ht="33.75" customHeight="1">
      <c r="A3835" s="6" t="s">
        <v>5698</v>
      </c>
      <c r="B3835" s="6" t="str">
        <f>IFERROR(__xludf.DUMMYFUNCTION("GOOGLETRANSLATE(A3835,""en"",""fi"")"),"Se varastoi sähköä pörröiseen fleeceensä. Jos se varastoi liikaa, se alkaa kaljuuntua noista kohdista.")</f>
        <v>Se varastoi sähköä pörröiseen fleeceensä. Jos se varastoi liikaa, se alkaa kaljuuntua noista kohdista.</v>
      </c>
      <c r="C3835" s="9" t="s">
        <v>1344</v>
      </c>
    </row>
    <row r="3836" ht="33.75" customHeight="1">
      <c r="A3836" s="6" t="s">
        <v>5699</v>
      </c>
      <c r="B3836" s="6" t="str">
        <f>IFERROR(__xludf.DUMMYFUNCTION("GOOGLETRANSLATE(A3836,""en"",""fi"")"),"Hännän kärki loistaa kirkkaasti ja näkyy kaukaa. Se toimii majakkana eksyneille.")</f>
        <v>Hännän kärki loistaa kirkkaasti ja näkyy kaukaa. Se toimii majakkana eksyneille.</v>
      </c>
      <c r="C3836" s="9" t="s">
        <v>1344</v>
      </c>
    </row>
    <row r="3837" ht="33.75" customHeight="1">
      <c r="A3837" s="6" t="s">
        <v>5700</v>
      </c>
      <c r="B3837" s="6" t="str">
        <f>IFERROR(__xludf.DUMMYFUNCTION("GOOGLETRANSLATE(A3837,""en"",""fi"")"),"Sen pyrstön kirkas valo näkyy kauas. Sitä on vaalittu majakkana muinaisista ajoista lähtien.")</f>
        <v>Sen pyrstön kirkas valo näkyy kauas. Sitä on vaalittu majakkana muinaisista ajoista lähtien.</v>
      </c>
      <c r="C3837" s="9" t="s">
        <v>1344</v>
      </c>
    </row>
    <row r="3838" ht="33.75" customHeight="1">
      <c r="A3838" s="6" t="s">
        <v>5701</v>
      </c>
      <c r="B3838" s="6" t="str">
        <f>IFERROR(__xludf.DUMMYFUNCTION("GOOGLETRANSLATE(A3838,""en"",""fi"")"),"Kun hämärtyy, sen kirkkaan, kiiltävän pyrstön valo näkyy kaukaa meren pinnalla.")</f>
        <v>Kun hämärtyy, sen kirkkaan, kiiltävän pyrstön valo näkyy kaukaa meren pinnalla.</v>
      </c>
      <c r="C3838" s="9" t="s">
        <v>1344</v>
      </c>
    </row>
    <row r="3839" ht="33.75" customHeight="1">
      <c r="A3839" s="6" t="s">
        <v>5702</v>
      </c>
      <c r="B3839" s="6" t="str">
        <f>IFERROR(__xludf.DUMMYFUNCTION("GOOGLETRANSLATE(A3839,""en"",""fi"")"),"AMPHAROS säteilee niin paljon valoa, että se näkyy jopa avaruudesta. Ennen vanhaan ihmiset käyttivät tämän POKéMONin valoa lähettääkseen signaaleja edestakaisin kaukaisten POKéMONien kanssa.")</f>
        <v>AMPHAROS säteilee niin paljon valoa, että se näkyy jopa avaruudesta. Ennen vanhaan ihmiset käyttivät tämän POKéMONin valoa lähettääkseen signaaleja edestakaisin kaukaisten POKéMONien kanssa.</v>
      </c>
      <c r="C3839" s="9" t="s">
        <v>1344</v>
      </c>
    </row>
    <row r="3840" ht="33.75" customHeight="1">
      <c r="A3840" s="6" t="s">
        <v>5703</v>
      </c>
      <c r="B3840" s="6" t="str">
        <f>IFERROR(__xludf.DUMMYFUNCTION("GOOGLETRANSLATE(A3840,""en"",""fi"")"),"Se säteilee niin paljon valoa, että se näkyy jopa avaruudesta. Ennen vanhaan ihmiset käyttivät sen valoa lähettääkseen signaaleja edestakaisin kaukaisten ihmisten kanssa.")</f>
        <v>Se säteilee niin paljon valoa, että se näkyy jopa avaruudesta. Ennen vanhaan ihmiset käyttivät sen valoa lähettääkseen signaaleja edestakaisin kaukaisten ihmisten kanssa.</v>
      </c>
      <c r="C3840" s="9" t="s">
        <v>1344</v>
      </c>
    </row>
    <row r="3841" ht="33.75" customHeight="1">
      <c r="A3841" s="6" t="s">
        <v>5705</v>
      </c>
      <c r="B3841" s="6" t="str">
        <f>IFERROR(__xludf.DUMMYFUNCTION("GOOGLETRANSLATE(A3841,""en"",""fi"")"),"Hännän kärki loistaa kirkkaasti ja näkyy kaukaa. Se toimii majakkana eksyneille.")</f>
        <v>Hännän kärki loistaa kirkkaasti ja näkyy kaukaa. Se toimii majakkana eksyneille.</v>
      </c>
      <c r="C3841" s="9" t="s">
        <v>1344</v>
      </c>
    </row>
    <row r="3842" ht="33.75" customHeight="1">
      <c r="A3842" s="6" t="s">
        <v>5706</v>
      </c>
      <c r="B3842" s="6" t="str">
        <f>IFERROR(__xludf.DUMMYFUNCTION("GOOGLETRANSLATE(A3842,""en"",""fi"")"),"Sen pyrstönpää loistaa kirkkaasti. Ennen vanhaan ihmiset lähettivät signaaleja pyrstön valon avulla.")</f>
        <v>Sen pyrstönpää loistaa kirkkaasti. Ennen vanhaan ihmiset lähettivät signaaleja pyrstön valon avulla.</v>
      </c>
      <c r="C3842" s="9" t="s">
        <v>1344</v>
      </c>
    </row>
    <row r="3843" ht="33.75" customHeight="1">
      <c r="A3843" s="6" t="s">
        <v>5708</v>
      </c>
      <c r="B3843" s="6" t="str">
        <f>IFERROR(__xludf.DUMMYFUNCTION("GOOGLETRANSLATE(A3843,""en"",""fi"")"),"Sen pyrstönkärki loistaa niin kirkkaasti, että sitä voidaan käyttää merimerkkien lähettämiseen kaukaisille vieraille rannoille.")</f>
        <v>Sen pyrstönkärki loistaa niin kirkkaasti, että sitä voidaan käyttää merimerkkien lähettämiseen kaukaisille vieraille rannoille.</v>
      </c>
      <c r="C3843" s="9" t="s">
        <v>1344</v>
      </c>
    </row>
    <row r="3844" ht="33.75" customHeight="1">
      <c r="A3844" s="6" t="s">
        <v>5709</v>
      </c>
      <c r="B3844" s="6" t="str">
        <f>IFERROR(__xludf.DUMMYFUNCTION("GOOGLETRANSLATE(A3844,""en"",""fi"")"),"Ampharos säteilee niin paljon valoa, että se näkyy jopa avaruudesta. Vanhaan aikaan ihmiset käyttivät tämän Pokémonin valoa lähettääkseen signaaleja edestakaisin kaukaisten Pokémonien kanssa.")</f>
        <v>Ampharos säteilee niin paljon valoa, että se näkyy jopa avaruudesta. Vanhaan aikaan ihmiset käyttivät tämän Pokémonin valoa lähettääkseen signaaleja edestakaisin kaukaisten Pokémonien kanssa.</v>
      </c>
      <c r="C3844" s="9" t="s">
        <v>1344</v>
      </c>
    </row>
    <row r="3845" ht="33.75" customHeight="1">
      <c r="A3845" s="6" t="s">
        <v>5711</v>
      </c>
      <c r="B3845" s="6" t="str">
        <f>IFERROR(__xludf.DUMMYFUNCTION("GOOGLETRANSLATE(A3845,""en"",""fi"")"),"Sen pyrstön valo näkyy avaruudesta. Siksi sen sijainti on aina nähtävissä, minkä vuoksi se yleensä pitää valon sammutettuna.")</f>
        <v>Sen pyrstön valo näkyy avaruudesta. Siksi sen sijainti on aina nähtävissä, minkä vuoksi se yleensä pitää valon sammutettuna.</v>
      </c>
      <c r="C3845" s="9" t="s">
        <v>1344</v>
      </c>
    </row>
    <row r="3846" ht="33.75" customHeight="1">
      <c r="A3846" s="6" t="s">
        <v>5713</v>
      </c>
      <c r="B3846" s="6" t="str">
        <f>IFERROR(__xludf.DUMMYFUNCTION("GOOGLETRANSLATE(A3846,""en"",""fi"")"),"Sen pyrstö loistaa kirkkaasti ja voimakkaasti. Sitä on arvostettu merimiesten majakkana jo kauan sitten.")</f>
        <v>Sen pyrstö loistaa kirkkaasti ja voimakkaasti. Sitä on arvostettu merimiesten majakkana jo kauan sitten.</v>
      </c>
      <c r="C3846" s="9" t="s">
        <v>1344</v>
      </c>
    </row>
    <row r="3847" ht="33.75" customHeight="1">
      <c r="A3847" s="6" t="s">
        <v>5714</v>
      </c>
      <c r="B3847" s="6" t="str">
        <f>IFERROR(__xludf.DUMMYFUNCTION("GOOGLETRANSLATE(A3847,""en"",""fi"")"),"BELLOSSOM kokoontuu ajoittain ja näyttää tanssivan. Heidän sanotaan, että tanssi on rituaali auringon kutsumiseksi.")</f>
        <v>BELLOSSOM kokoontuu ajoittain ja näyttää tanssivan. Heidän sanotaan, että tanssi on rituaali auringon kutsumiseksi.</v>
      </c>
      <c r="C3847" s="9" t="s">
        <v>1344</v>
      </c>
    </row>
    <row r="3848" ht="33.75" customHeight="1">
      <c r="A3848" s="6" t="s">
        <v>5716</v>
      </c>
      <c r="B3848" s="6" t="str">
        <f>IFERROR(__xludf.DUMMYFUNCTION("GOOGLETRANSLATE(A3848,""en"",""fi"")"),"Runsas tropiikissa. Tanssiessaan sen terälehdet hankautuvat yhteen ja muodostavat miellyttävän soivan äänen.")</f>
        <v>Runsas tropiikissa. Tanssiessaan sen terälehdet hankautuvat yhteen ja muodostavat miellyttävän soivan äänen.</v>
      </c>
      <c r="C3848" s="9" t="s">
        <v>1344</v>
      </c>
    </row>
    <row r="3849" ht="33.75" customHeight="1">
      <c r="A3849" s="6" t="s">
        <v>5718</v>
      </c>
      <c r="B3849" s="6" t="str">
        <f>IFERROR(__xludf.DUMMYFUNCTION("GOOGLETRANSLATE(A3849,""en"",""fi"")"),"Kun nämä tanssivat yhdessä, niiden terälehdet hankautuvat toisiaan vasten ja tuottavat kauniita, rentouttavia ääniä.")</f>
        <v>Kun nämä tanssivat yhdessä, niiden terälehdet hankautuvat toisiaan vasten ja tuottavat kauniita, rentouttavia ääniä.</v>
      </c>
      <c r="C3849" s="9" t="s">
        <v>1344</v>
      </c>
    </row>
    <row r="3850" ht="33.75" customHeight="1">
      <c r="A3850" s="6" t="s">
        <v>5720</v>
      </c>
      <c r="B3850" s="6" t="str">
        <f>IFERROR(__xludf.DUMMYFUNCTION("GOOGLETRANSLATE(A3850,""en"",""fi"")"),"Kun BELLOSSOM altistuu runsaalle auringonvalolle, sen kehoa ympäröivät lehdet alkavat pyöriä. Tämän POKéMONin tanssiminen on tunnettua eteläisillä alueilla.")</f>
        <v>Kun BELLOSSOM altistuu runsaalle auringonvalolle, sen kehoa ympäröivät lehdet alkavat pyöriä. Tämän POKéMONin tanssiminen on tunnettua eteläisillä alueilla.</v>
      </c>
      <c r="C3850" s="9" t="s">
        <v>1344</v>
      </c>
    </row>
    <row r="3851" ht="33.75" customHeight="1">
      <c r="A3851" s="6" t="s">
        <v>5721</v>
      </c>
      <c r="B3851" s="6" t="str">
        <f>IFERROR(__xludf.DUMMYFUNCTION("GOOGLETRANSLATE(A3851,""en"",""fi"")"),"BELLOSSOM kukkii kauniimmin, jos se on kehittynyt haisevasta synkkyydestä – mitä haisevampi, sen parempi. Yöllä tämä POKéMON sulkee terälehtensä ja nukahtaa.")</f>
        <v>BELLOSSOM kukkii kauniimmin, jos se on kehittynyt haisevasta synkkyydestä – mitä haisevampi, sen parempi. Yöllä tämä POKéMON sulkee terälehtensä ja nukahtaa.</v>
      </c>
      <c r="C3851" s="9" t="s">
        <v>1344</v>
      </c>
    </row>
    <row r="3852" ht="33.75" customHeight="1">
      <c r="A3852" s="6" t="s">
        <v>5723</v>
      </c>
      <c r="B3852" s="6" t="str">
        <f>IFERROR(__xludf.DUMMYFUNCTION("GOOGLETRANSLATE(A3852,""en"",""fi"")"),"Sen kukkaterälehdet syventyvät auringonvalon vaikutuksesta. Pilvisellä säällä se tanssii, jonka uskotaan olevan auringon kutsumiseen tarkoitettu rituaali.")</f>
        <v>Sen kukkaterälehdet syventyvät auringonvalon vaikutuksesta. Pilvisellä säällä se tanssii, jonka uskotaan olevan auringon kutsumiseen tarkoitettu rituaali.</v>
      </c>
      <c r="C3852" s="9" t="s">
        <v>1344</v>
      </c>
    </row>
    <row r="3853" ht="33.75" customHeight="1">
      <c r="A3853" s="6" t="s">
        <v>5724</v>
      </c>
      <c r="B3853" s="6" t="str">
        <f>IFERROR(__xludf.DUMMYFUNCTION("GOOGLETRANSLATE(A3853,""en"",""fi"")"),"Kun rankkasadekausi päättyy, lämmin auringonvalo vetää sen tanssimaan ulkona.")</f>
        <v>Kun rankkasadekausi päättyy, lämmin auringonvalo vetää sen tanssimaan ulkona.</v>
      </c>
      <c r="C3853" s="9" t="s">
        <v>1344</v>
      </c>
    </row>
    <row r="3854" ht="33.75" customHeight="1">
      <c r="A3854" s="6" t="s">
        <v>5725</v>
      </c>
      <c r="B3854" s="6" t="str">
        <f>IFERROR(__xludf.DUMMYFUNCTION("GOOGLETRANSLATE(A3854,""en"",""fi"")"),"BELLOSSOM kokoontuu ajoittain ja näyttää tanssivan. He sanovat, että tanssi on rituaali auringon kutsumiseksi.")</f>
        <v>BELLOSSOM kokoontuu ajoittain ja näyttää tanssivan. He sanovat, että tanssi on rituaali auringon kutsumiseksi.</v>
      </c>
      <c r="C3854" s="9" t="s">
        <v>1344</v>
      </c>
    </row>
    <row r="3855" ht="33.75" customHeight="1">
      <c r="A3855" s="6" t="s">
        <v>5726</v>
      </c>
      <c r="B3855" s="6" t="str">
        <f>IFERROR(__xludf.DUMMYFUNCTION("GOOGLETRANSLATE(A3855,""en"",""fi"")"),"Bellossom kokoontuu ajoittain ja näyttää tanssivan. Heidän sanotaan, että tanssi on rituaali auringon kutsumiseksi.")</f>
        <v>Bellossom kokoontuu ajoittain ja näyttää tanssivan. Heidän sanotaan, että tanssi on rituaali auringon kutsumiseksi.</v>
      </c>
      <c r="C3855" s="9" t="s">
        <v>1344</v>
      </c>
    </row>
    <row r="3856" ht="33.75" customHeight="1">
      <c r="A3856" s="6" t="s">
        <v>5729</v>
      </c>
      <c r="B3856" s="6" t="str">
        <f>IFERROR(__xludf.DUMMYFUNCTION("GOOGLETRANSLATE(A3856,""en"",""fi"")"),"Kun Bellossom altistuu runsaalle auringonvalolle, sen vartaloa ympäröivät lehdet alkavat pyöriä. Tämän Pokémonin tanssi on tunnettua eteläisillä seuduilla.")</f>
        <v>Kun Bellossom altistuu runsaalle auringonvalolle, sen vartaloa ympäröivät lehdet alkavat pyöriä. Tämän Pokémonin tanssi on tunnettua eteläisillä seuduilla.</v>
      </c>
      <c r="C3856" s="9" t="s">
        <v>1344</v>
      </c>
    </row>
    <row r="3857" ht="33.75" customHeight="1">
      <c r="A3857" s="6" t="s">
        <v>5731</v>
      </c>
      <c r="B3857" s="6" t="str">
        <f>IFERROR(__xludf.DUMMYFUNCTION("GOOGLETRANSLATE(A3857,""en"",""fi"")"),"Bellossom kasvattaa kukkia kauniimmin, jos se on kehittynyt haisevasta synkkyydestä – mitä haisevampi, sen parempi. Yöllä tämä Pokémon sulkee terälehtensä ja nukahtaa.")</f>
        <v>Bellossom kasvattaa kukkia kauniimmin, jos se on kehittynyt haisevasta synkkyydestä – mitä haisevampi, sen parempi. Yöllä tämä Pokémon sulkee terälehtensä ja nukahtaa.</v>
      </c>
      <c r="C3857" s="9" t="s">
        <v>1344</v>
      </c>
    </row>
    <row r="3858" ht="33.75" customHeight="1">
      <c r="A3858" s="6" t="s">
        <v>5732</v>
      </c>
      <c r="B3858" s="6" t="str">
        <f>IFERROR(__xludf.DUMMYFUNCTION("GOOGLETRANSLATE(A3858,""en"",""fi"")"),"Bellossom kokoontuu ajoittain ja näyttää tanssivan. Heidän sanotaan, että tanssi on rituaali auringon kutsumiseksi.")</f>
        <v>Bellossom kokoontuu ajoittain ja näyttää tanssivan. Heidän sanotaan, että tanssi on rituaali auringon kutsumiseksi.</v>
      </c>
      <c r="C3858" s="9" t="s">
        <v>1344</v>
      </c>
    </row>
    <row r="3859" ht="33.75" customHeight="1">
      <c r="A3859" s="6" t="s">
        <v>5734</v>
      </c>
      <c r="B3859" s="6" t="str">
        <f>IFERROR(__xludf.DUMMYFUNCTION("GOOGLETRANSLATE(A3859,""en"",""fi"")"),"Sen pyrstönkärki, joka sisältää vettä kevyempää öljyä, antaa sen uida hukkumatta.")</f>
        <v>Sen pyrstönkärki, joka sisältää vettä kevyempää öljyä, antaa sen uida hukkumatta.</v>
      </c>
      <c r="C3859" s="9" t="s">
        <v>1344</v>
      </c>
    </row>
    <row r="3860" ht="33.75" customHeight="1">
      <c r="A3860" s="6" t="s">
        <v>5735</v>
      </c>
      <c r="B3860" s="6" t="str">
        <f>IFERROR(__xludf.DUMMYFUNCTION("GOOGLETRANSLATE(A3860,""en"",""fi"")"),"Sen pyrstön pää toimii poijuna, joka estää sitä hukkumasta edes voimakkaassa virtauksessa.")</f>
        <v>Sen pyrstön pää toimii poijuna, joka estää sitä hukkumasta edes voimakkaassa virtauksessa.</v>
      </c>
      <c r="C3860" s="9" t="s">
        <v>1344</v>
      </c>
    </row>
    <row r="3861" ht="33.75" customHeight="1">
      <c r="A3861" s="6" t="s">
        <v>5737</v>
      </c>
      <c r="B3861" s="6" t="str">
        <f>IFERROR(__xludf.DUMMYFUNCTION("GOOGLETRANSLATE(A3861,""en"",""fi"")"),"Sen turkki hylkii luonnostaan ​​vettä. Se pysyy kuivana, jopa leikkiessään vedessä.")</f>
        <v>Sen turkki hylkii luonnostaan ​​vettä. Se pysyy kuivana, jopa leikkiessään vedessä.</v>
      </c>
      <c r="C3861" s="9" t="s">
        <v>1344</v>
      </c>
    </row>
    <row r="3862" ht="33.75" customHeight="1">
      <c r="A3862" s="6" t="s">
        <v>5739</v>
      </c>
      <c r="B3862" s="6" t="str">
        <f>IFERROR(__xludf.DUMMYFUNCTION("GOOGLETRANSLATE(A3862,""en"",""fi"")"),"MARILLin öljyinen pyrstö toimii paljolti pelastusrenkaan tavoin. Jos näet jo pelkästään sen pyrstön kelluvan veden pinnalla, se on varma merkki siitä, että tämä POKéMON sukeltaa veden alle syömään vesikasveja.")</f>
        <v>MARILLin öljyinen pyrstö toimii paljolti pelastusrenkaan tavoin. Jos näet jo pelkästään sen pyrstön kelluvan veden pinnalla, se on varma merkki siitä, että tämä POKéMON sukeltaa veden alle syömään vesikasveja.</v>
      </c>
      <c r="C3862" s="9" t="s">
        <v>1344</v>
      </c>
    </row>
    <row r="3863" ht="33.75" customHeight="1">
      <c r="A3863" s="6" t="s">
        <v>5740</v>
      </c>
      <c r="B3863" s="6" t="str">
        <f>IFERROR(__xludf.DUMMYFUNCTION("GOOGLETRANSLATE(A3863,""en"",""fi"")"),"Kun MARILL kalastaa ruokaa nopeasti virtaavan puron reunalla, se kietoo pyrstönsä puun rungon ympärille. Tämän POKéMONin häntä on joustava ja venyvä.")</f>
        <v>Kun MARILL kalastaa ruokaa nopeasti virtaavan puron reunalla, se kietoo pyrstönsä puun rungon ympärille. Tämän POKéMONin häntä on joustava ja venyvä.</v>
      </c>
      <c r="C3863" s="9" t="s">
        <v>1344</v>
      </c>
    </row>
    <row r="3864" ht="33.75" customHeight="1">
      <c r="A3864" s="6" t="s">
        <v>5742</v>
      </c>
      <c r="B3864" s="6" t="str">
        <f>IFERROR(__xludf.DUMMYFUNCTION("GOOGLETRANSLATE(A3864,""en"",""fi"")"),"Sen ruumis on peitetty vettähylkivällä turkilla. Turkin ansiosta se voi uida vedessä suurella nopeudella veden vastuksen hidastumatta.")</f>
        <v>Sen ruumis on peitetty vettähylkivällä turkilla. Turkin ansiosta se voi uida vedessä suurella nopeudella veden vastuksen hidastumatta.</v>
      </c>
      <c r="C3864" s="9" t="s">
        <v>1344</v>
      </c>
    </row>
    <row r="3865" ht="33.75" customHeight="1">
      <c r="A3865" s="6" t="s">
        <v>5744</v>
      </c>
      <c r="B3865" s="6" t="str">
        <f>IFERROR(__xludf.DUMMYFUNCTION("GOOGLETRANSLATE(A3865,""en"",""fi"")"),"Sen pyrstönpää, joka sisältää vettä kevyempää öljyä, antaa sen uida hukkumatta.")</f>
        <v>Sen pyrstönpää, joka sisältää vettä kevyempää öljyä, antaa sen uida hukkumatta.</v>
      </c>
      <c r="C3865" s="9" t="s">
        <v>1344</v>
      </c>
    </row>
    <row r="3866" ht="33.75" customHeight="1">
      <c r="A3866" s="6" t="s">
        <v>5745</v>
      </c>
      <c r="B3866" s="6" t="str">
        <f>IFERROR(__xludf.DUMMYFUNCTION("GOOGLETRANSLATE(A3866,""en"",""fi"")"),"Se sukeltaa veden alla käyttäen pyrstöään kellukkeena. Se syö mielellään jokien pohjassa kasvavia kasveja.")</f>
        <v>Se sukeltaa veden alla käyttäen pyrstöään kellukkeena. Se syö mielellään jokien pohjassa kasvavia kasveja.</v>
      </c>
      <c r="C3866" s="9" t="s">
        <v>1344</v>
      </c>
    </row>
    <row r="3867" ht="33.75" customHeight="1">
      <c r="A3867" s="6" t="s">
        <v>5746</v>
      </c>
      <c r="B3867" s="6" t="str">
        <f>IFERROR(__xludf.DUMMYFUNCTION("GOOGLETRANSLATE(A3867,""en"",""fi"")"),"Sen pyrstön kärki on täynnä vettä kevyempää öljyä, joten se toimii kellukkeena.")</f>
        <v>Sen pyrstön kärki on täynnä vettä kevyempää öljyä, joten se toimii kellukkeena.</v>
      </c>
      <c r="C3867" s="9" t="s">
        <v>1344</v>
      </c>
    </row>
    <row r="3868" ht="33.75" customHeight="1">
      <c r="A3868" s="6" t="s">
        <v>5748</v>
      </c>
      <c r="B3868" s="6" t="str">
        <f>IFERROR(__xludf.DUMMYFUNCTION("GOOGLETRANSLATE(A3868,""en"",""fi"")"),"Öljyinen pyrstönpää kelluu vedessä. Se estää MARILLia hukkumasta edes voimakkaassa virtauksessa.")</f>
        <v>Öljyinen pyrstönpää kelluu vedessä. Se estää MARILLia hukkumasta edes voimakkaassa virtauksessa.</v>
      </c>
      <c r="C3868" s="9" t="s">
        <v>1344</v>
      </c>
    </row>
    <row r="3869" ht="33.75" customHeight="1">
      <c r="A3869" s="6" t="s">
        <v>5750</v>
      </c>
      <c r="B3869" s="6" t="str">
        <f>IFERROR(__xludf.DUMMYFUNCTION("GOOGLETRANSLATE(A3869,""en"",""fi"")"),"Öljyinen pyrstönpää kelluu vedessä. Se estää Marillia hukkumasta edes voimakkaassa virtauksessa.")</f>
        <v>Öljyinen pyrstönpää kelluu vedessä. Se estää Marillia hukkumasta edes voimakkaassa virtauksessa.</v>
      </c>
      <c r="C3869" s="9" t="s">
        <v>1344</v>
      </c>
    </row>
    <row r="3870" ht="33.75" customHeight="1">
      <c r="A3870" s="6" t="s">
        <v>5751</v>
      </c>
      <c r="B3870" s="6" t="str">
        <f>IFERROR(__xludf.DUMMYFUNCTION("GOOGLETRANSLATE(A3870,""en"",""fi"")"),"Öljyllä täytetty pyrstö toimii poijuna, joten se sopii hyvin myös voimakkaissa joissa.")</f>
        <v>Öljyllä täytetty pyrstö toimii poijuna, joten se sopii hyvin myös voimakkaissa joissa.</v>
      </c>
      <c r="C3870" s="9" t="s">
        <v>1344</v>
      </c>
    </row>
    <row r="3871" ht="33.75" customHeight="1">
      <c r="A3871" s="6" t="s">
        <v>5752</v>
      </c>
      <c r="B3871" s="6" t="str">
        <f>IFERROR(__xludf.DUMMYFUNCTION("GOOGLETRANSLATE(A3871,""en"",""fi"")"),"Marillin öljyinen häntä toimii paljolti pelastusrenkaan tavoin. Jos näet vain sen hännän kelluvan veden pinnalla, se on varma merkki siitä, että tämä Pokémon sukeltaa veden alle syömään vesikasveja.")</f>
        <v>Marillin öljyinen häntä toimii paljolti pelastusrenkaan tavoin. Jos näet vain sen hännän kelluvan veden pinnalla, se on varma merkki siitä, että tämä Pokémon sukeltaa veden alle syömään vesikasveja.</v>
      </c>
      <c r="C3871" s="9" t="s">
        <v>1344</v>
      </c>
    </row>
    <row r="3872" ht="33.75" customHeight="1">
      <c r="A3872" s="6" t="s">
        <v>5754</v>
      </c>
      <c r="B3872" s="6" t="str">
        <f>IFERROR(__xludf.DUMMYFUNCTION("GOOGLETRANSLATE(A3872,""en"",""fi"")"),"Kun Marill kalastaa ruokaa nopeasti virtaavan puron reunalla, se kietoo häntänsä puun rungon ympärille. Tämän Pokémonin häntä on joustava ja muotoiltu venymään.")</f>
        <v>Kun Marill kalastaa ruokaa nopeasti virtaavan puron reunalla, se kietoo häntänsä puun rungon ympärille. Tämän Pokémonin häntä on joustava ja muotoiltu venymään.</v>
      </c>
      <c r="C3872" s="9" t="s">
        <v>1344</v>
      </c>
    </row>
    <row r="3873" ht="33.75" customHeight="1">
      <c r="A3873" s="6" t="s">
        <v>5756</v>
      </c>
      <c r="B3873" s="6" t="str">
        <f>IFERROR(__xludf.DUMMYFUNCTION("GOOGLETRANSLATE(A3873,""en"",""fi"")"),"Tämä Pokémon käyttää pyöreää häntäänsä kellukkeena. Marillin hännän pallo on täynnä ravinteita, jotka on muutettu öljyksi.")</f>
        <v>Tämä Pokémon käyttää pyöreää häntäänsä kellukkeena. Marillin hännän pallo on täynnä ravinteita, jotka on muutettu öljyksi.</v>
      </c>
      <c r="C3873" s="9" t="s">
        <v>1344</v>
      </c>
    </row>
    <row r="3874" ht="33.75" customHeight="1">
      <c r="A3874" s="6" t="s">
        <v>5757</v>
      </c>
      <c r="B3874" s="6" t="str">
        <f>IFERROR(__xludf.DUMMYFUNCTION("GOOGLETRANSLATE(A3874,""en"",""fi"")"),"Vaikka Marill ui kylmässä meressä, sen vettähylkivä turkki kuivuu lähes heti Marillin noustua vedestä. Siksi tämä Pokémon ei ole koskaan kylmä.")</f>
        <v>Vaikka Marill ui kylmässä meressä, sen vettähylkivä turkki kuivuu lähes heti Marillin noustua vedestä. Siksi tämä Pokémon ei ole koskaan kylmä.</v>
      </c>
      <c r="C3874" s="9" t="s">
        <v>1344</v>
      </c>
    </row>
    <row r="3875" ht="33.75" customHeight="1">
      <c r="A3875" s="6" t="s">
        <v>5759</v>
      </c>
      <c r="B3875" s="6" t="str">
        <f>IFERROR(__xludf.DUMMYFUNCTION("GOOGLETRANSLATE(A3875,""en"",""fi"")"),"Pysymällä paikallaan ja kuuntelemalla tarkkaavaisesti se voi kertoa, mitä on jopa villeissä, nopeasti virtaavissa joissa.")</f>
        <v>Pysymällä paikallaan ja kuuntelemalla tarkkaavaisesti se voi kertoa, mitä on jopa villeissä, nopeasti virtaavissa joissa.</v>
      </c>
      <c r="C3875" s="9" t="s">
        <v>1344</v>
      </c>
    </row>
    <row r="3876" ht="33.75" customHeight="1">
      <c r="A3876" s="6" t="s">
        <v>5760</v>
      </c>
      <c r="B3876" s="6" t="str">
        <f>IFERROR(__xludf.DUMMYFUNCTION("GOOGLETRANSLATE(A3876,""en"",""fi"")"),"Kun se leikkii vedessä, se kääntää pitkänomaiset korvansa ylös estääkseen niiden sisäpuolen kastumisen.")</f>
        <v>Kun se leikkii vedessä, se kääntää pitkänomaiset korvansa ylös estääkseen niiden sisäpuolen kastumisen.</v>
      </c>
      <c r="C3876" s="9" t="s">
        <v>1344</v>
      </c>
    </row>
    <row r="3877" ht="33.75" customHeight="1">
      <c r="A3877" s="6" t="s">
        <v>5761</v>
      </c>
      <c r="B3877" s="6" t="str">
        <f>IFERROR(__xludf.DUMMYFUNCTION("GOOGLETRANSLATE(A3877,""en"",""fi"")"),"Vatsan kuplamainen kuvio auttaa sitä naamioimaan itsensä vedessä.")</f>
        <v>Vatsan kuplamainen kuvio auttaa sitä naamioimaan itsensä vedessä.</v>
      </c>
      <c r="C3877" s="9" t="s">
        <v>1344</v>
      </c>
    </row>
    <row r="3878" ht="33.75" customHeight="1">
      <c r="A3878" s="6" t="s">
        <v>5762</v>
      </c>
      <c r="B3878" s="6" t="str">
        <f>IFERROR(__xludf.DUMMYFUNCTION("GOOGLETRANSLATE(A3878,""en"",""fi"")"),"AZUMARILLin pitkät korvat ovat korvaamattomia antureita. Keskittämällä kuuloaan tämä POKéMON pystyy tunnistamaan ympärillä olevia saaliseläimiä jopa kovaäänisissä ja nopeasti virtaavissa joissa.")</f>
        <v>AZUMARILLin pitkät korvat ovat korvaamattomia antureita. Keskittämällä kuuloaan tämä POKéMON pystyy tunnistamaan ympärillä olevia saaliseläimiä jopa kovaäänisissä ja nopeasti virtaavissa joissa.</v>
      </c>
      <c r="C3878" s="9" t="s">
        <v>1344</v>
      </c>
    </row>
    <row r="3879" ht="33.75" customHeight="1">
      <c r="A3879" s="6" t="s">
        <v>5764</v>
      </c>
      <c r="B3879" s="6" t="str">
        <f>IFERROR(__xludf.DUMMYFUNCTION("GOOGLETRANSLATE(A3879,""en"",""fi"")"),"AZUMARILL osaa tehdä ilmapalloja ilmasta. Se tekee näitä ilmapalloja, jos se havaitsee hukkuvan POKéMONin. Ilmapallot mahdollistavat pulassa olevan POKéMONin hengittämisen.")</f>
        <v>AZUMARILL osaa tehdä ilmapalloja ilmasta. Se tekee näitä ilmapalloja, jos se havaitsee hukkuvan POKéMONin. Ilmapallot mahdollistavat pulassa olevan POKéMONin hengittämisen.</v>
      </c>
      <c r="C3879" s="9" t="s">
        <v>1344</v>
      </c>
    </row>
    <row r="3880" ht="33.75" customHeight="1">
      <c r="A3880" s="6" t="s">
        <v>5765</v>
      </c>
      <c r="B3880" s="6" t="str">
        <f>IFERROR(__xludf.DUMMYFUNCTION("GOOGLETRANSLATE(A3880,""en"",""fi"")"),"Se elää vedessä käytännössä koko päivän. Sen ruumiin väri ja kuvio toimivat naamiointina, minkä vuoksi vihollisten on vaikea havaita sitä vedessä.")</f>
        <v>Se elää vedessä käytännössä koko päivän. Sen ruumiin väri ja kuvio toimivat naamiointina, minkä vuoksi vihollisten on vaikea havaita sitä vedessä.</v>
      </c>
      <c r="C3880" s="9" t="s">
        <v>1344</v>
      </c>
    </row>
    <row r="3881" ht="33.75" customHeight="1">
      <c r="A3881" s="6" t="s">
        <v>5766</v>
      </c>
      <c r="B3881" s="6" t="str">
        <f>IFERROR(__xludf.DUMMYFUNCTION("GOOGLETRANSLATE(A3881,""en"",""fi"")"),"Kun se leikkii vedessä, se kääntää pitkänomaiset korvansa ylös estääkseen niiden sisäpuolen kastumisen.")</f>
        <v>Kun se leikkii vedessä, se kääntää pitkänomaiset korvansa ylös estääkseen niiden sisäpuolen kastumisen.</v>
      </c>
      <c r="C3881" s="9" t="s">
        <v>1344</v>
      </c>
    </row>
    <row r="3882" ht="33.75" customHeight="1">
      <c r="A3882" s="6" t="s">
        <v>5767</v>
      </c>
      <c r="B3882" s="6" t="str">
        <f>IFERROR(__xludf.DUMMYFUNCTION("GOOGLETRANSLATE(A3882,""en"",""fi"")"),"Pysymällä paikallaan ja kuuntelemalla tarkkaavaisesti se voi jopa kertoa, mitä on villeissä, nopeasti virtaavissa joissa.")</f>
        <v>Pysymällä paikallaan ja kuuntelemalla tarkkaavaisesti se voi jopa kertoa, mitä on villeissä, nopeasti virtaavissa joissa.</v>
      </c>
      <c r="C3882" s="9" t="s">
        <v>1344</v>
      </c>
    </row>
    <row r="3883" ht="33.75" customHeight="1">
      <c r="A3883" s="6" t="s">
        <v>5768</v>
      </c>
      <c r="B3883" s="6" t="str">
        <f>IFERROR(__xludf.DUMMYFUNCTION("GOOGLETRANSLATE(A3883,""en"",""fi"")"),"Se elää joissa ja järvissä. Vedessä sen väritys ja kuviot hämäävät vihollisten näkökyvyn.")</f>
        <v>Se elää joissa ja järvissä. Vedessä sen väritys ja kuviot hämäävät vihollisten näkökyvyn.</v>
      </c>
      <c r="C3883" s="9" t="s">
        <v>1344</v>
      </c>
    </row>
    <row r="3884" ht="33.75" customHeight="1">
      <c r="A3884" s="6" t="s">
        <v>5769</v>
      </c>
      <c r="B3884" s="6" t="str">
        <f>IFERROR(__xludf.DUMMYFUNCTION("GOOGLETRANSLATE(A3884,""en"",""fi"")"),"Sen pitkät korvat ovat erinomaisia ​​aistimia. Se pystyy erottamaan elävien olentojen liikkeet joenuomissa.")</f>
        <v>Sen pitkät korvat ovat erinomaisia ​​aistimia. Se pystyy erottamaan elävien olentojen liikkeet joenuomissa.</v>
      </c>
      <c r="C3884" s="9" t="s">
        <v>1344</v>
      </c>
    </row>
    <row r="3885" ht="33.75" customHeight="1">
      <c r="A3885" s="6" t="s">
        <v>5770</v>
      </c>
      <c r="B3885" s="6" t="str">
        <f>IFERROR(__xludf.DUMMYFUNCTION("GOOGLETRANSLATE(A3885,""en"",""fi"")"),"Se voi viettää koko päivän vedessä, koska se voi hengittää ja varastoida suuren määrän ilmaa.")</f>
        <v>Se voi viettää koko päivän vedessä, koska se voi hengittää ja varastoida suuren määrän ilmaa.</v>
      </c>
      <c r="C3885" s="9" t="s">
        <v>1344</v>
      </c>
    </row>
    <row r="3886" ht="33.75" customHeight="1">
      <c r="A3886" s="6" t="s">
        <v>5771</v>
      </c>
      <c r="B3886" s="6" t="str">
        <f>IFERROR(__xludf.DUMMYFUNCTION("GOOGLETRANSLATE(A3886,""en"",""fi"")"),"Pysymällä paikallaan ja kuuntelemalla tarkkaavaisesti se voi kertoa, mitä on jopa villeissä, nopeasti virtaavissa joissa.")</f>
        <v>Pysymällä paikallaan ja kuuntelemalla tarkkaavaisesti se voi kertoa, mitä on jopa villeissä, nopeasti virtaavissa joissa.</v>
      </c>
      <c r="C3886" s="9" t="s">
        <v>1344</v>
      </c>
    </row>
    <row r="3887" ht="33.75" customHeight="1">
      <c r="A3887" s="6" t="s">
        <v>5772</v>
      </c>
      <c r="B3887" s="6" t="str">
        <f>IFERROR(__xludf.DUMMYFUNCTION("GOOGLETRANSLATE(A3887,""en"",""fi"")"),"Sen pitkät korvat ovat erinomaisia ​​aistimia. Se pystyy erottamaan vedessä olevien esineiden liikkeet ja kertomaan, mitä ne ovat.")</f>
        <v>Sen pitkät korvat ovat erinomaisia ​​aistimia. Se pystyy erottamaan vedessä olevien esineiden liikkeet ja kertomaan, mitä ne ovat.</v>
      </c>
      <c r="C3887" s="9" t="s">
        <v>1344</v>
      </c>
    </row>
    <row r="3888" ht="33.75" customHeight="1">
      <c r="A3888" s="6" t="s">
        <v>5773</v>
      </c>
      <c r="B3888" s="6" t="str">
        <f>IFERROR(__xludf.DUMMYFUNCTION("GOOGLETRANSLATE(A3888,""en"",""fi"")"),"Vatsan kuplamainen kuvio auttaa sitä naamioimaan itsensä vedessä.")</f>
        <v>Vatsan kuplamainen kuvio auttaa sitä naamioimaan itsensä vedessä.</v>
      </c>
      <c r="C3888" s="9" t="s">
        <v>1344</v>
      </c>
    </row>
    <row r="3889" ht="33.75" customHeight="1">
      <c r="A3889" s="6" t="s">
        <v>5774</v>
      </c>
      <c r="B3889" s="6" t="str">
        <f>IFERROR(__xludf.DUMMYFUNCTION("GOOGLETRANSLATE(A3889,""en"",""fi"")"),"Azumarillin pitkät korvat ovat korvaamattomia antureita. Keskittämällä kuuloaan tämä Pokémon pystyy tunnistamaan ympärillä olevia saaliseläimiä jopa karuissa ja nopeasti virtaavissa joissa.")</f>
        <v>Azumarillin pitkät korvat ovat korvaamattomia antureita. Keskittämällä kuuloaan tämä Pokémon pystyy tunnistamaan ympärillä olevia saaliseläimiä jopa karuissa ja nopeasti virtaavissa joissa.</v>
      </c>
      <c r="C3889" s="9" t="s">
        <v>1344</v>
      </c>
    </row>
    <row r="3890" ht="33.75" customHeight="1">
      <c r="A3890" s="6" t="s">
        <v>5775</v>
      </c>
      <c r="B3890" s="6" t="str">
        <f>IFERROR(__xludf.DUMMYFUNCTION("GOOGLETRANSLATE(A3890,""en"",""fi"")"),"Azumarill voi tehdä ilmapalloja ilmasta. Se tekee näitä ilmapalloja, jos se havaitsee hukkuvan Pokémonin. Ilmapallot mahdollistavat pulassa olevan Pokémonin hengittämisen.")</f>
        <v>Azumarill voi tehdä ilmapalloja ilmasta. Se tekee näitä ilmapalloja, jos se havaitsee hukkuvan Pokémonin. Ilmapallot mahdollistavat pulassa olevan Pokémonin hengittämisen.</v>
      </c>
      <c r="C3890" s="9" t="s">
        <v>1344</v>
      </c>
    </row>
    <row r="3891" ht="33.75" customHeight="1">
      <c r="A3891" s="6" t="s">
        <v>5776</v>
      </c>
      <c r="B3891" s="6" t="str">
        <f>IFERROR(__xludf.DUMMYFUNCTION("GOOGLETRANSLATE(A3891,""en"",""fi"")"),"Se viettää suurimman osan ajastaan ​​vedessä. Aurinkoisina päivinä Azumarill kelluu veden pinnalla ja ottaa aurinkoa.")</f>
        <v>Se viettää suurimman osan ajastaan ​​vedessä. Aurinkoisina päivinä Azumarill kelluu veden pinnalla ja ottaa aurinkoa.</v>
      </c>
      <c r="C3891" s="9" t="s">
        <v>1344</v>
      </c>
    </row>
    <row r="3892" ht="33.75" customHeight="1">
      <c r="A3892" s="6" t="s">
        <v>5777</v>
      </c>
      <c r="B3892" s="6" t="str">
        <f>IFERROR(__xludf.DUMMYFUNCTION("GOOGLETRANSLATE(A3892,""en"",""fi"")"),"Nämä Pokémonit luovat ilmatäytteisiä kuplia. Kun Azurill leikkii joissa, Azumarill peittää ne näillä kuplilla.")</f>
        <v>Nämä Pokémonit luovat ilmatäytteisiä kuplia. Kun Azurill leikkii joissa, Azumarill peittää ne näillä kuplilla.</v>
      </c>
      <c r="C3892" s="9" t="s">
        <v>1344</v>
      </c>
    </row>
    <row r="3893" ht="33.75" customHeight="1">
      <c r="A3893" s="6" t="s">
        <v>5778</v>
      </c>
      <c r="B3893" s="6" t="str">
        <f>IFERROR(__xludf.DUMMYFUNCTION("GOOGLETRANSLATE(A3893,""en"",""fi"")"),"Vaikka se aina teeskentelee olevansa puu, sen koostumus näyttää olevan lähempänä kiveä kuin kasvia.")</f>
        <v>Vaikka se aina teeskentelee olevansa puu, sen koostumus näyttää olevan lähempänä kiveä kuin kasvia.</v>
      </c>
      <c r="C3893" s="9" t="s">
        <v>1344</v>
      </c>
    </row>
    <row r="3894" ht="33.75" customHeight="1">
      <c r="A3894" s="6" t="s">
        <v>5779</v>
      </c>
      <c r="B3894" s="6" t="str">
        <f>IFERROR(__xludf.DUMMYFUNCTION("GOOGLETRANSLATE(A3894,""en"",""fi"")"),"Se naamioituu puuksi välttääkseen hyökkäyksen. Se vihaa vettä, joten se katoaa, jos alkaa sataa.")</f>
        <v>Se naamioituu puuksi välttääkseen hyökkäyksen. Se vihaa vettä, joten se katoaa, jos alkaa sataa.</v>
      </c>
      <c r="C3894" s="9" t="s">
        <v>1344</v>
      </c>
    </row>
    <row r="3895" ht="33.75" customHeight="1">
      <c r="A3895" s="6" t="s">
        <v>5781</v>
      </c>
      <c r="B3895" s="6" t="str">
        <f>IFERROR(__xludf.DUMMYFUNCTION("GOOGLETRANSLATE(A3895,""en"",""fi"")"),"Jos puun oksa tärisee, kun ei ole tuulta, se on SUDOWOODO, ei puu. Se piiloutuu sateelta.")</f>
        <v>Jos puun oksa tärisee, kun ei ole tuulta, se on SUDOWOODO, ei puu. Se piiloutuu sateelta.</v>
      </c>
      <c r="C3895" s="9" t="s">
        <v>1344</v>
      </c>
    </row>
    <row r="3896" ht="33.75" customHeight="1">
      <c r="A3896" s="6" t="s">
        <v>5782</v>
      </c>
      <c r="B3896" s="6" t="str">
        <f>IFERROR(__xludf.DUMMYFUNCTION("GOOGLETRANSLATE(A3896,""en"",""fi"")"),"Sudowoodo naamioi itsensä puuksi välttääkseen vihollisten hyökkäyksiä. Koska etujalat pysyvät kuitenkin vihreinä ympäri vuoden, POKéMON on helppo tunnistaa feikkiksi talvella.")</f>
        <v>Sudowoodo naamioi itsensä puuksi välttääkseen vihollisten hyökkäyksiä. Koska etujalat pysyvät kuitenkin vihreinä ympäri vuoden, POKéMON on helppo tunnistaa feikkiksi talvella.</v>
      </c>
      <c r="C3896" s="9" t="s">
        <v>1344</v>
      </c>
    </row>
    <row r="3897" ht="33.75" customHeight="1">
      <c r="A3897" s="6" t="s">
        <v>5783</v>
      </c>
      <c r="B3897" s="6" t="str">
        <f>IFERROR(__xludf.DUMMYFUNCTION("GOOGLETRANSLATE(A3897,""en"",""fi"")"),"Se matkii puuta välttääkseen vihollisten hyökkäyksiä. Mutta koska sen etujalat pysyvät vihreinä ympäri vuoden, se on helppo tunnistaa feikiksi talvella.")</f>
        <v>Se matkii puuta välttääkseen vihollisten hyökkäyksiä. Mutta koska sen etujalat pysyvät vihreinä ympäri vuoden, se on helppo tunnistaa feikiksi talvella.</v>
      </c>
      <c r="C3897" s="9" t="s">
        <v>1344</v>
      </c>
    </row>
    <row r="3898" ht="33.75" customHeight="1">
      <c r="A3898" s="6" t="s">
        <v>5785</v>
      </c>
      <c r="B3898" s="6" t="str">
        <f>IFERROR(__xludf.DUMMYFUNCTION("GOOGLETRANSLATE(A3898,""en"",""fi"")"),"Se naamioituu puuksi välttääkseen hyökkäyksen. Se vihaa vettä, joten se katoaa, jos alkaa sataa.")</f>
        <v>Se naamioituu puuksi välttääkseen hyökkäyksen. Se vihaa vettä, joten se katoaa, jos alkaa sataa.</v>
      </c>
      <c r="C3898" s="9" t="s">
        <v>1344</v>
      </c>
    </row>
    <row r="3899" ht="33.75" customHeight="1">
      <c r="A3899" s="6" t="s">
        <v>5787</v>
      </c>
      <c r="B3899" s="6" t="str">
        <f>IFERROR(__xludf.DUMMYFUNCTION("GOOGLETRANSLATE(A3899,""en"",""fi"")"),"Vaikka se aina teeskentelee olevansa puu, sen koostumus näyttää olevan lähempänä kiveä kuin kasvia.")</f>
        <v>Vaikka se aina teeskentelee olevansa puu, sen koostumus näyttää olevan lähempänä kiveä kuin kasvia.</v>
      </c>
      <c r="C3899" s="9" t="s">
        <v>1344</v>
      </c>
    </row>
    <row r="3900" ht="33.75" customHeight="1">
      <c r="A3900" s="6" t="s">
        <v>5789</v>
      </c>
      <c r="B3900" s="6" t="str">
        <f>IFERROR(__xludf.DUMMYFUNCTION("GOOGLETRANSLATE(A3900,""en"",""fi"")"),"Vaikka se näyttää puulta, sen ruumis on lähempänä kiviä ja kiviä. Se on hyvin heikko vedelle.")</f>
        <v>Vaikka se näyttää puulta, sen ruumis on lähempänä kiviä ja kiviä. Se on hyvin heikko vedelle.</v>
      </c>
      <c r="C3900" s="9" t="s">
        <v>1344</v>
      </c>
    </row>
    <row r="3901" ht="33.75" customHeight="1">
      <c r="A3901" s="6" t="s">
        <v>5791</v>
      </c>
      <c r="B3901" s="6" t="str">
        <f>IFERROR(__xludf.DUMMYFUNCTION("GOOGLETRANSLATE(A3901,""en"",""fi"")"),"Se seisoo polkujen varrella teeskennellen olevansa puu. Jos alkaa sataa, se näyttää katoavan.")</f>
        <v>Se seisoo polkujen varrella teeskennellen olevansa puu. Jos alkaa sataa, se näyttää katoavan.</v>
      </c>
      <c r="C3901" s="9" t="s">
        <v>1344</v>
      </c>
    </row>
    <row r="3902" ht="33.75" customHeight="1">
      <c r="A3902" s="6" t="s">
        <v>5792</v>
      </c>
      <c r="B3902" s="6" t="str">
        <f>IFERROR(__xludf.DUMMYFUNCTION("GOOGLETRANSLATE(A3902,""en"",""fi"")"),"Välttääkseen hyökkäyksen se vain matkii puuta. Se vihaa vettä ja pakenee sadetta.")</f>
        <v>Välttääkseen hyökkäyksen se vain matkii puuta. Se vihaa vettä ja pakenee sadetta.</v>
      </c>
      <c r="C3902" s="9" t="s">
        <v>1344</v>
      </c>
    </row>
    <row r="3903" ht="33.75" customHeight="1">
      <c r="A3903" s="6" t="s">
        <v>5793</v>
      </c>
      <c r="B3903" s="6" t="str">
        <f>IFERROR(__xludf.DUMMYFUNCTION("GOOGLETRANSLATE(A3903,""en"",""fi"")"),"Vaikka se aina teeskentelee olevansa puu, sen koostumus näyttää enemmän kalliolta kuin kasvillisuudelta.")</f>
        <v>Vaikka se aina teeskentelee olevansa puu, sen koostumus näyttää enemmän kalliolta kuin kasvillisuudelta.</v>
      </c>
      <c r="C3903" s="9" t="s">
        <v>1344</v>
      </c>
    </row>
    <row r="3904" ht="33.75" customHeight="1">
      <c r="A3904" s="6" t="s">
        <v>5794</v>
      </c>
      <c r="B3904" s="6" t="str">
        <f>IFERROR(__xludf.DUMMYFUNCTION("GOOGLETRANSLATE(A3904,""en"",""fi"")"),"Sudowoodo naamioi itsensä puuksi välttääkseen vihollisten hyökkäyksiä. Koska sen kädet pysyvät kuitenkin vihreinä ympäri vuoden, Pokémon on helppo tunnistaa feikkiksi talvella.")</f>
        <v>Sudowoodo naamioi itsensä puuksi välttääkseen vihollisten hyökkäyksiä. Koska sen kädet pysyvät kuitenkin vihreinä ympäri vuoden, Pokémon on helppo tunnistaa feikkiksi talvella.</v>
      </c>
      <c r="C3904" s="9" t="s">
        <v>1344</v>
      </c>
    </row>
    <row r="3905" ht="33.75" customHeight="1">
      <c r="A3905" s="6" t="s">
        <v>5795</v>
      </c>
      <c r="B3905" s="6" t="str">
        <f>IFERROR(__xludf.DUMMYFUNCTION("GOOGLETRANSLATE(A3905,""en"",""fi"")"),"Välttääkseen hyökkäyksen se matkii puuta. Se juoksee karkuun, jos sitä roiskuu vedellä, mitä se vihaa.")</f>
        <v>Välttääkseen hyökkäyksen se matkii puuta. Se juoksee karkuun, jos sitä roiskuu vedellä, mitä se vihaa.</v>
      </c>
      <c r="C3905" s="9" t="s">
        <v>1344</v>
      </c>
    </row>
    <row r="3906" ht="33.75" customHeight="1">
      <c r="A3906" s="6" t="s">
        <v>5796</v>
      </c>
      <c r="B3906" s="6" t="str">
        <f>IFERROR(__xludf.DUMMYFUNCTION("GOOGLETRANSLATE(A3906,""en"",""fi"")"),"Ilmeisesti mitä suurempia tämän Pokémonin vihreät osat ovat, sitä enemmän keräilijät sitä arvostavat. Se on erityisen suosittu ikääntyneiden keskuudessa.")</f>
        <v>Ilmeisesti mitä suurempia tämän Pokémonin vihreät osat ovat, sitä enemmän keräilijät sitä arvostavat. Se on erityisen suosittu ikääntyneiden keskuudessa.</v>
      </c>
      <c r="C3906" s="9" t="s">
        <v>1344</v>
      </c>
    </row>
    <row r="3907" ht="33.75" customHeight="1">
      <c r="A3907" s="6" t="s">
        <v>5797</v>
      </c>
      <c r="B3907" s="6" t="str">
        <f>IFERROR(__xludf.DUMMYFUNCTION("GOOGLETRANSLATE(A3907,""en"",""fi"")"),"Se on niin suosittu ikääntyneiden keskuudessa, että sille on omistettu oma aikakauslehti. Fanit ovat pakkomielteisesti ihastuneet sen käsivarsien erityiseen pituuteen ja kulmaan.")</f>
        <v>Se on niin suosittu ikääntyneiden keskuudessa, että sille on omistettu oma aikakauslehti. Fanit ovat pakkomielteisesti ihastuneet sen käsivarsien erityiseen pituuteen ja kulmaan.</v>
      </c>
      <c r="C3907" s="9" t="s">
        <v>1344</v>
      </c>
    </row>
    <row r="3908" ht="33.75" customHeight="1">
      <c r="A3908" s="6" t="s">
        <v>5799</v>
      </c>
      <c r="B3908" s="6" t="str">
        <f>IFERROR(__xludf.DUMMYFUNCTION("GOOGLETRANSLATE(A3908,""en"",""fi"")"),"Saman asennon pitäminen koko ajan johtaa siihen, että käsivarsista on tullut notkeat mutta vahvat.")</f>
        <v>Saman asennon pitäminen koko ajan johtaa siihen, että käsivarsista on tullut notkeat mutta vahvat.</v>
      </c>
      <c r="C3908" s="9" t="s">
        <v>1344</v>
      </c>
    </row>
    <row r="3909" ht="33.75" customHeight="1">
      <c r="A3909" s="6" t="s">
        <v>5802</v>
      </c>
      <c r="B3909" s="6" t="str">
        <f>IFERROR(__xludf.DUMMYFUNCTION("GOOGLETRANSLATE(A3909,""en"",""fi"")"),"Jos puun oksa tärisee, kun ei ole tuulta, se on sudowoodo, ei puu. Se piiloutuu sateelta.")</f>
        <v>Jos puun oksa tärisee, kun ei ole tuulta, se on sudowoodo, ei puu. Se piiloutuu sateelta.</v>
      </c>
      <c r="C3909" s="9" t="s">
        <v>1344</v>
      </c>
    </row>
    <row r="3910" ht="33.75" customHeight="1">
      <c r="A3910" s="6" t="s">
        <v>5803</v>
      </c>
      <c r="B3910" s="6" t="str">
        <f>IFERROR(__xludf.DUMMYFUNCTION("GOOGLETRANSLATE(A3910,""en"",""fi"")"),"Vaikka se teeskentelee olevansa puu, se ei onnistu hämäämään edes lapsia. Sen ruumis tuntuu kosketettaessa enemmän kiveltä kuin puunkuorelta. Sudowoodon äärimmäinen vastenmielisyys vettä kohtaan ansaitsee erityishuomion.")</f>
        <v>Vaikka se teeskentelee olevansa puu, se ei onnistu hämäämään edes lapsia. Sen ruumis tuntuu kosketettaessa enemmän kiveltä kuin puunkuorelta. Sudowoodon äärimmäinen vastenmielisyys vettä kohtaan ansaitsee erityishuomion.</v>
      </c>
      <c r="C3910" s="9" t="s">
        <v>1344</v>
      </c>
    </row>
    <row r="3911" ht="33.75" customHeight="1">
      <c r="A3911" s="6" t="s">
        <v>5804</v>
      </c>
      <c r="B3911" s="6" t="str">
        <f>IFERROR(__xludf.DUMMYFUNCTION("GOOGLETRANSLATE(A3911,""en"",""fi"")"),"Jos POLIWAG ja POLIWHIRL kuulevat sen kaikuvan huudon, ne vastaavat kokoontumalla kaukaa ja laajalti.")</f>
        <v>Jos POLIWAG ja POLIWHIRL kuulevat sen kaikuvan huudon, ne vastaavat kokoontumalla kaukaa ja laajalti.</v>
      </c>
      <c r="C3911" s="9" t="s">
        <v>1344</v>
      </c>
    </row>
    <row r="3912" ht="33.75" customHeight="1">
      <c r="A3912" s="6" t="s">
        <v>5806</v>
      </c>
      <c r="B3912" s="6" t="str">
        <f>IFERROR(__xludf.DUMMYFUNCTION("GOOGLETRANSLATE(A3912,""en"",""fi"")"),"Aina kun kolme tai useampi näistä kokoontuu yhteen, ne laulavat kovaan ääneen, joka kuulostaa mölyn ääneltä.")</f>
        <v>Aina kun kolme tai useampi näistä kokoontuu yhteen, ne laulavat kovaan ääneen, joka kuulostaa mölyn ääneltä.</v>
      </c>
      <c r="C3912" s="9" t="s">
        <v>1344</v>
      </c>
    </row>
    <row r="3913" ht="33.75" customHeight="1">
      <c r="A3913" s="6" t="s">
        <v>5808</v>
      </c>
      <c r="B3913" s="6" t="str">
        <f>IFERROR(__xludf.DUMMYFUNCTION("GOOGLETRANSLATE(A3913,""en"",""fi"")"),"Kun se laajentaa kurkkuaan raakuttaakseen sävelmän, lähellä olevat POLIWAG ja POLIPYÖRÄ kokoontuvat välittömästi.")</f>
        <v>Kun se laajentaa kurkkuaan raakuttaakseen sävelmän, lähellä olevat POLIWAG ja POLIPYÖRÄ kokoontuvat välittömästi.</v>
      </c>
      <c r="C3913" s="9" t="s">
        <v>1344</v>
      </c>
    </row>
    <row r="3914" ht="33.75" customHeight="1">
      <c r="A3914" s="6" t="s">
        <v>5809</v>
      </c>
      <c r="B3914" s="6" t="str">
        <f>IFERROR(__xludf.DUMMYFUNCTION("GOOGLETRANSLATE(A3914,""en"",""fi"")"),"POLITOEDin pään kiharat hiukset todistavat sen asemasta kuninkaana. Sanotaan, että mitä pidemmät ja kiharammat hiukset ovat, sitä enemmän kunnioitusta tämä POKéMON ansaitsee vertaisiltaan.")</f>
        <v>POLITOEDin pään kiharat hiukset todistavat sen asemasta kuninkaana. Sanotaan, että mitä pidemmät ja kiharammat hiukset ovat, sitä enemmän kunnioitusta tämä POKéMON ansaitsee vertaisiltaan.</v>
      </c>
      <c r="C3914" s="9" t="s">
        <v>1344</v>
      </c>
    </row>
    <row r="3915" ht="33.75" customHeight="1">
      <c r="A3915" s="6" t="s">
        <v>5810</v>
      </c>
      <c r="B3915" s="6" t="str">
        <f>IFERROR(__xludf.DUMMYFUNCTION("GOOGLETRANSLATE(A3915,""en"",""fi"")"),"Sen kiharat hiukset todistavat sen aseman kuninkaana. Sanotaan, että mitä pidemmät ja kiharammat hiukset, sitä enemmän kunnioitusta se ansaitsee tovereiltaan.")</f>
        <v>Sen kiharat hiukset todistavat sen aseman kuninkaana. Sanotaan, että mitä pidemmät ja kiharammat hiukset, sitä enemmän kunnioitusta se ansaitsee tovereiltaan.</v>
      </c>
      <c r="C3915" s="9" t="s">
        <v>1344</v>
      </c>
    </row>
    <row r="3916" ht="33.75" customHeight="1">
      <c r="A3916" s="6" t="s">
        <v>5812</v>
      </c>
      <c r="B3916" s="6" t="str">
        <f>IFERROR(__xludf.DUMMYFUNCTION("GOOGLETRANSLATE(A3916,""en"",""fi"")"),"Jos POLIWAG ja POLIPWHIRL kuulevat sen kaikuvan huudon, ne vastaavat kokoontumalla kaukaa ja laajalti.")</f>
        <v>Jos POLIWAG ja POLIPWHIRL kuulevat sen kaikuvan huudon, ne vastaavat kokoontumalla kaukaa ja laajalti.</v>
      </c>
      <c r="C3916" s="9" t="s">
        <v>1344</v>
      </c>
    </row>
    <row r="3917" ht="33.75" customHeight="1">
      <c r="A3917" s="6" t="s">
        <v>5814</v>
      </c>
      <c r="B3917" s="6" t="str">
        <f>IFERROR(__xludf.DUMMYFUNCTION("GOOGLETRANSLATE(A3917,""en"",""fi"")"),"Se kokoaa joukon muita johtajikseen. Sen huudot saavat POLIWAGin tottelemaan.")</f>
        <v>Se kokoaa joukon muita johtajikseen. Sen huudot saavat POLIWAGin tottelemaan.</v>
      </c>
      <c r="C3917" s="9" t="s">
        <v>1344</v>
      </c>
    </row>
    <row r="3918" ht="33.75" customHeight="1">
      <c r="A3918" s="6" t="s">
        <v>5815</v>
      </c>
      <c r="B3918" s="6" t="str">
        <f>IFERROR(__xludf.DUMMYFUNCTION("GOOGLETRANSLATE(A3918,""en"",""fi"")"),"Se kokoaa joukon muita johtajikseen. Sen huudot saavat Poliwagin tottelemaan.")</f>
        <v>Se kokoaa joukon muita johtajikseen. Sen huudot saavat Poliwagin tottelemaan.</v>
      </c>
      <c r="C3918" s="9" t="s">
        <v>1344</v>
      </c>
    </row>
    <row r="3919" ht="33.75" customHeight="1">
      <c r="A3919" s="6" t="s">
        <v>5817</v>
      </c>
      <c r="B3919" s="6" t="str">
        <f>IFERROR(__xludf.DUMMYFUNCTION("GOOGLETRANSLATE(A3919,""en"",""fi"")"),"Jos Poliwag ja Poliwhirl kuulevat sen kaikuvan huudon, ne vastaavat kokoontumalla kaukaa ja laajalti.")</f>
        <v>Jos Poliwag ja Poliwhirl kuulevat sen kaikuvan huudon, ne vastaavat kokoontumalla kaukaa ja laajalti.</v>
      </c>
      <c r="C3919" s="9" t="s">
        <v>1344</v>
      </c>
    </row>
    <row r="3920" ht="33.75" customHeight="1">
      <c r="A3920" s="6" t="s">
        <v>5818</v>
      </c>
      <c r="B3920" s="6" t="str">
        <f>IFERROR(__xludf.DUMMYFUNCTION("GOOGLETRANSLATE(A3920,""en"",""fi"")"),"Politoedin pään kiharat hiukset todistavat sen asemasta kuninkaana. Sanotaan, että mitä pidemmät ja kiharammat hiukset ovat, sitä enemmän kunnioitusta tämä Pokémon ansaitsee vertaisiltaan.")</f>
        <v>Politoedin pään kiharat hiukset todistavat sen asemasta kuninkaana. Sanotaan, että mitä pidemmät ja kiharammat hiukset ovat, sitä enemmän kunnioitusta tämä Pokémon ansaitsee vertaisiltaan.</v>
      </c>
      <c r="C3920" s="9" t="s">
        <v>1344</v>
      </c>
    </row>
    <row r="3921" ht="33.75" customHeight="1">
      <c r="A3921" s="6" t="s">
        <v>5820</v>
      </c>
      <c r="B3921" s="6" t="str">
        <f>IFERROR(__xludf.DUMMYFUNCTION("GOOGLETRANSLATE(A3921,""en"",""fi"")"),"Ne kokoontuvat kuutamoöinä muodostamaan suuren kuoron. Niiden huuto kuulostaa vihaiselta ja epämiellyttävältä, mutta ne ovat varmasti tunnusomaisia.")</f>
        <v>Ne kokoontuvat kuutamoöinä muodostamaan suuren kuoron. Niiden huuto kuulostaa vihaiselta ja epämiellyttävältä, mutta ne ovat varmasti tunnusomaisia.</v>
      </c>
      <c r="C3921" s="9" t="s">
        <v>1344</v>
      </c>
    </row>
    <row r="3922" ht="33.75" customHeight="1">
      <c r="A3922" s="6" t="s">
        <v>5821</v>
      </c>
      <c r="B3922" s="6" t="str">
        <f>IFERROR(__xludf.DUMMYFUNCTION("GOOGLETRANSLATE(A3922,""en"",""fi"")"),"Se on Poliwagin ja Poliwhirlin johtaja. Kun Politoed karjuu, he kaikki vapisevat pelosta.")</f>
        <v>Se on Poliwagin ja Poliwhirlin johtaja. Kun Politoed karjuu, he kaikki vapisevat pelosta.</v>
      </c>
      <c r="C3922" s="9" t="s">
        <v>1344</v>
      </c>
    </row>
    <row r="3923" ht="33.75" customHeight="1">
      <c r="A3923" s="6" t="s">
        <v>5822</v>
      </c>
      <c r="B3923" s="6" t="str">
        <f>IFERROR(__xludf.DUMMYFUNCTION("GOOGLETRANSLATE(A3923,""en"",""fi"")"),"Vaikka sen huudot kuulostavat kirkaisuilta, säveltäjä loi kauniin balladin, johon äänet vaikuttivat.")</f>
        <v>Vaikka sen huudot kuulostavat kirkaisuilta, säveltäjä loi kauniin balladin, johon äänet vaikuttivat.</v>
      </c>
      <c r="C3923" s="9" t="s">
        <v>1344</v>
      </c>
    </row>
    <row r="3924" ht="33.75" customHeight="1">
      <c r="A3924" s="6" t="s">
        <v>5824</v>
      </c>
      <c r="B3924" s="6" t="str">
        <f>IFERROR(__xludf.DUMMYFUNCTION("GOOGLETRANSLATE(A3924,""en"",""fi"")"),"Mitä pidemmät ja ylellisemmät kiharat sen päässä ovat, sitä useampi Poliwag ja Poliwhirl tottelee sitä.")</f>
        <v>Mitä pidemmät ja ylellisemmät kiharat sen päässä ovat, sitä useampi Poliwag ja Poliwhirl tottelee sitä.</v>
      </c>
      <c r="C3924" s="9" t="s">
        <v>1344</v>
      </c>
    </row>
    <row r="3925" ht="33.75" customHeight="1">
      <c r="A3925" s="6" t="s">
        <v>5826</v>
      </c>
      <c r="B3925" s="6" t="str">
        <f>IFERROR(__xludf.DUMMYFUNCTION("GOOGLETRANSLATE(A3925,""en"",""fi"")"),"Illan hämärtyessä nämä Pokémonit ilmestyvät järvien rannoille. Ne ilmoittavat reviirivaatimuksistaan ​​päästämällä huutoja, jotka kuulostavat huudolta.")</f>
        <v>Illan hämärtyessä nämä Pokémonit ilmestyvät järvien rannoille. Ne ilmoittavat reviirivaatimuksistaan ​​päästämällä huutoja, jotka kuulostavat huudolta.</v>
      </c>
      <c r="C3925" s="9" t="s">
        <v>1344</v>
      </c>
    </row>
    <row r="3926" ht="33.75" customHeight="1">
      <c r="A3926" s="6" t="s">
        <v>5827</v>
      </c>
      <c r="B3926" s="6" t="str">
        <f>IFERROR(__xludf.DUMMYFUNCTION("GOOGLETRANSLATE(A3926,""en"",""fi"")"),"Miehen huuto on kovempi kuin naisen. Syvällä, uhkaavalla äänellä varustetut politoed-urokset ovat suositumpia vastakkaisen sukupuolen keskuudessa.")</f>
        <v>Miehen huuto on kovempi kuin naisen. Syvällä, uhkaavalla äänellä varustetut politoed-urokset ovat suositumpia vastakkaisen sukupuolen keskuudessa.</v>
      </c>
      <c r="C3926" s="9" t="s">
        <v>1344</v>
      </c>
    </row>
    <row r="3927" ht="33.75" customHeight="1">
      <c r="A3927" s="6" t="s">
        <v>5828</v>
      </c>
      <c r="B3927" s="6" t="str">
        <f>IFERROR(__xludf.DUMMYFUNCTION("GOOGLETRANSLATE(A3927,""en"",""fi"")"),"Estääkseen tuulen viemisen ne kerääntyvät ryhmiin. Ne kuitenkin nauttivat lempeästä tuulesta.")</f>
        <v>Estääkseen tuulen viemisen ne kerääntyvät ryhmiin. Ne kuitenkin nauttivat lempeästä tuulesta.</v>
      </c>
      <c r="C3927" s="9" t="s">
        <v>1344</v>
      </c>
    </row>
    <row r="3928" ht="33.75" customHeight="1">
      <c r="A3928" s="6" t="s">
        <v>5830</v>
      </c>
      <c r="B3928" s="6" t="str">
        <f>IFERROR(__xludf.DUMMYFUNCTION("GOOGLETRANSLATE(A3928,""en"",""fi"")"),"Sen ruumis on niin kevyt, että sen on pidettävä jaloillaan tiukasti kiinni maassa estääkseen sen tuulenpuuskan viemästä sitä mennessään.")</f>
        <v>Sen ruumis on niin kevyt, että sen on pidettävä jaloillaan tiukasti kiinni maassa estääkseen sen tuulenpuuskan viemästä sitä mennessään.</v>
      </c>
      <c r="C3928" s="9" t="s">
        <v>1344</v>
      </c>
    </row>
    <row r="3929" ht="33.75" customHeight="1">
      <c r="A3929" s="6" t="s">
        <v>5832</v>
      </c>
      <c r="B3929" s="6" t="str">
        <f>IFERROR(__xludf.DUMMYFUNCTION("GOOGLETRANSLATE(A3929,""en"",""fi"")"),"Se voi kulkeutua mukanaan jopa lempeimmässä tuulessa. Se voi jopa leijua seuraavaan kaupunkiin asti.")</f>
        <v>Se voi kulkeutua mukanaan jopa lempeimmässä tuulessa. Se voi jopa leijua seuraavaan kaupunkiin asti.</v>
      </c>
      <c r="C3929" s="9" t="s">
        <v>1344</v>
      </c>
    </row>
    <row r="3930" ht="33.75" customHeight="1">
      <c r="A3930" s="6" t="s">
        <v>5834</v>
      </c>
      <c r="B3930" s="6" t="str">
        <f>IFERROR(__xludf.DUMMYFUNCTION("GOOGLETRANSLATE(A3930,""en"",""fi"")"),"Tämä POKéMON ajelehtii ja kelluu tuulen mukana. Jos se havaitsee voimakkaan tuulen lähestyvän, HOPPIP yhdistää lehtensä muiden HOPPIPien kanssa varautuakseen tuulen viemiseltä.")</f>
        <v>Tämä POKéMON ajelehtii ja kelluu tuulen mukana. Jos se havaitsee voimakkaan tuulen lähestyvän, HOPPIP yhdistää lehtensä muiden HOPPIPien kanssa varautuakseen tuulen viemiseltä.</v>
      </c>
      <c r="C3930" s="9" t="s">
        <v>1344</v>
      </c>
    </row>
    <row r="3931" ht="33.75" customHeight="1">
      <c r="A3931" s="6" t="s">
        <v>5835</v>
      </c>
      <c r="B3931" s="6" t="str">
        <f>IFERROR(__xludf.DUMMYFUNCTION("GOOGLETRANSLATE(A3931,""en"",""fi"")"),"Tämä POKéMON ajelehtii ja kelluu tuulen mukana. Jos se havaitsee voimakkaan tuulen lähestyvän, HOPPIP yhdistää lehtiä muiden lehtien kanssa valmistautuakseen siihen, ettei se joudu viemään sitä mukanaan.")</f>
        <v>Tämä POKéMON ajelehtii ja kelluu tuulen mukana. Jos se havaitsee voimakkaan tuulen lähestyvän, HOPPIP yhdistää lehtiä muiden lehtien kanssa valmistautuakseen siihen, ettei se joudu viemään sitä mukanaan.</v>
      </c>
      <c r="C3931" s="9" t="s">
        <v>1344</v>
      </c>
    </row>
    <row r="3932" ht="33.75" customHeight="1">
      <c r="A3932" s="6" t="s">
        <v>5836</v>
      </c>
      <c r="B3932" s="6" t="str">
        <f>IFERROR(__xludf.DUMMYFUNCTION("GOOGLETRANSLATE(A3932,""en"",""fi"")"),"Se ajelehtii tuulen mukana. Sanotaan, että kun HOPPIPit kerääntyvät pelloille ja vuorille, kevät on tulossa.")</f>
        <v>Se ajelehtii tuulen mukana. Sanotaan, että kun HOPPIPit kerääntyvät pelloille ja vuorille, kevät on tulossa.</v>
      </c>
      <c r="C3932" s="9" t="s">
        <v>1344</v>
      </c>
    </row>
    <row r="3933" ht="33.75" customHeight="1">
      <c r="A3933" s="6" t="s">
        <v>5838</v>
      </c>
      <c r="B3933" s="6" t="str">
        <f>IFERROR(__xludf.DUMMYFUNCTION("GOOGLETRANSLATE(A3933,""en"",""fi"")"),"Estääkseen tuulen viemisen ne kerääntyvät ryhmiin. Mutta ne nauttivat lempeästä tuulesta.")</f>
        <v>Estääkseen tuulen viemisen ne kerääntyvät ryhmiin. Mutta ne nauttivat lempeästä tuulesta.</v>
      </c>
      <c r="C3933" s="9" t="s">
        <v>1344</v>
      </c>
    </row>
    <row r="3934" ht="33.75" customHeight="1">
      <c r="A3934" s="6" t="s">
        <v>5839</v>
      </c>
      <c r="B3934" s="6" t="str">
        <f>IFERROR(__xludf.DUMMYFUNCTION("GOOGLETRANSLATE(A3934,""en"",""fi"")"),"Se ajelehtii tuulen mukana. Sanotaan, että kun hoppipit kokoontuvat pelloille ja vuorille, kevät on tulossa.")</f>
        <v>Se ajelehtii tuulen mukana. Sanotaan, että kun hoppipit kokoontuvat pelloille ja vuorille, kevät on tulossa.</v>
      </c>
      <c r="C3934" s="9" t="s">
        <v>1344</v>
      </c>
    </row>
    <row r="3935" ht="33.75" customHeight="1">
      <c r="A3935" s="6" t="s">
        <v>5840</v>
      </c>
      <c r="B3935" s="6" t="str">
        <f>IFERROR(__xludf.DUMMYFUNCTION("GOOGLETRANSLATE(A3935,""en"",""fi"")"),"Tämä Pokémon ajelehtii ja kelluu tuulen mukana. Jos se havaitsee voimakkaan tuulen lähestyvän, Hoppip yhdistää lehtensä muiden Hoppippien kanssa varautuakseen tuulen viemiseltä.")</f>
        <v>Tämä Pokémon ajelehtii ja kelluu tuulen mukana. Jos se havaitsee voimakkaan tuulen lähestyvän, Hoppip yhdistää lehtensä muiden Hoppippien kanssa varautuakseen tuulen viemiseltä.</v>
      </c>
      <c r="C3935" s="9" t="s">
        <v>1344</v>
      </c>
    </row>
    <row r="3936" ht="33.75" customHeight="1">
      <c r="A3936" s="6" t="s">
        <v>5841</v>
      </c>
      <c r="B3936" s="6" t="str">
        <f>IFERROR(__xludf.DUMMYFUNCTION("GOOGLETRANSLATE(A3936,""en"",""fi"")"),"Sen pään päällä oleva kukinto avautuu ja sulkeutuu lämpötilan vaihdellessa ylös ja alas.")</f>
        <v>Sen pään päällä oleva kukinto avautuu ja sulkeutuu lämpötilan vaihdellessa ylös ja alas.</v>
      </c>
      <c r="C3936" s="9" t="s">
        <v>1344</v>
      </c>
    </row>
    <row r="3937" ht="33.75" customHeight="1">
      <c r="A3937" s="6" t="s">
        <v>5842</v>
      </c>
      <c r="B3937" s="6" t="str">
        <f>IFERROR(__xludf.DUMMYFUNCTION("GOOGLETRANSLATE(A3937,""en"",""fi"")"),"Se levittää terälehtiään absorboidakseen auringonvaloa. Se myös leijuu ilmassa päästäkseen lähemmäksi aurinkoa.")</f>
        <v>Se levittää terälehtiään absorboidakseen auringonvaloa. Se myös leijuu ilmassa päästäkseen lähemmäksi aurinkoa.</v>
      </c>
      <c r="C3937" s="9" t="s">
        <v>1344</v>
      </c>
    </row>
    <row r="3938" ht="33.75" customHeight="1">
      <c r="A3938" s="6" t="s">
        <v>5843</v>
      </c>
      <c r="B3938" s="6" t="str">
        <f>IFERROR(__xludf.DUMMYFUNCTION("GOOGLETRANSLATE(A3938,""en"",""fi"")"),"Heti kun sataa, se sulkee kukkansa ja piiloutuu puun varjoon välttääkseen kastumisen.")</f>
        <v>Heti kun sataa, se sulkee kukkansa ja piiloutuu puun varjoon välttääkseen kastumisen.</v>
      </c>
      <c r="C3938" s="9" t="s">
        <v>1344</v>
      </c>
    </row>
    <row r="3939" ht="33.75" customHeight="1">
      <c r="A3939" s="6" t="s">
        <v>5844</v>
      </c>
      <c r="B3939" s="6" t="str">
        <f>IFERROR(__xludf.DUMMYFUNCTION("GOOGLETRANSLATE(A3939,""en"",""fi"")"),"SKIPLOOMin kukka puhkeaa kukkiin, kun lämpötila nousee yli 19 celsiusasteen. Kukan avautumisaste riippuu lämpötilasta. Tästä syystä tätä POKéMONia käytetään joskus lämpömittarina.")</f>
        <v>SKIPLOOMin kukka puhkeaa kukkiin, kun lämpötila nousee yli 19 celsiusasteen. Kukan avautumisaste riippuu lämpötilasta. Tästä syystä tätä POKéMONia käytetään joskus lämpömittarina.</v>
      </c>
      <c r="C3939" s="9" t="s">
        <v>1344</v>
      </c>
    </row>
    <row r="3940" ht="33.75" customHeight="1">
      <c r="A3940" s="6" t="s">
        <v>5845</v>
      </c>
      <c r="B3940" s="6" t="str">
        <f>IFERROR(__xludf.DUMMYFUNCTION("GOOGLETRANSLATE(A3940,""en"",""fi"")"),"Se kukkii, kun lämpötila nousee yli 18 celsiusasteen. Koska sen kukan kukinta muuttuu lämpötilan mukaan, sitä käytetään joskus lämpömittarina.")</f>
        <v>Se kukkii, kun lämpötila nousee yli 18 celsiusasteen. Koska sen kukan kukinta muuttuu lämpötilan mukaan, sitä käytetään joskus lämpömittarina.</v>
      </c>
      <c r="C3940" s="9" t="s">
        <v>1344</v>
      </c>
    </row>
    <row r="3941" ht="33.75" customHeight="1">
      <c r="A3941" s="6" t="s">
        <v>5846</v>
      </c>
      <c r="B3941" s="6" t="str">
        <f>IFERROR(__xludf.DUMMYFUNCTION("GOOGLETRANSLATE(A3941,""en"",""fi"")"),"Pään päällä oleva kukinta avautuu ja sulkeutuu lämpötilan vaihdellessa ylös ja alas.")</f>
        <v>Pään päällä oleva kukinta avautuu ja sulkeutuu lämpötilan vaihdellessa ylös ja alas.</v>
      </c>
      <c r="C3941" s="9" t="s">
        <v>1344</v>
      </c>
    </row>
    <row r="3942" ht="33.75" customHeight="1">
      <c r="A3942" s="6" t="s">
        <v>5847</v>
      </c>
      <c r="B3942" s="6" t="str">
        <f>IFERROR(__xludf.DUMMYFUNCTION("GOOGLETRANSLATE(A3942,""en"",""fi"")"),"Se kukkii, kun sää lämpenee. Se leijuu taivaalla imeäkseen itseensä mahdollisimman paljon auringonvaloa.")</f>
        <v>Se kukkii, kun sää lämpenee. Se leijuu taivaalla imeäkseen itseensä mahdollisimman paljon auringonvaloa.</v>
      </c>
      <c r="C3942" s="9" t="s">
        <v>1344</v>
      </c>
    </row>
    <row r="3943" ht="33.75" customHeight="1">
      <c r="A3943" s="6" t="s">
        <v>5848</v>
      </c>
      <c r="B3943" s="6" t="str">
        <f>IFERROR(__xludf.DUMMYFUNCTION("GOOGLETRANSLATE(A3943,""en"",""fi"")"),"Skiploomin kukka puhkeaa kukkiin, kun lämpötila nousee yli 19 celsiusasteen. Kukan avautumisaste riippuu lämpötilasta. Tästä syystä tätä Pokémonia käytetään joskus lämpömittarina.")</f>
        <v>Skiploomin kukka puhkeaa kukkiin, kun lämpötila nousee yli 19 celsiusasteen. Kukan avautumisaste riippuu lämpötilasta. Tästä syystä tätä Pokémonia käytetään joskus lämpömittarina.</v>
      </c>
      <c r="C3943" s="9" t="s">
        <v>1344</v>
      </c>
    </row>
    <row r="3944" ht="33.75" customHeight="1">
      <c r="A3944" s="6" t="s">
        <v>5849</v>
      </c>
      <c r="B3944" s="6" t="str">
        <f>IFERROR(__xludf.DUMMYFUNCTION("GOOGLETRANSLATE(A3944,""en"",""fi"")"),"Kun se saa tuulen, se hallitsee taitavasti vanutuppomaisia ​​itiöitään leijuakseen jopa ympäri maailmaa.")</f>
        <v>Kun se saa tuulen, se hallitsee taitavasti vanutuppomaisia ​​itiöitään leijuakseen jopa ympäri maailmaa.</v>
      </c>
      <c r="C3944" s="9" t="s">
        <v>1344</v>
      </c>
    </row>
    <row r="3945" ht="33.75" customHeight="1">
      <c r="A3945" s="6" t="s">
        <v>5850</v>
      </c>
      <c r="B3945" s="6" t="str">
        <f>IFERROR(__xludf.DUMMYFUNCTION("GOOGLETRANSLATE(A3945,""en"",""fi"")"),"Ajelehtii vuodenaikojen tuulissa ja levittää puuvillamaisia ​​itiöitään kaikkialle maailmaan tehdäkseen lisää jälkeläisiä.")</f>
        <v>Ajelehtii vuodenaikojen tuulissa ja levittää puuvillamaisia ​​itiöitään kaikkialle maailmaan tehdäkseen lisää jälkeläisiä.</v>
      </c>
      <c r="C3945" s="9" t="s">
        <v>1344</v>
      </c>
    </row>
    <row r="3946" ht="33.75" customHeight="1">
      <c r="A3946" s="6" t="s">
        <v>5852</v>
      </c>
      <c r="B3946" s="6" t="str">
        <f>IFERROR(__xludf.DUMMYFUNCTION("GOOGLETRANSLATE(A3946,""en"",""fi"")"),"Kovimmassakin tuulessa se pystyy hallitsemaan höyhenpeitteensä ja pääsemään minne tahansa maailmassa.")</f>
        <v>Kovimmassakin tuulessa se pystyy hallitsemaan höyhenpeitteensä ja pääsemään minne tahansa maailmassa.</v>
      </c>
      <c r="C3946" s="9" t="s">
        <v>1344</v>
      </c>
    </row>
    <row r="3947" ht="33.75" customHeight="1">
      <c r="A3947" s="6" t="s">
        <v>5853</v>
      </c>
      <c r="B3947" s="6" t="str">
        <f>IFERROR(__xludf.DUMMYFUNCTION("GOOGLETRANSLATE(A3947,""en"",""fi"")"),"JUMPLUFF ratsastaa lämpimien etelätuulien kyydissä ylittääkseen meren ja lentääkseen vieraisiin maihin. POKéMON laskeutuu maahan kohdatessaan kylmää ilmaa leijuessaan.")</f>
        <v>JUMPLUFF ratsastaa lämpimien etelätuulien kyydissä ylittääkseen meren ja lentääkseen vieraisiin maihin. POKéMON laskeutuu maahan kohdatessaan kylmää ilmaa leijuessaan.</v>
      </c>
      <c r="C3947" s="9" t="s">
        <v>1344</v>
      </c>
    </row>
    <row r="3948" ht="33.75" customHeight="1">
      <c r="A3948" s="6" t="s">
        <v>5854</v>
      </c>
      <c r="B3948" s="6" t="str">
        <f>IFERROR(__xludf.DUMMYFUNCTION("GOOGLETRANSLATE(A3948,""en"",""fi"")"),"JUMPLUFF ratsastaa lämpimillä etelätuulella ylittääkseen meren ja lentääkseen vieraisiin maihin. Tämä POKéMON laskeutuu kohdatessaan kylmää ilmaa leijuessaan.")</f>
        <v>JUMPLUFF ratsastaa lämpimillä etelätuulella ylittääkseen meren ja lentääkseen vieraisiin maihin. Tämä POKéMON laskeutuu kohdatessaan kylmää ilmaa leijuessaan.</v>
      </c>
      <c r="C3948" s="9" t="s">
        <v>1344</v>
      </c>
    </row>
    <row r="3949" ht="33.75" customHeight="1">
      <c r="A3949" s="6" t="s">
        <v>5855</v>
      </c>
      <c r="B3949" s="6" t="str">
        <f>IFERROR(__xludf.DUMMYFUNCTION("GOOGLETRANSLATE(A3949,""en"",""fi"")"),"Se ajelehtii vuodenaikojen tuulissa ja levittää puuvillamaisia ​​itiöitään kaikkialle maailmaan tehdäkseen lisää jälkeläisiä.")</f>
        <v>Se ajelehtii vuodenaikojen tuulissa ja levittää puuvillamaisia ​​itiöitään kaikkialle maailmaan tehdäkseen lisää jälkeläisiä.</v>
      </c>
      <c r="C3949" s="9" t="s">
        <v>1344</v>
      </c>
    </row>
    <row r="3950" ht="33.75" customHeight="1">
      <c r="A3950" s="6" t="s">
        <v>5856</v>
      </c>
      <c r="B3950" s="6" t="str">
        <f>IFERROR(__xludf.DUMMYFUNCTION("GOOGLETRANSLATE(A3950,""en"",""fi"")"),"Kun se saa tuulen, se hallitsee taitavasti pumpulimaisia ​​itiöitään leijuakseen jopa ympäri maailmaa.")</f>
        <v>Kun se saa tuulen, se hallitsee taitavasti pumpulimaisia ​​itiöitään leijuakseen jopa ympäri maailmaa.</v>
      </c>
      <c r="C3950" s="9" t="s">
        <v>1344</v>
      </c>
    </row>
    <row r="3951" ht="33.75" customHeight="1">
      <c r="A3951" s="6" t="s">
        <v>5857</v>
      </c>
      <c r="B3951" s="6" t="str">
        <f>IFERROR(__xludf.DUMMYFUNCTION("GOOGLETRANSLATE(A3951,""en"",""fi"")"),"Vuodenaikojen tuulien puhaltamana se kiertää maapalloa ja levittää puuvillan itiöitä matkan varrella.")</f>
        <v>Vuodenaikojen tuulien puhaltamana se kiertää maapalloa ja levittää puuvillan itiöitä matkan varrella.</v>
      </c>
      <c r="C3951" s="9" t="s">
        <v>1344</v>
      </c>
    </row>
    <row r="3952" ht="33.75" customHeight="1">
      <c r="A3952" s="6" t="s">
        <v>5859</v>
      </c>
      <c r="B3952" s="6" t="str">
        <f>IFERROR(__xludf.DUMMYFUNCTION("GOOGLETRANSLATE(A3952,""en"",""fi"")"),"Kun se saa tuulen, se hallitsee taitavasti pumpulituppumaisia ​​itiöitään – se voi jopa leijua ympäri maailmaa.")</f>
        <v>Kun se saa tuulen, se hallitsee taitavasti pumpulituppumaisia ​​itiöitään – se voi jopa leijua ympäri maailmaa.</v>
      </c>
      <c r="C3952" s="9" t="s">
        <v>1344</v>
      </c>
    </row>
    <row r="3953" ht="33.75" customHeight="1">
      <c r="A3953" s="6" t="s">
        <v>5860</v>
      </c>
      <c r="B3953" s="6" t="str">
        <f>IFERROR(__xludf.DUMMYFUNCTION("GOOGLETRANSLATE(A3953,""en"",""fi"")"),"Kovimmassakin tuulessa se pystyy hallitsemaan höyhenpeitteensä ja pääsemään minne tahansa maailmassa.")</f>
        <v>Kovimmassakin tuulessa se pystyy hallitsemaan höyhenpeitteensä ja pääsemään minne tahansa maailmassa.</v>
      </c>
      <c r="C3953" s="9" t="s">
        <v>1344</v>
      </c>
    </row>
    <row r="3954" ht="33.75" customHeight="1">
      <c r="A3954" s="6" t="s">
        <v>5861</v>
      </c>
      <c r="B3954" s="6" t="str">
        <f>IFERROR(__xludf.DUMMYFUNCTION("GOOGLETRANSLATE(A3954,""en"",""fi"")"),"Jumpluff ratsastaa lämpimien etelätuulien kyydissä ylittääkseen meren ja lentääkseen vieraisiin maihin. Pokémon laskeutuu maahan kohdatessaan kylmää ilmaa kelluessaan.")</f>
        <v>Jumpluff ratsastaa lämpimien etelätuulien kyydissä ylittääkseen meren ja lentääkseen vieraisiin maihin. Pokémon laskeutuu maahan kohdatessaan kylmää ilmaa kelluessaan.</v>
      </c>
      <c r="C3954" s="9" t="s">
        <v>1344</v>
      </c>
    </row>
    <row r="3955" ht="33.75" customHeight="1">
      <c r="A3955" s="6" t="s">
        <v>5863</v>
      </c>
      <c r="B3955" s="6" t="str">
        <f>IFERROR(__xludf.DUMMYFUNCTION("GOOGLETRANSLATE(A3955,""en"",""fi"")"),"Sen häntä on niin voimakas, että se voi tarttua sillä puun oksaan ja pitää itsensä ilmassa.")</f>
        <v>Sen häntä on niin voimakas, että se voi tarttua sillä puun oksaan ja pitää itsensä ilmassa.</v>
      </c>
      <c r="C3955" s="9" t="s">
        <v>1344</v>
      </c>
    </row>
    <row r="3956" ht="33.75" customHeight="1">
      <c r="A3956" s="6" t="s">
        <v>5864</v>
      </c>
      <c r="B3956" s="6" t="str">
        <f>IFERROR(__xludf.DUMMYFUNCTION("GOOGLETRANSLATE(A3956,""en"",""fi"")"),"Se elää korkeiden puiden latvoissa. Hyppääessään oksalta oksalle se käyttää taitavasti häntäänsä tasapainon ylläpitämiseen.")</f>
        <v>Se elää korkeiden puiden latvoissa. Hyppääessään oksalta oksalle se käyttää taitavasti häntäänsä tasapainon ylläpitämiseen.</v>
      </c>
      <c r="C3956" s="9" t="s">
        <v>1344</v>
      </c>
    </row>
    <row r="3957" ht="33.75" customHeight="1">
      <c r="A3957" s="6" t="s">
        <v>5866</v>
      </c>
      <c r="B3957" s="6" t="str">
        <f>IFERROR(__xludf.DUMMYFUNCTION("GOOGLETRANSLATE(A3957,""en"",""fi"")"),"Se käyttää häntäänsä roikkuakseen puiden oksissa. Se käyttää vauhtiaan heilahtaakseen oksalta toiselle.")</f>
        <v>Se käyttää häntäänsä roikkuakseen puiden oksissa. Se käyttää vauhtiaan heilahtaakseen oksalta toiselle.</v>
      </c>
      <c r="C3957" s="9" t="s">
        <v>1344</v>
      </c>
    </row>
    <row r="3958" ht="33.75" customHeight="1">
      <c r="A3958" s="6" t="s">
        <v>5867</v>
      </c>
      <c r="B3958" s="6" t="str">
        <f>IFERROR(__xludf.DUMMYFUNCTION("GOOGLETRANSLATE(A3958,""en"",""fi"")"),"AIPOMin häntä päättyy käden kaltaiseen ulokkeeseen, jota voidaan taitavasti manipuloida. Koska POKéMON käyttää häntäänsä niin paljon, sen oikeista käsistä on tullut melko kömpelöitä.")</f>
        <v>AIPOMin häntä päättyy käden kaltaiseen ulokkeeseen, jota voidaan taitavasti manipuloida. Koska POKéMON käyttää häntäänsä niin paljon, sen oikeista käsistä on tullut melko kömpelöitä.</v>
      </c>
      <c r="C3958" s="9" t="s">
        <v>1344</v>
      </c>
    </row>
    <row r="3959" ht="33.75" customHeight="1">
      <c r="A3959" s="6" t="s">
        <v>5869</v>
      </c>
      <c r="B3959" s="6" t="str">
        <f>IFERROR(__xludf.DUMMYFUNCTION("GOOGLETRANSLATE(A3959,""en"",""fi"")"),"Sen häntä päättyy taitavaan, käden kaltaiseen ulokkeeseen. Koska se käyttää häntää niin paljon, AIPOMin oikeista käsistä on kuitenkin tullut melko kömpelöitä.")</f>
        <v>Sen häntä päättyy taitavaan, käden kaltaiseen ulokkeeseen. Koska se käyttää häntää niin paljon, AIPOMin oikeista käsistä on kuitenkin tullut melko kömpelöitä.</v>
      </c>
      <c r="C3959" s="9" t="s">
        <v>1344</v>
      </c>
    </row>
    <row r="3960" ht="33.75" customHeight="1">
      <c r="A3960" s="6" t="s">
        <v>5871</v>
      </c>
      <c r="B3960" s="6" t="str">
        <f>IFERROR(__xludf.DUMMYFUNCTION("GOOGLETRANSLATE(A3960,""en"",""fi"")"),"Se elää korkeiden puiden latvoissa. Hyppääessään oksalta oksalle se käyttää taitavasti häntäänsä tasapainon ylläpitämiseen.")</f>
        <v>Se elää korkeiden puiden latvoissa. Hyppääessään oksalta oksalle se käyttää taitavasti häntäänsä tasapainon ylläpitämiseen.</v>
      </c>
      <c r="C3960" s="9" t="s">
        <v>1344</v>
      </c>
    </row>
    <row r="3961" ht="33.75" customHeight="1">
      <c r="A3961" s="6" t="s">
        <v>5872</v>
      </c>
      <c r="B3961" s="6" t="str">
        <f>IFERROR(__xludf.DUMMYFUNCTION("GOOGLETRANSLATE(A3961,""en"",""fi"")"),"Se käyttää häntäänsä poimiakseen ulottumattomissaan olevia hedelmiä. Sen häntä on taitavampi kuin sen oikeat kädet.")</f>
        <v>Se käyttää häntäänsä poimiakseen ulottumattomissaan olevia hedelmiä. Sen häntä on taitavampi kuin sen oikeat kädet.</v>
      </c>
      <c r="C3961" s="9" t="s">
        <v>1344</v>
      </c>
    </row>
    <row r="3962" ht="33.75" customHeight="1">
      <c r="A3962" s="6" t="s">
        <v>5873</v>
      </c>
      <c r="B3962" s="6" t="str">
        <f>IFERROR(__xludf.DUMMYFUNCTION("GOOGLETRANSLATE(A3962,""en"",""fi"")"),"Se elää jättimäisten puiden latvoissa. Se kietoo häntänsä oksan ympärille, jottei putoaisi nukkuessaan.")</f>
        <v>Se elää jättimäisten puiden latvoissa. Se kietoo häntänsä oksan ympärille, jottei putoaisi nukkuessaan.</v>
      </c>
      <c r="C3962" s="9" t="s">
        <v>1344</v>
      </c>
    </row>
    <row r="3963" ht="33.75" customHeight="1">
      <c r="A3963" s="6" t="s">
        <v>5874</v>
      </c>
      <c r="B3963" s="6" t="str">
        <f>IFERROR(__xludf.DUMMYFUNCTION("GOOGLETRANSLATE(A3963,""en"",""fi"")"),"Se asuu korkealla puiden latvoissa. Se osaa käyttää häntäänsä yhtä vapaasti ja taitavasti kuin käsiään.")</f>
        <v>Se asuu korkealla puiden latvoissa. Se osaa käyttää häntäänsä yhtä vapaasti ja taitavasti kuin käsiään.</v>
      </c>
      <c r="C3963" s="9" t="s">
        <v>1344</v>
      </c>
    </row>
    <row r="3964" ht="33.75" customHeight="1">
      <c r="A3964" s="6" t="s">
        <v>5875</v>
      </c>
      <c r="B3964" s="6" t="str">
        <f>IFERROR(__xludf.DUMMYFUNCTION("GOOGLETRANSLATE(A3964,""en"",""fi"")"),"Aipomin häntä päättyy käden kaltaiseen ulokkeeseen, jota voidaan taitavasti manipuloida. Koska Pokémon käyttää häntäänsä niin paljon, sen oikeat kädet ovat kuitenkin käyneet melko kömpelöiksi.")</f>
        <v>Aipomin häntä päättyy käden kaltaiseen ulokkeeseen, jota voidaan taitavasti manipuloida. Koska Pokémon käyttää häntäänsä niin paljon, sen oikeat kädet ovat kuitenkin käyneet melko kömpelöiksi.</v>
      </c>
      <c r="C3964" s="9" t="s">
        <v>1344</v>
      </c>
    </row>
    <row r="3965" ht="33.75" customHeight="1">
      <c r="A3965" s="6" t="s">
        <v>5877</v>
      </c>
      <c r="B3965" s="6" t="str">
        <f>IFERROR(__xludf.DUMMYFUNCTION("GOOGLETRANSLATE(A3965,""en"",""fi"")"),"Kun se liikkui yhä enemmän hännällään, sen kädet kävivät kömpelöiksi. Se tekee pesänsä korkealle puiden latvoihin.")</f>
        <v>Kun se liikkui yhä enemmän hännällään, sen kädet kävivät kömpelöiksi. Se tekee pesänsä korkealle puiden latvoihin.</v>
      </c>
      <c r="C3965" s="9" t="s">
        <v>1344</v>
      </c>
    </row>
    <row r="3966" ht="33.75" customHeight="1">
      <c r="A3966" s="6" t="s">
        <v>5881</v>
      </c>
      <c r="B3966" s="6" t="str">
        <f>IFERROR(__xludf.DUMMYFUNCTION("GOOGLETRANSLATE(A3966,""en"",""fi"")"),"Se etsii saalista puiden latvoista. Havaitessaan lempiruokansa, makean makean, Aipom innostuu ja hyökkää kimppuun.")</f>
        <v>Se etsii saalista puiden latvoista. Havaitessaan lempiruokansa, makean makean, Aipom innostuu ja hyökkää kimppuun.</v>
      </c>
      <c r="C3966" s="9" t="s">
        <v>1344</v>
      </c>
    </row>
    <row r="3967" ht="33.75" customHeight="1">
      <c r="A3967" s="6" t="s">
        <v>5882</v>
      </c>
      <c r="B3967" s="6" t="str">
        <f>IFERROR(__xludf.DUMMYFUNCTION("GOOGLETRANSLATE(A3967,""en"",""fi"")"),"Tällä puiden latvoissa asuvalla Pokémonilla on käden taitava häntä. Muinaiset kirjoitukset kuvaavat tätä Pokémonia yksikätiseksi erikoisuudeksi.")</f>
        <v>Tällä puiden latvoissa asuvalla Pokémonilla on käden taitava häntä. Muinaiset kirjoitukset kuvaavat tätä Pokémonia yksikätiseksi erikoisuudeksi.</v>
      </c>
      <c r="C3967" s="9" t="s">
        <v>1344</v>
      </c>
    </row>
    <row r="3968" ht="33.75" customHeight="1">
      <c r="A3968" s="6" t="s">
        <v>5884</v>
      </c>
      <c r="B3968" s="6" t="str">
        <f>IFERROR(__xludf.DUMMYFUNCTION("GOOGLETRANSLATE(A3968,""en"",""fi"")"),"Se voi pudota taivaalta yhtäkkiä. Jos keihäs hyökkää sen kimppuun, se ravistelee lehtiään rajusti.")</f>
        <v>Se voi pudota taivaalta yhtäkkiä. Jos keihäs hyökkää sen kimppuun, se ravistelee lehtiään rajusti.</v>
      </c>
      <c r="C3968" s="9" t="s">
        <v>1344</v>
      </c>
    </row>
    <row r="3969" ht="33.75" customHeight="1">
      <c r="A3969" s="6" t="s">
        <v>5886</v>
      </c>
      <c r="B3969" s="6" t="str">
        <f>IFERROR(__xludf.DUMMYFUNCTION("GOOGLETRANSLATE(A3969,""en"",""fi"")"),"Se elää juomalla vain kastepisaroita kasvien lehtien alta. Sanotaan, ettei se syö mitään muuta.")</f>
        <v>Se elää juomalla vain kastepisaroita kasvien lehtien alta. Sanotaan, ettei se syö mitään muuta.</v>
      </c>
      <c r="C3969" s="9" t="s">
        <v>1344</v>
      </c>
    </row>
    <row r="3970" ht="33.75" customHeight="1">
      <c r="A3970" s="6" t="s">
        <v>5888</v>
      </c>
      <c r="B3970" s="6" t="str">
        <f>IFERROR(__xludf.DUMMYFUNCTION("GOOGLETRANSLATE(A3970,""en"",""fi"")"),"Se on hyvin heikko. Sen ainoa puolustuskeino on pudistaa epätoivoisesti lehtiään hyökkääjälleen.")</f>
        <v>Se on hyvin heikko. Sen ainoa puolustuskeino on pudistaa epätoivoisesti lehtiään hyökkääjälleen.</v>
      </c>
      <c r="C3970" s="9" t="s">
        <v>1344</v>
      </c>
    </row>
    <row r="3971" ht="33.75" customHeight="1">
      <c r="A3971" s="6" t="s">
        <v>5889</v>
      </c>
      <c r="B3971" s="6" t="str">
        <f>IFERROR(__xludf.DUMMYFUNCTION("GOOGLETRANSLATE(A3971,""en"",""fi"")"),"SUNKERN pyrkii liikkumaan niin vähän kuin mahdollista. Se tekee niin, koska se yrittää säilyttää kaikki kehoonsa varastoimat ravintoaineet evoluutiotaan varten. Se ei syö mitään, vaan elää vain aamukasteella.")</f>
        <v>SUNKERN pyrkii liikkumaan niin vähän kuin mahdollista. Se tekee niin, koska se yrittää säilyttää kaikki kehoonsa varastoimat ravintoaineet evoluutiotaan varten. Se ei syö mitään, vaan elää vain aamukasteella.</v>
      </c>
      <c r="C3971" s="9" t="s">
        <v>1344</v>
      </c>
    </row>
    <row r="3972" ht="33.75" customHeight="1">
      <c r="A3972" s="6" t="s">
        <v>5890</v>
      </c>
      <c r="B3972" s="6" t="str">
        <f>IFERROR(__xludf.DUMMYFUNCTION("GOOGLETRANSLATE(A3972,""en"",""fi"")"),"SUNKERNit pyrkivät minimoimaan liikkumisen säästääkseen kehoonsa evoluutiota varten varastoimiaan ravinteita. Ne eivät syö, vaan elävät vain aamukasteella.")</f>
        <v>SUNKERNit pyrkivät minimoimaan liikkumisen säästääkseen kehoonsa evoluutiota varten varastoimiaan ravinteita. Ne eivät syö, vaan elävät vain aamukasteella.</v>
      </c>
      <c r="C3972" s="9" t="s">
        <v>1344</v>
      </c>
    </row>
    <row r="3973" ht="33.75" customHeight="1">
      <c r="A3973" s="6" t="s">
        <v>5891</v>
      </c>
      <c r="B3973" s="6" t="str">
        <f>IFERROR(__xludf.DUMMYFUNCTION("GOOGLETRANSLATE(A3973,""en"",""fi"")"),"Se elää juomalla vain kastepisaroita kasvien lehtien alta. Sanotaan, ettei se syö mitään muuta.")</f>
        <v>Se elää juomalla vain kastepisaroita kasvien lehtien alta. Sanotaan, ettei se syö mitään muuta.</v>
      </c>
      <c r="C3973" s="9" t="s">
        <v>1344</v>
      </c>
    </row>
    <row r="3974" ht="33.75" customHeight="1">
      <c r="A3974" s="6" t="s">
        <v>5892</v>
      </c>
      <c r="B3974" s="6" t="str">
        <f>IFERROR(__xludf.DUMMYFUNCTION("GOOGLETRANSLATE(A3974,""en"",""fi"")"),"Se putoaa yhtäkkiä taivaalta aamulla. Vuotta kylmän kesän jälkeen niiden populaatio räjähtää.")</f>
        <v>Se putoaa yhtäkkiä taivaalta aamulla. Vuotta kylmän kesän jälkeen niiden populaatio räjähtää.</v>
      </c>
      <c r="C3974" s="9" t="s">
        <v>1344</v>
      </c>
    </row>
    <row r="3975" ht="33.75" customHeight="1">
      <c r="A3975" s="6" t="s">
        <v>5893</v>
      </c>
      <c r="B3975" s="6" t="str">
        <f>IFERROR(__xludf.DUMMYFUNCTION("GOOGLETRANSLATE(A3975,""en"",""fi"")"),"Se voi pudota taivaalta. Jos keihäs hyökkää sen kimppuun, se ravistelee lehtiään rajusti.")</f>
        <v>Se voi pudota taivaalta. Jos keihäs hyökkää sen kimppuun, se ravistelee lehtiään rajusti.</v>
      </c>
      <c r="C3975" s="9" t="s">
        <v>1344</v>
      </c>
    </row>
    <row r="3976" ht="33.75" customHeight="1">
      <c r="A3976" s="6" t="s">
        <v>5895</v>
      </c>
      <c r="B3976" s="6" t="str">
        <f>IFERROR(__xludf.DUMMYFUNCTION("GOOGLETRANSLATE(A3976,""en"",""fi"")"),"Se putoaa yhtäkkiä taivaalta aamulla. Tietäen olevansa heikko, se vain syö, kunnes kehittyy.")</f>
        <v>Se putoaa yhtäkkiä taivaalta aamulla. Tietäen olevansa heikko, se vain syö, kunnes kehittyy.</v>
      </c>
      <c r="C3976" s="9" t="s">
        <v>1344</v>
      </c>
    </row>
    <row r="3977" ht="33.75" customHeight="1">
      <c r="A3977" s="6" t="s">
        <v>5896</v>
      </c>
      <c r="B3977" s="6" t="str">
        <f>IFERROR(__xludf.DUMMYFUNCTION("GOOGLETRANSLATE(A3977,""en"",""fi"")"),"Se voi pudota taivaalta. Jos keihäskärsäinen hyökkää sen kimppuun, se ravistelee lehtiään rajusti.")</f>
        <v>Se voi pudota taivaalta. Jos keihäskärsäinen hyökkää sen kimppuun, se ravistelee lehtiään rajusti.</v>
      </c>
      <c r="C3977" s="9" t="s">
        <v>1344</v>
      </c>
    </row>
    <row r="3978" ht="33.75" customHeight="1">
      <c r="A3978" s="6" t="s">
        <v>5898</v>
      </c>
      <c r="B3978" s="6" t="str">
        <f>IFERROR(__xludf.DUMMYFUNCTION("GOOGLETRANSLATE(A3978,""en"",""fi"")"),"Sunkern yrittää liikkua niin vähän kuin mahdollista. Se tekee niin, koska se yrittää säilyttää kaikki kehoonsa varastoimat ravintoaineet evoluutiotaan varten. Se ei syö mitään, vaan elää vain aamukasteella.")</f>
        <v>Sunkern yrittää liikkua niin vähän kuin mahdollista. Se tekee niin, koska se yrittää säilyttää kaikki kehoonsa varastoimat ravintoaineet evoluutiotaan varten. Se ei syö mitään, vaan elää vain aamukasteella.</v>
      </c>
      <c r="C3978" s="9" t="s">
        <v>1344</v>
      </c>
    </row>
    <row r="3979" ht="33.75" customHeight="1">
      <c r="A3979" s="6" t="s">
        <v>5899</v>
      </c>
      <c r="B3979" s="6" t="str">
        <f>IFERROR(__xludf.DUMMYFUNCTION("GOOGLETRANSLATE(A3979,""en"",""fi"")"),"Se muuntaa auringonvalon energiaksi. Auringonlaskun jälkeisessä pimeydessä se sulkee terälehtensä ja pysähtyy.")</f>
        <v>Se muuntaa auringonvalon energiaksi. Auringonlaskun jälkeisessä pimeydessä se sulkee terälehtensä ja pysähtyy.</v>
      </c>
      <c r="C3979" s="9" t="s">
        <v>1344</v>
      </c>
    </row>
    <row r="3980" ht="33.75" customHeight="1">
      <c r="A3980" s="6" t="s">
        <v>5901</v>
      </c>
      <c r="B3980" s="6" t="str">
        <f>IFERROR(__xludf.DUMMYFUNCTION("GOOGLETRANSLATE(A3980,""en"",""fi"")"),"Päivällä se juoksee kiireisesti, mutta pysähtyy kokonaan auringon laskiessa.")</f>
        <v>Päivällä se juoksee kiireisesti, mutta pysähtyy kokonaan auringon laskiessa.</v>
      </c>
      <c r="C3980" s="9" t="s">
        <v>1344</v>
      </c>
    </row>
    <row r="3981" ht="33.75" customHeight="1">
      <c r="A3981" s="6" t="s">
        <v>5902</v>
      </c>
      <c r="B3981" s="6" t="str">
        <f>IFERROR(__xludf.DUMMYFUNCTION("GOOGLETRANSLATE(A3981,""en"",""fi"")"),"Kuuman kauden lähestyessä tämän POKéMONin kasvojen terälehdet muuttuvat eloisammiksi ja eloisammiksi.")</f>
        <v>Kuuman kauden lähestyessä tämän POKéMONin kasvojen terälehdet muuttuvat eloisammiksi ja eloisammiksi.</v>
      </c>
      <c r="C3981" s="9" t="s">
        <v>1344</v>
      </c>
    </row>
    <row r="3982" ht="33.75" customHeight="1">
      <c r="A3982" s="6" t="s">
        <v>5904</v>
      </c>
      <c r="B3982" s="6" t="str">
        <f>IFERROR(__xludf.DUMMYFUNCTION("GOOGLETRANSLATE(A3982,""en"",""fi"")"),"AURINGONKUKKASVI muuntaa auringon energian ravinteeksi. Se liikkuu aktiivisesti päiväsaikaan, kun on lämmintä. Se pysähtyy heti auringon laskiessa yöksi.")</f>
        <v>AURINGONKUKKASVI muuntaa auringon energian ravinteeksi. Se liikkuu aktiivisesti päiväsaikaan, kun on lämmintä. Se pysähtyy heti auringon laskiessa yöksi.</v>
      </c>
      <c r="C3982" s="9" t="s">
        <v>1344</v>
      </c>
    </row>
    <row r="3983" ht="33.75" customHeight="1">
      <c r="A3983" s="6" t="s">
        <v>5905</v>
      </c>
      <c r="B3983" s="6" t="str">
        <f>IFERROR(__xludf.DUMMYFUNCTION("GOOGLETRANSLATE(A3983,""en"",""fi"")"),"AURINGONKUKAT muuttavat auringon energian ravinnoksi. Ne ovat erittäin aktiivisia lämpimällä päivällä, mutta lakkaavat yhtäkkiä liikkumasta heti auringon laskiessa.")</f>
        <v>AURINGONKUKAT muuttavat auringon energian ravinnoksi. Ne ovat erittäin aktiivisia lämpimällä päivällä, mutta lakkaavat yhtäkkiä liikkumasta heti auringon laskiessa.</v>
      </c>
      <c r="C3983" s="9" t="s">
        <v>1344</v>
      </c>
    </row>
    <row r="3984" ht="33.75" customHeight="1">
      <c r="A3984" s="6" t="s">
        <v>5907</v>
      </c>
      <c r="B3984" s="6" t="str">
        <f>IFERROR(__xludf.DUMMYFUNCTION("GOOGLETRANSLATE(A3984,""en"",""fi"")"),"Päivällä se juoksee kiireisesti, mutta pysähtyy kokonaan auringon laskiessa.")</f>
        <v>Päivällä se juoksee kiireisesti, mutta pysähtyy kokonaan auringon laskiessa.</v>
      </c>
      <c r="C3984" s="9" t="s">
        <v>1344</v>
      </c>
    </row>
    <row r="3985" ht="33.75" customHeight="1">
      <c r="A3985" s="6" t="s">
        <v>5909</v>
      </c>
      <c r="B3985" s="6" t="str">
        <f>IFERROR(__xludf.DUMMYFUNCTION("GOOGLETRANSLATE(A3985,""en"",""fi"")"),"Se muuntaa auringonvalon energiaksi. Auringonlaskun jälkeisessä pimeydessä se sulkee terälehtensä ja pysähtyy.")</f>
        <v>Se muuntaa auringonvalon energiaksi. Auringonlaskun jälkeisessä pimeydessä se sulkee terälehtensä ja pysähtyy.</v>
      </c>
      <c r="C3985" s="9" t="s">
        <v>1344</v>
      </c>
    </row>
    <row r="3986" ht="33.75" customHeight="1">
      <c r="A3986" s="6" t="s">
        <v>5911</v>
      </c>
      <c r="B3986" s="6" t="str">
        <f>IFERROR(__xludf.DUMMYFUNCTION("GOOGLETRANSLATE(A3986,""en"",""fi"")"),"Se saa energiaa lämpimästä auringonvalosta ja tunnetaan tavastaan ​​liikkua sen perässä.")</f>
        <v>Se saa energiaa lämpimästä auringonvalosta ja tunnetaan tavastaan ​​liikkua sen perässä.</v>
      </c>
      <c r="C3986" s="9" t="s">
        <v>1344</v>
      </c>
    </row>
    <row r="3987" ht="33.75" customHeight="1">
      <c r="A3987" s="6" t="s">
        <v>5913</v>
      </c>
      <c r="B3987" s="6" t="str">
        <f>IFERROR(__xludf.DUMMYFUNCTION("GOOGLETRANSLATE(A3987,""en"",""fi"")"),"Koska se muuntaa auringonvalon energiaksi, se katsoo aina aurinkoon.")</f>
        <v>Koska se muuntaa auringonvalon energiaksi, se katsoo aina aurinkoon.</v>
      </c>
      <c r="C3987" s="9" t="s">
        <v>1344</v>
      </c>
    </row>
    <row r="3988" ht="33.75" customHeight="1">
      <c r="A3988" s="6" t="s">
        <v>5915</v>
      </c>
      <c r="B3988" s="6" t="str">
        <f>IFERROR(__xludf.DUMMYFUNCTION("GOOGLETRANSLATE(A3988,""en"",""fi"")"),"Kuuman kauden lähestyessä tämän Pokémonin kasvojen terälehdet muuttuvat eloisammiksi ja eloisammiksi.")</f>
        <v>Kuuman kauden lähestyessä tämän Pokémonin kasvojen terälehdet muuttuvat eloisammiksi ja eloisammiksi.</v>
      </c>
      <c r="C3988" s="9" t="s">
        <v>1344</v>
      </c>
    </row>
    <row r="3989" ht="33.75" customHeight="1">
      <c r="A3989" s="6" t="s">
        <v>5916</v>
      </c>
      <c r="B3989" s="6" t="str">
        <f>IFERROR(__xludf.DUMMYFUNCTION("GOOGLETRANSLATE(A3989,""en"",""fi"")"),"Auringonkukka muuntaa auringon energian ravinteeksi. Se liikkuu aktiivisesti päiväsaikaan lämpimällä säällä. Se pysähtyy heti auringon laskiessa yöksi.")</f>
        <v>Auringonkukka muuntaa auringon energian ravinteeksi. Se liikkuu aktiivisesti päiväsaikaan lämpimällä säällä. Se pysähtyy heti auringon laskiessa yöksi.</v>
      </c>
      <c r="C3989" s="9" t="s">
        <v>1344</v>
      </c>
    </row>
    <row r="3990" ht="33.75" customHeight="1">
      <c r="A3990" s="6" t="s">
        <v>5917</v>
      </c>
      <c r="B3990" s="6" t="str">
        <f>IFERROR(__xludf.DUMMYFUNCTION("GOOGLETRANSLATE(A3990,""en"",""fi"")"),"Jos se räpyttelee siipiään todella nopeasti, se voi tuottaa paineaaltoja, jotka rikkovat alueen ikkunoita.")</f>
        <v>Jos se räpyttelee siipiään todella nopeasti, se voi tuottaa paineaaltoja, jotka rikkovat alueen ikkunoita.</v>
      </c>
      <c r="C3990" s="9" t="s">
        <v>1344</v>
      </c>
    </row>
    <row r="3991" ht="33.75" customHeight="1">
      <c r="A3991" s="6" t="s">
        <v>5918</v>
      </c>
      <c r="B3991" s="6" t="str">
        <f>IFERROR(__xludf.DUMMYFUNCTION("GOOGLETRANSLATE(A3991,""en"",""fi"")"),"Sen suuret silmät voivat skannata 360 astetta. Se katsoo kaikkiin suuntiin etsiessään saaliikseen hyönteisiä.")</f>
        <v>Sen suuret silmät voivat skannata 360 astetta. Se katsoo kaikkiin suuntiin etsiessään saaliikseen hyönteisiä.</v>
      </c>
      <c r="C3991" s="9" t="s">
        <v>1344</v>
      </c>
    </row>
    <row r="3992" ht="33.75" customHeight="1">
      <c r="A3992" s="6" t="s">
        <v>5920</v>
      </c>
      <c r="B3992" s="6" t="str">
        <f>IFERROR(__xludf.DUMMYFUNCTION("GOOGLETRANSLATE(A3992,""en"",""fi"")"),"Se näkee kaikkiin suuntiin liikuttamatta suuria silmiään, mikä auttaa sitä havaitsemaan hyökkääjät ja ruoan heti.")</f>
        <v>Se näkee kaikkiin suuntiin liikuttamatta suuria silmiään, mikä auttaa sitä havaitsemaan hyökkääjät ja ruoan heti.</v>
      </c>
      <c r="C3992" s="9" t="s">
        <v>1344</v>
      </c>
    </row>
    <row r="3993" ht="33.75" customHeight="1">
      <c r="A3993" s="6" t="s">
        <v>5921</v>
      </c>
      <c r="B3993" s="6" t="str">
        <f>IFERROR(__xludf.DUMMYFUNCTION("GOOGLETRANSLATE(A3993,""en"",""fi"")"),"YANMA pystyy näkemään 360 astetta ilman, että sen tarvitsee liikuttaa silmiään. Se on loistava lentäjä, joka on taitava tekemään äkillisiä pysähdyksiä ja kääntymään ilmassa. Tämä POKéMON käyttää lentokykyään jahdatakseen nopeasti kohteena olevaa saalista.")</f>
        <v>YANMA pystyy näkemään 360 astetta ilman, että sen tarvitsee liikuttaa silmiään. Se on loistava lentäjä, joka on taitava tekemään äkillisiä pysähdyksiä ja kääntymään ilmassa. Tämä POKéMON käyttää lentokykyään jahdatakseen nopeasti kohteena olevaa saalista.</v>
      </c>
      <c r="C3993" s="9" t="s">
        <v>1344</v>
      </c>
    </row>
    <row r="3994" ht="33.75" customHeight="1">
      <c r="A3994" s="6" t="s">
        <v>5922</v>
      </c>
      <c r="B3994" s="6" t="str">
        <f>IFERROR(__xludf.DUMMYFUNCTION("GOOGLETRANSLATE(A3994,""en"",""fi"")"),"Se näkee 360 ​​astetta liikuttamatta silmiään. Se on loistava lentäjä, joka pystyy tekemään äkillisiä pysähdyksiä ja kääntymään ilmassa nopeasti jahdatakseen kohteensa saalista.")</f>
        <v>Se näkee 360 ​​astetta liikuttamatta silmiään. Se on loistava lentäjä, joka pystyy tekemään äkillisiä pysähdyksiä ja kääntymään ilmassa nopeasti jahdatakseen kohteensa saalista.</v>
      </c>
      <c r="C3994" s="9" t="s">
        <v>1344</v>
      </c>
    </row>
    <row r="3995" ht="33.75" customHeight="1">
      <c r="A3995" s="6" t="s">
        <v>5923</v>
      </c>
      <c r="B3995" s="6" t="str">
        <f>IFERROR(__xludf.DUMMYFUNCTION("GOOGLETRANSLATE(A3995,""en"",""fi"")"),"Jos se räpyttelee siipiään todella nopeasti, se voi tuottaa paineaaltoja, jotka rikkovat alueen ikkunoita.")</f>
        <v>Jos se räpyttelee siipiään todella nopeasti, se voi tuottaa paineaaltoja, jotka rikkovat alueen ikkunoita.</v>
      </c>
      <c r="C3995" s="9" t="s">
        <v>1344</v>
      </c>
    </row>
    <row r="3996" ht="33.75" customHeight="1">
      <c r="A3996" s="6" t="s">
        <v>5924</v>
      </c>
      <c r="B3996" s="6" t="str">
        <f>IFERROR(__xludf.DUMMYFUNCTION("GOOGLETRANSLATE(A3996,""en"",""fi"")"),"Sen silmät näkevät 360 astetta liikuttamatta päätä. Se ei jätä saalista huomaamatta – edes sen takana olevia.")</f>
        <v>Sen silmät näkevät 360 astetta liikuttamatta päätä. Se ei jätä saalista huomaamatta – edes sen takana olevia.</v>
      </c>
      <c r="C3996" s="9" t="s">
        <v>1344</v>
      </c>
    </row>
    <row r="3997" ht="33.75" customHeight="1">
      <c r="A3997" s="6" t="s">
        <v>5925</v>
      </c>
      <c r="B3997" s="6" t="str">
        <f>IFERROR(__xludf.DUMMYFUNCTION("GOOGLETRANSLATE(A3997,""en"",""fi"")"),"Se voi leijua paikallaan räpyttelemällä siipiään suurella nopeudella. Se liitelee ympäriinsä vartioidakseen reviiriään.")</f>
        <v>Se voi leijua paikallaan räpyttelemällä siipiään suurella nopeudella. Se liitelee ympäriinsä vartioidakseen reviiriään.</v>
      </c>
      <c r="C3997" s="9" t="s">
        <v>1344</v>
      </c>
    </row>
    <row r="3998" ht="33.75" customHeight="1">
      <c r="A3998" s="6" t="s">
        <v>5927</v>
      </c>
      <c r="B3998" s="6" t="str">
        <f>IFERROR(__xludf.DUMMYFUNCTION("GOOGLETRANSLATE(A3998,""en"",""fi"")"),"Läpyttelemällä siipiään suurella nopeudella se voi lentää vapaasti ilmassa. Edes äkilliset pysähdykset eivät ole ongelma.")</f>
        <v>Läpyttelemällä siipiään suurella nopeudella se voi lentää vapaasti ilmassa. Edes äkilliset pysähdykset eivät ole ongelma.</v>
      </c>
      <c r="C3998" s="9" t="s">
        <v>1344</v>
      </c>
    </row>
    <row r="3999" ht="33.75" customHeight="1">
      <c r="A3999" s="6" t="s">
        <v>5928</v>
      </c>
      <c r="B3999" s="6" t="str">
        <f>IFERROR(__xludf.DUMMYFUNCTION("GOOGLETRANSLATE(A3999,""en"",""fi"")"),"Yanma pystyy näkemään 360 astetta liikuttamatta silmiään. Se on loistava lentäjä, joka on taitava tekemään äkillisiä pysähdyksiä ja kääntymään ilmassa. Tämä Pokémon käyttää lentokykyään jahdatakseen nopeasti kohteena olevaa saalista.")</f>
        <v>Yanma pystyy näkemään 360 astetta liikuttamatta silmiään. Se on loistava lentäjä, joka on taitava tekemään äkillisiä pysähdyksiä ja kääntymään ilmassa. Tämä Pokémon käyttää lentokykyään jahdatakseen nopeasti kohteena olevaa saalista.</v>
      </c>
      <c r="C3999" s="9" t="s">
        <v>1344</v>
      </c>
    </row>
    <row r="4000" ht="33.75" customHeight="1">
      <c r="A4000" s="6" t="s">
        <v>5930</v>
      </c>
      <c r="B4000" s="6" t="str">
        <f>IFERROR(__xludf.DUMMYFUNCTION("GOOGLETRANSLATE(A4000,""en"",""fi"")"),"Sen hauraat siivet ovat niin ohuet, että niiden läpi näkee selvästi. Lennon aikana nämä siivet kuitenkin pystyvät pyörittämään ilmaa niin voimakkaasti, että ne voisivat sinkoa talon ilmaan.")</f>
        <v>Sen hauraat siivet ovat niin ohuet, että niiden läpi näkee selvästi. Lennon aikana nämä siivet kuitenkin pystyvät pyörittämään ilmaa niin voimakkaasti, että ne voisivat sinkoa talon ilmaan.</v>
      </c>
      <c r="C4000" s="9" t="s">
        <v>1344</v>
      </c>
    </row>
    <row r="4001" ht="33.75" customHeight="1">
      <c r="A4001" s="6" t="s">
        <v>5931</v>
      </c>
      <c r="B4001" s="6" t="str">
        <f>IFERROR(__xludf.DUMMYFUNCTION("GOOGLETRANSLATE(A4001,""en"",""fi"")"),"Tämä POKéMON elää kylmässä vedessä. Se lähtee vedestä etsimään ruokaa, kun ulkona kylmenee.")</f>
        <v>Tämä POKéMON elää kylmässä vedessä. Se lähtee vedestä etsimään ruokaa, kun ulkona kylmenee.</v>
      </c>
      <c r="C4001" s="9" t="s">
        <v>1344</v>
      </c>
    </row>
    <row r="4002" ht="33.75" customHeight="1">
      <c r="A4002" s="6" t="s">
        <v>5932</v>
      </c>
      <c r="B4002" s="6" t="str">
        <f>IFERROR(__xludf.DUMMYFUNCTION("GOOGLETRANSLATE(A4002,""en"",""fi"")"),"Kun se kävelee kierroksen maassa, se peittää ruumiinsa limaisella, myrkyllisellä kalvolla.")</f>
        <v>Kun se kävelee kierroksen maassa, se peittää ruumiinsa limaisella, myrkyllisellä kalvolla.</v>
      </c>
      <c r="C4002" s="9" t="s">
        <v>1344</v>
      </c>
    </row>
    <row r="4003" ht="33.75" customHeight="1">
      <c r="A4003" s="6" t="s">
        <v>5934</v>
      </c>
      <c r="B4003" s="6" t="str">
        <f>IFERROR(__xludf.DUMMYFUNCTION("GOOGLETRANSLATE(A4003,""en"",""fi"")"),"Sen vartaloa peittää limakalvo. Sen koskettaminen paljain käsin aiheuttaa vihlovaa kipua.")</f>
        <v>Sen vartaloa peittää limakalvo. Sen koskettaminen paljain käsin aiheuttaa vihlovaa kipua.</v>
      </c>
      <c r="C4003" s="9" t="s">
        <v>1344</v>
      </c>
    </row>
    <row r="4004" ht="33.75" customHeight="1">
      <c r="A4004" s="6" t="s">
        <v>5935</v>
      </c>
      <c r="B4004" s="6" t="str">
        <f>IFERROR(__xludf.DUMMYFUNCTION("GOOGLETRANSLATE(A4004,""en"",""fi"")"),"WOOPER elää yleensä vedessä. Se kuitenkin tulee toisinaan maihin etsimään ruokaa. Maalla se peittää ruumiinsa tahmealla, myrkyllisellä kalvolla.")</f>
        <v>WOOPER elää yleensä vedessä. Se kuitenkin tulee toisinaan maihin etsimään ruokaa. Maalla se peittää ruumiinsa tahmealla, myrkyllisellä kalvolla.</v>
      </c>
      <c r="C4004" s="9" t="s">
        <v>1344</v>
      </c>
    </row>
    <row r="4005" ht="33.75" customHeight="1">
      <c r="A4005" s="6" t="s">
        <v>5936</v>
      </c>
      <c r="B4005" s="6" t="str">
        <f>IFERROR(__xludf.DUMMYFUNCTION("GOOGLETRANSLATE(A4005,""en"",""fi"")"),"WOOPER elää yleensä vedessä, mutta tulee silloin tällöin maihin etsimään ruokaa. Maalla ne peittävät ruumiinsa tahmealla, myrkyllisellä kalvolla.")</f>
        <v>WOOPER elää yleensä vedessä, mutta tulee silloin tällöin maihin etsimään ruokaa. Maalla ne peittävät ruumiinsa tahmealla, myrkyllisellä kalvolla.</v>
      </c>
      <c r="C4005" s="9" t="s">
        <v>1344</v>
      </c>
    </row>
    <row r="4006" ht="33.75" customHeight="1">
      <c r="A4006" s="6" t="s">
        <v>5937</v>
      </c>
      <c r="B4006" s="6" t="str">
        <f>IFERROR(__xludf.DUMMYFUNCTION("GOOGLETRANSLATE(A4006,""en"",""fi"")"),"Maassa kävellessään se peittää ruumiinsa limaisella, myrkyllisellä kalvolla.")</f>
        <v>Maassa kävellessään se peittää ruumiinsa limaisella, myrkyllisellä kalvolla.</v>
      </c>
      <c r="C4006" s="9" t="s">
        <v>1344</v>
      </c>
    </row>
    <row r="4007" ht="33.75" customHeight="1">
      <c r="A4007" s="6" t="s">
        <v>5938</v>
      </c>
      <c r="B4007" s="6" t="str">
        <f>IFERROR(__xludf.DUMMYFUNCTION("GOOGLETRANSLATE(A4007,""en"",""fi"")"),"Se elää kylmässä vedessä, puoliksi hautautuneena pohjaan mutaan nukkuakseen.")</f>
        <v>Se elää kylmässä vedessä, puoliksi hautautuneena pohjaan mutaan nukkuakseen.</v>
      </c>
      <c r="C4007" s="9" t="s">
        <v>1344</v>
      </c>
    </row>
    <row r="4008" ht="33.75" customHeight="1">
      <c r="A4008" s="6" t="s">
        <v>5940</v>
      </c>
      <c r="B4008" s="6" t="str">
        <f>IFERROR(__xludf.DUMMYFUNCTION("GOOGLETRANSLATE(A4008,""en"",""fi"")"),"Kun lämpötila laskee illalla, ne nousevat vedestä etsimään ruokaa rannalta.")</f>
        <v>Kun lämpötila laskee illalla, ne nousevat vedestä etsimään ruokaa rannalta.</v>
      </c>
      <c r="C4008" s="9" t="s">
        <v>1344</v>
      </c>
    </row>
    <row r="4009" ht="33.75" customHeight="1">
      <c r="A4009" s="6" t="s">
        <v>5942</v>
      </c>
      <c r="B4009" s="6" t="str">
        <f>IFERROR(__xludf.DUMMYFUNCTION("GOOGLETRANSLATE(A4009,""en"",""fi"")"),"Maalla kävellessään se peittää ruumiinsa myrkyllisellä kalvolla, joka estää sen ihoa kuivumasta.")</f>
        <v>Maalla kävellessään se peittää ruumiinsa myrkyllisellä kalvolla, joka estää sen ihoa kuivumasta.</v>
      </c>
      <c r="C4009" s="9" t="s">
        <v>1344</v>
      </c>
    </row>
    <row r="4010" ht="33.75" customHeight="1">
      <c r="A4010" s="6" t="s">
        <v>5943</v>
      </c>
      <c r="B4010" s="6" t="str">
        <f>IFERROR(__xludf.DUMMYFUNCTION("GOOGLETRANSLATE(A4010,""en"",""fi"")"),"Tämä Pokémon elää kylmässä vedessä. Se lähtee vedestä etsimään ruokaa, kun ulkona kylmenee.")</f>
        <v>Tämä Pokémon elää kylmässä vedessä. Se lähtee vedestä etsimään ruokaa, kun ulkona kylmenee.</v>
      </c>
      <c r="C4010" s="9" t="s">
        <v>1344</v>
      </c>
    </row>
    <row r="4011" ht="33.75" customHeight="1">
      <c r="A4011" s="6" t="s">
        <v>5945</v>
      </c>
      <c r="B4011" s="6" t="str">
        <f>IFERROR(__xludf.DUMMYFUNCTION("GOOGLETRANSLATE(A4011,""en"",""fi"")"),"Wooper elää yleensä vedessä. Se kuitenkin tulee toisinaan maihin etsimään ruokaa. Maalla se peittää ruumiinsa tahmealla, myrkyllisellä kalvolla.")</f>
        <v>Wooper elää yleensä vedessä. Se kuitenkin tulee toisinaan maihin etsimään ruokaa. Maalla se peittää ruumiinsa tahmealla, myrkyllisellä kalvolla.</v>
      </c>
      <c r="C4011" s="9" t="s">
        <v>1344</v>
      </c>
    </row>
    <row r="4012" ht="33.75" customHeight="1">
      <c r="A4012" s="6" t="s">
        <v>5947</v>
      </c>
      <c r="B4012" s="6" t="str">
        <f>IFERROR(__xludf.DUMMYFUNCTION("GOOGLETRANSLATE(A4012,""en"",""fi"")"),"Tämä huoleton POKéMON on luonteeltaan leppoisa. Uidessaan se törmää aina veneiden runkoihin.")</f>
        <v>Tämä huoleton POKéMON on luonteeltaan leppoisa. Uidessaan se törmää aina veneiden runkoihin.</v>
      </c>
      <c r="C4012" s="9" t="s">
        <v>1344</v>
      </c>
    </row>
    <row r="4013" ht="33.75" customHeight="1">
      <c r="A4013" s="6" t="s">
        <v>5948</v>
      </c>
      <c r="B4013" s="6" t="str">
        <f>IFERROR(__xludf.DUMMYFUNCTION("GOOGLETRANSLATE(A4013,""en"",""fi"")"),"Rentouttavan ja huolettoman olemuksensa vuoksi se usein törmää uidessaan päänsä lohkareisiin ja veneen runkoihin.")</f>
        <v>Rentouttavan ja huolettoman olemuksensa vuoksi se usein törmää uidessaan päänsä lohkareisiin ja veneen runkoihin.</v>
      </c>
      <c r="C4013" s="9" t="s">
        <v>1344</v>
      </c>
    </row>
    <row r="4014" ht="33.75" customHeight="1">
      <c r="A4014" s="6" t="s">
        <v>5949</v>
      </c>
      <c r="B4014" s="6" t="str">
        <f>IFERROR(__xludf.DUMMYFUNCTION("GOOGLETRANSLATE(A4014,""en"",""fi"")"),"Sen ruumis on aina limainen. Se usein lyö päätään joen pohjaan uidessaan, mutta ei näytä välittävän siitä.")</f>
        <v>Sen ruumis on aina limainen. Se usein lyö päätään joen pohjaan uidessaan, mutta ei näytä välittävän siitä.</v>
      </c>
      <c r="C4014" s="9" t="s">
        <v>1344</v>
      </c>
    </row>
    <row r="4015" ht="33.75" customHeight="1">
      <c r="A4015" s="6" t="s">
        <v>5951</v>
      </c>
      <c r="B4015" s="6" t="str">
        <f>IFERROR(__xludf.DUMMYFUNCTION("GOOGLETRANSLATE(A4015,""en"",""fi"")"),"QUAGSIRE metsästää ruokaa pitämällä suunsa auki vedessä ja odottamalla saaliinsa kompastuvan sisään tietämättään. Koska POKéMON ei liiku, se ei tule kovin nälkäiseksi.")</f>
        <v>QUAGSIRE metsästää ruokaa pitämällä suunsa auki vedessä ja odottamalla saaliinsa kompastuvan sisään tietämättään. Koska POKéMON ei liiku, se ei tule kovin nälkäiseksi.</v>
      </c>
      <c r="C4015" s="9" t="s">
        <v>1344</v>
      </c>
    </row>
    <row r="4016" ht="33.75" customHeight="1">
      <c r="A4016" s="6" t="s">
        <v>5952</v>
      </c>
      <c r="B4016" s="6" t="str">
        <f>IFERROR(__xludf.DUMMYFUNCTION("GOOGLETRANSLATE(A4016,""en"",""fi"")"),"QUAGSIRE metsästää jättämällä suunsa auki veteen ja odottamalla saaliinsa kompastuvan sisään. Koska se ei liiku, se ei tule kovin nälkäiseksi.")</f>
        <v>QUAGSIRE metsästää jättämällä suunsa auki veteen ja odottamalla saaliinsa kompastuvan sisään. Koska se ei liiku, se ei tule kovin nälkäiseksi.</v>
      </c>
      <c r="C4016" s="9" t="s">
        <v>1344</v>
      </c>
    </row>
    <row r="4017" ht="33.75" customHeight="1">
      <c r="A4017" s="6" t="s">
        <v>5953</v>
      </c>
      <c r="B4017" s="6" t="str">
        <f>IFERROR(__xludf.DUMMYFUNCTION("GOOGLETRANSLATE(A4017,""en"",""fi"")"),"Rentouttavan ja huolettoman asenteensa vuoksi se usein törmää uidessaan päänsä lohkareisiin ja veneen runkoihin.")</f>
        <v>Rentouttavan ja huolettoman asenteensa vuoksi se usein törmää uidessaan päänsä lohkareisiin ja veneen runkoihin.</v>
      </c>
      <c r="C4017" s="9" t="s">
        <v>1344</v>
      </c>
    </row>
    <row r="4018" ht="33.75" customHeight="1">
      <c r="A4018" s="6" t="s">
        <v>5954</v>
      </c>
      <c r="B4018" s="6" t="str">
        <f>IFERROR(__xludf.DUMMYFUNCTION("GOOGLETRANSLATE(A4018,""en"",""fi"")"),"Tämä huoleton POKéMON on luonteeltaan leppoisa. Uidessaan se törmää aina veneiden runkoihin.")</f>
        <v>Tämä huoleton POKéMON on luonteeltaan leppoisa. Uidessaan se törmää aina veneiden runkoihin.</v>
      </c>
      <c r="C4018" s="9" t="s">
        <v>1344</v>
      </c>
    </row>
    <row r="4019" ht="33.75" customHeight="1">
      <c r="A4019" s="6" t="s">
        <v>5955</v>
      </c>
      <c r="B4019" s="6" t="str">
        <f>IFERROR(__xludf.DUMMYFUNCTION("GOOGLETRANSLATE(A4019,""en"",""fi"")"),"Se on luonteeltaan hidas. Se makaa joen pohjassa odottamassa saalista eksyvän suuhunsa.")</f>
        <v>Se on luonteeltaan hidas. Se makaa joen pohjassa odottamassa saalista eksyvän suuhunsa.</v>
      </c>
      <c r="C4019" s="9" t="s">
        <v>1344</v>
      </c>
    </row>
    <row r="4020" ht="33.75" customHeight="1">
      <c r="A4020" s="6" t="s">
        <v>5956</v>
      </c>
      <c r="B4020" s="6" t="str">
        <f>IFERROR(__xludf.DUMMYFUNCTION("GOOGLETRANSLATE(A4020,""en"",""fi"")"),"Tyhmäjärkinen Pokémon. Se ei välitä, vaikka se uidessaan törmäisi päällään veneeseen tai kiviin.")</f>
        <v>Tyhmäjärkinen Pokémon. Se ei välitä, vaikka se uidessaan törmäisi päällään veneeseen tai kiviin.</v>
      </c>
      <c r="C4020" s="9" t="s">
        <v>1344</v>
      </c>
    </row>
    <row r="4021" ht="33.75" customHeight="1">
      <c r="A4021" s="6" t="s">
        <v>5958</v>
      </c>
      <c r="B4021" s="6" t="str">
        <f>IFERROR(__xludf.DUMMYFUNCTION("GOOGLETRANSLATE(A4021,""en"",""fi"")"),"Sillä on leppoisa luonne. Se ei välitä, vaikka se uidessaan törmäisi päänsä veneisiin tai lohkareisiin.")</f>
        <v>Sillä on leppoisa luonne. Se ei välitä, vaikka se uidessaan törmäisi päänsä veneisiin tai lohkareisiin.</v>
      </c>
      <c r="C4021" s="9" t="s">
        <v>1344</v>
      </c>
    </row>
    <row r="4022" ht="33.75" customHeight="1">
      <c r="A4022" s="6" t="s">
        <v>5959</v>
      </c>
      <c r="B4022" s="6" t="str">
        <f>IFERROR(__xludf.DUMMYFUNCTION("GOOGLETRANSLATE(A4022,""en"",""fi"")"),"Tämä huoleton Pokémon on luonteeltaan rento. Uidessaan se törmää aina veneen runkoihin.")</f>
        <v>Tämä huoleton Pokémon on luonteeltaan rento. Uidessaan se törmää aina veneen runkoihin.</v>
      </c>
      <c r="C4022" s="9" t="s">
        <v>1344</v>
      </c>
    </row>
    <row r="4023" ht="33.75" customHeight="1">
      <c r="A4023" s="6" t="s">
        <v>5960</v>
      </c>
      <c r="B4023" s="6" t="str">
        <f>IFERROR(__xludf.DUMMYFUNCTION("GOOGLETRANSLATE(A4023,""en"",""fi"")"),"Tämä huoleton Pokémon on luonteeltaan leppoisa. Uidessaan se törmää aina veneen runkoihin.")</f>
        <v>Tämä huoleton Pokémon on luonteeltaan leppoisa. Uidessaan se törmää aina veneen runkoihin.</v>
      </c>
      <c r="C4023" s="9" t="s">
        <v>1344</v>
      </c>
    </row>
    <row r="4024" ht="33.75" customHeight="1">
      <c r="A4024" s="6" t="s">
        <v>5962</v>
      </c>
      <c r="B4024" s="6" t="str">
        <f>IFERROR(__xludf.DUMMYFUNCTION("GOOGLETRANSLATE(A4024,""en"",""fi"")"),"Quagsire metsästää ruokaa jättämällä suunsa auki veteen ja odottamalla saaliinsa kompastuvan sisään tietämättään. Koska Pokémon ei liiku, se ei tule kovin nälkäiseksi.")</f>
        <v>Quagsire metsästää ruokaa jättämällä suunsa auki veteen ja odottamalla saaliinsa kompastuvan sisään tietämättään. Koska Pokémon ei liiku, se ei tule kovin nälkäiseksi.</v>
      </c>
      <c r="C4024" s="9" t="s">
        <v>1344</v>
      </c>
    </row>
    <row r="4025" ht="33.75" customHeight="1">
      <c r="A4025" s="6" t="s">
        <v>5963</v>
      </c>
      <c r="B4025" s="6" t="str">
        <f>IFERROR(__xludf.DUMMYFUNCTION("GOOGLETRANSLATE(A4025,""en"",""fi"")"),"Se käyttää kehoaan peittävää hienoa karvaa aistiakseen ilmavirtoja ja ennustaakseen vihollistensa toimia.")</f>
        <v>Se käyttää kehoaan peittävää hienoa karvaa aistiakseen ilmavirtoja ja ennustaakseen vihollistensa toimia.</v>
      </c>
      <c r="C4025" s="9" t="s">
        <v>1344</v>
      </c>
    </row>
    <row r="4026" ht="33.75" customHeight="1">
      <c r="A4026" s="6" t="s">
        <v>5965</v>
      </c>
      <c r="B4026" s="6" t="str">
        <f>IFERROR(__xludf.DUMMYFUNCTION("GOOGLETRANSLATE(A4026,""en"",""fi"")"),"Lukemalla ilmavirtauksia se voi ennustaa esimerkiksi säätä tai vihollisensa seuraavaa liikettä.")</f>
        <v>Lukemalla ilmavirtauksia se voi ennustaa esimerkiksi säätä tai vihollisensa seuraavaa liikettä.</v>
      </c>
      <c r="C4026" s="9" t="s">
        <v>1344</v>
      </c>
    </row>
    <row r="4027" ht="33.75" customHeight="1">
      <c r="A4027" s="6" t="s">
        <v>5967</v>
      </c>
      <c r="B4027" s="6" t="str">
        <f>IFERROR(__xludf.DUMMYFUNCTION("GOOGLETRANSLATE(A4027,""en"",""fi"")"),"Sen kaksihaaraisen hännän kärki värisee, kun se ennustaa vastustajansa seuraavaa siirtoa.")</f>
        <v>Sen kaksihaaraisen hännän kärki värisee, kun se ennustaa vastustajansa seuraavaa siirtoa.</v>
      </c>
      <c r="C4027" s="9" t="s">
        <v>1344</v>
      </c>
    </row>
    <row r="4028" ht="33.75" customHeight="1">
      <c r="A4028" s="6" t="s">
        <v>5969</v>
      </c>
      <c r="B4028" s="6" t="str">
        <f>IFERROR(__xludf.DUMMYFUNCTION("GOOGLETRANSLATE(A4028,""en"",""fi"")"),"ESPEON on äärimmäisen uskollinen kaikille arvokkaille KOULUTTAJILLE. Kerrotaan, että tämä POKéMON kehitti ennakointikykynsä suojellakseen KOULUTTAJAAN vahingolta.")</f>
        <v>ESPEON on äärimmäisen uskollinen kaikille arvokkaille KOULUTTAJILLE. Kerrotaan, että tämä POKéMON kehitti ennakointikykynsä suojellakseen KOULUTTAJAAN vahingolta.</v>
      </c>
      <c r="C4028" s="9" t="s">
        <v>1344</v>
      </c>
    </row>
    <row r="4029" ht="33.75" customHeight="1">
      <c r="A4029" s="6" t="s">
        <v>5970</v>
      </c>
      <c r="B4029" s="6" t="str">
        <f>IFERROR(__xludf.DUMMYFUNCTION("GOOGLETRANSLATE(A4029,""en"",""fi"")"),"ESPEON on äärimmäisen uskollinen kaikille KOULUTTAJILLE, joita se pitää arvoisina. Sen sanotaan kehittäneen ennakoivia kykyjä suojellakseen KOULUTTAJAANsa vahingolta.")</f>
        <v>ESPEON on äärimmäisen uskollinen kaikille KOULUTTAJILLE, joita se pitää arvoisina. Sen sanotaan kehittäneen ennakoivia kykyjä suojellakseen KOULUTTAJAANsa vahingolta.</v>
      </c>
      <c r="C4029" s="9" t="s">
        <v>1344</v>
      </c>
    </row>
    <row r="4030" ht="33.75" customHeight="1">
      <c r="A4030" s="6" t="s">
        <v>5971</v>
      </c>
      <c r="B4030" s="6" t="str">
        <f>IFERROR(__xludf.DUMMYFUNCTION("GOOGLETRANSLATE(A4030,""en"",""fi"")"),"Lukemalla ilmavirtauksia se voi ennustaa esimerkiksi säätä tai vihollisensa seuraavaa liikettä.")</f>
        <v>Lukemalla ilmavirtauksia se voi ennustaa esimerkiksi säätä tai vihollisensa seuraavaa liikettä.</v>
      </c>
      <c r="C4030" s="9" t="s">
        <v>1344</v>
      </c>
    </row>
    <row r="4031" ht="33.75" customHeight="1">
      <c r="A4031" s="6" t="s">
        <v>5972</v>
      </c>
      <c r="B4031" s="6" t="str">
        <f>IFERROR(__xludf.DUMMYFUNCTION("GOOGLETRANSLATE(A4031,""en"",""fi"")"),"Se käyttää vartaloaan peittävää hienoa karvaa aistiakseen ilmavirtoja ja ennustaakseen vihollisensa toimia.")</f>
        <v>Se käyttää vartaloaan peittävää hienoa karvaa aistiakseen ilmavirtoja ja ennustaakseen vihollisensa toimia.</v>
      </c>
      <c r="C4031" s="9" t="s">
        <v>1344</v>
      </c>
    </row>
    <row r="4032" ht="33.75" customHeight="1">
      <c r="A4032" s="6" t="s">
        <v>5974</v>
      </c>
      <c r="B4032" s="6" t="str">
        <f>IFERROR(__xludf.DUMMYFUNCTION("GOOGLETRANSLATE(A4032,""en"",""fi"")"),"Sen turkki näyttää ja tuntuu sametilta. Sen otsassa oleva pallo hehkuu, kun se käyttää psykovoimaa.")</f>
        <v>Sen turkki näyttää ja tuntuu sametilta. Sen otsassa oleva pallo hehkuu, kun se käyttää psykovoimaa.</v>
      </c>
      <c r="C4032" s="9" t="s">
        <v>1344</v>
      </c>
    </row>
    <row r="4033" ht="33.75" customHeight="1">
      <c r="A4033" s="6" t="s">
        <v>5975</v>
      </c>
      <c r="B4033" s="6" t="str">
        <f>IFERROR(__xludf.DUMMYFUNCTION("GOOGLETRANSLATE(A4033,""en"",""fi"")"),"Sen turkki on niin herkkä, että se voi aistia pienetkin muutokset ilmassa ja ennustaa sään.")</f>
        <v>Sen turkki on niin herkkä, että se voi aistia pienetkin muutokset ilmassa ja ennustaa sään.</v>
      </c>
      <c r="C4033" s="9" t="s">
        <v>1344</v>
      </c>
    </row>
    <row r="4034" ht="33.75" customHeight="1">
      <c r="A4034" s="6" t="s">
        <v>5977</v>
      </c>
      <c r="B4034" s="6" t="str">
        <f>IFERROR(__xludf.DUMMYFUNCTION("GOOGLETRANSLATE(A4034,""en"",""fi"")"),"Sen turkki on niin herkkä, että se voi aistia pienetkin muutokset ilmassa ja ennustaa sään... ja vihollistensa ajatukset.")</f>
        <v>Sen turkki on niin herkkä, että se voi aistia pienetkin muutokset ilmassa ja ennustaa sään... ja vihollistensa ajatukset.</v>
      </c>
      <c r="C4034" s="9" t="s">
        <v>1344</v>
      </c>
    </row>
    <row r="4035" ht="33.75" customHeight="1">
      <c r="A4035" s="6" t="s">
        <v>5978</v>
      </c>
      <c r="B4035" s="6" t="str">
        <f>IFERROR(__xludf.DUMMYFUNCTION("GOOGLETRANSLATE(A4035,""en"",""fi"")"),"Sen kaksihaaraisen hännän kärki värisee, kun se ennustaa vastustajansa seuraavaa siirtoa.")</f>
        <v>Sen kaksihaaraisen hännän kärki värisee, kun se ennustaa vastustajansa seuraavaa siirtoa.</v>
      </c>
      <c r="C4035" s="9" t="s">
        <v>1344</v>
      </c>
    </row>
    <row r="4036" ht="33.75" customHeight="1">
      <c r="A4036" s="6" t="s">
        <v>5980</v>
      </c>
      <c r="B4036" s="6" t="str">
        <f>IFERROR(__xludf.DUMMYFUNCTION("GOOGLETRANSLATE(A4036,""en"",""fi"")"),"Espeon on äärimmäisen uskollinen kaikille kouluttajille, joita se pitää arvoisina. Kerrotaan, että tämä Pokémon kehitti ennakointikykynsä suojellakseen kouluttajaansa vahingolta.")</f>
        <v>Espeon on äärimmäisen uskollinen kaikille kouluttajille, joita se pitää arvoisina. Kerrotaan, että tämä Pokémon kehitti ennakointikykynsä suojellakseen kouluttajaansa vahingolta.</v>
      </c>
      <c r="C4036" s="9" t="s">
        <v>1344</v>
      </c>
    </row>
    <row r="4037" ht="33.75" customHeight="1">
      <c r="A4037" s="6" t="s">
        <v>5981</v>
      </c>
      <c r="B4037" s="6" t="str">
        <f>IFERROR(__xludf.DUMMYFUNCTION("GOOGLETRANSLATE(A4037,""en"",""fi"")"),"Se voi aistia vastustajansa liikkeet välittömästi tunnustelemalla ilmavirtoja hienolla turkillaan.")</f>
        <v>Se voi aistia vastustajansa liikkeet välittömästi tunnustelemalla ilmavirtoja hienolla turkillaan.</v>
      </c>
      <c r="C4037" s="9" t="s">
        <v>1344</v>
      </c>
    </row>
    <row r="4038" ht="33.75" customHeight="1">
      <c r="A4038" s="6" t="s">
        <v>5983</v>
      </c>
      <c r="B4038" s="6" t="str">
        <f>IFERROR(__xludf.DUMMYFUNCTION("GOOGLETRANSLATE(A4038,""en"",""fi"")"),"Se vapauttaa psyykkistä voimaa otsassaan olevasta pallosta. Kun sen voima on loppunut, pallo muuttuu himmeäksi ja tummaksi.")</f>
        <v>Se vapauttaa psyykkistä voimaa otsassaan olevasta pallosta. Kun sen voima on loppunut, pallo muuttuu himmeäksi ja tummaksi.</v>
      </c>
      <c r="C4038" s="9" t="s">
        <v>1344</v>
      </c>
    </row>
    <row r="4039" ht="33.75" customHeight="1">
      <c r="A4039" s="6" t="s">
        <v>5984</v>
      </c>
      <c r="B4039" s="6" t="str">
        <f>IFERROR(__xludf.DUMMYFUNCTION("GOOGLETRANSLATE(A4039,""en"",""fi"")"),"Vaikka sillä alun perin ei ollut lainkaan voimia, sanotaan, että sen ennaltaehkäisykyky heräsi sen tarpeesta suojella itseään.")</f>
        <v>Vaikka sillä alun perin ei ollut lainkaan voimia, sanotaan, että sen ennaltaehkäisykyky heräsi sen tarpeesta suojella itseään.</v>
      </c>
      <c r="C4039" s="9" t="s">
        <v>1344</v>
      </c>
    </row>
    <row r="4040" ht="33.75" customHeight="1">
      <c r="A4040" s="6" t="s">
        <v>5986</v>
      </c>
      <c r="B4040" s="6" t="str">
        <f>IFERROR(__xludf.DUMMYFUNCTION("GOOGLETRANSLATE(A4040,""en"",""fi"")"),"Sen otsassa olevaan palloon kertyy psyykkistä voimaa sen kylpiessä auringonpaisteessa. Espeon ei ole hyvä taistelemaan yöllä.")</f>
        <v>Sen otsassa olevaan palloon kertyy psyykkistä voimaa sen kylpiessä auringonpaisteessa. Espeon ei ole hyvä taistelemaan yöllä.</v>
      </c>
      <c r="C4040" s="9" t="s">
        <v>1344</v>
      </c>
    </row>
    <row r="4041" ht="33.75" customHeight="1">
      <c r="A4041" s="6" t="s">
        <v>5987</v>
      </c>
      <c r="B4041" s="6" t="str">
        <f>IFERROR(__xludf.DUMMYFUNCTION("GOOGLETRANSLATE(A4041,""en"",""fi"")"),"Käyttää salaperäistä voimaa, jolla se voi ennustaa säätä ja jopa ihmisten ajatuksia. Auringonpaisteessa sen otsassa oleva helakanpunainen pallo hehkuu ja kerää energiaa.")</f>
        <v>Käyttää salaperäistä voimaa, jolla se voi ennustaa säätä ja jopa ihmisten ajatuksia. Auringonpaisteessa sen otsassa oleva helakanpunainen pallo hehkuu ja kerää energiaa.</v>
      </c>
      <c r="C4041" s="9" t="s">
        <v>1344</v>
      </c>
    </row>
    <row r="4042" ht="33.75" customHeight="1">
      <c r="A4042" s="6" t="s">
        <v>5989</v>
      </c>
      <c r="B4042" s="6" t="str">
        <f>IFERROR(__xludf.DUMMYFUNCTION("GOOGLETRANSLATE(A4042,""en"",""fi"")"),"Levottomana tämä POKéMON suojaa itseään suihkuttamalla myrkyllistä hikeä ihohuokosistaan.")</f>
        <v>Levottomana tämä POKéMON suojaa itseään suihkuttamalla myrkyllistä hikeä ihohuokosistaan.</v>
      </c>
      <c r="C4042" s="9" t="s">
        <v>1344</v>
      </c>
    </row>
    <row r="4043" ht="33.75" customHeight="1">
      <c r="A4043" s="6" t="s">
        <v>5991</v>
      </c>
      <c r="B4043" s="6" t="str">
        <f>IFERROR(__xludf.DUMMYFUNCTION("GOOGLETRANSLATE(A4043,""en"",""fi"")"),"Kun pimeys laskeutuu, kehon renkaat alkavat hehkua ja herättävät pelkoa kaikkien lähellä olevien sydämissä.")</f>
        <v>Kun pimeys laskeutuu, kehon renkaat alkavat hehkua ja herättävät pelkoa kaikkien lähellä olevien sydämissä.</v>
      </c>
      <c r="C4043" s="9" t="s">
        <v>1344</v>
      </c>
    </row>
    <row r="4044" ht="33.75" customHeight="1">
      <c r="A4044" s="6" t="s">
        <v>5992</v>
      </c>
      <c r="B4044" s="6" t="str">
        <f>IFERROR(__xludf.DUMMYFUNCTION("GOOGLETRANSLATE(A4044,""en"",""fi"")"),"Täydenkuun yönä tai kun se innostuu, sen kehon rengaskuviot hehkuvat keltaisina.")</f>
        <v>Täydenkuun yönä tai kun se innostuu, sen kehon rengaskuviot hehkuvat keltaisina.</v>
      </c>
      <c r="C4044" s="9" t="s">
        <v>1344</v>
      </c>
    </row>
    <row r="4045" ht="33.75" customHeight="1">
      <c r="A4045" s="6" t="s">
        <v>5994</v>
      </c>
      <c r="B4045" s="6" t="str">
        <f>IFERROR(__xludf.DUMMYFUNCTION("GOOGLETRANSLATE(A4045,""en"",""fi"")"),"UMBREON kehittyi altistuttuaan kuun aalloille. Se piiloutuu hiljaa pimeyteen ja odottaa vihollistensa tekevän liikkeen. Sen kehon renkaat hehkuvat, kun se hyppää hyökkäämään.")</f>
        <v>UMBREON kehittyi altistuttuaan kuun aalloille. Se piiloutuu hiljaa pimeyteen ja odottaa vihollistensa tekevän liikkeen. Sen kehon renkaat hehkuvat, kun se hyppää hyökkäämään.</v>
      </c>
      <c r="C4045" s="9" t="s">
        <v>1344</v>
      </c>
    </row>
    <row r="4046" ht="33.75" customHeight="1">
      <c r="A4046" s="6" t="s">
        <v>5996</v>
      </c>
      <c r="B4046" s="6" t="str">
        <f>IFERROR(__xludf.DUMMYFUNCTION("GOOGLETRANSLATE(A4046,""en"",""fi"")"),"UMBREON kehittyi altistuttuaan kuun energiapulsseille. Se väijyy pimeydessä ja odottaa vihollistensa liikkumista. Sen kehon renkaat hehkuvat, kun se hyppää hyökkäämään.")</f>
        <v>UMBREON kehittyi altistuttuaan kuun energiapulsseille. Se väijyy pimeydessä ja odottaa vihollistensa liikkumista. Sen kehon renkaat hehkuvat, kun se hyppää hyökkäämään.</v>
      </c>
      <c r="C4046" s="9" t="s">
        <v>1344</v>
      </c>
    </row>
    <row r="4047" ht="33.75" customHeight="1">
      <c r="A4047" s="6" t="s">
        <v>5998</v>
      </c>
      <c r="B4047" s="6" t="str">
        <f>IFERROR(__xludf.DUMMYFUNCTION("GOOGLETRANSLATE(A4047,""en"",""fi"")"),"Kun pimeys laskeutuu, sen kehon renkaat alkavat hehkua ja herättävät pelkoa kaikkien lähellä olevien sydämissä.")</f>
        <v>Kun pimeys laskeutuu, sen kehon renkaat alkavat hehkua ja herättävät pelkoa kaikkien lähellä olevien sydämissä.</v>
      </c>
      <c r="C4047" s="9" t="s">
        <v>1344</v>
      </c>
    </row>
    <row r="4048" ht="33.75" customHeight="1">
      <c r="A4048" s="6" t="s">
        <v>6000</v>
      </c>
      <c r="B4048" s="6" t="str">
        <f>IFERROR(__xludf.DUMMYFUNCTION("GOOGLETRANSLATE(A4048,""en"",""fi"")"),"Levottomana tämä POKéMON suojaa itseään suihkuttamalla myrkyllistä hikeä ihohuokosistaan.")</f>
        <v>Levottomana tämä POKéMON suojaa itseään suihkuttamalla myrkyllistä hikeä ihohuokosistaan.</v>
      </c>
      <c r="C4048" s="9" t="s">
        <v>1344</v>
      </c>
    </row>
    <row r="4049" ht="33.75" customHeight="1">
      <c r="A4049" s="6" t="s">
        <v>6001</v>
      </c>
      <c r="B4049" s="6" t="str">
        <f>IFERROR(__xludf.DUMMYFUNCTION("GOOGLETRANSLATE(A4049,""en"",""fi"")"),"Kuunvalo muutti EEVEE:n geneettistä rakennetta. Se vaanii pimeydessä saalista etsien.")</f>
        <v>Kuunvalo muutti EEVEE:n geneettistä rakennetta. Se vaanii pimeydessä saalista etsien.</v>
      </c>
      <c r="C4049" s="9" t="s">
        <v>1344</v>
      </c>
    </row>
    <row r="4050" ht="33.75" customHeight="1">
      <c r="A4050" s="6" t="s">
        <v>6003</v>
      </c>
      <c r="B4050" s="6" t="str">
        <f>IFERROR(__xludf.DUMMYFUNCTION("GOOGLETRANSLATE(A4050,""en"",""fi"")"),"Kuun aura lämmittää sen kehon renkaita, ja se saa salaperäisen voiman.")</f>
        <v>Kuun aura lämmittää sen kehon renkaita, ja se saa salaperäisen voiman.</v>
      </c>
      <c r="C4050" s="9" t="s">
        <v>1344</v>
      </c>
    </row>
    <row r="4051" ht="33.75" customHeight="1">
      <c r="A4051" s="6" t="s">
        <v>6004</v>
      </c>
      <c r="B4051" s="6" t="str">
        <f>IFERROR(__xludf.DUMMYFUNCTION("GOOGLETRANSLATE(A4051,""en"",""fi"")"),"Levottomana tämä Pokémon suojaa itseään suihkuttamalla myrkyllistä hikeä huokosistaan.")</f>
        <v>Levottomana tämä Pokémon suojaa itseään suihkuttamalla myrkyllistä hikeä huokosistaan.</v>
      </c>
      <c r="C4051" s="9" t="s">
        <v>1344</v>
      </c>
    </row>
    <row r="4052" ht="33.75" customHeight="1">
      <c r="A4052" s="6" t="s">
        <v>6005</v>
      </c>
      <c r="B4052" s="6" t="str">
        <f>IFERROR(__xludf.DUMMYFUNCTION("GOOGLETRANSLATE(A4052,""en"",""fi"")"),"Kun se altistuu kuun auralle, sen kehon renkaat hehkuvat himmeästi ja se täyttyy salaperäisestä voimasta.")</f>
        <v>Kun se altistuu kuun auralle, sen kehon renkaat hehkuvat himmeästi ja se täyttyy salaperäisestä voimasta.</v>
      </c>
      <c r="C4052" s="9" t="s">
        <v>1344</v>
      </c>
    </row>
    <row r="4053" ht="33.75" customHeight="1">
      <c r="A4053" s="6" t="s">
        <v>6006</v>
      </c>
      <c r="B4053" s="6" t="str">
        <f>IFERROR(__xludf.DUMMYFUNCTION("GOOGLETRANSLATE(A4053,""en"",""fi"")"),"Kuunvalo muutti Eeveen geneettistä rakennetta. Se vaanii pimeydessä saalista etsien.")</f>
        <v>Kuunvalo muutti Eeveen geneettistä rakennetta. Se vaanii pimeydessä saalista etsien.</v>
      </c>
      <c r="C4053" s="9" t="s">
        <v>1344</v>
      </c>
    </row>
    <row r="4054" ht="33.75" customHeight="1">
      <c r="A4054" s="6" t="s">
        <v>6007</v>
      </c>
      <c r="B4054" s="6" t="str">
        <f>IFERROR(__xludf.DUMMYFUNCTION("GOOGLETRANSLATE(A4054,""en"",""fi"")"),"Umbreon kehittyi kuun aaltojen vaikutuksesta. Se piiloutuu hiljaa pimeyteen ja odottaa vihollistensa liikkeitä. Sen kehon renkaat hehkuvat, kun se hyppää hyökkäämään.")</f>
        <v>Umbreon kehittyi kuun aaltojen vaikutuksesta. Se piiloutuu hiljaa pimeyteen ja odottaa vihollistensa liikkeitä. Sen kehon renkaat hehkuvat, kun se hyppää hyökkäämään.</v>
      </c>
      <c r="C4054" s="9" t="s">
        <v>1344</v>
      </c>
    </row>
    <row r="4055" ht="33.75" customHeight="1">
      <c r="A4055" s="6" t="s">
        <v>6008</v>
      </c>
      <c r="B4055" s="6" t="str">
        <f>IFERROR(__xludf.DUMMYFUNCTION("GOOGLETRANSLATE(A4055,""en"",""fi"")"),"Kun tämä Pokémon suuttuu, sen ihohuokoset erittävät myrkyllistä hikeä, jota se suihkuttaa vastustajansa silmiin.")</f>
        <v>Kun tämä Pokémon suuttuu, sen ihohuokoset erittävät myrkyllistä hikeä, jota se suihkuttaa vastustajansa silmiin.</v>
      </c>
      <c r="C4055" s="9" t="s">
        <v>1344</v>
      </c>
    </row>
    <row r="4056" ht="33.75" customHeight="1">
      <c r="A4056" s="6" t="s">
        <v>6010</v>
      </c>
      <c r="B4056" s="6" t="str">
        <f>IFERROR(__xludf.DUMMYFUNCTION("GOOGLETRANSLATE(A4056,""en"",""fi"")"),"Mustalla turkillaan se sulautuu pimeyteen. Se odottaa hetkeään, ja kun saalis ilmestyy, tämä Pokémon tarttuu sen kurkkuun ja syö sen.")</f>
        <v>Mustalla turkillaan se sulautuu pimeyteen. Se odottaa hetkeään, ja kun saalis ilmestyy, tämä Pokémon tarttuu sen kurkkuun ja syö sen.</v>
      </c>
      <c r="C4056" s="9" t="s">
        <v>1344</v>
      </c>
    </row>
    <row r="4057" ht="33.75" customHeight="1">
      <c r="A4057" s="6" t="s">
        <v>6011</v>
      </c>
      <c r="B4057" s="6" t="str">
        <f>IFERROR(__xludf.DUMMYFUNCTION("GOOGLETRANSLATE(A4057,""en"",""fi"")"),"Tämä Pokémon on yöeläin. Sen suuret silmät pystyvät havaitsemaan saaliinsa selvästi jopa täydellisessä pimeydessä!")</f>
        <v>Tämä Pokémon on yöeläin. Sen suuret silmät pystyvät havaitsemaan saaliinsa selvästi jopa täydellisessä pimeydessä!</v>
      </c>
      <c r="C4057" s="9" t="s">
        <v>1344</v>
      </c>
    </row>
    <row r="4058" ht="33.75" customHeight="1">
      <c r="A4058" s="6" t="s">
        <v>6012</v>
      </c>
      <c r="B4058" s="6" t="str">
        <f>IFERROR(__xludf.DUMMYFUNCTION("GOOGLETRANSLATE(A4058,""en"",""fi"")"),"Se väijyy yön pimeydessä etsien saalista. Hyökkäyshetkellä sen ruumiin renkaat hohtavat himmeästi mutta uhkaavasti.")</f>
        <v>Se väijyy yön pimeydessä etsien saalista. Hyökkäyshetkellä sen ruumiin renkaat hohtavat himmeästi mutta uhkaavasti.</v>
      </c>
      <c r="C4058" s="9" t="s">
        <v>1344</v>
      </c>
    </row>
    <row r="4059" ht="33.75" customHeight="1">
      <c r="A4059" s="6" t="s">
        <v>6014</v>
      </c>
      <c r="B4059" s="6" t="str">
        <f>IFERROR(__xludf.DUMMYFUNCTION("GOOGLETRANSLATE(A4059,""en"",""fi"")"),"Se on aktiivisimmillaan yön pikkutunneilla, kun kuunvalo kylpee maata. Sen suuret silmät lävistävät pimeyden ja havaitsevat saaliin ehdottoman selkeästi.")</f>
        <v>Se on aktiivisimmillaan yön pikkutunneilla, kun kuunvalo kylpee maata. Sen suuret silmät lävistävät pimeyden ja havaitsevat saaliin ehdottoman selkeästi.</v>
      </c>
      <c r="C4059" s="9" t="s">
        <v>1344</v>
      </c>
    </row>
    <row r="4060" ht="33.75" customHeight="1">
      <c r="A4060" s="6" t="s">
        <v>6015</v>
      </c>
      <c r="B4060" s="6" t="str">
        <f>IFERROR(__xludf.DUMMYFUNCTION("GOOGLETRANSLATE(A4060,""en"",""fi"")"),"Monet pelkäävät ja inhoavat sitä, ja sen uskotaan tuovan epäonnea kaikille, jotka näkevät sen yöllä.")</f>
        <v>Monet pelkäävät ja inhoavat sitä, ja sen uskotaan tuovan epäonnea kaikille, jotka näkevät sen yöllä.</v>
      </c>
      <c r="C4060" s="9" t="s">
        <v>1344</v>
      </c>
    </row>
    <row r="4061" ht="33.75" customHeight="1">
      <c r="A4061" s="6" t="s">
        <v>6016</v>
      </c>
      <c r="B4061" s="6" t="str">
        <f>IFERROR(__xludf.DUMMYFUNCTION("GOOGLETRANSLATE(A4061,""en"",""fi"")"),"Sanotaan, että takaa-ajettuna se houkuttelee hyökkääjänsä pimeille vuoristopoluille, joilla vihollinen eksyy.")</f>
        <v>Sanotaan, että takaa-ajettuna se houkuttelee hyökkääjänsä pimeille vuoristopoluille, joilla vihollinen eksyy.</v>
      </c>
      <c r="C4061" s="9" t="s">
        <v>1344</v>
      </c>
    </row>
    <row r="4062" ht="33.75" customHeight="1">
      <c r="A4062" s="6" t="s">
        <v>6018</v>
      </c>
      <c r="B4062" s="6" t="str">
        <f>IFERROR(__xludf.DUMMYFUNCTION("GOOGLETRANSLATE(A4062,""en"",""fi"")"),"Se piilottaa kaikki löytämänsä kiiltävät esineet salaiseen paikkaan. MURKROW ja MEOWTH ryöstävät toistensa kätköjä.")</f>
        <v>Se piilottaa kaikki löytämänsä kiiltävät esineet salaiseen paikkaan. MURKROW ja MEOWTH ryöstävät toistensa kätköjä.</v>
      </c>
      <c r="C4062" s="9" t="s">
        <v>1344</v>
      </c>
    </row>
    <row r="4063" ht="33.75" customHeight="1">
      <c r="A4063" s="6" t="s">
        <v>6019</v>
      </c>
      <c r="B4063" s="6" t="str">
        <f>IFERROR(__xludf.DUMMYFUNCTION("GOOGLETRANSLATE(A4063,""en"",""fi"")"),"MURKROWia pelättiin ja inhottiin, koska sitä väitettiin tuovan huonoa onnea. Tämä POKéMON osoittaa vahvaa kiinnostusta kaikkeen, mikä kimaltelee tai säihkyy. Se voi jopa yrittää varastaa sormuksia naisilta.")</f>
        <v>MURKROWia pelättiin ja inhottiin, koska sitä väitettiin tuovan huonoa onnea. Tämä POKéMON osoittaa vahvaa kiinnostusta kaikkeen, mikä kimaltelee tai säihkyy. Se voi jopa yrittää varastaa sormuksia naisilta.</v>
      </c>
      <c r="C4063" s="9" t="s">
        <v>1344</v>
      </c>
    </row>
    <row r="4064" ht="33.75" customHeight="1">
      <c r="A4064" s="6" t="s">
        <v>6020</v>
      </c>
      <c r="B4064" s="6" t="str">
        <f>IFERROR(__xludf.DUMMYFUNCTION("GOOGLETRANSLATE(A4064,""en"",""fi"")"),"MURKROW-koiria pelättiin epäonnen tuojina. Ne osoittavat voimakasta kiinnostusta kaikkeen kimaltelevaan. Ne jopa yrittävät varastaa sormuksia naisilta.")</f>
        <v>MURKROW-koiria pelättiin epäonnen tuojina. Ne osoittavat voimakasta kiinnostusta kaikkeen kimaltelevaan. Ne jopa yrittävät varastaa sormuksia naisilta.</v>
      </c>
      <c r="C4064" s="9" t="s">
        <v>1344</v>
      </c>
    </row>
    <row r="4065" ht="33.75" customHeight="1">
      <c r="A4065" s="6" t="s">
        <v>6021</v>
      </c>
      <c r="B4065" s="6" t="str">
        <f>IFERROR(__xludf.DUMMYFUNCTION("GOOGLETRANSLATE(A4065,""en"",""fi"")"),"Uskotaan, että tämän Pokémonin näkeminen yöllä tuo mukanaan pahaenteisiä tapahtumia.")</f>
        <v>Uskotaan, että tämän Pokémonin näkeminen yöllä tuo mukanaan pahaenteisiä tapahtumia.</v>
      </c>
      <c r="C4065" s="9" t="s">
        <v>1344</v>
      </c>
    </row>
    <row r="4066" ht="33.75" customHeight="1">
      <c r="A4066" s="6" t="s">
        <v>6022</v>
      </c>
      <c r="B4066" s="6" t="str">
        <f>IFERROR(__xludf.DUMMYFUNCTION("GOOGLETRANSLATE(A4066,""en"",""fi"")"),"Se ilmestyy matkalaisten lähelle houkutellakseen heidät syviin metsiin. Sen sanotaan tuovan epäonnea.")</f>
        <v>Se ilmestyy matkalaisten lähelle houkutellakseen heidät syviin metsiin. Sen sanotaan tuovan epäonnea.</v>
      </c>
      <c r="C4066" s="9" t="s">
        <v>1344</v>
      </c>
    </row>
    <row r="4067" ht="33.75" customHeight="1">
      <c r="A4067" s="6" t="s">
        <v>6023</v>
      </c>
      <c r="B4067" s="6" t="str">
        <f>IFERROR(__xludf.DUMMYFUNCTION("GOOGLETRANSLATE(A4067,""en"",""fi"")"),"Jos se havaitaan, se houkuttelee varomattoman ihmisen jahtaamaan sitä ja kadottaa sitten takaa-ajajan vuoristopoluilla.")</f>
        <v>Jos se havaitaan, se houkuttelee varomattoman ihmisen jahtaamaan sitä ja kadottaa sitten takaa-ajajan vuoristopoluilla.</v>
      </c>
      <c r="C4067" s="9" t="s">
        <v>1344</v>
      </c>
    </row>
    <row r="4068" ht="33.75" customHeight="1">
      <c r="A4068" s="6" t="s">
        <v>6024</v>
      </c>
      <c r="B4068" s="6" t="str">
        <f>IFERROR(__xludf.DUMMYFUNCTION("GOOGLETRANSLATE(A4068,""en"",""fi"")"),"Jos se havaitaan, se houkuttelee varomattoman henkilön jahtaamaan sitä ja eksyy sitten takaa-ajajan vuoristopoluilla.")</f>
        <v>Jos se havaitaan, se houkuttelee varomattoman henkilön jahtaamaan sitä ja eksyy sitten takaa-ajajan vuoristopoluilla.</v>
      </c>
      <c r="C4068" s="9" t="s">
        <v>1344</v>
      </c>
    </row>
    <row r="4069" ht="33.75" customHeight="1">
      <c r="A4069" s="6" t="s">
        <v>6027</v>
      </c>
      <c r="B4069" s="6" t="str">
        <f>IFERROR(__xludf.DUMMYFUNCTION("GOOGLETRANSLATE(A4069,""en"",""fi"")"),"Se piilottaa kaikki löytämänsä kiiltävät esineet salaiseen paikkaan. Murkrow ja Meowth ryöstävät toistensa kätköjä.")</f>
        <v>Se piilottaa kaikki löytämänsä kiiltävät esineet salaiseen paikkaan. Murkrow ja Meowth ryöstävät toistensa kätköjä.</v>
      </c>
      <c r="C4069" s="9" t="s">
        <v>1344</v>
      </c>
    </row>
    <row r="4070" ht="33.75" customHeight="1">
      <c r="A4070" s="6" t="s">
        <v>6030</v>
      </c>
      <c r="B4070" s="6" t="str">
        <f>IFERROR(__xludf.DUMMYFUNCTION("GOOGLETRANSLATE(A4070,""en"",""fi"")"),"Murkrowia pelättiin ja inhottiin, koska sitä pidettiin epäonnen tuojana. Tämä Pokémon osoittaa vahvaa kiinnostusta kaikkeen, mikä kimaltelee tai säihkyy. Se yrittää jopa varastaa sormuksia naisilta.")</f>
        <v>Murkrowia pelättiin ja inhottiin, koska sitä pidettiin epäonnen tuojana. Tämä Pokémon osoittaa vahvaa kiinnostusta kaikkeen, mikä kimaltelee tai säihkyy. Se yrittää jopa varastaa sormuksia naisilta.</v>
      </c>
      <c r="C4070" s="9" t="s">
        <v>1344</v>
      </c>
    </row>
    <row r="4071" ht="33.75" customHeight="1">
      <c r="A4071" s="6" t="s">
        <v>6031</v>
      </c>
      <c r="B4071" s="6" t="str">
        <f>IFERROR(__xludf.DUMMYFUNCTION("GOOGLETRANSLATE(A4071,""en"",""fi"")"),"Ne heräävät hämärän aikaan ja nousevat lentoon hämärässä, mistä juontaa juurensa sanonta: ”Pääse kotiin ennen kuin Murkrow lentää.”")</f>
        <v>Ne heräävät hämärän aikaan ja nousevat lentoon hämärässä, mistä juontaa juurensa sanonta: ”Pääse kotiin ennen kuin Murkrow lentää.”</v>
      </c>
      <c r="C4071" s="9" t="s">
        <v>1344</v>
      </c>
    </row>
    <row r="4072" ht="33.75" customHeight="1">
      <c r="A4072" s="6" t="s">
        <v>6033</v>
      </c>
      <c r="B4072" s="6" t="str">
        <f>IFERROR(__xludf.DUMMYFUNCTION("GOOGLETRANSLATE(A4072,""en"",""fi"")"),"Koska sitä pidetään huonon onnen symbolina, sitä ei yleensä pidetä. Silti se antaa lahjoja – kimaltelevia tai hohtavia esineitä – lähellä oleville kouluttajille.")</f>
        <v>Koska sitä pidetään huonon onnen symbolina, sitä ei yleensä pidetä. Silti se antaa lahjoja – kimaltelevia tai hohtavia esineitä – lähellä oleville kouluttajille.</v>
      </c>
      <c r="C4072" s="9" t="s">
        <v>1344</v>
      </c>
    </row>
    <row r="4073" ht="33.75" customHeight="1">
      <c r="A4073" s="6" t="s">
        <v>6035</v>
      </c>
      <c r="B4073" s="6" t="str">
        <f>IFERROR(__xludf.DUMMYFUNCTION("GOOGLETRANSLATE(A4073,""en"",""fi"")"),"Sillä on heikkous kiiltäviin asioihin. Sen tiedetään hiipineen gabiittien – tunnettujen jalokivien keräilijöiden – pesiin aarteenetsinnässä.")</f>
        <v>Sillä on heikkous kiiltäviin asioihin. Sen tiedetään hiipineen gabiittien – tunnettujen jalokivien keräilijöiden – pesiin aarteenetsinnässä.</v>
      </c>
      <c r="C4073" s="9" t="s">
        <v>1344</v>
      </c>
    </row>
    <row r="4074" ht="33.75" customHeight="1">
      <c r="A4074" s="6" t="s">
        <v>6036</v>
      </c>
      <c r="B4074" s="6" t="str">
        <f>IFERROR(__xludf.DUMMYFUNCTION("GOOGLETRANSLATE(A4074,""en"",""fi"")"),"Se etsii kiiltäviä asioita pomolleen. Murkrow'n läsnäolon sanotaan tuovan epäonnea, joten monet ihmiset inhoavat sitä.")</f>
        <v>Se etsii kiiltäviä asioita pomolleen. Murkrow'n läsnäolon sanotaan tuovan epäonnea, joten monet ihmiset inhoavat sitä.</v>
      </c>
      <c r="C4074" s="9" t="s">
        <v>1344</v>
      </c>
    </row>
    <row r="4075" ht="33.75" customHeight="1">
      <c r="A4075" s="6" t="s">
        <v>6038</v>
      </c>
      <c r="B4075" s="6" t="str">
        <f>IFERROR(__xludf.DUMMYFUNCTION("GOOGLETRANSLATE(A4075,""en"",""fi"")"),"Laajalti karttaan huonon onnen tuojana. Minulle on kerrottu, että tämän olennon kohtaamisen jälkeen on lausuttava suojelevaksi loitsuksi ”Workrum, Workrum – huono onni, älä tule”.")</f>
        <v>Laajalti karttaan huonon onnen tuojana. Minulle on kerrottu, että tämän olennon kohtaamisen jälkeen on lausuttava suojelevaksi loitsuksi ”Workrum, Workrum – huono onni, älä tule”.</v>
      </c>
      <c r="C4075" s="9" t="s">
        <v>1344</v>
      </c>
    </row>
    <row r="4076" ht="33.75" customHeight="1">
      <c r="A4076" s="6" t="s">
        <v>6040</v>
      </c>
      <c r="B4076" s="6" t="str">
        <f>IFERROR(__xludf.DUMMYFUNCTION("GOOGLETRANSLATE(A4076,""en"",""fi"")"),"Sillä on uskomaton älykkyys ja oppineisuus. Olipa tilanne mikä tahansa, se pysyy rauhallisena ja tyynenä.")</f>
        <v>Sillä on uskomaton älykkyys ja oppineisuus. Olipa tilanne mikä tahansa, se pysyy rauhallisena ja tyynenä.</v>
      </c>
      <c r="C4076" s="9" t="s">
        <v>1344</v>
      </c>
    </row>
    <row r="4077" ht="33.75" customHeight="1">
      <c r="A4077" s="6" t="s">
        <v>6041</v>
      </c>
      <c r="B4077" s="6" t="str">
        <f>IFERROR(__xludf.DUMMYFUNCTION("GOOGLETRANSLATE(A4077,""en"",""fi"")"),"Kun sen päätä purtiin, myrkkyjä pääsi SLOWPOKEn päähän ja avasi ainutlaatuisen voiman.")</f>
        <v>Kun sen päätä purtiin, myrkkyjä pääsi SLOWPOKEn päähän ja avasi ainutlaatuisen voiman.</v>
      </c>
      <c r="C4077" s="9" t="s">
        <v>1344</v>
      </c>
    </row>
    <row r="4078" ht="33.75" customHeight="1">
      <c r="A4078" s="6" t="s">
        <v>6043</v>
      </c>
      <c r="B4078" s="6" t="str">
        <f>IFERROR(__xludf.DUMMYFUNCTION("GOOGLETRANSLATE(A4078,""en"",""fi"")"),"Joka kerta kun se iskee, SHELLDER ruiskuttaa siihen lisää myrkkyä. Myrkky tekee siitä älykkäämmän.")</f>
        <v>Joka kerta kun se iskee, SHELLDER ruiskuttaa siihen lisää myrkkyä. Myrkky tekee siitä älykkäämmän.</v>
      </c>
      <c r="C4078" s="9" t="s">
        <v>1344</v>
      </c>
    </row>
    <row r="4079" ht="33.75" customHeight="1">
      <c r="A4079" s="6" t="s">
        <v>6044</v>
      </c>
      <c r="B4079" s="6" t="str">
        <f>IFERROR(__xludf.DUMMYFUNCTION("GOOGLETRANSLATE(A4079,""en"",""fi"")"),"SLOWKING tekee tutkimusta joka päivä ratkaistakseen maailman mysteerejä. Tämä POKéMON kuitenkin ilmeisesti unohtaa kaiken oppimansa, jos sen päästä irtoaa SHELLDER.")</f>
        <v>SLOWKING tekee tutkimusta joka päivä ratkaistakseen maailman mysteerejä. Tämä POKéMON kuitenkin ilmeisesti unohtaa kaiken oppimansa, jos sen päästä irtoaa SHELLDER.</v>
      </c>
      <c r="C4079" s="9" t="s">
        <v>1344</v>
      </c>
    </row>
    <row r="4080" ht="33.75" customHeight="1">
      <c r="A4080" s="6" t="s">
        <v>6045</v>
      </c>
      <c r="B4080" s="6" t="str">
        <f>IFERROR(__xludf.DUMMYFUNCTION("GOOGLETRANSLATE(A4080,""en"",""fi"")"),"Se tekee tutkimusta joka päivä ratkaistakseen maailman mysteerejä. Se kuitenkin ilmeisesti unohtaa kaiken, jos sen päästä oleva SHELLDER irtoaa.")</f>
        <v>Se tekee tutkimusta joka päivä ratkaistakseen maailman mysteerejä. Se kuitenkin ilmeisesti unohtaa kaiken, jos sen päästä oleva SHELLDER irtoaa.</v>
      </c>
      <c r="C4080" s="9" t="s">
        <v>1344</v>
      </c>
    </row>
    <row r="4081" ht="33.75" customHeight="1">
      <c r="A4081" s="6" t="s">
        <v>6047</v>
      </c>
      <c r="B4081" s="6" t="str">
        <f>IFERROR(__xludf.DUMMYFUNCTION("GOOGLETRANSLATE(A4081,""en"",""fi"")"),"Kun sen päätä purtiin, myrkkyjä pääsi SLOWPOKEn päähän ja avasi ainutlaatuisen voiman.")</f>
        <v>Kun sen päätä purtiin, myrkkyjä pääsi SLOWPOKEn päähän ja avasi ainutlaatuisen voiman.</v>
      </c>
      <c r="C4081" s="9" t="s">
        <v>1344</v>
      </c>
    </row>
    <row r="4082" ht="33.75" customHeight="1">
      <c r="A4082" s="6" t="s">
        <v>6048</v>
      </c>
      <c r="B4082" s="6" t="str">
        <f>IFERROR(__xludf.DUMMYFUNCTION("GOOGLETRANSLATE(A4082,""en"",""fi"")"),"Sillä on uskomaton älykkyys ja intuitio. Olipa tilanne mikä tahansa, se pysyy rauhallisena ja tyynenä.")</f>
        <v>Sillä on uskomaton älykkyys ja intuitio. Olipa tilanne mikä tahansa, se pysyy rauhallisena ja tyynenä.</v>
      </c>
      <c r="C4082" s="9" t="s">
        <v>1344</v>
      </c>
    </row>
    <row r="4083" ht="33.75" customHeight="1">
      <c r="A4083" s="6" t="s">
        <v>6049</v>
      </c>
      <c r="B4083" s="6" t="str">
        <f>IFERROR(__xludf.DUMMYFUNCTION("GOOGLETRANSLATE(A4083,""en"",""fi"")"),"SHELLDERin purema antoi sille älykkyyttä, joka oli verrattavissa palkittujen tiedemiesten älykkyyteen.")</f>
        <v>SHELLDERin purema antoi sille älykkyyttä, joka oli verrattavissa palkittujen tiedemiesten älykkyyteen.</v>
      </c>
      <c r="C4083" s="9" t="s">
        <v>1344</v>
      </c>
    </row>
    <row r="4084" ht="33.75" customHeight="1">
      <c r="A4084" s="6" t="s">
        <v>6051</v>
      </c>
      <c r="B4084" s="6" t="str">
        <f>IFERROR(__xludf.DUMMYFUNCTION("GOOGLETRANSLATE(A4084,""en"",""fi"")"),"Shellderin purema antoi sille älykkyyttä, joka oli verrattavissa palkittujen tiedemiesten älykkyyteen.")</f>
        <v>Shellderin purema antoi sille älykkyyttä, joka oli verrattavissa palkittujen tiedemiesten älykkyyteen.</v>
      </c>
      <c r="C4084" s="9" t="s">
        <v>1344</v>
      </c>
    </row>
    <row r="4085" ht="33.75" customHeight="1">
      <c r="A4085" s="6" t="s">
        <v>6052</v>
      </c>
      <c r="B4085" s="6" t="str">
        <f>IFERROR(__xludf.DUMMYFUNCTION("GOOGLETRANSLATE(A4085,""en"",""fi"")"),"Kun sen päätä purtiin, myrkkyjä pääsi Slowpoken päähän ja avasi ainutlaatuisen voiman.")</f>
        <v>Kun sen päätä purtiin, myrkkyjä pääsi Slowpoken päähän ja avasi ainutlaatuisen voiman.</v>
      </c>
      <c r="C4085" s="9" t="s">
        <v>1344</v>
      </c>
    </row>
    <row r="4086" ht="33.75" customHeight="1">
      <c r="A4086" s="6" t="s">
        <v>6054</v>
      </c>
      <c r="B4086" s="6" t="str">
        <f>IFERROR(__xludf.DUMMYFUNCTION("GOOGLETRANSLATE(A4086,""en"",""fi"")"),"Hidaskuningas tekee tutkimusta joka päivä ratkaistakseen maailman mysteerejä. Tämä Pokémon kuitenkin ilmeisesti unohtaa kaiken oppimansa, jos sen päästä irtoaa Shellder.")</f>
        <v>Hidaskuningas tekee tutkimusta joka päivä ratkaistakseen maailman mysteerejä. Tämä Pokémon kuitenkin ilmeisesti unohtaa kaiken oppimansa, jos sen päästä irtoaa Shellder.</v>
      </c>
      <c r="C4086" s="9" t="s">
        <v>1344</v>
      </c>
    </row>
    <row r="4087" ht="33.75" customHeight="1">
      <c r="A4087" s="6" t="s">
        <v>6056</v>
      </c>
      <c r="B4087" s="6" t="str">
        <f>IFERROR(__xludf.DUMMYFUNCTION("GOOGLETRANSLATE(A4087,""en"",""fi"")"),"Myrkyllinen purema reagoi sen elimistöön ja antoi sille nerouden tehostuneen älyn. Se hallitsee täysin psyykkisiä voimiaan.")</f>
        <v>Myrkyllinen purema reagoi sen elimistöön ja antoi sille nerouden tehostuneen älyn. Se hallitsee täysin psyykkisiä voimiaan.</v>
      </c>
      <c r="C4087" s="9" t="s">
        <v>1344</v>
      </c>
    </row>
    <row r="4088" ht="33.75" customHeight="1">
      <c r="A4088" s="6" t="s">
        <v>6057</v>
      </c>
      <c r="B4088" s="6" t="str">
        <f>IFERROR(__xludf.DUMMYFUNCTION("GOOGLETRANSLATE(A4088,""en"",""fi"")"),"Tämä Pokémon on niin kuuluisa älykkyydestään, että joillakin alueilla elää edelleen sananlasku: ""Jos olet epävarma, kysy Hidaskuninkaalta.""")</f>
        <v>Tämä Pokémon on niin kuuluisa älykkyydestään, että joillakin alueilla elää edelleen sananlasku: "Jos olet epävarma, kysy Hidaskuninkaalta."</v>
      </c>
      <c r="C4088" s="9" t="s">
        <v>1344</v>
      </c>
    </row>
    <row r="4089" ht="33.75" customHeight="1">
      <c r="A4089" s="6" t="s">
        <v>6059</v>
      </c>
      <c r="B4089" s="6" t="str">
        <f>IFERROR(__xludf.DUMMYFUNCTION("GOOGLETRANSLATE(A4089,""en"",""fi"")"),"Se keksii jatkuvasti uusia ideoita, jotka muuttaisivat maailmaa, mutta heti kun se iskee uuteen ideaan, se unohtaa sen.")</f>
        <v>Se keksii jatkuvasti uusia ideoita, jotka muuttaisivat maailmaa, mutta heti kun se iskee uuteen ideaan, se unohtaa sen.</v>
      </c>
      <c r="C4089" s="9" t="s">
        <v>1344</v>
      </c>
    </row>
    <row r="4090" ht="33.75" customHeight="1">
      <c r="A4090" s="6" t="s">
        <v>6060</v>
      </c>
      <c r="B4090" s="6" t="str">
        <f>IFERROR(__xludf.DUMMYFUNCTION("GOOGLETRANSLATE(A4090,""en"",""fi"")"),"Sitä kutsutaan ""meren viisaaksi"". Se käy älytaisteluita Orangurua vastaan, mutta tulos on yleensä tasapeli.")</f>
        <v>Sitä kutsutaan "meren viisaaksi". Se käy älytaisteluita Orangurua vastaan, mutta tulos on yleensä tasapeli.</v>
      </c>
      <c r="C4090" s="9" t="s">
        <v>1344</v>
      </c>
    </row>
    <row r="4091" ht="33.75" customHeight="1">
      <c r="A4091" s="6" t="s">
        <v>6061</v>
      </c>
      <c r="B4091" s="6" t="str">
        <f>IFERROR(__xludf.DUMMYFUNCTION("GOOGLETRANSLATE(A4091,""en"",""fi"")"),"Ihmeellisesti tämän entisen Hidassuovan piilevä älykkyys paljastui, kun Shellderin myrkky syöksyi sen aivojen läpi.")</f>
        <v>Ihmeellisesti tämän entisen Hidassuovan piilevä älykkyys paljastui, kun Shellderin myrkky syöksyi sen aivojen läpi.</v>
      </c>
      <c r="C4091" s="9" t="s">
        <v>1344</v>
      </c>
    </row>
    <row r="4092" ht="33.75" customHeight="1">
      <c r="A4092" s="6" t="s">
        <v>6062</v>
      </c>
      <c r="B4092" s="6" t="str">
        <f>IFERROR(__xludf.DUMMYFUNCTION("GOOGLETRANSLATE(A4092,""en"",""fi"")"),"Hidas kuningas voi ratkaista minkä tahansa sille esitetyn ongelman, mutta kukaan ei voi ymmärtää mitään siitä, mitä Hidas kuningas sanoo.")</f>
        <v>Hidas kuningas voi ratkaista minkä tahansa sille esitetyn ongelman, mutta kukaan ei voi ymmärtää mitään siitä, mitä Hidas kuningas sanoo.</v>
      </c>
      <c r="C4092" s="9" t="s">
        <v>1344</v>
      </c>
    </row>
    <row r="4093" ht="33.75" customHeight="1">
      <c r="A4093" s="6" t="s">
        <v>6063</v>
      </c>
      <c r="B4093" s="6" t="str">
        <f>IFERROR(__xludf.DUMMYFUNCTION("GOOGLETRANSLATE(A4093,""en"",""fi"")"),"Se tykkää leikkiä ilkikurisia temppuja, kuten huutamista ja valittamista, säikäyttääkseen ihmisiä yöllä.")</f>
        <v>Se tykkää leikkiä ilkikurisia temppuja, kuten huutamista ja valittamista, säikäyttääkseen ihmisiä yöllä.</v>
      </c>
      <c r="C4093" s="9" t="s">
        <v>1344</v>
      </c>
    </row>
    <row r="4094" ht="33.75" customHeight="1">
      <c r="A4094" s="6" t="s">
        <v>6064</v>
      </c>
      <c r="B4094" s="6" t="str">
        <f>IFERROR(__xludf.DUMMYFUNCTION("GOOGLETRANSLATE(A4094,""en"",""fi"")"),"Se rakastaa purra ja nyppiä ihmisten hiuksia takaapäin varoittamatta vain nähdäkseen heidän järkyttyneet reaktionsa.")</f>
        <v>Se rakastaa purra ja nyppiä ihmisten hiuksia takaapäin varoittamatta vain nähdäkseen heidän järkyttyneet reaktionsa.</v>
      </c>
      <c r="C4094" s="9" t="s">
        <v>1344</v>
      </c>
    </row>
    <row r="4095" ht="33.75" customHeight="1">
      <c r="A4095" s="6" t="s">
        <v>6065</v>
      </c>
      <c r="B4095" s="6" t="str">
        <f>IFERROR(__xludf.DUMMYFUNCTION("GOOGLETRANSLATE(A4095,""en"",""fi"")"),"Se rakastaa katsella ihmisiä, sillä sillä on arpia. Se pelottelee heitä huutamalla kovaa tai ilmestymällä yhtäkkiä esiin.")</f>
        <v>Se rakastaa katsella ihmisiä, sillä sillä on arpia. Se pelottelee heitä huutamalla kovaa tai ilmestymällä yhtäkkiä esiin.</v>
      </c>
      <c r="C4095" s="9" t="s">
        <v>1344</v>
      </c>
    </row>
    <row r="4096" ht="33.75" customHeight="1">
      <c r="A4096" s="6" t="s">
        <v>6066</v>
      </c>
      <c r="B4096" s="6" t="str">
        <f>IFERROR(__xludf.DUMMYFUNCTION("GOOGLETRANSLATE(A4096,""en"",""fi"")"),"MISDREAVUS pelottaa ihmisiä kammottavalla, nyyhkyttävällä huudolla. POKéMON ilmeisesti käyttää punaisia ​​pallojaan imeäkseen vihollisten pelottavat tunteet ja muuttaakseen ne ravinnoksi.")</f>
        <v>MISDREAVUS pelottaa ihmisiä kammottavalla, nyyhkyttävällä huudolla. POKéMON ilmeisesti käyttää punaisia ​​pallojaan imeäkseen vihollisten pelottavat tunteet ja muuttaakseen ne ravinnoksi.</v>
      </c>
      <c r="C4096" s="9" t="s">
        <v>1344</v>
      </c>
    </row>
    <row r="4097" ht="33.75" customHeight="1">
      <c r="A4097" s="6" t="s">
        <v>6067</v>
      </c>
      <c r="B4097" s="6" t="str">
        <f>IFERROR(__xludf.DUMMYFUNCTION("GOOGLETRANSLATE(A4097,""en"",""fi"")"),"MISDREAVUS pelottaa ihmisiä kammottavalla, nyyhkyttävällä huudolla. Se ilmeisesti käyttää punaisia ​​pallojaan vihollisten pelon imemiseen ravinnokseen.")</f>
        <v>MISDREAVUS pelottaa ihmisiä kammottavalla, nyyhkyttävällä huudolla. Se ilmeisesti käyttää punaisia ​​pallojaan vihollisten pelon imemiseen ravinnokseen.</v>
      </c>
      <c r="C4097" s="9" t="s">
        <v>1344</v>
      </c>
    </row>
    <row r="4098" ht="33.75" customHeight="1">
      <c r="A4098" s="6" t="s">
        <v>6068</v>
      </c>
      <c r="B4098" s="6" t="str">
        <f>IFERROR(__xludf.DUMMYFUNCTION("GOOGLETRANSLATE(A4098,""en"",""fi"")"),"Se rakastaa purra ja nyppiä ihmisten hiuksia takaapäin varoittamatta vain nähdäkseen heidän järkyttyneet reaktionsa.")</f>
        <v>Se rakastaa purra ja nyppiä ihmisten hiuksia takaapäin varoittamatta vain nähdäkseen heidän järkyttyneet reaktionsa.</v>
      </c>
      <c r="C4098" s="9" t="s">
        <v>1344</v>
      </c>
    </row>
    <row r="4099" ht="33.75" customHeight="1">
      <c r="A4099" s="6" t="s">
        <v>6069</v>
      </c>
      <c r="B4099" s="6" t="str">
        <f>IFERROR(__xludf.DUMMYFUNCTION("GOOGLETRANSLATE(A4099,""en"",""fi"")"),"Se rakastaa hiipiä ihmisten luo myöhään yöllä ja säikäyttää heidät sitten kirkuvalla huudolla.")</f>
        <v>Se rakastaa hiipiä ihmisten luo myöhään yöllä ja säikäyttää heidät sitten kirkuvalla huudolla.</v>
      </c>
      <c r="C4099" s="9" t="s">
        <v>1344</v>
      </c>
    </row>
    <row r="4100" ht="33.75" customHeight="1">
      <c r="A4100" s="6" t="s">
        <v>6070</v>
      </c>
      <c r="B4100" s="6" t="str">
        <f>IFERROR(__xludf.DUMMYFUNCTION("GOOGLETRANSLATE(A4100,""en"",""fi"")"),"Se saa ravintoa pelosta, jonka se imee punaisiin palloihinsa. Päivällä se nukkuu pimeydessä.")</f>
        <v>Se saa ravintoa pelosta, jonka se imee punaisiin palloihinsa. Päivällä se nukkuu pimeydessä.</v>
      </c>
      <c r="C4100" s="9" t="s">
        <v>1344</v>
      </c>
    </row>
    <row r="4101" ht="33.75" customHeight="1">
      <c r="A4101" s="6" t="s">
        <v>6071</v>
      </c>
      <c r="B4101" s="6" t="str">
        <f>IFERROR(__xludf.DUMMYFUNCTION("GOOGLETRANSLATE(A4101,""en"",""fi"")"),"Pokémon, joka säikäyttää ihmisiä keskellä yötä. Se kerää energiakseen pelkoa.")</f>
        <v>Pokémon, joka säikäyttää ihmisiä keskellä yötä. Se kerää energiakseen pelkoa.</v>
      </c>
      <c r="C4101" s="9" t="s">
        <v>1344</v>
      </c>
    </row>
    <row r="4102" ht="33.75" customHeight="1">
      <c r="A4102" s="6" t="s">
        <v>6072</v>
      </c>
      <c r="B4102" s="6" t="str">
        <f>IFERROR(__xludf.DUMMYFUNCTION("GOOGLETRANSLATE(A4102,""en"",""fi"")"),"Se tykkää leikkiä ilkikurisia temppuja, kuten huutaa ja valittaa säikäyttääkseen ihmisiä yöllä.")</f>
        <v>Se tykkää leikkiä ilkikurisia temppuja, kuten huutaa ja valittaa säikäyttääkseen ihmisiä yöllä.</v>
      </c>
      <c r="C4102" s="9" t="s">
        <v>1344</v>
      </c>
    </row>
    <row r="4103" ht="33.75" customHeight="1">
      <c r="A4103" s="6" t="s">
        <v>6074</v>
      </c>
      <c r="B4103" s="6" t="str">
        <f>IFERROR(__xludf.DUMMYFUNCTION("GOOGLETRANSLATE(A4103,""en"",""fi"")"),"Misdreavus pelottaa ihmisiä kammottavalla, nyyhkyttävällä huudolla. Pokémon ilmeisesti käyttää punaisia ​​pallojaan imeäkseen vihollisten pelottavat tunteet ja muuttaakseen ne ravinnoksi.")</f>
        <v>Misdreavus pelottaa ihmisiä kammottavalla, nyyhkyttävällä huudolla. Pokémon ilmeisesti käyttää punaisia ​​pallojaan imeäkseen vihollisten pelottavat tunteet ja muuttaakseen ne ravinnoksi.</v>
      </c>
      <c r="C4103" s="9" t="s">
        <v>1344</v>
      </c>
    </row>
    <row r="4104" ht="33.75" customHeight="1">
      <c r="A4104" s="6" t="s">
        <v>6075</v>
      </c>
      <c r="B4104" s="6" t="str">
        <f>IFERROR(__xludf.DUMMYFUNCTION("GOOGLETRANSLATE(A4104,""en"",""fi"")"),"Se käyttää kaikkia tarvittavia keinoja pelotellakseen ihmisiä ja imeäkseen heidän elinvoimansa. Se harjoittelee jatkuvasti hioakseen taitojaan pelon aiheuttamisessa.")</f>
        <v>Se käyttää kaikkia tarvittavia keinoja pelotellakseen ihmisiä ja imeäkseen heidän elinvoimansa. Se harjoittelee jatkuvasti hioakseen taitojaan pelon aiheuttamisessa.</v>
      </c>
      <c r="C4104" s="9" t="s">
        <v>1344</v>
      </c>
    </row>
    <row r="4105" ht="33.75" customHeight="1">
      <c r="A4105" s="6" t="s">
        <v>6076</v>
      </c>
      <c r="B4105" s="6" t="str">
        <f>IFERROR(__xludf.DUMMYFUNCTION("GOOGLETRANSLATE(A4105,""en"",""fi"")"),"Jos kuulet nyyhkytyksen tyhjästä huoneesta, Misdreavus tekee epäilemättä vähän ilkikurisuutta.")</f>
        <v>Jos kuulet nyyhkytyksen tyhjästä huoneesta, Misdreavus tekee epäilemättä vähän ilkikurisuutta.</v>
      </c>
      <c r="C4105" s="9" t="s">
        <v>1344</v>
      </c>
    </row>
    <row r="4106" ht="33.75" customHeight="1">
      <c r="A4106" s="6" t="s">
        <v>6078</v>
      </c>
      <c r="B4106" s="6" t="str">
        <f>IFERROR(__xludf.DUMMYFUNCTION("GOOGLETRANSLATE(A4106,""en"",""fi"")"),"Sen elämälle merkityksen antaa muiden yllättäminen. Jos painat korvasi sen kaulassa olevien punaisten pallojen viereen, voit kuulla kirkumista.")</f>
        <v>Sen elämälle merkityksen antaa muiden yllättäminen. Jos painat korvasi sen kaulassa olevien punaisten pallojen viereen, voit kuulla kirkumista.</v>
      </c>
      <c r="C4106" s="9" t="s">
        <v>1344</v>
      </c>
    </row>
    <row r="4107" ht="33.75" customHeight="1">
      <c r="A4107" s="6" t="s">
        <v>6079</v>
      </c>
      <c r="B4107" s="6" t="str">
        <f>IFERROR(__xludf.DUMMYFUNCTION("GOOGLETRANSLATE(A4107,""en"",""fi"")"),"Sen tekee onnelliseksi itkevien ihmisten äänien matkiminen ja kaikkien pelottelu. Se ei tule hyvin toimeen ihmisten kanssa, jotka eivät säikähdä helposti.")</f>
        <v>Sen tekee onnelliseksi itkevien ihmisten äänien matkiminen ja kaikkien pelottelu. Se ei tule hyvin toimeen ihmisten kanssa, jotka eivät säikähdä helposti.</v>
      </c>
      <c r="C4107" s="9" t="s">
        <v>1344</v>
      </c>
    </row>
    <row r="4108" ht="33.75" customHeight="1">
      <c r="A4108" s="6" t="s">
        <v>6080</v>
      </c>
      <c r="B4108" s="6" t="str">
        <f>IFERROR(__xludf.DUMMYFUNCTION("GOOGLETRANSLATE(A4108,""en"",""fi"")"),"Se kätkee itsensä pimeyteen ja lähettää kylmiä väreitä matkalaisten selkäpiitä pitkin lapsenomaisella itkullaan. Kun se tarkkailee peloissaan olevia matkalaisia ​​riemusta, sen rinnassa olevat punaiset pallot säteilevät aavemaista valoa.")</f>
        <v>Se kätkee itsensä pimeyteen ja lähettää kylmiä väreitä matkalaisten selkäpiitä pitkin lapsenomaisella itkullaan. Kun se tarkkailee peloissaan olevia matkalaisia ​​riemusta, sen rinnassa olevat punaiset pallot säteilevät aavemaista valoa.</v>
      </c>
      <c r="C4108" s="9" t="s">
        <v>1344</v>
      </c>
    </row>
    <row r="4109" ht="33.75" customHeight="1">
      <c r="A4109" s="6" t="s">
        <v>6082</v>
      </c>
      <c r="B4109" s="6" t="str">
        <f>IFERROR(__xludf.DUMMYFUNCTION("GOOGLETRANSLATE(A4109,""en"",""fi"")"),"Niiden muodot näyttävät muinaisten kirjoituslehtien hieroglyfeiltä. Sanotaan, että ne ovat jotenkin sukua toisilleen.")</f>
        <v>Niiden muodot näyttävät muinaisten kirjoituslehtien hieroglyfeiltä. Sanotaan, että ne ovat jotenkin sukua toisilleen.</v>
      </c>
      <c r="C4109" s="9" t="s">
        <v>1344</v>
      </c>
    </row>
    <row r="4110" ht="33.75" customHeight="1">
      <c r="A4110" s="6" t="s">
        <v>6083</v>
      </c>
      <c r="B4110" s="6" t="str">
        <f>IFERROR(__xludf.DUMMYFUNCTION("GOOGLETRANSLATE(A4110,""en"",""fi"")"),"Sen litteä, ohut runko on aina kiinni seinissä. Sen muodolla näyttää olevan jokin merkitys.")</f>
        <v>Sen litteä, ohut runko on aina kiinni seinissä. Sen muodolla näyttää olevan jokin merkitys.</v>
      </c>
      <c r="C4110" s="9" t="s">
        <v>1344</v>
      </c>
    </row>
    <row r="4111" ht="33.75" customHeight="1">
      <c r="A4111" s="6" t="s">
        <v>6084</v>
      </c>
      <c r="B4111" s="6" t="str">
        <f>IFERROR(__xludf.DUMMYFUNCTION("GOOGLETRANSLATE(A4111,""en"",""fi"")"),"Koska UNOWN-tyyppejä on olemassa, sanotaan, että niillä täytyy olla erilaisia ​​kykyjä.")</f>
        <v>Koska UNOWN-tyyppejä on olemassa, sanotaan, että niillä täytyy olla erilaisia ​​kykyjä.</v>
      </c>
      <c r="C4111" s="9" t="s">
        <v>1344</v>
      </c>
    </row>
    <row r="4112" ht="33.75" customHeight="1">
      <c r="A4112" s="6" t="s">
        <v>6086</v>
      </c>
      <c r="B4112" s="6" t="str">
        <f>IFERROR(__xludf.DUMMYFUNCTION("GOOGLETRANSLATE(A4112,""en"",""fi"")"),"Tämä POKéMON on muodoltaan kuin muinainen kirjoitus. On mysteeri, kumpi oli ensin, muinaiset kirjoitukset vai erilaiset YK:n omat. Tutkimus aiheesta on käynnissä, mutta siitä ei tiedetä mitään.")</f>
        <v>Tämä POKéMON on muodoltaan kuin muinainen kirjoitus. On mysteeri, kumpi oli ensin, muinaiset kirjoitukset vai erilaiset YK:n omat. Tutkimus aiheesta on käynnissä, mutta siitä ei tiedetä mitään.</v>
      </c>
      <c r="C4112" s="9" t="s">
        <v>1344</v>
      </c>
    </row>
    <row r="4113" ht="33.75" customHeight="1">
      <c r="A4113" s="6" t="s">
        <v>6087</v>
      </c>
      <c r="B4113" s="6" t="str">
        <f>IFERROR(__xludf.DUMMYFUNCTION("GOOGLETRANSLATE(A4113,""en"",""fi"")"),"Tämä POKéMON on muodoltaan kuin muinaiset tekstimerkit. Vaikka tutkimus on käynnissä, on mysteeri, kumpi tuli ensin, muinaiset kirjoitukset vai erilaiset YKSIOLAISET.")</f>
        <v>Tämä POKéMON on muodoltaan kuin muinaiset tekstimerkit. Vaikka tutkimus on käynnissä, on mysteeri, kumpi tuli ensin, muinaiset kirjoitukset vai erilaiset YKSIOLAISET.</v>
      </c>
      <c r="C4113" s="9" t="s">
        <v>1344</v>
      </c>
    </row>
    <row r="4114" ht="33.75" customHeight="1">
      <c r="A4114" s="6" t="s">
        <v>6089</v>
      </c>
      <c r="B4114" s="6" t="str">
        <f>IFERROR(__xludf.DUMMYFUNCTION("GOOGLETRANSLATE(A4114,""en"",""fi"")"),"Sen litteä, ohut runko on aina kiinni seinissä. Sen muodolla näyttää olevan jokin merkitys.")</f>
        <v>Sen litteä, ohut runko on aina kiinni seinissä. Sen muodolla näyttää olevan jokin merkitys.</v>
      </c>
      <c r="C4114" s="9" t="s">
        <v>1344</v>
      </c>
    </row>
    <row r="4115" ht="33.75" customHeight="1">
      <c r="A4115" s="6" t="s">
        <v>6090</v>
      </c>
      <c r="B4115" s="6" t="str">
        <f>IFERROR(__xludf.DUMMYFUNCTION("GOOGLETRANSLATE(A4115,""en"",""fi"")"),"Niiden muodot näyttävät muinaisten taulujen hieroglyfeiltä. Sanotaan, että ne ovat jotenkin sukua toisilleen.")</f>
        <v>Niiden muodot näyttävät muinaisten taulujen hieroglyfeiltä. Sanotaan, että ne ovat jotenkin sukua toisilleen.</v>
      </c>
      <c r="C4115" s="9" t="s">
        <v>1344</v>
      </c>
    </row>
    <row r="4116" ht="33.75" customHeight="1">
      <c r="A4116" s="6" t="s">
        <v>6091</v>
      </c>
      <c r="B4116" s="6" t="str">
        <f>IFERROR(__xludf.DUMMYFUNCTION("GOOGLETRANSLATE(A4116,""en"",""fi"")"),"Muinaisen kirjoituksen muotoinen se on valtava mysteeri, syntyikö ensin kieli vai UNOWN.")</f>
        <v>Muinaisen kirjoituksen muotoinen se on valtava mysteeri, syntyikö ensin kieli vai UNOWN.</v>
      </c>
      <c r="C4116" s="9" t="s">
        <v>1344</v>
      </c>
    </row>
    <row r="4117" ht="33.75" customHeight="1">
      <c r="A4117" s="6" t="s">
        <v>6093</v>
      </c>
      <c r="B4117" s="6" t="str">
        <f>IFERROR(__xludf.DUMMYFUNCTION("GOOGLETRANSLATE(A4117,""en"",""fi"")"),"Ne näyttävät kommunikoivan keskenään telepaattisesti. Ne löytyvät aina seiniltä jumiutuneina.")</f>
        <v>Ne näyttävät kommunikoivan keskenään telepaattisesti. Ne löytyvät aina seiniltä jumiutuneina.</v>
      </c>
      <c r="C4117" s="9" t="s">
        <v>1344</v>
      </c>
    </row>
    <row r="4118" ht="33.75" customHeight="1">
      <c r="A4118" s="6" t="s">
        <v>6094</v>
      </c>
      <c r="B4118" s="6" t="str">
        <f>IFERROR(__xludf.DUMMYFUNCTION("GOOGLETRANSLATE(A4118,""en"",""fi"")"),"Yksin ollessaan mitään ei tapahdu. Jos heitä kuitenkin on kaksi tai enemmän, sanotaan ilmaantuvan outo voima.")</f>
        <v>Yksin ollessaan mitään ei tapahdu. Jos heitä kuitenkin on kaksi tai enemmän, sanotaan ilmaantuvan outo voima.</v>
      </c>
      <c r="C4118" s="9" t="s">
        <v>1344</v>
      </c>
    </row>
    <row r="4119" ht="33.75" customHeight="1">
      <c r="A4119" s="6" t="s">
        <v>6095</v>
      </c>
      <c r="B4119" s="6" t="str">
        <f>IFERROR(__xludf.DUMMYFUNCTION("GOOGLETRANSLATE(A4119,""en"",""fi"")"),"Muinaisen kirjoituksen muotoinen se on valtava mysteeri, syntyikö ensin kieli vai Unown.")</f>
        <v>Muinaisen kirjoituksen muotoinen se on valtava mysteeri, syntyikö ensin kieli vai Unown.</v>
      </c>
      <c r="C4119" s="9" t="s">
        <v>1344</v>
      </c>
    </row>
    <row r="4120" ht="33.75" customHeight="1">
      <c r="A4120" s="6" t="s">
        <v>6096</v>
      </c>
      <c r="B4120" s="6" t="str">
        <f>IFERROR(__xludf.DUMMYFUNCTION("GOOGLETRANSLATE(A4120,""en"",""fi"")"),"Tämä Pokémon on muodoltaan kuin muinainen kirjoitus. On mysteeri, kumpi oli ensin, muinaiset kirjoitukset vai erilaiset Unown-kirjoitukset. Tutkimus aiheesta on käynnissä, mutta siitä ei tiedetä mitään.")</f>
        <v>Tämä Pokémon on muodoltaan kuin muinainen kirjoitus. On mysteeri, kumpi oli ensin, muinaiset kirjoitukset vai erilaiset Unown-kirjoitukset. Tutkimus aiheesta on käynnissä, mutta siitä ei tiedetä mitään.</v>
      </c>
      <c r="C4120" s="9" t="s">
        <v>1344</v>
      </c>
    </row>
    <row r="4121" ht="33.75" customHeight="1">
      <c r="A4121" s="6" t="s">
        <v>6097</v>
      </c>
      <c r="B4121" s="6" t="str">
        <f>IFERROR(__xludf.DUMMYFUNCTION("GOOGLETRANSLATE(A4121,""en"",""fi"")"),"On vaikea uskoa, että nämä omituisen muotoiset Pokémonit ovat todella eläviä olentoja. Olen huomauttanut, että lajin monet muodot muistuttavat muiden maiden kirjoitusta; kukaan ei ota minua vakavasti.")</f>
        <v>On vaikea uskoa, että nämä omituisen muotoiset Pokémonit ovat todella eläviä olentoja. Olen huomauttanut, että lajin monet muodot muistuttavat muiden maiden kirjoitusta; kukaan ei ota minua vakavasti.</v>
      </c>
      <c r="C4121" s="9" t="s">
        <v>1344</v>
      </c>
    </row>
    <row r="4122" ht="33.75" customHeight="1">
      <c r="A4122" s="6" t="s">
        <v>6098</v>
      </c>
      <c r="B4122" s="6" t="str">
        <f>IFERROR(__xludf.DUMMYFUNCTION("GOOGLETRANSLATE(A4122,""en"",""fi"")"),"Se vihaa valoa ja iskuja. Hyökkäyksen sattuessa se täyttää kehonsa ilmalla tehostaakseen vastaiskuaan.")</f>
        <v>Se vihaa valoa ja iskuja. Hyökkäyksen sattuessa se täyttää kehonsa ilmalla tehostaakseen vastaiskuaan.</v>
      </c>
      <c r="C4122" s="9" t="s">
        <v>1344</v>
      </c>
    </row>
    <row r="4123" ht="33.75" customHeight="1">
      <c r="A4123" s="6" t="s">
        <v>6100</v>
      </c>
      <c r="B4123" s="6" t="str">
        <f>IFERROR(__xludf.DUMMYFUNCTION("GOOGLETRANSLATE(A4123,""en"",""fi"")"),"Pitääkseen pikimustan pyrstönsä piilossa se elää hiljaa pimeydessä. Se ei ole koskaan ensimmäinen hyökkääjä.")</f>
        <v>Pitääkseen pikimustan pyrstönsä piilossa se elää hiljaa pimeydessä. Se ei ole koskaan ensimmäinen hyökkääjä.</v>
      </c>
      <c r="C4123" s="9" t="s">
        <v>1344</v>
      </c>
    </row>
    <row r="4124" ht="33.75" customHeight="1">
      <c r="A4124" s="6" t="s">
        <v>6101</v>
      </c>
      <c r="B4124" s="6" t="str">
        <f>IFERROR(__xludf.DUMMYFUNCTION("GOOGLETRANSLATE(A4124,""en"",""fi"")"),"Piilottaakseen mustan pyrstönsä se asuu pimeässä luolassa ja liikkuu vain yöllä.")</f>
        <v>Piilottaakseen mustan pyrstönsä se asuu pimeässä luolassa ja liikkuu vain yöllä.</v>
      </c>
      <c r="C4124" s="9" t="s">
        <v>1344</v>
      </c>
    </row>
    <row r="4125" ht="33.75" customHeight="1">
      <c r="A4125" s="6" t="s">
        <v>6103</v>
      </c>
      <c r="B4125" s="6" t="str">
        <f>IFERROR(__xludf.DUMMYFUNCTION("GOOGLETRANSLATE(A4125,""en"",""fi"")"),"Jos kaksi tai useampi WOBBUFFET kohtaa, heistä tulee kilpailuhenkisiä ja he yrittävät päihittää toistensa kestävyyden. He saattavat kuitenkin yrittää nähdä, kumpi kestää pisimpään ilman ruokaa. VALMENTAJIEN on oltava varovaisia ​​tämän tavan suhteen.")</f>
        <v>Jos kaksi tai useampi WOBBUFFET kohtaa, heistä tulee kilpailuhenkisiä ja he yrittävät päihittää toistensa kestävyyden. He saattavat kuitenkin yrittää nähdä, kumpi kestää pisimpään ilman ruokaa. VALMENTAJIEN on oltava varovaisia ​​tämän tavan suhteen.</v>
      </c>
      <c r="C4125" s="9" t="s">
        <v>1344</v>
      </c>
    </row>
    <row r="4126" ht="33.75" customHeight="1">
      <c r="A4126" s="6" t="s">
        <v>6104</v>
      </c>
      <c r="B4126" s="6" t="str">
        <f>IFERROR(__xludf.DUMMYFUNCTION("GOOGLETRANSLATE(A4126,""en"",""fi"")"),"WOBBUFFET kestää vain hyökkäyksiä – se ei hyökkää yksin. Se ei kuitenkaan kestä hyökkäystä häntäänsä kohti. Kun näin tapahtuu, POKéMON yrittää ottaa vihollisen mukaansa KOHTALOSIDOKSELLA.")</f>
        <v>WOBBUFFET kestää vain hyökkäyksiä – se ei hyökkää yksin. Se ei kuitenkaan kestä hyökkäystä häntäänsä kohti. Kun näin tapahtuu, POKéMON yrittää ottaa vihollisen mukaansa KOHTALOSIDOKSELLA.</v>
      </c>
      <c r="C4126" s="9" t="s">
        <v>1344</v>
      </c>
    </row>
    <row r="4127" ht="33.75" customHeight="1">
      <c r="A4127" s="6" t="s">
        <v>6105</v>
      </c>
      <c r="B4127" s="6" t="str">
        <f>IFERROR(__xludf.DUMMYFUNCTION("GOOGLETRANSLATE(A4127,""en"",""fi"")"),"Yleensä säyseä WOBBUFFET iskee raivokkaasti takaisin, jos sen mustaa pyrstöä hyökätään. Se tekee pesänsä luoliin, joissa se odottaa iltahämärää.")</f>
        <v>Yleensä säyseä WOBBUFFET iskee raivokkaasti takaisin, jos sen mustaa pyrstöä hyökätään. Se tekee pesänsä luoliin, joissa se odottaa iltahämärää.</v>
      </c>
      <c r="C4127" s="9" t="s">
        <v>1344</v>
      </c>
    </row>
    <row r="4128" ht="33.75" customHeight="1">
      <c r="A4128" s="6" t="s">
        <v>6106</v>
      </c>
      <c r="B4128" s="6" t="str">
        <f>IFERROR(__xludf.DUMMYFUNCTION("GOOGLETRANSLATE(A4128,""en"",""fi"")"),"Pitääkseen pikimustan pyrstönsä piilossa se elää hiljaa pimeydessä. Se ei ole koskaan ensimmäinen hyökkääjä.")</f>
        <v>Pitääkseen pikimustan pyrstönsä piilossa se elää hiljaa pimeydessä. Se ei ole koskaan ensimmäinen hyökkääjä.</v>
      </c>
      <c r="C4128" s="9" t="s">
        <v>1344</v>
      </c>
    </row>
    <row r="4129" ht="33.75" customHeight="1">
      <c r="A4129" s="6" t="s">
        <v>6108</v>
      </c>
      <c r="B4129" s="6" t="str">
        <f>IFERROR(__xludf.DUMMYFUNCTION("GOOGLETRANSLATE(A4129,""en"",""fi"")"),"Se vihaa valoa ja iskuja. Hyökkäyksen sattuessa se täyttää kehonsa ilmalla tehostaakseen vastaiskuaan.")</f>
        <v>Se vihaa valoa ja iskuja. Hyökkäyksen sattuessa se täyttää kehonsa ilmalla tehostaakseen vastaiskuaan.</v>
      </c>
      <c r="C4129" s="9" t="s">
        <v>1344</v>
      </c>
    </row>
    <row r="4130" ht="33.75" customHeight="1">
      <c r="A4130" s="6" t="s">
        <v>6109</v>
      </c>
      <c r="B4130" s="6" t="str">
        <f>IFERROR(__xludf.DUMMYFUNCTION("GOOGLETRANSLATE(A4130,""en"",""fi"")"),"Se yrittää epätoivoisesti pitää mustan häntänsä piilossa. Sen sanotaan olevan todiste siitä, että häntä kätkee salaisuuden.")</f>
        <v>Se yrittää epätoivoisesti pitää mustan häntänsä piilossa. Sen sanotaan olevan todiste siitä, että häntä kätkee salaisuuden.</v>
      </c>
      <c r="C4130" s="9" t="s">
        <v>1344</v>
      </c>
    </row>
    <row r="4131" ht="33.75" customHeight="1">
      <c r="A4131" s="6" t="s">
        <v>6111</v>
      </c>
      <c r="B4131" s="6" t="str">
        <f>IFERROR(__xludf.DUMMYFUNCTION("GOOGLETRANSLATE(A4131,""en"",""fi"")"),"Se vihaa valoa ja iskuja. Hyökkäyksen sattuessa se täyttää kehonsa puhaltamalla vahvistaakseen vastaiskuaan.")</f>
        <v>Se vihaa valoa ja iskuja. Hyökkäyksen sattuessa se täyttää kehonsa puhaltamalla vahvistaakseen vastaiskuaan.</v>
      </c>
      <c r="C4131" s="9" t="s">
        <v>1344</v>
      </c>
    </row>
    <row r="4132" ht="33.75" customHeight="1">
      <c r="A4132" s="6" t="s">
        <v>6112</v>
      </c>
      <c r="B4132" s="6" t="str">
        <f>IFERROR(__xludf.DUMMYFUNCTION("GOOGLETRANSLATE(A4132,""en"",""fi"")"),"Jos kaksi tai useampi Wobbuffet-koira kohtaa toisensa, ne alkavat kilpailla keskenään ja yrittävät päihittää toistensa kestävyyden. Ne saattavat kuitenkin yrittää selvittää, kumpi kestää pisimpään ilman ruokaa. Valmentajien on oltava varovaisia ​​tämän ta"&amp;"van suhteen.")</f>
        <v>Jos kaksi tai useampi Wobbuffet-koira kohtaa toisensa, ne alkavat kilpailla keskenään ja yrittävät päihittää toistensa kestävyyden. Ne saattavat kuitenkin yrittää selvittää, kumpi kestää pisimpään ilman ruokaa. Valmentajien on oltava varovaisia ​​tämän tavan suhteen.</v>
      </c>
      <c r="C4132" s="9" t="s">
        <v>1344</v>
      </c>
    </row>
    <row r="4133" ht="33.75" customHeight="1">
      <c r="A4133" s="6" t="s">
        <v>6114</v>
      </c>
      <c r="B4133" s="6" t="str">
        <f>IFERROR(__xludf.DUMMYFUNCTION("GOOGLETRANSLATE(A4133,""en"",""fi"")"),"Wobbuffet ei tee muuta kuin kestää hyökkäyksiä – se ei hyökkää yksin. Se ei kuitenkaan kestä hyökkäystä häntäänsä vastaan. Kun näin tapahtuu, Pokémon yrittää ottaa vihollisen mukaansa Destiny Bondilla.")</f>
        <v>Wobbuffet ei tee muuta kuin kestää hyökkäyksiä – se ei hyökkää yksin. Se ei kuitenkaan kestä hyökkäystä häntäänsä vastaan. Kun näin tapahtuu, Pokémon yrittää ottaa vihollisen mukaansa Destiny Bondilla.</v>
      </c>
      <c r="C4133" s="9" t="s">
        <v>1344</v>
      </c>
    </row>
    <row r="4134" ht="33.75" customHeight="1">
      <c r="A4134" s="6" t="s">
        <v>6116</v>
      </c>
      <c r="B4134" s="6" t="str">
        <f>IFERROR(__xludf.DUMMYFUNCTION("GOOGLETRANSLATE(A4134,""en"",""fi"")"),"Sen hännällä on omat pienet aivonsa. Varo! Jos tulet lähelle, se saattaa reagoida hajuusi ja purraasi.")</f>
        <v>Sen hännällä on omat pienet aivonsa. Varo! Jos tulet lähelle, se saattaa reagoida hajuusi ja purraasi.</v>
      </c>
      <c r="C4134" s="9" t="s">
        <v>1344</v>
      </c>
    </row>
    <row r="4135" ht="33.75" customHeight="1">
      <c r="A4135" s="6" t="s">
        <v>6118</v>
      </c>
      <c r="B4135" s="6" t="str">
        <f>IFERROR(__xludf.DUMMYFUNCTION("GOOGLETRANSLATE(A4135,""en"",""fi"")"),"Sen häntä, jossa on myös pieni aivo, voi purra itsestään, jos se huomaa houkuttelevan hajun.")</f>
        <v>Sen häntä, jossa on myös pieni aivo, voi purra itsestään, jos se huomaa houkuttelevan hajun.</v>
      </c>
      <c r="C4135" s="9" t="s">
        <v>1344</v>
      </c>
    </row>
    <row r="4136" ht="33.75" customHeight="1">
      <c r="A4136" s="6" t="s">
        <v>6119</v>
      </c>
      <c r="B4136" s="6" t="str">
        <f>IFERROR(__xludf.DUMMYFUNCTION("GOOGLETRANSLATE(A4136,""en"",""fi"")"),"Vaaran uhatessa sen häntä käyttää jonkinlaisia ​​salaperäisiä voimia vihollisen karkottamiseen.")</f>
        <v>Vaaran uhatessa sen häntä käyttää jonkinlaisia ​​salaperäisiä voimia vihollisen karkottamiseen.</v>
      </c>
      <c r="C4136" s="9" t="s">
        <v>1344</v>
      </c>
    </row>
    <row r="4137" ht="33.75" customHeight="1">
      <c r="A4137" s="6" t="s">
        <v>6121</v>
      </c>
      <c r="B4137" s="6" t="str">
        <f>IFERROR(__xludf.DUMMYFUNCTION("GOOGLETRANSLATE(A4137,""en"",""fi"")"),"KIRAHVI-POKÉMONIN takapäässä on myös aivot, mutta ne ovat pienet. Takapää hyökkää hajujen ja äänien perusteella. Tämän POKéMONin lähestyminen takaapäin voi saada takapään äkillisesti iskemään ja puremaan.")</f>
        <v>KIRAHVI-POKÉMONIN takapäässä on myös aivot, mutta ne ovat pienet. Takapää hyökkää hajujen ja äänien perusteella. Tämän POKéMONin lähestyminen takaapäin voi saada takapään äkillisesti iskemään ja puremaan.</v>
      </c>
      <c r="C4137" s="9" t="s">
        <v>1344</v>
      </c>
    </row>
    <row r="4138" ht="33.75" customHeight="1">
      <c r="A4138" s="6" t="s">
        <v>6122</v>
      </c>
      <c r="B4138" s="6" t="str">
        <f>IFERROR(__xludf.DUMMYFUNCTION("GOOGLETRANSLATE(A4138,""en"",""fi"")"),"KIRAHVI-kiihkon takaosassa on pieni aivokoko, joka on liian pieni ajattelemiseen. Takaosan ei kuitenkaan tarvitse nukkua, joten se voi tarkkailla ympäristöään 24 tuntia vuorokaudessa.")</f>
        <v>KIRAHVI-kiihkon takaosassa on pieni aivokoko, joka on liian pieni ajattelemiseen. Takaosan ei kuitenkaan tarvitse nukkua, joten se voi tarkkailla ympäristöään 24 tuntia vuorokaudessa.</v>
      </c>
      <c r="C4138" s="9" t="s">
        <v>1344</v>
      </c>
    </row>
    <row r="4139" ht="33.75" customHeight="1">
      <c r="A4139" s="6" t="s">
        <v>6123</v>
      </c>
      <c r="B4139" s="6" t="str">
        <f>IFERROR(__xludf.DUMMYFUNCTION("GOOGLETRANSLATE(A4139,""en"",""fi"")"),"KIRAHVI on kasvinsyöjä – se syö ruohoa ja puiden versoja. Syödessään sen häntä tekee pureskelu- ja nielemisliikkeitä aivan kuin sekin söisi.")</f>
        <v>KIRAHVI on kasvinsyöjä – se syö ruohoa ja puiden versoja. Syödessään sen häntä tekee pureskelu- ja nielemisliikkeitä aivan kuin sekin söisi.</v>
      </c>
      <c r="C4139" s="9" t="s">
        <v>1344</v>
      </c>
    </row>
    <row r="4140" ht="33.75" customHeight="1">
      <c r="A4140" s="6" t="s">
        <v>6124</v>
      </c>
      <c r="B4140" s="6" t="str">
        <f>IFERROR(__xludf.DUMMYFUNCTION("GOOGLETRANSLATE(A4140,""en"",""fi"")"),"Sen hännässä on myös pienet aivot. Se puree torjuakseen kaikki viholliset, jotka yrittävät hiipiä sen luo takaapäin.")</f>
        <v>Sen hännässä on myös pienet aivot. Se puree torjuakseen kaikki viholliset, jotka yrittävät hiipiä sen luo takaapäin.</v>
      </c>
      <c r="C4140" s="9" t="s">
        <v>1344</v>
      </c>
    </row>
    <row r="4141" ht="33.75" customHeight="1">
      <c r="A4141" s="6" t="s">
        <v>6125</v>
      </c>
      <c r="B4141" s="6" t="str">
        <f>IFERROR(__xludf.DUMMYFUNCTION("GOOGLETRANSLATE(A4141,""en"",""fi"")"),"Sen nukkuessa sen häntäpää pitää silmällä. Hännän ei tarvitse nukkua.")</f>
        <v>Sen nukkuessa sen häntäpää pitää silmällä. Hännän ei tarvitse nukkua.</v>
      </c>
      <c r="C4141" s="9" t="s">
        <v>1344</v>
      </c>
    </row>
    <row r="4142" ht="33.75" customHeight="1">
      <c r="A4142" s="6" t="s">
        <v>6127</v>
      </c>
      <c r="B4142" s="6" t="str">
        <f>IFERROR(__xludf.DUMMYFUNCTION("GOOGLETRANSLATE(A4142,""en"",""fi"")"),"Sen häntäpäässä on pienet aivot. Se voi vaistomaisesti taistella jopa selkä taaksepäin katsoen.")</f>
        <v>Sen häntäpäässä on pienet aivot. Se voi vaistomaisesti taistella jopa selkä taaksepäin katsoen.</v>
      </c>
      <c r="C4142" s="9" t="s">
        <v>1344</v>
      </c>
    </row>
    <row r="4143" ht="33.75" customHeight="1">
      <c r="A4143" s="6" t="s">
        <v>6129</v>
      </c>
      <c r="B4143" s="6" t="str">
        <f>IFERROR(__xludf.DUMMYFUNCTION("GOOGLETRANSLATE(A4143,""en"",""fi"")"),"Sen hännällä on omat pienet aivonsa. Varo! Jos tulet lähelle, se saattaa reagoida hajuusi puremalla.")</f>
        <v>Sen hännällä on omat pienet aivonsa. Varo! Jos tulet lähelle, se saattaa reagoida hajuusi puremalla.</v>
      </c>
      <c r="C4143" s="9" t="s">
        <v>1344</v>
      </c>
    </row>
    <row r="4144" ht="33.75" customHeight="1">
      <c r="A4144" s="6" t="s">
        <v>6130</v>
      </c>
      <c r="B4144" s="6" t="str">
        <f>IFERROR(__xludf.DUMMYFUNCTION("GOOGLETRANSLATE(A4144,""en"",""fi"")"),"Girafarigin takapäässä on myös aivot, mutta ne ovat pienet. Takapää hyökkää hajujen ja äänien perusteella. Tämän Pokémonin lähestyminen takaapäin voi saada takapään äkillisesti iskemään ja puremaan.")</f>
        <v>Girafarigin takapäässä on myös aivot, mutta ne ovat pienet. Takapää hyökkää hajujen ja äänien perusteella. Tämän Pokémonin lähestyminen takaapäin voi saada takapään äkillisesti iskemään ja puremaan.</v>
      </c>
      <c r="C4144" s="9" t="s">
        <v>1344</v>
      </c>
    </row>
    <row r="4145" ht="33.75" customHeight="1">
      <c r="A4145" s="6" t="s">
        <v>6131</v>
      </c>
      <c r="B4145" s="6" t="str">
        <f>IFERROR(__xludf.DUMMYFUNCTION("GOOGLETRANSLATE(A4145,""en"",""fi"")"),"Girafarigin takapäässä on pieni aivokoko, joka on liian pieni ajattelemiseen. Takapään ei kuitenkaan tarvitse nukkua, joten se voi tarkkailla ympäristöään 24 tuntia vuorokaudessa.")</f>
        <v>Girafarigin takapäässä on pieni aivokoko, joka on liian pieni ajattelemiseen. Takapään ei kuitenkaan tarvitse nukkua, joten se voi tarkkailla ympäristöään 24 tuntia vuorokaudessa.</v>
      </c>
      <c r="C4145" s="9" t="s">
        <v>1344</v>
      </c>
    </row>
    <row r="4146" ht="33.75" customHeight="1">
      <c r="A4146" s="6" t="s">
        <v>6133</v>
      </c>
      <c r="B4146" s="6" t="str">
        <f>IFERROR(__xludf.DUMMYFUNCTION("GOOGLETRANSLATE(A4146,""en"",""fi"")"),"Se tykkää paksuntaa kuortaan lisäämällä siihen puunkuorta. Lisäpaino ei haittaa sitä.")</f>
        <v>Se tykkää paksuntaa kuortaan lisäämällä siihen puunkuorta. Lisäpaino ei haittaa sitä.</v>
      </c>
      <c r="C4146" s="9" t="s">
        <v>1344</v>
      </c>
    </row>
    <row r="4147" ht="33.75" customHeight="1">
      <c r="A4147" s="6" t="s">
        <v>6134</v>
      </c>
      <c r="B4147" s="6" t="str">
        <f>IFERROR(__xludf.DUMMYFUNCTION("GOOGLETRANSLATE(A4147,""en"",""fi"")"),"Se roikkuu paikallaan ja odottaa lentävien hyönteisten saalista tulevan lähelle. Se ei liiku paljoakaan yksin.")</f>
        <v>Se roikkuu paikallaan ja odottaa lentävien hyönteisten saalista tulevan lähelle. Se ei liiku paljoakaan yksin.</v>
      </c>
      <c r="C4147" s="9" t="s">
        <v>1344</v>
      </c>
    </row>
    <row r="4148" ht="33.75" customHeight="1">
      <c r="A4148" s="6" t="s">
        <v>6135</v>
      </c>
      <c r="B4148" s="6" t="str">
        <f>IFERROR(__xludf.DUMMYFUNCTION("GOOGLETRANSLATE(A4148,""en"",""fi"")"),"Se sylkee ulos nestettä, jolla se liimaa puunkuorta kehoonsa. Neste kovettuu, kun se koskettaa ilmaa.")</f>
        <v>Se sylkee ulos nestettä, jolla se liimaa puunkuorta kehoonsa. Neste kovettuu, kun se koskettaa ilmaa.</v>
      </c>
      <c r="C4148" s="9" t="s">
        <v>1344</v>
      </c>
    </row>
    <row r="4149" ht="33.75" customHeight="1">
      <c r="A4149" s="6" t="s">
        <v>6137</v>
      </c>
      <c r="B4149" s="6" t="str">
        <f>IFERROR(__xludf.DUMMYFUNCTION("GOOGLETRANSLATE(A4149,""en"",""fi"")"),"PINECO roikkuu puun oksalla ja odottaa kärsivällisesti saalista. Jos joku ravistaa puuta ja häiritsee syömistä, POKéMON putoaa maahan ja räjähtää ilman varoitusta.")</f>
        <v>PINECO roikkuu puun oksalla ja odottaa kärsivällisesti saalista. Jos joku ravistaa puuta ja häiritsee syömistä, POKéMON putoaa maahan ja räjähtää ilman varoitusta.</v>
      </c>
      <c r="C4149" s="9" t="s">
        <v>1344</v>
      </c>
    </row>
    <row r="4150" ht="33.75" customHeight="1">
      <c r="A4150" s="6" t="s">
        <v>6138</v>
      </c>
      <c r="B4150" s="6" t="str">
        <f>IFERROR(__xludf.DUMMYFUNCTION("GOOGLETRANSLATE(A4150,""en"",""fi"")"),"Mänty roikkuu puun oksalla ja odottaa saalista. Jos joku ravistaa puuta ja häiritsee sitä syödessään, se putoaa maahan ja räjähtää yhtäkkiä.")</f>
        <v>Mänty roikkuu puun oksalla ja odottaa saalista. Jos joku ravistaa puuta ja häiritsee sitä syödessään, se putoaa maahan ja räjähtää yhtäkkiä.</v>
      </c>
      <c r="C4150" s="9" t="s">
        <v>1344</v>
      </c>
    </row>
    <row r="4151" ht="33.75" customHeight="1">
      <c r="A4151" s="6" t="s">
        <v>6139</v>
      </c>
      <c r="B4151" s="6" t="str">
        <f>IFERROR(__xludf.DUMMYFUNCTION("GOOGLETRANSLATE(A4151,""en"",""fi"")"),"Se roikkuu paikallaan ja odottaa lentävien hyönteisten saalista lähelle. Se ei liiku paljoakaan yksin.")</f>
        <v>Se roikkuu paikallaan ja odottaa lentävien hyönteisten saalista lähelle. Se ei liiku paljoakaan yksin.</v>
      </c>
      <c r="C4151" s="9" t="s">
        <v>1344</v>
      </c>
    </row>
    <row r="4152" ht="33.75" customHeight="1">
      <c r="A4152" s="6" t="s">
        <v>6140</v>
      </c>
      <c r="B4152" s="6" t="str">
        <f>IFERROR(__xludf.DUMMYFUNCTION("GOOGLETRANSLATE(A4152,""en"",""fi"")"),"Se tykkää paksuntaa kuortaan lisäämällä siihen puunkuorta. Ylimääräinen paino ei haittaa sitä.")</f>
        <v>Se tykkää paksuntaa kuortaan lisäämällä siihen puunkuorta. Ylimääräinen paino ei haittaa sitä.</v>
      </c>
      <c r="C4152" s="9" t="s">
        <v>1344</v>
      </c>
    </row>
    <row r="4153" ht="33.75" customHeight="1">
      <c r="A4153" s="6" t="s">
        <v>6141</v>
      </c>
      <c r="B4153" s="6" t="str">
        <f>IFERROR(__xludf.DUMMYFUNCTION("GOOGLETRANSLATE(A4153,""en"",""fi"")"),"Se näyttää aivan kävyltä. Sen kuori suojaa sitä lintu-Pokémoneilta, jotka nokkivat sitä vahingossa.")</f>
        <v>Se näyttää aivan kävyltä. Sen kuori suojaa sitä lintu-Pokémoneilta, jotka nokkivat sitä vahingossa.</v>
      </c>
      <c r="C4153" s="9" t="s">
        <v>1344</v>
      </c>
    </row>
    <row r="4154" ht="33.75" customHeight="1">
      <c r="A4154" s="6" t="s">
        <v>6142</v>
      </c>
      <c r="B4154" s="6" t="str">
        <f>IFERROR(__xludf.DUMMYFUNCTION("GOOGLETRANSLATE(A4154,""en"",""fi"")"),"Se tykkää paksuntaa kuortaan lisäämällä siihen puunkuorta. Lisäpaino ei haittaa sitä.")</f>
        <v>Se tykkää paksuntaa kuortaan lisäämällä siihen puunkuorta. Lisäpaino ei haittaa sitä.</v>
      </c>
      <c r="C4154" s="9" t="s">
        <v>1344</v>
      </c>
    </row>
    <row r="4155" ht="33.75" customHeight="1">
      <c r="A4155" s="6" t="s">
        <v>6143</v>
      </c>
      <c r="B4155" s="6" t="str">
        <f>IFERROR(__xludf.DUMMYFUNCTION("GOOGLETRANSLATE(A4155,""en"",""fi"")"),"Pineco roikkuu puun oksalla ja odottaa kärsivällisesti saalista. Jos joku ravistaa puuta ja häiritsee Pokémonia syödessään, se putoaa maahan ja räjähtää ilman varoitusta.")</f>
        <v>Pineco roikkuu puun oksalla ja odottaa kärsivällisesti saalista. Jos joku ravistaa puuta ja häiritsee Pokémonia syödessään, se putoaa maahan ja räjähtää ilman varoitusta.</v>
      </c>
      <c r="C4155" s="9" t="s">
        <v>1344</v>
      </c>
    </row>
    <row r="4156" ht="33.75" customHeight="1">
      <c r="A4156" s="6" t="s">
        <v>6144</v>
      </c>
      <c r="B4156" s="6" t="str">
        <f>IFERROR(__xludf.DUMMYFUNCTION("GOOGLETRANSLATE(A4156,""en"",""fi"")"),"Liikkumattomana se roikkuu puissa odottaen ötökkä-Pokémon-saalistaan. Sen suosikki Alolassa on Cutiefly.")</f>
        <v>Liikkumattomana se roikkuu puissa odottaen ötökkä-Pokémon-saalistaan. Sen suosikki Alolassa on Cutiefly.</v>
      </c>
      <c r="C4156" s="9" t="s">
        <v>1344</v>
      </c>
    </row>
    <row r="4157" ht="33.75" customHeight="1">
      <c r="A4157" s="6" t="s">
        <v>6145</v>
      </c>
      <c r="B4157" s="6" t="str">
        <f>IFERROR(__xludf.DUMMYFUNCTION("GOOGLETRANSLATE(A4157,""en"",""fi"")"),"Se tarttuu syljellään puunkuoreen, mikä tekee itsestään paksumman ja suuremman. Iäkkäät pineco-hirvet ovat naurettavan valtavia.")</f>
        <v>Se tarttuu syljellään puunkuoreen, mikä tekee itsestään paksumman ja suuremman. Iäkkäät pineco-hirvet ovat naurettavan valtavia.</v>
      </c>
      <c r="C4157" s="9" t="s">
        <v>1344</v>
      </c>
    </row>
    <row r="4158" ht="33.75" customHeight="1">
      <c r="A4158" s="6" t="s">
        <v>6146</v>
      </c>
      <c r="B4158" s="6" t="str">
        <f>IFERROR(__xludf.DUMMYFUNCTION("GOOGLETRANSLATE(A4158,""en"",""fi"")"),"Sen koko vartalo on suojattu teräskovalla kuorella. Se, mitä panssarin sisällä piilee, on täysi mysteeri.")</f>
        <v>Sen koko vartalo on suojattu teräskovalla kuorella. Se, mitä panssarin sisällä piilee, on täysi mysteeri.</v>
      </c>
      <c r="C4158" s="9" t="s">
        <v>1344</v>
      </c>
    </row>
    <row r="4159" ht="33.75" customHeight="1">
      <c r="A4159" s="6" t="s">
        <v>6147</v>
      </c>
      <c r="B4159" s="6" t="str">
        <f>IFERROR(__xludf.DUMMYFUNCTION("GOOGLETRANSLATE(A4159,""en"",""fi"")"),"Se pysyy liikkumattomasti juurtuneena puuhunsa. Se hajottaa kovan kuorensa paloja ajaakseen vihollisensa pois.")</f>
        <v>Se pysyy liikkumattomasti juurtuneena puuhunsa. Se hajottaa kovan kuorensa paloja ajaakseen vihollisensa pois.</v>
      </c>
      <c r="C4159" s="9" t="s">
        <v>1344</v>
      </c>
    </row>
    <row r="4160" ht="33.75" customHeight="1">
      <c r="A4160" s="6" t="s">
        <v>6149</v>
      </c>
      <c r="B4160" s="6" t="str">
        <f>IFERROR(__xludf.DUMMYFUNCTION("GOOGLETRANSLATE(A4160,""en"",""fi"")"),"Yleensä se roikkuu paksussa puunrungossa. Se ampuu paloja kuorestaan ​​nähdessään toimintaa.")</f>
        <v>Yleensä se roikkuu paksussa puunrungossa. Se ampuu paloja kuorestaan ​​nähdessään toimintaa.</v>
      </c>
      <c r="C4160" s="9" t="s">
        <v>1344</v>
      </c>
    </row>
    <row r="4161" ht="33.75" customHeight="1">
      <c r="A4161" s="6" t="s">
        <v>6150</v>
      </c>
      <c r="B4161" s="6" t="str">
        <f>IFERROR(__xludf.DUMMYFUNCTION("GOOGLETRANSLATE(A4161,""en"",""fi"")"),"FORRETRESS piiloutuu karkaistusta teräskuorestaan. Kuori avataan, kun POKéMON pyydystää saalista, mutta se tapahtuu niin nopeasti, ettei kuoren sisältöä näy.")</f>
        <v>FORRETRESS piiloutuu karkaistusta teräskuorestaan. Kuori avataan, kun POKéMON pyydystää saalista, mutta se tapahtuu niin nopeasti, ettei kuoren sisältöä näy.</v>
      </c>
      <c r="C4161" s="9" t="s">
        <v>1344</v>
      </c>
    </row>
    <row r="4162" ht="33.75" customHeight="1">
      <c r="A4162" s="6" t="s">
        <v>6151</v>
      </c>
      <c r="B4162" s="6" t="str">
        <f>IFERROR(__xludf.DUMMYFUNCTION("GOOGLETRANSLATE(A4162,""en"",""fi"")"),"Se pysyttelee teräskuorensa sisällä. Kuori avataan saalista pyydystäessään, mutta se aukeaa niin nopeasti, ettei kuoren sisältöä voida nähdä.")</f>
        <v>Se pysyttelee teräskuorensa sisällä. Kuori avataan saalista pyydystäessään, mutta se aukeaa niin nopeasti, ettei kuoren sisältöä voida nähdä.</v>
      </c>
      <c r="C4162" s="9" t="s">
        <v>1344</v>
      </c>
    </row>
    <row r="4163" ht="33.75" customHeight="1">
      <c r="A4163" s="6" t="s">
        <v>6153</v>
      </c>
      <c r="B4163" s="6" t="str">
        <f>IFERROR(__xludf.DUMMYFUNCTION("GOOGLETRANSLATE(A4163,""en"",""fi"")"),"Se pysyy järkähtämättömästi juurtuneena puuhunsa. Se sirottelee kovan kuorensa paloja ajaakseen vihollisensa pois.")</f>
        <v>Se pysyy järkähtämättömästi juurtuneena puuhunsa. Se sirottelee kovan kuorensa paloja ajaakseen vihollisensa pois.</v>
      </c>
      <c r="C4163" s="9" t="s">
        <v>1344</v>
      </c>
    </row>
    <row r="4164" ht="33.75" customHeight="1">
      <c r="A4164" s="6" t="s">
        <v>6154</v>
      </c>
      <c r="B4164" s="6" t="str">
        <f>IFERROR(__xludf.DUMMYFUNCTION("GOOGLETRANSLATE(A4164,""en"",""fi"")"),"Sen koko vartalo on suojattu teräskovalla kuorella. Se, mitä panssarin sisällä piilee, on täysi mysteeri.")</f>
        <v>Sen koko vartalo on suojattu teräskovalla kuorella. Se, mitä panssarin sisällä piilee, on täysi mysteeri.</v>
      </c>
      <c r="C4164" s="9" t="s">
        <v>1344</v>
      </c>
    </row>
    <row r="4165" ht="33.75" customHeight="1">
      <c r="A4165" s="6" t="s">
        <v>6156</v>
      </c>
      <c r="B4165" s="6" t="str">
        <f>IFERROR(__xludf.DUMMYFUNCTION("GOOGLETRANSLATE(A4165,""en"",""fi"")"),"Se on teräskuoren sisällä. Sen salaperäisistä sisusosista näkyy vain sen tiirailevat silmät.")</f>
        <v>Se on teräskuoren sisällä. Sen salaperäisistä sisusosista näkyy vain sen tiirailevat silmät.</v>
      </c>
      <c r="C4165" s="9" t="s">
        <v>1344</v>
      </c>
    </row>
    <row r="4166" ht="33.75" customHeight="1">
      <c r="A4166" s="6" t="s">
        <v>6158</v>
      </c>
      <c r="B4166" s="6" t="str">
        <f>IFERROR(__xludf.DUMMYFUNCTION("GOOGLETRANSLATE(A4166,""en"",""fi"")"),"Sen koko ruumis on teräskovan kuoren suojaama. Se, mitä kuoren sisällä piilee, on täysi mysteeri.")</f>
        <v>Sen koko ruumis on teräskovan kuoren suojaama. Se, mitä kuoren sisällä piilee, on täysi mysteeri.</v>
      </c>
      <c r="C4166" s="9" t="s">
        <v>1344</v>
      </c>
    </row>
    <row r="4167" ht="33.75" customHeight="1">
      <c r="A4167" s="6" t="s">
        <v>6159</v>
      </c>
      <c r="B4167" s="6" t="str">
        <f>IFERROR(__xludf.DUMMYFUNCTION("GOOGLETRANSLATE(A4167,""en"",""fi"")"),"Forretress piiloutuu karkaistusta teräskuorestaan. Kuori avataan, kun Pokémon pyydystää saalista, mutta se tapahtuu niin nopeasti, ettei kuoren sisältöä näy.")</f>
        <v>Forretress piiloutuu karkaistusta teräskuorestaan. Kuori avataan, kun Pokémon pyydystää saalista, mutta se tapahtuu niin nopeasti, ettei kuoren sisältöä näy.</v>
      </c>
      <c r="C4167" s="9" t="s">
        <v>1344</v>
      </c>
    </row>
    <row r="4168" ht="33.75" customHeight="1">
      <c r="A4168" s="6" t="s">
        <v>6161</v>
      </c>
      <c r="B4168" s="6" t="str">
        <f>IFERROR(__xludf.DUMMYFUNCTION("GOOGLETRANSLATE(A4168,""en"",""fi"")"),"Kun jokin lähestyy sitä, se ampuu teräskuorensa sirpaleita hyökkäyksessä. Tämä ei ole tietoinen toiminta, vaan ehdollinen refleksi.")</f>
        <v>Kun jokin lähestyy sitä, se ampuu teräskuorensa sirpaleita hyökkäyksessä. Tämä ei ole tietoinen toiminta, vaan ehdollinen refleksi.</v>
      </c>
      <c r="C4168" s="9" t="s">
        <v>1344</v>
      </c>
    </row>
    <row r="4169" ht="33.75" customHeight="1">
      <c r="A4169" s="6" t="s">
        <v>6162</v>
      </c>
      <c r="B4169" s="6" t="str">
        <f>IFERROR(__xludf.DUMMYFUNCTION("GOOGLETRANSLATE(A4169,""en"",""fi"")"),"Sillä hetkellä, kun se nielee saaliinsa, sen kuoren sisäpuoli paljastuu, mutta tähän päivään mennessä kukaan ei ole koskaan nähnyt tuota näkyä.")</f>
        <v>Sillä hetkellä, kun se nielee saaliinsa, sen kuoren sisäpuoli paljastuu, mutta tähän päivään mennessä kukaan ei ole koskaan nähnyt tuota näkyä.</v>
      </c>
      <c r="C4169" s="9" t="s">
        <v>1344</v>
      </c>
    </row>
    <row r="4170" ht="33.75" customHeight="1">
      <c r="A4170" s="6" t="s">
        <v>6163</v>
      </c>
      <c r="B4170" s="6" t="str">
        <f>IFERROR(__xludf.DUMMYFUNCTION("GOOGLETRANSLATE(A4170,""en"",""fi"")"),"Havaittaessa tämä POKéMON pakenee takaperin porautumalla raivokkaasti maahan pyrstöllään.")</f>
        <v>Havaittaessa tämä POKéMON pakenee takaperin porautumalla raivokkaasti maahan pyrstöllään.</v>
      </c>
      <c r="C4170" s="9" t="s">
        <v>1344</v>
      </c>
    </row>
    <row r="4171" ht="33.75" customHeight="1">
      <c r="A4171" s="6" t="s">
        <v>6164</v>
      </c>
      <c r="B4171" s="6" t="str">
        <f>IFERROR(__xludf.DUMMYFUNCTION("GOOGLETRANSLATE(A4171,""en"",""fi"")"),"Jos se havaitaan, se pakenee viitoista kaivautumalla pyrstöllään. Se voi kellua vain hieman siipiensä avulla.")</f>
        <v>Jos se havaitaan, se pakenee viitoista kaivautumalla pyrstöllään. Se voi kellua vain hieman siipiensä avulla.</v>
      </c>
      <c r="C4171" s="9" t="s">
        <v>1344</v>
      </c>
    </row>
    <row r="4172" ht="33.75" customHeight="1">
      <c r="A4172" s="6" t="s">
        <v>6165</v>
      </c>
      <c r="B4172" s="6" t="str">
        <f>IFERROR(__xludf.DUMMYFUNCTION("GOOGLETRANSLATE(A4172,""en"",""fi"")"),"Se piileskelee syvällä luolissa, joihin valo ei koskaan pääse, ja pysyy siellä käytännössä liikkumattomana.")</f>
        <v>Se piileskelee syvällä luolissa, joihin valo ei koskaan pääse, ja pysyy siellä käytännössä liikkumattomana.</v>
      </c>
      <c r="C4172" s="9" t="s">
        <v>1344</v>
      </c>
    </row>
    <row r="4173" ht="33.75" customHeight="1">
      <c r="A4173" s="6" t="s">
        <v>6166</v>
      </c>
      <c r="B4173" s="6" t="str">
        <f>IFERROR(__xludf.DUMMYFUNCTION("GOOGLETRANSLATE(A4173,""en"",""fi"")"),"DUNSPARCElla on pora pyrstöään varten. Se käyttää tätä pyrstöä kaivautuakseen maahan takaperin. Tämä POKéMON tunnetaan siitä, että se rakentaa pesänsä monimutkaisiin muotoihin syvälle maan alle.")</f>
        <v>DUNSPARCElla on pora pyrstöään varten. Se käyttää tätä pyrstöä kaivautuakseen maahan takaperin. Tämä POKéMON tunnetaan siitä, että se rakentaa pesänsä monimutkaisiin muotoihin syvälle maan alle.</v>
      </c>
      <c r="C4173" s="9" t="s">
        <v>1344</v>
      </c>
    </row>
    <row r="4174" ht="33.75" customHeight="1">
      <c r="A4174" s="6" t="s">
        <v>6167</v>
      </c>
      <c r="B4174" s="6" t="str">
        <f>IFERROR(__xludf.DUMMYFUNCTION("GOOGLETRANSLATE(A4174,""en"",""fi"")"),"Sen porakärkistä pyrstöä käytetään kaivautumiseen maahan takaperin. Tämä POKéMON tunnetaan siitä, että se rakentaa monimutkaisia ​​pesiä syvälle maan alle.")</f>
        <v>Sen porakärkistä pyrstöä käytetään kaivautumiseen maahan takaperin. Tämä POKéMON tunnetaan siitä, että se rakentaa monimutkaisia ​​pesiä syvälle maan alle.</v>
      </c>
      <c r="C4174" s="9" t="s">
        <v>1344</v>
      </c>
    </row>
    <row r="4175" ht="33.75" customHeight="1">
      <c r="A4175" s="6" t="s">
        <v>6170</v>
      </c>
      <c r="B4175" s="6" t="str">
        <f>IFERROR(__xludf.DUMMYFUNCTION("GOOGLETRANSLATE(A4175,""en"",""fi"")"),"Jos se havaitaan, se pakenee kaivautumalla maahan pyrstöllään. Se voi leijua hieman siipiensä avulla.")</f>
        <v>Jos se havaitaan, se pakenee kaivautumalla maahan pyrstöllään. Se voi leijua hieman siipiensä avulla.</v>
      </c>
      <c r="C4175" s="9" t="s">
        <v>1344</v>
      </c>
    </row>
    <row r="4176" ht="33.75" customHeight="1">
      <c r="A4176" s="6" t="s">
        <v>6173</v>
      </c>
      <c r="B4176" s="6" t="str">
        <f>IFERROR(__xludf.DUMMYFUNCTION("GOOGLETRANSLATE(A4176,""en"",""fi"")"),"Havaittaessa tämä POKéMON pakenee takaperin porautumalla raivokkaasti maahan pyrstöllään.")</f>
        <v>Havaittaessa tämä POKéMON pakenee takaperin porautumalla raivokkaasti maahan pyrstöllään.</v>
      </c>
      <c r="C4176" s="9" t="s">
        <v>1344</v>
      </c>
    </row>
    <row r="4177" ht="33.75" customHeight="1">
      <c r="A4177" s="6" t="s">
        <v>6174</v>
      </c>
      <c r="B4177" s="6" t="str">
        <f>IFERROR(__xludf.DUMMYFUNCTION("GOOGLETRANSLATE(A4177,""en"",""fi"")"),"Se kaivautuu maahan pyrstöllään ja tekee sokkelomaisen pesän. Se osaa lentää vain vähän.")</f>
        <v>Se kaivautuu maahan pyrstöllään ja tekee sokkelomaisen pesän. Se osaa lentää vain vähän.</v>
      </c>
      <c r="C4177" s="9" t="s">
        <v>1344</v>
      </c>
    </row>
    <row r="4178" ht="33.75" customHeight="1">
      <c r="A4178" s="6" t="s">
        <v>6175</v>
      </c>
      <c r="B4178" s="6" t="str">
        <f>IFERROR(__xludf.DUMMYFUNCTION("GOOGLETRANSLATE(A4178,""en"",""fi"")"),"Havaittaessa tämä Pokémon pakenee takaperin porautumalla raivokkaasti maahan hännällään.")</f>
        <v>Havaittaessa tämä Pokémon pakenee takaperin porautumalla raivokkaasti maahan hännällään.</v>
      </c>
      <c r="C4178" s="9" t="s">
        <v>1344</v>
      </c>
    </row>
    <row r="4179" ht="33.75" customHeight="1">
      <c r="A4179" s="6" t="s">
        <v>6176</v>
      </c>
      <c r="B4179" s="6" t="str">
        <f>IFERROR(__xludf.DUMMYFUNCTION("GOOGLETRANSLATE(A4179,""en"",""fi"")"),"Jos se havaitaan, se pakenee kaivautumalla pyrstöllään. Se voi kellua vain hieman siipiensä avulla.")</f>
        <v>Jos se havaitaan, se pakenee kaivautumalla pyrstöllään. Se voi kellua vain hieman siipiensä avulla.</v>
      </c>
      <c r="C4179" s="9" t="s">
        <v>1344</v>
      </c>
    </row>
    <row r="4180" ht="33.75" customHeight="1">
      <c r="A4180" s="6" t="s">
        <v>6178</v>
      </c>
      <c r="B4180" s="6" t="str">
        <f>IFERROR(__xludf.DUMMYFUNCTION("GOOGLETRANSLATE(A4180,""en"",""fi"")"),"Se luo sokkeloita pimeisiin paikkoihin. Havaitessaan se pakenee maahan kaivamalla häntäänsä.")</f>
        <v>Se luo sokkeloita pimeisiin paikkoihin. Havaitessaan se pakenee maahan kaivamalla häntäänsä.</v>
      </c>
      <c r="C4180" s="9" t="s">
        <v>1344</v>
      </c>
    </row>
    <row r="4181" ht="33.75" customHeight="1">
      <c r="A4181" s="6" t="s">
        <v>6179</v>
      </c>
      <c r="B4181" s="6" t="str">
        <f>IFERROR(__xludf.DUMMYFUNCTION("GOOGLETRANSLATE(A4181,""en"",""fi"")"),"Dunsparcella on pora pyrstöään varten. Se käyttää tätä pyrstöä kaivautuakseen maahan takaperin. Tämän Pokémonin tiedetään tekevän pesänsä monimutkaisiin muotoihin syvälle maan alle.")</f>
        <v>Dunsparcella on pora pyrstöään varten. Se käyttää tätä pyrstöä kaivautuakseen maahan takaperin. Tämän Pokémonin tiedetään tekevän pesänsä monimutkaisiin muotoihin syvälle maan alle.</v>
      </c>
      <c r="C4181" s="9" t="s">
        <v>1344</v>
      </c>
    </row>
    <row r="4182" ht="33.75" customHeight="1">
      <c r="A4182" s="6" t="s">
        <v>6180</v>
      </c>
      <c r="B4182" s="6" t="str">
        <f>IFERROR(__xludf.DUMMYFUNCTION("GOOGLETRANSLATE(A4182,""en"",""fi"")"),"Se kulkee kaivautumalla maan läpi. Diglett ja Dunsparce jakavat toistensa tunnelit onnellisesti.")</f>
        <v>Se kulkee kaivautumalla maan läpi. Diglett ja Dunsparce jakavat toistensa tunnelit onnellisesti.</v>
      </c>
      <c r="C4182" s="9" t="s">
        <v>1344</v>
      </c>
    </row>
    <row r="4183" ht="33.75" customHeight="1">
      <c r="A4183" s="6" t="s">
        <v>6182</v>
      </c>
      <c r="B4183" s="6" t="str">
        <f>IFERROR(__xludf.DUMMYFUNCTION("GOOGLETRANSLATE(A4183,""en"",""fi"")"),"Kun se näkee ihmisen, se kaivaa hännällään kuopan päästäkseen pakoon. Jos satut löytämään sellaisen, pidä itseäsi onnekkaana.")</f>
        <v>Kun se näkee ihmisen, se kaivaa hännällään kuopan päästäkseen pakoon. Jos satut löytämään sellaisen, pidä itseäsi onnekkaana.</v>
      </c>
      <c r="C4183" s="9" t="s">
        <v>1344</v>
      </c>
    </row>
    <row r="4184" ht="33.75" customHeight="1">
      <c r="A4184" s="6" t="s">
        <v>6183</v>
      </c>
      <c r="B4184" s="6" t="str">
        <f>IFERROR(__xludf.DUMMYFUNCTION("GOOGLETRANSLATE(A4184,""en"",""fi"")"),"Tämän Pokémonin pienten siipien perusteella jotkut tiedemiehet sanovat, että Dunsparce lensi taivaalla muinaisina aikoina.")</f>
        <v>Tämän Pokémonin pienten siipien perusteella jotkut tiedemiehet sanovat, että Dunsparce lensi taivaalla muinaisina aikoina.</v>
      </c>
      <c r="C4184" s="9" t="s">
        <v>1344</v>
      </c>
    </row>
    <row r="4185" ht="33.75" customHeight="1">
      <c r="A4185" s="6" t="s">
        <v>6184</v>
      </c>
      <c r="B4185" s="6" t="str">
        <f>IFERROR(__xludf.DUMMYFUNCTION("GOOGLETRANSLATE(A4185,""en"",""fi"")"),"Dunsparcen pesät ovat tunnelien sokkeloita. Ne eivät koskaan eksy omiin pesiinsä – ne osaavat päätellä missä ne ovat mullan hajusta.")</f>
        <v>Dunsparcen pesät ovat tunnelien sokkeloita. Ne eivät koskaan eksy omiin pesiinsä – ne osaavat päätellä missä ne ovat mullan hajusta.</v>
      </c>
      <c r="C4185" s="9" t="s">
        <v>1344</v>
      </c>
    </row>
    <row r="4186" ht="33.75" customHeight="1">
      <c r="A4186" s="6" t="s">
        <v>6185</v>
      </c>
      <c r="B4186" s="6" t="str">
        <f>IFERROR(__xludf.DUMMYFUNCTION("GOOGLETRANSLATE(A4186,""en"",""fi"")"),"Se lentää suoraan kohteensa kasvoihin ja painaa sitten kiinni tähystettyyn uhriin ruiskuttaakseen myrkkyä.")</f>
        <v>Se lentää suoraan kohteensa kasvoihin ja painaa sitten kiinni tähystettyyn uhriin ruiskuttaakseen myrkkyä.</v>
      </c>
      <c r="C4186" s="9" t="s">
        <v>1344</v>
      </c>
    </row>
    <row r="4187" ht="33.75" customHeight="1">
      <c r="A4187" s="6" t="s">
        <v>6186</v>
      </c>
      <c r="B4187" s="6" t="str">
        <f>IFERROR(__xludf.DUMMYFUNCTION("GOOGLETRANSLATE(A4187,""en"",""fi"")"),"Se yleensä tarrautuu kallioille. Havaitessaan saaliinsa se levittää siipensä ja liitää alas hyökkäämään.")</f>
        <v>Se yleensä tarrautuu kallioille. Havaitessaan saaliinsa se levittää siipensä ja liitää alas hyökkäämään.</v>
      </c>
      <c r="C4187" s="9" t="s">
        <v>1344</v>
      </c>
    </row>
    <row r="4188" ht="33.75" customHeight="1">
      <c r="A4188" s="6" t="s">
        <v>6188</v>
      </c>
      <c r="B4188" s="6" t="str">
        <f>IFERROR(__xludf.DUMMYFUNCTION("GOOGLETRANSLATE(A4188,""en"",""fi"")"),"Se rakentaa pesänsä jyrkälle kalliolle. Kun se on lopettanut liitämisen, se hyppää maata pitkin takaisin pesälleen.")</f>
        <v>Se rakentaa pesänsä jyrkälle kalliolle. Kun se on lopettanut liitämisen, se hyppää maata pitkin takaisin pesälleen.</v>
      </c>
      <c r="C4188" s="9" t="s">
        <v>1344</v>
      </c>
    </row>
    <row r="4189" ht="33.75" customHeight="1">
      <c r="A4189" s="6" t="s">
        <v>6189</v>
      </c>
      <c r="B4189" s="6" t="str">
        <f>IFERROR(__xludf.DUMMYFUNCTION("GOOGLETRANSLATE(A4189,""en"",""fi"")"),"GLIGAR liitää ilmassa äänettömästi aivan kuin se liukuisi. Tämä POKéMON roikkuu vihollisensa kasvoissa kynsillään takajaloillaan ja eturaajojensa suurilla pihdeillä ja pistää sitten saaliiseensa myrkkypiikin.")</f>
        <v>GLIGAR liitää ilmassa äänettömästi aivan kuin se liukuisi. Tämä POKéMON roikkuu vihollisensa kasvoissa kynsillään takajaloillaan ja eturaajojensa suurilla pihdeillä ja pistää sitten saaliiseensa myrkkypiikin.</v>
      </c>
      <c r="C4189" s="9" t="s">
        <v>1344</v>
      </c>
    </row>
    <row r="4190" ht="33.75" customHeight="1">
      <c r="A4190" s="6" t="s">
        <v>6191</v>
      </c>
      <c r="B4190" s="6" t="str">
        <f>IFERROR(__xludf.DUMMYFUNCTION("GOOGLETRANSLATE(A4190,""en"",""fi"")"),"Se liitää äänettömästi. Se tarttuu vihollisensa kasvoihin taka- ja suurilla etukynsillään ja iskee sitten myrkkypiikillään.")</f>
        <v>Se liitää äänettömästi. Se tarttuu vihollisensa kasvoihin taka- ja suurilla etukynsillään ja iskee sitten myrkkypiikillään.</v>
      </c>
      <c r="C4190" s="9" t="s">
        <v>1344</v>
      </c>
    </row>
    <row r="4191" ht="33.75" customHeight="1">
      <c r="A4191" s="6" t="s">
        <v>6193</v>
      </c>
      <c r="B4191" s="6" t="str">
        <f>IFERROR(__xludf.DUMMYFUNCTION("GOOGLETRANSLATE(A4191,""en"",""fi"")"),"Se lentää suoraan kohteensa kasvoihin ja puristaa sitten säikähtäneen uhrin kiinni ruiskuttaakseen myrkkyä.")</f>
        <v>Se lentää suoraan kohteensa kasvoihin ja puristaa sitten säikähtäneen uhrin kiinni ruiskuttaakseen myrkkyä.</v>
      </c>
      <c r="C4191" s="9" t="s">
        <v>1344</v>
      </c>
    </row>
    <row r="4192" ht="33.75" customHeight="1">
      <c r="A4192" s="6" t="s">
        <v>6194</v>
      </c>
      <c r="B4192" s="6" t="str">
        <f>IFERROR(__xludf.DUMMYFUNCTION("GOOGLETRANSLATE(A4192,""en"",""fi"")"),"Se liitää tuulessa raajat ojennettuina iskeäkseen taivaalta. Se tähtää saaliinsa kasvoihin.")</f>
        <v>Se liitää tuulessa raajat ojennettuina iskeäkseen taivaalta. Se tähtää saaliinsa kasvoihin.</v>
      </c>
      <c r="C4192" s="9" t="s">
        <v>1344</v>
      </c>
    </row>
    <row r="4193" ht="33.75" customHeight="1">
      <c r="A4193" s="6" t="s">
        <v>6195</v>
      </c>
      <c r="B4193" s="6" t="str">
        <f>IFERROR(__xludf.DUMMYFUNCTION("GOOGLETRANSLATE(A4193,""en"",""fi"")"),"Se liukuu kuin liukuen. Se säikäyttää viholliset tarttumalla heidän kasvoihinsa ja sitten iskee myrkkypistimellään.")</f>
        <v>Se liukuu kuin liukuen. Se säikäyttää viholliset tarttumalla heidän kasvoihinsa ja sitten iskee myrkkypistimellään.</v>
      </c>
      <c r="C4193" s="9" t="s">
        <v>1344</v>
      </c>
    </row>
    <row r="4194" ht="33.75" customHeight="1">
      <c r="A4194" s="6" t="s">
        <v>6197</v>
      </c>
      <c r="B4194" s="6" t="str">
        <f>IFERROR(__xludf.DUMMYFUNCTION("GOOGLETRANSLATE(A4194,""en"",""fi"")"),"Se tarraa kiinni valitsemaansa saaliiseen ja iskee sitten pyrstössään olevalla pistimellä saalistaan ​​hämmästyneenä.")</f>
        <v>Se tarraa kiinni valitsemaansa saaliiseen ja iskee sitten pyrstössään olevalla pistimellä saalistaan ​​hämmästyneenä.</v>
      </c>
      <c r="C4194" s="9" t="s">
        <v>1344</v>
      </c>
    </row>
    <row r="4195" ht="33.75" customHeight="1">
      <c r="A4195" s="6" t="s">
        <v>6199</v>
      </c>
      <c r="B4195" s="6" t="str">
        <f>IFERROR(__xludf.DUMMYFUNCTION("GOOGLETRANSLATE(A4195,""en"",""fi"")"),"Gligar liitää ilmassa äänettömästi aivan kuin se liukuisi. Tämä Pokémon roikkuu vihollisensa kasvoissa kynsillään takajaloillaan ja eturaajojensa suurilla pihdeillä ja pistää sitten saaliiseensa myrkkypiiskansa.")</f>
        <v>Gligar liitää ilmassa äänettömästi aivan kuin se liukuisi. Tämä Pokémon roikkuu vihollisensa kasvoissa kynsillään takajaloillaan ja eturaajojensa suurilla pihdeillä ja pistää sitten saaliiseensa myrkkypiiskansa.</v>
      </c>
      <c r="C4195" s="9" t="s">
        <v>1344</v>
      </c>
    </row>
    <row r="4196" ht="33.75" customHeight="1">
      <c r="A4196" s="6" t="s">
        <v>6200</v>
      </c>
      <c r="B4196" s="6" t="str">
        <f>IFERROR(__xludf.DUMMYFUNCTION("GOOGLETRANSLATE(A4196,""en"",""fi"")"),"Sen pyrstöä varjostaa paksu, hirvittävä pistin. Saaliin kaatamiseksi se ensin peittää niiden näön peittämällä niiden kasvot ruumiillaan ja sitten käyttää pistintä pistääkseen niihin myrkkyä.")</f>
        <v>Sen pyrstöä varjostaa paksu, hirvittävä pistin. Saaliin kaatamiseksi se ensin peittää niiden näön peittämällä niiden kasvot ruumiillaan ja sitten käyttää pistintä pistääkseen niihin myrkkyä.</v>
      </c>
      <c r="C4196" s="9" t="s">
        <v>1344</v>
      </c>
    </row>
    <row r="4197" ht="33.75" customHeight="1">
      <c r="A4197" s="6" t="s">
        <v>6201</v>
      </c>
      <c r="B4197" s="6" t="str">
        <f>IFERROR(__xludf.DUMMYFUNCTION("GOOGLETRANSLATE(A4197,""en"",""fi"")"),"Sen runko on puristettu syvälle maan alle. Tämän seurauksena se on jopa timanttia kovempi.")</f>
        <v>Sen runko on puristettu syvälle maan alle. Tämän seurauksena se on jopa timanttia kovempi.</v>
      </c>
      <c r="C4197" s="9" t="s">
        <v>1344</v>
      </c>
    </row>
    <row r="4198" ht="33.75" customHeight="1">
      <c r="A4198" s="6" t="s">
        <v>6203</v>
      </c>
      <c r="B4198" s="6" t="str">
        <f>IFERROR(__xludf.DUMMYFUNCTION("GOOGLETRANSLATE(A4198,""en"",""fi"")"),"Sanotaan, että jos ONIX elää yli 100 vuotta, sen koostumus muuttuu timantin kaltaiseksi.")</f>
        <v>Sanotaan, että jos ONIX elää yli 100 vuotta, sen koostumus muuttuu timantin kaltaiseksi.</v>
      </c>
      <c r="C4198" s="9" t="s">
        <v>1344</v>
      </c>
    </row>
    <row r="4199" ht="33.75" customHeight="1">
      <c r="A4199" s="6" t="s">
        <v>6204</v>
      </c>
      <c r="B4199" s="6" t="str">
        <f>IFERROR(__xludf.DUMMYFUNCTION("GOOGLETRANSLATE(A4199,""en"",""fi"")"),"Tämän POKéMONin vartaloa peittävät monet pienet metallihiukkaset heijastavat kirkasta valoa hyvin.")</f>
        <v>Tämän POKéMONin vartaloa peittävät monet pienet metallihiukkaset heijastavat kirkasta valoa hyvin.</v>
      </c>
      <c r="C4199" s="9" t="s">
        <v>1344</v>
      </c>
    </row>
    <row r="4200" ht="33.75" customHeight="1">
      <c r="A4200" s="6" t="s">
        <v>6205</v>
      </c>
      <c r="B4200" s="6" t="str">
        <f>IFERROR(__xludf.DUMMYFUNCTION("GOOGLETRANSLATE(A4200,""en"",""fi"")"),"STEELIX elää vielä syvemmällä maan alla kuin ONIX. Tämän POKéMONin tiedetään kaivavan kohti maan ydintä. On olemassa tietoja siitä, että tämä POKéMON on saavuttanut yli 200 kilometrin syvyyden maan alla.")</f>
        <v>STEELIX elää vielä syvemmällä maan alla kuin ONIX. Tämän POKéMONin tiedetään kaivavan kohti maan ydintä. On olemassa tietoja siitä, että tämä POKéMON on saavuttanut yli 200 kilometrin syvyyden maan alla.</v>
      </c>
      <c r="C4200" s="9" t="s">
        <v>1344</v>
      </c>
    </row>
    <row r="4201" ht="33.75" customHeight="1">
      <c r="A4201" s="6" t="s">
        <v>6206</v>
      </c>
      <c r="B4201" s="6" t="str">
        <f>IFERROR(__xludf.DUMMYFUNCTION("GOOGLETRANSLATE(A4201,""en"",""fi"")"),"STEELIXIT elävät vielä syvemmällä maan alla kuin ONIXIT. Tämän POKéMONin tiedetään kaivavan maan ytimeen ja ulottuvan yli 200 kilometrin syvyyteen.")</f>
        <v>STEELIXIT elävät vielä syvemmällä maan alla kuin ONIXIT. Tämän POKéMONin tiedetään kaivavan maan ytimeen ja ulottuvan yli 200 kilometrin syvyyteen.</v>
      </c>
      <c r="C4201" s="9" t="s">
        <v>1344</v>
      </c>
    </row>
    <row r="4202" ht="33.75" customHeight="1">
      <c r="A4202" s="6" t="s">
        <v>6207</v>
      </c>
      <c r="B4202" s="6" t="str">
        <f>IFERROR(__xludf.DUMMYFUNCTION("GOOGLETRANSLATE(A4202,""en"",""fi"")"),"Sen runko on puristettu syvälle maan alle. Tämän seurauksena se on jopa timanttia kovempi.")</f>
        <v>Sen runko on puristettu syvälle maan alle. Tämän seurauksena se on jopa timanttia kovempi.</v>
      </c>
      <c r="C4202" s="9" t="s">
        <v>1344</v>
      </c>
    </row>
    <row r="4203" ht="33.75" customHeight="1">
      <c r="A4203" s="6" t="s">
        <v>6209</v>
      </c>
      <c r="B4203" s="6" t="str">
        <f>IFERROR(__xludf.DUMMYFUNCTION("GOOGLETRANSLATE(A4203,""en"",""fi"")"),"Maan alla korkeassa paineessa ja kuumuudessa karkaistuna sen runko on kovempi kuin mikään metalli.")</f>
        <v>Maan alla korkeassa paineessa ja kuumuudessa karkaistuna sen runko on kovempi kuin mikään metalli.</v>
      </c>
      <c r="C4203" s="9" t="s">
        <v>1344</v>
      </c>
    </row>
    <row r="4204" ht="33.75" customHeight="1">
      <c r="A4204" s="6" t="s">
        <v>6210</v>
      </c>
      <c r="B4204" s="6" t="str">
        <f>IFERROR(__xludf.DUMMYFUNCTION("GOOGLETRANSLATE(A4204,""en"",""fi"")"),"Se pureskelee tiensä lohkareiden läpi tukevilla leuoillaan. Sen silmät näkevät pimeydessä maan alla.")</f>
        <v>Se pureskelee tiensä lohkareiden läpi tukevilla leuoillaan. Sen silmät näkevät pimeydessä maan alla.</v>
      </c>
      <c r="C4204" s="9" t="s">
        <v>1344</v>
      </c>
    </row>
    <row r="4205" ht="33.75" customHeight="1">
      <c r="A4205" s="6" t="s">
        <v>6211</v>
      </c>
      <c r="B4205" s="6" t="str">
        <f>IFERROR(__xludf.DUMMYFUNCTION("GOOGLETRANSLATE(A4205,""en"",""fi"")"),"Sen ruumiin uskotaan muuttuneen maaperän nielemisestä kertyneen sisäisesti raudan seurauksena.")</f>
        <v>Sen ruumiin uskotaan muuttuneen maaperän nielemisestä kertyneen sisäisesti raudan seurauksena.</v>
      </c>
      <c r="C4205" s="9" t="s">
        <v>1344</v>
      </c>
    </row>
    <row r="4206" ht="33.75" customHeight="1">
      <c r="A4206" s="6" t="s">
        <v>6212</v>
      </c>
      <c r="B4206" s="6" t="str">
        <f>IFERROR(__xludf.DUMMYFUNCTION("GOOGLETRANSLATE(A4206,""en"",""fi"")"),"Sanotaan, että jos ONIX elää 100 vuotta, sen koostumus muuttuu timantin kaltaiseksi sen kehittyessä STEELIXiksi.")</f>
        <v>Sanotaan, että jos ONIX elää 100 vuotta, sen koostumus muuttuu timantin kaltaiseksi sen kehittyessä STEELIXiksi.</v>
      </c>
      <c r="C4206" s="9" t="s">
        <v>1344</v>
      </c>
    </row>
    <row r="4207" ht="33.75" customHeight="1">
      <c r="A4207" s="6" t="s">
        <v>6213</v>
      </c>
      <c r="B4207" s="6" t="str">
        <f>IFERROR(__xludf.DUMMYFUNCTION("GOOGLETRANSLATE(A4207,""en"",""fi"")"),"Nielemän maaperän mukana nauttima rauta muutti sen ruumiin ja teki siitä kovemman kuin timantit.")</f>
        <v>Nielemän maaperän mukana nauttima rauta muutti sen ruumiin ja teki siitä kovemman kuin timantit.</v>
      </c>
      <c r="C4207" s="9" t="s">
        <v>1344</v>
      </c>
    </row>
    <row r="4208" ht="33.75" customHeight="1">
      <c r="A4208" s="6" t="s">
        <v>6214</v>
      </c>
      <c r="B4208" s="6" t="str">
        <f>IFERROR(__xludf.DUMMYFUNCTION("GOOGLETRANSLATE(A4208,""en"",""fi"")"),"Steelix elää vielä syvemmällä maan alla kuin Onix. Tämän Pokémonin tiedetään kaivavan kohti maan ydintä. On olemassa tietoja tästä Pokémonista, joka on saavuttanut yli 2,5 kilometrin syvyyden maan alla.")</f>
        <v>Steelix elää vielä syvemmällä maan alla kuin Onix. Tämän Pokémonin tiedetään kaivavan kohti maan ydintä. On olemassa tietoja tästä Pokémonista, joka on saavuttanut yli 2,5 kilometrin syvyyden maan alla.</v>
      </c>
      <c r="C4208" s="9" t="s">
        <v>1344</v>
      </c>
    </row>
    <row r="4209" ht="33.75" customHeight="1">
      <c r="A4209" s="6" t="s">
        <v>6215</v>
      </c>
      <c r="B4209" s="6" t="str">
        <f>IFERROR(__xludf.DUMMYFUNCTION("GOOGLETRANSLATE(A4209,""en"",""fi"")"),"Sanotaan, että jos oniksi elää yli sata vuotta, sen koostumus muuttuu timantin kaltaiseksi.")</f>
        <v>Sanotaan, että jos oniksi elää yli sata vuotta, sen koostumus muuttuu timantin kaltaiseksi.</v>
      </c>
      <c r="C4209" s="9" t="s">
        <v>1344</v>
      </c>
    </row>
    <row r="4210" ht="33.75" customHeight="1">
      <c r="A4210" s="6" t="s">
        <v>6216</v>
      </c>
      <c r="B4210" s="6" t="str">
        <f>IFERROR(__xludf.DUMMYFUNCTION("GOOGLETRANSLATE(A4210,""en"",""fi"")"),"Tämä Pokémon kehittyi oudon esineen käytön ansiosta. Sen ruumis on päällystetty teräsjauheella ja huomattavan kova – edes timantti ei voi jättää naarmuakaan.")</f>
        <v>Tämä Pokémon kehittyi oudon esineen käytön ansiosta. Sen ruumis on päällystetty teräsjauheella ja huomattavan kova – edes timantti ei voi jättää naarmuakaan.</v>
      </c>
      <c r="C4210" s="9" t="s">
        <v>1344</v>
      </c>
    </row>
    <row r="4211" ht="33.75" customHeight="1">
      <c r="A4211" s="6" t="s">
        <v>6217</v>
      </c>
      <c r="B4211" s="6" t="str">
        <f>IFERROR(__xludf.DUMMYFUNCTION("GOOGLETRANSLATE(A4211,""en"",""fi"")"),"Vaikka se näyttää pelottavalta, se on itse asiassa kiltti ja hellä. Se on erittäin suosittu naisten keskuudessa.")</f>
        <v>Vaikka se näyttää pelottavalta, se on itse asiassa kiltti ja hellä. Se on erittäin suosittu naisten keskuudessa.</v>
      </c>
      <c r="C4211" s="9" t="s">
        <v>1344</v>
      </c>
    </row>
    <row r="4212" ht="33.75" customHeight="1">
      <c r="A4212" s="6" t="s">
        <v>6218</v>
      </c>
      <c r="B4212" s="6" t="str">
        <f>IFERROR(__xludf.DUMMYFUNCTION("GOOGLETRANSLATE(A4212,""en"",""fi"")"),"Sillä on aktiivinen ja leikkisä luonne. Monet naiset tykkäävät leikkiä sen kanssa sen hellän luonteen vuoksi.")</f>
        <v>Sillä on aktiivinen ja leikkisä luonne. Monet naiset tykkäävät leikkiä sen kanssa sen hellän luonteen vuoksi.</v>
      </c>
      <c r="C4212" s="9" t="s">
        <v>1344</v>
      </c>
    </row>
    <row r="4213" ht="33.75" customHeight="1">
      <c r="A4213" s="6" t="s">
        <v>6219</v>
      </c>
      <c r="B4213" s="6" t="str">
        <f>IFERROR(__xludf.DUMMYFUNCTION("GOOGLETRANSLATE(A4213,""en"",""fi"")"),"Todellisuudessa se on pelkurimainen POKéMON. Se muurii innokkaasti peittääkseen pelkonsa vastustajaltaan.")</f>
        <v>Todellisuudessa se on pelkurimainen POKéMON. Se muurii innokkaasti peittääkseen pelkonsa vastustajaltaan.</v>
      </c>
      <c r="C4213" s="9" t="s">
        <v>1344</v>
      </c>
    </row>
    <row r="4214" ht="33.75" customHeight="1">
      <c r="A4214" s="6" t="s">
        <v>6220</v>
      </c>
      <c r="B4214" s="6" t="str">
        <f>IFERROR(__xludf.DUMMYFUNCTION("GOOGLETRANSLATE(A4214,""en"",""fi"")"),"Paljastamalla kulmahampaansa ja tekemällä pelottavan ilmeen SNUBBULL lähettää pienempiä POKéMONeja kauhuissaan karkuun. Tämä POKéMON vaikuttaa kuitenkin hieman surulliselta vihollistensa pakenemisesta.")</f>
        <v>Paljastamalla kulmahampaansa ja tekemällä pelottavan ilmeen SNUBBULL lähettää pienempiä POKéMONeja kauhuissaan karkuun. Tämä POKéMON vaikuttaa kuitenkin hieman surulliselta vihollistensa pakenemisesta.</v>
      </c>
      <c r="C4214" s="9" t="s">
        <v>1344</v>
      </c>
    </row>
    <row r="4215" ht="33.75" customHeight="1">
      <c r="A4215" s="6" t="s">
        <v>6221</v>
      </c>
      <c r="B4215" s="6" t="str">
        <f>IFERROR(__xludf.DUMMYFUNCTION("GOOGLETRANSLATE(A4215,""en"",""fi"")"),"Paljastamalla kulmahampaansa ja tekemällä pelottavan ilmeen se lähettää pienempiä POKéMONEJA kauhuissaan juoksemaan. SNUBBULL vaikuttaa kyllä ​​hieman surulliselta vihollistensa pakenemisesta.")</f>
        <v>Paljastamalla kulmahampaansa ja tekemällä pelottavan ilmeen se lähettää pienempiä POKéMONEJA kauhuissaan juoksemaan. SNUBBULL vaikuttaa kyllä ​​hieman surulliselta vihollistensa pakenemisesta.</v>
      </c>
      <c r="C4215" s="9" t="s">
        <v>1344</v>
      </c>
    </row>
    <row r="4216" ht="33.75" customHeight="1">
      <c r="A4216" s="6" t="s">
        <v>6222</v>
      </c>
      <c r="B4216" s="6" t="str">
        <f>IFERROR(__xludf.DUMMYFUNCTION("GOOGLETRANSLATE(A4216,""en"",""fi"")"),"Sillä on aktiivinen ja leikkisä luonne. Monet naiset tykkäävät leikkiä sen kanssa sen hellän luonteen vuoksi.")</f>
        <v>Sillä on aktiivinen ja leikkisä luonne. Monet naiset tykkäävät leikkiä sen kanssa sen hellän luonteen vuoksi.</v>
      </c>
      <c r="C4216" s="9" t="s">
        <v>1344</v>
      </c>
    </row>
    <row r="4217" ht="33.75" customHeight="1">
      <c r="A4217" s="6" t="s">
        <v>6224</v>
      </c>
      <c r="B4217" s="6" t="str">
        <f>IFERROR(__xludf.DUMMYFUNCTION("GOOGLETRANSLATE(A4217,""en"",""fi"")"),"Pienet Pokémonit pakenevat sen pelottavaa naamaa. Naiset kuitenkin pitävät sitä söpönä.")</f>
        <v>Pienet Pokémonit pakenevat sen pelottavaa naamaa. Naiset kuitenkin pitävät sitä söpönä.</v>
      </c>
      <c r="C4217" s="9" t="s">
        <v>1344</v>
      </c>
    </row>
    <row r="4218" ht="33.75" customHeight="1">
      <c r="A4218" s="6" t="s">
        <v>6225</v>
      </c>
      <c r="B4218" s="6" t="str">
        <f>IFERROR(__xludf.DUMMYFUNCTION("GOOGLETRANSLATE(A4218,""en"",""fi"")"),"Paljastamalla kulmahampaansa ja tekemällä pelottavan ilmeen Snubbull lähettää pienempiä Pokémoneja kauhuissaan karkuun. Tämä Pokémon vaikuttaa kuitenkin hieman surulliselta vihollistensa pakenemisesta.")</f>
        <v>Paljastamalla kulmahampaansa ja tekemällä pelottavan ilmeen Snubbull lähettää pienempiä Pokémoneja kauhuissaan karkuun. Tämä Pokémon vaikuttaa kuitenkin hieman surulliselta vihollistensa pakenemisesta.</v>
      </c>
      <c r="C4218" s="9" t="s">
        <v>1344</v>
      </c>
    </row>
    <row r="4219" ht="33.75" customHeight="1">
      <c r="A4219" s="6" t="s">
        <v>6226</v>
      </c>
      <c r="B4219" s="6" t="str">
        <f>IFERROR(__xludf.DUMMYFUNCTION("GOOGLETRANSLATE(A4219,""en"",""fi"")"),"Uhkaavasta ulkonäöstään huolimatta se on melko pelkurimainen. Sen epätoivoiset yritykset näyttää uhkaavalta tekevät siitä suositun ihmisten keskuudessa.")</f>
        <v>Uhkaavasta ulkonäöstään huolimatta se on melko pelkurimainen. Sen epätoivoiset yritykset näyttää uhkaavalta tekevät siitä suositun ihmisten keskuudessa.</v>
      </c>
      <c r="C4219" s="9" t="s">
        <v>1344</v>
      </c>
    </row>
    <row r="4220" ht="33.75" customHeight="1">
      <c r="A4220" s="6" t="s">
        <v>6227</v>
      </c>
      <c r="B4220" s="6" t="str">
        <f>IFERROR(__xludf.DUMMYFUNCTION("GOOGLETRANSLATE(A4220,""en"",""fi"")"),"Sen murinat levottomuutta herättävät vastustajat. Tämä rento Pokémon nukkuu yleensä puolet päivästä.")</f>
        <v>Sen murinat levottomuutta herättävät vastustajat. Tämä rento Pokémon nukkuu yleensä puolet päivästä.</v>
      </c>
      <c r="C4220" s="9" t="s">
        <v>1344</v>
      </c>
    </row>
    <row r="4221" ht="33.75" customHeight="1">
      <c r="A4221" s="6" t="s">
        <v>6228</v>
      </c>
      <c r="B4221" s="6" t="str">
        <f>IFERROR(__xludf.DUMMYFUNCTION("GOOGLETRANSLATE(A4221,""en"",""fi"")"),"Se viihtyy helposti muiden lähellä ja on myös helppo pilata. Sen kasvojen ja tekojen välinen ero tekee monista nuorista siitä villiintyneitä.")</f>
        <v>Se viihtyy helposti muiden lähellä ja on myös helppo pilata. Sen kasvojen ja tekojen välinen ero tekee monista nuorista siitä villiintyneitä.</v>
      </c>
      <c r="C4221" s="9" t="s">
        <v>1344</v>
      </c>
    </row>
    <row r="4222" ht="33.75" customHeight="1">
      <c r="A4222" s="6" t="s">
        <v>6229</v>
      </c>
      <c r="B4222" s="6" t="str">
        <f>IFERROR(__xludf.DUMMYFUNCTION("GOOGLETRANSLATE(A4222,""en"",""fi"")"),"Ulkonäköönsä nähden se on melko arka. Leikkiessään muiden pentu-Pokémonien kanssa sitä joskus kiusataan.")</f>
        <v>Ulkonäköönsä nähden se on melko arka. Leikkiessään muiden pentu-Pokémonien kanssa sitä joskus kiusataan.</v>
      </c>
      <c r="C4222" s="9" t="s">
        <v>1344</v>
      </c>
    </row>
    <row r="4223" ht="33.75" customHeight="1">
      <c r="A4223" s="6" t="s">
        <v>6230</v>
      </c>
      <c r="B4223" s="6" t="str">
        <f>IFERROR(__xludf.DUMMYFUNCTION("GOOGLETRANSLATE(A4223,""en"",""fi"")"),"Se on itse asiassa arka ja helposti säikähtävä. Jos sitä vastaan ​​hyökätään, se räpyttelee ympäriinsä torjuakseen hyökkääjänsä.")</f>
        <v>Se on itse asiassa arka ja helposti säikähtävä. Jos sitä vastaan ​​hyökätään, se räpyttelee ympäriinsä torjuakseen hyökkääjänsä.</v>
      </c>
      <c r="C4223" s="9" t="s">
        <v>1344</v>
      </c>
    </row>
    <row r="4224" ht="33.75" customHeight="1">
      <c r="A4224" s="6" t="s">
        <v>6231</v>
      </c>
      <c r="B4224" s="6" t="str">
        <f>IFERROR(__xludf.DUMMYFUNCTION("GOOGLETRANSLATE(A4224,""en"",""fi"")"),"Koska sen kulmahampaat ovat liian raskaat, se pitää päänsä aina kallistettuna alaspäin. Sen PURENTA on kuitenkin voimakas.")</f>
        <v>Koska sen kulmahampaat ovat liian raskaat, se pitää päänsä aina kallistettuna alaspäin. Sen PURENTA on kuitenkin voimakas.</v>
      </c>
      <c r="C4224" s="9" t="s">
        <v>1344</v>
      </c>
    </row>
    <row r="4225" ht="33.75" customHeight="1">
      <c r="A4225" s="6" t="s">
        <v>6232</v>
      </c>
      <c r="B4225" s="6" t="str">
        <f>IFERROR(__xludf.DUMMYFUNCTION("GOOGLETRANSLATE(A4225,""en"",""fi"")"),"Se voi saada useimmat POKéMONit karkuun yksinkertaisesti avaamalla suunsa ammolleen paljastaen suuret kulmahampaansa.")</f>
        <v>Se voi saada useimmat POKéMONit karkuun yksinkertaisesti avaamalla suunsa ammolleen paljastaen suuret kulmahampaansa.</v>
      </c>
      <c r="C4225" s="9" t="s">
        <v>1344</v>
      </c>
    </row>
    <row r="4226" ht="33.75" customHeight="1">
      <c r="A4226" s="6" t="s">
        <v>6235</v>
      </c>
      <c r="B4226" s="6" t="str">
        <f>IFERROR(__xludf.DUMMYFUNCTION("GOOGLETRANSLATE(A4226,""en"",""fi"")"),"GRANBULLilla on erityisen hyvin kehittynyt alaleuka. Valtavat kulmahampaat ovat painavat, minkä vuoksi POKéMON kallistaa päätään taaksepäin tasapainon säilyttämiseksi. Ellei se säikähdä, se ei yritä purra umpimähkään.")</f>
        <v>GRANBULLilla on erityisen hyvin kehittynyt alaleuka. Valtavat kulmahampaat ovat painavat, minkä vuoksi POKéMON kallistaa päätään taaksepäin tasapainon säilyttämiseksi. Ellei se säikähdä, se ei yritä purra umpimähkään.</v>
      </c>
      <c r="C4226" s="9" t="s">
        <v>1344</v>
      </c>
    </row>
    <row r="4227" ht="33.75" customHeight="1">
      <c r="A4227" s="6" t="s">
        <v>6237</v>
      </c>
      <c r="B4227" s="6" t="str">
        <f>IFERROR(__xludf.DUMMYFUNCTION("GOOGLETRANSLATE(A4227,""en"",""fi"")"),"Sillä on erityisen hyvin kehittynyt alaleuka. Valtavat kulmahampaat ovat painavat, minkä vuoksi se kallistaa päätään. Ellei se säikähdä, se ei yritä purra.")</f>
        <v>Sillä on erityisen hyvin kehittynyt alaleuka. Valtavat kulmahampaat ovat painavat, minkä vuoksi se kallistaa päätään. Ellei se säikähdä, se ei yritä purra.</v>
      </c>
      <c r="C4227" s="9" t="s">
        <v>1344</v>
      </c>
    </row>
    <row r="4228" ht="33.75" customHeight="1">
      <c r="A4228" s="6" t="s">
        <v>6238</v>
      </c>
      <c r="B4228" s="6" t="str">
        <f>IFERROR(__xludf.DUMMYFUNCTION("GOOGLETRANSLATE(A4228,""en"",""fi"")"),"Se on itse asiassa arka ja helposti säikähtävä. Jos sitä hyökätään, se räpyttelee ympäriinsä torjuakseen hyökkääjänsä.")</f>
        <v>Se on itse asiassa arka ja helposti säikähtävä. Jos sitä hyökätään, se räpyttelee ympäriinsä torjuakseen hyökkääjänsä.</v>
      </c>
      <c r="C4228" s="9" t="s">
        <v>1344</v>
      </c>
    </row>
    <row r="4229" ht="33.75" customHeight="1">
      <c r="A4229" s="6" t="s">
        <v>6239</v>
      </c>
      <c r="B4229" s="6" t="str">
        <f>IFERROR(__xludf.DUMMYFUNCTION("GOOGLETRANSLATE(A4229,""en"",""fi"")"),"Se on ulkonäöstään huolimatta arka. Jos se kuitenkin raivostuu, se iskee valtavilla hampaillaan.")</f>
        <v>Se on ulkonäöstään huolimatta arka. Jos se kuitenkin raivostuu, se iskee valtavilla hampaillaan.</v>
      </c>
      <c r="C4229" s="9" t="s">
        <v>1344</v>
      </c>
    </row>
    <row r="4230" ht="33.75" customHeight="1">
      <c r="A4230" s="6" t="s">
        <v>6240</v>
      </c>
      <c r="B4230" s="6" t="str">
        <f>IFERROR(__xludf.DUMMYFUNCTION("GOOGLETRANSLATE(A4230,""en"",""fi"")"),"Koska sen kulmahampaat ovat liian raskaat, se pitää päänsä aina kallistettuna alaspäin. Sen purema on kuitenkin voimakas.")</f>
        <v>Koska sen kulmahampaat ovat liian raskaat, se pitää päänsä aina kallistettuna alaspäin. Sen purema on kuitenkin voimakas.</v>
      </c>
      <c r="C4230" s="9" t="s">
        <v>1344</v>
      </c>
    </row>
    <row r="4231" ht="33.75" customHeight="1">
      <c r="A4231" s="6" t="s">
        <v>6242</v>
      </c>
      <c r="B4231" s="6" t="str">
        <f>IFERROR(__xludf.DUMMYFUNCTION("GOOGLETRANSLATE(A4231,""en"",""fi"")"),"Se voi saada useimmat Pokémonit karkuun yksinkertaisesti avaamalla suunsa leveälle paljastaen suuret kulmahampaansa.")</f>
        <v>Se voi saada useimmat Pokémonit karkuun yksinkertaisesti avaamalla suunsa leveälle paljastaen suuret kulmahampaansa.</v>
      </c>
      <c r="C4231" s="9" t="s">
        <v>1344</v>
      </c>
    </row>
    <row r="4232" ht="33.75" customHeight="1">
      <c r="A4232" s="6" t="s">
        <v>6244</v>
      </c>
      <c r="B4232" s="6" t="str">
        <f>IFERROR(__xludf.DUMMYFUNCTION("GOOGLETRANSLATE(A4232,""en"",""fi"")"),"Granbullilla on erityisen hyvin kehittynyt alaleuka. Valtavat kulmahampaat ovat painavat, minkä vuoksi Pokémon kallistaa päätään taaksepäin tasapainon säilyttämiseksi. Ellei se säikähdä, se ei yritä purra umpimähkään.")</f>
        <v>Granbullilla on erityisen hyvin kehittynyt alaleuka. Valtavat kulmahampaat ovat painavat, minkä vuoksi Pokémon kallistaa päätään taaksepäin tasapainon säilyttämiseksi. Ellei se säikähdä, se ei yritä purra umpimähkään.</v>
      </c>
      <c r="C4232" s="9" t="s">
        <v>1344</v>
      </c>
    </row>
    <row r="4233" ht="33.75" customHeight="1">
      <c r="A4233" s="6" t="s">
        <v>6245</v>
      </c>
      <c r="B4233" s="6" t="str">
        <f>IFERROR(__xludf.DUMMYFUNCTION("GOOGLETRANSLATE(A4233,""en"",""fi"")"),"Sen hyvin kehittynyt alaleuka ja raskaat kulmahampaat ovat sen aseita. Niin kauan kuin sitä ei provosoida, se puree harvoin.")</f>
        <v>Sen hyvin kehittynyt alaleuka ja raskaat kulmahampaat ovat sen aseita. Niin kauan kuin sitä ei provosoida, se puree harvoin.</v>
      </c>
      <c r="C4233" s="9" t="s">
        <v>1344</v>
      </c>
    </row>
    <row r="4234" ht="33.75" customHeight="1">
      <c r="A4234" s="6" t="s">
        <v>6247</v>
      </c>
      <c r="B4234" s="6" t="str">
        <f>IFERROR(__xludf.DUMMYFUNCTION("GOOGLETRANSLATE(A4234,""en"",""fi"")"),"Tämä Snubbullia arempi Pokémon on nuorten ihailema, sillä nuoret ovat huvittuneita sen ulkonäön ja asenteen välisestä kontrastista.")</f>
        <v>Tämä Snubbullia arempi Pokémon on nuorten ihailema, sillä nuoret ovat huvittuneita sen ulkonäön ja asenteen välisestä kontrastista.</v>
      </c>
      <c r="C4234" s="9" t="s">
        <v>1344</v>
      </c>
    </row>
    <row r="4235" ht="33.75" customHeight="1">
      <c r="A4235" s="6" t="s">
        <v>6249</v>
      </c>
      <c r="B4235" s="6" t="str">
        <f>IFERROR(__xludf.DUMMYFUNCTION("GOOGLETRANSLATE(A4235,""en"",""fi"")"),"Vaikka sillä on voimakkaat leuat, se ei välitä riidoista, joten sillä on harvoin tilaisuus näyttää voimaansa.")</f>
        <v>Vaikka sillä on voimakkaat leuat, se ei välitä riidoista, joten sillä on harvoin tilaisuus näyttää voimaansa.</v>
      </c>
      <c r="C4235" s="9" t="s">
        <v>1344</v>
      </c>
    </row>
    <row r="4236" ht="33.75" customHeight="1">
      <c r="A4236" s="6" t="s">
        <v>6250</v>
      </c>
      <c r="B4236" s="6" t="str">
        <f>IFERROR(__xludf.DUMMYFUNCTION("GOOGLETRANSLATE(A4236,""en"",""fi"")"),"Vaikka Granbull on suosittu nuorten keskuudessa, se on ujo ja herkkä, joten se on täysin epäpätevä vahtikoiraksi.")</f>
        <v>Vaikka Granbull on suosittu nuorten keskuudessa, se on ujo ja herkkä, joten se on täysin epäpätevä vahtikoiraksi.</v>
      </c>
      <c r="C4236" s="9" t="s">
        <v>1344</v>
      </c>
    </row>
    <row r="4237" ht="33.75" customHeight="1">
      <c r="A4237" s="6" t="s">
        <v>6252</v>
      </c>
      <c r="B4237" s="6" t="str">
        <f>IFERROR(__xludf.DUMMYFUNCTION("GOOGLETRANSLATE(A4237,""en"",""fi"")"),"Myrkkypiikkien laukaisemiseksi sen on täytettävä kehonsa juomalla yli 2,6 gallonaa vettä kerralla.")</f>
        <v>Myrkkypiikkien laukaisemiseksi sen on täytettävä kehonsa juomalla yli 2,6 gallonaa vettä kerralla.</v>
      </c>
      <c r="C4237" s="9" t="s">
        <v>1344</v>
      </c>
    </row>
    <row r="4238" ht="33.75" customHeight="1">
      <c r="A4238" s="6" t="s">
        <v>6253</v>
      </c>
      <c r="B4238" s="6" t="str">
        <f>IFERROR(__xludf.DUMMYFUNCTION("GOOGLETRANSLATE(A4238,""en"",""fi"")"),"Sen kehoa peittävät pienet piikit kehittyivät suomuista. Ne ruiskuttavat myrkkyä, joka aiheuttaa pyörtymisen.")</f>
        <v>Sen kehoa peittävät pienet piikit kehittyivät suomuista. Ne ruiskuttavat myrkkyä, joka aiheuttaa pyörtymisen.</v>
      </c>
      <c r="C4238" s="9" t="s">
        <v>1344</v>
      </c>
    </row>
    <row r="4239" ht="33.75" customHeight="1">
      <c r="A4239" s="6" t="s">
        <v>6254</v>
      </c>
      <c r="B4239" s="6" t="str">
        <f>IFERROR(__xludf.DUMMYFUNCTION("GOOGLETRANSLATE(A4239,""en"",""fi"")"),"Kohdatessaan suuremman vihollisen, se nielee niin paljon vettä kuin pystyy vastaamaan vastustajan kokoa.")</f>
        <v>Kohdatessaan suuremman vihollisen, se nielee niin paljon vettä kuin pystyy vastaamaan vastustajan kokoa.</v>
      </c>
      <c r="C4239" s="9" t="s">
        <v>1344</v>
      </c>
    </row>
    <row r="4240" ht="33.75" customHeight="1">
      <c r="A4240" s="6" t="s">
        <v>6255</v>
      </c>
      <c r="B4240" s="6" t="str">
        <f>IFERROR(__xludf.DUMMYFUNCTION("GOOGLETRANSLATE(A4240,""en"",""fi"")"),"QWILFISH imee vettä ja täyttää itsensä. Tämä POKéMON käyttää nielemänsä veden painetta ampuakseen myrkyllisiä piikkejä kerralla kaikkialta kehostaan. Uiminen on sen mielestä hieman haastavaa.")</f>
        <v>QWILFISH imee vettä ja täyttää itsensä. Tämä POKéMON käyttää nielemänsä veden painetta ampuakseen myrkyllisiä piikkejä kerralla kaikkialta kehostaan. Uiminen on sen mielestä hieman haastavaa.</v>
      </c>
      <c r="C4240" s="9" t="s">
        <v>1344</v>
      </c>
    </row>
    <row r="4241" ht="33.75" customHeight="1">
      <c r="A4241" s="6" t="s">
        <v>6256</v>
      </c>
      <c r="B4241" s="6" t="str">
        <f>IFERROR(__xludf.DUMMYFUNCTION("GOOGLETRANSLATE(A4241,""en"",""fi"")"),"QWILFISH käyttää nielemänsä veden painetta ampuakseen myrkyllisiä piikkien kärkiä kerralla kaikkialta kehostaan. Uiminen on sille jonkin verran haastavaa.")</f>
        <v>QWILFISH käyttää nielemänsä veden painetta ampuakseen myrkyllisiä piikkien kärkiä kerralla kaikkialta kehostaan. Uiminen on sille jonkin verran haastavaa.</v>
      </c>
      <c r="C4241" s="9" t="s">
        <v>1344</v>
      </c>
    </row>
    <row r="4242" ht="33.75" customHeight="1">
      <c r="A4242" s="6" t="s">
        <v>6258</v>
      </c>
      <c r="B4242" s="6" t="str">
        <f>IFERROR(__xludf.DUMMYFUNCTION("GOOGLETRANSLATE(A4242,""en"",""fi"")"),"Sen kehoa peittävät pienet piikit kehittyivät suomuista. Ne ruiskuttavat myrkkyä, joka aiheuttaa pyörtymisen.")</f>
        <v>Sen kehoa peittävät pienet piikit kehittyivät suomuista. Ne ruiskuttavat myrkkyä, joka aiheuttaa pyörtymisen.</v>
      </c>
      <c r="C4242" s="9" t="s">
        <v>1344</v>
      </c>
    </row>
    <row r="4243" ht="33.75" customHeight="1">
      <c r="A4243" s="6" t="s">
        <v>6259</v>
      </c>
      <c r="B4243" s="6" t="str">
        <f>IFERROR(__xludf.DUMMYFUNCTION("GOOGLETRANSLATE(A4243,""en"",""fi"")"),"Se ampuu myrkkypiikkejään joka suuntaan. Pyöreän muotonsa ansiosta se on huono uimari.")</f>
        <v>Se ampuu myrkkypiikkejään joka suuntaan. Pyöreän muotonsa ansiosta se on huono uimari.</v>
      </c>
      <c r="C4243" s="9" t="s">
        <v>1344</v>
      </c>
    </row>
    <row r="4244" ht="33.75" customHeight="1">
      <c r="A4244" s="6" t="s">
        <v>6261</v>
      </c>
      <c r="B4244" s="6" t="str">
        <f>IFERROR(__xludf.DUMMYFUNCTION("GOOGLETRANSLATE(A4244,""en"",""fi"")"),"Qwilfish imee vettä ja täyttää itsensä ilmalla. Tämä Pokémon käyttää nielemänsä veden painetta ampuakseen myrkyllisiä piikkejä kerralla kaikkialta kehostaan. Uiminen on sen mielestä hieman haastavaa.")</f>
        <v>Qwilfish imee vettä ja täyttää itsensä ilmalla. Tämä Pokémon käyttää nielemänsä veden painetta ampuakseen myrkyllisiä piikkejä kerralla kaikkialta kehostaan. Uiminen on sen mielestä hieman haastavaa.</v>
      </c>
      <c r="C4244" s="9" t="s">
        <v>1344</v>
      </c>
    </row>
    <row r="4245" ht="33.75" customHeight="1">
      <c r="A4245" s="6" t="s">
        <v>6263</v>
      </c>
      <c r="B4245" s="6" t="str">
        <f>IFERROR(__xludf.DUMMYFUNCTION("GOOGLETRANSLATE(A4245,""en"",""fi"")"),"Kohdatessaan suuremman vihollisen se nielee niin paljon vettä kuin pystyy vastaamaan vastustajan kokoa.")</f>
        <v>Kohdatessaan suuremman vihollisen se nielee niin paljon vettä kuin pystyy vastaamaan vastustajan kokoa.</v>
      </c>
      <c r="C4245" s="9" t="s">
        <v>1344</v>
      </c>
    </row>
    <row r="4246" ht="33.75" customHeight="1">
      <c r="A4246" s="6" t="s">
        <v>6264</v>
      </c>
      <c r="B4246" s="6" t="str">
        <f>IFERROR(__xludf.DUMMYFUNCTION("GOOGLETRANSLATE(A4246,""en"",""fi"")"),"Kalastajat inhoavat tätä hankalaa Pokémonia, koska se suihkuttaa myrkkyä piikillään ja levittää sitä kaikkialle. Erilainen Qwilfish-muoto elää muilla alueilla.")</f>
        <v>Kalastajat inhoavat tätä hankalaa Pokémonia, koska se suihkuttaa myrkkyä piikillään ja levittää sitä kaikkialle. Erilainen Qwilfish-muoto elää muilla alueilla.</v>
      </c>
      <c r="C4246" s="9" t="s">
        <v>1344</v>
      </c>
    </row>
    <row r="4247" ht="33.75" customHeight="1">
      <c r="A4247" s="6" t="s">
        <v>6266</v>
      </c>
      <c r="B4247" s="6" t="str">
        <f>IFERROR(__xludf.DUMMYFUNCTION("GOOGLETRANSLATE(A4247,""en"",""fi"")"),"Se heilauttaa silmäkuvioisia pihtiään pelotellakseen vihollisiaan. Tämä saa sen näyttämään siltä kuin sillä olisi kolme päätä.")</f>
        <v>Se heilauttaa silmäkuvioisia pihtiään pelotellakseen vihollisiaan. Tämä saa sen näyttämään siltä kuin sillä olisi kolme päätä.</v>
      </c>
      <c r="C4247" s="9" t="s">
        <v>1344</v>
      </c>
    </row>
    <row r="4248" ht="33.75" customHeight="1">
      <c r="A4248" s="6" t="s">
        <v>6267</v>
      </c>
      <c r="B4248" s="6" t="str">
        <f>IFERROR(__xludf.DUMMYFUNCTION("GOOGLETRANSLATE(A4248,""en"",""fi"")"),"Sen siipiä ei käytetä lentämiseen. Niitä räpytellään suurella nopeudella ruumiinlämpötilan säätämiseksi.")</f>
        <v>Sen siipiä ei käytetä lentämiseen. Niitä räpytellään suurella nopeudella ruumiinlämpötilan säätämiseksi.</v>
      </c>
      <c r="C4248" s="9" t="s">
        <v>1344</v>
      </c>
    </row>
    <row r="4249" ht="33.75" customHeight="1">
      <c r="A4249" s="6" t="s">
        <v>6268</v>
      </c>
      <c r="B4249" s="6" t="str">
        <f>IFERROR(__xludf.DUMMYFUNCTION("GOOGLETRANSLATE(A4249,""en"",""fi"")"),"Tämän POKéMONin terästä sisältävät pihdit voivat murskata minkä tahansa kovan esineen, johon se saa tarttua.")</f>
        <v>Tämän POKéMONin terästä sisältävät pihdit voivat murskata minkä tahansa kovan esineen, johon se saa tarttua.</v>
      </c>
      <c r="C4249" s="9" t="s">
        <v>1344</v>
      </c>
    </row>
    <row r="4250" ht="33.75" customHeight="1">
      <c r="A4250" s="6" t="s">
        <v>6269</v>
      </c>
      <c r="B4250" s="6" t="str">
        <f>IFERROR(__xludf.DUMMYFUNCTION("GOOGLETRANSLATE(A4250,""en"",""fi"")"),"SCIZORilla on teräksenkova vartalo. Tavanomaiset hyökkäykset eivät helposti säikäytä sitä. Tämä POKéMON läpäyttää siipiään säädelläkseen ruumiinlämpöään.")</f>
        <v>SCIZORilla on teräksenkova vartalo. Tavanomaiset hyökkäykset eivät helposti säikäytä sitä. Tämä POKéMON läpäyttää siipiään säädelläkseen ruumiinlämpöään.</v>
      </c>
      <c r="C4250" s="9" t="s">
        <v>1344</v>
      </c>
    </row>
    <row r="4251" ht="33.75" customHeight="1">
      <c r="A4251" s="6" t="s">
        <v>6270</v>
      </c>
      <c r="B4251" s="6" t="str">
        <f>IFERROR(__xludf.DUMMYFUNCTION("GOOGLETRANSLATE(A4251,""en"",""fi"")"),"SCIZORilla on teräksenkova ruumis. Tavanomaiset hyökkäykset eivät helposti säikäytä sitä. Se läpsyttää siipiään säädelläkseen ruumiinlämpöään.")</f>
        <v>SCIZORilla on teräksenkova ruumis. Tavanomaiset hyökkäykset eivät helposti säikäytä sitä. Se läpsyttää siipiään säädelläkseen ruumiinlämpöään.</v>
      </c>
      <c r="C4251" s="9" t="s">
        <v>1344</v>
      </c>
    </row>
    <row r="4252" ht="33.75" customHeight="1">
      <c r="A4252" s="6" t="s">
        <v>6271</v>
      </c>
      <c r="B4252" s="6" t="str">
        <f>IFERROR(__xludf.DUMMYFUNCTION("GOOGLETRANSLATE(A4252,""en"",""fi"")"),"Se heilauttaa silmäkuvioisia pihtiään pelotellakseen vihollisiaan. Tämä saa sen näyttämään siltä kuin sillä olisi kolme päätä.")</f>
        <v>Se heilauttaa silmäkuvioisia pihtiään pelotellakseen vihollisiaan. Tämä saa sen näyttämään siltä kuin sillä olisi kolme päätä.</v>
      </c>
      <c r="C4252" s="9" t="s">
        <v>1344</v>
      </c>
    </row>
    <row r="4253" ht="33.75" customHeight="1">
      <c r="A4253" s="6" t="s">
        <v>6272</v>
      </c>
      <c r="B4253" s="6" t="str">
        <f>IFERROR(__xludf.DUMMYFUNCTION("GOOGLETRANSLATE(A4253,""en"",""fi"")"),"Sillä on teräskova ruumis. Se pelottelee vihollisia nostamalla silmäkuvioiset pihtinsä.")</f>
        <v>Sillä on teräskova ruumis. Se pelottelee vihollisia nostamalla silmäkuvioiset pihtinsä.</v>
      </c>
      <c r="C4253" s="9" t="s">
        <v>1344</v>
      </c>
    </row>
    <row r="4254" ht="33.75" customHeight="1">
      <c r="A4254" s="6" t="s">
        <v>6273</v>
      </c>
      <c r="B4254" s="6" t="str">
        <f>IFERROR(__xludf.DUMMYFUNCTION("GOOGLETRANSLATE(A4254,""en"",""fi"")"),"Se nostaa silmänmuotoisine kuvioin varustettuja pihtiään pelotellakseen. Se myös heilauttaa niitä alas vaarallisesti.")</f>
        <v>Se nostaa silmänmuotoisine kuvioin varustettuja pihtiään pelotellakseen. Se myös heilauttaa niitä alas vaarallisesti.</v>
      </c>
      <c r="C4254" s="9" t="s">
        <v>1344</v>
      </c>
    </row>
    <row r="4255" ht="33.75" customHeight="1">
      <c r="A4255" s="6" t="s">
        <v>6274</v>
      </c>
      <c r="B4255" s="6" t="str">
        <f>IFERROR(__xludf.DUMMYFUNCTION("GOOGLETRANSLATE(A4255,""en"",""fi"")"),"Tämän Pokémonin pihdit, jotka sisältävät terästä, voivat murskata minkä tahansa kovan esineen, johon se tarttuu, palasiksi.")</f>
        <v>Tämän Pokémonin pihdit, jotka sisältävät terästä, voivat murskata minkä tahansa kovan esineen, johon se tarttuu, palasiksi.</v>
      </c>
      <c r="C4255" s="9" t="s">
        <v>1344</v>
      </c>
    </row>
    <row r="4256" ht="33.75" customHeight="1">
      <c r="A4256" s="6" t="s">
        <v>6275</v>
      </c>
      <c r="B4256" s="6" t="str">
        <f>IFERROR(__xludf.DUMMYFUNCTION("GOOGLETRANSLATE(A4256,""en"",""fi"")"),"Scizorilla on teräksenkova vartalo. Tavanomaiset hyökkäykset eivät helposti säikäytä sitä. Tämä Pokémon läpäyttää siipiään säädelläkseen ruumiinlämpöään.")</f>
        <v>Scizorilla on teräksenkova vartalo. Tavanomaiset hyökkäykset eivät helposti säikäytä sitä. Tämä Pokémon läpäyttää siipiään säädelläkseen ruumiinlämpöään.</v>
      </c>
      <c r="C4256" s="9" t="s">
        <v>1344</v>
      </c>
    </row>
    <row r="4257" ht="33.75" customHeight="1">
      <c r="A4257" s="6" t="s">
        <v>6276</v>
      </c>
      <c r="B4257" s="6" t="str">
        <f>IFERROR(__xludf.DUMMYFUNCTION("GOOGLETRANSLATE(A4257,""en"",""fi"")"),"Se käyttää siipiään ruumiinlämpötilansa säätelyyn. Muuten sen metallinen ruumis kuumenisi liikaa ja sulaisi taistelun tuoksinassa.")</f>
        <v>Se käyttää siipiään ruumiinlämpötilansa säätelyyn. Muuten sen metallinen ruumis kuumenisi liikaa ja sulaisi taistelun tuoksinassa.</v>
      </c>
      <c r="C4257" s="9" t="s">
        <v>1344</v>
      </c>
    </row>
    <row r="4258" ht="33.75" customHeight="1">
      <c r="A4258" s="6" t="s">
        <v>6277</v>
      </c>
      <c r="B4258" s="6" t="str">
        <f>IFERROR(__xludf.DUMMYFUNCTION("GOOGLETRANSLATE(A4258,""en"",""fi"")"),"Kun Pokémon on tunnistanut vihollisen, se murskaa sen armottomasti teräskovilla pihdeillä.")</f>
        <v>Kun Pokémon on tunnistanut vihollisen, se murskaa sen armottomasti teräskovilla pihdeillä.</v>
      </c>
      <c r="C4258" s="9" t="s">
        <v>1344</v>
      </c>
    </row>
    <row r="4259" ht="33.75" customHeight="1">
      <c r="A4259" s="6" t="s">
        <v>6279</v>
      </c>
      <c r="B4259" s="6" t="str">
        <f>IFERROR(__xludf.DUMMYFUNCTION("GOOGLETRANSLATE(A4259,""en"",""fi"")"),"Sen runko on kuin terästä. Sen kovat ja raskaat pihdit sopivat paremmin vihollisten murskaamiseen kuin heidän nappaamiseensa.")</f>
        <v>Sen runko on kuin terästä. Sen kovat ja raskaat pihdit sopivat paremmin vihollisten murskaamiseen kuin heidän nappaamiseensa.</v>
      </c>
      <c r="C4259" s="9" t="s">
        <v>1344</v>
      </c>
    </row>
    <row r="4260" ht="33.75" customHeight="1">
      <c r="A4260" s="6" t="s">
        <v>6280</v>
      </c>
      <c r="B4260" s="6" t="str">
        <f>IFERROR(__xludf.DUMMYFUNCTION("GOOGLETRANSLATE(A4260,""en"",""fi"")"),"Kun se on tunnistanut jonkin viholliseksi, se jatkaa sen pieksemistä teräskovilla pihdeillään, kunnes jäljellä ei ole enää muuta kuin murusia.")</f>
        <v>Kun se on tunnistanut jonkin viholliseksi, se jatkaa sen pieksemistä teräskovilla pihdeillään, kunnes jäljellä ei ole enää muuta kuin murusia.</v>
      </c>
      <c r="C4260" s="9" t="s">
        <v>1344</v>
      </c>
    </row>
    <row r="4261" ht="33.75" customHeight="1">
      <c r="A4261" s="6" t="s">
        <v>6281</v>
      </c>
      <c r="B4261" s="6" t="str">
        <f>IFERROR(__xludf.DUMMYFUNCTION("GOOGLETRANSLATE(A4261,""en"",""fi"")"),"Jättimäiset pihdit muodostavat kolmanneksen Scizorin painosta. Yksikin näiden pihtien heilautus murskaa lohkareen kokonaan.")</f>
        <v>Jättimäiset pihdit muodostavat kolmanneksen Scizorin painosta. Yksikin näiden pihtien heilautus murskaa lohkareen kokonaan.</v>
      </c>
      <c r="C4261" s="9" t="s">
        <v>1344</v>
      </c>
    </row>
    <row r="4262" ht="33.75" customHeight="1">
      <c r="A4262" s="6" t="s">
        <v>6283</v>
      </c>
      <c r="B4262" s="6" t="str">
        <f>IFERROR(__xludf.DUMMYFUNCTION("GOOGLETRANSLATE(A4262,""en"",""fi"")"),"Vaikka Scizorin vartalo on hoikka, sillä on valtava hyökkäysvoima. Jopa Scizorin lihakset ovat metallia.")</f>
        <v>Vaikka Scizorin vartalo on hoikka, sillä on valtava hyökkäysvoima. Jopa Scizorin lihakset ovat metallia.</v>
      </c>
      <c r="C4262" s="9" t="s">
        <v>1344</v>
      </c>
    </row>
    <row r="4263" ht="33.75" customHeight="1">
      <c r="A4263" s="6" t="s">
        <v>6284</v>
      </c>
      <c r="B4263" s="6" t="str">
        <f>IFERROR(__xludf.DUMMYFUNCTION("GOOGLETRANSLATE(A4263,""en"",""fi"")"),"Kehittynyt erikoisen esineen avulla. Sen runkoa peittävän kuoren on osoitettu olevan vahvempi kuin taottu teräs.")</f>
        <v>Kehittynyt erikoisen esineen avulla. Sen runkoa peittävän kuoren on osoitettu olevan vahvempi kuin taottu teräs.</v>
      </c>
      <c r="C4263" s="9" t="s">
        <v>1344</v>
      </c>
    </row>
    <row r="4264" ht="33.75" customHeight="1">
      <c r="A4264" s="6" t="s">
        <v>6286</v>
      </c>
      <c r="B4264" s="6" t="str">
        <f>IFERROR(__xludf.DUMMYFUNCTION("GOOGLETRANSLATE(A4264,""en"",""fi"")"),"Maljakkomaisessa kuoressaan säilyttämänsä MARJAT hajoavat ja muuttuvat tahmeaksi nesteeksi.")</f>
        <v>Maljakkomaisessa kuoressaan säilyttämänsä MARJAT hajoavat ja muuttuvat tahmeaksi nesteeksi.</v>
      </c>
      <c r="C4264" s="9" t="s">
        <v>1344</v>
      </c>
    </row>
    <row r="4265" ht="33.75" customHeight="1">
      <c r="A4265" s="6" t="s">
        <v>6287</v>
      </c>
      <c r="B4265" s="6" t="str">
        <f>IFERROR(__xludf.DUMMYFUNCTION("GOOGLETRANSLATE(A4265,""en"",""fi"")"),"Se varastoi MARJOJA kuorensa sisällä. Välttääkseen hyökkäyksiä se piiloutuu kivien alle ja pysyy täysin paikallaan.")</f>
        <v>Se varastoi MARJOJA kuorensa sisällä. Välttääkseen hyökkäyksiä se piiloutuu kivien alle ja pysyy täysin paikallaan.</v>
      </c>
      <c r="C4265" s="9" t="s">
        <v>1344</v>
      </c>
    </row>
    <row r="4266" ht="33.75" customHeight="1">
      <c r="A4266" s="6" t="s">
        <v>6288</v>
      </c>
      <c r="B4266" s="6" t="str">
        <f>IFERROR(__xludf.DUMMYFUNCTION("GOOGLETRANSLATE(A4266,""en"",""fi"")"),"Sen varpaiden erittämä neste kaivertaa reikiä kiviin pesimistä varten ja sitä voidaan sekoittaa MARJOIHIN juoman valmistamiseksi.")</f>
        <v>Sen varpaiden erittämä neste kaivertaa reikiä kiviin pesimistä varten ja sitä voidaan sekoittaa MARJOIHIN juoman valmistamiseksi.</v>
      </c>
      <c r="C4266" s="9" t="s">
        <v>1344</v>
      </c>
    </row>
    <row r="4267" ht="33.75" customHeight="1">
      <c r="A4267" s="6" t="s">
        <v>6290</v>
      </c>
      <c r="B4267" s="6" t="str">
        <f>IFERROR(__xludf.DUMMYFUNCTION("GOOGLETRANSLATE(A4267,""en"",""fi"")"),"SHUCKLE piiloutuu hiljaa kivien alle pitäen ruumiinsa kovan kuorensa sisällä syödessään samalla varastoimiaan marjoja. Marjat sekoittuvat sen ruumiinnesteisiin muodostaen mehuksi.")</f>
        <v>SHUCKLE piiloutuu hiljaa kivien alle pitäen ruumiinsa kovan kuorensa sisällä syödessään samalla varastoimiaan marjoja. Marjat sekoittuvat sen ruumiinnesteisiin muodostaen mehuksi.</v>
      </c>
      <c r="C4267" s="9" t="s">
        <v>1344</v>
      </c>
    </row>
    <row r="4268" ht="33.75" customHeight="1">
      <c r="A4268" s="6" t="s">
        <v>6291</v>
      </c>
      <c r="B4268" s="6" t="str">
        <f>IFERROR(__xludf.DUMMYFUNCTION("GOOGLETRANSLATE(A4268,""en"",""fi"")"),"SHUCKLE piiloutuu kivien alle ja pitää ruumiinsa kuorensa sisällä syödessään varastoituja marjoja. Marjat sekoittuvat sen ruumiinnesteisiin ja muodostavat mehua.")</f>
        <v>SHUCKLE piiloutuu kivien alle ja pitää ruumiinsa kuorensa sisällä syödessään varastoituja marjoja. Marjat sekoittuvat sen ruumiinnesteisiin ja muodostavat mehua.</v>
      </c>
      <c r="C4268" s="9" t="s">
        <v>1344</v>
      </c>
    </row>
    <row r="4269" ht="33.75" customHeight="1">
      <c r="A4269" s="6" t="s">
        <v>6292</v>
      </c>
      <c r="B4269" s="6" t="str">
        <f>IFERROR(__xludf.DUMMYFUNCTION("GOOGLETRANSLATE(A4269,""en"",""fi"")"),"Maljakkomaisessa kuoressaan säilyttämänsä MARJAT hajoavat ja niistä tulee tahmeaa nestettä.")</f>
        <v>Maljakkomaisessa kuoressaan säilyttämänsä MARJAT hajoavat ja niistä tulee tahmeaa nestettä.</v>
      </c>
      <c r="C4269" s="9" t="s">
        <v>1344</v>
      </c>
    </row>
    <row r="4270" ht="33.75" customHeight="1">
      <c r="A4270" s="6" t="s">
        <v>6293</v>
      </c>
      <c r="B4270" s="6" t="str">
        <f>IFERROR(__xludf.DUMMYFUNCTION("GOOGLETRANSLATE(A4270,""en"",""fi"")"),"Se säilyttää marjoja kuoressaan. Marjat käyvät lopulta herkullisiksi mehuiksi.")</f>
        <v>Se säilyttää marjoja kuoressaan. Marjat käyvät lopulta herkullisiksi mehuiksi.</v>
      </c>
      <c r="C4270" s="9" t="s">
        <v>1344</v>
      </c>
    </row>
    <row r="4271" ht="33.75" customHeight="1">
      <c r="A4271" s="6" t="s">
        <v>6294</v>
      </c>
      <c r="B4271" s="6" t="str">
        <f>IFERROR(__xludf.DUMMYFUNCTION("GOOGLETRANSLATE(A4271,""en"",""fi"")"),"Sen maljakkomaisessa kuoressa säilyttämät marjat hajoavat ja niistä tulee tahmeaa nestettä.")</f>
        <v>Sen maljakkomaisessa kuoressa säilyttämät marjat hajoavat ja niistä tulee tahmeaa nestettä.</v>
      </c>
      <c r="C4271" s="9" t="s">
        <v>1344</v>
      </c>
    </row>
    <row r="4272" ht="33.75" customHeight="1">
      <c r="A4272" s="6" t="s">
        <v>6295</v>
      </c>
      <c r="B4272" s="6" t="str">
        <f>IFERROR(__xludf.DUMMYFUNCTION("GOOGLETRANSLATE(A4272,""en"",""fi"")"),"Se varastoi marjoja kuorensa sisällä. Välttääkseen hyökkäyksiä se piiloutuu kivien alle ja pysyy täysin paikallaan.")</f>
        <v>Se varastoi marjoja kuorensa sisällä. Välttääkseen hyökkäyksiä se piiloutuu kivien alle ja pysyy täysin paikallaan.</v>
      </c>
      <c r="C4272" s="9" t="s">
        <v>1344</v>
      </c>
    </row>
    <row r="4273" ht="33.75" customHeight="1">
      <c r="A4273" s="6" t="s">
        <v>6299</v>
      </c>
      <c r="B4273" s="6" t="str">
        <f>IFERROR(__xludf.DUMMYFUNCTION("GOOGLETRANSLATE(A4273,""en"",""fi"")"),"Maljakkomaisessa kuoressa säilytetyistä marjoista tulee lopulta paksua, mehevää mehua.")</f>
        <v>Maljakkomaisessa kuoressa säilytetyistä marjoista tulee lopulta paksua, mehevää mehua.</v>
      </c>
      <c r="C4273" s="9" t="s">
        <v>1344</v>
      </c>
    </row>
    <row r="4274" ht="33.75" customHeight="1">
      <c r="A4274" s="6" t="s">
        <v>6300</v>
      </c>
      <c r="B4274" s="6" t="str">
        <f>IFERROR(__xludf.DUMMYFUNCTION("GOOGLETRANSLATE(A4274,""en"",""fi"")"),"Purkkimaisessa kuoressa säilytetyistä marjoista tulee lopulta paksua, mehevää mehua.")</f>
        <v>Purkkimaisessa kuoressa säilytetyistä marjoista tulee lopulta paksua, mehevää mehua.</v>
      </c>
      <c r="C4274" s="9" t="s">
        <v>1344</v>
      </c>
    </row>
    <row r="4275" ht="33.75" customHeight="1">
      <c r="A4275" s="6" t="s">
        <v>6302</v>
      </c>
      <c r="B4275" s="6" t="str">
        <f>IFERROR(__xludf.DUMMYFUNCTION("GOOGLETRANSLATE(A4275,""en"",""fi"")"),"Shuckle piiloutuu hiljaa kivien alle pitäen ruumiinsa kovan kuorensa sisällä syödessään samalla varastoimiaan marjoja. Marjat sekoittuvat sen ruumiinnesteisiin muodostaen mehuksi.")</f>
        <v>Shuckle piiloutuu hiljaa kivien alle pitäen ruumiinsa kovan kuorensa sisällä syödessään samalla varastoimiaan marjoja. Marjat sekoittuvat sen ruumiinnesteisiin muodostaen mehuksi.</v>
      </c>
      <c r="C4275" s="9" t="s">
        <v>1344</v>
      </c>
    </row>
    <row r="4276" ht="33.75" customHeight="1">
      <c r="A4276" s="6" t="s">
        <v>6304</v>
      </c>
      <c r="B4276" s="6" t="str">
        <f>IFERROR(__xludf.DUMMYFUNCTION("GOOGLETRANSLATE(A4276,""en"",""fi"")"),"Tämä voimakas POKéMON työntää arvokkaan sarvensa vihollistensa vatsan alle, nostaa sen ja heittää ne sitten.")</f>
        <v>Tämä voimakas POKéMON työntää arvokkaan sarvensa vihollistensa vatsan alle, nostaa sen ja heittää ne sitten.</v>
      </c>
      <c r="C4276" s="9" t="s">
        <v>1344</v>
      </c>
    </row>
    <row r="4277" ht="33.75" customHeight="1">
      <c r="A4277" s="6" t="s">
        <v>6306</v>
      </c>
      <c r="B4277" s="6" t="str">
        <f>IFERROR(__xludf.DUMMYFUNCTION("GOOGLETRANSLATE(A4277,""en"",""fi"")"),"Yleensä säyseä, mutta jos sitä häiritään hunajaa siemaillessaan, se ajaa tunkeilijan pois sarvellaan.")</f>
        <v>Yleensä säyseä, mutta jos sitä häiritään hunajaa siemaillessaan, se ajaa tunkeilijan pois sarvellaan.</v>
      </c>
      <c r="C4277" s="9" t="s">
        <v>1344</v>
      </c>
    </row>
    <row r="4278" ht="33.75" customHeight="1">
      <c r="A4278" s="6" t="s">
        <v>6308</v>
      </c>
      <c r="B4278" s="6" t="str">
        <f>IFERROR(__xludf.DUMMYFUNCTION("GOOGLETRANSLATE(A4278,""en"",""fi"")"),"Herkuleen voimillaan se voi helposti heitellä ympäriinsä esineen, joka on 100 kertaa sen oma paino.")</f>
        <v>Herkuleen voimillaan se voi helposti heitellä ympäriinsä esineen, joka on 100 kertaa sen oma paino.</v>
      </c>
      <c r="C4278" s="9" t="s">
        <v>1344</v>
      </c>
    </row>
    <row r="4279" ht="33.75" customHeight="1">
      <c r="A4279" s="6" t="s">
        <v>6310</v>
      </c>
      <c r="B4279" s="6" t="str">
        <f>IFERROR(__xludf.DUMMYFUNCTION("GOOGLETRANSLATE(A4279,""en"",""fi"")"),"HERACROSS hyökkää suorassa linjassa vihollistaan ​​kohti, livahtaa vihollisen otteen alta ja nostaa tämän ilmaan mahtavalla sarvellaan. Tällä POKéMONilla on jopa tarpeeksi voimaa kaataakseen valtavan puun.")</f>
        <v>HERACROSS hyökkää suorassa linjassa vihollistaan ​​kohti, livahtaa vihollisen otteen alta ja nostaa tämän ilmaan mahtavalla sarvellaan. Tällä POKéMONilla on jopa tarpeeksi voimaa kaataakseen valtavan puun.</v>
      </c>
      <c r="C4279" s="9" t="s">
        <v>1344</v>
      </c>
    </row>
    <row r="4280" ht="33.75" customHeight="1">
      <c r="A4280" s="6" t="s">
        <v>6312</v>
      </c>
      <c r="B4280" s="6" t="str">
        <f>IFERROR(__xludf.DUMMYFUNCTION("GOOGLETRANSLATE(A4280,""en"",""fi"")"),"HERACROSSilla on terävät kynnet jaloissaan. Ne on isketty tiukasti maahan tai puun kuoreen, mikä antaa POKéMONille turvallisen ja vakaan jalansijan paiskoa vihollisia voimakkaasti ylpeällä sarvellaan.")</f>
        <v>HERACROSSilla on terävät kynnet jaloissaan. Ne on isketty tiukasti maahan tai puun kuoreen, mikä antaa POKéMONille turvallisen ja vakaan jalansijan paiskoa vihollisia voimakkaasti ylpeällä sarvellaan.</v>
      </c>
      <c r="C4280" s="9" t="s">
        <v>1344</v>
      </c>
    </row>
    <row r="4281" ht="33.75" customHeight="1">
      <c r="A4281" s="6" t="s">
        <v>6314</v>
      </c>
      <c r="B4281" s="6" t="str">
        <f>IFERROR(__xludf.DUMMYFUNCTION("GOOGLETRANSLATE(A4281,""en"",""fi"")"),"Ne kokoontuvat metsiin etsimään puiden makeaa mahlaa. Se on kokonaan verhoutunut teräskovaan kuoreen. Se on ylpeä sarvestaan, jota se käyttää vihollisten paiskomiseen.")</f>
        <v>Ne kokoontuvat metsiin etsimään puiden makeaa mahlaa. Se on kokonaan verhoutunut teräskovaan kuoreen. Se on ylpeä sarvestaan, jota se käyttää vihollisten paiskomiseen.</v>
      </c>
      <c r="C4281" s="9" t="s">
        <v>1344</v>
      </c>
    </row>
    <row r="4282" ht="33.75" customHeight="1">
      <c r="A4282" s="6" t="s">
        <v>6316</v>
      </c>
      <c r="B4282" s="6" t="str">
        <f>IFERROR(__xludf.DUMMYFUNCTION("GOOGLETRANSLATE(A4282,""en"",""fi"")"),"Tämä voimakas POKéMON työntää arvokkaan sarvensa vihollistensa vatsan alle, nostaa ja heittää heidät.")</f>
        <v>Tämä voimakas POKéMON työntää arvokkaan sarvensa vihollistensa vatsan alle, nostaa ja heittää heidät.</v>
      </c>
      <c r="C4282" s="9" t="s">
        <v>1344</v>
      </c>
    </row>
    <row r="4283" ht="33.75" customHeight="1">
      <c r="A4283" s="6" t="s">
        <v>6317</v>
      </c>
      <c r="B4283" s="6" t="str">
        <f>IFERROR(__xludf.DUMMYFUNCTION("GOOGLETRANSLATE(A4283,""en"",""fi"")"),"Se kerääntyy metsiin etsimään puunmahlaa, lempiravintoaan. Se on tarpeeksi vahva paiskomaan vihollisia.")</f>
        <v>Se kerääntyy metsiin etsimään puunmahlaa, lempiravintoaan. Se on tarpeeksi vahva paiskomaan vihollisia.</v>
      </c>
      <c r="C4283" s="9" t="s">
        <v>1344</v>
      </c>
    </row>
    <row r="4284" ht="33.75" customHeight="1">
      <c r="A4284" s="6" t="s">
        <v>6319</v>
      </c>
      <c r="B4284" s="6" t="str">
        <f>IFERROR(__xludf.DUMMYFUNCTION("GOOGLETRANSLATE(A4284,""en"",""fi"")"),"Voimakkaiden jalkojen ja kynsien ansiosta se tuottaa tarpeeksi voimaa sinkoamaan vihollisia pitkien matkojen päähän.")</f>
        <v>Voimakkaiden jalkojen ja kynsien ansiosta se tuottaa tarpeeksi voimaa sinkoamaan vihollisia pitkien matkojen päähän.</v>
      </c>
      <c r="C4284" s="9" t="s">
        <v>1344</v>
      </c>
    </row>
    <row r="4285" ht="33.75" customHeight="1">
      <c r="A4285" s="6" t="s">
        <v>6321</v>
      </c>
      <c r="B4285" s="6" t="str">
        <f>IFERROR(__xludf.DUMMYFUNCTION("GOOGLETRANSLATE(A4285,""en"",""fi"")"),"Se rakastaa makeaa hunajaa. Pitääkseen kaiken hunajan itsellään se heittää kilpailijat pois arvokkaalla sarvellaan.")</f>
        <v>Se rakastaa makeaa hunajaa. Pitääkseen kaiken hunajan itsellään se heittää kilpailijat pois arvokkaalla sarvellaan.</v>
      </c>
      <c r="C4285" s="9" t="s">
        <v>1344</v>
      </c>
    </row>
    <row r="4286" ht="33.75" customHeight="1">
      <c r="A4286" s="6" t="s">
        <v>6322</v>
      </c>
      <c r="B4286" s="6" t="str">
        <f>IFERROR(__xludf.DUMMYFUNCTION("GOOGLETRANSLATE(A4286,""en"",""fi"")"),"Tämä voimakas Pokémon työntää arvokkaan sarvensa vihollistensa vatsan alle, nostaa ja heittää ne sitten.")</f>
        <v>Tämä voimakas Pokémon työntää arvokkaan sarvensa vihollistensa vatsan alle, nostaa ja heittää ne sitten.</v>
      </c>
      <c r="C4286" s="9" t="s">
        <v>1344</v>
      </c>
    </row>
    <row r="4287" ht="33.75" customHeight="1">
      <c r="A4287" s="6" t="s">
        <v>6323</v>
      </c>
      <c r="B4287" s="6" t="str">
        <f>IFERROR(__xludf.DUMMYFUNCTION("GOOGLETRANSLATE(A4287,""en"",""fi"")"),"Se on yleensä säyseä, mutta jos sitä häiritään hunajaa siemaillessaan, se ajaa tunkeilijan pois sarvellaan.")</f>
        <v>Se on yleensä säyseä, mutta jos sitä häiritään hunajaa siemaillessaan, se ajaa tunkeilijan pois sarvellaan.</v>
      </c>
      <c r="C4287" s="9" t="s">
        <v>1344</v>
      </c>
    </row>
    <row r="4288" ht="33.75" customHeight="1">
      <c r="A4288" s="6" t="s">
        <v>6324</v>
      </c>
      <c r="B4288" s="6" t="str">
        <f>IFERROR(__xludf.DUMMYFUNCTION("GOOGLETRANSLATE(A4288,""en"",""fi"")"),"Olivatpa sen vastustajat kuinka raskaita tahansa, se heittää heidät kauas pois arvokkaalla sarvellaan.")</f>
        <v>Olivatpa sen vastustajat kuinka raskaita tahansa, se heittää heidät kauas pois arvokkaalla sarvellaan.</v>
      </c>
      <c r="C4288" s="9" t="s">
        <v>1344</v>
      </c>
    </row>
    <row r="4289" ht="33.75" customHeight="1">
      <c r="A4289" s="6" t="s">
        <v>6325</v>
      </c>
      <c r="B4289" s="6" t="str">
        <f>IFERROR(__xludf.DUMMYFUNCTION("GOOGLETRANSLATE(A4289,""en"",""fi"")"),"Herkuleen voimillaan se voi helposti heitellä ympäriinsä esineen, joka on 100 kertaa sen oma paino.")</f>
        <v>Herkuleen voimillaan se voi helposti heitellä ympäriinsä esineen, joka on 100 kertaa sen oma paino.</v>
      </c>
      <c r="C4289" s="9" t="s">
        <v>1344</v>
      </c>
    </row>
    <row r="4290" ht="33.75" customHeight="1">
      <c r="A4290" s="6" t="s">
        <v>6326</v>
      </c>
      <c r="B4290" s="6" t="str">
        <f>IFERROR(__xludf.DUMMYFUNCTION("GOOGLETRANSLATE(A4290,""en"",""fi"")"),"Heracross hyökkää suorassa linjassa vihollistaan ​​kohti, livahtaa vihollisen otteen alta ja nostaa tämän ilmaan mahtavalla sarvellaan. Tällä Pokémonilla on jopa tarpeeksi voimaa kaataakseen valtavan puun.")</f>
        <v>Heracross hyökkää suorassa linjassa vihollistaan ​​kohti, livahtaa vihollisen otteen alta ja nostaa tämän ilmaan mahtavalla sarvellaan. Tällä Pokémonilla on jopa tarpeeksi voimaa kaataakseen valtavan puun.</v>
      </c>
      <c r="C4290" s="9" t="s">
        <v>1344</v>
      </c>
    </row>
    <row r="4291" ht="33.75" customHeight="1">
      <c r="A4291" s="6" t="s">
        <v>6327</v>
      </c>
      <c r="B4291" s="6" t="str">
        <f>IFERROR(__xludf.DUMMYFUNCTION("GOOGLETRANSLATE(A4291,""en"",""fi"")"),"Heracrossilla on terävät kynnet jaloissaan. Ne on isketty tiukasti maahan tai puun kuoreen, mikä antaa Pokémonille turvallisen ja vakaan jalansijan paiskoa vihollisia pois ylpeällä sarvellaan.")</f>
        <v>Heracrossilla on terävät kynnet jaloissaan. Ne on isketty tiukasti maahan tai puun kuoreen, mikä antaa Pokémonille turvallisen ja vakaan jalansijan paiskoa vihollisia pois ylpeällä sarvellaan.</v>
      </c>
      <c r="C4291" s="9" t="s">
        <v>1344</v>
      </c>
    </row>
    <row r="4292" ht="33.75" customHeight="1">
      <c r="A4292" s="6" t="s">
        <v>6329</v>
      </c>
      <c r="B4292" s="6" t="str">
        <f>IFERROR(__xludf.DUMMYFUNCTION("GOOGLETRANSLATE(A4292,""en"",""fi"")"),"Se on ylpeä paksusta sarvestaan. Alolassa sen suurin kilpailija on Vikavolt, jota vastaan ​​se aina taistelee.")</f>
        <v>Se on ylpeä paksusta sarvestaan. Alolassa sen suurin kilpailija on Vikavolt, jota vastaan ​​se aina taistelee.</v>
      </c>
      <c r="C4292" s="9" t="s">
        <v>1344</v>
      </c>
    </row>
    <row r="4293" ht="33.75" customHeight="1">
      <c r="A4293" s="6" t="s">
        <v>6330</v>
      </c>
      <c r="B4293" s="6" t="str">
        <f>IFERROR(__xludf.DUMMYFUNCTION("GOOGLETRANSLATE(A4293,""en"",""fi"")"),"Se vaeltelee metsissä etsien makeaa mettä. Vaikka sillä on fantastinen fyysinen vahvuus, se ei ole kovin hyvä lentämään.")</f>
        <v>Se vaeltelee metsissä etsien makeaa mettä. Vaikka sillä on fantastinen fyysinen vahvuus, se ei ole kovin hyvä lentämään.</v>
      </c>
      <c r="C4293" s="9" t="s">
        <v>1344</v>
      </c>
    </row>
    <row r="4294" ht="33.75" customHeight="1">
      <c r="A4294" s="6" t="s">
        <v>6331</v>
      </c>
      <c r="B4294" s="6" t="str">
        <f>IFERROR(__xludf.DUMMYFUNCTION("GOOGLETRANSLATE(A4294,""en"",""fi"")"),"Heracross rakastaa makeaa mahlaa ja etsii sitä metsistä. Pokémon käyttää kahta tuntosarviaan tuoksujen poimimiseen etsiessään.")</f>
        <v>Heracross rakastaa makeaa mahlaa ja etsii sitä metsistä. Pokémon käyttää kahta tuntosarviaan tuoksujen poimimiseen etsiessään.</v>
      </c>
      <c r="C4294" s="9" t="s">
        <v>1344</v>
      </c>
    </row>
    <row r="4295" ht="33.75" customHeight="1">
      <c r="A4295" s="6" t="s">
        <v>6332</v>
      </c>
      <c r="B4295" s="6" t="str">
        <f>IFERROR(__xludf.DUMMYFUNCTION("GOOGLETRANSLATE(A4295,""en"",""fi"")"),"Tämä Pokémon on ylpeä voimastaan, jonka ansiosta se voi nostaa 100 kertaa itseään painavampia esineitä ilman vaikeuksia.")</f>
        <v>Tämä Pokémon on ylpeä voimastaan, jonka ansiosta se voi nostaa 100 kertaa itseään painavampia esineitä ilman vaikeuksia.</v>
      </c>
      <c r="C4295" s="9" t="s">
        <v>1344</v>
      </c>
    </row>
    <row r="4296" ht="33.75" customHeight="1">
      <c r="A4296" s="6" t="s">
        <v>6333</v>
      </c>
      <c r="B4296" s="6" t="str">
        <f>IFERROR(__xludf.DUMMYFUNCTION("GOOGLETRANSLATE(A4296,""en"",""fi"")"),"Tällä Pokémonilla on vertaansa vailla oleva sarvi. Heracross itsessään osoittaa valtavaa voimaa – se pystyy heittämään useita perinteisiä sodankäynnin taitoja hallitsevia ihmisiä kerralla.")</f>
        <v>Tällä Pokémonilla on vertaansa vailla oleva sarvi. Heracross itsessään osoittaa valtavaa voimaa – se pystyy heittämään useita perinteisiä sodankäynnin taitoja hallitsevia ihmisiä kerralla.</v>
      </c>
      <c r="C4296" s="9" t="s">
        <v>1344</v>
      </c>
    </row>
    <row r="4297" ht="33.75" customHeight="1">
      <c r="A4297" s="6" t="s">
        <v>6334</v>
      </c>
      <c r="B4297" s="6" t="str">
        <f>IFERROR(__xludf.DUMMYFUNCTION("GOOGLETRANSLATE(A4297,""en"",""fi"")"),"Sen käpälät kätkevät terävät kynnet. Hyökkäyksen sattuessa se ojentaa kynnet äkillisesti ja säikäyttää vihollisensa.")</f>
        <v>Sen käpälät kätkevät terävät kynnet. Hyökkäyksen sattuessa se ojentaa kynnet äkillisesti ja säikäyttää vihollisensa.</v>
      </c>
      <c r="C4297" s="9" t="s">
        <v>1344</v>
      </c>
    </row>
    <row r="4298" ht="33.75" customHeight="1">
      <c r="A4298" s="6" t="s">
        <v>6335</v>
      </c>
      <c r="B4298" s="6" t="str">
        <f>IFERROR(__xludf.DUMMYFUNCTION("GOOGLETRANSLATE(A4298,""en"",""fi"")"),"Luonteeltaan ilkeämielinen se ajaa pidgey-kakarat pesistään ja herkuttelee jäljelle jääneillä munilla.")</f>
        <v>Luonteeltaan ilkeämielinen se ajaa pidgey-kakarat pesistään ja herkuttelee jäljelle jääneillä munilla.</v>
      </c>
      <c r="C4298" s="9" t="s">
        <v>1344</v>
      </c>
    </row>
    <row r="4299" ht="33.75" customHeight="1">
      <c r="A4299" s="6" t="s">
        <v>6336</v>
      </c>
      <c r="B4299" s="6" t="str">
        <f>IFERROR(__xludf.DUMMYFUNCTION("GOOGLETRANSLATE(A4299,""en"",""fi"")"),"Tämä ovela POKéMON piileskelee pimeyden turvin odottaen saaliinsa hyökkäystä.")</f>
        <v>Tämä ovela POKéMON piileskelee pimeyden turvin odottaen saaliinsa hyökkäystä.</v>
      </c>
      <c r="C4299" s="9" t="s">
        <v>1344</v>
      </c>
    </row>
    <row r="4300" ht="33.75" customHeight="1">
      <c r="A4300" s="6" t="s">
        <v>6337</v>
      </c>
      <c r="B4300" s="6" t="str">
        <f>IFERROR(__xludf.DUMMYFUNCTION("GOOGLETRANSLATE(A4300,""en"",""fi"")"),"SNEASEL kiipeää puiden läpi iskemällä koukkukyntensä kaarnaan. Tämä POKéMON etsii vartioimattomia pesiä ja varastaa munia ravinnokseen vanhempien ollessa poissa.")</f>
        <v>SNEASEL kiipeää puiden läpi iskemällä koukkukyntensä kaarnaan. Tämä POKéMON etsii vartioimattomia pesiä ja varastaa munia ravinnokseen vanhempien ollessa poissa.</v>
      </c>
      <c r="C4300" s="9" t="s">
        <v>1344</v>
      </c>
    </row>
    <row r="4301" ht="33.75" customHeight="1">
      <c r="A4301" s="6" t="s">
        <v>6338</v>
      </c>
      <c r="B4301" s="6" t="str">
        <f>IFERROR(__xludf.DUMMYFUNCTION("GOOGLETRANSLATE(A4301,""en"",""fi"")"),"KIERTOLAINEN kiipeilee puiden seassa iskemällä koukkukyntensä kaarnaan. Se etsii vartioimattomia pesiä ja varastaa munia ravinnokseen vanhempien ollessa poissa.")</f>
        <v>KIERTOLAINEN kiipeilee puiden seassa iskemällä koukkukyntensä kaarnaan. Se etsii vartioimattomia pesiä ja varastaa munia ravinnokseen vanhempien ollessa poissa.</v>
      </c>
      <c r="C4301" s="9" t="s">
        <v>1344</v>
      </c>
    </row>
    <row r="4302" ht="33.75" customHeight="1">
      <c r="A4302" s="6" t="s">
        <v>6339</v>
      </c>
      <c r="B4302" s="6" t="str">
        <f>IFERROR(__xludf.DUMMYFUNCTION("GOOGLETRANSLATE(A4302,""en"",""fi"")"),"Sen käpälät kätkevät terävät kynnet. Hyökkäyksen sattuessa se ojentaa kynnet äkillisesti ja säikäyttää vihollisensa.")</f>
        <v>Sen käpälät kätkevät terävät kynnet. Hyökkäyksen sattuessa se ojentaa kynnet äkillisesti ja säikäyttää vihollisensa.</v>
      </c>
      <c r="C4302" s="9" t="s">
        <v>1344</v>
      </c>
    </row>
    <row r="4303" ht="33.75" customHeight="1">
      <c r="A4303" s="6" t="s">
        <v>6340</v>
      </c>
      <c r="B4303" s="6" t="str">
        <f>IFERROR(__xludf.DUMMYFUNCTION("GOOGLETRANSLATE(A4303,""en"",""fi"")"),"Se syö pesistä varastettuja munia. Sen terävät, koukkuiset kynnet repivät saaliin haavoittuvaisia ​​kohtia.")</f>
        <v>Se syö pesistä varastettuja munia. Sen terävät, koukkuiset kynnet repivät saaliin haavoittuvaisia ​​kohtia.</v>
      </c>
      <c r="C4303" s="9" t="s">
        <v>1344</v>
      </c>
    </row>
    <row r="4304" ht="33.75" customHeight="1">
      <c r="A4304" s="6" t="s">
        <v>6341</v>
      </c>
      <c r="B4304" s="6" t="str">
        <f>IFERROR(__xludf.DUMMYFUNCTION("GOOGLETRANSLATE(A4304,""en"",""fi"")"),"Se on äärimmäisen vihainen eikä lopeta hyökkäystä ennen kuin vihollinen on liikkumiskyvytön.")</f>
        <v>Se on äärimmäisen vihainen eikä lopeta hyökkäystä ennen kuin vihollinen on liikkumiskyvytön.</v>
      </c>
      <c r="C4304" s="9" t="s">
        <v>1344</v>
      </c>
    </row>
    <row r="4305" ht="33.75" customHeight="1">
      <c r="A4305" s="6" t="s">
        <v>6342</v>
      </c>
      <c r="B4305" s="6" t="str">
        <f>IFERROR(__xludf.DUMMYFUNCTION("GOOGLETRANSLATE(A4305,""en"",""fi"")"),"Älykäs ja salakavala Pokémon. Pari voi työskennellä yhdessä varastaakseen munia houkuttelemalla vanhemmat pois.")</f>
        <v>Älykäs ja salakavala Pokémon. Pari voi työskennellä yhdessä varastaakseen munia houkuttelemalla vanhemmat pois.</v>
      </c>
      <c r="C4305" s="9" t="s">
        <v>1344</v>
      </c>
    </row>
    <row r="4306" ht="33.75" customHeight="1">
      <c r="A4306" s="6" t="s">
        <v>6344</v>
      </c>
      <c r="B4306" s="6" t="str">
        <f>IFERROR(__xludf.DUMMYFUNCTION("GOOGLETRANSLATE(A4306,""en"",""fi"")"),"Luonteeltaan ilkeämielinen se ajaa pidgey-kakarat pesistään ja raapii kaikki löytämänsä tähteet.")</f>
        <v>Luonteeltaan ilkeämielinen se ajaa pidgey-kakarat pesistään ja raapii kaikki löytämänsä tähteet.</v>
      </c>
      <c r="C4306" s="9" t="s">
        <v>1344</v>
      </c>
    </row>
    <row r="4307" ht="33.75" customHeight="1">
      <c r="A4307" s="6" t="s">
        <v>6345</v>
      </c>
      <c r="B4307" s="6" t="str">
        <f>IFERROR(__xludf.DUMMYFUNCTION("GOOGLETRANSLATE(A4307,""en"",""fi"")"),"Älykäs ja ovela Pokémon, se saa vastustajansa säpsähtämään näyttämällä yhtäkkiä tassujensa piilossa olevat kynnet.")</f>
        <v>Älykäs ja ovela Pokémon, se saa vastustajansa säpsähtämään näyttämällä yhtäkkiä tassujensa piilossa olevat kynnet.</v>
      </c>
      <c r="C4307" s="9" t="s">
        <v>1344</v>
      </c>
    </row>
    <row r="4308" ht="33.75" customHeight="1">
      <c r="A4308" s="6" t="s">
        <v>6346</v>
      </c>
      <c r="B4308" s="6" t="str">
        <f>IFERROR(__xludf.DUMMYFUNCTION("GOOGLETRANSLATE(A4308,""en"",""fi"")"),"Sneasel kiipeää puiden läpi iskemällä koukkukyntensä kaarnaan. Tämä Pokémon etsii vartioimattomia pesiä ja varastaa munia ravinnokseen vanhempien ollessa poissa.")</f>
        <v>Sneasel kiipeää puiden läpi iskemällä koukkukyntensä kaarnaan. Tämä Pokémon etsii vartioimattomia pesiä ja varastaa munia ravinnokseen vanhempien ollessa poissa.</v>
      </c>
      <c r="C4308" s="9" t="s">
        <v>1344</v>
      </c>
    </row>
    <row r="4309" ht="33.75" customHeight="1">
      <c r="A4309" s="6" t="s">
        <v>6348</v>
      </c>
      <c r="B4309" s="6" t="str">
        <f>IFERROR(__xludf.DUMMYFUNCTION("GOOGLETRANSLATE(A4309,""en"",""fi"")"),"Sillä on viekas mutta raa'a luonne. Se odottaa vanhempien lähtevän pesistään ja sitten hiipii sisään varastamaan niiden munat.")</f>
        <v>Sillä on viekas mutta raa'a luonne. Se odottaa vanhempien lähtevän pesistään ja sitten hiipii sisään varastamaan niiden munat.</v>
      </c>
      <c r="C4309" s="9" t="s">
        <v>1344</v>
      </c>
    </row>
    <row r="4310" ht="33.75" customHeight="1">
      <c r="A4310" s="6" t="s">
        <v>6349</v>
      </c>
      <c r="B4310" s="6" t="str">
        <f>IFERROR(__xludf.DUMMYFUNCTION("GOOGLETRANSLATE(A4310,""en"",""fi"")"),"Se käyttää kynsiään reikien tekemiseen muniin, jotta se voi syöksyä niiden sisukset ulos. Kasvattajat pitävät sitä vitsauksena ja ajavat sen pois tai hävittävät sen kokonaan.")</f>
        <v>Se käyttää kynsiään reikien tekemiseen muniin, jotta se voi syöksyä niiden sisukset ulos. Kasvattajat pitävät sitä vitsauksena ja ajavat sen pois tai hävittävät sen kokonaan.</v>
      </c>
      <c r="C4310" s="9" t="s">
        <v>1344</v>
      </c>
    </row>
    <row r="4311" ht="33.75" customHeight="1">
      <c r="A4311" s="6" t="s">
        <v>6351</v>
      </c>
      <c r="B4311" s="6" t="str">
        <f>IFERROR(__xludf.DUMMYFUNCTION("GOOGLETRANSLATE(A4311,""en"",""fi"")"),"Ne tekevät yhteistyötä varastaakseen munia lintu-Pokémonien pesistä, mutta taistelut puhkeavat siitä, kuka saa syödä munat.")</f>
        <v>Ne tekevät yhteistyötä varastaakseen munia lintu-Pokémonien pesistä, mutta taistelut puhkeavat siitä, kuka saa syödä munat.</v>
      </c>
      <c r="C4311" s="9" t="s">
        <v>1344</v>
      </c>
    </row>
    <row r="4312" ht="33.75" customHeight="1">
      <c r="A4312" s="6" t="s">
        <v>6352</v>
      </c>
      <c r="B4312" s="6" t="str">
        <f>IFERROR(__xludf.DUMMYFUNCTION("GOOGLETRANSLATE(A4312,""en"",""fi"")"),"Se sulautuu yön pimeyteen väijyttääkseen saalistaan. Sneasel hyökkää Sandshrewin kimppuun, mutta sen kova iho voi saada Sneaselin kynnet katkeamaan.")</f>
        <v>Se sulautuu yön pimeyteen väijyttääkseen saalistaan. Sneasel hyökkää Sandshrewin kimppuun, mutta sen kova iho voi saada Sneaselin kynnet katkeamaan.</v>
      </c>
      <c r="C4312" s="9" t="s">
        <v>1344</v>
      </c>
    </row>
    <row r="4313" ht="33.75" customHeight="1">
      <c r="A4313" s="6" t="s">
        <v>6354</v>
      </c>
      <c r="B4313" s="6" t="str">
        <f>IFERROR(__xludf.DUMMYFUNCTION("GOOGLETRANSLATE(A4313,""en"",""fi"")"),"Sen tukevat, kaarevat kynnet ovat ihanteelliset jyrkkien kallioiden ylittämiseen. Kynsien kärjistä tippuu myrkkyä, joka tunkeutuu minkä tahansa Sneaselin otteeseen jäävän saaliin hermoihin.")</f>
        <v>Sen tukevat, kaarevat kynnet ovat ihanteelliset jyrkkien kallioiden ylittämiseen. Kynsien kärjistä tippuu myrkkyä, joka tunkeutuu minkä tahansa Sneaselin otteeseen jäävän saaliin hermoihin.</v>
      </c>
      <c r="C4313" s="9" t="s">
        <v>1344</v>
      </c>
    </row>
    <row r="4314" ht="33.75" customHeight="1">
      <c r="A4314" s="6" t="s">
        <v>6355</v>
      </c>
      <c r="B4314" s="6" t="str">
        <f>IFERROR(__xludf.DUMMYFUNCTION("GOOGLETRANSLATE(A4314,""en"",""fi"")"),"Jos se löytää hunajaa, sen puolikuu hohtaa. Se nuolee aina tassujaan, koska ne ovat hunajasta läpimärät.")</f>
        <v>Jos se löytää hunajaa, sen puolikuu hohtaa. Se nuolee aina tassujaan, koska ne ovat hunajasta läpimärät.</v>
      </c>
      <c r="C4314" s="9" t="s">
        <v>1344</v>
      </c>
    </row>
    <row r="4315" ht="33.75" customHeight="1">
      <c r="A4315" s="6" t="s">
        <v>6356</v>
      </c>
      <c r="B4315" s="6" t="str">
        <f>IFERROR(__xludf.DUMMYFUNCTION("GOOGLETRANSLATE(A4315,""en"",""fi"")"),"Ennen kuin ruoasta tulee talvella niukkaa, sillä on tapana hamstrata ruokaa moniin piilopaikkoihin.")</f>
        <v>Ennen kuin ruoasta tulee talvella niukkaa, sillä on tapana hamstrata ruokaa moniin piilopaikkoihin.</v>
      </c>
      <c r="C4315" s="9" t="s">
        <v>1344</v>
      </c>
    </row>
    <row r="4316" ht="33.75" customHeight="1">
      <c r="A4316" s="6" t="s">
        <v>6357</v>
      </c>
      <c r="B4316" s="6" t="str">
        <f>IFERROR(__xludf.DUMMYFUNCTION("GOOGLETRANSLATE(A4316,""en"",""fi"")"),"Se nuolee aina hunajaa. Sen kämmen maistuu makealta kaiken sen hunajan vuoksi, jota se on imenyt.")</f>
        <v>Se nuolee aina hunajaa. Sen kämmen maistuu makealta kaiken sen hunajan vuoksi, jota se on imenyt.</v>
      </c>
      <c r="C4316" s="9" t="s">
        <v>1344</v>
      </c>
    </row>
    <row r="4317" ht="33.75" customHeight="1">
      <c r="A4317" s="6" t="s">
        <v>6358</v>
      </c>
      <c r="B4317" s="6" t="str">
        <f>IFERROR(__xludf.DUMMYFUNCTION("GOOGLETRANSLATE(A4317,""en"",""fi"")"),"Tämä POKéMON nuolee mielellään hunajasta makeutettuja kämmeniään. TEDDIURSA valmistaa omaa hunajaansa sekoittamalla BEEDRILLin keräämiä hedelmiä ja siitepölyä.")</f>
        <v>Tämä POKéMON nuolee mielellään hunajasta makeutettuja kämmeniään. TEDDIURSA valmistaa omaa hunajaansa sekoittamalla BEEDRILLin keräämiä hedelmiä ja siitepölyä.</v>
      </c>
      <c r="C4317" s="9" t="s">
        <v>1344</v>
      </c>
    </row>
    <row r="4318" ht="33.75" customHeight="1">
      <c r="A4318" s="6" t="s">
        <v>6360</v>
      </c>
      <c r="B4318" s="6" t="str">
        <f>IFERROR(__xludf.DUMMYFUNCTION("GOOGLETRANSLATE(A4318,""en"",""fi"")"),"Se nuolee kämmeniään, jotka ovat makeutuneet liottamalla niitä hunajassa. TEDDIURSA valmistaa omaa hunajaansa sekoittamalla BEEDRILLin keräämiä hedelmiä ja siitepölyä.")</f>
        <v>Se nuolee kämmeniään, jotka ovat makeutuneet liottamalla niitä hunajassa. TEDDIURSA valmistaa omaa hunajaansa sekoittamalla BEEDRILLin keräämiä hedelmiä ja siitepölyä.</v>
      </c>
      <c r="C4318" s="9" t="s">
        <v>1344</v>
      </c>
    </row>
    <row r="4319" ht="33.75" customHeight="1">
      <c r="A4319" s="6" t="s">
        <v>6362</v>
      </c>
      <c r="B4319" s="6" t="str">
        <f>IFERROR(__xludf.DUMMYFUNCTION("GOOGLETRANSLATE(A4319,""en"",""fi"")"),"Ennen kuin ruoasta tulee niukkaa talvella, sillä on tapana hamstrata ruokaa moniin piilopaikkoihin.")</f>
        <v>Ennen kuin ruoasta tulee niukkaa talvella, sillä on tapana hamstrata ruokaa moniin piilopaikkoihin.</v>
      </c>
      <c r="C4319" s="9" t="s">
        <v>1344</v>
      </c>
    </row>
    <row r="4320" ht="33.75" customHeight="1">
      <c r="A4320" s="6" t="s">
        <v>6364</v>
      </c>
      <c r="B4320" s="6" t="str">
        <f>IFERROR(__xludf.DUMMYFUNCTION("GOOGLETRANSLATE(A4320,""en"",""fi"")"),"Se antaa hunajan imeytyä tassuihinsa, jotta se voi nuolla niitä koko ajan. Jokainen tassu maistuu ainutlaatuiselta.")</f>
        <v>Se antaa hunajan imeytyä tassuihinsa, jotta se voi nuolla niitä koko ajan. Jokainen tassu maistuu ainutlaatuiselta.</v>
      </c>
      <c r="C4320" s="9" t="s">
        <v>1344</v>
      </c>
    </row>
    <row r="4321" ht="33.75" customHeight="1">
      <c r="A4321" s="6" t="s">
        <v>6365</v>
      </c>
      <c r="B4321" s="6" t="str">
        <f>IFERROR(__xludf.DUMMYFUNCTION("GOOGLETRANSLATE(A4321,""en"",""fi"")"),"Jos se löytää hunajaa, sen puolikuu hohtaa. Se nuolee aina tassujaan, koska ne ovat hunajasta läpimärät.")</f>
        <v>Jos se löytää hunajaa, sen puolikuu hohtaa. Se nuolee aina tassujaan, koska ne ovat hunajasta läpimärät.</v>
      </c>
      <c r="C4321" s="9" t="s">
        <v>1344</v>
      </c>
    </row>
    <row r="4322" ht="33.75" customHeight="1">
      <c r="A4322" s="6" t="s">
        <v>6366</v>
      </c>
      <c r="B4322" s="6" t="str">
        <f>IFERROR(__xludf.DUMMYFUNCTION("GOOGLETRANSLATE(A4322,""en"",""fi"")"),"Tämä Pokémon nuolee mielellään hunajaan kastettuja kämmeniään, jotka ovat makeuttaneet ne. Teddiursa valmistaa omaa hunajaansa sekoittamalla Beedrillin keräämiä hedelmiä ja siitepölyä.")</f>
        <v>Tämä Pokémon nuolee mielellään hunajaan kastettuja kämmeniään, jotka ovat makeuttaneet ne. Teddiursa valmistaa omaa hunajaansa sekoittamalla Beedrillin keräämiä hedelmiä ja siitepölyä.</v>
      </c>
      <c r="C4322" s="9" t="s">
        <v>1344</v>
      </c>
    </row>
    <row r="4323" ht="33.75" customHeight="1">
      <c r="A4323" s="6" t="s">
        <v>6368</v>
      </c>
      <c r="B4323" s="6" t="str">
        <f>IFERROR(__xludf.DUMMYFUNCTION("GOOGLETRANSLATE(A4323,""en"",""fi"")"),"Se nuolee tassujaan niihin imeytyneen makean hunajan vuoksi. Se on ovela, hiipii Combeen pesiin ja ottaa itselleen Combeen keräämän hunajan.")</f>
        <v>Se nuolee tassujaan niihin imeytyneen makean hunajan vuoksi. Se on ovela, hiipii Combeen pesiin ja ottaa itselleen Combeen keräämän hunajan.</v>
      </c>
      <c r="C4323" s="9" t="s">
        <v>1344</v>
      </c>
    </row>
    <row r="4324" ht="33.75" customHeight="1">
      <c r="A4324" s="6" t="s">
        <v>6370</v>
      </c>
      <c r="B4324" s="6" t="str">
        <f>IFERROR(__xludf.DUMMYFUNCTION("GOOGLETRANSLATE(A4324,""en"",""fi"")"),"Vaikka se on hyvä kiipeilijä, se mieluiten napsailee puita etujaloillaan ja syö pudonneita MARJOJA.")</f>
        <v>Vaikka se on hyvä kiipeilijä, se mieluiten napsailee puita etujaloillaan ja syö pudonneita MARJOJA.</v>
      </c>
      <c r="C4324" s="9" t="s">
        <v>1344</v>
      </c>
    </row>
    <row r="4325" ht="33.75" customHeight="1">
      <c r="A4325" s="6" t="s">
        <v>6372</v>
      </c>
      <c r="B4325" s="6" t="str">
        <f>IFERROR(__xludf.DUMMYFUNCTION("GOOGLETRANSLATE(A4325,""en"",""fi"")"),"Kykynsä erottaa minkä tahansa aromin ansiosta se löytää erehtymättä kaiken syvällä maan alla olevan ruoan.")</f>
        <v>Kykynsä erottaa minkä tahansa aromin ansiosta se löytää erehtymättä kaiken syvällä maan alla olevan ruoan.</v>
      </c>
      <c r="C4325" s="9" t="s">
        <v>1344</v>
      </c>
    </row>
    <row r="4326" ht="33.75" customHeight="1">
      <c r="A4326" s="6" t="s">
        <v>6373</v>
      </c>
      <c r="B4326" s="6" t="str">
        <f>IFERROR(__xludf.DUMMYFUNCTION("GOOGLETRANSLATE(A4326,""en"",""fi"")"),"Vaikka sillä on suuri ruumis, se on melko taitava kiipeilemään puissa. Se syö ja nukkuu puiden latvoissa.")</f>
        <v>Vaikka sillä on suuri ruumis, se on melko taitava kiipeilemään puissa. Se syö ja nukkuu puiden latvoissa.</v>
      </c>
      <c r="C4326" s="9" t="s">
        <v>1344</v>
      </c>
    </row>
    <row r="4327" ht="33.75" customHeight="1">
      <c r="A4327" s="6" t="s">
        <v>6375</v>
      </c>
      <c r="B4327" s="6" t="str">
        <f>IFERROR(__xludf.DUMMYFUNCTION("GOOGLETRANSLATE(A4327,""en"",""fi"")"),"URSARINGien asuttamissa metsissä sanotaan olevan monia puroja ja korkeita puita, joista ne keräävät ruokaa. Tämä POKéMON kävelee metsänsä läpi keräämässä ruokaa joka päivä.")</f>
        <v>URSARINGien asuttamissa metsissä sanotaan olevan monia puroja ja korkeita puita, joista ne keräävät ruokaa. Tämä POKéMON kävelee metsänsä läpi keräämässä ruokaa joka päivä.</v>
      </c>
      <c r="C4327" s="9" t="s">
        <v>1344</v>
      </c>
    </row>
    <row r="4328" ht="33.75" customHeight="1">
      <c r="A4328" s="6" t="s">
        <v>6377</v>
      </c>
      <c r="B4328" s="6" t="str">
        <f>IFERROR(__xludf.DUMMYFUNCTION("GOOGLETRANSLATE(A4328,""en"",""fi"")"),"Metsissä sanotaan olevan paljon puroja ja korkeita puita, joista ursaari kerää ravintoa. Se vaeltaa metsässään keräämässä ravintoa joka päivä.")</f>
        <v>Metsissä sanotaan olevan paljon puroja ja korkeita puita, joista ursaari kerää ravintoa. Se vaeltaa metsässään keräämässä ravintoa joka päivä.</v>
      </c>
      <c r="C4328" s="9" t="s">
        <v>1344</v>
      </c>
    </row>
    <row r="4329" ht="33.75" customHeight="1">
      <c r="A4329" s="6" t="s">
        <v>6379</v>
      </c>
      <c r="B4329" s="6" t="str">
        <f>IFERROR(__xludf.DUMMYFUNCTION("GOOGLETRANSLATE(A4329,""en"",""fi"")"),"Kykynsä erottaa minkä tahansa hajun ansiosta se löytää erehtymättä kaiken syvällä maan alla olevan ruoan.")</f>
        <v>Kykynsä erottaa minkä tahansa hajun ansiosta se löytää erehtymättä kaiken syvällä maan alla olevan ruoan.</v>
      </c>
      <c r="C4329" s="9" t="s">
        <v>1344</v>
      </c>
    </row>
    <row r="4330" ht="33.75" customHeight="1">
      <c r="A4330" s="6" t="s">
        <v>6380</v>
      </c>
      <c r="B4330" s="6" t="str">
        <f>IFERROR(__xludf.DUMMYFUNCTION("GOOGLETRANSLATE(A4330,""en"",""fi"")"),"Vaikka se on hyvä kiipeilijä, se mieluiten katkaisee paksuja puita etujaloillaan ja syö pudonneita MARJOJA.")</f>
        <v>Vaikka se on hyvä kiipeilijä, se mieluiten katkaisee paksuja puita etujaloillaan ja syö pudonneita MARJOJA.</v>
      </c>
      <c r="C4330" s="9" t="s">
        <v>1344</v>
      </c>
    </row>
    <row r="4331" ht="33.75" customHeight="1">
      <c r="A4331" s="6" t="s">
        <v>6382</v>
      </c>
      <c r="B4331" s="6" t="str">
        <f>IFERROR(__xludf.DUMMYFUNCTION("GOOGLETRANSLATE(A4331,""en"",""fi"")"),"Se jättää alueellaan naarmuja puihin, jotka tuottavat herkullisia marjoja tai hedelmiä.")</f>
        <v>Se jättää alueellaan naarmuja puihin, jotka tuottavat herkullisia marjoja tai hedelmiä.</v>
      </c>
      <c r="C4331" s="9" t="s">
        <v>1344</v>
      </c>
    </row>
    <row r="4332" ht="33.75" customHeight="1">
      <c r="A4332" s="6" t="s">
        <v>6384</v>
      </c>
      <c r="B4332" s="6" t="str">
        <f>IFERROR(__xludf.DUMMYFUNCTION("GOOGLETRANSLATE(A4332,""en"",""fi"")"),"Vaikka se on hyvä kiipeilijä, se mieluiten napsailee puita etujaloillaan ja syö pudonneita marjoja.")</f>
        <v>Vaikka se on hyvä kiipeilijä, se mieluiten napsailee puita etujaloillaan ja syö pudonneita marjoja.</v>
      </c>
      <c r="C4332" s="9" t="s">
        <v>1344</v>
      </c>
    </row>
    <row r="4333" ht="33.75" customHeight="1">
      <c r="A4333" s="6" t="s">
        <v>6385</v>
      </c>
      <c r="B4333" s="6" t="str">
        <f>IFERROR(__xludf.DUMMYFUNCTION("GOOGLETRANSLATE(A4333,""en"",""fi"")"),"Kykynsä erottaa minkä tahansa aromin ansiosta se löytää erehtymättä kaiken syvällä maan alla olevan ruoan.")</f>
        <v>Kykynsä erottaa minkä tahansa aromin ansiosta se löytää erehtymättä kaiken syvällä maan alla olevan ruoan.</v>
      </c>
      <c r="C4333" s="9" t="s">
        <v>1344</v>
      </c>
    </row>
    <row r="4334" ht="33.75" customHeight="1">
      <c r="A4334" s="6" t="s">
        <v>6387</v>
      </c>
      <c r="B4334" s="6" t="str">
        <f>IFERROR(__xludf.DUMMYFUNCTION("GOOGLETRANSLATE(A4334,""en"",""fi"")"),"Ursaringin asuttamissa metsissä sanotaan olevan monia puroja ja korkeita puita, joista ne keräävät ruokaa. Tämä Pokémon kävelee metsänsä läpi keräämässä ruokaa joka päivä.")</f>
        <v>Ursaringin asuttamissa metsissä sanotaan olevan monia puroja ja korkeita puita, joista ne keräävät ruokaa. Tämä Pokémon kävelee metsänsä läpi keräämässä ruokaa joka päivä.</v>
      </c>
      <c r="C4334" s="9" t="s">
        <v>1344</v>
      </c>
    </row>
    <row r="4335" ht="33.75" customHeight="1">
      <c r="A4335" s="6" t="s">
        <v>6388</v>
      </c>
      <c r="B4335" s="6" t="str">
        <f>IFERROR(__xludf.DUMMYFUNCTION("GOOGLETRANSLATE(A4335,""en"",""fi"")"),"Kun kylmä vuodenaika saapuu Hisuihin, tämä Pokémon vaeltaa pelloilla ja vuorilla etsien lempimarjojaan. Ursaringin nälkä tänä aikana tekee siitä raivokkaan vaaran.")</f>
        <v>Kun kylmä vuodenaika saapuu Hisuihin, tämä Pokémon vaeltaa pelloilla ja vuorilla etsien lempimarjojaan. Ursaringin nälkä tänä aikana tekee siitä raivokkaan vaaran.</v>
      </c>
      <c r="C4335" s="9" t="s">
        <v>1344</v>
      </c>
    </row>
    <row r="4336" ht="33.75" customHeight="1">
      <c r="A4336" s="6" t="s">
        <v>6389</v>
      </c>
      <c r="B4336" s="6" t="str">
        <f>IFERROR(__xludf.DUMMYFUNCTION("GOOGLETRANSLATE(A4336,""en"",""fi"")"),"Se ei koskaan nuku. Sen on jatkuvasti liikkeessä, koska jos se pysähtyisi, sen magmamassa jäähtyisi ja kovettuisi.")</f>
        <v>Se ei koskaan nuku. Sen on jatkuvasti liikkeessä, koska jos se pysähtyisi, sen magmamassa jäähtyisi ja kovettuisi.</v>
      </c>
      <c r="C4336" s="9" t="s">
        <v>1344</v>
      </c>
    </row>
    <row r="4337" ht="33.75" customHeight="1">
      <c r="A4337" s="6" t="s">
        <v>6391</v>
      </c>
      <c r="B4337" s="6" t="str">
        <f>IFERROR(__xludf.DUMMYFUNCTION("GOOGLETRANSLATE(A4337,""en"",""fi"")"),"Se on yleinen näky tulivuorialueilla, ja se luikertelee hitaasti ympäriinsä etsien jatkuvasti lämpimiä paikkoja.")</f>
        <v>Se on yleinen näky tulivuorialueilla, ja se luikertelee hitaasti ympäriinsä etsien jatkuvasti lämpimiä paikkoja.</v>
      </c>
      <c r="C4337" s="9" t="s">
        <v>1344</v>
      </c>
    </row>
    <row r="4338" ht="33.75" customHeight="1">
      <c r="A4338" s="6" t="s">
        <v>6392</v>
      </c>
      <c r="B4338" s="6" t="str">
        <f>IFERROR(__xludf.DUMMYFUNCTION("GOOGLETRANSLATE(A4338,""en"",""fi"")"),"Nämä ryhmittyvät tavallista kuumemmille alueille. Jos se jäähtyy, sen kuori kovettuu.")</f>
        <v>Nämä ryhmittyvät tavallista kuumemmille alueille. Jos se jäähtyy, sen kuori kovettuu.</v>
      </c>
      <c r="C4338" s="9" t="s">
        <v>1344</v>
      </c>
    </row>
    <row r="4339" ht="33.75" customHeight="1">
      <c r="A4339" s="6" t="s">
        <v>6393</v>
      </c>
      <c r="B4339" s="6" t="str">
        <f>IFERROR(__xludf.DUMMYFUNCTION("GOOGLETRANSLATE(A4339,""en"",""fi"")"),"Sula magma virtaa SLUGMAn verenkiertoelimistössä. Jos tämä POKéMON jäähdytetään, magma jäähtyy ja kovettuu. Sen runko muuttuu hauraaksi ja siitä putoaa paloja, mikä pienentää sen kokoa.")</f>
        <v>Sula magma virtaa SLUGMAn verenkiertoelimistössä. Jos tämä POKéMON jäähdytetään, magma jäähtyy ja kovettuu. Sen runko muuttuu hauraaksi ja siitä putoaa paloja, mikä pienentää sen kokoa.</v>
      </c>
      <c r="C4339" s="9" t="s">
        <v>1344</v>
      </c>
    </row>
    <row r="4340" ht="33.75" customHeight="1">
      <c r="A4340" s="6" t="s">
        <v>6394</v>
      </c>
      <c r="B4340" s="6" t="str">
        <f>IFERROR(__xludf.DUMMYFUNCTION("GOOGLETRANSLATE(A4340,""en"",""fi"")"),"SLUGMAlla ei ole verta kehossaan. Sen sijaan erittäin kuuma magma kiertää tämän POKéMONin kehossa kuljettaen välttämättömiä ravinteita ja happea sen elimiin.")</f>
        <v>SLUGMAlla ei ole verta kehossaan. Sen sijaan erittäin kuuma magma kiertää tämän POKéMONin kehossa kuljettaen välttämättömiä ravinteita ja happea sen elimiin.</v>
      </c>
      <c r="C4340" s="9" t="s">
        <v>1344</v>
      </c>
    </row>
    <row r="4341" ht="33.75" customHeight="1">
      <c r="A4341" s="6" t="s">
        <v>6395</v>
      </c>
      <c r="B4341" s="6" t="str">
        <f>IFERROR(__xludf.DUMMYFUNCTION("GOOGLETRANSLATE(A4341,""en"",""fi"")"),"Se on tulivuorialueilla elävä POKéMON-laji. Jos sen ruumis jäähtyy, sen iho kovettuu ja tekee siitä liikkumattoman. Tämän välttämiseksi se nukkuu magman lähellä.")</f>
        <v>Se on tulivuorialueilla elävä POKéMON-laji. Jos sen ruumis jäähtyy, sen iho kovettuu ja tekee siitä liikkumattoman. Tämän välttämiseksi se nukkuu magman lähellä.</v>
      </c>
      <c r="C4341" s="9" t="s">
        <v>1344</v>
      </c>
    </row>
    <row r="4342" ht="33.75" customHeight="1">
      <c r="A4342" s="6" t="s">
        <v>6396</v>
      </c>
      <c r="B4342" s="6" t="str">
        <f>IFERROR(__xludf.DUMMYFUNCTION("GOOGLETRANSLATE(A4342,""en"",""fi"")"),"Yleinen näky tulivuorialueilla, se luikertelee hitaasti ympäriinsä etsien jatkuvasti lämpimiä paikkoja.")</f>
        <v>Yleinen näky tulivuorialueilla, se luikertelee hitaasti ympäriinsä etsien jatkuvasti lämpimiä paikkoja.</v>
      </c>
      <c r="C4342" s="9" t="s">
        <v>1344</v>
      </c>
    </row>
    <row r="4343" ht="33.75" customHeight="1">
      <c r="A4343" s="6" t="s">
        <v>6397</v>
      </c>
      <c r="B4343" s="6" t="str">
        <f>IFERROR(__xludf.DUMMYFUNCTION("GOOGLETRANSLATE(A4343,""en"",""fi"")"),"Sen runko on tehty magmasta. Jos se ei pysy liikkeessä, se jäähtyy ja kovettuu.")</f>
        <v>Sen runko on tehty magmasta. Jos se ei pysy liikkeessä, se jäähtyy ja kovettuu.</v>
      </c>
      <c r="C4343" s="9" t="s">
        <v>1344</v>
      </c>
    </row>
    <row r="4344" ht="33.75" customHeight="1">
      <c r="A4344" s="6" t="s">
        <v>6398</v>
      </c>
      <c r="B4344" s="6" t="str">
        <f>IFERROR(__xludf.DUMMYFUNCTION("GOOGLETRANSLATE(A4344,""en"",""fi"")"),"Sula magma virtaa Slugman verenkiertoelimistössä. Jos tämä Pokémon jäähdytetään, magma jäähtyy ja kovettuu. Sen ruumis muuttuu hauraaksi ja siitä putoaa paloja, mikä pienentää sen kokoa.")</f>
        <v>Sula magma virtaa Slugman verenkiertoelimistössä. Jos tämä Pokémon jäähdytetään, magma jäähtyy ja kovettuu. Sen ruumis muuttuu hauraaksi ja siitä putoaa paloja, mikä pienentää sen kokoa.</v>
      </c>
      <c r="C4344" s="9" t="s">
        <v>1344</v>
      </c>
    </row>
    <row r="4345" ht="33.75" customHeight="1">
      <c r="A4345" s="6" t="s">
        <v>6399</v>
      </c>
      <c r="B4345" s="6" t="str">
        <f>IFERROR(__xludf.DUMMYFUNCTION("GOOGLETRANSLATE(A4345,""en"",""fi"")"),"Slugmalla ei ole verta kehossaan. Sen sijaan erittäin kuuma magma kiertää tämän Pokémonin kehossa kuljettaen välttämättömiä ravinteita ja happea sen elimiin.")</f>
        <v>Slugmalla ei ole verta kehossaan. Sen sijaan erittäin kuuma magma kiertää tämän Pokémonin kehossa kuljettaen välttämättömiä ravinteita ja happea sen elimiin.</v>
      </c>
      <c r="C4345" s="9" t="s">
        <v>1344</v>
      </c>
    </row>
    <row r="4346" ht="33.75" customHeight="1">
      <c r="A4346" s="6" t="s">
        <v>6400</v>
      </c>
      <c r="B4346" s="6" t="str">
        <f>IFERROR(__xludf.DUMMYFUNCTION("GOOGLETRANSLATE(A4346,""en"",""fi"")"),"Sen selkäpuolella oleva kuori on vain jäähtynyttä ja kovettunutta ihoa. Se rikkoutuu helposti pienestä kosketuksesta.")</f>
        <v>Sen selkäpuolella oleva kuori on vain jäähtynyttä ja kovettunutta ihoa. Se rikkoutuu helposti pienestä kosketuksesta.</v>
      </c>
      <c r="C4346" s="9" t="s">
        <v>1344</v>
      </c>
    </row>
    <row r="4347" ht="33.75" customHeight="1">
      <c r="A4347" s="6" t="s">
        <v>6401</v>
      </c>
      <c r="B4347" s="6" t="str">
        <f>IFERROR(__xludf.DUMMYFUNCTION("GOOGLETRANSLATE(A4347,""en"",""fi"")"),"Sen hauras kuori suihkuttaa ajoittain voimakkaita liekkejä, jotka kiertävät koko sen ruumiissa.")</f>
        <v>Sen hauras kuori suihkuttaa ajoittain voimakkaita liekkejä, jotka kiertävät koko sen ruumiissa.</v>
      </c>
      <c r="C4347" s="9" t="s">
        <v>1344</v>
      </c>
    </row>
    <row r="4348" ht="33.75" customHeight="1">
      <c r="A4348" s="6" t="s">
        <v>6403</v>
      </c>
      <c r="B4348" s="6" t="str">
        <f>IFERROR(__xludf.DUMMYFUNCTION("GOOGLETRANSLATE(A4348,""en"",""fi"")"),"Sen ruumis on kuuma kuin laava ja se paisuu jatkuvasti. Liekit purkautuvat ajoittain sen kuoresta.")</f>
        <v>Sen ruumis on kuuma kuin laava ja se paisuu jatkuvasti. Liekit purkautuvat ajoittain sen kuoresta.</v>
      </c>
      <c r="C4348" s="9" t="s">
        <v>1344</v>
      </c>
    </row>
    <row r="4349" ht="33.75" customHeight="1">
      <c r="A4349" s="6" t="s">
        <v>6406</v>
      </c>
      <c r="B4349" s="6" t="str">
        <f>IFERROR(__xludf.DUMMYFUNCTION("GOOGLETRANSLATE(A4349,""en"",""fi"")"),"MAGCARGOn kuori on itse asiassa sen jäähtymisen kovettama iho. Sen kuori on hyvin hauras ja herkkä – jo pelkkä sen koskettaminen saa sen murenemaan. Tämä POKéMON palaa alkuperäiseen kokoonsa upottamalla itsensä magmaan.")</f>
        <v>MAGCARGOn kuori on itse asiassa sen jäähtymisen kovettama iho. Sen kuori on hyvin hauras ja herkkä – jo pelkkä sen koskettaminen saa sen murenemaan. Tämä POKéMON palaa alkuperäiseen kokoonsa upottamalla itsensä magmaan.</v>
      </c>
      <c r="C4349" s="9" t="s">
        <v>1344</v>
      </c>
    </row>
    <row r="4350" ht="33.75" customHeight="1">
      <c r="A4350" s="6" t="s">
        <v>6407</v>
      </c>
      <c r="B4350" s="6" t="str">
        <f>IFERROR(__xludf.DUMMYFUNCTION("GOOGLETRANSLATE(A4350,""en"",""fi"")"),"MAGCARGOn ruumiinlämpötila on noin 18 000 Fahrenheit-astetta. Vesi höyrystyy kosketuksessa sen kanssa. Jos tämä POKéMON joutuu sateeseen, sadepisarat muuttuvat välittömästi höyryksi ja peittävät alueen paksuun sumuun.")</f>
        <v>MAGCARGOn ruumiinlämpötila on noin 18 000 Fahrenheit-astetta. Vesi höyrystyy kosketuksessa sen kanssa. Jos tämä POKéMON joutuu sateeseen, sadepisarat muuttuvat välittömästi höyryksi ja peittävät alueen paksuun sumuun.</v>
      </c>
      <c r="C4350" s="9" t="s">
        <v>1344</v>
      </c>
    </row>
    <row r="4351" ht="33.75" customHeight="1">
      <c r="A4351" s="6" t="s">
        <v>6408</v>
      </c>
      <c r="B4351" s="6" t="str">
        <f>IFERROR(__xludf.DUMMYFUNCTION("GOOGLETRANSLATE(A4351,""en"",""fi"")"),"Sen selkäpuolella oleva kuori on tehty kovettuneesta magmasta. Kymmenien tuhansien vuosien aikana tulivuoren kraattereissa eläminen on muuttanut MAGCARGOn ruumiit magmaksi.")</f>
        <v>Sen selkäpuolella oleva kuori on tehty kovettuneesta magmasta. Kymmenien tuhansien vuosien aikana tulivuoren kraattereissa eläminen on muuttanut MAGCARGOn ruumiit magmaksi.</v>
      </c>
      <c r="C4351" s="9" t="s">
        <v>1344</v>
      </c>
    </row>
    <row r="4352" ht="33.75" customHeight="1">
      <c r="A4352" s="6" t="s">
        <v>6409</v>
      </c>
      <c r="B4352" s="6" t="str">
        <f>IFERROR(__xludf.DUMMYFUNCTION("GOOGLETRANSLATE(A4352,""en"",""fi"")"),"Sen hauras kuori suihkuttaa ajoittain voimakkaita liekkejä, jotka kiertävät koko kehossa.")</f>
        <v>Sen hauras kuori suihkuttaa ajoittain voimakkaita liekkejä, jotka kiertävät koko kehossa.</v>
      </c>
      <c r="C4352" s="9" t="s">
        <v>1344</v>
      </c>
    </row>
    <row r="4353" ht="33.75" customHeight="1">
      <c r="A4353" s="6" t="s">
        <v>6410</v>
      </c>
      <c r="B4353" s="6" t="str">
        <f>IFERROR(__xludf.DUMMYFUNCTION("GOOGLETRANSLATE(A4353,""en"",""fi"")"),"Sen ruumiinlämpötila on noin 18 000 Fahrenheit-astetta. Liekit purkautuvat sen kovettuneessa kuoressa olevista raoista.")</f>
        <v>Sen ruumiinlämpötila on noin 18 000 Fahrenheit-astetta. Liekit purkautuvat sen kovettuneessa kuoressa olevista raoista.</v>
      </c>
      <c r="C4353" s="9" t="s">
        <v>1344</v>
      </c>
    </row>
    <row r="4354" ht="33.75" customHeight="1">
      <c r="A4354" s="6" t="s">
        <v>6411</v>
      </c>
      <c r="B4354" s="6" t="str">
        <f>IFERROR(__xludf.DUMMYFUNCTION("GOOGLETRANSLATE(A4354,""en"",""fi"")"),"Magcargon kuori on itse asiassa sen iho, joka kovettuu jäähtymisen seurauksena. Sen kuori on hyvin hauras ja hauras – jo pelkkä sen koskettaminen saa sen murenemaan. Tämä Pokémon palaa alkuperäiseen kokoonsa upottamalla itsensä magmaan.")</f>
        <v>Magcargon kuori on itse asiassa sen iho, joka kovettuu jäähtymisen seurauksena. Sen kuori on hyvin hauras ja hauras – jo pelkkä sen koskettaminen saa sen murenemaan. Tämä Pokémon palaa alkuperäiseen kokoonsa upottamalla itsensä magmaan.</v>
      </c>
      <c r="C4354" s="9" t="s">
        <v>1344</v>
      </c>
    </row>
    <row r="4355" ht="33.75" customHeight="1">
      <c r="A4355" s="6" t="s">
        <v>6413</v>
      </c>
      <c r="B4355" s="6" t="str">
        <f>IFERROR(__xludf.DUMMYFUNCTION("GOOGLETRANSLATE(A4355,""en"",""fi"")"),"Magcargon ruumiinlämpö on noin 18 000 Fahrenheit-astetta. Vesi höyrystyy kosketuksessa. Jos tämä Pokémon joutuu sateeseen, sadepisarat muuttuvat välittömästi höyryksi ja peittävät alueen paksuun sumuun.")</f>
        <v>Magcargon ruumiinlämpö on noin 18 000 Fahrenheit-astetta. Vesi höyrystyy kosketuksessa. Jos tämä Pokémon joutuu sateeseen, sadepisarat muuttuvat välittömästi höyryksi ja peittävät alueen paksuun sumuun.</v>
      </c>
      <c r="C4355" s="9" t="s">
        <v>1344</v>
      </c>
    </row>
    <row r="4356" ht="33.75" customHeight="1">
      <c r="A4356" s="6" t="s">
        <v>6415</v>
      </c>
      <c r="B4356" s="6" t="str">
        <f>IFERROR(__xludf.DUMMYFUNCTION("GOOGLETRANSLATE(A4356,""en"",""fi"")"),"Se hieroo kuonoaan maahan löytääkseen ja kaivaakseen esiin ruokaa. Joskus se löytää kuumia lähteitä.")</f>
        <v>Se hieroo kuonoaan maahan löytääkseen ja kaivaakseen esiin ruokaa. Joskus se löytää kuumia lähteitä.</v>
      </c>
      <c r="C4356" s="9" t="s">
        <v>1344</v>
      </c>
    </row>
    <row r="4357" ht="33.75" customHeight="1">
      <c r="A4357" s="6" t="s">
        <v>6417</v>
      </c>
      <c r="B4357" s="6" t="str">
        <f>IFERROR(__xludf.DUMMYFUNCTION("GOOGLETRANSLATE(A4357,""en"",""fi"")"),"Jos se haistaa jotain houkuttelevaa, se syöksyy suin päin etsimään tuoksun lähdettä.")</f>
        <v>Jos se haistaa jotain houkuttelevaa, se syöksyy suin päin etsimään tuoksun lähdettä.</v>
      </c>
      <c r="C4357" s="9" t="s">
        <v>1344</v>
      </c>
    </row>
    <row r="4358" ht="33.75" customHeight="1">
      <c r="A4358" s="6" t="s">
        <v>6419</v>
      </c>
      <c r="B4358" s="6" t="str">
        <f>IFERROR(__xludf.DUMMYFUNCTION("GOOGLETRANSLATE(A4358,""en"",""fi"")"),"Se käyttää kuononsa kärkeä ruoan kaivamiseen. Sen kuono on niin sitkeä, että edes jäätynyt maa ei ole ongelma.")</f>
        <v>Se käyttää kuononsa kärkeä ruoan kaivamiseen. Sen kuono on niin sitkeä, että edes jäätynyt maa ei ole ongelma.</v>
      </c>
      <c r="C4358" s="9" t="s">
        <v>1344</v>
      </c>
    </row>
    <row r="4359" ht="33.75" customHeight="1">
      <c r="A4359" s="6" t="s">
        <v>6420</v>
      </c>
      <c r="B4359" s="6" t="str">
        <f>IFERROR(__xludf.DUMMYFUNCTION("GOOGLETRANSLATE(A4359,""en"",""fi"")"),"SWINUB juurruttaa ruokaa hieromalla kuonoaan maata vasten. Sen lempiruoka on sieni, joka kasvaa kuolleen ruohon alla. Tämä POKéMON juurruttaa toisinaan kuumia lähteitä.")</f>
        <v>SWINUB juurruttaa ruokaa hieromalla kuonoaan maata vasten. Sen lempiruoka on sieni, joka kasvaa kuolleen ruohon alla. Tämä POKéMON juurruttaa toisinaan kuumia lähteitä.</v>
      </c>
      <c r="C4359" s="9" t="s">
        <v>1344</v>
      </c>
    </row>
    <row r="4360" ht="33.75" customHeight="1">
      <c r="A4360" s="6" t="s">
        <v>6421</v>
      </c>
      <c r="B4360" s="6" t="str">
        <f>IFERROR(__xludf.DUMMYFUNCTION("GOOGLETRANSLATE(A4360,""en"",""fi"")"),"Se etsii ravintoa hieromalla kuonoaan maata vasten. Sen lempiruoka on sieni, joka kasvaa kuivan ruohon alla. Toisinaan se juurineen kaivaa esiin kuumia lähteitä.")</f>
        <v>Se etsii ravintoa hieromalla kuonoaan maata vasten. Sen lempiruoka on sieni, joka kasvaa kuivan ruohon alla. Toisinaan se juurineen kaivaa esiin kuumia lähteitä.</v>
      </c>
      <c r="C4360" s="9" t="s">
        <v>1344</v>
      </c>
    </row>
    <row r="4361" ht="33.75" customHeight="1">
      <c r="A4361" s="6" t="s">
        <v>6422</v>
      </c>
      <c r="B4361" s="6" t="str">
        <f>IFERROR(__xludf.DUMMYFUNCTION("GOOGLETRANSLATE(A4361,""en"",""fi"")"),"Jos se haistaa jotain houkuttelevaa, se syöksyy suin päin etsimään tuoksun lähdettä.")</f>
        <v>Jos se haistaa jotain houkuttelevaa, se syöksyy suin päin etsimään tuoksun lähdettä.</v>
      </c>
      <c r="C4361" s="9" t="s">
        <v>1344</v>
      </c>
    </row>
    <row r="4362" ht="33.75" customHeight="1">
      <c r="A4362" s="6" t="s">
        <v>6424</v>
      </c>
      <c r="B4362" s="6" t="str">
        <f>IFERROR(__xludf.DUMMYFUNCTION("GOOGLETRANSLATE(A4362,""en"",""fi"")"),"Se rakastaa syödä kuolleen ruohon alla kasvavia sieniä. Se löytää myös kuumia lähteitä etsiessään ruokaa.")</f>
        <v>Se rakastaa syödä kuolleen ruohon alla kasvavia sieniä. Se löytää myös kuumia lähteitä etsiessään ruokaa.</v>
      </c>
      <c r="C4362" s="9" t="s">
        <v>1344</v>
      </c>
    </row>
    <row r="4363" ht="33.75" customHeight="1">
      <c r="A4363" s="6" t="s">
        <v>6426</v>
      </c>
      <c r="B4363" s="6" t="str">
        <f>IFERROR(__xludf.DUMMYFUNCTION("GOOGLETRANSLATE(A4363,""en"",""fi"")"),"Sillä on erittäin herkkä nenä. Se pystyy paikantamaan sieniä, marjoja ja jopa jään alla olevia kuumia lähteitä.")</f>
        <v>Sillä on erittäin herkkä nenä. Se pystyy paikantamaan sieniä, marjoja ja jopa jään alla olevia kuumia lähteitä.</v>
      </c>
      <c r="C4363" s="9" t="s">
        <v>1344</v>
      </c>
    </row>
    <row r="4364" ht="33.75" customHeight="1">
      <c r="A4364" s="6" t="s">
        <v>6427</v>
      </c>
      <c r="B4364" s="6" t="str">
        <f>IFERROR(__xludf.DUMMYFUNCTION("GOOGLETRANSLATE(A4364,""en"",""fi"")"),"Se työntää kuononsa pään maahan etsien ruokaa. Joskus se jopa kaivaa kuuman lähteen.")</f>
        <v>Se työntää kuononsa pään maahan etsien ruokaa. Joskus se jopa kaivaa kuuman lähteen.</v>
      </c>
      <c r="C4364" s="9" t="s">
        <v>1344</v>
      </c>
    </row>
    <row r="4365" ht="33.75" customHeight="1">
      <c r="A4365" s="6" t="s">
        <v>6429</v>
      </c>
      <c r="B4365" s="6" t="str">
        <f>IFERROR(__xludf.DUMMYFUNCTION("GOOGLETRANSLATE(A4365,""en"",""fi"")"),"Swinub juurruttaa ruokaa hieromalla kuonoaan maata vasten. Sen lempiruoka on sieni, joka kasvaa kuolleen ruohon alla. Tämä Pokémon juurruttaa toisinaan kuumia lähteitä.")</f>
        <v>Swinub juurruttaa ruokaa hieromalla kuonoaan maata vasten. Sen lempiruoka on sieni, joka kasvaa kuolleen ruohon alla. Tämä Pokémon juurruttaa toisinaan kuumia lähteitä.</v>
      </c>
      <c r="C4365" s="9" t="s">
        <v>1344</v>
      </c>
    </row>
    <row r="4366" ht="33.75" customHeight="1">
      <c r="A4366" s="6" t="s">
        <v>6430</v>
      </c>
      <c r="B4366" s="6" t="str">
        <f>IFERROR(__xludf.DUMMYFUNCTION("GOOGLETRANSLATE(A4366,""en"",""fi"")"),"Swinub on erinomainen nuuhkimaan ruohon tai lumen alle hautautuneet sienet. Muinaisista ajoista lähtien Hisuin kansa on usein luottanut tähän taitoon.")</f>
        <v>Swinub on erinomainen nuuhkimaan ruohon tai lumen alle hautautuneet sienet. Muinaisista ajoista lähtien Hisuin kansa on usein luottanut tähän taitoon.</v>
      </c>
      <c r="C4366" s="9" t="s">
        <v>1344</v>
      </c>
    </row>
    <row r="4367" ht="33.75" customHeight="1">
      <c r="A4367" s="6" t="s">
        <v>6431</v>
      </c>
      <c r="B4367" s="6" t="str">
        <f>IFERROR(__xludf.DUMMYFUNCTION("GOOGLETRANSLATE(A4367,""en"",""fi"")"),"Koska sen pitkät karvat peittävät näkökentän, se vain rynnii jatkuvasti.")</f>
        <v>Koska sen pitkät karvat peittävät näkökentän, se vain rynnii jatkuvasti.</v>
      </c>
      <c r="C4367" s="9" t="s">
        <v>1344</v>
      </c>
    </row>
    <row r="4368" ht="33.75" customHeight="1">
      <c r="A4368" s="6" t="s">
        <v>6433</v>
      </c>
      <c r="B4368" s="6" t="str">
        <f>IFERROR(__xludf.DUMMYFUNCTION("GOOGLETRANSLATE(A4368,""en"",""fi"")"),"Jos se hyökkää vihollista kohti, sen selkäkarvat pystyvät. Se on erittäin herkkä äänelle.")</f>
        <v>Jos se hyökkää vihollista kohti, sen selkäkarvat pystyvät. Se on erittäin herkkä äänelle.</v>
      </c>
      <c r="C4368" s="9" t="s">
        <v>1344</v>
      </c>
    </row>
    <row r="4369" ht="33.75" customHeight="1">
      <c r="A4369" s="6" t="s">
        <v>6434</v>
      </c>
      <c r="B4369" s="6" t="str">
        <f>IFERROR(__xludf.DUMMYFUNCTION("GOOGLETRANSLATE(A4369,""en"",""fi"")"),"Vaikka sen jalat ovat lyhyet, sen karkeat kaviot estävät sitä liukastumasta edes jäisellä alustalla.")</f>
        <v>Vaikka sen jalat ovat lyhyet, sen karkeat kaviot estävät sitä liukastumasta edes jäisellä alustalla.</v>
      </c>
      <c r="C4369" s="9" t="s">
        <v>1344</v>
      </c>
    </row>
    <row r="4370" ht="33.75" customHeight="1">
      <c r="A4370" s="6" t="s">
        <v>6435</v>
      </c>
      <c r="B4370" s="6" t="str">
        <f>IFERROR(__xludf.DUMMYFUNCTION("GOOGLETRANSLATE(A4370,""en"",""fi"")"),"PILOSWINEa peittää paksu ja pitkä karvapeite, jonka ansiosta se kestää hyytävän kylmyyttä. Tämä POKéMON käyttää syöksyhampaitaan kaivaakseen esiin jään alle hautautunutta ruokaa.")</f>
        <v>PILOSWINEa peittää paksu ja pitkä karvapeite, jonka ansiosta se kestää hyytävän kylmyyttä. Tämä POKéMON käyttää syöksyhampaitaan kaivaakseen esiin jään alle hautautunutta ruokaa.</v>
      </c>
      <c r="C4370" s="9" t="s">
        <v>1344</v>
      </c>
    </row>
    <row r="4371" ht="33.75" customHeight="1">
      <c r="A4371" s="6" t="s">
        <v>6436</v>
      </c>
      <c r="B4371" s="6" t="str">
        <f>IFERROR(__xludf.DUMMYFUNCTION("GOOGLETRANSLATE(A4371,""en"",""fi"")"),"Piloswine-karvaa peittää paksu ja pitkä karvapeite, jotta se kestää hyytävän kylmyyttä. Se käyttää syöksyhampaitaan kaivaakseen esiin jään alle hautautunutta ruokaa.")</f>
        <v>Piloswine-karvaa peittää paksu ja pitkä karvapeite, jotta se kestää hyytävän kylmyyttä. Se käyttää syöksyhampaitaan kaivaakseen esiin jään alle hautautunutta ruokaa.</v>
      </c>
      <c r="C4371" s="9" t="s">
        <v>1344</v>
      </c>
    </row>
    <row r="4372" ht="33.75" customHeight="1">
      <c r="A4372" s="6" t="s">
        <v>6438</v>
      </c>
      <c r="B4372" s="6" t="str">
        <f>IFERROR(__xludf.DUMMYFUNCTION("GOOGLETRANSLATE(A4372,""en"",""fi"")"),"Jos se hyökkää vihollista kohti, sen selkäkarvat pystyvät. Se on erittäin herkkä äänelle.")</f>
        <v>Jos se hyökkää vihollista kohti, sen selkäkarvat pystyvät. Se on erittäin herkkä äänelle.</v>
      </c>
      <c r="C4372" s="9" t="s">
        <v>1344</v>
      </c>
    </row>
    <row r="4373" ht="33.75" customHeight="1">
      <c r="A4373" s="6" t="s">
        <v>6439</v>
      </c>
      <c r="B4373" s="6" t="str">
        <f>IFERROR(__xludf.DUMMYFUNCTION("GOOGLETRANSLATE(A4373,""en"",""fi"")"),"Sen pörröinen turkki tekee siitä näkökyvyttömän. Sen sijaan se tarkkailee ympäristöään herkällä nenällään.")</f>
        <v>Sen pörröinen turkki tekee siitä näkökyvyttömän. Sen sijaan se tarkkailee ympäristöään herkällä nenällään.</v>
      </c>
      <c r="C4373" s="9" t="s">
        <v>1344</v>
      </c>
    </row>
    <row r="4374" ht="33.75" customHeight="1">
      <c r="A4374" s="6" t="s">
        <v>6440</v>
      </c>
      <c r="B4374" s="6" t="str">
        <f>IFERROR(__xludf.DUMMYFUNCTION("GOOGLETRANSLATE(A4374,""en"",""fi"")"),"Pörröisen turkin peittämänä se kestää kylmää. Sen jäähampaat paksuuntuvat lumen sateessa.")</f>
        <v>Pörröisen turkin peittämänä se kestää kylmää. Sen jäähampaat paksuuntuvat lumen sateessa.</v>
      </c>
      <c r="C4374" s="9" t="s">
        <v>1344</v>
      </c>
    </row>
    <row r="4375" ht="33.75" customHeight="1">
      <c r="A4375" s="6" t="s">
        <v>6442</v>
      </c>
      <c r="B4375" s="6" t="str">
        <f>IFERROR(__xludf.DUMMYFUNCTION("GOOGLETRANSLATE(A4375,""en"",""fi"")"),"Erinomaisen hajuaistinsa ansiosta se löytää jopa jäätyneen maan alta löytyviä sieniä.")</f>
        <v>Erinomaisen hajuaistinsa ansiosta se löytää jopa jäätyneen maan alta löytyviä sieniä.</v>
      </c>
      <c r="C4375" s="9" t="s">
        <v>1344</v>
      </c>
    </row>
    <row r="4376" ht="33.75" customHeight="1">
      <c r="A4376" s="6" t="s">
        <v>6444</v>
      </c>
      <c r="B4376" s="6" t="str">
        <f>IFERROR(__xludf.DUMMYFUNCTION("GOOGLETRANSLATE(A4376,""en"",""fi"")"),"Piloswinea peittää paksu ja pitkä karvapeite, jonka ansiosta se kestää hyytävän kylmyyden. Tämä Pokémon käyttää syöksyhampaitaan kaivaakseen esiin jään alle hautautunutta ruokaa.")</f>
        <v>Piloswinea peittää paksu ja pitkä karvapeite, jonka ansiosta se kestää hyytävän kylmyyden. Tämä Pokémon käyttää syöksyhampaitaan kaivaakseen esiin jään alle hautautunutta ruokaa.</v>
      </c>
      <c r="C4376" s="9" t="s">
        <v>1344</v>
      </c>
    </row>
    <row r="4377" ht="33.75" customHeight="1">
      <c r="A4377" s="6" t="s">
        <v>6445</v>
      </c>
      <c r="B4377" s="6" t="str">
        <f>IFERROR(__xludf.DUMMYFUNCTION("GOOGLETRANSLATE(A4377,""en"",""fi"")"),"Tämän Pokémonin pitkä turkki peittää sen silmät, korvat ja jopa raajat, minkä ansiosta Piloswine kestää ankaran kylmyyden. Pokémonin valkoisia syöksyhampaita voidaan käyttää vihollisten voittamiseen.")</f>
        <v>Tämän Pokémonin pitkä turkki peittää sen silmät, korvat ja jopa raajat, minkä ansiosta Piloswine kestää ankaran kylmyyden. Pokémonin valkoisia syöksyhampaita voidaan käyttää vihollisten voittamiseen.</v>
      </c>
      <c r="C4377" s="9" t="s">
        <v>1344</v>
      </c>
    </row>
    <row r="4378" ht="33.75" customHeight="1">
      <c r="A4378" s="6" t="s">
        <v>6447</v>
      </c>
      <c r="B4378" s="6" t="str">
        <f>IFERROR(__xludf.DUMMYFUNCTION("GOOGLETRANSLATE(A4378,""en"",""fi"")"),"Se karvaa ja kasvaa jatkuvasti. Sen päänpäätä arvostetaan kauneutensa vuoksi.")</f>
        <v>Se karvaa ja kasvaa jatkuvasti. Sen päänpäätä arvostetaan kauneutensa vuoksi.</v>
      </c>
      <c r="C4378" s="9" t="s">
        <v>1344</v>
      </c>
    </row>
    <row r="4379" ht="33.75" customHeight="1">
      <c r="A4379" s="6" t="s">
        <v>6449</v>
      </c>
      <c r="B4379" s="6" t="str">
        <f>IFERROR(__xludf.DUMMYFUNCTION("GOOGLETRANSLATE(A4379,""en"",""fi"")"),"Etelämeren valtiossa ihmiset asuvat yhteisöissä, jotka ovat rakentuneet näiden POKéMONien ryhmien varaan.")</f>
        <v>Etelämeren valtiossa ihmiset asuvat yhteisöissä, jotka ovat rakentuneet näiden POKéMONien ryhmien varaan.</v>
      </c>
      <c r="C4379" s="9" t="s">
        <v>1344</v>
      </c>
    </row>
    <row r="4380" ht="33.75" customHeight="1">
      <c r="A4380" s="6" t="s">
        <v>6450</v>
      </c>
      <c r="B4380" s="6" t="str">
        <f>IFERROR(__xludf.DUMMYFUNCTION("GOOGLETRANSLATE(A4380,""en"",""fi"")"),"Sen pään kärjet imevät ravinteita puhtaasta vedestä. Ne eivät selviä saastuneessa vedessä.")</f>
        <v>Sen pään kärjet imevät ravinteita puhtaasta vedestä. Ne eivät selviä saastuneessa vedessä.</v>
      </c>
      <c r="C4380" s="9" t="s">
        <v>1344</v>
      </c>
    </row>
    <row r="4381" ht="33.75" customHeight="1">
      <c r="A4381" s="6" t="s">
        <v>6451</v>
      </c>
      <c r="B4381" s="6" t="str">
        <f>IFERROR(__xludf.DUMMYFUNCTION("GOOGLETRANSLATE(A4381,""en"",""fi"")"),"CORSOLAn oksat kimaltelevat kauniisti seitsemässä värissä auringonvalossa. Jos jokin oksa katkeaa, tämä POKéMON kasvattaa sen takaisin vain yhdessä yössä.")</f>
        <v>CORSOLAn oksat kimaltelevat kauniisti seitsemässä värissä auringonvalossa. Jos jokin oksa katkeaa, tämä POKéMON kasvattaa sen takaisin vain yhdessä yössä.</v>
      </c>
      <c r="C4381" s="9" t="s">
        <v>1344</v>
      </c>
    </row>
    <row r="4382" ht="33.75" customHeight="1">
      <c r="A4382" s="6" t="s">
        <v>6452</v>
      </c>
      <c r="B4382" s="6" t="str">
        <f>IFERROR(__xludf.DUMMYFUNCTION("GOOGLETRANSLATE(A4382,""en"",""fi"")"),"CORSOLA-ryppäitä kerääntyy lämpimiin meriin, missä ne toimivat ihanteellisina piilopaikkoina pienemmille POKéMONeille. Kun veden lämpötila laskee, nämä POKéMONit vaeltavat eteläisille merille.")</f>
        <v>CORSOLA-ryppäitä kerääntyy lämpimiin meriin, missä ne toimivat ihanteellisina piilopaikkoina pienemmille POKéMONeille. Kun veden lämpötila laskee, nämä POKéMONit vaeltavat eteläisille merille.</v>
      </c>
      <c r="C4382" s="9" t="s">
        <v>1344</v>
      </c>
    </row>
    <row r="4383" ht="33.75" customHeight="1">
      <c r="A4383" s="6" t="s">
        <v>6453</v>
      </c>
      <c r="B4383" s="6" t="str">
        <f>IFERROR(__xludf.DUMMYFUNCTION("GOOGLETRANSLATE(A4383,""en"",""fi"")"),"KORALLIT elävät lämpimissä eteläisissä merissä. Jos meri saastuu, kauniit korallien varret värjäytyvät ja murenevat palasiksi.")</f>
        <v>KORALLIT elävät lämpimissä eteläisissä merissä. Jos meri saastuu, kauniit korallien varret värjäytyvät ja murenevat palasiksi.</v>
      </c>
      <c r="C4383" s="9" t="s">
        <v>1344</v>
      </c>
    </row>
    <row r="4384" ht="33.75" customHeight="1">
      <c r="A4384" s="6" t="s">
        <v>6455</v>
      </c>
      <c r="B4384" s="6" t="str">
        <f>IFERROR(__xludf.DUMMYFUNCTION("GOOGLETRANSLATE(A4384,""en"",""fi"")"),"Etelämeren valtiossa ihmiset asuvat yhteisöissä, jotka ovat rakentuneet näiden POKéMONien ryhmien varaan.")</f>
        <v>Etelämeren valtiossa ihmiset asuvat yhteisöissä, jotka ovat rakentuneet näiden POKéMONien ryhmien varaan.</v>
      </c>
      <c r="C4384" s="9" t="s">
        <v>1344</v>
      </c>
    </row>
    <row r="4385" ht="33.75" customHeight="1">
      <c r="A4385" s="6" t="s">
        <v>6456</v>
      </c>
      <c r="B4385" s="6" t="str">
        <f>IFERROR(__xludf.DUMMYFUNCTION("GOOGLETRANSLATE(A4385,""en"",""fi"")"),"Monet elävät etelän puhtaissa merissä. Ne eivät ilmeisesti voi elää saastuneissa vesissä.")</f>
        <v>Monet elävät etelän puhtaissa merissä. Ne eivät ilmeisesti voi elää saastuneissa vesissä.</v>
      </c>
      <c r="C4385" s="9" t="s">
        <v>1344</v>
      </c>
    </row>
    <row r="4386" ht="33.75" customHeight="1">
      <c r="A4386" s="6" t="s">
        <v>6458</v>
      </c>
      <c r="B4386" s="6" t="str">
        <f>IFERROR(__xludf.DUMMYFUNCTION("GOOGLETRANSLATE(A4386,""en"",""fi"")"),"Se karvaa ja kasvaa jatkuvasti. Sen päänpäätä arvostetaan aarteena sen kauneuden vuoksi.")</f>
        <v>Se karvaa ja kasvaa jatkuvasti. Sen päänpäätä arvostetaan aarteena sen kauneuden vuoksi.</v>
      </c>
      <c r="C4386" s="9" t="s">
        <v>1344</v>
      </c>
    </row>
    <row r="4387" ht="33.75" customHeight="1">
      <c r="A4387" s="6" t="s">
        <v>6459</v>
      </c>
      <c r="B4387" s="6" t="str">
        <f>IFERROR(__xludf.DUMMYFUNCTION("GOOGLETRANSLATE(A4387,""en"",""fi"")"),"Etelämeren valtiossa ihmiset asuvat yhteisöissä, jotka ovat rakentuneet näiden Pokémonien ryhmien varaan.")</f>
        <v>Etelämeren valtiossa ihmiset asuvat yhteisöissä, jotka ovat rakentuneet näiden Pokémonien ryhmien varaan.</v>
      </c>
      <c r="C4387" s="9" t="s">
        <v>1344</v>
      </c>
    </row>
    <row r="4388" ht="33.75" customHeight="1">
      <c r="A4388" s="6" t="s">
        <v>6460</v>
      </c>
      <c r="B4388" s="6" t="str">
        <f>IFERROR(__xludf.DUMMYFUNCTION("GOOGLETRANSLATE(A4388,""en"",""fi"")"),"Ne suosivat saastumattomia eteläisiä meriä. Niiden korallioksat menettävät värinsä ja rappeutuvat likaisessa vedessä.")</f>
        <v>Ne suosivat saastumattomia eteläisiä meriä. Niiden korallioksat menettävät värinsä ja rappeutuvat likaisessa vedessä.</v>
      </c>
      <c r="C4388" s="9" t="s">
        <v>1344</v>
      </c>
    </row>
    <row r="4389" ht="33.75" customHeight="1">
      <c r="A4389" s="6" t="s">
        <v>6461</v>
      </c>
      <c r="B4389" s="6" t="str">
        <f>IFERROR(__xludf.DUMMYFUNCTION("GOOGLETRANSLATE(A4389,""en"",""fi"")"),"Corsolan oksat kimaltelevat kauniisti seitsemässä värissä auringonvalossa. Jos jokin oksa katkeaa, tämä Pokémon kasvattaa sen takaisin vain yhdessä yössä.")</f>
        <v>Corsolan oksat kimaltelevat kauniisti seitsemässä värissä auringonvalossa. Jos jokin oksa katkeaa, tämä Pokémon kasvattaa sen takaisin vain yhdessä yössä.</v>
      </c>
      <c r="C4389" s="9" t="s">
        <v>1344</v>
      </c>
    </row>
    <row r="4390" ht="33.75" customHeight="1">
      <c r="A4390" s="6" t="s">
        <v>6462</v>
      </c>
      <c r="B4390" s="6" t="str">
        <f>IFERROR(__xludf.DUMMYFUNCTION("GOOGLETRANSLATE(A4390,""en"",""fi"")"),"Corsola-parvet kerääntyvät lämpimiin meriin, missä ne toimivat ihanteellisina piilopaikkoina pienemmille Pokémoneille. Kun veden lämpötila laskee, tämä Pokémon vaeltaa eteläisiin meriin.")</f>
        <v>Corsola-parvet kerääntyvät lämpimiin meriin, missä ne toimivat ihanteellisina piilopaikkoina pienemmille Pokémoneille. Kun veden lämpötila laskee, tämä Pokémon vaeltaa eteläisiin meriin.</v>
      </c>
      <c r="C4390" s="9" t="s">
        <v>1344</v>
      </c>
    </row>
    <row r="4391" ht="33.75" customHeight="1">
      <c r="A4391" s="6" t="s">
        <v>6463</v>
      </c>
      <c r="B4391" s="6" t="str">
        <f>IFERROR(__xludf.DUMMYFUNCTION("GOOGLETRANSLATE(A4391,""en"",""fi"")"),"Korallinoksia kasvaa sen päästä. Ne katkeavat melko helposti, mutta kasvavat takaisin noin kolmessa päivässä.")</f>
        <v>Korallinoksia kasvaa sen päästä. Ne katkeavat melko helposti, mutta kasvavat takaisin noin kolmessa päivässä.</v>
      </c>
      <c r="C4391" s="9" t="s">
        <v>1344</v>
      </c>
    </row>
    <row r="4392" ht="33.75" customHeight="1">
      <c r="A4392" s="6" t="s">
        <v>6464</v>
      </c>
      <c r="B4392" s="6" t="str">
        <f>IFERROR(__xludf.DUMMYFUNCTION("GOOGLETRANSLATE(A4392,""en"",""fi"")"),"Mareanien jahdatessa tätä Pokémonia sen päässä olevien oksien vuoksi, se joskus napsahtaa omat oksansa irti harhautuksena paetessaan.")</f>
        <v>Mareanien jahdatessa tätä Pokémonia sen päässä olevien oksien vuoksi, se joskus napsahtaa omat oksansa irti harhautuksena paetessaan.</v>
      </c>
      <c r="C4392" s="9" t="s">
        <v>1344</v>
      </c>
    </row>
    <row r="4393" ht="33.75" customHeight="1">
      <c r="A4393" s="6" t="s">
        <v>6465</v>
      </c>
      <c r="B4393" s="6" t="str">
        <f>IFERROR(__xludf.DUMMYFUNCTION("GOOGLETRANSLATE(A4393,""en"",""fi"")"),"Alolassa elävien Corsolan kukintojen vaaleanpunainen väri on syvä ja eloisa ravinteita täynnä olevien merien ansiosta.")</f>
        <v>Alolassa elävien Corsolan kukintojen vaaleanpunainen väri on syvä ja eloisa ravinteita täynnä olevien merien ansiosta.</v>
      </c>
      <c r="C4393" s="9" t="s">
        <v>1344</v>
      </c>
    </row>
    <row r="4394" ht="33.75" customHeight="1">
      <c r="A4394" s="6" t="s">
        <v>6466</v>
      </c>
      <c r="B4394" s="6" t="str">
        <f>IFERROR(__xludf.DUMMYFUNCTION("GOOGLETRANSLATE(A4394,""en"",""fi"")"),"Alolassa, missä niiden luonnollisia vihollisia Mareanie-heiniä on runsaasti, monilla Corsolan heinillä on tynkäoksia päässään.")</f>
        <v>Alolassa, missä niiden luonnollisia vihollisia Mareanie-heiniä on runsaasti, monilla Corsolan heinillä on tynkäoksia päässään.</v>
      </c>
      <c r="C4394" s="9" t="s">
        <v>1344</v>
      </c>
    </row>
    <row r="4395" ht="33.75" customHeight="1">
      <c r="A4395" s="6" t="s">
        <v>6467</v>
      </c>
      <c r="B4395" s="6" t="str">
        <f>IFERROR(__xludf.DUMMYFUNCTION("GOOGLETRANSLATE(A4395,""en"",""fi"")"),"Se kasvattaa takaisin kaikki sen päästä katkeavat oksat. Ihmiset säilyttävät erityisen kauniita Corsolan oksia amuletteina edistääkseen turvallista synnytystä.")</f>
        <v>Se kasvattaa takaisin kaikki sen päästä katkeavat oksat. Ihmiset säilyttävät erityisen kauniita Corsolan oksia amuletteina edistääkseen turvallista synnytystä.</v>
      </c>
      <c r="C4395" s="9" t="s">
        <v>1344</v>
      </c>
    </row>
    <row r="4396" ht="33.75" customHeight="1">
      <c r="A4396" s="6" t="s">
        <v>6468</v>
      </c>
      <c r="B4396" s="6" t="str">
        <f>IFERROR(__xludf.DUMMYFUNCTION("GOOGLETRANSLATE(A4396,""en"",""fi"")"),"Nämä Pokémonit elävät lämpimissä merissä. Esihistoriallisina aikoina monet niistä elivät myös Galarin alueen valtamerissä.")</f>
        <v>Nämä Pokémonit elävät lämpimissä merissä. Esihistoriallisina aikoina monet niistä elivät myös Galarin alueen valtamerissä.</v>
      </c>
      <c r="C4396" s="9" t="s">
        <v>1344</v>
      </c>
    </row>
    <row r="4397" ht="33.75" customHeight="1">
      <c r="A4397" s="6" t="s">
        <v>6469</v>
      </c>
      <c r="B4397" s="6" t="str">
        <f>IFERROR(__xludf.DUMMYFUNCTION("GOOGLETRANSLATE(A4397,""en"",""fi"")"),"Sen tarkkuus on erinomainen. Sen ampuma vesi voi iskeä jopa liikkuvaan saaliiseen yli 90 metrin etäisyydeltä.")</f>
        <v>Sen tarkkuus on erinomainen. Sen ampuma vesi voi iskeä jopa liikkuvaan saaliiseen yli 90 metrin etäisyydeltä.</v>
      </c>
      <c r="C4397" s="9" t="s">
        <v>1344</v>
      </c>
    </row>
    <row r="4398" ht="33.75" customHeight="1">
      <c r="A4398" s="6" t="s">
        <v>6470</v>
      </c>
      <c r="B4398" s="6" t="str">
        <f>IFERROR(__xludf.DUMMYFUNCTION("GOOGLETRANSLATE(A4398,""en"",""fi"")"),"Käyttäen selkäevää imukuppina, se tarttuu MANTINE:n alapuolelle kerätäkseen ruokajäämiä.")</f>
        <v>Käyttäen selkäevää imukuppina, se tarttuu MANTINE:n alapuolelle kerätäkseen ruokajäämiä.</v>
      </c>
      <c r="C4398" s="9" t="s">
        <v>1344</v>
      </c>
    </row>
    <row r="4399" ht="33.75" customHeight="1">
      <c r="A4399" s="6" t="s">
        <v>6472</v>
      </c>
      <c r="B4399" s="6" t="str">
        <f>IFERROR(__xludf.DUMMYFUNCTION("GOOGLETRANSLATE(A4399,""en"",""fi"")"),"Paetakseen hyökkääjää se voi ampua vettä suustaan ​​ja käyttää sitten tätä voimaa uidakseen taaksepäin.")</f>
        <v>Paetakseen hyökkääjää se voi ampua vettä suustaan ​​ja käyttää sitten tätä voimaa uidakseen taaksepäin.</v>
      </c>
      <c r="C4399" s="9" t="s">
        <v>1344</v>
      </c>
    </row>
    <row r="4400" ht="33.75" customHeight="1">
      <c r="A4400" s="6" t="s">
        <v>6473</v>
      </c>
      <c r="B4400" s="6" t="str">
        <f>IFERROR(__xludf.DUMMYFUNCTION("GOOGLETRANSLATE(A4400,""en"",""fi"")"),"REMORAID imee vettä ja työntää sen sitten ulos suurella nopeudella ampumalla alas lentävää saalista vatsalihaksillaan. Kun evoluutio lähestyy, tämä POKéMON kulkee jokien alavirtaan.")</f>
        <v>REMORAID imee vettä ja työntää sen sitten ulos suurella nopeudella ampumalla alas lentävää saalista vatsalihaksillaan. Kun evoluutio lähestyy, tämä POKéMON kulkee jokien alavirtaan.</v>
      </c>
      <c r="C4400" s="9" t="s">
        <v>1344</v>
      </c>
    </row>
    <row r="4401" ht="33.75" customHeight="1">
      <c r="A4401" s="6" t="s">
        <v>6474</v>
      </c>
      <c r="B4401" s="6" t="str">
        <f>IFERROR(__xludf.DUMMYFUNCTION("GOOGLETRANSLATE(A4401,""en"",""fi"")"),"REMORAID käyttää vatsalihaksiaan työntääkseen nieltyä vettä voimakkaasti ulos ja ampua sitten lentävän saaliin alas. Kun evoluutio lähestyy, se kulkee jokia pitkin.")</f>
        <v>REMORAID käyttää vatsalihaksiaan työntääkseen nieltyä vettä voimakkaasti ulos ja ampua sitten lentävän saaliin alas. Kun evoluutio lähestyy, se kulkee jokia pitkin.</v>
      </c>
      <c r="C4401" s="9" t="s">
        <v>1344</v>
      </c>
    </row>
    <row r="4402" ht="33.75" customHeight="1">
      <c r="A4402" s="6" t="s">
        <v>6475</v>
      </c>
      <c r="B4402" s="6" t="str">
        <f>IFERROR(__xludf.DUMMYFUNCTION("GOOGLETRANSLATE(A4402,""en"",""fi"")"),"Käyttäen selkäevää imukuppina, se tarttuu MANTINE-apinan alapuolelle kerätäkseen ruoantähteitä.")</f>
        <v>Käyttäen selkäevää imukuppina, se tarttuu MANTINE-apinan alapuolelle kerätäkseen ruoantähteitä.</v>
      </c>
      <c r="C4402" s="9" t="s">
        <v>1344</v>
      </c>
    </row>
    <row r="4403" ht="33.75" customHeight="1">
      <c r="A4403" s="6" t="s">
        <v>6476</v>
      </c>
      <c r="B4403" s="6" t="str">
        <f>IFERROR(__xludf.DUMMYFUNCTION("GOOGLETRANSLATE(A4403,""en"",""fi"")"),"Sen tarkkuus on erinomainen. Sen ampuma vesi voi iskeä jopa liikkuvaan saaliiseen yli 90 metrin päästä.")</f>
        <v>Sen tarkkuus on erinomainen. Sen ampuma vesi voi iskeä jopa liikkuvaan saaliiseen yli 90 metrin päästä.</v>
      </c>
      <c r="C4403" s="9" t="s">
        <v>1344</v>
      </c>
    </row>
    <row r="4404" ht="33.75" customHeight="1">
      <c r="A4404" s="6" t="s">
        <v>6478</v>
      </c>
      <c r="B4404" s="6" t="str">
        <f>IFERROR(__xludf.DUMMYFUNCTION("GOOGLETRANSLATE(A4404,""en"",""fi"")"),"Se suihkuttaa vettä voimakkaasti suustaan ​​ampuakseen alas lentävän saaliinsa.")</f>
        <v>Se suihkuttaa vettä voimakkaasti suustaan ​​ampuakseen alas lentävän saaliinsa.</v>
      </c>
      <c r="C4404" s="9" t="s">
        <v>1344</v>
      </c>
    </row>
    <row r="4405" ht="33.75" customHeight="1">
      <c r="A4405" s="6" t="s">
        <v>6480</v>
      </c>
      <c r="B4405" s="6" t="str">
        <f>IFERROR(__xludf.DUMMYFUNCTION("GOOGLETRANSLATE(A4405,""en"",""fi"")"),"Se takertuu MANTINEen syödäkseen ison Pokémonin palasia. Tämä on sopeutuminen vihollisten välttämiseksi.")</f>
        <v>Se takertuu MANTINEen syödäkseen ison Pokémonin palasia. Tämä on sopeutuminen vihollisten välttämiseksi.</v>
      </c>
      <c r="C4405" s="9" t="s">
        <v>1344</v>
      </c>
    </row>
    <row r="4406" ht="33.75" customHeight="1">
      <c r="A4406" s="6" t="s">
        <v>6482</v>
      </c>
      <c r="B4406" s="6" t="str">
        <f>IFERROR(__xludf.DUMMYFUNCTION("GOOGLETRANSLATE(A4406,""en"",""fi"")"),"Se suihkuttaa vettä voimakkaasti. Vesisuihku ei koskaan osu saaliiseen, vaikka REMORAID olisi syvällä meressä.")</f>
        <v>Se suihkuttaa vettä voimakkaasti. Vesisuihku ei koskaan osu saaliiseen, vaikka REMORAID olisi syvällä meressä.</v>
      </c>
      <c r="C4406" s="9" t="s">
        <v>1344</v>
      </c>
    </row>
    <row r="4407" ht="33.75" customHeight="1">
      <c r="A4407" s="6" t="s">
        <v>6484</v>
      </c>
      <c r="B4407" s="6" t="str">
        <f>IFERROR(__xludf.DUMMYFUNCTION("GOOGLETRANSLATE(A4407,""en"",""fi"")"),"Sen tarkkuus on erinomainen. Sen ampuma vesi voi iskeä liikkuvaan saaliiseen yli 90 metrin päästä.")</f>
        <v>Sen tarkkuus on erinomainen. Sen ampuma vesi voi iskeä liikkuvaan saaliiseen yli 90 metrin päästä.</v>
      </c>
      <c r="C4407" s="9" t="s">
        <v>1344</v>
      </c>
    </row>
    <row r="4408" ht="33.75" customHeight="1">
      <c r="A4408" s="6" t="s">
        <v>6486</v>
      </c>
      <c r="B4408" s="6" t="str">
        <f>IFERROR(__xludf.DUMMYFUNCTION("GOOGLETRANSLATE(A4408,""en"",""fi"")"),"Se suihkuttaa vettä voimakkaasti. Vesisuihku ei koskaan osu saaliiseen ohi, vaikka Remoraid olisi syvällä meressä.")</f>
        <v>Se suihkuttaa vettä voimakkaasti. Vesisuihku ei koskaan osu saaliiseen ohi, vaikka Remoraid olisi syvällä meressä.</v>
      </c>
      <c r="C4408" s="9" t="s">
        <v>1344</v>
      </c>
    </row>
    <row r="4409" ht="33.75" customHeight="1">
      <c r="A4409" s="6" t="s">
        <v>6487</v>
      </c>
      <c r="B4409" s="6" t="str">
        <f>IFERROR(__xludf.DUMMYFUNCTION("GOOGLETRANSLATE(A4409,""en"",""fi"")"),"Suustaan ​​ampuma vesi voi osua liikkuvaan saaliiseen yli 300 jalan päästä.")</f>
        <v>Suustaan ​​ampuma vesi voi osua liikkuvaan saaliiseen yli 300 jalan päästä.</v>
      </c>
      <c r="C4409" s="9" t="s">
        <v>1344</v>
      </c>
    </row>
    <row r="4410" ht="33.75" customHeight="1">
      <c r="A4410" s="6" t="s">
        <v>6488</v>
      </c>
      <c r="B4410" s="6" t="str">
        <f>IFERROR(__xludf.DUMMYFUNCTION("GOOGLETRANSLATE(A4410,""en"",""fi"")"),"Käyttäen selkäevää imukuppina, se tarttuu mantinen alapinnalle kerätäkseen ruokajäämiä.")</f>
        <v>Käyttäen selkäevää imukuppina, se tarttuu mantinen alapinnalle kerätäkseen ruokajäämiä.</v>
      </c>
      <c r="C4410" s="9" t="s">
        <v>1344</v>
      </c>
    </row>
    <row r="4411" ht="33.75" customHeight="1">
      <c r="A4411" s="6" t="s">
        <v>6490</v>
      </c>
      <c r="B4411" s="6" t="str">
        <f>IFERROR(__xludf.DUMMYFUNCTION("GOOGLETRANSLATE(A4411,""en"",""fi"")"),"Remoraid imee vettä ja työntää sen sitten ulos suurella nopeudella ampumalla alas lentävää saalista vatsalihaksillaan. Kun evoluutio lähestyy, tämä Pokémon matkustaa jokien alavirtaan.")</f>
        <v>Remoraid imee vettä ja työntää sen sitten ulos suurella nopeudella ampumalla alas lentävää saalista vatsalihaksillaan. Kun evoluutio lähestyy, tämä Pokémon matkustaa jokien alavirtaan.</v>
      </c>
      <c r="C4411" s="9" t="s">
        <v>1344</v>
      </c>
    </row>
    <row r="4412" ht="33.75" customHeight="1">
      <c r="A4412" s="6" t="s">
        <v>6492</v>
      </c>
      <c r="B4412" s="6" t="str">
        <f>IFERROR(__xludf.DUMMYFUNCTION("GOOGLETRANSLATE(A4412,""en"",""fi"")"),"Tämä Pokémon takertuu Mantineen ja jakaa sen vaurauden. Kun sen Mantinea hyökätään, Remoraid taistelee sen rinnalla!")</f>
        <v>Tämä Pokémon takertuu Mantineen ja jakaa sen vaurauden. Kun sen Mantinea hyökätään, Remoraid taistelee sen rinnalla!</v>
      </c>
      <c r="C4412" s="9" t="s">
        <v>1344</v>
      </c>
    </row>
    <row r="4413" ht="33.75" customHeight="1">
      <c r="A4413" s="6" t="s">
        <v>6495</v>
      </c>
      <c r="B4413" s="6" t="str">
        <f>IFERROR(__xludf.DUMMYFUNCTION("GOOGLETRANSLATE(A4413,""en"",""fi"")"),"Tunnetaan myös nimellä ""merten tarkka-ampuja"", sen vesipyssy voi osua saaliiseen erehtymättä yli 300 jalan päästä.")</f>
        <v>Tunnetaan myös nimellä "merten tarkka-ampuja", sen vesipyssy voi osua saaliiseen erehtymättä yli 300 jalan päästä.</v>
      </c>
      <c r="C4413" s="9" t="s">
        <v>1344</v>
      </c>
    </row>
    <row r="4414" ht="33.75" customHeight="1">
      <c r="A4414" s="6" t="s">
        <v>6496</v>
      </c>
      <c r="B4414" s="6" t="str">
        <f>IFERROR(__xludf.DUMMYFUNCTION("GOOGLETRANSLATE(A4414,""en"",""fi"")"),"Sylkee vettä suustaan ​​uskomattoman tarkasti. Se vangitsee Burmyn ampumalla ne alas oksilta, joista ne roikkuvat.")</f>
        <v>Sylkee vettä suustaan ​​uskomattoman tarkasti. Se vangitsee Burmyn ampumalla ne alas oksilta, joista ne roikkuvat.</v>
      </c>
      <c r="C4414" s="9" t="s">
        <v>1344</v>
      </c>
    </row>
    <row r="4415" ht="33.75" customHeight="1">
      <c r="A4415" s="6" t="s">
        <v>6497</v>
      </c>
      <c r="B4415" s="6" t="str">
        <f>IFERROR(__xludf.DUMMYFUNCTION("GOOGLETRANSLATE(A4415,""en"",""fi"")"),"Se vangitsee viholliset imukuppimaisilla lonkeroillaan ja murskaa ne sitten kivikovalla päällään.")</f>
        <v>Se vangitsee viholliset imukuppimaisilla lonkeroillaan ja murskaa ne sitten kivikovalla päällään.</v>
      </c>
      <c r="C4415" s="9" t="s">
        <v>1344</v>
      </c>
    </row>
    <row r="4416" ht="33.75" customHeight="1">
      <c r="A4416" s="6" t="s">
        <v>6499</v>
      </c>
      <c r="B4416" s="6" t="str">
        <f>IFERROR(__xludf.DUMMYFUNCTION("GOOGLETRANSLATE(A4416,""en"",""fi"")"),"Se livahtaa vaistomaisesti kivisiin koloihin. Jos se tulee uneliaaksi, se varastaa toisen OCTILLERYn pesän.")</f>
        <v>Se livahtaa vaistomaisesti kivisiin koloihin. Jos se tulee uneliaaksi, se varastaa toisen OCTILLERYn pesän.</v>
      </c>
      <c r="C4416" s="9" t="s">
        <v>1344</v>
      </c>
    </row>
    <row r="4417" ht="33.75" customHeight="1">
      <c r="A4417" s="6" t="s">
        <v>6500</v>
      </c>
      <c r="B4417" s="6" t="str">
        <f>IFERROR(__xludf.DUMMYFUNCTION("GOOGLETRANSLATE(A4417,""en"",""fi"")"),"Sen vaisto on kaivautua koloihin. Se varastaa usein muiden pesäkolot nukkuakseen niissä.")</f>
        <v>Sen vaisto on kaivautua koloihin. Se varastaa usein muiden pesäkolot nukkuakseen niissä.</v>
      </c>
      <c r="C4417" s="9" t="s">
        <v>1344</v>
      </c>
    </row>
    <row r="4418" ht="33.75" customHeight="1">
      <c r="A4418" s="6" t="s">
        <v>6502</v>
      </c>
      <c r="B4418" s="6" t="str">
        <f>IFERROR(__xludf.DUMMYFUNCTION("GOOGLETRANSLATE(A4418,""en"",""fi"")"),"OCTILLERY tarttuu viholliseensa lonkeroillaan. Tämä POKéMON yrittää lamauttaa sen ennen viimeistelyiskua. Jos vihollinen osoittautuu liian vahvaksi, OCTILLERY sylkee mustetta paetakseen.")</f>
        <v>OCTILLERY tarttuu viholliseensa lonkeroillaan. Tämä POKéMON yrittää lamauttaa sen ennen viimeistelyiskua. Jos vihollinen osoittautuu liian vahvaksi, OCTILLERY sylkee mustetta paetakseen.</v>
      </c>
      <c r="C4418" s="9" t="s">
        <v>1344</v>
      </c>
    </row>
    <row r="4419" ht="33.75" customHeight="1">
      <c r="A4419" s="6" t="s">
        <v>6504</v>
      </c>
      <c r="B4419" s="6" t="str">
        <f>IFERROR(__xludf.DUMMYFUNCTION("GOOGLETRANSLATE(A4419,""en"",""fi"")"),"Se kietoo vihollisensa imukuppimaisten lonkeroidensa ympärille ennen kuin antaa viimeisen iskun. Jos vihollinen osoittautuu liian voimakkaaksi, se sylkee mustetta paetakseen.")</f>
        <v>Se kietoo vihollisensa imukuppimaisten lonkeroidensa ympärille ennen kuin antaa viimeisen iskun. Jos vihollinen osoittautuu liian voimakkaaksi, se sylkee mustetta paetakseen.</v>
      </c>
      <c r="C4419" s="9" t="s">
        <v>1344</v>
      </c>
    </row>
    <row r="4420" ht="33.75" customHeight="1">
      <c r="A4420" s="6" t="s">
        <v>6506</v>
      </c>
      <c r="B4420" s="6" t="str">
        <f>IFERROR(__xludf.DUMMYFUNCTION("GOOGLETRANSLATE(A4420,""en"",""fi"")"),"Se livahtaa vaistomaisesti kivisiin koloihin. Jos se tulee uneliaaksi, se varastaa toiselta OCTILLERYltä pesän.")</f>
        <v>Se livahtaa vaistomaisesti kivisiin koloihin. Jos se tulee uneliaaksi, se varastaa toiselta OCTILLERYltä pesän.</v>
      </c>
      <c r="C4420" s="9" t="s">
        <v>1344</v>
      </c>
    </row>
    <row r="4421" ht="33.75" customHeight="1">
      <c r="A4421" s="6" t="s">
        <v>6507</v>
      </c>
      <c r="B4421" s="6" t="str">
        <f>IFERROR(__xludf.DUMMYFUNCTION("GOOGLETRANSLATE(A4421,""en"",""fi"")"),"Se nappaa viholliset imukuppimaisilla lonkeroillaan ja murskaa ne sitten kivikovalla päällään.")</f>
        <v>Se nappaa viholliset imukuppimaisilla lonkeroillaan ja murskaa ne sitten kivikovalla päällään.</v>
      </c>
      <c r="C4421" s="9" t="s">
        <v>1344</v>
      </c>
    </row>
    <row r="4422" ht="33.75" customHeight="1">
      <c r="A4422" s="6" t="s">
        <v>6509</v>
      </c>
      <c r="B4422" s="6" t="str">
        <f>IFERROR(__xludf.DUMMYFUNCTION("GOOGLETRANSLATE(A4422,""en"",""fi"")"),"Se elää lohkareiden raoissa ja merenpohjan koloissa. Sen imukupit tarttuvat saaliiseen tiukasti.")</f>
        <v>Se elää lohkareiden raoissa ja merenpohjan koloissa. Sen imukupit tarttuvat saaliiseen tiukasti.</v>
      </c>
      <c r="C4422" s="9" t="s">
        <v>1344</v>
      </c>
    </row>
    <row r="4423" ht="33.75" customHeight="1">
      <c r="A4423" s="6" t="s">
        <v>6510</v>
      </c>
      <c r="B4423" s="6" t="str">
        <f>IFERROR(__xludf.DUMMYFUNCTION("GOOGLETRANSLATE(A4423,""en"",""fi"")"),"Se peittää vihollisensa näkökentän sylkemällä samean mustepilven. Se tekee pesänsä lohkareiden sekaan.")</f>
        <v>Se peittää vihollisensa näkökentän sylkemällä samean mustepilven. Se tekee pesänsä lohkareiden sekaan.</v>
      </c>
      <c r="C4423" s="9" t="s">
        <v>1344</v>
      </c>
    </row>
    <row r="4424" ht="33.75" customHeight="1">
      <c r="A4424" s="6" t="s">
        <v>6511</v>
      </c>
      <c r="B4424" s="6" t="str">
        <f>IFERROR(__xludf.DUMMYFUNCTION("GOOGLETRANSLATE(A4424,""en"",""fi"")"),"Se rakastaa lymyillä kivien koloissa. Joskus se suihkuttaa mustetta saaliinsa päälle työntämällä ulos vain suunsa.")</f>
        <v>Se rakastaa lymyillä kivien koloissa. Joskus se suihkuttaa mustetta saaliinsa päälle työntämällä ulos vain suunsa.</v>
      </c>
      <c r="C4424" s="9" t="s">
        <v>1344</v>
      </c>
    </row>
    <row r="4425" ht="33.75" customHeight="1">
      <c r="A4425" s="6" t="s">
        <v>6512</v>
      </c>
      <c r="B4425" s="6" t="str">
        <f>IFERROR(__xludf.DUMMYFUNCTION("GOOGLETRANSLATE(A4425,""en"",""fi"")"),"Se nappaa viholliset lonkeroissaan olevilla imukupeilla ja murskaa ne sitten kivikovalla päällään.")</f>
        <v>Se nappaa viholliset lonkeroissaan olevilla imukupeilla ja murskaa ne sitten kivikovalla päällään.</v>
      </c>
      <c r="C4425" s="9" t="s">
        <v>1344</v>
      </c>
    </row>
    <row r="4426" ht="33.75" customHeight="1">
      <c r="A4426" s="6" t="s">
        <v>6513</v>
      </c>
      <c r="B4426" s="6" t="str">
        <f>IFERROR(__xludf.DUMMYFUNCTION("GOOGLETRANSLATE(A4426,""en"",""fi"")"),"Sillä on taipumus haluta olla koloissa. Se viihtyy mieluummin kivien jyrkänteissä tai ruukuissa ja suihkuttaa niistä mustetta ennen hyökkäystä.")</f>
        <v>Sillä on taipumus haluta olla koloissa. Se viihtyy mieluummin kivien jyrkänteissä tai ruukuissa ja suihkuttaa niistä mustetta ennen hyökkäystä.</v>
      </c>
      <c r="C4426" s="9" t="s">
        <v>1344</v>
      </c>
    </row>
    <row r="4427" ht="33.75" customHeight="1">
      <c r="A4427" s="6" t="s">
        <v>6515</v>
      </c>
      <c r="B4427" s="6" t="str">
        <f>IFERROR(__xludf.DUMMYFUNCTION("GOOGLETRANSLATE(A4427,""en"",""fi"")"),"Octillery tarttuu viholliseensa lonkeroillaan. Tämä Pokémon yrittää lamauttaa sen ennen viimeistelyiskua. Jos vihollinen osoittautuu liian vahvaksi, Octillery sylkee mustetta paetakseen.")</f>
        <v>Octillery tarttuu viholliseensa lonkeroillaan. Tämä Pokémon yrittää lamauttaa sen ennen viimeistelyiskua. Jos vihollinen osoittautuu liian vahvaksi, Octillery sylkee mustetta paetakseen.</v>
      </c>
      <c r="C4427" s="9" t="s">
        <v>1344</v>
      </c>
    </row>
    <row r="4428" ht="33.75" customHeight="1">
      <c r="A4428" s="6" t="s">
        <v>6516</v>
      </c>
      <c r="B4428" s="6" t="str">
        <f>IFERROR(__xludf.DUMMYFUNCTION("GOOGLETRANSLATE(A4428,""en"",""fi"")"),"Sen paetessaan sylkemä muste on erityistä. Se sisältää ainetta, joka tylsyttää hajuaistia, joten tarkkanäkiset Pokémonit eksyvät.")</f>
        <v>Sen paetessaan sylkemä muste on erityistä. Se sisältää ainetta, joka tylsyttää hajuaistia, joten tarkkanäkiset Pokémonit eksyvät.</v>
      </c>
      <c r="C4428" s="9" t="s">
        <v>1344</v>
      </c>
    </row>
    <row r="4429" ht="33.75" customHeight="1">
      <c r="A4429" s="6" t="s">
        <v>6517</v>
      </c>
      <c r="B4429" s="6" t="str">
        <f>IFERROR(__xludf.DUMMYFUNCTION("GOOGLETRANSLATE(A4429,""en"",""fi"")"),"Se yleensä nukkuu luolissa. Octilleryn sylkemää pikimustaa mustetta käytetään myös ruoanlaittoon.")</f>
        <v>Se yleensä nukkuu luolissa. Octilleryn sylkemää pikimustaa mustetta käytetään myös ruoanlaittoon.</v>
      </c>
      <c r="C4429" s="9" t="s">
        <v>1344</v>
      </c>
    </row>
    <row r="4430" ht="33.75" customHeight="1">
      <c r="A4430" s="6" t="s">
        <v>6519</v>
      </c>
      <c r="B4430" s="6" t="str">
        <f>IFERROR(__xludf.DUMMYFUNCTION("GOOGLETRANSLATE(A4430,""en"",""fi"")"),"Vaikka Octillery edelleen ampuu vettä suustaan, sen ja Remoraidin välinen dramaattinen anatominen ero tarkoitti, että kukaan ei pitkään aikaan uskonut edellisen kehittyneen jälkimmäisestä.")</f>
        <v>Vaikka Octillery edelleen ampuu vettä suustaan, sen ja Remoraidin välinen dramaattinen anatominen ero tarkoitti, että kukaan ei pitkään aikaan uskonut edellisen kehittyneen jälkimmäisestä.</v>
      </c>
      <c r="C4430" s="9" t="s">
        <v>1344</v>
      </c>
    </row>
    <row r="4431" ht="33.75" customHeight="1">
      <c r="A4431" s="6" t="s">
        <v>6520</v>
      </c>
      <c r="B4431" s="6" t="str">
        <f>IFERROR(__xludf.DUMMYFUNCTION("GOOGLETRANSLATE(A4431,""en"",""fi"")"),"Se kantaa ruokaa koko päivän. On tarinoita kadonneista ihmisistä, jotka pelastuivat sen ruoan ansiosta.")</f>
        <v>Se kantaa ruokaa koko päivän. On tarinoita kadonneista ihmisistä, jotka pelastuivat sen ruoan ansiosta.</v>
      </c>
      <c r="C4431" s="9" t="s">
        <v>1344</v>
      </c>
    </row>
    <row r="4432" ht="33.75" customHeight="1">
      <c r="A4432" s="6" t="s">
        <v>6522</v>
      </c>
      <c r="B4432" s="6" t="str">
        <f>IFERROR(__xludf.DUMMYFUNCTION("GOOGLETRANSLATE(A4432,""en"",""fi"")"),"Se pesii terävien kallioiden reunalla. Se viettää koko päivän kantaen ruokaa odottaville poikasilleen.")</f>
        <v>Se pesii terävien kallioiden reunalla. Se viettää koko päivän kantaen ruokaa odottaville poikasilleen.</v>
      </c>
      <c r="C4432" s="9" t="s">
        <v>1344</v>
      </c>
    </row>
    <row r="4433" ht="33.75" customHeight="1">
      <c r="A4433" s="6" t="s">
        <v>6524</v>
      </c>
      <c r="B4433" s="6" t="str">
        <f>IFERROR(__xludf.DUMMYFUNCTION("GOOGLETRANSLATE(A4433,""en"",""fi"")"),"Se kantaa aina ruokansa mukanaan, minne ikinä se meneekin. Jos sitä hyökätään, se heittää ruokansa vastustajan päälle.")</f>
        <v>Se kantaa aina ruokansa mukanaan, minne ikinä se meneekin. Jos sitä hyökätään, se heittää ruokansa vastustajan päälle.</v>
      </c>
      <c r="C4433" s="9" t="s">
        <v>1344</v>
      </c>
    </row>
    <row r="4434" ht="33.75" customHeight="1">
      <c r="A4434" s="6" t="s">
        <v>6526</v>
      </c>
      <c r="B4434" s="6" t="str">
        <f>IFERROR(__xludf.DUMMYFUNCTION("GOOGLETRANSLATE(A4434,""en"",""fi"")"),"DELIBIRD kantaa ruokansa pyrstössään. Olipa kerran kuuluisa tutkimusmatkailija, joka onnistui saavuttamaan Mount Everestin huipun yhden näistä POKéMONeista jaettua ruokansa.")</f>
        <v>DELIBIRD kantaa ruokansa pyrstössään. Olipa kerran kuuluisa tutkimusmatkailija, joka onnistui saavuttamaan Mount Everestin huipun yhden näistä POKéMONeista jaettua ruokansa.</v>
      </c>
      <c r="C4434" s="9" t="s">
        <v>1344</v>
      </c>
    </row>
    <row r="4435" ht="33.75" customHeight="1">
      <c r="A4435" s="6" t="s">
        <v>6527</v>
      </c>
      <c r="B4435" s="6" t="str">
        <f>IFERROR(__xludf.DUMMYFUNCTION("GOOGLETRANSLATE(A4435,""en"",""fi"")"),"Se kantaa ruokaa pyrstössään. Kuuluisa tutkimusmatkailija onnistui kiipeämään Mount Everestille Delibirdin ansiosta, joka jakoi sen ruokaa.")</f>
        <v>Se kantaa ruokaa pyrstössään. Kuuluisa tutkimusmatkailija onnistui kiipeämään Mount Everestille Delibirdin ansiosta, joka jakoi sen ruokaa.</v>
      </c>
      <c r="C4435" s="9" t="s">
        <v>1344</v>
      </c>
    </row>
    <row r="4436" ht="33.75" customHeight="1">
      <c r="A4436" s="6" t="s">
        <v>6528</v>
      </c>
      <c r="B4436" s="6" t="str">
        <f>IFERROR(__xludf.DUMMYFUNCTION("GOOGLETRANSLATE(A4436,""en"",""fi"")"),"Se pesii terävien kallioiden reunalla. Se viettää koko päivän kantaen ruokaa odottaville poikasilleen.")</f>
        <v>Se pesii terävien kallioiden reunalla. Se viettää koko päivän kantaen ruokaa odottaville poikasilleen.</v>
      </c>
      <c r="C4436" s="9" t="s">
        <v>1344</v>
      </c>
    </row>
    <row r="4437" ht="33.75" customHeight="1">
      <c r="A4437" s="6" t="s">
        <v>6529</v>
      </c>
      <c r="B4437" s="6" t="str">
        <f>IFERROR(__xludf.DUMMYFUNCTION("GOOGLETRANSLATE(A4437,""en"",""fi"")"),"Se kantaa ruokaa käärittynä pyrstössään. Sillä on tapana jakaa ruokaa vuorilla eksyneiden ihmisten kanssa.")</f>
        <v>Se kantaa ruokaa käärittynä pyrstössään. Sillä on tapana jakaa ruokaa vuorilla eksyneiden ihmisten kanssa.</v>
      </c>
      <c r="C4437" s="9" t="s">
        <v>1344</v>
      </c>
    </row>
    <row r="4438" ht="33.75" customHeight="1">
      <c r="A4438" s="6" t="s">
        <v>6530</v>
      </c>
      <c r="B4438" s="6" t="str">
        <f>IFERROR(__xludf.DUMMYFUNCTION("GOOGLETRANSLATE(A4438,""en"",""fi"")"),"Se kantaa ruokaa koko päivän. On tarinoita kadonneista ihmisistä, jotka pelastuivat sen varastoidun ruoan ansiosta.")</f>
        <v>Se kantaa ruokaa koko päivän. On tarinoita kadonneista ihmisistä, jotka pelastuivat sen varastoidun ruoan ansiosta.</v>
      </c>
      <c r="C4438" s="9" t="s">
        <v>1344</v>
      </c>
    </row>
    <row r="4439" ht="33.75" customHeight="1">
      <c r="A4439" s="6" t="s">
        <v>6531</v>
      </c>
      <c r="B4439" s="6" t="str">
        <f>IFERROR(__xludf.DUMMYFUNCTION("GOOGLETRANSLATE(A4439,""en"",""fi"")"),"Se kantaa ruokaa koko päivän. Kun joku eksyy vuorille, se jakaa sen ruoan.")</f>
        <v>Se kantaa ruokaa koko päivän. Kun joku eksyy vuorille, se jakaa sen ruoan.</v>
      </c>
      <c r="C4439" s="9" t="s">
        <v>1344</v>
      </c>
    </row>
    <row r="4440" ht="33.75" customHeight="1">
      <c r="A4440" s="6" t="s">
        <v>6532</v>
      </c>
      <c r="B4440" s="6" t="str">
        <f>IFERROR(__xludf.DUMMYFUNCTION("GOOGLETRANSLATE(A4440,""en"",""fi"")"),"Delibird kantaa ruokansa pyrstössään. Olipa kerran kuuluisa tutkimusmatkailija, joka onnistui saavuttamaan maailman korkeimman vuoren huipun yhden näistä Pokémoneista jakaman ruokansa ansiosta.")</f>
        <v>Delibird kantaa ruokansa pyrstössään. Olipa kerran kuuluisa tutkimusmatkailija, joka onnistui saavuttamaan maailman korkeimman vuoren huipun yhden näistä Pokémoneista jakaman ruokansa ansiosta.</v>
      </c>
      <c r="C4440" s="9" t="s">
        <v>1344</v>
      </c>
    </row>
    <row r="4441" ht="33.75" customHeight="1">
      <c r="A4441" s="6" t="s">
        <v>6533</v>
      </c>
      <c r="B4441" s="6" t="str">
        <f>IFERROR(__xludf.DUMMYFUNCTION("GOOGLETRANSLATE(A4441,""en"",""fi"")"),"Vaikka se luonnostaan ​​viihtyy kylmemmässä paikassa, Alolassa sijaitseva Delibird näyttää kestävän kuumuutta jossain määrin.")</f>
        <v>Vaikka se luonnostaan ​​viihtyy kylmemmässä paikassa, Alolassa sijaitseva Delibird näyttää kestävän kuumuutta jossain määrin.</v>
      </c>
      <c r="C4441" s="9" t="s">
        <v>1344</v>
      </c>
    </row>
    <row r="4442" ht="33.75" customHeight="1">
      <c r="A4442" s="6" t="s">
        <v>6534</v>
      </c>
      <c r="B4442" s="6" t="str">
        <f>IFERROR(__xludf.DUMMYFUNCTION("GOOGLETRANSLATE(A4442,""en"",""fi"")"),"Sillä on antelias tapa jakaa ruokansa ihmisten ja Pokémonien kanssa, joten se etsii aina lisää ruokaa.")</f>
        <v>Sillä on antelias tapa jakaa ruokansa ihmisten ja Pokémonien kanssa, joten se etsii aina lisää ruokaa.</v>
      </c>
      <c r="C4442" s="9" t="s">
        <v>1344</v>
      </c>
    </row>
    <row r="4443" ht="33.75" customHeight="1">
      <c r="A4443" s="6" t="s">
        <v>6535</v>
      </c>
      <c r="B4443" s="6" t="str">
        <f>IFERROR(__xludf.DUMMYFUNCTION("GOOGLETRANSLATE(A4443,""en"",""fi"")"),"Se jakaa ruokansa ihmisten kanssa, jotka ovat jääneet pulaan. Koska Delibird on kaikkiruokainen, se antaa näille ihmisille joskus Bug-Pokémoneja.")</f>
        <v>Se jakaa ruokansa ihmisten kanssa, jotka ovat jääneet pulaan. Koska Delibird on kaikkiruokainen, se antaa näille ihmisille joskus Bug-Pokémoneja.</v>
      </c>
      <c r="C4443" s="9" t="s">
        <v>1344</v>
      </c>
    </row>
    <row r="4444" ht="33.75" customHeight="1">
      <c r="A4444" s="6" t="s">
        <v>6537</v>
      </c>
      <c r="B4444" s="6" t="str">
        <f>IFERROR(__xludf.DUMMYFUNCTION("GOOGLETRANSLATE(A4444,""en"",""fi"")"),"Se kietoo ruokaa pyrstönsä ympärille kantaakseen sitä mukanaan. Suurihäntäinen Delibird on parven pomo!")</f>
        <v>Se kietoo ruokaa pyrstönsä ympärille kantaakseen sitä mukanaan. Suurihäntäinen Delibird on parven pomo!</v>
      </c>
      <c r="C4444" s="9" t="s">
        <v>1344</v>
      </c>
    </row>
    <row r="4445" ht="33.75" customHeight="1">
      <c r="A4445" s="6" t="s">
        <v>6538</v>
      </c>
      <c r="B4445" s="6" t="str">
        <f>IFERROR(__xludf.DUMMYFUNCTION("GOOGLETRANSLATE(A4445,""en"",""fi"")"),"Majesteettisesti uiessaan se ei välitä kiinnittyvistä REMORAID-eläimistä, jotka keräävät sen jätteitä.")</f>
        <v>Majesteettisesti uiessaan se ei välitä kiinnittyvistä REMORAID-eläimistä, jotka keräävät sen jätteitä.</v>
      </c>
      <c r="C4445" s="9" t="s">
        <v>1344</v>
      </c>
    </row>
    <row r="4446" ht="33.75" customHeight="1">
      <c r="A4446" s="6" t="s">
        <v>6539</v>
      </c>
      <c r="B4446" s="6" t="str">
        <f>IFERROR(__xludf.DUMMYFUNCTION("GOOGLETRANSLATE(A4446,""en"",""fi"")"),"Vapaasti uidessaan avomerellä se voi lentää vedestä aaltojen yli, jos se kiihtyy riittävästi.")</f>
        <v>Vapaasti uidessaan avomerellä se voi lentää vedestä aaltojen yli, jos se kiihtyy riittävästi.</v>
      </c>
      <c r="C4446" s="9" t="s">
        <v>1344</v>
      </c>
    </row>
    <row r="4447" ht="33.75" customHeight="1">
      <c r="A4447" s="6" t="s">
        <v>6540</v>
      </c>
      <c r="B4447" s="6" t="str">
        <f>IFERROR(__xludf.DUMMYFUNCTION("GOOGLETRANSLATE(A4447,""en"",""fi"")"),"Se ui vapaasti ja syö suuhunsa uintia. Koko sen ruumis on hyvin karkea.")</f>
        <v>Se ui vapaasti ja syö suuhunsa uintia. Koko sen ruumis on hyvin karkea.</v>
      </c>
      <c r="C4447" s="9" t="s">
        <v>1344</v>
      </c>
    </row>
    <row r="4448" ht="33.75" customHeight="1">
      <c r="A4448" s="6" t="s">
        <v>6541</v>
      </c>
      <c r="B4448" s="6" t="str">
        <f>IFERROR(__xludf.DUMMYFUNCTION("GOOGLETRANSLATE(A4448,""en"",""fi"")"),"Aurinkoisina päivinä MANTINE-parvien voi nähdä hyppivän tyylikkäästi meren aaltojen yli. Tätä POKéMONIA ei häiritse liftaava REMORAID.")</f>
        <v>Aurinkoisina päivinä MANTINE-parvien voi nähdä hyppivän tyylikkäästi meren aaltojen yli. Tätä POKéMONIA ei häiritse liftaava REMORAID.</v>
      </c>
      <c r="C4448" s="9" t="s">
        <v>1344</v>
      </c>
    </row>
    <row r="4449" ht="33.75" customHeight="1">
      <c r="A4449" s="6" t="s">
        <v>6542</v>
      </c>
      <c r="B4449" s="6" t="str">
        <f>IFERROR(__xludf.DUMMYFUNCTION("GOOGLETRANSLATE(A4449,""en"",""fi"")"),"Aurinkoisina päivinä MANTINE-parvien voi nähdä hyppivän tyylikkäästi aaltojen yli. Niitä ei häiritse liftaava REMORAID.")</f>
        <v>Aurinkoisina päivinä MANTINE-parvien voi nähdä hyppivän tyylikkäästi aaltojen yli. Niitä ei häiritse liftaava REMORAID.</v>
      </c>
      <c r="C4449" s="9" t="s">
        <v>1344</v>
      </c>
    </row>
    <row r="4450" ht="33.75" customHeight="1">
      <c r="A4450" s="6" t="s">
        <v>6543</v>
      </c>
      <c r="B4450" s="6" t="str">
        <f>IFERROR(__xludf.DUMMYFUNCTION("GOOGLETRANSLATE(A4450,""en"",""fi"")"),"Majesteettisesti uiessaan se ei välitä kiinnittyvistä REMORAID-eläimistä kerätäkseen sen tähteitä.")</f>
        <v>Majesteettisesti uiessaan se ei välitä kiinnittyvistä REMORAID-eläimistä kerätäkseen sen tähteitä.</v>
      </c>
      <c r="C4450" s="9" t="s">
        <v>1344</v>
      </c>
    </row>
    <row r="4451" ht="33.75" customHeight="1">
      <c r="A4451" s="6" t="s">
        <v>6544</v>
      </c>
      <c r="B4451" s="6" t="str">
        <f>IFERROR(__xludf.DUMMYFUNCTION("GOOGLETRANSLATE(A4451,""en"",""fi"")"),"Kun aallot ovat tyyniä, voi kohdata parven mantiineja, jotka uivat aivan kuin ne olisivat lennossa.")</f>
        <v>Kun aallot ovat tyyniä, voi kohdata parven mantiineja, jotka uivat aivan kuin ne olisivat lennossa.</v>
      </c>
      <c r="C4451" s="9" t="s">
        <v>1344</v>
      </c>
    </row>
    <row r="4452" ht="33.75" customHeight="1">
      <c r="A4452" s="6" t="s">
        <v>6545</v>
      </c>
      <c r="B4452" s="6" t="str">
        <f>IFERROR(__xludf.DUMMYFUNCTION("GOOGLETRANSLATE(A4452,""en"",""fi"")"),"Se ui tyylikkäästi, välittämättä REMORAID-kalojen tarttumisesta leveisiin eviinsä. Sillä on säyseä luonne.")</f>
        <v>Se ui tyylikkäästi, välittämättä REMORAID-kalojen tarttumisesta leveisiin eviinsä. Sillä on säyseä luonne.</v>
      </c>
      <c r="C4452" s="9" t="s">
        <v>1344</v>
      </c>
    </row>
    <row r="4453" ht="33.75" customHeight="1">
      <c r="A4453" s="6" t="s">
        <v>6546</v>
      </c>
      <c r="B4453" s="6" t="str">
        <f>IFERROR(__xludf.DUMMYFUNCTION("GOOGLETRANSLATE(A4453,""en"",""fi"")"),"Uidessaan tyylikkäästi meressä se jättää huomiotta REMORAID-kalat, jotka takertuvat sen eviin etsiessään ruokajäämiä.")</f>
        <v>Uidessaan tyylikkäästi meressä se jättää huomiotta REMORAID-kalat, jotka takertuvat sen eviin etsiessään ruokajäämiä.</v>
      </c>
      <c r="C4453" s="9" t="s">
        <v>1344</v>
      </c>
    </row>
    <row r="4454" ht="33.75" customHeight="1">
      <c r="A4454" s="6" t="s">
        <v>6547</v>
      </c>
      <c r="B4454" s="6" t="str">
        <f>IFERROR(__xludf.DUMMYFUNCTION("GOOGLETRANSLATE(A4454,""en"",""fi"")"),"Majesteettisesti uiessaan se ei välitä kiinnittyvistä REMORAID-eläimistä, jotka keräävät sen jätteitä.")</f>
        <v>Majesteettisesti uiessaan se ei välitä kiinnittyvistä REMORAID-eläimistä, jotka keräävät sen jätteitä.</v>
      </c>
      <c r="C4454" s="9" t="s">
        <v>1344</v>
      </c>
    </row>
    <row r="4455" ht="33.75" customHeight="1">
      <c r="A4455" s="6" t="s">
        <v>6548</v>
      </c>
      <c r="B4455" s="6" t="str">
        <f>IFERROR(__xludf.DUMMYFUNCTION("GOOGLETRANSLATE(A4455,""en"",""fi"")"),"Uidessaan tyylikkäästi meressä se jättää huomiotta remoraidit, jotka takertuvat sen eviin etsiessään ruokajäämiä.")</f>
        <v>Uidessaan tyylikkäästi meressä se jättää huomiotta remoraidit, jotka takertuvat sen eviin etsiessään ruokajäämiä.</v>
      </c>
      <c r="C4455" s="9" t="s">
        <v>1344</v>
      </c>
    </row>
    <row r="4456" ht="33.75" customHeight="1">
      <c r="A4456" s="6" t="s">
        <v>6549</v>
      </c>
      <c r="B4456" s="6" t="str">
        <f>IFERROR(__xludf.DUMMYFUNCTION("GOOGLETRANSLATE(A4456,""en"",""fi"")"),"Jos se ui tarpeeksi nopeasti, se voi lentää yli 90 metrin korkeuteen merenpinnasta.")</f>
        <v>Jos se ui tarpeeksi nopeasti, se voi lentää yli 90 metrin korkeuteen merenpinnasta.</v>
      </c>
      <c r="C4456" s="9" t="s">
        <v>1344</v>
      </c>
    </row>
    <row r="4457" ht="33.75" customHeight="1">
      <c r="A4457" s="6" t="s">
        <v>6550</v>
      </c>
      <c r="B4457" s="6" t="str">
        <f>IFERROR(__xludf.DUMMYFUNCTION("GOOGLETRANSLATE(A4457,""en"",""fi"")"),"Aurinkoisina päivinä mantine-parvien voi nähdä hyppivän tyylikkäästi meren aaltojen yli. Tätä Pokémonia ei häiritse liftaava Remoraid.")</f>
        <v>Aurinkoisina päivinä mantine-parvien voi nähdä hyppivän tyylikkäästi meren aaltojen yli. Tätä Pokémonia ei häiritse liftaava Remoraid.</v>
      </c>
      <c r="C4457" s="9" t="s">
        <v>1344</v>
      </c>
    </row>
    <row r="4458" ht="33.75" customHeight="1">
      <c r="A4458" s="6" t="s">
        <v>6551</v>
      </c>
      <c r="B4458" s="6" t="str">
        <f>IFERROR(__xludf.DUMMYFUNCTION("GOOGLETRANSLATE(A4458,""en"",""fi"")"),"Postikortit ja julisteet, joissa Mantine hyppää tyylikkäästi aaltojen ylle, ovat suosittuja Alolan matkamuistoja.")</f>
        <v>Postikortit ja julisteet, joissa Mantine hyppää tyylikkäästi aaltojen ylle, ovat suosittuja Alolan matkamuistoja.</v>
      </c>
      <c r="C4458" s="9" t="s">
        <v>1344</v>
      </c>
    </row>
    <row r="4459" ht="33.75" customHeight="1">
      <c r="A4459" s="6" t="s">
        <v>6552</v>
      </c>
      <c r="B4459" s="6" t="str">
        <f>IFERROR(__xludf.DUMMYFUNCTION("GOOGLETRANSLATE(A4459,""en"",""fi"")"),"Monet ihmiset ovat alkaneet surffata, koska he ihailevat Mantinen upeaa uimista.")</f>
        <v>Monet ihmiset ovat alkaneet surffata, koska he ihailevat Mantinen upeaa uimista.</v>
      </c>
      <c r="C4459" s="9" t="s">
        <v>1344</v>
      </c>
    </row>
    <row r="4460" ht="33.75" customHeight="1">
      <c r="A4460" s="6" t="s">
        <v>6553</v>
      </c>
      <c r="B4460" s="6" t="str">
        <f>IFERROR(__xludf.DUMMYFUNCTION("GOOGLETRANSLATE(A4460,""en"",""fi"")"),"Jos se ui tarpeeksi nopeasti, se voi hypätä aaltojen yläpuolelle ja liitää yli 90 metriä.")</f>
        <v>Jos se ui tarpeeksi nopeasti, se voi hypätä aaltojen yläpuolelle ja liitää yli 90 metriä.</v>
      </c>
      <c r="C4460" s="9" t="s">
        <v>1344</v>
      </c>
    </row>
    <row r="4461" ht="33.75" customHeight="1">
      <c r="A4461" s="6" t="s">
        <v>6555</v>
      </c>
      <c r="B4461" s="6" t="str">
        <f>IFERROR(__xludf.DUMMYFUNCTION("GOOGLETRANSLATE(A4461,""en"",""fi"")"),"Majesteettisesti uiessaan se ei välitä, kiinnittyvätkö Remoraidit siihen kerätäkseen sen tähteitä.")</f>
        <v>Majesteettisesti uiessaan se ei välitä, kiinnittyvätkö Remoraidit siihen kerätäkseen sen tähteitä.</v>
      </c>
      <c r="C4461" s="9" t="s">
        <v>1344</v>
      </c>
    </row>
    <row r="4462" ht="33.75" customHeight="1">
      <c r="A4462" s="6" t="s">
        <v>6556</v>
      </c>
      <c r="B4462" s="6" t="str">
        <f>IFERROR(__xludf.DUMMYFUNCTION("GOOGLETRANSLATE(A4462,""en"",""fi"")"),"Tämä rauhallinen ja lempeä Pokémon ui sulavasti meren halki. Nopeuden kasvattua se voi hypätä vedestä. Tämän käytöksen vuoksi se usein luullaan virheellisesti lintu-Pokémoniksi.")</f>
        <v>Tämä rauhallinen ja lempeä Pokémon ui sulavasti meren halki. Nopeuden kasvattua se voi hypätä vedestä. Tämän käytöksen vuoksi se usein luullaan virheellisesti lintu-Pokémoniksi.</v>
      </c>
      <c r="C4462" s="9" t="s">
        <v>1344</v>
      </c>
    </row>
    <row r="4463" ht="33.75" customHeight="1">
      <c r="A4463" s="6" t="s">
        <v>6557</v>
      </c>
      <c r="B4463" s="6" t="str">
        <f>IFERROR(__xludf.DUMMYFUNCTION("GOOGLETRANSLATE(A4463,""en"",""fi"")"),"Sen tukevat siivet näyttävät raskailta, mutta ne ovat itse asiassa onttoja ja kevyitä, minkä ansiosta se voi lentää vapaasti taivaalla.")</f>
        <v>Sen tukevat siivet näyttävät raskailta, mutta ne ovat itse asiassa onttoja ja kevyitä, minkä ansiosta se voi lentää vapaasti taivaalla.</v>
      </c>
      <c r="C4463" s="9" t="s">
        <v>1344</v>
      </c>
    </row>
    <row r="4464" ht="33.75" customHeight="1">
      <c r="A4464" s="6" t="s">
        <v>6558</v>
      </c>
      <c r="B4464" s="6" t="str">
        <f>IFERROR(__xludf.DUMMYFUNCTION("GOOGLETRANSLATE(A4464,""en"",""fi"")"),"Pesittyään karhunvatukkapensaissa sen poikasten siivet kovettuvat piikkien naarmuista.")</f>
        <v>Pesittyään karhunvatukkapensaissa sen poikasten siivet kovettuvat piikkien naarmuista.</v>
      </c>
      <c r="C4464" s="9" t="s">
        <v>1344</v>
      </c>
    </row>
    <row r="4465" ht="33.75" customHeight="1">
      <c r="A4465" s="6" t="s">
        <v>6559</v>
      </c>
      <c r="B4465" s="6" t="str">
        <f>IFERROR(__xludf.DUMMYFUNCTION("GOOGLETRANSLATE(A4465,""en"",""fi"")"),"Sen pudottamat höyhenet ovat erittäin teräviä. Kerrotaan, että ihmiset käyttivät höyheniä aikoinaan miekkoina.")</f>
        <v>Sen pudottamat höyhenet ovat erittäin teräviä. Kerrotaan, että ihmiset käyttivät höyheniä aikoinaan miekkoina.</v>
      </c>
      <c r="C4465" s="9" t="s">
        <v>1344</v>
      </c>
    </row>
    <row r="4466" ht="33.75" customHeight="1">
      <c r="A4466" s="6" t="s">
        <v>6561</v>
      </c>
      <c r="B4466" s="6" t="str">
        <f>IFERROR(__xludf.DUMMYFUNCTION("GOOGLETRANSLATE(A4466,""en"",""fi"")"),"SKARMORY on kokonaan kovan, suojaavan haarniskan peitossa. Tämä POKéMON lentää lähes 305 km/h nopeudella. Se viiltää vihollisia miekan kaltaisilla terävillä siivillään.")</f>
        <v>SKARMORY on kokonaan kovan, suojaavan haarniskan peitossa. Tämä POKéMON lentää lähes 305 km/h nopeudella. Se viiltää vihollisia miekan kaltaisilla terävillä siivillään.</v>
      </c>
      <c r="C4466" s="9" t="s">
        <v>1344</v>
      </c>
    </row>
    <row r="4467" ht="33.75" customHeight="1">
      <c r="A4467" s="6" t="s">
        <v>6562</v>
      </c>
      <c r="B4467" s="6" t="str">
        <f>IFERROR(__xludf.DUMMYFUNCTION("GOOGLETRANSLATE(A4467,""en"",""fi"")"),"SKARMORYn terässiivet repaleistuvat ja kolhiintuvat toistuvissa taisteluissa. Kerran vuodessa kolhiintuneet siivet kasvavat kokonaan takaisin, jolloin leikkaavat reunat palautuvat alkuperäiseen tilaansa.")</f>
        <v>SKARMORYn terässiivet repaleistuvat ja kolhiintuvat toistuvissa taisteluissa. Kerran vuodessa kolhiintuneet siivet kasvavat kokonaan takaisin, jolloin leikkaavat reunat palautuvat alkuperäiseen tilaansa.</v>
      </c>
      <c r="C4467" s="9" t="s">
        <v>1344</v>
      </c>
    </row>
    <row r="4468" ht="33.75" customHeight="1">
      <c r="A4468" s="6" t="s">
        <v>6564</v>
      </c>
      <c r="B4468" s="6" t="str">
        <f>IFERROR(__xludf.DUMMYFUNCTION("GOOGLETRANSLATE(A4468,""en"",""fi"")"),"POKéMON, jolla on teräsvartalo ja -siivet. Ihmiset käyttivät ennen SKARMORYsta pudonneita höyheniä miekkojen ja veitsien valmistukseen.")</f>
        <v>POKéMON, jolla on teräsvartalo ja -siivet. Ihmiset käyttivät ennen SKARMORYsta pudonneita höyheniä miekkojen ja veitsien valmistukseen.</v>
      </c>
      <c r="C4468" s="9" t="s">
        <v>1344</v>
      </c>
    </row>
    <row r="4469" ht="33.75" customHeight="1">
      <c r="A4469" s="6" t="s">
        <v>6565</v>
      </c>
      <c r="B4469" s="6" t="str">
        <f>IFERROR(__xludf.DUMMYFUNCTION("GOOGLETRANSLATE(A4469,""en"",""fi"")"),"Sen tukevat siivet näyttävät raskailta, mutta sen luut ovat onttoja ja kevyitä, minkä ansiosta se voi lentää vapaasti taivaalla.")</f>
        <v>Sen tukevat siivet näyttävät raskailta, mutta sen luut ovat onttoja ja kevyitä, minkä ansiosta se voi lentää vapaasti taivaalla.</v>
      </c>
      <c r="C4469" s="9" t="s">
        <v>1344</v>
      </c>
    </row>
    <row r="4470" ht="33.75" customHeight="1">
      <c r="A4470" s="6" t="s">
        <v>6566</v>
      </c>
      <c r="B4470" s="6" t="str">
        <f>IFERROR(__xludf.DUMMYFUNCTION("GOOGLETRANSLATE(A4470,""en"",""fi"")"),"Vaikka se on kokonaan raudankovan haarniskan peitossa, se lentää yli 290 km/h nopeudella.")</f>
        <v>Vaikka se on kokonaan raudankovan haarniskan peitossa, se lentää yli 290 km/h nopeudella.</v>
      </c>
      <c r="C4470" s="9" t="s">
        <v>1344</v>
      </c>
    </row>
    <row r="4471" ht="33.75" customHeight="1">
      <c r="A4471" s="6" t="s">
        <v>6568</v>
      </c>
      <c r="B4471" s="6" t="str">
        <f>IFERROR(__xludf.DUMMYFUNCTION("GOOGLETRANSLATE(A4471,""en"",""fi"")"),"Sen raskaan näköinen rautarunko on itse asiassa ohut ja kevyt, joten se voi lentää yli 290 km/h nopeudella.")</f>
        <v>Sen raskaan näköinen rautarunko on itse asiassa ohut ja kevyt, joten se voi lentää yli 290 km/h nopeudella.</v>
      </c>
      <c r="C4471" s="9" t="s">
        <v>1344</v>
      </c>
    </row>
    <row r="4472" ht="33.75" customHeight="1">
      <c r="A4472" s="6" t="s">
        <v>6569</v>
      </c>
      <c r="B4472" s="6" t="str">
        <f>IFERROR(__xludf.DUMMYFUNCTION("GOOGLETRANSLATE(A4472,""en"",""fi"")"),"Skarmory on kokonaan kovan, suojaavan haarniskan peittämä. Tämä Pokémon lentää lähes 305 km/h nopeudella. Se viiltää vihollisia miekan kaltaisilla terävillä siivillään.")</f>
        <v>Skarmory on kokonaan kovan, suojaavan haarniskan peittämä. Tämä Pokémon lentää lähes 305 km/h nopeudella. Se viiltää vihollisia miekan kaltaisilla terävillä siivillään.</v>
      </c>
      <c r="C4472" s="9" t="s">
        <v>1344</v>
      </c>
    </row>
    <row r="4473" ht="33.75" customHeight="1">
      <c r="A4473" s="6" t="s">
        <v>6571</v>
      </c>
      <c r="B4473" s="6" t="str">
        <f>IFERROR(__xludf.DUMMYFUNCTION("GOOGLETRANSLATE(A4473,""en"",""fi"")"),"Skarmoryn terässiivet repaleistuvat ja kolhiintuvat toistuvissa taisteluissa. Kerran vuodessa kolhiintuneet siivet kasvavat kokonaan takaisin, jolloin leikkaavat reunat palautuvat alkuperäiseen tilaansa.")</f>
        <v>Skarmoryn terässiivet repaleistuvat ja kolhiintuvat toistuvissa taisteluissa. Kerran vuodessa kolhiintuneet siivet kasvavat kokonaan takaisin, jolloin leikkaavat reunat palautuvat alkuperäiseen tilaansa.</v>
      </c>
      <c r="C4473" s="9" t="s">
        <v>1344</v>
      </c>
    </row>
    <row r="4474" ht="33.75" customHeight="1">
      <c r="A4474" s="6" t="s">
        <v>6572</v>
      </c>
      <c r="B4474" s="6" t="str">
        <f>IFERROR(__xludf.DUMMYFUNCTION("GOOGLETRANSLATE(A4474,""en"",""fi"")"),"Sen höyhenet, jotka putoavat sen kasvaessa, ovat ohuet ja terävät. Kauan sitten soturit käyttivät niitä miekkoina.")</f>
        <v>Sen höyhenet, jotka putoavat sen kasvaessa, ovat ohuet ja terävät. Kauan sitten soturit käyttivät niitä miekkoina.</v>
      </c>
      <c r="C4474" s="9" t="s">
        <v>1344</v>
      </c>
    </row>
    <row r="4475" ht="33.75" customHeight="1">
      <c r="A4475" s="6" t="s">
        <v>6573</v>
      </c>
      <c r="B4475" s="6" t="str">
        <f>IFERROR(__xludf.DUMMYFUNCTION("GOOGLETRANSLATE(A4475,""en"",""fi"")"),"Sen metallinen runko on tukeva, mutta se ruostuu melko helposti. Joten sateisina päivinä tämä Pokémon pysyy mieluummin pesässään.")</f>
        <v>Sen metallinen runko on tukeva, mutta se ruostuu melko helposti. Joten sateisina päivinä tämä Pokémon pysyy mieluummin pesässään.</v>
      </c>
      <c r="C4475" s="9" t="s">
        <v>1344</v>
      </c>
    </row>
    <row r="4476" ht="33.75" customHeight="1">
      <c r="A4476" s="6" t="s">
        <v>6574</v>
      </c>
      <c r="B4476" s="6" t="str">
        <f>IFERROR(__xludf.DUMMYFUNCTION("GOOGLETRANSLATE(A4476,""en"",""fi"")"),"Sen pudottamat siipisulkat voidaan käsitellä ja niistä voidaan tehdä veitsiä, joiden terävyyden parhaat kokit tunnustavat.")</f>
        <v>Sen pudottamat siipisulkat voidaan käsitellä ja niistä voidaan tehdä veitsiä, joiden terävyyden parhaat kokit tunnustavat.</v>
      </c>
      <c r="C4476" s="9" t="s">
        <v>1344</v>
      </c>
    </row>
    <row r="4477" ht="33.75" customHeight="1">
      <c r="A4477" s="6" t="s">
        <v>6575</v>
      </c>
      <c r="B4477" s="6" t="str">
        <f>IFERROR(__xludf.DUMMYFUNCTION("GOOGLETRANSLATE(A4477,""en"",""fi"")"),"Sen vartalo on verhottu teräspanssariin. Se näyttää raskaalta, mutta se voi lentää jopa 300 kilometrin tuntinopeudella!")</f>
        <v>Sen vartalo on verhottu teräspanssariin. Se näyttää raskaalta, mutta se voi lentää jopa 300 kilometrin tuntinopeudella!</v>
      </c>
      <c r="C4477" s="9" t="s">
        <v>1344</v>
      </c>
    </row>
    <row r="4478" ht="33.75" customHeight="1">
      <c r="A4478" s="6" t="s">
        <v>6576</v>
      </c>
      <c r="B4478" s="6" t="str">
        <f>IFERROR(__xludf.DUMMYFUNCTION("GOOGLETRANSLATE(A4478,""en"",""fi"")"),"Näiden Pokémonien terävät höyhenet ovat terävämmät kuin miekat. Skarmory ja Corviknight taistelevat raivokkaasti alueesta.")</f>
        <v>Näiden Pokémonien terävät höyhenet ovat terävämmät kuin miekat. Skarmory ja Corviknight taistelevat raivokkaasti alueesta.</v>
      </c>
      <c r="C4478" s="9" t="s">
        <v>1344</v>
      </c>
    </row>
    <row r="4479" ht="33.75" customHeight="1">
      <c r="A4479" s="6" t="s">
        <v>6577</v>
      </c>
      <c r="B4479" s="6" t="str">
        <f>IFERROR(__xludf.DUMMYFUNCTION("GOOGLETRANSLATE(A4479,""en"",""fi"")"),"Ihmiset valmistavat miekkoja Skarmoryn pudonneista höyhenistä, joten tämä Pokémon on suosittu elementti heraldisissa kuvioissa.")</f>
        <v>Ihmiset valmistavat miekkoja Skarmoryn pudonneista höyhenistä, joten tämä Pokémon on suosittu elementti heraldisissa kuvioissa.</v>
      </c>
      <c r="C4479" s="9" t="s">
        <v>1344</v>
      </c>
    </row>
    <row r="4480" ht="33.75" customHeight="1">
      <c r="A4480" s="6" t="s">
        <v>6578</v>
      </c>
      <c r="B4480" s="6" t="str">
        <f>IFERROR(__xludf.DUMMYFUNCTION("GOOGLETRANSLATE(A4480,""en"",""fi"")"),"Se käyttää erilaisia ​​huutoja kommunikoidakseen muiden lajitovereidensa kanssa ja jahdatakseen saalistaan.")</f>
        <v>Se käyttää erilaisia ​​huutoja kommunikoidakseen muiden lajitovereidensa kanssa ja jahdatakseen saalistaan.</v>
      </c>
      <c r="C4480" s="9" t="s">
        <v>1344</v>
      </c>
    </row>
    <row r="4481" ht="33.75" customHeight="1">
      <c r="A4481" s="6" t="s">
        <v>6580</v>
      </c>
      <c r="B4481" s="6" t="str">
        <f>IFERROR(__xludf.DUMMYFUNCTION("GOOGLETRANSLATE(A4481,""en"",""fi"")"),"Ajaakseen saaliinsa nurkkaan ne tarkistavat toistensa sijainnin haukkumalla, jonka vain ne ymmärtävät.")</f>
        <v>Ajaakseen saaliinsa nurkkaan ne tarkistavat toistensa sijainnin haukkumalla, jonka vain ne ymmärtävät.</v>
      </c>
      <c r="C4481" s="9" t="s">
        <v>1344</v>
      </c>
    </row>
    <row r="4482" ht="33.75" customHeight="1">
      <c r="A4482" s="6" t="s">
        <v>6582</v>
      </c>
      <c r="B4482" s="6" t="str">
        <f>IFERROR(__xludf.DUMMYFUNCTION("GOOGLETRANSLATE(A4482,""en"",""fi"")"),"Aamunkoiton tienoilla sen pahaenteinen ulvonta kaikuu alueen läpi ilmoittaen, että tämä on sen aluetta.")</f>
        <v>Aamunkoiton tienoilla sen pahaenteinen ulvonta kaikuu alueen läpi ilmoittaen, että tämä on sen aluetta.</v>
      </c>
      <c r="C4482" s="9" t="s">
        <v>1344</v>
      </c>
    </row>
    <row r="4483" ht="33.75" customHeight="1">
      <c r="A4483" s="6" t="s">
        <v>6584</v>
      </c>
      <c r="B4483" s="6" t="str">
        <f>IFERROR(__xludf.DUMMYFUNCTION("GOOGLETRANSLATE(A4483,""en"",""fi"")"),"HOUNDOUR saalistaa koordinoituna laumana. Ne kommunikoivat keskenään käyttämällä erilaisia ​​huutoja saaliinsa nurkkaan ajamiseksi. Tämän POKéMONin merkittävä tiimityö on vertaansa vailla.")</f>
        <v>HOUNDOUR saalistaa koordinoituna laumana. Ne kommunikoivat keskenään käyttämällä erilaisia ​​huutoja saaliinsa nurkkaan ajamiseksi. Tämän POKéMONin merkittävä tiimityö on vertaansa vailla.</v>
      </c>
      <c r="C4483" s="9" t="s">
        <v>1344</v>
      </c>
    </row>
    <row r="4484" ht="33.75" customHeight="1">
      <c r="A4484" s="6" t="s">
        <v>6587</v>
      </c>
      <c r="B4484" s="6" t="str">
        <f>IFERROR(__xludf.DUMMYFUNCTION("GOOGLETRANSLATE(A4484,""en"",""fi"")"),"HOUNDOUR kommunikoivat keskenään käyttämällä erilaisia ​​huutoja ajellakseen saaliinsa nurkkaan. Tämän POKéMONin merkittävä tiimityö on yksinkertaisesti vertaansa vailla.")</f>
        <v>HOUNDOUR kommunikoivat keskenään käyttämällä erilaisia ​​huutoja ajellakseen saaliinsa nurkkaan. Tämän POKéMONin merkittävä tiimityö on yksinkertaisesti vertaansa vailla.</v>
      </c>
      <c r="C4484" s="9" t="s">
        <v>1344</v>
      </c>
    </row>
    <row r="4485" ht="33.75" customHeight="1">
      <c r="A4485" s="6" t="s">
        <v>6588</v>
      </c>
      <c r="B4485" s="6" t="str">
        <f>IFERROR(__xludf.DUMMYFUNCTION("GOOGLETRANSLATE(A4485,""en"",""fi"")"),"Ajaakseen saaliinsa nurkkaan ne tarkistavat toistensa sijainnin haukkumalla, jonka vain ne ymmärtävät.")</f>
        <v>Ajaakseen saaliinsa nurkkaan ne tarkistavat toistensa sijainnin haukkumalla, jonka vain ne ymmärtävät.</v>
      </c>
      <c r="C4485" s="9" t="s">
        <v>1344</v>
      </c>
    </row>
    <row r="4486" ht="33.75" customHeight="1">
      <c r="A4486" s="6" t="s">
        <v>6590</v>
      </c>
      <c r="B4486" s="6" t="str">
        <f>IFERROR(__xludf.DUMMYFUNCTION("GOOGLETRANSLATE(A4486,""en"",""fi"")"),"Se käyttää erilaisia ​​huutoja kommunikoidakseen muiden lajitovereidensa kanssa ja jahdatakseen saalista.")</f>
        <v>Se käyttää erilaisia ​​huutoja kommunikoidakseen muiden lajitovereidensa kanssa ja jahdatakseen saalista.</v>
      </c>
      <c r="C4486" s="9" t="s">
        <v>1344</v>
      </c>
    </row>
    <row r="4487" ht="33.75" customHeight="1">
      <c r="A4487" s="6" t="s">
        <v>6591</v>
      </c>
      <c r="B4487" s="6" t="str">
        <f>IFERROR(__xludf.DUMMYFUNCTION("GOOGLETRANSLATE(A4487,""en"",""fi"")"),"Se ilmaisee tunteitaan erilaisilla huudoilla. Se toimii laumassa napatakseen saaliinsa ovelasti.")</f>
        <v>Se ilmaisee tunteitaan erilaisilla huudoilla. Se toimii laumassa napatakseen saaliinsa ovelasti.</v>
      </c>
      <c r="C4487" s="9" t="s">
        <v>1344</v>
      </c>
    </row>
    <row r="4488" ht="33.75" customHeight="1">
      <c r="A4488" s="6" t="s">
        <v>6592</v>
      </c>
      <c r="B4488" s="6" t="str">
        <f>IFERROR(__xludf.DUMMYFUNCTION("GOOGLETRANSLATE(A4488,""en"",""fi"")"),"Se on tarpeeksi älykäs metsästämään laumoissa. Se käyttää erilaisia ​​huutoja kommunikoidakseen muiden kanssa.")</f>
        <v>Se on tarpeeksi älykäs metsästämään laumoissa. Se käyttää erilaisia ​​huutoja kommunikoidakseen muiden kanssa.</v>
      </c>
      <c r="C4488" s="9" t="s">
        <v>1344</v>
      </c>
    </row>
    <row r="4489" ht="33.75" customHeight="1">
      <c r="A4489" s="6" t="s">
        <v>6593</v>
      </c>
      <c r="B4489" s="6" t="str">
        <f>IFERROR(__xludf.DUMMYFUNCTION("GOOGLETRANSLATE(A4489,""en"",""fi"")"),"Houndourit metsästävät koordinoituna laumana. Ne kommunikoivat keskenään käyttämällä erilaisia ​​huutoja ahdistaakseen saaliinsa. Tämän Pokémonin merkittävä tiimityöskentely on vertaansa vailla.")</f>
        <v>Houndourit metsästävät koordinoituna laumana. Ne kommunikoivat keskenään käyttämällä erilaisia ​​huutoja ahdistaakseen saaliinsa. Tämän Pokémonin merkittävä tiimityöskentely on vertaansa vailla.</v>
      </c>
      <c r="C4489" s="9" t="s">
        <v>1344</v>
      </c>
    </row>
    <row r="4490" ht="33.75" customHeight="1">
      <c r="A4490" s="6" t="s">
        <v>6595</v>
      </c>
      <c r="B4490" s="6" t="str">
        <f>IFERROR(__xludf.DUMMYFUNCTION("GOOGLETRANSLATE(A4490,""en"",""fi"")"),"Se tekee taitavaa yhteistyötä muiden kanssa. Kun siitä tulee kumppanisi, se on erittäin uskollinen sinulle kouluttajanaan ja tottelee käskyjäsi.")</f>
        <v>Se tekee taitavaa yhteistyötä muiden kanssa. Kun siitä tulee kumppanisi, se on erittäin uskollinen sinulle kouluttajanaan ja tottelee käskyjäsi.</v>
      </c>
      <c r="C4490" s="9" t="s">
        <v>1344</v>
      </c>
    </row>
    <row r="4491" ht="33.75" customHeight="1">
      <c r="A4491" s="6" t="s">
        <v>6596</v>
      </c>
      <c r="B4491" s="6" t="str">
        <f>IFERROR(__xludf.DUMMYFUNCTION("GOOGLETRANSLATE(A4491,""en"",""fi"")"),"Ne ulvovat toistuvasti ennen aamunkoittoa kiinnittääkseen huomion laumaansa.")</f>
        <v>Ne ulvovat toistuvasti ennen aamunkoittoa kiinnittääkseen huomion laumaansa.</v>
      </c>
      <c r="C4491" s="9" t="s">
        <v>1344</v>
      </c>
    </row>
    <row r="4492" ht="33.75" customHeight="1">
      <c r="A4492" s="6" t="s">
        <v>6597</v>
      </c>
      <c r="B4492" s="6" t="str">
        <f>IFERROR(__xludf.DUMMYFUNCTION("GOOGLETRANSLATE(A4492,""en"",""fi"")"),"Jos sen suusta ampuvat liekit polttavat sinua, kipu ei koskaan katoa.")</f>
        <v>Jos sen suusta ampuvat liekit polttavat sinua, kipu ei koskaan katoa.</v>
      </c>
      <c r="C4492" s="9" t="s">
        <v>1344</v>
      </c>
    </row>
    <row r="4493" ht="33.75" customHeight="1">
      <c r="A4493" s="6" t="s">
        <v>6599</v>
      </c>
      <c r="B4493" s="6" t="str">
        <f>IFERROR(__xludf.DUMMYFUNCTION("GOOGLETRANSLATE(A4493,""en"",""fi"")"),"Kuultuaan sen aavemaisen ulvonnan muut POKéMONit saavat kylmiä väreitä ja suuntaavat suoraan takaisin pesiinsä.")</f>
        <v>Kuultuaan sen aavemaisen ulvonnan muut POKéMONit saavat kylmiä väreitä ja suuntaavat suoraan takaisin pesiinsä.</v>
      </c>
      <c r="C4493" s="9" t="s">
        <v>1344</v>
      </c>
    </row>
    <row r="4494" ht="33.75" customHeight="1">
      <c r="A4494" s="6" t="s">
        <v>6600</v>
      </c>
      <c r="B4494" s="6" t="str">
        <f>IFERROR(__xludf.DUMMYFUNCTION("GOOGLETRANSLATE(A4494,""en"",""fi"")"),"Sen suusta purkautuva pistävänhajuinen liekki on peräisin sen kehossa palavista myrkkyistä.")</f>
        <v>Sen suusta purkautuva pistävänhajuinen liekki on peräisin sen kehossa palavista myrkkyistä.</v>
      </c>
      <c r="C4494" s="9" t="s">
        <v>1344</v>
      </c>
    </row>
    <row r="4495" ht="33.75" customHeight="1">
      <c r="A4495" s="6" t="s">
        <v>6601</v>
      </c>
      <c r="B4495" s="6" t="str">
        <f>IFERROR(__xludf.DUMMYFUNCTION("GOOGLETRANSLATE(A4495,""en"",""fi"")"),"HOUNDOOM-laumassa se, jonka sarvet ovat terävästi taaksepäin, toimii johtajana. Nämä POKéMONit valitsevat johtajansa taistelemalla keskenään.")</f>
        <v>HOUNDOOM-laumassa se, jonka sarvet ovat terävästi taaksepäin, toimii johtajana. Nämä POKéMONit valitsevat johtajansa taistelemalla keskenään.</v>
      </c>
      <c r="C4495" s="9" t="s">
        <v>1344</v>
      </c>
    </row>
    <row r="4496" ht="33.75" customHeight="1">
      <c r="A4496" s="6" t="s">
        <v>6603</v>
      </c>
      <c r="B4496" s="6" t="str">
        <f>IFERROR(__xludf.DUMMYFUNCTION("GOOGLETRANSLATE(A4496,""en"",""fi"")"),"HOUNDOOM-laumassa se, jonka sarvet ovat terävästi taaksepäin, toimii johtajana. Ne valitsevat johtajansa taistelemalla keskenään.")</f>
        <v>HOUNDOOM-laumassa se, jonka sarvet ovat terävästi taaksepäin, toimii johtajana. Ne valitsevat johtajansa taistelemalla keskenään.</v>
      </c>
      <c r="C4496" s="9" t="s">
        <v>1344</v>
      </c>
    </row>
    <row r="4497" ht="33.75" customHeight="1">
      <c r="A4497" s="6" t="s">
        <v>6604</v>
      </c>
      <c r="B4497" s="6" t="str">
        <f>IFERROR(__xludf.DUMMYFUNCTION("GOOGLETRANSLATE(A4497,""en"",""fi"")"),"Kauan sitten ihmiset kuvittelivat sen aavemaisen ulvonnan olevan viikatemiehen kutsu.")</f>
        <v>Kauan sitten ihmiset kuvittelivat sen aavemaisen ulvonnan olevan viikatemiehen kutsu.</v>
      </c>
      <c r="C4497" s="9" t="s">
        <v>1344</v>
      </c>
    </row>
    <row r="4498" ht="33.75" customHeight="1">
      <c r="A4498" s="6" t="s">
        <v>6605</v>
      </c>
      <c r="B4498" s="6" t="str">
        <f>IFERROR(__xludf.DUMMYFUNCTION("GOOGLETRANSLATE(A4498,""en"",""fi"")"),"Sen suuttuessa hengittämät liekit sisältävät myrkkyjä. Jos ne aiheuttavat palovamman, se sattuu ikuisesti.")</f>
        <v>Sen suuttuessa hengittämät liekit sisältävät myrkkyjä. Jos ne aiheuttavat palovamman, se sattuu ikuisesti.</v>
      </c>
      <c r="C4498" s="9" t="s">
        <v>1344</v>
      </c>
    </row>
    <row r="4499" ht="33.75" customHeight="1">
      <c r="A4499" s="6" t="s">
        <v>6607</v>
      </c>
      <c r="B4499" s="6" t="str">
        <f>IFERROR(__xludf.DUMMYFUNCTION("GOOGLETRANSLATE(A4499,""en"",""fi"")"),"Kuultuaan sen aavemaisen ulvonnan muut Pokémonit saavat kylmiä väreitä ja suuntaavat suoraan takaisin pesiinsä.")</f>
        <v>Kuultuaan sen aavemaisen ulvonnan muut Pokémonit saavat kylmiä väreitä ja suuntaavat suoraan takaisin pesiinsä.</v>
      </c>
      <c r="C4499" s="9" t="s">
        <v>1344</v>
      </c>
    </row>
    <row r="4500" ht="33.75" customHeight="1">
      <c r="A4500" s="6" t="s">
        <v>6608</v>
      </c>
      <c r="B4500" s="6" t="str">
        <f>IFERROR(__xludf.DUMMYFUNCTION("GOOGLETRANSLATE(A4500,""en"",""fi"")"),"Houndoom-laumassa se Pokémon, jonka sarvet ovat terävästi taaksepäin, toimii johtajana. Nämä Pokémonit valitsevat johtajansa taistelemalla keskenään.")</f>
        <v>Houndoom-laumassa se Pokémon, jonka sarvet ovat terävästi taaksepäin, toimii johtajana. Nämä Pokémonit valitsevat johtajansa taistelemalla keskenään.</v>
      </c>
      <c r="C4500" s="9" t="s">
        <v>1344</v>
      </c>
    </row>
    <row r="4501" ht="33.75" customHeight="1">
      <c r="A4501" s="6" t="s">
        <v>6609</v>
      </c>
      <c r="B4501" s="6" t="str">
        <f>IFERROR(__xludf.DUMMYFUNCTION("GOOGLETRANSLATE(A4501,""en"",""fi"")"),"Ne sylkevät myrkkyyn sekoitettuja liekkejä vihollistensa loppuun saattamiseksi. Ne jakavat saaliinsa tasan laumansa jäsenten kesken.")</f>
        <v>Ne sylkevät myrkkyyn sekoitettuja liekkejä vihollistensa loppuun saattamiseksi. Ne jakavat saaliinsa tasan laumansa jäsenten kesken.</v>
      </c>
      <c r="C4501" s="9" t="s">
        <v>1344</v>
      </c>
    </row>
    <row r="4502" ht="33.75" customHeight="1">
      <c r="A4502" s="6" t="s">
        <v>6610</v>
      </c>
      <c r="B4502" s="6" t="str">
        <f>IFERROR(__xludf.DUMMYFUNCTION("GOOGLETRANSLATE(A4502,""en"",""fi"")"),"Sen aavemaisen ulvonnan perusteella tunnistettavissa olevaa eläintä pidettiin kauan sitten synkkänä viikatemiehenä ja pelkäsivät sitä.")</f>
        <v>Sen aavemaisen ulvonnan perusteella tunnistettavissa olevaa eläintä pidettiin kauan sitten synkkänä viikatemiehenä ja pelkäsivät sitä.</v>
      </c>
      <c r="C4502" s="9" t="s">
        <v>1344</v>
      </c>
    </row>
    <row r="4503" ht="33.75" customHeight="1">
      <c r="A4503" s="6" t="s">
        <v>6612</v>
      </c>
      <c r="B4503" s="6" t="str">
        <f>IFERROR(__xludf.DUMMYFUNCTION("GOOGLETRANSLATE(A4503,""en"",""fi"")"),"Sanotaan, että se yleensä piiloutuu vedenalaisiin luoliin. Se voi luoda porealtaita haukottelemalla.")</f>
        <v>Sanotaan, että se yleensä piiloutuu vedenalaisiin luoliin. Se voi luoda porealtaita haukottelemalla.</v>
      </c>
      <c r="C4503" s="9" t="s">
        <v>1344</v>
      </c>
    </row>
    <row r="4504" ht="33.75" customHeight="1">
      <c r="A4504" s="6" t="s">
        <v>6613</v>
      </c>
      <c r="B4504" s="6" t="str">
        <f>IFERROR(__xludf.DUMMYFUNCTION("GOOGLETRANSLATE(A4504,""en"",""fi"")"),"Se nukkuu syvällä merenpohjassa kerätäkseen energiaansa. Sen sanotaan aiheuttavan tornadoja herätessään.")</f>
        <v>Se nukkuu syvällä merenpohjassa kerätäkseen energiaansa. Sen sanotaan aiheuttavan tornadoja herätessään.</v>
      </c>
      <c r="C4504" s="9" t="s">
        <v>1344</v>
      </c>
    </row>
    <row r="4505" ht="33.75" customHeight="1">
      <c r="A4505" s="6" t="s">
        <v>6614</v>
      </c>
      <c r="B4505" s="6" t="str">
        <f>IFERROR(__xludf.DUMMYFUNCTION("GOOGLETRANSLATE(A4505,""en"",""fi"")"),"Se varastoi energiaa nukkumalla vedenalaisissa syvyyksissä, joissa mikään muu elämänmuoto ei voi selviytyä.")</f>
        <v>Se varastoi energiaa nukkumalla vedenalaisissa syvyyksissä, joissa mikään muu elämänmuoto ei voi selviytyä.</v>
      </c>
      <c r="C4505" s="9" t="s">
        <v>1344</v>
      </c>
    </row>
    <row r="4506" ht="33.75" customHeight="1">
      <c r="A4506" s="6" t="s">
        <v>6616</v>
      </c>
      <c r="B4506" s="6" t="str">
        <f>IFERROR(__xludf.DUMMYFUNCTION("GOOGLETRANSLATE(A4506,""en"",""fi"")"),"KINGDRA elää äärimmäisissä meren syvyyksissä, jotka ovat muuten asumattomia. On pitkään uskottu, että tämän POKéMONin haukottelu luo spiraalimaisia ​​merivirtoja.")</f>
        <v>KINGDRA elää äärimmäisissä meren syvyyksissä, jotka ovat muuten asumattomia. On pitkään uskottu, että tämän POKéMONin haukottelu luo spiraalimaisia ​​merivirtoja.</v>
      </c>
      <c r="C4506" s="9" t="s">
        <v>1344</v>
      </c>
    </row>
    <row r="4507" ht="33.75" customHeight="1">
      <c r="A4507" s="6" t="s">
        <v>6618</v>
      </c>
      <c r="B4507" s="6" t="str">
        <f>IFERROR(__xludf.DUMMYFUNCTION("GOOGLETRANSLATE(A4507,""en"",""fi"")"),"KINGDRA nukkuu merenpohjassa, missä se muuten olisi eloton. Myrskyn saapuessa POKéMONien sanotaan heräävän ja vaeltelevan etsimässä saalista.")</f>
        <v>KINGDRA nukkuu merenpohjassa, missä se muuten olisi eloton. Myrskyn saapuessa POKéMONien sanotaan heräävän ja vaeltelevan etsimässä saalista.</v>
      </c>
      <c r="C4507" s="9" t="s">
        <v>1344</v>
      </c>
    </row>
    <row r="4508" ht="33.75" customHeight="1">
      <c r="A4508" s="6" t="s">
        <v>6619</v>
      </c>
      <c r="B4508" s="6" t="str">
        <f>IFERROR(__xludf.DUMMYFUNCTION("GOOGLETRANSLATE(A4508,""en"",""fi"")"),"Se nukkuu hiljaa syvällä merenpohjassa. Pintaan noustessaan se luo valtavan pyörteen, joka voi nielaista jopa laivat.")</f>
        <v>Se nukkuu hiljaa syvällä merenpohjassa. Pintaan noustessaan se luo valtavan pyörteen, joka voi nielaista jopa laivat.</v>
      </c>
      <c r="C4508" s="9" t="s">
        <v>1344</v>
      </c>
    </row>
    <row r="4509" ht="33.75" customHeight="1">
      <c r="A4509" s="6" t="s">
        <v>6620</v>
      </c>
      <c r="B4509" s="6" t="str">
        <f>IFERROR(__xludf.DUMMYFUNCTION("GOOGLETRANSLATE(A4509,""en"",""fi"")"),"Se elää merenpohjan luolissa ja luo valtavia pyörteitä joka kerta liikkuessaan.")</f>
        <v>Se elää merenpohjan luolissa ja luo valtavia pyörteitä joka kerta liikkuessaan.</v>
      </c>
      <c r="C4509" s="9" t="s">
        <v>1344</v>
      </c>
    </row>
    <row r="4510" ht="33.75" customHeight="1">
      <c r="A4510" s="6" t="s">
        <v>6622</v>
      </c>
      <c r="B4510" s="6" t="str">
        <f>IFERROR(__xludf.DUMMYFUNCTION("GOOGLETRANSLATE(A4510,""en"",""fi"")"),"Se varastoi energiaa nukkumalla vedenalaisissa syvyyksissä, joissa mikään muu elämänmuoto ei voi selviytyä.")</f>
        <v>Se varastoi energiaa nukkumalla vedenalaisissa syvyyksissä, joissa mikään muu elämänmuoto ei voi selviytyä.</v>
      </c>
      <c r="C4510" s="9" t="s">
        <v>1344</v>
      </c>
    </row>
    <row r="4511" ht="33.75" customHeight="1">
      <c r="A4511" s="6" t="s">
        <v>6623</v>
      </c>
      <c r="B4511" s="6" t="str">
        <f>IFERROR(__xludf.DUMMYFUNCTION("GOOGLETRANSLATE(A4511,""en"",""fi"")"),"Kingdra elää äärimmäisissä meren syvyyksissä, jotka ovat muuten asumattomia. On pitkään uskottu, että tämän Pokémonin haukottelu luo spiraalimaisia ​​merivirtoja.")</f>
        <v>Kingdra elää äärimmäisissä meren syvyyksissä, jotka ovat muuten asumattomia. On pitkään uskottu, että tämän Pokémonin haukottelu luo spiraalimaisia ​​merivirtoja.</v>
      </c>
      <c r="C4511" s="9" t="s">
        <v>1344</v>
      </c>
    </row>
    <row r="4512" ht="33.75" customHeight="1">
      <c r="A4512" s="6" t="s">
        <v>6624</v>
      </c>
      <c r="B4512" s="6" t="str">
        <f>IFERROR(__xludf.DUMMYFUNCTION("GOOGLETRANSLATE(A4512,""en"",""fi"")"),"Kingdra nukkuu merenpohjassa, missä se muuten olisi eloton. Myrskyn saapuessa Pokémonin sanotaan heräävän ja vaeltelevan etsimässä saalista.")</f>
        <v>Kingdra nukkuu merenpohjassa, missä se muuten olisi eloton. Myrskyn saapuessa Pokémonin sanotaan heräävän ja vaeltelevan etsimässä saalista.</v>
      </c>
      <c r="C4512" s="9" t="s">
        <v>1344</v>
      </c>
    </row>
    <row r="4513" ht="33.75" customHeight="1">
      <c r="A4513" s="6" t="s">
        <v>6625</v>
      </c>
      <c r="B4513" s="6" t="str">
        <f>IFERROR(__xludf.DUMMYFUNCTION("GOOGLETRANSLATE(A4513,""en"",""fi"")"),"Myrskyn saapuessa merelle tämä Pokémon näyttäytyy pinnalla. Kun Kingdra ja Dragonite kohtaavat, syttyy raivokas taistelu.")</f>
        <v>Myrskyn saapuessa merelle tämä Pokémon näyttäytyy pinnalla. Kun Kingdra ja Dragonite kohtaavat, syttyy raivokas taistelu.</v>
      </c>
      <c r="C4513" s="9" t="s">
        <v>1344</v>
      </c>
    </row>
    <row r="4514" ht="33.75" customHeight="1">
      <c r="A4514" s="6" t="s">
        <v>6626</v>
      </c>
      <c r="B4514" s="6" t="str">
        <f>IFERROR(__xludf.DUMMYFUNCTION("GOOGLETRANSLATE(A4514,""en"",""fi"")"),"Tämän Pokémonin pudottamat suomut kiiltävät niin loistavasti, että niitä on annettu lahjaksi kuninkaallisille.")</f>
        <v>Tämän Pokémonin pudottamat suomut kiiltävät niin loistavasti, että niitä on annettu lahjaksi kuninkaallisille.</v>
      </c>
      <c r="C4514" s="9" t="s">
        <v>1344</v>
      </c>
    </row>
    <row r="4515" ht="33.75" customHeight="1">
      <c r="A4515" s="6" t="s">
        <v>6627</v>
      </c>
      <c r="B4515" s="6" t="str">
        <f>IFERROR(__xludf.DUMMYFUNCTION("GOOGLETRANSLATE(A4515,""en"",""fi"")"),"Se heiluttelee pitkää kuonoaan leikkiessään vapaasti, mutta koska se on niin vahva, se voi olla vaarallista.")</f>
        <v>Se heiluttelee pitkää kuonoaan leikkiessään vapaasti, mutta koska se on niin vahva, se voi olla vaarallista.</v>
      </c>
      <c r="C4515" s="9" t="s">
        <v>1344</v>
      </c>
    </row>
    <row r="4516" ht="33.75" customHeight="1">
      <c r="A4516" s="6" t="s">
        <v>6628</v>
      </c>
      <c r="B4516" s="6" t="str">
        <f>IFERROR(__xludf.DUMMYFUNCTION("GOOGLETRANSLATE(A4516,""en"",""fi"")"),"Kiintymyksen merkkinä se tömiskelee kuonollaan. Se on kuitenkin niin vahva, että se voi lennättää sinut lentoon.")</f>
        <v>Kiintymyksen merkkinä se tömiskelee kuonollaan. Se on kuitenkin niin vahva, että se voi lennättää sinut lentoon.</v>
      </c>
      <c r="C4516" s="9" t="s">
        <v>1344</v>
      </c>
    </row>
    <row r="4517" ht="33.75" customHeight="1">
      <c r="A4517" s="6" t="s">
        <v>6630</v>
      </c>
      <c r="B4517" s="6" t="str">
        <f>IFERROR(__xludf.DUMMYFUNCTION("GOOGLETRANSLATE(A4517,""en"",""fi"")"),"Aavikon aamun tunteina se nousee maihin ja käyttää taitavasti kärsäänsä suihkussa.")</f>
        <v>Aavikon aamun tunteina se nousee maihin ja käyttää taitavasti kärsäänsä suihkussa.</v>
      </c>
      <c r="C4517" s="9" t="s">
        <v>1344</v>
      </c>
    </row>
    <row r="4518" ht="33.75" customHeight="1">
      <c r="A4518" s="6" t="s">
        <v>6631</v>
      </c>
      <c r="B4518" s="6" t="str">
        <f>IFERROR(__xludf.DUMMYFUNCTION("GOOGLETRANSLATE(A4518,""en"",""fi"")"),"Pesäänsä varten PHANPY kaivaa pystysuoran kuopan maahan joen reunaan. Se merkitsee pesänsä ympäristön rungollaan kertoakseen muille, että alue on vallattu.")</f>
        <v>Pesäänsä varten PHANPY kaivaa pystysuoran kuopan maahan joen reunaan. Se merkitsee pesänsä ympäristön rungollaan kertoakseen muille, että alue on vallattu.</v>
      </c>
      <c r="C4518" s="9" t="s">
        <v>1344</v>
      </c>
    </row>
    <row r="4519" ht="33.75" customHeight="1">
      <c r="A4519" s="6" t="s">
        <v>6632</v>
      </c>
      <c r="B4519" s="6" t="str">
        <f>IFERROR(__xludf.DUMMYFUNCTION("GOOGLETRANSLATE(A4519,""en"",""fi"")"),"PHANPY käyttää pitkää kuonoaan suihkutteluun. Kun muut kerääntyvät ympärille, he kastelevat toisensa perusteellisesti vedellä. Nämä POKéMONit voi nähdä kuivaamassa litimärkiä ruumiitaan veden reunalla.")</f>
        <v>PHANPY käyttää pitkää kuonoaan suihkutteluun. Kun muut kerääntyvät ympärille, he kastelevat toisensa perusteellisesti vedellä. Nämä POKéMONit voi nähdä kuivaamassa litimärkiä ruumiitaan veden reunalla.</v>
      </c>
      <c r="C4519" s="9" t="s">
        <v>1344</v>
      </c>
    </row>
    <row r="4520" ht="33.75" customHeight="1">
      <c r="A4520" s="6" t="s">
        <v>6633</v>
      </c>
      <c r="B4520" s="6" t="str">
        <f>IFERROR(__xludf.DUMMYFUNCTION("GOOGLETRANSLATE(A4520,""en"",""fi"")"),"PHANPYn suuret korvat toimivat leveinä viuhkoina. Kuuman sään noustessa se viilentää korviaan ahkerasti läpsyttäen niitä. Jopa poikaset ovat erittäin vahvoja.")</f>
        <v>PHANPYn suuret korvat toimivat leveinä viuhkoina. Kuuman sään noustessa se viilentää korviaan ahkerasti läpsyttäen niitä. Jopa poikaset ovat erittäin vahvoja.</v>
      </c>
      <c r="C4520" s="9" t="s">
        <v>1344</v>
      </c>
    </row>
    <row r="4521" ht="33.75" customHeight="1">
      <c r="A4521" s="6" t="s">
        <v>6634</v>
      </c>
      <c r="B4521" s="6" t="str">
        <f>IFERROR(__xludf.DUMMYFUNCTION("GOOGLETRANSLATE(A4521,""en"",""fi"")"),"Hellyydenosoituksena se tömistelee kuonollaan. Se on kuitenkin niin vahva, että se voi lennättää sinut ilmaan.")</f>
        <v>Hellyydenosoituksena se tömistelee kuonollaan. Se on kuitenkin niin vahva, että se voi lennättää sinut ilmaan.</v>
      </c>
      <c r="C4521" s="9" t="s">
        <v>1344</v>
      </c>
    </row>
    <row r="4522" ht="33.75" customHeight="1">
      <c r="A4522" s="6" t="s">
        <v>6635</v>
      </c>
      <c r="B4522" s="6" t="str">
        <f>IFERROR(__xludf.DUMMYFUNCTION("GOOGLETRANSLATE(A4522,""en"",""fi"")"),"Se heiluttelee pitkää kuonoaan leikkisästi, mutta koska se on niin vahva, se voi olla vaarallista.")</f>
        <v>Se heiluttelee pitkää kuonoaan leikkisästi, mutta koska se on niin vahva, se voi olla vaarallista.</v>
      </c>
      <c r="C4522" s="9" t="s">
        <v>1344</v>
      </c>
    </row>
    <row r="4523" ht="33.75" customHeight="1">
      <c r="A4523" s="6" t="s">
        <v>6636</v>
      </c>
      <c r="B4523" s="6" t="str">
        <f>IFERROR(__xludf.DUMMYFUNCTION("GOOGLETRANSLATE(A4523,""en"",""fi"")"),"Se on vahva kompaktista koostaan ​​huolimatta. Se voi helposti nostaa ja kantaa aikuisen ihmisen selässään.")</f>
        <v>Se on vahva kompaktista koostaan ​​huolimatta. Se voi helposti nostaa ja kantaa aikuisen ihmisen selässään.</v>
      </c>
      <c r="C4523" s="9" t="s">
        <v>1344</v>
      </c>
    </row>
    <row r="4524" ht="33.75" customHeight="1">
      <c r="A4524" s="6" t="s">
        <v>6637</v>
      </c>
      <c r="B4524" s="6" t="str">
        <f>IFERROR(__xludf.DUMMYFUNCTION("GOOGLETRANSLATE(A4524,""en"",""fi"")"),"Se heiluttelee pitkää kuonoaan leikkisästi, mutta koska se on niin vahva, se voi olla vaarallista.")</f>
        <v>Se heiluttelee pitkää kuonoaan leikkisästi, mutta koska se on niin vahva, se voi olla vaarallista.</v>
      </c>
      <c r="C4524" s="9" t="s">
        <v>1344</v>
      </c>
    </row>
    <row r="4525" ht="33.75" customHeight="1">
      <c r="A4525" s="6" t="s">
        <v>6638</v>
      </c>
      <c r="B4525" s="6" t="str">
        <f>IFERROR(__xludf.DUMMYFUNCTION("GOOGLETRANSLATE(A4525,""en"",""fi"")"),"Pesäänsä varten Phanpy kaivaa pystysuoran kuopan maahan joen reunaan. Se merkitsee pesänsä ympäristön rungollaan kertoakseen muille, että alue on vallattu.")</f>
        <v>Pesäänsä varten Phanpy kaivaa pystysuoran kuopan maahan joen reunaan. Se merkitsee pesänsä ympäristön rungollaan kertoakseen muille, että alue on vallattu.</v>
      </c>
      <c r="C4525" s="9" t="s">
        <v>1344</v>
      </c>
    </row>
    <row r="4526" ht="33.75" customHeight="1">
      <c r="A4526" s="6" t="s">
        <v>6639</v>
      </c>
      <c r="B4526" s="6" t="str">
        <f>IFERROR(__xludf.DUMMYFUNCTION("GOOGLETRANSLATE(A4526,""en"",""fi"")"),"Phanpy käyttää pitkää kuonoaan suihkutteluun. Kun muut kerääntyvät ympärille, he kastelevat toisensa perusteellisesti vedellä. Nämä Pokémonit voi nähdä kuivaamassa litimärkiä ruumiitaan veden reunalla.")</f>
        <v>Phanpy käyttää pitkää kuonoaan suihkutteluun. Kun muut kerääntyvät ympärille, he kastelevat toisensa perusteellisesti vedellä. Nämä Pokémonit voi nähdä kuivaamassa litimärkiä ruumiitaan veden reunalla.</v>
      </c>
      <c r="C4526" s="9" t="s">
        <v>1344</v>
      </c>
    </row>
    <row r="4527" ht="33.75" customHeight="1">
      <c r="A4527" s="6" t="s">
        <v>6640</v>
      </c>
      <c r="B4527" s="6" t="str">
        <f>IFERROR(__xludf.DUMMYFUNCTION("GOOGLETRANSLATE(A4527,""en"",""fi"")"),"Sillä on terävät, kovat hampaat ja karu nahka. Sen VARUSTUS on niin vahva, että se voi romuttaa talon.")</f>
        <v>Sillä on terävät, kovat hampaat ja karu nahka. Sen VARUSTUS on niin vahva, että se voi romuttaa talon.</v>
      </c>
      <c r="C4527" s="9" t="s">
        <v>1344</v>
      </c>
    </row>
    <row r="4528" ht="33.75" customHeight="1">
      <c r="A4528" s="6" t="s">
        <v>6642</v>
      </c>
      <c r="B4528" s="6" t="str">
        <f>IFERROR(__xludf.DUMMYFUNCTION("GOOGLETRANSLATE(A4528,""en"",""fi"")"),"Mitä pidemmät ja suuremmat sen syöksyhampaat ovat, sitä korkeammalle se sijoittuu laumassaan. Syöksyhampaiden kasvu kestää kauan.")</f>
        <v>Mitä pidemmät ja suuremmat sen syöksyhampaat ovat, sitä korkeammalle se sijoittuu laumassaan. Syöksyhampaiden kasvu kestää kauan.</v>
      </c>
      <c r="C4528" s="9" t="s">
        <v>1344</v>
      </c>
    </row>
    <row r="4529" ht="33.75" customHeight="1">
      <c r="A4529" s="6" t="s">
        <v>6643</v>
      </c>
      <c r="B4529" s="6" t="str">
        <f>IFERROR(__xludf.DUMMYFUNCTION("GOOGLETRANSLATE(A4529,""en"",""fi"")"),"Koska tämän POKéMONin iho on niin kestävä, tavallinen hyökkäys ei jätä siihen naarmuakaan.")</f>
        <v>Koska tämän POKéMONin iho on niin kestävä, tavallinen hyökkäys ei jätä siihen naarmuakaan.</v>
      </c>
      <c r="C4529" s="9" t="s">
        <v>1344</v>
      </c>
    </row>
    <row r="4530" ht="33.75" customHeight="1">
      <c r="A4530" s="6" t="s">
        <v>6644</v>
      </c>
      <c r="B4530" s="6" t="str">
        <f>IFERROR(__xludf.DUMMYFUNCTION("GOOGLETRANSLATE(A4530,""en"",""fi"")"),"DONPHANin lempihyökkäys on käpertyä palloksi ja sitten rynnätä vihollisen kimppuun vieriessä kovaa vauhtia. Kun tämä POKéMON alkaa pyöriä, se ei pysty pysähtymään kovin helposti.")</f>
        <v>DONPHANin lempihyökkäys on käpertyä palloksi ja sitten rynnätä vihollisen kimppuun vieriessä kovaa vauhtia. Kun tämä POKéMON alkaa pyöriä, se ei pysty pysähtymään kovin helposti.</v>
      </c>
      <c r="C4530" s="9" t="s">
        <v>1344</v>
      </c>
    </row>
    <row r="4531" ht="33.75" customHeight="1">
      <c r="A4531" s="6" t="s">
        <v>6646</v>
      </c>
      <c r="B4531" s="6" t="str">
        <f>IFERROR(__xludf.DUMMYFUNCTION("GOOGLETRANSLATE(A4531,""en"",""fi"")"),"Jos DONPHAN tarttuisi kovalla ruumiillaan, jopa talo voisi tuhoutua. Massiivisen voimansa avulla POKéMON auttaa raivaamaan vuoristopolkuja tukkivia kivi- ja mutavyörymiä.")</f>
        <v>Jos DONPHAN tarttuisi kovalla ruumiillaan, jopa talo voisi tuhoutua. Massiivisen voimansa avulla POKéMON auttaa raivaamaan vuoristopolkuja tukkivia kivi- ja mutavyörymiä.</v>
      </c>
      <c r="C4531" s="9" t="s">
        <v>1344</v>
      </c>
    </row>
    <row r="4532" ht="33.75" customHeight="1">
      <c r="A4532" s="6" t="s">
        <v>6648</v>
      </c>
      <c r="B4532" s="6" t="str">
        <f>IFERROR(__xludf.DUMMYFUNCTION("GOOGLETRANSLATE(A4532,""en"",""fi"")"),"DONPHAN on niin vahva, että se voi helposti vetää kippiauton. Sen nahka on karkaistu kivikovaksi. Tavallinen hyökkäys ei jätä edes naarmua.")</f>
        <v>DONPHAN on niin vahva, että se voi helposti vetää kippiauton. Sen nahka on karkaistu kivikovaksi. Tavallinen hyökkäys ei jätä edes naarmua.</v>
      </c>
      <c r="C4532" s="9" t="s">
        <v>1344</v>
      </c>
    </row>
    <row r="4533" ht="33.75" customHeight="1">
      <c r="A4533" s="6" t="s">
        <v>6650</v>
      </c>
      <c r="B4533" s="6" t="str">
        <f>IFERROR(__xludf.DUMMYFUNCTION("GOOGLETRANSLATE(A4533,""en"",""fi"")"),"Mitä pidemmät ja suuremmat sen syöksyhampaat ovat, sitä korkeammalle se sijoittuu laumassaan. Syöksyhampaiden kasvu kestää kauan.")</f>
        <v>Mitä pidemmät ja suuremmat sen syöksyhampaat ovat, sitä korkeammalle se sijoittuu laumassaan. Syöksyhampaiden kasvu kestää kauan.</v>
      </c>
      <c r="C4533" s="9" t="s">
        <v>1344</v>
      </c>
    </row>
    <row r="4534" ht="33.75" customHeight="1">
      <c r="A4534" s="6" t="s">
        <v>6651</v>
      </c>
      <c r="B4534" s="6" t="str">
        <f>IFERROR(__xludf.DUMMYFUNCTION("GOOGLETRANSLATE(A4534,""en"",""fi"")"),"Se hyökkää käpertymällä ja sitten vierimällä vihollisen päälle. Se voi räjäyttää talon yhdellä iskulla.")</f>
        <v>Se hyökkää käpertymällä ja sitten vierimällä vihollisen päälle. Se voi räjäyttää talon yhdellä iskulla.</v>
      </c>
      <c r="C4534" s="9" t="s">
        <v>1344</v>
      </c>
    </row>
    <row r="4535" ht="33.75" customHeight="1">
      <c r="A4535" s="6" t="s">
        <v>6653</v>
      </c>
      <c r="B4535" s="6" t="str">
        <f>IFERROR(__xludf.DUMMYFUNCTION("GOOGLETRANSLATE(A4535,""en"",""fi"")"),"Sillä on terävät, kovat hampaat ja karhea nahka. Sen taktiikka on niin vahva, että se voi kaataa talon.")</f>
        <v>Sillä on terävät, kovat hampaat ja karhea nahka. Sen taktiikka on niin vahva, että se voi kaataa talon.</v>
      </c>
      <c r="C4535" s="9" t="s">
        <v>1344</v>
      </c>
    </row>
    <row r="4536" ht="33.75" customHeight="1">
      <c r="A4536" s="6" t="s">
        <v>6654</v>
      </c>
      <c r="B4536" s="6" t="str">
        <f>IFERROR(__xludf.DUMMYFUNCTION("GOOGLETRANSLATE(A4536,""en"",""fi"")"),"Se hyökkää käpertymällä ja sitten vierimällä vihollisen päälle. Se voi räjäyttää talon yhdellä iskulla.")</f>
        <v>Se hyökkää käpertymällä ja sitten vierimällä vihollisen päälle. Se voi räjäyttää talon yhdellä iskulla.</v>
      </c>
      <c r="C4536" s="9" t="s">
        <v>1344</v>
      </c>
    </row>
    <row r="4537" ht="33.75" customHeight="1">
      <c r="A4537" s="6" t="s">
        <v>6655</v>
      </c>
      <c r="B4537" s="6" t="str">
        <f>IFERROR(__xludf.DUMMYFUNCTION("GOOGLETRANSLATE(A4537,""en"",""fi"")"),"Sillä on terävät, kovat hampaat ja karu nahka. Sen välineet ovat riittävän vahvat kaatamaan talon.")</f>
        <v>Sillä on terävät, kovat hampaat ja karu nahka. Sen välineet ovat riittävän vahvat kaatamaan talon.</v>
      </c>
      <c r="C4537" s="9" t="s">
        <v>1344</v>
      </c>
    </row>
    <row r="4538" ht="33.75" customHeight="1">
      <c r="A4538" s="6" t="s">
        <v>6656</v>
      </c>
      <c r="B4538" s="6" t="str">
        <f>IFERROR(__xludf.DUMMYFUNCTION("GOOGLETRANSLATE(A4538,""en"",""fi"")"),"Donphanin lempihyökkäys on käpertyä palloksi ja sitten rynnätä vihollisen kimppuun vieriessä kovaa vauhtia. Kun se alkaa pyöriä, tämä Pokémon ei pysty pysähtymään kovin helposti.")</f>
        <v>Donphanin lempihyökkäys on käpertyä palloksi ja sitten rynnätä vihollisen kimppuun vieriessä kovaa vauhtia. Kun se alkaa pyöriä, tämä Pokémon ei pysty pysähtymään kovin helposti.</v>
      </c>
      <c r="C4538" s="9" t="s">
        <v>1344</v>
      </c>
    </row>
    <row r="4539" ht="33.75" customHeight="1">
      <c r="A4539" s="6" t="s">
        <v>6658</v>
      </c>
      <c r="B4539" s="6" t="str">
        <f>IFERROR(__xludf.DUMMYFUNCTION("GOOGLETRANSLATE(A4539,""en"",""fi"")"),"Jos Donphan tarttuisi kovalla ruumiillaan, jopa talo voisi tuhoutua. Massiivisen voimansa avulla Pokémon auttaa raivaamaan vuoristopolkuja tukkivia kivi- ja mutavyörymiä.")</f>
        <v>Jos Donphan tarttuisi kovalla ruumiillaan, jopa talo voisi tuhoutua. Massiivisen voimansa avulla Pokémon auttaa raivaamaan vuoristopolkuja tukkivia kivi- ja mutavyörymiä.</v>
      </c>
      <c r="C4539" s="9" t="s">
        <v>1344</v>
      </c>
    </row>
    <row r="4540" ht="33.75" customHeight="1">
      <c r="A4540" s="6" t="s">
        <v>6660</v>
      </c>
      <c r="B4540" s="6" t="str">
        <f>IFERROR(__xludf.DUMMYFUNCTION("GOOGLETRANSLATE(A4540,""en"",""fi"")"),"Tämä PORYGONin päivitetty versio on suunniteltu avaruustutkimukseen. Se ei kuitenkaan voi lentää.")</f>
        <v>Tämä PORYGONin päivitetty versio on suunniteltu avaruustutkimukseen. Se ei kuitenkaan voi lentää.</v>
      </c>
      <c r="C4540" s="9" t="s">
        <v>1344</v>
      </c>
    </row>
    <row r="4541" ht="33.75" customHeight="1">
      <c r="A4541" s="6" t="s">
        <v>6662</v>
      </c>
      <c r="B4541" s="6" t="str">
        <f>IFERROR(__xludf.DUMMYFUNCTION("GOOGLETRANSLATE(A4541,""en"",""fi"")"),"Jatkotutkimukset paransivat sen kykyjä. Joskus se saattaa suorittaa liikkeitä, joita ei ole ohjelmoitu.")</f>
        <v>Jatkotutkimukset paransivat sen kykyjä. Joskus se saattaa suorittaa liikkeitä, joita ei ole ohjelmoitu.</v>
      </c>
      <c r="C4541" s="9" t="s">
        <v>1344</v>
      </c>
    </row>
    <row r="4542" ht="33.75" customHeight="1">
      <c r="A4542" s="6" t="s">
        <v>6664</v>
      </c>
      <c r="B4542" s="6" t="str">
        <f>IFERROR(__xludf.DUMMYFUNCTION("GOOGLETRANSLATE(A4542,""en"",""fi"")"),"Tämä ihmisen tekemä POKéMON on kehittynyt uusimman teknologian avulla. Sillä voi olla ohjelmoimattomia reaktioita.")</f>
        <v>Tämä ihmisen tekemä POKéMON on kehittynyt uusimman teknologian avulla. Sillä voi olla ohjelmoimattomia reaktioita.</v>
      </c>
      <c r="C4542" s="9" t="s">
        <v>1344</v>
      </c>
    </row>
    <row r="4543" ht="33.75" customHeight="1">
      <c r="A4543" s="6" t="s">
        <v>6666</v>
      </c>
      <c r="B4543" s="6" t="str">
        <f>IFERROR(__xludf.DUMMYFUNCTION("GOOGLETRANSLATE(A4543,""en"",""fi"")"),"Ihmiset loivat PORYGON2:n tieteen voimalla. Keinotekoinen POKéMON on varustettu tekoälyllä, jonka avulla se pystyy oppimaan uusia eleitä ja tunteita itsenäisesti.")</f>
        <v>Ihmiset loivat PORYGON2:n tieteen voimalla. Keinotekoinen POKéMON on varustettu tekoälyllä, jonka avulla se pystyy oppimaan uusia eleitä ja tunteita itsenäisesti.</v>
      </c>
      <c r="C4543" s="9" t="s">
        <v>1344</v>
      </c>
    </row>
    <row r="4544" ht="33.75" customHeight="1">
      <c r="A4544" s="6" t="s">
        <v>6667</v>
      </c>
      <c r="B4544" s="6" t="str">
        <f>IFERROR(__xludf.DUMMYFUNCTION("GOOGLETRANSLATE(A4544,""en"",""fi"")"),"Ihmiset loivat sen tieteen voimalla. Sille on annettu tekoäly, jonka avulla se pystyy oppimaan uusia eleitä ja tunteita itsenäisesti.")</f>
        <v>Ihmiset loivat sen tieteen voimalla. Sille on annettu tekoäly, jonka avulla se pystyy oppimaan uusia eleitä ja tunteita itsenäisesti.</v>
      </c>
      <c r="C4544" s="9" t="s">
        <v>1344</v>
      </c>
    </row>
    <row r="4545" ht="33.75" customHeight="1">
      <c r="A4545" s="6" t="s">
        <v>6668</v>
      </c>
      <c r="B4545" s="6" t="str">
        <f>IFERROR(__xludf.DUMMYFUNCTION("GOOGLETRANSLATE(A4545,""en"",""fi"")"),"Lisätutkimukset paransivat sen kykyjä. Joskus se saattaa suorittaa liikkeitä, joita ei ole ohjelmoitu.")</f>
        <v>Lisätutkimukset paransivat sen kykyjä. Joskus se saattaa suorittaa liikkeitä, joita ei ole ohjelmoitu.</v>
      </c>
      <c r="C4545" s="9" t="s">
        <v>1344</v>
      </c>
    </row>
    <row r="4546" ht="33.75" customHeight="1">
      <c r="A4546" s="6" t="s">
        <v>6669</v>
      </c>
      <c r="B4546" s="6" t="str">
        <f>IFERROR(__xludf.DUMMYFUNCTION("GOOGLETRANSLATE(A4546,""en"",""fi"")"),"Tämä PORYGONin päivitetty versio on suunniteltu avaruustutkimukseen. Se ei kuitenkaan pysty edes lentämään.")</f>
        <v>Tämä PORYGONin päivitetty versio on suunniteltu avaruustutkimukseen. Se ei kuitenkaan pysty edes lentämään.</v>
      </c>
      <c r="C4546" s="9" t="s">
        <v>1344</v>
      </c>
    </row>
    <row r="4547" ht="33.75" customHeight="1">
      <c r="A4547" s="6" t="s">
        <v>6670</v>
      </c>
      <c r="B4547" s="6" t="str">
        <f>IFERROR(__xludf.DUMMYFUNCTION("GOOGLETRANSLATE(A4547,""en"",""fi"")"),"Planeettakehitysohjelmiston asentamisen myötä siitä tuli kyky toimia avaruudessa.")</f>
        <v>Planeettakehitysohjelmiston asentamisen myötä siitä tuli kyky toimia avaruudessa.</v>
      </c>
      <c r="C4547" s="9" t="s">
        <v>1344</v>
      </c>
    </row>
    <row r="4548" ht="33.75" customHeight="1">
      <c r="A4548" s="6" t="s">
        <v>6672</v>
      </c>
      <c r="B4548" s="6" t="str">
        <f>IFERROR(__xludf.DUMMYFUNCTION("GOOGLETRANSLATE(A4548,""en"",""fi"")"),"Sitä päivitettiin mahdollistamaan muiden planeettojen tutkiminen, mutta se ei kuitenkaan täyttänyt odotuksia.")</f>
        <v>Sitä päivitettiin mahdollistamaan muiden planeettojen tutkiminen, mutta se ei kuitenkaan täyttänyt odotuksia.</v>
      </c>
      <c r="C4548" s="9" t="s">
        <v>1344</v>
      </c>
    </row>
    <row r="4549" ht="33.75" customHeight="1">
      <c r="A4549" s="6" t="s">
        <v>6674</v>
      </c>
      <c r="B4549" s="6" t="str">
        <f>IFERROR(__xludf.DUMMYFUNCTION("GOOGLETRANSLATE(A4549,""en"",""fi"")"),"Tämä PORYGONin päivitetty versio on suunniteltu avaruustutkimukseen. Se ei kuitenkaan voi lentää.")</f>
        <v>Tämä PORYGONin päivitetty versio on suunniteltu avaruustutkimukseen. Se ei kuitenkaan voi lentää.</v>
      </c>
      <c r="C4549" s="9" t="s">
        <v>1344</v>
      </c>
    </row>
    <row r="4550" ht="33.75" customHeight="1">
      <c r="A4550" s="6" t="s">
        <v>6675</v>
      </c>
      <c r="B4550" s="6" t="str">
        <f>IFERROR(__xludf.DUMMYFUNCTION("GOOGLETRANSLATE(A4550,""en"",""fi"")"),"Ihmiset loivat Porygon2:n tieteen voimalla. Keinotekoinen Pokémon on varustettu tekoälyllä, jonka avulla se pystyy oppimaan uusia eleitä ja tunteita itsenäisesti.")</f>
        <v>Ihmiset loivat Porygon2:n tieteen voimalla. Keinotekoinen Pokémon on varustettu tekoälyllä, jonka avulla se pystyy oppimaan uusia eleitä ja tunteita itsenäisesti.</v>
      </c>
      <c r="C4550" s="9" t="s">
        <v>1344</v>
      </c>
    </row>
    <row r="4551" ht="33.75" customHeight="1">
      <c r="A4551" s="6" t="s">
        <v>6677</v>
      </c>
      <c r="B4551" s="6" t="str">
        <f>IFERROR(__xludf.DUMMYFUNCTION("GOOGLETRANSLATE(A4551,""en"",""fi"")"),"Planeetankehitystä varten Porygon päivitettiin uusimmalla saatavilla olevalla teknologialla.")</f>
        <v>Planeetankehitystä varten Porygon päivitettiin uusimmalla saatavilla olevalla teknologialla.</v>
      </c>
      <c r="C4551" s="9" t="s">
        <v>1344</v>
      </c>
    </row>
    <row r="4552" ht="33.75" customHeight="1">
      <c r="A4552" s="6" t="s">
        <v>6679</v>
      </c>
      <c r="B4552" s="6" t="str">
        <f>IFERROR(__xludf.DUMMYFUNCTION("GOOGLETRANSLATE(A4552,""en"",""fi"")"),"Porygon päivitettiin uuteen versioon planeettojen kehittämistä varten. Mutta tuo unelma on edelleen toteutumatta.")</f>
        <v>Porygon päivitettiin uuteen versioon planeettojen kehittämistä varten. Mutta tuo unelma on edelleen toteutumatta.</v>
      </c>
      <c r="C4552" s="9" t="s">
        <v>1344</v>
      </c>
    </row>
    <row r="4553" ht="33.75" customHeight="1">
      <c r="A4553" s="6" t="s">
        <v>6680</v>
      </c>
      <c r="B4553" s="6" t="str">
        <f>IFERROR(__xludf.DUMMYFUNCTION("GOOGLETRANSLATE(A4553,""en"",""fi"")"),"Siihen on asennettu tekoäly. Se oppii erilaisia ​​asioita aivan itse, mutta muistaa jopa asioita, joita sen ei tarvitse tietää.")</f>
        <v>Siihen on asennettu tekoäly. Se oppii erilaisia ​​asioita aivan itse, mutta muistaa jopa asioita, joita sen ei tarvitse tietää.</v>
      </c>
      <c r="C4553" s="9" t="s">
        <v>1344</v>
      </c>
    </row>
    <row r="4554" ht="33.75" customHeight="1">
      <c r="A4554" s="6" t="s">
        <v>6682</v>
      </c>
      <c r="B4554" s="6" t="str">
        <f>IFERROR(__xludf.DUMMYFUNCTION("GOOGLETRANSLATE(A4554,""en"",""fi"")"),"Vaikka se ei kuole avaruuden tyhjiössä, se ei voi liikkua kovin hyvin painottomassa tilassa.")</f>
        <v>Vaikka se ei kuole avaruuden tyhjiössä, se ei voi liikkua kovin hyvin painottomassa tilassa.</v>
      </c>
      <c r="C4554" s="9" t="s">
        <v>1344</v>
      </c>
    </row>
    <row r="4555" ht="33.75" customHeight="1">
      <c r="A4555" s="6" t="s">
        <v>6683</v>
      </c>
      <c r="B4555" s="6" t="str">
        <f>IFERROR(__xludf.DUMMYFUNCTION("GOOGLETRANSLATE(A4555,""en"",""fi"")"),"Tämä on Porygon, jota on päivitetty erityistiedoilla. Porygon2 kehittää itseään oppimalla monista eri aiheista aivan itsenäisesti.")</f>
        <v>Tämä on Porygon, jota on päivitetty erityistiedoilla. Porygon2 kehittää itseään oppimalla monista eri aiheista aivan itsenäisesti.</v>
      </c>
      <c r="C4555" s="9" t="s">
        <v>1344</v>
      </c>
    </row>
    <row r="4556" ht="33.75" customHeight="1">
      <c r="A4556" s="6" t="s">
        <v>6684</v>
      </c>
      <c r="B4556" s="6" t="str">
        <f>IFERROR(__xludf.DUMMYFUNCTION("GOOGLETRANSLATE(A4556,""en"",""fi"")"),"Kun tekoäly otettiin käyttöön Porygon2:ssa, Pokémonit alkoivat käyttää outoa kieltä, jota vain muut Porygon2:n jäsenet ymmärsivät.")</f>
        <v>Kun tekoäly otettiin käyttöön Porygon2:ssa, Pokémonit alkoivat käyttää outoa kieltä, jota vain muut Porygon2:n jäsenet ymmärsivät.</v>
      </c>
      <c r="C4556" s="9" t="s">
        <v>1344</v>
      </c>
    </row>
    <row r="4557" ht="33.75" customHeight="1">
      <c r="A4557" s="6" t="s">
        <v>6685</v>
      </c>
      <c r="B4557" s="6" t="str">
        <f>IFERROR(__xludf.DUMMYFUNCTION("GOOGLETRANSLATE(A4557,""en"",""fi"")"),"Outo esine sai tämän Pokémonin kehittymään. Vaikka se esittelee nyt monia uusia eleitä ja ilmeitä, sen biologia on edelleen tutkimaton.")</f>
        <v>Outo esine sai tämän Pokémonin kehittymään. Vaikka se esittelee nyt monia uusia eleitä ja ilmeitä, sen biologia on edelleen tutkimaton.</v>
      </c>
      <c r="C4557" s="9" t="s">
        <v>1344</v>
      </c>
    </row>
    <row r="4558" ht="33.75" customHeight="1">
      <c r="A4558" s="6" t="s">
        <v>6687</v>
      </c>
      <c r="B4558" s="6" t="str">
        <f>IFERROR(__xludf.DUMMYFUNCTION("GOOGLETRANSLATE(A4558,""en"",""fi"")"),"Kaarevat sarvet muuttavat hienovaraisesti ilman virtausta luoden oudon tilan, jossa todellisuus vääristyy.")</f>
        <v>Kaarevat sarvet muuttavat hienovaraisesti ilman virtausta luoden oudon tilan, jossa todellisuus vääristyy.</v>
      </c>
      <c r="C4558" s="9" t="s">
        <v>1344</v>
      </c>
    </row>
    <row r="4559" ht="33.75" customHeight="1">
      <c r="A4559" s="6" t="s">
        <v>6689</v>
      </c>
      <c r="B4559" s="6" t="str">
        <f>IFERROR(__xludf.DUMMYFUNCTION("GOOGLETRANSLATE(A4559,""en"",""fi"")"),"Sen sarvia tuijottavat menettävät vähitellen aistiensa hallinnan eivätkä pysty seisomaan.")</f>
        <v>Sen sarvia tuijottavat menettävät vähitellen aistiensa hallinnan eivätkä pysty seisomaan.</v>
      </c>
      <c r="C4559" s="9" t="s">
        <v>1344</v>
      </c>
    </row>
    <row r="4560" ht="33.75" customHeight="1">
      <c r="A4560" s="6" t="s">
        <v>6690</v>
      </c>
      <c r="B4560" s="6" t="str">
        <f>IFERROR(__xludf.DUMMYFUNCTION("GOOGLETRANSLATE(A4560,""en"",""fi"")"),"Pudonneista sarvista löytyvät pyöreät pallot voidaan jauhaa jauheeksi, joka auttaa unessa.")</f>
        <v>Pudonneista sarvista löytyvät pyöreät pallot voidaan jauhaa jauheeksi, joka auttaa unessa.</v>
      </c>
      <c r="C4560" s="9" t="s">
        <v>1344</v>
      </c>
    </row>
    <row r="4561" ht="33.75" customHeight="1">
      <c r="A4561" s="6" t="s">
        <v>6691</v>
      </c>
      <c r="B4561" s="6" t="str">
        <f>IFERROR(__xludf.DUMMYFUNCTION("GOOGLETRANSLATE(A4561,""en"",""fi"")"),"STANTLERin upeita sarvia myytiin korkeaan hintaan taideteoksina. Tämän seurauksena tätä POKéMONia metsästettiin sukupuuton partaalle niiden toimesta, jotka jahtasivat korvaamattomia sarvia.")</f>
        <v>STANTLERin upeita sarvia myytiin korkeaan hintaan taideteoksina. Tämän seurauksena tätä POKéMONia metsästettiin sukupuuton partaalle niiden toimesta, jotka jahtasivat korvaamattomia sarvia.</v>
      </c>
      <c r="C4561" s="9" t="s">
        <v>1344</v>
      </c>
    </row>
    <row r="4562" ht="33.75" customHeight="1">
      <c r="A4562" s="6" t="s">
        <v>6693</v>
      </c>
      <c r="B4562" s="6" t="str">
        <f>IFERROR(__xludf.DUMMYFUNCTION("GOOGLETRANSLATE(A4562,""en"",""fi"")"),"STANTLERin upeita sarvia myytiin aikoinaan korkeaan hintaan taideteoksina. Tämän seurauksena tätä POKéMONia metsästettiin sukupuuton partaalle.")</f>
        <v>STANTLERin upeita sarvia myytiin aikoinaan korkeaan hintaan taideteoksina. Tämän seurauksena tätä POKéMONia metsästettiin sukupuuton partaalle.</v>
      </c>
      <c r="C4562" s="9" t="s">
        <v>1344</v>
      </c>
    </row>
    <row r="4563" ht="33.75" customHeight="1">
      <c r="A4563" s="6" t="s">
        <v>6694</v>
      </c>
      <c r="B4563" s="6" t="str">
        <f>IFERROR(__xludf.DUMMYFUNCTION("GOOGLETRANSLATE(A4563,""en"",""fi"")"),"Sen kaarevat sarvet muuttavat hienovaraisesti ilman virtausta luoden oudon tilan, jossa todellisuus vääristyy.")</f>
        <v>Sen kaarevat sarvet muuttavat hienovaraisesti ilman virtausta luoden oudon tilan, jossa todellisuus vääristyy.</v>
      </c>
      <c r="C4563" s="9" t="s">
        <v>1344</v>
      </c>
    </row>
    <row r="4564" ht="33.75" customHeight="1">
      <c r="A4564" s="6" t="s">
        <v>6695</v>
      </c>
      <c r="B4564" s="6" t="str">
        <f>IFERROR(__xludf.DUMMYFUNCTION("GOOGLETRANSLATE(A4564,""en"",""fi"")"),"Sen sarvien tuijottaminen luo oudon tunteen, aivan kuin niiden keskustaan ​​vedettäisiin jotakin.")</f>
        <v>Sen sarvien tuijottaminen luo oudon tunteen, aivan kuin niiden keskustaan ​​vedettäisiin jotakin.</v>
      </c>
      <c r="C4564" s="9" t="s">
        <v>1344</v>
      </c>
    </row>
    <row r="4565" ht="33.75" customHeight="1">
      <c r="A4565" s="6" t="s">
        <v>6696</v>
      </c>
      <c r="B4565" s="6" t="str">
        <f>IFERROR(__xludf.DUMMYFUNCTION("GOOGLETRANSLATE(A4565,""en"",""fi"")"),"Kaarevat sarvet muuttavat hienovaraisesti ilman virtausta luoden oudon tilan, jossa todellisuus vääristyy.")</f>
        <v>Kaarevat sarvet muuttavat hienovaraisesti ilman virtausta luoden oudon tilan, jossa todellisuus vääristyy.</v>
      </c>
      <c r="C4565" s="9" t="s">
        <v>1344</v>
      </c>
    </row>
    <row r="4566" ht="33.75" customHeight="1">
      <c r="A4566" s="6" t="s">
        <v>6697</v>
      </c>
      <c r="B4566" s="6" t="str">
        <f>IFERROR(__xludf.DUMMYFUNCTION("GOOGLETRANSLATE(A4566,""en"",""fi"")"),"Stantlerin upeita sarvia myytiin korkeaan hintaan taideteoksina. Tämän seurauksena tätä Pokémonia metsästettiin sukupuuton partaalle niiden toimesta, jotka jahtasivat korvaamattomia sarvia.")</f>
        <v>Stantlerin upeita sarvia myytiin korkeaan hintaan taideteoksina. Tämän seurauksena tätä Pokémonia metsästettiin sukupuuton partaalle niiden toimesta, jotka jahtasivat korvaamattomia sarvia.</v>
      </c>
      <c r="C4566" s="9" t="s">
        <v>1344</v>
      </c>
    </row>
    <row r="4567" ht="33.75" customHeight="1">
      <c r="A4567" s="6" t="s">
        <v>6698</v>
      </c>
      <c r="B4567" s="6" t="str">
        <f>IFERROR(__xludf.DUMMYFUNCTION("GOOGLETRANSLATE(A4567,""en"",""fi"")"),"Sen oudonmuotoiset sarvet voivat lumota ne, jotka ne näkevät. Lääke, joka valmistetaan jauhamalla pudonneiden sarvien mustia palloja, on tehokas hoito unettomuuteen.")</f>
        <v>Sen oudonmuotoiset sarvet voivat lumota ne, jotka ne näkevät. Lääke, joka valmistetaan jauhamalla pudonneiden sarvien mustia palloja, on tehokas hoito unettomuuteen.</v>
      </c>
      <c r="C4567" s="9" t="s">
        <v>1344</v>
      </c>
    </row>
    <row r="4568" ht="33.75" customHeight="1">
      <c r="A4568" s="6" t="s">
        <v>6700</v>
      </c>
      <c r="B4568" s="6" t="str">
        <f>IFERROR(__xludf.DUMMYFUNCTION("GOOGLETRANSLATE(A4568,""en"",""fi"")"),"Sen pyrstön päästä tihkuu erityistä nestettä. Se maalaa nesteen kaikkialle merkitäkseen reviiriään.")</f>
        <v>Sen pyrstön päästä tihkuu erityistä nestettä. Se maalaa nesteen kaikkialle merkitäkseen reviiriään.</v>
      </c>
      <c r="C4568" s="9" t="s">
        <v>1344</v>
      </c>
    </row>
    <row r="4569" ht="33.75" customHeight="1">
      <c r="A4569" s="6" t="s">
        <v>6701</v>
      </c>
      <c r="B4569" s="6" t="str">
        <f>IFERROR(__xludf.DUMMYFUNCTION("GOOGLETRANSLATE(A4569,""en"",""fi"")"),"Kun siitä tulee aikuinen, sillä on taipumus antaa tovereidensa jättää jalanjälkiä selkäänsä.")</f>
        <v>Kun siitä tulee aikuinen, sillä on taipumus antaa tovereidensa jättää jalanjälkiä selkäänsä.</v>
      </c>
      <c r="C4569" s="9" t="s">
        <v>1344</v>
      </c>
    </row>
    <row r="4570" ht="33.75" customHeight="1">
      <c r="A4570" s="6" t="s">
        <v>6702</v>
      </c>
      <c r="B4570" s="6" t="str">
        <f>IFERROR(__xludf.DUMMYFUNCTION("GOOGLETRANSLATE(A4570,""en"",""fi"")"),"Sen hännästä erittyvän salaperäisen nesteen väri on ennalta määrätty jokaiselle SMEARGLEL-jäljelle.")</f>
        <v>Sen hännästä erittyvän salaperäisen nesteen väri on ennalta määrätty jokaiselle SMEARGLEL-jäljelle.</v>
      </c>
      <c r="C4570" s="9" t="s">
        <v>1344</v>
      </c>
    </row>
    <row r="4571" ht="33.75" customHeight="1">
      <c r="A4571" s="6" t="s">
        <v>6703</v>
      </c>
      <c r="B4571" s="6" t="str">
        <f>IFERROR(__xludf.DUMMYFUNCTION("GOOGLETRANSLATE(A4571,""en"",""fi"")"),"SMEARGLE merkitsee reviirinsä rajat käyttämällä ruumiinnestettä, joka vuotaa sen hännänpäästä. Tämän POKéMONin jättämiä jälkiä on löydetty yli 5 000.")</f>
        <v>SMEARGLE merkitsee reviirinsä rajat käyttämällä ruumiinnestettä, joka vuotaa sen hännänpäästä. Tämän POKéMONin jättämiä jälkiä on löydetty yli 5 000.</v>
      </c>
      <c r="C4571" s="9" t="s">
        <v>1344</v>
      </c>
    </row>
    <row r="4572" ht="33.75" customHeight="1">
      <c r="A4572" s="6" t="s">
        <v>6704</v>
      </c>
      <c r="B4572" s="6" t="str">
        <f>IFERROR(__xludf.DUMMYFUNCTION("GOOGLETRANSLATE(A4572,""en"",""fi"")"),"SMEARGLE merkitsee reviiriään nesteellä, joka vuotaa sen hännänpäästä. Tämän POKéMONin jättämiä jälkiä on löydetty noin 5 000.")</f>
        <v>SMEARGLE merkitsee reviiriään nesteellä, joka vuotaa sen hännänpäästä. Tämän POKéMONin jättämiä jälkiä on löydetty noin 5 000.</v>
      </c>
      <c r="C4572" s="9" t="s">
        <v>1344</v>
      </c>
    </row>
    <row r="4573" ht="33.75" customHeight="1">
      <c r="A4573" s="6" t="s">
        <v>6705</v>
      </c>
      <c r="B4573" s="6" t="str">
        <f>IFERROR(__xludf.DUMMYFUNCTION("GOOGLETRANSLATE(A4573,""en"",""fi"")"),"Se merkitsee reviiriään käyttämällä häntäänsä kuin sivellintä. Merkkejä on yli 5 000 erilaista.")</f>
        <v>Se merkitsee reviiriään käyttämällä häntäänsä kuin sivellintä. Merkkejä on yli 5 000 erilaista.</v>
      </c>
      <c r="C4573" s="9" t="s">
        <v>1344</v>
      </c>
    </row>
    <row r="4574" ht="33.75" customHeight="1">
      <c r="A4574" s="6" t="s">
        <v>6706</v>
      </c>
      <c r="B4574" s="6" t="str">
        <f>IFERROR(__xludf.DUMMYFUNCTION("GOOGLETRANSLATE(A4574,""en"",""fi"")"),"Smeargle merkitsee reviirinsä rajat käyttämällä ruumiinnestettä, joka vuotaa sen hännänpäästä. Tämän Pokémonin jättämiä jälkiä on löydetty yli 5 000.")</f>
        <v>Smeargle merkitsee reviirinsä rajat käyttämällä ruumiinnestettä, joka vuotaa sen hännänpäästä. Tämän Pokémonin jättämiä jälkiä on löydetty yli 5 000.</v>
      </c>
      <c r="C4574" s="9" t="s">
        <v>1344</v>
      </c>
    </row>
    <row r="4575" ht="33.75" customHeight="1">
      <c r="A4575" s="6" t="s">
        <v>6707</v>
      </c>
      <c r="B4575" s="6" t="str">
        <f>IFERROR(__xludf.DUMMYFUNCTION("GOOGLETRANSLATE(A4575,""en"",""fi"")"),"Kunkin Smearglen ainutlaatuiset luomukset maalataan sen pyrstöstä tihkuvalla nesteellä. Näin se merkitsee reviiriään.")</f>
        <v>Kunkin Smearglen ainutlaatuiset luomukset maalataan sen pyrstöstä tihkuvalla nesteellä. Näin se merkitsee reviiriään.</v>
      </c>
      <c r="C4575" s="9" t="s">
        <v>1344</v>
      </c>
    </row>
    <row r="4576" ht="33.75" customHeight="1">
      <c r="A4576" s="6" t="s">
        <v>6708</v>
      </c>
      <c r="B4576" s="6" t="str">
        <f>IFERROR(__xludf.DUMMYFUNCTION("GOOGLETRANSLATE(A4576,""en"",""fi"")"),"Se piirtää symboleja kaikkialle merkiksi alueensa merkiksi. Kaupungeissa, joissa on paljon Smeargleja, seinät ovat täynnä graffiteja.")</f>
        <v>Se piirtää symboleja kaikkialle merkiksi alueensa merkiksi. Kaupungeissa, joissa on paljon Smeargleja, seinät ovat täynnä graffiteja.</v>
      </c>
      <c r="C4576" s="9" t="s">
        <v>1344</v>
      </c>
    </row>
    <row r="4577" ht="33.75" customHeight="1">
      <c r="A4577" s="6" t="s">
        <v>6710</v>
      </c>
      <c r="B4577" s="6" t="str">
        <f>IFERROR(__xludf.DUMMYFUNCTION("GOOGLETRANSLATE(A4577,""en"",""fi"")"),"Smearglen hännän eritteiden värisävy muuttuu Pokémonin tunteiden muuttuessa.")</f>
        <v>Smearglen hännän eritteiden värisävy muuttuu Pokémonin tunteiden muuttuessa.</v>
      </c>
      <c r="C4577" s="9" t="s">
        <v>1344</v>
      </c>
    </row>
    <row r="4578" ht="33.75" customHeight="1">
      <c r="A4578" s="6" t="s">
        <v>6711</v>
      </c>
      <c r="B4578" s="6" t="str">
        <f>IFERROR(__xludf.DUMMYFUNCTION("GOOGLETRANSLATE(A4578,""en"",""fi"")"),"Se piirtää symboleja nesteellä, joka pursuaa sen hännän päästä. Symbolista riippuen Smearglen fanaatikot maksavat niistä maltaita.")</f>
        <v>Se piirtää symboleja nesteellä, joka pursuaa sen hännän päästä. Symbolista riippuen Smearglen fanaatikot maksavat niistä maltaita.</v>
      </c>
      <c r="C4578" s="9" t="s">
        <v>1344</v>
      </c>
    </row>
    <row r="4579" ht="33.75" customHeight="1">
      <c r="A4579" s="6" t="s">
        <v>6712</v>
      </c>
      <c r="B4579" s="6" t="str">
        <f>IFERROR(__xludf.DUMMYFUNCTION("GOOGLETRANSLATE(A4579,""en"",""fi"")"),"Se on aina täynnä energiaa. Vahvistaakseen itseään se jatkaa taistelua, vaikka häviäisikin.")</f>
        <v>Se on aina täynnä energiaa. Vahvistaakseen itseään se jatkaa taistelua, vaikka häviäisikin.</v>
      </c>
      <c r="C4579" s="9" t="s">
        <v>1344</v>
      </c>
    </row>
    <row r="4580" ht="33.75" customHeight="1">
      <c r="A4580" s="6" t="s">
        <v>6714</v>
      </c>
      <c r="B4580" s="6" t="str">
        <f>IFERROR(__xludf.DUMMYFUNCTION("GOOGLETRANSLATE(A4580,""en"",""fi"")"),"Vaikka se on pieni, sitä ei voi sivuuttaa, koska se iskee mihin tahansa kätevään kohteeseen varoittamatta.")</f>
        <v>Vaikka se on pieni, sitä ei voi sivuuttaa, koska se iskee mihin tahansa kätevään kohteeseen varoittamatta.</v>
      </c>
      <c r="C4580" s="9" t="s">
        <v>1344</v>
      </c>
    </row>
    <row r="4581" ht="33.75" customHeight="1">
      <c r="A4581" s="6" t="s">
        <v>6716</v>
      </c>
      <c r="B4581" s="6" t="str">
        <f>IFERROR(__xludf.DUMMYFUNCTION("GOOGLETRANSLATE(A4581,""en"",""fi"")"),"Se haastaa kenet tahansa parantaakseen taistelutaitojaan. Sillä on erittäin vahva kilpailuhenki.")</f>
        <v>Se haastaa kenet tahansa parantaakseen taistelutaitojaan. Sillä on erittäin vahva kilpailuhenki.</v>
      </c>
      <c r="C4581" s="9" t="s">
        <v>1344</v>
      </c>
    </row>
    <row r="4582" ht="33.75" customHeight="1">
      <c r="A4582" s="6" t="s">
        <v>6717</v>
      </c>
      <c r="B4582" s="6" t="str">
        <f>IFERROR(__xludf.DUMMYFUNCTION("GOOGLETRANSLATE(A4582,""en"",""fi"")"),"TYROGUE stressaantuu, jos se ei pääse harjoittelemaan joka päivä. Tätä POKéMONIA kasvattaessaan KOULUTTAJAN on otettava käyttöön ja ylläpidettävä erilaisia ​​harjoitusmenetelmiä.")</f>
        <v>TYROGUE stressaantuu, jos se ei pääse harjoittelemaan joka päivä. Tätä POKéMONIA kasvattaessaan KOULUTTAJAN on otettava käyttöön ja ylläpidettävä erilaisia ​​harjoitusmenetelmiä.</v>
      </c>
      <c r="C4582" s="9" t="s">
        <v>1344</v>
      </c>
    </row>
    <row r="4583" ht="33.75" customHeight="1">
      <c r="A4583" s="6" t="s">
        <v>6719</v>
      </c>
      <c r="B4583" s="6" t="str">
        <f>IFERROR(__xludf.DUMMYFUNCTION("GOOGLETRANSLATE(A4583,""en"",""fi"")"),"TYROGUE stressaantuu, jos he eivät pääse harjoittelemaan joka päivä. Tätä POKéMONIA kasvatettaessa KOULUTTAJAN on laadittava säännöllinen harjoitusaikataulu.")</f>
        <v>TYROGUE stressaantuu, jos he eivät pääse harjoittelemaan joka päivä. Tätä POKéMONIA kasvatettaessa KOULUTTAJAN on laadittava säännöllinen harjoitusaikataulu.</v>
      </c>
      <c r="C4583" s="9" t="s">
        <v>1344</v>
      </c>
    </row>
    <row r="4584" ht="33.75" customHeight="1">
      <c r="A4584" s="6" t="s">
        <v>6721</v>
      </c>
      <c r="B4584" s="6" t="str">
        <f>IFERROR(__xludf.DUMMYFUNCTION("GOOGLETRANSLATE(A4584,""en"",""fi"")"),"Vaikka se on pieni, sitä ei voi sivuuttaa, koska se iskee mihin tahansa kätevään kohteeseen varoittamatta.")</f>
        <v>Vaikka se on pieni, sitä ei voi sivuuttaa, koska se iskee mihin tahansa kätevään kohteeseen varoittamatta.</v>
      </c>
      <c r="C4584" s="9" t="s">
        <v>1344</v>
      </c>
    </row>
    <row r="4585" ht="33.75" customHeight="1">
      <c r="A4585" s="6" t="s">
        <v>6723</v>
      </c>
      <c r="B4585" s="6" t="str">
        <f>IFERROR(__xludf.DUMMYFUNCTION("GOOGLETRANSLATE(A4585,""en"",""fi"")"),"Se on aina täynnä energiaa. Vahvistaakseen itseään se jatkaa taistelua, vaikka häviäisikin.")</f>
        <v>Se on aina täynnä energiaa. Vahvistaakseen itseään se jatkaa taistelua, vaikka häviäisikin.</v>
      </c>
      <c r="C4585" s="9" t="s">
        <v>1344</v>
      </c>
    </row>
    <row r="4586" ht="33.75" customHeight="1">
      <c r="A4586" s="6" t="s">
        <v>6724</v>
      </c>
      <c r="B4586" s="6" t="str">
        <f>IFERROR(__xludf.DUMMYFUNCTION("GOOGLETRANSLATE(A4586,""en"",""fi"")"),"Se on kuuluisa taistelunhalustaan ​​ja hoitaa aina suurempien vihollisten aiheuttamia vammoja.")</f>
        <v>Se on kuuluisa taistelunhalustaan ​​ja hoitaa aina suurempien vihollisten aiheuttamia vammoja.</v>
      </c>
      <c r="C4586" s="9" t="s">
        <v>1344</v>
      </c>
    </row>
    <row r="4587" ht="33.75" customHeight="1">
      <c r="A4587" s="6" t="s">
        <v>6725</v>
      </c>
      <c r="B4587" s="6" t="str">
        <f>IFERROR(__xludf.DUMMYFUNCTION("GOOGLETRANSLATE(A4587,""en"",""fi"")"),"Se haastaa kenet tahansa parantaakseen taistelutaitojaan. Sillä on erittäin vahva kilpailuhenki.")</f>
        <v>Se haastaa kenet tahansa parantaakseen taistelutaitojaan. Sillä on erittäin vahva kilpailuhenki.</v>
      </c>
      <c r="C4587" s="9" t="s">
        <v>1344</v>
      </c>
    </row>
    <row r="4588" ht="33.75" customHeight="1">
      <c r="A4588" s="6" t="s">
        <v>6728</v>
      </c>
      <c r="B4588" s="6" t="str">
        <f>IFERROR(__xludf.DUMMYFUNCTION("GOOGLETRANSLATE(A4588,""en"",""fi"")"),"Tyrogue stressaantuu, jos se ei pääse harjoittelemaan joka päivä. Tätä Pokémonia kasvattaessaan kouluttajan on otettava käyttöön ja ylläpidettävä erilaisia ​​harjoitusmenetelmiä.")</f>
        <v>Tyrogue stressaantuu, jos se ei pääse harjoittelemaan joka päivä. Tätä Pokémonia kasvattaessaan kouluttajan on otettava käyttöön ja ylläpidettävä erilaisia ​​harjoitusmenetelmiä.</v>
      </c>
      <c r="C4588" s="9" t="s">
        <v>1344</v>
      </c>
    </row>
    <row r="4589" ht="33.75" customHeight="1">
      <c r="A4589" s="6" t="s">
        <v>6730</v>
      </c>
      <c r="B4589" s="6" t="str">
        <f>IFERROR(__xludf.DUMMYFUNCTION("GOOGLETRANSLATE(A4589,""en"",""fi"")"),"Jos sen pehmeät, elegantit ja tanssimaiset potkut lumoavat sinut, saatat saada kovaa potkua.")</f>
        <v>Jos sen pehmeät, elegantit ja tanssimaiset potkut lumoavat sinut, saatat saada kovaa potkua.</v>
      </c>
      <c r="C4589" s="9" t="s">
        <v>1344</v>
      </c>
    </row>
    <row r="4590" ht="33.75" customHeight="1">
      <c r="A4590" s="6" t="s">
        <v>6733</v>
      </c>
      <c r="B4590" s="6" t="str">
        <f>IFERROR(__xludf.DUMMYFUNCTION("GOOGLETRANSLATE(A4590,""en"",""fi"")"),"Se antaa potkuja pyöriessään. Jos se pyörii suurella nopeudella, se voi porautua maahan.")</f>
        <v>Se antaa potkuja pyöriessään. Jos se pyörii suurella nopeudella, se voi porautua maahan.</v>
      </c>
      <c r="C4590" s="9" t="s">
        <v>1344</v>
      </c>
    </row>
    <row r="4591" ht="33.75" customHeight="1">
      <c r="A4591" s="6" t="s">
        <v>6735</v>
      </c>
      <c r="B4591" s="6" t="str">
        <f>IFERROR(__xludf.DUMMYFUNCTION("GOOGLETRANSLATE(A4591,""en"",""fi"")"),"Tehtyään käsilläseisonnan vastustajan ajoituksen sekoittamiseksi, se esittelee hienoja potkuliikkeitään.")</f>
        <v>Tehtyään käsilläseisonnan vastustajan ajoituksen sekoittamiseksi, se esittelee hienoja potkuliikkeitään.</v>
      </c>
      <c r="C4591" s="9" t="s">
        <v>1344</v>
      </c>
    </row>
    <row r="4592" ht="33.75" customHeight="1">
      <c r="A4592" s="6" t="s">
        <v>6736</v>
      </c>
      <c r="B4592" s="6" t="str">
        <f>IFERROR(__xludf.DUMMYFUNCTION("GOOGLETRANSLATE(A4592,""en"",""fi"")"),"HITMONTOP pyörii päänsä päällä kovaa vauhtia antaen samalla potkuja. Tämä tekniikka on huomattava yhdistelmä sekä hyökkäystä että puolustusta samanaikaisesti. POKéMON liikkuu nopeammin pyörien kuin kävellen.")</f>
        <v>HITMONTOP pyörii päänsä päällä kovaa vauhtia antaen samalla potkuja. Tämä tekniikka on huomattava yhdistelmä sekä hyökkäystä että puolustusta samanaikaisesti. POKéMON liikkuu nopeammin pyörien kuin kävellen.</v>
      </c>
      <c r="C4592" s="9" t="s">
        <v>1344</v>
      </c>
    </row>
    <row r="4593" ht="33.75" customHeight="1">
      <c r="A4593" s="6" t="s">
        <v>6738</v>
      </c>
      <c r="B4593" s="6" t="str">
        <f>IFERROR(__xludf.DUMMYFUNCTION("GOOGLETRANSLATE(A4593,""en"",""fi"")"),"Sen tekniikka potkia samalla kun ne pyörivät, on huomattava yhdistelmä hyökkäystä ja puolustusta. HITMONTOPit liikkuvat nopeammin pyöriessään kuin kävellessään.")</f>
        <v>Sen tekniikka potkia samalla kun ne pyörivät, on huomattava yhdistelmä hyökkäystä ja puolustusta. HITMONTOPit liikkuvat nopeammin pyöriessään kuin kävellessään.</v>
      </c>
      <c r="C4593" s="9" t="s">
        <v>1344</v>
      </c>
    </row>
    <row r="4594" ht="33.75" customHeight="1">
      <c r="A4594" s="6" t="s">
        <v>6740</v>
      </c>
      <c r="B4594" s="6" t="str">
        <f>IFERROR(__xludf.DUMMYFUNCTION("GOOGLETRANSLATE(A4594,""en"",""fi"")"),"Se taistelee pyörien samalla kuin kärki. Keskipakoisvoima kymmenkertaistaa sen tuhovoiman.")</f>
        <v>Se taistelee pyörien samalla kuin kärki. Keskipakoisvoima kymmenkertaistaa sen tuhovoiman.</v>
      </c>
      <c r="C4594" s="9" t="s">
        <v>1344</v>
      </c>
    </row>
    <row r="4595" ht="33.75" customHeight="1">
      <c r="A4595" s="6" t="s">
        <v>6741</v>
      </c>
      <c r="B4595" s="6" t="str">
        <f>IFERROR(__xludf.DUMMYFUNCTION("GOOGLETRANSLATE(A4595,""en"",""fi"")"),"Jos sen pehmeät, tanssimaiset potkut lumoavat sinut, saatat saada siitä läheisemmän kokemuksen kuin haluaisit.")</f>
        <v>Jos sen pehmeät, tanssimaiset potkut lumoavat sinut, saatat saada siitä läheisemmän kokemuksen kuin haluaisit.</v>
      </c>
      <c r="C4595" s="9" t="s">
        <v>1344</v>
      </c>
    </row>
    <row r="4596" ht="33.75" customHeight="1">
      <c r="A4596" s="6" t="s">
        <v>6744</v>
      </c>
      <c r="B4596" s="6" t="str">
        <f>IFERROR(__xludf.DUMMYFUNCTION("GOOGLETRANSLATE(A4596,""en"",""fi"")"),"Se taistelee pyöriessään kuin kärki. Keskipakoisvoima lisää sen tuhovoimaa kymmenellä.")</f>
        <v>Se taistelee pyöriessään kuin kärki. Keskipakoisvoima lisää sen tuhovoimaa kymmenellä.</v>
      </c>
      <c r="C4596" s="9" t="s">
        <v>1344</v>
      </c>
    </row>
    <row r="4597" ht="33.75" customHeight="1">
      <c r="A4597" s="6" t="s">
        <v>6745</v>
      </c>
      <c r="B4597" s="6" t="str">
        <f>IFERROR(__xludf.DUMMYFUNCTION("GOOGLETRANSLATE(A4597,""en"",""fi"")"),"Hitmontop pyörii päänsä päällä kovaa vauhtia antaen samalla potkuja. Tämä tekniikka on huomattava sekoitus sekä hyökkäystä että puolustusta samanaikaisesti. Pokémon liikkuu nopeammin pyörien kuin kävellen.")</f>
        <v>Hitmontop pyörii päänsä päällä kovaa vauhtia antaen samalla potkuja. Tämä tekniikka on huomattava sekoitus sekä hyökkäystä että puolustusta samanaikaisesti. Pokémon liikkuu nopeammin pyörien kuin kävellen.</v>
      </c>
      <c r="C4597" s="9" t="s">
        <v>1344</v>
      </c>
    </row>
    <row r="4598" ht="33.75" customHeight="1">
      <c r="A4598" s="6" t="s">
        <v>6747</v>
      </c>
      <c r="B4598" s="6" t="str">
        <f>IFERROR(__xludf.DUMMYFUNCTION("GOOGLETRANSLATE(A4598,""en"",""fi"")"),"Tehtyään käsilläseisonnan vastustajan ajoituksen muuttamiseksi, se esittelee hienoja potkuliikkeitään.")</f>
        <v>Tehtyään käsilläseisonnan vastustajan ajoituksen muuttamiseksi, se esittelee hienoja potkuliikkeitään.</v>
      </c>
      <c r="C4598" s="9" t="s">
        <v>1344</v>
      </c>
    </row>
    <row r="4599" ht="33.75" customHeight="1">
      <c r="A4599" s="6" t="s">
        <v>6748</v>
      </c>
      <c r="B4599" s="6" t="str">
        <f>IFERROR(__xludf.DUMMYFUNCTION("GOOGLETRANSLATE(A4599,""en"",""fi"")"),"Sen huulet ovat sen kehon herkimmät osat. Se tutkii asioita aina ensin huulillaan.")</f>
        <v>Sen huulet ovat sen kehon herkimmät osat. Se tutkii asioita aina ensin huulillaan.</v>
      </c>
      <c r="C4599" s="9" t="s">
        <v>1344</v>
      </c>
    </row>
    <row r="4600" ht="33.75" customHeight="1">
      <c r="A4600" s="6" t="s">
        <v>6750</v>
      </c>
      <c r="B4600" s="6" t="str">
        <f>IFERROR(__xludf.DUMMYFUNCTION("GOOGLETRANSLATE(A4600,""en"",""fi"")"),"Se keinuttelee aina päätään hitaasti eteen- ja taaksepäin, ikään kuin yrittäisi suudella jotakuta.")</f>
        <v>Se keinuttelee aina päätään hitaasti eteen- ja taaksepäin, ikään kuin yrittäisi suudella jotakuta.</v>
      </c>
      <c r="C4600" s="9" t="s">
        <v>1344</v>
      </c>
    </row>
    <row r="4601" ht="33.75" customHeight="1">
      <c r="A4601" s="6" t="s">
        <v>6752</v>
      </c>
      <c r="B4601" s="6" t="str">
        <f>IFERROR(__xludf.DUMMYFUNCTION("GOOGLETRANSLATE(A4601,""en"",""fi"")"),"Sen huulten herkkyys kehittyy nopeimmin. Se käyttää niitä yrittäessään tunnistaa tuntemattomia esineitä.")</f>
        <v>Sen huulten herkkyys kehittyy nopeimmin. Se käyttää niitä yrittäessään tunnistaa tuntemattomia esineitä.</v>
      </c>
      <c r="C4601" s="9" t="s">
        <v>1344</v>
      </c>
    </row>
    <row r="4602" ht="33.75" customHeight="1">
      <c r="A4602" s="6" t="s">
        <v>6753</v>
      </c>
      <c r="B4602" s="6" t="str">
        <f>IFERROR(__xludf.DUMMYFUNCTION("GOOGLETRANSLATE(A4602,""en"",""fi"")"),"SMOOCHUM juoksee aktiivisesti ympäriinsä, mutta kaatuu myös melko usein. Aina kun tilaisuus koittaa, se etsii heijastustaan ​​varmistaakseen, etteivät sen kasvot ole likaantuneet.")</f>
        <v>SMOOCHUM juoksee aktiivisesti ympäriinsä, mutta kaatuu myös melko usein. Aina kun tilaisuus koittaa, se etsii heijastustaan ​​varmistaakseen, etteivät sen kasvot ole likaantuneet.</v>
      </c>
      <c r="C4602" s="9" t="s">
        <v>1344</v>
      </c>
    </row>
    <row r="4603" ht="33.75" customHeight="1">
      <c r="A4603" s="6" t="s">
        <v>6755</v>
      </c>
      <c r="B4603" s="6" t="str">
        <f>IFERROR(__xludf.DUMMYFUNCTION("GOOGLETRANSLATE(A4603,""en"",""fi"")"),"Se juoksee aktiivisesti ympäriinsä, mutta kaatuu myös usein. Kaatuessaan se tarkistaa heijastustaan ​​järven pinnasta varmistaakseen, ettei sen pinta ole likaantunut.")</f>
        <v>Se juoksee aktiivisesti ympäriinsä, mutta kaatuu myös usein. Kaatuessaan se tarkistaa heijastustaan ​​järven pinnasta varmistaakseen, ettei sen pinta ole likaantunut.</v>
      </c>
      <c r="C4603" s="9" t="s">
        <v>1344</v>
      </c>
    </row>
    <row r="4604" ht="33.75" customHeight="1">
      <c r="A4604" s="6" t="s">
        <v>6756</v>
      </c>
      <c r="B4604" s="6" t="str">
        <f>IFERROR(__xludf.DUMMYFUNCTION("GOOGLETRANSLATE(A4604,""en"",""fi"")"),"Se keinuttelee päätään hitaasti edestakaisin, ikään kuin yrittäisi suudella jotakuta.")</f>
        <v>Se keinuttelee päätään hitaasti edestakaisin, ikään kuin yrittäisi suudella jotakuta.</v>
      </c>
      <c r="C4604" s="9" t="s">
        <v>1344</v>
      </c>
    </row>
    <row r="4605" ht="33.75" customHeight="1">
      <c r="A4605" s="6" t="s">
        <v>6759</v>
      </c>
      <c r="B4605" s="6" t="str">
        <f>IFERROR(__xludf.DUMMYFUNCTION("GOOGLETRANSLATE(A4605,""en"",""fi"")"),"Se testaa kaiken koskettamalla huulillaan, jotka muistavat, mistä se pitää ja mistä ei.")</f>
        <v>Se testaa kaiken koskettamalla huulillaan, jotka muistavat, mistä se pitää ja mistä ei.</v>
      </c>
      <c r="C4605" s="9" t="s">
        <v>1344</v>
      </c>
    </row>
    <row r="4606" ht="33.75" customHeight="1">
      <c r="A4606" s="6" t="s">
        <v>6760</v>
      </c>
      <c r="B4606" s="6" t="str">
        <f>IFERROR(__xludf.DUMMYFUNCTION("GOOGLETRANSLATE(A4606,""en"",""fi"")"),"Sen huulet ovat sen kehon herkin osa. Se tutkii aina ensin huuliaan.")</f>
        <v>Sen huulet ovat sen kehon herkin osa. Se tutkii aina ensin huuliaan.</v>
      </c>
      <c r="C4606" s="9" t="s">
        <v>1344</v>
      </c>
    </row>
    <row r="4607" ht="33.75" customHeight="1">
      <c r="A4607" s="6" t="s">
        <v>6761</v>
      </c>
      <c r="B4607" s="6" t="str">
        <f>IFERROR(__xludf.DUMMYFUNCTION("GOOGLETRANSLATE(A4607,""en"",""fi"")"),"Smoochum juoksee aktiivisesti ympäriinsä, mutta kaatuu myös melko usein. Aina kun tilaisuus koittaa, se etsii peilikuvaansa varmistaakseen, ettei sen kasvot ole likaantuneet.")</f>
        <v>Smoochum juoksee aktiivisesti ympäriinsä, mutta kaatuu myös melko usein. Aina kun tilaisuus koittaa, se etsii peilikuvaansa varmistaakseen, ettei sen kasvot ole likaantuneet.</v>
      </c>
      <c r="C4607" s="9" t="s">
        <v>1344</v>
      </c>
    </row>
    <row r="4608" ht="33.75" customHeight="1">
      <c r="A4608" s="6" t="s">
        <v>6762</v>
      </c>
      <c r="B4608" s="6" t="str">
        <f>IFERROR(__xludf.DUMMYFUNCTION("GOOGLETRANSLATE(A4608,""en"",""fi"")"),"Kun se tutkii esineitä, se koskettaa niitä ensin huulillaan ennen kuin koskettaa niitä käsillään ja nuolee sitten ahkerasti kaiken lian huuliltaan.")</f>
        <v>Kun se tutkii esineitä, se koskettaa niitä ensin huulillaan ennen kuin koskettaa niitä käsillään ja nuolee sitten ahkerasti kaiken lian huuliltaan.</v>
      </c>
      <c r="C4608" s="9" t="s">
        <v>1344</v>
      </c>
    </row>
    <row r="4609" ht="33.75" customHeight="1">
      <c r="A4609" s="6" t="s">
        <v>6763</v>
      </c>
      <c r="B4609" s="6" t="str">
        <f>IFERROR(__xludf.DUMMYFUNCTION("GOOGLETRANSLATE(A4609,""en"",""fi"")"),"Smoochumin erittäin herkät aistimet pitävät huulet kosteina käyttämällä niille päivittäin puunmahlaa.")</f>
        <v>Smoochumin erittäin herkät aistimet pitävät huulet kosteina käyttämällä niille päivittäin puunmahlaa.</v>
      </c>
      <c r="C4609" s="9" t="s">
        <v>1344</v>
      </c>
    </row>
    <row r="4610" ht="33.75" customHeight="1">
      <c r="A4610" s="6" t="s">
        <v>6764</v>
      </c>
      <c r="B4610" s="6" t="str">
        <f>IFERROR(__xludf.DUMMYFUNCTION("GOOGLETRANSLATE(A4610,""en"",""fi"")"),"Jos sen kasvot likaantuvat vähänkään, Smoochum kylpee välittömästi. Mutta jos sen ruumis likaantuu, Smoochum ei oikein näytä välittävän.")</f>
        <v>Jos sen kasvot likaantuvat vähänkään, Smoochum kylpee välittömästi. Mutta jos sen ruumis likaantuu, Smoochum ei oikein näytä välittävän.</v>
      </c>
      <c r="C4610" s="9" t="s">
        <v>1344</v>
      </c>
    </row>
    <row r="4611" ht="33.75" customHeight="1">
      <c r="A4611" s="6" t="s">
        <v>6765</v>
      </c>
      <c r="B4611" s="6" t="str">
        <f>IFERROR(__xludf.DUMMYFUNCTION("GOOGLETRANSLATE(A4611,""en"",""fi"")"),"Tämä on hyvin utelias Pokémon. Smoochum päättää, mistä se pitää ja mistä ei, koskettamalla esineitä huulillaan.")</f>
        <v>Tämä on hyvin utelias Pokémon. Smoochum päättää, mistä se pitää ja mistä ei, koskettamalla esineitä huulillaan.</v>
      </c>
      <c r="C4611" s="9" t="s">
        <v>1344</v>
      </c>
    </row>
    <row r="4612" ht="33.75" customHeight="1">
      <c r="A4612" s="6" t="s">
        <v>6767</v>
      </c>
      <c r="B4612" s="6" t="str">
        <f>IFERROR(__xludf.DUMMYFUNCTION("GOOGLETRANSLATE(A4612,""en"",""fi"")"),"Se pyörittää käsivarsiaan tuottaakseen sähköä, mutta väsyy helposti, joten se latautuu vain vähän.")</f>
        <v>Se pyörittää käsivarsiaan tuottaakseen sähköä, mutta väsyy helposti, joten se latautuu vain vähän.</v>
      </c>
      <c r="C4612" s="9" t="s">
        <v>1344</v>
      </c>
    </row>
    <row r="4613" ht="33.75" customHeight="1">
      <c r="A4613" s="6" t="s">
        <v>6769</v>
      </c>
      <c r="B4613" s="6" t="str">
        <f>IFERROR(__xludf.DUMMYFUNCTION("GOOGLETRANSLATE(A4613,""en"",""fi"")"),"Tämä POKéMON pelaa iloisesti jopa rajuimmassa myrskyssä, jos ukkonen jylisee taivaalla.")</f>
        <v>Tämä POKéMON pelaa iloisesti jopa rajuimmassa myrskyssä, jos ukkonen jylisee taivaalla.</v>
      </c>
      <c r="C4613" s="9" t="s">
        <v>1344</v>
      </c>
    </row>
    <row r="4614" ht="33.75" customHeight="1">
      <c r="A4614" s="6" t="s">
        <v>6770</v>
      </c>
      <c r="B4614" s="6" t="str">
        <f>IFERROR(__xludf.DUMMYFUNCTION("GOOGLETRANSLATE(A4614,""en"",""fi"")"),"Se rakastaa rajua ukkosta. Sen sarvien välinen tila välkkyy sinertävän valkoisena, kun se latautuu energialla.")</f>
        <v>Se rakastaa rajua ukkosta. Sen sarvien välinen tila välkkyy sinertävän valkoisena, kun se latautuu energialla.</v>
      </c>
      <c r="C4614" s="9" t="s">
        <v>1344</v>
      </c>
    </row>
    <row r="4615" ht="33.75" customHeight="1">
      <c r="A4615" s="6" t="s">
        <v>6771</v>
      </c>
      <c r="B4615" s="6" t="str">
        <f>IFERROR(__xludf.DUMMYFUNCTION("GOOGLETRANSLATE(A4615,""en"",""fi"")"),"ELEKID varastoi sähköä kehoonsa. Jos se koskettaa metallia ja vahingossa purkaa kaiken kertyneen sähkövarauksensa, tämä POKéMON alkaa heilutella käsiään ympyrää latautuakseen.")</f>
        <v>ELEKID varastoi sähköä kehoonsa. Jos se koskettaa metallia ja vahingossa purkaa kaiken kertyneen sähkövarauksensa, tämä POKéMON alkaa heilutella käsiään ympyrää latautuakseen.</v>
      </c>
      <c r="C4615" s="9" t="s">
        <v>1344</v>
      </c>
    </row>
    <row r="4616" ht="33.75" customHeight="1">
      <c r="A4616" s="6" t="s">
        <v>6772</v>
      </c>
      <c r="B4616" s="6" t="str">
        <f>IFERROR(__xludf.DUMMYFUNCTION("GOOGLETRANSLATE(A4616,""en"",""fi"")"),"Jos se koskettaa metallia ja purkaa kehoonsa varastoiman sähkön, ELEKID alkaa heilutella käsiään ympyrää latautuakseen.")</f>
        <v>Jos se koskettaa metallia ja purkaa kehoonsa varastoiman sähkön, ELEKID alkaa heilutella käsiään ympyrää latautuakseen.</v>
      </c>
      <c r="C4616" s="9" t="s">
        <v>1344</v>
      </c>
    </row>
    <row r="4617" ht="33.75" customHeight="1">
      <c r="A4617" s="6" t="s">
        <v>6775</v>
      </c>
      <c r="B4617" s="6" t="str">
        <f>IFERROR(__xludf.DUMMYFUNCTION("GOOGLETRANSLATE(A4617,""en"",""fi"")"),"Se tuottaa sähköä pyörittämällä käsivarsiaan. Se ei kuitenkaan pysty varastoimaan tuottamaansa energiaa.")</f>
        <v>Se tuottaa sähköä pyörittämällä käsivarsiaan. Se ei kuitenkaan pysty varastoimaan tuottamaansa energiaa.</v>
      </c>
      <c r="C4617" s="9" t="s">
        <v>1344</v>
      </c>
    </row>
    <row r="4618" ht="33.75" customHeight="1">
      <c r="A4618" s="6" t="s">
        <v>6777</v>
      </c>
      <c r="B4618" s="6" t="str">
        <f>IFERROR(__xludf.DUMMYFUNCTION("GOOGLETRANSLATE(A4618,""en"",""fi"")"),"Heikko sähkövirta kulkee sen sarvien välissä. Käden työntäminen sinne sähköiskuttaa varomatonta.")</f>
        <v>Heikko sähkövirta kulkee sen sarvien välissä. Käden työntäminen sinne sähköiskuttaa varomatonta.</v>
      </c>
      <c r="C4618" s="9" t="s">
        <v>1344</v>
      </c>
    </row>
    <row r="4619" ht="33.75" customHeight="1">
      <c r="A4619" s="6" t="s">
        <v>6778</v>
      </c>
      <c r="B4619" s="6" t="str">
        <f>IFERROR(__xludf.DUMMYFUNCTION("GOOGLETRANSLATE(A4619,""en"",""fi"")"),"Se pyörittää käsivarsiaan sähkön tuottamiseksi, mutta väsyy helposti, joten se latautuu vain vähän.")</f>
        <v>Se pyörittää käsivarsiaan sähkön tuottamiseksi, mutta väsyy helposti, joten se latautuu vain vähän.</v>
      </c>
      <c r="C4619" s="9" t="s">
        <v>1344</v>
      </c>
    </row>
    <row r="4620" ht="33.75" customHeight="1">
      <c r="A4620" s="6" t="s">
        <v>6779</v>
      </c>
      <c r="B4620" s="6" t="str">
        <f>IFERROR(__xludf.DUMMYFUNCTION("GOOGLETRANSLATE(A4620,""en"",""fi"")"),"Tämä Pokémon leikkii iloisesti jopa ankarimmassa myrskyssä, jos ukkonen jylisee taivaalla.")</f>
        <v>Tämä Pokémon leikkii iloisesti jopa ankarimmassa myrskyssä, jos ukkonen jylisee taivaalla.</v>
      </c>
      <c r="C4620" s="9" t="s">
        <v>1344</v>
      </c>
    </row>
    <row r="4621" ht="33.75" customHeight="1">
      <c r="A4621" s="6" t="s">
        <v>6780</v>
      </c>
      <c r="B4621" s="6" t="str">
        <f>IFERROR(__xludf.DUMMYFUNCTION("GOOGLETRANSLATE(A4621,""en"",""fi"")"),"Käsien pyörittäminen sähkön tuottamiseksi saa sen sarvien välisen alueen hohtamaan vaaleansinisenä.")</f>
        <v>Käsien pyörittäminen sähkön tuottamiseksi saa sen sarvien välisen alueen hohtamaan vaaleansinisenä.</v>
      </c>
      <c r="C4621" s="9" t="s">
        <v>1344</v>
      </c>
    </row>
    <row r="4622" ht="33.75" customHeight="1">
      <c r="A4622" s="6" t="s">
        <v>6782</v>
      </c>
      <c r="B4622" s="6" t="str">
        <f>IFERROR(__xludf.DUMMYFUNCTION("GOOGLETRANSLATE(A4622,""en"",""fi"")"),"Elekid varastoi sähköä kehoonsa. Jos se koskettaa metallia ja vahingossa purkaa kaiken kertyneen sähkövarauksensa, tämä Pokémon alkaa heilutella käsiään ympyrää latautuakseen.")</f>
        <v>Elekid varastoi sähköä kehoonsa. Jos se koskettaa metallia ja vahingossa purkaa kaiken kertyneen sähkövarauksensa, tämä Pokémon alkaa heilutella käsiään ympyrää latautuakseen.</v>
      </c>
      <c r="C4622" s="9" t="s">
        <v>1344</v>
      </c>
    </row>
    <row r="4623" ht="33.75" customHeight="1">
      <c r="A4623" s="6" t="s">
        <v>6784</v>
      </c>
      <c r="B4623" s="6" t="str">
        <f>IFERROR(__xludf.DUMMYFUNCTION("GOOGLETRANSLATE(A4623,""en"",""fi"")"),"Kun se on talossa, pistorasiat toimivat sen tuttipulloina. Se imee sähköä.")</f>
        <v>Kun se on talossa, pistorasiat toimivat sen tuttipulloina. Se imee sähköä.</v>
      </c>
      <c r="C4623" s="9" t="s">
        <v>1344</v>
      </c>
    </row>
    <row r="4624" ht="33.75" customHeight="1">
      <c r="A4624" s="6" t="s">
        <v>6787</v>
      </c>
      <c r="B4624" s="6" t="str">
        <f>IFERROR(__xludf.DUMMYFUNCTION("GOOGLETRANSLATE(A4624,""en"",""fi"")"),"Tämä Pokémon taistelee jatkuvasti Togedemarua vastaan, joka yrittää varastaa sen sähkön. Ottelu on melko tasainen.")</f>
        <v>Tämä Pokémon taistelee jatkuvasti Togedemarua vastaan, joka yrittää varastaa sen sähkön. Ottelu on melko tasainen.</v>
      </c>
      <c r="C4624" s="9" t="s">
        <v>1344</v>
      </c>
    </row>
    <row r="4625" ht="33.75" customHeight="1">
      <c r="A4625" s="6" t="s">
        <v>6788</v>
      </c>
      <c r="B4625" s="6" t="str">
        <f>IFERROR(__xludf.DUMMYFUNCTION("GOOGLETRANSLATE(A4625,""en"",""fi"")"),"Kun Elekid kuulee ukkosen jyrinän, sen mieliala paranee. Äänen tallentamisesta ja sen soittamisesta voi olla hyötyä, kun Elekid on alakuloinen.")</f>
        <v>Kun Elekid kuulee ukkosen jyrinän, sen mieliala paranee. Äänen tallentamisesta ja sen soittamisesta voi olla hyötyä, kun Elekid on alakuloinen.</v>
      </c>
      <c r="C4625" s="9" t="s">
        <v>1344</v>
      </c>
    </row>
    <row r="4626" ht="33.75" customHeight="1">
      <c r="A4626" s="6" t="s">
        <v>6790</v>
      </c>
      <c r="B4626" s="6" t="str">
        <f>IFERROR(__xludf.DUMMYFUNCTION("GOOGLETRANSLATE(A4626,""en"",""fi"")"),"Kun sen sarvet loistavat sinertävän valkoisina, se on merkki siitä, että se on täysin latautunut. Saat järkyttävän tärinän, jos kosket sitä!")</f>
        <v>Kun sen sarvet loistavat sinertävän valkoisina, se on merkki siitä, että se on täysin latautunut. Saat järkyttävän tärinän, jos kosket sitä!</v>
      </c>
      <c r="C4626" s="9" t="s">
        <v>1344</v>
      </c>
    </row>
    <row r="4627" ht="33.75" customHeight="1">
      <c r="A4627" s="6" t="s">
        <v>6791</v>
      </c>
      <c r="B4627" s="6" t="str">
        <f>IFERROR(__xludf.DUMMYFUNCTION("GOOGLETRANSLATE(A4627,""en"",""fi"")"),"Myrskyn lähestyessä tämä Pokémon levottomaksi muuttuu. Kuultuaan ukkosen jylinän Elekidistä tulee täysi riehakas.")</f>
        <v>Myrskyn lähestyessä tämä Pokémon levottomaksi muuttuu. Kuultuaan ukkosen jylinän Elekidistä tulee täysi riehakas.</v>
      </c>
      <c r="C4627" s="9" t="s">
        <v>1344</v>
      </c>
    </row>
    <row r="4628" ht="33.75" customHeight="1">
      <c r="A4628" s="6" t="s">
        <v>6793</v>
      </c>
      <c r="B4628" s="6" t="str">
        <f>IFERROR(__xludf.DUMMYFUNCTION("GOOGLETRANSLATE(A4628,""en"",""fi"")"),"Se ei ole vielä hyvä varastoimaan sähköä. Tämä Pokémon hiipii ihmisten koteihin etsien pistorasioita, joista syödä sähköä.")</f>
        <v>Se ei ole vielä hyvä varastoimaan sähköä. Tämä Pokémon hiipii ihmisten koteihin etsien pistorasioita, joista syödä sähköä.</v>
      </c>
      <c r="C4628" s="9" t="s">
        <v>1344</v>
      </c>
    </row>
    <row r="4629" ht="33.75" customHeight="1">
      <c r="A4629" s="6" t="s">
        <v>6794</v>
      </c>
      <c r="B4629" s="6" t="str">
        <f>IFERROR(__xludf.DUMMYFUNCTION("GOOGLETRANSLATE(A4629,""en"",""fi"")"),"Ne tuottavat sähköä pyörittämällä käsiään. Jos ukkosmyrskyn aikana kuulee erämaassa lasten eloisia ääniä, kuulee itse asiassa Elekidin ääniä.")</f>
        <v>Ne tuottavat sähköä pyörittämällä käsiään. Jos ukkosmyrskyn aikana kuulee erämaassa lasten eloisia ääniä, kuulee itse asiassa Elekidin ääniä.</v>
      </c>
      <c r="C4629" s="9" t="s">
        <v>1344</v>
      </c>
    </row>
    <row r="4630" ht="33.75" customHeight="1">
      <c r="A4630" s="6" t="s">
        <v>6796</v>
      </c>
      <c r="B4630" s="6" t="str">
        <f>IFERROR(__xludf.DUMMYFUNCTION("GOOGLETRANSLATE(A4630,""en"",""fi"")"),"Joka kerta sisään- ja uloshengittäessään sen suusta ja sieraimista valuu kuumia hiiliä.")</f>
        <v>Joka kerta sisään- ja uloshengittäessään sen suusta ja sieraimista valuu kuumia hiiliä.</v>
      </c>
      <c r="C4630" s="9" t="s">
        <v>1344</v>
      </c>
    </row>
    <row r="4631" ht="33.75" customHeight="1">
      <c r="A4631" s="6" t="s">
        <v>6797</v>
      </c>
      <c r="B4631" s="6" t="str">
        <f>IFERROR(__xludf.DUMMYFUNCTION("GOOGLETRANSLATE(A4631,""en"",""fi"")"),"Sitä tavataan tulivuoren kraattereissa. Sen ruumiinlämpötila on yli 1100 astetta, joten älä aliarvioi sitä.")</f>
        <v>Sitä tavataan tulivuoren kraattereissa. Sen ruumiinlämpötila on yli 1100 astetta, joten älä aliarvioi sitä.</v>
      </c>
      <c r="C4631" s="9" t="s">
        <v>1344</v>
      </c>
    </row>
    <row r="4632" ht="33.75" customHeight="1">
      <c r="A4632" s="6" t="s">
        <v>6798</v>
      </c>
      <c r="B4632" s="6" t="str">
        <f>IFERROR(__xludf.DUMMYFUNCTION("GOOGLETRANSLATE(A4632,""en"",""fi"")"),"Se sylkee luonnostaan ​​1100-asteisen liekin. Sanotaan, että kun niitä ilmestyy paljon, se enteilee tulivuorenpurkausta.")</f>
        <v>Se sylkee luonnostaan ​​1100-asteisen liekin. Sanotaan, että kun niitä ilmestyy paljon, se enteilee tulivuorenpurkausta.</v>
      </c>
      <c r="C4632" s="9" t="s">
        <v>1344</v>
      </c>
    </row>
    <row r="4633" ht="33.75" customHeight="1">
      <c r="A4633" s="6" t="s">
        <v>6799</v>
      </c>
      <c r="B4633" s="6" t="str">
        <f>IFERROR(__xludf.DUMMYFUNCTION("GOOGLETRANSLATE(A4633,""en"",""fi"")"),"MAGBY:n terveydentila määritetään tarkkailemalla sen hengittämää tulta. Jos POKéMON syöksee suustaan ​​keltaisia ​​liekkejä, se on hyvässä kunnossa. Kun se on väsynyt, liekkeihin sekoittuu mustaa savua.")</f>
        <v>MAGBY:n terveydentila määritetään tarkkailemalla sen hengittämää tulta. Jos POKéMON syöksee suustaan ​​keltaisia ​​liekkejä, se on hyvässä kunnossa. Kun se on väsynyt, liekkeihin sekoittuu mustaa savua.</v>
      </c>
      <c r="C4633" s="9" t="s">
        <v>1344</v>
      </c>
    </row>
    <row r="4634" ht="33.75" customHeight="1">
      <c r="A4634" s="6" t="s">
        <v>6801</v>
      </c>
      <c r="B4634" s="6" t="str">
        <f>IFERROR(__xludf.DUMMYFUNCTION("GOOGLETRANSLATE(A4634,""en"",""fi"")"),"Jos MAGBY syöksee suustaan ​​keltaisia ​​liekkejä, se on hyvässä kunnossa. Kun se on väsynyt, liekkeihin sekoittuu mustaa savua.")</f>
        <v>Jos MAGBY syöksee suustaan ​​keltaisia ​​liekkejä, se on hyvässä kunnossa. Kun se on väsynyt, liekkeihin sekoittuu mustaa savua.</v>
      </c>
      <c r="C4634" s="9" t="s">
        <v>1344</v>
      </c>
    </row>
    <row r="4635" ht="33.75" customHeight="1">
      <c r="A4635" s="6" t="s">
        <v>6802</v>
      </c>
      <c r="B4635" s="6" t="str">
        <f>IFERROR(__xludf.DUMMYFUNCTION("GOOGLETRANSLATE(A4635,""en"",""fi"")"),"Sitä tavataan tulivuoren kraattereissa. Sen ruumiinlämpö ylittää 450 celsiusastetta, joten älä aliarvioi sitä.")</f>
        <v>Sitä tavataan tulivuoren kraattereissa. Sen ruumiinlämpö ylittää 450 celsiusastetta, joten älä aliarvioi sitä.</v>
      </c>
      <c r="C4635" s="9" t="s">
        <v>1344</v>
      </c>
    </row>
    <row r="4636" ht="33.75" customHeight="1">
      <c r="A4636" s="6" t="s">
        <v>6803</v>
      </c>
      <c r="B4636" s="6" t="str">
        <f>IFERROR(__xludf.DUMMYFUNCTION("GOOGLETRANSLATE(A4636,""en"",""fi"")"),"Sen ruumiinlämpö on noin 500 celsiusastetta. Se on terve, jos se hengittää keltaisia ​​liekkejä.")</f>
        <v>Sen ruumiinlämpö on noin 500 celsiusastetta. Se on terve, jos se hengittää keltaisia ​​liekkejä.</v>
      </c>
      <c r="C4636" s="9" t="s">
        <v>1344</v>
      </c>
    </row>
    <row r="4637" ht="33.75" customHeight="1">
      <c r="A4637" s="6" t="s">
        <v>6804</v>
      </c>
      <c r="B4637" s="6" t="str">
        <f>IFERROR(__xludf.DUMMYFUNCTION("GOOGLETRANSLATE(A4637,""en"",""fi"")"),"Sen magmamainen veri kiertää koko kehossa. Sen ruumiinlämpö voi nousta yli 500 celsiusasteen.")</f>
        <v>Sen magmamainen veri kiertää koko kehossa. Sen ruumiinlämpö voi nousta yli 500 celsiusasteen.</v>
      </c>
      <c r="C4637" s="9" t="s">
        <v>1344</v>
      </c>
    </row>
    <row r="4638" ht="33.75" customHeight="1">
      <c r="A4638" s="6" t="s">
        <v>6805</v>
      </c>
      <c r="B4638" s="6" t="str">
        <f>IFERROR(__xludf.DUMMYFUNCTION("GOOGLETRANSLATE(A4638,""en"",""fi"")"),"Joka kerta sisään- ja uloshengittäessään sen suusta ja sieraimista valuu kuumia hiiliä.")</f>
        <v>Joka kerta sisään- ja uloshengittäessään sen suusta ja sieraimista valuu kuumia hiiliä.</v>
      </c>
      <c r="C4638" s="9" t="s">
        <v>1344</v>
      </c>
    </row>
    <row r="4639" ht="33.75" customHeight="1">
      <c r="A4639" s="6" t="s">
        <v>6806</v>
      </c>
      <c r="B4639" s="6" t="str">
        <f>IFERROR(__xludf.DUMMYFUNCTION("GOOGLETRANSLATE(A4639,""en"",""fi"")"),"Sitä tavataan tulivuoren kraattereissa. Sen ruumiinlämpö on yli 450 celsiusastetta, joten älä aliarvioi sitä.")</f>
        <v>Sitä tavataan tulivuoren kraattereissa. Sen ruumiinlämpö on yli 450 celsiusastetta, joten älä aliarvioi sitä.</v>
      </c>
      <c r="C4639" s="9" t="s">
        <v>1344</v>
      </c>
    </row>
    <row r="4640" ht="33.75" customHeight="1">
      <c r="A4640" s="6" t="s">
        <v>6807</v>
      </c>
      <c r="B4640" s="6" t="str">
        <f>IFERROR(__xludf.DUMMYFUNCTION("GOOGLETRANSLATE(A4640,""en"",""fi"")"),"Se on pieni, mutta sen ruumiinlämpö on yli 500 celsiusastetta. Hiillos pääsee sen suusta ja nenästä hengittäessä.")</f>
        <v>Se on pieni, mutta sen ruumiinlämpö on yli 500 celsiusastetta. Hiillos pääsee sen suusta ja nenästä hengittäessä.</v>
      </c>
      <c r="C4640" s="9" t="s">
        <v>1344</v>
      </c>
    </row>
    <row r="4641" ht="33.75" customHeight="1">
      <c r="A4641" s="6" t="s">
        <v>6808</v>
      </c>
      <c r="B4641" s="6" t="str">
        <f>IFERROR(__xludf.DUMMYFUNCTION("GOOGLETRANSLATE(A4641,""en"",""fi"")"),"Se on pieni, mutta sen ruumiinlämpö on yli 500 celsiusastetta. Hiillos pääsee sen suusta ja sieraimesta hengittäessä.")</f>
        <v>Se on pieni, mutta sen ruumiinlämpö on yli 500 celsiusastetta. Hiillos pääsee sen suusta ja sieraimesta hengittäessä.</v>
      </c>
      <c r="C4641" s="9" t="s">
        <v>1344</v>
      </c>
    </row>
    <row r="4642" ht="33.75" customHeight="1">
      <c r="A4642" s="6" t="s">
        <v>6810</v>
      </c>
      <c r="B4642" s="6" t="str">
        <f>IFERROR(__xludf.DUMMYFUNCTION("GOOGLETRANSLATE(A4642,""en"",""fi"")"),"Sen magmamainen veri kiertää koko kehossa. Sen ruumiinlämpö voi nousta yli 500 celsiusasteeseen.")</f>
        <v>Sen magmamainen veri kiertää koko kehossa. Sen ruumiinlämpö voi nousta yli 500 celsiusasteeseen.</v>
      </c>
      <c r="C4642" s="9" t="s">
        <v>1344</v>
      </c>
    </row>
    <row r="4643" ht="33.75" customHeight="1">
      <c r="A4643" s="6" t="s">
        <v>6811</v>
      </c>
      <c r="B4643" s="6" t="str">
        <f>IFERROR(__xludf.DUMMYFUNCTION("GOOGLETRANSLATE(A4643,""en"",""fi"")"),"Magbyn terveydentila määritetään tarkkailemalla sen hengittämää tulta. Jos Pokémon syöksee suustaan ​​keltaisia ​​liekkejä, se on hyvässä kunnossa. Kun se on väsynyt, liekkeihin sekoittuu mustaa savua.")</f>
        <v>Magbyn terveydentila määritetään tarkkailemalla sen hengittämää tulta. Jos Pokémon syöksee suustaan ​​keltaisia ​​liekkejä, se on hyvässä kunnossa. Kun se on väsynyt, liekkeihin sekoittuu mustaa savua.</v>
      </c>
      <c r="C4643" s="9" t="s">
        <v>1344</v>
      </c>
    </row>
    <row r="4644" ht="33.75" customHeight="1">
      <c r="A4644" s="6" t="s">
        <v>6812</v>
      </c>
      <c r="B4644" s="6" t="str">
        <f>IFERROR(__xludf.DUMMYFUNCTION("GOOGLETRANSLATE(A4644,""en"",""fi"")"),"Monet näistä Pokémoneista näkyvät alueilla, joilla on vulkaanista toimintaa. Ruokinta voi saada ne niin innostumaan, että ne puhaltavat 1 100 Fahrenheit-asteen liekkejä.")</f>
        <v>Monet näistä Pokémoneista näkyvät alueilla, joilla on vulkaanista toimintaa. Ruokinta voi saada ne niin innostumaan, että ne puhaltavat 1 100 Fahrenheit-asteen liekkejä.</v>
      </c>
      <c r="C4644" s="9" t="s">
        <v>1344</v>
      </c>
    </row>
    <row r="4645" ht="33.75" customHeight="1">
      <c r="A4645" s="6" t="s">
        <v>6813</v>
      </c>
      <c r="B4645" s="6" t="str">
        <f>IFERROR(__xludf.DUMMYFUNCTION("GOOGLETRANSLATE(A4645,""en"",""fi"")"),"Kuuluisa savenvalaja asuu Magbyn kanssa. Ilmeisesti sen pehmeät liekit tuottavat hienoja teoksia.")</f>
        <v>Kuuluisa savenvalaja asuu Magbyn kanssa. Ilmeisesti sen pehmeät liekit tuottavat hienoja teoksia.</v>
      </c>
      <c r="C4645" s="9" t="s">
        <v>1344</v>
      </c>
    </row>
    <row r="4646" ht="33.75" customHeight="1">
      <c r="A4646" s="6" t="s">
        <v>6815</v>
      </c>
      <c r="B4646" s="6" t="str">
        <f>IFERROR(__xludf.DUMMYFUNCTION("GOOGLETRANSLATE(A4646,""en"",""fi"")"),"Kun sen nenästä tippuu liekkejä, se tarkoittaa, että sillä on flunssa. Anna sen levätä mukavasti magmassa.")</f>
        <v>Kun sen nenästä tippuu liekkejä, se tarkoittaa, että sillä on flunssa. Anna sen levätä mukavasti magmassa.</v>
      </c>
      <c r="C4646" s="9" t="s">
        <v>1344</v>
      </c>
    </row>
    <row r="4647" ht="33.75" customHeight="1">
      <c r="A4647" s="6" t="s">
        <v>6816</v>
      </c>
      <c r="B4647" s="6" t="str">
        <f>IFERROR(__xludf.DUMMYFUNCTION("GOOGLETRANSLATE(A4647,""en"",""fi"")"),"Sen ruumiinlämpö on aina noin 500 celsiusastetta. Jos Magby putoaa riittävän pieneen lampeen, koko lampi kuivuu.")</f>
        <v>Sen ruumiinlämpö on aina noin 500 celsiusastetta. Jos Magby putoaa riittävän pieneen lampeen, koko lampi kuivuu.</v>
      </c>
      <c r="C4647" s="9" t="s">
        <v>1344</v>
      </c>
    </row>
    <row r="4648" ht="33.75" customHeight="1">
      <c r="A4648" s="6" t="s">
        <v>6818</v>
      </c>
      <c r="B4648" s="6" t="str">
        <f>IFERROR(__xludf.DUMMYFUNCTION("GOOGLETRANSLATE(A4648,""en"",""fi"")"),"Tämä Pokémon on vielä pieni ja arka. Aina kun Magby innostuu tai yllättyy, sen suusta ja nenästä purkautuu liekkejä.")</f>
        <v>Tämä Pokémon on vielä pieni ja arka. Aina kun Magby innostuu tai yllättyy, sen suusta ja nenästä purkautuu liekkejä.</v>
      </c>
      <c r="C4648" s="9" t="s">
        <v>1344</v>
      </c>
    </row>
    <row r="4649" ht="33.75" customHeight="1">
      <c r="A4649" s="6" t="s">
        <v>6819</v>
      </c>
      <c r="B4649" s="6" t="str">
        <f>IFERROR(__xludf.DUMMYFUNCTION("GOOGLETRANSLATE(A4649,""en"",""fi"")"),"Tämä Pokémon asuu tulivuorten lähellä. Päivän päätteeksi Magby nauttii magmasta leväten ja toipuen päivän väsymyksestä.")</f>
        <v>Tämä Pokémon asuu tulivuorten lähellä. Päivän päätteeksi Magby nauttii magmasta leväten ja toipuen päivän väsymyksestä.</v>
      </c>
      <c r="C4649" s="9" t="s">
        <v>1344</v>
      </c>
    </row>
    <row r="4650" ht="33.75" customHeight="1">
      <c r="A4650" s="6" t="s">
        <v>6820</v>
      </c>
      <c r="B4650" s="6" t="str">
        <f>IFERROR(__xludf.DUMMYFUNCTION("GOOGLETRANSLATE(A4650,""en"",""fi"")"),"Tämä Pokémon elää tulivuorialueilla. Jokaisella hengityksellä sen suusta ja nenästä sinkoutuu kipinöitä. Kun Magby on hyvässä kunnossa, sen liekit saavat keltaisen sävyn.")</f>
        <v>Tämä Pokémon elää tulivuorialueilla. Jokaisella hengityksellä sen suusta ja nenästä sinkoutuu kipinöitä. Kun Magby on hyvässä kunnossa, sen liekit saavat keltaisen sävyn.</v>
      </c>
      <c r="C4650" s="9" t="s">
        <v>1344</v>
      </c>
    </row>
    <row r="4651" ht="33.75" customHeight="1">
      <c r="A4651" s="6" t="s">
        <v>6822</v>
      </c>
      <c r="B4651" s="6" t="str">
        <f>IFERROR(__xludf.DUMMYFUNCTION("GOOGLETRANSLATE(A4651,""en"",""fi"")"),"Sen maito on täynnä ravintoa, mikä tekee siitä parhaan juoman sairaille tai väsyneille.")</f>
        <v>Sen maito on täynnä ravintoa, mikä tekee siitä parhaan juoman sairaille tai väsyneille.</v>
      </c>
      <c r="C4651" s="9" t="s">
        <v>1344</v>
      </c>
    </row>
    <row r="4652" ht="33.75" customHeight="1">
      <c r="A4652" s="6" t="s">
        <v>6823</v>
      </c>
      <c r="B4652" s="6" t="str">
        <f>IFERROR(__xludf.DUMMYFUNCTION("GOOGLETRANSLATE(A4652,""en"",""fi"")"),"Jos se on juuri synnyttänyt, sen tuottama maito sisältää paljon enemmän ravintoaineita kuin tavallisesti.")</f>
        <v>Jos se on juuri synnyttänyt, sen tuottama maito sisältää paljon enemmän ravintoaineita kuin tavallisesti.</v>
      </c>
      <c r="C4652" s="9" t="s">
        <v>1344</v>
      </c>
    </row>
    <row r="4653" ht="33.75" customHeight="1">
      <c r="A4653" s="6" t="s">
        <v>6824</v>
      </c>
      <c r="B4653" s="6" t="str">
        <f>IFERROR(__xludf.DUMMYFUNCTION("GOOGLETRANSLATE(A4653,""en"",""fi"")"),"MILTANK-lehmän lypsämiseksi täytyy olla taito vetää sen utareita rytmikkäästi ylös ja alas.")</f>
        <v>MILTANK-lehmän lypsämiseksi täytyy olla taito vetää sen utareita rytmikkäästi ylös ja alas.</v>
      </c>
      <c r="C4653" s="9" t="s">
        <v>1344</v>
      </c>
    </row>
    <row r="4654" ht="33.75" customHeight="1">
      <c r="A4654" s="6" t="s">
        <v>6825</v>
      </c>
      <c r="B4654" s="6" t="str">
        <f>IFERROR(__xludf.DUMMYFUNCTION("GOOGLETRANSLATE(A4654,""en"",""fi"")"),"MILTANK tuottaa päivittäin yli viisi gallonaa maitoa. Sen makeasta maidosta nauttivat niin lapset kuin aikuisetkin. Ihmiset, jotka eivät voi juoda maitoa, tekevät siitä jogurttia ja syövät sitä.")</f>
        <v>MILTANK tuottaa päivittäin yli viisi gallonaa maitoa. Sen makeasta maidosta nauttivat niin lapset kuin aikuisetkin. Ihmiset, jotka eivät voi juoda maitoa, tekevät siitä jogurttia ja syövät sitä.</v>
      </c>
      <c r="C4654" s="9" t="s">
        <v>1344</v>
      </c>
    </row>
    <row r="4655" ht="33.75" customHeight="1">
      <c r="A4655" s="6" t="s">
        <v>6829</v>
      </c>
      <c r="B4655" s="6" t="str">
        <f>IFERROR(__xludf.DUMMYFUNCTION("GOOGLETRANSLATE(A4655,""en"",""fi"")"),"Se antaa yli viisi gallonaa maitoa päivittäin. Sen makeasta maidosta nauttivat niin lapset kuin aikuisetkin. Ihmiset, jotka eivät voi juoda maitoa, tekevät siitä jogurttia ja syövät sitä.")</f>
        <v>Se antaa yli viisi gallonaa maitoa päivittäin. Sen makeasta maidosta nauttivat niin lapset kuin aikuisetkin. Ihmiset, jotka eivät voi juoda maitoa, tekevät siitä jogurttia ja syövät sitä.</v>
      </c>
      <c r="C4655" s="9" t="s">
        <v>1344</v>
      </c>
    </row>
    <row r="4656" ht="33.75" customHeight="1">
      <c r="A4656" s="6" t="s">
        <v>6830</v>
      </c>
      <c r="B4656" s="6" t="str">
        <f>IFERROR(__xludf.DUMMYFUNCTION("GOOGLETRANSLATE(A4656,""en"",""fi"")"),"Jos vauva on juuri synnyttänyt, sen tuottama maito sisältää paljon enemmän ravintoaineita kuin tavallisesti.")</f>
        <v>Jos vauva on juuri synnyttänyt, sen tuottama maito sisältää paljon enemmän ravintoaineita kuin tavallisesti.</v>
      </c>
      <c r="C4656" s="9" t="s">
        <v>1344</v>
      </c>
    </row>
    <row r="4657" ht="33.75" customHeight="1">
      <c r="A4657" s="6" t="s">
        <v>6831</v>
      </c>
      <c r="B4657" s="6" t="str">
        <f>IFERROR(__xludf.DUMMYFUNCTION("GOOGLETRANSLATE(A4657,""en"",""fi"")"),"Sanotaan, että MILTANKin maitoa juovista lapsista kasvaa reippaita ja terveitä aikuisia.")</f>
        <v>Sanotaan, että MILTANKin maitoa juovista lapsista kasvaa reippaita ja terveitä aikuisia.</v>
      </c>
      <c r="C4657" s="9" t="s">
        <v>1344</v>
      </c>
    </row>
    <row r="4658" ht="33.75" customHeight="1">
      <c r="A4658" s="6" t="s">
        <v>6832</v>
      </c>
      <c r="B4658" s="6" t="str">
        <f>IFERROR(__xludf.DUMMYFUNCTION("GOOGLETRANSLATE(A4658,""en"",""fi"")"),"Jos se on vauvojen lähellä, sen tuottama maito sisältää paljon enemmän ravintoaineita kuin tavallisesti.")</f>
        <v>Jos se on vauvojen lähellä, sen tuottama maito sisältää paljon enemmän ravintoaineita kuin tavallisesti.</v>
      </c>
      <c r="C4658" s="9" t="s">
        <v>1344</v>
      </c>
    </row>
    <row r="4659" ht="33.75" customHeight="1">
      <c r="A4659" s="6" t="s">
        <v>6834</v>
      </c>
      <c r="B4659" s="6" t="str">
        <f>IFERROR(__xludf.DUMMYFUNCTION("GOOGLETRANSLATE(A4659,""en"",""fi"")"),"Sanotaan, että Miltankin maitoa juovista lapsista kasvaa reiluja ja terveitä aikuisia.")</f>
        <v>Sanotaan, että Miltankin maitoa juovista lapsista kasvaa reiluja ja terveitä aikuisia.</v>
      </c>
      <c r="C4659" s="9" t="s">
        <v>1344</v>
      </c>
    </row>
    <row r="4660" ht="33.75" customHeight="1">
      <c r="A4660" s="6" t="s">
        <v>6835</v>
      </c>
      <c r="B4660" s="6" t="str">
        <f>IFERROR(__xludf.DUMMYFUNCTION("GOOGLETRANSLATE(A4660,""en"",""fi"")"),"Miltank antaa päivittäin yli viisi gallonaa maitoa. Sen makeasta maidosta nauttivat niin lapset kuin aikuisetkin. Ihmiset, jotka eivät voi juoda maitoa, tekevät siitä jogurttia ja syövät sitä.")</f>
        <v>Miltank antaa päivittäin yli viisi gallonaa maitoa. Sen makeasta maidosta nauttivat niin lapset kuin aikuisetkin. Ihmiset, jotka eivät voi juoda maitoa, tekevät siitä jogurttia ja syövät sitä.</v>
      </c>
      <c r="C4660" s="9" t="s">
        <v>1344</v>
      </c>
    </row>
    <row r="4661" ht="33.75" customHeight="1">
      <c r="A4661" s="6" t="s">
        <v>6836</v>
      </c>
      <c r="B4661" s="6" t="str">
        <f>IFERROR(__xludf.DUMMYFUNCTION("GOOGLETRANSLATE(A4661,""en"",""fi"")"),"Sen maito on kaloripitoinen ja täynnä ravintoaineita. Siksi, jos juot sitä liikaa, sinulla voi olla Miltankin kaltainen vartalo.")</f>
        <v>Sen maito on kaloripitoinen ja täynnä ravintoaineita. Siksi, jos juot sitä liikaa, sinulla voi olla Miltankin kaltainen vartalo.</v>
      </c>
      <c r="C4661" s="9" t="s">
        <v>1344</v>
      </c>
    </row>
    <row r="4662" ht="33.75" customHeight="1">
      <c r="A4662" s="6" t="s">
        <v>6838</v>
      </c>
      <c r="B4662" s="6" t="str">
        <f>IFERROR(__xludf.DUMMYFUNCTION("GOOGLETRANSLATE(A4662,""en"",""fi"")"),"Useimmat ihmiset kasvattavat sitä maidon vuoksi, mutta se on melko sitkeä ja vahva, joten se soveltuu hyvin myös taisteluun.")</f>
        <v>Useimmat ihmiset kasvattavat sitä maidon vuoksi, mutta se on melko sitkeä ja vahva, joten se soveltuu hyvin myös taisteluun.</v>
      </c>
      <c r="C4662" s="9" t="s">
        <v>1344</v>
      </c>
    </row>
    <row r="4663" ht="33.75" customHeight="1">
      <c r="A4663" s="6" t="s">
        <v>6841</v>
      </c>
      <c r="B4663" s="6" t="str">
        <f>IFERROR(__xludf.DUMMYFUNCTION("GOOGLETRANSLATE(A4663,""en"",""fi"")"),"Se tuottaa yli viisi gallonaa maitoa päivässä. Mitä laadukkaampia laidunmaat ovat, sitä rikkaampaa ja maukkaampaa sen maito on.")</f>
        <v>Se tuottaa yli viisi gallonaa maitoa päivässä. Mitä laadukkaampia laidunmaat ovat, sitä rikkaampaa ja maukkaampaa sen maito on.</v>
      </c>
      <c r="C4663" s="9" t="s">
        <v>1344</v>
      </c>
    </row>
    <row r="4664" ht="33.75" customHeight="1">
      <c r="A4664" s="6" t="s">
        <v>6842</v>
      </c>
      <c r="B4664" s="6" t="str">
        <f>IFERROR(__xludf.DUMMYFUNCTION("GOOGLETRANSLATE(A4664,""en"",""fi"")"),"Sen maito on herkullista ja ravinteikasta. Jos kuitenkin juot sitä liikaa, se voi aiheuttaa vatsavaivoja, joten ole varovainen.")</f>
        <v>Sen maito on herkullista ja ravinteikasta. Jos kuitenkin juot sitä liikaa, se voi aiheuttaa vatsavaivoja, joten ole varovainen.</v>
      </c>
      <c r="C4664" s="9" t="s">
        <v>1344</v>
      </c>
    </row>
    <row r="4665" ht="33.75" customHeight="1">
      <c r="A4665" s="6" t="s">
        <v>6844</v>
      </c>
      <c r="B4665" s="6" t="str">
        <f>IFERROR(__xludf.DUMMYFUNCTION("GOOGLETRANSLATE(A4665,""en"",""fi"")"),"Miltank tuottaa erittäin ravitsevaa maitoa, joten se on tukenut ihmisten ja muiden Pokémonien elämää muinaisista ajoista lähtien.")</f>
        <v>Miltank tuottaa erittäin ravitsevaa maitoa, joten se on tukenut ihmisten ja muiden Pokémonien elämää muinaisista ajoista lähtien.</v>
      </c>
      <c r="C4665" s="9" t="s">
        <v>1344</v>
      </c>
    </row>
    <row r="4666" ht="33.75" customHeight="1">
      <c r="A4666" s="6" t="s">
        <v>6845</v>
      </c>
      <c r="B4666" s="6" t="str">
        <f>IFERROR(__xludf.DUMMYFUNCTION("GOOGLETRANSLATE(A4666,""en"",""fi"")"),"Tätä Pokémonia täytyy lypsä joka päivä, tai muuten se sairastuu. Miltank-maidon maku vaihtelee vuodenaikojen mukaan.")</f>
        <v>Tätä Pokémonia täytyy lypsä joka päivä, tai muuten se sairastuu. Miltank-maidon maku vaihtelee vuodenaikojen mukaan.</v>
      </c>
      <c r="C4666" s="9" t="s">
        <v>1344</v>
      </c>
    </row>
    <row r="4667" ht="33.75" customHeight="1">
      <c r="A4667" s="6" t="s">
        <v>6846</v>
      </c>
      <c r="B4667" s="6" t="str">
        <f>IFERROR(__xludf.DUMMYFUNCTION("GOOGLETRANSLATE(A4667,""en"",""fi"")"),"Jokainen, joka ottaa edes yhden palan BLISSEYn munakoisoa, on poikkeuksetta huolehtivainen ja miellyttävä kaikille.")</f>
        <v>Jokainen, joka ottaa edes yhden palan BLISSEYn munakoisoa, on poikkeuksetta huolehtivainen ja miellyttävä kaikille.</v>
      </c>
      <c r="C4667" s="9" t="s">
        <v>1344</v>
      </c>
    </row>
    <row r="4668" ht="33.75" customHeight="1">
      <c r="A4668" s="6" t="s">
        <v>6847</v>
      </c>
      <c r="B4668" s="6" t="str">
        <f>IFERROR(__xludf.DUMMYFUNCTION("GOOGLETRANSLATE(A4668,""en"",""fi"")"),"Sillä on hyvin myötätuntoinen ja intohimoinen luonne. Jos se näkee sairaan POKéMONin, se hoitaa tämän takaisin terveeksi.")</f>
        <v>Sillä on hyvin myötätuntoinen ja intohimoinen luonne. Jos se näkee sairaan POKéMONin, se hoitaa tämän takaisin terveeksi.</v>
      </c>
      <c r="C4668" s="9" t="s">
        <v>1344</v>
      </c>
    </row>
    <row r="4669" ht="33.75" customHeight="1">
      <c r="A4669" s="6" t="s">
        <v>6848</v>
      </c>
      <c r="B4669" s="6" t="str">
        <f>IFERROR(__xludf.DUMMYFUNCTION("GOOGLETRANSLATE(A4669,""en"",""fi"")"),"Yhden BLISSEYn tarjoamien herkullisten munien puraiseminen saa kaikki ympärillä olevat hymyilemään ilosta.")</f>
        <v>Yhden BLISSEYn tarjoamien herkullisten munien puraiseminen saa kaikki ympärillä olevat hymyilemään ilosta.</v>
      </c>
      <c r="C4669" s="9" t="s">
        <v>1344</v>
      </c>
    </row>
    <row r="4670" ht="33.75" customHeight="1">
      <c r="A4670" s="6" t="s">
        <v>6849</v>
      </c>
      <c r="B4670" s="6" t="str">
        <f>IFERROR(__xludf.DUMMYFUNCTION("GOOGLETRANSLATE(A4670,""en"",""fi"")"),"BLISSEY aistii surun pörröisellä turkillaan. Jos se havaitsee niin, tämä POKéMON kiiruhtaa surullisen ihmisen luokse, olipa tämä kuinka kaukana tahansa, jakamaan onnellisuuden munan, joka tuo hymyn kenen tahansa kasvoille.")</f>
        <v>BLISSEY aistii surun pörröisellä turkillaan. Jos se havaitsee niin, tämä POKéMON kiiruhtaa surullisen ihmisen luokse, olipa tämä kuinka kaukana tahansa, jakamaan onnellisuuden munan, joka tuo hymyn kenen tahansa kasvoille.</v>
      </c>
      <c r="C4670" s="9" t="s">
        <v>1344</v>
      </c>
    </row>
    <row r="4671" ht="33.75" customHeight="1">
      <c r="A4671" s="6" t="s">
        <v>6850</v>
      </c>
      <c r="B4671" s="6" t="str">
        <f>IFERROR(__xludf.DUMMYFUNCTION("GOOGLETRANSLATE(A4671,""en"",""fi"")"),"Jos se aistii surua pörröisellä turkillaan, BLISSEY kiiruhtaa surevan ihmisen luokse, olipa tämä kuinka kaukana tahansa, jakamaan onnellisuuden munan, joka tuo hymyn kenen tahansa kasvoille.")</f>
        <v>Jos se aistii surua pörröisellä turkillaan, BLISSEY kiiruhtaa surevan ihmisen luokse, olipa tämä kuinka kaukana tahansa, jakamaan onnellisuuden munan, joka tuo hymyn kenen tahansa kasvoille.</v>
      </c>
      <c r="C4671" s="9" t="s">
        <v>1344</v>
      </c>
    </row>
    <row r="4672" ht="33.75" customHeight="1">
      <c r="A4672" s="6" t="s">
        <v>6852</v>
      </c>
      <c r="B4672" s="6" t="str">
        <f>IFERROR(__xludf.DUMMYFUNCTION("GOOGLETRANSLATE(A4672,""en"",""fi"")"),"Sillä on hyvin myötätuntoinen luonne. Jos se näkee sairaan POKéMONin, se hoitaa tämän takaisin terveeksi.")</f>
        <v>Sillä on hyvin myötätuntoinen luonne. Jos se näkee sairaan POKéMONin, se hoitaa tämän takaisin terveeksi.</v>
      </c>
      <c r="C4672" s="9" t="s">
        <v>1344</v>
      </c>
    </row>
    <row r="4673" ht="33.75" customHeight="1">
      <c r="A4673" s="6" t="s">
        <v>6853</v>
      </c>
      <c r="B4673" s="6" t="str">
        <f>IFERROR(__xludf.DUMMYFUNCTION("GOOGLETRANSLATE(A4673,""en"",""fi"")"),"Jokainen, joka ottaa edes yhden palan BLISSEYn munaa, muuttuu poikkeuksetta huolehtivaiseksi ja miellyttäväksi kaikkia kohtaan.")</f>
        <v>Jokainen, joka ottaa edes yhden palan BLISSEYn munaa, muuttuu poikkeuksetta huolehtivaiseksi ja miellyttäväksi kaikkia kohtaan.</v>
      </c>
      <c r="C4673" s="9" t="s">
        <v>1344</v>
      </c>
    </row>
    <row r="4674" ht="33.75" customHeight="1">
      <c r="A4674" s="6" t="s">
        <v>6855</v>
      </c>
      <c r="B4674" s="6" t="str">
        <f>IFERROR(__xludf.DUMMYFUNCTION("GOOGLETRANSLATE(A4674,""en"",""fi"")"),"Tämä hyväsydäminen Pokémon hoitaa sairaita Pokémoneja terveiksi. Se aistii surun tunteita.")</f>
        <v>Tämä hyväsydäminen Pokémon hoitaa sairaita Pokémoneja terveiksi. Se aistii surun tunteita.</v>
      </c>
      <c r="C4674" s="9" t="s">
        <v>1344</v>
      </c>
    </row>
    <row r="4675" ht="33.75" customHeight="1">
      <c r="A4675" s="6" t="s">
        <v>6856</v>
      </c>
      <c r="B4675" s="6" t="str">
        <f>IFERROR(__xludf.DUMMYFUNCTION("GOOGLETRANSLATE(A4675,""en"",""fi"")"),"Se on Pokémon, joka tuo onnellisuutta. Sen munan syömisen sanotaan tekevän samanlaisen kaikille.")</f>
        <v>Se on Pokémon, joka tuo onnellisuutta. Sen munan syömisen sanotaan tekevän samanlaisen kaikille.</v>
      </c>
      <c r="C4675" s="9" t="s">
        <v>1344</v>
      </c>
    </row>
    <row r="4676" ht="33.75" customHeight="1">
      <c r="A4676" s="6" t="s">
        <v>6858</v>
      </c>
      <c r="B4676" s="6" t="str">
        <f>IFERROR(__xludf.DUMMYFUNCTION("GOOGLETRANSLATE(A4676,""en"",""fi"")"),"Sen munimat munat ovat täynnä onnellisuutta. Jopa yhden suupalan syöminen tuo hymyn kenelle tahansa.")</f>
        <v>Sen munimat munat ovat täynnä onnellisuutta. Jopa yhden suupalan syöminen tuo hymyn kenelle tahansa.</v>
      </c>
      <c r="C4676" s="9" t="s">
        <v>1344</v>
      </c>
    </row>
    <row r="4677" ht="33.75" customHeight="1">
      <c r="A4677" s="6" t="s">
        <v>6859</v>
      </c>
      <c r="B4677" s="6" t="str">
        <f>IFERROR(__xludf.DUMMYFUNCTION("GOOGLETRANSLATE(A4677,""en"",""fi"")"),"Jokainen, joka maistaa BLISSEYn munaa kerrankin, muuttuu poikkeuksetta kaikkien huomioivaksi ja miellyttäväksi.")</f>
        <v>Jokainen, joka maistaa BLISSEYn munaa kerrankin, muuttuu poikkeuksetta kaikkien huomioivaksi ja miellyttäväksi.</v>
      </c>
      <c r="C4677" s="9" t="s">
        <v>1344</v>
      </c>
    </row>
    <row r="4678" ht="33.75" customHeight="1">
      <c r="A4678" s="6" t="s">
        <v>6860</v>
      </c>
      <c r="B4678" s="6" t="str">
        <f>IFERROR(__xludf.DUMMYFUNCTION("GOOGLETRANSLATE(A4678,""en"",""fi"")"),"Sillä on hyvin myötätuntoinen luonne. Jos se näkee sairaan Pokémonin, se hoitaa kärsivän takaisin terveeksi.")</f>
        <v>Sillä on hyvin myötätuntoinen luonne. Jos se näkee sairaan Pokémonin, se hoitaa kärsivän takaisin terveeksi.</v>
      </c>
      <c r="C4678" s="9" t="s">
        <v>1344</v>
      </c>
    </row>
    <row r="4679" ht="33.75" customHeight="1">
      <c r="A4679" s="6" t="s">
        <v>6861</v>
      </c>
      <c r="B4679" s="6" t="str">
        <f>IFERROR(__xludf.DUMMYFUNCTION("GOOGLETRANSLATE(A4679,""en"",""fi"")"),"Blissey aistii surun pörröisellä turkillaan. Jos se havaitsee niin, tämä Pokémon kiiruhtaa surullisen henkilön luokse, olipa tämä kuinka kaukana tahansa, jakamaan onnenmunan, joka tuo hymyn kenen tahansa kasvoille.")</f>
        <v>Blissey aistii surun pörröisellä turkillaan. Jos se havaitsee niin, tämä Pokémon kiiruhtaa surullisen henkilön luokse, olipa tämä kuinka kaukana tahansa, jakamaan onnenmunan, joka tuo hymyn kenen tahansa kasvoille.</v>
      </c>
      <c r="C4679" s="9" t="s">
        <v>1344</v>
      </c>
    </row>
    <row r="4680" ht="33.75" customHeight="1">
      <c r="A4680" s="6" t="s">
        <v>6863</v>
      </c>
      <c r="B4680" s="6" t="str">
        <f>IFERROR(__xludf.DUMMYFUNCTION("GOOGLETRANSLATE(A4680,""en"",""fi"")"),"Raivokkaimmatkin Pokémonit rauhoittuvat syödessään Blisseyn munan, jonka sanotaan olevan täynnä onnellisuutta.")</f>
        <v>Raivokkaimmatkin Pokémonit rauhoittuvat syödessään Blisseyn munan, jonka sanotaan olevan täynnä onnellisuutta.</v>
      </c>
      <c r="C4680" s="9" t="s">
        <v>1344</v>
      </c>
    </row>
    <row r="4681" ht="33.75" customHeight="1">
      <c r="A4681" s="6" t="s">
        <v>6864</v>
      </c>
      <c r="B4681" s="6" t="str">
        <f>IFERROR(__xludf.DUMMYFUNCTION("GOOGLETRANSLATE(A4681,""en"",""fi"")"),"Sen pörröinen turkki toimii anturina, jonka avulla se pystyy lukemaan ihmisten ja Pokémonien tunteita.")</f>
        <v>Sen pörröinen turkki toimii anturina, jonka avulla se pystyy lukemaan ihmisten ja Pokémonien tunteita.</v>
      </c>
      <c r="C4681" s="9" t="s">
        <v>1344</v>
      </c>
    </row>
    <row r="4682" ht="33.75" customHeight="1">
      <c r="A4682" s="6" t="s">
        <v>6865</v>
      </c>
      <c r="B4682" s="6" t="str">
        <f>IFERROR(__xludf.DUMMYFUNCTION("GOOGLETRANSLATE(A4682,""en"",""fi"")"),"Niiden munat ovat niin herkullinen, että jotkut sanovat niiden syömisen tuovan onnea. Näistä munista saa markkinoiden korkeimmat hinnat.")</f>
        <v>Niiden munat ovat niin herkullinen, että jotkut sanovat niiden syömisen tuovan onnea. Näistä munista saa markkinoiden korkeimmat hinnat.</v>
      </c>
      <c r="C4682" s="9" t="s">
        <v>1344</v>
      </c>
    </row>
    <row r="4683" ht="33.75" customHeight="1">
      <c r="A4683" s="6" t="s">
        <v>6866</v>
      </c>
      <c r="B4683" s="6" t="str">
        <f>IFERROR(__xludf.DUMMYFUNCTION("GOOGLETRANSLATE(A4683,""en"",""fi"")"),"Tämä Pokémon on täynnä rakkautta. Vain Chansey, jolla on vahva side kouluttajaansa, voi kehittyä, niin sanotaan.")</f>
        <v>Tämä Pokémon on täynnä rakkautta. Vain Chansey, jolla on vahva side kouluttajaansa, voi kehittyä, niin sanotaan.</v>
      </c>
      <c r="C4683" s="9" t="s">
        <v>1344</v>
      </c>
    </row>
    <row r="4684" ht="33.75" customHeight="1">
      <c r="A4684" s="6" t="s">
        <v>6868</v>
      </c>
      <c r="B4684" s="6" t="str">
        <f>IFERROR(__xludf.DUMMYFUNCTION("GOOGLETRANSLATE(A4684,""en"",""fi"")"),"Aina kun Blissey löytää heikentyneen Pokémonin, se jakaa munansa ja tarjoaa hoitoaan, kunnes toinen Pokémon on täysin parantunut.")</f>
        <v>Aina kun Blissey löytää heikentyneen Pokémonin, se jakaa munansa ja tarjoaa hoitoaan, kunnes toinen Pokémon on täysin parantunut.</v>
      </c>
      <c r="C4684" s="9" t="s">
        <v>1344</v>
      </c>
    </row>
    <row r="4685" ht="33.75" customHeight="1">
      <c r="A4685" s="6" t="s">
        <v>6869</v>
      </c>
      <c r="B4685" s="6" t="str">
        <f>IFERROR(__xludf.DUMMYFUNCTION("GOOGLETRANSLATE(A4685,""en"",""fi"")"),"Blissey munii salaperäisiä munia, jotka ovat täynnä onnellisuutta. Sanotaan, että jokainen, joka syö Blissey-munan, alkaa käyttäytyä ystävällisesti kaikkia muita kohtaan.")</f>
        <v>Blissey munii salaperäisiä munia, jotka ovat täynnä onnellisuutta. Sanotaan, että jokainen, joka syö Blissey-munan, alkaa käyttäytyä ystävällisesti kaikkia muita kohtaan.</v>
      </c>
      <c r="C4685" s="9" t="s">
        <v>1344</v>
      </c>
    </row>
    <row r="4686" ht="33.75" customHeight="1">
      <c r="A4686" s="6" t="s">
        <v>6870</v>
      </c>
      <c r="B4686" s="6" t="str">
        <f>IFERROR(__xludf.DUMMYFUNCTION("GOOGLETRANSLATE(A4686,""en"",""fi"")"),"Hyväsydäminen Pokémon, joka huolehtii kaikista sairaista ihmisistä ja Pokémoneista, kunnes heidän terveytensä paranee. Sen munimat munat ovat herkullisia ja tuovat onnea niitä syöville.")</f>
        <v>Hyväsydäminen Pokémon, joka huolehtii kaikista sairaista ihmisistä ja Pokémoneista, kunnes heidän terveytensä paranee. Sen munimat munat ovat herkullisia ja tuovat onnea niitä syöville.</v>
      </c>
      <c r="C4686" s="9" t="s">
        <v>1344</v>
      </c>
    </row>
    <row r="4687" ht="33.75" customHeight="1">
      <c r="A4687" s="6" t="s">
        <v>6871</v>
      </c>
      <c r="B4687" s="6" t="str">
        <f>IFERROR(__xludf.DUMMYFUNCTION("GOOGLETRANSLATE(A4687,""en"",""fi"")"),"Sen kantamat sadepilvet antavat sen ampua ukkosen salamoja mielensä mukaan. Sanotaan, että se laskeutui salamoinnin mukana.")</f>
        <v>Sen kantamat sadepilvet antavat sen ampua ukkosen salamoja mielensä mukaan. Sanotaan, että se laskeutui salamoinnin mukana.</v>
      </c>
      <c r="C4687" s="9" t="s">
        <v>1344</v>
      </c>
    </row>
    <row r="4688" ht="33.75" customHeight="1">
      <c r="A4688" s="6" t="s">
        <v>6873</v>
      </c>
      <c r="B4688" s="6" t="str">
        <f>IFERROR(__xludf.DUMMYFUNCTION("GOOGLETRANSLATE(A4688,""en"",""fi"")"),"POKéMON, joka kiitää halki maan ja haukkuu ukkosen jylinää muistuttavaa huutoa.")</f>
        <v>POKéMON, joka kiitää halki maan ja haukkuu ukkosen jylinää muistuttavaa huutoa.</v>
      </c>
      <c r="C4688" s="9" t="s">
        <v>1344</v>
      </c>
    </row>
    <row r="4689" ht="33.75" customHeight="1">
      <c r="A4689" s="6" t="s">
        <v>6874</v>
      </c>
      <c r="B4689" s="6" t="str">
        <f>IFERROR(__xludf.DUMMYFUNCTION("GOOGLETRANSLATE(A4689,""en"",""fi"")"),"Tämä karkealaatuinen POKéMON varastoi energiaa kehoonsa ja pyyhkäisee sitten maan halki lähettäen sähköä.")</f>
        <v>Tämä karkealaatuinen POKéMON varastoi energiaa kehoonsa ja pyyhkäisee sitten maan halki lähettäen sähköä.</v>
      </c>
      <c r="C4689" s="9" t="s">
        <v>1344</v>
      </c>
    </row>
    <row r="4690" ht="33.75" customHeight="1">
      <c r="A4690" s="6" t="s">
        <v>6875</v>
      </c>
      <c r="B4690" s="6" t="str">
        <f>IFERROR(__xludf.DUMMYFUNCTION("GOOGLETRANSLATE(A4690,""en"",""fi"")"),"RAIKOU ilmentää salaman nopeutta. Tämän POKéMONin karjunnat lähettävät iskuaaltoja ilmaan ja ravistelevat maata aivan kuin salamat olisivat iskeneet.")</f>
        <v>RAIKOU ilmentää salaman nopeutta. Tämän POKéMONin karjunnat lähettävät iskuaaltoja ilmaan ja ravistelevat maata aivan kuin salamat olisivat iskeneet.</v>
      </c>
      <c r="C4690" s="9" t="s">
        <v>1344</v>
      </c>
    </row>
    <row r="4691" ht="33.75" customHeight="1">
      <c r="A4691" s="6" t="s">
        <v>6876</v>
      </c>
      <c r="B4691" s="6" t="str">
        <f>IFERROR(__xludf.DUMMYFUNCTION("GOOGLETRANSLATE(A4691,""en"",""fi"")"),"RAIKOU ilmentää salaman nopeutta. Sen jylinät lähettävät iskuaaltoja, jotka värähtelevät ilmassa ja maassa aivan kuin salamat iskeisivät maahan.")</f>
        <v>RAIKOU ilmentää salaman nopeutta. Sen jylinät lähettävät iskuaaltoja, jotka värähtelevät ilmassa ja maassa aivan kuin salamat iskeisivät maahan.</v>
      </c>
      <c r="C4691" s="9" t="s">
        <v>1344</v>
      </c>
    </row>
    <row r="4692" ht="33.75" customHeight="1">
      <c r="A4692" s="6" t="s">
        <v>6877</v>
      </c>
      <c r="B4692" s="6" t="str">
        <f>IFERROR(__xludf.DUMMYFUNCTION("GOOGLETRANSLATE(A4692,""en"",""fi"")"),"Tämä POKéMON kiitää maan halki ja päästää samalla huudon, joka kuulostaa ukkosen jylinältä.")</f>
        <v>Tämä POKéMON kiitää maan halki ja päästää samalla huudon, joka kuulostaa ukkosen jylinältä.</v>
      </c>
      <c r="C4692" s="9" t="s">
        <v>1344</v>
      </c>
    </row>
    <row r="4693" ht="33.75" customHeight="1">
      <c r="A4693" s="6" t="s">
        <v>6878</v>
      </c>
      <c r="B4693" s="6" t="str">
        <f>IFERROR(__xludf.DUMMYFUNCTION("GOOGLETRANSLATE(A4693,""en"",""fi"")"),"Sen sanotaan pudonneen salaman mukana. Se voi ampua salamoja selässään olevista sadepilvistä.")</f>
        <v>Sen sanotaan pudonneen salaman mukana. Se voi ampua salamoja selässään olevista sadepilvistä.</v>
      </c>
      <c r="C4693" s="9" t="s">
        <v>1344</v>
      </c>
    </row>
    <row r="4694" ht="33.75" customHeight="1">
      <c r="A4694" s="6" t="s">
        <v>6879</v>
      </c>
      <c r="B4694" s="6" t="str">
        <f>IFERROR(__xludf.DUMMYFUNCTION("GOOGLETRANSLATE(A4694,""en"",""fi"")"),"Pokémon, joka kiitää maan halki haukkuen ukkosen jylinää muistuttavaa huutoa.")</f>
        <v>Pokémon, joka kiitää maan halki haukkuen ukkosen jylinää muistuttavaa huutoa.</v>
      </c>
      <c r="C4694" s="9" t="s">
        <v>1344</v>
      </c>
    </row>
    <row r="4695" ht="33.75" customHeight="1">
      <c r="A4695" s="6" t="s">
        <v>6880</v>
      </c>
      <c r="B4695" s="6" t="str">
        <f>IFERROR(__xludf.DUMMYFUNCTION("GOOGLETRANSLATE(A4695,""en"",""fi"")"),"Tämä karkea Pokémon varastoi energiaa kehoonsa ja pyyhkäisee sitten maan halki ampuen sähköä.")</f>
        <v>Tämä karkea Pokémon varastoi energiaa kehoonsa ja pyyhkäisee sitten maan halki ampuen sähköä.</v>
      </c>
      <c r="C4695" s="9" t="s">
        <v>1344</v>
      </c>
    </row>
    <row r="4696" ht="33.75" customHeight="1">
      <c r="A4696" s="6" t="s">
        <v>6882</v>
      </c>
      <c r="B4696" s="6" t="str">
        <f>IFERROR(__xludf.DUMMYFUNCTION("GOOGLETRANSLATE(A4696,""en"",""fi"")"),"Raikou ilmentää salaman nopeutta. Tämän Pokémonin karjunnat lähettävät iskuaaltoja ilmaan ja ravistelevat maata aivan kuin salamat olisivat iskeneet alas.")</f>
        <v>Raikou ilmentää salaman nopeutta. Tämän Pokémonin karjunnat lähettävät iskuaaltoja ilmaan ja ravistelevat maata aivan kuin salamat olisivat iskeneet alas.</v>
      </c>
      <c r="C4696" s="9" t="s">
        <v>1344</v>
      </c>
    </row>
    <row r="4697" ht="33.75" customHeight="1">
      <c r="A4697" s="6" t="s">
        <v>6883</v>
      </c>
      <c r="B4697" s="6" t="str">
        <f>IFERROR(__xludf.DUMMYFUNCTION("GOOGLETRANSLATE(A4697,""en"",""fi"")"),"Tulivuoret purkautuvat sen haukkuessa. Kykenemättä hillitsemään äärimmäistä voimaansa se juoksee suin päin ympäri maata.")</f>
        <v>Tulivuoret purkautuvat sen haukkuessa. Kykenemättä hillitsemään äärimmäistä voimaansa se juoksee suin päin ympäri maata.</v>
      </c>
      <c r="C4697" s="9" t="s">
        <v>1344</v>
      </c>
    </row>
    <row r="4698" ht="33.75" customHeight="1">
      <c r="A4698" s="6" t="s">
        <v>6885</v>
      </c>
      <c r="B4698" s="6" t="str">
        <f>IFERROR(__xludf.DUMMYFUNCTION("GOOGLETRANSLATE(A4698,""en"",""fi"")"),"Pokémon, joka kiitää halki maan. Sanotaan, että sellainen syntyy joka kerta, kun uusi tulivuori ilmestyy.")</f>
        <v>Pokémon, joka kiitää halki maan. Sanotaan, että sellainen syntyy joka kerta, kun uusi tulivuori ilmestyy.</v>
      </c>
      <c r="C4698" s="9" t="s">
        <v>1344</v>
      </c>
    </row>
    <row r="4699" ht="33.75" customHeight="1">
      <c r="A4699" s="6" t="s">
        <v>6887</v>
      </c>
      <c r="B4699" s="6" t="str">
        <f>IFERROR(__xludf.DUMMYFUNCTION("GOOGLETRANSLATE(A4699,""en"",""fi"")"),"Tämä voimakas POKéMON kiitää maapallon ympäri ja syöksee liekkejä, jotka ovat kuumempia kuin tulivuoren magma.")</f>
        <v>Tämä voimakas POKéMON kiitää maapallon ympäri ja syöksee liekkejä, jotka ovat kuumempia kuin tulivuoren magma.</v>
      </c>
      <c r="C4699" s="9" t="s">
        <v>1344</v>
      </c>
    </row>
    <row r="4700" ht="33.75" customHeight="1">
      <c r="A4700" s="6" t="s">
        <v>6889</v>
      </c>
      <c r="B4700" s="6" t="str">
        <f>IFERROR(__xludf.DUMMYFUNCTION("GOOGLETRANSLATE(A4700,""en"",""fi"")"),"ENTEI ilmentää magman intohimoa. Tämän POKéMONin uskotaan syntyneen tulivuoren purkauksessa. Se lähettää massiivisia tulipurkauksia, jotka kuluttavat täysin kaiken, mihin ne koskevat.")</f>
        <v>ENTEI ilmentää magman intohimoa. Tämän POKéMONin uskotaan syntyneen tulivuoren purkauksessa. Se lähettää massiivisia tulipurkauksia, jotka kuluttavat täysin kaiken, mihin ne koskevat.</v>
      </c>
      <c r="C4700" s="9" t="s">
        <v>1344</v>
      </c>
    </row>
    <row r="4701" ht="33.75" customHeight="1">
      <c r="A4701" s="6" t="s">
        <v>6890</v>
      </c>
      <c r="B4701" s="6" t="str">
        <f>IFERROR(__xludf.DUMMYFUNCTION("GOOGLETRANSLATE(A4701,""en"",""fi"")"),"ENTEI ilmentää magman intohimoa. Sen uskotaan syntyneen tulivuorenpurkauksessa. Se räjäyttää tulta, joka kuluttaa kaiken, mihin se koskee.")</f>
        <v>ENTEI ilmentää magman intohimoa. Sen uskotaan syntyneen tulivuorenpurkauksessa. Se räjäyttää tulta, joka kuluttaa kaiken, mihin se koskee.</v>
      </c>
      <c r="C4701" s="9" t="s">
        <v>1344</v>
      </c>
    </row>
    <row r="4702" ht="33.75" customHeight="1">
      <c r="A4702" s="6" t="s">
        <v>6892</v>
      </c>
      <c r="B4702" s="6" t="str">
        <f>IFERROR(__xludf.DUMMYFUNCTION("GOOGLETRANSLATE(A4702,""en"",""fi"")"),"Tulivuoret purkautuvat sen haukkuessa. Kykenemättä hillitsemään äärimmäistä voimaansa se juoksee suin päin ympäri maata.")</f>
        <v>Tulivuoret purkautuvat sen haukkuessa. Kykenemättä hillitsemään äärimmäistä voimaansa se juoksee suin päin ympäri maata.</v>
      </c>
      <c r="C4702" s="9" t="s">
        <v>1344</v>
      </c>
    </row>
    <row r="4703" ht="33.75" customHeight="1">
      <c r="A4703" s="6" t="s">
        <v>6893</v>
      </c>
      <c r="B4703" s="6" t="str">
        <f>IFERROR(__xludf.DUMMYFUNCTION("GOOGLETRANSLATE(A4703,""en"",""fi"")"),"Sanotaan, että kun se jylisee, tulivuori purkautuu jossain päin maapalloa.")</f>
        <v>Sanotaan, että kun se jylisee, tulivuori purkautuu jossain päin maapalloa.</v>
      </c>
      <c r="C4703" s="9" t="s">
        <v>1344</v>
      </c>
    </row>
    <row r="4704" ht="33.75" customHeight="1">
      <c r="A4704" s="6" t="s">
        <v>6895</v>
      </c>
      <c r="B4704" s="6" t="str">
        <f>IFERROR(__xludf.DUMMYFUNCTION("GOOGLETRANSLATE(A4704,""en"",""fi"")"),"Tulivuoret purkautuvat sen haukkuessa. Kykenemättä hillitsemään silkkaa voimaansa se kiitää suin päin ympäri maata.")</f>
        <v>Tulivuoret purkautuvat sen haukkuessa. Kykenemättä hillitsemään silkkaa voimaansa se kiitää suin päin ympäri maata.</v>
      </c>
      <c r="C4704" s="9" t="s">
        <v>1344</v>
      </c>
    </row>
    <row r="4705" ht="33.75" customHeight="1">
      <c r="A4705" s="6" t="s">
        <v>6896</v>
      </c>
      <c r="B4705" s="6" t="str">
        <f>IFERROR(__xludf.DUMMYFUNCTION("GOOGLETRANSLATE(A4705,""en"",""fi"")"),"Pokémon, joka kilpailee halki maan. Sanotaan, että yksi syntyy joka kerta, kun uusi tulivuori ilmestyy.")</f>
        <v>Pokémon, joka kilpailee halki maan. Sanotaan, että yksi syntyy joka kerta, kun uusi tulivuori ilmestyy.</v>
      </c>
      <c r="C4705" s="9" t="s">
        <v>1344</v>
      </c>
    </row>
    <row r="4706" ht="33.75" customHeight="1">
      <c r="A4706" s="6" t="s">
        <v>6898</v>
      </c>
      <c r="B4706" s="6" t="str">
        <f>IFERROR(__xludf.DUMMYFUNCTION("GOOGLETRANSLATE(A4706,""en"",""fi"")"),"Entei ilmentää magman intohimoa. Tämän Pokémonin uskotaan syntyneen tulivuoren purkauksessa. Se lähettää massiivisia tulipurkauksia, jotka kuluttavat täysin kaiken, mihin se koskee.")</f>
        <v>Entei ilmentää magman intohimoa. Tämän Pokémonin uskotaan syntyneen tulivuoren purkauksessa. Se lähettää massiivisia tulipurkauksia, jotka kuluttavat täysin kaiken, mihin se koskee.</v>
      </c>
      <c r="C4706" s="9" t="s">
        <v>1344</v>
      </c>
    </row>
    <row r="4707" ht="33.75" customHeight="1">
      <c r="A4707" s="6" t="s">
        <v>6901</v>
      </c>
      <c r="B4707" s="6" t="str">
        <f>IFERROR(__xludf.DUMMYFUNCTION("GOOGLETRANSLATE(A4707,""en"",""fi"")"),"Sen sanotaan olevan pohjoistuulten jälleensyntyminen, ja se voi puhdistaa likaisen, samean veden välittömästi.")</f>
        <v>Sen sanotaan olevan pohjoistuulten jälleensyntyminen, ja se voi puhdistaa likaisen, samean veden välittömästi.</v>
      </c>
      <c r="C4707" s="9" t="s">
        <v>1344</v>
      </c>
    </row>
    <row r="4708" ht="33.75" customHeight="1">
      <c r="A4708" s="6" t="s">
        <v>6904</v>
      </c>
      <c r="B4708" s="6" t="str">
        <f>IFERROR(__xludf.DUMMYFUNCTION("GOOGLETRANSLATE(A4708,""en"",""fi"")"),"Tämä POKéMON kiitää halki maan. Sanotaan, että pohjoistuulet jotenkin puhaltavat aina kun ne ilmestyvät.")</f>
        <v>Tämä POKéMON kiitää halki maan. Sanotaan, että pohjoistuulet jotenkin puhaltavat aina kun ne ilmestyvät.</v>
      </c>
      <c r="C4708" s="9" t="s">
        <v>1344</v>
      </c>
    </row>
    <row r="4709" ht="33.75" customHeight="1">
      <c r="A4709" s="6" t="s">
        <v>6905</v>
      </c>
      <c r="B4709" s="6" t="str">
        <f>IFERROR(__xludf.DUMMYFUNCTION("GOOGLETRANSLATE(A4709,""en"",""fi"")"),"Tämä jumalainen POKéMON puhaltaa ympäri maailmaa etsien aina puhdasta lähdettään.")</f>
        <v>Tämä jumalainen POKéMON puhaltaa ympäri maailmaa etsien aina puhdasta lähdettään.</v>
      </c>
      <c r="C4709" s="9" t="s">
        <v>1344</v>
      </c>
    </row>
    <row r="4710" ht="33.75" customHeight="1">
      <c r="A4710" s="6" t="s">
        <v>6906</v>
      </c>
      <c r="B4710" s="6" t="str">
        <f>IFERROR(__xludf.DUMMYFUNCTION("GOOGLETRANSLATE(A4710,""en"",""fi"")"),"SUICUNE ilmentää puhtaan vesilähteen myötätuntoa. Se virtaa maan halki sulavasti. Tällä POKéMONilla on kyky puhdistaa likaista vettä.")</f>
        <v>SUICUNE ilmentää puhtaan vesilähteen myötätuntoa. Se virtaa maan halki sulavasti. Tällä POKéMONilla on kyky puhdistaa likaista vettä.</v>
      </c>
      <c r="C4710" s="9" t="s">
        <v>1344</v>
      </c>
    </row>
    <row r="4711" ht="33.75" customHeight="1">
      <c r="A4711" s="6" t="s">
        <v>6907</v>
      </c>
      <c r="B4711" s="6" t="str">
        <f>IFERROR(__xludf.DUMMYFUNCTION("GOOGLETRANSLATE(A4711,""en"",""fi"")"),"SUICUNE ilmentää puhtaan vesilähteen myötätuntoa. Se virtaa maan halki liukuvan eleganssin lailla. Sillä on voima puhdistaa likainen vesi.")</f>
        <v>SUICUNE ilmentää puhtaan vesilähteen myötätuntoa. Se virtaa maan halki liukuvan eleganssin lailla. Sillä on voima puhdistaa likainen vesi.</v>
      </c>
      <c r="C4711" s="9" t="s">
        <v>1344</v>
      </c>
    </row>
    <row r="4712" ht="33.75" customHeight="1">
      <c r="A4712" s="6" t="s">
        <v>6908</v>
      </c>
      <c r="B4712" s="6" t="str">
        <f>IFERROR(__xludf.DUMMYFUNCTION("GOOGLETRANSLATE(A4712,""en"",""fi"")"),"Tämä POKéMON kiitää halki maan. Sanotaan, että pohjoistuulet puhaltavat jotenkin aina kun se ilmestyy.")</f>
        <v>Tämä POKéMON kiitää halki maan. Sanotaan, että pohjoistuulet puhaltavat jotenkin aina kun se ilmestyy.</v>
      </c>
      <c r="C4712" s="9" t="s">
        <v>1344</v>
      </c>
    </row>
    <row r="4713" ht="33.75" customHeight="1">
      <c r="A4713" s="6" t="s">
        <v>6910</v>
      </c>
      <c r="B4713" s="6" t="str">
        <f>IFERROR(__xludf.DUMMYFUNCTION("GOOGLETRANSLATE(A4713,""en"",""fi"")"),"Se kiitää ympäri maailmaa puhdistaakseen saastunutta vettä. Se kiitää pois pohjoistuulen mukana.")</f>
        <v>Se kiitää ympäri maailmaa puhdistaakseen saastunutta vettä. Se kiitää pois pohjoistuulen mukana.</v>
      </c>
      <c r="C4713" s="9" t="s">
        <v>1344</v>
      </c>
    </row>
    <row r="4714" ht="33.75" customHeight="1">
      <c r="A4714" s="6" t="s">
        <v>6911</v>
      </c>
      <c r="B4714" s="6" t="str">
        <f>IFERROR(__xludf.DUMMYFUNCTION("GOOGLETRANSLATE(A4714,""en"",""fi"")"),"Sen sanotaan olevan pohjoistuulten ruumiillistuma, ja se voi puhdistaa likaisen, samean veden välittömästi.")</f>
        <v>Sen sanotaan olevan pohjoistuulten ruumiillistuma, ja se voi puhdistaa likaisen, samean veden välittömästi.</v>
      </c>
      <c r="C4714" s="9" t="s">
        <v>1344</v>
      </c>
    </row>
    <row r="4715" ht="33.75" customHeight="1">
      <c r="A4715" s="6" t="s">
        <v>6913</v>
      </c>
      <c r="B4715" s="6" t="str">
        <f>IFERROR(__xludf.DUMMYFUNCTION("GOOGLETRANSLATE(A4715,""en"",""fi"")"),"Tämä Pokémon kilpailee halki maan. Sanotaan, että pohjoistuulet puhaltavat jotenkin aina kun se ilmestyy.")</f>
        <v>Tämä Pokémon kilpailee halki maan. Sanotaan, että pohjoistuulet puhaltavat jotenkin aina kun se ilmestyy.</v>
      </c>
      <c r="C4715" s="9" t="s">
        <v>1344</v>
      </c>
    </row>
    <row r="4716" ht="33.75" customHeight="1">
      <c r="A4716" s="6" t="s">
        <v>6914</v>
      </c>
      <c r="B4716" s="6" t="str">
        <f>IFERROR(__xludf.DUMMYFUNCTION("GOOGLETRANSLATE(A4716,""en"",""fi"")"),"Suicune ilmentää puhtaan vesilähteen myötätuntoa. Se virtaa maan halki sulavasti. Tällä Pokémonilla on kyky puhdistaa likaista vettä.")</f>
        <v>Suicune ilmentää puhtaan vesilähteen myötätuntoa. Se virtaa maan halki sulavasti. Tällä Pokémonilla on kyky puhdistaa likaista vettä.</v>
      </c>
      <c r="C4716" s="9" t="s">
        <v>1344</v>
      </c>
    </row>
    <row r="4717" ht="33.75" customHeight="1">
      <c r="A4717" s="6" t="s">
        <v>6915</v>
      </c>
      <c r="B4717" s="6" t="str">
        <f>IFERROR(__xludf.DUMMYFUNCTION("GOOGLETRANSLATE(A4717,""en"",""fi"")"),"Se syö maata. Syötyään suuren vuoren se nukahtaa, jotta se voi kasvaa.")</f>
        <v>Se syö maata. Syötyään suuren vuoren se nukahtaa, jotta se voi kasvaa.</v>
      </c>
      <c r="C4717" s="9" t="s">
        <v>1344</v>
      </c>
    </row>
    <row r="4718" ht="33.75" customHeight="1">
      <c r="A4718" s="6" t="s">
        <v>6917</v>
      </c>
      <c r="B4718" s="6" t="str">
        <f>IFERROR(__xludf.DUMMYFUNCTION("GOOGLETRANSLATE(A4718,""en"",""fi"")"),"Se syntyy syvällä maan alla. Se ei voi nousta esiin ennen kuin se on syönyt kokonaan ympäröivän maaperän.")</f>
        <v>Se syntyy syvällä maan alla. Se ei voi nousta esiin ennen kuin se on syönyt kokonaan ympäröivän maaperän.</v>
      </c>
      <c r="C4718" s="9" t="s">
        <v>1344</v>
      </c>
    </row>
    <row r="4719" ht="33.75" customHeight="1">
      <c r="A4719" s="6" t="s">
        <v>6919</v>
      </c>
      <c r="B4719" s="6" t="str">
        <f>IFERROR(__xludf.DUMMYFUNCTION("GOOGLETRANSLATE(A4719,""en"",""fi"")"),"Syvällä maan alla syntynyt POKéMON koteloituu syötyään tarpeeksi multaa vuoren rakentamiseksi.")</f>
        <v>Syvällä maan alla syntynyt POKéMON koteloituu syötyään tarpeeksi multaa vuoren rakentamiseksi.</v>
      </c>
      <c r="C4719" s="9" t="s">
        <v>1344</v>
      </c>
    </row>
    <row r="4720" ht="33.75" customHeight="1">
      <c r="A4720" s="6" t="s">
        <v>6920</v>
      </c>
      <c r="B4720" s="6" t="str">
        <f>IFERROR(__xludf.DUMMYFUNCTION("GOOGLETRANSLATE(A4720,""en"",""fi"")"),"LARVITAR syntyy syvällä maan alla. Päästäkseen pintaan tämän POKéMONin täytyy syödä tiensä maanpinnan läpi. Ennen kuin se tekee niin, LARVITAR ei voi nähdä vanhempiensa kasvoja.")</f>
        <v>LARVITAR syntyy syvällä maan alla. Päästäkseen pintaan tämän POKéMONin täytyy syödä tiensä maanpinnan läpi. Ennen kuin se tekee niin, LARVITAR ei voi nähdä vanhempiensa kasvoja.</v>
      </c>
      <c r="C4720" s="9" t="s">
        <v>1344</v>
      </c>
    </row>
    <row r="4721" ht="33.75" customHeight="1">
      <c r="A4721" s="6" t="s">
        <v>6922</v>
      </c>
      <c r="B4721" s="6" t="str">
        <f>IFERROR(__xludf.DUMMYFUNCTION("GOOGLETRANSLATE(A4721,""en"",""fi"")"),"LAUKKU syntyy syvällä maan alla. Sen täytyy syöpyä tiensä läpi maanpinnan yläpuolelta nähdäkseen vanhempiensa kasvot.")</f>
        <v>LAUKKU syntyy syvällä maan alla. Sen täytyy syöpyä tiensä läpi maanpinnan yläpuolelta nähdäkseen vanhempiensa kasvot.</v>
      </c>
      <c r="C4721" s="9" t="s">
        <v>1344</v>
      </c>
    </row>
    <row r="4722" ht="33.75" customHeight="1">
      <c r="A4722" s="6" t="s">
        <v>6924</v>
      </c>
      <c r="B4722" s="6" t="str">
        <f>IFERROR(__xludf.DUMMYFUNCTION("GOOGLETRANSLATE(A4722,""en"",""fi"")"),"Se syntyy syvällä maan alla. Se ei voi nousta esiin ennen kuin se on syönyt kokonaan ympäröivän maaperän.")</f>
        <v>Se syntyy syvällä maan alla. Se ei voi nousta esiin ennen kuin se on syönyt kokonaan ympäröivän maaperän.</v>
      </c>
      <c r="C4722" s="9" t="s">
        <v>1344</v>
      </c>
    </row>
    <row r="4723" ht="33.75" customHeight="1">
      <c r="A4723" s="6" t="s">
        <v>6926</v>
      </c>
      <c r="B4723" s="6" t="str">
        <f>IFERROR(__xludf.DUMMYFUNCTION("GOOGLETRANSLATE(A4723,""en"",""fi"")"),"Maaperää syövä Pokémon. Syötyään suuren vuoren se menee nukkumaan, jotta se voi kasvaa.")</f>
        <v>Maaperää syövä Pokémon. Syötyään suuren vuoren se menee nukkumaan, jotta se voi kasvaa.</v>
      </c>
      <c r="C4723" s="9" t="s">
        <v>1344</v>
      </c>
    </row>
    <row r="4724" ht="33.75" customHeight="1">
      <c r="A4724" s="6" t="s">
        <v>6927</v>
      </c>
      <c r="B4724" s="6" t="str">
        <f>IFERROR(__xludf.DUMMYFUNCTION("GOOGLETRANSLATE(A4724,""en"",""fi"")"),"Se syö maata. Syötyään suuren vuoren se nukahtaa, jotta se voi kasvaa.")</f>
        <v>Se syö maata. Syötyään suuren vuoren se nukahtaa, jotta se voi kasvaa.</v>
      </c>
      <c r="C4724" s="9" t="s">
        <v>1344</v>
      </c>
    </row>
    <row r="4725" ht="33.75" customHeight="1">
      <c r="A4725" s="6" t="s">
        <v>6929</v>
      </c>
      <c r="B4725" s="6" t="str">
        <f>IFERROR(__xludf.DUMMYFUNCTION("GOOGLETRANSLATE(A4725,""en"",""fi"")"),"Syvällä maan alla syntynyt se nousee pinnalle ja koteloituu syötyään ympäröivän maaperän.")</f>
        <v>Syvällä maan alla syntynyt se nousee pinnalle ja koteloituu syötyään ympäröivän maaperän.</v>
      </c>
      <c r="C4725" s="9" t="s">
        <v>1344</v>
      </c>
    </row>
    <row r="4726" ht="33.75" customHeight="1">
      <c r="A4726" s="6" t="s">
        <v>6930</v>
      </c>
      <c r="B4726" s="6" t="str">
        <f>IFERROR(__xludf.DUMMYFUNCTION("GOOGLETRANSLATE(A4726,""en"",""fi"")"),"Larvitar syntyy syvällä maan alla. Päästäkseen pintaan tämän Pokémonin täytyy syödä tiensä maanpinnan läpi. Ennen kuin se tekee niin, Larvitar ei voi nähdä vanhempiaan.")</f>
        <v>Larvitar syntyy syvällä maan alla. Päästäkseen pintaan tämän Pokémonin täytyy syödä tiensä maanpinnan läpi. Ennen kuin se tekee niin, Larvitar ei voi nähdä vanhempiaan.</v>
      </c>
      <c r="C4726" s="9" t="s">
        <v>1344</v>
      </c>
    </row>
    <row r="4727" ht="33.75" customHeight="1">
      <c r="A4727" s="6" t="s">
        <v>6931</v>
      </c>
      <c r="B4727" s="6" t="str">
        <f>IFERROR(__xludf.DUMMYFUNCTION("GOOGLETRANSLATE(A4727,""en"",""fi"")"),"Maan alla syntynyt se syö tiensä maan läpi pintaan, missä sen vanhemmat ovat. Se ei siedä siellä kohtaamaansa kirkasta valoa.")</f>
        <v>Maan alla syntynyt se syö tiensä maan läpi pintaan, missä sen vanhemmat ovat. Se ei siedä siellä kohtaamaansa kirkasta valoa.</v>
      </c>
      <c r="C4727" s="9" t="s">
        <v>1344</v>
      </c>
    </row>
    <row r="4728" ht="33.75" customHeight="1">
      <c r="A4728" s="6" t="s">
        <v>6932</v>
      </c>
      <c r="B4728" s="6" t="str">
        <f>IFERROR(__xludf.DUMMYFUNCTION("GOOGLETRANSLATE(A4728,""en"",""fi"")"),"Se kasvaa maasta löytämillään ravinteilla ja syö suunnilleen vuoren verran maata ennen kuin siitä tulee kotelo.")</f>
        <v>Se kasvaa maasta löytämillään ravinteilla ja syö suunnilleen vuoren verran maata ennen kuin siitä tulee kotelo.</v>
      </c>
      <c r="C4728" s="9" t="s">
        <v>1344</v>
      </c>
    </row>
    <row r="4729" ht="33.75" customHeight="1">
      <c r="A4729" s="6" t="s">
        <v>6933</v>
      </c>
      <c r="B4729" s="6" t="str">
        <f>IFERROR(__xludf.DUMMYFUNCTION("GOOGLETRANSLATE(A4729,""en"",""fi"")"),"Sen kuori on kova kuin kipsilevy, ja se on myös erittäin vahva. Sen SEISONTA voi kaataa vuoren.")</f>
        <v>Sen kuori on kova kuin kipsilevy, ja se on myös erittäin vahva. Sen SEISONTA voi kaataa vuoren.</v>
      </c>
      <c r="C4729" s="9" t="s">
        <v>1344</v>
      </c>
    </row>
    <row r="4730" ht="33.75" customHeight="1">
      <c r="A4730" s="6" t="s">
        <v>6935</v>
      </c>
      <c r="B4730" s="6" t="str">
        <f>IFERROR(__xludf.DUMMYFUNCTION("GOOGLETRANSLATE(A4730,""en"",""fi"")"),"Vaikka se on suljettu kuoreensa, se voi liikkua vapaasti. Kova ja nopea, sillä on huomattava tuhovoima.")</f>
        <v>Vaikka se on suljettu kuoreensa, se voi liikkua vapaasti. Kova ja nopea, sillä on huomattava tuhovoima.</v>
      </c>
      <c r="C4730" s="9" t="s">
        <v>1344</v>
      </c>
    </row>
    <row r="4731" ht="33.75" customHeight="1">
      <c r="A4731" s="6" t="s">
        <v>6936</v>
      </c>
      <c r="B4731" s="6" t="str">
        <f>IFERROR(__xludf.DUMMYFUNCTION("GOOGLETRANSLATE(A4731,""en"",""fi"")"),"Se ei pysy paikallaan, edes koteloaikanaan. Sillä on jo kädet ja jalat kiinteän kuoren alla.")</f>
        <v>Se ei pysy paikallaan, edes koteloaikanaan. Sillä on jo kädet ja jalat kiinteän kuoren alla.</v>
      </c>
      <c r="C4731" s="9" t="s">
        <v>1344</v>
      </c>
    </row>
    <row r="4732" ht="33.75" customHeight="1">
      <c r="A4732" s="6" t="s">
        <v>6937</v>
      </c>
      <c r="B4732" s="6" t="str">
        <f>IFERROR(__xludf.DUMMYFUNCTION("GOOGLETRANSLATE(A4732,""en"",""fi"")"),"PUPITAR luo ruumiinsa sisään kaasua, jonka se puristaa kokoon ja purkaa voimakkaasti liikuttaakseen itseään kuin suihkukone. Runko on erittäin kestävä – se ei vaurioidu, vaikka se osuisi kiinteään teräkseen.")</f>
        <v>PUPITAR luo ruumiinsa sisään kaasua, jonka se puristaa kokoon ja purkaa voimakkaasti liikuttaakseen itseään kuin suihkukone. Runko on erittäin kestävä – se ei vaurioidu, vaikka se osuisi kiinteään teräkseen.</v>
      </c>
      <c r="C4732" s="9" t="s">
        <v>1344</v>
      </c>
    </row>
    <row r="4733" ht="33.75" customHeight="1">
      <c r="A4733" s="6" t="s">
        <v>6938</v>
      </c>
      <c r="B4733" s="6" t="str">
        <f>IFERROR(__xludf.DUMMYFUNCTION("GOOGLETRANSLATE(A4733,""en"",""fi"")"),"PUPITAR luo ruumiinsa sisään kaasua, jota se purkaa puristuksen alaisena liikuttaakseen itseään kuin suihkukonetta. Sen ruumis kestää törmäyksen kiinteään teräkseen.")</f>
        <v>PUPITAR luo ruumiinsa sisään kaasua, jota se purkaa puristuksen alaisena liikuttaakseen itseään kuin suihkukonetta. Sen ruumis kestää törmäyksen kiinteään teräkseen.</v>
      </c>
      <c r="C4733" s="9" t="s">
        <v>1344</v>
      </c>
    </row>
    <row r="4734" ht="33.75" customHeight="1">
      <c r="A4734" s="6" t="s">
        <v>6939</v>
      </c>
      <c r="B4734" s="6" t="str">
        <f>IFERROR(__xludf.DUMMYFUNCTION("GOOGLETRANSLATE(A4734,""en"",""fi"")"),"Vaikka se on suljettu kuoreensa, se voi liikkua vapaasti. Kova ja nopea, sillä on huomattava tuhovoima.")</f>
        <v>Vaikka se on suljettu kuoreensa, se voi liikkua vapaasti. Kova ja nopea, sillä on huomattava tuhovoima.</v>
      </c>
      <c r="C4734" s="9" t="s">
        <v>1344</v>
      </c>
    </row>
    <row r="4735" ht="33.75" customHeight="1">
      <c r="A4735" s="6" t="s">
        <v>6940</v>
      </c>
      <c r="B4735" s="6" t="str">
        <f>IFERROR(__xludf.DUMMYFUNCTION("GOOGLETRANSLATE(A4735,""en"",""fi"")"),"Sen runko on kova kuin peruskallio. Päästämällä paineistettua kaasua se voi laukaista itsensä kuin raketti.")</f>
        <v>Sen runko on kova kuin peruskallio. Päästämällä paineistettua kaasua se voi laukaista itsensä kuin raketti.</v>
      </c>
      <c r="C4735" s="9" t="s">
        <v>1344</v>
      </c>
    </row>
    <row r="4736" ht="33.75" customHeight="1">
      <c r="A4736" s="6" t="s">
        <v>6941</v>
      </c>
      <c r="B4736" s="6" t="str">
        <f>IFERROR(__xludf.DUMMYFUNCTION("GOOGLETRANSLATE(A4736,""en"",""fi"")"),"Sen kuori on kova kuin kipsilevy, ja se on myös erittäin vahva. Sen selkäsauna voi kaataa vuoren.")</f>
        <v>Sen kuori on kova kuin kipsilevy, ja se on myös erittäin vahva. Sen selkäsauna voi kaataa vuoren.</v>
      </c>
      <c r="C4736" s="9" t="s">
        <v>1344</v>
      </c>
    </row>
    <row r="4737" ht="33.75" customHeight="1">
      <c r="A4737" s="6" t="s">
        <v>6942</v>
      </c>
      <c r="B4737" s="6" t="str">
        <f>IFERROR(__xludf.DUMMYFUNCTION("GOOGLETRANSLATE(A4737,""en"",""fi"")"),"Tämä kotelo lentää villisti ympäriinsä päästämällä voimakkaasti ruumiinsa sisällä paineistettua kaasua.")</f>
        <v>Tämä kotelo lentää villisti ympäriinsä päästämällä voimakkaasti ruumiinsa sisällä paineistettua kaasua.</v>
      </c>
      <c r="C4737" s="9" t="s">
        <v>1344</v>
      </c>
    </row>
    <row r="4738" ht="33.75" customHeight="1">
      <c r="A4738" s="6" t="s">
        <v>6943</v>
      </c>
      <c r="B4738" s="6" t="str">
        <f>IFERROR(__xludf.DUMMYFUNCTION("GOOGLETRANSLATE(A4738,""en"",""fi"")"),"Pupitar luo ruumiinsa sisään kaasua, jonka se puristaa kokoon ja purkaa voimakkaasti liikuttaakseen itseään kuin suihkukone. Ruumis on erittäin kestävä – se välttää vaurioita, vaikka se osuisi kiinteään teräkseen.")</f>
        <v>Pupitar luo ruumiinsa sisään kaasua, jonka se puristaa kokoon ja purkaa voimakkaasti liikuttaakseen itseään kuin suihkukone. Ruumis on erittäin kestävä – se välttää vaurioita, vaikka se osuisi kiinteään teräkseen.</v>
      </c>
      <c r="C4738" s="9" t="s">
        <v>1344</v>
      </c>
    </row>
    <row r="4739" ht="33.75" customHeight="1">
      <c r="A4739" s="6" t="s">
        <v>6944</v>
      </c>
      <c r="B4739" s="6" t="str">
        <f>IFERROR(__xludf.DUMMYFUNCTION("GOOGLETRANSLATE(A4739,""en"",""fi"")"),"Tämä hankala Pokémon odottaa innolla kehitystään, joten se lievittää stressiään sinkoilemalla villisti ympäriinsä paineistetun kaasun avulla.")</f>
        <v>Tämä hankala Pokémon odottaa innolla kehitystään, joten se lievittää stressiään sinkoilemalla villisti ympäriinsä paineistetun kaasun avulla.</v>
      </c>
      <c r="C4739" s="9" t="s">
        <v>1344</v>
      </c>
    </row>
    <row r="4740" ht="33.75" customHeight="1">
      <c r="A4740" s="6" t="s">
        <v>6945</v>
      </c>
      <c r="B4740" s="6" t="str">
        <f>IFERROR(__xludf.DUMMYFUNCTION("GOOGLETRANSLATE(A4740,""en"",""fi"")"),"Tämä vaarallinen kotelo rimpuilee ympäriinsä. Sen kuori on kova kuin peruskallio, ja sen sisällä on sen vähitellen muodostuva uusi ruumis.")</f>
        <v>Tämä vaarallinen kotelo rimpuilee ympäriinsä. Sen kuori on kova kuin peruskallio, ja sen sisällä on sen vähitellen muodostuva uusi ruumis.</v>
      </c>
      <c r="C4740" s="9" t="s">
        <v>1344</v>
      </c>
    </row>
    <row r="4741" ht="33.75" customHeight="1">
      <c r="A4741" s="6" t="s">
        <v>6946</v>
      </c>
      <c r="B4741" s="6" t="str">
        <f>IFERROR(__xludf.DUMMYFUNCTION("GOOGLETRANSLATE(A4741,""en"",""fi"")"),"Se ei pysy paikallaan, edes koteloaikanaan. Sillä on jo kädet ja jalat kiinteän kuorensa alla.")</f>
        <v>Se ei pysy paikallaan, edes koteloaikanaan. Sillä on jo kädet ja jalat kiinteän kuorensa alla.</v>
      </c>
      <c r="C4741" s="9" t="s">
        <v>1344</v>
      </c>
    </row>
    <row r="4742" ht="33.75" customHeight="1">
      <c r="A4742" s="6" t="s">
        <v>6948</v>
      </c>
      <c r="B4742" s="6" t="str">
        <f>IFERROR(__xludf.DUMMYFUNCTION("GOOGLETRANSLATE(A4742,""en"",""fi"")"),"Sen kehoon ei voi kohdistua minkäänlaisia ​​hyökkäyksiä, joten se on erittäin innokas haastamaan vihollisia.")</f>
        <v>Sen kehoon ei voi kohdistua minkäänlaisia ​​hyökkäyksiä, joten se on erittäin innokas haastamaan vihollisia.</v>
      </c>
      <c r="C4742" s="9" t="s">
        <v>1344</v>
      </c>
    </row>
    <row r="4743" ht="33.75" customHeight="1">
      <c r="A4743" s="6" t="s">
        <v>6949</v>
      </c>
      <c r="B4743" s="6" t="str">
        <f>IFERROR(__xludf.DUMMYFUNCTION("GOOGLETRANSLATE(A4743,""en"",""fi"")"),"Äärimmäisen vahva, se voi muuttaa maisemaa. Sillä on röyhkeä luonne, joka tekee siitä välinpitämättömän muista.")</f>
        <v>Äärimmäisen vahva, se voi muuttaa maisemaa. Sillä on röyhkeä luonne, joka tekee siitä välinpitämättömän muista.</v>
      </c>
      <c r="C4743" s="9" t="s">
        <v>1344</v>
      </c>
    </row>
    <row r="4744" ht="33.75" customHeight="1">
      <c r="A4744" s="6" t="s">
        <v>6950</v>
      </c>
      <c r="B4744" s="6" t="str">
        <f>IFERROR(__xludf.DUMMYFUNCTION("GOOGLETRANSLATE(A4744,""en"",""fi"")"),"Jo yhdessä mahtavassa kädessään sillä on voima saada maa järisemään ja vuoret murenemaan.")</f>
        <v>Jo yhdessä mahtavassa kädessään sillä on voima saada maa järisemään ja vuoret murenemaan.</v>
      </c>
      <c r="C4744" s="9" t="s">
        <v>1344</v>
      </c>
    </row>
    <row r="4745" ht="33.75" customHeight="1">
      <c r="A4745" s="6" t="s">
        <v>6951</v>
      </c>
      <c r="B4745" s="6" t="str">
        <f>IFERROR(__xludf.DUMMYFUNCTION("GOOGLETRANSLATE(A4745,""en"",""fi"")"),"TYRANITAR on niin ylivoimaisen voimakas, että se voi kaataa kokonaisen vuoren pesänsä rakentamiseksi. Tämä POKéMON vaeltelee vuorilla etsien uusia vastustajia taisteltavaksi.")</f>
        <v>TYRANITAR on niin ylivoimaisen voimakas, että se voi kaataa kokonaisen vuoren pesänsä rakentamiseksi. Tämä POKéMON vaeltelee vuorilla etsien uusia vastustajia taisteltavaksi.</v>
      </c>
      <c r="C4745" s="9" t="s">
        <v>1344</v>
      </c>
    </row>
    <row r="4746" ht="33.75" customHeight="1">
      <c r="A4746" s="6" t="s">
        <v>6952</v>
      </c>
      <c r="B4746" s="6" t="str">
        <f>IFERROR(__xludf.DUMMYFUNCTION("GOOGLETRANSLATE(A4746,""en"",""fi"")"),"TYRANITAARI on niin ylivoimaisen voimakas, että se voi kaataa kokonaisen vuoren pesänsä rakentamiseksi. Se vaeltelee vuorilla etsien uusia vastustajia taisteltavaksi.")</f>
        <v>TYRANITAARI on niin ylivoimaisen voimakas, että se voi kaataa kokonaisen vuoren pesänsä rakentamiseksi. Se vaeltelee vuorilla etsien uusia vastustajia taisteltavaksi.</v>
      </c>
      <c r="C4746" s="9" t="s">
        <v>1344</v>
      </c>
    </row>
    <row r="4747" ht="33.75" customHeight="1">
      <c r="A4747" s="6" t="s">
        <v>6953</v>
      </c>
      <c r="B4747" s="6" t="str">
        <f>IFERROR(__xludf.DUMMYFUNCTION("GOOGLETRANSLATE(A4747,""en"",""fi"")"),"Sen kehoon ei voi kohdistua minkäänlaisia ​​hyökkäyksiä, joten se on erittäin innokas haastamaan vihollisia.")</f>
        <v>Sen kehoon ei voi kohdistua minkäänlaisia ​​hyökkäyksiä, joten se on erittäin innokas haastamaan vihollisia.</v>
      </c>
      <c r="C4747" s="9" t="s">
        <v>1344</v>
      </c>
    </row>
    <row r="4748" ht="33.75" customHeight="1">
      <c r="A4748" s="6" t="s">
        <v>6954</v>
      </c>
      <c r="B4748" s="6" t="str">
        <f>IFERROR(__xludf.DUMMYFUNCTION("GOOGLETRANSLATE(A4748,""en"",""fi"")"),"Jos se riehuu, se kaataa vuoria ja hautaa jokia. Kartat on piirrettävä uudelleen jälkikäteen.")</f>
        <v>Jos se riehuu, se kaataa vuoria ja hautaa jokia. Kartat on piirrettävä uudelleen jälkikäteen.</v>
      </c>
      <c r="C4748" s="9" t="s">
        <v>1344</v>
      </c>
    </row>
    <row r="4749" ht="33.75" customHeight="1">
      <c r="A4749" s="6" t="s">
        <v>6956</v>
      </c>
      <c r="B4749" s="6" t="str">
        <f>IFERROR(__xludf.DUMMYFUNCTION("GOOGLETRANSLATE(A4749,""en"",""fi"")"),"Sen kävelyn aiheuttamat maanjäristykset murentavat jopa suuria vuoria ja muuttavat ympäröivää maastoa.")</f>
        <v>Sen kävelyn aiheuttamat maanjäristykset murentavat jopa suuria vuoria ja muuttavat ympäröivää maastoa.</v>
      </c>
      <c r="C4749" s="9" t="s">
        <v>1344</v>
      </c>
    </row>
    <row r="4750" ht="33.75" customHeight="1">
      <c r="A4750" s="6" t="s">
        <v>6957</v>
      </c>
      <c r="B4750" s="6" t="str">
        <f>IFERROR(__xludf.DUMMYFUNCTION("GOOGLETRANSLATE(A4750,""en"",""fi"")"),"Jo yhdessä mahtavassa kädessään sillä on voima saada maa järisemään ja vuoret murenemaan.")</f>
        <v>Jo yhdessä mahtavassa kädessään sillä on voima saada maa järisemään ja vuoret murenemaan.</v>
      </c>
      <c r="C4750" s="9" t="s">
        <v>1344</v>
      </c>
    </row>
    <row r="4751" ht="33.75" customHeight="1">
      <c r="A4751" s="6" t="s">
        <v>6958</v>
      </c>
      <c r="B4751" s="6" t="str">
        <f>IFERROR(__xludf.DUMMYFUNCTION("GOOGLETRANSLATE(A4751,""en"",""fi"")"),"Tyranitar on niin ylivoimaisen voimakas, että se voi kaataa kokonaisen vuoren pesäänsä varten. Tämä Pokémon vaeltaa vuorilla etsien uusia vastustajia taisteltavaksi.")</f>
        <v>Tyranitar on niin ylivoimaisen voimakas, että se voi kaataa kokonaisen vuoren pesäänsä varten. Tämä Pokémon vaeltaa vuorilla etsien uusia vastustajia taisteltavaksi.</v>
      </c>
      <c r="C4751" s="9" t="s">
        <v>1344</v>
      </c>
    </row>
    <row r="4752" ht="33.75" customHeight="1">
      <c r="A4752" s="6" t="s">
        <v>6959</v>
      </c>
      <c r="B4752" s="6" t="str">
        <f>IFERROR(__xludf.DUMMYFUNCTION("GOOGLETRANSLATE(A4752,""en"",""fi"")"),"Se vaeltaa vuorilla etsien vastustajia taisteltavaksi. Jos se löytää vastustajan, joka ei ole sen arvoinen, Tyranitar jättää sen huomiotta ja vaeltaa eteenpäin.")</f>
        <v>Se vaeltaa vuorilla etsien vastustajia taisteltavaksi. Jos se löytää vastustajan, joka ei ole sen arvoinen, Tyranitar jättää sen huomiotta ja vaeltaa eteenpäin.</v>
      </c>
      <c r="C4752" s="9" t="s">
        <v>1344</v>
      </c>
    </row>
    <row r="4753" ht="33.75" customHeight="1">
      <c r="A4753" s="6" t="s">
        <v>6960</v>
      </c>
      <c r="B4753" s="6" t="str">
        <f>IFERROR(__xludf.DUMMYFUNCTION("GOOGLETRANSLATE(A4753,""en"",""fi"")"),"Tämä Pokémon on liikkuva katastrofi, joka murentaa vuoria ja tuhoaa taloja jälkeensä.")</f>
        <v>Tämä Pokémon on liikkuva katastrofi, joka murentaa vuoria ja tuhoaa taloja jälkeensä.</v>
      </c>
      <c r="C4753" s="9" t="s">
        <v>1344</v>
      </c>
    </row>
    <row r="4754" ht="33.75" customHeight="1">
      <c r="A4754" s="6" t="s">
        <v>6961</v>
      </c>
      <c r="B4754" s="6" t="str">
        <f>IFERROR(__xludf.DUMMYFUNCTION("GOOGLETRANSLATE(A4754,""en"",""fi"")"),"Sanotaan, että se viettää hiljaa aikansa syvällä meren pohjassa, koska sen voimat ovat liian voimakkaat.")</f>
        <v>Sanotaan, että se viettää hiljaa aikansa syvällä meren pohjassa, koska sen voimat ovat liian voimakkaat.</v>
      </c>
      <c r="C4754" s="9" t="s">
        <v>1344</v>
      </c>
    </row>
    <row r="4755" ht="33.75" customHeight="1">
      <c r="A4755" s="6" t="s">
        <v>6962</v>
      </c>
      <c r="B4755" s="6" t="str">
        <f>IFERROR(__xludf.DUMMYFUNCTION("GOOGLETRANSLATE(A4755,""en"",""fi"")"),"Sen sanotaan olevan merten vartija. Huhutaan, että se on nähty myrskyyönä.")</f>
        <v>Sen sanotaan olevan merten vartija. Huhutaan, että se on nähty myrskyyönä.</v>
      </c>
      <c r="C4755" s="9" t="s">
        <v>1344</v>
      </c>
    </row>
    <row r="4756" ht="33.75" customHeight="1">
      <c r="A4756" s="6" t="s">
        <v>6963</v>
      </c>
      <c r="B4756" s="6" t="str">
        <f>IFERROR(__xludf.DUMMYFUNCTION("GOOGLETRANSLATE(A4756,""en"",""fi"")"),"Sillä on uskomaton kyky tyynnyttää raivoavia myrskyjä. Sanotaan, että LUGIA ilmestyy myrskyjen alkaessa.")</f>
        <v>Sillä on uskomaton kyky tyynnyttää raivoavia myrskyjä. Sanotaan, että LUGIA ilmestyy myrskyjen alkaessa.</v>
      </c>
      <c r="C4756" s="9" t="s">
        <v>1344</v>
      </c>
    </row>
    <row r="4757" ht="33.75" customHeight="1">
      <c r="A4757" s="6" t="s">
        <v>6965</v>
      </c>
      <c r="B4757" s="6" t="str">
        <f>IFERROR(__xludf.DUMMYFUNCTION("GOOGLETRANSLATE(A4757,""en"",""fi"")"),"LUGIAN siivet ovat tuhoisa voima – kevyt siipien räpyttely voi räjäyttää tavallisia taloja. Tämän seurauksena tämä POKéMON päättää asua piilossa syvällä meren alla.")</f>
        <v>LUGIAN siivet ovat tuhoisa voima – kevyt siipien räpyttely voi räjäyttää tavallisia taloja. Tämän seurauksena tämä POKéMON päättää asua piilossa syvällä meren alla.</v>
      </c>
      <c r="C4757" s="9" t="s">
        <v>1344</v>
      </c>
    </row>
    <row r="4758" ht="33.75" customHeight="1">
      <c r="A4758" s="6" t="s">
        <v>6966</v>
      </c>
      <c r="B4758" s="6" t="str">
        <f>IFERROR(__xludf.DUMMYFUNCTION("GOOGLETRANSLATE(A4758,""en"",""fi"")"),"LUGIA on niin voimakas, että jo sen siipien kevyt räpyttely voi räjäyttää taloja. Siksi se päättää elää piilossa syvällä meren alla.")</f>
        <v>LUGIA on niin voimakas, että jo sen siipien kevyt räpyttely voi räjäyttää taloja. Siksi se päättää elää piilossa syvällä meren alla.</v>
      </c>
      <c r="C4758" s="9" t="s">
        <v>1344</v>
      </c>
    </row>
    <row r="4759" ht="33.75" customHeight="1">
      <c r="A4759" s="6" t="s">
        <v>6968</v>
      </c>
      <c r="B4759" s="6" t="str">
        <f>IFERROR(__xludf.DUMMYFUNCTION("GOOGLETRANSLATE(A4759,""en"",""fi"")"),"Se nukkuu syvänmeren juoksuhaudassa. Jos se räpyttelee siipiään, sen sanotaan aiheuttavan 40 päivän myrskyn.")</f>
        <v>Se nukkuu syvänmeren juoksuhaudassa. Jos se räpyttelee siipiään, sen sanotaan aiheuttavan 40 päivän myrskyn.</v>
      </c>
      <c r="C4759" s="9" t="s">
        <v>1344</v>
      </c>
    </row>
    <row r="4760" ht="33.75" customHeight="1">
      <c r="A4760" s="6" t="s">
        <v>6969</v>
      </c>
      <c r="B4760" s="6" t="str">
        <f>IFERROR(__xludf.DUMMYFUNCTION("GOOGLETRANSLATE(A4760,""en"",""fi"")"),"Lugian siivet ovat tuhoisa voima – kevyt siipien räpyttely voi räjäyttää tavallisia taloja. Tämän seurauksena tämä Pokémon päättää elää piilossa syvällä meren alla.")</f>
        <v>Lugian siivet ovat tuhoisa voima – kevyt siipien räpyttely voi räjäyttää tavallisia taloja. Tämän seurauksena tämä Pokémon päättää elää piilossa syvällä meren alla.</v>
      </c>
      <c r="C4760" s="9" t="s">
        <v>1344</v>
      </c>
    </row>
    <row r="4761" ht="33.75" customHeight="1">
      <c r="A4761" s="6" t="s">
        <v>6970</v>
      </c>
      <c r="B4761" s="6" t="str">
        <f>IFERROR(__xludf.DUMMYFUNCTION("GOOGLETRANSLATE(A4761,""en"",""fi"")"),"Legendojen mukaan tämä POKéMON lentää jatkuvasti maailman taivailla upeilla seitsemänvärisillä siivillään.")</f>
        <v>Legendojen mukaan tämä POKéMON lentää jatkuvasti maailman taivailla upeilla seitsemänvärisillä siivillään.</v>
      </c>
      <c r="C4761" s="9" t="s">
        <v>1344</v>
      </c>
    </row>
    <row r="4762" ht="33.75" customHeight="1">
      <c r="A4762" s="6" t="s">
        <v>6971</v>
      </c>
      <c r="B4762" s="6" t="str">
        <f>IFERROR(__xludf.DUMMYFUNCTION("GOOGLETRANSLATE(A4762,""en"",""fi"")"),"Legendan mukaan sen ruumis hehkuu seitsemässä värissä. Sen taakse muodostuu sateenkaari, kun se lentää.")</f>
        <v>Legendan mukaan sen ruumis hehkuu seitsemässä värissä. Sen taakse muodostuu sateenkaari, kun se lentää.</v>
      </c>
      <c r="C4762" s="9" t="s">
        <v>1344</v>
      </c>
    </row>
    <row r="4763" ht="33.75" customHeight="1">
      <c r="A4763" s="6" t="s">
        <v>6972</v>
      </c>
      <c r="B4763" s="6" t="str">
        <f>IFERROR(__xludf.DUMMYFUNCTION("GOOGLETRANSLATE(A4763,""en"",""fi"")"),"Se paljastaa itsensä puhdassydämiselle kouluttajalle loihtimalla kirkkaan sateenkaaren väriset siipensä.")</f>
        <v>Se paljastaa itsensä puhdassydämiselle kouluttajalle loihtimalla kirkkaan sateenkaaren väriset siipensä.</v>
      </c>
      <c r="C4763" s="9" t="s">
        <v>1344</v>
      </c>
    </row>
    <row r="4764" ht="33.75" customHeight="1">
      <c r="A4764" s="6" t="s">
        <v>6974</v>
      </c>
      <c r="B4764" s="6" t="str">
        <f>IFERROR(__xludf.DUMMYFUNCTION("GOOGLETRANSLATE(A4764,""en"",""fi"")"),"HO-OH:n höyhenet hohtavat seitsemässä värissä riippuen siitä, mistä kulmasta valo osuu niihin. Näiden höyhenten sanotaan tuovan onnea kantajilleen. Tämän POKéMONin sanotaan asuvan sateenkaaren juurella.")</f>
        <v>HO-OH:n höyhenet hohtavat seitsemässä värissä riippuen siitä, mistä kulmasta valo osuu niihin. Näiden höyhenten sanotaan tuovan onnea kantajilleen. Tämän POKéMONin sanotaan asuvan sateenkaaren juurella.</v>
      </c>
      <c r="C4764" s="9" t="s">
        <v>1344</v>
      </c>
    </row>
    <row r="4765" ht="33.75" customHeight="1">
      <c r="A4765" s="6" t="s">
        <v>6975</v>
      </c>
      <c r="B4765" s="6" t="str">
        <f>IFERROR(__xludf.DUMMYFUNCTION("GOOGLETRANSLATE(A4765,""en"",""fi"")"),"Sen höyhenten – jotka hohtavat seitsemässä värissä riippuen siitä, mistä kulmasta valo osuu niihin – uskotaan tuovan iloa. Sen sanotaan elävän sateenkaaren juurella.")</f>
        <v>Sen höyhenten – jotka hohtavat seitsemässä värissä riippuen siitä, mistä kulmasta valo osuu niihin – uskotaan tuovan iloa. Sen sanotaan elävän sateenkaaren juurella.</v>
      </c>
      <c r="C4765" s="9" t="s">
        <v>1344</v>
      </c>
    </row>
    <row r="4766" ht="33.75" customHeight="1">
      <c r="A4766" s="6" t="s">
        <v>6977</v>
      </c>
      <c r="B4766" s="6" t="str">
        <f>IFERROR(__xludf.DUMMYFUNCTION("GOOGLETRANSLATE(A4766,""en"",""fi"")"),"Legendojen mukaan tämä POKéMON lentää jatkuvasti maailman taivailla upeilla seitsemänvärisillä siivillään.")</f>
        <v>Legendojen mukaan tämä POKéMON lentää jatkuvasti maailman taivailla upeilla seitsemänvärisillä siivillään.</v>
      </c>
      <c r="C4766" s="9" t="s">
        <v>1344</v>
      </c>
    </row>
    <row r="4767" ht="33.75" customHeight="1">
      <c r="A4767" s="6" t="s">
        <v>6979</v>
      </c>
      <c r="B4767" s="6" t="str">
        <f>IFERROR(__xludf.DUMMYFUNCTION("GOOGLETRANSLATE(A4767,""en"",""fi"")"),"Sen höyhenet ovat seitsemänvärisiä. Sanotaan, että jokaiselle, joka näkee sen, luvataan ikuinen onni.")</f>
        <v>Sen höyhenet ovat seitsemänvärisiä. Sanotaan, että jokaiselle, joka näkee sen, luvataan ikuinen onni.</v>
      </c>
      <c r="C4767" s="9" t="s">
        <v>1344</v>
      </c>
    </row>
    <row r="4768" ht="33.75" customHeight="1">
      <c r="A4768" s="6" t="s">
        <v>6982</v>
      </c>
      <c r="B4768" s="6" t="str">
        <f>IFERROR(__xludf.DUMMYFUNCTION("GOOGLETRANSLATE(A4768,""en"",""fi"")"),"Legendojen mukaan tämä Pokémon lentää jatkuvasti maailman taivailla upeilla, seitsemänvärisillä siivillään.")</f>
        <v>Legendojen mukaan tämä Pokémon lentää jatkuvasti maailman taivailla upeilla, seitsemänvärisillä siivillään.</v>
      </c>
      <c r="C4768" s="9" t="s">
        <v>1344</v>
      </c>
    </row>
    <row r="4769" ht="33.75" customHeight="1">
      <c r="A4769" s="6" t="s">
        <v>6983</v>
      </c>
      <c r="B4769" s="6" t="str">
        <f>IFERROR(__xludf.DUMMYFUNCTION("GOOGLETRANSLATE(A4769,""en"",""fi"")"),"Se paljastaa itsensä puhdassydämiselle kouluttajalle loihtimalla kirkkaat, sateenkaarenväriset siipensä.")</f>
        <v>Se paljastaa itsensä puhdassydämiselle kouluttajalle loihtimalla kirkkaat, sateenkaarenväriset siipensä.</v>
      </c>
      <c r="C4769" s="9" t="s">
        <v>1344</v>
      </c>
    </row>
    <row r="4770" ht="33.75" customHeight="1">
      <c r="A4770" s="6" t="s">
        <v>6984</v>
      </c>
      <c r="B4770" s="6" t="str">
        <f>IFERROR(__xludf.DUMMYFUNCTION("GOOGLETRANSLATE(A4770,""en"",""fi"")"),"Ho-Ohin höyhenet hohtavat seitsemässä värissä riippuen siitä, mistä kulmasta valo osuu niihin. Näiden höyhenten sanotaan tuovan onnea kantajilleen. Tämän Pokémonin sanotaan asuvan sateenkaaren juurella.")</f>
        <v>Ho-Ohin höyhenet hohtavat seitsemässä värissä riippuen siitä, mistä kulmasta valo osuu niihin. Näiden höyhenten sanotaan tuovan onnea kantajilleen. Tämän Pokémonin sanotaan asuvan sateenkaaren juurella.</v>
      </c>
      <c r="C4770" s="9" t="s">
        <v>1344</v>
      </c>
    </row>
    <row r="4771" ht="33.75" customHeight="1">
      <c r="A4771" s="6" t="s">
        <v>6986</v>
      </c>
      <c r="B4771" s="6" t="str">
        <f>IFERROR(__xludf.DUMMYFUNCTION("GOOGLETRANSLATE(A4771,""en"",""fi"")"),"Tämä POKéMON vaeltaa ajassa. Ruoho ja puut kukoistavat metsissä, joissa se on esiintynyt.")</f>
        <v>Tämä POKéMON vaeltaa ajassa. Ruoho ja puut kukoistavat metsissä, joissa se on esiintynyt.</v>
      </c>
      <c r="C4771" s="9" t="s">
        <v>1344</v>
      </c>
    </row>
    <row r="4772" ht="33.75" customHeight="1">
      <c r="A4772" s="6" t="s">
        <v>6988</v>
      </c>
      <c r="B4772" s="6" t="str">
        <f>IFERROR(__xludf.DUMMYFUNCTION("GOOGLETRANSLATE(A4772,""en"",""fi"")"),"Kun CELEBI katoaa syvälle metsään, sen sanotaan jättävän jälkeensä tulevaisuudesta tuomansa munan.")</f>
        <v>Kun CELEBI katoaa syvälle metsään, sen sanotaan jättävän jälkeensä tulevaisuudesta tuomansa munan.</v>
      </c>
      <c r="C4772" s="9" t="s">
        <v>1344</v>
      </c>
    </row>
    <row r="4773" ht="33.75" customHeight="1">
      <c r="A4773" s="6" t="s">
        <v>6989</v>
      </c>
      <c r="B4773" s="6" t="str">
        <f>IFERROR(__xludf.DUMMYFUNCTION("GOOGLETRANSLATE(A4773,""en"",""fi"")"),"Metsän vartijana kunnioitettu CELEBI ilmestyy kaikkialle, missä on kauniita metsiä.")</f>
        <v>Metsän vartijana kunnioitettu CELEBI ilmestyy kaikkialle, missä on kauniita metsiä.</v>
      </c>
      <c r="C4773" s="9" t="s">
        <v>1344</v>
      </c>
    </row>
    <row r="4774" ht="33.75" customHeight="1">
      <c r="A4774" s="6" t="s">
        <v>6991</v>
      </c>
      <c r="B4774" s="6" t="str">
        <f>IFERROR(__xludf.DUMMYFUNCTION("GOOGLETRANSLATE(A4774,""en"",""fi"")"),"Tämä POKéMON tuli tulevaisuudesta ajan ylityksen kautta. Uskotaan, että niin kauan kuin CELEBI ilmestyy, meitä odottaa kirkas ja loistava tulevaisuus.")</f>
        <v>Tämä POKéMON tuli tulevaisuudesta ajan ylityksen kautta. Uskotaan, että niin kauan kuin CELEBI ilmestyy, meitä odottaa kirkas ja loistava tulevaisuus.</v>
      </c>
      <c r="C4774" s="9" t="s">
        <v>1344</v>
      </c>
    </row>
    <row r="4775" ht="33.75" customHeight="1">
      <c r="A4775" s="6" t="s">
        <v>6992</v>
      </c>
      <c r="B4775" s="6" t="str">
        <f>IFERROR(__xludf.DUMMYFUNCTION("GOOGLETRANSLATE(A4775,""en"",""fi"")"),"Kun CELEBI katoaa syvälle metsään, sen sanotaan jättävän jälkeensä tulevaisuudesta tuomansa munan.")</f>
        <v>Kun CELEBI katoaa syvälle metsään, sen sanotaan jättävän jälkeensä tulevaisuudesta tuomansa munan.</v>
      </c>
      <c r="C4775" s="9" t="s">
        <v>1344</v>
      </c>
    </row>
    <row r="4776" ht="33.75" customHeight="1">
      <c r="A4776" s="6" t="s">
        <v>6994</v>
      </c>
      <c r="B4776" s="6" t="str">
        <f>IFERROR(__xludf.DUMMYFUNCTION("GOOGLETRANSLATE(A4776,""en"",""fi"")"),"Tämä POKéMON vaeltaa ajassa. Ruoho ja puut kukoistavat metsissä, joissa se on ilmestynyt.")</f>
        <v>Tämä POKéMON vaeltaa ajassa. Ruoho ja puut kukoistavat metsissä, joissa se on ilmestynyt.</v>
      </c>
      <c r="C4776" s="9" t="s">
        <v>1344</v>
      </c>
    </row>
    <row r="4777" ht="33.75" customHeight="1">
      <c r="A4777" s="6" t="s">
        <v>6995</v>
      </c>
      <c r="B4777" s="6" t="str">
        <f>IFERROR(__xludf.DUMMYFUNCTION("GOOGLETRANSLATE(A4777,""en"",""fi"")"),"Sillä on kyky matkustaa ajassa, mutta sen sanotaan ilmestyvän vain rauhallisina aikoina.")</f>
        <v>Sillä on kyky matkustaa ajassa, mutta sen sanotaan ilmestyvän vain rauhallisina aikoina.</v>
      </c>
      <c r="C4777" s="9" t="s">
        <v>1344</v>
      </c>
    </row>
    <row r="4778" ht="33.75" customHeight="1">
      <c r="A4778" s="6" t="s">
        <v>6997</v>
      </c>
      <c r="B4778" s="6" t="str">
        <f>IFERROR(__xludf.DUMMYFUNCTION("GOOGLETRANSLATE(A4778,""en"",""fi"")"),"Tämä Pokémon vaeltaa ajassa. Ruoho ja puut kukoistavat metsissä, joissa se on esiintynyt.")</f>
        <v>Tämä Pokémon vaeltaa ajassa. Ruoho ja puut kukoistavat metsissä, joissa se on esiintynyt.</v>
      </c>
      <c r="C4778" s="9" t="s">
        <v>1344</v>
      </c>
    </row>
    <row r="4779" ht="33.75" customHeight="1">
      <c r="A4779" s="6" t="s">
        <v>6999</v>
      </c>
      <c r="B4779" s="6" t="str">
        <f>IFERROR(__xludf.DUMMYFUNCTION("GOOGLETRANSLATE(A4779,""en"",""fi"")"),"Tämä Pokémon tuli tulevaisuudesta ajan ylityksen kautta. Uskotaan, että niin kauan kuin Celebi ilmestyy, meitä odottaa kirkas ja loistava tulevaisuus.")</f>
        <v>Tämä Pokémon tuli tulevaisuudesta ajan ylityksen kautta. Uskotaan, että niin kauan kuin Celebi ilmestyy, meitä odottaa kirkas ja loistava tulevaisuus.</v>
      </c>
      <c r="C4779" s="9" t="s">
        <v>1344</v>
      </c>
    </row>
    <row r="4780" ht="33.75" customHeight="1">
      <c r="A4780" s="6" t="s">
        <v>7000</v>
      </c>
      <c r="B4780" s="6" t="str">
        <f>IFERROR(__xludf.DUMMYFUNCTION("GOOGLETRANSLATE(A4780,""en"",""fi"")"),"Tällä Pokémonilla on kyky liikkua ajassa. Sitä metsäjumaluutena kuvailevia tietoja löytyy monilta eri aikakausilta.")</f>
        <v>Tällä Pokémonilla on kyky liikkua ajassa. Sitä metsäjumaluutena kuvailevia tietoja löytyy monilta eri aikakausilta.</v>
      </c>
      <c r="C4780" s="9" t="s">
        <v>1344</v>
      </c>
    </row>
    <row r="4781" ht="33.75" customHeight="1">
      <c r="A4781" s="6" t="s">
        <v>7002</v>
      </c>
      <c r="B4781" s="6" t="str">
        <f>IFERROR(__xludf.DUMMYFUNCTION("GOOGLETRANSLATE(A4781,""en"",""fi"")"),"Tämä Pokémon matkusti ajan halki tullakseen tulevaisuudesta. Se tukee ruohoa ja puita omilla voimillaan ja se voi myös parantaa haavoja.")</f>
        <v>Tämä Pokémon matkusti ajan halki tullakseen tulevaisuudesta. Se tukee ruohoa ja puita omilla voimillaan ja se voi myös parantaa haavoja.</v>
      </c>
      <c r="C4781" s="9" t="s">
        <v>1344</v>
      </c>
    </row>
    <row r="4782" ht="33.75" customHeight="1">
      <c r="A4782" s="6" t="s">
        <v>7003</v>
      </c>
      <c r="B4782" s="6" t="str">
        <f>IFERROR(__xludf.DUMMYFUNCTION("GOOGLETRANSLATE(A4782,""en"",""fi"")"),"TREECKOlla on pienet koukut jalkojensa pohjassa, joiden avulla se voi kiivetä pystysuoria seiniä pitkin. Tämä POKéMON hyökkää iskemällä vihollisia paksulla hännällään.")</f>
        <v>TREECKOlla on pienet koukut jalkojensa pohjassa, joiden avulla se voi kiivetä pystysuoria seiniä pitkin. Tämä POKéMON hyökkää iskemällä vihollisia paksulla hännällään.</v>
      </c>
      <c r="C4782" s="9" t="s">
        <v>1344</v>
      </c>
    </row>
    <row r="4783" ht="33.75" customHeight="1">
      <c r="A4783" s="6" t="s">
        <v>7005</v>
      </c>
      <c r="B4783" s="6" t="str">
        <f>IFERROR(__xludf.DUMMYFUNCTION("GOOGLETRANSLATE(A4783,""en"",""fi"")"),"TREECKO on viileä, rauhallinen ja rauhallinen – se ei koskaan panikoi missään tilanteessa. Jos suurempi vihollinen tuijottaisi tätä POKéMONIA, se tuijottaisi takaisin päästämättä senttiäkään maata.")</f>
        <v>TREECKO on viileä, rauhallinen ja rauhallinen – se ei koskaan panikoi missään tilanteessa. Jos suurempi vihollinen tuijottaisi tätä POKéMONIA, se tuijottaisi takaisin päästämättä senttiäkään maata.</v>
      </c>
      <c r="C4783" s="9" t="s">
        <v>1344</v>
      </c>
    </row>
    <row r="4784" ht="33.75" customHeight="1">
      <c r="A4784" s="6" t="s">
        <v>7006</v>
      </c>
      <c r="B4784" s="6" t="str">
        <f>IFERROR(__xludf.DUMMYFUNCTION("GOOGLETRANSLATE(A4784,""en"",""fi"")"),"Se tekee pesänsä jättimäiseen puuhun metsässä. Se suojelee raivokkaasti kaikkea, mikä lähestyy sen reviiriä. Sen sanotaan olevan metsän puiden suojelija.")</f>
        <v>Se tekee pesänsä jättimäiseen puuhun metsässä. Se suojelee raivokkaasti kaikkea, mikä lähestyy sen reviiriä. Sen sanotaan olevan metsän puiden suojelija.</v>
      </c>
      <c r="C4784" s="9" t="s">
        <v>1344</v>
      </c>
    </row>
    <row r="4785" ht="33.75" customHeight="1">
      <c r="A4785" s="6" t="s">
        <v>7008</v>
      </c>
      <c r="B4785" s="6" t="str">
        <f>IFERROR(__xludf.DUMMYFUNCTION("GOOGLETRANSLATE(A4785,""en"",""fi"")"),"Se kiipeää nopeasti jopa pystysuorien seinien yli. Se aistii kosteuden pyrstöllään ennustaakseen seuraavan päivän sään.")</f>
        <v>Se kiipeää nopeasti jopa pystysuorien seinien yli. Se aistii kosteuden pyrstöllään ennustaakseen seuraavan päivän sään.</v>
      </c>
      <c r="C4785" s="9" t="s">
        <v>1344</v>
      </c>
    </row>
    <row r="4786" ht="33.75" customHeight="1">
      <c r="A4786" s="6" t="s">
        <v>7009</v>
      </c>
      <c r="B4786" s="6" t="str">
        <f>IFERROR(__xludf.DUMMYFUNCTION("GOOGLETRANSLATE(A4786,""en"",""fi"")"),"Sen jalkapohjia peittävät lukemattomat pienet piikit, joiden avulla se voi kävellä seinillä ja katoilla.")</f>
        <v>Sen jalkapohjia peittävät lukemattomat pienet piikit, joiden avulla se voi kävellä seinillä ja katoilla.</v>
      </c>
      <c r="C4786" s="9" t="s">
        <v>1344</v>
      </c>
    </row>
    <row r="4787" ht="33.75" customHeight="1">
      <c r="A4787" s="6" t="s">
        <v>7011</v>
      </c>
      <c r="B4787" s="6" t="str">
        <f>IFERROR(__xludf.DUMMYFUNCTION("GOOGLETRANSLATE(A4787,""en"",""fi"")"),"Sen jalkojen pohjassa olevat pienet koukut tarttuvat seiniin ja kattoihin. Näin se voi roikkua ylhäältä.")</f>
        <v>Sen jalkojen pohjassa olevat pienet koukut tarttuvat seiniin ja kattoihin. Näin se voi roikkua ylhäältä.</v>
      </c>
      <c r="C4787" s="9" t="s">
        <v>1344</v>
      </c>
    </row>
    <row r="4788" ht="33.75" customHeight="1">
      <c r="A4788" s="6" t="s">
        <v>7012</v>
      </c>
      <c r="B4788" s="6" t="str">
        <f>IFERROR(__xludf.DUMMYFUNCTION("GOOGLETRANSLATE(A4788,""en"",""fi"")"),"Treeckolla on pienet koukut jalkojensa pohjassa, joiden avulla se voi kiivetä pystysuoria seiniä pitkin. Tämä Pokémon hyökkää iskemällä vihollisia paksulla hännällään.")</f>
        <v>Treeckolla on pienet koukut jalkojensa pohjassa, joiden avulla se voi kiivetä pystysuoria seiniä pitkin. Tämä Pokémon hyökkää iskemällä vihollisia paksulla hännällään.</v>
      </c>
      <c r="C4788" s="9" t="s">
        <v>1344</v>
      </c>
    </row>
    <row r="4789" ht="33.75" customHeight="1">
      <c r="A4789" s="6" t="s">
        <v>7013</v>
      </c>
      <c r="B4789" s="6" t="str">
        <f>IFERROR(__xludf.DUMMYFUNCTION("GOOGLETRANSLATE(A4789,""en"",""fi"")"),"Treecko on viileä, rauhallinen ja rauhallinen – se ei koskaan panikoi missään tilanteessa. Jos suurempi vihollinen tuijottaisi tätä Pokémonia, se tuijottaisi takaisin päästämättä senttiäkään maata.")</f>
        <v>Treecko on viileä, rauhallinen ja rauhallinen – se ei koskaan panikoi missään tilanteessa. Jos suurempi vihollinen tuijottaisi tätä Pokémonia, se tuijottaisi takaisin päästämättä senttiäkään maata.</v>
      </c>
      <c r="C4789" s="9" t="s">
        <v>1344</v>
      </c>
    </row>
    <row r="4790" ht="33.75" customHeight="1">
      <c r="A4790" s="6" t="s">
        <v>7014</v>
      </c>
      <c r="B4790" s="6" t="str">
        <f>IFERROR(__xludf.DUMMYFUNCTION("GOOGLETRANSLATE(A4790,""en"",""fi"")"),"GROVYLEn ruumiista kasvavat lehdet ovat käteviä sen naamiointiin vihollisilta metsässä. Tämä POKéMON on mestari kiipeilemään puissa viidakoissa.")</f>
        <v>GROVYLEn ruumiista kasvavat lehdet ovat käteviä sen naamiointiin vihollisilta metsässä. Tämä POKéMON on mestari kiipeilemään puissa viidakoissa.</v>
      </c>
      <c r="C4790" s="9" t="s">
        <v>1344</v>
      </c>
    </row>
    <row r="4791" ht="33.75" customHeight="1">
      <c r="A4791" s="6" t="s">
        <v>7015</v>
      </c>
      <c r="B4791" s="6" t="str">
        <f>IFERROR(__xludf.DUMMYFUNCTION("GOOGLETRANSLATE(A4791,""en"",""fi"")"),"Tämä POKéMON lentää taitavasti puissa oksalta oksalle. Metsässä yksikään POKéMON ei voi koskaan toivoa saavansa kiinni pakenevaa GROVYLEa, olipa se kuinka nopea tahansa.")</f>
        <v>Tämä POKéMON lentää taitavasti puissa oksalta oksalle. Metsässä yksikään POKéMON ei voi koskaan toivoa saavansa kiinni pakenevaa GROVYLEa, olipa se kuinka nopea tahansa.</v>
      </c>
      <c r="C4791" s="9" t="s">
        <v>1344</v>
      </c>
    </row>
    <row r="4792" ht="33.75" customHeight="1">
      <c r="A4792" s="6" t="s">
        <v>7016</v>
      </c>
      <c r="B4792" s="6" t="str">
        <f>IFERROR(__xludf.DUMMYFUNCTION("GOOGLETRANSLATE(A4792,""en"",""fi"")"),"Lehdet kasvavat tämän POKéMONin ruumiista. Ne auttavat peittämään GROVYLEn vihollisten katseilta sen ollessa tiheässä, umpeenkasvaneessa metsässä.")</f>
        <v>Lehdet kasvavat tämän POKéMONin ruumiista. Ne auttavat peittämään GROVYLEn vihollisten katseilta sen ollessa tiheässä, umpeenkasvaneessa metsässä.</v>
      </c>
      <c r="C4792" s="9" t="s">
        <v>1344</v>
      </c>
    </row>
    <row r="4793" ht="33.75" customHeight="1">
      <c r="A4793" s="6" t="s">
        <v>7017</v>
      </c>
      <c r="B4793" s="6" t="str">
        <f>IFERROR(__xludf.DUMMYFUNCTION("GOOGLETRANSLATE(A4793,""en"",""fi"")"),"Sen vahvasti kehittyneet reisilihakset antavat sille hämmästyttävän ketteryyden ja hyppytehon.")</f>
        <v>Sen vahvasti kehittyneet reisilihakset antavat sille hämmästyttävän ketteryyden ja hyppytehon.</v>
      </c>
      <c r="C4793" s="9" t="s">
        <v>1344</v>
      </c>
    </row>
    <row r="4794" ht="33.75" customHeight="1">
      <c r="A4794" s="6" t="s">
        <v>7018</v>
      </c>
      <c r="B4794" s="6" t="str">
        <f>IFERROR(__xludf.DUMMYFUNCTION("GOOGLETRANSLATE(A4794,""en"",""fi"")"),"Se elää tiheissä viidakoissa. Lähestyessään saalistaan ​​se hyppii oksalta oksalle.")</f>
        <v>Se elää tiheissä viidakoissa. Lähestyessään saalistaan ​​se hyppii oksalta oksalle.</v>
      </c>
      <c r="C4794" s="9" t="s">
        <v>1344</v>
      </c>
    </row>
    <row r="4795" ht="33.75" customHeight="1">
      <c r="A4795" s="6" t="s">
        <v>7019</v>
      </c>
      <c r="B4795" s="6" t="str">
        <f>IFERROR(__xludf.DUMMYFUNCTION("GOOGLETRANSLATE(A4795,""en"",""fi"")"),"Se hyppää puun oksalta toiselle melko nopeasti. Se osoittaa hämmästyttävää ketteryyttä.")</f>
        <v>Se hyppää puun oksalta toiselle melko nopeasti. Se osoittaa hämmästyttävää ketteryyttä.</v>
      </c>
      <c r="C4795" s="9" t="s">
        <v>1344</v>
      </c>
    </row>
    <row r="4796" ht="33.75" customHeight="1">
      <c r="A4796" s="6" t="s">
        <v>7020</v>
      </c>
      <c r="B4796" s="6" t="str">
        <f>IFERROR(__xludf.DUMMYFUNCTION("GOOGLETRANSLATE(A4796,""en"",""fi"")"),"Grovylen ruumiista kasvavat lehdet ovat käteviä sen naamioimiseen vihollisilta metsässä. Tämä Pokémon on mestari kiipeilemään puissa viidakoissa.")</f>
        <v>Grovylen ruumiista kasvavat lehdet ovat käteviä sen naamioimiseen vihollisilta metsässä. Tämä Pokémon on mestari kiipeilemään puissa viidakoissa.</v>
      </c>
      <c r="C4796" s="9" t="s">
        <v>1344</v>
      </c>
    </row>
    <row r="4797" ht="33.75" customHeight="1">
      <c r="A4797" s="6" t="s">
        <v>7021</v>
      </c>
      <c r="B4797" s="6" t="str">
        <f>IFERROR(__xludf.DUMMYFUNCTION("GOOGLETRANSLATE(A4797,""en"",""fi"")"),"Tämä Pokémon lentää taitavasti puissa oksalta oksalle. Metsässä yksikään Pokémon ei voi koskaan toivoa saavansa kiinni pakenevaa Grovylea, olipa se kuinka nopea tahansa.")</f>
        <v>Tämä Pokémon lentää taitavasti puissa oksalta oksalle. Metsässä yksikään Pokémon ei voi koskaan toivoa saavansa kiinni pakenevaa Grovylea, olipa se kuinka nopea tahansa.</v>
      </c>
      <c r="C4797" s="9" t="s">
        <v>1344</v>
      </c>
    </row>
    <row r="4798" ht="33.75" customHeight="1">
      <c r="A4798" s="6" t="s">
        <v>7022</v>
      </c>
      <c r="B4798" s="6" t="str">
        <f>IFERROR(__xludf.DUMMYFUNCTION("GOOGLETRANSLATE(A4798,""en"",""fi"")"),"SCEPTILEn kehossa kasvavat lehdet ovat erittäin teräväreunaiset. Tämä POKéMON on erittäin ketterä – se hyppii puiden oksilla ja vihollisensa päälle ylhäältä tai takaa.")</f>
        <v>SCEPTILEn kehossa kasvavat lehdet ovat erittäin teräväreunaiset. Tämä POKéMON on erittäin ketterä – se hyppii puiden oksilla ja vihollisensa päälle ylhäältä tai takaa.</v>
      </c>
      <c r="C4798" s="9" t="s">
        <v>1344</v>
      </c>
    </row>
    <row r="4799" ht="33.75" customHeight="1">
      <c r="A4799" s="6" t="s">
        <v>7023</v>
      </c>
      <c r="B4799" s="6" t="str">
        <f>IFERROR(__xludf.DUMMYFUNCTION("GOOGLETRANSLATE(A4799,""en"",""fi"")"),"SCEPTILEn selässä kasvaa siemeniä. Niiden sanotaan olevan täynnä ravinteita, jotka elvyttävät puita. Tämä POKéMON kasvattaa puita metsässä rakastavalla huolenpidolla.")</f>
        <v>SCEPTILEn selässä kasvaa siemeniä. Niiden sanotaan olevan täynnä ravinteita, jotka elvyttävät puita. Tämä POKéMON kasvattaa puita metsässä rakastavalla huolenpidolla.</v>
      </c>
      <c r="C4799" s="9" t="s">
        <v>1344</v>
      </c>
    </row>
    <row r="4800" ht="33.75" customHeight="1">
      <c r="A4800" s="6" t="s">
        <v>7024</v>
      </c>
      <c r="B4800" s="6" t="str">
        <f>IFERROR(__xludf.DUMMYFUNCTION("GOOGLETRANSLATE(A4800,""en"",""fi"")"),"Viidakossa sen voima on vertaansa vailla. Tämä POKéMON kasvattaa puita ja kasveja huolellisesti. Se säätelee ruumiinlämpöään paistattelemalla auringonvalossa.")</f>
        <v>Viidakossa sen voima on vertaansa vailla. Tämä POKéMON kasvattaa puita ja kasveja huolellisesti. Se säätelee ruumiinlämpöään paistattelemalla auringonvalossa.</v>
      </c>
      <c r="C4800" s="9" t="s">
        <v>1344</v>
      </c>
    </row>
    <row r="4801" ht="33.75" customHeight="1">
      <c r="A4801" s="6" t="s">
        <v>7025</v>
      </c>
      <c r="B4801" s="6" t="str">
        <f>IFERROR(__xludf.DUMMYFUNCTION("GOOGLETRANSLATE(A4801,""en"",""fi"")"),"Sen eturaajojen lehdet ovat terävät kuin miekat. Se hyppii ketterästi puiden oksilla iskeäkseen.")</f>
        <v>Sen eturaajojen lehdet ovat terävät kuin miekat. Se hyppii ketterästi puiden oksilla iskeäkseen.</v>
      </c>
      <c r="C4801" s="9" t="s">
        <v>1344</v>
      </c>
    </row>
    <row r="4802" ht="33.75" customHeight="1">
      <c r="A4802" s="6" t="s">
        <v>7027</v>
      </c>
      <c r="B4802" s="6" t="str">
        <f>IFERROR(__xludf.DUMMYFUNCTION("GOOGLETRANSLATE(A4802,""en"",""fi"")"),"Sen käsivarsissa kasvavat lehdet voivat kaataa paksuja puita. Sillä ei ole vertaistaan ​​viidakkotaisteluissa.")</f>
        <v>Sen käsivarsissa kasvavat lehdet voivat kaataa paksuja puita. Sillä ei ole vertaistaan ​​viidakkotaisteluissa.</v>
      </c>
      <c r="C4802" s="9" t="s">
        <v>1344</v>
      </c>
    </row>
    <row r="4803" ht="33.75" customHeight="1">
      <c r="A4803" s="6" t="s">
        <v>7028</v>
      </c>
      <c r="B4803" s="6" t="str">
        <f>IFERROR(__xludf.DUMMYFUNCTION("GOOGLETRANSLATE(A4803,""en"",""fi"")"),"Se hyppii ketterästi viidakossa ja käyttää käsivarsiensa teräviä lehtiä iskeäkseen saaliiseensa.")</f>
        <v>Se hyppii ketterästi viidakossa ja käyttää käsivarsiensa teräviä lehtiä iskeäkseen saaliiseensa.</v>
      </c>
      <c r="C4803" s="9" t="s">
        <v>1344</v>
      </c>
    </row>
    <row r="4804" ht="33.75" customHeight="1">
      <c r="A4804" s="6" t="s">
        <v>7029</v>
      </c>
      <c r="B4804" s="6" t="str">
        <f>IFERROR(__xludf.DUMMYFUNCTION("GOOGLETRANSLATE(A4804,""en"",""fi"")"),"Sceptilen ruumiissa kasvavat lehdet ovat hyvin teräväreunaisia. Tämä Pokémon on erittäin ketterä – se hyppii puiden oksilla ja vihollisensa päälle ylhäältä tai takaa.")</f>
        <v>Sceptilen ruumiissa kasvavat lehdet ovat hyvin teräväreunaisia. Tämä Pokémon on erittäin ketterä – se hyppii puiden oksilla ja vihollisensa päälle ylhäältä tai takaa.</v>
      </c>
      <c r="C4804" s="9" t="s">
        <v>1344</v>
      </c>
    </row>
    <row r="4805" ht="33.75" customHeight="1">
      <c r="A4805" s="6" t="s">
        <v>7031</v>
      </c>
      <c r="B4805" s="6" t="str">
        <f>IFERROR(__xludf.DUMMYFUNCTION("GOOGLETRANSLATE(A4805,""en"",""fi"")"),"Sceptilen selässä kasvaa siemeniä. Niiden sanotaan olevan täynnä ravinteita, jotka elvyttävät puita. Tämä Pokémon kasvattaa puita metsässä rakastavalla huolenpidolla.")</f>
        <v>Sceptilen selässä kasvaa siemeniä. Niiden sanotaan olevan täynnä ravinteita, jotka elvyttävät puita. Tämä Pokémon kasvattaa puita metsässä rakastavalla huolenpidolla.</v>
      </c>
      <c r="C4805" s="9" t="s">
        <v>1344</v>
      </c>
    </row>
    <row r="4806" ht="33.75" customHeight="1">
      <c r="A4806" s="6" t="s">
        <v>7033</v>
      </c>
      <c r="B4806" s="6" t="str">
        <f>IFERROR(__xludf.DUMMYFUNCTION("GOOGLETRANSLATE(A4806,""en"",""fi"")"),"TORCHIC pysyy KOULUTTAJANSA mukana ja seuraa perässä horjuvin askelin. Tämä POKéMON hengittää yli 800 celsiusasteen tulta, mukaan lukien tulipalloja, jotka polttavat vihollisen mustaksi.")</f>
        <v>TORCHIC pysyy KOULUTTAJANSA mukana ja seuraa perässä horjuvin askelin. Tämä POKéMON hengittää yli 800 celsiusasteen tulta, mukaan lukien tulipalloja, jotka polttavat vihollisen mustaksi.</v>
      </c>
      <c r="C4806" s="9" t="s">
        <v>1344</v>
      </c>
    </row>
    <row r="4807" ht="33.75" customHeight="1">
      <c r="A4807" s="6" t="s">
        <v>7035</v>
      </c>
      <c r="B4807" s="6" t="str">
        <f>IFERROR(__xludf.DUMMYFUNCTION("GOOGLETRANSLATE(A4807,""en"",""fi"")"),"TORCHICilla on kehossaan paikka, jossa se pitää liekkinsä. Halaa sitä – se hehkuu lämmöstä. Tämä POKéMON on kauttaaltaan peittynyt pörröiseen untuvapeitteeseen.")</f>
        <v>TORCHICilla on kehossaan paikka, jossa se pitää liekkinsä. Halaa sitä – se hehkuu lämmöstä. Tämä POKéMON on kauttaaltaan peittynyt pörröiseen untuvapeitteeseen.</v>
      </c>
      <c r="C4807" s="9" t="s">
        <v>1344</v>
      </c>
    </row>
    <row r="4808" ht="33.75" customHeight="1">
      <c r="A4808" s="6" t="s">
        <v>7037</v>
      </c>
      <c r="B4808" s="6" t="str">
        <f>IFERROR(__xludf.DUMMYFUNCTION("GOOGLETRANSLATE(A4808,""en"",""fi"")"),"Jos sitä hyökätään, se iskee takaisin sylkemällä vatsaansa muodostamiaan tulipalloja. TORCHIC ei pidä pimeydestä, koska se ei näe ympäristöään.")</f>
        <v>Jos sitä hyökätään, se iskee takaisin sylkemällä vatsaansa muodostamiaan tulipalloja. TORCHIC ei pidä pimeydestä, koska se ei näe ympäristöään.</v>
      </c>
      <c r="C4808" s="9" t="s">
        <v>1344</v>
      </c>
    </row>
    <row r="4809" ht="33.75" customHeight="1">
      <c r="A4809" s="6" t="s">
        <v>7038</v>
      </c>
      <c r="B4809" s="6" t="str">
        <f>IFERROR(__xludf.DUMMYFUNCTION("GOOGLETRANSLATE(A4809,""en"",""fi"")"),"Sen vatsassa on liekkipussi, joka palaa jatkuvasti. Se tuntuu lämpimältä, jos sitä halaa.")</f>
        <v>Sen vatsassa on liekkipussi, joka palaa jatkuvasti. Se tuntuu lämpimältä, jos sitä halaa.</v>
      </c>
      <c r="C4809" s="9" t="s">
        <v>1344</v>
      </c>
    </row>
    <row r="4810" ht="33.75" customHeight="1">
      <c r="A4810" s="6" t="s">
        <v>7040</v>
      </c>
      <c r="B4810" s="6" t="str">
        <f>IFERROR(__xludf.DUMMYFUNCTION("GOOGLETRANSLATE(A4810,""en"",""fi"")"),"Sisällä palaa tuli, joten se tuntuu erittäin lämpimältä halata. Se laukaisee 800 celsiusasteen tulipalloja.")</f>
        <v>Sisällä palaa tuli, joten se tuntuu erittäin lämpimältä halata. Se laukaisee 800 celsiusasteen tulipalloja.</v>
      </c>
      <c r="C4810" s="9" t="s">
        <v>1344</v>
      </c>
    </row>
    <row r="4811" ht="33.75" customHeight="1">
      <c r="A4811" s="6" t="s">
        <v>7041</v>
      </c>
      <c r="B4811" s="6" t="str">
        <f>IFERROR(__xludf.DUMMYFUNCTION("GOOGLETRANSLATE(A4811,""en"",""fi"")"),"Sen ruumiin sisällä on paikka, jossa se pitää pientä liekkiä. Halaa sitä! Se on yhtä lämmin kuin kuumavesipullo.")</f>
        <v>Sen ruumiin sisällä on paikka, jossa se pitää pientä liekkiä. Halaa sitä! Se on yhtä lämmin kuin kuumavesipullo.</v>
      </c>
      <c r="C4811" s="9" t="s">
        <v>1344</v>
      </c>
    </row>
    <row r="4812" ht="33.75" customHeight="1">
      <c r="A4812" s="6" t="s">
        <v>7043</v>
      </c>
      <c r="B4812" s="6" t="str">
        <f>IFERROR(__xludf.DUMMYFUNCTION("GOOGLETRANSLATE(A4812,""en"",""fi"")"),"Sisällä palaa tuli, joten se tuntuu erittäin lämpimältä halata. Se laukaisee 800 celsiusasteen tulipalloja.")</f>
        <v>Sisällä palaa tuli, joten se tuntuu erittäin lämpimältä halata. Se laukaisee 800 celsiusasteen tulipalloja.</v>
      </c>
      <c r="C4812" s="9" t="s">
        <v>1344</v>
      </c>
    </row>
    <row r="4813" ht="33.75" customHeight="1">
      <c r="A4813" s="6" t="s">
        <v>7045</v>
      </c>
      <c r="B4813" s="6" t="str">
        <f>IFERROR(__xludf.DUMMYFUNCTION("GOOGLETRANSLATE(A4813,""en"",""fi"")"),"Torchic pysyy kouluttajansa mukana ja seuraa tätä horjuvin askelin. Tämä Pokémon hengittää yli 800 celsiusasteen tulta, mukaan lukien tulipalloja, jotka polttavat vihollisen mustaksi.")</f>
        <v>Torchic pysyy kouluttajansa mukana ja seuraa tätä horjuvin askelin. Tämä Pokémon hengittää yli 800 celsiusasteen tulta, mukaan lukien tulipalloja, jotka polttavat vihollisen mustaksi.</v>
      </c>
      <c r="C4813" s="9" t="s">
        <v>1344</v>
      </c>
    </row>
    <row r="4814" ht="33.75" customHeight="1">
      <c r="A4814" s="6" t="s">
        <v>7048</v>
      </c>
      <c r="B4814" s="6" t="str">
        <f>IFERROR(__xludf.DUMMYFUNCTION("GOOGLETRANSLATE(A4814,""en"",""fi"")"),"Torchicilla on kehossaan paikka, jossa se pitää liekkinsä. Halaa sitä – se hehkuu lämmöstä. Tämä Pokémon on kauttaaltaan peittynyt pörröiseen untuvapeitteeseen.")</f>
        <v>Torchicilla on kehossaan paikka, jossa se pitää liekkinsä. Halaa sitä – se hehkuu lämmöstä. Tämä Pokémon on kauttaaltaan peittynyt pörröiseen untuvapeitteeseen.</v>
      </c>
      <c r="C4814" s="9" t="s">
        <v>1344</v>
      </c>
    </row>
    <row r="4815" ht="33.75" customHeight="1">
      <c r="A4815" s="6" t="s">
        <v>7050</v>
      </c>
      <c r="B4815" s="6" t="str">
        <f>IFERROR(__xludf.DUMMYFUNCTION("GOOGLETRANSLATE(A4815,""en"",""fi"")"),"COMBUSKEN vahvistaa jalkojaan ja reisiään juoksemalla peltojen ja vuorten halki. Tämän POKéMONin jalat ovat sekä nopeita että voimakkaita, minkä ansiosta se pystyy antamaan kymmenen potkua sekunnissa.")</f>
        <v>COMBUSKEN vahvistaa jalkojaan ja reisiään juoksemalla peltojen ja vuorten halki. Tämän POKéMONin jalat ovat sekä nopeita että voimakkaita, minkä ansiosta se pystyy antamaan kymmenen potkua sekunnissa.</v>
      </c>
      <c r="C4815" s="9" t="s">
        <v>1344</v>
      </c>
    </row>
    <row r="4816" ht="33.75" customHeight="1">
      <c r="A4816" s="6" t="s">
        <v>7051</v>
      </c>
      <c r="B4816" s="6" t="str">
        <f>IFERROR(__xludf.DUMMYFUNCTION("GOOGLETRANSLATE(A4816,""en"",""fi"")"),"COMBUSKEN taistelee nokastaan ​​sylkemiään kuumia liekkejä ja poikkeuksellisen tuhoisia potkuja vastaan. Tämän POKéMONin huuto on erittäin kova ja häiritsevä.")</f>
        <v>COMBUSKEN taistelee nokastaan ​​sylkemiään kuumia liekkejä ja poikkeuksellisen tuhoisia potkuja vastaan. Tämän POKéMONin huuto on erittäin kova ja häiritsevä.</v>
      </c>
      <c r="C4816" s="9" t="s">
        <v>1344</v>
      </c>
    </row>
    <row r="4817" ht="33.75" customHeight="1">
      <c r="A4817" s="6" t="s">
        <v>7054</v>
      </c>
      <c r="B4817" s="6" t="str">
        <f>IFERROR(__xludf.DUMMYFUNCTION("GOOGLETRANSLATE(A4817,""en"",""fi"")"),"Se iskee 10 potkua sekunnissa. Sen vahva taisteluvaisto pakottaa sen jatkamaan hyökkäystään, kunnes vastustaja luovuttaa.")</f>
        <v>Se iskee 10 potkua sekunnissa. Sen vahva taisteluvaisto pakottaa sen jatkamaan hyökkäystään, kunnes vastustaja luovuttaa.</v>
      </c>
      <c r="C4817" s="9" t="s">
        <v>1344</v>
      </c>
    </row>
    <row r="4818" ht="33.75" customHeight="1">
      <c r="A4818" s="6" t="s">
        <v>7056</v>
      </c>
      <c r="B4818" s="6" t="str">
        <f>IFERROR(__xludf.DUMMYFUNCTION("GOOGLETRANSLATE(A4818,""en"",""fi"")"),"Se tehostaa keskittymiskykyään päästämällä karkeita huutoja. Sen potkuilla on huomattava tuhovoima.")</f>
        <v>Se tehostaa keskittymiskykyään päästämällä karkeita huutoja. Sen potkuilla on huomattava tuhovoima.</v>
      </c>
      <c r="C4818" s="9" t="s">
        <v>1344</v>
      </c>
    </row>
    <row r="4819" ht="33.75" customHeight="1">
      <c r="A4819" s="6" t="s">
        <v>7057</v>
      </c>
      <c r="B4819" s="6" t="str">
        <f>IFERROR(__xludf.DUMMYFUNCTION("GOOGLETRANSLATE(A4819,""en"",""fi"")"),"Sen potkutaito antaa sille 10 potkua sekunnissa. Se päästää teräviä huutoja pelotellakseen vihollisia.")</f>
        <v>Sen potkutaito antaa sille 10 potkua sekunnissa. Se päästää teräviä huutoja pelotellakseen vihollisia.</v>
      </c>
      <c r="C4819" s="9" t="s">
        <v>1344</v>
      </c>
    </row>
    <row r="4820" ht="33.75" customHeight="1">
      <c r="A4820" s="6" t="s">
        <v>7058</v>
      </c>
      <c r="B4820" s="6" t="str">
        <f>IFERROR(__xludf.DUMMYFUNCTION("GOOGLETRANSLATE(A4820,""en"",""fi"")"),"Taistelun aikana sen ruumiin kuuma liekki voimistuu. Sen potkuilla on huomattava tuhovoima.")</f>
        <v>Taistelun aikana sen ruumiin kuuma liekki voimistuu. Sen potkuilla on huomattava tuhovoima.</v>
      </c>
      <c r="C4820" s="9" t="s">
        <v>1344</v>
      </c>
    </row>
    <row r="4821" ht="33.75" customHeight="1">
      <c r="A4821" s="6" t="s">
        <v>7060</v>
      </c>
      <c r="B4821" s="6" t="str">
        <f>IFERROR(__xludf.DUMMYFUNCTION("GOOGLETRANSLATE(A4821,""en"",""fi"")"),"Combusken vahvistaa jalkojaan ja reisiään juoksemalla peltojen ja vuorten halki. Tämän Pokémonin jalat ovat sekä nopeita että voimakkaita, minkä ansiosta se pystyy antamaan 10 potkua sekunnissa.")</f>
        <v>Combusken vahvistaa jalkojaan ja reisiään juoksemalla peltojen ja vuorten halki. Tämän Pokémonin jalat ovat sekä nopeita että voimakkaita, minkä ansiosta se pystyy antamaan 10 potkua sekunnissa.</v>
      </c>
      <c r="C4821" s="9" t="s">
        <v>1344</v>
      </c>
    </row>
    <row r="4822" ht="33.75" customHeight="1">
      <c r="A4822" s="6" t="s">
        <v>7061</v>
      </c>
      <c r="B4822" s="6" t="str">
        <f>IFERROR(__xludf.DUMMYFUNCTION("GOOGLETRANSLATE(A4822,""en"",""fi"")"),"Combusken taistelee nokastaan ​​sylkemiään kuumia liekkejä ja poikkeuksellisen tuhoisia potkuja vastaan. Tämän Pokémonin huuto on erittäin kova ja häiritsevä.")</f>
        <v>Combusken taistelee nokastaan ​​sylkemiään kuumia liekkejä ja poikkeuksellisen tuhoisia potkuja vastaan. Tämän Pokémonin huuto on erittäin kova ja häiritsevä.</v>
      </c>
      <c r="C4822" s="9" t="s">
        <v>1344</v>
      </c>
    </row>
    <row r="4823" ht="33.75" customHeight="1">
      <c r="A4823" s="6" t="s">
        <v>7063</v>
      </c>
      <c r="B4823" s="6" t="str">
        <f>IFERROR(__xludf.DUMMYFUNCTION("GOOGLETRANSLATE(A4823,""en"",""fi"")"),"Taistelussa BLAZIKEN puhaltaa ranteistaan ​​voimakkaita liekkejä ja hyökkää vihollisten kimppuun rohkeasti. Mitä vahvempi vihollinen, sitä voimakkaammin tämän POKéMONin ranteet polttavat.")</f>
        <v>Taistelussa BLAZIKEN puhaltaa ranteistaan ​​voimakkaita liekkejä ja hyökkää vihollisten kimppuun rohkeasti. Mitä vahvempi vihollinen, sitä voimakkaammin tämän POKéMONin ranteet polttavat.</v>
      </c>
      <c r="C4823" s="9" t="s">
        <v>1344</v>
      </c>
    </row>
    <row r="4824" ht="33.75" customHeight="1">
      <c r="A4824" s="6" t="s">
        <v>7064</v>
      </c>
      <c r="B4824" s="6" t="str">
        <f>IFERROR(__xludf.DUMMYFUNCTION("GOOGLETRANSLATE(A4824,""en"",""fi"")"),"BLAZIKENillä on uskomattoman vahvat jalat – se voi helposti raivata 30-kerroksisen rakennuksen yhdellä loikalla. Tämän POKéMONin raivokkaat iskut jättävät sen viholliset poltetuiksi ja mustuneiksi.")</f>
        <v>BLAZIKENillä on uskomattoman vahvat jalat – se voi helposti raivata 30-kerroksisen rakennuksen yhdellä loikalla. Tämän POKéMONin raivokkaat iskut jättävät sen viholliset poltetuiksi ja mustuneiksi.</v>
      </c>
      <c r="C4824" s="9" t="s">
        <v>1344</v>
      </c>
    </row>
    <row r="4825" ht="33.75" customHeight="1">
      <c r="A4825" s="6" t="s">
        <v>7066</v>
      </c>
      <c r="B4825" s="6" t="str">
        <f>IFERROR(__xludf.DUMMYFUNCTION("GOOGLETRANSLATE(A4825,""en"",""fi"")"),"Se oppii kamppailulajeja, joissa käytetään lyöntejä ja potkuja. Muutaman vuoden välein sen vanhat höyhenet palavat pois, ja tilalle kasvaa uusia, notkeita höyheniä.")</f>
        <v>Se oppii kamppailulajeja, joissa käytetään lyöntejä ja potkuja. Muutaman vuoden välein sen vanhat höyhenet palavat pois, ja tilalle kasvaa uusia, notkeita höyheniä.</v>
      </c>
      <c r="C4825" s="9" t="s">
        <v>1344</v>
      </c>
    </row>
    <row r="4826" ht="33.75" customHeight="1">
      <c r="A4826" s="6" t="s">
        <v>7068</v>
      </c>
      <c r="B4826" s="6" t="str">
        <f>IFERROR(__xludf.DUMMYFUNCTION("GOOGLETRANSLATE(A4826,""en"",""fi"")"),"Kohdatessaan kovan vihollisen se päästää liekkejä ranteistaan. Sen voimakkaat jalat antavat sen hypätä rakennusten yli.")</f>
        <v>Kohdatessaan kovan vihollisen se päästää liekkejä ranteistaan. Sen voimakkaat jalat antavat sen hypätä rakennusten yli.</v>
      </c>
      <c r="C4826" s="9" t="s">
        <v>1344</v>
      </c>
    </row>
    <row r="4827" ht="33.75" customHeight="1">
      <c r="A4827" s="6" t="s">
        <v>7069</v>
      </c>
      <c r="B4827" s="6" t="str">
        <f>IFERROR(__xludf.DUMMYFUNCTION("GOOGLETRANSLATE(A4827,""en"",""fi"")"),"Liekit purkautuvat sen ranteista ja peittävät sen rystyset. Sen lyönnit polttavat sen vihollisia.")</f>
        <v>Liekit purkautuvat sen ranteista ja peittävät sen rystyset. Sen lyönnit polttavat sen vihollisia.</v>
      </c>
      <c r="C4827" s="9" t="s">
        <v>1344</v>
      </c>
    </row>
    <row r="4828" ht="33.75" customHeight="1">
      <c r="A4828" s="6" t="s">
        <v>7070</v>
      </c>
      <c r="B4828" s="6" t="str">
        <f>IFERROR(__xludf.DUMMYFUNCTION("GOOGLETRANSLATE(A4828,""en"",""fi"")"),"Se voi raivata 30-kerroksisen rakennuksen yhdellä loikalla. Sen tulisia iskuja polttaa viholliset.")</f>
        <v>Se voi raivata 30-kerroksisen rakennuksen yhdellä loikalla. Sen tulisia iskuja polttaa viholliset.</v>
      </c>
      <c r="C4828" s="9" t="s">
        <v>1344</v>
      </c>
    </row>
    <row r="4829" ht="33.75" customHeight="1">
      <c r="A4829" s="6" t="s">
        <v>7072</v>
      </c>
      <c r="B4829" s="6" t="str">
        <f>IFERROR(__xludf.DUMMYFUNCTION("GOOGLETRANSLATE(A4829,""en"",""fi"")"),"Taistelussa Blaziken puhaltaa voimakkaita liekkejä ranteistaan ​​ja hyökkää vihollisten kimppuun rohkeasti. Mitä vahvempi vihollinen, sitä voimakkaammin tämän Pokémonin ranteet polttavat.")</f>
        <v>Taistelussa Blaziken puhaltaa voimakkaita liekkejä ranteistaan ​​ja hyökkää vihollisten kimppuun rohkeasti. Mitä vahvempi vihollinen, sitä voimakkaammin tämän Pokémonin ranteet polttavat.</v>
      </c>
      <c r="C4829" s="9" t="s">
        <v>1344</v>
      </c>
    </row>
    <row r="4830" ht="33.75" customHeight="1">
      <c r="A4830" s="6" t="s">
        <v>7073</v>
      </c>
      <c r="B4830" s="6" t="str">
        <f>IFERROR(__xludf.DUMMYFUNCTION("GOOGLETRANSLATE(A4830,""en"",""fi"")"),"Blazikenilla on uskomattoman vahvat jalat – se voi helposti raivata 30-kerroksisen rakennuksen yhdellä loikalla. Tämän Pokémonin tulisieluiset iskut polttavat ja mustuvat vihollisiin.")</f>
        <v>Blazikenilla on uskomattoman vahvat jalat – se voi helposti raivata 30-kerroksisen rakennuksen yhdellä loikalla. Tämän Pokémonin tulisieluiset iskut polttavat ja mustuvat vihollisiin.</v>
      </c>
      <c r="C4830" s="9" t="s">
        <v>1344</v>
      </c>
    </row>
    <row r="4831" ht="33.75" customHeight="1">
      <c r="A4831" s="6" t="s">
        <v>7075</v>
      </c>
      <c r="B4831" s="6" t="str">
        <f>IFERROR(__xludf.DUMMYFUNCTION("GOOGLETRANSLATE(A4831,""en"",""fi"")"),"MUDKIPin päässä oleva evä toimii erittäin herkkänä tutkana. Käyttämällä evää veden ja ilman liikkeiden havaitsemiseen tämä POKéMON voi määrittää ympärillään tapahtuvaa ilman silmiään.")</f>
        <v>MUDKIPin päässä oleva evä toimii erittäin herkkänä tutkana. Käyttämällä evää veden ja ilman liikkeiden havaitsemiseen tämä POKéMON voi määrittää ympärillään tapahtuvaa ilman silmiään.</v>
      </c>
      <c r="C4831" s="9" t="s">
        <v>1344</v>
      </c>
    </row>
    <row r="4832" ht="33.75" customHeight="1">
      <c r="A4832" s="6" t="s">
        <v>7078</v>
      </c>
      <c r="B4832" s="6" t="str">
        <f>IFERROR(__xludf.DUMMYFUNCTION("GOOGLETRANSLATE(A4832,""en"",""fi"")"),"Vedessä MUDKIP hengittää poskissaan olevien kidusten avulla. Jos se kohtaa tiukan taistelutilanteen, tämä POKéMON vapauttaa uskomattoman voimansa – se voi murskata itseään suurempia kiviä.")</f>
        <v>Vedessä MUDKIP hengittää poskissaan olevien kidusten avulla. Jos se kohtaa tiukan taistelutilanteen, tämä POKéMON vapauttaa uskomattoman voimansa – se voi murskata itseään suurempia kiviä.</v>
      </c>
      <c r="C4832" s="9" t="s">
        <v>1344</v>
      </c>
    </row>
    <row r="4833" ht="33.75" customHeight="1">
      <c r="A4833" s="6" t="s">
        <v>7079</v>
      </c>
      <c r="B4833" s="6" t="str">
        <f>IFERROR(__xludf.DUMMYFUNCTION("GOOGLETRANSLATE(A4833,""en"",""fi"")"),"Maalla se voi nostaa voimakkaasti suuria lohkareita istuutumalla neljälle jalalleen ja hyppimällä. Se nukkuu hautautumalla maahan veden reunalla.")</f>
        <v>Maalla se voi nostaa voimakkaasti suuria lohkareita istuutumalla neljälle jalalleen ja hyppimällä. Se nukkuu hautautumalla maahan veden reunalla.</v>
      </c>
      <c r="C4833" s="9" t="s">
        <v>1344</v>
      </c>
    </row>
    <row r="4834" ht="33.75" customHeight="1">
      <c r="A4834" s="6" t="s">
        <v>7080</v>
      </c>
      <c r="B4834" s="6" t="str">
        <f>IFERROR(__xludf.DUMMYFUNCTION("GOOGLETRANSLATE(A4834,""en"",""fi"")"),"Sen suuri pyrstöevä kuljettaa sitä vedessä voimakkaalla kiihtyvyydellä. Se on vahva koostaan ​​huolimatta.")</f>
        <v>Sen suuri pyrstöevä kuljettaa sitä vedessä voimakkaalla kiihtyvyydellä. Se on vahva koostaan ​​huolimatta.</v>
      </c>
      <c r="C4834" s="9" t="s">
        <v>1344</v>
      </c>
    </row>
    <row r="4835" ht="33.75" customHeight="1">
      <c r="A4835" s="6" t="s">
        <v>7082</v>
      </c>
      <c r="B4835" s="6" t="str">
        <f>IFERROR(__xludf.DUMMYFUNCTION("GOOGLETRANSLATE(A4835,""en"",""fi"")"),"Sen hälyttämiseksi sen päässä oleva evä aistii veden virtauksen. Sillä on voimaa nostaa lohkareita.")</f>
        <v>Sen hälyttämiseksi sen päässä oleva evä aistii veden virtauksen. Sillä on voimaa nostaa lohkareita.</v>
      </c>
      <c r="C4835" s="9" t="s">
        <v>1344</v>
      </c>
    </row>
    <row r="4836" ht="33.75" customHeight="1">
      <c r="A4836" s="6" t="s">
        <v>7083</v>
      </c>
      <c r="B4836" s="6" t="str">
        <f>IFERROR(__xludf.DUMMYFUNCTION("GOOGLETRANSLATE(A4836,""en"",""fi"")"),"Sen voima voi murskata lohkareita. Se lepää peittämällä itsensä mudalla joen pohjassa.")</f>
        <v>Sen voima voi murskata lohkareita. Se lepää peittämällä itsensä mudalla joen pohjassa.</v>
      </c>
      <c r="C4836" s="9" t="s">
        <v>1344</v>
      </c>
    </row>
    <row r="4837" ht="33.75" customHeight="1">
      <c r="A4837" s="6" t="s">
        <v>7084</v>
      </c>
      <c r="B4837" s="6" t="str">
        <f>IFERROR(__xludf.DUMMYFUNCTION("GOOGLETRANSLATE(A4837,""en"",""fi"")"),"Mudkipin päässä oleva evä toimii erittäin herkkänä tutkana. Käyttämällä evää veden ja ilman liikkeiden havaitsemiseen tämä Pokémon voi määrittää ympärillään tapahtuvan ilman silmiään.")</f>
        <v>Mudkipin päässä oleva evä toimii erittäin herkkänä tutkana. Käyttämällä evää veden ja ilman liikkeiden havaitsemiseen tämä Pokémon voi määrittää ympärillään tapahtuvan ilman silmiään.</v>
      </c>
      <c r="C4837" s="9" t="s">
        <v>1344</v>
      </c>
    </row>
    <row r="4838" ht="33.75" customHeight="1">
      <c r="A4838" s="6" t="s">
        <v>7086</v>
      </c>
      <c r="B4838" s="6" t="str">
        <f>IFERROR(__xludf.DUMMYFUNCTION("GOOGLETRANSLATE(A4838,""en"",""fi"")"),"Vedessä Mudkip hengittää poskissaan olevien kidusten avulla. Jos se kohtaa tiukan taistelutilanteen, tämä Pokémon vapauttaa uskomattoman voimansa – se voi murskata itseään suurempia kiviä.")</f>
        <v>Vedessä Mudkip hengittää poskissaan olevien kidusten avulla. Jos se kohtaa tiukan taistelutilanteen, tämä Pokémon vapauttaa uskomattoman voimansa – se voi murskata itseään suurempia kiviä.</v>
      </c>
      <c r="C4838" s="9" t="s">
        <v>1344</v>
      </c>
    </row>
    <row r="4839" ht="33.75" customHeight="1">
      <c r="A4839" s="6" t="s">
        <v>7087</v>
      </c>
      <c r="B4839" s="6" t="str">
        <f>IFERROR(__xludf.DUMMYFUNCTION("GOOGLETRANSLATE(A4839,""en"",""fi"")"),"MARSHTOMPin kehon pintaa peittää ohut, tahmea kalvo, jonka ansiosta se voi elää maalla. Tämä POKéMON leikkii mudassa rannoilla, kun merenpinta on matalalla.")</f>
        <v>MARSHTOMPin kehon pintaa peittää ohut, tahmea kalvo, jonka ansiosta se voi elää maalla. Tämä POKéMON leikkii mudassa rannoilla, kun merenpinta on matalalla.</v>
      </c>
      <c r="C4839" s="9" t="s">
        <v>1344</v>
      </c>
    </row>
    <row r="4840" ht="33.75" customHeight="1">
      <c r="A4840" s="6" t="s">
        <v>7088</v>
      </c>
      <c r="B4840" s="6" t="str">
        <f>IFERROR(__xludf.DUMMYFUNCTION("GOOGLETRANSLATE(A4840,""en"",""fi"")"),"MARSHTOMP on paljon nopeampi liikkumaan mudassa kuin uimaan. Tämän POKéMONin takaosa on selvästi kehittynyt, minkä ansiosta se pystyy kävelemään pelkillä takajaloillaan.")</f>
        <v>MARSHTOMP on paljon nopeampi liikkumaan mudassa kuin uimaan. Tämän POKéMONin takaosa on selvästi kehittynyt, minkä ansiosta se pystyy kävelemään pelkillä takajaloillaan.</v>
      </c>
      <c r="C4840" s="9" t="s">
        <v>1344</v>
      </c>
    </row>
    <row r="4841" ht="33.75" customHeight="1">
      <c r="A4841" s="6" t="s">
        <v>7089</v>
      </c>
      <c r="B4841" s="6" t="str">
        <f>IFERROR(__xludf.DUMMYFUNCTION("GOOGLETRANSLATE(A4841,""en"",""fi"")"),"Sen karaistuneet takajalat mahdollistavat sen pystyssä seisomisen. Koska se heikkenee, jos sen iho kuivuu, se täydentää nesteitä leikkimällä mudassa.")</f>
        <v>Sen karaistuneet takajalat mahdollistavat sen pystyssä seisomisen. Koska se heikkenee, jos sen iho kuivuu, se täydentää nesteitä leikkimällä mudassa.</v>
      </c>
      <c r="C4841" s="9" t="s">
        <v>1344</v>
      </c>
    </row>
    <row r="4842" ht="33.75" customHeight="1">
      <c r="A4842" s="6" t="s">
        <v>7090</v>
      </c>
      <c r="B4842" s="6" t="str">
        <f>IFERROR(__xludf.DUMMYFUNCTION("GOOGLETRANSLATE(A4842,""en"",""fi"")"),"Se on parhaimmillaan mutaisella alustalla ja huonolla pohjalla. Se peittoaa nopeasti mudassa painivat viholliset.")</f>
        <v>Se on parhaimmillaan mutaisella alustalla ja huonolla pohjalla. Se peittoaa nopeasti mudassa painivat viholliset.</v>
      </c>
      <c r="C4842" s="9" t="s">
        <v>1344</v>
      </c>
    </row>
    <row r="4843" ht="33.75" customHeight="1">
      <c r="A4843" s="6" t="s">
        <v>7091</v>
      </c>
      <c r="B4843" s="6" t="str">
        <f>IFERROR(__xludf.DUMMYFUNCTION("GOOGLETRANSLATE(A4843,""en"",""fi"")"),"Sen tukevat jalat antavat sille tukevan jalansijan jopa mudassa. Se kaivautuu maahan nukkuakseen.")</f>
        <v>Sen tukevat jalat antavat sille tukevan jalansijan jopa mudassa. Se kaivautuu maahan nukkuakseen.</v>
      </c>
      <c r="C4843" s="9" t="s">
        <v>1344</v>
      </c>
    </row>
    <row r="4844" ht="33.75" customHeight="1">
      <c r="A4844" s="6" t="s">
        <v>7092</v>
      </c>
      <c r="B4844" s="6" t="str">
        <f>IFERROR(__xludf.DUMMYFUNCTION("GOOGLETRANSLATE(A4844,""en"",""fi"")"),"Mutaisella ja huonosti jalansijaa tarjoavalla maalla eläminen on tehnyt sen jaloista tukevat.")</f>
        <v>Mutaisella ja huonosti jalansijaa tarjoavalla maalla eläminen on tehnyt sen jaloista tukevat.</v>
      </c>
      <c r="C4844" s="9" t="s">
        <v>1344</v>
      </c>
    </row>
    <row r="4845" ht="33.75" customHeight="1">
      <c r="A4845" s="6" t="s">
        <v>7093</v>
      </c>
      <c r="B4845" s="6" t="str">
        <f>IFERROR(__xludf.DUMMYFUNCTION("GOOGLETRANSLATE(A4845,""en"",""fi"")"),"Marshtompin kehon pintaa peittää ohut, tahmea kalvo, jonka ansiosta se voi elää maalla. Tämä Pokémon leikkii mudassa rannoilla, kun merenpinta on matalalla.")</f>
        <v>Marshtompin kehon pintaa peittää ohut, tahmea kalvo, jonka ansiosta se voi elää maalla. Tämä Pokémon leikkii mudassa rannoilla, kun merenpinta on matalalla.</v>
      </c>
      <c r="C4845" s="9" t="s">
        <v>1344</v>
      </c>
    </row>
    <row r="4846" ht="33.75" customHeight="1">
      <c r="A4846" s="6" t="s">
        <v>7095</v>
      </c>
      <c r="B4846" s="6" t="str">
        <f>IFERROR(__xludf.DUMMYFUNCTION("GOOGLETRANSLATE(A4846,""en"",""fi"")"),"Marshtomp on paljon nopeampi liikkumaan mudassa kuin uinnissa. Tämän Pokémonin takaosa on selvästi kehittynyt, minkä ansiosta se pystyy kävelemään pelkillä takajaloillaan.")</f>
        <v>Marshtomp on paljon nopeampi liikkumaan mudassa kuin uinnissa. Tämän Pokémonin takaosa on selvästi kehittynyt, minkä ansiosta se pystyy kävelemään pelkillä takajaloillaan.</v>
      </c>
      <c r="C4846" s="9" t="s">
        <v>1344</v>
      </c>
    </row>
    <row r="4847" ht="33.75" customHeight="1">
      <c r="A4847" s="6" t="s">
        <v>7096</v>
      </c>
      <c r="B4847" s="6" t="str">
        <f>IFERROR(__xludf.DUMMYFUNCTION("GOOGLETRANSLATE(A4847,""en"",""fi"")"),"SWAMPERT on erittäin vahva. Sillä on tarpeeksi voimaa vetää helposti yli tonnin painava lohkare. Tällä POKéMONilla on myös voimakas näkö, jonka ansiosta se näkee jopa sameassa vedessä.")</f>
        <v>SWAMPERT on erittäin vahva. Sillä on tarpeeksi voimaa vetää helposti yli tonnin painava lohkare. Tällä POKéMONilla on myös voimakas näkö, jonka ansiosta se näkee jopa sameassa vedessä.</v>
      </c>
      <c r="C4847" s="9" t="s">
        <v>1344</v>
      </c>
    </row>
    <row r="4848" ht="33.75" customHeight="1">
      <c r="A4848" s="6" t="s">
        <v>7098</v>
      </c>
      <c r="B4848" s="6" t="str">
        <f>IFERROR(__xludf.DUMMYFUNCTION("GOOGLETRANSLATE(A4848,""en"",""fi"")"),"SWAMPERT ennustaa myrskyjä aistimalla aaltojen ja vuorovesituulien äänissä hienovaraisia ​​eroja evillään. Jos myrsky lähestyy, se kasaa lohkareita suojautuakseen.")</f>
        <v>SWAMPERT ennustaa myrskyjä aistimalla aaltojen ja vuorovesituulien äänissä hienovaraisia ​​eroja evillään. Jos myrsky lähestyy, se kasaa lohkareita suojautuakseen.</v>
      </c>
      <c r="C4848" s="9" t="s">
        <v>1344</v>
      </c>
    </row>
    <row r="4849" ht="33.75" customHeight="1">
      <c r="A4849" s="6" t="s">
        <v>7099</v>
      </c>
      <c r="B4849" s="6" t="str">
        <f>IFERROR(__xludf.DUMMYFUNCTION("GOOGLETRANSLATE(A4849,""en"",""fi"")"),"Jos se aistii myrskyn ja hyökyaallon lähestyvän, se suojelee rantapesäänsä kasaamalla kiviä. Se ui yhtä nopeasti kuin vesiskootteri.")</f>
        <v>Jos se aistii myrskyn ja hyökyaallon lähestyvän, se suojelee rantapesäänsä kasaamalla kiviä. Se ui yhtä nopeasti kuin vesiskootteri.</v>
      </c>
      <c r="C4849" s="9" t="s">
        <v>1344</v>
      </c>
    </row>
    <row r="4850" ht="33.75" customHeight="1">
      <c r="A4850" s="6" t="s">
        <v>7101</v>
      </c>
      <c r="B4850" s="6" t="str">
        <f>IFERROR(__xludf.DUMMYFUNCTION("GOOGLETRANSLATE(A4850,""en"",""fi"")"),"Sen käsivarret ovat kivikovat. Yhdellä iskulla ne voivat murskata vihollisen. Se tekee pesänsä kauniille rannoille.")</f>
        <v>Sen käsivarret ovat kivikovat. Yhdellä iskulla ne voivat murskata vihollisen. Se tekee pesänsä kauniille rannoille.</v>
      </c>
      <c r="C4850" s="9" t="s">
        <v>1344</v>
      </c>
    </row>
    <row r="4851" ht="33.75" customHeight="1">
      <c r="A4851" s="6" t="s">
        <v>7103</v>
      </c>
      <c r="B4851" s="6" t="str">
        <f>IFERROR(__xludf.DUMMYFUNCTION("GOOGLETRANSLATE(A4851,""en"",""fi"")"),"Se voi uida hinatessaan suurta laivaa. Se iskee vihollisia alas paksujen käsivarsiensa heilautuksella.")</f>
        <v>Se voi uida hinatessaan suurta laivaa. Se iskee vihollisia alas paksujen käsivarsiensa heilautuksella.</v>
      </c>
      <c r="C4851" s="9" t="s">
        <v>1344</v>
      </c>
    </row>
    <row r="4852" ht="33.75" customHeight="1">
      <c r="A4852" s="6" t="s">
        <v>7104</v>
      </c>
      <c r="B4852" s="6" t="str">
        <f>IFERROR(__xludf.DUMMYFUNCTION("GOOGLETRANSLATE(A4852,""en"",""fi"")"),"Sen käsivarret ovat kovat kuin kivi. Yhdellä iskulla se voi rikkoa lohkareen palasiksi.")</f>
        <v>Sen käsivarret ovat kovat kuin kivi. Yhdellä iskulla se voi rikkoa lohkareen palasiksi.</v>
      </c>
      <c r="C4852" s="9" t="s">
        <v>1344</v>
      </c>
    </row>
    <row r="4853" ht="33.75" customHeight="1">
      <c r="A4853" s="6" t="s">
        <v>7105</v>
      </c>
      <c r="B4853" s="6" t="str">
        <f>IFERROR(__xludf.DUMMYFUNCTION("GOOGLETRANSLATE(A4853,""en"",""fi"")"),"Swampert on erittäin vahva. Sillä on tarpeeksi voimaa vetää helposti yli tonnin painava lohkare. Tällä Pokémonilla on myös voimakas näkö, jonka ansiosta se näkee jopa sameassa vedessä.")</f>
        <v>Swampert on erittäin vahva. Sillä on tarpeeksi voimaa vetää helposti yli tonnin painava lohkare. Tällä Pokémonilla on myös voimakas näkö, jonka ansiosta se näkee jopa sameassa vedessä.</v>
      </c>
      <c r="C4853" s="9" t="s">
        <v>1344</v>
      </c>
    </row>
    <row r="4854" ht="33.75" customHeight="1">
      <c r="A4854" s="6" t="s">
        <v>7107</v>
      </c>
      <c r="B4854" s="6" t="str">
        <f>IFERROR(__xludf.DUMMYFUNCTION("GOOGLETRANSLATE(A4854,""en"",""fi"")"),"Swampert ennustaa myrskyjä aistimalla aaltojen ja vuorovesituulien äänien hienovaraisia ​​eroja evillään. Jos myrsky lähestyy, se kasaa lohkareita suojautuakseen.")</f>
        <v>Swampert ennustaa myrskyjä aistimalla aaltojen ja vuorovesituulien äänien hienovaraisia ​​eroja evillään. Jos myrsky lähestyy, se kasaa lohkareita suojautuakseen.</v>
      </c>
      <c r="C4854" s="9" t="s">
        <v>1344</v>
      </c>
    </row>
    <row r="4855" ht="33.75" customHeight="1">
      <c r="A4855" s="6" t="s">
        <v>7108</v>
      </c>
      <c r="B4855" s="6" t="str">
        <f>IFERROR(__xludf.DUMMYFUNCTION("GOOGLETRANSLATE(A4855,""en"",""fi"")"),"Ensi silmäyksellä POOCHYENA puree kaikkea liikkuvaa. Tämä POKéMON jahtaa saalista, kunnes se uuptuu. Se saattaa kuitenkin kääntyä ympäri, jos saalis iskee takaisin.")</f>
        <v>Ensi silmäyksellä POOCHYENA puree kaikkea liikkuvaa. Tämä POKéMON jahtaa saalista, kunnes se uuptuu. Se saattaa kuitenkin kääntyä ympäri, jos saalis iskee takaisin.</v>
      </c>
      <c r="C4855" s="9" t="s">
        <v>1344</v>
      </c>
    </row>
    <row r="4856" ht="33.75" customHeight="1">
      <c r="A4856" s="6" t="s">
        <v>7109</v>
      </c>
      <c r="B4856" s="6" t="str">
        <f>IFERROR(__xludf.DUMMYFUNCTION("GOOGLETRANSLATE(A4856,""en"",""fi"")"),"POOCHYENA on kaikkiruokainen – se syö mitä tahansa. Sen erottava piirre on sen kulmahampaiden koko suhteessa vartaloon. Tämä POKéMON yrittää pelotella vihollisiaan nostamalla häntäkarvansa pystyyn.")</f>
        <v>POOCHYENA on kaikkiruokainen – se syö mitä tahansa. Sen erottava piirre on sen kulmahampaiden koko suhteessa vartaloon. Tämä POKéMON yrittää pelotella vihollisiaan nostamalla häntäkarvansa pystyyn.</v>
      </c>
      <c r="C4856" s="9" t="s">
        <v>1344</v>
      </c>
    </row>
    <row r="4857" ht="33.75" customHeight="1">
      <c r="A4857" s="6" t="s">
        <v>7111</v>
      </c>
      <c r="B4857" s="6" t="str">
        <f>IFERROR(__xludf.DUMMYFUNCTION("GOOGLETRANSLATE(A4857,""en"",""fi"")"),"Se uhkaa vihollisia raa'asti paljastavilla hampailla. Se jahtaa pakenevia kohteitaan sitkeästi. Se kuitenkin kääntää pyrstönsä ja juoksee pakoon, jos vihollinen iskee takaisin.")</f>
        <v>Se uhkaa vihollisia raa'asti paljastavilla hampailla. Se jahtaa pakenevia kohteitaan sitkeästi. Se kuitenkin kääntää pyrstönsä ja juoksee pakoon, jos vihollinen iskee takaisin.</v>
      </c>
      <c r="C4857" s="9" t="s">
        <v>1344</v>
      </c>
    </row>
    <row r="4858" ht="33.75" customHeight="1">
      <c r="A4858" s="6" t="s">
        <v>7112</v>
      </c>
      <c r="B4858" s="6" t="str">
        <f>IFERROR(__xludf.DUMMYFUNCTION("GOOGLETRANSLATE(A4858,""en"",""fi"")"),"Sillä on hyvin sitkeä luonne. Sen tarkka hajuaisti antaa sen jahdata valitsemaansa saalista menettämättä koskaan jälkeään.")</f>
        <v>Sillä on hyvin sitkeä luonne. Sen tarkka hajuaisti antaa sen jahdata valitsemaansa saalista menettämättä koskaan jälkeään.</v>
      </c>
      <c r="C4858" s="9" t="s">
        <v>1344</v>
      </c>
    </row>
    <row r="4859" ht="33.75" customHeight="1">
      <c r="A4859" s="6" t="s">
        <v>7115</v>
      </c>
      <c r="B4859" s="6" t="str">
        <f>IFERROR(__xludf.DUMMYFUNCTION("GOOGLETRANSLATE(A4859,""en"",""fi"")"),"Luonteeltaan sinnikäs Pokémon jahtaa valitsemaansa saalista, kunnes se uupuu.")</f>
        <v>Luonteeltaan sinnikäs Pokémon jahtaa valitsemaansa saalista, kunnes se uupuu.</v>
      </c>
      <c r="C4859" s="9" t="s">
        <v>1344</v>
      </c>
    </row>
    <row r="4860" ht="33.75" customHeight="1">
      <c r="A4860" s="6" t="s">
        <v>7116</v>
      </c>
      <c r="B4860" s="6" t="str">
        <f>IFERROR(__xludf.DUMMYFUNCTION("GOOGLETRANSLATE(A4860,""en"",""fi"")"),"Se jahtaa saalistaan, kunnes tämä uupuu. Se kuitenkin kääntää selkänsä, jos saalis iskee takaisin.")</f>
        <v>Se jahtaa saalistaan, kunnes tämä uupuu. Se kuitenkin kääntää selkänsä, jos saalis iskee takaisin.</v>
      </c>
      <c r="C4860" s="9" t="s">
        <v>1344</v>
      </c>
    </row>
    <row r="4861" ht="33.75" customHeight="1">
      <c r="A4861" s="6" t="s">
        <v>7117</v>
      </c>
      <c r="B4861" s="6" t="str">
        <f>IFERROR(__xludf.DUMMYFUNCTION("GOOGLETRANSLATE(A4861,""en"",""fi"")"),"Ensi silmäyksellä Poochyena puree kaikkea liikkuvaa. Tämä Pokémon jahtaa saalista, kunnes se uupuu. Se saattaa kuitenkin kääntyä ympäri, jos saalis iskee takaisin.")</f>
        <v>Ensi silmäyksellä Poochyena puree kaikkea liikkuvaa. Tämä Pokémon jahtaa saalista, kunnes se uupuu. Se saattaa kuitenkin kääntyä ympäri, jos saalis iskee takaisin.</v>
      </c>
      <c r="C4861" s="9" t="s">
        <v>1344</v>
      </c>
    </row>
    <row r="4862" ht="33.75" customHeight="1">
      <c r="A4862" s="6" t="s">
        <v>7119</v>
      </c>
      <c r="B4862" s="6" t="str">
        <f>IFERROR(__xludf.DUMMYFUNCTION("GOOGLETRANSLATE(A4862,""en"",""fi"")"),"Poochyena on kaikkiruokainen – se syö mitä tahansa. Sen erottava piirre on sen kulmahampaiden koko suhteessa vartaloon. Tämä Pokémon yrittää pelotella vihollisiaan nostamalla häntäkarvansa pystyyn.")</f>
        <v>Poochyena on kaikkiruokainen – se syö mitä tahansa. Sen erottava piirre on sen kulmahampaiden koko suhteessa vartaloon. Tämä Pokémon yrittää pelotella vihollisiaan nostamalla häntäkarvansa pystyyn.</v>
      </c>
      <c r="C4862" s="9" t="s">
        <v>1344</v>
      </c>
    </row>
    <row r="4863" ht="33.75" customHeight="1">
      <c r="A4863" s="6" t="s">
        <v>7120</v>
      </c>
      <c r="B4863" s="6" t="str">
        <f>IFERROR(__xludf.DUMMYFUNCTION("GOOGLETRANSLATE(A4863,""en"",""fi"")"),"MIGHTYENA antaa selviä merkkejä valmistautuessaan hyökkäämään. Se alkaa murina syvään ja litistää sitten ruumiinsa. Tämä POKéMON puree raa'asti teräväkärkisillä hampaillaan.")</f>
        <v>MIGHTYENA antaa selviä merkkejä valmistautuessaan hyökkäämään. Se alkaa murina syvään ja litistää sitten ruumiinsa. Tämä POKéMON puree raa'asti teräväkärkisillä hampaillaan.</v>
      </c>
      <c r="C4863" s="9" t="s">
        <v>1344</v>
      </c>
    </row>
    <row r="4864" ht="33.75" customHeight="1">
      <c r="A4864" s="6" t="s">
        <v>7122</v>
      </c>
      <c r="B4864" s="6" t="str">
        <f>IFERROR(__xludf.DUMMYFUNCTION("GOOGLETRANSLATE(A4864,""en"",""fi"")"),"MIGHTYENA matkustaa ja toimii laumana luonnossa. Muisto sen elämästä luonnossa pakottaa POKéMONin tottelemaan vain niitä KOULUTTAJIA, joilla se tunnistaa olevan ylivoimaisia ​​taitoja.")</f>
        <v>MIGHTYENA matkustaa ja toimii laumana luonnossa. Muisto sen elämästä luonnossa pakottaa POKéMONin tottelemaan vain niitä KOULUTTAJIA, joilla se tunnistaa olevan ylivoimaisia ​​taitoja.</v>
      </c>
      <c r="C4864" s="9" t="s">
        <v>1344</v>
      </c>
    </row>
    <row r="4865" ht="33.75" customHeight="1">
      <c r="A4865" s="6" t="s">
        <v>7124</v>
      </c>
      <c r="B4865" s="6" t="str">
        <f>IFERROR(__xludf.DUMMYFUNCTION("GOOGLETRANSLATE(A4865,""en"",""fi"")"),"Luonnossa MIGHTYENA-hirviöt elävät laumassa. Ne eivät koskaan uhmaa johtajansa käskyjä. Ne kukistavat viholliset täydellisesti koordinoidulla tiimityöllä.")</f>
        <v>Luonnossa MIGHTYENA-hirviöt elävät laumassa. Ne eivät koskaan uhmaa johtajansa käskyjä. Ne kukistavat viholliset täydellisesti koordinoidulla tiimityöllä.</v>
      </c>
      <c r="C4865" s="9" t="s">
        <v>1344</v>
      </c>
    </row>
    <row r="4866" ht="33.75" customHeight="1">
      <c r="A4866" s="6" t="s">
        <v>7126</v>
      </c>
      <c r="B4866" s="6" t="str">
        <f>IFERROR(__xludf.DUMMYFUNCTION("GOOGLETRANSLATE(A4866,""en"",""fi"")"),"Se tottelee aina taitavan KOULUTTAJAN käskyjä. Sen käytös juontaa juurensa siitä, että se eli laumoissa muinaisilla ajoilla.")</f>
        <v>Se tottelee aina taitavan KOULUTTAJAN käskyjä. Sen käytös juontaa juurensa siitä, että se eli laumoissa muinaisilla ajoilla.</v>
      </c>
      <c r="C4866" s="9" t="s">
        <v>1344</v>
      </c>
    </row>
    <row r="4867" ht="33.75" customHeight="1">
      <c r="A4867" s="6" t="s">
        <v>7127</v>
      </c>
      <c r="B4867" s="6" t="str">
        <f>IFERROR(__xludf.DUMMYFUNCTION("GOOGLETRANSLATE(A4867,""en"",""fi"")"),"Se jahtaa saalista laumassa. Se ei koskaan riko taitavan kouluttajan käskyjä.")</f>
        <v>Se jahtaa saalista laumassa. Se ei koskaan riko taitavan kouluttajan käskyjä.</v>
      </c>
      <c r="C4867" s="9" t="s">
        <v>1344</v>
      </c>
    </row>
    <row r="4868" ht="33.75" customHeight="1">
      <c r="A4868" s="6" t="s">
        <v>7129</v>
      </c>
      <c r="B4868" s="6" t="str">
        <f>IFERROR(__xludf.DUMMYFUNCTION("GOOGLETRANSLATE(A4868,""en"",""fi"")"),"Se jahtaa saalista noin kymmenen yksilön laumassa. Ne kukistavat viholliset täydellisesti koordinoidulla tiimityöllä.")</f>
        <v>Se jahtaa saalista noin kymmenen yksilön laumassa. Ne kukistavat viholliset täydellisesti koordinoidulla tiimityöllä.</v>
      </c>
      <c r="C4868" s="9" t="s">
        <v>1344</v>
      </c>
    </row>
    <row r="4869" ht="33.75" customHeight="1">
      <c r="A4869" s="6" t="s">
        <v>7130</v>
      </c>
      <c r="B4869" s="6" t="str">
        <f>IFERROR(__xludf.DUMMYFUNCTION("GOOGLETRANSLATE(A4869,""en"",""fi"")"),"Se tottelee aina taitavan kouluttajan käskyjä. Sen käytös juontaa juurensa siitä, että se eli laumoissa muinaisilla ajoilla.")</f>
        <v>Se tottelee aina taitavan kouluttajan käskyjä. Sen käytös juontaa juurensa siitä, että se eli laumoissa muinaisilla ajoilla.</v>
      </c>
      <c r="C4869" s="9" t="s">
        <v>1344</v>
      </c>
    </row>
    <row r="4870" ht="33.75" customHeight="1">
      <c r="A4870" s="6" t="s">
        <v>7131</v>
      </c>
      <c r="B4870" s="6" t="str">
        <f>IFERROR(__xludf.DUMMYFUNCTION("GOOGLETRANSLATE(A4870,""en"",""fi"")"),"Mightyena antaa selviä merkkejä valmistautuessaan hyökkäämään. Se alkaa murina syvään ja litistää sitten ruumiinsa. Tämä Pokémon puree raa'asti teräväkärkisillä hampaillaan.")</f>
        <v>Mightyena antaa selviä merkkejä valmistautuessaan hyökkäämään. Se alkaa murina syvään ja litistää sitten ruumiinsa. Tämä Pokémon puree raa'asti teräväkärkisillä hampaillaan.</v>
      </c>
      <c r="C4870" s="9" t="s">
        <v>1344</v>
      </c>
    </row>
    <row r="4871" ht="33.75" customHeight="1">
      <c r="A4871" s="6" t="s">
        <v>7133</v>
      </c>
      <c r="B4871" s="6" t="str">
        <f>IFERROR(__xludf.DUMMYFUNCTION("GOOGLETRANSLATE(A4871,""en"",""fi"")"),"Mightyena matkustaa ja toimii laumana luonnossa. Muisto luonnossa vietetystä elämästä pakottaa Pokémonin tottelemaan vain niitä kouluttajia, joilla se tunnistaa olevan ylivoimaisia ​​taitoja.")</f>
        <v>Mightyena matkustaa ja toimii laumana luonnossa. Muisto luonnossa vietetystä elämästä pakottaa Pokémonin tottelemaan vain niitä kouluttajia, joilla se tunnistaa olevan ylivoimaisia ​​taitoja.</v>
      </c>
      <c r="C4871" s="9" t="s">
        <v>1344</v>
      </c>
    </row>
    <row r="4872" ht="33.75" customHeight="1">
      <c r="A4872" s="6" t="s">
        <v>7135</v>
      </c>
      <c r="B4872" s="6" t="str">
        <f>IFERROR(__xludf.DUMMYFUNCTION("GOOGLETRANSLATE(A4872,""en"",""fi"")"),"ZIGZAGOON vaeltelee levottomasti kaikkialla, koko ajan. Tämä POKéMON tekee niin, koska se on hyvin utelias. Se kiinnostuu kaikesta, mitä se sattuu näkemään.")</f>
        <v>ZIGZAGOON vaeltelee levottomasti kaikkialla, koko ajan. Tämä POKéMON tekee niin, koska se on hyvin utelias. Se kiinnostuu kaikesta, mitä se sattuu näkemään.</v>
      </c>
      <c r="C4872" s="9" t="s">
        <v>1344</v>
      </c>
    </row>
    <row r="4873" ht="33.75" customHeight="1">
      <c r="A4873" s="6" t="s">
        <v>7136</v>
      </c>
      <c r="B4873" s="6" t="str">
        <f>IFERROR(__xludf.DUMMYFUNCTION("GOOGLETRANSLATE(A4873,""en"",""fi"")"),"ZIGZAGOONin selän karvat ovat harjakset. Se hieroo kovaa selkäkarvaa puita vasten jättääkseen reviirimerkintöjä. Tämä POKéMON saattaa teeskennellä kuollutta huijatakseen vihollisia taistelussa.")</f>
        <v>ZIGZAGOONin selän karvat ovat harjakset. Se hieroo kovaa selkäkarvaa puita vasten jättääkseen reviirimerkintöjä. Tämä POKéMON saattaa teeskennellä kuollutta huijatakseen vihollisia taistelussa.</v>
      </c>
      <c r="C4873" s="9" t="s">
        <v>1344</v>
      </c>
    </row>
    <row r="4874" ht="33.75" customHeight="1">
      <c r="A4874" s="6" t="s">
        <v>7137</v>
      </c>
      <c r="B4874" s="6" t="str">
        <f>IFERROR(__xludf.DUMMYFUNCTION("GOOGLETRANSLATE(A4874,""en"",""fi"")"),"Se hieroo kuonoaan maata vasten ja vaeltelee aina edestakaisin etsien jotakin. Sen tunnistaa jättämistään siksak-jäljistä.")</f>
        <v>Se hieroo kuonoaan maata vasten ja vaeltelee aina edestakaisin etsien jotakin. Sen tunnistaa jättämistään siksak-jäljistä.</v>
      </c>
      <c r="C4874" s="9" t="s">
        <v>1344</v>
      </c>
    </row>
    <row r="4875" ht="33.75" customHeight="1">
      <c r="A4875" s="6" t="s">
        <v>7139</v>
      </c>
      <c r="B4875" s="6" t="str">
        <f>IFERROR(__xludf.DUMMYFUNCTION("GOOGLETRANSLATE(A4875,""en"",""fi"")"),"Utelias POKéMON. Se osoittaa kiinnostusta kaikkeen, joten se aina siksak-pomppii.")</f>
        <v>Utelias POKéMON. Se osoittaa kiinnostusta kaikkeen, joten se aina siksak-pomppii.</v>
      </c>
      <c r="C4875" s="9" t="s">
        <v>1344</v>
      </c>
    </row>
    <row r="4876" ht="33.75" customHeight="1">
      <c r="A4876" s="6" t="s">
        <v>7140</v>
      </c>
      <c r="B4876" s="6" t="str">
        <f>IFERROR(__xludf.DUMMYFUNCTION("GOOGLETRANSLATE(A4876,""en"",""fi"")"),"Se kävelee siksak-maisesti. Se on hyvä löytämään esineitä ruohikosta ja jopa maasta.")</f>
        <v>Se kävelee siksak-maisesti. Se on hyvä löytämään esineitä ruohikosta ja jopa maasta.</v>
      </c>
      <c r="C4876" s="9" t="s">
        <v>1344</v>
      </c>
    </row>
    <row r="4877" ht="33.75" customHeight="1">
      <c r="A4877" s="6" t="s">
        <v>7141</v>
      </c>
      <c r="B4877" s="6" t="str">
        <f>IFERROR(__xludf.DUMMYFUNCTION("GOOGLETRANSLATE(A4877,""en"",""fi"")"),"Se kiinnostuu kaikesta, minkä vuoksi se etenee siksakissa. Se on hyvä löytämään esineitä.")</f>
        <v>Se kiinnostuu kaikesta, minkä vuoksi se etenee siksakissa. Se on hyvä löytämään esineitä.</v>
      </c>
      <c r="C4877" s="9" t="s">
        <v>1344</v>
      </c>
    </row>
    <row r="4878" ht="33.75" customHeight="1">
      <c r="A4878" s="6" t="s">
        <v>7143</v>
      </c>
      <c r="B4878" s="6" t="str">
        <f>IFERROR(__xludf.DUMMYFUNCTION("GOOGLETRANSLATE(A4878,""en"",""fi"")"),"Se kävelee siksak-maisesti. Se on hyvä löytämään esineitä ruohikosta ja jopa maasta.")</f>
        <v>Se kävelee siksak-maisesti. Se on hyvä löytämään esineitä ruohikosta ja jopa maasta.</v>
      </c>
      <c r="C4878" s="9" t="s">
        <v>1344</v>
      </c>
    </row>
    <row r="4879" ht="33.75" customHeight="1">
      <c r="A4879" s="6" t="s">
        <v>7144</v>
      </c>
      <c r="B4879" s="6" t="str">
        <f>IFERROR(__xludf.DUMMYFUNCTION("GOOGLETRANSLATE(A4879,""en"",""fi"")"),"Pokémon, jolla on runsaasti uteliaisuutta. Se osoittaa kiinnostusta kaikkeen, joten se aina siksak-kuvioita.")</f>
        <v>Pokémon, jolla on runsaasti uteliaisuutta. Se osoittaa kiinnostusta kaikkeen, joten se aina siksak-kuvioita.</v>
      </c>
      <c r="C4879" s="9" t="s">
        <v>1344</v>
      </c>
    </row>
    <row r="4880" ht="33.75" customHeight="1">
      <c r="A4880" s="6" t="s">
        <v>7145</v>
      </c>
      <c r="B4880" s="6" t="str">
        <f>IFERROR(__xludf.DUMMYFUNCTION("GOOGLETRANSLATE(A4880,""en"",""fi"")"),"Zigzagoon vaeltelee levottomasti kaikkialla koko ajan. Tämä Pokémon tekee niin, koska se on hyvin utelias. Se kiinnostuu kaikesta, mitä se sattuu näkemään.")</f>
        <v>Zigzagoon vaeltelee levottomasti kaikkialla koko ajan. Tämä Pokémon tekee niin, koska se on hyvin utelias. Se kiinnostuu kaikesta, mitä se sattuu näkemään.</v>
      </c>
      <c r="C4880" s="9" t="s">
        <v>1344</v>
      </c>
    </row>
    <row r="4881" ht="33.75" customHeight="1">
      <c r="A4881" s="6" t="s">
        <v>7147</v>
      </c>
      <c r="B4881" s="6" t="str">
        <f>IFERROR(__xludf.DUMMYFUNCTION("GOOGLETRANSLATE(A4881,""en"",""fi"")"),"Zigzagoonin selän karvat ovat harjasmaiset. Se hieroo kovaa selkäkarvaa puita vasten jättääkseen reviirimerkintöjä. Tämä Pokémon saattaa teeskennellä kuollutta huijatakseen vihollisia taistelussa.")</f>
        <v>Zigzagoonin selän karvat ovat harjasmaiset. Se hieroo kovaa selkäkarvaa puita vasten jättääkseen reviirimerkintöjä. Tämä Pokémon saattaa teeskennellä kuollutta huijatakseen vihollisia taistelussa.</v>
      </c>
      <c r="C4881" s="9" t="s">
        <v>1344</v>
      </c>
    </row>
    <row r="4882" ht="33.75" customHeight="1">
      <c r="A4882" s="6" t="s">
        <v>7148</v>
      </c>
      <c r="B4882" s="6" t="str">
        <f>IFERROR(__xludf.DUMMYFUNCTION("GOOGLETRANSLATE(A4882,""en"",""fi"")"),"Se merkitsee reviiriään hieromalla harjaskarvaansa puihin. Tämä Zigzagoon-muunnos on ystävällisempi ja rauhallisempi kuin Galarille kotoisin oleva laji.")</f>
        <v>Se merkitsee reviiriään hieromalla harjaskarvaansa puihin. Tämä Zigzagoon-muunnos on ystävällisempi ja rauhallisempi kuin Galarille kotoisin oleva laji.</v>
      </c>
      <c r="C4882" s="9" t="s">
        <v>1344</v>
      </c>
    </row>
    <row r="4883" ht="33.75" customHeight="1">
      <c r="A4883" s="6" t="s">
        <v>7150</v>
      </c>
      <c r="B4883" s="6" t="str">
        <f>IFERROR(__xludf.DUMMYFUNCTION("GOOGLETRANSLATE(A4883,""en"",""fi"")"),"Galarin ulkopuolisille alueille sopeutunut Zigzagoon sai tämän ulkonäön. Jos olet kadottanut jotain, tämä Pokémon voi todennäköisesti löytää sen.")</f>
        <v>Galarin ulkopuolisille alueille sopeutunut Zigzagoon sai tämän ulkonäön. Jos olet kadottanut jotain, tämä Pokémon voi todennäköisesti löytää sen.</v>
      </c>
      <c r="C4883" s="9" t="s">
        <v>1344</v>
      </c>
    </row>
    <row r="4884" ht="33.75" customHeight="1">
      <c r="A4884" s="6" t="s">
        <v>7151</v>
      </c>
      <c r="B4884" s="6" t="str">
        <f>IFERROR(__xludf.DUMMYFUNCTION("GOOGLETRANSLATE(A4884,""en"",""fi"")"),"LINOONE juoksee aina täydellä nopeudella ja ainoastaan ​​suorin linjoin. Jos se kohtaa esteen, se tekee suoran käännöksen väistääkseen sen. Loivasti mutkittelevat tiet ovat erittäin haastavia tälle POKéMONille.")</f>
        <v>LINOONE juoksee aina täydellä nopeudella ja ainoastaan ​​suorin linjoin. Jos se kohtaa esteen, se tekee suoran käännöksen väistääkseen sen. Loivasti mutkittelevat tiet ovat erittäin haastavia tälle POKéMONille.</v>
      </c>
      <c r="C4884" s="9" t="s">
        <v>1344</v>
      </c>
    </row>
    <row r="4885" ht="33.75" customHeight="1">
      <c r="A4885" s="6" t="s">
        <v>7152</v>
      </c>
      <c r="B4885" s="6" t="str">
        <f>IFERROR(__xludf.DUMMYFUNCTION("GOOGLETRANSLATE(A4885,""en"",""fi"")"),"Metsästäessään LINOONE lähtee täyttä vauhtia syöksyllä suoraan saalista kohti. Vaikka tämä POKéMON pystyy kulkemaan yli 95 km/h nopeudella, sen on pysähdyttävä kirskuen ennen kuin se voi kääntyä.")</f>
        <v>Metsästäessään LINOONE lähtee täyttä vauhtia syöksyllä suoraan saalista kohti. Vaikka tämä POKéMON pystyy kulkemaan yli 95 km/h nopeudella, sen on pysähdyttävä kirskuen ennen kuin se voi kääntyä.</v>
      </c>
      <c r="C4885" s="9" t="s">
        <v>1344</v>
      </c>
    </row>
    <row r="4886" ht="33.75" customHeight="1">
      <c r="A4886" s="6" t="s">
        <v>7153</v>
      </c>
      <c r="B4886" s="6" t="str">
        <f>IFERROR(__xludf.DUMMYFUNCTION("GOOGLETRANSLATE(A4886,""en"",""fi"")"),"Se on erittäin nopea, jos sen tarvitsee vain juosta suoraan. Havaitessaan lammikossa asuvan saaliin veden alla, se hyppää nopeasti lähelle ja nappaa sen terävillä kynsillään.")</f>
        <v>Se on erittäin nopea, jos sen tarvitsee vain juosta suoraan. Havaitessaan lammikossa asuvan saaliin veden alla, se hyppää nopeasti lähelle ja nappaa sen terävillä kynsillään.</v>
      </c>
      <c r="C4886" s="9" t="s">
        <v>1344</v>
      </c>
    </row>
    <row r="4887" ht="33.75" customHeight="1">
      <c r="A4887" s="6" t="s">
        <v>7155</v>
      </c>
      <c r="B4887" s="6" t="str">
        <f>IFERROR(__xludf.DUMMYFUNCTION("GOOGLETRANSLATE(A4887,""en"",""fi"")"),"Suoraan juostessa se voi saavuttaa yli 95 kilometrin tuntinopeuden. Mutkaisilla teillä sillä on kuitenkin vaikeuksia.")</f>
        <v>Suoraan juostessa se voi saavuttaa yli 95 kilometrin tuntinopeuden. Mutkaisilla teillä sillä on kuitenkin vaikeuksia.</v>
      </c>
      <c r="C4887" s="9" t="s">
        <v>1344</v>
      </c>
    </row>
    <row r="4888" ht="33.75" customHeight="1">
      <c r="A4888" s="6" t="s">
        <v>7156</v>
      </c>
      <c r="B4888" s="6" t="str">
        <f>IFERROR(__xludf.DUMMYFUNCTION("GOOGLETRANSLATE(A4888,""en"",""fi"")"),"Se hyökkää saaliin kimppuun yli 95 km/h nopeudella. Koska se voi kuitenkin juosta vain suoraan, se usein epäonnistuu.")</f>
        <v>Se hyökkää saaliin kimppuun yli 95 km/h nopeudella. Koska se voi kuitenkin juosta vain suoraan, se usein epäonnistuu.</v>
      </c>
      <c r="C4888" s="9" t="s">
        <v>1344</v>
      </c>
    </row>
    <row r="4889" ht="33.75" customHeight="1">
      <c r="A4889" s="6" t="s">
        <v>7157</v>
      </c>
      <c r="B4889" s="6" t="str">
        <f>IFERROR(__xludf.DUMMYFUNCTION("GOOGLETRANSLATE(A4889,""en"",""fi"")"),"Suoraan juostessa se voi helposti ylittää 95 kilometriä tunnissa. Mutkaisilla teillä sillä on vaikeuksia.")</f>
        <v>Suoraan juostessa se voi helposti ylittää 95 kilometriä tunnissa. Mutkaisilla teillä sillä on vaikeuksia.</v>
      </c>
      <c r="C4889" s="9" t="s">
        <v>1344</v>
      </c>
    </row>
    <row r="4890" ht="33.75" customHeight="1">
      <c r="A4890" s="6" t="s">
        <v>7158</v>
      </c>
      <c r="B4890" s="6" t="str">
        <f>IFERROR(__xludf.DUMMYFUNCTION("GOOGLETRANSLATE(A4890,""en"",""fi"")"),"Linoone juoksee aina täydellä nopeudella ja vain suorin linjoin. Jos se kohtaa esteen, se tekee suoran käännöksen väistääkseen sen. Tämä Pokémon on erittäin haastava loivasti mutkittelevilla teillä.")</f>
        <v>Linoone juoksee aina täydellä nopeudella ja vain suorin linjoin. Jos se kohtaa esteen, se tekee suoran käännöksen väistääkseen sen. Tämä Pokémon on erittäin haastava loivasti mutkittelevilla teillä.</v>
      </c>
      <c r="C4890" s="9" t="s">
        <v>1344</v>
      </c>
    </row>
    <row r="4891" ht="33.75" customHeight="1">
      <c r="A4891" s="6" t="s">
        <v>7159</v>
      </c>
      <c r="B4891" s="6" t="str">
        <f>IFERROR(__xludf.DUMMYFUNCTION("GOOGLETRANSLATE(A4891,""en"",""fi"")"),"Metsästäessään Linoone juoksee suoraan saalista kohti täydellä vauhdilla. Vaikka tämä Pokémon pystyy ylittämään 95 km/h nopeuden, sen on pysähdyttävä kirskuen ennen kuin se voi kääntyä.")</f>
        <v>Metsästäessään Linoone juoksee suoraan saalista kohti täydellä vauhdilla. Vaikka tämä Pokémon pystyy ylittämään 95 km/h nopeuden, sen on pysähdyttävä kirskuen ennen kuin se voi kääntyä.</v>
      </c>
      <c r="C4891" s="9" t="s">
        <v>1344</v>
      </c>
    </row>
    <row r="4892" ht="33.75" customHeight="1">
      <c r="A4892" s="6" t="s">
        <v>7160</v>
      </c>
      <c r="B4892" s="6" t="str">
        <f>IFERROR(__xludf.DUMMYFUNCTION("GOOGLETRANSLATE(A4892,""en"",""fi"")"),"Sen turkki on vahva ja joustava. Irronneista linoonekarvoista tehdyt partasudit ovat erittäin arvostettuja.")</f>
        <v>Sen turkki on vahva ja joustava. Irronneista linoonekarvoista tehdyt partasudit ovat erittäin arvostettuja.</v>
      </c>
      <c r="C4892" s="9" t="s">
        <v>1344</v>
      </c>
    </row>
    <row r="4893" ht="33.75" customHeight="1">
      <c r="A4893" s="6" t="s">
        <v>7161</v>
      </c>
      <c r="B4893" s="6" t="str">
        <f>IFERROR(__xludf.DUMMYFUNCTION("GOOGLETRANSLATE(A4893,""en"",""fi"")"),"Se käyttää räjähtävää nopeuttaan ja teräviä kynsiään saaliinsa kaatamiseen. Mutkittelevia polkuja pitkin juokseminen ei ole sen vahvin puolensa.")</f>
        <v>Se käyttää räjähtävää nopeuttaan ja teräviä kynsiään saaliinsa kaatamiseen. Mutkittelevia polkuja pitkin juokseminen ei ole sen vahvin puolensa.</v>
      </c>
      <c r="C4893" s="9" t="s">
        <v>1344</v>
      </c>
    </row>
    <row r="4894" ht="33.75" customHeight="1">
      <c r="A4894" s="6" t="s">
        <v>7162</v>
      </c>
      <c r="B4894" s="6" t="str">
        <f>IFERROR(__xludf.DUMMYFUNCTION("GOOGLETRANSLATE(A4894,""en"",""fi"")"),"Takapäässään olevien piikkien avulla WURMPLE kuorii puiden kuorta ja syö niistä pursuavaa mahlaa. Tämän POKéMONin jaloissa on imukupit, joiden avulla se tarttuu lasiin liukumatta.")</f>
        <v>Takapäässään olevien piikkien avulla WURMPLE kuorii puiden kuorta ja syö niistä pursuavaa mahlaa. Tämän POKéMONin jaloissa on imukupit, joiden avulla se tarttuu lasiin liukumatta.</v>
      </c>
      <c r="C4894" s="9" t="s">
        <v>1344</v>
      </c>
    </row>
    <row r="4895" ht="33.75" customHeight="1">
      <c r="A4895" s="6" t="s">
        <v>7164</v>
      </c>
      <c r="B4895" s="6" t="str">
        <f>IFERROR(__xludf.DUMMYFUNCTION("GOOGLETRANSLATE(A4895,""en"",""fi"")"),"SWELLOW kohdistaa WURMPLEn saaliikseen. Tämä POKéMON yrittää vastustaa sitä osoittamalla hyökkäävää saalistajaa takaosassaan olevilla piikeillä. Se heikentää vihollista vuotamalla piikkien kautta myrkkyä.")</f>
        <v>SWELLOW kohdistaa WURMPLEn saaliikseen. Tämä POKéMON yrittää vastustaa sitä osoittamalla hyökkäävää saalistajaa takaosassaan olevilla piikeillä. Se heikentää vihollista vuotamalla piikkien kautta myrkkyä.</v>
      </c>
      <c r="C4895" s="9" t="s">
        <v>1344</v>
      </c>
    </row>
    <row r="4896" ht="33.75" customHeight="1">
      <c r="A4896" s="6" t="s">
        <v>7166</v>
      </c>
      <c r="B4896" s="6" t="str">
        <f>IFERROR(__xludf.DUMMYFUNCTION("GOOGLETRANSLATE(A4896,""en"",""fi"")"),"Se tarttuu puiden oksiin ja syö lehtiä. Suustaan ​​sylkemä lanka, josta tulee tahmaista sen koskettaessa ilmaa, hidastaa vihollistensa liikkeitä.")</f>
        <v>Se tarttuu puiden oksiin ja syö lehtiä. Suustaan ​​sylkemä lanka, josta tulee tahmaista sen koskettaessa ilmaa, hidastaa vihollistensa liikkeitä.</v>
      </c>
      <c r="C4896" s="9" t="s">
        <v>1344</v>
      </c>
    </row>
    <row r="4897" ht="33.75" customHeight="1">
      <c r="A4897" s="6" t="s">
        <v>7168</v>
      </c>
      <c r="B4897" s="6" t="str">
        <f>IFERROR(__xludf.DUMMYFUNCTION("GOOGLETRANSLATE(A4897,""en"",""fi"")"),"Se elää korkean ruohon keskellä ja metsissä. Hyökkäyksen sattuessa se vastustaa suuntaamalla myrkylliset piikkinsä vihollista kohti.")</f>
        <v>Se elää korkean ruohon keskellä ja metsissä. Hyökkäyksen sattuessa se vastustaa suuntaamalla myrkylliset piikkinsä vihollista kohti.</v>
      </c>
      <c r="C4897" s="9" t="s">
        <v>1344</v>
      </c>
    </row>
    <row r="4898" ht="33.75" customHeight="1">
      <c r="A4898" s="6" t="s">
        <v>7169</v>
      </c>
      <c r="B4898" s="6" t="str">
        <f>IFERROR(__xludf.DUMMYFUNCTION("GOOGLETRANSLATE(A4898,""en"",""fi"")"),"Se rakastaa lehtien syömistä. Jos sitä hyökkää tähti, se puolustaa itseään piikkisellä takamuksellaan.")</f>
        <v>Se rakastaa lehtien syömistä. Jos sitä hyökkää tähti, se puolustaa itseään piikkisellä takamuksellaan.</v>
      </c>
      <c r="C4898" s="9" t="s">
        <v>1344</v>
      </c>
    </row>
    <row r="4899" ht="33.75" customHeight="1">
      <c r="A4899" s="6" t="s">
        <v>7170</v>
      </c>
      <c r="B4899" s="6" t="str">
        <f>IFERROR(__xludf.DUMMYFUNCTION("GOOGLETRANSLATE(A4899,""en"",""fi"")"),"Se sylkee valkoista silkkiä, joka muuttuu tahmeaksi joutuessaan kosketuksiin ilman kanssa. Sitä käytetään vihollisten lamauttamaan.")</f>
        <v>Se sylkee valkoista silkkiä, joka muuttuu tahmeaksi joutuessaan kosketuksiin ilman kanssa. Sitä käytetään vihollisten lamauttamaan.</v>
      </c>
      <c r="C4899" s="9" t="s">
        <v>1344</v>
      </c>
    </row>
    <row r="4900" ht="33.75" customHeight="1">
      <c r="A4900" s="6" t="s">
        <v>7174</v>
      </c>
      <c r="B4900" s="6" t="str">
        <f>IFERROR(__xludf.DUMMYFUNCTION("GOOGLETRANSLATE(A4900,""en"",""fi"")"),"Lintu-Pokémonien usein kohteeksi joutuessaan se vastustaa epätoivoisesti vapauttamalla myrkkyä pyrstöpiikeistään.")</f>
        <v>Lintu-Pokémonien usein kohteeksi joutuessaan se vastustaa epätoivoisesti vapauttamalla myrkkyä pyrstöpiikeistään.</v>
      </c>
      <c r="C4900" s="9" t="s">
        <v>1344</v>
      </c>
    </row>
    <row r="4901" ht="33.75" customHeight="1">
      <c r="A4901" s="6" t="s">
        <v>7176</v>
      </c>
      <c r="B4901" s="6" t="str">
        <f>IFERROR(__xludf.DUMMYFUNCTION("GOOGLETRANSLATE(A4901,""en"",""fi"")"),"Se elää korkeassa ruohossa ja metsissä. Se torjuu hyökkäykset nostamalla takamuksessaan olevat piikit ilmaan.")</f>
        <v>Se elää korkeassa ruohossa ja metsissä. Se torjuu hyökkäykset nostamalla takamuksessaan olevat piikit ilmaan.</v>
      </c>
      <c r="C4901" s="9" t="s">
        <v>1344</v>
      </c>
    </row>
    <row r="4902" ht="33.75" customHeight="1">
      <c r="A4902" s="6" t="s">
        <v>7177</v>
      </c>
      <c r="B4902" s="6" t="str">
        <f>IFERROR(__xludf.DUMMYFUNCTION("GOOGLETRANSLATE(A4902,""en"",""fi"")"),"Se rakastaa lehtien syömistä. Jos tähtitiainen hyökkää sen kimppuun, se puolustaa itseään piikkisellä takamuksellaan.")</f>
        <v>Se rakastaa lehtien syömistä. Jos tähtitiainen hyökkää sen kimppuun, se puolustaa itseään piikkisellä takamuksellaan.</v>
      </c>
      <c r="C4902" s="9" t="s">
        <v>1344</v>
      </c>
    </row>
    <row r="4903" ht="33.75" customHeight="1">
      <c r="A4903" s="6" t="s">
        <v>7179</v>
      </c>
      <c r="B4903" s="6" t="str">
        <f>IFERROR(__xludf.DUMMYFUNCTION("GOOGLETRANSLATE(A4903,""en"",""fi"")"),"Takapäässään olevien piikkien avulla Wurmple kuorii puiden kuorta ja syö niistä pursuavaa mahlaa. Tämän Pokémonin jaloissa on imukupit, joiden avulla se voi tarttua lasiin liukumatta.")</f>
        <v>Takapäässään olevien piikkien avulla Wurmple kuorii puiden kuorta ja syö niistä pursuavaa mahlaa. Tämän Pokémonin jaloissa on imukupit, joiden avulla se voi tarttua lasiin liukumatta.</v>
      </c>
      <c r="C4903" s="9" t="s">
        <v>1344</v>
      </c>
    </row>
    <row r="4904" ht="33.75" customHeight="1">
      <c r="A4904" s="6" t="s">
        <v>7181</v>
      </c>
      <c r="B4904" s="6" t="str">
        <f>IFERROR(__xludf.DUMMYFUNCTION("GOOGLETRANSLATE(A4904,""en"",""fi"")"),"Swellow kohdistaa Wurmplen saaliikseen. Tämä Pokémon yrittää vastustaa sitä osoittamalla takamuksessaan olevilla piikeillä hyökkäävää saalistajaa kohti. Se heikentää vihollista vuotamalla myrkkyä piikeistä.")</f>
        <v>Swellow kohdistaa Wurmplen saaliikseen. Tämä Pokémon yrittää vastustaa sitä osoittamalla takamuksessaan olevilla piikeillä hyökkäävää saalistajaa kohti. Se heikentää vihollista vuotamalla myrkkyä piikeistä.</v>
      </c>
      <c r="C4904" s="9" t="s">
        <v>1344</v>
      </c>
    </row>
    <row r="4905" ht="33.75" customHeight="1">
      <c r="A4905" s="6" t="s">
        <v>7183</v>
      </c>
      <c r="B4905" s="6" t="str">
        <f>IFERROR(__xludf.DUMMYFUNCTION("GOOGLETRANSLATE(A4905,""en"",""fi"")"),"Tykkää mahlasta ja on runsas luonnossa. Miksi se kehittyy erilaisiin muotoihin, ei tiedetä. Ulkonäöstä ei voida sanoa, minkä muodon se ottaa kehittyessään.")</f>
        <v>Tykkää mahlasta ja on runsas luonnossa. Miksi se kehittyy erilaisiin muotoihin, ei tiedetä. Ulkonäöstä ei voida sanoa, minkä muodon se ottaa kehittyessään.</v>
      </c>
      <c r="C4905" s="9" t="s">
        <v>1344</v>
      </c>
    </row>
    <row r="4906" ht="33.75" customHeight="1">
      <c r="A4906" s="6" t="s">
        <v>7185</v>
      </c>
      <c r="B4906" s="6" t="str">
        <f>IFERROR(__xludf.DUMMYFUNCTION("GOOGLETRANSLATE(A4906,""en"",""fi"")"),"SILCOON kiinnittää itsensä silkillä puun oksaan estääkseen itseään putoamasta. Siellä tämä POKéMON roikkuu hiljaa odottaessaan evoluutiota. Se kurkistaa esiin silkkikotelosta pienen reiän läpi.")</f>
        <v>SILCOON kiinnittää itsensä silkillä puun oksaan estääkseen itseään putoamasta. Siellä tämä POKéMON roikkuu hiljaa odottaessaan evoluutiota. Se kurkistaa esiin silkkikotelosta pienen reiän läpi.</v>
      </c>
      <c r="C4906" s="9" t="s">
        <v>1344</v>
      </c>
    </row>
    <row r="4907" ht="33.75" customHeight="1">
      <c r="A4907" s="6" t="s">
        <v>7186</v>
      </c>
      <c r="B4907" s="6" t="str">
        <f>IFERROR(__xludf.DUMMYFUNCTION("GOOGLETRANSLATE(A4907,""en"",""fi"")"),"Ennen kehitystään Silcoonin ajateltiin kestävän nälkää eikä syövän mitään. Nykyään kuitenkin uskotaan, että tämä Pokémon sammuttaa janonsa juomalla sen silkkiin kerääntyvää sadevettä.")</f>
        <v>Ennen kehitystään Silcoonin ajateltiin kestävän nälkää eikä syövän mitään. Nykyään kuitenkin uskotaan, että tämä Pokémon sammuttaa janonsa juomalla sen silkkiin kerääntyvää sadevettä.</v>
      </c>
      <c r="C4907" s="9" t="s">
        <v>1344</v>
      </c>
    </row>
    <row r="4908" ht="33.75" customHeight="1">
      <c r="A4908" s="6" t="s">
        <v>7187</v>
      </c>
      <c r="B4908" s="6" t="str">
        <f>IFERROR(__xludf.DUMMYFUNCTION("GOOGLETRANSLATE(A4908,""en"",""fi"")"),"Se valmistautuu evoluutioon käyttämällä energiaa, jonka se varastoi ollessaan WURMPLE. Se tarkkailee ympäristöään kahdella silmällään.")</f>
        <v>Se valmistautuu evoluutioon käyttämällä energiaa, jonka se varastoi ollessaan WURMPLE. Se tarkkailee ympäristöään kahdella silmällään.</v>
      </c>
      <c r="C4908" s="9" t="s">
        <v>1344</v>
      </c>
    </row>
    <row r="4909" ht="33.75" customHeight="1">
      <c r="A4909" s="6" t="s">
        <v>7189</v>
      </c>
      <c r="B4909" s="6" t="str">
        <f>IFERROR(__xludf.DUMMYFUNCTION("GOOGLETRANSLATE(A4909,""en"",""fi"")"),"Se säästää energiaansa liikkumalla mahdollisimman vähän. Se odottaa evoluutiota juoden samalla vain vähän sadevettä.")</f>
        <v>Se säästää energiaansa liikkumalla mahdollisimman vähän. Se odottaa evoluutiota juoden samalla vain vähän sadevettä.</v>
      </c>
      <c r="C4909" s="9" t="s">
        <v>1344</v>
      </c>
    </row>
    <row r="4910" ht="33.75" customHeight="1">
      <c r="A4910" s="6" t="s">
        <v>7190</v>
      </c>
      <c r="B4910" s="6" t="str">
        <f>IFERROR(__xludf.DUMMYFUNCTION("GOOGLETRANSLATE(A4910,""en"",""fi"")"),"Se ankkuroi itsensä kietomalla oksia kehonsa silkkiin. Se odottaa liikkumatta evoluutiota.")</f>
        <v>Se ankkuroi itsensä kietomalla oksia kehonsa silkkiin. Se odottaa liikkumatta evoluutiota.</v>
      </c>
      <c r="C4910" s="9" t="s">
        <v>1344</v>
      </c>
    </row>
    <row r="4911" ht="33.75" customHeight="1">
      <c r="A4911" s="6" t="s">
        <v>7192</v>
      </c>
      <c r="B4911" s="6" t="str">
        <f>IFERROR(__xludf.DUMMYFUNCTION("GOOGLETRANSLATE(A4911,""en"",""fi"")"),"Se juo silkkiinsä kerääntyvää kastetta ja odottaa kehitystä. Sen kova kotelo torjuu hyökkäykset.")</f>
        <v>Se juo silkkiinsä kerääntyvää kastetta ja odottaa kehitystä. Sen kova kotelo torjuu hyökkäykset.</v>
      </c>
      <c r="C4911" s="9" t="s">
        <v>1344</v>
      </c>
    </row>
    <row r="4912" ht="33.75" customHeight="1">
      <c r="A4912" s="6" t="s">
        <v>7193</v>
      </c>
      <c r="B4912" s="6" t="str">
        <f>IFERROR(__xludf.DUMMYFUNCTION("GOOGLETRANSLATE(A4912,""en"",""fi"")"),"Se kietoo silkkiä puun oksien ympärille. Se juo sadevettä silkkinsä päälle odottaessaan evoluutiota.")</f>
        <v>Se kietoo silkkiä puun oksien ympärille. Se juo sadevettä silkkinsä päälle odottaessaan evoluutiota.</v>
      </c>
      <c r="C4912" s="9" t="s">
        <v>1344</v>
      </c>
    </row>
    <row r="4913" ht="33.75" customHeight="1">
      <c r="A4913" s="6" t="s">
        <v>7194</v>
      </c>
      <c r="B4913" s="6" t="str">
        <f>IFERROR(__xludf.DUMMYFUNCTION("GOOGLETRANSLATE(A4913,""en"",""fi"")"),"Käärittyään silkkiä puun oksien ympärille se odottaa levollisesti evoluutiota.")</f>
        <v>Käärittyään silkkiä puun oksien ympärille se odottaa levollisesti evoluutiota.</v>
      </c>
      <c r="C4913" s="9" t="s">
        <v>1344</v>
      </c>
    </row>
    <row r="4914" ht="33.75" customHeight="1">
      <c r="A4914" s="6" t="s">
        <v>7195</v>
      </c>
      <c r="B4914" s="6" t="str">
        <f>IFERROR(__xludf.DUMMYFUNCTION("GOOGLETRANSLATE(A4914,""en"",""fi"")"),"Silkkisolmu kiinnittää itsensä puun oksaan silkin avulla estääkseen putoamisen. Siellä tämä Pokémon roikkuu hiljaa odottaessaan evoluutiota. Se kurkistaa esiin silkkikotelosta pienen reiän läpi.")</f>
        <v>Silkkisolmu kiinnittää itsensä puun oksaan silkin avulla estääkseen putoamisen. Siellä tämä Pokémon roikkuu hiljaa odottaessaan evoluutiota. Se kurkistaa esiin silkkikotelosta pienen reiän läpi.</v>
      </c>
      <c r="C4914" s="9" t="s">
        <v>1344</v>
      </c>
    </row>
    <row r="4915" ht="33.75" customHeight="1">
      <c r="A4915" s="6" t="s">
        <v>7196</v>
      </c>
      <c r="B4915" s="6" t="str">
        <f>IFERROR(__xludf.DUMMYFUNCTION("GOOGLETRANSLATE(A4915,""en"",""fi"")"),"Ennen kehitystään Silcoonin ajateltiin kestävän nälkää eikä syövän mitään. Nykyään kuitenkin uskotaan, että tämä Pokémon sammuttaa janonsa juomalla silkkiinsä kerääntyvää sadevettä.")</f>
        <v>Ennen kehitystään Silcoonin ajateltiin kestävän nälkää eikä syövän mitään. Nykyään kuitenkin uskotaan, että tämä Pokémon sammuttaa janonsa juomalla silkkiinsä kerääntyvää sadevettä.</v>
      </c>
      <c r="C4915" s="9" t="s">
        <v>1344</v>
      </c>
    </row>
    <row r="4916" ht="33.75" customHeight="1">
      <c r="A4916" s="6" t="s">
        <v>7198</v>
      </c>
      <c r="B4916" s="6" t="str">
        <f>IFERROR(__xludf.DUMMYFUNCTION("GOOGLETRANSLATE(A4916,""en"",""fi"")"),"Kääriytyy ohuisiin silkkinauhoihin samalla kun se varastoi energiaa evoluutiota varten. Se ei pysty ojentamaan raajojaan ja sen liikkeet ovat hitaita, mutta sen silmät pitävät tarkkaa huolta – Silcoon on aina varuillaan.")</f>
        <v>Kääriytyy ohuisiin silkkinauhoihin samalla kun se varastoi energiaa evoluutiota varten. Se ei pysty ojentamaan raajojaan ja sen liikkeet ovat hitaita, mutta sen silmät pitävät tarkkaa huolta – Silcoon on aina varuillaan.</v>
      </c>
      <c r="C4916" s="9" t="s">
        <v>1344</v>
      </c>
    </row>
    <row r="4917" ht="33.75" customHeight="1">
      <c r="A4917" s="6" t="s">
        <v>7200</v>
      </c>
      <c r="B4917" s="6" t="str">
        <f>IFERROR(__xludf.DUMMYFUNCTION("GOOGLETRANSLATE(A4917,""en"",""fi"")"),"BEAUTIFLYn lempiruoka on kukkien makea siitepöly. Jos haluat nähdä tämän POKéMONin, jätä vain ruukkukukka avoimen ikkunan viereen. BEAUTIFLY tulee varmasti etsimään siitepölyä.")</f>
        <v>BEAUTIFLYn lempiruoka on kukkien makea siitepöly. Jos haluat nähdä tämän POKéMONin, jätä vain ruukkukukka avoimen ikkunan viereen. BEAUTIFLY tulee varmasti etsimään siitepölyä.</v>
      </c>
      <c r="C4917" s="9" t="s">
        <v>1344</v>
      </c>
    </row>
    <row r="4918" ht="33.75" customHeight="1">
      <c r="A4918" s="6" t="s">
        <v>7201</v>
      </c>
      <c r="B4918" s="6" t="str">
        <f>IFERROR(__xludf.DUMMYFUNCTION("GOOGLETRANSLATE(A4918,""en"",""fi"")"),"BEAUTIFLYllä on pitkä, kierteisen neulan kaltainen suu, mikä on erittäin kätevä siitepölyn keräämiseen kukista. Tämä POKéMON ratsastaa kevättuulien mukana lentäessään ympäriinsä keräämässä siitepölyä.")</f>
        <v>BEAUTIFLYllä on pitkä, kierteisen neulan kaltainen suu, mikä on erittäin kätevä siitepölyn keräämiseen kukista. Tämä POKéMON ratsastaa kevättuulien mukana lentäessään ympäriinsä keräämässä siitepölyä.</v>
      </c>
      <c r="C4918" s="9" t="s">
        <v>1344</v>
      </c>
    </row>
    <row r="4919" ht="33.75" customHeight="1">
      <c r="A4919" s="6" t="s">
        <v>7203</v>
      </c>
      <c r="B4919" s="6" t="str">
        <f>IFERROR(__xludf.DUMMYFUNCTION("GOOGLETRANSLATE(A4919,""en"",""fi"")"),"Sen värikkäästi kuvioidut siivet ovat sen huomattavin piirre. Se lentää kukkien peittämien peltojen läpi kerääen siitepölyä. Suututtuaan se hyökkää raivokkaasti.")</f>
        <v>Sen värikkäästi kuvioidut siivet ovat sen huomattavin piirre. Se lentää kukkien peittämien peltojen läpi kerääen siitepölyä. Suututtuaan se hyökkää raivokkaasti.</v>
      </c>
      <c r="C4919" s="9" t="s">
        <v>1344</v>
      </c>
    </row>
    <row r="4920" ht="33.75" customHeight="1">
      <c r="A4920" s="6" t="s">
        <v>7205</v>
      </c>
      <c r="B4920" s="6" t="str">
        <f>IFERROR(__xludf.DUMMYFUNCTION("GOOGLETRANSLATE(A4920,""en"",""fi"")"),"Ulkonäöstään huolimatta sillä on aggressiivinen luonne. Se hyökkää tökkimällä pitkällä, ohuella suullaan.")</f>
        <v>Ulkonäöstään huolimatta sillä on aggressiivinen luonne. Se hyökkää tökkimällä pitkällä, ohuella suullaan.</v>
      </c>
      <c r="C4920" s="9" t="s">
        <v>1344</v>
      </c>
    </row>
    <row r="4921" ht="33.75" customHeight="1">
      <c r="A4921" s="6" t="s">
        <v>7206</v>
      </c>
      <c r="B4921" s="6" t="str">
        <f>IFERROR(__xludf.DUMMYFUNCTION("GOOGLETRANSLATE(A4921,""en"",""fi"")"),"Sillä on aggressiivinen luonne. Se iskee saalista pitkällä, kapealla suullaan imeäkseen sen nesteet pois.")</f>
        <v>Sillä on aggressiivinen luonne. Se iskee saalista pitkällä, kapealla suullaan imeäkseen sen nesteet pois.</v>
      </c>
      <c r="C4921" s="9" t="s">
        <v>1344</v>
      </c>
    </row>
    <row r="4922" ht="33.75" customHeight="1">
      <c r="A4922" s="6" t="s">
        <v>7207</v>
      </c>
      <c r="B4922" s="6" t="str">
        <f>IFERROR(__xludf.DUMMYFUNCTION("GOOGLETRANSLATE(A4922,""en"",""fi"")"),"Kun kukkapellot kukkivat, se lentää ympäriinsä keräämässä siitepölyä. Ulkonäöstään huolimatta se on villi.")</f>
        <v>Kun kukkapellot kukkivat, se lentää ympäriinsä keräämässä siitepölyä. Ulkonäöstään huolimatta se on villi.</v>
      </c>
      <c r="C4922" s="9" t="s">
        <v>1344</v>
      </c>
    </row>
    <row r="4923" ht="33.75" customHeight="1">
      <c r="A4923" s="6" t="s">
        <v>7208</v>
      </c>
      <c r="B4923" s="6" t="str">
        <f>IFERROR(__xludf.DUMMYFUNCTION("GOOGLETRANSLATE(A4923,""en"",""fi"")"),"Ulkonäöstään huolimatta se on aggressiivinen. Se tökii pitkällä, ohuella suullaan, jos sitä häiritään siitepölyä kerätessään.")</f>
        <v>Ulkonäöstään huolimatta se on aggressiivinen. Se tökii pitkällä, ohuella suullaan, jos sitä häiritään siitepölyä kerätessään.</v>
      </c>
      <c r="C4923" s="9" t="s">
        <v>1344</v>
      </c>
    </row>
    <row r="4924" ht="33.75" customHeight="1">
      <c r="A4924" s="6" t="s">
        <v>7210</v>
      </c>
      <c r="B4924" s="6" t="str">
        <f>IFERROR(__xludf.DUMMYFUNCTION("GOOGLETRANSLATE(A4924,""en"",""fi"")"),"Sen huomiota herättävin piirre on eloisasti kuvioidut siivet. Se imee makeaa kukkamettä pitkällä suullaan.")</f>
        <v>Sen huomiota herättävin piirre on eloisasti kuvioidut siivet. Se imee makeaa kukkamettä pitkällä suullaan.</v>
      </c>
      <c r="C4924" s="9" t="s">
        <v>1344</v>
      </c>
    </row>
    <row r="4925" ht="33.75" customHeight="1">
      <c r="A4925" s="6" t="s">
        <v>7211</v>
      </c>
      <c r="B4925" s="6" t="str">
        <f>IFERROR(__xludf.DUMMYFUNCTION("GOOGLETRANSLATE(A4925,""en"",""fi"")"),"Beautiflyn lempiruoka on kukkien makea siitepöly. Jos haluat nähdä tämän Pokémonin, jätä vain ruukkukukka avoimen ikkunan viereen. Beautifly tulee varmasti etsimään siitepölyä.")</f>
        <v>Beautiflyn lempiruoka on kukkien makea siitepöly. Jos haluat nähdä tämän Pokémonin, jätä vain ruukkukukka avoimen ikkunan viereen. Beautifly tulee varmasti etsimään siitepölyä.</v>
      </c>
      <c r="C4925" s="9" t="s">
        <v>1344</v>
      </c>
    </row>
    <row r="4926" ht="33.75" customHeight="1">
      <c r="A4926" s="6" t="s">
        <v>7212</v>
      </c>
      <c r="B4926" s="6" t="str">
        <f>IFERROR(__xludf.DUMMYFUNCTION("GOOGLETRANSLATE(A4926,""en"",""fi"")"),"Beautiflylla on pitkä, kierteisen neulan kaltainen suu, mikä on erittäin kätevä siitepölyn keräämiseen kukista. Tämä Pokémon ratsastaa kevättuulien mukana lentäessään ympäriinsä keräämässä siitepölyä.")</f>
        <v>Beautiflylla on pitkä, kierteisen neulan kaltainen suu, mikä on erittäin kätevä siitepölyn keräämiseen kukista. Tämä Pokémon ratsastaa kevättuulien mukana lentäessään ympäriinsä keräämässä siitepölyä.</v>
      </c>
      <c r="C4926" s="9" t="s">
        <v>1344</v>
      </c>
    </row>
    <row r="4927" ht="33.75" customHeight="1">
      <c r="A4927" s="6" t="s">
        <v>7214</v>
      </c>
      <c r="B4927" s="6" t="str">
        <f>IFERROR(__xludf.DUMMYFUNCTION("GOOGLETRANSLATE(A4927,""en"",""fi"")"),"Värikäs ja uskomattoman kaunis, mutta myös ahne Pokémon. Yrittäessään pitää lempiruokansa itsellään se ajaa Combeen pois, kun he yrittävät kerätä mettä.")</f>
        <v>Värikäs ja uskomattoman kaunis, mutta myös ahne Pokémon. Yrittäessään pitää lempiruokansa itsellään se ajaa Combeen pois, kun he yrittävät kerätä mettä.</v>
      </c>
      <c r="C4927" s="9" t="s">
        <v>1344</v>
      </c>
    </row>
    <row r="4928" ht="33.75" customHeight="1">
      <c r="A4928" s="6" t="s">
        <v>7217</v>
      </c>
      <c r="B4928" s="6" t="str">
        <f>IFERROR(__xludf.DUMMYFUNCTION("GOOGLETRANSLATE(A4928,""en"",""fi"")"),"CASCOON valmistaa suojaavan kotelonsa käärimällä kehonsa kokonaan hienoon silkkiin, joka kulkee sen suulla. Kun silkki kiertää sen kehon, se kovettuu. Tämä POKéMON valmistautuu kehitykseensä kotelon sisällä.")</f>
        <v>CASCOON valmistaa suojaavan kotelonsa käärimällä kehonsa kokonaan hienoon silkkiin, joka kulkee sen suulla. Kun silkki kiertää sen kehon, se kovettuu. Tämä POKéMON valmistautuu kehitykseensä kotelon sisällä.</v>
      </c>
      <c r="C4928" s="9" t="s">
        <v>1344</v>
      </c>
    </row>
    <row r="4929" ht="33.75" customHeight="1">
      <c r="A4929" s="6" t="s">
        <v>7219</v>
      </c>
      <c r="B4929" s="6" t="str">
        <f>IFERROR(__xludf.DUMMYFUNCTION("GOOGLETRANSLATE(A4929,""en"",""fi"")"),"Jos sitä hyökätään, CASCOON pysyy liikkumattomana, olipa se kuinka pahasti tahansa loukkaantunut. Se tekee niin, koska jos se liikkuisi, sen keho olisi heikko evoluution aikana. Tämä POKéMON ei myöskään unohda kestämäänsä kipua.")</f>
        <v>Jos sitä hyökätään, CASCOON pysyy liikkumattomana, olipa se kuinka pahasti tahansa loukkaantunut. Se tekee niin, koska jos se liikkuisi, sen keho olisi heikko evoluution aikana. Tämä POKéMON ei myöskään unohda kestämäänsä kipua.</v>
      </c>
      <c r="C4929" s="9" t="s">
        <v>1344</v>
      </c>
    </row>
    <row r="4930" ht="33.75" customHeight="1">
      <c r="A4930" s="6" t="s">
        <v>7223</v>
      </c>
      <c r="B4930" s="6" t="str">
        <f>IFERROR(__xludf.DUMMYFUNCTION("GOOGLETRANSLATE(A4930,""en"",""fi"")"),"Välttääkseen vihollistensa havaitsemisen se piiloutuu liikkumatta suurten lehtien alle ja oksien rakoihin. Se myös kiinnittää kuolleita lehtiä kehoonsa naamioituakseen.")</f>
        <v>Välttääkseen vihollistensa havaitsemisen se piiloutuu liikkumatta suurten lehtien alle ja oksien rakoihin. Se myös kiinnittää kuolleita lehtiä kehoonsa naamioituakseen.</v>
      </c>
      <c r="C4930" s="9" t="s">
        <v>1344</v>
      </c>
    </row>
    <row r="4931" ht="33.75" customHeight="1">
      <c r="A4931" s="6" t="s">
        <v>7224</v>
      </c>
      <c r="B4931" s="6" t="str">
        <f>IFERROR(__xludf.DUMMYFUNCTION("GOOGLETRANSLATE(A4931,""en"",""fi"")"),"Sen pehmeästä silkistä valmistettu runko kovettuu ajan myötä. Kun halkeamia ilmestyy, evoluutio on lähellä.")</f>
        <v>Sen pehmeästä silkistä valmistettu runko kovettuu ajan myötä. Kun halkeamia ilmestyy, evoluutio on lähellä.</v>
      </c>
      <c r="C4931" s="9" t="s">
        <v>1344</v>
      </c>
    </row>
    <row r="4932" ht="33.75" customHeight="1">
      <c r="A4932" s="6" t="s">
        <v>7227</v>
      </c>
      <c r="B4932" s="6" t="str">
        <f>IFERROR(__xludf.DUMMYFUNCTION("GOOGLETRANSLATE(A4932,""en"",""fi"")"),"Se on kuuma kotelossaan. Kaikki sen kehon solut tuottavat energian, jota se tarvitsee kehitykseensä.")</f>
        <v>Se on kuuma kotelossaan. Kaikki sen kehon solut tuottavat energian, jota se tarvitsee kehitykseensä.</v>
      </c>
      <c r="C4932" s="9" t="s">
        <v>1344</v>
      </c>
    </row>
    <row r="4933" ht="33.75" customHeight="1">
      <c r="A4933" s="6" t="s">
        <v>7231</v>
      </c>
      <c r="B4933" s="6" t="str">
        <f>IFERROR(__xludf.DUMMYFUNCTION("GOOGLETRANSLATE(A4933,""en"",""fi"")"),"Kovaan koteloonsa kääriytyneenä se kestää hyökkäykset. Se ei koskaan unohda vihollistensa ulkonäköä.")</f>
        <v>Kovaan koteloonsa kääriytyneenä se kestää hyökkäykset. Se ei koskaan unohda vihollistensa ulkonäköä.</v>
      </c>
      <c r="C4933" s="9" t="s">
        <v>1344</v>
      </c>
    </row>
    <row r="4934" ht="33.75" customHeight="1">
      <c r="A4934" s="6" t="s">
        <v>7233</v>
      </c>
      <c r="B4934" s="6" t="str">
        <f>IFERROR(__xludf.DUMMYFUNCTION("GOOGLETRANSLATE(A4934,""en"",""fi"")"),"Se ei koskaan unohda yhtäkään hyökkäystä, jonka se koki kotelossa ollessaan. Evoluution jälkeen se hakee kostoa.")</f>
        <v>Se ei koskaan unohda yhtäkään hyökkäystä, jonka se koki kotelossa ollessaan. Evoluution jälkeen se hakee kostoa.</v>
      </c>
      <c r="C4934" s="9" t="s">
        <v>1344</v>
      </c>
    </row>
    <row r="4935" ht="33.75" customHeight="1">
      <c r="A4935" s="6" t="s">
        <v>7235</v>
      </c>
      <c r="B4935" s="6" t="str">
        <f>IFERROR(__xludf.DUMMYFUNCTION("GOOGLETRANSLATE(A4935,""en"",""fi"")"),"Se kestää hyökkäykset kärsivällisesti, sillä mitä enemmän tuskaa ennen evoluutiota, sitä vankemmaksi siitä tulee.")</f>
        <v>Se kestää hyökkäykset kärsivällisesti, sillä mitä enemmän tuskaa ennen evoluutiota, sitä vankemmaksi siitä tulee.</v>
      </c>
      <c r="C4935" s="9" t="s">
        <v>1344</v>
      </c>
    </row>
    <row r="4936" ht="33.75" customHeight="1">
      <c r="A4936" s="6" t="s">
        <v>7237</v>
      </c>
      <c r="B4936" s="6" t="str">
        <f>IFERROR(__xludf.DUMMYFUNCTION("GOOGLETRANSLATE(A4936,""en"",""fi"")"),"Cascoon tekee suojaavan kotelonsa käärimällä kehonsa kokonaan hienoon silkkiin, joka kulkee sen suulla. Kun silkki kiertää sen kehon, se kovettuu. Tämä Pokémon valmistautuu kehitykseensä kotelon sisällä.")</f>
        <v>Cascoon tekee suojaavan kotelonsa käärimällä kehonsa kokonaan hienoon silkkiin, joka kulkee sen suulla. Kun silkki kiertää sen kehon, se kovettuu. Tämä Pokémon valmistautuu kehitykseensä kotelon sisällä.</v>
      </c>
      <c r="C4936" s="9" t="s">
        <v>1344</v>
      </c>
    </row>
    <row r="4937" ht="33.75" customHeight="1">
      <c r="A4937" s="6" t="s">
        <v>7239</v>
      </c>
      <c r="B4937" s="6" t="str">
        <f>IFERROR(__xludf.DUMMYFUNCTION("GOOGLETRANSLATE(A4937,""en"",""fi"")"),"Jos sitä hyökätään, Cascoon pysyy liikkumattomana, olipa se kuinka pahasti tahansa loukkaantunut. Se tekee niin, koska jos se liikkuisi, sen keho olisi heikko evoluution aikana. Tämä Pokémon ei myöskään unohda kestämäänsä kipua.")</f>
        <v>Jos sitä hyökätään, Cascoon pysyy liikkumattomana, olipa se kuinka pahasti tahansa loukkaantunut. Se tekee niin, koska jos se liikkuisi, sen keho olisi heikko evoluution aikana. Tämä Pokémon ei myöskään unohda kestämäänsä kipua.</v>
      </c>
      <c r="C4937" s="9" t="s">
        <v>1344</v>
      </c>
    </row>
    <row r="4938" ht="33.75" customHeight="1">
      <c r="A4938" s="6" t="s">
        <v>7241</v>
      </c>
      <c r="B4938" s="6" t="str">
        <f>IFERROR(__xludf.DUMMYFUNCTION("GOOGLETRANSLATE(A4938,""en"",""fi"")"),"Sen vartaloa peittävä silkki on ohutta mutta riittävän vahvaa. Cascoonin silkillä on parempi kiilto ja rakenne kuin Silcoonin silkillä, ja Cascoonin silkistä valmistettuja vaatteita pidetään huippuluokkaisina.")</f>
        <v>Sen vartaloa peittävä silkki on ohutta mutta riittävän vahvaa. Cascoonin silkillä on parempi kiilto ja rakenne kuin Silcoonin silkillä, ja Cascoonin silkistä valmistettuja vaatteita pidetään huippuluokkaisina.</v>
      </c>
      <c r="C4938" s="9" t="s">
        <v>1344</v>
      </c>
    </row>
    <row r="4939" ht="33.75" customHeight="1">
      <c r="A4939" s="6" t="s">
        <v>7243</v>
      </c>
      <c r="B4939" s="6" t="str">
        <f>IFERROR(__xludf.DUMMYFUNCTION("GOOGLETRANSLATE(A4939,""en"",""fi"")"),"DUSTOX tuntee vaistomaisesti vetoa valoon. Tämän PokéMONin parvet vetävät puoleensa kaupunkien kirkkaita valoja, joissa ne aiheuttavat tuhoa repimällä tienvarsipuiden lehtiä ravinnoksi.")</f>
        <v>DUSTOX tuntee vaistomaisesti vetoa valoon. Tämän PokéMONin parvet vetävät puoleensa kaupunkien kirkkaita valoja, joissa ne aiheuttavat tuhoa repimällä tienvarsipuiden lehtiä ravinnoksi.</v>
      </c>
      <c r="C4939" s="9" t="s">
        <v>1344</v>
      </c>
    </row>
    <row r="4940" ht="33.75" customHeight="1">
      <c r="A4940" s="6" t="s">
        <v>7245</v>
      </c>
      <c r="B4940" s="6" t="str">
        <f>IFERROR(__xludf.DUMMYFUNCTION("GOOGLETRANSLATE(A4940,""en"",""fi"")"),"Kun DUSTOX räpyttelee siipiään, hienoa pölyä leijailee kaikkialle. Tämä pöly on itse asiassa voimakasta myrkkyä, joka voi sairastuttaa jopa ammattipainijan. Tämä POKéMON etsii ruokaa tutkan kaltaisten antenniensa avulla.")</f>
        <v>Kun DUSTOX räpyttelee siipiään, hienoa pölyä leijailee kaikkialle. Tämä pöly on itse asiassa voimakasta myrkkyä, joka voi sairastuttaa jopa ammattipainijan. Tämä POKéMON etsii ruokaa tutkan kaltaisten antenniensa avulla.</v>
      </c>
      <c r="C4940" s="9" t="s">
        <v>1344</v>
      </c>
    </row>
    <row r="4941" ht="33.75" customHeight="1">
      <c r="A4941" s="6" t="s">
        <v>7247</v>
      </c>
      <c r="B4941" s="6" t="str">
        <f>IFERROR(__xludf.DUMMYFUNCTION("GOOGLETRANSLATE(A4941,""en"",""fi"")"),"Se on yöllinen POKéMON, joka lentää pelloilta ja vuorilta katulamppujen lähelle yöllä. Se irrottaa siivistään erittäin myrkyllistä jauhetta.")</f>
        <v>Se on yöllinen POKéMON, joka lentää pelloilta ja vuorilta katulamppujen lähelle yöllä. Se irrottaa siivistään erittäin myrkyllistä jauhetta.</v>
      </c>
      <c r="C4941" s="9" t="s">
        <v>1344</v>
      </c>
    </row>
    <row r="4942" ht="33.75" customHeight="1">
      <c r="A4942" s="6" t="s">
        <v>7249</v>
      </c>
      <c r="B4942" s="6" t="str">
        <f>IFERROR(__xludf.DUMMYFUNCTION("GOOGLETRANSLATE(A4942,""en"",""fi"")"),"Se levittää hirvittävän myrkyllistä pölyä aistiessaan vaaran. Ne kerääntyvät usein katulamppujen loisteessa yöllä.")</f>
        <v>Se levittää hirvittävän myrkyllistä pölyä aistiessaan vaaran. Ne kerääntyvät usein katulamppujen loisteessa yöllä.</v>
      </c>
      <c r="C4942" s="9" t="s">
        <v>1344</v>
      </c>
    </row>
    <row r="4943" ht="33.75" customHeight="1">
      <c r="A4943" s="6" t="s">
        <v>7251</v>
      </c>
      <c r="B4943" s="6" t="str">
        <f>IFERROR(__xludf.DUMMYFUNCTION("GOOGLETRANSLATE(A4943,""en"",""fi"")"),"Yöllinen Pokémon. Katuvalojen houkuttelemina ne syövät sotkuisesti bulevardien reunustamien puiden lehtiä.")</f>
        <v>Yöllinen Pokémon. Katuvalojen houkuttelemina ne syövät sotkuisesti bulevardien reunustamien puiden lehtiä.</v>
      </c>
      <c r="C4943" s="9" t="s">
        <v>1344</v>
      </c>
    </row>
    <row r="4944" ht="33.75" customHeight="1">
      <c r="A4944" s="6" t="s">
        <v>7252</v>
      </c>
      <c r="B4944" s="6" t="str">
        <f>IFERROR(__xludf.DUMMYFUNCTION("GOOGLETRANSLATE(A4944,""en"",""fi"")"),"Se räpyttelee siipiään rajusti levittääkseen myrkyllistä pölyä hyökkäyksen aikana. Se aktivoituu auringonlaskun jälkeen.")</f>
        <v>Se räpyttelee siipiään rajusti levittääkseen myrkyllistä pölyä hyökkäyksen aikana. Se aktivoituu auringonlaskun jälkeen.</v>
      </c>
      <c r="C4944" s="9" t="s">
        <v>1344</v>
      </c>
    </row>
    <row r="4945" ht="33.75" customHeight="1">
      <c r="A4945" s="6" t="s">
        <v>7253</v>
      </c>
      <c r="B4945" s="6" t="str">
        <f>IFERROR(__xludf.DUMMYFUNCTION("GOOGLETRANSLATE(A4945,""en"",""fi"")"),"Myrkyllistä jauhetta sirotellaan jokaisen läpän mukana. Yöllä sen tiedetään repivän lehtiä bulevardeja reunustavista puista.")</f>
        <v>Myrkyllistä jauhetta sirotellaan jokaisen läpän mukana. Yöllä sen tiedetään repivän lehtiä bulevardeja reunustavista puista.</v>
      </c>
      <c r="C4945" s="9" t="s">
        <v>1344</v>
      </c>
    </row>
    <row r="4946" ht="33.75" customHeight="1">
      <c r="A4946" s="6" t="s">
        <v>7255</v>
      </c>
      <c r="B4946" s="6" t="str">
        <f>IFERROR(__xludf.DUMMYFUNCTION("GOOGLETRANSLATE(A4946,""en"",""fi"")"),"Se levittää hienoa pölyään kaikkialle hyökkäyksen kohteeksi joutuessaan. Se on yöllinen Pokémon.")</f>
        <v>Se levittää hienoa pölyään kaikkialle hyökkäyksen kohteeksi joutuessaan. Se on yöllinen Pokémon.</v>
      </c>
      <c r="C4946" s="9" t="s">
        <v>1344</v>
      </c>
    </row>
    <row r="4947" ht="33.75" customHeight="1">
      <c r="A4947" s="6" t="s">
        <v>7256</v>
      </c>
      <c r="B4947" s="6" t="str">
        <f>IFERROR(__xludf.DUMMYFUNCTION("GOOGLETRANSLATE(A4947,""en"",""fi"")"),"Dustoxia vetää vaistomaisesti valo puoleensa. Tämän Pokémonin parvet vetävät puoleensa kaupunkien kirkkaita valoja, joissa ne aiheuttavat tuhoa riisumalla tienvarsipuiden lehtiä ravinnoksi.")</f>
        <v>Dustoxia vetää vaistomaisesti valo puoleensa. Tämän Pokémonin parvet vetävät puoleensa kaupunkien kirkkaita valoja, joissa ne aiheuttavat tuhoa riisumalla tienvarsipuiden lehtiä ravinnoksi.</v>
      </c>
      <c r="C4947" s="9" t="s">
        <v>1344</v>
      </c>
    </row>
    <row r="4948" ht="33.75" customHeight="1">
      <c r="A4948" s="6" t="s">
        <v>7257</v>
      </c>
      <c r="B4948" s="6" t="str">
        <f>IFERROR(__xludf.DUMMYFUNCTION("GOOGLETRANSLATE(A4948,""en"",""fi"")"),"Kun Dustox räpyttelee siipiään, hienoa pölyä leijailee kaikkialle. Tämä pöly on itse asiassa voimakasta myrkkyä, joka voi sairastuttaa jopa ammattipainijan. Tämä Pokémon etsii ruokaa tutkan kaltaisten antenniensa avulla.")</f>
        <v>Kun Dustox räpyttelee siipiään, hienoa pölyä leijailee kaikkialle. Tämä pöly on itse asiassa voimakasta myrkkyä, joka voi sairastuttaa jopa ammattipainijan. Tämä Pokémon etsii ruokaa tutkan kaltaisten antenniensa avulla.</v>
      </c>
      <c r="C4948" s="9" t="s">
        <v>1344</v>
      </c>
    </row>
    <row r="4949" ht="33.75" customHeight="1">
      <c r="A4949" s="6" t="s">
        <v>7258</v>
      </c>
      <c r="B4949" s="6" t="str">
        <f>IFERROR(__xludf.DUMMYFUNCTION("GOOGLETRANSLATE(A4949,""en"",""fi"")"),"Pimeinä öinä sitä vetää puoleensa nuotiot. Sitä on vaikea ajaa pois asutuksista, koska se levittää erittäin myrkyllisiä suomuja.")</f>
        <v>Pimeinä öinä sitä vetää puoleensa nuotiot. Sitä on vaikea ajaa pois asutuksista, koska se levittää erittäin myrkyllisiä suomuja.</v>
      </c>
      <c r="C4949" s="9" t="s">
        <v>1344</v>
      </c>
    </row>
    <row r="4950" ht="33.75" customHeight="1">
      <c r="A4950" s="6" t="s">
        <v>7259</v>
      </c>
      <c r="B4950" s="6" t="str">
        <f>IFERROR(__xludf.DUMMYFUNCTION("GOOGLETRANSLATE(A4950,""en"",""fi"")"),"LOTADit elävät lammissa ja järvissä, joissa ne kelluvat pinnalla. Ne heikkenevät, jos niiden leveät lehtensä kuolevat. Harvinaisissa tapauksissa nämä POKéMONit matkustavat maalla etsimässä puhdasta vettä.")</f>
        <v>LOTADit elävät lammissa ja järvissä, joissa ne kelluvat pinnalla. Ne heikkenevät, jos niiden leveät lehtensä kuolevat. Harvinaisissa tapauksissa nämä POKéMONit matkustavat maalla etsimässä puhdasta vettä.</v>
      </c>
      <c r="C4950" s="9" t="s">
        <v>1344</v>
      </c>
    </row>
    <row r="4951" ht="33.75" customHeight="1">
      <c r="A4951" s="6" t="s">
        <v>7260</v>
      </c>
      <c r="B4951" s="6" t="str">
        <f>IFERROR(__xludf.DUMMYFUNCTION("GOOGLETRANSLATE(A4951,""en"",""fi"")"),"LOTADin sanotaan asuneen aiemmin maalla. Tämän POKéMONin uskotaan kuitenkin palanneen veteen, koska sen päässä oleva lehti kasvoi suureksi ja painavaksi. Nykyään se elää kellumalla veden pinnalla.")</f>
        <v>LOTADin sanotaan asuneen aiemmin maalla. Tämän POKéMONin uskotaan kuitenkin palanneen veteen, koska sen päässä oleva lehti kasvoi suureksi ja painavaksi. Nykyään se elää kellumalla veden pinnalla.</v>
      </c>
      <c r="C4951" s="9" t="s">
        <v>1344</v>
      </c>
    </row>
    <row r="4952" ht="33.75" customHeight="1">
      <c r="A4952" s="6" t="s">
        <v>7262</v>
      </c>
      <c r="B4952" s="6" t="str">
        <f>IFERROR(__xludf.DUMMYFUNCTION("GOOGLETRANSLATE(A4952,""en"",""fi"")"),"Tämä POKéMON elää puhdasvetisissä lammikoissa. Sen tiedetään kuljettavan pieniä POKéMONEJA lampien yli kantamalla niitä päänsä leveässä lehdessä.")</f>
        <v>Tämä POKéMON elää puhdasvetisissä lammikoissa. Sen tiedetään kuljettavan pieniä POKéMONEJA lampien yli kantamalla niitä päänsä leveässä lehdessä.</v>
      </c>
      <c r="C4952" s="9" t="s">
        <v>1344</v>
      </c>
    </row>
    <row r="4953" ht="33.75" customHeight="1">
      <c r="A4953" s="6" t="s">
        <v>7263</v>
      </c>
      <c r="B4953" s="6" t="str">
        <f>IFERROR(__xludf.DUMMYFUNCTION("GOOGLETRANSLATE(A4953,""en"",""fi"")"),"Se etsii puhdasta vettä. Jos se ei juo vettä liian pitkään, sen päässä oleva lehti nuutuu.")</f>
        <v>Se etsii puhdasta vettä. Jos se ei juo vettä liian pitkään, sen päässä oleva lehti nuutuu.</v>
      </c>
      <c r="C4953" s="9" t="s">
        <v>1344</v>
      </c>
    </row>
    <row r="4954" ht="33.75" customHeight="1">
      <c r="A4954" s="6" t="s">
        <v>7264</v>
      </c>
      <c r="B4954" s="6" t="str">
        <f>IFERROR(__xludf.DUMMYFUNCTION("GOOGLETRANSLATE(A4954,""en"",""fi"")"),"Se näyttää vesikasvilta ja toimii lautana uintitaitoisten Pokémonien luo.")</f>
        <v>Se näyttää vesikasvilta ja toimii lautana uintitaitoisten Pokémonien luo.</v>
      </c>
      <c r="C4954" s="9" t="s">
        <v>1344</v>
      </c>
    </row>
    <row r="4955" ht="33.75" customHeight="1">
      <c r="A4955" s="6" t="s">
        <v>7265</v>
      </c>
      <c r="B4955" s="6" t="str">
        <f>IFERROR(__xludf.DUMMYFUNCTION("GOOGLETRANSLATE(A4955,""en"",""fi"")"),"Sen lehti kasvoi liian suureksi elääkseen maalla. Niin se alkoi elää vedessä kelluen.")</f>
        <v>Sen lehti kasvoi liian suureksi elääkseen maalla. Niin se alkoi elää vedessä kelluen.</v>
      </c>
      <c r="C4955" s="9" t="s">
        <v>1344</v>
      </c>
    </row>
    <row r="4956" ht="33.75" customHeight="1">
      <c r="A4956" s="6" t="s">
        <v>7266</v>
      </c>
      <c r="B4956" s="6" t="str">
        <f>IFERROR(__xludf.DUMMYFUNCTION("GOOGLETRANSLATE(A4956,""en"",""fi"")"),"Lotadit elävät lammissa ja järvissä, joissa ne kelluvat pinnalla. Ne heikkenevät, jos niiden leveät lehtensä kuolevat. Harvinaisissa tapauksissa tämä Pokémon matkustaa maalla etsimässä puhdasta vettä.")</f>
        <v>Lotadit elävät lammissa ja järvissä, joissa ne kelluvat pinnalla. Ne heikkenevät, jos niiden leveät lehtensä kuolevat. Harvinaisissa tapauksissa tämä Pokémon matkustaa maalla etsimässä puhdasta vettä.</v>
      </c>
      <c r="C4956" s="9" t="s">
        <v>1344</v>
      </c>
    </row>
    <row r="4957" ht="33.75" customHeight="1">
      <c r="A4957" s="6" t="s">
        <v>7268</v>
      </c>
      <c r="B4957" s="6" t="str">
        <f>IFERROR(__xludf.DUMMYFUNCTION("GOOGLETRANSLATE(A4957,""en"",""fi"")"),"Lotadin sanotaan asuneen aiemmin maalla. Tämän Pokémonin uskotaan kuitenkin palanneen veteen, koska sen päässä oleva lehti kasvoi suureksi ja painavaksi. Nykyään se elää kellumalla veden pinnalla.")</f>
        <v>Lotadin sanotaan asuneen aiemmin maalla. Tämän Pokémonin uskotaan kuitenkin palanneen veteen, koska sen päässä oleva lehti kasvoi suureksi ja painavaksi. Nykyään se elää kellumalla veden pinnalla.</v>
      </c>
      <c r="C4957" s="9" t="s">
        <v>1344</v>
      </c>
    </row>
    <row r="4958" ht="33.75" customHeight="1">
      <c r="A4958" s="6" t="s">
        <v>7269</v>
      </c>
      <c r="B4958" s="6" t="str">
        <f>IFERROR(__xludf.DUMMYFUNCTION("GOOGLETRANSLATE(A4958,""en"",""fi"")"),"LOMBRE on yöeläin – se aktivoituu hämärän jälkeen. Se on myös ilkikurinen. Kun tämä POKéMON havaitsee kalastajia, se nykäisee heidän siimojaan pinnan alta ja nauttii heidän kauhistuksestaan.")</f>
        <v>LOMBRE on yöeläin – se aktivoituu hämärän jälkeen. Se on myös ilkikurinen. Kun tämä POKéMON havaitsee kalastajia, se nykäisee heidän siimojaan pinnan alta ja nauttii heidän kauhistuksestaan.</v>
      </c>
      <c r="C4958" s="9" t="s">
        <v>1344</v>
      </c>
    </row>
    <row r="4959" ht="33.75" customHeight="1">
      <c r="A4959" s="6" t="s">
        <v>7270</v>
      </c>
      <c r="B4959" s="6" t="str">
        <f>IFERROR(__xludf.DUMMYFUNCTION("GOOGLETRANSLATE(A4959,""en"",""fi"")"),"LOMBREN koko vartalo on peittynyt liukkaaseen, limaiseen kalvoon. Tuntuu kamalan epämiellyttävältä, kun tämän POKéMONin kädet koskettavat häntä. LOMBREA ​​sekoitetaan usein ihmislapseen.")</f>
        <v>LOMBREN koko vartalo on peittynyt liukkaaseen, limaiseen kalvoon. Tuntuu kamalan epämiellyttävältä, kun tämän POKéMONin kädet koskettavat häntä. LOMBREA ​​sekoitetaan usein ihmislapseen.</v>
      </c>
      <c r="C4959" s="9" t="s">
        <v>1344</v>
      </c>
    </row>
    <row r="4960" ht="33.75" customHeight="1">
      <c r="A4960" s="6" t="s">
        <v>7272</v>
      </c>
      <c r="B4960" s="6" t="str">
        <f>IFERROR(__xludf.DUMMYFUNCTION("GOOGLETRANSLATE(A4960,""en"",""fi"")"),"Illalla se nauttii pulpahtaessaan esiin joista ja säikäyttäessään ihmisiä. Se syö vesisammalta, joka kasvaa joenpohjan kivillä.")</f>
        <v>Illalla se nauttii pulpahtaessaan esiin joista ja säikäyttäessään ihmisiä. Se syö vesisammalta, joka kasvaa joenpohjan kivillä.</v>
      </c>
      <c r="C4960" s="9" t="s">
        <v>1344</v>
      </c>
    </row>
    <row r="4961" ht="33.75" customHeight="1">
      <c r="A4961" s="6" t="s">
        <v>7273</v>
      </c>
      <c r="B4961" s="6" t="str">
        <f>IFERROR(__xludf.DUMMYFUNCTION("GOOGLETRANSLATE(A4961,""en"",""fi"")"),"Se elää veden äärellä, missä paistaa aurinko. Se nukkuu vesiheinän peitossa päivisin ja aktivoituu yöllä.")</f>
        <v>Se elää veden äärellä, missä paistaa aurinko. Se nukkuu vesiheinän peitossa päivisin ja aktivoituu yöllä.</v>
      </c>
      <c r="C4961" s="9" t="s">
        <v>1344</v>
      </c>
    </row>
    <row r="4962" ht="33.75" customHeight="1">
      <c r="A4962" s="6" t="s">
        <v>7275</v>
      </c>
      <c r="B4962" s="6" t="str">
        <f>IFERROR(__xludf.DUMMYFUNCTION("GOOGLETRANSLATE(A4962,""en"",""fi"")"),"Sillä on ilkikurinen luonne. Jos se havaitsee kalastajan, se vetää siimaa estääkseen sen.")</f>
        <v>Sillä on ilkikurinen luonne. Jos se havaitsee kalastajan, se vetää siimaa estääkseen sen.</v>
      </c>
      <c r="C4962" s="9" t="s">
        <v>1344</v>
      </c>
    </row>
    <row r="4963" ht="33.75" customHeight="1">
      <c r="A4963" s="6" t="s">
        <v>7276</v>
      </c>
      <c r="B4963" s="6" t="str">
        <f>IFERROR(__xludf.DUMMYFUNCTION("GOOGLETRANSLATE(A4963,""en"",""fi"")"),"Se on yöeläin ja aktivoituu illan hämärtyessä. Se syö joenuomassa kasvavia vesisammalia.")</f>
        <v>Se on yöeläin ja aktivoituu illan hämärtyessä. Se syö joenuomassa kasvavia vesisammalia.</v>
      </c>
      <c r="C4963" s="9" t="s">
        <v>1344</v>
      </c>
    </row>
    <row r="4964" ht="33.75" customHeight="1">
      <c r="A4964" s="6" t="s">
        <v>7278</v>
      </c>
      <c r="B4964" s="6" t="str">
        <f>IFERROR(__xludf.DUMMYFUNCTION("GOOGLETRANSLATE(A4964,""en"",""fi"")"),"Se elää veden äärellä, missä paistaa aurinko. Se nukkuu vesiheinän peitossa päivisin ja aktivoituu yöllä.")</f>
        <v>Se elää veden äärellä, missä paistaa aurinko. Se nukkuu vesiheinän peitossa päivisin ja aktivoituu yöllä.</v>
      </c>
      <c r="C4964" s="9" t="s">
        <v>1344</v>
      </c>
    </row>
    <row r="4965" ht="33.75" customHeight="1">
      <c r="A4965" s="6" t="s">
        <v>7280</v>
      </c>
      <c r="B4965" s="6" t="str">
        <f>IFERROR(__xludf.DUMMYFUNCTION("GOOGLETRANSLATE(A4965,""en"",""fi"")"),"Lombre on yöeläin – se aktivoituu hämärän laskeuduttua. Se on myös ilkikurinen. Kun tämä Pokémon havaitsee kalastajia, se nykii heidän siimojaan pinnan alta ja nauttii heidän hämmennyksestään.")</f>
        <v>Lombre on yöeläin – se aktivoituu hämärän laskeuduttua. Se on myös ilkikurinen. Kun tämä Pokémon havaitsee kalastajia, se nykii heidän siimojaan pinnan alta ja nauttii heidän hämmennyksestään.</v>
      </c>
      <c r="C4965" s="9" t="s">
        <v>1344</v>
      </c>
    </row>
    <row r="4966" ht="33.75" customHeight="1">
      <c r="A4966" s="6" t="s">
        <v>7284</v>
      </c>
      <c r="B4966" s="6" t="str">
        <f>IFERROR(__xludf.DUMMYFUNCTION("GOOGLETRANSLATE(A4966,""en"",""fi"")"),"Lombren koko vartalo on peittynyt liukkaaseen, limaiseen kalvoon. Tuntuu kamalan epämiellyttävältä, kun tämän Pokémonin kädet koskettavat häntä. Lombrea erehdytään usein luulemaan ihmislapseksi.")</f>
        <v>Lombren koko vartalo on peittynyt liukkaaseen, limaiseen kalvoon. Tuntuu kamalan epämiellyttävältä, kun tämän Pokémonin kädet koskettavat häntä. Lombrea erehdytään usein luulemaan ihmislapseksi.</v>
      </c>
      <c r="C4966" s="9" t="s">
        <v>1344</v>
      </c>
    </row>
    <row r="4967" ht="33.75" customHeight="1">
      <c r="A4967" s="6" t="s">
        <v>7285</v>
      </c>
      <c r="B4967" s="6" t="str">
        <f>IFERROR(__xludf.DUMMYFUNCTION("GOOGLETRANSLATE(A4967,""en"",""fi"")"),"LUDICOLO alkaa tanssia heti kuultuaan iloista, juhlavaa musiikkia. Tämän POKéMONin sanotaan ilmestyvän kuullessaan lasten laulua vaellusretkillä.")</f>
        <v>LUDICOLO alkaa tanssia heti kuultuaan iloista, juhlavaa musiikkia. Tämän POKéMONin sanotaan ilmestyvän kuullessaan lasten laulua vaellusretkillä.</v>
      </c>
      <c r="C4967" s="9" t="s">
        <v>1344</v>
      </c>
    </row>
    <row r="4968" ht="33.75" customHeight="1">
      <c r="A4968" s="6" t="s">
        <v>7286</v>
      </c>
      <c r="B4968" s="6" t="str">
        <f>IFERROR(__xludf.DUMMYFUNCTION("GOOGLETRANSLATE(A4968,""en"",""fi"")"),"Kuullessaan iloisen ja pirteän rytmin, LUDICOLOn kehon solut muuttuvat erittäin energisiksi ja aktiivisiksi. Jopa taistelussa tämä POKéMON osoittaa uskomattoman paljon voimaa.")</f>
        <v>Kuullessaan iloisen ja pirteän rytmin, LUDICOLOn kehon solut muuttuvat erittäin energisiksi ja aktiivisiksi. Jopa taistelussa tämä POKéMON osoittaa uskomattoman paljon voimaa.</v>
      </c>
      <c r="C4968" s="9" t="s">
        <v>1344</v>
      </c>
    </row>
    <row r="4969" ht="33.75" customHeight="1">
      <c r="A4969" s="6" t="s">
        <v>7288</v>
      </c>
      <c r="B4969" s="6" t="str">
        <f>IFERROR(__xludf.DUMMYFUNCTION("GOOGLETRANSLATE(A4969,""en"",""fi"")"),"Kun se kuulee juhlavaa musiikkia, kaikki sen kehon solut aktivoituvat ja se alkaa liikkua rytmissä. Se ei vapise, vaikka se kohtaisi kovan vastustajan.")</f>
        <v>Kun se kuulee juhlavaa musiikkia, kaikki sen kehon solut aktivoituvat ja se alkaa liikkua rytmissä. Se ei vapise, vaikka se kohtaisi kovan vastustajan.</v>
      </c>
      <c r="C4969" s="9" t="s">
        <v>1344</v>
      </c>
    </row>
    <row r="4970" ht="33.75" customHeight="1">
      <c r="A4970" s="6" t="s">
        <v>7290</v>
      </c>
      <c r="B4970" s="6" t="str">
        <f>IFERROR(__xludf.DUMMYFUNCTION("GOOGLETRANSLATE(A4970,""en"",""fi"")"),"Kirkkaan, juhlavan musiikin rytmi aktivoi LUDICOLOn soluja ja tekee siitä voimakkaamman.")</f>
        <v>Kirkkaan, juhlavan musiikin rytmi aktivoi LUDICOLOn soluja ja tekee siitä voimakkaamman.</v>
      </c>
      <c r="C4970" s="9" t="s">
        <v>1344</v>
      </c>
    </row>
    <row r="4971" ht="33.75" customHeight="1">
      <c r="A4971" s="6" t="s">
        <v>7292</v>
      </c>
      <c r="B4971" s="6" t="str">
        <f>IFERROR(__xludf.DUMMYFUNCTION("GOOGLETRANSLATE(A4971,""en"",""fi"")"),"Jos se kuulee juhlavaa musiikkia, kaikki sen lihakset täyttyvät energiasta. Se ei voi vastustaa kiusausta tanssia.")</f>
        <v>Jos se kuulee juhlavaa musiikkia, kaikki sen lihakset täyttyvät energiasta. Se ei voi vastustaa kiusausta tanssia.</v>
      </c>
      <c r="C4971" s="9" t="s">
        <v>1344</v>
      </c>
    </row>
    <row r="4972" ht="33.75" customHeight="1">
      <c r="A4972" s="6" t="s">
        <v>7294</v>
      </c>
      <c r="B4972" s="6" t="str">
        <f>IFERROR(__xludf.DUMMYFUNCTION("GOOGLETRANSLATE(A4972,""en"",""fi"")"),"Jos se kuulee juhlavaa musiikkia, se alkaa liikkua rytmissä vahvistaakseen voimaansa.")</f>
        <v>Jos se kuulee juhlavaa musiikkia, se alkaa liikkua rytmissä vahvistaakseen voimaansa.</v>
      </c>
      <c r="C4972" s="9" t="s">
        <v>1344</v>
      </c>
    </row>
    <row r="4973" ht="33.75" customHeight="1">
      <c r="A4973" s="6" t="s">
        <v>7295</v>
      </c>
      <c r="B4973" s="6" t="str">
        <f>IFERROR(__xludf.DUMMYFUNCTION("GOOGLETRANSLATE(A4973,""en"",""fi"")"),"Kirkkaan, juhlavan musiikin rytmi aktivoi Ludicolon soluja ja tekee siitä voimakkaamman.")</f>
        <v>Kirkkaan, juhlavan musiikin rytmi aktivoi Ludicolon soluja ja tekee siitä voimakkaamman.</v>
      </c>
      <c r="C4973" s="9" t="s">
        <v>1344</v>
      </c>
    </row>
    <row r="4974" ht="33.75" customHeight="1">
      <c r="A4974" s="6" t="s">
        <v>7297</v>
      </c>
      <c r="B4974" s="6" t="str">
        <f>IFERROR(__xludf.DUMMYFUNCTION("GOOGLETRANSLATE(A4974,""en"",""fi"")"),"Ludicolo alkaa tanssia heti kuultuaan iloista, juhlavaa musiikkia. Tämän Pokémonin sanotaan ilmestyvän, kun se kuulee lasten laulua vaellusretkillä.")</f>
        <v>Ludicolo alkaa tanssia heti kuultuaan iloista, juhlavaa musiikkia. Tämän Pokémonin sanotaan ilmestyvän, kun se kuulee lasten laulua vaellusretkillä.</v>
      </c>
      <c r="C4974" s="9" t="s">
        <v>1344</v>
      </c>
    </row>
    <row r="4975" ht="33.75" customHeight="1">
      <c r="A4975" s="6" t="s">
        <v>7298</v>
      </c>
      <c r="B4975" s="6" t="str">
        <f>IFERROR(__xludf.DUMMYFUNCTION("GOOGLETRANSLATE(A4975,""en"",""fi"")"),"Kuullessaan iloisen ja pirteän rytmin Ludicolon kehon solut muuttuvat erittäin energisiksi ja aktiivisiksi. Jopa taistelussa tämä Pokémon osoittaa uskomattoman paljon voimaa.")</f>
        <v>Kuullessaan iloisen ja pirteän rytmin Ludicolon kehon solut muuttuvat erittäin energisiksi ja aktiivisiksi. Jopa taistelussa tämä Pokémon osoittaa uskomattoman paljon voimaa.</v>
      </c>
      <c r="C4975" s="9" t="s">
        <v>1344</v>
      </c>
    </row>
    <row r="4976" ht="33.75" customHeight="1">
      <c r="A4976" s="6" t="s">
        <v>7299</v>
      </c>
      <c r="B4976" s="6" t="str">
        <f>IFERROR(__xludf.DUMMYFUNCTION("GOOGLETRANSLATE(A4976,""en"",""fi"")"),"SEEDOT kiinnittyy puun oksaan päänsä päällä. Se imee kosteutta puusta roikkuessaan oksalla. Mitä enemmän vettä se juo, sitä kiiltävämmäksi tämän POKéMONin keho muuttuu.")</f>
        <v>SEEDOT kiinnittyy puun oksaan päänsä päällä. Se imee kosteutta puusta roikkuessaan oksalla. Mitä enemmän vettä se juo, sitä kiiltävämmäksi tämän POKéMONin keho muuttuu.</v>
      </c>
      <c r="C4976" s="9" t="s">
        <v>1344</v>
      </c>
    </row>
    <row r="4977" ht="33.75" customHeight="1">
      <c r="A4977" s="6" t="s">
        <v>7302</v>
      </c>
      <c r="B4977" s="6" t="str">
        <f>IFERROR(__xludf.DUMMYFUNCTION("GOOGLETRANSLATE(A4977,""en"",""fi"")"),"SEEDOT näyttää täsmälleen tammenterholta roikkuessaan puun oksalla. Se säikäyttää muita POKéMONEJA liikkumalla äkillisesti. Tämä POKéMON kiillottaa kehoaan kerran päivässä lehtien avulla.")</f>
        <v>SEEDOT näyttää täsmälleen tammenterholta roikkuessaan puun oksalla. Se säikäyttää muita POKéMONEJA liikkumalla äkillisesti. Tämä POKéMON kiillottaa kehoaan kerran päivässä lehtien avulla.</v>
      </c>
      <c r="C4977" s="9" t="s">
        <v>1344</v>
      </c>
    </row>
    <row r="4978" ht="33.75" customHeight="1">
      <c r="A4978" s="6" t="s">
        <v>7303</v>
      </c>
      <c r="B4978" s="6" t="str">
        <f>IFERROR(__xludf.DUMMYFUNCTION("GOOGLETRANSLATE(A4978,""en"",""fi"")"),"Se roikkuu oksilla ja imee ravinteita. Syötyään sen ruumis painaa niin paljon, että se putoaa maahan tömähdyksen saattelemana.")</f>
        <v>Se roikkuu oksilla ja imee ravinteita. Syötyään sen ruumis painaa niin paljon, että se putoaa maahan tömähdyksen saattelemana.</v>
      </c>
      <c r="C4978" s="9" t="s">
        <v>1344</v>
      </c>
    </row>
    <row r="4979" ht="33.75" customHeight="1">
      <c r="A4979" s="6" t="s">
        <v>7305</v>
      </c>
      <c r="B4979" s="6" t="str">
        <f>IFERROR(__xludf.DUMMYFUNCTION("GOOGLETRANSLATE(A4979,""en"",""fi"")"),"Jos se pysyy paikallaan, sitä on mahdotonta erottaa oikeista pähkinöistä. Se nauttii yllättävistä ruokailuhetkistä.")</f>
        <v>Jos se pysyy paikallaan, sitä on mahdotonta erottaa oikeista pähkinöistä. Se nauttii yllättävistä ruokailuhetkistä.</v>
      </c>
      <c r="C4979" s="9" t="s">
        <v>1344</v>
      </c>
    </row>
    <row r="4980" ht="33.75" customHeight="1">
      <c r="A4980" s="6" t="s">
        <v>7307</v>
      </c>
      <c r="B4980" s="6" t="str">
        <f>IFERROR(__xludf.DUMMYFUNCTION("GOOGLETRANSLATE(A4980,""en"",""fi"")"),"Kun se roikkuu puun oksalla, se näyttää aivan tammenterholta. Se nauttii muiden Pokémonien pelottelemisesta.")</f>
        <v>Kun se roikkuu puun oksalla, se näyttää aivan tammenterholta. Se nauttii muiden Pokémonien pelottelemisesta.</v>
      </c>
      <c r="C4980" s="9" t="s">
        <v>1344</v>
      </c>
    </row>
    <row r="4981" ht="33.75" customHeight="1">
      <c r="A4981" s="6" t="s">
        <v>7308</v>
      </c>
      <c r="B4981" s="6" t="str">
        <f>IFERROR(__xludf.DUMMYFUNCTION("GOOGLETRANSLATE(A4981,""en"",""fi"")"),"Se kiinnittyy puun oksaan päänsä päällä. Voimakkaat tuulet voivat joskus kaataa sen.")</f>
        <v>Se kiinnittyy puun oksaan päänsä päällä. Voimakkaat tuulet voivat joskus kaataa sen.</v>
      </c>
      <c r="C4981" s="9" t="s">
        <v>1344</v>
      </c>
    </row>
    <row r="4982" ht="33.75" customHeight="1">
      <c r="A4982" s="6" t="s">
        <v>7310</v>
      </c>
      <c r="B4982" s="6" t="str">
        <f>IFERROR(__xludf.DUMMYFUNCTION("GOOGLETRANSLATE(A4982,""en"",""fi"")"),"Seedot kiinnittyy puun oksaan päänsä päällä. Se imee kosteutta puusta roikkuessaan oksalla. Mitä enemmän vettä se juo, sitä kiiltävämmäksi tämän Pokémonin keho muuttuu.")</f>
        <v>Seedot kiinnittyy puun oksaan päänsä päällä. Se imee kosteutta puusta roikkuessaan oksalla. Mitä enemmän vettä se juo, sitä kiiltävämmäksi tämän Pokémonin keho muuttuu.</v>
      </c>
      <c r="C4982" s="9" t="s">
        <v>1344</v>
      </c>
    </row>
    <row r="4983" ht="33.75" customHeight="1">
      <c r="A4983" s="6" t="s">
        <v>7311</v>
      </c>
      <c r="B4983" s="6" t="str">
        <f>IFERROR(__xludf.DUMMYFUNCTION("GOOGLETRANSLATE(A4983,""en"",""fi"")"),"Seedot näyttää täsmälleen tammenterholta roikkuessaan puun oksalla. Se säikäyttää muita Pokémoneja liikkumalla äkillisesti. Tämä Pokémon kiillottaa kehoaan kerran päivässä lehtien avulla.")</f>
        <v>Seedot näyttää täsmälleen tammenterholta roikkuessaan puun oksalla. Se säikäyttää muita Pokémoneja liikkumalla äkillisesti. Tämä Pokémon kiillottaa kehoaan kerran päivässä lehtien avulla.</v>
      </c>
      <c r="C4983" s="9" t="s">
        <v>1344</v>
      </c>
    </row>
    <row r="4984" ht="33.75" customHeight="1">
      <c r="A4984" s="6" t="s">
        <v>7312</v>
      </c>
      <c r="B4984" s="6" t="str">
        <f>IFERROR(__xludf.DUMMYFUNCTION("GOOGLETRANSLATE(A4984,""en"",""fi"")"),"Jos se pysyy paikallaan, se näyttää aivan oikealta pähkinältä. Se nauttii yllättävistä ruokailua etsivistä Pokémoneista.")</f>
        <v>Jos se pysyy paikallaan, se näyttää aivan oikealta pähkinältä. Se nauttii yllättävistä ruokailua etsivistä Pokémoneista.</v>
      </c>
      <c r="C4984" s="9" t="s">
        <v>1344</v>
      </c>
    </row>
    <row r="4985" ht="33.75" customHeight="1">
      <c r="A4985" s="6" t="s">
        <v>7313</v>
      </c>
      <c r="B4985" s="6" t="str">
        <f>IFERROR(__xludf.DUMMYFUNCTION("GOOGLETRANSLATE(A4985,""en"",""fi"")"),"NUZLEAFit elävät tiheästi umpeenkasvaneissa metsissä. Ne uskaltautuvat toisinaan ulos metsästä säikäyttääkseen ihmisiä. Tämä POKéMON ei pidä siitä, että sen pitkää kuonoa puristetaan.")</f>
        <v>NUZLEAFit elävät tiheästi umpeenkasvaneissa metsissä. Ne uskaltautuvat toisinaan ulos metsästä säikäyttääkseen ihmisiä. Tämä POKéMON ei pidä siitä, että sen pitkää kuonoa puristetaan.</v>
      </c>
      <c r="C4985" s="9" t="s">
        <v>1344</v>
      </c>
    </row>
    <row r="4986" ht="33.75" customHeight="1">
      <c r="A4986" s="6" t="s">
        <v>7314</v>
      </c>
      <c r="B4986" s="6" t="str">
        <f>IFERROR(__xludf.DUMMYFUNCTION("GOOGLETRANSLATE(A4986,""en"",""fi"")"),"Tämä POKéMON vetää irti päästään olevan lehden ja tekee siitä huilun. NUZLEAFin huilun ääni herättää pelkoa ja epävarmuutta metsään eksyneiden ihmisten sydämissä.")</f>
        <v>Tämä POKéMON vetää irti päästään olevan lehden ja tekee siitä huilun. NUZLEAFin huilun ääni herättää pelkoa ja epävarmuutta metsään eksyneiden ihmisten sydämissä.</v>
      </c>
      <c r="C4986" s="9" t="s">
        <v>1344</v>
      </c>
    </row>
    <row r="4987" ht="33.75" customHeight="1">
      <c r="A4987" s="6" t="s">
        <v>7315</v>
      </c>
      <c r="B4987" s="6" t="str">
        <f>IFERROR(__xludf.DUMMYFUNCTION("GOOGLETRANSLATE(A4987,""en"",""fi"")"),"Metsässä asuva POKéMON, joka on taitava kiipeämään puihin. Sen pitkä ja terävä nenä on sen heikko kohta. Se menettää voimansa, jos nenästä tarttuu kiinni.")</f>
        <v>Metsässä asuva POKéMON, joka on taitava kiipeämään puihin. Sen pitkä ja terävä nenä on sen heikko kohta. Se menettää voimansa, jos nenästä tarttuu kiinni.</v>
      </c>
      <c r="C4987" s="9" t="s">
        <v>1344</v>
      </c>
    </row>
    <row r="4988" ht="33.75" customHeight="1">
      <c r="A4988" s="6" t="s">
        <v>7316</v>
      </c>
      <c r="B4988" s="6" t="str">
        <f>IFERROR(__xludf.DUMMYFUNCTION("GOOGLETRANSLATE(A4988,""en"",""fi"")"),"Ne elävät suurten puiden koloissa. NUZLEAFin ruohohuilun ääni täyttää kuulijat kauhulla.")</f>
        <v>Ne elävät suurten puiden koloissa. NUZLEAFin ruohohuilun ääni täyttää kuulijat kauhulla.</v>
      </c>
      <c r="C4988" s="9" t="s">
        <v>1344</v>
      </c>
    </row>
    <row r="4989" ht="33.75" customHeight="1">
      <c r="A4989" s="6" t="s">
        <v>7318</v>
      </c>
      <c r="B4989" s="6" t="str">
        <f>IFERROR(__xludf.DUMMYFUNCTION("GOOGLETRANSLATE(A4989,""en"",""fi"")"),"Sen ruohohuilun ääni tekee kuulijansa levottomaksi. Se asuu metsien siimeksessä.")</f>
        <v>Sen ruohohuilun ääni tekee kuulijansa levottomaksi. Se asuu metsien siimeksessä.</v>
      </c>
      <c r="C4989" s="9" t="s">
        <v>1344</v>
      </c>
    </row>
    <row r="4990" ht="33.75" customHeight="1">
      <c r="A4990" s="6" t="s">
        <v>7319</v>
      </c>
      <c r="B4990" s="6" t="str">
        <f>IFERROR(__xludf.DUMMYFUNCTION("GOOGLETRANSLATE(A4990,""en"",""fi"")"),"Se elää metsien syvissä uumenissa. Päässään oleva lehti tekee siitä huilun, jonka laulu tekee kuulijat levottomiksi.")</f>
        <v>Se elää metsien syvissä uumenissa. Päässään oleva lehti tekee siitä huilun, jonka laulu tekee kuulijat levottomiksi.</v>
      </c>
      <c r="C4990" s="9" t="s">
        <v>1344</v>
      </c>
    </row>
    <row r="4991" ht="33.75" customHeight="1">
      <c r="A4991" s="6" t="s">
        <v>7321</v>
      </c>
      <c r="B4991" s="6" t="str">
        <f>IFERROR(__xludf.DUMMYFUNCTION("GOOGLETRANSLATE(A4991,""en"",""fi"")"),"Nuzleaf elää tiheästi umpeenkasvaneissa metsissä. Ne uskaltautuvat toisinaan ulos metsästä säikäyttääkseen ihmisiä. Tämä Pokémon ei pidä siitä, että sen pitkää kuonoa puristetaan.")</f>
        <v>Nuzleaf elää tiheästi umpeenkasvaneissa metsissä. Ne uskaltautuvat toisinaan ulos metsästä säikäyttääkseen ihmisiä. Tämä Pokémon ei pidä siitä, että sen pitkää kuonoa puristetaan.</v>
      </c>
      <c r="C4991" s="9" t="s">
        <v>1344</v>
      </c>
    </row>
    <row r="4992" ht="33.75" customHeight="1">
      <c r="A4992" s="6" t="s">
        <v>7323</v>
      </c>
      <c r="B4992" s="6" t="str">
        <f>IFERROR(__xludf.DUMMYFUNCTION("GOOGLETRANSLATE(A4992,""en"",""fi"")"),"Tämä Pokémon vetää irti päästään olevan lehden ja tekee siitä huilun. Nuzleafin huilun ääni herättää pelkoa ja epävarmuutta metsään eksyneiden ihmisten sydämissä.")</f>
        <v>Tämä Pokémon vetää irti päästään olevan lehden ja tekee siitä huilun. Nuzleafin huilun ääni herättää pelkoa ja epävarmuutta metsään eksyneiden ihmisten sydämissä.</v>
      </c>
      <c r="C4992" s="9" t="s">
        <v>1344</v>
      </c>
    </row>
    <row r="4993" ht="33.75" customHeight="1">
      <c r="A4993" s="6" t="s">
        <v>7324</v>
      </c>
      <c r="B4993" s="6" t="str">
        <f>IFERROR(__xludf.DUMMYFUNCTION("GOOGLETRANSLATE(A4993,""en"",""fi"")"),"Ne elävät suurten puiden koloissa. Nuzleafin ruohohuilun ääni täyttää kuulijat kauhulla.")</f>
        <v>Ne elävät suurten puiden koloissa. Nuzleafin ruohohuilun ääni täyttää kuulijat kauhulla.</v>
      </c>
      <c r="C4993" s="9" t="s">
        <v>1344</v>
      </c>
    </row>
    <row r="4994" ht="33.75" customHeight="1">
      <c r="A4994" s="6" t="s">
        <v>7326</v>
      </c>
      <c r="B4994" s="6" t="str">
        <f>IFERROR(__xludf.DUMMYFUNCTION("GOOGLETRANSLATE(A4994,""en"",""fi"")"),"SHIFTRY on mystinen POKéMON, jonka sanotaan elävän yli tuhat vuotta vanhojen korkeiden puiden latvoissa. Se luo mahtavia myrskyjä kantamiensa viuhkojen avulla.")</f>
        <v>SHIFTRY on mystinen POKéMON, jonka sanotaan elävän yli tuhat vuotta vanhojen korkeiden puiden latvoissa. Se luo mahtavia myrskyjä kantamiensa viuhkojen avulla.</v>
      </c>
      <c r="C4994" s="9" t="s">
        <v>1344</v>
      </c>
    </row>
    <row r="4995" ht="33.75" customHeight="1">
      <c r="A4995" s="6" t="s">
        <v>7327</v>
      </c>
      <c r="B4995" s="6" t="str">
        <f>IFERROR(__xludf.DUMMYFUNCTION("GOOGLETRANSLATE(A4995,""en"",""fi"")"),"SHIFTRYn suuret tuulettimet tuottavat mahtavia tuulenpuuskia, joiden nopeus on lähes 30 metriä sekunnissa. Nouseva tuuli puhaltaa kaiken pois. Tämä POKéMON haluaa elää hiljaa metsien syvimmässä rauhassa.")</f>
        <v>SHIFTRYn suuret tuulettimet tuottavat mahtavia tuulenpuuskia, joiden nopeus on lähes 30 metriä sekunnissa. Nouseva tuuli puhaltaa kaiken pois. Tämä POKéMON haluaa elää hiljaa metsien syvimmässä rauhassa.</v>
      </c>
      <c r="C4995" s="9" t="s">
        <v>1344</v>
      </c>
    </row>
    <row r="4996" ht="33.75" customHeight="1">
      <c r="A4996" s="6" t="s">
        <v>7328</v>
      </c>
      <c r="B4996" s="6" t="str">
        <f>IFERROR(__xludf.DUMMYFUNCTION("GOOGLETRANSLATE(A4996,""en"",""fi"")"),"Sen sanotaan saapuvan kylmien, talvisten tuulien mukana. Tätä metsien suojelijana pelättyä POKéMONia on muinoin pidetty syvässä metsässä, jonne ihmiset eivät uskaltaudu.")</f>
        <v>Sen sanotaan saapuvan kylmien, talvisten tuulien mukana. Tätä metsien suojelijana pelättyä POKéMONia on muinoin pidetty syvässä metsässä, jonne ihmiset eivät uskaltaudu.</v>
      </c>
      <c r="C4996" s="9" t="s">
        <v>1344</v>
      </c>
    </row>
    <row r="4997" ht="33.75" customHeight="1">
      <c r="A4997" s="6" t="s">
        <v>7330</v>
      </c>
      <c r="B4997" s="6" t="str">
        <f>IFERROR(__xludf.DUMMYFUNCTION("GOOGLETRANSLATE(A4997,""en"",""fi"")"),"POKéMON, jota pelättiin metsänvartijana. Se pystyy lukemaan vihollisen ajatukset ja ryhtymään ennaltaehkäiseviin toimiin.")</f>
        <v>POKéMON, jota pelättiin metsänvartijana. Se pystyy lukemaan vihollisen ajatukset ja ryhtymään ennaltaehkäiseviin toimiin.</v>
      </c>
      <c r="C4997" s="9" t="s">
        <v>1344</v>
      </c>
    </row>
    <row r="4998" ht="33.75" customHeight="1">
      <c r="A4998" s="6" t="s">
        <v>7331</v>
      </c>
      <c r="B4998" s="6" t="str">
        <f>IFERROR(__xludf.DUMMYFUNCTION("GOOGLETRANSLATE(A4998,""en"",""fi"")"),"Läpyttelemällä lehtiviuhkaansa se voi nostattaa 30 metrin sekuntivauhtia olevia tuulenpuuskia, jotka voivat maan tasalle kaataa taloja.")</f>
        <v>Läpyttelemällä lehtiviuhkaansa se voi nostattaa 30 metrin sekuntivauhtia olevia tuulenpuuskia, jotka voivat maan tasalle kaataa taloja.</v>
      </c>
      <c r="C4998" s="9" t="s">
        <v>1344</v>
      </c>
    </row>
    <row r="4999" ht="33.75" customHeight="1">
      <c r="A4999" s="6" t="s">
        <v>7332</v>
      </c>
      <c r="B4999" s="6" t="str">
        <f>IFERROR(__xludf.DUMMYFUNCTION("GOOGLETRANSLATE(A4999,""en"",""fi"")"),"Se elää hiljaa syvässä metsässä. Sen sanotaan luovan viileitä talvituulia pitämillään viuhkoilla.")</f>
        <v>Se elää hiljaa syvässä metsässä. Sen sanotaan luovan viileitä talvituulia pitämillään viuhkoilla.</v>
      </c>
      <c r="C4999" s="9" t="s">
        <v>1344</v>
      </c>
    </row>
    <row r="5000" ht="33.75" customHeight="1">
      <c r="A5000" s="6" t="s">
        <v>7333</v>
      </c>
      <c r="B5000" s="6" t="str">
        <f>IFERROR(__xludf.DUMMYFUNCTION("GOOGLETRANSLATE(A5000,""en"",""fi"")"),"Pokémon, jota pelättiin metsänvartijana. Se pystyy lukemaan vihollisen ajatukset ja ryhtymään ennaltaehkäiseviin toimiin.")</f>
        <v>Pokémon, jota pelättiin metsänvartijana. Se pystyy lukemaan vihollisen ajatukset ja ryhtymään ennaltaehkäiseviin toimiin.</v>
      </c>
      <c r="C5000" s="9" t="s">
        <v>1344</v>
      </c>
    </row>
    <row r="5001" ht="33.75" customHeight="1">
      <c r="A5001" s="6" t="s">
        <v>7334</v>
      </c>
      <c r="B5001" s="6" t="str">
        <f>IFERROR(__xludf.DUMMYFUNCTION("GOOGLETRANSLATE(A5001,""en"",""fi"")"),"Läpyttelemällä lehtiviuhkaansa se voi nostattaa 30 metrin tuulenpuuskia sekunnissa, jotka voivat tasoittaa taloja.")</f>
        <v>Läpyttelemällä lehtiviuhkaansa se voi nostattaa 30 metrin tuulenpuuskia sekunnissa, jotka voivat tasoittaa taloja.</v>
      </c>
      <c r="C5001" s="9" t="s">
        <v>1344</v>
      </c>
    </row>
    <row r="5002" ht="33.75" customHeight="1">
      <c r="A5002" s="6" t="s">
        <v>7335</v>
      </c>
      <c r="B5002" s="6" t="str">
        <f>IFERROR(__xludf.DUMMYFUNCTION("GOOGLETRANSLATE(A5002,""en"",""fi"")"),"Shiftry on salaperäinen Pokémon, jonka sanotaan elävän yli tuhat vuotta vanhojen korkeiden puiden latvoissa. Se luo mahtavia myrskyjä pitelemillään viuhkoilla.")</f>
        <v>Shiftry on salaperäinen Pokémon, jonka sanotaan elävän yli tuhat vuotta vanhojen korkeiden puiden latvoissa. Se luo mahtavia myrskyjä pitelemillään viuhkoilla.</v>
      </c>
      <c r="C5002" s="9" t="s">
        <v>1344</v>
      </c>
    </row>
    <row r="5003" ht="33.75" customHeight="1">
      <c r="A5003" s="6" t="s">
        <v>7337</v>
      </c>
      <c r="B5003" s="6" t="str">
        <f>IFERROR(__xludf.DUMMYFUNCTION("GOOGLETRANSLATE(A5003,""en"",""fi"")"),"Shiftryn suuret viuhkat tuottavat mahtavia tuulenpuuskia, joiden nopeus on lähes 30 metriä sekunnissa. Nouseva tuuli puhaltaa kaiken pois. Tämä Pokémon haluaa elää hiljaa metsien syvimmässä rauhassa.")</f>
        <v>Shiftryn suuret viuhkat tuottavat mahtavia tuulenpuuskia, joiden nopeus on lähes 30 metriä sekunnissa. Nouseva tuuli puhaltaa kaiken pois. Tämä Pokémon haluaa elää hiljaa metsien syvimmässä rauhassa.</v>
      </c>
      <c r="C5003" s="9" t="s">
        <v>1344</v>
      </c>
    </row>
    <row r="5004" ht="33.75" customHeight="1">
      <c r="A5004" s="6" t="s">
        <v>7338</v>
      </c>
      <c r="B5004" s="6" t="str">
        <f>IFERROR(__xludf.DUMMYFUNCTION("GOOGLETRANSLATE(A5004,""en"",""fi"")"),"TAILLOW puolustaa rohkeasti vihollisia vastaan, olivatpa ne kuinka vahvoja tahansa. Tämä urhea POKéMON pysyy uhmakkaana jopa tappion jälkeen. Toisaalta se itkee äänekkäästi, jos sillä on nälkä.")</f>
        <v>TAILLOW puolustaa rohkeasti vihollisia vastaan, olivatpa ne kuinka vahvoja tahansa. Tämä urhea POKéMON pysyy uhmakkaana jopa tappion jälkeen. Toisaalta se itkee äänekkäästi, jos sillä on nälkä.</v>
      </c>
      <c r="C5004" s="9" t="s">
        <v>1344</v>
      </c>
    </row>
    <row r="5005" ht="33.75" customHeight="1">
      <c r="A5005" s="6" t="s">
        <v>7340</v>
      </c>
      <c r="B5005" s="6" t="str">
        <f>IFERROR(__xludf.DUMMYFUNCTION("GOOGLETRANSLATE(A5005,""en"",""fi"")"),"HÄNTÄ on nuori – se on juuri lähtenyt pesästään. Tämän seurauksena siitä tulee joskus yksinäinen ja se itkee öisin. Tämä POKéMON syö metsissä eläviä WURMPLE-hyönteisiä.")</f>
        <v>HÄNTÄ on nuori – se on juuri lähtenyt pesästään. Tämän seurauksena siitä tulee joskus yksinäinen ja se itkee öisin. Tämä POKéMON syö metsissä eläviä WURMPLE-hyönteisiä.</v>
      </c>
      <c r="C5005" s="9" t="s">
        <v>1344</v>
      </c>
    </row>
    <row r="5006" ht="33.75" customHeight="1">
      <c r="A5006" s="6" t="s">
        <v>7343</v>
      </c>
      <c r="B5006" s="6" t="str">
        <f>IFERROR(__xludf.DUMMYFUNCTION("GOOGLETRANSLATE(A5006,""en"",""fi"")"),"Vaikka se on pieni, se on erittäin rohkea. Se ottaa yhteen suuremman SKARMORYn kanssa tasavertaisin joukoin. Sen tahto kuitenkin heikkenee, jos se tulee nälkäiseksi.")</f>
        <v>Vaikka se on pieni, se on erittäin rohkea. Se ottaa yhteen suuremman SKARMORYn kanssa tasavertaisin joukoin. Sen tahto kuitenkin heikkenee, jos se tulee nälkäiseksi.</v>
      </c>
      <c r="C5006" s="9" t="s">
        <v>1344</v>
      </c>
    </row>
    <row r="5007" ht="33.75" customHeight="1">
      <c r="A5007" s="6" t="s">
        <v>7345</v>
      </c>
      <c r="B5007" s="6" t="str">
        <f>IFERROR(__xludf.DUMMYFUNCTION("GOOGLETRANSLATE(A5007,""en"",""fi"")"),"Se ei pidä kylmistä vuodenajoista. Ne muuttavat muille maille etsimään lämpöä ja lentävät yli 290 kilometriä päivässä.")</f>
        <v>Se ei pidä kylmistä vuodenajoista. Ne muuttavat muille maille etsimään lämpöä ja lentävät yli 290 kilometriä päivässä.</v>
      </c>
      <c r="C5007" s="9" t="s">
        <v>1344</v>
      </c>
    </row>
    <row r="5008" ht="33.75" customHeight="1">
      <c r="A5008" s="6" t="s">
        <v>7346</v>
      </c>
      <c r="B5008" s="6" t="str">
        <f>IFERROR(__xludf.DUMMYFUNCTION("GOOGLETRANSLATE(A5008,""en"",""fi"")"),"Sillä on rohkea luonne, jonka ansiosta se uskaltaa ottaa yhteen kovien vihollisten kanssa. Se lentää etsien lämpimiä ilmastoja.")</f>
        <v>Sillä on rohkea luonne, jonka ansiosta se uskaltaa ottaa yhteen kovien vihollisten kanssa. Se lentää etsien lämpimiä ilmastoja.</v>
      </c>
      <c r="C5008" s="9" t="s">
        <v>1344</v>
      </c>
    </row>
    <row r="5009" ht="33.75" customHeight="1">
      <c r="A5009" s="6" t="s">
        <v>7348</v>
      </c>
      <c r="B5009" s="6" t="str">
        <f>IFERROR(__xludf.DUMMYFUNCTION("GOOGLETRANSLATE(A5009,""en"",""fi"")"),"Kun ilma kylmenee, ne muuttavat ja lentävät yli 290 kilometriä päivässä. Ne metsästävät maukasta saalista.")</f>
        <v>Kun ilma kylmenee, ne muuttavat ja lentävät yli 290 kilometriä päivässä. Ne metsästävät maukasta saalista.</v>
      </c>
      <c r="C5009" s="9" t="s">
        <v>1344</v>
      </c>
    </row>
    <row r="5010" ht="33.75" customHeight="1">
      <c r="A5010" s="6" t="s">
        <v>7350</v>
      </c>
      <c r="B5010" s="6" t="str">
        <f>IFERROR(__xludf.DUMMYFUNCTION("GOOGLETRANSLATE(A5010,""en"",""fi"")"),"Taillow puolustaa rohkeasti vihollisia vastaan, olivatpa ne kuinka vahvoja tahansa. Tämä urhea Pokémon pysyy uhmakkaana jopa tappion jälkeen. Toisaalta se itkee äänekkäästi, jos se tulee nälkäiseksi.")</f>
        <v>Taillow puolustaa rohkeasti vihollisia vastaan, olivatpa ne kuinka vahvoja tahansa. Tämä urhea Pokémon pysyy uhmakkaana jopa tappion jälkeen. Toisaalta se itkee äänekkäästi, jos se tulee nälkäiseksi.</v>
      </c>
      <c r="C5010" s="9" t="s">
        <v>1344</v>
      </c>
    </row>
    <row r="5011" ht="33.75" customHeight="1">
      <c r="A5011" s="6" t="s">
        <v>7352</v>
      </c>
      <c r="B5011" s="6" t="str">
        <f>IFERROR(__xludf.DUMMYFUNCTION("GOOGLETRANSLATE(A5011,""en"",""fi"")"),"Taillow on nuori – se on juuri lähtenyt pesästään. Tämän seurauksena siitä tulee joskus yksinäinen ja se itkee öisin. Tämä Pokémon syö metsissä eläviä wurmpleja.")</f>
        <v>Taillow on nuori – se on juuri lähtenyt pesästään. Tämän seurauksena siitä tulee joskus yksinäinen ja se itkee öisin. Tämä Pokémon syö metsissä eläviä wurmpleja.</v>
      </c>
      <c r="C5011" s="9" t="s">
        <v>1344</v>
      </c>
    </row>
    <row r="5012" ht="33.75" customHeight="1">
      <c r="A5012" s="6" t="s">
        <v>7354</v>
      </c>
      <c r="B5012" s="6" t="str">
        <f>IFERROR(__xludf.DUMMYFUNCTION("GOOGLETRANSLATE(A5012,""en"",""fi"")"),"SWELLOW lentää korkealla päämme yläpuolella ja tekee siroja kaaria taivaalla. Tämä POKéMON syöksyy jyrkässä kulmassa heti nähtyään saaliinsa. SWELLOW'n kynnelliset jalat pitävät onnetonta saalista tiukasti otteessaan estäen sitä pakenemasta.")</f>
        <v>SWELLOW lentää korkealla päämme yläpuolella ja tekee siroja kaaria taivaalla. Tämä POKéMON syöksyy jyrkässä kulmassa heti nähtyään saaliinsa. SWELLOW'n kynnelliset jalat pitävät onnetonta saalista tiukasti otteessaan estäen sitä pakenemasta.</v>
      </c>
      <c r="C5012" s="9" t="s">
        <v>1344</v>
      </c>
    </row>
    <row r="5013" ht="33.75" customHeight="1">
      <c r="A5013" s="6" t="s">
        <v>7356</v>
      </c>
      <c r="B5013" s="6" t="str">
        <f>IFERROR(__xludf.DUMMYFUNCTION("GOOGLETRANSLATE(A5013,""en"",""fi"")"),"SWELLOW on erittäin tunnollinen kiiltävien siipiensä hoidossa. Kun kaksi SWELLOW'ta on koottu yhteen, ne huolehtivat ahkerasti toistensa siipien puhdistamisesta.")</f>
        <v>SWELLOW on erittäin tunnollinen kiiltävien siipiensä hoidossa. Kun kaksi SWELLOW'ta on koottu yhteen, ne huolehtivat ahkerasti toistensa siipien puhdistamisesta.</v>
      </c>
      <c r="C5013" s="9" t="s">
        <v>1344</v>
      </c>
    </row>
    <row r="5014" ht="33.75" customHeight="1">
      <c r="A5014" s="6" t="s">
        <v>7359</v>
      </c>
      <c r="B5014" s="6" t="str">
        <f>IFERROR(__xludf.DUMMYFUNCTION("GOOGLETRANSLATE(A5014,""en"",""fi"")"),"SWELLOW syöksyy saaliin kimppuun kaukaa. Se ei koskaan osu kohteisiinsa ohi. Se nousee taivaalle etsimään lämpimän ilmaston maita.")</f>
        <v>SWELLOW syöksyy saaliin kimppuun kaukaa. Se ei koskaan osu kohteisiinsa ohi. Se nousee taivaalle etsimään lämpimän ilmaston maita.</v>
      </c>
      <c r="C5014" s="9" t="s">
        <v>1344</v>
      </c>
    </row>
    <row r="5015" ht="33.75" customHeight="1">
      <c r="A5015" s="6" t="s">
        <v>7361</v>
      </c>
      <c r="B5015" s="6" t="str">
        <f>IFERROR(__xludf.DUMMYFUNCTION("GOOGLETRANSLATE(A5015,""en"",""fi"")"),"Jos sen kaksi pyrstösulkaa ovat asennossa, se on osoitus hyvästä terveydestä. Se liitää tyylikkäästi taivaalla.")</f>
        <v>Jos sen kaksi pyrstösulkaa ovat asennossa, se on osoitus hyvästä terveydestä. Se liitää tyylikkäästi taivaalla.</v>
      </c>
      <c r="C5015" s="9" t="s">
        <v>1344</v>
      </c>
    </row>
    <row r="5016" ht="33.75" customHeight="1">
      <c r="A5016" s="6" t="s">
        <v>7362</v>
      </c>
      <c r="B5016" s="6" t="str">
        <f>IFERROR(__xludf.DUMMYFUNCTION("GOOGLETRANSLATE(A5016,""en"",""fi"")"),"Se kiertää taivasta etsien saalista. Havaittuaan sellaisen se sukeltaa jyrkästi saalista nappaamaan.")</f>
        <v>Se kiertää taivasta etsien saalista. Havaittuaan sellaisen se sukeltaa jyrkästi saalista nappaamaan.</v>
      </c>
      <c r="C5016" s="9" t="s">
        <v>1344</v>
      </c>
    </row>
    <row r="5017" ht="33.75" customHeight="1">
      <c r="A5017" s="6" t="s">
        <v>7364</v>
      </c>
      <c r="B5017" s="6" t="str">
        <f>IFERROR(__xludf.DUMMYFUNCTION("GOOGLETRANSLATE(A5017,""en"",""fi"")"),"Se sukeltaa jyrkässä kulmassa heti nähtyään saaliinsa. Se pyydystää saaliinsa terävillä kynsillään.")</f>
        <v>Se sukeltaa jyrkässä kulmassa heti nähtyään saaliinsa. Se pyydystää saaliinsa terävillä kynsillään.</v>
      </c>
      <c r="C5017" s="9" t="s">
        <v>1344</v>
      </c>
    </row>
    <row r="5018" ht="33.75" customHeight="1">
      <c r="A5018" s="6" t="s">
        <v>7365</v>
      </c>
      <c r="B5018" s="6" t="str">
        <f>IFERROR(__xludf.DUMMYFUNCTION("GOOGLETRANSLATE(A5018,""en"",""fi"")"),"Swellow lentää korkealla päämme yläpuolella tehden siroja kaaria taivaalla. Tämä Pokémon syöksyy jyrkässä kulmassa heti nähtyään saaliinsa. Swellow'n kynnelliset jalat pitävät onnetonta saalista tiukasti otteessaan estäen sitä pakenemasta.")</f>
        <v>Swellow lentää korkealla päämme yläpuolella tehden siroja kaaria taivaalla. Tämä Pokémon syöksyy jyrkässä kulmassa heti nähtyään saaliinsa. Swellow'n kynnelliset jalat pitävät onnetonta saalista tiukasti otteessaan estäen sitä pakenemasta.</v>
      </c>
      <c r="C5018" s="9" t="s">
        <v>1344</v>
      </c>
    </row>
    <row r="5019" ht="33.75" customHeight="1">
      <c r="A5019" s="6" t="s">
        <v>7366</v>
      </c>
      <c r="B5019" s="6" t="str">
        <f>IFERROR(__xludf.DUMMYFUNCTION("GOOGLETRANSLATE(A5019,""en"",""fi"")"),"Swallow on erittäin tunnollinen kiiltävien siipiensä hoidossa. Kun kaksi Swallow'ta on kerätty yhteen, ne huolehtivat ahkerasti toistensa siipien puhdistamisesta.")</f>
        <v>Swallow on erittäin tunnollinen kiiltävien siipiensä hoidossa. Kun kaksi Swallow'ta on kerätty yhteen, ne huolehtivat ahkerasti toistensa siipien puhdistamisesta.</v>
      </c>
      <c r="C5019" s="9" t="s">
        <v>1344</v>
      </c>
    </row>
    <row r="5020" ht="33.75" customHeight="1">
      <c r="A5020" s="6" t="s">
        <v>7367</v>
      </c>
      <c r="B5020" s="6" t="str">
        <f>IFERROR(__xludf.DUMMYFUNCTION("GOOGLETRANSLATE(A5020,""en"",""fi"")"),"WINGULLilla on tapana kantaa saalista ja arvoesineitä nokassaan ja piilottaa niitä kaikenlaisiin paikkoihin. Tämä POKéMON ratsastaa tuulessa ja lentää kuin se luistelisi taivaalla.")</f>
        <v>WINGULLilla on tapana kantaa saalista ja arvoesineitä nokassaan ja piilottaa niitä kaikenlaisiin paikkoihin. Tämä POKéMON ratsastaa tuulessa ja lentää kuin se luistelisi taivaalla.</v>
      </c>
      <c r="C5020" s="9" t="s">
        <v>1344</v>
      </c>
    </row>
    <row r="5021" ht="33.75" customHeight="1">
      <c r="A5021" s="6" t="s">
        <v>7369</v>
      </c>
      <c r="B5021" s="6" t="str">
        <f>IFERROR(__xludf.DUMMYFUNCTION("GOOGLETRANSLATE(A5021,""en"",""fi"")"),"WINGULL ratsastaa merestä nousevien ilmavirtausten päällä ojentamalla pitkiä ja kapeita siipiään liitääkseen. Tämän POKéMONin pitkä nokka on hyödyllinen saaliin pyydystämiseen.")</f>
        <v>WINGULL ratsastaa merestä nousevien ilmavirtausten päällä ojentamalla pitkiä ja kapeita siipiään liitääkseen. Tämän POKéMONin pitkä nokka on hyödyllinen saaliin pyydystämiseen.</v>
      </c>
      <c r="C5021" s="9" t="s">
        <v>1344</v>
      </c>
    </row>
    <row r="5022" ht="33.75" customHeight="1">
      <c r="A5022" s="6" t="s">
        <v>7370</v>
      </c>
      <c r="B5022" s="6" t="str">
        <f>IFERROR(__xludf.DUMMYFUNCTION("GOOGLETRANSLATE(A5022,""en"",""fi"")"),"Se tekee pesänsä jyrkänteelle meren reunalla. Sillä on vaikeuksia pitää siipensä räpytellen lennon aikana. Sen sijaan se nousee ilmaan ylävirtausten mukana.")</f>
        <v>Se tekee pesänsä jyrkänteelle meren reunalla. Sillä on vaikeuksia pitää siipensä räpytellen lennon aikana. Sen sijaan se nousee ilmaan ylävirtausten mukana.</v>
      </c>
      <c r="C5022" s="9" t="s">
        <v>1344</v>
      </c>
    </row>
    <row r="5023" ht="33.75" customHeight="1">
      <c r="A5023" s="6" t="s">
        <v>7371</v>
      </c>
      <c r="B5023" s="6" t="str">
        <f>IFERROR(__xludf.DUMMYFUNCTION("GOOGLETRANSLATE(A5023,""en"",""fi"")"),"Se ratsastaa merituulien päällä kuin liitokone. Talvella se piilottaa ruokaa pesänsä ympärille.")</f>
        <v>Se ratsastaa merituulien päällä kuin liitokone. Talvella se piilottaa ruokaa pesänsä ympärille.</v>
      </c>
      <c r="C5023" s="9" t="s">
        <v>1344</v>
      </c>
    </row>
    <row r="5024" ht="33.75" customHeight="1">
      <c r="A5024" s="6" t="s">
        <v>7372</v>
      </c>
      <c r="B5024" s="6" t="str">
        <f>IFERROR(__xludf.DUMMYFUNCTION("GOOGLETRANSLATE(A5024,""en"",""fi"")"),"Se tekee pesänsä jyrkille merenrantakallioille. Nousuvirtausten ratsastamana se kohoaa suuriin korkeuksiin.")</f>
        <v>Se tekee pesänsä jyrkille merenrantakallioille. Nousuvirtausten ratsastamana se kohoaa suuriin korkeuksiin.</v>
      </c>
      <c r="C5024" s="9" t="s">
        <v>1344</v>
      </c>
    </row>
    <row r="5025" ht="33.75" customHeight="1">
      <c r="A5025" s="6" t="s">
        <v>7373</v>
      </c>
      <c r="B5025" s="6" t="str">
        <f>IFERROR(__xludf.DUMMYFUNCTION("GOOGLETRANSLATE(A5025,""en"",""fi"")"),"Se pyydystää merituulia pitkillä siivillään ja liitää kuin liitokone. Se taittaa siipensä levätäkseen.")</f>
        <v>Se pyydystää merituulia pitkillä siivillään ja liitää kuin liitokone. Se taittaa siipensä levätäkseen.</v>
      </c>
      <c r="C5025" s="9" t="s">
        <v>1344</v>
      </c>
    </row>
    <row r="5026" ht="33.75" customHeight="1">
      <c r="A5026" s="6" t="s">
        <v>7374</v>
      </c>
      <c r="B5026" s="6" t="str">
        <f>IFERROR(__xludf.DUMMYFUNCTION("GOOGLETRANSLATE(A5026,""en"",""fi"")"),"Se liitää korkealla taivaalla nousevien ilmavirtojen varassa kuin liitokone. Se kantaa ruokaa nokassaan.")</f>
        <v>Se liitää korkealla taivaalla nousevien ilmavirtojen varassa kuin liitokone. Se kantaa ruokaa nokassaan.</v>
      </c>
      <c r="C5026" s="9" t="s">
        <v>1344</v>
      </c>
    </row>
    <row r="5027" ht="33.75" customHeight="1">
      <c r="A5027" s="6" t="s">
        <v>7376</v>
      </c>
      <c r="B5027" s="6" t="str">
        <f>IFERROR(__xludf.DUMMYFUNCTION("GOOGLETRANSLATE(A5027,""en"",""fi"")"),"Se liitää ylävirtauksissa räpyttelemättä siipiään. Se tekee pesän jyrkille kallioille meren reunalla.")</f>
        <v>Se liitää ylävirtauksissa räpyttelemättä siipiään. Se tekee pesän jyrkille kallioille meren reunalla.</v>
      </c>
      <c r="C5027" s="9" t="s">
        <v>1344</v>
      </c>
    </row>
    <row r="5028" ht="33.75" customHeight="1">
      <c r="A5028" s="6" t="s">
        <v>7377</v>
      </c>
      <c r="B5028" s="6" t="str">
        <f>IFERROR(__xludf.DUMMYFUNCTION("GOOGLETRANSLATE(A5028,""en"",""fi"")"),"Se tekee pesänsä jyrkille kallioille. Merituulen ratsastaessa se liitää avarille taivaille.")</f>
        <v>Se tekee pesänsä jyrkille kallioille. Merituulen ratsastaessa se liitää avarille taivaille.</v>
      </c>
      <c r="C5028" s="9" t="s">
        <v>1344</v>
      </c>
    </row>
    <row r="5029" ht="33.75" customHeight="1">
      <c r="A5029" s="6" t="s">
        <v>7378</v>
      </c>
      <c r="B5029" s="6" t="str">
        <f>IFERROR(__xludf.DUMMYFUNCTION("GOOGLETRANSLATE(A5029,""en"",""fi"")"),"Wingullilla on tapana kantaa saalista ja arvoesineitä nokassaan ja piilottaa niitä kaikenlaisiin paikkoihin. Tämä Pokémon ratsastaa tuulessa ja lentää kuin se luistelisi taivaalla.")</f>
        <v>Wingullilla on tapana kantaa saalista ja arvoesineitä nokassaan ja piilottaa niitä kaikenlaisiin paikkoihin. Tämä Pokémon ratsastaa tuulessa ja lentää kuin se luistelisi taivaalla.</v>
      </c>
      <c r="C5029" s="9" t="s">
        <v>1344</v>
      </c>
    </row>
    <row r="5030" ht="33.75" customHeight="1">
      <c r="A5030" s="6" t="s">
        <v>7379</v>
      </c>
      <c r="B5030" s="6" t="str">
        <f>IFERROR(__xludf.DUMMYFUNCTION("GOOGLETRANSLATE(A5030,""en"",""fi"")"),"Wingull ratsastaa merestä nousevien ilmavirtausten päällä ojentamalla pitkiä ja kapeita siipiään liitääkseen. Tämän Pokémonin pitkä nokka on hyödyllinen saaliin pyydystämiseen.")</f>
        <v>Wingull ratsastaa merestä nousevien ilmavirtausten päällä ojentamalla pitkiä ja kapeita siipiään liitääkseen. Tämän Pokémonin pitkä nokka on hyödyllinen saaliin pyydystämiseen.</v>
      </c>
      <c r="C5030" s="9" t="s">
        <v>1344</v>
      </c>
    </row>
    <row r="5031" ht="33.75" customHeight="1">
      <c r="A5031" s="6" t="s">
        <v>7380</v>
      </c>
      <c r="B5031" s="6" t="str">
        <f>IFERROR(__xludf.DUMMYFUNCTION("GOOGLETRANSLATE(A5031,""en"",""fi"")"),"Sen ontot luut lisäävät sen keveyttä. Se levittää siipensä tuuleen ja kohoaa taivaalle.")</f>
        <v>Sen ontot luut lisäävät sen keveyttä. Se levittää siipensä tuuleen ja kohoaa taivaalle.</v>
      </c>
      <c r="C5031" s="9" t="s">
        <v>1344</v>
      </c>
    </row>
    <row r="5032" ht="33.75" customHeight="1">
      <c r="A5032" s="6" t="s">
        <v>7382</v>
      </c>
      <c r="B5032" s="6" t="str">
        <f>IFERROR(__xludf.DUMMYFUNCTION("GOOGLETRANSLATE(A5032,""en"",""fi"")"),"Kalastajat pitävät silmällä Wingullia taivaalla, sillä missä tahansa he liikkuvatkin, valtameri kuhisee varmasti kala-Pokémoneja.")</f>
        <v>Kalastajat pitävät silmällä Wingullia taivaalla, sillä missä tahansa he liikkuvatkin, valtameri kuhisee varmasti kala-Pokémoneja.</v>
      </c>
      <c r="C5032" s="9" t="s">
        <v>1344</v>
      </c>
    </row>
    <row r="5033" ht="33.75" customHeight="1">
      <c r="A5033" s="6" t="s">
        <v>7384</v>
      </c>
      <c r="B5033" s="6" t="str">
        <f>IFERROR(__xludf.DUMMYFUNCTION("GOOGLETRANSLATE(A5033,""en"",""fi"")"),"Pitkillä, ohuilla siivillään se nappaa yläilmavirtauksia ja lentää liitokoneen tavoin korkealle taivaalle.")</f>
        <v>Pitkillä, ohuilla siivillään se nappaa yläilmavirtauksia ja lentää liitokoneen tavoin korkealle taivaalle.</v>
      </c>
      <c r="C5033" s="9" t="s">
        <v>1344</v>
      </c>
    </row>
    <row r="5034" ht="33.75" customHeight="1">
      <c r="A5034" s="6" t="s">
        <v>7385</v>
      </c>
      <c r="B5034" s="6" t="str">
        <f>IFERROR(__xludf.DUMMYFUNCTION("GOOGLETRANSLATE(A5034,""en"",""fi"")"),"Se rakentaa pesiä merenrantakallioille. Se kiertää valtameren yllä taivaita etsien lempiruokaansa – wishiwashia.")</f>
        <v>Se rakentaa pesiä merenrantakallioille. Se kiertää valtameren yllä taivaita etsien lempiruokaansa – wishiwashia.</v>
      </c>
      <c r="C5034" s="9" t="s">
        <v>1344</v>
      </c>
    </row>
    <row r="5035" ht="33.75" customHeight="1">
      <c r="A5035" s="6" t="s">
        <v>7386</v>
      </c>
      <c r="B5035" s="6" t="str">
        <f>IFERROR(__xludf.DUMMYFUNCTION("GOOGLETRANSLATE(A5035,""en"",""fi"")"),"PELIPPER on lentävä kuljetusalus, joka kuljettaa pieniä POKéMONeja ja munia valtavan nokkansa sisällä. Tämä POKéMON rakentaa pesänsä jyrkille kallioille, jotka ovat meren rannalla.")</f>
        <v>PELIPPER on lentävä kuljetusalus, joka kuljettaa pieniä POKéMONeja ja munia valtavan nokkansa sisällä. Tämä POKéMON rakentaa pesänsä jyrkille kallioille, jotka ovat meren rannalla.</v>
      </c>
      <c r="C5035" s="9" t="s">
        <v>1344</v>
      </c>
    </row>
    <row r="5036" ht="33.75" customHeight="1">
      <c r="A5036" s="6" t="s">
        <v>7387</v>
      </c>
      <c r="B5036" s="6" t="str">
        <f>IFERROR(__xludf.DUMMYFUNCTION("GOOGLETRANSLATE(A5036,""en"",""fi"")"),"PELIPPER etsii ruokaa lennon aikana liitämällä aaltojen harjoja. Tämä POKéMON upottaa suuren nokkansa mereen kerätäkseen ruokaa ja nielee sitten kaiken yhdellä isolla kulauksella.")</f>
        <v>PELIPPER etsii ruokaa lennon aikana liitämällä aaltojen harjoja. Tämä POKéMON upottaa suuren nokkansa mereen kerätäkseen ruokaa ja nielee sitten kaiken yhdellä isolla kulauksella.</v>
      </c>
      <c r="C5036" s="9" t="s">
        <v>1344</v>
      </c>
    </row>
    <row r="5037" ht="33.75" customHeight="1">
      <c r="A5037" s="6" t="s">
        <v>7389</v>
      </c>
      <c r="B5037" s="6" t="str">
        <f>IFERROR(__xludf.DUMMYFUNCTION("GOOGLETRANSLATE(A5037,""en"",""fi"")"),"Se liitää aaltojen harjoja lentäessään. Havaitessaan saaliin se käyttää suurta nokkaansa nostaakseen sen vedellä. Se suojaa muniaan nokassaan.")</f>
        <v>Se liitää aaltojen harjoja lentäessään. Havaitessaan saaliin se käyttää suurta nokkaansa nostaakseen sen vedellä. Se suojaa muniaan nokassaan.</v>
      </c>
      <c r="C5037" s="9" t="s">
        <v>1344</v>
      </c>
    </row>
    <row r="5038" ht="33.75" customHeight="1">
      <c r="A5038" s="6" t="s">
        <v>7392</v>
      </c>
      <c r="B5038" s="6" t="str">
        <f>IFERROR(__xludf.DUMMYFUNCTION("GOOGLETRANSLATE(A5038,""en"",""fi"")"),"Se on lentävä kuljetusalus, joka kuljettaa pieniä POKéMONEJA nokassaan. Se kelluu aalloilla lepuuttaakseen siipiään.")</f>
        <v>Se on lentävä kuljetusalus, joka kuljettaa pieniä POKéMONEJA nokassaan. Se kelluu aalloilla lepuuttaakseen siipiään.</v>
      </c>
      <c r="C5038" s="9" t="s">
        <v>1344</v>
      </c>
    </row>
    <row r="5039" ht="33.75" customHeight="1">
      <c r="A5039" s="6" t="s">
        <v>7394</v>
      </c>
      <c r="B5039" s="6" t="str">
        <f>IFERROR(__xludf.DUMMYFUNCTION("GOOGLETRANSLATE(A5039,""en"",""fi"")"),"Se upottaa suuren nokkansa mereen ja kauhoaa sitten mukanaan lukuisia saaliseläimiä veden mukana.")</f>
        <v>Se upottaa suuren nokkansa mereen ja kauhoaa sitten mukanaan lukuisia saaliseläimiä veden mukana.</v>
      </c>
      <c r="C5039" s="9" t="s">
        <v>1344</v>
      </c>
    </row>
    <row r="5040" ht="33.75" customHeight="1">
      <c r="A5040" s="6" t="s">
        <v>7395</v>
      </c>
      <c r="B5040" s="6" t="str">
        <f>IFERROR(__xludf.DUMMYFUNCTION("GOOGLETRANSLATE(A5040,""en"",""fi"")"),"Se toimii lähettipalveluna kantamalla pieniä Pokémoneja nokassaan. Se kelluu aalloilla levätäkseen.")</f>
        <v>Se toimii lähettipalveluna kantamalla pieniä Pokémoneja nokassaan. Se kelluu aalloilla levätäkseen.</v>
      </c>
      <c r="C5040" s="9" t="s">
        <v>1344</v>
      </c>
    </row>
    <row r="5041" ht="33.75" customHeight="1">
      <c r="A5041" s="6" t="s">
        <v>7396</v>
      </c>
      <c r="B5041" s="6" t="str">
        <f>IFERROR(__xludf.DUMMYFUNCTION("GOOGLETRANSLATE(A5041,""en"",""fi"")"),"Se on taivaan sanansaattaja, joka kuljettaa pieniä Pokémoneja ja munia turvaan nokassaan.")</f>
        <v>Se on taivaan sanansaattaja, joka kuljettaa pieniä Pokémoneja ja munia turvaan nokassaan.</v>
      </c>
      <c r="C5041" s="9" t="s">
        <v>1344</v>
      </c>
    </row>
    <row r="5042" ht="33.75" customHeight="1">
      <c r="A5042" s="6" t="s">
        <v>7398</v>
      </c>
      <c r="B5042" s="6" t="str">
        <f>IFERROR(__xludf.DUMMYFUNCTION("GOOGLETRANSLATE(A5042,""en"",""fi"")"),"Se suojelee poikasiaan nokassaan. Se kelluu aalloilla ja lepää niillä tyyninä päivinä.")</f>
        <v>Se suojelee poikasiaan nokassaan. Se kelluu aalloilla ja lepää niillä tyyninä päivinä.</v>
      </c>
      <c r="C5042" s="9" t="s">
        <v>1344</v>
      </c>
    </row>
    <row r="5043" ht="33.75" customHeight="1">
      <c r="A5043" s="6" t="s">
        <v>7399</v>
      </c>
      <c r="B5043" s="6" t="str">
        <f>IFERROR(__xludf.DUMMYFUNCTION("GOOGLETRANSLATE(A5043,""en"",""fi"")"),"Se kahlaa veden pintaa pitkin, upottaa suuren nokkansa mereen, ahmii mukaansa ruokaa ja vettä ja kantaa niitä.")</f>
        <v>Se kahlaa veden pintaa pitkin, upottaa suuren nokkansa mereen, ahmii mukaansa ruokaa ja vettä ja kantaa niitä.</v>
      </c>
      <c r="C5043" s="9" t="s">
        <v>1344</v>
      </c>
    </row>
    <row r="5044" ht="33.75" customHeight="1">
      <c r="A5044" s="6" t="s">
        <v>7401</v>
      </c>
      <c r="B5044" s="6" t="str">
        <f>IFERROR(__xludf.DUMMYFUNCTION("GOOGLETRANSLATE(A5044,""en"",""fi"")"),"Pelipper on lentävä kuljetusalus, joka kuljettaa pieniä Pokémoneja ja munia valtavan nokkansa sisällä. Tämä Pokémon rakentaa pesänsä jyrkille kallioille, jotka ovat meren rannalla.")</f>
        <v>Pelipper on lentävä kuljetusalus, joka kuljettaa pieniä Pokémoneja ja munia valtavan nokkansa sisällä. Tämä Pokémon rakentaa pesänsä jyrkille kallioille, jotka ovat meren rannalla.</v>
      </c>
      <c r="C5044" s="9" t="s">
        <v>1344</v>
      </c>
    </row>
    <row r="5045" ht="33.75" customHeight="1">
      <c r="A5045" s="6" t="s">
        <v>7402</v>
      </c>
      <c r="B5045" s="6" t="str">
        <f>IFERROR(__xludf.DUMMYFUNCTION("GOOGLETRANSLATE(A5045,""en"",""fi"")"),"Pelipper etsii ruokaa lennon aikana liitämällä aaltojen harjoja. Tämä Pokémon upottaa suuren nokkansa mereen kerätäkseen ruokaa ja nielee sitten kaiken yhdellä isolla kulauksella.")</f>
        <v>Pelipper etsii ruokaa lennon aikana liitämällä aaltojen harjoja. Tämä Pokémon upottaa suuren nokkansa mereen kerätäkseen ruokaa ja nielee sitten kaiken yhdellä isolla kulauksella.</v>
      </c>
      <c r="C5045" s="9" t="s">
        <v>1344</v>
      </c>
    </row>
    <row r="5046" ht="33.75" customHeight="1">
      <c r="A5046" s="6" t="s">
        <v>7404</v>
      </c>
      <c r="B5046" s="6" t="str">
        <f>IFERROR(__xludf.DUMMYFUNCTION("GOOGLETRANSLATE(A5046,""en"",""fi"")"),"Sen tilava nokka on niin suuri, että pieni lapsi mahtuu sisään.")</f>
        <v>Sen tilava nokka on niin suuri, että pieni lapsi mahtuu sisään.</v>
      </c>
      <c r="C5046" s="9" t="s">
        <v>1344</v>
      </c>
    </row>
    <row r="5047" ht="33.75" customHeight="1">
      <c r="A5047" s="6" t="s">
        <v>7405</v>
      </c>
      <c r="B5047" s="6" t="str">
        <f>IFERROR(__xludf.DUMMYFUNCTION("GOOGLETRANSLATE(A5047,""en"",""fi"")"),"Ruuan kerääminen on nuorten koiraiden työtä. Ne varastoivat ruokaa tilaviin nokkiinsa ja kantavat sen takaisin muille pesässä odottaville.")</f>
        <v>Ruuan kerääminen on nuorten koiraiden työtä. Ne varastoivat ruokaa tilaviin nokkiinsa ja kantavat sen takaisin muille pesässä odottaville.</v>
      </c>
      <c r="C5047" s="9" t="s">
        <v>1344</v>
      </c>
    </row>
    <row r="5048" ht="33.75" customHeight="1">
      <c r="A5048" s="6" t="s">
        <v>7406</v>
      </c>
      <c r="B5048" s="6" t="str">
        <f>IFERROR(__xludf.DUMMYFUNCTION("GOOGLETRANSLATE(A5048,""en"",""fi"")"),"Se asettaa pieniä Pokémoneja tilavaan nokkaansa ja kantaa niitä mukanaan. Kukaan ei tiedä, minne se ne vie.")</f>
        <v>Se asettaa pieniä Pokémoneja tilavaan nokkaansa ja kantaa niitä mukanaan. Kukaan ei tiedä, minne se ne vie.</v>
      </c>
      <c r="C5048" s="9" t="s">
        <v>1344</v>
      </c>
    </row>
    <row r="5049" ht="33.75" customHeight="1">
      <c r="A5049" s="6" t="s">
        <v>7408</v>
      </c>
      <c r="B5049" s="6" t="str">
        <f>IFERROR(__xludf.DUMMYFUNCTION("GOOGLETRANSLATE(A5049,""en"",""fi"")"),"Se kauhoaa wishiwashin valtavaan nokkaansa ja nielee ne kokonaisina. Se voi ahmia yli 30 kerralla!")</f>
        <v>Se kauhoaa wishiwashin valtavaan nokkaansa ja nielee ne kokonaisina. Se voi ahmia yli 30 kerralla!</v>
      </c>
      <c r="C5049" s="9" t="s">
        <v>1344</v>
      </c>
    </row>
    <row r="5050" ht="33.75" customHeight="1">
      <c r="A5050" s="6" t="s">
        <v>7409</v>
      </c>
      <c r="B5050" s="6" t="str">
        <f>IFERROR(__xludf.DUMMYFUNCTION("GOOGLETRANSLATE(A5050,""en"",""fi"")"),"RALTS aistii ihmisten tunteita päässään olevien sarvien avulla. Tämä POKéMON esiintyy harvoin ihmisten edessä. Mutta kun se ilmestyy, se lähestyy, jos se aistii henkilön olevan positiivisesti luonteeltaan.")</f>
        <v>RALTS aistii ihmisten tunteita päässään olevien sarvien avulla. Tämä POKéMON esiintyy harvoin ihmisten edessä. Mutta kun se ilmestyy, se lähestyy, jos se aistii henkilön olevan positiivisesti luonteeltaan.</v>
      </c>
      <c r="C5050" s="9" t="s">
        <v>1344</v>
      </c>
    </row>
    <row r="5051" ht="33.75" customHeight="1">
      <c r="A5051" s="6" t="s">
        <v>7411</v>
      </c>
      <c r="B5051" s="6" t="str">
        <f>IFERROR(__xludf.DUMMYFUNCTION("GOOGLETRANSLATE(A5051,""en"",""fi"")"),"RALTSilla on kyky aistia ihmisten tunteita. Jos sen KOULUTTAJA on iloisella tuulella, tämä POKéMON kasvaa iloiseksi ja riemukkaaksi samalla tavalla.")</f>
        <v>RALTSilla on kyky aistia ihmisten tunteita. Jos sen KOULUTTAJA on iloisella tuulella, tämä POKéMON kasvaa iloiseksi ja riemukkaaksi samalla tavalla.</v>
      </c>
      <c r="C5051" s="9" t="s">
        <v>1344</v>
      </c>
    </row>
    <row r="5052" ht="33.75" customHeight="1">
      <c r="A5052" s="6" t="s">
        <v>7412</v>
      </c>
      <c r="B5052" s="6" t="str">
        <f>IFERROR(__xludf.DUMMYFUNCTION("GOOGLETRANSLATE(A5052,""en"",""fi"")"),"RALTSilla on kyky aistia ihmisten ja päässään olevien POKéMONIEN tunteita. Se suojaa, jos se aistii vihamielisyyttä.")</f>
        <v>RALTSilla on kyky aistia ihmisten ja päässään olevien POKéMONIEN tunteita. Se suojaa, jos se aistii vihamielisyyttä.</v>
      </c>
      <c r="C5052" s="9" t="s">
        <v>1344</v>
      </c>
    </row>
    <row r="5053" ht="33.75" customHeight="1">
      <c r="A5053" s="6" t="s">
        <v>7413</v>
      </c>
      <c r="B5053" s="6" t="str">
        <f>IFERROR(__xludf.DUMMYFUNCTION("GOOGLETRANSLATE(A5053,""en"",""fi"")"),"Se on erittäin herkkä ihmisten ja POKéMONien tunteille. Se piiloutuu, jos se aistii vihamielisyyttä.")</f>
        <v>Se on erittäin herkkä ihmisten ja POKéMONien tunteille. Se piiloutuu, jos se aistii vihamielisyyttä.</v>
      </c>
      <c r="C5053" s="9" t="s">
        <v>1344</v>
      </c>
    </row>
    <row r="5054" ht="33.75" customHeight="1">
      <c r="A5054" s="6" t="s">
        <v>7415</v>
      </c>
      <c r="B5054" s="6" t="str">
        <f>IFERROR(__xludf.DUMMYFUNCTION("GOOGLETRANSLATE(A5054,""en"",""fi"")"),"Se käyttää päässään olevia sarvia aistiakseen ihmisten tunteita. Sen sanotaan ilmestyvän iloisten ihmisten eteen.")</f>
        <v>Se käyttää päässään olevia sarvia aistiakseen ihmisten tunteita. Sen sanotaan ilmestyvän iloisten ihmisten eteen.</v>
      </c>
      <c r="C5054" s="9" t="s">
        <v>1344</v>
      </c>
    </row>
    <row r="5055" ht="33.75" customHeight="1">
      <c r="A5055" s="6" t="s">
        <v>7416</v>
      </c>
      <c r="B5055" s="6" t="str">
        <f>IFERROR(__xludf.DUMMYFUNCTION("GOOGLETRANSLATE(A5055,""en"",""fi"")"),"Jos sen sarvet vangitsevat ihmisten tai Pokémonien lämpimät tunteet, sen keho lämpenee hieman.")</f>
        <v>Jos sen sarvet vangitsevat ihmisten tai Pokémonien lämpimät tunteet, sen keho lämpenee hieman.</v>
      </c>
      <c r="C5055" s="9" t="s">
        <v>1344</v>
      </c>
    </row>
    <row r="5056" ht="33.75" customHeight="1">
      <c r="A5056" s="6" t="s">
        <v>7418</v>
      </c>
      <c r="B5056" s="6" t="str">
        <f>IFERROR(__xludf.DUMMYFUNCTION("GOOGLETRANSLATE(A5056,""en"",""fi"")"),"Sen päässä olevat sarvet antavat sille voimakkaan voiman aistia ihmisten tunteita.")</f>
        <v>Sen päässä olevat sarvet antavat sille voimakkaan voiman aistia ihmisten tunteita.</v>
      </c>
      <c r="C5056" s="9" t="s">
        <v>1344</v>
      </c>
    </row>
    <row r="5057" ht="33.75" customHeight="1">
      <c r="A5057" s="6" t="s">
        <v>7419</v>
      </c>
      <c r="B5057" s="6" t="str">
        <f>IFERROR(__xludf.DUMMYFUNCTION("GOOGLETRANSLATE(A5057,""en"",""fi"")"),"Se on erittäin herkkä ihmisten ja Pokémonien tunteille. Se piiloutuu, jos se aistii vihamielisyyttä.")</f>
        <v>Se on erittäin herkkä ihmisten ja Pokémonien tunteille. Se piiloutuu, jos se aistii vihamielisyyttä.</v>
      </c>
      <c r="C5057" s="9" t="s">
        <v>1344</v>
      </c>
    </row>
    <row r="5058" ht="33.75" customHeight="1">
      <c r="A5058" s="6" t="s">
        <v>7421</v>
      </c>
      <c r="B5058" s="6" t="str">
        <f>IFERROR(__xludf.DUMMYFUNCTION("GOOGLETRANSLATE(A5058,""en"",""fi"")"),"Ralts aistii ihmisten tunteet päässään olevien sarvien avulla. Tämä Pokémon esiintyy harvoin ihmisten edessä. Mutta kun se ilmestyy, se lähestyy, jos se aistii henkilön olevan positiivinen.")</f>
        <v>Ralts aistii ihmisten tunteet päässään olevien sarvien avulla. Tämä Pokémon esiintyy harvoin ihmisten edessä. Mutta kun se ilmestyy, se lähestyy, jos se aistii henkilön olevan positiivinen.</v>
      </c>
      <c r="C5058" s="9" t="s">
        <v>1344</v>
      </c>
    </row>
    <row r="5059" ht="33.75" customHeight="1">
      <c r="A5059" s="6" t="s">
        <v>7423</v>
      </c>
      <c r="B5059" s="6" t="str">
        <f>IFERROR(__xludf.DUMMYFUNCTION("GOOGLETRANSLATE(A5059,""en"",""fi"")"),"Raltsilla on kyky aistia ihmisten tunteita. Jos sen kouluttaja on iloisella tuulella, tämä Pokémon kasvaa iloiseksi ja riemukkaaksi samalla tavalla.")</f>
        <v>Raltsilla on kyky aistia ihmisten tunteita. Jos sen kouluttaja on iloisella tuulella, tämä Pokémon kasvaa iloiseksi ja riemukkaaksi samalla tavalla.</v>
      </c>
      <c r="C5059" s="9" t="s">
        <v>1344</v>
      </c>
    </row>
    <row r="5060" ht="33.75" customHeight="1">
      <c r="A5060" s="6" t="s">
        <v>7424</v>
      </c>
      <c r="B5060" s="6" t="str">
        <f>IFERROR(__xludf.DUMMYFUNCTION("GOOGLETRANSLATE(A5060,""en"",""fi"")"),"Taipumus suosia pirteäluonteisia ihmisiä synkkien sijaan, mutta iän tai sukupuolen perusteella ei ole havaittu eroa. Tarvitsee lisätutkimusta.")</f>
        <v>Taipumus suosia pirteäluonteisia ihmisiä synkkien sijaan, mutta iän tai sukupuolen perusteella ei ole havaittu eroa. Tarvitsee lisätutkimusta.</v>
      </c>
      <c r="C5060" s="9" t="s">
        <v>1344</v>
      </c>
    </row>
    <row r="5061" ht="33.75" customHeight="1">
      <c r="A5061" s="6" t="s">
        <v>7426</v>
      </c>
      <c r="B5061" s="6" t="str">
        <f>IFERROR(__xludf.DUMMYFUNCTION("GOOGLETRANSLATE(A5061,""en"",""fi"")"),"Sanotaan, että KIRLIA, joka altistuu KOULUTTAJANSA positiivisille tunteille, kasvaa kauniiksi. Tämä POKéMON hallitsee psykokineettisiä voimia pitkälle kehittyneellä aivollaan.")</f>
        <v>Sanotaan, että KIRLIA, joka altistuu KOULUTTAJANSA positiivisille tunteille, kasvaa kauniiksi. Tämä POKéMON hallitsee psykokineettisiä voimia pitkälle kehittyneellä aivollaan.</v>
      </c>
      <c r="C5061" s="9" t="s">
        <v>1344</v>
      </c>
    </row>
    <row r="5062" ht="33.75" customHeight="1">
      <c r="A5062" s="6" t="s">
        <v>7427</v>
      </c>
      <c r="B5062" s="6" t="str">
        <f>IFERROR(__xludf.DUMMYFUNCTION("GOOGLETRANSLATE(A5062,""en"",""fi"")"),"KIRLIA käyttää päässään olevia sarvia vahvistaakseen psykokineettisiä voimiaan. Kun POKéMON käyttää voimaansa, sen ympärillä oleva ilma vääristyy luoden kangastuksia olemattomista maisemista.")</f>
        <v>KIRLIA käyttää päässään olevia sarvia vahvistaakseen psykokineettisiä voimiaan. Kun POKéMON käyttää voimaansa, sen ympärillä oleva ilma vääristyy luoden kangastuksia olemattomista maisemista.</v>
      </c>
      <c r="C5062" s="9" t="s">
        <v>1344</v>
      </c>
    </row>
    <row r="5063" ht="33.75" customHeight="1">
      <c r="A5063" s="6" t="s">
        <v>7428</v>
      </c>
      <c r="B5063" s="6" t="str">
        <f>IFERROR(__xludf.DUMMYFUNCTION("GOOGLETRANSLATE(A5063,""en"",""fi"")"),"KIRLIAlla on psyykkinen voima luoda repeämä ulottuvuuksiin ja nähdä tulevaisuuteen. Sen sanotaan tanssivan nautinnosta aurinkoisina aamuina.")</f>
        <v>KIRLIAlla on psyykkinen voima luoda repeämä ulottuvuuksiin ja nähdä tulevaisuuteen. Sen sanotaan tanssivan nautinnosta aurinkoisina aamuina.</v>
      </c>
      <c r="C5063" s="9" t="s">
        <v>1344</v>
      </c>
    </row>
    <row r="5064" ht="33.75" customHeight="1">
      <c r="A5064" s="6" t="s">
        <v>7429</v>
      </c>
      <c r="B5064" s="6" t="str">
        <f>IFERROR(__xludf.DUMMYFUNCTION("GOOGLETRANSLATE(A5064,""en"",""fi"")"),"Sen KOULUTTAJAN iloinen henki antaa sille energiaa sen psykokineettiselle voimalle. Se pyörii ja tanssii ollessaan onnellinen.")</f>
        <v>Sen KOULUTTAJAN iloinen henki antaa sille energiaa sen psykokineettiselle voimalle. Se pyörii ja tanssii ollessaan onnellinen.</v>
      </c>
      <c r="C5064" s="9" t="s">
        <v>1344</v>
      </c>
    </row>
    <row r="5065" ht="33.75" customHeight="1">
      <c r="A5065" s="6" t="s">
        <v>7431</v>
      </c>
      <c r="B5065" s="6" t="str">
        <f>IFERROR(__xludf.DUMMYFUNCTION("GOOGLETRANSLATE(A5065,""en"",""fi"")"),"Se on erittäin herkkä kouluttajansa tunteille. Se tanssii, kun se on onnellinen.")</f>
        <v>Se on erittäin herkkä kouluttajansa tunteille. Se tanssii, kun se on onnellinen.</v>
      </c>
      <c r="C5065" s="9" t="s">
        <v>1344</v>
      </c>
    </row>
    <row r="5066" ht="33.75" customHeight="1">
      <c r="A5066" s="6" t="s">
        <v>7432</v>
      </c>
      <c r="B5066" s="6" t="str">
        <f>IFERROR(__xludf.DUMMYFUNCTION("GOOGLETRANSLATE(A5066,""en"",""fi"")"),"Jos sen kouluttaja tulee iloiseksi, se pursuaa energiaa ja tanssii iloisesti pyöriessään ympäriinsä.")</f>
        <v>Jos sen kouluttaja tulee iloiseksi, se pursuaa energiaa ja tanssii iloisesti pyöriessään ympäriinsä.</v>
      </c>
      <c r="C5066" s="9" t="s">
        <v>1344</v>
      </c>
    </row>
    <row r="5067" ht="33.75" customHeight="1">
      <c r="A5067" s="6" t="s">
        <v>7433</v>
      </c>
      <c r="B5067" s="6" t="str">
        <f>IFERROR(__xludf.DUMMYFUNCTION("GOOGLETRANSLATE(A5067,""en"",""fi"")"),"Sillä on psyykkinen voima, jonka avulla se voi vääristää ympäröivää tilaa ja nähdä tulevaisuuteen.")</f>
        <v>Sillä on psyykkinen voima, jonka avulla se voi vääristää ympäröivää tilaa ja nähdä tulevaisuuteen.</v>
      </c>
      <c r="C5067" s="9" t="s">
        <v>1344</v>
      </c>
    </row>
    <row r="5068" ht="33.75" customHeight="1">
      <c r="A5068" s="6" t="s">
        <v>7434</v>
      </c>
      <c r="B5068" s="6" t="str">
        <f>IFERROR(__xludf.DUMMYFUNCTION("GOOGLETRANSLATE(A5068,""en"",""fi"")"),"Sen kouluttajan iloinen henki antaa sille energiaa sen psykokineettiselle voimalle. Se pyörii ja tanssii ollessaan onnellinen.")</f>
        <v>Sen kouluttajan iloinen henki antaa sille energiaa sen psykokineettiselle voimalle. Se pyörii ja tanssii ollessaan onnellinen.</v>
      </c>
      <c r="C5068" s="9" t="s">
        <v>1344</v>
      </c>
    </row>
    <row r="5069" ht="33.75" customHeight="1">
      <c r="A5069" s="6" t="s">
        <v>7435</v>
      </c>
      <c r="B5069" s="6" t="str">
        <f>IFERROR(__xludf.DUMMYFUNCTION("GOOGLETRANSLATE(A5069,""en"",""fi"")"),"Sanotaan, että Kirlia, joka altistuu kouluttajansa positiivisille tunteille, kasvaa kauniiksi. Tämä Pokémon hallitsee psykokineettisiä voimia erittäin kehittyneellä aivollaan.")</f>
        <v>Sanotaan, että Kirlia, joka altistuu kouluttajansa positiivisille tunteille, kasvaa kauniiksi. Tämä Pokémon hallitsee psykokineettisiä voimia erittäin kehittyneellä aivollaan.</v>
      </c>
      <c r="C5069" s="9" t="s">
        <v>1344</v>
      </c>
    </row>
    <row r="5070" ht="33.75" customHeight="1">
      <c r="A5070" s="6" t="s">
        <v>7436</v>
      </c>
      <c r="B5070" s="6" t="str">
        <f>IFERROR(__xludf.DUMMYFUNCTION("GOOGLETRANSLATE(A5070,""en"",""fi"")"),"Kirlia käyttää päänsä sarvia vahvistaakseen psykokineettisiä voimiaan. Kun Pokémon käyttää voimaansa, sen ympärillä oleva ilma vääristyy luoden kangastuksia olemattomista maisemista.")</f>
        <v>Kirlia käyttää päänsä sarvia vahvistaakseen psykokineettisiä voimiaan. Kun Pokémon käyttää voimaansa, sen ympärillä oleva ilma vääristyy luoden kangastuksia olemattomista maisemista.</v>
      </c>
      <c r="C5070" s="9" t="s">
        <v>1344</v>
      </c>
    </row>
    <row r="5071" ht="33.75" customHeight="1">
      <c r="A5071" s="6" t="s">
        <v>7437</v>
      </c>
      <c r="B5071" s="6" t="str">
        <f>IFERROR(__xludf.DUMMYFUNCTION("GOOGLETRANSLATE(A5071,""en"",""fi"")"),"Se muistuttaa ulkonäöltään neitoa, mutta sillä on outoja voimia heijastaa näkyjä paratiisista. Epäilen, että sen päässä olevat karmiininpunaiset koristeet ovat avain sen kykyihin.")</f>
        <v>Se muistuttaa ulkonäöltään neitoa, mutta sillä on outoja voimia heijastaa näkyjä paratiisista. Epäilen, että sen päässä olevat karmiininpunaiset koristeet ovat avain sen kykyihin.</v>
      </c>
      <c r="C5071" s="9" t="s">
        <v>1344</v>
      </c>
    </row>
    <row r="5072" ht="33.75" customHeight="1">
      <c r="A5072" s="6" t="s">
        <v>7438</v>
      </c>
      <c r="B5072" s="6" t="str">
        <f>IFERROR(__xludf.DUMMYFUNCTION("GOOGLETRANSLATE(A5072,""en"",""fi"")"),"GARDEVOIRilla on kyky lukea tulevaisuutta. Jos se aistii uhkaavan vaaran KOULUTTAJAANSA kohtaan, tämän POKéMONin sanotaan vapauttavan psykokineettisen energiansa täydellä teholla.")</f>
        <v>GARDEVOIRilla on kyky lukea tulevaisuutta. Jos se aistii uhkaavan vaaran KOULUTTAJAANSA kohtaan, tämän POKéMONin sanotaan vapauttavan psykokineettisen energiansa täydellä teholla.</v>
      </c>
      <c r="C5072" s="9" t="s">
        <v>1344</v>
      </c>
    </row>
    <row r="5073" ht="33.75" customHeight="1">
      <c r="A5073" s="6" t="s">
        <v>7439</v>
      </c>
      <c r="B5073" s="6" t="str">
        <f>IFERROR(__xludf.DUMMYFUNCTION("GOOGLETRANSLATE(A5073,""en"",""fi"")"),"GARDEVOIRilla on psykokineettinen kyky vääristää ulottuvuuksia ja luoda pieni musta aukko. Tämä POKéMON yrittää suojella KOULUTTAJAANSA jopa oman henkensä uhalla.")</f>
        <v>GARDEVOIRilla on psykokineettinen kyky vääristää ulottuvuuksia ja luoda pieni musta aukko. Tämä POKéMON yrittää suojella KOULUTTAJAANSA jopa oman henkensä uhalla.</v>
      </c>
      <c r="C5073" s="9" t="s">
        <v>1344</v>
      </c>
    </row>
    <row r="5074" ht="33.75" customHeight="1">
      <c r="A5074" s="6" t="s">
        <v>7441</v>
      </c>
      <c r="B5074" s="6" t="str">
        <f>IFERROR(__xludf.DUMMYFUNCTION("GOOGLETRANSLATE(A5074,""en"",""fi"")"),"Se ei ilmeisesti tunne painovoiman vetovoimaa, koska se tukee itseään psyykkisellä voimalla. Se antaa henkensä suojellakseen KOULUTTAJAANSA.")</f>
        <v>Se ei ilmeisesti tunne painovoiman vetovoimaa, koska se tukee itseään psyykkisellä voimalla. Se antaa henkensä suojellakseen KOULUTTAJAANSA.</v>
      </c>
      <c r="C5074" s="9" t="s">
        <v>1344</v>
      </c>
    </row>
    <row r="5075" ht="33.75" customHeight="1">
      <c r="A5075" s="6" t="s">
        <v>7443</v>
      </c>
      <c r="B5075" s="6" t="str">
        <f>IFERROR(__xludf.DUMMYFUNCTION("GOOGLETRANSLATE(A5075,""en"",""fi"")"),"Sillä on kyky ennustaa tulevaisuutta. Sen voima on huipussaan, kun se suojelee KOULUTTAJAANSA.")</f>
        <v>Sillä on kyky ennustaa tulevaisuutta. Sen voima on huipussaan, kun se suojelee KOULUTTAJAANSA.</v>
      </c>
      <c r="C5075" s="9" t="s">
        <v>1344</v>
      </c>
    </row>
    <row r="5076" ht="33.75" customHeight="1">
      <c r="A5076" s="6" t="s">
        <v>7444</v>
      </c>
      <c r="B5076" s="6" t="str">
        <f>IFERROR(__xludf.DUMMYFUNCTION("GOOGLETRANSLATE(A5076,""en"",""fi"")"),"Se yrittää suojella luotettavaa kouluttajaansa hengellään. Sillä on kyky nähdä tulevaisuuteen.")</f>
        <v>Se yrittää suojella luotettavaa kouluttajaansa hengellään. Sillä on kyky nähdä tulevaisuuteen.</v>
      </c>
      <c r="C5076" s="9" t="s">
        <v>1344</v>
      </c>
    </row>
    <row r="5077" ht="33.75" customHeight="1">
      <c r="A5077" s="6" t="s">
        <v>7446</v>
      </c>
      <c r="B5077" s="6" t="str">
        <f>IFERROR(__xludf.DUMMYFUNCTION("GOOGLETRANSLATE(A5077,""en"",""fi"")"),"Suojellakseen kouluttajaansa se käyttää kaikki psyykkiset voimansa luodakseen pienen mustan aukon.")</f>
        <v>Suojellakseen kouluttajaansa se käyttää kaikki psyykkiset voimansa luodakseen pienen mustan aukon.</v>
      </c>
      <c r="C5077" s="9" t="s">
        <v>1344</v>
      </c>
    </row>
    <row r="5078" ht="33.75" customHeight="1">
      <c r="A5078" s="6" t="s">
        <v>7448</v>
      </c>
      <c r="B5078" s="6" t="str">
        <f>IFERROR(__xludf.DUMMYFUNCTION("GOOGLETRANSLATE(A5078,""en"",""fi"")"),"Se vapauttaa psykokineettistä energiaa täydellä teholla suojellessaan kouluttajaa, johon se on luonut läheisen siteen.")</f>
        <v>Se vapauttaa psykokineettistä energiaa täydellä teholla suojellessaan kouluttajaa, johon se on luonut läheisen siteen.</v>
      </c>
      <c r="C5078" s="9" t="s">
        <v>1344</v>
      </c>
    </row>
    <row r="5079" ht="33.75" customHeight="1">
      <c r="A5079" s="6" t="s">
        <v>7452</v>
      </c>
      <c r="B5079" s="6" t="str">
        <f>IFERROR(__xludf.DUMMYFUNCTION("GOOGLETRANSLATE(A5079,""en"",""fi"")"),"Sillä on kyky ennustaa tulevaisuutta. Sen voima on huipussaan, kun se suojelee kouluttajaansa.")</f>
        <v>Sillä on kyky ennustaa tulevaisuutta. Sen voima on huipussaan, kun se suojelee kouluttajaansa.</v>
      </c>
      <c r="C5079" s="9" t="s">
        <v>1344</v>
      </c>
    </row>
    <row r="5080" ht="33.75" customHeight="1">
      <c r="A5080" s="6" t="s">
        <v>7453</v>
      </c>
      <c r="B5080" s="6" t="str">
        <f>IFERROR(__xludf.DUMMYFUNCTION("GOOGLETRANSLATE(A5080,""en"",""fi"")"),"Gardevoirilla on kyky lukea tulevaisuutta. Jos se aistii kouluttajaansa uhkaavan vaaran, tämän Pokémonin sanotaan vapauttavan psykokineettisen energiansa täydellä teholla.")</f>
        <v>Gardevoirilla on kyky lukea tulevaisuutta. Jos se aistii kouluttajaansa uhkaavan vaaran, tämän Pokémonin sanotaan vapauttavan psykokineettisen energiansa täydellä teholla.</v>
      </c>
      <c r="C5080" s="9" t="s">
        <v>1344</v>
      </c>
    </row>
    <row r="5081" ht="33.75" customHeight="1">
      <c r="A5081" s="6" t="s">
        <v>7455</v>
      </c>
      <c r="B5081" s="6" t="str">
        <f>IFERROR(__xludf.DUMMYFUNCTION("GOOGLETRANSLATE(A5081,""en"",""fi"")"),"Gardevoirilla on psykokineettinen kyky vääristää ulottuvuuksia ja luoda pieni musta aukko. Tämä Pokémon yrittää suojella kouluttajaansa jopa oman henkensä uhalla.")</f>
        <v>Gardevoirilla on psykokineettinen kyky vääristää ulottuvuuksia ja luoda pieni musta aukko. Tämä Pokémon yrittää suojella kouluttajaansa jopa oman henkensä uhalla.</v>
      </c>
      <c r="C5081" s="9" t="s">
        <v>1344</v>
      </c>
    </row>
    <row r="5082" ht="33.75" customHeight="1">
      <c r="A5082" s="6" t="s">
        <v>7460</v>
      </c>
      <c r="B5082" s="6" t="str">
        <f>IFERROR(__xludf.DUMMYFUNCTION("GOOGLETRANSLATE(A5082,""en"",""fi"")"),"Se omistautuu puolustamaan mestaria, jota se on tullut palvomaan. Sen puhtaanvalkoinen puku, joka muistuttaa aatelisten naisten pukua, on sellaisen puku, joka on valmis vaarantamaan henkensä.")</f>
        <v>Se omistautuu puolustamaan mestaria, jota se on tullut palvomaan. Sen puhtaanvalkoinen puku, joka muistuttaa aatelisten naisten pukua, on sellaisen puku, joka on valmis vaarantamaan henkensä.</v>
      </c>
      <c r="C5082" s="9" t="s">
        <v>1344</v>
      </c>
    </row>
    <row r="5083" ht="33.75" customHeight="1">
      <c r="A5083" s="6" t="s">
        <v>7463</v>
      </c>
      <c r="B5083" s="6" t="str">
        <f>IFERROR(__xludf.DUMMYFUNCTION("GOOGLETRANSLATE(A5083,""en"",""fi"")"),"Jalkojensa kärjistä SURSKIT erittää öljyä, jonka avulla se voi kävellä veden päällä aivan kuin se luistelisi. Tämä POKéMON syö lammikoissa ja järvissä eläviä mikroskooppisia organismeja.")</f>
        <v>Jalkojensa kärjistä SURSKIT erittää öljyä, jonka avulla se voi kävellä veden päällä aivan kuin se luistelisi. Tämä POKéMON syö lammikoissa ja järvissä eläviä mikroskooppisia organismeja.</v>
      </c>
      <c r="C5083" s="9" t="s">
        <v>1344</v>
      </c>
    </row>
    <row r="5084" ht="33.75" customHeight="1">
      <c r="A5084" s="6" t="s">
        <v>7465</v>
      </c>
      <c r="B5084" s="6" t="str">
        <f>IFERROR(__xludf.DUMMYFUNCTION("GOOGLETRANSLATE(A5084,""en"",""fi"")"),"Jos SURSKIT aistii vaaran, se erittää päänsä päästä paksua, sokerista siirappia. Jotkut POKéMONIT rakastavat syödä tätä siirappia.")</f>
        <v>Jos SURSKIT aistii vaaran, se erittää päänsä päästä paksua, sokerista siirappia. Jotkut POKéMONIT rakastavat syödä tätä siirappia.</v>
      </c>
      <c r="C5084" s="9" t="s">
        <v>1344</v>
      </c>
    </row>
    <row r="5085" ht="33.75" customHeight="1">
      <c r="A5085" s="6" t="s">
        <v>7468</v>
      </c>
      <c r="B5085" s="6" t="str">
        <f>IFERROR(__xludf.DUMMYFUNCTION("GOOGLETRANSLATE(A5085,""en"",""fi"")"),"Ne kerääntyvät lätäköille iltaisten rankkasateiden jälkeen ja liukuvat veden pinnalla kuin liukuen. Se erittää päästään makean tuoksuista hunajaa.")</f>
        <v>Ne kerääntyvät lätäköille iltaisten rankkasateiden jälkeen ja liukuvat veden pinnalla kuin liukuen. Se erittää päästään makean tuoksuista hunajaa.</v>
      </c>
      <c r="C5085" s="9" t="s">
        <v>1344</v>
      </c>
    </row>
    <row r="5086" ht="33.75" customHeight="1">
      <c r="A5086" s="6" t="s">
        <v>7470</v>
      </c>
      <c r="B5086" s="6" t="str">
        <f>IFERROR(__xludf.DUMMYFUNCTION("GOOGLETRANSLATE(A5086,""en"",""fi"")"),"Ne elävät yleensä lammikoissa, mutta iltasateen jälkeen ne saattavat ilmestyä kaupunkien lätäköille.")</f>
        <v>Ne elävät yleensä lammikoissa, mutta iltasateen jälkeen ne saattavat ilmestyä kaupunkien lätäköille.</v>
      </c>
      <c r="C5086" s="9" t="s">
        <v>1344</v>
      </c>
    </row>
    <row r="5087" ht="33.75" customHeight="1">
      <c r="A5087" s="6" t="s">
        <v>7473</v>
      </c>
      <c r="B5087" s="6" t="str">
        <f>IFERROR(__xludf.DUMMYFUNCTION("GOOGLETRANSLATE(A5087,""en"",""fi"")"),"Se näyttää siltä kuin luistelisi veden päällä. Se houkuttelee saalista päänsä päästä leviävällä makealla tuoksulla.")</f>
        <v>Se näyttää siltä kuin luistelisi veden päällä. Se houkuttelee saalista päänsä päästä leviävällä makealla tuoksulla.</v>
      </c>
      <c r="C5087" s="9" t="s">
        <v>1344</v>
      </c>
    </row>
    <row r="5088" ht="33.75" customHeight="1">
      <c r="A5088" s="6" t="s">
        <v>7475</v>
      </c>
      <c r="B5088" s="6" t="str">
        <f>IFERROR(__xludf.DUMMYFUNCTION("GOOGLETRANSLATE(A5088,""en"",""fi"")"),"Se erittää päänsä kärjestä paksua, makeantuoksuista siirappia. Se elää rikkaruohojen tukemissa lammissa.")</f>
        <v>Se erittää päänsä kärjestä paksua, makeantuoksuista siirappia. Se elää rikkaruohojen tukemissa lammissa.</v>
      </c>
      <c r="C5088" s="9" t="s">
        <v>1344</v>
      </c>
    </row>
    <row r="5089" ht="33.75" customHeight="1">
      <c r="A5089" s="6" t="s">
        <v>7476</v>
      </c>
      <c r="B5089" s="6" t="str">
        <f>IFERROR(__xludf.DUMMYFUNCTION("GOOGLETRANSLATE(A5089,""en"",""fi"")"),"Jalkojensa kärjistä Surskit erittää öljyä, jonka avulla se voi kävellä veden päällä aivan kuin se luistelisi. Tämä Pokémon syö lammikoissa ja järvissä eläviä mikroskooppisia organismeja.")</f>
        <v>Jalkojensa kärjistä Surskit erittää öljyä, jonka avulla se voi kävellä veden päällä aivan kuin se luistelisi. Tämä Pokémon syö lammikoissa ja järvissä eläviä mikroskooppisia organismeja.</v>
      </c>
      <c r="C5089" s="9" t="s">
        <v>1344</v>
      </c>
    </row>
    <row r="5090" ht="33.75" customHeight="1">
      <c r="A5090" s="6" t="s">
        <v>7477</v>
      </c>
      <c r="B5090" s="6" t="str">
        <f>IFERROR(__xludf.DUMMYFUNCTION("GOOGLETRANSLATE(A5090,""en"",""fi"")"),"Jos Surskit aistii vaaran, se erittää päänsä päästä paksua, sokerista siirappia. Jotkut Pokémonit rakastavat syödä tätä siirappia.")</f>
        <v>Jos Surskit aistii vaaran, se erittää päänsä päästä paksua, sokerista siirappia. Jotkut Pokémonit rakastavat syödä tätä siirappia.</v>
      </c>
      <c r="C5090" s="9" t="s">
        <v>1344</v>
      </c>
    </row>
    <row r="5091" ht="33.75" customHeight="1">
      <c r="A5091" s="6" t="s">
        <v>7478</v>
      </c>
      <c r="B5091" s="6" t="str">
        <f>IFERROR(__xludf.DUMMYFUNCTION("GOOGLETRANSLATE(A5091,""en"",""fi"")"),"Se liikkuu ikään kuin luistelisi veden pinnalla. Se usein tappelee Kastehämähäkin kanssa ruoasta.")</f>
        <v>Se liikkuu ikään kuin luistelisi veden pinnalla. Se usein tappelee Kastehämähäkin kanssa ruoasta.</v>
      </c>
      <c r="C5091" s="9" t="s">
        <v>1344</v>
      </c>
    </row>
    <row r="5092" ht="33.75" customHeight="1">
      <c r="A5092" s="6" t="s">
        <v>7479</v>
      </c>
      <c r="B5092" s="6" t="str">
        <f>IFERROR(__xludf.DUMMYFUNCTION("GOOGLETRANSLATE(A5092,""en"",""fi"")"),"Kun tämä Pokémon aistii vaaran, sen pään päästä tihkuu makeaa nestettä. Sen maku inhottaa lintu-Pokémoneja.")</f>
        <v>Kun tämä Pokémon aistii vaaran, sen pään päästä tihkuu makeaa nestettä. Sen maku inhottaa lintu-Pokémoneja.</v>
      </c>
      <c r="C5092" s="9" t="s">
        <v>1344</v>
      </c>
    </row>
    <row r="5093" ht="33.75" customHeight="1">
      <c r="A5093" s="6" t="s">
        <v>7480</v>
      </c>
      <c r="B5093" s="6" t="str">
        <f>IFERROR(__xludf.DUMMYFUNCTION("GOOGLETRANSLATE(A5093,""en"",""fi"")"),"Hädässä se erittää päänsä päästä makeaa nestettä. Tästä nesteestä tehty siirappi maistuu leivän päällä.")</f>
        <v>Hädässä se erittää päänsä päästä makeaa nestettä. Tästä nesteestä tehty siirappi maistuu leivän päällä.</v>
      </c>
      <c r="C5093" s="9" t="s">
        <v>1344</v>
      </c>
    </row>
    <row r="5094" ht="33.75" customHeight="1">
      <c r="A5094" s="6" t="s">
        <v>7482</v>
      </c>
      <c r="B5094" s="6" t="str">
        <f>IFERROR(__xludf.DUMMYFUNCTION("GOOGLETRANSLATE(A5094,""en"",""fi"")"),"Se elää lammikoissa ja soilla, joissa on runsas kasvillisuus. Se usein taistelee kastikehämähäkkien kanssa, joiden elinympäristö ja ruokavalio ovat samankaltaisia.")</f>
        <v>Se elää lammikoissa ja soilla, joissa on runsas kasvillisuus. Se usein taistelee kastikehämähäkkien kanssa, joiden elinympäristö ja ruokavalio ovat samankaltaisia.</v>
      </c>
      <c r="C5094" s="9" t="s">
        <v>1344</v>
      </c>
    </row>
    <row r="5095" ht="33.75" customHeight="1">
      <c r="A5095" s="6" t="s">
        <v>7485</v>
      </c>
      <c r="B5095" s="6" t="str">
        <f>IFERROR(__xludf.DUMMYFUNCTION("GOOGLETRANSLATE(A5095,""en"",""fi"")"),"MASQUERAIN pelottelee vihollisia antenniensa silmänmuotoisilla kuvioilla. Tämä POKéMON räpyttelee neljää siipeään lentääkseen vapaasti mihin tahansa suuntaan – jopa sivuttain ja taaksepäin – aivan kuin se olisi helikopteri.")</f>
        <v>MASQUERAIN pelottelee vihollisia antenniensa silmänmuotoisilla kuvioilla. Tämä POKéMON räpyttelee neljää siipeään lentääkseen vapaasti mihin tahansa suuntaan – jopa sivuttain ja taaksepäin – aivan kuin se olisi helikopteri.</v>
      </c>
      <c r="C5095" s="9" t="s">
        <v>1344</v>
      </c>
    </row>
    <row r="5096" ht="33.75" customHeight="1">
      <c r="A5096" s="6" t="s">
        <v>7487</v>
      </c>
      <c r="B5096" s="6" t="str">
        <f>IFERROR(__xludf.DUMMYFUNCTION("GOOGLETRANSLATE(A5096,""en"",""fi"")"),"MASQUERAINin tuntosarvissa on silmän kaltaisia ​​kuvioita, jotka yleensä antavat sille vihaisen ilmeen. Jos ""silmät"" ovat roikkuneet ja näyttävät surullisilta, sen sanotaan olevan merkki lähestyvästä rankkasateesta.")</f>
        <v>MASQUERAINin tuntosarvissa on silmän kaltaisia ​​kuvioita, jotka yleensä antavat sille vihaisen ilmeen. Jos "silmät" ovat roikkuneet ja näyttävät surullisilta, sen sanotaan olevan merkki lähestyvästä rankkasateesta.</v>
      </c>
      <c r="C5096" s="9" t="s">
        <v>1344</v>
      </c>
    </row>
    <row r="5097" ht="33.75" customHeight="1">
      <c r="A5097" s="6" t="s">
        <v>7490</v>
      </c>
      <c r="B5097" s="6" t="str">
        <f>IFERROR(__xludf.DUMMYFUNCTION("GOOGLETRANSLATE(A5097,""en"",""fi"")"),"Se pelottelee vihollisia tuntosarviensa suurilla, silmän kaltaisilla kuvioilla. Koska se ei voi lentää, jos sen siivet kastuvat, se suojaa itseään sateelta suurten puiden ja räystäiden alle.")</f>
        <v>Se pelottelee vihollisia tuntosarviensa suurilla, silmän kaltaisilla kuvioilla. Koska se ei voi lentää, jos sen siivet kastuvat, se suojaa itseään sateelta suurten puiden ja räystäiden alle.</v>
      </c>
      <c r="C5097" s="9" t="s">
        <v>1344</v>
      </c>
    </row>
    <row r="5098" ht="33.75" customHeight="1">
      <c r="A5098" s="6" t="s">
        <v>7491</v>
      </c>
      <c r="B5098" s="6" t="str">
        <f>IFERROR(__xludf.DUMMYFUNCTION("GOOGLETRANSLATE(A5098,""en"",""fi"")"),"Tuntosarvien kuviot muistuttavat silmiä. Sateella ne painavat, mikä tekee lentämisestä mahdotonta.")</f>
        <v>Tuntosarvien kuviot muistuttavat silmiä. Sateella ne painavat, mikä tekee lentämisestä mahdotonta.</v>
      </c>
      <c r="C5098" s="9" t="s">
        <v>1344</v>
      </c>
    </row>
    <row r="5099" ht="33.75" customHeight="1">
      <c r="A5099" s="6" t="s">
        <v>7492</v>
      </c>
      <c r="B5099" s="6" t="str">
        <f>IFERROR(__xludf.DUMMYFUNCTION("GOOGLETRANSLATE(A5099,""en"",""fi"")"),"Sen tuntosarvissa on silmäkuviot. Sen neljä siipeä mahdollistavat sen leijumisen ja lentämisen mihin tahansa suuntaan.")</f>
        <v>Sen tuntosarvissa on silmäkuviot. Sen neljä siipeä mahdollistavat sen leijumisen ja lentämisen mihin tahansa suuntaan.</v>
      </c>
      <c r="C5099" s="9" t="s">
        <v>1344</v>
      </c>
    </row>
    <row r="5100" ht="33.75" customHeight="1">
      <c r="A5100" s="6" t="s">
        <v>7494</v>
      </c>
      <c r="B5100" s="6" t="str">
        <f>IFERROR(__xludf.DUMMYFUNCTION("GOOGLETRANSLATE(A5100,""en"",""fi"")"),"Se räpyttelee neljää siipeään leijuakseen ja lentääkseen vapaasti mihin tahansa suuntaan – edestakaisin ja sivuille.")</f>
        <v>Se räpyttelee neljää siipeään leijuakseen ja lentääkseen vapaasti mihin tahansa suuntaan – edestakaisin ja sivuille.</v>
      </c>
      <c r="C5100" s="9" t="s">
        <v>1344</v>
      </c>
    </row>
    <row r="5101" ht="33.75" customHeight="1">
      <c r="A5101" s="6" t="s">
        <v>7496</v>
      </c>
      <c r="B5101" s="6" t="str">
        <f>IFERROR(__xludf.DUMMYFUNCTION("GOOGLETRANSLATE(A5101,""en"",""fi"")"),"Se räpyttelee neljää siipeään leijuakseen ja lentääkseen vapaasti mihin tahansa suuntaan – edestakaisin ja sivuille.")</f>
        <v>Se räpyttelee neljää siipeään leijuakseen ja lentääkseen vapaasti mihin tahansa suuntaan – edestakaisin ja sivuille.</v>
      </c>
      <c r="C5101" s="9" t="s">
        <v>1344</v>
      </c>
    </row>
    <row r="5102" ht="33.75" customHeight="1">
      <c r="A5102" s="6" t="s">
        <v>7498</v>
      </c>
      <c r="B5102" s="6" t="str">
        <f>IFERROR(__xludf.DUMMYFUNCTION("GOOGLETRANSLATE(A5102,""en"",""fi"")"),"Masquerain pelottelee vihollisia antenniensa silmänmuotoisilla kuvioilla. Tämä Pokémon räpyttelee neljää siipeään lentääkseen vapaasti mihin tahansa suuntaan – jopa sivuttain ja taaksepäin – aivan kuin se olisi helikopteri.")</f>
        <v>Masquerain pelottelee vihollisia antenniensa silmänmuotoisilla kuvioilla. Tämä Pokémon räpyttelee neljää siipeään lentääkseen vapaasti mihin tahansa suuntaan – jopa sivuttain ja taaksepäin – aivan kuin se olisi helikopteri.</v>
      </c>
      <c r="C5102" s="9" t="s">
        <v>1344</v>
      </c>
    </row>
    <row r="5103" ht="33.75" customHeight="1">
      <c r="A5103" s="6" t="s">
        <v>7500</v>
      </c>
      <c r="B5103" s="6" t="str">
        <f>IFERROR(__xludf.DUMMYFUNCTION("GOOGLETRANSLATE(A5103,""en"",""fi"")"),"Masquerainin tuntosarvissa on silmän kaltaisia ​​kuvioita, jotka yleensä antavat sille vihaisen ilmeen. Jos ""silmät"" ovat roikkuneet ja näyttävät surullisilta, sen sanotaan olevan merkki lähestyvästä rankkasateesta.")</f>
        <v>Masquerainin tuntosarvissa on silmän kaltaisia ​​kuvioita, jotka yleensä antavat sille vihaisen ilmeen. Jos "silmät" ovat roikkuneet ja näyttävät surullisilta, sen sanotaan olevan merkki lähestyvästä rankkasateesta.</v>
      </c>
      <c r="C5103" s="9" t="s">
        <v>1344</v>
      </c>
    </row>
    <row r="5104" ht="33.75" customHeight="1">
      <c r="A5104" s="6" t="s">
        <v>7502</v>
      </c>
      <c r="B5104" s="6" t="str">
        <f>IFERROR(__xludf.DUMMYFUNCTION("GOOGLETRANSLATE(A5104,""en"",""fi"")"),"Se pelottelee vihollisia tuntosarviensa silmän kaltaisilla kuvioilla. Sen neljä siipeä mahdollistavat lennon mihin tahansa suuntaan.")</f>
        <v>Se pelottelee vihollisia tuntosarviensa silmän kaltaisilla kuvioilla. Sen neljä siipeä mahdollistavat lennon mihin tahansa suuntaan.</v>
      </c>
      <c r="C5104" s="9" t="s">
        <v>1344</v>
      </c>
    </row>
    <row r="5105" ht="33.75" customHeight="1">
      <c r="A5105" s="6" t="s">
        <v>7505</v>
      </c>
      <c r="B5105" s="6" t="str">
        <f>IFERROR(__xludf.DUMMYFUNCTION("GOOGLETRANSLATE(A5105,""en"",""fi"")"),"Sen siivet ja tuntosarvet eivät kestä hyvin kosteutta. Sateen jälkeen se kääntyy aurinkoon kuivuakseen.")</f>
        <v>Sen siivet ja tuntosarvet eivät kestä hyvin kosteutta. Sateen jälkeen se kääntyy aurinkoon kuivuakseen.</v>
      </c>
      <c r="C5105" s="9" t="s">
        <v>1344</v>
      </c>
    </row>
    <row r="5106" ht="33.75" customHeight="1">
      <c r="A5106" s="6" t="s">
        <v>7506</v>
      </c>
      <c r="B5106" s="6" t="str">
        <f>IFERROR(__xludf.DUMMYFUNCTION("GOOGLETRANSLATE(A5106,""en"",""fi"")"),"Naamioitunut pelottelee vihollisia silmätäpliensä silmänkaltaisilla kuvioilla. Jos se ei auta, se pakenee taitavasti neljällä siivellään.")</f>
        <v>Naamioitunut pelottelee vihollisia silmätäpliensä silmänkaltaisilla kuvioilla. Jos se ei auta, se pakenee taitavasti neljällä siivellään.</v>
      </c>
      <c r="C5106" s="9" t="s">
        <v>1344</v>
      </c>
    </row>
    <row r="5107" ht="33.75" customHeight="1">
      <c r="A5107" s="6" t="s">
        <v>7508</v>
      </c>
      <c r="B5107" s="6" t="str">
        <f>IFERROR(__xludf.DUMMYFUNCTION("GOOGLETRANSLATE(A5107,""en"",""fi"")"),"Sen ohuet, siipimäiset tuntosarvet vaimentavat ääntä tehokkaasti. Se odottaa sateisia päiviä puiden koloissa.")</f>
        <v>Sen ohuet, siipimäiset tuntosarvet vaimentavat ääntä tehokkaasti. Se odottaa sateisia päiviä puiden koloissa.</v>
      </c>
      <c r="C5107" s="9" t="s">
        <v>1344</v>
      </c>
    </row>
    <row r="5108" ht="33.75" customHeight="1">
      <c r="A5108" s="6" t="s">
        <v>7509</v>
      </c>
      <c r="B5108" s="6" t="str">
        <f>IFERROR(__xludf.DUMMYFUNCTION("GOOGLETRANSLATE(A5108,""en"",""fi"")"),"KUKKIASET elävät kosteassa maaperässä metsien pimeissä syvyyksissä. Ne nähdään usein liikkumatta pudonneiden lehtien alla. Tämä POKéMON syö kompostia, joka koostuu pudonneista, lahonneista lehdistä.")</f>
        <v>KUKKIASET elävät kosteassa maaperässä metsien pimeissä syvyyksissä. Ne nähdään usein liikkumatta pudonneiden lehtien alla. Tämä POKéMON syö kompostia, joka koostuu pudonneista, lahonneista lehdistä.</v>
      </c>
      <c r="C5108" s="9" t="s">
        <v>1344</v>
      </c>
    </row>
    <row r="5109" ht="33.75" customHeight="1">
      <c r="A5109" s="6" t="s">
        <v>7510</v>
      </c>
      <c r="B5109" s="6" t="str">
        <f>IFERROR(__xludf.DUMMYFUNCTION("GOOGLETRANSLATE(A5109,""en"",""fi"")"),"Jos SHROOMISH aistii vaaran, se ravistelee ruumistaan ​​ja levittää itiöitä päälaeltaan. Tämän POKéMONin itiöt ovat niin myrkyllisiä, että ne saavat puut ja rikkaruohot kuihtumaan.")</f>
        <v>Jos SHROOMISH aistii vaaran, se ravistelee ruumistaan ​​ja levittää itiöitä päälaeltaan. Tämän POKéMONin itiöt ovat niin myrkyllisiä, että ne saavat puut ja rikkaruohot kuihtumaan.</v>
      </c>
      <c r="C5109" s="9" t="s">
        <v>1344</v>
      </c>
    </row>
    <row r="5110" ht="33.75" customHeight="1">
      <c r="A5110" s="6" t="s">
        <v>7512</v>
      </c>
      <c r="B5110" s="6" t="str">
        <f>IFERROR(__xludf.DUMMYFUNCTION("GOOGLETRANSLATE(A5110,""en"",""fi"")"),"Se rakastaa syödä kosteaa, kompostoitua maata metsissä. Jos menet metsään pitkän sateen jälkeen, voit nähdä monia PERUNOITA herkuttelemassa kompostimullalla.")</f>
        <v>Se rakastaa syödä kosteaa, kompostoitua maata metsissä. Jos menet metsään pitkän sateen jälkeen, voit nähdä monia PERUNOITA herkuttelemassa kompostimullalla.</v>
      </c>
      <c r="C5110" s="9" t="s">
        <v>1344</v>
      </c>
    </row>
    <row r="5111" ht="33.75" customHeight="1">
      <c r="A5111" s="6" t="s">
        <v>7513</v>
      </c>
      <c r="B5111" s="6" t="str">
        <f>IFERROR(__xludf.DUMMYFUNCTION("GOOGLETRANSLATE(A5111,""en"",""fi"")"),"Se viihtyy kosteissa paikoissa. Päivällä se pysyy paikallaan metsän varjossa. Se vapauttaa päästään myrkyllistä jauhetta.")</f>
        <v>Se viihtyy kosteissa paikoissa. Päivällä se pysyy paikallaan metsän varjossa. Se vapauttaa päästään myrkyllistä jauhetta.</v>
      </c>
      <c r="C5111" s="9" t="s">
        <v>1344</v>
      </c>
    </row>
    <row r="5112" ht="33.75" customHeight="1">
      <c r="A5112" s="6" t="s">
        <v>7515</v>
      </c>
      <c r="B5112" s="6" t="str">
        <f>IFERROR(__xludf.DUMMYFUNCTION("GOOGLETRANSLATE(A5112,""en"",""fi"")"),"Se suihkuttaa myrkkyitiöitä päänsä päältä. Nämä itiöt aiheuttavat kipua kaikkialle iholle hengitettynä.")</f>
        <v>Se suihkuttaa myrkkyitiöitä päänsä päältä. Nämä itiöt aiheuttavat kipua kaikkialle iholle hengitettynä.</v>
      </c>
      <c r="C5112" s="9" t="s">
        <v>1344</v>
      </c>
    </row>
    <row r="5113" ht="33.75" customHeight="1">
      <c r="A5113" s="6" t="s">
        <v>7517</v>
      </c>
      <c r="B5113" s="6" t="str">
        <f>IFERROR(__xludf.DUMMYFUNCTION("GOOGLETRANSLATE(A5113,""en"",""fi"")"),"Jos se aistii vaaran, se levittää itiöitä päänsä päältä suojellakseen itseään.")</f>
        <v>Jos se aistii vaaran, se levittää itiöitä päänsä päältä suojellakseen itseään.</v>
      </c>
      <c r="C5113" s="9" t="s">
        <v>1344</v>
      </c>
    </row>
    <row r="5114" ht="33.75" customHeight="1">
      <c r="A5114" s="6" t="s">
        <v>7518</v>
      </c>
      <c r="B5114" s="6" t="str">
        <f>IFERROR(__xludf.DUMMYFUNCTION("GOOGLETRANSLATE(A5114,""en"",""fi"")"),"Shroomish-pokémonit elävät kosteassa maaperässä metsien pimeissä syvyyksissä. Ne nähdään usein liikkumatta pudonneiden lehtien alla. Tämä Pokémon syö kompostia, joka koostuu pudonneista, lahonneista lehdistä.")</f>
        <v>Shroomish-pokémonit elävät kosteassa maaperässä metsien pimeissä syvyyksissä. Ne nähdään usein liikkumatta pudonneiden lehtien alla. Tämä Pokémon syö kompostia, joka koostuu pudonneista, lahonneista lehdistä.</v>
      </c>
      <c r="C5114" s="9" t="s">
        <v>1344</v>
      </c>
    </row>
    <row r="5115" ht="33.75" customHeight="1">
      <c r="A5115" s="6" t="s">
        <v>7520</v>
      </c>
      <c r="B5115" s="6" t="str">
        <f>IFERROR(__xludf.DUMMYFUNCTION("GOOGLETRANSLATE(A5115,""en"",""fi"")"),"Jos Shroomish aistii vaaran, se ravistelee ruumistaan ​​ja levittää itiöitä päälaeltaan. Tämän Pokémonin itiöt ovat niin myrkyllisiä, että ne saavat puut ja rikkaruohot kuihtumaan.")</f>
        <v>Jos Shroomish aistii vaaran, se ravistelee ruumistaan ​​ja levittää itiöitä päälaeltaan. Tämän Pokémonin itiöt ovat niin myrkyllisiä, että ne saavat puut ja rikkaruohot kuihtumaan.</v>
      </c>
      <c r="C5115" s="9" t="s">
        <v>1344</v>
      </c>
    </row>
    <row r="5116" ht="33.75" customHeight="1">
      <c r="A5116" s="6" t="s">
        <v>7521</v>
      </c>
      <c r="B5116" s="6" t="str">
        <f>IFERROR(__xludf.DUMMYFUNCTION("GOOGLETRANSLATE(A5116,""en"",""fi"")"),"BRELOOM lähestyy vihollistaan ​​kevyellä ja reippaalla jalkatyöllä ja lyö tätä sitten venytetyillä käsillään. Tämän POKéMONin taistelutekniikka saattaa nyrkkeilijät häpeään.")</f>
        <v>BRELOOM lähestyy vihollistaan ​​kevyellä ja reippaalla jalkatyöllä ja lyö tätä sitten venytetyillä käsillään. Tämän POKéMONin taistelutekniikka saattaa nyrkkeilijät häpeään.</v>
      </c>
      <c r="C5116" s="9" t="s">
        <v>1344</v>
      </c>
    </row>
    <row r="5117" ht="33.75" customHeight="1">
      <c r="A5117" s="6" t="s">
        <v>7522</v>
      </c>
      <c r="B5117" s="6" t="str">
        <f>IFERROR(__xludf.DUMMYFUNCTION("GOOGLETRANSLATE(A5117,""en"",""fi"")"),"BRELOOMin pyrstöä kiertävät siemenet koostuvat kovettuneista myrkyllisistä itiöistä. Siementen syöminen on kamalaa. Jo pelkkä puraisu tämän POKéMONin siemenestä saa vatsasi kurnimaan.")</f>
        <v>BRELOOMin pyrstöä kiertävät siemenet koostuvat kovettuneista myrkyllisistä itiöistä. Siementen syöminen on kamalaa. Jo pelkkä puraisu tämän POKéMONin siemenestä saa vatsasi kurnimaan.</v>
      </c>
      <c r="C5117" s="9" t="s">
        <v>1344</v>
      </c>
    </row>
    <row r="5118" ht="33.75" customHeight="1">
      <c r="A5118" s="6" t="s">
        <v>7524</v>
      </c>
      <c r="B5118" s="6" t="str">
        <f>IFERROR(__xludf.DUMMYFUNCTION("GOOGLETRANSLATE(A5118,""en"",""fi"")"),"Se levittää itiöitä päälaen rei'istä. Se viihtyy lämpimissä ja kosteissa ilmastoissa. Se syö puita ja kasveja pelloilla ja metsissä.")</f>
        <v>Se levittää itiöitä päälaen rei'istä. Se viihtyy lämpimissä ja kosteissa ilmastoissa. Se syö puita ja kasveja pelloilla ja metsissä.</v>
      </c>
      <c r="C5118" s="9" t="s">
        <v>1344</v>
      </c>
    </row>
    <row r="5119" ht="33.75" customHeight="1">
      <c r="A5119" s="6" t="s">
        <v>7525</v>
      </c>
      <c r="B5119" s="6" t="str">
        <f>IFERROR(__xludf.DUMMYFUNCTION("GOOGLETRANSLATE(A5119,""en"",""fi"")"),"Sen pyrstön siemenet koostuvat myrkyllisistä itiöistä. Se tyrmää viholliset nopeilla, käytännössä näkymättömillä iskuilla.")</f>
        <v>Sen pyrstön siemenet koostuvat myrkyllisistä itiöistä. Se tyrmää viholliset nopeilla, käytännössä näkymättömillä iskuilla.</v>
      </c>
      <c r="C5119" s="9" t="s">
        <v>1344</v>
      </c>
    </row>
    <row r="5120" ht="33.75" customHeight="1">
      <c r="A5120" s="6" t="s">
        <v>7526</v>
      </c>
      <c r="B5120" s="6" t="str">
        <f>IFERROR(__xludf.DUMMYFUNCTION("GOOGLETRANSLATE(A5120,""en"",""fi"")"),"Sen lyhyet kädet venyvät lyödessään. Sen tekniikka on ammattinyrkkeilijöiden veroinen.")</f>
        <v>Sen lyhyet kädet venyvät lyödessään. Sen tekniikka on ammattinyrkkeilijöiden veroinen.</v>
      </c>
      <c r="C5120" s="9" t="s">
        <v>1344</v>
      </c>
    </row>
    <row r="5121" ht="33.75" customHeight="1">
      <c r="A5121" s="6" t="s">
        <v>7528</v>
      </c>
      <c r="B5121" s="6" t="str">
        <f>IFERROR(__xludf.DUMMYFUNCTION("GOOGLETRANSLATE(A5121,""en"",""fi"")"),"Se levittää myrkyllisiä itiöitä ja heittää voimakkaita iskuja, kun taas vihollista haittaavat hengitetyt itiöt.")</f>
        <v>Se levittää myrkyllisiä itiöitä ja heittää voimakkaita iskuja, kun taas vihollista haittaavat hengitetyt itiöt.</v>
      </c>
      <c r="C5121" s="9" t="s">
        <v>1344</v>
      </c>
    </row>
    <row r="5122" ht="33.75" customHeight="1">
      <c r="A5122" s="6" t="s">
        <v>7529</v>
      </c>
      <c r="B5122" s="6" t="str">
        <f>IFERROR(__xludf.DUMMYFUNCTION("GOOGLETRANSLATE(A5122,""en"",""fi"")"),"Breloom lähestyy vihollistaan ​​kevyellä ja reippaalla jalkatyöllä ja lyö tätä sitten venytetyillä käsillään. Tämän Pokémonin taistelutekniikka saattaa nyrkkeilijät häpeään.")</f>
        <v>Breloom lähestyy vihollistaan ​​kevyellä ja reippaalla jalkatyöllä ja lyö tätä sitten venytetyillä käsillään. Tämän Pokémonin taistelutekniikka saattaa nyrkkeilijät häpeään.</v>
      </c>
      <c r="C5122" s="9" t="s">
        <v>1344</v>
      </c>
    </row>
    <row r="5123" ht="33.75" customHeight="1">
      <c r="A5123" s="6" t="s">
        <v>7531</v>
      </c>
      <c r="B5123" s="6" t="str">
        <f>IFERROR(__xludf.DUMMYFUNCTION("GOOGLETRANSLATE(A5123,""en"",""fi"")"),"Breloomin pyrstöä ympäröivät siemenet koostuvat kovettuneista myrkyllisistä itiöistä. Siementen syöminen on kamalaa. Jo pelkkä puraisu tämän Pokémonin siemenestä saa vatsasi kurnimaan.")</f>
        <v>Breloomin pyrstöä ympäröivät siemenet koostuvat kovettuneista myrkyllisistä itiöistä. Siementen syöminen on kamalaa. Jo pelkkä puraisu tämän Pokémonin siemenestä saa vatsasi kurnimaan.</v>
      </c>
      <c r="C5123" s="9" t="s">
        <v>1344</v>
      </c>
    </row>
    <row r="5124" ht="33.75" customHeight="1">
      <c r="A5124" s="6" t="s">
        <v>7533</v>
      </c>
      <c r="B5124" s="6" t="str">
        <f>IFERROR(__xludf.DUMMYFUNCTION("GOOGLETRANSLATE(A5124,""en"",""fi"")"),"SLAKOTH lekottelee ympäriinsä yli kaksikymmentä tuntia joka päivä. Koska se liikkuu niin vähän, se ei tarvitse paljon ruokaa. Tämän POKéMONin ainoa päivittäinen ateria koostuu vain kolmesta lehdestä.")</f>
        <v>SLAKOTH lekottelee ympäriinsä yli kaksikymmentä tuntia joka päivä. Koska se liikkuu niin vähän, se ei tarvitse paljon ruokaa. Tämän POKéMONin ainoa päivittäinen ateria koostuu vain kolmesta lehdestä.</v>
      </c>
      <c r="C5124" s="9" t="s">
        <v>1344</v>
      </c>
    </row>
    <row r="5125" ht="33.75" customHeight="1">
      <c r="A5125" s="6" t="s">
        <v>7534</v>
      </c>
      <c r="B5125" s="6" t="str">
        <f>IFERROR(__xludf.DUMMYFUNCTION("GOOGLETRANSLATE(A5125,""en"",""fi"")"),"SLAKOTHin sydän lyö vain kerran minuutissa. Mitä tahansa tapahtuukin, se tyytyy makoilemaan liikkumatta. On harvinaista nähdä tätä POKéMONia liikkeessä.")</f>
        <v>SLAKOTHin sydän lyö vain kerran minuutissa. Mitä tahansa tapahtuukin, se tyytyy makoilemaan liikkumatta. On harvinaista nähdä tätä POKéMONia liikkeessä.</v>
      </c>
      <c r="C5125" s="9" t="s">
        <v>1344</v>
      </c>
    </row>
    <row r="5126" ht="33.75" customHeight="1">
      <c r="A5126" s="6" t="s">
        <v>7535</v>
      </c>
      <c r="B5126" s="6" t="str">
        <f>IFERROR(__xludf.DUMMYFUNCTION("GOOGLETRANSLATE(A5126,""en"",""fi"")"),"Se nukkuu käytännössä koko päivän ja yön. Se ei vaihda pesäänsä koko elämänsä aikana, mutta joskus se matkustaa pitkiäkin matkoja uimalla joissa.")</f>
        <v>Se nukkuu käytännössä koko päivän ja yön. Se ei vaihda pesäänsä koko elämänsä aikana, mutta joskus se matkustaa pitkiäkin matkoja uimalla joissa.</v>
      </c>
      <c r="C5126" s="9" t="s">
        <v>1344</v>
      </c>
    </row>
    <row r="5127" ht="33.75" customHeight="1">
      <c r="A5127" s="6" t="s">
        <v>7536</v>
      </c>
      <c r="B5127" s="6" t="str">
        <f>IFERROR(__xludf.DUMMYFUNCTION("GOOGLETRANSLATE(A5127,""en"",""fi"")"),"Se nukkuu 20 tuntia päivässä. Yksi sen kyvyistä on tehdä uneliaaksi ne, jotka sen näkevät.")</f>
        <v>Se nukkuu 20 tuntia päivässä. Yksi sen kyvyistä on tehdä uneliaaksi ne, jotka sen näkevät.</v>
      </c>
      <c r="C5127" s="9" t="s">
        <v>1344</v>
      </c>
    </row>
    <row r="5128" ht="33.75" customHeight="1">
      <c r="A5128" s="6" t="s">
        <v>7537</v>
      </c>
      <c r="B5128" s="6" t="str">
        <f>IFERROR(__xludf.DUMMYFUNCTION("GOOGLETRANSLATE(A5128,""en"",""fi"")"),"Se viettää lähes kaiken päivänsä levittäytyneenä. Jo pelkkä sen näkeminen tekee uneliaaksi.")</f>
        <v>Se viettää lähes kaiken päivänsä levittäytyneenä. Jo pelkkä sen näkeminen tekee uneliaaksi.</v>
      </c>
      <c r="C5128" s="9" t="s">
        <v>1344</v>
      </c>
    </row>
    <row r="5129" ht="33.75" customHeight="1">
      <c r="A5129" s="6" t="s">
        <v>7538</v>
      </c>
      <c r="B5129" s="6" t="str">
        <f>IFERROR(__xludf.DUMMYFUNCTION("GOOGLETRANSLATE(A5129,""en"",""fi"")"),"SLAKOTHin loikoilu saa jokaisen sitä katsovan haluamaan tehdä samoin.")</f>
        <v>SLAKOTHin loikoilu saa jokaisen sitä katsovan haluamaan tehdä samoin.</v>
      </c>
      <c r="C5129" s="9" t="s">
        <v>1344</v>
      </c>
    </row>
    <row r="5130" ht="33.75" customHeight="1">
      <c r="A5130" s="6" t="s">
        <v>7539</v>
      </c>
      <c r="B5130" s="6" t="str">
        <f>IFERROR(__xludf.DUMMYFUNCTION("GOOGLETRANSLATE(A5130,""en"",""fi"")"),"Jos se syö vain kolme lehteä päivässä, se on kylläinen. Muuten se nukkuu 20 tuntia päivässä.")</f>
        <v>Jos se syö vain kolme lehteä päivässä, se on kylläinen. Muuten se nukkuu 20 tuntia päivässä.</v>
      </c>
      <c r="C5130" s="9" t="s">
        <v>1344</v>
      </c>
    </row>
    <row r="5131" ht="33.75" customHeight="1">
      <c r="A5131" s="6" t="s">
        <v>7540</v>
      </c>
      <c r="B5131" s="6" t="str">
        <f>IFERROR(__xludf.DUMMYFUNCTION("GOOGLETRANSLATE(A5131,""en"",""fi"")"),"Slakothin loikoilu saa jokaisen sitä katsovan tuntemaan halua tehdä samoin.")</f>
        <v>Slakothin loikoilu saa jokaisen sitä katsovan tuntemaan halua tehdä samoin.</v>
      </c>
      <c r="C5131" s="9" t="s">
        <v>1344</v>
      </c>
    </row>
    <row r="5132" ht="33.75" customHeight="1">
      <c r="A5132" s="6" t="s">
        <v>7541</v>
      </c>
      <c r="B5132" s="6" t="str">
        <f>IFERROR(__xludf.DUMMYFUNCTION("GOOGLETRANSLATE(A5132,""en"",""fi"")"),"Slakoth lekottelee ympäriinsä yli 20 tuntia joka päivä. Koska se liikkuu niin vähän, se ei tarvitse paljon ruokaa. Tämän Pokémonin ainoa päivittäinen ateria koostuu vain kolmesta lehdestä.")</f>
        <v>Slakoth lekottelee ympäriinsä yli 20 tuntia joka päivä. Koska se liikkuu niin vähän, se ei tarvitse paljon ruokaa. Tämän Pokémonin ainoa päivittäinen ateria koostuu vain kolmesta lehdestä.</v>
      </c>
      <c r="C5132" s="9" t="s">
        <v>1344</v>
      </c>
    </row>
    <row r="5133" ht="33.75" customHeight="1">
      <c r="A5133" s="6" t="s">
        <v>7543</v>
      </c>
      <c r="B5133" s="6" t="str">
        <f>IFERROR(__xludf.DUMMYFUNCTION("GOOGLETRANSLATE(A5133,""en"",""fi"")"),"Slakothin sydän lyö vain kerran minuutissa. Mitä tahansa tapahtuukin, se tyytyy makoilemaan liikkumatta. On harvinaista nähdä tätä Pokémonia liikkeessä.")</f>
        <v>Slakothin sydän lyö vain kerran minuutissa. Mitä tahansa tapahtuukin, se tyytyy makoilemaan liikkumatta. On harvinaista nähdä tätä Pokémonia liikkeessä.</v>
      </c>
      <c r="C5133" s="9" t="s">
        <v>1344</v>
      </c>
    </row>
    <row r="5134" ht="33.75" customHeight="1">
      <c r="A5134" s="6" t="s">
        <v>7544</v>
      </c>
      <c r="B5134" s="6" t="str">
        <f>IFERROR(__xludf.DUMMYFUNCTION("GOOGLETRANSLATE(A5134,""en"",""fi"")"),"VIGOROTHilla on aina halu päästä riehaan. Se ei yksinkertaisesti kestä istua paikallaan minuuttiakaan. Tämän POKéMONin stressitaso nousee, jos se ei voi liikkua jatkuvasti.")</f>
        <v>VIGOROTHilla on aina halu päästä riehaan. Se ei yksinkertaisesti kestä istua paikallaan minuuttiakaan. Tämän POKéMONin stressitaso nousee, jos se ei voi liikkua jatkuvasti.</v>
      </c>
      <c r="C5134" s="9" t="s">
        <v>1344</v>
      </c>
    </row>
    <row r="5135" ht="33.75" customHeight="1">
      <c r="A5135" s="6" t="s">
        <v>7546</v>
      </c>
      <c r="B5135" s="6" t="str">
        <f>IFERROR(__xludf.DUMMYFUNCTION("GOOGLETRANSLATE(A5135,""en"",""fi"")"),"VIGOROTH ei yksinkertaisesti pysty pysymään paikallaan. Jopa yrittäessään nukkua, veri sen suonissa kiihtyy, mikä pakottaa tämän POKéMONin juoksemaan villisti viidakossa ennen kuin se ehtii rauhoittua.")</f>
        <v>VIGOROTH ei yksinkertaisesti pysty pysymään paikallaan. Jopa yrittäessään nukkua, veri sen suonissa kiihtyy, mikä pakottaa tämän POKéMONin juoksemaan villisti viidakossa ennen kuin se ehtii rauhoittua.</v>
      </c>
      <c r="C5135" s="9" t="s">
        <v>1344</v>
      </c>
    </row>
    <row r="5136" ht="33.75" customHeight="1">
      <c r="A5136" s="6" t="s">
        <v>7547</v>
      </c>
      <c r="B5136" s="6" t="str">
        <f>IFERROR(__xludf.DUMMYFUNCTION("GOOGLETRANSLATE(A5136,""en"",""fi"")"),"Se ei pysty pysymään paikallaan, koska sen veri kiehuu energiasta. Se juoksee peltojen ja vuorten halki koko päivän rauhoittaakseen itseään. Jos se ei pysty, se ei voi nukkua yöllä.")</f>
        <v>Se ei pysty pysymään paikallaan, koska sen veri kiehuu energiasta. Se juoksee peltojen ja vuorten halki koko päivän rauhoittaakseen itseään. Jos se ei pysty, se ei voi nukkua yöllä.</v>
      </c>
      <c r="C5136" s="9" t="s">
        <v>1344</v>
      </c>
    </row>
    <row r="5137" ht="33.75" customHeight="1">
      <c r="A5137" s="6" t="s">
        <v>7549</v>
      </c>
      <c r="B5137" s="6" t="str">
        <f>IFERROR(__xludf.DUMMYFUNCTION("GOOGLETRANSLATE(A5137,""en"",""fi"")"),"Se on aina nälkäinen, koska se ei lakkaa riehumasta. Vaikka se syö, se ei pysy paikallaan.")</f>
        <v>Se on aina nälkäinen, koska se ei lakkaa riehumasta. Vaikka se syö, se ei pysy paikallaan.</v>
      </c>
      <c r="C5137" s="9" t="s">
        <v>1344</v>
      </c>
    </row>
    <row r="5138" ht="33.75" customHeight="1">
      <c r="A5138" s="6" t="s">
        <v>7550</v>
      </c>
      <c r="B5138" s="6" t="str">
        <f>IFERROR(__xludf.DUMMYFUNCTION("GOOGLETRANSLATE(A5138,""en"",""fi"")"),"Sen sydän lyö kymmenkertaisella tahdilla, joten se ei pysty istumaan paikallaan hetkeäkään.")</f>
        <v>Sen sydän lyö kymmenkertaisella tahdilla, joten se ei pysty istumaan paikallaan hetkeäkään.</v>
      </c>
      <c r="C5138" s="9" t="s">
        <v>1344</v>
      </c>
    </row>
    <row r="5139" ht="33.75" customHeight="1">
      <c r="A5139" s="6" t="s">
        <v>7552</v>
      </c>
      <c r="B5139" s="6" t="str">
        <f>IFERROR(__xludf.DUMMYFUNCTION("GOOGLETRANSLATE(A5139,""en"",""fi"")"),"Sen stressitaso nousee, jos se ei pysty pysymään liikkeessä jatkuvasti. Liika stressi saa sen voimaan sairaasti.")</f>
        <v>Sen stressitaso nousee, jos se ei pysty pysymään liikkeessä jatkuvasti. Liika stressi saa sen voimaan sairaasti.</v>
      </c>
      <c r="C5139" s="9" t="s">
        <v>1344</v>
      </c>
    </row>
    <row r="5140" ht="33.75" customHeight="1">
      <c r="A5140" s="6" t="s">
        <v>7553</v>
      </c>
      <c r="B5140" s="6" t="str">
        <f>IFERROR(__xludf.DUMMYFUNCTION("GOOGLETRANSLATE(A5140,""en"",""fi"")"),"Sen sydämenlyönti on nopeaa ja veri niin kiihkeää, ettei se pysty istumaan paikallaan sekuntiakaan.")</f>
        <v>Sen sydämenlyönti on nopeaa ja veri niin kiihkeää, ettei se pysty istumaan paikallaan sekuntiakaan.</v>
      </c>
      <c r="C5140" s="9" t="s">
        <v>1344</v>
      </c>
    </row>
    <row r="5141" ht="33.75" customHeight="1">
      <c r="A5141" s="6" t="s">
        <v>7554</v>
      </c>
      <c r="B5141" s="6" t="str">
        <f>IFERROR(__xludf.DUMMYFUNCTION("GOOGLETRANSLATE(A5141,""en"",""fi"")"),"Vigorothilla on aina halu lähteä villiin riehumiseen ja hän on levoton. Se ei yksinkertaisesti kestä istua paikallaan edes minuuttia. Tämän Pokémonin stressitaso nousee, jos se ei voi liikkua jatkuvasti.")</f>
        <v>Vigorothilla on aina halu lähteä villiin riehumiseen ja hän on levoton. Se ei yksinkertaisesti kestä istua paikallaan edes minuuttia. Tämän Pokémonin stressitaso nousee, jos se ei voi liikkua jatkuvasti.</v>
      </c>
      <c r="C5141" s="9" t="s">
        <v>1344</v>
      </c>
    </row>
    <row r="5142" ht="33.75" customHeight="1">
      <c r="A5142" s="6" t="s">
        <v>7556</v>
      </c>
      <c r="B5142" s="6" t="str">
        <f>IFERROR(__xludf.DUMMYFUNCTION("GOOGLETRANSLATE(A5142,""en"",""fi"")"),"Vigoroth ei yksinkertaisesti pysty pysymään paikallaan. Jopa yrittäessään nukkua, veri sen suonissa kiihtyy, mikä pakottaa tämän Pokémonin juoksemaan villisti viidakossa ennen kuin se ehtii rauhoittua.")</f>
        <v>Vigoroth ei yksinkertaisesti pysty pysymään paikallaan. Jopa yrittäessään nukkua, veri sen suonissa kiihtyy, mikä pakottaa tämän Pokémonin juoksemaan villisti viidakossa ennen kuin se ehtii rauhoittua.</v>
      </c>
      <c r="C5142" s="9" t="s">
        <v>1344</v>
      </c>
    </row>
    <row r="5143" ht="33.75" customHeight="1">
      <c r="A5143" s="6" t="s">
        <v>7557</v>
      </c>
      <c r="B5143" s="6" t="str">
        <f>IFERROR(__xludf.DUMMYFUNCTION("GOOGLETRANSLATE(A5143,""en"",""fi"")"),"SLAKING viettää koko päivän makuulla ja löhöillen. Se syö ulottuvillaan kasvavaa ruohoa. Jos se syö kaiken ulottuvilleen yltävän ruohon, tämä POKéMON siirtyy vastahakoisesti uuteen paikkaan.")</f>
        <v>SLAKING viettää koko päivän makuulla ja löhöillen. Se syö ulottuvillaan kasvavaa ruohoa. Jos se syö kaiken ulottuvilleen yltävän ruohon, tämä POKéMON siirtyy vastahakoisesti uuteen paikkaan.</v>
      </c>
      <c r="C5143" s="9" t="s">
        <v>1344</v>
      </c>
    </row>
    <row r="5144" ht="33.75" customHeight="1">
      <c r="A5144" s="6" t="s">
        <v>7558</v>
      </c>
      <c r="B5144" s="6" t="str">
        <f>IFERROR(__xludf.DUMMYFUNCTION("GOOGLETRANSLATE(A5144,""en"",""fi"")"),"Missä tahansa SYLPYJÄT elävätkin, ruohoisille pelloille ilmestyy yli jaardin halkaisijaltaan olevia renkaita. Pokémon tekee niitä syödessään kaiken ulottuvilleen jäävän ruohon maatessaan maassa.")</f>
        <v>Missä tahansa SYLPYJÄT elävätkin, ruohoisille pelloille ilmestyy yli jaardin halkaisijaltaan olevia renkaita. Pokémon tekee niitä syödessään kaiken ulottuvilleen jäävän ruohon maatessaan maassa.</v>
      </c>
      <c r="C5144" s="9" t="s">
        <v>1344</v>
      </c>
    </row>
    <row r="5145" ht="33.75" customHeight="1">
      <c r="A5145" s="6" t="s">
        <v>7560</v>
      </c>
      <c r="B5145" s="6" t="str">
        <f>IFERROR(__xludf.DUMMYFUNCTION("GOOGLETRANSLATE(A5145,""en"",""fi"")"),"SAMMUTTAVIEN laumojen kerääntyy puiden ympärille, kun hedelmät tulevat sesongin puolelle. He odottavat kärsivällisesti kypsyneiden hedelmien putoamista puista.")</f>
        <v>SAMMUTTAVIEN laumojen kerääntyy puiden ympärille, kun hedelmät tulevat sesongin puolelle. He odottavat kärsivällisesti kypsyneiden hedelmien putoamista puista.</v>
      </c>
      <c r="C5145" s="9" t="s">
        <v>1344</v>
      </c>
    </row>
    <row r="5146" ht="33.75" customHeight="1">
      <c r="A5146" s="6" t="s">
        <v>7561</v>
      </c>
      <c r="B5146" s="6" t="str">
        <f>IFERROR(__xludf.DUMMYFUNCTION("GOOGLETRANSLATE(A5146,""en"",""fi"")"),"Se on maailman laiskin POKéMON. Se voi kuitenkin käyttää kauhistuttavaa voimaa vapauttamalla patoutunutta energiaa kerralla.")</f>
        <v>Se on maailman laiskin POKéMON. Se voi kuitenkin käyttää kauhistuttavaa voimaa vapauttamalla patoutunutta energiaa kerralla.</v>
      </c>
      <c r="C5146" s="9" t="s">
        <v>1344</v>
      </c>
    </row>
    <row r="5147" ht="33.75" customHeight="1">
      <c r="A5147" s="6" t="s">
        <v>7563</v>
      </c>
      <c r="B5147" s="6" t="str">
        <f>IFERROR(__xludf.DUMMYFUNCTION("GOOGLETRANSLATE(A5147,""en"",""fi"")"),"Maailman laisin Pokémon. Lekoillessaan se itse asiassa säästää energiaa kostoiskuja varten.")</f>
        <v>Maailman laisin Pokémon. Lekoillessaan se itse asiassa säästää energiaa kostoiskuja varten.</v>
      </c>
      <c r="C5147" s="9" t="s">
        <v>1344</v>
      </c>
    </row>
    <row r="5148" ht="33.75" customHeight="1">
      <c r="A5148" s="6" t="s">
        <v>7564</v>
      </c>
      <c r="B5148" s="6" t="str">
        <f>IFERROR(__xludf.DUMMYFUNCTION("GOOGLETRANSLATE(A5148,""en"",""fi"")"),"Maailman laiskin Pokémon. Se siirtyy uuteen paikkaan, kun sen ulottuvilla ei ole enää ruokaa.")</f>
        <v>Maailman laiskin Pokémon. Se siirtyy uuteen paikkaan, kun sen ulottuvilla ei ole enää ruokaa.</v>
      </c>
      <c r="C5148" s="9" t="s">
        <v>1344</v>
      </c>
    </row>
    <row r="5149" ht="33.75" customHeight="1">
      <c r="A5149" s="6" t="s">
        <v>7565</v>
      </c>
      <c r="B5149" s="6" t="str">
        <f>IFERROR(__xludf.DUMMYFUNCTION("GOOGLETRANSLATE(A5149,""en"",""fi"")"),"Tämä Pokémon makaa kyljellään. Se pyörii ja liikkuu vain, kun syötävää ruohoa ei ole enää jäljellä.")</f>
        <v>Tämä Pokémon makaa kyljellään. Se pyörii ja liikkuu vain, kun syötävää ruohoa ei ole enää jäljellä.</v>
      </c>
      <c r="C5149" s="9" t="s">
        <v>1344</v>
      </c>
    </row>
    <row r="5150" ht="33.75" customHeight="1">
      <c r="A5150" s="6" t="s">
        <v>7566</v>
      </c>
      <c r="B5150" s="6" t="str">
        <f>IFERROR(__xludf.DUMMYFUNCTION("GOOGLETRANSLATE(A5150,""en"",""fi"")"),"Se on maailman laiskin Pokémon. Se voi kuitenkin käyttää kauhistuttavaa voimaa vapauttamalla patoutunutta energiaansa kerralla.")</f>
        <v>Se on maailman laiskin Pokémon. Se voi kuitenkin käyttää kauhistuttavaa voimaa vapauttamalla patoutunutta energiaansa kerralla.</v>
      </c>
      <c r="C5150" s="9" t="s">
        <v>1344</v>
      </c>
    </row>
    <row r="5151" ht="33.75" customHeight="1">
      <c r="A5151" s="6" t="s">
        <v>7570</v>
      </c>
      <c r="B5151" s="6" t="str">
        <f>IFERROR(__xludf.DUMMYFUNCTION("GOOGLETRANSLATE(A5151,""en"",""fi"")"),"Slaking viettää koko päivän makuullaan ja löhöillen. Se syö ulottuvillaan kasvavaa ruohoa. Jos se syö kaiken ulottuvilleen yltävän ruohon, tämä Pokémon siirtyy vastahakoisesti uuteen paikkaan.")</f>
        <v>Slaking viettää koko päivän makuullaan ja löhöillen. Se syö ulottuvillaan kasvavaa ruohoa. Jos se syö kaiken ulottuvilleen yltävän ruohon, tämä Pokémon siirtyy vastahakoisesti uuteen paikkaan.</v>
      </c>
      <c r="C5151" s="9" t="s">
        <v>1344</v>
      </c>
    </row>
    <row r="5152" ht="33.75" customHeight="1">
      <c r="A5152" s="6" t="s">
        <v>7571</v>
      </c>
      <c r="B5152" s="6" t="str">
        <f>IFERROR(__xludf.DUMMYFUNCTION("GOOGLETRANSLATE(A5152,""en"",""fi"")"),"Missä tahansa Slakingit elävätkin, ruohoisille pelloille ilmestyy yli metrin läpimittaisia ​​renkaita. Pokémonit tekevät niitä syödessään kaiken ulottuvillaan olevan ruohon maatessaan maassa.")</f>
        <v>Missä tahansa Slakingit elävätkin, ruohoisille pelloille ilmestyy yli metrin läpimittaisia ​​renkaita. Pokémonit tekevät niitä syödessään kaiken ulottuvillaan olevan ruohon maatessaan maassa.</v>
      </c>
      <c r="C5152" s="9" t="s">
        <v>1344</v>
      </c>
    </row>
    <row r="5153" ht="33.75" customHeight="1">
      <c r="A5153" s="6" t="s">
        <v>7573</v>
      </c>
      <c r="B5153" s="6" t="str">
        <f>IFERROR(__xludf.DUMMYFUNCTION("GOOGLETRANSLATE(A5153,""en"",""fi"")"),"NINCADA elää maan alla monta vuotta täydellisessä pimeydessä. Tämä POKéMON imee ravinteita puiden juurista. Se pysyy liikkumattomana odottaessaan evoluutiota.")</f>
        <v>NINCADA elää maan alla monta vuotta täydellisessä pimeydessä. Tämä POKéMON imee ravinteita puiden juurista. Se pysyy liikkumattomana odottaessaan evoluutiota.</v>
      </c>
      <c r="C5153" s="9" t="s">
        <v>1344</v>
      </c>
    </row>
    <row r="5154" ht="33.75" customHeight="1">
      <c r="A5154" s="6" t="s">
        <v>7575</v>
      </c>
      <c r="B5154" s="6" t="str">
        <f>IFERROR(__xludf.DUMMYFUNCTION("GOOGLETRANSLATE(A5154,""en"",""fi"")"),"NINCADA elää maan alla. Se käyttää teräviä kynsiään kaivertaakseen puiden juuria ja imeäkseen kosteutta ja ravinteita. Tämä POKéMON ei kestä kirkasta auringonvaloa, joten se välttelee sitä.")</f>
        <v>NINCADA elää maan alla. Se käyttää teräviä kynsiään kaivertaakseen puiden juuria ja imeäkseen kosteutta ja ravinteita. Tämä POKéMON ei kestä kirkasta auringonvaloa, joten se välttelee sitä.</v>
      </c>
      <c r="C5154" s="9" t="s">
        <v>1344</v>
      </c>
    </row>
    <row r="5155" ht="33.75" customHeight="1">
      <c r="A5155" s="6" t="s">
        <v>7577</v>
      </c>
      <c r="B5155" s="6" t="str">
        <f>IFERROR(__xludf.DUMMYFUNCTION("GOOGLETRANSLATE(A5155,""en"",""fi"")"),"Se tekee pesänsä mahtavan puun juurille. Viiksimäisten tuntosarviensa avulla se luotaa ympäristöään maaperän pikimustassa pimeydessä.")</f>
        <v>Se tekee pesänsä mahtavan puun juurille. Viiksimäisten tuntosarviensa avulla se luotaa ympäristöään maaperän pikimustassa pimeydessä.</v>
      </c>
      <c r="C5155" s="9" t="s">
        <v>1344</v>
      </c>
    </row>
    <row r="5156" ht="33.75" customHeight="1">
      <c r="A5156" s="6" t="s">
        <v>7579</v>
      </c>
      <c r="B5156" s="6" t="str">
        <f>IFERROR(__xludf.DUMMYFUNCTION("GOOGLETRANSLATE(A5156,""en"",""fi"")"),"Koska se eli lähes kokonaan maan alla, se on lähes sokea. Se käyttää sen sijaan tuntosarviaan.")</f>
        <v>Koska se eli lähes kokonaan maan alla, se on lähes sokea. Se käyttää sen sijaan tuntosarviaan.</v>
      </c>
      <c r="C5156" s="9" t="s">
        <v>1344</v>
      </c>
    </row>
    <row r="5157" ht="33.75" customHeight="1">
      <c r="A5157" s="6" t="s">
        <v>7580</v>
      </c>
      <c r="B5157" s="6" t="str">
        <f>IFERROR(__xludf.DUMMYFUNCTION("GOOGLETRANSLATE(A5157,""en"",""fi"")"),"Se kasvaa maan alla ja aistii ympäristönsä tuntosarvien avulla käytännössä sokeiden silmiensä sijaan.")</f>
        <v>Se kasvaa maan alla ja aistii ympäristönsä tuntosarvien avulla käytännössä sokeiden silmiensä sijaan.</v>
      </c>
      <c r="C5157" s="9" t="s">
        <v>1344</v>
      </c>
    </row>
    <row r="5158" ht="33.75" customHeight="1">
      <c r="A5158" s="6" t="s">
        <v>7582</v>
      </c>
      <c r="B5158" s="6" t="str">
        <f>IFERROR(__xludf.DUMMYFUNCTION("GOOGLETRANSLATE(A5158,""en"",""fi"")"),"Se voi joskus elää maan alla yli 10 vuotta. Se imee ravinteita puiden juurista.")</f>
        <v>Se voi joskus elää maan alla yli 10 vuotta. Se imee ravinteita puiden juurista.</v>
      </c>
      <c r="C5158" s="9" t="s">
        <v>1344</v>
      </c>
    </row>
    <row r="5159" ht="33.75" customHeight="1">
      <c r="A5159" s="6" t="s">
        <v>7584</v>
      </c>
      <c r="B5159" s="6" t="str">
        <f>IFERROR(__xludf.DUMMYFUNCTION("GOOGLETRANSLATE(A5159,""en"",""fi"")"),"Nincada elää maan alla monta vuotta täydellisessä pimeydessä. Tämä Pokémon imee ravinteita puiden juurista. Se pysyy liikkumattomana odottaessaan evoluutiota.")</f>
        <v>Nincada elää maan alla monta vuotta täydellisessä pimeydessä. Tämä Pokémon imee ravinteita puiden juurista. Se pysyy liikkumattomana odottaessaan evoluutiota.</v>
      </c>
      <c r="C5159" s="9" t="s">
        <v>1344</v>
      </c>
    </row>
    <row r="5160" ht="33.75" customHeight="1">
      <c r="A5160" s="6" t="s">
        <v>7587</v>
      </c>
      <c r="B5160" s="6" t="str">
        <f>IFERROR(__xludf.DUMMYFUNCTION("GOOGLETRANSLATE(A5160,""en"",""fi"")"),"Nincada elää maan alla. Se käyttää teräviä kynsiään kaivertaakseen puiden juuria ja imeäkseen kosteutta ja ravinteita. Tämä Pokémon ei kestä kirkasta auringonvaloa, joten se välttelee sitä.")</f>
        <v>Nincada elää maan alla. Se käyttää teräviä kynsiään kaivertaakseen puiden juuria ja imeäkseen kosteutta ja ravinteita. Tämä Pokémon ei kestä kirkasta auringonvaloa, joten se välttelee sitä.</v>
      </c>
      <c r="C5160" s="9" t="s">
        <v>1344</v>
      </c>
    </row>
    <row r="5161" ht="33.75" customHeight="1">
      <c r="A5161" s="6" t="s">
        <v>7588</v>
      </c>
      <c r="B5161" s="6" t="str">
        <f>IFERROR(__xludf.DUMMYFUNCTION("GOOGLETRANSLATE(A5161,""en"",""fi"")"),"NINJASK liikkuu niin nopeasti, ettei sitä voida nähdä, vaikka sen itku kuuluu selvästi. Tästä syystä tämän POKéMONin uskottiin pitkään olevan näkymätön.")</f>
        <v>NINJASK liikkuu niin nopeasti, ettei sitä voida nähdä, vaikka sen itku kuuluu selvästi. Tästä syystä tämän POKéMONin uskottiin pitkään olevan näkymätön.</v>
      </c>
      <c r="C5161" s="9" t="s">
        <v>1344</v>
      </c>
    </row>
    <row r="5162" ht="33.75" customHeight="1">
      <c r="A5162" s="6" t="s">
        <v>7590</v>
      </c>
      <c r="B5162" s="6" t="str">
        <f>IFERROR(__xludf.DUMMYFUNCTION("GOOGLETRANSLATE(A5162,""en"",""fi"")"),"Jos NINJASKIA ei ole koulutettu kunnolla, se kieltäytyy tottelemasta KOULUTTAJAA ja itkee kovaa jatkuvasti. Tämän ominaisuuden vuoksi tämän POKéMONin sanotaan koettelevan KOULUTTAJAN kykyjä.")</f>
        <v>Jos NINJASKIA ei ole koulutettu kunnolla, se kieltäytyy tottelemasta KOULUTTAJAA ja itkee kovaa jatkuvasti. Tämän ominaisuuden vuoksi tämän POKéMONin sanotaan koettelevan KOULUTTAJAN kykyjä.</v>
      </c>
      <c r="C5162" s="9" t="s">
        <v>1344</v>
      </c>
    </row>
    <row r="5163" ht="33.75" customHeight="1">
      <c r="A5163" s="6" t="s">
        <v>7591</v>
      </c>
      <c r="B5163" s="6" t="str">
        <f>IFERROR(__xludf.DUMMYFUNCTION("GOOGLETRANSLATE(A5163,""en"",""fi"")"),"Koska se syöksyy reippaasti ja kovalla nopeudella, sitä on hyvin vaikea nähdä. Sen tunnusomaisen huudon kuuleminen liian pitkään aiheuttaa päänsärkyä.")</f>
        <v>Koska se syöksyy reippaasti ja kovalla nopeudella, sitä on hyvin vaikea nähdä. Sen tunnusomaisen huudon kuuleminen liian pitkään aiheuttaa päänsärkyä.</v>
      </c>
      <c r="C5163" s="9" t="s">
        <v>1344</v>
      </c>
    </row>
    <row r="5164" ht="33.75" customHeight="1">
      <c r="A5164" s="6" t="s">
        <v>7592</v>
      </c>
      <c r="B5164" s="6" t="str">
        <f>IFERROR(__xludf.DUMMYFUNCTION("GOOGLETRANSLATE(A5164,""en"",""fi"")"),"Tämä POKéMON on niin nopea, että sen sanotaan pystyvän välttämään minkä tahansa hyökkäyksen. Se rakastaa puunmahlan syömistä.")</f>
        <v>Tämä POKéMON on niin nopea, että sen sanotaan pystyvän välttämään minkä tahansa hyökkäyksen. Se rakastaa puunmahlan syömistä.</v>
      </c>
      <c r="C5164" s="9" t="s">
        <v>1344</v>
      </c>
    </row>
    <row r="5165" ht="33.75" customHeight="1">
      <c r="A5165" s="6" t="s">
        <v>7594</v>
      </c>
      <c r="B5165" s="6" t="str">
        <f>IFERROR(__xludf.DUMMYFUNCTION("GOOGLETRANSLATE(A5165,""en"",""fi"")"),"Koska se liikkuu niin nopeasti, siitä tulee joskus näkymätön. Se kerääntyy puunmahlan ympärille.")</f>
        <v>Koska se liikkuu niin nopeasti, siitä tulee joskus näkymätön. Se kerääntyy puunmahlan ympärille.</v>
      </c>
      <c r="C5165" s="9" t="s">
        <v>1344</v>
      </c>
    </row>
    <row r="5166" ht="33.75" customHeight="1">
      <c r="A5166" s="6" t="s">
        <v>7595</v>
      </c>
      <c r="B5166" s="6" t="str">
        <f>IFERROR(__xludf.DUMMYFUNCTION("GOOGLETRANSLATE(A5166,""en"",""fi"")"),"Sen huuto aiheuttaa pitkäkestoisen päänsäryn, jos sitä kuulee liian kauan. Se liikkuu niin nopeasti, että on lähes näkymätön.")</f>
        <v>Sen huuto aiheuttaa pitkäkestoisen päänsäryn, jos sitä kuulee liian kauan. Se liikkuu niin nopeasti, että on lähes näkymätön.</v>
      </c>
      <c r="C5166" s="9" t="s">
        <v>1344</v>
      </c>
    </row>
    <row r="5167" ht="33.75" customHeight="1">
      <c r="A5167" s="6" t="s">
        <v>7596</v>
      </c>
      <c r="B5167" s="6" t="str">
        <f>IFERROR(__xludf.DUMMYFUNCTION("GOOGLETRANSLATE(A5167,""en"",""fi"")"),"Ninjask liikkuu niin nopeasti, ettei sitä voida nähdä, vaikka sen itku kuuluu selvästi. Tästä syystä tätä Pokémonia pidettiin pitkään näkymättömänä.")</f>
        <v>Ninjask liikkuu niin nopeasti, ettei sitä voida nähdä, vaikka sen itku kuuluu selvästi. Tästä syystä tätä Pokémonia pidettiin pitkään näkymättömänä.</v>
      </c>
      <c r="C5167" s="9" t="s">
        <v>1344</v>
      </c>
    </row>
    <row r="5168" ht="33.75" customHeight="1">
      <c r="A5168" s="6" t="s">
        <v>7598</v>
      </c>
      <c r="B5168" s="6" t="str">
        <f>IFERROR(__xludf.DUMMYFUNCTION("GOOGLETRANSLATE(A5168,""en"",""fi"")"),"Jos Ninjaskia ei ole koulutettu kunnolla, se kieltäytyy tottelemasta kouluttajaa ja itkee jatkuvasti kovaa. Tämän ominaisuuden vuoksi tämän Pokémonin sanotaan koettelevan kouluttajan kykyjä.")</f>
        <v>Jos Ninjaskia ei ole koulutettu kunnolla, se kieltäytyy tottelemasta kouluttajaa ja itkee jatkuvasti kovaa. Tämän ominaisuuden vuoksi tämän Pokémonin sanotaan koettelevan kouluttajan kykyjä.</v>
      </c>
      <c r="C5168" s="9" t="s">
        <v>1344</v>
      </c>
    </row>
    <row r="5169" ht="33.75" customHeight="1">
      <c r="A5169" s="6" t="s">
        <v>7599</v>
      </c>
      <c r="B5169" s="6" t="str">
        <f>IFERROR(__xludf.DUMMYFUNCTION("GOOGLETRANSLATE(A5169,""en"",""fi"")"),"Tämä Pokémon on niin nopea, että sen sanotaan pystyvän välttämään minkä tahansa hyökkäyksen. Se rakastaa puunmahlan syömistä.")</f>
        <v>Tämä Pokémon on niin nopea, että sen sanotaan pystyvän välttämään minkä tahansa hyökkäyksen. Se rakastaa puunmahlan syömistä.</v>
      </c>
      <c r="C5169" s="9" t="s">
        <v>1344</v>
      </c>
    </row>
    <row r="5170" ht="33.75" customHeight="1">
      <c r="A5170" s="6" t="s">
        <v>7600</v>
      </c>
      <c r="B5170" s="6" t="str">
        <f>IFERROR(__xludf.DUMMYFUNCTION("GOOGLETRANSLATE(A5170,""en"",""fi"")"),"SHEDINJAN kova ruumis ei liiku – ei edes nykäise. Itse asiassa sen ruumis näyttää vain ontolta kuorelta. Uskotaan, että tämä POKéMON varastaa hengen jokaiselta, joka kurkistaa sen onttoon ruumiiseen selästä.")</f>
        <v>SHEDINJAN kova ruumis ei liiku – ei edes nykäise. Itse asiassa sen ruumis näyttää vain ontolta kuorelta. Uskotaan, että tämä POKéMON varastaa hengen jokaiselta, joka kurkistaa sen onttoon ruumiiseen selästä.</v>
      </c>
      <c r="C5170" s="9" t="s">
        <v>1344</v>
      </c>
    </row>
    <row r="5171" ht="33.75" customHeight="1">
      <c r="A5171" s="6" t="s">
        <v>7602</v>
      </c>
      <c r="B5171" s="6" t="str">
        <f>IFERROR(__xludf.DUMMYFUNCTION("GOOGLETRANSLATE(A5171,""en"",""fi"")"),"SHEDINJA on erikoinen POKéMON. Se näyttää ilmestyvän etsimättömänä POKé-PALLOSSA NINCADAN kehittymisen jälkeen. Tämä erikoinen POKéMON on täysin liikkumaton – se ei edes hengitä.")</f>
        <v>SHEDINJA on erikoinen POKéMON. Se näyttää ilmestyvän etsimättömänä POKé-PALLOSSA NINCADAN kehittymisen jälkeen. Tämä erikoinen POKéMON on täysin liikkumaton – se ei edes hengitä.</v>
      </c>
      <c r="C5171" s="9" t="s">
        <v>1344</v>
      </c>
    </row>
    <row r="5172" ht="33.75" customHeight="1">
      <c r="A5172" s="6" t="s">
        <v>7604</v>
      </c>
      <c r="B5172" s="6" t="str">
        <f>IFERROR(__xludf.DUMMYFUNCTION("GOOGLETRANSLATE(A5172,""en"",""fi"")"),"Erikoinen POKéMON, joka leijuu ilmassa, vaikka sen siivet pysyvät täysin paikallaan. Sen ruumiin sisäpuoli on ontto ja täysin pimeä.")</f>
        <v>Erikoinen POKéMON, joka leijuu ilmassa, vaikka sen siivet pysyvät täysin paikallaan. Sen ruumiin sisäpuoli on ontto ja täysin pimeä.</v>
      </c>
      <c r="C5172" s="9" t="s">
        <v>1344</v>
      </c>
    </row>
    <row r="5173" ht="33.75" customHeight="1">
      <c r="A5173" s="6" t="s">
        <v>7607</v>
      </c>
      <c r="B5173" s="6" t="str">
        <f>IFERROR(__xludf.DUMMYFUNCTION("GOOGLETRANSLATE(A5173,""en"",""fi"")"),"Hyvin erikoinen POKéMON, joka ilmestyy jotenkin POKé-PALLOON, kun NINCADA kehittyy.")</f>
        <v>Hyvin erikoinen POKéMON, joka ilmestyy jotenkin POKé-PALLOON, kun NINCADA kehittyy.</v>
      </c>
      <c r="C5173" s="9" t="s">
        <v>1344</v>
      </c>
    </row>
    <row r="5174" ht="33.75" customHeight="1">
      <c r="A5174" s="6" t="s">
        <v>7608</v>
      </c>
      <c r="B5174" s="6" t="str">
        <f>IFERROR(__xludf.DUMMYFUNCTION("GOOGLETRANSLATE(A5174,""en"",""fi"")"),"Hylätty ötökänkuori, joka heräsi eloon. Sen selässä olevaan halkeamaan kurkistamisen sanotaan varastavan hengen.")</f>
        <v>Hylätty ötökänkuori, joka heräsi eloon. Sen selässä olevaan halkeamaan kurkistamisen sanotaan varastavan hengen.</v>
      </c>
      <c r="C5174" s="9" t="s">
        <v>1344</v>
      </c>
    </row>
    <row r="5175" ht="33.75" customHeight="1">
      <c r="A5175" s="6" t="s">
        <v>7610</v>
      </c>
      <c r="B5175" s="6" t="str">
        <f>IFERROR(__xludf.DUMMYFUNCTION("GOOGLETRANSLATE(A5175,""en"",""fi"")"),"Outo Pokémon – se lentää liikuttamatta siipiään, sillä on ontto kuori ruumiinaan eikä se hengitä.")</f>
        <v>Outo Pokémon – se lentää liikuttamatta siipiään, sillä on ontto kuori ruumiinaan eikä se hengitä.</v>
      </c>
      <c r="C5175" s="9" t="s">
        <v>1344</v>
      </c>
    </row>
    <row r="5176" ht="33.75" customHeight="1">
      <c r="A5176" s="6" t="s">
        <v>7614</v>
      </c>
      <c r="B5176" s="6" t="str">
        <f>IFERROR(__xludf.DUMMYFUNCTION("GOOGLETRANSLATE(A5176,""en"",""fi"")"),"Hyvin erikoinen Pokémon, joka ilmestyy jotenkin Poképalloon Nincadan kehittyessä.")</f>
        <v>Hyvin erikoinen Pokémon, joka ilmestyy jotenkin Poképalloon Nincadan kehittyessä.</v>
      </c>
      <c r="C5176" s="9" t="s">
        <v>1344</v>
      </c>
    </row>
    <row r="5177" ht="33.75" customHeight="1">
      <c r="A5177" s="6" t="s">
        <v>7615</v>
      </c>
      <c r="B5177" s="6" t="str">
        <f>IFERROR(__xludf.DUMMYFUNCTION("GOOGLETRANSLATE(A5177,""en"",""fi"")"),"Shedinjan kova ruumis ei liiku – ei edes nykäise. Itse asiassa sen ruumis näyttää vain ontolta kuorelta. Uskotaan, että tämä Pokémon varastaa hengen jokaiselta, joka kurkistaa sen onttoon ruumiiseen selästä.")</f>
        <v>Shedinjan kova ruumis ei liiku – ei edes nykäise. Itse asiassa sen ruumis näyttää vain ontolta kuorelta. Uskotaan, että tämä Pokémon varastaa hengen jokaiselta, joka kurkistaa sen onttoon ruumiiseen selästä.</v>
      </c>
      <c r="C5177" s="9" t="s">
        <v>1344</v>
      </c>
    </row>
    <row r="5178" ht="33.75" customHeight="1">
      <c r="A5178" s="6" t="s">
        <v>7617</v>
      </c>
      <c r="B5178" s="6" t="str">
        <f>IFERROR(__xludf.DUMMYFUNCTION("GOOGLETRANSLATE(A5178,""en"",""fi"")"),"Shedinja on erikoinen Pokémon. Se näyttää olevan etsimätön Poképallossa Nincadan kehittyttyä. Tämä erikoinen Pokémon on täysin liikkumaton – se ei edes hengitä.")</f>
        <v>Shedinja on erikoinen Pokémon. Se näyttää olevan etsimätön Poképallossa Nincadan kehittyttyä. Tämä erikoinen Pokémon on täysin liikkumaton – se ei edes hengitä.</v>
      </c>
      <c r="C5178" s="9" t="s">
        <v>1344</v>
      </c>
    </row>
    <row r="5179" ht="33.75" customHeight="1">
      <c r="A5179" s="6" t="s">
        <v>7620</v>
      </c>
      <c r="B5179" s="6" t="str">
        <f>IFERROR(__xludf.DUMMYFUNCTION("GOOGLETRANSLATE(A5179,""en"",""fi"")"),"Outo Pokémon – se lentää liikuttamatta siipiään, sillä on ontto kuori vartalonaan eikä se hengitä.")</f>
        <v>Outo Pokémon – se lentää liikuttamatta siipiään, sillä on ontto kuori vartalonaan eikä se hengitä.</v>
      </c>
      <c r="C5179" s="9" t="s">
        <v>1344</v>
      </c>
    </row>
    <row r="5180" ht="33.75" customHeight="1">
      <c r="A5180" s="6" t="s">
        <v>7621</v>
      </c>
      <c r="B5180" s="6" t="str">
        <f>IFERROR(__xludf.DUMMYFUNCTION("GOOGLETRANSLATE(A5180,""en"",""fi"")"),"Normaalisti WHISMURin ääni on hyvin hiljainen – sitä tuskin kuulee, vaikka tarkkailisi tarkasti. Jos tämä POKéMON kuitenkin aistii vaaran, se alkaa itkeä korviahuumaavalla äänenvoimakkuudella.")</f>
        <v>Normaalisti WHISMURin ääni on hyvin hiljainen – sitä tuskin kuulee, vaikka tarkkailisi tarkasti. Jos tämä POKéMON kuitenkin aistii vaaran, se alkaa itkeä korviahuumaavalla äänenvoimakkuudella.</v>
      </c>
      <c r="C5180" s="9" t="s">
        <v>1344</v>
      </c>
    </row>
    <row r="5181" ht="33.75" customHeight="1">
      <c r="A5181" s="6" t="s">
        <v>7624</v>
      </c>
      <c r="B5181" s="6" t="str">
        <f>IFERROR(__xludf.DUMMYFUNCTION("GOOGLETRANSLATE(A5181,""en"",""fi"")"),"WHISMUR on hyvin arka. Jos se alkaa itkeä kovaa, se säpsähtää omaan itkuunsa ja itkee entistä kovemmin. Kun se lopulta lakkaa itkemästä, POKéMON nukahtaa väsyneenä.")</f>
        <v>WHISMUR on hyvin arka. Jos se alkaa itkeä kovaa, se säpsähtää omaan itkuunsa ja itkee entistä kovemmin. Kun se lopulta lakkaa itkemästä, POKéMON nukahtaa väsyneenä.</v>
      </c>
      <c r="C5181" s="9" t="s">
        <v>1344</v>
      </c>
    </row>
    <row r="5182" ht="33.75" customHeight="1">
      <c r="A5182" s="6" t="s">
        <v>7626</v>
      </c>
      <c r="B5182" s="6" t="str">
        <f>IFERROR(__xludf.DUMMYFUNCTION("GOOGLETRANSLATE(A5182,""en"",""fi"")"),"Sen huuto vastaa voimakkuudeltaan suihkukoneen ääntä. Se hengittää sisään korvakäytäviensä kautta. Tämän järjestelmän ansiosta se voi itkeä jatkuvasti ilman, että sen tarvitsee vetää henkeä.")</f>
        <v>Sen huuto vastaa voimakkuudeltaan suihkukoneen ääntä. Se hengittää sisään korvakäytäviensä kautta. Tämän järjestelmän ansiosta se voi itkeä jatkuvasti ilman, että sen tarvitsee vetää henkeä.</v>
      </c>
      <c r="C5182" s="9" t="s">
        <v>1344</v>
      </c>
    </row>
    <row r="5183" ht="33.75" customHeight="1">
      <c r="A5183" s="6" t="s">
        <v>7628</v>
      </c>
      <c r="B5183" s="6" t="str">
        <f>IFERROR(__xludf.DUMMYFUNCTION("GOOGLETRANSLATE(A5183,""en"",""fi"")"),"Se yleensä mumisee, mutta alkaa itkeä kovaa, jos se aistii vaaran. Se pysähtyy, kun sen korvakupit sulkeutuvat.")</f>
        <v>Se yleensä mumisee, mutta alkaa itkeä kovaa, jos se aistii vaaran. Se pysähtyy, kun sen korvakupit sulkeutuvat.</v>
      </c>
      <c r="C5183" s="9" t="s">
        <v>1344</v>
      </c>
    </row>
    <row r="5184" ht="33.75" customHeight="1">
      <c r="A5184" s="6" t="s">
        <v>7631</v>
      </c>
      <c r="B5184" s="6" t="str">
        <f>IFERROR(__xludf.DUMMYFUNCTION("GOOGLETRANSLATE(A5184,""en"",""fi"")"),"Yleensä sen huudot ovat kuin hiljaista kuiskausta. Jos se pelästyy, se kirkuu samalla äänenvoimakkuudella kuin suihkukone.")</f>
        <v>Yleensä sen huudot ovat kuin hiljaista kuiskausta. Jos se pelästyy, se kirkuu samalla äänenvoimakkuudella kuin suihkukone.</v>
      </c>
      <c r="C5184" s="9" t="s">
        <v>1344</v>
      </c>
    </row>
    <row r="5185" ht="33.75" customHeight="1">
      <c r="A5185" s="6" t="s">
        <v>7633</v>
      </c>
      <c r="B5185" s="6" t="str">
        <f>IFERROR(__xludf.DUMMYFUNCTION("GOOGLETRANSLATE(A5185,""en"",""fi"")"),"Jos se aistii vaaran, se pelottaa vihollisen huutamalla suihkukoneen moottorin äänenvoimakkuudella.")</f>
        <v>Jos se aistii vaaran, se pelottaa vihollisen huutamalla suihkukoneen moottorin äänenvoimakkuudella.</v>
      </c>
      <c r="C5185" s="9" t="s">
        <v>1344</v>
      </c>
    </row>
    <row r="5186" ht="33.75" customHeight="1">
      <c r="A5186" s="6" t="s">
        <v>7635</v>
      </c>
      <c r="B5186" s="6" t="str">
        <f>IFERROR(__xludf.DUMMYFUNCTION("GOOGLETRANSLATE(A5186,""en"",""fi"")"),"Se yleensä mumisee, mutta alkaa itkeä kovaa, jos se aistii vaaran. Se pysähtyy, kun sen korvakupit sulkeutuvat.")</f>
        <v>Se yleensä mumisee, mutta alkaa itkeä kovaa, jos se aistii vaaran. Se pysähtyy, kun sen korvakupit sulkeutuvat.</v>
      </c>
      <c r="C5186" s="9" t="s">
        <v>1344</v>
      </c>
    </row>
    <row r="5187" ht="33.75" customHeight="1">
      <c r="A5187" s="6" t="s">
        <v>7637</v>
      </c>
      <c r="B5187" s="6" t="str">
        <f>IFERROR(__xludf.DUMMYFUNCTION("GOOGLETRANSLATE(A5187,""en"",""fi"")"),"Normaalisti Whismurin ääni on hyvin hiljainen – sitä tuskin kuulee, vaikka tarkkailisi tarkasti. Jos tämä Pokémon kuitenkin aistii vaaran, se alkaa itkeä korviahuumaavalla äänenvoimakkuudella.")</f>
        <v>Normaalisti Whismurin ääni on hyvin hiljainen – sitä tuskin kuulee, vaikka tarkkailisi tarkasti. Jos tämä Pokémon kuitenkin aistii vaaran, se alkaa itkeä korviahuumaavalla äänenvoimakkuudella.</v>
      </c>
      <c r="C5187" s="9" t="s">
        <v>1344</v>
      </c>
    </row>
    <row r="5188" ht="33.75" customHeight="1">
      <c r="A5188" s="6" t="s">
        <v>7639</v>
      </c>
      <c r="B5188" s="6" t="str">
        <f>IFERROR(__xludf.DUMMYFUNCTION("GOOGLETRANSLATE(A5188,""en"",""fi"")"),"Whismur on hyvin arka. Jos se alkaa itkeä kovaa, se säpsähtää omaan itkuunsa ja itkee entistä kovemmin. Kun se lopulta lakkaa itkemästä, Pokémon menee nukkumaan väsyneenä.")</f>
        <v>Whismur on hyvin arka. Jos se alkaa itkeä kovaa, se säpsähtää omaan itkuunsa ja itkee entistä kovemmin. Kun se lopulta lakkaa itkemästä, Pokémon menee nukkumaan väsyneenä.</v>
      </c>
      <c r="C5188" s="9" t="s">
        <v>1344</v>
      </c>
    </row>
    <row r="5189" ht="33.75" customHeight="1">
      <c r="A5189" s="6" t="s">
        <v>7641</v>
      </c>
      <c r="B5189" s="6" t="str">
        <f>IFERROR(__xludf.DUMMYFUNCTION("GOOGLETRANSLATE(A5189,""en"",""fi"")"),"Whismurin huuto on yli 100 desibeliä. Jos olet lähellä Whismuria sen päästessä huudon, päänsärky jatkuu koko päivän.")</f>
        <v>Whismurin huuto on yli 100 desibeliä. Jos olet lähellä Whismuria sen päästessä huudon, päänsärky jatkuu koko päivän.</v>
      </c>
      <c r="C5189" s="9" t="s">
        <v>1344</v>
      </c>
    </row>
    <row r="5190" ht="33.75" customHeight="1">
      <c r="A5190" s="6" t="s">
        <v>7642</v>
      </c>
      <c r="B5190" s="6" t="str">
        <f>IFERROR(__xludf.DUMMYFUNCTION("GOOGLETRANSLATE(A5190,""en"",""fi"")"),"Kun Whismur itkee, sen oma ääni säikäyttää sen, jolloin Pokémon itkee entistä kovempaa. Se itkee, kunnes on uupunut, ja sitten se nukahtaa.")</f>
        <v>Kun Whismur itkee, sen oma ääni säikäyttää sen, jolloin Pokémon itkee entistä kovempaa. Se itkee, kunnes on uupunut, ja sitten se nukahtaa.</v>
      </c>
      <c r="C5190" s="9" t="s">
        <v>1344</v>
      </c>
    </row>
    <row r="5191" ht="33.75" customHeight="1">
      <c r="A5191" s="6" t="s">
        <v>7643</v>
      </c>
      <c r="B5191" s="6" t="str">
        <f>IFERROR(__xludf.DUMMYFUNCTION("GOOGLETRANSLATE(A5191,""en"",""fi"")"),"LOUDREDin karjunta voi tuhota puurakenteisen talon täysin. Se käyttää ääntään vihollistensa rankaisemiseen. Tämän POKéMONin pyöreät korvat toimivat kaiuttimina.")</f>
        <v>LOUDREDin karjunta voi tuhota puurakenteisen talon täysin. Se käyttää ääntään vihollistensa rankaisemiseen. Tämän POKéMONin pyöreät korvat toimivat kaiuttimina.</v>
      </c>
      <c r="C5191" s="9" t="s">
        <v>1344</v>
      </c>
    </row>
    <row r="5192" ht="33.75" customHeight="1">
      <c r="A5192" s="6" t="s">
        <v>7644</v>
      </c>
      <c r="B5192" s="6" t="str">
        <f>IFERROR(__xludf.DUMMYFUNCTION("GOOGLETRANSLATE(A5192,""en"",""fi"")"),"LOUDRED huutaa polkien jalkojaan. Huutamisen jälkeen tämä POKéMON ei kuule mitään hetkeen. Tätä pidetään heikkona kohtana.")</f>
        <v>LOUDRED huutaa polkien jalkojaan. Huutamisen jälkeen tämä POKéMON ei kuule mitään hetkeen. Tätä pidetään heikkona kohtana.</v>
      </c>
      <c r="C5192" s="9" t="s">
        <v>1344</v>
      </c>
    </row>
    <row r="5193" ht="33.75" customHeight="1">
      <c r="A5193" s="6" t="s">
        <v>7645</v>
      </c>
      <c r="B5193" s="6" t="str">
        <f>IFERROR(__xludf.DUMMYFUNCTION("GOOGLETRANSLATE(A5193,""en"",""fi"")"),"Se asettaa pyöreät kaiuttimet päähänsä hyökätäkseen vihollisten kimppuun valtavalla äänenvoimakkuudella toimivilla ultraääniaalloilla. Se rakentaa tehoa polkemalla maata.")</f>
        <v>Se asettaa pyöreät kaiuttimet päähänsä hyökätäkseen vihollisten kimppuun valtavalla äänenvoimakkuudella toimivilla ultraääniaalloilla. Se rakentaa tehoa polkemalla maata.</v>
      </c>
      <c r="C5193" s="9" t="s">
        <v>1344</v>
      </c>
    </row>
    <row r="5194" ht="33.75" customHeight="1">
      <c r="A5194" s="6" t="s">
        <v>7646</v>
      </c>
      <c r="B5194" s="6" t="str">
        <f>IFERROR(__xludf.DUMMYFUNCTION("GOOGLETRANSLATE(A5194,""en"",""fi"")"),"Kun se tömistää jalkojaan ja palkeitaan, se tuottaa ultraääniaaltoja, jotka voivat räjäyttää talon.")</f>
        <v>Kun se tömistää jalkojaan ja palkeitaan, se tuottaa ultraääniaaltoja, jotka voivat räjäyttää talon.</v>
      </c>
      <c r="C5194" s="9" t="s">
        <v>1344</v>
      </c>
    </row>
    <row r="5195" ht="33.75" customHeight="1">
      <c r="A5195" s="6" t="s">
        <v>7648</v>
      </c>
      <c r="B5195" s="6" t="str">
        <f>IFERROR(__xludf.DUMMYFUNCTION("GOOGLETRANSLATE(A5195,""en"",""fi"")"),"Sen huutojen aiheuttamat paineaallot voivat kaataa kuorma-autoja. Se tömistelee jalkojaan saadakseen virtaa.")</f>
        <v>Sen huutojen aiheuttamat paineaallot voivat kaataa kuorma-autoja. Se tömistelee jalkojaan saadakseen virtaa.</v>
      </c>
      <c r="C5195" s="9" t="s">
        <v>1344</v>
      </c>
    </row>
    <row r="5196" ht="33.75" customHeight="1">
      <c r="A5196" s="6" t="s">
        <v>7649</v>
      </c>
      <c r="B5196" s="6" t="str">
        <f>IFERROR(__xludf.DUMMYFUNCTION("GOOGLETRANSLATE(A5196,""en"",""fi"")"),"Se huutaa kovaa ääntä hengittämällä ilmaa ja käyttää sitten hyvin kehittyneitä vatsalihaksiaan uloshengitykseen.")</f>
        <v>Se huutaa kovaa ääntä hengittämällä ilmaa ja käyttää sitten hyvin kehittyneitä vatsalihaksiaan uloshengitykseen.</v>
      </c>
      <c r="C5196" s="9" t="s">
        <v>1344</v>
      </c>
    </row>
    <row r="5197" ht="33.75" customHeight="1">
      <c r="A5197" s="6" t="s">
        <v>7650</v>
      </c>
      <c r="B5197" s="6" t="str">
        <f>IFERROR(__xludf.DUMMYFUNCTION("GOOGLETRANSLATE(A5197,""en"",""fi"")"),"Loudredin mölinä voi tuhota puurakenteisen talon täysin. Se käyttää ääntään rankaisemaan vihollisiaan. Tämän Pokémonin pyöreät korvat toimivat kaiuttimina.")</f>
        <v>Loudredin mölinä voi tuhota puurakenteisen talon täysin. Se käyttää ääntään rankaisemaan vihollisiaan. Tämän Pokémonin pyöreät korvat toimivat kaiuttimina.</v>
      </c>
      <c r="C5197" s="9" t="s">
        <v>1344</v>
      </c>
    </row>
    <row r="5198" ht="33.75" customHeight="1">
      <c r="A5198" s="6" t="s">
        <v>7651</v>
      </c>
      <c r="B5198" s="6" t="str">
        <f>IFERROR(__xludf.DUMMYFUNCTION("GOOGLETRANSLATE(A5198,""en"",""fi"")"),"Kovaääninen huuto polkien samalla jalkojaan. Huutamisen jälkeen Pokémon ei kykene hetkeen kuulemaan mitään. Tätä pidetään heikkona kohtanaan.")</f>
        <v>Kovaääninen huuto polkien samalla jalkojaan. Huutamisen jälkeen Pokémon ei kykene hetkeen kuulemaan mitään. Tätä pidetään heikkona kohtanaan.</v>
      </c>
      <c r="C5198" s="9" t="s">
        <v>1344</v>
      </c>
    </row>
    <row r="5199" ht="33.75" customHeight="1">
      <c r="A5199" s="6" t="s">
        <v>7654</v>
      </c>
      <c r="B5199" s="6" t="str">
        <f>IFERROR(__xludf.DUMMYFUNCTION("GOOGLETRANSLATE(A5199,""en"",""fi"")"),"Loudredin korvat toimivat kaiuttimina, ja ne voivat tuottaa niin voimakkaita ääniaaltoja, että ne voisivat puhaltaa pois koko talon.")</f>
        <v>Loudredin korvat toimivat kaiuttimina, ja ne voivat tuottaa niin voimakkaita ääniaaltoja, että ne voisivat puhaltaa pois koko talon.</v>
      </c>
      <c r="C5199" s="9" t="s">
        <v>1344</v>
      </c>
    </row>
    <row r="5200" ht="33.75" customHeight="1">
      <c r="A5200" s="6" t="s">
        <v>7656</v>
      </c>
      <c r="B5200" s="6" t="str">
        <f>IFERROR(__xludf.DUMMYFUNCTION("GOOGLETRANSLATE(A5200,""en"",""fi"")"),"Tämän Pokémonin kovan äänen voima ei ole pelkästään ääni – se on myös ilmanpaineaalto, joka puhaltaa vastustajat pois ja vahingoittaa heitä.")</f>
        <v>Tämän Pokémonin kovan äänen voima ei ole pelkästään ääni – se on myös ilmanpaineaalto, joka puhaltaa vastustajat pois ja vahingoittaa heitä.</v>
      </c>
      <c r="C5200" s="9" t="s">
        <v>1344</v>
      </c>
    </row>
    <row r="5201" ht="33.75" customHeight="1">
      <c r="A5201" s="6" t="s">
        <v>7658</v>
      </c>
      <c r="B5201" s="6" t="str">
        <f>IFERROR(__xludf.DUMMYFUNCTION("GOOGLETRANSLATE(A5201,""en"",""fi"")"),"RÄJÄHDYS laukaisee maanjäristyksiä möliessään. Jos tämä POKéMON hengittää voimakkaasti sisään kehonsa aukoista, se on merkki siitä, että se valmistautuu päästämään valtavan mölyn.")</f>
        <v>RÄJÄHDYS laukaisee maanjäristyksiä möliessään. Jos tämä POKéMON hengittää voimakkaasti sisään kehonsa aukoista, se on merkki siitä, että se valmistautuu päästämään valtavan mölyn.</v>
      </c>
      <c r="C5201" s="9" t="s">
        <v>1344</v>
      </c>
    </row>
    <row r="5202" ht="33.75" customHeight="1">
      <c r="A5202" s="6" t="s">
        <v>7660</v>
      </c>
      <c r="B5202" s="6" t="str">
        <f>IFERROR(__xludf.DUMMYFUNCTION("GOOGLETRANSLATE(A5202,""en"",""fi"")"),"EKSPLOD viestii tunteistaan ​​muille lähettämällä vihellyksen kaltaisia ​​ääniä kehossaan olevista putkista. Tämä POKéMON korottaa ääntään vain taistelussa.")</f>
        <v>EKSPLOD viestii tunteistaan ​​muille lähettämällä vihellyksen kaltaisia ​​ääniä kehossaan olevista putkista. Tämä POKéMON korottaa ääntään vain taistelussa.</v>
      </c>
      <c r="C5202" s="9" t="s">
        <v>1344</v>
      </c>
    </row>
    <row r="5203" ht="33.75" customHeight="1">
      <c r="A5203" s="6" t="s">
        <v>7662</v>
      </c>
      <c r="B5203" s="6" t="str">
        <f>IFERROR(__xludf.DUMMYFUNCTION("GOOGLETRANSLATE(A5203,""en"",""fi"")"),"Sillä on ääntä tuottavia elimiä kaikkialla kehossaan. Se kommunikoi muiden kanssa säätämällä huutojensa sävyä ja voimakkuutta.")</f>
        <v>Sillä on ääntä tuottavia elimiä kaikkialla kehossaan. Se kommunikoi muiden kanssa säätämällä huutojensa sävyä ja voimakkuutta.</v>
      </c>
      <c r="C5203" s="9" t="s">
        <v>1344</v>
      </c>
    </row>
    <row r="5204" ht="33.75" customHeight="1">
      <c r="A5204" s="6" t="s">
        <v>7663</v>
      </c>
      <c r="B5204" s="6" t="str">
        <f>IFERROR(__xludf.DUMMYFUNCTION("GOOGLETRANSLATE(A5204,""en"",""fi"")"),"Se päästää erilaisia ​​ääniä rei'istään kaikkialle kehoonsa. Sen kovaääniset huudot voidaan kuulla yli kuuden mailin päähän.")</f>
        <v>Se päästää erilaisia ​​ääniä rei'istään kaikkialle kehoonsa. Sen kovaääniset huudot voidaan kuulla yli kuuden mailin päähän.</v>
      </c>
      <c r="C5204" s="9" t="s">
        <v>1344</v>
      </c>
    </row>
    <row r="5205" ht="33.75" customHeight="1">
      <c r="A5205" s="6" t="s">
        <v>7664</v>
      </c>
      <c r="B5205" s="6" t="str">
        <f>IFERROR(__xludf.DUMMYFUNCTION("GOOGLETRANSLATE(A5205,""en"",""fi"")"),"Sen ulvonta kuuluu yli kuuden mailin päähän. Se päästää kaikenlaisia ​​ääniä ruumiinsa aukoista.")</f>
        <v>Sen ulvonta kuuluu yli kuuden mailin päähän. Se päästää kaikenlaisia ​​ääniä ruumiinsa aukoista.</v>
      </c>
      <c r="C5205" s="9" t="s">
        <v>1344</v>
      </c>
    </row>
    <row r="5206" ht="33.75" customHeight="1">
      <c r="A5206" s="6" t="s">
        <v>7666</v>
      </c>
      <c r="B5206" s="6" t="str">
        <f>IFERROR(__xludf.DUMMYFUNCTION("GOOGLETRANSLATE(A5206,""en"",""fi"")"),"Sen taistelun jylinä järisyttää maata kuin järistys – tai kuin maanjäristys olisi iskenyt.")</f>
        <v>Sen taistelun jylinä järisyttää maata kuin järistys – tai kuin maanjäristys olisi iskenyt.</v>
      </c>
      <c r="C5206" s="9" t="s">
        <v>1344</v>
      </c>
    </row>
    <row r="5207" ht="33.75" customHeight="1">
      <c r="A5207" s="6" t="s">
        <v>7667</v>
      </c>
      <c r="B5207" s="6" t="str">
        <f>IFERROR(__xludf.DUMMYFUNCTION("GOOGLETRANSLATE(A5207,""en"",""fi"")"),"Räjähdys laukaisee maanjäristyksiä mölinällään luomillaan värähtelyillä. Jos tämä Pokémon hengittää rajusti sisään kehonsa suuaukoista, se on merkki siitä, että se valmistautuu päästämään valtavan mölyn.")</f>
        <v>Räjähdys laukaisee maanjäristyksiä mölinällään luomillaan värähtelyillä. Jos tämä Pokémon hengittää rajusti sisään kehonsa suuaukoista, se on merkki siitä, että se valmistautuu päästämään valtavan mölyn.</v>
      </c>
      <c r="C5207" s="9" t="s">
        <v>1344</v>
      </c>
    </row>
    <row r="5208" ht="33.75" customHeight="1">
      <c r="A5208" s="6" t="s">
        <v>7670</v>
      </c>
      <c r="B5208" s="6" t="str">
        <f>IFERROR(__xludf.DUMMYFUNCTION("GOOGLETRANSLATE(A5208,""en"",""fi"")"),"Exploud viestii tunteistaan ​​muille Pokémoneille päästämällä vihellyksen kaltaisia ​​ääniä kehossaan olevista putkista. Tämä Pokémon korottaa ääntään vain taistelussa.")</f>
        <v>Exploud viestii tunteistaan ​​muille Pokémoneille päästämällä vihellyksen kaltaisia ​​ääniä kehossaan olevista putkista. Tämä Pokémon korottaa ääntään vain taistelussa.</v>
      </c>
      <c r="C5208" s="9" t="s">
        <v>1344</v>
      </c>
    </row>
    <row r="5209" ht="33.75" customHeight="1">
      <c r="A5209" s="6" t="s">
        <v>7673</v>
      </c>
      <c r="B5209" s="6" t="str">
        <f>IFERROR(__xludf.DUMMYFUNCTION("GOOGLETRANSLATE(A5209,""en"",""fi"")"),"Ennen vanhaan ihmiset käyttivät näiden Pokémonien kovia ääniä kommunikointikeinona kaukaisten kaupunkien välillä.")</f>
        <v>Ennen vanhaan ihmiset käyttivät näiden Pokémonien kovia ääniä kommunikointikeinona kaukaisten kaupunkien välillä.</v>
      </c>
      <c r="C5209" s="9" t="s">
        <v>1344</v>
      </c>
    </row>
    <row r="5210" ht="33.75" customHeight="1">
      <c r="A5210" s="6" t="s">
        <v>7674</v>
      </c>
      <c r="B5210" s="6" t="str">
        <f>IFERROR(__xludf.DUMMYFUNCTION("GOOGLETRANSLATE(A5210,""en"",""fi"")"),"Tämä Pokémon osaa muutakin kuin vain huutaa. Kommunikoidakseen muiden lajitovereidensa kanssa se päästää kaikenlaisia ​​ääniä ruumiinsa rei'istä.")</f>
        <v>Tämä Pokémon osaa muutakin kuin vain huutaa. Kommunikoidakseen muiden lajitovereidensa kanssa se päästää kaikenlaisia ​​ääniä ruumiinsa rei'istä.</v>
      </c>
      <c r="C5210" s="9" t="s">
        <v>1344</v>
      </c>
    </row>
    <row r="5211" ht="33.75" customHeight="1">
      <c r="A5211" s="6" t="s">
        <v>7676</v>
      </c>
      <c r="B5211" s="6" t="str">
        <f>IFERROR(__xludf.DUMMYFUNCTION("GOOGLETRANSLATE(A5211,""en"",""fi"")"),"MAKUHITA on sitkeä – se nousee ylös ja hyökkää vihollista vastaan ​​riippumatta siitä, kuinka monta kertaa se kaatuu. Joka kerta kun se nousee ylös, tämä POKéMON varastoi kehoonsa lisää energiaa kehittymistä varten.")</f>
        <v>MAKUHITA on sitkeä – se nousee ylös ja hyökkää vihollista vastaan ​​riippumatta siitä, kuinka monta kertaa se kaatuu. Joka kerta kun se nousee ylös, tämä POKéMON varastoi kehoonsa lisää energiaa kehittymistä varten.</v>
      </c>
      <c r="C5211" s="9" t="s">
        <v>1344</v>
      </c>
    </row>
    <row r="5212" ht="33.75" customHeight="1">
      <c r="A5212" s="6" t="s">
        <v>7678</v>
      </c>
      <c r="B5212" s="6" t="str">
        <f>IFERROR(__xludf.DUMMYFUNCTION("GOOGLETRANSLATE(A5212,""en"",""fi"")"),"MAKUHITAlla on väsymätön sielu – se ei koskaan menetä toivoaan. Se syö paljon, nukkuu runsaasti ja harjoittelee erittäin ahkerasti. Elämällä tällä tavalla tämä POKéMON täyttää kehonsa energialla.")</f>
        <v>MAKUHITAlla on väsymätön sielu – se ei koskaan menetä toivoaan. Se syö paljon, nukkuu runsaasti ja harjoittelee erittäin ahkerasti. Elämällä tällä tavalla tämä POKéMON täyttää kehonsa energialla.</v>
      </c>
      <c r="C5212" s="9" t="s">
        <v>1344</v>
      </c>
    </row>
    <row r="5213" ht="33.75" customHeight="1">
      <c r="A5213" s="6" t="s">
        <v>7680</v>
      </c>
      <c r="B5213" s="6" t="str">
        <f>IFERROR(__xludf.DUMMYFUNCTION("GOOGLETRANSLATE(A5213,""en"",""fi"")"),"Se rakastaa yli kaiken kehonsa karaistumista. Jos kuulet luolassa tärisevää jyrinää, se on MAKUHITAn rankan harjoittelun ääni.")</f>
        <v>Se rakastaa yli kaiken kehonsa karaistumista. Jos kuulet luolassa tärisevää jyrinää, se on MAKUHITAn rankan harjoittelun ääni.</v>
      </c>
      <c r="C5213" s="9" t="s">
        <v>1344</v>
      </c>
    </row>
    <row r="5214" ht="33.75" customHeight="1">
      <c r="A5214" s="6" t="s">
        <v>7682</v>
      </c>
      <c r="B5214" s="6" t="str">
        <f>IFERROR(__xludf.DUMMYFUNCTION("GOOGLETRANSLATE(A5214,""en"",""fi"")"),"Se vahvistuu kestämällä ankaraa harjoittelua. Se on rohkea POKéMON, joka kestää minkä tahansa hyökkäyksen.")</f>
        <v>Se vahvistuu kestämällä ankaraa harjoittelua. Se on rohkea POKéMON, joka kestää minkä tahansa hyökkäyksen.</v>
      </c>
      <c r="C5214" s="9" t="s">
        <v>1344</v>
      </c>
    </row>
    <row r="5215" ht="33.75" customHeight="1">
      <c r="A5215" s="6" t="s">
        <v>7684</v>
      </c>
      <c r="B5215" s="6" t="str">
        <f>IFERROR(__xludf.DUMMYFUNCTION("GOOGLETRANSLATE(A5215,""en"",""fi"")"),"Se karaisee ruumistaan ​​paiskautumalla paksuihin puihin. Pesänsä läheltä löytyy monia katkonneita puita.")</f>
        <v>Se karaisee ruumistaan ​​paiskautumalla paksuihin puihin. Pesänsä läheltä löytyy monia katkonneita puita.</v>
      </c>
      <c r="C5215" s="9" t="s">
        <v>1344</v>
      </c>
    </row>
    <row r="5216" ht="33.75" customHeight="1">
      <c r="A5216" s="6" t="s">
        <v>7685</v>
      </c>
      <c r="B5216" s="6" t="str">
        <f>IFERROR(__xludf.DUMMYFUNCTION("GOOGLETRANSLATE(A5216,""en"",""fi"")"),"Se karkaistuu törmäämällä yhä uudelleen paksuihin puihin. Se saa vankan vartalon ja pelottoman hengen.")</f>
        <v>Se karkaistuu törmäämällä yhä uudelleen paksuihin puihin. Se saa vankan vartalon ja pelottoman hengen.</v>
      </c>
      <c r="C5216" s="9" t="s">
        <v>1344</v>
      </c>
    </row>
    <row r="5217" ht="33.75" customHeight="1">
      <c r="A5217" s="6" t="s">
        <v>7687</v>
      </c>
      <c r="B5217" s="6" t="str">
        <f>IFERROR(__xludf.DUMMYFUNCTION("GOOGLETRANSLATE(A5217,""en"",""fi"")"),"Se vahvistuu kestämällä ankaraa koulutusta. Se on rohkea Pokémon, joka kestää minkä tahansa hyökkäyksen.")</f>
        <v>Se vahvistuu kestämällä ankaraa koulutusta. Se on rohkea Pokémon, joka kestää minkä tahansa hyökkäyksen.</v>
      </c>
      <c r="C5217" s="9" t="s">
        <v>1344</v>
      </c>
    </row>
    <row r="5218" ht="33.75" customHeight="1">
      <c r="A5218" s="6" t="s">
        <v>7688</v>
      </c>
      <c r="B5218" s="6" t="str">
        <f>IFERROR(__xludf.DUMMYFUNCTION("GOOGLETRANSLATE(A5218,""en"",""fi"")"),"Makuhita on sitkeä – se nousee ylös ja hyökkää vihollisen kimppuun kuinka monta kertaa tahansa, kaatuu se maahan. Joka kerta kun se nousee ylös, tämä Pokémon varastoi kehoonsa lisää energiaa kehittymistä varten.")</f>
        <v>Makuhita on sitkeä – se nousee ylös ja hyökkää vihollisen kimppuun kuinka monta kertaa tahansa, kaatuu se maahan. Joka kerta kun se nousee ylös, tämä Pokémon varastoi kehoonsa lisää energiaa kehittymistä varten.</v>
      </c>
      <c r="C5218" s="9" t="s">
        <v>1344</v>
      </c>
    </row>
    <row r="5219" ht="33.75" customHeight="1">
      <c r="A5219" s="6" t="s">
        <v>7691</v>
      </c>
      <c r="B5219" s="6" t="str">
        <f>IFERROR(__xludf.DUMMYFUNCTION("GOOGLETRANSLATE(A5219,""en"",""fi"")"),"Makuhitalla on väsymätön sielu – se ei koskaan luovu toivosta. Se syö paljon, nukkuu runsaasti ja harjoittelee erittäin tinkimättömästi. Elämällä tällä tavalla tämä Pokémon täyttää kehonsa energialla.")</f>
        <v>Makuhitalla on väsymätön sielu – se ei koskaan luovu toivosta. Se syö paljon, nukkuu runsaasti ja harjoittelee erittäin tinkimättömästi. Elämällä tällä tavalla tämä Pokémon täyttää kehonsa energialla.</v>
      </c>
      <c r="C5219" s="9" t="s">
        <v>1344</v>
      </c>
    </row>
    <row r="5220" ht="33.75" customHeight="1">
      <c r="A5220" s="6" t="s">
        <v>7692</v>
      </c>
      <c r="B5220" s="6" t="str">
        <f>IFERROR(__xludf.DUMMYFUNCTION("GOOGLETRANSLATE(A5220,""en"",""fi"")"),"Se tuotiin alun perin toiselta alueelta, mutta nykyään Alolasta kotoisin olevat Makuhitat ovat kuuluisampia.")</f>
        <v>Se tuotiin alun perin toiselta alueelta, mutta nykyään Alolasta kotoisin olevat Makuhitat ovat kuuluisampia.</v>
      </c>
      <c r="C5220" s="9" t="s">
        <v>1344</v>
      </c>
    </row>
    <row r="5221" ht="33.75" customHeight="1">
      <c r="A5221" s="6" t="s">
        <v>7694</v>
      </c>
      <c r="B5221" s="6" t="str">
        <f>IFERROR(__xludf.DUMMYFUNCTION("GOOGLETRANSLATE(A5221,""en"",""fi"")"),"Heidän päivärutiiniinsa kuuluu yhteinen harjoittelu aamulla, ruokailu ja päiväunet iltapäivällä ja sen jälkeen lisää harjoittelua.")</f>
        <v>Heidän päivärutiiniinsa kuuluu yhteinen harjoittelu aamulla, ruokailu ja päiväunet iltapäivällä ja sen jälkeen lisää harjoittelua.</v>
      </c>
      <c r="C5221" s="9" t="s">
        <v>1344</v>
      </c>
    </row>
    <row r="5222" ht="33.75" customHeight="1">
      <c r="A5222" s="6" t="s">
        <v>7695</v>
      </c>
      <c r="B5222" s="6" t="str">
        <f>IFERROR(__xludf.DUMMYFUNCTION("GOOGLETRANSLATE(A5222,""en"",""fi"")"),"Se harjoittelee läimäytyksiään läimäyttämällä puunrunkoja toistuvasti. Sen tiedetään läimäyttäneen Exeggutoria ja sinkoutuneen pois.")</f>
        <v>Se harjoittelee läimäytyksiään läimäyttämällä puunrunkoja toistuvasti. Sen tiedetään läimäyttäneen Exeggutoria ja sinkoutuneen pois.</v>
      </c>
      <c r="C5222" s="9" t="s">
        <v>1344</v>
      </c>
    </row>
    <row r="5223" ht="33.75" customHeight="1">
      <c r="A5223" s="6" t="s">
        <v>7697</v>
      </c>
      <c r="B5223" s="6" t="str">
        <f>IFERROR(__xludf.DUMMYFUNCTION("GOOGLETRANSLATE(A5223,""en"",""fi"")"),"Huhutaan perinteisestä muhennosreseptistä, jota kouluttajat voivat käyttää vahvan Makuhitan kasvattamiseen.")</f>
        <v>Huhutaan perinteisestä muhennosreseptistä, jota kouluttajat voivat käyttää vahvan Makuhitan kasvattamiseen.</v>
      </c>
      <c r="C5223" s="9" t="s">
        <v>1344</v>
      </c>
    </row>
    <row r="5224" ht="33.75" customHeight="1">
      <c r="A5224" s="6" t="s">
        <v>7698</v>
      </c>
      <c r="B5224" s="6" t="str">
        <f>IFERROR(__xludf.DUMMYFUNCTION("GOOGLETRANSLATE(A5224,""en"",""fi"")"),"HARIYAMA harjoittelee suorilla käsivarsilla tehtäviä läimäytyksiään lukuisissa eri paikoissa. Yksi tämän POKéMONin voimakas, avokätinen suorilla käsivarsilla tehtävä isku voisi katkaista puhelinpylvään kahtia.")</f>
        <v>HARIYAMA harjoittelee suorilla käsivarsilla tehtäviä läimäytyksiään lukuisissa eri paikoissa. Yksi tämän POKéMONin voimakas, avokätinen suorilla käsivarsilla tehtävä isku voisi katkaista puhelinpylvään kahtia.</v>
      </c>
      <c r="C5224" s="9" t="s">
        <v>1344</v>
      </c>
    </row>
    <row r="5225" ht="33.75" customHeight="1">
      <c r="A5225" s="6" t="s">
        <v>7700</v>
      </c>
      <c r="B5225" s="6" t="str">
        <f>IFERROR(__xludf.DUMMYFUNCTION("GOOGLETRANSLATE(A5225,""en"",""fi"")"),"HARIYAMAn paksu vartalo saattaa näyttää lihavalta, mutta se on itse asiassa massiivinen lihasmassa. Jos tämä POKéMON iskee alas ja jännittää kaikki lihaksensa, sen vartalosta tulee kivikova.")</f>
        <v>HARIYAMAn paksu vartalo saattaa näyttää lihavalta, mutta se on itse asiassa massiivinen lihasmassa. Jos tämä POKéMON iskee alas ja jännittää kaikki lihaksensa, sen vartalosta tulee kivikova.</v>
      </c>
      <c r="C5225" s="9" t="s">
        <v>1344</v>
      </c>
    </row>
    <row r="5226" ht="33.75" customHeight="1">
      <c r="A5226" s="6" t="s">
        <v>7702</v>
      </c>
      <c r="B5226" s="6" t="str">
        <f>IFERROR(__xludf.DUMMYFUNCTION("GOOGLETRANSLATE(A5226,""en"",""fi"")"),"Sillä on tapana haastaa muita epäröimättä voimakokeisiin. Sen tiedetään seisovan junaraiteilla ja pysäyttävän junia kyynärvarsiliikkeillä.")</f>
        <v>Sillä on tapana haastaa muita epäröimättä voimakokeisiin. Sen tiedetään seisovan junaraiteilla ja pysäyttävän junia kyynärvarsiliikkeillä.</v>
      </c>
      <c r="C5226" s="9" t="s">
        <v>1344</v>
      </c>
    </row>
    <row r="5227" ht="33.75" customHeight="1">
      <c r="A5227" s="6" t="s">
        <v>7703</v>
      </c>
      <c r="B5227" s="6" t="str">
        <f>IFERROR(__xludf.DUMMYFUNCTION("GOOGLETRANSLATE(A5227,""en"",""fi"")"),"Se polkee maata kerätäkseen voimaa. Se voi lähettää 10 tonnin kuorma-auton ilmaan suoralla kädeniskulla.")</f>
        <v>Se polkee maata kerätäkseen voimaa. Se voi lähettää 10 tonnin kuorma-auton ilmaan suoralla kädeniskulla.</v>
      </c>
      <c r="C5227" s="9" t="s">
        <v>1344</v>
      </c>
    </row>
    <row r="5228" ht="33.75" customHeight="1">
      <c r="A5228" s="6" t="s">
        <v>7704</v>
      </c>
      <c r="B5228" s="6" t="str">
        <f>IFERROR(__xludf.DUMMYFUNCTION("GOOGLETRANSLATE(A5228,""en"",""fi"")"),"Se rakastaa kilpailla voimakkaiden Pokémonien kanssa. Se voi lyödä kuorma-auton ilmaan käsivarsillaan.")</f>
        <v>Se rakastaa kilpailla voimakkaiden Pokémonien kanssa. Se voi lyödä kuorma-auton ilmaan käsivarsillaan.</v>
      </c>
      <c r="C5228" s="9" t="s">
        <v>1344</v>
      </c>
    </row>
    <row r="5229" ht="33.75" customHeight="1">
      <c r="A5229" s="6" t="s">
        <v>7705</v>
      </c>
      <c r="B5229" s="6" t="str">
        <f>IFERROR(__xludf.DUMMYFUNCTION("GOOGLETRANSLATE(A5229,""en"",""fi"")"),"Se rakastaa haastaa muita voimakokeisiin. Sillä on kyky pysäyttää juna läimäyksellä.")</f>
        <v>Se rakastaa haastaa muita voimakokeisiin. Sillä on kyky pysäyttää juna läimäyksellä.</v>
      </c>
      <c r="C5229" s="9" t="s">
        <v>1344</v>
      </c>
    </row>
    <row r="5230" ht="33.75" customHeight="1">
      <c r="A5230" s="6" t="s">
        <v>7706</v>
      </c>
      <c r="B5230" s="6" t="str">
        <f>IFERROR(__xludf.DUMMYFUNCTION("GOOGLETRANSLATE(A5230,""en"",""fi"")"),"Hariyama harjoittelee suorilla käsivarsilla tehtäviä läimäytyksiään lukuisissa eri paikoissa. Yksi tämän Pokémonin voimakas, avokätinen suorilla käsivarsilla tehtävä isku voisi katkaista puhelinpylvään kahtia.")</f>
        <v>Hariyama harjoittelee suorilla käsivarsilla tehtäviä läimäytyksiään lukuisissa eri paikoissa. Yksi tämän Pokémonin voimakas, avokätinen suorilla käsivarsilla tehtävä isku voisi katkaista puhelinpylvään kahtia.</v>
      </c>
      <c r="C5230" s="9" t="s">
        <v>1344</v>
      </c>
    </row>
    <row r="5231" ht="33.75" customHeight="1">
      <c r="A5231" s="6" t="s">
        <v>7707</v>
      </c>
      <c r="B5231" s="6" t="str">
        <f>IFERROR(__xludf.DUMMYFUNCTION("GOOGLETRANSLATE(A5231,""en"",""fi"")"),"Hariyaman paksu vartalo saattaa näyttää lihavalta, mutta se on itse asiassa jäykkä lihaskasa. Jos tämä Pokémon painaa päätään ja jännittää kaikki lihaksensa, sen vartalosta tulee kivikova.")</f>
        <v>Hariyaman paksu vartalo saattaa näyttää lihavalta, mutta se on itse asiassa jäykkä lihaskasa. Jos tämä Pokémon painaa päätään ja jännittää kaikki lihaksensa, sen vartalosta tulee kivikova.</v>
      </c>
      <c r="C5231" s="9" t="s">
        <v>1344</v>
      </c>
    </row>
    <row r="5232" ht="33.75" customHeight="1">
      <c r="A5232" s="6" t="s">
        <v>7708</v>
      </c>
      <c r="B5232" s="6" t="str">
        <f>IFERROR(__xludf.DUMMYFUNCTION("GOOGLETRANSLATE(A5232,""en"",""fi"")"),"Se tunnetaan fantastisesta voimastaan, mutta vanhetessaan se keskittyy enemmän Makuhitan kouluttamiseen.")</f>
        <v>Se tunnetaan fantastisesta voimastaan, mutta vanhetessaan se keskittyy enemmän Makuhitan kouluttamiseen.</v>
      </c>
      <c r="C5232" s="9" t="s">
        <v>1344</v>
      </c>
    </row>
    <row r="5233" ht="33.75" customHeight="1">
      <c r="A5233" s="6" t="s">
        <v>7709</v>
      </c>
      <c r="B5233" s="6" t="str">
        <f>IFERROR(__xludf.DUMMYFUNCTION("GOOGLETRANSLATE(A5233,""en"",""fi"")"),"He rakastavat vertailla omituista voimaansa – niin voimakasta, että se saisi kuorma-auton lentoon yhdellä läimäyksellä.")</f>
        <v>He rakastavat vertailla omituista voimaansa – niin voimakasta, että se saisi kuorma-auton lentoon yhdellä läimäyksellä.</v>
      </c>
      <c r="C5233" s="9" t="s">
        <v>1344</v>
      </c>
    </row>
    <row r="5234" ht="33.75" customHeight="1">
      <c r="A5234" s="6" t="s">
        <v>7711</v>
      </c>
      <c r="B5234" s="6" t="str">
        <f>IFERROR(__xludf.DUMMYFUNCTION("GOOGLETRANSLATE(A5234,""en"",""fi"")"),"Vaikka he nauttivat voimiensa vertailusta, he ovat myös ystävällisiä. He arvostavat etikettiä ja ylistävät vastustajia, joita vastaan ​​he taistelevat.")</f>
        <v>Vaikka he nauttivat voimiensa vertailusta, he ovat myös ystävällisiä. He arvostavat etikettiä ja ylistävät vastustajia, joita vastaan ​​he taistelevat.</v>
      </c>
      <c r="C5234" s="9" t="s">
        <v>1344</v>
      </c>
    </row>
    <row r="5235" ht="33.75" customHeight="1">
      <c r="A5235" s="6" t="s">
        <v>7712</v>
      </c>
      <c r="B5235" s="6" t="str">
        <f>IFERROR(__xludf.DUMMYFUNCTION("GOOGLETRANSLATE(A5235,""en"",""fi"")"),"Isot ja lihavat Hariyamat eivät välttämättä ole vahvoja. On myös pieniä, jotka liikkuvat ketterästi ja käyttävät liikkeitään taitavasti.")</f>
        <v>Isot ja lihavat Hariyamat eivät välttämättä ole vahvoja. On myös pieniä, jotka liikkuvat ketterästi ja käyttävät liikkeitään taitavasti.</v>
      </c>
      <c r="C5235" s="9" t="s">
        <v>1344</v>
      </c>
    </row>
    <row r="5236" ht="33.75" customHeight="1">
      <c r="A5236" s="6" t="s">
        <v>7713</v>
      </c>
      <c r="B5236" s="6" t="str">
        <f>IFERROR(__xludf.DUMMYFUNCTION("GOOGLETRANSLATE(A5236,""en"",""fi"")"),"AZURILL pyörittää häntäänsä kuin lassona ja heittää sen sitten kauas. Heiton vauhti lennättää myös sen ruumiin. Tämän ainutlaatuisen toiminnon avulla yksi näistä POKéMONeista onnistui heittäytymään ennätykselliset 10 metriä.")</f>
        <v>AZURILL pyörittää häntäänsä kuin lassona ja heittää sen sitten kauas. Heiton vauhti lennättää myös sen ruumiin. Tämän ainutlaatuisen toiminnon avulla yksi näistä POKéMONeista onnistui heittäytymään ennätykselliset 10 metriä.</v>
      </c>
      <c r="C5236" s="9" t="s">
        <v>1344</v>
      </c>
    </row>
    <row r="5237" ht="33.75" customHeight="1">
      <c r="A5237" s="6" t="s">
        <v>7715</v>
      </c>
      <c r="B5237" s="6" t="str">
        <f>IFERROR(__xludf.DUMMYFUNCTION("GOOGLETRANSLATE(A5237,""en"",""fi"")"),"AZURILLin häntä on suuri ja kimmoisa. Se on täynnä ravinteita, joita tämä POKéMON tarvitsee kasvaakseen. AZURILLin voi nähdä pomppivan ja leikkivän isolla, kumimaisella hännällään.")</f>
        <v>AZURILLin häntä on suuri ja kimmoisa. Se on täynnä ravinteita, joita tämä POKéMON tarvitsee kasvaakseen. AZURILLin voi nähdä pomppivan ja leikkivän isolla, kumimaisella hännällään.</v>
      </c>
      <c r="C5237" s="9" t="s">
        <v>1344</v>
      </c>
    </row>
    <row r="5238" ht="33.75" customHeight="1">
      <c r="A5238" s="6" t="s">
        <v>7717</v>
      </c>
      <c r="B5238" s="6" t="str">
        <f>IFERROR(__xludf.DUMMYFUNCTION("GOOGLETRANSLATE(A5238,""en"",""fi"")"),"Sen ravinteita täynnä oleva häntä on hyvin kimmoisa kuin kumipallo. Aurinkoisina päivinä ne kerääntyvät veden reunalle ja polskuvat hauskaa.")</f>
        <v>Sen ravinteita täynnä oleva häntä on hyvin kimmoisa kuin kumipallo. Aurinkoisina päivinä ne kerääntyvät veden reunalle ja polskuvat hauskaa.</v>
      </c>
      <c r="C5238" s="9" t="s">
        <v>1344</v>
      </c>
    </row>
    <row r="5239" ht="33.75" customHeight="1">
      <c r="A5239" s="6" t="s">
        <v>7719</v>
      </c>
      <c r="B5239" s="6" t="str">
        <f>IFERROR(__xludf.DUMMYFUNCTION("GOOGLETRANSLATE(A5239,""en"",""fi"")"),"Se taistelee heittelemällä pyrstöään, joka on sen vartaloa suurempi. Pyrstö toimii kelluntavälineenä vedessä.")</f>
        <v>Se taistelee heittelemällä pyrstöään, joka on sen vartaloa suurempi. Pyrstö toimii kelluntavälineenä vedessä.</v>
      </c>
      <c r="C5239" s="9" t="s">
        <v>1344</v>
      </c>
    </row>
    <row r="5240" ht="33.75" customHeight="1">
      <c r="A5240" s="6" t="s">
        <v>7720</v>
      </c>
      <c r="B5240" s="6" t="str">
        <f>IFERROR(__xludf.DUMMYFUNCTION("GOOGLETRANSLATE(A5240,""en"",""fi"")"),"Veden äärellä elävä Pokémon. Se liikkuu nopeasti maalla pomppimalla isolla hännällään.")</f>
        <v>Veden äärellä elävä Pokémon. Se liikkuu nopeasti maalla pomppimalla isolla hännällään.</v>
      </c>
      <c r="C5240" s="9" t="s">
        <v>1344</v>
      </c>
    </row>
    <row r="5241" ht="33.75" customHeight="1">
      <c r="A5241" s="6" t="s">
        <v>7723</v>
      </c>
      <c r="B5241" s="6" t="str">
        <f>IFERROR(__xludf.DUMMYFUNCTION("GOOGLETRANSLATE(A5241,""en"",""fi"")"),"Sen häntä on täynnä kasvulle välttämättömiä ravinteita. Se leikkii pomppimalla hännällään.")</f>
        <v>Sen häntä on täynnä kasvulle välttämättömiä ravinteita. Se leikkii pomppimalla hännällään.</v>
      </c>
      <c r="C5241" s="9" t="s">
        <v>1344</v>
      </c>
    </row>
    <row r="5242" ht="33.75" customHeight="1">
      <c r="A5242" s="6" t="s">
        <v>7724</v>
      </c>
      <c r="B5242" s="6" t="str">
        <f>IFERROR(__xludf.DUMMYFUNCTION("GOOGLETRANSLATE(A5242,""en"",""fi"")"),"Sen häntä pomppii kuin kumipallo. Se heittelee häntäänsä taistellakseen itseään suurempia vastustajia vastaan.")</f>
        <v>Sen häntä pomppii kuin kumipallo. Se heittelee häntäänsä taistellakseen itseään suurempia vastustajia vastaan.</v>
      </c>
      <c r="C5242" s="9" t="s">
        <v>1344</v>
      </c>
    </row>
    <row r="5243" ht="33.75" customHeight="1">
      <c r="A5243" s="6" t="s">
        <v>7726</v>
      </c>
      <c r="B5243" s="6" t="str">
        <f>IFERROR(__xludf.DUMMYFUNCTION("GOOGLETRANSLATE(A5243,""en"",""fi"")"),"Sen häntä on täynnä ravinteita, joita se tarvitsee kasvaakseen.")</f>
        <v>Sen häntä on täynnä ravinteita, joita se tarvitsee kasvaakseen.</v>
      </c>
      <c r="C5243" s="9" t="s">
        <v>1344</v>
      </c>
    </row>
    <row r="5244" ht="33.75" customHeight="1">
      <c r="A5244" s="6" t="s">
        <v>7728</v>
      </c>
      <c r="B5244" s="6" t="str">
        <f>IFERROR(__xludf.DUMMYFUNCTION("GOOGLETRANSLATE(A5244,""en"",""fi"")"),"Se heilauttaa suurta, ravinteita täynnä olevaa häntäänsä taistellakseen itseään suurempia vastustajia vastaan.")</f>
        <v>Se heilauttaa suurta, ravinteita täynnä olevaa häntäänsä taistellakseen itseään suurempia vastustajia vastaan.</v>
      </c>
      <c r="C5244" s="9" t="s">
        <v>1344</v>
      </c>
    </row>
    <row r="5245" ht="33.75" customHeight="1">
      <c r="A5245" s="6" t="s">
        <v>7732</v>
      </c>
      <c r="B5245" s="6" t="str">
        <f>IFERROR(__xludf.DUMMYFUNCTION("GOOGLETRANSLATE(A5245,""en"",""fi"")"),"Azurill pyörittää häntäänsä kuin se olisi lassonso ja heittää sen sitten kauas. Heiton vauhti lennättää myös sen ruumiin. Tällä ainutlaatuisella toiminnolla yksi näistä Pokémoneista onnistui heittäytymään ennätykselliset 10 metriä.")</f>
        <v>Azurill pyörittää häntäänsä kuin se olisi lassonso ja heittää sen sitten kauas. Heiton vauhti lennättää myös sen ruumiin. Tällä ainutlaatuisella toiminnolla yksi näistä Pokémoneista onnistui heittäytymään ennätykselliset 10 metriä.</v>
      </c>
      <c r="C5245" s="9" t="s">
        <v>1344</v>
      </c>
    </row>
    <row r="5246" ht="33.75" customHeight="1">
      <c r="A5246" s="6" t="s">
        <v>7733</v>
      </c>
      <c r="B5246" s="6" t="str">
        <f>IFERROR(__xludf.DUMMYFUNCTION("GOOGLETRANSLATE(A5246,""en"",""fi"")"),"Azurillin häntä on suuri ja kimmoisa. Se on täynnä ravinteita, joita tämä Pokémon tarvitsee kasvaakseen. Azurillin voi nähdä pomppivan ja leikkivän isolla, kumimaisella hännällään.")</f>
        <v>Azurillin häntä on suuri ja kimmoisa. Se on täynnä ravinteita, joita tämä Pokémon tarvitsee kasvaakseen. Azurillin voi nähdä pomppivan ja leikkivän isolla, kumimaisella hännällään.</v>
      </c>
      <c r="C5246" s="9" t="s">
        <v>1344</v>
      </c>
    </row>
    <row r="5247" ht="33.75" customHeight="1">
      <c r="A5247" s="6" t="s">
        <v>7734</v>
      </c>
      <c r="B5247" s="6" t="str">
        <f>IFERROR(__xludf.DUMMYFUNCTION("GOOGLETRANSLATE(A5247,""en"",""fi"")"),"Azurillin hännässä oleva pallo pomppii kuin kumipallo ja se on täynnä ravinteita, joita Pokémon tarvitsee kasvaakseen.")</f>
        <v>Azurillin hännässä oleva pallo pomppii kuin kumipallo ja se on täynnä ravinteita, joita Pokémon tarvitsee kasvaakseen.</v>
      </c>
      <c r="C5247" s="9" t="s">
        <v>1344</v>
      </c>
    </row>
    <row r="5248" ht="33.75" customHeight="1">
      <c r="A5248" s="6" t="s">
        <v>7736</v>
      </c>
      <c r="B5248" s="6" t="str">
        <f>IFERROR(__xludf.DUMMYFUNCTION("GOOGLETRANSLATE(A5248,""en"",""fi"")"),"Vaikka Azurillit ovat normaalisti säyseitä, vihainen yksilö pyörii ison pallon ympärillä hännällään ja yrittää murskata vastustajansa.")</f>
        <v>Vaikka Azurillit ovat normaalisti säyseitä, vihainen yksilö pyörii ison pallon ympärillä hännällään ja yrittää murskata vastustajansa.</v>
      </c>
      <c r="C5248" s="9" t="s">
        <v>1344</v>
      </c>
    </row>
    <row r="5249" ht="33.75" customHeight="1">
      <c r="A5249" s="6" t="s">
        <v>7737</v>
      </c>
      <c r="B5249" s="6" t="str">
        <f>IFERROR(__xludf.DUMMYFUNCTION("GOOGLETRANSLATE(A5249,""en"",""fi"")"),"NOSEPASSin magneettinen nenä osoittaa aina pohjoiseen. Jos kaksi tällaista POKéMONia kohtaa, ne eivät voi kääntää kasvojaan toisiaan kohti ollessaan lähellä toisiaan, koska niiden magneettiset nenät hylkivät toisiaan.")</f>
        <v>NOSEPASSin magneettinen nenä osoittaa aina pohjoiseen. Jos kaksi tällaista POKéMONia kohtaa, ne eivät voi kääntää kasvojaan toisiaan kohti ollessaan lähellä toisiaan, koska niiden magneettiset nenät hylkivät toisiaan.</v>
      </c>
      <c r="C5249" s="9" t="s">
        <v>1344</v>
      </c>
    </row>
    <row r="5250" ht="33.75" customHeight="1">
      <c r="A5250" s="6" t="s">
        <v>7739</v>
      </c>
      <c r="B5250" s="6" t="str">
        <f>IFERROR(__xludf.DUMMYFUNCTION("GOOGLETRANSLATE(A5250,""en"",""fi"")"),"NOSEPASSin aiemmin sanottiin olevan täysin liikkumaton ja sen magneettinen nenä osoittaa suoraan pohjoiseen. Lähemmät havainnot ovat kuitenkin paljastaneet, että POKéMON todellisuudessa liikkuu hieman yli 1 cm vuodessa.")</f>
        <v>NOSEPASSin aiemmin sanottiin olevan täysin liikkumaton ja sen magneettinen nenä osoittaa suoraan pohjoiseen. Lähemmät havainnot ovat kuitenkin paljastaneet, että POKéMON todellisuudessa liikkuu hieman yli 1 cm vuodessa.</v>
      </c>
      <c r="C5250" s="9" t="s">
        <v>1344</v>
      </c>
    </row>
    <row r="5251" ht="33.75" customHeight="1">
      <c r="A5251" s="6" t="s">
        <v>7740</v>
      </c>
      <c r="B5251" s="6" t="str">
        <f>IFERROR(__xludf.DUMMYFUNCTION("GOOGLETRANSLATE(A5251,""en"",""fi"")"),"Sen ruumis säteilee voimakasta magnetismia. Se syö saalista, jota voima vetää puoleensa. Sen magnetismi on voimakkaampaa kylminä vuodenaikoina.")</f>
        <v>Sen ruumis säteilee voimakasta magnetismia. Se syö saalista, jota voima vetää puoleensa. Sen magnetismi on voimakkaampaa kylminä vuodenaikoina.</v>
      </c>
      <c r="C5251" s="9" t="s">
        <v>1344</v>
      </c>
    </row>
    <row r="5252" ht="33.75" customHeight="1">
      <c r="A5252" s="6" t="s">
        <v>7742</v>
      </c>
      <c r="B5252" s="6" t="str">
        <f>IFERROR(__xludf.DUMMYFUNCTION("GOOGLETRANSLATE(A5252,""en"",""fi"")"),"Sen magneettinen nenä osoittaa jatkuvasti pohjoiseen. Matkustajat tarkistavat NOSEPASSin avulla suuntimansa.")</f>
        <v>Sen magneettinen nenä osoittaa jatkuvasti pohjoiseen. Matkustajat tarkistavat NOSEPASSin avulla suuntimansa.</v>
      </c>
      <c r="C5252" s="9" t="s">
        <v>1344</v>
      </c>
    </row>
    <row r="5253" ht="33.75" customHeight="1">
      <c r="A5253" s="6" t="s">
        <v>7744</v>
      </c>
      <c r="B5253" s="6" t="str">
        <f>IFERROR(__xludf.DUMMYFUNCTION("GOOGLETRANSLATE(A5253,""en"",""fi"")"),"Sen nenä on kuin magneetti. Tämän seurauksena tämä Pokémon pitää kasvonsa aina pohjoiseen päin.")</f>
        <v>Sen nenä on kuin magneetti. Tämän seurauksena tämä Pokémon pitää kasvonsa aina pohjoiseen päin.</v>
      </c>
      <c r="C5253" s="9" t="s">
        <v>1344</v>
      </c>
    </row>
    <row r="5254" ht="33.75" customHeight="1">
      <c r="A5254" s="6" t="s">
        <v>7745</v>
      </c>
      <c r="B5254" s="6" t="str">
        <f>IFERROR(__xludf.DUMMYFUNCTION("GOOGLETRANSLATE(A5254,""en"",""fi"")"),"Uhanalaisena se voi suojella itseään lisäämällä magnetismiaan ja vetämällä rautaesineitä puoleensa.")</f>
        <v>Uhanalaisena se voi suojella itseään lisäämällä magnetismiaan ja vetämällä rautaesineitä puoleensa.</v>
      </c>
      <c r="C5254" s="9" t="s">
        <v>1344</v>
      </c>
    </row>
    <row r="5255" ht="33.75" customHeight="1">
      <c r="A5255" s="6" t="s">
        <v>7747</v>
      </c>
      <c r="B5255" s="6" t="str">
        <f>IFERROR(__xludf.DUMMYFUNCTION("GOOGLETRANSLATE(A5255,""en"",""fi"")"),"Jos kaksi näistä kohtaa, ne eivät pääse liian lähelle toisiaan, koska niiden nenät hylkivät toisiaan.")</f>
        <v>Jos kaksi näistä kohtaa, ne eivät pääse liian lähelle toisiaan, koska niiden nenät hylkivät toisiaan.</v>
      </c>
      <c r="C5255" s="9" t="s">
        <v>1344</v>
      </c>
    </row>
    <row r="5256" ht="33.75" customHeight="1">
      <c r="A5256" s="6" t="s">
        <v>7748</v>
      </c>
      <c r="B5256" s="6" t="str">
        <f>IFERROR(__xludf.DUMMYFUNCTION("GOOGLETRANSLATE(A5256,""en"",""fi"")"),"Sen magneettinen nenä osoittaa aina pohjoiseen ja vetää rautaesineitä puoleensa suojatakseen itseään paremmin.")</f>
        <v>Sen magneettinen nenä osoittaa aina pohjoiseen ja vetää rautaesineitä puoleensa suojatakseen itseään paremmin.</v>
      </c>
      <c r="C5256" s="9" t="s">
        <v>1344</v>
      </c>
    </row>
    <row r="5257" ht="33.75" customHeight="1">
      <c r="A5257" s="6" t="s">
        <v>7750</v>
      </c>
      <c r="B5257" s="6" t="str">
        <f>IFERROR(__xludf.DUMMYFUNCTION("GOOGLETRANSLATE(A5257,""en"",""fi"")"),"Sen magneettinen nenä osoittaa jatkuvasti pohjoiseen. Matkailijat tarkistavat Nosepassin avulla suuntimansa.")</f>
        <v>Sen magneettinen nenä osoittaa jatkuvasti pohjoiseen. Matkailijat tarkistavat Nosepassin avulla suuntimansa.</v>
      </c>
      <c r="C5257" s="9" t="s">
        <v>1344</v>
      </c>
    </row>
    <row r="5258" ht="33.75" customHeight="1">
      <c r="A5258" s="6" t="s">
        <v>7752</v>
      </c>
      <c r="B5258" s="6" t="str">
        <f>IFERROR(__xludf.DUMMYFUNCTION("GOOGLETRANSLATE(A5258,""en"",""fi"")"),"Nosepassin magneettinen nenä osoittaa aina pohjoiseen. Jos kaksi näistä Pokémoneista kohtaa, ne eivät voi kääntää kasvojaan toisiaan kohti ollessaan lähellä toisiaan, koska niiden magneettiset nenät hylkivät toisiaan.")</f>
        <v>Nosepassin magneettinen nenä osoittaa aina pohjoiseen. Jos kaksi näistä Pokémoneista kohtaa, ne eivät voi kääntää kasvojaan toisiaan kohti ollessaan lähellä toisiaan, koska niiden magneettiset nenät hylkivät toisiaan.</v>
      </c>
      <c r="C5258" s="9" t="s">
        <v>1344</v>
      </c>
    </row>
    <row r="5259" ht="33.75" customHeight="1">
      <c r="A5259" s="6" t="s">
        <v>7754</v>
      </c>
      <c r="B5259" s="6" t="str">
        <f>IFERROR(__xludf.DUMMYFUNCTION("GOOGLETRANSLATE(A5259,""en"",""fi"")"),"Nosepassin sanottiin olevan täysin liikkumaton, ja sen magneettinen nenä osoittaa suoraan pohjoiseen. Lähemmät havainnot ovat kuitenkin paljastaneet, että Pokémon itse asiassa liikkuu hieman yli 1,25 senttimetriä vuodessa.")</f>
        <v>Nosepassin sanottiin olevan täysin liikkumaton, ja sen magneettinen nenä osoittaa suoraan pohjoiseen. Lähemmät havainnot ovat kuitenkin paljastaneet, että Pokémon itse asiassa liikkuu hieman yli 1,25 senttimetriä vuodessa.</v>
      </c>
      <c r="C5259" s="9" t="s">
        <v>1344</v>
      </c>
    </row>
    <row r="5260" ht="33.75" customHeight="1">
      <c r="A5260" s="6" t="s">
        <v>7755</v>
      </c>
      <c r="B5260" s="6" t="str">
        <f>IFERROR(__xludf.DUMMYFUNCTION("GOOGLETRANSLATE(A5260,""en"",""fi"")"),"Nosepassin nenässä oleva magneetti tarjoaa erehtymättömän kompassin, mikä tekee siitä erinomaisen kumppanin matkalle lähdössä oleville kouluttajille.")</f>
        <v>Nosepassin nenässä oleva magneetti tarjoaa erehtymättömän kompassin, mikä tekee siitä erinomaisen kumppanin matkalle lähdössä oleville kouluttajille.</v>
      </c>
      <c r="C5260" s="9" t="s">
        <v>1344</v>
      </c>
    </row>
    <row r="5261" ht="33.75" customHeight="1">
      <c r="A5261" s="6" t="s">
        <v>7757</v>
      </c>
      <c r="B5261" s="6" t="str">
        <f>IFERROR(__xludf.DUMMYFUNCTION("GOOGLETRANSLATE(A5261,""en"",""fi"")"),"Se käyttää voimakasta magnetismia vetääkseen saaliinsa itseään kohti. Sen tiedetään myös vetävän puoleensa metallia, jota se kerää ja käyttää suojellakseen itseään.")</f>
        <v>Se käyttää voimakasta magnetismia vetääkseen saaliinsa itseään kohti. Sen tiedetään myös vetävän puoleensa metallia, jota se kerää ja käyttää suojellakseen itseään.</v>
      </c>
      <c r="C5261" s="9" t="s">
        <v>1344</v>
      </c>
    </row>
    <row r="5262" ht="33.75" customHeight="1">
      <c r="A5262" s="6" t="s">
        <v>7758</v>
      </c>
      <c r="B5262" s="6" t="str">
        <f>IFERROR(__xludf.DUMMYFUNCTION("GOOGLETRANSLATE(A5262,""en"",""fi"")"),"Se liikkuu alle tuuman vuodessa, mutta tukossa ollessaan se pyörähtää ja porautuu maahan sekunnin murto-osassa.")</f>
        <v>Se liikkuu alle tuuman vuodessa, mutta tukossa ollessaan se pyörähtää ja porautuu maahan sekunnin murto-osassa.</v>
      </c>
      <c r="C5262" s="9" t="s">
        <v>1344</v>
      </c>
    </row>
    <row r="5263" ht="33.75" customHeight="1">
      <c r="A5263" s="6" t="s">
        <v>7760</v>
      </c>
      <c r="B5263" s="6" t="str">
        <f>IFERROR(__xludf.DUMMYFUNCTION("GOOGLETRANSLATE(A5263,""en"",""fi"")"),"Se metsästää nykäisemättä lihaksiaan vetämällä saalistaan ​​puoleensa voimakkaalla magnetismilla. Mutta joskus se vetää luonnolliset viholliset lähelleen.")</f>
        <v>Se metsästää nykäisemättä lihaksiaan vetämällä saalistaan ​​puoleensa voimakkaalla magnetismilla. Mutta joskus se vetää luonnolliset viholliset lähelleen.</v>
      </c>
      <c r="C5263" s="9" t="s">
        <v>1344</v>
      </c>
    </row>
    <row r="5264" ht="33.75" customHeight="1">
      <c r="A5264" s="6" t="s">
        <v>7762</v>
      </c>
      <c r="B5264" s="6" t="str">
        <f>IFERROR(__xludf.DUMMYFUNCTION("GOOGLETRANSLATE(A5264,""en"",""fi"")"),"Kun Hisuin asukkaat huomasivat, että sen punainen nenä osoittaa aina pohjoiseen, he alkoivat luottaa siihen suuresti matkustaessaan kaukaa. Nenä näyttää toimivan samalla tavalla kuin muinaiset kompassit.")</f>
        <v>Kun Hisuin asukkaat huomasivat, että sen punainen nenä osoittaa aina pohjoiseen, he alkoivat luottaa siihen suuresti matkustaessaan kaukaa. Nenä näyttää toimivan samalla tavalla kuin muinaiset kompassit.</v>
      </c>
      <c r="C5264" s="9" t="s">
        <v>1344</v>
      </c>
    </row>
    <row r="5265" ht="33.75" customHeight="1">
      <c r="A5265" s="6" t="s">
        <v>7763</v>
      </c>
      <c r="B5265" s="6" t="str">
        <f>IFERROR(__xludf.DUMMYFUNCTION("GOOGLETRANSLATE(A5265,""en"",""fi"")"),"SKITTYllä on tapana kiehtoutua liikuteltavista esineistä ja jahdata niitä. Tämä POKéMON tunnetaan siitä, että se jahtaa omaa häntäänsä ja saa huimausta.")</f>
        <v>SKITTYllä on tapana kiehtoutua liikuteltavista esineistä ja jahdata niitä. Tämä POKéMON tunnetaan siitä, että se jahtaa omaa häntäänsä ja saa huimausta.</v>
      </c>
      <c r="C5265" s="9" t="s">
        <v>1344</v>
      </c>
    </row>
    <row r="5266" ht="33.75" customHeight="1">
      <c r="A5266" s="6" t="s">
        <v>7764</v>
      </c>
      <c r="B5266" s="6" t="str">
        <f>IFERROR(__xludf.DUMMYFUNCTION("GOOGLETRANSLATE(A5266,""en"",""fi"")"),"SKITTY tunnetaan leikkisästä omasta häntäänsä jahtaamisesta. Luonnossa tämä POKéMON elää metsien puiden koloissa. Se on erittäin suosittu lemmikki suloisen ulkonäkönsä ansiosta.")</f>
        <v>SKITTY tunnetaan leikkisästä omasta häntäänsä jahtaamisesta. Luonnossa tämä POKéMON elää metsien puiden koloissa. Se on erittäin suosittu lemmikki suloisen ulkonäkönsä ansiosta.</v>
      </c>
      <c r="C5266" s="9" t="s">
        <v>1344</v>
      </c>
    </row>
    <row r="5267" ht="33.75" customHeight="1">
      <c r="A5267" s="6" t="s">
        <v>7765</v>
      </c>
      <c r="B5267" s="6" t="str">
        <f>IFERROR(__xludf.DUMMYFUNCTION("GOOGLETRANSLATE(A5267,""en"",""fi"")"),"SKITTYn ihastuttavan söpö käytös tekee siitä erittäin suositun. Taistelussa se pöyhii häntäänsä. Se uhkaa vihollisia terävällä murahduksella.")</f>
        <v>SKITTYn ihastuttavan söpö käytös tekee siitä erittäin suositun. Taistelussa se pöyhii häntäänsä. Se uhkaa vihollisia terävällä murahduksella.</v>
      </c>
      <c r="C5267" s="9" t="s">
        <v>1344</v>
      </c>
    </row>
    <row r="5268" ht="33.75" customHeight="1">
      <c r="A5268" s="6" t="s">
        <v>7766</v>
      </c>
      <c r="B5268" s="6" t="str">
        <f>IFERROR(__xludf.DUMMYFUNCTION("GOOGLETRANSLATE(A5268,""en"",""fi"")"),"Sen luottamuksen sanotaan olevan vaikea ansaita. Se on kuitenkin erittäin suosittu söpön ulkonäkönsä ja käytöksensä vuoksi.")</f>
        <v>Sen luottamuksen sanotaan olevan vaikea ansaita. Se on kuitenkin erittäin suosittu söpön ulkonäkönsä ja käytöksensä vuoksi.</v>
      </c>
      <c r="C5268" s="9" t="s">
        <v>1344</v>
      </c>
    </row>
    <row r="5269" ht="33.75" customHeight="1">
      <c r="A5269" s="6" t="s">
        <v>7767</v>
      </c>
      <c r="B5269" s="6" t="str">
        <f>IFERROR(__xludf.DUMMYFUNCTION("GOOGLETRANSLATE(A5269,""en"",""fi"")"),"Se ei voi estää itseään jahtaamasta liikkuvia asioita, ja se juoksee ympyrää jahdaten omaa häntäänsä.")</f>
        <v>Se ei voi estää itseään jahtaamasta liikkuvia asioita, ja se juoksee ympyrää jahdaten omaa häntäänsä.</v>
      </c>
      <c r="C5269" s="9" t="s">
        <v>1344</v>
      </c>
    </row>
    <row r="5270" ht="33.75" customHeight="1">
      <c r="A5270" s="6" t="s">
        <v>7768</v>
      </c>
      <c r="B5270" s="6" t="str">
        <f>IFERROR(__xludf.DUMMYFUNCTION("GOOGLETRANSLATE(A5270,""en"",""fi"")"),"Se on suloinen jahdatessaan omaa häntäänsä. Sen luottamuksen ansaitseminen on vaikeaa.")</f>
        <v>Se on suloinen jahdatessaan omaa häntäänsä. Sen luottamuksen ansaitseminen on vaikeaa.</v>
      </c>
      <c r="C5270" s="9" t="s">
        <v>1344</v>
      </c>
    </row>
    <row r="5271" ht="33.75" customHeight="1">
      <c r="A5271" s="6" t="s">
        <v>7769</v>
      </c>
      <c r="B5271" s="6" t="str">
        <f>IFERROR(__xludf.DUMMYFUNCTION("GOOGLETRANSLATE(A5271,""en"",""fi"")"),"Se näyttää söpön puolensa jahtaamalla omaa häntäänsä, kunnes sitä alkaa huimata.")</f>
        <v>Se näyttää söpön puolensa jahtaamalla omaa häntäänsä, kunnes sitä alkaa huimata.</v>
      </c>
      <c r="C5271" s="9" t="s">
        <v>1344</v>
      </c>
    </row>
    <row r="5272" ht="33.75" customHeight="1">
      <c r="A5272" s="6" t="s">
        <v>7770</v>
      </c>
      <c r="B5272" s="6" t="str">
        <f>IFERROR(__xludf.DUMMYFUNCTION("GOOGLETRANSLATE(A5272,""en"",""fi"")"),"Skittyllä on tapana kiehtoutua liikuteltavista esineistä ja jahdata niitä. Tämän Pokémonin tiedetään jahtaavan omaa häntäänsä ja saavan huimausta.")</f>
        <v>Skittyllä on tapana kiehtoutua liikuteltavista esineistä ja jahdata niitä. Tämän Pokémonin tiedetään jahtaavan omaa häntäänsä ja saavan huimausta.</v>
      </c>
      <c r="C5272" s="9" t="s">
        <v>1344</v>
      </c>
    </row>
    <row r="5273" ht="33.75" customHeight="1">
      <c r="A5273" s="6" t="s">
        <v>7772</v>
      </c>
      <c r="B5273" s="6" t="str">
        <f>IFERROR(__xludf.DUMMYFUNCTION("GOOGLETRANSLATE(A5273,""en"",""fi"")"),"Skitty tunnetaan leikkisästä omasta häntäänsä jahtaamisesta. Luonnossa tämä Pokémon elää metsien puiden koloissa. Se on erittäin suosittu lemmikki suloisen ulkonäkönsä ansiosta.")</f>
        <v>Skitty tunnetaan leikkisästä omasta häntäänsä jahtaamisesta. Luonnossa tämä Pokémon elää metsien puiden koloissa. Se on erittäin suosittu lemmikki suloisen ulkonäkönsä ansiosta.</v>
      </c>
      <c r="C5273" s="9" t="s">
        <v>1344</v>
      </c>
    </row>
    <row r="5274" ht="33.75" customHeight="1">
      <c r="A5274" s="6" t="s">
        <v>7773</v>
      </c>
      <c r="B5274" s="6" t="str">
        <f>IFERROR(__xludf.DUMMYFUNCTION("GOOGLETRANSLATE(A5274,""en"",""fi"")"),"DELCATTY haluaa elää vapaata elämää, jossa se voi tehdä mitä haluaa omaan tahtiinsa. Koska tämä POKéMON syö ja nukkuu milloin haluaa, sen päivittäiset rutiinit ovat täysin satunnaisia.")</f>
        <v>DELCATTY haluaa elää vapaata elämää, jossa se voi tehdä mitä haluaa omaan tahtiinsa. Koska tämä POKéMON syö ja nukkuu milloin haluaa, sen päivittäiset rutiinit ovat täysin satunnaisia.</v>
      </c>
      <c r="C5274" s="9" t="s">
        <v>1344</v>
      </c>
    </row>
    <row r="5275" ht="33.75" customHeight="1">
      <c r="A5275" s="6" t="s">
        <v>7774</v>
      </c>
      <c r="B5275" s="6" t="str">
        <f>IFERROR(__xludf.DUMMYFUNCTION("GOOGLETRANSLATE(A5275,""en"",""fi"")"),"DELCATTY nukkuu missä haluaa ilman pysyvää pesää. Jos muut POKéMONit lähestyvät sitä sen nukkuessa, tämä POKéMON ei koskaan taistele – se vain siirtyy pois jonnekin muualle.")</f>
        <v>DELCATTY nukkuu missä haluaa ilman pysyvää pesää. Jos muut POKéMONit lähestyvät sitä sen nukkuessa, tämä POKéMON ei koskaan taistele – se vain siirtyy pois jonnekin muualle.</v>
      </c>
      <c r="C5275" s="9" t="s">
        <v>1344</v>
      </c>
    </row>
    <row r="5276" ht="33.75" customHeight="1">
      <c r="A5276" s="6" t="s">
        <v>7776</v>
      </c>
      <c r="B5276" s="6" t="str">
        <f>IFERROR(__xludf.DUMMYFUNCTION("GOOGLETRANSLATE(A5276,""en"",""fi"")"),"Pysyvän pesän sijaan se etsii yleensä mukavia paikkoja ja nukkuu siellä. Se on yöeläin ja aktivoituu hämärän laskeuduttua.")</f>
        <v>Pysyvän pesän sijaan se etsii yleensä mukavia paikkoja ja nukkuu siellä. Se on yöeläin ja aktivoituu hämärän laskeuduttua.</v>
      </c>
      <c r="C5276" s="9" t="s">
        <v>1344</v>
      </c>
    </row>
    <row r="5277" ht="33.75" customHeight="1">
      <c r="A5277" s="6" t="s">
        <v>7778</v>
      </c>
      <c r="B5277" s="6" t="str">
        <f>IFERROR(__xludf.DUMMYFUNCTION("GOOGLETRANSLATE(A5277,""en"",""fi"")"),"Trenditietoisten naisten lenkkareiden suosikkeja, joita käytetään kilpailuissa tyylinsä ja turkkinsa vuoksi.")</f>
        <v>Trenditietoisten naisten lenkkareiden suosikkeja, joita käytetään kilpailuissa tyylinsä ja turkkinsa vuoksi.</v>
      </c>
      <c r="C5277" s="9" t="s">
        <v>1344</v>
      </c>
    </row>
    <row r="5278" ht="33.75" customHeight="1">
      <c r="A5278" s="6" t="s">
        <v>7780</v>
      </c>
      <c r="B5278" s="6" t="str">
        <f>IFERROR(__xludf.DUMMYFUNCTION("GOOGLETRANSLATE(A5278,""en"",""fi"")"),"Se on erittäin suosittu naaraspuolisten kouluttajien keskuudessa sen upean turkin vuoksi. Se ei pidä pesää.")</f>
        <v>Se on erittäin suosittu naaraspuolisten kouluttajien keskuudessa sen upean turkin vuoksi. Se ei pidä pesää.</v>
      </c>
      <c r="C5278" s="9" t="s">
        <v>1344</v>
      </c>
    </row>
    <row r="5279" ht="33.75" customHeight="1">
      <c r="A5279" s="6" t="s">
        <v>7782</v>
      </c>
      <c r="B5279" s="6" t="str">
        <f>IFERROR(__xludf.DUMMYFUNCTION("GOOGLETRANSLATE(A5279,""en"",""fi"")"),"Se ei pidä likaisista paikoista. Se etsii usein mukavaa paikkaa, jossa hoitaa itseään.")</f>
        <v>Se ei pidä likaisista paikoista. Se etsii usein mukavaa paikkaa, jossa hoitaa itseään.</v>
      </c>
      <c r="C5279" s="9" t="s">
        <v>1344</v>
      </c>
    </row>
    <row r="5280" ht="33.75" customHeight="1">
      <c r="A5280" s="6" t="s">
        <v>7783</v>
      </c>
      <c r="B5280" s="6" t="str">
        <f>IFERROR(__xludf.DUMMYFUNCTION("GOOGLETRANSLATE(A5280,""en"",""fi"")"),"Syy siihen, miksi sillä ei ole pesää, on se, että se yksinkertaisesti etsii puhtaan ja mukavan paikan ja nukkuu siellä.")</f>
        <v>Syy siihen, miksi sillä ei ole pesää, on se, että se yksinkertaisesti etsii puhtaan ja mukavan paikan ja nukkuu siellä.</v>
      </c>
      <c r="C5280" s="9" t="s">
        <v>1344</v>
      </c>
    </row>
    <row r="5281" ht="33.75" customHeight="1">
      <c r="A5281" s="6" t="s">
        <v>7785</v>
      </c>
      <c r="B5281" s="6" t="str">
        <f>IFERROR(__xludf.DUMMYFUNCTION("GOOGLETRANSLATE(A5281,""en"",""fi"")"),"Delcatty haluaa elää vapaata elämää, jossa se voi tehdä mitä haluaa omaan tahtiinsa. Koska tämä Pokémon syö ja nukkuu milloin haluaa, sen päivittäiset rutiinit ovat täysin satunnaisia.")</f>
        <v>Delcatty haluaa elää vapaata elämää, jossa se voi tehdä mitä haluaa omaan tahtiinsa. Koska tämä Pokémon syö ja nukkuu milloin haluaa, sen päivittäiset rutiinit ovat täysin satunnaisia.</v>
      </c>
      <c r="C5281" s="9" t="s">
        <v>1344</v>
      </c>
    </row>
    <row r="5282" ht="33.75" customHeight="1">
      <c r="A5282" s="6" t="s">
        <v>7786</v>
      </c>
      <c r="B5282" s="6" t="str">
        <f>IFERROR(__xludf.DUMMYFUNCTION("GOOGLETRANSLATE(A5282,""en"",""fi"")"),"Delcatty nukkuu missä haluaa ilman pysyvää pesää. Jos muut Pokémonit lähestyvät sitä sen nukkuessa, tämä Pokémon ei koskaan taistele – se vain siirtyy pois jonnekin muualle.")</f>
        <v>Delcatty nukkuu missä haluaa ilman pysyvää pesää. Jos muut Pokémonit lähestyvät sitä sen nukkuessa, tämä Pokémon ei koskaan taistele – se vain siirtyy pois jonnekin muualle.</v>
      </c>
      <c r="C5282" s="9" t="s">
        <v>1344</v>
      </c>
    </row>
    <row r="5283" ht="33.75" customHeight="1">
      <c r="A5283" s="6" t="s">
        <v>7788</v>
      </c>
      <c r="B5283" s="6" t="str">
        <f>IFERROR(__xludf.DUMMYFUNCTION("GOOGLETRANSLATE(A5283,""en"",""fi"")"),"SABLEYE-pokémonit elävät hiljaista elämää luolien syvyyksissä. Niitä kuitenkin pelätään, koska näiden POKéMONien uskotaan varastavan ihmisten henget, kun heidän silmänsä palavat pahaenteisesti pimeydessä.")</f>
        <v>SABLEYE-pokémonit elävät hiljaista elämää luolien syvyyksissä. Niitä kuitenkin pelätään, koska näiden POKéMONien uskotaan varastavan ihmisten henget, kun heidän silmänsä palavat pahaenteisesti pimeydessä.</v>
      </c>
      <c r="C5283" s="9" t="s">
        <v>1344</v>
      </c>
    </row>
    <row r="5284" ht="33.75" customHeight="1">
      <c r="A5284" s="6" t="s">
        <v>7789</v>
      </c>
      <c r="B5284" s="6" t="str">
        <f>IFERROR(__xludf.DUMMYFUNCTION("GOOGLETRANSLATE(A5284,""en"",""fi"")"),"SABLEYE kaivaa maata teroitetuilla kynsillään löytääkseen syötäviä kiviä. Syötyjen kivien sisältämät aineet kiteytyvät ja nousevat POKéMONin kehon pinnalle.")</f>
        <v>SABLEYE kaivaa maata teroitetuilla kynsillään löytääkseen syötäviä kiviä. Syötyjen kivien sisältämät aineet kiteytyvät ja nousevat POKéMONin kehon pinnalle.</v>
      </c>
      <c r="C5284" s="9" t="s">
        <v>1344</v>
      </c>
    </row>
    <row r="5285" ht="33.75" customHeight="1">
      <c r="A5285" s="6" t="s">
        <v>7791</v>
      </c>
      <c r="B5285" s="6" t="str">
        <f>IFERROR(__xludf.DUMMYFUNCTION("GOOGLETRANSLATE(A5285,""en"",""fi"")"),"Se kaivaa haaroittuvia reikiä luoliin terävillä kynsillään etsiessään ruokaa – raakoja jalokiviä. SABLEYE väijyy pimeydessä ja sitä nähdään vain harvoin.")</f>
        <v>Se kaivaa haaroittuvia reikiä luoliin terävillä kynsillään etsiessään ruokaa – raakoja jalokiviä. SABLEYE väijyy pimeydessä ja sitä nähdään vain harvoin.</v>
      </c>
      <c r="C5285" s="9" t="s">
        <v>1344</v>
      </c>
    </row>
    <row r="5286" ht="33.75" customHeight="1">
      <c r="A5286" s="6" t="s">
        <v>7792</v>
      </c>
      <c r="B5286" s="6" t="str">
        <f>IFERROR(__xludf.DUMMYFUNCTION("GOOGLETRANSLATE(A5286,""en"",""fi"")"),"Se syö jalokivikiteitä. Pimeydessä sen silmät kimaltelevat jalokivien loistoa.")</f>
        <v>Se syö jalokivikiteitä. Pimeydessä sen silmät kimaltelevat jalokivien loistoa.</v>
      </c>
      <c r="C5286" s="9" t="s">
        <v>1344</v>
      </c>
    </row>
    <row r="5287" ht="33.75" customHeight="1">
      <c r="A5287" s="6" t="s">
        <v>7793</v>
      </c>
      <c r="B5287" s="6" t="str">
        <f>IFERROR(__xludf.DUMMYFUNCTION("GOOGLETRANSLATE(A5287,""en"",""fi"")"),"Se piileskelee luolien pimeydessä. Sen jalokiviruokavalio on muuttanut sen silmät jalokiviksi.")</f>
        <v>Se piileskelee luolien pimeydessä. Sen jalokiviruokavalio on muuttanut sen silmät jalokiviksi.</v>
      </c>
      <c r="C5287" s="9" t="s">
        <v>1344</v>
      </c>
    </row>
    <row r="5288" ht="33.75" customHeight="1">
      <c r="A5288" s="6" t="s">
        <v>7795</v>
      </c>
      <c r="B5288" s="6" t="str">
        <f>IFERROR(__xludf.DUMMYFUNCTION("GOOGLETRANSLATE(A5288,""en"",""fi"")"),"Se asuu luolien pimeydessä. Se käyttää teräviä kynsiään kaivaakseen esiin jalokiviä ravinnokseen.")</f>
        <v>Se asuu luolien pimeydessä. Se käyttää teräviä kynsiään kaivaakseen esiin jalokiviä ravinnokseen.</v>
      </c>
      <c r="C5288" s="9" t="s">
        <v>1344</v>
      </c>
    </row>
    <row r="5289" ht="33.75" customHeight="1">
      <c r="A5289" s="6" t="s">
        <v>7796</v>
      </c>
      <c r="B5289" s="6" t="str">
        <f>IFERROR(__xludf.DUMMYFUNCTION("GOOGLETRANSLATE(A5289,""en"",""fi"")"),"Sableye-pokémonit elävät hiljaista elämää luolien syvyyksissä. Niitä kuitenkin pelätään, koska näiden Pokémonien uskotaan varastavan ihmisten henget, kun heidän silmänsä palavat pahaenteisesti pimeydessä.")</f>
        <v>Sableye-pokémonit elävät hiljaista elämää luolien syvyyksissä. Niitä kuitenkin pelätään, koska näiden Pokémonien uskotaan varastavan ihmisten henget, kun heidän silmänsä palavat pahaenteisesti pimeydessä.</v>
      </c>
      <c r="C5289" s="9" t="s">
        <v>1344</v>
      </c>
    </row>
    <row r="5290" ht="33.75" customHeight="1">
      <c r="A5290" s="6" t="s">
        <v>7799</v>
      </c>
      <c r="B5290" s="6" t="str">
        <f>IFERROR(__xludf.DUMMYFUNCTION("GOOGLETRANSLATE(A5290,""en"",""fi"")"),"Sableye kaivaa maata teroitetuilla kynsillään löytääkseen syötäviä kiviä. Syötyjen kivien sisältämät aineet kiteytyvät ja nousevat Pokémonin kehon pinnalle.")</f>
        <v>Sableye kaivaa maata teroitetuilla kynsillään löytääkseen syötäviä kiviä. Syötyjen kivien sisältämät aineet kiteytyvät ja nousevat Pokémonin kehon pinnalle.</v>
      </c>
      <c r="C5290" s="9" t="s">
        <v>1344</v>
      </c>
    </row>
    <row r="5291" ht="33.75" customHeight="1">
      <c r="A5291" s="6" t="s">
        <v>7801</v>
      </c>
      <c r="B5291" s="6" t="str">
        <f>IFERROR(__xludf.DUMMYFUNCTION("GOOGLETRANSLATE(A5291,""en"",""fi"")"),"Se on jalokivien ystävä, joten se vaanii Carbinkia. Valitettavasti Gabite nappaa ne melkein aina ensin.")</f>
        <v>Se on jalokivien ystävä, joten se vaanii Carbinkia. Valitettavasti Gabite nappaa ne melkein aina ensin.</v>
      </c>
      <c r="C5291" s="9" t="s">
        <v>1344</v>
      </c>
    </row>
    <row r="5292" ht="33.75" customHeight="1">
      <c r="A5292" s="6" t="s">
        <v>7802</v>
      </c>
      <c r="B5292" s="6" t="str">
        <f>IFERROR(__xludf.DUMMYFUNCTION("GOOGLETRANSLATE(A5292,""en"",""fi"")"),"Tätä Pokémonia pelätään. Kun sen jalokivisilmät alkavat hehkua pahaenteisesti, uskotaan, että Sableye varastaa ihmisten henget.")</f>
        <v>Tätä Pokémonia pelätään. Kun sen jalokivisilmät alkavat hehkua pahaenteisesti, uskotaan, että Sableye varastaa ihmisten henget.</v>
      </c>
      <c r="C5292" s="9" t="s">
        <v>1344</v>
      </c>
    </row>
    <row r="5293" ht="33.75" customHeight="1">
      <c r="A5293" s="6" t="s">
        <v>7803</v>
      </c>
      <c r="B5293" s="6" t="str">
        <f>IFERROR(__xludf.DUMMYFUNCTION("GOOGLETRANSLATE(A5293,""en"",""fi"")"),"Se kaivautuu maan läpi kovilla kynsillään ja murskaa jalokiviä paksuilla, terävillä hampaillaan. Hiili on sen lempiruokaa.")</f>
        <v>Se kaivautuu maan läpi kovilla kynsillään ja murskaa jalokiviä paksuilla, terävillä hampaillaan. Hiili on sen lempiruokaa.</v>
      </c>
      <c r="C5293" s="9" t="s">
        <v>1344</v>
      </c>
    </row>
    <row r="5294" ht="33.75" customHeight="1">
      <c r="A5294" s="6" t="s">
        <v>7804</v>
      </c>
      <c r="B5294" s="6" t="str">
        <f>IFERROR(__xludf.DUMMYFUNCTION("GOOGLETRANSLATE(A5294,""en"",""fi"")"),"Sen syömistä jalokivistä peräisin olevat materiaalit kelluvat sen kehon pinnalle ja voivat muodostaa äärettömän määrän kuvioita yksilöiden välille.")</f>
        <v>Sen syömistä jalokivistä peräisin olevat materiaalit kelluvat sen kehon pinnalle ja voivat muodostaa äärettömän määrän kuvioita yksilöiden välille.</v>
      </c>
      <c r="C5294" s="9" t="s">
        <v>1344</v>
      </c>
    </row>
    <row r="5295" ht="33.75" customHeight="1">
      <c r="A5295" s="6" t="s">
        <v>7806</v>
      </c>
      <c r="B5295" s="6" t="str">
        <f>IFERROR(__xludf.DUMMYFUNCTION("GOOGLETRANSLATE(A5295,""en"",""fi"")"),"MAWHILEn valtavat leuat ovat itse asiassa muuntuneita terässarvia. Sen säyseä ilme tuudittaa vihollisen hellittämään vartijansa. Kun vihollinen sitä vähiten odottaa, MAWHILE jyrää sitä ammottavilla leuoillaan.")</f>
        <v>MAWHILEn valtavat leuat ovat itse asiassa muuntuneita terässarvia. Sen säyseä ilme tuudittaa vihollisen hellittämään vartijansa. Kun vihollinen sitä vähiten odottaa, MAWHILE jyrää sitä ammottavilla leuoillaan.</v>
      </c>
      <c r="C5295" s="9" t="s">
        <v>1344</v>
      </c>
    </row>
    <row r="5296" ht="33.75" customHeight="1">
      <c r="A5296" s="6" t="s">
        <v>7807</v>
      </c>
      <c r="B5296" s="6" t="str">
        <f>IFERROR(__xludf.DUMMYFUNCTION("GOOGLETRANSLATE(A5296,""en"",""fi"")"),"Älä anna tämän POKéMONin suloisen naaman hämätä sinua – se on erittäin vaarallinen. MAWILE huijaa vihollisen hellittämään vartiotaan ja sitten jyskyttää häntä massiivisilla leuoillaan. Teräksiset leuat ovat oikeasti muuntuneita sarvia.")</f>
        <v>Älä anna tämän POKéMONin suloisen naaman hämätä sinua – se on erittäin vaarallinen. MAWILE huijaa vihollisen hellittämään vartiotaan ja sitten jyskyttää häntä massiivisilla leuoillaan. Teräksiset leuat ovat oikeasti muuntuneita sarvia.</v>
      </c>
      <c r="C5296" s="9" t="s">
        <v>1344</v>
      </c>
    </row>
    <row r="5297" ht="33.75" customHeight="1">
      <c r="A5297" s="6" t="s">
        <v>7809</v>
      </c>
      <c r="B5297" s="6" t="str">
        <f>IFERROR(__xludf.DUMMYFUNCTION("GOOGLETRANSLATE(A5297,""en"",""fi"")"),"Sen jättimäiset leuat ovat itse asiassa terässarvia, jotka muuttuivat. Se huijaa viholliset tyytyväisyyteen ihastuttavilla eleillään ja sitten jyrää heitä valtavilla leuoillaan.")</f>
        <v>Sen jättimäiset leuat ovat itse asiassa terässarvia, jotka muuttuivat. Se huijaa viholliset tyytyväisyyteen ihastuttavilla eleillään ja sitten jyrää heitä valtavilla leuoillaan.</v>
      </c>
      <c r="C5297" s="9" t="s">
        <v>1344</v>
      </c>
    </row>
    <row r="5298" ht="33.75" customHeight="1">
      <c r="A5298" s="6" t="s">
        <v>7810</v>
      </c>
      <c r="B5298" s="6" t="str">
        <f>IFERROR(__xludf.DUMMYFUNCTION("GOOGLETRANSLATE(A5298,""en"",""fi"")"),"Se käyttää säyseän näköistä naamaansa tuudittaakseen viholliset tyytyväisyyteen ja puree sitten valtavilla, armottomilla leuoillaan.")</f>
        <v>Se käyttää säyseän näköistä naamaansa tuudittaakseen viholliset tyytyväisyyteen ja puree sitten valtavilla, armottomilla leuoillaan.</v>
      </c>
      <c r="C5298" s="9" t="s">
        <v>1344</v>
      </c>
    </row>
    <row r="5299" ht="33.75" customHeight="1">
      <c r="A5299" s="6" t="s">
        <v>7812</v>
      </c>
      <c r="B5299" s="6" t="str">
        <f>IFERROR(__xludf.DUMMYFUNCTION("GOOGLETRANSLATE(A5299,""en"",""fi"")"),"Sen päähän on kiinnitetty valtava sarvien muodostama leukojen sarja. Se voi pureskella rautapalkkien läpi.")</f>
        <v>Sen päähän on kiinnitetty valtava sarvien muodostama leukojen sarja. Se voi pureskella rautapalkkien läpi.</v>
      </c>
      <c r="C5299" s="9" t="s">
        <v>1344</v>
      </c>
    </row>
    <row r="5300" ht="33.75" customHeight="1">
      <c r="A5300" s="6" t="s">
        <v>7813</v>
      </c>
      <c r="B5300" s="6" t="str">
        <f>IFERROR(__xludf.DUMMYFUNCTION("GOOGLETRANSLATE(A5300,""en"",""fi"")"),"Se jyrsöi ammottavalla suullaan. Sen valtavat leuat ovat itse asiassa muuttuneita terässarvia.")</f>
        <v>Se jyrsöi ammottavalla suullaan. Sen valtavat leuat ovat itse asiassa muuttuneita terässarvia.</v>
      </c>
      <c r="C5300" s="9" t="s">
        <v>1344</v>
      </c>
    </row>
    <row r="5301" ht="33.75" customHeight="1">
      <c r="A5301" s="6" t="s">
        <v>7814</v>
      </c>
      <c r="B5301" s="6" t="str">
        <f>IFERROR(__xludf.DUMMYFUNCTION("GOOGLETRANSLATE(A5301,""en"",""fi"")"),"Mawilen valtavat leuat ovat itse asiassa muuttuneita terässarvia. Sen säyseä ilme tuudittaa vihollisen hellittämään vartijansa. Kun vihollinen sitä vähiten odottaa, Mawile jyrää sitä ammottavilla leuoillaan.")</f>
        <v>Mawilen valtavat leuat ovat itse asiassa muuttuneita terässarvia. Sen säyseä ilme tuudittaa vihollisen hellittämään vartijansa. Kun vihollinen sitä vähiten odottaa, Mawile jyrää sitä ammottavilla leuoillaan.</v>
      </c>
      <c r="C5301" s="9" t="s">
        <v>1344</v>
      </c>
    </row>
    <row r="5302" ht="33.75" customHeight="1">
      <c r="A5302" s="6" t="s">
        <v>7816</v>
      </c>
      <c r="B5302" s="6" t="str">
        <f>IFERROR(__xludf.DUMMYFUNCTION("GOOGLETRANSLATE(A5302,""en"",""fi"")"),"Älä anna tämän Pokémonin suloisen naaman hämätä sinua – se on erittäin vaarallinen. Mawile huijaa vihollisen hellittämään vartiotaan ja sitten jyskyttää häntä massiivisilla leuoillaan. Teräksiset leuat ovat oikeasti muuntuneita sarvia.")</f>
        <v>Älä anna tämän Pokémonin suloisen naaman hämätä sinua – se on erittäin vaarallinen. Mawile huijaa vihollisen hellittämään vartiotaan ja sitten jyskyttää häntä massiivisilla leuoillaan. Teräksiset leuat ovat oikeasti muuntuneita sarvia.</v>
      </c>
      <c r="C5302" s="9" t="s">
        <v>1344</v>
      </c>
    </row>
    <row r="5303" ht="33.75" customHeight="1">
      <c r="A5303" s="6" t="s">
        <v>7817</v>
      </c>
      <c r="B5303" s="6" t="str">
        <f>IFERROR(__xludf.DUMMYFUNCTION("GOOGLETRANSLATE(A5303,""en"",""fi"")"),"Tämä ovela ja pelottava Pokémon on söpöytensä ansiosta pettänyt vastustajat – ja lopulta se nielee heidät kokonaisina valtavilla leuoillaan.")</f>
        <v>Tämä ovela ja pelottava Pokémon on söpöytensä ansiosta pettänyt vastustajat – ja lopulta se nielee heidät kokonaisina valtavilla leuoillaan.</v>
      </c>
      <c r="C5303" s="9" t="s">
        <v>1344</v>
      </c>
    </row>
    <row r="5304" ht="33.75" customHeight="1">
      <c r="A5304" s="6" t="s">
        <v>7819</v>
      </c>
      <c r="B5304" s="6" t="str">
        <f>IFERROR(__xludf.DUMMYFUNCTION("GOOGLETRANSLATE(A5304,""en"",""fi"")"),"Sillä on kaksi suuta. Sen pään takaosassa olevat suuret leuat eivät maista mitään, joten se syö sitä suuta ruokia, joista se ei pidä.")</f>
        <v>Sillä on kaksi suuta. Sen pään takaosassa olevat suuret leuat eivät maista mitään, joten se syö sitä suuta ruokia, joista se ei pidä.</v>
      </c>
      <c r="C5304" s="9" t="s">
        <v>1344</v>
      </c>
    </row>
    <row r="5305" ht="33.75" customHeight="1">
      <c r="A5305" s="6" t="s">
        <v>7820</v>
      </c>
      <c r="B5305" s="6" t="str">
        <f>IFERROR(__xludf.DUMMYFUNCTION("GOOGLETRANSLATE(A5305,""en"",""fi"")"),"Tämän POKéMONin ruumis on terästä. ARON käyttää ruumiinsa valmistuksessa vuorista kaivamaansa rautamalmia. Toisinaan se aiheuttaa suuria ongelmia syömällä siltoja ja kiskoja.")</f>
        <v>Tämän POKéMONin ruumis on terästä. ARON käyttää ruumiinsa valmistuksessa vuorista kaivamaansa rautamalmia. Toisinaan se aiheuttaa suuria ongelmia syömällä siltoja ja kiskoja.</v>
      </c>
      <c r="C5305" s="9" t="s">
        <v>1344</v>
      </c>
    </row>
    <row r="5306" ht="33.75" customHeight="1">
      <c r="A5306" s="6" t="s">
        <v>7821</v>
      </c>
      <c r="B5306" s="6" t="str">
        <f>IFERROR(__xludf.DUMMYFUNCTION("GOOGLETRANSLATE(A5306,""en"",""fi"")"),"ARONin runko on terästä. Yhdellä täysillä latauksilla tämä POKéMON voi tuhota jopa raskaan kippiauton. Tuhoutuneesta kippiautosta tulee sitten kätevä ateria POKéMONille.")</f>
        <v>ARONin runko on terästä. Yhdellä täysillä latauksilla tämä POKéMON voi tuhota jopa raskaan kippiauton. Tuhoutuneesta kippiautosta tulee sitten kätevä ateria POKéMONille.</v>
      </c>
      <c r="C5306" s="9" t="s">
        <v>1344</v>
      </c>
    </row>
    <row r="5307" ht="33.75" customHeight="1">
      <c r="A5307" s="6" t="s">
        <v>7823</v>
      </c>
      <c r="B5307" s="6" t="str">
        <f>IFERROR(__xludf.DUMMYFUNCTION("GOOGLETRANSLATE(A5307,""en"",""fi"")"),"Teräspanssariin puettu POKéMON. Uusi haarniska luodaan sen kehittyessä. Vanha, hylätty haarniska kierrätetään metallina rautatuotteiden valmistamiseksi.")</f>
        <v>Teräspanssariin puettu POKéMON. Uusi haarniska luodaan sen kehittyessä. Vanha, hylätty haarniska kierrätetään metallina rautatuotteiden valmistamiseksi.</v>
      </c>
      <c r="C5307" s="9" t="s">
        <v>1344</v>
      </c>
    </row>
    <row r="5308" ht="33.75" customHeight="1">
      <c r="A5308" s="6" t="s">
        <v>7825</v>
      </c>
      <c r="B5308" s="6" t="str">
        <f>IFERROR(__xludf.DUMMYFUNCTION("GOOGLETRANSLATE(A5308,""en"",""fi"")"),"Se syö rautaa rakentaakseen teräsrunkonsa. Se on tuholainen, joka laskeutuu vuorilta syömään siltoja ja rautatiekiskoja.")</f>
        <v>Se syö rautaa rakentaakseen teräsrunkonsa. Se on tuholainen, joka laskeutuu vuorilta syömään siltoja ja rautatiekiskoja.</v>
      </c>
      <c r="C5308" s="9" t="s">
        <v>1344</v>
      </c>
    </row>
    <row r="5309" ht="33.75" customHeight="1">
      <c r="A5309" s="6" t="s">
        <v>7826</v>
      </c>
      <c r="B5309" s="6" t="str">
        <f>IFERROR(__xludf.DUMMYFUNCTION("GOOGLETRANSLATE(A5309,""en"",""fi"")"),"Se elää yleensä syvällä vuoristossa. Nälkä voi kuitenkin ajaa sen syömään rautatiekiskoja ja autoja.")</f>
        <v>Se elää yleensä syvällä vuoristossa. Nälkä voi kuitenkin ajaa sen syömään rautatiekiskoja ja autoja.</v>
      </c>
      <c r="C5309" s="9" t="s">
        <v>1344</v>
      </c>
    </row>
    <row r="5310" ht="33.75" customHeight="1">
      <c r="A5310" s="6" t="s">
        <v>7827</v>
      </c>
      <c r="B5310" s="6" t="str">
        <f>IFERROR(__xludf.DUMMYFUNCTION("GOOGLETRANSLATE(A5310,""en"",""fi"")"),"Kehittyessään se luopuu koko ruumiinsa peittäneestä teräskilvestä ja kehittää uuden.")</f>
        <v>Kehittyessään se luopuu koko ruumiinsa peittäneestä teräskilvestä ja kehittää uuden.</v>
      </c>
      <c r="C5310" s="9" t="s">
        <v>1344</v>
      </c>
    </row>
    <row r="5311" ht="33.75" customHeight="1">
      <c r="A5311" s="6" t="s">
        <v>7828</v>
      </c>
      <c r="B5311" s="6" t="str">
        <f>IFERROR(__xludf.DUMMYFUNCTION("GOOGLETRANSLATE(A5311,""en"",""fi"")"),"Teräsrunkonsa vahvistamiseksi se syö rautamalmia. Tämä ärsyttävä Pokémon tunnetaan rautatiekiskojen syömisestä.")</f>
        <v>Teräsrunkonsa vahvistamiseksi se syö rautamalmia. Tämä ärsyttävä Pokémon tunnetaan rautatiekiskojen syömisestä.</v>
      </c>
      <c r="C5311" s="9" t="s">
        <v>1344</v>
      </c>
    </row>
    <row r="5312" ht="33.75" customHeight="1">
      <c r="A5312" s="6" t="s">
        <v>7830</v>
      </c>
      <c r="B5312" s="6" t="str">
        <f>IFERROR(__xludf.DUMMYFUNCTION("GOOGLETRANSLATE(A5312,""en"",""fi"")"),"Tämän Pokémonin ruumis on terästä. Ruumiinsa Aron syö vuorista kaivamaansa rautamalmia. Toisinaan se aiheuttaa suuria ongelmia syömällä siltoja ja kiskoja.")</f>
        <v>Tämän Pokémonin ruumis on terästä. Ruumiinsa Aron syö vuorista kaivamaansa rautamalmia. Toisinaan se aiheuttaa suuria ongelmia syömällä siltoja ja kiskoja.</v>
      </c>
      <c r="C5312" s="9" t="s">
        <v>1344</v>
      </c>
    </row>
    <row r="5313" ht="33.75" customHeight="1">
      <c r="A5313" s="6" t="s">
        <v>7831</v>
      </c>
      <c r="B5313" s="6" t="str">
        <f>IFERROR(__xludf.DUMMYFUNCTION("GOOGLETRANSLATE(A5313,""en"",""fi"")"),"Aronilla on teräsrunko. Yhdellä täysillä rynnäköllä tämä Pokémon voi tuhota jopa raskaan kippiauton. Tuhotusta kippiautosta tulee sitten kätevä ateria Pokémonille.")</f>
        <v>Aronilla on teräsrunko. Yhdellä täysillä rynnäköllä tämä Pokémon voi tuhota jopa raskaan kippiauton. Tuhotusta kippiautosta tulee sitten kätevä ateria Pokémonille.</v>
      </c>
      <c r="C5313" s="9" t="s">
        <v>1344</v>
      </c>
    </row>
    <row r="5314" ht="33.75" customHeight="1">
      <c r="A5314" s="6" t="s">
        <v>7832</v>
      </c>
      <c r="B5314" s="6" t="str">
        <f>IFERROR(__xludf.DUMMYFUNCTION("GOOGLETRANSLATE(A5314,""en"",""fi"")"),"Se syö rautamalmia – ja joskus rautatiekiskoja – rakentaakseen teräspanssarin, joka suojaa sen kehoa.")</f>
        <v>Se syö rautamalmia – ja joskus rautatiekiskoja – rakentaakseen teräspanssarin, joka suojaa sen kehoa.</v>
      </c>
      <c r="C5314" s="9" t="s">
        <v>1344</v>
      </c>
    </row>
    <row r="5315" ht="33.75" customHeight="1">
      <c r="A5315" s="6" t="s">
        <v>7833</v>
      </c>
      <c r="B5315" s="6" t="str">
        <f>IFERROR(__xludf.DUMMYFUNCTION("GOOGLETRANSLATE(A5315,""en"",""fi"")"),"Kun Aron kehittyy, sen teräspanssari irtoaa. Muinaisina aikoina ihmiset keräsivät Aronin riisuman haarniskan ja käyttivät sitä hyväkseen jokapäiväisessä elämässään.")</f>
        <v>Kun Aron kehittyy, sen teräspanssari irtoaa. Muinaisina aikoina ihmiset keräsivät Aronin riisuman haarniskan ja käyttivät sitä hyväkseen jokapäiväisessä elämässään.</v>
      </c>
      <c r="C5315" s="9" t="s">
        <v>1344</v>
      </c>
    </row>
    <row r="5316" ht="33.75" customHeight="1">
      <c r="A5316" s="6" t="s">
        <v>7835</v>
      </c>
      <c r="B5316" s="6" t="str">
        <f>IFERROR(__xludf.DUMMYFUNCTION("GOOGLETRANSLATE(A5316,""en"",""fi"")"),"LAIRON karaisee teräskehoaan juomalla erittäin ravitsevaa mineraalilähdevettä, kunnes se turvottaa. Tämä POKéMON tekee pesänsä lähelle herkullisen veden lähteitä.")</f>
        <v>LAIRON karaisee teräskehoaan juomalla erittäin ravitsevaa mineraalilähdevettä, kunnes se turvottaa. Tämä POKéMON tekee pesänsä lähelle herkullisen veden lähteitä.</v>
      </c>
      <c r="C5316" s="9" t="s">
        <v>1344</v>
      </c>
    </row>
    <row r="5317" ht="33.75" customHeight="1">
      <c r="A5317" s="6" t="s">
        <v>7837</v>
      </c>
      <c r="B5317" s="6" t="str">
        <f>IFERROR(__xludf.DUMMYFUNCTION("GOOGLETRANSLATE(A5317,""en"",""fi"")"),"LAIRON syö kivissä ja vedessä olevaa rautaa. Se pesii vuorille, joille on haudattu rautamalmia. Tämän seurauksena POKéMONit ottavat usein yhteen rautamalmia louhivien ihmisten kanssa.")</f>
        <v>LAIRON syö kivissä ja vedessä olevaa rautaa. Se pesii vuorille, joille on haudattu rautamalmia. Tämän seurauksena POKéMONit ottavat usein yhteen rautamalmia louhivien ihmisten kanssa.</v>
      </c>
      <c r="C5317" s="9" t="s">
        <v>1344</v>
      </c>
    </row>
    <row r="5318" ht="33.75" customHeight="1">
      <c r="A5318" s="6" t="s">
        <v>7838</v>
      </c>
      <c r="B5318" s="6" t="str">
        <f>IFERROR(__xludf.DUMMYFUNCTION("GOOGLETRANSLATE(A5318,""en"",""fi"")"),"Kun kaksi LAIRONIA kohtaavat luonnossa, ne taistelevat reviiristä törmäämällä toisiinsa teräsvartaloillaan. Törmäyksen ääni kantautuu kilometrien päähän.")</f>
        <v>Kun kaksi LAIRONIA kohtaavat luonnossa, ne taistelevat reviiristä törmäämällä toisiinsa teräsvartaloillaan. Törmäyksen ääni kantautuu kilometrien päähän.</v>
      </c>
      <c r="C5318" s="9" t="s">
        <v>1344</v>
      </c>
    </row>
    <row r="5319" ht="33.75" customHeight="1">
      <c r="A5319" s="6" t="s">
        <v>7839</v>
      </c>
      <c r="B5319" s="6" t="str">
        <f>IFERROR(__xludf.DUMMYFUNCTION("GOOGLETRANSLATE(A5319,""en"",""fi"")"),"Se tavallisesti esittelee voimaansa kipinöiden koolla, jonka se luo törmäämällä teräsrunkollaan lohkareisiin.")</f>
        <v>Se tavallisesti esittelee voimaansa kipinöiden koolla, jonka se luo törmäämällä teräsrunkollaan lohkareisiin.</v>
      </c>
      <c r="C5319" s="9" t="s">
        <v>1344</v>
      </c>
    </row>
    <row r="5320" ht="33.75" customHeight="1">
      <c r="A5320" s="6" t="s">
        <v>7840</v>
      </c>
      <c r="B5320" s="6" t="str">
        <f>IFERROR(__xludf.DUMMYFUNCTION("GOOGLETRANSLATE(A5320,""en"",""fi"")"),"Se kaivaa rautamalmia saadakseen ruokaa. Se murskaa teräsrunkoista ruumistaan ​​muita vastaan ​​taistellakseen alueesta.")</f>
        <v>Se kaivaa rautamalmia saadakseen ruokaa. Se murskaa teräsrunkoista ruumistaan ​​muita vastaan ​​taistellakseen alueesta.</v>
      </c>
      <c r="C5320" s="9" t="s">
        <v>1344</v>
      </c>
    </row>
    <row r="5321" ht="33.75" customHeight="1">
      <c r="A5321" s="6" t="s">
        <v>7841</v>
      </c>
      <c r="B5321" s="6" t="str">
        <f>IFERROR(__xludf.DUMMYFUNCTION("GOOGLETRANSLATE(A5321,""en"",""fi"")"),"Se rakastaa rautamalmia. Ne taistelevat laumoittain alueesta hakkaamalla toisiaan teräsruumiillaan.")</f>
        <v>Se rakastaa rautamalmia. Ne taistelevat laumoittain alueesta hakkaamalla toisiaan teräsruumiillaan.</v>
      </c>
      <c r="C5321" s="9" t="s">
        <v>1344</v>
      </c>
    </row>
    <row r="5322" ht="33.75" customHeight="1">
      <c r="A5322" s="6" t="s">
        <v>7842</v>
      </c>
      <c r="B5322" s="6" t="str">
        <f>IFERROR(__xludf.DUMMYFUNCTION("GOOGLETRANSLATE(A5322,""en"",""fi"")"),"Laironit taistelevat alueesta, ja kun heidän teräsruumiinsa törmäävät toisiinsa, kipinät sinkoilevat.")</f>
        <v>Laironit taistelevat alueesta, ja kun heidän teräsruumiinsa törmäävät toisiinsa, kipinät sinkoilevat.</v>
      </c>
      <c r="C5322" s="9" t="s">
        <v>1344</v>
      </c>
    </row>
    <row r="5323" ht="33.75" customHeight="1">
      <c r="A5323" s="6" t="s">
        <v>7843</v>
      </c>
      <c r="B5323" s="6" t="str">
        <f>IFERROR(__xludf.DUMMYFUNCTION("GOOGLETRANSLATE(A5323,""en"",""fi"")"),"Lairon karaisee teräksistä kehoaan juomalla erittäin ravitsevaa mineraalilähdevettä, kunnes se turvottaa itseään. Tämä Pokémon tekee pesänsä lähelle herkullisen veden lähteitä.")</f>
        <v>Lairon karaisee teräksistä kehoaan juomalla erittäin ravitsevaa mineraalilähdevettä, kunnes se turvottaa itseään. Tämä Pokémon tekee pesänsä lähelle herkullisen veden lähteitä.</v>
      </c>
      <c r="C5323" s="9" t="s">
        <v>1344</v>
      </c>
    </row>
    <row r="5324" ht="33.75" customHeight="1">
      <c r="A5324" s="6" t="s">
        <v>7844</v>
      </c>
      <c r="B5324" s="6" t="str">
        <f>IFERROR(__xludf.DUMMYFUNCTION("GOOGLETRANSLATE(A5324,""en"",""fi"")"),"Lairon syö kivissä ja vedessä olevaa rautaa. Se tekee pesänsä vuorille, joille on haudattu rautamalmia. Tämän seurauksena Pokémonit usein törmäävät rautamalmia louhivien ihmisten kanssa.")</f>
        <v>Lairon syö kivissä ja vedessä olevaa rautaa. Se tekee pesänsä vuorille, joille on haudattu rautamalmia. Tämän seurauksena Pokémonit usein törmäävät rautamalmia louhivien ihmisten kanssa.</v>
      </c>
      <c r="C5324" s="9" t="s">
        <v>1344</v>
      </c>
    </row>
    <row r="5325" ht="33.75" customHeight="1">
      <c r="A5325" s="6" t="s">
        <v>7846</v>
      </c>
      <c r="B5325" s="6" t="str">
        <f>IFERROR(__xludf.DUMMYFUNCTION("GOOGLETRANSLATE(A5325,""en"",""fi"")"),"Laironit elävät lähdeveden ja rautamalmin pursuamissa vuorissa, joten nämä Pokémonit ovat usein joutuneet konfliktiin ihmisten kanssa menneisyydessä.")</f>
        <v>Laironit elävät lähdeveden ja rautamalmin pursuamissa vuorissa, joten nämä Pokémonit ovat usein joutuneet konfliktiin ihmisten kanssa menneisyydessä.</v>
      </c>
      <c r="C5325" s="9" t="s">
        <v>1344</v>
      </c>
    </row>
    <row r="5326" ht="33.75" customHeight="1">
      <c r="A5326" s="6" t="s">
        <v>7847</v>
      </c>
      <c r="B5326" s="6" t="str">
        <f>IFERROR(__xludf.DUMMYFUNCTION("GOOGLETRANSLATE(A5326,""en"",""fi"")"),"Aluekiistojen aikana Laironit taistelevat törmäämällä toisiinsa. Heidän teräshaarniskansa tarkka tarkastelu paljastaa naarmuja ja kolhuja.")</f>
        <v>Aluekiistojen aikana Laironit taistelevat törmäämällä toisiinsa. Heidän teräshaarniskansa tarkka tarkastelu paljastaa naarmuja ja kolhuja.</v>
      </c>
      <c r="C5326" s="9" t="s">
        <v>1344</v>
      </c>
    </row>
    <row r="5327" ht="33.75" customHeight="1">
      <c r="A5327" s="6" t="s">
        <v>7848</v>
      </c>
      <c r="B5327" s="6" t="str">
        <f>IFERROR(__xludf.DUMMYFUNCTION("GOOGLETRANSLATE(A5327,""en"",""fi"")"),"AGGRON pitää kokonaista vuorta omana alueenaan. Se hakkaa armottomasti kaiken, mikä häiritsee sen ympäristöä. Tämä POKéMON partioi valppaasti aluettaan jatkuvasti.")</f>
        <v>AGGRON pitää kokonaista vuorta omana alueenaan. Se hakkaa armottomasti kaiken, mikä häiritsee sen ympäristöä. Tämä POKéMON partioi valppaasti aluettaan jatkuvasti.</v>
      </c>
      <c r="C5327" s="9" t="s">
        <v>1344</v>
      </c>
    </row>
    <row r="5328" ht="33.75" customHeight="1">
      <c r="A5328" s="6" t="s">
        <v>7850</v>
      </c>
      <c r="B5328" s="6" t="str">
        <f>IFERROR(__xludf.DUMMYFUNCTION("GOOGLETRANSLATE(A5328,""en"",""fi"")"),"AGGRON on yllättävän suojelevainen ympäristöään kohtaan. Jos sen vuori joutuu maanvyörymän tai tulipalon runtelemaksi, tämä POKéMON kuljettaa pintamaata alueelle, istuttaa puita ja ennallistaa kauniisti oman alueensa.")</f>
        <v>AGGRON on yllättävän suojelevainen ympäristöään kohtaan. Jos sen vuori joutuu maanvyörymän tai tulipalon runtelemaksi, tämä POKéMON kuljettaa pintamaata alueelle, istuttaa puita ja ennallistaa kauniisti oman alueensa.</v>
      </c>
      <c r="C5328" s="9" t="s">
        <v>1344</v>
      </c>
    </row>
    <row r="5329" ht="33.75" customHeight="1">
      <c r="A5329" s="6" t="s">
        <v>7851</v>
      </c>
      <c r="B5329" s="6" t="str">
        <f>IFERROR(__xludf.DUMMYFUNCTION("GOOGLETRANSLATE(A5329,""en"",""fi"")"),"Sen rautasarvet pitenevät vähän kerrallaan. Niitä käytetään AGGRONin iän määrittämiseen. Sen haarniskareikiä käytetään ylpeydellä muistoina taisteluista.")</f>
        <v>Sen rautasarvet pitenevät vähän kerrallaan. Niitä käytetään AGGRONin iän määrittämiseen. Sen haarniskareikiä käytetään ylpeydellä muistoina taisteluista.</v>
      </c>
      <c r="C5329" s="9" t="s">
        <v>1344</v>
      </c>
    </row>
    <row r="5330" ht="33.75" customHeight="1">
      <c r="A5330" s="6" t="s">
        <v>7852</v>
      </c>
      <c r="B5330" s="6" t="str">
        <f>IFERROR(__xludf.DUMMYFUNCTION("GOOGLETRANSLATE(A5330,""en"",""fi"")"),"Se väittää suuren vuoren olevan ainoa alueensa. Se pieksee armottomasti niitä, jotka loukkaavat sen tilaa.")</f>
        <v>Se väittää suuren vuoren olevan ainoa alueensa. Se pieksee armottomasti niitä, jotka loukkaavat sen tilaa.</v>
      </c>
      <c r="C5330" s="9" t="s">
        <v>1344</v>
      </c>
    </row>
    <row r="5331" ht="33.75" customHeight="1">
      <c r="A5331" s="6" t="s">
        <v>7854</v>
      </c>
      <c r="B5331" s="6" t="str">
        <f>IFERROR(__xludf.DUMMYFUNCTION("GOOGLETRANSLATE(A5331,""en"",""fi"")"),"Etsiessään rautaa ravinnokseen se kaivaa tunneleita murtautumalla kallioperän läpi terässarveillaan.")</f>
        <v>Etsiessään rautaa ravinnokseen se kaivaa tunneleita murtautumalla kallioperän läpi terässarveillaan.</v>
      </c>
      <c r="C5331" s="9" t="s">
        <v>1344</v>
      </c>
    </row>
    <row r="5332" ht="33.75" customHeight="1">
      <c r="A5332" s="6" t="s">
        <v>7855</v>
      </c>
      <c r="B5332" s="6" t="str">
        <f>IFERROR(__xludf.DUMMYFUNCTION("GOOGLETRANSLATE(A5332,""en"",""fi"")"),"Sen iän voi päätellä sen rautasarvien pituudesta. Se väittää kokonaisen vuoren olevan sen alue.")</f>
        <v>Sen iän voi päätellä sen rautasarvien pituudesta. Se väittää kokonaisen vuoren olevan sen alue.</v>
      </c>
      <c r="C5332" s="9" t="s">
        <v>1344</v>
      </c>
    </row>
    <row r="5333" ht="33.75" customHeight="1">
      <c r="A5333" s="6" t="s">
        <v>7857</v>
      </c>
      <c r="B5333" s="6" t="str">
        <f>IFERROR(__xludf.DUMMYFUNCTION("GOOGLETRANSLATE(A5333,""en"",""fi"")"),"Se väittää kokonaisen vuoren omakseen. Mitä enemmän sillä on haavoja, sitä enemmän se on taistellut, joten älä ota sitä kevyesti.")</f>
        <v>Se väittää kokonaisen vuoren omakseen. Mitä enemmän sillä on haavoja, sitä enemmän se on taistellut, joten älä ota sitä kevyesti.</v>
      </c>
      <c r="C5333" s="9" t="s">
        <v>1344</v>
      </c>
    </row>
    <row r="5334" ht="33.75" customHeight="1">
      <c r="A5334" s="6" t="s">
        <v>7859</v>
      </c>
      <c r="B5334" s="6" t="str">
        <f>IFERROR(__xludf.DUMMYFUNCTION("GOOGLETRANSLATE(A5334,""en"",""fi"")"),"Aggron pitää kokonaista vuorta omana alueenaan. Se hakkaa armottomasti kaiken, mikä häiritsee sen ympäristöä. Tämä Pokémon partioi valppaasti aluettaan jatkuvasti.")</f>
        <v>Aggron pitää kokonaista vuorta omana alueenaan. Se hakkaa armottomasti kaiken, mikä häiritsee sen ympäristöä. Tämä Pokémon partioi valppaasti aluettaan jatkuvasti.</v>
      </c>
      <c r="C5334" s="9" t="s">
        <v>1344</v>
      </c>
    </row>
    <row r="5335" ht="33.75" customHeight="1">
      <c r="A5335" s="6" t="s">
        <v>7860</v>
      </c>
      <c r="B5335" s="6" t="str">
        <f>IFERROR(__xludf.DUMMYFUNCTION("GOOGLETRANSLATE(A5335,""en"",""fi"")"),"Aggron suojelee ympäristöään. Jos sen vuori tuhoutuu maanvyörymässä tai tulipalossa, tämä Pokémon kuljettaa pintamaata alueelle, istuttaa puita ja ennallistaa kauniisti oman alueensa.")</f>
        <v>Aggron suojelee ympäristöään. Jos sen vuori tuhoutuu maanvyörymässä tai tulipalossa, tämä Pokémon kuljettaa pintamaata alueelle, istuttaa puita ja ennallistaa kauniisti oman alueensa.</v>
      </c>
      <c r="C5335" s="9" t="s">
        <v>1344</v>
      </c>
    </row>
    <row r="5336" ht="33.75" customHeight="1">
      <c r="A5336" s="6" t="s">
        <v>7862</v>
      </c>
      <c r="B5336" s="6" t="str">
        <f>IFERROR(__xludf.DUMMYFUNCTION("GOOGLETRANSLATE(A5336,""en"",""fi"")"),"Aggronilla on niin terävä sarvi, että se pystyy lävistämään paksuja rautalevyjä. Se kaataa vastustajansa törmäämällä heihin sarvi edellä.")</f>
        <v>Aggronilla on niin terävä sarvi, että se pystyy lävistämään paksuja rautalevyjä. Se kaataa vastustajansa törmäämällä heihin sarvi edellä.</v>
      </c>
      <c r="C5336" s="9" t="s">
        <v>1344</v>
      </c>
    </row>
    <row r="5337" ht="33.75" customHeight="1">
      <c r="A5337" s="6" t="s">
        <v>7863</v>
      </c>
      <c r="B5337" s="6" t="str">
        <f>IFERROR(__xludf.DUMMYFUNCTION("GOOGLETRANSLATE(A5337,""en"",""fi"")"),"Kauan sitten eli kuningas, jonka kypärän tarkoituksena oli muistuttaa Aggronin päätä. Hän yritti kanavoida Pokémonin voimaa.")</f>
        <v>Kauan sitten eli kuningas, jonka kypärän tarkoituksena oli muistuttaa Aggronin päätä. Hän yritti kanavoida Pokémonin voimaa.</v>
      </c>
      <c r="C5337" s="9" t="s">
        <v>1344</v>
      </c>
    </row>
    <row r="5338" ht="33.75" customHeight="1">
      <c r="A5338" s="6" t="s">
        <v>7867</v>
      </c>
      <c r="B5338" s="6" t="str">
        <f>IFERROR(__xludf.DUMMYFUNCTION("GOOGLETRANSLATE(A5338,""en"",""fi"")"),"MEDITITE suorittaa tiukkaa henkistä harjoittelua syvällä vuoristossa. Meditoidessaan tämä POKéMON kuitenkin menettää keskittymiskykynsä ja tarkkaavaisuutensa. Tämän seurauksena sen harjoittelu ei koskaan lopu.")</f>
        <v>MEDITITE suorittaa tiukkaa henkistä harjoittelua syvällä vuoristossa. Meditoidessaan tämä POKéMON kuitenkin menettää keskittymiskykynsä ja tarkkaavaisuutensa. Tämän seurauksena sen harjoittelu ei koskaan lopu.</v>
      </c>
      <c r="C5338" s="9" t="s">
        <v>1344</v>
      </c>
    </row>
    <row r="5339" ht="33.75" customHeight="1">
      <c r="A5339" s="6" t="s">
        <v>7869</v>
      </c>
      <c r="B5339" s="6" t="str">
        <f>IFERROR(__xludf.DUMMYFUNCTION("GOOGLETRANSLATE(A5339,""en"",""fi"")"),"MEDITITE lisää sisäistä energiaansa meditaation avulla. Se selviää vain yhdellä marjalla päivässä. Minimaalinen syöminen on toinen osa tätä POKéMONia harjoitellessaan.")</f>
        <v>MEDITITE lisää sisäistä energiaansa meditaation avulla. Se selviää vain yhdellä marjalla päivässä. Minimaalinen syöminen on toinen osa tätä POKéMONia harjoitellessaan.</v>
      </c>
      <c r="C5339" s="9" t="s">
        <v>1344</v>
      </c>
    </row>
    <row r="5340" ht="33.75" customHeight="1">
      <c r="A5340" s="6" t="s">
        <v>7870</v>
      </c>
      <c r="B5340" s="6" t="str">
        <f>IFERROR(__xludf.DUMMYFUNCTION("GOOGLETRANSLATE(A5340,""en"",""fi"")"),"Se meditoi jatkuvasti tuntikausia joka päivä. Tiukan ja omistautuneen joogaharjoittelun ansiosta se on karaissut henkistä voimaansa niin paljon, että se voi lentää.")</f>
        <v>Se meditoi jatkuvasti tuntikausia joka päivä. Tiukan ja omistautuneen joogaharjoittelun ansiosta se on karaissut henkistä voimaansa niin paljon, että se voi lentää.</v>
      </c>
      <c r="C5340" s="9" t="s">
        <v>1344</v>
      </c>
    </row>
    <row r="5341" ht="33.75" customHeight="1">
      <c r="A5341" s="6" t="s">
        <v>7872</v>
      </c>
      <c r="B5341" s="6" t="str">
        <f>IFERROR(__xludf.DUMMYFUNCTION("GOOGLETRANSLATE(A5341,""en"",""fi"")"),"Se ei koskaan jätä väliin päivittäistä joogaharjoitusta. Se lisää sisäistä voimaansa meditaation avulla.")</f>
        <v>Se ei koskaan jätä väliin päivittäistä joogaharjoitusta. Se lisää sisäistä voimaansa meditaation avulla.</v>
      </c>
      <c r="C5341" s="9" t="s">
        <v>1344</v>
      </c>
    </row>
    <row r="5342" ht="33.75" customHeight="1">
      <c r="A5342" s="6" t="s">
        <v>7873</v>
      </c>
      <c r="B5342" s="6" t="str">
        <f>IFERROR(__xludf.DUMMYFUNCTION("GOOGLETRANSLATE(A5342,""en"",""fi"")"),"Se syö vain yhden marjan päivässä. Nälkäisyys hillitsee ja terävöittää sen mieltä.")</f>
        <v>Se syö vain yhden marjan päivässä. Nälkäisyys hillitsee ja terävöittää sen mieltä.</v>
      </c>
      <c r="C5342" s="9" t="s">
        <v>1344</v>
      </c>
    </row>
    <row r="5343" ht="33.75" customHeight="1">
      <c r="A5343" s="6" t="s">
        <v>7875</v>
      </c>
      <c r="B5343" s="6" t="str">
        <f>IFERROR(__xludf.DUMMYFUNCTION("GOOGLETRANSLATE(A5343,""en"",""fi"")"),"Se ei koskaan unohda päivittäisiä joogaharjoituksiaan ja lisää henkistä voimaansa meditaation avulla.")</f>
        <v>Se ei koskaan unohda päivittäisiä joogaharjoituksiaan ja lisää henkistä voimaansa meditaation avulla.</v>
      </c>
      <c r="C5343" s="9" t="s">
        <v>1344</v>
      </c>
    </row>
    <row r="5344" ht="33.75" customHeight="1">
      <c r="A5344" s="6" t="s">
        <v>7877</v>
      </c>
      <c r="B5344" s="6" t="str">
        <f>IFERROR(__xludf.DUMMYFUNCTION("GOOGLETRANSLATE(A5344,""en"",""fi"")"),"Se harjoittelee aina syvällä vuoristossa. Se leijuu, kun se lisää henkistä voimaansa meditaation avulla.")</f>
        <v>Se harjoittelee aina syvällä vuoristossa. Se leijuu, kun se lisää henkistä voimaansa meditaation avulla.</v>
      </c>
      <c r="C5344" s="9" t="s">
        <v>1344</v>
      </c>
    </row>
    <row r="5345" ht="33.75" customHeight="1">
      <c r="A5345" s="6" t="s">
        <v>7879</v>
      </c>
      <c r="B5345" s="6" t="str">
        <f>IFERROR(__xludf.DUMMYFUNCTION("GOOGLETRANSLATE(A5345,""en"",""fi"")"),"Se meditoi lisätäkseen sisäistä energiaansa ja leijuakseen ilmassa. Se syö yhden marjan päivässä.")</f>
        <v>Se meditoi lisätäkseen sisäistä energiaansa ja leijuakseen ilmassa. Se syö yhden marjan päivässä.</v>
      </c>
      <c r="C5345" s="9" t="s">
        <v>1344</v>
      </c>
    </row>
    <row r="5346" ht="33.75" customHeight="1">
      <c r="A5346" s="6" t="s">
        <v>7880</v>
      </c>
      <c r="B5346" s="6" t="str">
        <f>IFERROR(__xludf.DUMMYFUNCTION("GOOGLETRANSLATE(A5346,""en"",""fi"")"),"Meditoitunut Pokémon suorittaa tiukkaa henkistä harjoittelua syvällä vuoristossa. Meditoidessaan tämä Pokémon kuitenkin menettää keskittymiskykynsä ja tarkkaavaisuutensa. Tämän seurauksena sen harjoittelu ei koskaan lopu.")</f>
        <v>Meditoitunut Pokémon suorittaa tiukkaa henkistä harjoittelua syvällä vuoristossa. Meditoidessaan tämä Pokémon kuitenkin menettää keskittymiskykynsä ja tarkkaavaisuutensa. Tämän seurauksena sen harjoittelu ei koskaan lopu.</v>
      </c>
      <c r="C5346" s="9" t="s">
        <v>1344</v>
      </c>
    </row>
    <row r="5347" ht="33.75" customHeight="1">
      <c r="A5347" s="6" t="s">
        <v>7882</v>
      </c>
      <c r="B5347" s="6" t="str">
        <f>IFERROR(__xludf.DUMMYFUNCTION("GOOGLETRANSLATE(A5347,""en"",""fi"")"),"Meditoitunut Pokémon lisää sisäistä energiaansa meditaation avulla. Se selviää vain yhdellä marjalla päivässä. Minimaalinen syöminen on toinen osa tämän Pokémonin harjoittelua.")</f>
        <v>Meditoitunut Pokémon lisää sisäistä energiaansa meditaation avulla. Se selviää vain yhdellä marjalla päivässä. Minimaalinen syöminen on toinen osa tämän Pokémonin harjoittelua.</v>
      </c>
      <c r="C5347" s="9" t="s">
        <v>1344</v>
      </c>
    </row>
    <row r="5348" ht="33.75" customHeight="1">
      <c r="A5348" s="6" t="s">
        <v>7883</v>
      </c>
      <c r="B5348" s="6" t="str">
        <f>IFERROR(__xludf.DUMMYFUNCTION("GOOGLETRANSLATE(A5348,""en"",""fi"")"),"Sanotaan, että meditaation avulla MEDICHAM voimistaa kehonsa energiatasoa ja terävöittää kuudetta aistiaan. Tämä POKéMON kätkee läsnäolonsa sulautumalla peltoihin ja vuoriin.")</f>
        <v>Sanotaan, että meditaation avulla MEDICHAM voimistaa kehonsa energiatasoa ja terävöittää kuudetta aistiaan. Tämä POKéMON kätkee läsnäolonsa sulautumalla peltoihin ja vuoriin.</v>
      </c>
      <c r="C5348" s="9" t="s">
        <v>1344</v>
      </c>
    </row>
    <row r="5349" ht="33.75" customHeight="1">
      <c r="A5349" s="6" t="s">
        <v>7885</v>
      </c>
      <c r="B5349" s="6" t="str">
        <f>IFERROR(__xludf.DUMMYFUNCTION("GOOGLETRANSLATE(A5349,""en"",""fi"")"),"Meditaation voimalla MEDICHAM kehitti kuudennen aistinsa. Se sai kyvyn käyttää psykokineettisiä voimia. Tämän POKéMONin tiedetään meditoivan kokonaisen kuukauden syömättä.")</f>
        <v>Meditaation voimalla MEDICHAM kehitti kuudennen aistinsa. Se sai kyvyn käyttää psykokineettisiä voimia. Tämän POKéMONin tiedetään meditoivan kokonaisen kuukauden syömättä.</v>
      </c>
      <c r="C5349" s="9" t="s">
        <v>1344</v>
      </c>
    </row>
    <row r="5350" ht="33.75" customHeight="1">
      <c r="A5350" s="6" t="s">
        <v>7887</v>
      </c>
      <c r="B5350" s="6" t="str">
        <f>IFERROR(__xludf.DUMMYFUNCTION("GOOGLETRANSLATE(A5350,""en"",""fi"")"),"Murskaavan ankaran joogaharjoittelun avulla se sai kyvyn ennustaa vihollisensa toimia. Se taistelee elegantilla, tanssimaisella liikkeellä.")</f>
        <v>Murskaavan ankaran joogaharjoittelun avulla se sai kyvyn ennustaa vihollisensa toimia. Se taistelee elegantilla, tanssimaisella liikkeellä.</v>
      </c>
      <c r="C5350" s="9" t="s">
        <v>1344</v>
      </c>
    </row>
    <row r="5351" ht="33.75" customHeight="1">
      <c r="A5351" s="6" t="s">
        <v>7888</v>
      </c>
      <c r="B5351" s="6" t="str">
        <f>IFERROR(__xludf.DUMMYFUNCTION("GOOGLETRANSLATE(A5351,""en"",""fi"")"),"Se väistää hyökkäykset tyylikkäästi tanssimaisilla askeleilla ja lähettää sitten tuhoisan iskun samalla liikkeellä.")</f>
        <v>Se väistää hyökkäykset tyylikkäästi tanssimaisilla askeleilla ja lähettää sitten tuhoisan iskun samalla liikkeellä.</v>
      </c>
      <c r="C5351" s="9" t="s">
        <v>1344</v>
      </c>
    </row>
    <row r="5352" ht="33.75" customHeight="1">
      <c r="A5352" s="6" t="s">
        <v>7889</v>
      </c>
      <c r="B5352" s="6" t="str">
        <f>IFERROR(__xludf.DUMMYFUNCTION("GOOGLETRANSLATE(A5352,""en"",""fi"")"),"Joogaharjoittelun avulla se on hionut kuudetta aistiaan. Sen liikkeet ovat elegantteja.")</f>
        <v>Joogaharjoittelun avulla se on hionut kuudetta aistiaan. Sen liikkeet ovat elegantteja.</v>
      </c>
      <c r="C5352" s="9" t="s">
        <v>1344</v>
      </c>
    </row>
    <row r="5353" ht="33.75" customHeight="1">
      <c r="A5353" s="6" t="s">
        <v>7891</v>
      </c>
      <c r="B5353" s="6" t="str">
        <f>IFERROR(__xludf.DUMMYFUNCTION("GOOGLETRANSLATE(A5353,""en"",""fi"")"),"Päivittäisen meditaation avulla se hioo hengellistä voimaansa. Se voi aistia, mitä muut ajattelevat.")</f>
        <v>Päivittäisen meditaation avulla se hioo hengellistä voimaansa. Se voi aistia, mitä muut ajattelevat.</v>
      </c>
      <c r="C5353" s="9" t="s">
        <v>1344</v>
      </c>
    </row>
    <row r="5354" ht="33.75" customHeight="1">
      <c r="A5354" s="6" t="s">
        <v>7892</v>
      </c>
      <c r="B5354" s="6" t="str">
        <f>IFERROR(__xludf.DUMMYFUNCTION("GOOGLETRANSLATE(A5354,""en"",""fi"")"),"Se saa kyvyn nähdä vastustajiensa auran hiomalla mieltään nälänhädän avulla.")</f>
        <v>Se saa kyvyn nähdä vastustajiensa auran hiomalla mieltään nälänhädän avulla.</v>
      </c>
      <c r="C5354" s="9" t="s">
        <v>1344</v>
      </c>
    </row>
    <row r="5355" ht="33.75" customHeight="1">
      <c r="A5355" s="6" t="s">
        <v>7893</v>
      </c>
      <c r="B5355" s="6" t="str">
        <f>IFERROR(__xludf.DUMMYFUNCTION("GOOGLETRANSLATE(A5355,""en"",""fi"")"),"Joogaharjoittelun avulla se sai psyykkisen kyvyn ennustaa vihollisensa seuraavan liikkeen.")</f>
        <v>Joogaharjoittelun avulla se sai psyykkisen kyvyn ennustaa vihollisensa seuraavan liikkeen.</v>
      </c>
      <c r="C5355" s="9" t="s">
        <v>1344</v>
      </c>
    </row>
    <row r="5356" ht="33.75" customHeight="1">
      <c r="A5356" s="6" t="s">
        <v>7895</v>
      </c>
      <c r="B5356" s="6" t="str">
        <f>IFERROR(__xludf.DUMMYFUNCTION("GOOGLETRANSLATE(A5356,""en"",""fi"")"),"Se väistää hyökkäykset tyylikkäästi tanssimaisilla askeleilla ja lähettää sitten tuhoisan iskun samalla liikkeellä.")</f>
        <v>Se väistää hyökkäykset tyylikkäästi tanssimaisilla askeleilla ja lähettää sitten tuhoisan iskun samalla liikkeellä.</v>
      </c>
      <c r="C5356" s="9" t="s">
        <v>1344</v>
      </c>
    </row>
    <row r="5357" ht="33.75" customHeight="1">
      <c r="A5357" s="6" t="s">
        <v>7897</v>
      </c>
      <c r="B5357" s="6" t="str">
        <f>IFERROR(__xludf.DUMMYFUNCTION("GOOGLETRANSLATE(A5357,""en"",""fi"")"),"Sanotaan, että meditaation avulla Medicham voimistaa kehonsa energiatasoa ja terävöittää kuudetta aistiaan. Tämä Pokémon kätkee läsnäolonsa sulautumalla peltoihin ja vuoriin.")</f>
        <v>Sanotaan, että meditaation avulla Medicham voimistaa kehonsa energiatasoa ja terävöittää kuudetta aistiaan. Tämä Pokémon kätkee läsnäolonsa sulautumalla peltoihin ja vuoriin.</v>
      </c>
      <c r="C5357" s="9" t="s">
        <v>1344</v>
      </c>
    </row>
    <row r="5358" ht="33.75" customHeight="1">
      <c r="A5358" s="6" t="s">
        <v>7899</v>
      </c>
      <c r="B5358" s="6" t="str">
        <f>IFERROR(__xludf.DUMMYFUNCTION("GOOGLETRANSLATE(A5358,""en"",""fi"")"),"Meditaation voimalla Medicham kehitti kuudennen aistinsa. Se sai kyvyn käyttää psykokineettisiä voimia. Tämän Pokémonin tiedetään meditoivan kokonaisen kuukauden syömättä.")</f>
        <v>Meditaation voimalla Medicham kehitti kuudennen aistinsa. Se sai kyvyn käyttää psykokineettisiä voimia. Tämän Pokémonin tiedetään meditoivan kokonaisen kuukauden syömättä.</v>
      </c>
      <c r="C5358" s="9" t="s">
        <v>1344</v>
      </c>
    </row>
    <row r="5359" ht="33.75" customHeight="1">
      <c r="A5359" s="6" t="s">
        <v>7900</v>
      </c>
      <c r="B5359" s="6" t="str">
        <f>IFERROR(__xludf.DUMMYFUNCTION("GOOGLETRANSLATE(A5359,""en"",""fi"")"),"ELECTRIKE varastoi sähköä pitkiin vartalon karvoihinsa. Tämä POKéMON stimuloi jalkojensa lihaksia sähkövarauksilla. Nämä voimanpiikit antavat sen jaloille räjähtävän kiihtyvyyden.")</f>
        <v>ELECTRIKE varastoi sähköä pitkiin vartalon karvoihinsa. Tämä POKéMON stimuloi jalkojensa lihaksia sähkövarauksilla. Nämä voimanpiikit antavat sen jaloille räjähtävän kiihtyvyyden.</v>
      </c>
      <c r="C5359" s="9" t="s">
        <v>1344</v>
      </c>
    </row>
    <row r="5360" ht="33.75" customHeight="1">
      <c r="A5360" s="6" t="s">
        <v>7901</v>
      </c>
      <c r="B5360" s="6" t="str">
        <f>IFERROR(__xludf.DUMMYFUNCTION("GOOGLETRANSLATE(A5360,""en"",""fi"")"),"ELECTRIKE juoksee nopeammin kuin ihmissilmä pystyy seuraamaan. Juoksemisen aiheuttama kitka muuttuu sähköksi, joka sitten varastoituu tämän POKéMONin turkkiin.")</f>
        <v>ELECTRIKE juoksee nopeammin kuin ihmissilmä pystyy seuraamaan. Juoksemisen aiheuttama kitka muuttuu sähköksi, joka sitten varastoituu tämän POKéMONin turkkiin.</v>
      </c>
      <c r="C5360" s="9" t="s">
        <v>1344</v>
      </c>
    </row>
    <row r="5361" ht="33.75" customHeight="1">
      <c r="A5361" s="6" t="s">
        <v>7903</v>
      </c>
      <c r="B5361" s="6" t="str">
        <f>IFERROR(__xludf.DUMMYFUNCTION("GOOGLETRANSLATE(A5361,""en"",""fi"")"),"Se tuottaa sähköä ilmakehän kitkan avulla. Erityisen kuivina vuodenaikoina koko sen ruumis liekehtii rajuja kipinäsateita.")</f>
        <v>Se tuottaa sähköä ilmakehän kitkan avulla. Erityisen kuivina vuodenaikoina koko sen ruumis liekehtii rajuja kipinäsateita.</v>
      </c>
      <c r="C5361" s="9" t="s">
        <v>1344</v>
      </c>
    </row>
    <row r="5362" ht="33.75" customHeight="1">
      <c r="A5362" s="6" t="s">
        <v>7904</v>
      </c>
      <c r="B5362" s="6" t="str">
        <f>IFERROR(__xludf.DUMMYFUNCTION("GOOGLETRANSLATE(A5362,""en"",""fi"")"),"Se varastoi staattista sähköä turkkiinsa purkamista varten. Se päästää kipinöitä myrskyn lähestyessä.")</f>
        <v>Se varastoi staattista sähköä turkkiinsa purkamista varten. Se päästää kipinöitä myrskyn lähestyessä.</v>
      </c>
      <c r="C5362" s="9" t="s">
        <v>1344</v>
      </c>
    </row>
    <row r="5363" ht="33.75" customHeight="1">
      <c r="A5363" s="6" t="s">
        <v>7905</v>
      </c>
      <c r="B5363" s="6" t="str">
        <f>IFERROR(__xludf.DUMMYFUNCTION("GOOGLETRANSLATE(A5363,""en"",""fi"")"),"Se käyttää turkkiinsa varastoitunutta sähköä stimuloidakseen lihaksiaan, mikä lisää reaktionopeuttaan.")</f>
        <v>Se käyttää turkkiinsa varastoitunutta sähköä stimuloidakseen lihaksiaan, mikä lisää reaktionopeuttaan.</v>
      </c>
      <c r="C5363" s="9" t="s">
        <v>1344</v>
      </c>
    </row>
    <row r="5364" ht="33.75" customHeight="1">
      <c r="A5364" s="6" t="s">
        <v>7906</v>
      </c>
      <c r="B5364" s="6" t="str">
        <f>IFERROR(__xludf.DUMMYFUNCTION("GOOGLETRANSLATE(A5364,""en"",""fi"")"),"Se varastoi sähköä turkkiinsa. Se säteilee kipinöitä kaikkialta kehostaan ​​vuodenaikoina, jolloin ilma on kuivaa.")</f>
        <v>Se varastoi sähköä turkkiinsa. Se säteilee kipinöitä kaikkialta kehostaan ​​vuodenaikoina, jolloin ilma on kuivaa.</v>
      </c>
      <c r="C5364" s="9" t="s">
        <v>1344</v>
      </c>
    </row>
    <row r="5365" ht="33.75" customHeight="1">
      <c r="A5365" s="6" t="s">
        <v>7907</v>
      </c>
      <c r="B5365" s="6" t="str">
        <f>IFERROR(__xludf.DUMMYFUNCTION("GOOGLETRANSLATE(A5365,""en"",""fi"")"),"Electrike varastoi sähköä pitkiin vartalon karvoihinsa. Tämä Pokémon stimuloi jalkojensa lihaksia sähkövarauksilla. Nämä voimanpiikit antavat sen jaloille räjähtävän kiihtyvyyden.")</f>
        <v>Electrike varastoi sähköä pitkiin vartalon karvoihinsa. Tämä Pokémon stimuloi jalkojensa lihaksia sähkövarauksilla. Nämä voimanpiikit antavat sen jaloille räjähtävän kiihtyvyyden.</v>
      </c>
      <c r="C5365" s="9" t="s">
        <v>1344</v>
      </c>
    </row>
    <row r="5366" ht="33.75" customHeight="1">
      <c r="A5366" s="6" t="s">
        <v>7909</v>
      </c>
      <c r="B5366" s="6" t="str">
        <f>IFERROR(__xludf.DUMMYFUNCTION("GOOGLETRANSLATE(A5366,""en"",""fi"")"),"Electrice juoksee nopeammin kuin ihmissilmä pystyy seuraamaan. Juoksemisen aiheuttama kitka muuttuu sähköksi, joka sitten varastoituu tämän Pokémonin turkkiin.")</f>
        <v>Electrice juoksee nopeammin kuin ihmissilmä pystyy seuraamaan. Juoksemisen aiheuttama kitka muuttuu sähköksi, joka sitten varastoituu tämän Pokémonin turkkiin.</v>
      </c>
      <c r="C5366" s="9" t="s">
        <v>1344</v>
      </c>
    </row>
    <row r="5367" ht="33.75" customHeight="1">
      <c r="A5367" s="6" t="s">
        <v>7910</v>
      </c>
      <c r="B5367" s="6" t="str">
        <f>IFERROR(__xludf.DUMMYFUNCTION("GOOGLETRANSLATE(A5367,""en"",""fi"")"),"Ilman ja sen karvan välinen kitka tuottaa staattista sähköä. Kun Electrike toimii, se pitää rätinää.")</f>
        <v>Ilman ja sen karvan välinen kitka tuottaa staattista sähköä. Kun Electrike toimii, se pitää rätinää.</v>
      </c>
      <c r="C5367" s="9" t="s">
        <v>1344</v>
      </c>
    </row>
    <row r="5368" ht="33.75" customHeight="1">
      <c r="A5368" s="6" t="s">
        <v>7912</v>
      </c>
      <c r="B5368" s="6" t="str">
        <f>IFERROR(__xludf.DUMMYFUNCTION("GOOGLETRANSLATE(A5368,""en"",""fi"")"),"Staattinen sähkö kerääntyy kaikkialle sen kehoon, kun sen pitkät turkinsäikeet hankautuvat yhteen. Tämä Pokémon ylpeilee uskomattomalla nopeudella.")</f>
        <v>Staattinen sähkö kerääntyy kaikkialle sen kehoon, kun sen pitkät turkinsäikeet hankautuvat yhteen. Tämä Pokémon ylpeilee uskomattomalla nopeudella.</v>
      </c>
      <c r="C5368" s="9" t="s">
        <v>1344</v>
      </c>
    </row>
    <row r="5369" ht="33.75" customHeight="1">
      <c r="A5369" s="6" t="s">
        <v>7914</v>
      </c>
      <c r="B5369" s="6" t="str">
        <f>IFERROR(__xludf.DUMMYFUNCTION("GOOGLETRANSLATE(A5369,""en"",""fi"")"),"MANECTRIC purkaa jatkuvasti sähköä harjastaan. Kipinät sytyttävät joskus metsäpaloja. Taisteluun astunut POKéMON luo ukkospilviä.")</f>
        <v>MANECTRIC purkaa jatkuvasti sähköä harjastaan. Kipinät sytyttävät joskus metsäpaloja. Taisteluun astunut POKéMON luo ukkospilviä.</v>
      </c>
      <c r="C5369" s="9" t="s">
        <v>1344</v>
      </c>
    </row>
    <row r="5370" ht="33.75" customHeight="1">
      <c r="A5370" s="6" t="s">
        <v>7916</v>
      </c>
      <c r="B5370" s="6" t="str">
        <f>IFERROR(__xludf.DUMMYFUNCTION("GOOGLETRANSLATE(A5370,""en"",""fi"")"),"MANEKTRIC purkaa voimakasta sähköä harjastaan. Harjaa käytetään sähkön keräämiseen ilmakehästä. Tämä POKéMON luo ukkospilviä päänsä yläpuolelle.")</f>
        <v>MANEKTRIC purkaa voimakasta sähköä harjastaan. Harjaa käytetään sähkön keräämiseen ilmakehästä. Tämä POKéMON luo ukkospilviä päänsä yläpuolelle.</v>
      </c>
      <c r="C5370" s="9" t="s">
        <v>1344</v>
      </c>
    </row>
    <row r="5371" ht="33.75" customHeight="1">
      <c r="A5371" s="6" t="s">
        <v>7917</v>
      </c>
      <c r="B5371" s="6" t="str">
        <f>IFERROR(__xludf.DUMMYFUNCTION("GOOGLETRANSLATE(A5371,""en"",""fi"")"),"Koska salamat osuvat niiden läheisyyteen, MANECTRICien ajateltiin syntyneen salamasta. Taistelussa ne luovat ukkospilviä.")</f>
        <v>Koska salamat osuvat niiden läheisyyteen, MANECTRICien ajateltiin syntyneen salamasta. Taistelussa ne luovat ukkospilviä.</v>
      </c>
      <c r="C5371" s="9" t="s">
        <v>1344</v>
      </c>
    </row>
    <row r="5372" ht="33.75" customHeight="1">
      <c r="A5372" s="6" t="s">
        <v>7919</v>
      </c>
      <c r="B5372" s="6" t="str">
        <f>IFERROR(__xludf.DUMMYFUNCTION("GOOGLETRANSLATE(A5372,""en"",""fi"")"),"Se esiintyy harvoin ihmisten edessä. Sen sanotaan pesivän siellä, missä salama on iskenyt.")</f>
        <v>Se esiintyy harvoin ihmisten edessä. Sen sanotaan pesivän siellä, missä salama on iskenyt.</v>
      </c>
      <c r="C5372" s="9" t="s">
        <v>1344</v>
      </c>
    </row>
    <row r="5373" ht="33.75" customHeight="1">
      <c r="A5373" s="6" t="s">
        <v>7921</v>
      </c>
      <c r="B5373" s="6" t="str">
        <f>IFERROR(__xludf.DUMMYFUNCTION("GOOGLETRANSLATE(A5373,""en"",""fi"")"),"Se purkaa sähköä harjastaan. Se luo ukkospilven yläpuolelle tihkuakseen salamoita.")</f>
        <v>Se purkaa sähköä harjastaan. Se luo ukkospilven yläpuolelle tihkuakseen salamoita.</v>
      </c>
      <c r="C5373" s="9" t="s">
        <v>1344</v>
      </c>
    </row>
    <row r="5374" ht="33.75" customHeight="1">
      <c r="A5374" s="6" t="s">
        <v>7922</v>
      </c>
      <c r="B5374" s="6" t="str">
        <f>IFERROR(__xludf.DUMMYFUNCTION("GOOGLETRANSLATE(A5374,""en"",""fi"")"),"Sen pesä löytyy ukkosen iskemästä kohdasta. Se purkaa sähköä harjastaan.")</f>
        <v>Sen pesä löytyy ukkosen iskemästä kohdasta. Se purkaa sähköä harjastaan.</v>
      </c>
      <c r="C5374" s="9" t="s">
        <v>1344</v>
      </c>
    </row>
    <row r="5375" ht="33.75" customHeight="1">
      <c r="A5375" s="6" t="s">
        <v>7923</v>
      </c>
      <c r="B5375" s="6" t="str">
        <f>IFERROR(__xludf.DUMMYFUNCTION("GOOGLETRANSLATE(A5375,""en"",""fi"")"),"Manectric purkaa jatkuvasti sähköä harjastaan. Kipinät sytyttävät joskus metsäpaloja. Taisteluun astunut Pokémon luo ukkospilviä.")</f>
        <v>Manectric purkaa jatkuvasti sähköä harjastaan. Kipinät sytyttävät joskus metsäpaloja. Taisteluun astunut Pokémon luo ukkospilviä.</v>
      </c>
      <c r="C5375" s="9" t="s">
        <v>1344</v>
      </c>
    </row>
    <row r="5376" ht="33.75" customHeight="1">
      <c r="A5376" s="6" t="s">
        <v>7925</v>
      </c>
      <c r="B5376" s="6" t="str">
        <f>IFERROR(__xludf.DUMMYFUNCTION("GOOGLETRANSLATE(A5376,""en"",""fi"")"),"Manektric purkaa harjastaan ​​voimakasta sähköä. Harjaa käytetään sähkön keräämiseen ilmakehästä. Tämä Pokémon luo ukkospilviä päänsä yläpuolelle.")</f>
        <v>Manektric purkaa harjastaan ​​voimakasta sähköä. Harjaa käytetään sähkön keräämiseen ilmakehästä. Tämä Pokémon luo ukkospilviä päänsä yläpuolelle.</v>
      </c>
      <c r="C5376" s="9" t="s">
        <v>1344</v>
      </c>
    </row>
    <row r="5377" ht="33.75" customHeight="1">
      <c r="A5377" s="6" t="s">
        <v>7927</v>
      </c>
      <c r="B5377" s="6" t="str">
        <f>IFERROR(__xludf.DUMMYFUNCTION("GOOGLETRANSLATE(A5377,""en"",""fi"")"),"Manektriaa löytyy luonnottomien ukkospilvien alta. Ihmisten mukaan se voi liikkua samaa vauhtia kuin salama iskee.")</f>
        <v>Manektriaa löytyy luonnottomien ukkospilvien alta. Ihmisten mukaan se voi liikkua samaa vauhtia kuin salama iskee.</v>
      </c>
      <c r="C5377" s="9" t="s">
        <v>1344</v>
      </c>
    </row>
    <row r="5378" ht="33.75" customHeight="1">
      <c r="A5378" s="6" t="s">
        <v>7929</v>
      </c>
      <c r="B5378" s="6" t="str">
        <f>IFERROR(__xludf.DUMMYFUNCTION("GOOGLETRANSLATE(A5378,""en"",""fi"")"),"Se stimuloi omia lihaksiaan sähköllä, joten se voi liikkua nopeasti. Se myös lievittää kipuaan sähköllä, joten se voi toipua nopeasti.")</f>
        <v>Se stimuloi omia lihaksiaan sähköllä, joten se voi liikkua nopeasti. Se myös lievittää kipuaan sähköllä, joten se voi toipua nopeasti.</v>
      </c>
      <c r="C5378" s="9" t="s">
        <v>1344</v>
      </c>
    </row>
    <row r="5379" ht="33.75" customHeight="1">
      <c r="A5379" s="6" t="s">
        <v>7932</v>
      </c>
      <c r="B5379" s="6" t="str">
        <f>IFERROR(__xludf.DUMMYFUNCTION("GOOGLETRANSLATE(A5379,""en"",""fi"")"),"PLUSLE toimii aina joukkuetovereidensa kannustajana. Aina kun joukkuetoveri suoriutuu taistelussa hyvin, tämä POKéMON oikosulkee kehonsa ja tuottaa kipinöiden rätinää osoittaakseen ilonsa.")</f>
        <v>PLUSLE toimii aina joukkuetovereidensa kannustajana. Aina kun joukkuetoveri suoriutuu taistelussa hyvin, tämä POKéMON oikosulkee kehonsa ja tuottaa kipinöiden rätinää osoittaakseen ilonsa.</v>
      </c>
      <c r="C5379" s="9" t="s">
        <v>1344</v>
      </c>
    </row>
    <row r="5380" ht="33.75" customHeight="1">
      <c r="A5380" s="6" t="s">
        <v>7934</v>
      </c>
      <c r="B5380" s="6" t="str">
        <f>IFERROR(__xludf.DUMMYFUNCTION("GOOGLETRANSLATE(A5380,""en"",""fi"")"),"Kun PLUSLE kannustaa kumppaniaan, se sinkoaa sähköisiä kipinöitä kaikkialle kehoonsa. Jos kumppani häviää, tämä POKéMON itkee äänekkäästi.")</f>
        <v>Kun PLUSLE kannustaa kumppaniaan, se sinkoaa sähköisiä kipinöitä kaikkialle kehoonsa. Jos kumppani häviää, tämä POKéMON itkee äänekkäästi.</v>
      </c>
      <c r="C5380" s="9" t="s">
        <v>1344</v>
      </c>
    </row>
    <row r="5381" ht="33.75" customHeight="1">
      <c r="A5381" s="6" t="s">
        <v>7935</v>
      </c>
      <c r="B5381" s="6" t="str">
        <f>IFERROR(__xludf.DUMMYFUNCTION("GOOGLETRANSLATE(A5381,""en"",""fi"")"),"Sillä on kyky kannustaa toista POKéMONia. Oikosulkemalla tassuistaan ​​vapauttamansa sähkön se luo pom-pomeja kannustusta varten.")</f>
        <v>Sillä on kyky kannustaa toista POKéMONia. Oikosulkemalla tassuistaan ​​vapauttamansa sähkön se luo pom-pomeja kannustusta varten.</v>
      </c>
      <c r="C5381" s="9" t="s">
        <v>1344</v>
      </c>
    </row>
    <row r="5382" ht="33.75" customHeight="1">
      <c r="A5382" s="6" t="s">
        <v>7937</v>
      </c>
      <c r="B5382" s="6" t="str">
        <f>IFERROR(__xludf.DUMMYFUNCTION("GOOGLETRANSLATE(A5382,""en"",""fi"")"),"Se kannustaa kumppaneitaan samalla kun sinkoaa kipinöitä kehostaan. Se kiipeää puhelinpylväitä pitkin absorboidakseen sähköä.")</f>
        <v>Se kannustaa kumppaneitaan samalla kun sinkoaa kipinöitä kehostaan. Se kiipeää puhelinpylväitä pitkin absorboidakseen sähköä.</v>
      </c>
      <c r="C5382" s="9" t="s">
        <v>1344</v>
      </c>
    </row>
    <row r="5383" ht="33.75" customHeight="1">
      <c r="A5383" s="6" t="s">
        <v>7938</v>
      </c>
      <c r="B5383" s="6" t="str">
        <f>IFERROR(__xludf.DUMMYFUNCTION("GOOGLETRANSLATE(A5383,""en"",""fi"")"),"Se kannustaa ystäviä kipinöistä tehdyillä pom-pomeilla. Se imee virtaa puhelinpylväistä.")</f>
        <v>Se kannustaa ystäviä kipinöistä tehdyillä pom-pomeilla. Se imee virtaa puhelinpylväistä.</v>
      </c>
      <c r="C5383" s="9" t="s">
        <v>1344</v>
      </c>
    </row>
    <row r="5384" ht="33.75" customHeight="1">
      <c r="A5384" s="6" t="s">
        <v>7940</v>
      </c>
      <c r="B5384" s="6" t="str">
        <f>IFERROR(__xludf.DUMMYFUNCTION("GOOGLETRANSLATE(A5384,""en"",""fi"")"),"Se imee sähköä puhelinpylväistä. Se oikosulkee ruumiinsa ja tuottaa rätinää.")</f>
        <v>Se imee sähköä puhelinpylväistä. Se oikosulkee ruumiinsa ja tuottaa rätinää.</v>
      </c>
      <c r="C5384" s="9" t="s">
        <v>1344</v>
      </c>
    </row>
    <row r="5385" ht="33.75" customHeight="1">
      <c r="A5385" s="6" t="s">
        <v>7942</v>
      </c>
      <c r="B5385" s="6" t="str">
        <f>IFERROR(__xludf.DUMMYFUNCTION("GOOGLETRANSLATE(A5385,""en"",""fi"")"),"Plusle toimii aina joukkuetovereidensa kannustajana. Aina kun joukkuetoveri suoriutuu taistelussa hyvin, tämä Pokémon oikosulkee kehonsa ja tuottaa kipinöiden rätinää osoittaakseen iloaan.")</f>
        <v>Plusle toimii aina joukkuetovereidensa kannustajana. Aina kun joukkuetoveri suoriutuu taistelussa hyvin, tämä Pokémon oikosulkee kehonsa ja tuottaa kipinöiden rätinää osoittaakseen iloaan.</v>
      </c>
      <c r="C5385" s="9" t="s">
        <v>1344</v>
      </c>
    </row>
    <row r="5386" ht="33.75" customHeight="1">
      <c r="A5386" s="6" t="s">
        <v>7944</v>
      </c>
      <c r="B5386" s="6" t="str">
        <f>IFERROR(__xludf.DUMMYFUNCTION("GOOGLETRANSLATE(A5386,""en"",""fi"")"),"Kun Plusle kannustaa kumppaniaan, se sinkoaa sähköisiä kipinöitä kaikkialle kehoonsa. Jos kumppani häviää, tämä Pokémon itkee äänekkäästi.")</f>
        <v>Kun Plusle kannustaa kumppaniaan, se sinkoaa sähköisiä kipinöitä kaikkialle kehoonsa. Jos kumppani häviää, tämä Pokémon itkee äänekkäästi.</v>
      </c>
      <c r="C5386" s="9" t="s">
        <v>1344</v>
      </c>
    </row>
    <row r="5387" ht="33.75" customHeight="1">
      <c r="A5387" s="6" t="s">
        <v>7946</v>
      </c>
      <c r="B5387" s="6" t="str">
        <f>IFERROR(__xludf.DUMMYFUNCTION("GOOGLETRANSLATE(A5387,""en"",""fi"")"),"MINUN on enemmän huolissaan kumppaneidensa kannustamisesta kuin omasta turvallisuudestaan. Se oikosulkee kehossaan olevan sähkön luodakseen loistavia kipinäsuihkuja kannustaakseen joukkuetovereitaan.")</f>
        <v>MINUN on enemmän huolissaan kumppaneidensa kannustamisesta kuin omasta turvallisuudestaan. Se oikosulkee kehossaan olevan sähkön luodakseen loistavia kipinäsuihkuja kannustaakseen joukkuetovereitaan.</v>
      </c>
      <c r="C5387" s="9" t="s">
        <v>1344</v>
      </c>
    </row>
    <row r="5388" ht="33.75" customHeight="1">
      <c r="A5388" s="6" t="s">
        <v>7947</v>
      </c>
      <c r="B5388" s="6" t="str">
        <f>IFERROR(__xludf.DUMMYFUNCTION("GOOGLETRANSLATE(A5388,""en"",""fi"")"),"MINUN rakastaa kannustaa taistelukumppaniaan. Se päästää kipinöitä kehostaan ​​samalla. Jos sen kumppani on pulassa, tämä POKéMON päästää yhä enemmän kipinöitä.")</f>
        <v>MINUN rakastaa kannustaa taistelukumppaniaan. Se päästää kipinöitä kehostaan ​​samalla. Jos sen kumppani on pulassa, tämä POKéMON päästää yhä enemmän kipinöitä.</v>
      </c>
      <c r="C5388" s="9" t="s">
        <v>1344</v>
      </c>
    </row>
    <row r="5389" ht="33.75" customHeight="1">
      <c r="A5389" s="6" t="s">
        <v>7948</v>
      </c>
      <c r="B5389" s="6" t="str">
        <f>IFERROR(__xludf.DUMMYFUNCTION("GOOGLETRANSLATE(A5389,""en"",""fi"")"),"POKéMON-akateemikkojen kokouksessa ilmoitettiin, että samanaikainen altistuminen PLUSLEn ja MINUNin sähkölle edistää verenkiertoa ja lisää elinvoimaa.")</f>
        <v>POKéMON-akateemikkojen kokouksessa ilmoitettiin, että samanaikainen altistuminen PLUSLEn ja MINUNin sähkölle edistää verenkiertoa ja lisää elinvoimaa.</v>
      </c>
      <c r="C5389" s="9" t="s">
        <v>1344</v>
      </c>
    </row>
    <row r="5390" ht="33.75" customHeight="1">
      <c r="A5390" s="6" t="s">
        <v>7950</v>
      </c>
      <c r="B5390" s="6" t="str">
        <f>IFERROR(__xludf.DUMMYFUNCTION("GOOGLETRANSLATE(A5390,""en"",""fi"")"),"Koska se ei pidä vedestä, se hakeutuu suojaan sateella talojen räystäiden alle. Se käyttää kipinöistä tehtyjä pom-pomeja hurraamiseen.")</f>
        <v>Koska se ei pidä vedestä, se hakeutuu suojaan sateella talojen räystäiden alle. Se käyttää kipinöistä tehtyjä pom-pomeja hurraamiseen.</v>
      </c>
      <c r="C5390" s="9" t="s">
        <v>1344</v>
      </c>
    </row>
    <row r="5391" ht="33.75" customHeight="1">
      <c r="A5391" s="6" t="s">
        <v>7952</v>
      </c>
      <c r="B5391" s="6" t="str">
        <f>IFERROR(__xludf.DUMMYFUNCTION("GOOGLETRANSLATE(A5391,""en"",""fi"")"),"Se kannustaa ystäviään. Jos sen ystävät häviävät, sen keho päästää yhä enemmän kipinöitä.")</f>
        <v>Se kannustaa ystäviään. Jos sen ystävät häviävät, sen keho päästää yhä enemmän kipinöitä.</v>
      </c>
      <c r="C5391" s="9" t="s">
        <v>1344</v>
      </c>
    </row>
    <row r="5392" ht="33.75" customHeight="1">
      <c r="A5392" s="6" t="s">
        <v>7954</v>
      </c>
      <c r="B5392" s="6" t="str">
        <f>IFERROR(__xludf.DUMMYFUNCTION("GOOGLETRANSLATE(A5392,""en"",""fi"")"),"MINUNin ja PLUSLEn sähkölle altistuminen edistää verenkiertoa ja rentouttaa lihaksia.")</f>
        <v>MINUNin ja PLUSLEn sähkölle altistuminen edistää verenkiertoa ja rentouttaa lihaksia.</v>
      </c>
      <c r="C5392" s="9" t="s">
        <v>1344</v>
      </c>
    </row>
    <row r="5393" ht="33.75" customHeight="1">
      <c r="A5393" s="6" t="s">
        <v>7955</v>
      </c>
      <c r="B5393" s="6" t="str">
        <f>IFERROR(__xludf.DUMMYFUNCTION("GOOGLETRANSLATE(A5393,""en"",""fi"")"),"Minunin ja Pluslen sähkölle altistuminen edistää verenkiertoa ja rentouttaa lihaksia.")</f>
        <v>Minunin ja Pluslen sähkölle altistuminen edistää verenkiertoa ja rentouttaa lihaksia.</v>
      </c>
      <c r="C5393" s="9" t="s">
        <v>1344</v>
      </c>
    </row>
    <row r="5394" ht="33.75" customHeight="1">
      <c r="A5394" s="6" t="s">
        <v>7957</v>
      </c>
      <c r="B5394" s="6" t="str">
        <f>IFERROR(__xludf.DUMMYFUNCTION("GOOGLETRANSLATE(A5394,""en"",""fi"")"),"Minun on enemmän huolissaan joukkuetovereidensa kannustamisesta kuin omasta turvallisuudestaan. Se oikosulkee kehossaan olevan sähkön luodakseen loistavia kipinäsuihkuja kannustaakseen joukkuetovereitaan.")</f>
        <v>Minun on enemmän huolissaan joukkuetovereidensa kannustamisesta kuin omasta turvallisuudestaan. Se oikosulkee kehossaan olevan sähkön luodakseen loistavia kipinäsuihkuja kannustaakseen joukkuetovereitaan.</v>
      </c>
      <c r="C5394" s="9" t="s">
        <v>1344</v>
      </c>
    </row>
    <row r="5395" ht="33.75" customHeight="1">
      <c r="A5395" s="6" t="s">
        <v>7958</v>
      </c>
      <c r="B5395" s="6" t="str">
        <f>IFERROR(__xludf.DUMMYFUNCTION("GOOGLETRANSLATE(A5395,""en"",""fi"")"),"Minun rakastaa kannustaa kumppaniaan taistelussa. Se päästää kipinöitä kehostaan ​​samalla. Jos sen kumppani on pulassa, tämä Pokémon päästää yhä enemmän kipinöitä.")</f>
        <v>Minun rakastaa kannustaa kumppaniaan taistelussa. Se päästää kipinöitä kehostaan ​​samalla. Jos sen kumppani on pulassa, tämä Pokémon päästää yhä enemmän kipinöitä.</v>
      </c>
      <c r="C5395" s="9" t="s">
        <v>1344</v>
      </c>
    </row>
    <row r="5396" ht="33.75" customHeight="1">
      <c r="A5396" s="6" t="s">
        <v>7960</v>
      </c>
      <c r="B5396" s="6" t="str">
        <f>IFERROR(__xludf.DUMMYFUNCTION("GOOGLETRANSLATE(A5396,""en"",""fi"")"),"Yön saapuessa VOLBEAT lähettää valoa pyrstöstään. Se kommunikoi muiden kanssa säätämällä valonsa voimakkuutta ja välähdyksiä. Tätä POKéMONIA houkuttelee ILLUMISEn makea tuoksu.")</f>
        <v>Yön saapuessa VOLBEAT lähettää valoa pyrstöstään. Se kommunikoi muiden kanssa säätämällä valonsa voimakkuutta ja välähdyksiä. Tätä POKéMONIA houkuttelee ILLUMISEn makea tuoksu.</v>
      </c>
      <c r="C5396" s="9" t="s">
        <v>1344</v>
      </c>
    </row>
    <row r="5397" ht="33.75" customHeight="1">
      <c r="A5397" s="6" t="s">
        <v>7961</v>
      </c>
      <c r="B5397" s="6" t="str">
        <f>IFERROR(__xludf.DUMMYFUNCTION("GOOGLETRANSLATE(A5397,""en"",""fi"")"),"VOLBEATin häntä hehkuu kuin hehkulamppu. Muiden VOLBEATien tavoin se käyttää häntäänsä piirtääkseen geometrisia muotoja yötaivaalle. Tämä POKéMON rakastaa ILLUMISEn levittämää makeaa tuoksua.")</f>
        <v>VOLBEATin häntä hehkuu kuin hehkulamppu. Muiden VOLBEATien tavoin se käyttää häntäänsä piirtääkseen geometrisia muotoja yötaivaalle. Tämä POKéMON rakastaa ILLUMISEn levittämää makeaa tuoksua.</v>
      </c>
      <c r="C5397" s="9" t="s">
        <v>1344</v>
      </c>
    </row>
    <row r="5398" ht="33.75" customHeight="1">
      <c r="A5398" s="6" t="s">
        <v>7962</v>
      </c>
      <c r="B5398" s="6" t="str">
        <f>IFERROR(__xludf.DUMMYFUNCTION("GOOGLETRANSLATE(A5398,""en"",""fi"")"),"Takavalot sytytettyinä VOLBEAT-linnut lentävät parvessa piirtäen geometrisia kuvioita yötaivaalle. Ne siirtävät pesäänsä, jos niiden lammen vesi likaantuu.")</f>
        <v>Takavalot sytytettyinä VOLBEAT-linnut lentävät parvessa piirtäen geometrisia kuvioita yötaivaalle. Ne siirtävät pesäänsä, jos niiden lammen vesi likaantuu.</v>
      </c>
      <c r="C5398" s="9" t="s">
        <v>1344</v>
      </c>
    </row>
    <row r="5399" ht="33.75" customHeight="1">
      <c r="A5399" s="6" t="s">
        <v>7963</v>
      </c>
      <c r="B5399" s="6" t="str">
        <f>IFERROR(__xludf.DUMMYFUNCTION("GOOGLETRANSLATE(A5399,""en"",""fi"")"),"Se elää puhtaiden lampien ympärillä. Yöllä sen takaosa valaisee itsensä. Se keskustelee muiden kanssa vilkuttamalla valoaan.")</f>
        <v>Se elää puhtaiden lampien ympärillä. Yöllä sen takaosa valaisee itsensä. Se keskustelee muiden kanssa vilkuttamalla valoaan.</v>
      </c>
      <c r="C5399" s="9" t="s">
        <v>1344</v>
      </c>
    </row>
    <row r="5400" ht="33.75" customHeight="1">
      <c r="A5400" s="6" t="s">
        <v>7964</v>
      </c>
      <c r="B5400" s="6" t="str">
        <f>IFERROR(__xludf.DUMMYFUNCTION("GOOGLETRANSLATE(A5400,""en"",""fi"")"),"Se kommunikoi muiden kanssa valaisemalla takapuolensa yöllä. Se rakastaa ILLUMISEn makeaa tuoksua.")</f>
        <v>Se kommunikoi muiden kanssa valaisemalla takapuolensa yöllä. Se rakastaa ILLUMISEn makeaa tuoksua.</v>
      </c>
      <c r="C5400" s="9" t="s">
        <v>1344</v>
      </c>
    </row>
    <row r="5401" ht="33.75" customHeight="1">
      <c r="A5401" s="6" t="s">
        <v>7965</v>
      </c>
      <c r="B5401" s="6" t="str">
        <f>IFERROR(__xludf.DUMMYFUNCTION("GOOGLETRANSLATE(A5401,""en"",""fi"")"),"Se kommunikoi lähettämällä valoa pyrstöstään. Se rakastaa ILLUMISE-laitteen tuomaa makeaa tuoksua.")</f>
        <v>Se kommunikoi lähettämällä valoa pyrstöstään. Se rakastaa ILLUMISE-laitteen tuomaa makeaa tuoksua.</v>
      </c>
      <c r="C5401" s="9" t="s">
        <v>1344</v>
      </c>
    </row>
    <row r="5402" ht="33.75" customHeight="1">
      <c r="A5402" s="6" t="s">
        <v>7967</v>
      </c>
      <c r="B5402" s="6" t="str">
        <f>IFERROR(__xludf.DUMMYFUNCTION("GOOGLETRANSLATE(A5402,""en"",""fi"")"),"Se kommunikoi muiden kanssa valaisemalla takapuolensa yöllä. Se rakastaa Illumisen makeaa tuoksua.")</f>
        <v>Se kommunikoi muiden kanssa valaisemalla takapuolensa yöllä. Se rakastaa Illumisen makeaa tuoksua.</v>
      </c>
      <c r="C5402" s="9" t="s">
        <v>1344</v>
      </c>
    </row>
    <row r="5403" ht="33.75" customHeight="1">
      <c r="A5403" s="6" t="s">
        <v>7968</v>
      </c>
      <c r="B5403" s="6" t="str">
        <f>IFERROR(__xludf.DUMMYFUNCTION("GOOGLETRANSLATE(A5403,""en"",""fi"")"),"Yön saapuessa Volbeat lähettää valoa pyrstöstään. Se kommunikoi muiden kanssa säätämällä valonsa voimakkuutta ja välähdyksiä. Tätä Pokémonia houkuttelee Illumisen makea tuoksu.")</f>
        <v>Yön saapuessa Volbeat lähettää valoa pyrstöstään. Se kommunikoi muiden kanssa säätämällä valonsa voimakkuutta ja välähdyksiä. Tätä Pokémonia houkuttelee Illumisen makea tuoksu.</v>
      </c>
      <c r="C5403" s="9" t="s">
        <v>1344</v>
      </c>
    </row>
    <row r="5404" ht="33.75" customHeight="1">
      <c r="A5404" s="6" t="s">
        <v>7969</v>
      </c>
      <c r="B5404" s="6" t="str">
        <f>IFERROR(__xludf.DUMMYFUNCTION("GOOGLETRANSLATE(A5404,""en"",""fi"")"),"Volbeatin häntä hehkuu kuin hehkulamppu. Muiden Volbeattien kanssa se käyttää häntäänsä piirtääkseen geometrisia muotoja yötaivaalle. Tämä Pokémon rakastaa Illumisen levittämää makeaa tuoksua.")</f>
        <v>Volbeatin häntä hehkuu kuin hehkulamppu. Muiden Volbeattien kanssa se käyttää häntäänsä piirtääkseen geometrisia muotoja yötaivaalle. Tämä Pokémon rakastaa Illumisen levittämää makeaa tuoksua.</v>
      </c>
      <c r="C5404" s="9" t="s">
        <v>1344</v>
      </c>
    </row>
    <row r="5405" ht="33.75" customHeight="1">
      <c r="A5405" s="6" t="s">
        <v>7970</v>
      </c>
      <c r="B5405" s="6" t="str">
        <f>IFERROR(__xludf.DUMMYFUNCTION("GOOGLETRANSLATE(A5405,""en"",""fi"")"),"ILLUMISE houkuttelee parven VOLBEAT-olentoja makealla tuoksullaan. Kun VOLBEATit ovat kokoontuneet, tämä POKéMON johdattaa valaistun parven piirtämään geometrisia kuvioita yötaivaan kankaalle.")</f>
        <v>ILLUMISE houkuttelee parven VOLBEAT-olentoja makealla tuoksullaan. Kun VOLBEATit ovat kokoontuneet, tämä POKéMON johdattaa valaistun parven piirtämään geometrisia kuvioita yötaivaan kankaalle.</v>
      </c>
      <c r="C5405" s="9" t="s">
        <v>1344</v>
      </c>
    </row>
    <row r="5406" ht="33.75" customHeight="1">
      <c r="A5406" s="6" t="s">
        <v>7971</v>
      </c>
      <c r="B5406" s="6" t="str">
        <f>IFERROR(__xludf.DUMMYFUNCTION("GOOGLETRANSLATE(A5406,""en"",""fi"")"),"ILLUMISE johtaa valaistujen VOLBEAT-rakettien lentoa piirtääkseen merkkejä yötaivaalle. Tämän POKéMONin sanotaan ansaitsevan suuremman arvostuksen kilpailijoiltaan luomalla monimutkaisempia kuvioita taivaalle.")</f>
        <v>ILLUMISE johtaa valaistujen VOLBEAT-rakettien lentoa piirtääkseen merkkejä yötaivaalle. Tämän POKéMONin sanotaan ansaitsevan suuremman arvostuksen kilpailijoiltaan luomalla monimutkaisempia kuvioita taivaalle.</v>
      </c>
      <c r="C5406" s="9" t="s">
        <v>1344</v>
      </c>
    </row>
    <row r="5407" ht="33.75" customHeight="1">
      <c r="A5407" s="6" t="s">
        <v>7974</v>
      </c>
      <c r="B5407" s="6" t="str">
        <f>IFERROR(__xludf.DUMMYFUNCTION("GOOGLETRANSLATE(A5407,""en"",""fi"")"),"Yöllinen POKéMON, joka aktivoituu pimeän tultua. Se johtaa VOLBEAT-parvea piirtämään kuvioita yötaivaalle. Yli 200 erilaista kuviota on vahvistettu.")</f>
        <v>Yöllinen POKéMON, joka aktivoituu pimeän tultua. Se johtaa VOLBEAT-parvea piirtämään kuvioita yötaivaalle. Yli 200 erilaista kuviota on vahvistettu.</v>
      </c>
      <c r="C5407" s="9" t="s">
        <v>1344</v>
      </c>
    </row>
    <row r="5408" ht="33.75" customHeight="1">
      <c r="A5408" s="6" t="s">
        <v>7975</v>
      </c>
      <c r="B5408" s="6" t="str">
        <f>IFERROR(__xludf.DUMMYFUNCTION("GOOGLETRANSLATE(A5408,""en"",""fi"")"),"Se ohjaa VOLBEATia piirtämään merkkejä yötaivaalle. On olemassa tiedemiehiä, jotka tutkivat sen luomia kuvioita.")</f>
        <v>Se ohjaa VOLBEATia piirtämään merkkejä yötaivaalle. On olemassa tiedemiehiä, jotka tutkivat sen luomia kuvioita.</v>
      </c>
      <c r="C5408" s="9" t="s">
        <v>1344</v>
      </c>
    </row>
    <row r="5409" ht="33.75" customHeight="1">
      <c r="A5409" s="6" t="s">
        <v>7979</v>
      </c>
      <c r="B5409" s="6" t="str">
        <f>IFERROR(__xludf.DUMMYFUNCTION("GOOGLETRANSLATE(A5409,""en"",""fi"")"),"Makealla tuoksullaan se ohjaa VOLBEATia piirtämään merkkejä valolla yötaivaalle.")</f>
        <v>Makealla tuoksullaan se ohjaa VOLBEATia piirtämään merkkejä valolla yötaivaalle.</v>
      </c>
      <c r="C5409" s="9" t="s">
        <v>1344</v>
      </c>
    </row>
    <row r="5410" ht="33.75" customHeight="1">
      <c r="A5410" s="6" t="s">
        <v>7981</v>
      </c>
      <c r="B5410" s="6" t="str">
        <f>IFERROR(__xludf.DUMMYFUNCTION("GOOGLETRANSLATE(A5410,""en"",""fi"")"),"Sen tuoksu houkuttelee parven VOLBEAT-säteilijöitä, joten ne piirtävät yli 200 kuviota yötaivaalle.")</f>
        <v>Sen tuoksu houkuttelee parven VOLBEAT-säteilijöitä, joten ne piirtävät yli 200 kuviota yötaivaalle.</v>
      </c>
      <c r="C5410" s="9" t="s">
        <v>1344</v>
      </c>
    </row>
    <row r="5411" ht="33.75" customHeight="1">
      <c r="A5411" s="6" t="s">
        <v>7982</v>
      </c>
      <c r="B5411" s="6" t="str">
        <f>IFERROR(__xludf.DUMMYFUNCTION("GOOGLETRANSLATE(A5411,""en"",""fi"")"),"Makealla tuoksullaan se opastaa Volbeatia piirtämään merkkejä valolla yötaivaalle.")</f>
        <v>Makealla tuoksullaan se opastaa Volbeatia piirtämään merkkejä valolla yötaivaalle.</v>
      </c>
      <c r="C5411" s="9" t="s">
        <v>1344</v>
      </c>
    </row>
    <row r="5412" ht="33.75" customHeight="1">
      <c r="A5412" s="6" t="s">
        <v>7983</v>
      </c>
      <c r="B5412" s="6" t="str">
        <f>IFERROR(__xludf.DUMMYFUNCTION("GOOGLETRANSLATE(A5412,""en"",""fi"")"),"Sen tuoksu houkuttelee parven Volbeat-musiikkia, joten ne piirtävät yli 200 kuviota yötaivaalle.")</f>
        <v>Sen tuoksu houkuttelee parven Volbeat-musiikkia, joten ne piirtävät yli 200 kuviota yötaivaalle.</v>
      </c>
      <c r="C5412" s="9" t="s">
        <v>1344</v>
      </c>
    </row>
    <row r="5413" ht="33.75" customHeight="1">
      <c r="A5413" s="6" t="s">
        <v>7984</v>
      </c>
      <c r="B5413" s="6" t="str">
        <f>IFERROR(__xludf.DUMMYFUNCTION("GOOGLETRANSLATE(A5413,""en"",""fi"")"),"Illumise houkuttelee Volbeat-parven makealla tuoksullaan. Kun Volbeatit ovat kokoontuneet, tämä Pokémon johtaa valaistua parvea piirtämään geometrisia kuvioita yötaivaan kankaalle.")</f>
        <v>Illumise houkuttelee Volbeat-parven makealla tuoksullaan. Kun Volbeatit ovat kokoontuneet, tämä Pokémon johtaa valaistua parvea piirtämään geometrisia kuvioita yötaivaan kankaalle.</v>
      </c>
      <c r="C5413" s="9" t="s">
        <v>1344</v>
      </c>
    </row>
    <row r="5414" ht="33.75" customHeight="1">
      <c r="A5414" s="6" t="s">
        <v>7986</v>
      </c>
      <c r="B5414" s="6" t="str">
        <f>IFERROR(__xludf.DUMMYFUNCTION("GOOGLETRANSLATE(A5414,""en"",""fi"")"),"Illumise johtaa valaistujen Volbeat-hahmojen lentoa piirtääkseen merkkejä yötaivaalle. Tämän Pokémonin sanotaan ansaitsevan enemmän kunnioitusta vertaisiltaan luomalla monimutkaisempia kuvioita taivaalle.")</f>
        <v>Illumise johtaa valaistujen Volbeat-hahmojen lentoa piirtääkseen merkkejä yötaivaalle. Tämän Pokémonin sanotaan ansaitsevan enemmän kunnioitusta vertaisiltaan luomalla monimutkaisempia kuvioita taivaalle.</v>
      </c>
      <c r="C5414" s="9" t="s">
        <v>1344</v>
      </c>
    </row>
    <row r="5415" ht="33.75" customHeight="1">
      <c r="A5415" s="6" t="s">
        <v>7988</v>
      </c>
      <c r="B5415" s="6" t="str">
        <f>IFERROR(__xludf.DUMMYFUNCTION("GOOGLETRANSLATE(A5415,""en"",""fi"")"),"ROSELIA ampuu teräviä piikkejä ammuksina kaikkia vihollisia kohti, jotka yrittävät varastaa sen käsivarsilla olevat kukat. Tämän POKéMONin tuoksu tuo tyyneyttä eläviin olentoihin.")</f>
        <v>ROSELIA ampuu teräviä piikkejä ammuksina kaikkia vihollisia kohti, jotka yrittävät varastaa sen käsivarsilla olevat kukat. Tämän POKéMONin tuoksu tuo tyyneyttä eläviin olentoihin.</v>
      </c>
      <c r="C5415" s="9" t="s">
        <v>1344</v>
      </c>
    </row>
    <row r="5416" ht="33.75" customHeight="1">
      <c r="A5416" s="6" t="s">
        <v>7989</v>
      </c>
      <c r="B5416" s="6" t="str">
        <f>IFERROR(__xludf.DUMMYFUNCTION("GOOGLETRANSLATE(A5416,""en"",""fi"")"),"Erittäin harvinaisissa tapauksissa ROSELIAn sanotaan ilmestyvän epätavallisen värisinä kukina. Tämän POKéMONin päässä olevat piikit sisältävät pahaa myrkkyä.")</f>
        <v>Erittäin harvinaisissa tapauksissa ROSELIAn sanotaan ilmestyvän epätavallisen värisinä kukina. Tämän POKéMONin päässä olevat piikit sisältävät pahaa myrkkyä.</v>
      </c>
      <c r="C5416" s="9" t="s">
        <v>1344</v>
      </c>
    </row>
    <row r="5417" ht="33.75" customHeight="1">
      <c r="A5417" s="6" t="s">
        <v>7993</v>
      </c>
      <c r="B5417" s="6" t="str">
        <f>IFERROR(__xludf.DUMMYFUNCTION("GOOGLETRANSLATE(A5417,""en"",""fi"")"),"Ravintopitoista lähdevettä juova ROSELIA kukkii ihanilla kukilla. Sen kukkien tuoksu tekee sen vihollisista huolimattomia.")</f>
        <v>Ravintopitoista lähdevettä juova ROSELIA kukkii ihanilla kukilla. Sen kukkien tuoksu tekee sen vihollisista huolimattomia.</v>
      </c>
      <c r="C5417" s="9" t="s">
        <v>1344</v>
      </c>
    </row>
    <row r="5418" ht="33.75" customHeight="1">
      <c r="A5418" s="6" t="s">
        <v>7995</v>
      </c>
      <c r="B5418" s="6" t="str">
        <f>IFERROR(__xludf.DUMMYFUNCTION("GOOGLETRANSLATE(A5418,""en"",""fi"")"),"Sen kukat tuoksuvat rentouttavasti. Mitä voimakkaampi aromi, sitä terveempi ROSELIA on.")</f>
        <v>Sen kukat tuoksuvat rentouttavasti. Mitä voimakkaampi aromi, sitä terveempi ROSELIA on.</v>
      </c>
      <c r="C5418" s="9" t="s">
        <v>1344</v>
      </c>
    </row>
    <row r="5419" ht="33.75" customHeight="1">
      <c r="A5419" s="6" t="s">
        <v>7996</v>
      </c>
      <c r="B5419" s="6" t="str">
        <f>IFERROR(__xludf.DUMMYFUNCTION("GOOGLETRANSLATE(A5419,""en"",""fi"")"),"Puhtaassa juomavedessä kasvatettujen ROSELIoiden tiedetään kasvattavan kirkkaanvärisiä kukkia.")</f>
        <v>Puhtaassa juomavedessä kasvatettujen ROSELIoiden tiedetään kasvattavan kirkkaanvärisiä kukkia.</v>
      </c>
      <c r="C5419" s="9" t="s">
        <v>1344</v>
      </c>
    </row>
    <row r="5420" ht="33.75" customHeight="1">
      <c r="A5420" s="6" t="s">
        <v>7998</v>
      </c>
      <c r="B5420" s="6" t="str">
        <f>IFERROR(__xludf.DUMMYFUNCTION("GOOGLETRANSLATE(A5420,""en"",""fi"")"),"Sen käsivarsien kauniissa kukissa on myrkyllisiä piikkejä. Älä edes ajattele niiden poimimista.")</f>
        <v>Sen käsivarsien kauniissa kukissa on myrkyllisiä piikkejä. Älä edes ajattele niiden poimimista.</v>
      </c>
      <c r="C5420" s="9" t="s">
        <v>1344</v>
      </c>
    </row>
    <row r="5421" ht="33.75" customHeight="1">
      <c r="A5421" s="6" t="s">
        <v>7999</v>
      </c>
      <c r="B5421" s="6" t="str">
        <f>IFERROR(__xludf.DUMMYFUNCTION("GOOGLETRANSLATE(A5421,""en"",""fi"")"),"Mitä terveellisempi ROSELIA on, sitä miellyttävämpi sen kukkien tuoksu on. Sen tuoksu rentouttaa syvästi.")</f>
        <v>Mitä terveellisempi ROSELIA on, sitä miellyttävämpi sen kukkien tuoksu on. Sen tuoksu rentouttaa syvästi.</v>
      </c>
      <c r="C5421" s="9" t="s">
        <v>1344</v>
      </c>
    </row>
    <row r="5422" ht="33.75" customHeight="1">
      <c r="A5422" s="6" t="s">
        <v>8001</v>
      </c>
      <c r="B5422" s="6" t="str">
        <f>IFERROR(__xludf.DUMMYFUNCTION("GOOGLETRANSLATE(A5422,""en"",""fi"")"),"Ravintopitoista lähdevettä juovien ROSELIOIDEN sanotaan paljastavan harvinaisen värin kukintaessaan.")</f>
        <v>Ravintopitoista lähdevettä juovien ROSELIOIDEN sanotaan paljastavan harvinaisen värin kukintaessaan.</v>
      </c>
      <c r="C5422" s="9" t="s">
        <v>1344</v>
      </c>
    </row>
    <row r="5423" ht="33.75" customHeight="1">
      <c r="A5423" s="6" t="s">
        <v>8004</v>
      </c>
      <c r="B5423" s="6" t="str">
        <f>IFERROR(__xludf.DUMMYFUNCTION("GOOGLETRANSLATE(A5423,""en"",""fi"")"),"Mitä terveellisempi roselia on, sitä miellyttävämpi sen kukkien tuoksu on. Sen tuoksu rentouttaa syvästi.")</f>
        <v>Mitä terveellisempi roselia on, sitä miellyttävämpi sen kukkien tuoksu on. Sen tuoksu rentouttaa syvästi.</v>
      </c>
      <c r="C5423" s="9" t="s">
        <v>1344</v>
      </c>
    </row>
    <row r="5424" ht="33.75" customHeight="1">
      <c r="A5424" s="6" t="s">
        <v>8006</v>
      </c>
      <c r="B5424" s="6" t="str">
        <f>IFERROR(__xludf.DUMMYFUNCTION("GOOGLETRANSLATE(A5424,""en"",""fi"")"),"Se käyttää kummassakin kädessä olevia eri myrkkyjä erikseen hyökätessään. Mitä voimakkaampi sen tuoksu, sitä terveellisempi se on.")</f>
        <v>Se käyttää kummassakin kädessä olevia eri myrkkyjä erikseen hyökätessään. Mitä voimakkaampi sen tuoksu, sitä terveellisempi se on.</v>
      </c>
      <c r="C5424" s="9" t="s">
        <v>1344</v>
      </c>
    </row>
    <row r="5425" ht="33.75" customHeight="1">
      <c r="A5425" s="6" t="s">
        <v>8008</v>
      </c>
      <c r="B5425" s="6" t="str">
        <f>IFERROR(__xludf.DUMMYFUNCTION("GOOGLETRANSLATE(A5425,""en"",""fi"")"),"Ravintopitoista lähdevettä juovien roselioiden sanotaan paljastavan harvinaisen värin kukintaessaan.")</f>
        <v>Ravintopitoista lähdevettä juovien roselioiden sanotaan paljastavan harvinaisen värin kukintaessaan.</v>
      </c>
      <c r="C5425" s="9" t="s">
        <v>1344</v>
      </c>
    </row>
    <row r="5426" ht="33.75" customHeight="1">
      <c r="A5426" s="6" t="s">
        <v>8009</v>
      </c>
      <c r="B5426" s="6" t="str">
        <f>IFERROR(__xludf.DUMMYFUNCTION("GOOGLETRANSLATE(A5426,""en"",""fi"")"),"Roselia ampuu teräviä piikkejä ammuksina kaikkia vihollisia kohti, jotka yrittävät varastaa kukkia sen käsivarsista. Tämän Pokémonin tuoksu tuo tyyneyttä eläviin olentoihin.")</f>
        <v>Roselia ampuu teräviä piikkejä ammuksina kaikkia vihollisia kohti, jotka yrittävät varastaa kukkia sen käsivarsista. Tämän Pokémonin tuoksu tuo tyyneyttä eläviin olentoihin.</v>
      </c>
      <c r="C5426" s="9" t="s">
        <v>1344</v>
      </c>
    </row>
    <row r="5427" ht="33.75" customHeight="1">
      <c r="A5427" s="6" t="s">
        <v>8011</v>
      </c>
      <c r="B5427" s="6" t="str">
        <f>IFERROR(__xludf.DUMMYFUNCTION("GOOGLETRANSLATE(A5427,""en"",""fi"")"),"Erittäin harvinaisissa tapauksissa roselian sanotaan ilmestyvän epätavallisen värisinä kukina. Tämän Pokémonin päässä olevat piikit sisältävät pahaa myrkkyä.")</f>
        <v>Erittäin harvinaisissa tapauksissa roselian sanotaan ilmestyvän epätavallisen värisinä kukina. Tämän Pokémonin päässä olevat piikit sisältävät pahaa myrkkyä.</v>
      </c>
      <c r="C5427" s="9" t="s">
        <v>1344</v>
      </c>
    </row>
    <row r="5428" ht="33.75" customHeight="1">
      <c r="A5428" s="6" t="s">
        <v>8013</v>
      </c>
      <c r="B5428" s="6" t="str">
        <f>IFERROR(__xludf.DUMMYFUNCTION("GOOGLETRANSLATE(A5428,""en"",""fi"")"),"Sen kukat tuoksuvat rentouttavalta. Mitä voimakkaampi tuoksu, sitä terveempi roselia on.")</f>
        <v>Sen kukat tuoksuvat rentouttavalta. Mitä voimakkaampi tuoksu, sitä terveempi roselia on.</v>
      </c>
      <c r="C5428" s="9" t="s">
        <v>1344</v>
      </c>
    </row>
    <row r="5429" ht="33.75" customHeight="1">
      <c r="A5429" s="6" t="s">
        <v>8016</v>
      </c>
      <c r="B5429" s="6" t="str">
        <f>IFERROR(__xludf.DUMMYFUNCTION("GOOGLETRANSLATE(A5429,""en"",""fi"")"),"Vaikka se on kaunis, siinä on erittäin myrkyllisiä piikkejä. Kotimaassani on vanha perinne, jossa näitä piikkejä lähetetään vastustajalle haastamaan hänet kaksintaisteluun.")</f>
        <v>Vaikka se on kaunis, siinä on erittäin myrkyllisiä piikkejä. Kotimaassani on vanha perinne, jossa näitä piikkejä lähetetään vastustajalle haastamaan hänet kaksintaisteluun.</v>
      </c>
      <c r="C5429" s="9" t="s">
        <v>1344</v>
      </c>
    </row>
    <row r="5430" ht="33.75" customHeight="1">
      <c r="A5430" s="6" t="s">
        <v>8017</v>
      </c>
      <c r="B5430" s="6" t="str">
        <f>IFERROR(__xludf.DUMMYFUNCTION("GOOGLETRANSLATE(A5430,""en"",""fi"")"),"Lähes koko GULPINin ruumis on sen vatsaa. Tämän seurauksena se voi niellä jotain oman kokoistaan. Tämän POKéMONin vatsassa on erityinen neste, joka sulattaa mitä tahansa.")</f>
        <v>Lähes koko GULPINin ruumis on sen vatsaa. Tämän seurauksena se voi niellä jotain oman kokoistaan. Tämän POKéMONin vatsassa on erityinen neste, joka sulattaa mitä tahansa.</v>
      </c>
      <c r="C5430" s="9" t="s">
        <v>1344</v>
      </c>
    </row>
    <row r="5431" ht="33.75" customHeight="1">
      <c r="A5431" s="6" t="s">
        <v>8018</v>
      </c>
      <c r="B5431" s="6" t="str">
        <f>IFERROR(__xludf.DUMMYFUNCTION("GOOGLETRANSLATE(A5431,""en"",""fi"")"),"Suurin osa GULPINin kehosta koostuu sen vatsasta – sen sydän ja aivot ovat hyvin pienet verrattuna siihen. Tämän POKéMONin vatsa sisältää erityisiä entsyymejä, jotka liuottavat mitä tahansa.")</f>
        <v>Suurin osa GULPINin kehosta koostuu sen vatsasta – sen sydän ja aivot ovat hyvin pienet verrattuna siihen. Tämän POKéMONin vatsa sisältää erityisiä entsyymejä, jotka liuottavat mitä tahansa.</v>
      </c>
      <c r="C5431" s="9" t="s">
        <v>1344</v>
      </c>
    </row>
    <row r="5432" ht="33.75" customHeight="1">
      <c r="A5432" s="6" t="s">
        <v>8020</v>
      </c>
      <c r="B5432" s="6" t="str">
        <f>IFERROR(__xludf.DUMMYFUNCTION("GOOGLETRANSLATE(A5432,""en"",""fi"")"),"Tämän POKéMONin mahaneste voi sulattaa jopa romurautaa. Yhdellä kulauksella se voi niellä jotain yhtä suurta kuin se itse.")</f>
        <v>Tämän POKéMONin mahaneste voi sulattaa jopa romurautaa. Yhdellä kulauksella se voi niellä jotain yhtä suurta kuin se itse.</v>
      </c>
      <c r="C5432" s="9" t="s">
        <v>1344</v>
      </c>
    </row>
    <row r="5433" ht="33.75" customHeight="1">
      <c r="A5433" s="6" t="s">
        <v>8022</v>
      </c>
      <c r="B5433" s="6" t="str">
        <f>IFERROR(__xludf.DUMMYFUNCTION("GOOGLETRANSLATE(A5433,""en"",""fi"")"),"Ei ole mitään, mitä sen vatsa ei pystyisi sulattamaan. Ruoansulatuksen aikana siitä purkautuu ulos vastenmielisiä, ylivoimaisia ​​kaasuja.")</f>
        <v>Ei ole mitään, mitä sen vatsa ei pystyisi sulattamaan. Ruoansulatuksen aikana siitä purkautuu ulos vastenmielisiä, ylivoimaisia ​​kaasuja.</v>
      </c>
      <c r="C5433" s="9" t="s">
        <v>1344</v>
      </c>
    </row>
    <row r="5434" ht="33.75" customHeight="1">
      <c r="A5434" s="6" t="s">
        <v>8023</v>
      </c>
      <c r="B5434" s="6" t="str">
        <f>IFERROR(__xludf.DUMMYFUNCTION("GOOGLETRANSLATE(A5434,""en"",""fi"")"),"Lähes koko sen ruumis on vatsaa. Sen sitkeät ruoansulatusnesteet liuottavat nopeasti kaiken nielemänsä.")</f>
        <v>Lähes koko sen ruumis on vatsaa. Sen sitkeät ruoansulatusnesteet liuottavat nopeasti kaiken nielemänsä.</v>
      </c>
      <c r="C5434" s="9" t="s">
        <v>1344</v>
      </c>
    </row>
    <row r="5435" ht="33.75" customHeight="1">
      <c r="A5435" s="6" t="s">
        <v>8024</v>
      </c>
      <c r="B5435" s="6" t="str">
        <f>IFERROR(__xludf.DUMMYFUNCTION("GOOGLETRANSLATE(A5435,""en"",""fi"")"),"Sillä on pieni sydän ja aivot. Sen vatsa muodostaa suurimman osan kehosta, ja siellä on entsyymejä, jotka liuottavat mitä tahansa.")</f>
        <v>Sillä on pieni sydän ja aivot. Sen vatsa muodostaa suurimman osan kehosta, ja siellä on entsyymejä, jotka liuottavat mitä tahansa.</v>
      </c>
      <c r="C5435" s="9" t="s">
        <v>1344</v>
      </c>
    </row>
    <row r="5436" ht="33.75" customHeight="1">
      <c r="A5436" s="6" t="s">
        <v>8026</v>
      </c>
      <c r="B5436" s="6" t="str">
        <f>IFERROR(__xludf.DUMMYFUNCTION("GOOGLETRANSLATE(A5436,""en"",""fi"")"),"Lähes koko Gulpinin keho on sen vatsaa. Tämän seurauksena se voi niellä jotain oman kokoistaan. Tämän Pokémonin vatsassa on erityinen neste, joka sulattaa mitä tahansa.")</f>
        <v>Lähes koko Gulpinin keho on sen vatsaa. Tämän seurauksena se voi niellä jotain oman kokoistaan. Tämän Pokémonin vatsassa on erityinen neste, joka sulattaa mitä tahansa.</v>
      </c>
      <c r="C5436" s="9" t="s">
        <v>1344</v>
      </c>
    </row>
    <row r="5437" ht="33.75" customHeight="1">
      <c r="A5437" s="6" t="s">
        <v>8027</v>
      </c>
      <c r="B5437" s="6" t="str">
        <f>IFERROR(__xludf.DUMMYFUNCTION("GOOGLETRANSLATE(A5437,""en"",""fi"")"),"Suurin osa Gulpinin kehosta koostuu sen vatsasta – sen sydän ja aivot ovat hyvin pienet verrattuna siihen. Tämän Pokémonin vatsa sisältää erityisiä entsyymejä, jotka liuottavat mitä tahansa.")</f>
        <v>Suurin osa Gulpinin kehosta koostuu sen vatsasta – sen sydän ja aivot ovat hyvin pienet verrattuna siihen. Tämän Pokémonin vatsa sisältää erityisiä entsyymejä, jotka liuottavat mitä tahansa.</v>
      </c>
      <c r="C5437" s="9" t="s">
        <v>1344</v>
      </c>
    </row>
    <row r="5438" ht="33.75" customHeight="1">
      <c r="A5438" s="6" t="s">
        <v>8028</v>
      </c>
      <c r="B5438" s="6" t="str">
        <f>IFERROR(__xludf.DUMMYFUNCTION("GOOGLETRANSLATE(A5438,""en"",""fi"")"),"Kun SWALOT havaitsee saaliin, se suihkuttaa huokosistaan ​​kammottavan myrkyllistä nestettä ja suihkuttaa sitä kohteeseen. Kun saalis on heikentynyt, tämä POKéMON nielaisee sen kokonaisena luolamaisella suullaan.")</f>
        <v>Kun SWALOT havaitsee saaliin, se suihkuttaa huokosistaan ​​kammottavan myrkyllistä nestettä ja suihkuttaa sitä kohteeseen. Kun saalis on heikentynyt, tämä POKéMON nielaisee sen kokonaisena luolamaisella suullaan.</v>
      </c>
      <c r="C5438" s="9" t="s">
        <v>1344</v>
      </c>
    </row>
    <row r="5439" ht="33.75" customHeight="1">
      <c r="A5439" s="6" t="s">
        <v>8030</v>
      </c>
      <c r="B5439" s="6" t="str">
        <f>IFERROR(__xludf.DUMMYFUNCTION("GOOGLETRANSLATE(A5439,""en"",""fi"")"),"SWALOTilla ei ole hampaita, joten se nielee kaiken kokonaisena, tapahtuipa mitä tahansa. Sen luolamainen suu ammottaa leveästi. Autonrengas mahtuisi helposti tämän POKéMONin suuhun.")</f>
        <v>SWALOTilla ei ole hampaita, joten se nielee kaiken kokonaisena, tapahtuipa mitä tahansa. Sen luolamainen suu ammottaa leveästi. Autonrengas mahtuisi helposti tämän POKéMONin suuhun.</v>
      </c>
      <c r="C5439" s="9" t="s">
        <v>1344</v>
      </c>
    </row>
    <row r="5440" ht="33.75" customHeight="1">
      <c r="A5440" s="6" t="s">
        <v>8032</v>
      </c>
      <c r="B5440" s="6" t="str">
        <f>IFERROR(__xludf.DUMMYFUNCTION("GOOGLETRANSLATE(A5440,""en"",""fi"")"),"Sen voimakas mahahappo pystyy sulattamaan lähes mitä tahansa. Ainoa asia koko maailmassa, jota SWALOT ei pysty sulattamaan, on oma vatsansa.")</f>
        <v>Sen voimakas mahahappo pystyy sulattamaan lähes mitä tahansa. Ainoa asia koko maailmassa, jota SWALOT ei pysty sulattamaan, on oma vatsansa.</v>
      </c>
      <c r="C5440" s="9" t="s">
        <v>1344</v>
      </c>
    </row>
    <row r="5441" ht="33.75" customHeight="1">
      <c r="A5441" s="6" t="s">
        <v>8034</v>
      </c>
      <c r="B5441" s="6" t="str">
        <f>IFERROR(__xludf.DUMMYFUNCTION("GOOGLETRANSLATE(A5441,""en"",""fi"")"),"Se voi niellä kokonaisen autonrenkaan yhdellä kulauksella. Se erittää hirvittävän myrkyllistä nestettä ruumiinsa huokosista.")</f>
        <v>Se voi niellä kokonaisen autonrenkaan yhdellä kulauksella. Se erittää hirvittävän myrkyllistä nestettä ruumiinsa huokosista.</v>
      </c>
      <c r="C5441" s="9" t="s">
        <v>1344</v>
      </c>
    </row>
    <row r="5442" ht="33.75" customHeight="1">
      <c r="A5442" s="6" t="s">
        <v>8036</v>
      </c>
      <c r="B5442" s="6" t="str">
        <f>IFERROR(__xludf.DUMMYFUNCTION("GOOGLETRANSLATE(A5442,""en"",""fi"")"),"Se nielee kaiken kokonaisena. Se hikoilee myrkyllisiä nesteitä follikkeleistaan ​​vihollisten kastelemiseksi.")</f>
        <v>Se nielee kaiken kokonaisena. Se hikoilee myrkyllisiä nesteitä follikkeleistaan ​​vihollisten kastelemiseksi.</v>
      </c>
      <c r="C5442" s="9" t="s">
        <v>1344</v>
      </c>
    </row>
    <row r="5443" ht="33.75" customHeight="1">
      <c r="A5443" s="6" t="s">
        <v>8038</v>
      </c>
      <c r="B5443" s="6" t="str">
        <f>IFERROR(__xludf.DUMMYFUNCTION("GOOGLETRANSLATE(A5443,""en"",""fi"")"),"Se nielee kaiken, mikä suuhunsa mahtuu. Sen erityiset entsyymit voivat liuottaa mitä tahansa.")</f>
        <v>Se nielee kaiken, mikä suuhunsa mahtuu. Sen erityiset entsyymit voivat liuottaa mitä tahansa.</v>
      </c>
      <c r="C5443" s="9" t="s">
        <v>1344</v>
      </c>
    </row>
    <row r="5444" ht="33.75" customHeight="1">
      <c r="A5444" s="6" t="s">
        <v>8040</v>
      </c>
      <c r="B5444" s="6" t="str">
        <f>IFERROR(__xludf.DUMMYFUNCTION("GOOGLETRANSLATE(A5444,""en"",""fi"")"),"Kun Swalot havaitsee saaliin, se suihkuttaa huokosistaan ​​kammottavan myrkyllistä nestettä ja suihkuttaa sitä kohteeseen. Kun saalis on heikentynyt, tämä Pokémon nielee sen kokonaisena luolamaisella suullaan.")</f>
        <v>Kun Swalot havaitsee saaliin, se suihkuttaa huokosistaan ​​kammottavan myrkyllistä nestettä ja suihkuttaa sitä kohteeseen. Kun saalis on heikentynyt, tämä Pokémon nielee sen kokonaisena luolamaisella suullaan.</v>
      </c>
      <c r="C5444" s="9" t="s">
        <v>1344</v>
      </c>
    </row>
    <row r="5445" ht="33.75" customHeight="1">
      <c r="A5445" s="6" t="s">
        <v>8041</v>
      </c>
      <c r="B5445" s="6" t="str">
        <f>IFERROR(__xludf.DUMMYFUNCTION("GOOGLETRANSLATE(A5445,""en"",""fi"")"),"Swalotilla ei ole hampaita, joten se nielee kaiken kokonaisena syötyään mitä tahansa. Sen luolamainen suu ammottaa leveästi. Autonrengas mahtuisi helposti tämän Pokémonin suuhun.")</f>
        <v>Swalotilla ei ole hampaita, joten se nielee kaiken kokonaisena syötyään mitä tahansa. Sen luolamainen suu ammottaa leveästi. Autonrengas mahtuisi helposti tämän Pokémonin suuhun.</v>
      </c>
      <c r="C5445" s="9" t="s">
        <v>1344</v>
      </c>
    </row>
    <row r="5446" ht="33.75" customHeight="1">
      <c r="A5446" s="6" t="s">
        <v>8043</v>
      </c>
      <c r="B5446" s="6" t="str">
        <f>IFERROR(__xludf.DUMMYFUNCTION("GOOGLETRANSLATE(A5446,""en"",""fi"")"),"CARVANHAn voimakkaasti kehittyneet leuat ja teräväkärkiset kulmahampaat tarjoavat tuhovoiman repiä veneiden runkoja irti. Tämä POKéMON on hyökännyt monien veneiden kimppuun ja upottanut ne.")</f>
        <v>CARVANHAn voimakkaasti kehittyneet leuat ja teräväkärkiset kulmahampaat tarjoavat tuhovoiman repiä veneiden runkoja irti. Tämä POKéMON on hyökännyt monien veneiden kimppuun ja upottanut ne.</v>
      </c>
      <c r="C5446" s="9" t="s">
        <v>1344</v>
      </c>
    </row>
    <row r="5447" ht="33.75" customHeight="1">
      <c r="A5447" s="6" t="s">
        <v>8048</v>
      </c>
      <c r="B5447" s="6" t="str">
        <f>IFERROR(__xludf.DUMMYFUNCTION("GOOGLETRANSLATE(A5447,""en"",""fi"")"),"Jos jokin tunkeutuu CARVANHAn alueelle, se parveilee ja repii tunkeilijaa terävillä hampaillaan. Yksinään tämä POKéMON kuitenkin muuttuu yhtäkkiä araksi.")</f>
        <v>Jos jokin tunkeutuu CARVANHAn alueelle, se parveilee ja repii tunkeilijaa terävillä hampaillaan. Yksinään tämä POKéMON kuitenkin muuttuu yhtäkkiä araksi.</v>
      </c>
      <c r="C5447" s="9" t="s">
        <v>1344</v>
      </c>
    </row>
    <row r="5448" ht="33.75" customHeight="1">
      <c r="A5448" s="6" t="s">
        <v>8049</v>
      </c>
      <c r="B5448" s="6" t="str">
        <f>IFERROR(__xludf.DUMMYFUNCTION("GOOGLETRANSLATE(A5448,""en"",""fi"")"),"CARVANHA hyökkää laivojen kimppuun parvina ja saa ne uppoamaan. Vaikka sen sanotaan olevan erittäin vihainen POKéMON, se pakenee arasti heti jäätyään yksin.")</f>
        <v>CARVANHA hyökkää laivojen kimppuun parvina ja saa ne uppoamaan. Vaikka sen sanotaan olevan erittäin vihainen POKéMON, se pakenee arasti heti jäätyään yksin.</v>
      </c>
      <c r="C5448" s="9" t="s">
        <v>1344</v>
      </c>
    </row>
    <row r="5449" ht="33.75" customHeight="1">
      <c r="A5449" s="6" t="s">
        <v>8051</v>
      </c>
      <c r="B5449" s="6" t="str">
        <f>IFERROR(__xludf.DUMMYFUNCTION("GOOGLETRANSLATE(A5449,""en"",""fi"")"),"Se elää valtavissa joissa, jotka virtaavat viidakoiden läpi. Se parveilee saalista, joka tunkeutuu sen alueelle.")</f>
        <v>Se elää valtavissa joissa, jotka virtaavat viidakoiden läpi. Se parveilee saalista, joka tunkeutuu sen alueelle.</v>
      </c>
      <c r="C5449" s="9" t="s">
        <v>1344</v>
      </c>
    </row>
    <row r="5450" ht="33.75" customHeight="1">
      <c r="A5450" s="6" t="s">
        <v>8053</v>
      </c>
      <c r="B5450" s="6" t="str">
        <f>IFERROR(__xludf.DUMMYFUNCTION("GOOGLETRANSLATE(A5450,""en"",""fi"")"),"Ne parveilevat minkä tahansa vihollisen kimppuun, joka tunkeutuu niiden alueelle. Niiden terävät torahampaat voivat repiä veneiden runkoja irti.")</f>
        <v>Ne parveilevat minkä tahansa vihollisen kimppuun, joka tunkeutuu niiden alueelle. Niiden terävät torahampaat voivat repiä veneiden runkoja irti.</v>
      </c>
      <c r="C5450" s="9" t="s">
        <v>1344</v>
      </c>
    </row>
    <row r="5451" ht="33.75" customHeight="1">
      <c r="A5451" s="6" t="s">
        <v>8055</v>
      </c>
      <c r="B5451" s="6" t="str">
        <f>IFERROR(__xludf.DUMMYFUNCTION("GOOGLETRANSLATE(A5451,""en"",""fi"")"),"Ne muodostavat laumoja hyökätäkseen veneiden kimppuun ja repiäkseen niiden rungot auki upottaakseen ne. Ne elävät viidakon joissa.")</f>
        <v>Ne muodostavat laumoja hyökätäkseen veneiden kimppuun ja repiäkseen niiden rungot auki upottaakseen ne. Ne elävät viidakon joissa.</v>
      </c>
      <c r="C5451" s="9" t="s">
        <v>1344</v>
      </c>
    </row>
    <row r="5452" ht="33.75" customHeight="1">
      <c r="A5452" s="6" t="s">
        <v>8057</v>
      </c>
      <c r="B5452" s="6" t="str">
        <f>IFERROR(__xludf.DUMMYFUNCTION("GOOGLETRANSLATE(A5452,""en"",""fi"")"),"Carvanhan voimakkaasti kehittyneet leuat ja teräväkärkiset kulmahampaat tarjoavat tuhovoiman repiä veneiden runkoja irti. Tämä Pokémon on hyökännyt monien veneiden kimppuun ja upottanut ne.")</f>
        <v>Carvanhan voimakkaasti kehittyneet leuat ja teräväkärkiset kulmahampaat tarjoavat tuhovoiman repiä veneiden runkoja irti. Tämä Pokémon on hyökännyt monien veneiden kimppuun ja upottanut ne.</v>
      </c>
      <c r="C5452" s="9" t="s">
        <v>1344</v>
      </c>
    </row>
    <row r="5453" ht="33.75" customHeight="1">
      <c r="A5453" s="6" t="s">
        <v>8059</v>
      </c>
      <c r="B5453" s="6" t="str">
        <f>IFERROR(__xludf.DUMMYFUNCTION("GOOGLETRANSLATE(A5453,""en"",""fi"")"),"Jos jokin tunkeutuu Carvanhan alueelle, se parveilee ja repii tunkeilijaa terävillä hampaillaan. Yksinään tämä Pokémon kuitenkin muuttuu yhtäkkiä araksi.")</f>
        <v>Jos jokin tunkeutuu Carvanhan alueelle, se parveilee ja repii tunkeilijaa terävillä hampaillaan. Yksinään tämä Pokémon kuitenkin muuttuu yhtäkkiä araksi.</v>
      </c>
      <c r="C5453" s="9" t="s">
        <v>1344</v>
      </c>
    </row>
    <row r="5454" ht="33.75" customHeight="1">
      <c r="A5454" s="6" t="s">
        <v>8061</v>
      </c>
      <c r="B5454" s="6" t="str">
        <f>IFERROR(__xludf.DUMMYFUNCTION("GOOGLETRANSLATE(A5454,""en"",""fi"")"),"Jokaisella koululla on oma alueensa. Tunkeilijoita vastaan ​​hyökätään armottomasti hampaat paljaina.")</f>
        <v>Jokaisella koululla on oma alueensa. Tunkeilijoita vastaan ​​hyökätään armottomasti hampaat paljaina.</v>
      </c>
      <c r="C5454" s="9" t="s">
        <v>1344</v>
      </c>
    </row>
    <row r="5455" ht="33.75" customHeight="1">
      <c r="A5455" s="6" t="s">
        <v>8063</v>
      </c>
      <c r="B5455" s="6" t="str">
        <f>IFERROR(__xludf.DUMMYFUNCTION("GOOGLETRANSLATE(A5455,""en"",""fi"")"),"Jos ne haistavat pienimmänkin veren jäljen, ne ryntäävät hyökkäämään joukolla. Yksin ollessaan ne ovat melko pelkurimaisia.")</f>
        <v>Jos ne haistavat pienimmänkin veren jäljen, ne ryntäävät hyökkäämään joukolla. Yksin ollessaan ne ovat melko pelkurimaisia.</v>
      </c>
      <c r="C5455" s="9" t="s">
        <v>1344</v>
      </c>
    </row>
    <row r="5456" ht="33.75" customHeight="1">
      <c r="A5456" s="6" t="s">
        <v>8065</v>
      </c>
      <c r="B5456" s="6" t="str">
        <f>IFERROR(__xludf.DUMMYFUNCTION("GOOGLETRANSLATE(A5456,""en"",""fi"")"),"Ne ovat niin pelkureita, etteivät ne metsästä yksin. Kun viisi tai pari niitä kokoontuu yhteen, ne muuttuvat yhtäkkiä raivokkaiksi!")</f>
        <v>Ne ovat niin pelkureita, etteivät ne metsästä yksin. Kun viisi tai pari niitä kokoontuu yhteen, ne muuttuvat yhtäkkiä raivokkaiksi!</v>
      </c>
      <c r="C5456" s="9" t="s">
        <v>1344</v>
      </c>
    </row>
    <row r="5457" ht="33.75" customHeight="1">
      <c r="A5457" s="6" t="s">
        <v>8067</v>
      </c>
      <c r="B5457" s="6" t="str">
        <f>IFERROR(__xludf.DUMMYFUNCTION("GOOGLETRANSLATE(A5457,""en"",""fi"")"),"Vahvojen leukojensa ja kulmahampaidensa ansiosta se voi helposti murskata puiset veneet sirpaleiksi. Se taistelee Basculinin kanssa ruoasta.")</f>
        <v>Vahvojen leukojensa ja kulmahampaidensa ansiosta se voi helposti murskata puiset veneet sirpaleiksi. Se taistelee Basculinin kanssa ruoasta.</v>
      </c>
      <c r="C5457" s="9" t="s">
        <v>1344</v>
      </c>
    </row>
    <row r="5458" ht="33.75" customHeight="1">
      <c r="A5458" s="6" t="s">
        <v>8068</v>
      </c>
      <c r="B5458" s="6" t="str">
        <f>IFERROR(__xludf.DUMMYFUNCTION("GOOGLETRANSLATE(A5458,""en"",""fi"")"),"Se ei hyökkää ollessaan yksin – ei edes silloin, kun se näkee saaliin. Sen sijaan se odottaa, että muut Carvanhat liittyvät siihen, ja sitten ne hyökkäävät ryhmänä.")</f>
        <v>Se ei hyökkää ollessaan yksin – ei edes silloin, kun se näkee saaliin. Sen sijaan se odottaa, että muut Carvanhat liittyvät siihen, ja sitten ne hyökkäävät ryhmänä.</v>
      </c>
      <c r="C5458" s="9" t="s">
        <v>1344</v>
      </c>
    </row>
    <row r="5459" ht="33.75" customHeight="1">
      <c r="A5459" s="6" t="s">
        <v>8069</v>
      </c>
      <c r="B5459" s="6" t="str">
        <f>IFERROR(__xludf.DUMMYFUNCTION("GOOGLETRANSLATE(A5459,""en"",""fi"")"),"Näillä Pokémoneilla on terävät torahampaat ja voimakkaat leuat. Merimiehet välttävät Carvanhan luolia hinnalla millä hyvänsä.")</f>
        <v>Näillä Pokémoneilla on terävät torahampaat ja voimakkaat leuat. Merimiehet välttävät Carvanhan luolia hinnalla millä hyvänsä.</v>
      </c>
      <c r="C5459" s="9" t="s">
        <v>1344</v>
      </c>
    </row>
    <row r="5460" ht="33.75" customHeight="1">
      <c r="A5460" s="6" t="s">
        <v>8070</v>
      </c>
      <c r="B5460" s="6" t="str">
        <f>IFERROR(__xludf.DUMMYFUNCTION("GOOGLETRANSLATE(A5460,""en"",""fi"")"),"Lempinimellä ""meren kiusaaja"" tunnettu SHARPEDO on laajalti pelätty. Sen julmat torahampaat kasvavat takaisin välittömästi, jos ne napsahtavat irti. Jopa yksi näistä POKéMONeista voi repiä supertankkerin perusteellisesti kappaleiksi.")</f>
        <v>Lempinimellä "meren kiusaaja" tunnettu SHARPEDO on laajalti pelätty. Sen julmat torahampaat kasvavat takaisin välittömästi, jos ne napsahtavat irti. Jopa yksi näistä POKéMONeista voi repiä supertankkerin perusteellisesti kappaleiksi.</v>
      </c>
      <c r="C5460" s="9" t="s">
        <v>1344</v>
      </c>
    </row>
    <row r="5461" ht="33.75" customHeight="1">
      <c r="A5461" s="6" t="s">
        <v>8071</v>
      </c>
      <c r="B5461" s="6" t="str">
        <f>IFERROR(__xludf.DUMMYFUNCTION("GOOGLETRANSLATE(A5461,""en"",""fi"")"),"SHARPEDO voi uida jopa 120 km/h nopeudella suihkuttamalla merivettä takapuolestaan. Tämän POKéMONin haittapuolena on sen kyvyttömyys uida pitkiä matkoja.")</f>
        <v>SHARPEDO voi uida jopa 120 km/h nopeudella suihkuttamalla merivettä takapuolestaan. Tämän POKéMONin haittapuolena on sen kyvyttömyys uida pitkiä matkoja.</v>
      </c>
      <c r="C5461" s="9" t="s">
        <v>1344</v>
      </c>
    </row>
    <row r="5462" ht="33.75" customHeight="1">
      <c r="A5462" s="6" t="s">
        <v>8072</v>
      </c>
      <c r="B5462" s="6" t="str">
        <f>IFERROR(__xludf.DUMMYFUNCTION("GOOGLETRANSLATE(A5462,""en"",""fi"")"),"Meren ilkeä ja ovela gangsteri. Sen nahka on erityisesti kuvioitu minimoimaan vastuksen vedessä. Sen huippunopeus on yli 120 kilometriä tunnissa.")</f>
        <v>Meren ilkeä ja ovela gangsteri. Sen nahka on erityisesti kuvioitu minimoimaan vastuksen vedessä. Sen huippunopeus on yli 120 kilometriä tunnissa.</v>
      </c>
      <c r="C5462" s="9" t="s">
        <v>1344</v>
      </c>
    </row>
    <row r="5463" ht="33.75" customHeight="1">
      <c r="A5463" s="6" t="s">
        <v>8073</v>
      </c>
      <c r="B5463" s="6" t="str">
        <f>IFERROR(__xludf.DUMMYFUNCTION("GOOGLETRANSLATE(A5463,""en"",""fi"")"),"Merten roisto, jolla on rautaa rutistavat torahampaat. Se ui suihkuttamalla vettä takapuolestaan.")</f>
        <v>Merten roisto, jolla on rautaa rutistavat torahampaat. Se ui suihkuttamalla vettä takapuolestaan.</v>
      </c>
      <c r="C5463" s="9" t="s">
        <v>1344</v>
      </c>
    </row>
    <row r="5464" ht="33.75" customHeight="1">
      <c r="A5464" s="6" t="s">
        <v>8074</v>
      </c>
      <c r="B5464" s="6" t="str">
        <f>IFERROR(__xludf.DUMMYFUNCTION("GOOGLETRANSLATE(A5464,""en"",""fi"")"),"Sen torahampaat repivät peltiä. Se ui 120 km/h nopeudella ja tunnetaan nimellä ""Meren kiusaaja"".")</f>
        <v>Sen torahampaat repivät peltiä. Se ui 120 km/h nopeudella ja tunnetaan nimellä "Meren kiusaaja".</v>
      </c>
      <c r="C5464" s="9" t="s">
        <v>1344</v>
      </c>
    </row>
    <row r="5465" ht="33.75" customHeight="1">
      <c r="A5465" s="6" t="s">
        <v>8075</v>
      </c>
      <c r="B5465" s="6" t="str">
        <f>IFERROR(__xludf.DUMMYFUNCTION("GOOGLETRANSLATE(A5465,""en"",""fi"")"),"Se voi uida 120 km/h nopeudella puhaltamalla merivettä kehonsa läpi. Se on meren rosvo.")</f>
        <v>Se voi uida 120 km/h nopeudella puhaltamalla merivettä kehonsa läpi. Se on meren rosvo.</v>
      </c>
      <c r="C5465" s="9" t="s">
        <v>1344</v>
      </c>
    </row>
    <row r="5466" ht="33.75" customHeight="1">
      <c r="A5466" s="6" t="s">
        <v>8076</v>
      </c>
      <c r="B5466" s="6" t="str">
        <f>IFERROR(__xludf.DUMMYFUNCTION("GOOGLETRANSLATE(A5466,""en"",""fi"")"),"Lempinimellä ""meren kiusaaja"" tunnettu Sharpedo on laajalti pelätty. Sen julmat torahampaat kasvavat takaisin välittömästi, jos ne napsahtavat irti. Jopa yksi näistä Pokémoneista voi repiä supertankkerin perusteellisesti kappaleiksi.")</f>
        <v>Lempinimellä "meren kiusaaja" tunnettu Sharpedo on laajalti pelätty. Sen julmat torahampaat kasvavat takaisin välittömästi, jos ne napsahtavat irti. Jopa yksi näistä Pokémoneista voi repiä supertankkerin perusteellisesti kappaleiksi.</v>
      </c>
      <c r="C5466" s="9" t="s">
        <v>1344</v>
      </c>
    </row>
    <row r="5467" ht="33.75" customHeight="1">
      <c r="A5467" s="6" t="s">
        <v>8077</v>
      </c>
      <c r="B5467" s="6" t="str">
        <f>IFERROR(__xludf.DUMMYFUNCTION("GOOGLETRANSLATE(A5467,""en"",""fi"")"),"Sharpedo voi uida jopa 120 km/h nopeudella suihkuttamalla merivettä takapuolestaan. Tämän Pokémonin haittapuolena on sen kyvyttömyys uida pitkiä matkoja.")</f>
        <v>Sharpedo voi uida jopa 120 km/h nopeudella suihkuttamalla merivettä takapuolestaan. Tämän Pokémonin haittapuolena on sen kyvyttömyys uida pitkiä matkoja.</v>
      </c>
      <c r="C5467" s="9" t="s">
        <v>1344</v>
      </c>
    </row>
    <row r="5468" ht="33.75" customHeight="1">
      <c r="A5468" s="6" t="s">
        <v>8079</v>
      </c>
      <c r="B5468" s="6" t="str">
        <f>IFERROR(__xludf.DUMMYFUNCTION("GOOGLETRANSLATE(A5468,""en"",""fi"")"),"Se jahtaa saalistaan ​​120 km/h nopeudella ja viimeistelee sen rautaa murskaavilla hampailla. Se tunnetaan meren kiusaajana.")</f>
        <v>Se jahtaa saalistaan ​​120 km/h nopeudella ja viimeistelee sen rautaa murskaavilla hampailla. Se tunnetaan meren kiusaajana.</v>
      </c>
      <c r="C5468" s="9" t="s">
        <v>1344</v>
      </c>
    </row>
    <row r="5469" ht="33.75" customHeight="1">
      <c r="A5469" s="6" t="s">
        <v>8080</v>
      </c>
      <c r="B5469" s="6" t="str">
        <f>IFERROR(__xludf.DUMMYFUNCTION("GOOGLETRANSLATE(A5469,""en"",""fi"")"),"Sillä on surullinen historia. Menneisyydessä sen selkäevä oli arvostettu ruoka, joten tästä Pokémonista tuli liikakalastuksen uhri.")</f>
        <v>Sillä on surullinen historia. Menneisyydessä sen selkäevä oli arvostettu ruoka, joten tästä Pokémonista tuli liikakalastuksen uhri.</v>
      </c>
      <c r="C5469" s="9" t="s">
        <v>1344</v>
      </c>
    </row>
    <row r="5470" ht="33.75" customHeight="1">
      <c r="A5470" s="6" t="s">
        <v>8081</v>
      </c>
      <c r="B5470" s="6" t="str">
        <f>IFERROR(__xludf.DUMMYFUNCTION("GOOGLETRANSLATE(A5470,""en"",""fi"")"),"Ihmiset uskovat, että yhden sen hylätyn hampaiden kantaminen estää onnettomuudet merellä, joten hampaista tehdään asusteita.")</f>
        <v>Ihmiset uskovat, että yhden sen hylätyn hampaiden kantaminen estää onnettomuudet merellä, joten hampaista tehdään asusteita.</v>
      </c>
      <c r="C5470" s="9" t="s">
        <v>1344</v>
      </c>
    </row>
    <row r="5471" ht="33.75" customHeight="1">
      <c r="A5471" s="6" t="s">
        <v>8083</v>
      </c>
      <c r="B5471" s="6" t="str">
        <f>IFERROR(__xludf.DUMMYFUNCTION("GOOGLETRANSLATE(A5471,""en"",""fi"")"),"Se juo merivettä ja suihkuttaa sitä takaosastaan ​​liikkuakseen. Se on hyvin herkkä veren hajulle.")</f>
        <v>Se juo merivettä ja suihkuttaa sitä takaosastaan ​​liikkuakseen. Se on hyvin herkkä veren hajulle.</v>
      </c>
      <c r="C5471" s="9" t="s">
        <v>1344</v>
      </c>
    </row>
    <row r="5472" ht="33.75" customHeight="1">
      <c r="A5472" s="6" t="s">
        <v>8084</v>
      </c>
      <c r="B5472" s="6" t="str">
        <f>IFERROR(__xludf.DUMMYFUNCTION("GOOGLETRANSLATE(A5472,""en"",""fi"")"),"Heti kun Sharpedo haistaa saaliin, se suihkuttaa merivettä takapuoleltaan ja syöksyy kohti kohdetta hyökätäkseen 120 km/h nopeudella.")</f>
        <v>Heti kun Sharpedo haistaa saaliin, se suihkuttaa merivettä takapuoleltaan ja syöksyy kohti kohdetta hyökätäkseen 120 km/h nopeudella.</v>
      </c>
      <c r="C5472" s="9" t="s">
        <v>1344</v>
      </c>
    </row>
    <row r="5473" ht="33.75" customHeight="1">
      <c r="A5473" s="6" t="s">
        <v>8085</v>
      </c>
      <c r="B5473" s="6" t="str">
        <f>IFERROR(__xludf.DUMMYFUNCTION("GOOGLETRANSLATE(A5473,""en"",""fi"")"),"Tämä Pokémon tunnetaan nimellä Meren Kiusaaja. Jokainen Sharpedon kodiksi kutsumille vesille saapuva alus hyökätään – poikkeuksetta.")</f>
        <v>Tämä Pokémon tunnetaan nimellä Meren Kiusaaja. Jokainen Sharpedon kodiksi kutsumille vesille saapuva alus hyökätään – poikkeuksetta.</v>
      </c>
      <c r="C5473" s="9" t="s">
        <v>1344</v>
      </c>
    </row>
    <row r="5474" ht="33.75" customHeight="1">
      <c r="A5474" s="6" t="s">
        <v>8086</v>
      </c>
      <c r="B5474" s="6" t="str">
        <f>IFERROR(__xludf.DUMMYFUNCTION("GOOGLETRANSLATE(A5474,""en"",""fi"")"),"WAILMERin sieraimet sijaitsevat silmien yläpuolella. Tämä leikkisä POKéMON rakastaa säikäyttää ihmisiä pursuamalla voimakkaasti sisäänsä varastoimaansa merivettä sieraimistaan.")</f>
        <v>WAILMERin sieraimet sijaitsevat silmien yläpuolella. Tämä leikkisä POKéMON rakastaa säikäyttää ihmisiä pursuamalla voimakkaasti sisäänsä varastoimaansa merivettä sieraimistaan.</v>
      </c>
      <c r="C5474" s="9" t="s">
        <v>1344</v>
      </c>
    </row>
    <row r="5475" ht="33.75" customHeight="1">
      <c r="A5475" s="6" t="s">
        <v>8087</v>
      </c>
      <c r="B5475" s="6" t="str">
        <f>IFERROR(__xludf.DUMMYFUNCTION("GOOGLETRANSLATE(A5475,""en"",""fi"")"),"WAILMER voi varastoida vettä kehoonsa muuttuakseen palloksi, joka pomppii maassa. Täyttämällä itsensä vedellä tämä POKéMON voi nostaa pomppujensa korkeutta.")</f>
        <v>WAILMER voi varastoida vettä kehoonsa muuttuakseen palloksi, joka pomppii maassa. Täyttämällä itsensä vedellä tämä POKéMON voi nostaa pomppujensa korkeutta.</v>
      </c>
      <c r="C5475" s="9" t="s">
        <v>1344</v>
      </c>
    </row>
    <row r="5476" ht="33.75" customHeight="1">
      <c r="A5476" s="6" t="s">
        <v>8088</v>
      </c>
      <c r="B5476" s="6" t="str">
        <f>IFERROR(__xludf.DUMMYFUNCTION("GOOGLETRANSLATE(A5476,""en"",""fi"")"),"Vaikka tämä POKéMON yleensä elää meressä, se voi selviytyä maalla, vaikkakaan ei kovin kauaa. Se menettää elinvoimaansa, jos sen ruumis kuivuu.")</f>
        <v>Vaikka tämä POKéMON yleensä elää meressä, se voi selviytyä maalla, vaikkakaan ei kovin kauaa. Se menettää elinvoimaansa, jos sen ruumis kuivuu.</v>
      </c>
      <c r="C5476" s="9" t="s">
        <v>1344</v>
      </c>
    </row>
    <row r="5477" ht="33.75" customHeight="1">
      <c r="A5477" s="6" t="s">
        <v>8090</v>
      </c>
      <c r="B5477" s="6" t="str">
        <f>IFERROR(__xludf.DUMMYFUNCTION("GOOGLETRANSLATE(A5477,""en"",""fi"")"),"Kun se imee sisäänsä suuren määrän merivettä, siitä tulee kuin iso, pomppiva pallo. Se syö päivittäin valtavasti ruokaa.")</f>
        <v>Kun se imee sisäänsä suuren määrän merivettä, siitä tulee kuin iso, pomppiva pallo. Se syö päivittäin valtavasti ruokaa.</v>
      </c>
      <c r="C5477" s="9" t="s">
        <v>1344</v>
      </c>
    </row>
    <row r="5478" ht="33.75" customHeight="1">
      <c r="A5478" s="6" t="s">
        <v>8091</v>
      </c>
      <c r="B5478" s="6" t="str">
        <f>IFERROR(__xludf.DUMMYFUNCTION("GOOGLETRANSLATE(A5478,""en"",""fi"")"),"Aurinkoisina päivinä se laskeutuu rannoille pomppimaan kuin pallo ja leikkimään. Se pursuaa vettä kuonostaan.")</f>
        <v>Aurinkoisina päivinä se laskeutuu rannoille pomppimaan kuin pallo ja leikkimään. Se pursuaa vettä kuonostaan.</v>
      </c>
      <c r="C5478" s="9" t="s">
        <v>1344</v>
      </c>
    </row>
    <row r="5479" ht="33.75" customHeight="1">
      <c r="A5479" s="6" t="s">
        <v>8093</v>
      </c>
      <c r="B5479" s="6" t="str">
        <f>IFERROR(__xludf.DUMMYFUNCTION("GOOGLETRANSLATE(A5479,""en"",""fi"")"),"Se pomppii leikkisästi kuin pallo. Mitä enemmän merivettä se nielee, sitä korkeammalle se pomppii.")</f>
        <v>Se pomppii leikkisästi kuin pallo. Mitä enemmän merivettä se nielee, sitä korkeammalle se pomppii.</v>
      </c>
      <c r="C5479" s="9" t="s">
        <v>1344</v>
      </c>
    </row>
    <row r="5480" ht="33.75" customHeight="1">
      <c r="A5480" s="6" t="s">
        <v>8094</v>
      </c>
      <c r="B5480" s="6" t="str">
        <f>IFERROR(__xludf.DUMMYFUNCTION("GOOGLETRANSLATE(A5480,""en"",""fi"")"),"Se syö tonnin ruokaa joka päivä. Se leikkii ampumalla varastoitunutta merivettä ulos hengitysaukoistaan ​​suurella voimalla.")</f>
        <v>Se syö tonnin ruokaa joka päivä. Se leikkii ampumalla varastoitunutta merivettä ulos hengitysaukoistaan ​​suurella voimalla.</v>
      </c>
      <c r="C5480" s="9" t="s">
        <v>1344</v>
      </c>
    </row>
    <row r="5481" ht="33.75" customHeight="1">
      <c r="A5481" s="6" t="s">
        <v>8096</v>
      </c>
      <c r="B5481" s="6" t="str">
        <f>IFERROR(__xludf.DUMMYFUNCTION("GOOGLETRANSLATE(A5481,""en"",""fi"")"),"Wailmarin sieraimet sijaitsevat silmien yläpuolella. Tämä leikkisä Pokémon rakastaa säikäyttää ihmisiä pursuamalla voimakkaasti sisäänsä varastoimaansa merivettä sieraimistaan.")</f>
        <v>Wailmarin sieraimet sijaitsevat silmien yläpuolella. Tämä leikkisä Pokémon rakastaa säikäyttää ihmisiä pursuamalla voimakkaasti sisäänsä varastoimaansa merivettä sieraimistaan.</v>
      </c>
      <c r="C5481" s="9" t="s">
        <v>1344</v>
      </c>
    </row>
    <row r="5482" ht="33.75" customHeight="1">
      <c r="A5482" s="6" t="s">
        <v>8098</v>
      </c>
      <c r="B5482" s="6" t="str">
        <f>IFERROR(__xludf.DUMMYFUNCTION("GOOGLETRANSLATE(A5482,""en"",""fi"")"),"Wailmer voi varastoida vettä kehoonsa muuttaakseen itsensä palloksi, jolla se pomppii maassa. Täyttämällä itsensä vedellä tämä Pokémon voi nostaa pomppujensa korkeutta.")</f>
        <v>Wailmer voi varastoida vettä kehoonsa muuttaakseen itsensä palloksi, jolla se pomppii maassa. Täyttämällä itsensä vedellä tämä Pokémon voi nostaa pomppujensa korkeutta.</v>
      </c>
      <c r="C5482" s="9" t="s">
        <v>1344</v>
      </c>
    </row>
    <row r="5483" ht="33.75" customHeight="1">
      <c r="A5483" s="6" t="s">
        <v>8100</v>
      </c>
      <c r="B5483" s="6" t="str">
        <f>IFERROR(__xludf.DUMMYFUNCTION("GOOGLETRANSLATE(A5483,""en"",""fi"")"),"Se rakastaa säikäyttää ihmisiä. Se täyttää itsensä merivedellä ja leikkii pomppimalla ympäriinsä kuin pallo.")</f>
        <v>Se rakastaa säikäyttää ihmisiä. Se täyttää itsensä merivedellä ja leikkii pomppimalla ympäriinsä kuin pallo.</v>
      </c>
      <c r="C5483" s="9" t="s">
        <v>1344</v>
      </c>
    </row>
    <row r="5484" ht="33.75" customHeight="1">
      <c r="A5484" s="6" t="s">
        <v>8101</v>
      </c>
      <c r="B5484" s="6" t="str">
        <f>IFERROR(__xludf.DUMMYFUNCTION("GOOGLETRANSLATE(A5484,""en"",""fi"")"),"Se pröystäilee suihkuttamalla merivesisuihkuja sieraimistaan ​​silmiensä yläpuolelta. Se syö päivittäin tonneittain wishiwashia.")</f>
        <v>Se pröystäilee suihkuttamalla merivesisuihkuja sieraimistaan ​​silmiensä yläpuolelta. Se syö päivittäin tonneittain wishiwashia.</v>
      </c>
      <c r="C5484" s="9" t="s">
        <v>1344</v>
      </c>
    </row>
    <row r="5485" ht="33.75" customHeight="1">
      <c r="A5485" s="6" t="s">
        <v>8102</v>
      </c>
      <c r="B5485" s="6" t="str">
        <f>IFERROR(__xludf.DUMMYFUNCTION("GOOGLETRANSLATE(A5485,""en"",""fi"")"),"Se ui suu auki ja nielee merivettä ruokansa mukana. Se suihkuttaa ylimääräistä vettä sieraimistaan.")</f>
        <v>Se ui suu auki ja nielee merivettä ruokansa mukana. Se suihkuttaa ylimääräistä vettä sieraimistaan.</v>
      </c>
      <c r="C5485" s="9" t="s">
        <v>1344</v>
      </c>
    </row>
    <row r="5486" ht="33.75" customHeight="1">
      <c r="A5486" s="6" t="s">
        <v>8104</v>
      </c>
      <c r="B5486" s="6" t="str">
        <f>IFERROR(__xludf.DUMMYFUNCTION("GOOGLETRANSLATE(A5486,""en"",""fi"")"),"Koska ne muistelevat aikoinaan maalla elettyä elämäänsä, niiden parvet huuhtoutuvat hyvin harvoin rannalle.")</f>
        <v>Koska ne muistelevat aikoinaan maalla elettyä elämäänsä, niiden parvet huuhtoutuvat hyvin harvoin rannalle.</v>
      </c>
      <c r="C5486" s="9" t="s">
        <v>1344</v>
      </c>
    </row>
    <row r="5487" ht="33.75" customHeight="1">
      <c r="A5487" s="6" t="s">
        <v>8106</v>
      </c>
      <c r="B5487" s="6" t="str">
        <f>IFERROR(__xludf.DUMMYFUNCTION("GOOGLETRANSLATE(A5487,""en"",""fi"")"),"WAILORD on tähän mennessä tunnistetuista POKéMONeista suurin. Tämä jättiläismäinen POKéMON ui laiskasti avomerellä ja syö valtavia määriä ruokaa kerralla valtavalla suullaan.")</f>
        <v>WAILORD on tähän mennessä tunnistetuista POKéMONeista suurin. Tämä jättiläismäinen POKéMON ui laiskasti avomerellä ja syö valtavia määriä ruokaa kerralla valtavalla suullaan.</v>
      </c>
      <c r="C5487" s="9" t="s">
        <v>1344</v>
      </c>
    </row>
    <row r="5488" ht="33.75" customHeight="1">
      <c r="A5488" s="6" t="s">
        <v>8109</v>
      </c>
      <c r="B5488" s="6" t="str">
        <f>IFERROR(__xludf.DUMMYFUNCTION("GOOGLETRANSLATE(A5488,""en"",""fi"")"),"Jahdatessaan saalista WAILORD paimentaa niitä hyppäämällä vedestä ja tekemällä valtavan loiskahduksen. On henkeäsalpaavaa nähdä tämän POKéMONin hyppäävän merestä muiden pokémonien kanssa.")</f>
        <v>Jahdatessaan saalista WAILORD paimentaa niitä hyppäämällä vedestä ja tekemällä valtavan loiskahduksen. On henkeäsalpaavaa nähdä tämän POKéMONin hyppäävän merestä muiden pokémonien kanssa.</v>
      </c>
      <c r="C5488" s="9" t="s">
        <v>1344</v>
      </c>
    </row>
    <row r="5489" ht="33.75" customHeight="1">
      <c r="A5489" s="6" t="s">
        <v>8111</v>
      </c>
      <c r="B5489" s="6" t="str">
        <f>IFERROR(__xludf.DUMMYFUNCTION("GOOGLETRANSLATE(A5489,""en"",""fi"")"),"Se hengittää sierainten kautta, jotka se nostaa merenpinnan yläpuolelle. Hengittämällä täydellä tehollaan wailord voi sukeltaa lähes 3 000 metrin syvyyteen aaltojen alle.")</f>
        <v>Se hengittää sierainten kautta, jotka se nostaa merenpinnan yläpuolelle. Hengittämällä täydellä tehollaan wailord voi sukeltaa lähes 3 000 metrin syvyyteen aaltojen alle.</v>
      </c>
      <c r="C5489" s="9" t="s">
        <v>1344</v>
      </c>
    </row>
    <row r="5490" ht="33.75" customHeight="1">
      <c r="A5490" s="6" t="s">
        <v>8112</v>
      </c>
      <c r="B5490" s="6" t="str">
        <f>IFERROR(__xludf.DUMMYFUNCTION("GOOGLETRANSLATE(A5490,""en"",""fi"")"),"Se on yksi suurimmista kaikista POKéMONeista. Se paimentaa saalista laumassa ja nielee sitten suuren saaliin yhdellä kulauksella.")</f>
        <v>Se on yksi suurimmista kaikista POKéMONeista. Se paimentaa saalista laumassa ja nielee sitten suuren saaliin yhdellä kulauksella.</v>
      </c>
      <c r="C5490" s="9" t="s">
        <v>1344</v>
      </c>
    </row>
    <row r="5491" ht="33.75" customHeight="1">
      <c r="A5491" s="6" t="s">
        <v>8113</v>
      </c>
      <c r="B5491" s="6" t="str">
        <f>IFERROR(__xludf.DUMMYFUNCTION("GOOGLETRANSLATE(A5491,""en"",""fi"")"),"Suurin kaikista Pokémoneista. Se voi sukeltaa lähes 3 000 metrin syvyyteen yhdellä hengityksellä.")</f>
        <v>Suurin kaikista Pokémoneista. Se voi sukeltaa lähes 3 000 metrin syvyyteen yhdellä hengityksellä.</v>
      </c>
      <c r="C5491" s="9" t="s">
        <v>1344</v>
      </c>
    </row>
    <row r="5492" ht="33.75" customHeight="1">
      <c r="A5492" s="6" t="s">
        <v>8115</v>
      </c>
      <c r="B5492" s="6" t="str">
        <f>IFERROR(__xludf.DUMMYFUNCTION("GOOGLETRANSLATE(A5492,""en"",""fi"")"),"Se on suurin kaikista tunnistetuista Pokémoneista. Ne hyppivät laumana paimentaakseen saalistaan.")</f>
        <v>Se on suurin kaikista tunnistetuista Pokémoneista. Ne hyppivät laumana paimentaakseen saalistaan.</v>
      </c>
      <c r="C5492" s="9" t="s">
        <v>1344</v>
      </c>
    </row>
    <row r="5493" ht="33.75" customHeight="1">
      <c r="A5493" s="6" t="s">
        <v>8117</v>
      </c>
      <c r="B5493" s="6" t="str">
        <f>IFERROR(__xludf.DUMMYFUNCTION("GOOGLETRANSLATE(A5493,""en"",""fi"")"),"Se voi joskus tyrmätä vastustajat sähköiskulla, jonka se saa rikkoutuessaan ja paiskautuessaan ison ruumiinsa veteen.")</f>
        <v>Se voi joskus tyrmätä vastustajat sähköiskulla, jonka se saa rikkoutuessaan ja paiskautuessaan ison ruumiinsa veteen.</v>
      </c>
      <c r="C5493" s="9" t="s">
        <v>1344</v>
      </c>
    </row>
    <row r="5494" ht="33.75" customHeight="1">
      <c r="A5494" s="6" t="s">
        <v>8119</v>
      </c>
      <c r="B5494" s="6" t="str">
        <f>IFERROR(__xludf.DUMMYFUNCTION("GOOGLETRANSLATE(A5494,""en"",""fi"")"),"Wailord on tähän mennessä tunnistetuista Pokémoneista suurin. Tämä jättiläis-Pokémon ui laiskasti avomerellä ja syö valtavia määriä ruokaa kerralla valtavalla suullaan.")</f>
        <v>Wailord on tähän mennessä tunnistetuista Pokémoneista suurin. Tämä jättiläis-Pokémon ui laiskasti avomerellä ja syö valtavia määriä ruokaa kerralla valtavalla suullaan.</v>
      </c>
      <c r="C5494" s="9" t="s">
        <v>1344</v>
      </c>
    </row>
    <row r="5495" ht="33.75" customHeight="1">
      <c r="A5495" s="6" t="s">
        <v>8121</v>
      </c>
      <c r="B5495" s="6" t="str">
        <f>IFERROR(__xludf.DUMMYFUNCTION("GOOGLETRANSLATE(A5495,""en"",""fi"")"),"Jahdatessaan saalista Wailord paimentaa niitä hyppäämällä vedestä ja tekemällä valtavan loiskahduksen. On henkeäsalpaavaa nähdä tämän Pokémonin hyppäävän merestä muiden pokémonin kanssa.")</f>
        <v>Jahdatessaan saalista Wailord paimentaa niitä hyppäämällä vedestä ja tekemällä valtavan loiskahduksen. On henkeäsalpaavaa nähdä tämän Pokémonin hyppäävän merestä muiden pokémonin kanssa.</v>
      </c>
      <c r="C5495" s="9" t="s">
        <v>1344</v>
      </c>
    </row>
    <row r="5496" ht="33.75" customHeight="1">
      <c r="A5496" s="6" t="s">
        <v>8123</v>
      </c>
      <c r="B5496" s="6" t="str">
        <f>IFERROR(__xludf.DUMMYFUNCTION("GOOGLETRANSLATE(A5496,""en"",""fi"")"),"Wailordit jahtaavat saalistaan ​​parvissa. Suurilla suillaan ne voivat nielaista kokonaisia ​​wishiwashi-parvia.")</f>
        <v>Wailordit jahtaavat saalistaan ​​parvissa. Suurilla suillaan ne voivat nielaista kokonaisia ​​wishiwashi-parvia.</v>
      </c>
      <c r="C5496" s="9" t="s">
        <v>1344</v>
      </c>
    </row>
    <row r="5497" ht="33.75" customHeight="1">
      <c r="A5497" s="6" t="s">
        <v>8125</v>
      </c>
      <c r="B5497" s="6" t="str">
        <f>IFERROR(__xludf.DUMMYFUNCTION("GOOGLETRANSLATE(A5497,""en"",""fi"")"),"Sen valtava koko on syy sen suosioon. Vaunujen tarkkailu on suosittu nähtävyystoiminta eri puolilla maailmaa.")</f>
        <v>Sen valtava koko on syy sen suosioon. Vaunujen tarkkailu on suosittu nähtävyystoiminta eri puolilla maailmaa.</v>
      </c>
      <c r="C5497" s="9" t="s">
        <v>1344</v>
      </c>
    </row>
    <row r="5498" ht="33.75" customHeight="1">
      <c r="A5498" s="6" t="s">
        <v>8127</v>
      </c>
      <c r="B5498" s="6" t="str">
        <f>IFERROR(__xludf.DUMMYFUNCTION("GOOGLETRANSLATE(A5498,""en"",""fi"")"),"Ne syövät niin paljon kala-Pokémoneja, että kun Wailordit runsastuvat liikaa, kalastajien on ajettava ne pois.")</f>
        <v>Ne syövät niin paljon kala-Pokémoneja, että kun Wailordit runsastuvat liikaa, kalastajien on ajettava ne pois.</v>
      </c>
      <c r="C5498" s="9" t="s">
        <v>1344</v>
      </c>
    </row>
    <row r="5499" ht="33.75" customHeight="1">
      <c r="A5499" s="6" t="s">
        <v>8129</v>
      </c>
      <c r="B5499" s="6" t="str">
        <f>IFERROR(__xludf.DUMMYFUNCTION("GOOGLETRANSLATE(A5499,""en"",""fi"")"),"Kun Sharpedo tai Dhelmise hyökkää pienen Wailmarin kimppuun, koko sen lauma suojelee sitä yhdessä.")</f>
        <v>Kun Sharpedo tai Dhelmise hyökkää pienen Wailmarin kimppuun, koko sen lauma suojelee sitä yhdessä.</v>
      </c>
      <c r="C5499" s="9" t="s">
        <v>1344</v>
      </c>
    </row>
    <row r="5500" ht="33.75" customHeight="1">
      <c r="A5500" s="6" t="s">
        <v>8131</v>
      </c>
      <c r="B5500" s="6" t="str">
        <f>IFERROR(__xludf.DUMMYFUNCTION("GOOGLETRANSLATE(A5500,""en"",""fi"")"),"NUMEL on äärimmäisen tylsämielinen – se ei huomaa osumaa. Se ei kuitenkaan kestä nälkää sekuntiakaan. Tämän POKéMONin ruumis on kuin kiehuvan magman täyttämä pata.")</f>
        <v>NUMEL on äärimmäisen tylsämielinen – se ei huomaa osumaa. Se ei kuitenkaan kestä nälkää sekuntiakaan. Tämän POKéMONin ruumis on kuin kiehuvan magman täyttämä pata.</v>
      </c>
      <c r="C5500" s="9" t="s">
        <v>1344</v>
      </c>
    </row>
    <row r="5501" ht="33.75" customHeight="1">
      <c r="A5501" s="6" t="s">
        <v>8134</v>
      </c>
      <c r="B5501" s="6" t="str">
        <f>IFERROR(__xludf.DUMMYFUNCTION("GOOGLETRANSLATE(A5501,""en"",""fi"")"),"NUMEL varastoi kehoonsa lähes 2 200 Fahrenheit-asteen magmaa. Jos se kastuu, magma jäähtyy ja kovettuu. Tällöin POKéMONin kehosta tulee raskas ja sen liikkeet hidastuvat.")</f>
        <v>NUMEL varastoi kehoonsa lähes 2 200 Fahrenheit-asteen magmaa. Jos se kastuu, magma jäähtyy ja kovettuu. Tällöin POKéMONin kehosta tulee raskas ja sen liikkeet hidastuvat.</v>
      </c>
      <c r="C5501" s="9" t="s">
        <v>1344</v>
      </c>
    </row>
    <row r="5502" ht="33.75" customHeight="1">
      <c r="A5502" s="6" t="s">
        <v>8136</v>
      </c>
      <c r="B5502" s="6" t="str">
        <f>IFERROR(__xludf.DUMMYFUNCTION("GOOGLETRANSLATE(A5502,""en"",""fi"")"),"NUMEL varastoi kiehuvaa magmaa selässään olevaan kyttyrään. Se on sitkeä POKéMON, joka pystyy kuljettamaan 100 kilon kuorman. Se on palvellut ihmisiä työssä jo kauan sitten.")</f>
        <v>NUMEL varastoi kiehuvaa magmaa selässään olevaan kyttyrään. Se on sitkeä POKéMON, joka pystyy kuljettamaan 100 kilon kuorman. Se on palvellut ihmisiä työssä jo kauan sitten.</v>
      </c>
      <c r="C5502" s="9" t="s">
        <v>1344</v>
      </c>
    </row>
    <row r="5503" ht="33.75" customHeight="1">
      <c r="A5503" s="6" t="s">
        <v>8137</v>
      </c>
      <c r="B5503" s="6" t="str">
        <f>IFERROR(__xludf.DUMMYFUNCTION("GOOGLETRANSLATE(A5503,""en"",""fi"")"),"Lähes 2 200 Fahrenheit-asteen magma virtaa sen läpi. Kun se kylmenee, magma kovettuu ja hidastaa sitä.")</f>
        <v>Lähes 2 200 Fahrenheit-asteen magma virtaa sen läpi. Kun se kylmenee, magma kovettuu ja hidastaa sitä.</v>
      </c>
      <c r="C5503" s="9" t="s">
        <v>1344</v>
      </c>
    </row>
    <row r="5504" ht="33.75" customHeight="1">
      <c r="A5504" s="6" t="s">
        <v>8139</v>
      </c>
      <c r="B5504" s="6" t="str">
        <f>IFERROR(__xludf.DUMMYFUNCTION("GOOGLETRANSLATE(A5504,""en"",""fi"")"),"Sen kupera selkä varastoi erittäin kuumaa magmaa. Sateessa magma jäähtyy, mikä hidastaa sen liikettä.")</f>
        <v>Sen kupera selkä varastoi erittäin kuumaa magmaa. Sateessa magma jäähtyy, mikä hidastaa sen liikettä.</v>
      </c>
      <c r="C5504" s="9" t="s">
        <v>1344</v>
      </c>
    </row>
    <row r="5505" ht="33.75" customHeight="1">
      <c r="A5505" s="6" t="s">
        <v>8140</v>
      </c>
      <c r="B5505" s="6" t="str">
        <f>IFERROR(__xludf.DUMMYFUNCTION("GOOGLETRANSLATE(A5505,""en"",""fi"")"),"Sen selässä olevaan kyttyrään varastoitunut liekehtivä magma on sen valtavan voiman lähde.")</f>
        <v>Sen selässä olevaan kyttyrään varastoitunut liekehtivä magma on sen valtavan voiman lähde.</v>
      </c>
      <c r="C5505" s="9" t="s">
        <v>1344</v>
      </c>
    </row>
    <row r="5506" ht="33.75" customHeight="1">
      <c r="A5506" s="6" t="s">
        <v>8142</v>
      </c>
      <c r="B5506" s="6" t="str">
        <f>IFERROR(__xludf.DUMMYFUNCTION("GOOGLETRANSLATE(A5506,""en"",""fi"")"),"Sen ruumiin magma saavuttaa 2 200 Fahrenheit-asteen lämpötilan. Sen kyttyrä pienenee, kun se käyttää tulityyppisiä liikkeitä.")</f>
        <v>Sen ruumiin magma saavuttaa 2 200 Fahrenheit-asteen lämpötilan. Sen kyttyrä pienenee, kun se käyttää tulityyppisiä liikkeitä.</v>
      </c>
      <c r="C5506" s="9" t="s">
        <v>1344</v>
      </c>
    </row>
    <row r="5507" ht="33.75" customHeight="1">
      <c r="A5507" s="6" t="s">
        <v>8144</v>
      </c>
      <c r="B5507" s="6" t="str">
        <f>IFERROR(__xludf.DUMMYFUNCTION("GOOGLETRANSLATE(A5507,""en"",""fi"")"),"Sen ruumiissa olevan magman lämpötila saavuttaa 2 200 Fahrenheit-astetta. Sen kyttyrä pienenee, kun se käyttää tulityyppisiä liikkeitä.")</f>
        <v>Sen ruumiissa olevan magman lämpötila saavuttaa 2 200 Fahrenheit-astetta. Sen kyttyrä pienenee, kun se käyttää tulityyppisiä liikkeitä.</v>
      </c>
      <c r="C5507" s="9" t="s">
        <v>1344</v>
      </c>
    </row>
    <row r="5508" ht="33.75" customHeight="1">
      <c r="A5508" s="6" t="s">
        <v>8146</v>
      </c>
      <c r="B5508" s="6" t="str">
        <f>IFERROR(__xludf.DUMMYFUNCTION("GOOGLETRANSLATE(A5508,""en"",""fi"")"),"Numel on äärimmäisen tylsämielinen – se ei huomaa osumaa. Se ei kuitenkaan kestä nälkää sekuntiakaan. Tämän Pokémonin ruumis on kuin kiehuvan magman täyttämä pata.")</f>
        <v>Numel on äärimmäisen tylsämielinen – se ei huomaa osumaa. Se ei kuitenkaan kestä nälkää sekuntiakaan. Tämän Pokémonin ruumis on kuin kiehuvan magman täyttämä pata.</v>
      </c>
      <c r="C5508" s="9" t="s">
        <v>1344</v>
      </c>
    </row>
    <row r="5509" ht="33.75" customHeight="1">
      <c r="A5509" s="6" t="s">
        <v>8148</v>
      </c>
      <c r="B5509" s="6" t="str">
        <f>IFERROR(__xludf.DUMMYFUNCTION("GOOGLETRANSLATE(A5509,""en"",""fi"")"),"Numel varastoi kehoonsa lähes 2 200 Fahrenheit-asteen magmaa. Jos se kastuu, magma jäähtyy ja kovettuu. Tällöin Pokémonin kehosta tulee raskas ja sen liikkeet hidastuvat.")</f>
        <v>Numel varastoi kehoonsa lähes 2 200 Fahrenheit-asteen magmaa. Jos se kastuu, magma jäähtyy ja kovettuu. Tällöin Pokémonin kehosta tulee raskas ja sen liikkeet hidastuvat.</v>
      </c>
      <c r="C5509" s="9" t="s">
        <v>1344</v>
      </c>
    </row>
    <row r="5510" ht="33.75" customHeight="1">
      <c r="A5510" s="6" t="s">
        <v>8151</v>
      </c>
      <c r="B5510" s="6" t="str">
        <f>IFERROR(__xludf.DUMMYFUNCTION("GOOGLETRANSLATE(A5510,""en"",""fi"")"),"CAMERUPTin sisällä on tulivuori. Sen läpi virtaa 18 000 celsiusasteen magma. Ajoittain tämän POKéMONin selän kohoumat purkautuvat ja sylkevät ulos ylikuumentunutta magmaa.")</f>
        <v>CAMERUPTin sisällä on tulivuori. Sen läpi virtaa 18 000 celsiusasteen magma. Ajoittain tämän POKéMONin selän kohoumat purkautuvat ja sylkevät ulos ylikuumentunutta magmaa.</v>
      </c>
      <c r="C5510" s="9" t="s">
        <v>1344</v>
      </c>
    </row>
    <row r="5511" ht="33.75" customHeight="1">
      <c r="A5511" s="6" t="s">
        <v>8154</v>
      </c>
      <c r="B5511" s="6" t="str">
        <f>IFERROR(__xludf.DUMMYFUNCTION("GOOGLETRANSLATE(A5511,""en"",""fi"")"),"CAMERUPTin selän kyttyrät ovat muodostuneet sen luiden muuttuessa. Ne purkavat joskus sulaa magmaa. Tämä POKéMON ilmeisesti purkautuu usein raivostuneena.")</f>
        <v>CAMERUPTin selän kyttyrät ovat muodostuneet sen luiden muuttuessa. Ne purkavat joskus sulaa magmaa. Tämä POKéMON ilmeisesti purkautuu usein raivostuneena.</v>
      </c>
      <c r="C5511" s="9" t="s">
        <v>1344</v>
      </c>
    </row>
    <row r="5512" ht="33.75" customHeight="1">
      <c r="A5512" s="6" t="s">
        <v>8155</v>
      </c>
      <c r="B5512" s="6" t="str">
        <f>IFERROR(__xludf.DUMMYFUNCTION("GOOGLETRANSLATE(A5512,""en"",""fi"")"),"Tulivuoren kraatterissa asuva POKéMON. Sen selässä olevat tulivuoret purkautuvat rajusti 10 vuoden välein. Purkauksen syytä tutkitaan parhaillaan.")</f>
        <v>Tulivuoren kraatterissa asuva POKéMON. Sen selässä olevat tulivuoret purkautuvat rajusti 10 vuoden välein. Purkauksen syytä tutkitaan parhaillaan.</v>
      </c>
      <c r="C5512" s="9" t="s">
        <v>1344</v>
      </c>
    </row>
    <row r="5513" ht="33.75" customHeight="1">
      <c r="A5513" s="6" t="s">
        <v>8156</v>
      </c>
      <c r="B5513" s="6" t="str">
        <f>IFERROR(__xludf.DUMMYFUNCTION("GOOGLETRANSLATE(A5513,""en"",""fi"")"),"Jos se suuttuu, sen selässä olevat kyttyrät purkautuvat sulan laavan suihkuna. Se elää tulivuorten kraattereissa.")</f>
        <v>Jos se suuttuu, sen selässä olevat kyttyrät purkautuvat sulan laavan suihkuna. Se elää tulivuorten kraattereissa.</v>
      </c>
      <c r="C5513" s="9" t="s">
        <v>1344</v>
      </c>
    </row>
    <row r="5514" ht="33.75" customHeight="1">
      <c r="A5514" s="6" t="s">
        <v>8158</v>
      </c>
      <c r="B5514" s="6" t="str">
        <f>IFERROR(__xludf.DUMMYFUNCTION("GOOGLETRANSLATE(A5514,""en"",""fi"")"),"Sen selässä on tulivuoria. Jos magmaa kertyy sen kehoon, se tärisee ja purkautuu sitten rajusti.")</f>
        <v>Sen selässä on tulivuoria. Jos magmaa kertyy sen kehoon, se tärisee ja purkautuu sitten rajusti.</v>
      </c>
      <c r="C5514" s="9" t="s">
        <v>1344</v>
      </c>
    </row>
    <row r="5515" ht="33.75" customHeight="1">
      <c r="A5515" s="6" t="s">
        <v>8161</v>
      </c>
      <c r="B5515" s="6" t="str">
        <f>IFERROR(__xludf.DUMMYFUNCTION("GOOGLETRANSLATE(A5515,""en"",""fi"")"),"Se elää tulivuoren kraatterissa. On tunnettua, että sen selässä olevat kyttyrät purkautuvat 10 vuoden välein.")</f>
        <v>Se elää tulivuoren kraatterissa. On tunnettua, että sen selässä olevat kyttyrät purkautuvat 10 vuoden välein.</v>
      </c>
      <c r="C5515" s="9" t="s">
        <v>1344</v>
      </c>
    </row>
    <row r="5516" ht="33.75" customHeight="1">
      <c r="A5516" s="6" t="s">
        <v>8164</v>
      </c>
      <c r="B5516" s="6" t="str">
        <f>IFERROR(__xludf.DUMMYFUNCTION("GOOGLETRANSLATE(A5516,""en"",""fi"")"),"Sen selässä olevat tulivuoret purkautuvat voimakkaasti kymmenen vuoden välein – tai aina kun se suuttuu todella voimakkaasti.")</f>
        <v>Sen selässä olevat tulivuoret purkautuvat voimakkaasti kymmenen vuoden välein – tai aina kun se suuttuu todella voimakkaasti.</v>
      </c>
      <c r="C5516" s="9" t="s">
        <v>1344</v>
      </c>
    </row>
    <row r="5517" ht="33.75" customHeight="1">
      <c r="A5517" s="6" t="s">
        <v>8166</v>
      </c>
      <c r="B5517" s="6" t="str">
        <f>IFERROR(__xludf.DUMMYFUNCTION("GOOGLETRANSLATE(A5517,""en"",""fi"")"),"Cameruptin kehon sisällä on tulivuori. Sen läpi virtaa 18 000 Fahrenheit-asteen magmaa. Ajoittain tämän Pokémonin selän kyttyrät purkautuvat ja sylkevät kuumaa magmaa.")</f>
        <v>Cameruptin kehon sisällä on tulivuori. Sen läpi virtaa 18 000 Fahrenheit-asteen magmaa. Ajoittain tämän Pokémonin selän kyttyrät purkautuvat ja sylkevät kuumaa magmaa.</v>
      </c>
      <c r="C5517" s="9" t="s">
        <v>1344</v>
      </c>
    </row>
    <row r="5518" ht="33.75" customHeight="1">
      <c r="A5518" s="6" t="s">
        <v>8169</v>
      </c>
      <c r="B5518" s="6" t="str">
        <f>IFERROR(__xludf.DUMMYFUNCTION("GOOGLETRANSLATE(A5518,""en"",""fi"")"),"Cameruptin selän kyttyrät muodostuvat sen luiden muuttuessa. Ne purkavat joskus sulaa magmaa. Tämä Pokémon ilmeisesti purkautuu usein raivostuneena.")</f>
        <v>Cameruptin selän kyttyrät muodostuvat sen luiden muuttuessa. Ne purkavat joskus sulaa magmaa. Tämä Pokémon ilmeisesti purkautuu usein raivostuneena.</v>
      </c>
      <c r="C5518" s="9" t="s">
        <v>1344</v>
      </c>
    </row>
    <row r="5519" ht="33.75" customHeight="1">
      <c r="A5519" s="6" t="s">
        <v>8171</v>
      </c>
      <c r="B5519" s="6" t="str">
        <f>IFERROR(__xludf.DUMMYFUNCTION("GOOGLETRANSLATE(A5519,""en"",""fi"")"),"TORKOAL kaivautuu vuorilta etsien hiiltä. Jos se löytää sitä, se täyttää kuorensa ontot kohdat hiilellä ja polttaa ne. Jos sitä hyökätään, tämä POKéMON suihkuttaa paksua mustaa savua välttääkseen perääntymisen.")</f>
        <v>TORKOAL kaivautuu vuorilta etsien hiiltä. Jos se löytää sitä, se täyttää kuorensa ontot kohdat hiilellä ja polttaa ne. Jos sitä hyökätään, tämä POKéMON suihkuttaa paksua mustaa savua välttääkseen perääntymisen.</v>
      </c>
      <c r="C5519" s="9" t="s">
        <v>1344</v>
      </c>
    </row>
    <row r="5520" ht="33.75" customHeight="1">
      <c r="A5520" s="6" t="s">
        <v>8173</v>
      </c>
      <c r="B5520" s="6" t="str">
        <f>IFERROR(__xludf.DUMMYFUNCTION("GOOGLETRANSLATE(A5520,""en"",""fi"")"),"TORKOAL tuottaa energiaa polttamalla hiiltä. Se heikkenee tulen hiipuessa. Taisteluun valmistautuessaan tämä POKéMON polttaa enemmän hiiltä.")</f>
        <v>TORKOAL tuottaa energiaa polttamalla hiiltä. Se heikkenee tulen hiipuessa. Taisteluun valmistautuessaan tämä POKéMON polttaa enemmän hiiltä.</v>
      </c>
      <c r="C5520" s="9" t="s">
        <v>1344</v>
      </c>
    </row>
    <row r="5521" ht="33.75" customHeight="1">
      <c r="A5521" s="6" t="s">
        <v>8176</v>
      </c>
      <c r="B5521" s="6" t="str">
        <f>IFERROR(__xludf.DUMMYFUNCTION("GOOGLETRANSLATE(A5521,""en"",""fi"")"),"Se taistelee käyttämällä hiilen polttamisesta saamaansa energiaa. Savua sieraimistaan ​​päästäessään ääntä, joka muistuttaa veturin torvea.")</f>
        <v>Se taistelee käyttämällä hiilen polttamisesta saamaansa energiaa. Savua sieraimistaan ​​päästäessään ääntä, joka muistuttaa veturin torvea.</v>
      </c>
      <c r="C5521" s="9" t="s">
        <v>1344</v>
      </c>
    </row>
    <row r="5522" ht="33.75" customHeight="1">
      <c r="A5522" s="6" t="s">
        <v>8178</v>
      </c>
      <c r="B5522" s="6" t="str">
        <f>IFERROR(__xludf.DUMMYFUNCTION("GOOGLETRANSLATE(A5522,""en"",""fi"")"),"Se polttaa hiiltä kuorensa sisällä. Jos sitä hyökätään, se röyhtäilee paksua, mustaa savua ja pakenee.")</f>
        <v>Se polttaa hiiltä kuorensa sisällä. Jos sitä hyökätään, se röyhtäilee paksua, mustaa savua ja pakenee.</v>
      </c>
      <c r="C5522" s="9" t="s">
        <v>1344</v>
      </c>
    </row>
    <row r="5523" ht="33.75" customHeight="1">
      <c r="A5523" s="6" t="s">
        <v>8179</v>
      </c>
      <c r="B5523" s="6" t="str">
        <f>IFERROR(__xludf.DUMMYFUNCTION("GOOGLETRANSLATE(A5523,""en"",""fi"")"),"Se polttaa hiiltä kuorensa sisällä energian saamiseksi. Se puhaltaa mustaa nokea, jos se on vaarassa.")</f>
        <v>Se polttaa hiiltä kuorensa sisällä energian saamiseksi. Se puhaltaa mustaa nokea, jos se on vaarassa.</v>
      </c>
      <c r="C5523" s="9" t="s">
        <v>1344</v>
      </c>
    </row>
    <row r="5524" ht="33.75" customHeight="1">
      <c r="A5524" s="6" t="s">
        <v>8181</v>
      </c>
      <c r="B5524" s="6" t="str">
        <f>IFERROR(__xludf.DUMMYFUNCTION("GOOGLETRANSLATE(A5524,""en"",""fi"")"),"Löydät hylättyjä hiilikaivoksia täynnä niitä. Ne kaivavat väsymättä etsien hiiltä.")</f>
        <v>Löydät hylättyjä hiilikaivoksia täynnä niitä. Ne kaivavat väsymättä etsien hiiltä.</v>
      </c>
      <c r="C5524" s="9" t="s">
        <v>1344</v>
      </c>
    </row>
    <row r="5525" ht="33.75" customHeight="1">
      <c r="A5525" s="6" t="s">
        <v>8183</v>
      </c>
      <c r="B5525" s="6" t="str">
        <f>IFERROR(__xludf.DUMMYFUNCTION("GOOGLETRANSLATE(A5525,""en"",""fi"")"),"Torkoal kaivautuu vuorilta etsien hiiltä. Jos se löytää sitä, se täyttää kuorensa ontot kohdat hiilellä ja polttaa ne. Jos sitä hyökätään, tämä Pokémon suoltaa paksua mustaa savua välttääkseen perääntymisen.")</f>
        <v>Torkoal kaivautuu vuorilta etsien hiiltä. Jos se löytää sitä, se täyttää kuorensa ontot kohdat hiilellä ja polttaa ne. Jos sitä hyökätään, tämä Pokémon suoltaa paksua mustaa savua välttääkseen perääntymisen.</v>
      </c>
      <c r="C5525" s="9" t="s">
        <v>1344</v>
      </c>
    </row>
    <row r="5526" ht="33.75" customHeight="1">
      <c r="A5526" s="6" t="s">
        <v>8185</v>
      </c>
      <c r="B5526" s="6" t="str">
        <f>IFERROR(__xludf.DUMMYFUNCTION("GOOGLETRANSLATE(A5526,""en"",""fi"")"),"Torkoal tuottaa energiaa polttamalla hiiltä. Se heikkenee tulen hiipuessa. Taisteluun valmistautuessaan tämä Pokémon polttaa enemmän hiiltä.")</f>
        <v>Torkoal tuottaa energiaa polttamalla hiiltä. Se heikkenee tulen hiipuessa. Taisteluun valmistautuessaan tämä Pokémon polttaa enemmän hiiltä.</v>
      </c>
      <c r="C5526" s="9" t="s">
        <v>1344</v>
      </c>
    </row>
    <row r="5527" ht="33.75" customHeight="1">
      <c r="A5527" s="6" t="s">
        <v>8186</v>
      </c>
      <c r="B5527" s="6" t="str">
        <f>IFERROR(__xludf.DUMMYFUNCTION("GOOGLETRANSLATE(A5527,""en"",""fi"")"),"Torkoalin energianlähde on hiili. Suuria määriä hiiltä löytyy vuorilta, joilla he asuvat.")</f>
        <v>Torkoalin energianlähde on hiili. Suuria määriä hiiltä löytyy vuorilta, joilla he asuvat.</v>
      </c>
      <c r="C5527" s="9" t="s">
        <v>1344</v>
      </c>
    </row>
    <row r="5528" ht="33.75" customHeight="1">
      <c r="A5528" s="6" t="s">
        <v>8187</v>
      </c>
      <c r="B5528" s="6" t="str">
        <f>IFERROR(__xludf.DUMMYFUNCTION("GOOGLETRANSLATE(A5528,""en"",""fi"")"),"Jos sen kuoren sisällä palava tuli sammuu, se kuolee. Niiden, jotka haluavat kasvattaa sellaisen kotonaan, on aina pidettävä jotain syttyvää käsillä.")</f>
        <v>Jos sen kuoren sisällä palava tuli sammuu, se kuolee. Niiden, jotka haluavat kasvattaa sellaisen kotonaan, on aina pidettävä jotain syttyvää käsillä.</v>
      </c>
      <c r="C5528" s="9" t="s">
        <v>1344</v>
      </c>
    </row>
    <row r="5529" ht="33.75" customHeight="1">
      <c r="A5529" s="6" t="s">
        <v>8188</v>
      </c>
      <c r="B5529" s="6" t="str">
        <f>IFERROR(__xludf.DUMMYFUNCTION("GOOGLETRANSLATE(A5529,""en"",""fi"")"),"Voit päätellä sen voinnin sen kuoresta pursuavasta savusta. Valtava nopeus on merkki hyvästä terveydestä.")</f>
        <v>Voit päätellä sen voinnin sen kuoresta pursuavasta savusta. Valtava nopeus on merkki hyvästä terveydestä.</v>
      </c>
      <c r="C5529" s="9" t="s">
        <v>1344</v>
      </c>
    </row>
    <row r="5530" ht="33.75" customHeight="1">
      <c r="A5530" s="6" t="s">
        <v>8190</v>
      </c>
      <c r="B5530" s="6" t="str">
        <f>IFERROR(__xludf.DUMMYFUNCTION("GOOGLETRANSLATE(A5530,""en"",""fi"")"),"Se polttaa hiiltä energian tuottamiseksi. Kun se on polttanut kaiken hiilensä, se ei pysty liikkumaan.")</f>
        <v>Se polttaa hiiltä energian tuottamiseksi. Kun se on polttanut kaiken hiilensä, se ei pysty liikkumaan.</v>
      </c>
      <c r="C5530" s="9" t="s">
        <v>1344</v>
      </c>
    </row>
    <row r="5531" ht="33.75" customHeight="1">
      <c r="A5531" s="6" t="s">
        <v>8192</v>
      </c>
      <c r="B5531" s="6" t="str">
        <f>IFERROR(__xludf.DUMMYFUNCTION("GOOGLETRANSLATE(A5531,""en"",""fi"")"),"SPOINK pomppii hännällään. Sen pomppimisen aiheuttama sähköisku saa sen sydämen pumppaamaan. Tämän seurauksena tämä POKéMON ei pysty lopettamaan pomppimista – jos se pysähtyy, sen sydän pysähtyy.")</f>
        <v>SPOINK pomppii hännällään. Sen pomppimisen aiheuttama sähköisku saa sen sydämen pumppaamaan. Tämän seurauksena tämä POKéMON ei pysty lopettamaan pomppimista – jos se pysähtyy, sen sydän pysähtyy.</v>
      </c>
      <c r="C5531" s="9" t="s">
        <v>1344</v>
      </c>
    </row>
    <row r="5532" ht="33.75" customHeight="1">
      <c r="A5532" s="6" t="s">
        <v>8193</v>
      </c>
      <c r="B5532" s="6" t="str">
        <f>IFERROR(__xludf.DUMMYFUNCTION("GOOGLETRANSLATE(A5532,""en"",""fi"")"),"SPOINK pitää helmeä päänsä päällä. Helmi vahvistaa tämän POKéMONin psykokineettisiä voimia. Siksi se etsii jatkuvasti suurempaa helmeä.")</f>
        <v>SPOINK pitää helmeä päänsä päällä. Helmi vahvistaa tämän POKéMONin psykokineettisiä voimia. Siksi se etsii jatkuvasti suurempaa helmeä.</v>
      </c>
      <c r="C5532" s="9" t="s">
        <v>1344</v>
      </c>
    </row>
    <row r="5533" ht="33.75" customHeight="1">
      <c r="A5533" s="6" t="s">
        <v>8195</v>
      </c>
      <c r="B5533" s="6" t="str">
        <f>IFERROR(__xludf.DUMMYFUNCTION("GOOGLETRANSLATE(A5533,""en"",""fi"")"),"POKéMON, joka käyttää psyykkisiä voimia mielensä mukaan. Se ei lopeta pomppimista edes nukkuessaan. Se rakastaa maan alla kasvavien sienten syömistä.")</f>
        <v>POKéMON, joka käyttää psyykkisiä voimia mielensä mukaan. Se ei lopeta pomppimista edes nukkuessaan. Se rakastaa maan alla kasvavien sienten syömistä.</v>
      </c>
      <c r="C5533" s="9" t="s">
        <v>1344</v>
      </c>
    </row>
    <row r="5534" ht="33.75" customHeight="1">
      <c r="A5534" s="6" t="s">
        <v>8196</v>
      </c>
      <c r="B5534" s="6" t="str">
        <f>IFERROR(__xludf.DUMMYFUNCTION("GOOGLETRANSLATE(A5534,""en"",""fi"")"),"Se ilmeisesti kuolee, jos se lakkaa pomppimasta ympäriinsä. Se kantaa päässään CLAMPERLin helmeä.")</f>
        <v>Se ilmeisesti kuolee, jos se lakkaa pomppimasta ympäriinsä. Se kantaa päässään CLAMPERLin helmeä.</v>
      </c>
      <c r="C5534" s="9" t="s">
        <v>1344</v>
      </c>
    </row>
    <row r="5535" ht="33.75" customHeight="1">
      <c r="A5535" s="6" t="s">
        <v>8197</v>
      </c>
      <c r="B5535" s="6" t="str">
        <f>IFERROR(__xludf.DUMMYFUNCTION("GOOGLETRANSLATE(A5535,""en"",""fi"")"),"Se pomppii jatkuvasti käyttäen häntäänsä jousen tavoin. Pomppimisen aiheuttama isku pitää sen sydämen sykkimässä.")</f>
        <v>Se pomppii jatkuvasti käyttäen häntäänsä jousen tavoin. Pomppimisen aiheuttama isku pitää sen sydämen sykkimässä.</v>
      </c>
      <c r="C5535" s="9" t="s">
        <v>1344</v>
      </c>
    </row>
    <row r="5536" ht="33.75" customHeight="1">
      <c r="A5536" s="6" t="s">
        <v>8199</v>
      </c>
      <c r="B5536" s="6" t="str">
        <f>IFERROR(__xludf.DUMMYFUNCTION("GOOGLETRANSLATE(A5536,""en"",""fi"")"),"Se pomppii hännällään pitääkseen sydämensä lyömässä. Päässään se kantaa CLAMPERLin helmeä.")</f>
        <v>Se pomppii hännällään pitääkseen sydämensä lyömässä. Päässään se kantaa CLAMPERLin helmeä.</v>
      </c>
      <c r="C5536" s="9" t="s">
        <v>1344</v>
      </c>
    </row>
    <row r="5537" ht="33.75" customHeight="1">
      <c r="A5537" s="6" t="s">
        <v>8200</v>
      </c>
      <c r="B5537" s="6" t="str">
        <f>IFERROR(__xludf.DUMMYFUNCTION("GOOGLETRANSLATE(A5537,""en"",""fi"")"),"Se käyttää häntäänsä jousen tavoin ja pitää sydämensä sykkimässä pomppimalla jatkuvasti. Jos se pysähtyy, se kuolee.")</f>
        <v>Se käyttää häntäänsä jousen tavoin ja pitää sydämensä sykkimässä pomppimalla jatkuvasti. Jos se pysähtyy, se kuolee.</v>
      </c>
      <c r="C5537" s="9" t="s">
        <v>1344</v>
      </c>
    </row>
    <row r="5538" ht="33.75" customHeight="1">
      <c r="A5538" s="6" t="s">
        <v>8202</v>
      </c>
      <c r="B5538" s="6" t="str">
        <f>IFERROR(__xludf.DUMMYFUNCTION("GOOGLETRANSLATE(A5538,""en"",""fi"")"),"Se pomppii hännällään pitääkseen sydämensä lyömässä. Se kantaa päässään Clamperlin helmeä.")</f>
        <v>Se pomppii hännällään pitääkseen sydämensä lyömässä. Se kantaa päässään Clamperlin helmeä.</v>
      </c>
      <c r="C5538" s="9" t="s">
        <v>1344</v>
      </c>
    </row>
    <row r="5539" ht="33.75" customHeight="1">
      <c r="A5539" s="6" t="s">
        <v>8204</v>
      </c>
      <c r="B5539" s="6" t="str">
        <f>IFERROR(__xludf.DUMMYFUNCTION("GOOGLETRANSLATE(A5539,""en"",""fi"")"),"Spoink pomppii hännällään. Pomppumisen aiheuttama sähköisku saa sen sydämen pumppaamaan. Tämän seurauksena tämä Pokémon ei pysty lopettamaan pomppimista – jos se pysähtyy, sen sydän pysähtyy.")</f>
        <v>Spoink pomppii hännällään. Pomppumisen aiheuttama sähköisku saa sen sydämen pumppaamaan. Tämän seurauksena tämä Pokémon ei pysty lopettamaan pomppimista – jos se pysähtyy, sen sydän pysähtyy.</v>
      </c>
      <c r="C5539" s="9" t="s">
        <v>1344</v>
      </c>
    </row>
    <row r="5540" ht="33.75" customHeight="1">
      <c r="A5540" s="6" t="s">
        <v>8206</v>
      </c>
      <c r="B5540" s="6" t="str">
        <f>IFERROR(__xludf.DUMMYFUNCTION("GOOGLETRANSLATE(A5540,""en"",""fi"")"),"Spoink pitää helmeä päänsä päällä. Helmi vahvistaa tämän Pokémonin psykokineettisiä voimia. Siksi se etsii jatkuvasti suurempaa helmeä.")</f>
        <v>Spoink pitää helmeä päänsä päällä. Helmi vahvistaa tämän Pokémonin psykokineettisiä voimia. Siksi se etsii jatkuvasti suurempaa helmeä.</v>
      </c>
      <c r="C5540" s="9" t="s">
        <v>1344</v>
      </c>
    </row>
    <row r="5541" ht="33.75" customHeight="1">
      <c r="A5541" s="6" t="s">
        <v>8208</v>
      </c>
      <c r="B5541" s="6" t="str">
        <f>IFERROR(__xludf.DUMMYFUNCTION("GOOGLETRANSLATE(A5541,""en"",""fi"")"),"GRUMPIG käyttää kehossaan olevia mustia helmiä vahvistaakseen psyykkisiä voima-aaltojaan ja saadakseen täyden hallinnan vihollisestaan. Kun tämä POKéMON käyttää erityisvoimaansa, sen kuorsaus käy raskaaksi.")</f>
        <v>GRUMPIG käyttää kehossaan olevia mustia helmiä vahvistaakseen psyykkisiä voima-aaltojaan ja saadakseen täyden hallinnan vihollisestaan. Kun tämä POKéMON käyttää erityisvoimaansa, sen kuorsaus käy raskaaksi.</v>
      </c>
      <c r="C5541" s="9" t="s">
        <v>1344</v>
      </c>
    </row>
    <row r="5542" ht="33.75" customHeight="1">
      <c r="A5542" s="6" t="s">
        <v>8210</v>
      </c>
      <c r="B5542" s="6" t="str">
        <f>IFERROR(__xludf.DUMMYFUNCTION("GOOGLETRANSLATE(A5542,""en"",""fi"")"),"GRUMPIG käyttää kehossaan olevia mustia helmiä fantastisten voimiensa käyttämiseen. Niin tehdessään se tanssii omituisesti. Tämän POKéMONin mustat helmet ovat arvokkaita taideteoksia.")</f>
        <v>GRUMPIG käyttää kehossaan olevia mustia helmiä fantastisten voimiensa käyttämiseen. Niin tehdessään se tanssii omituisesti. Tämän POKéMONin mustat helmet ovat arvokkaita taideteoksia.</v>
      </c>
      <c r="C5542" s="9" t="s">
        <v>1344</v>
      </c>
    </row>
    <row r="5543" ht="33.75" customHeight="1">
      <c r="A5543" s="6" t="s">
        <v>8212</v>
      </c>
      <c r="B5543" s="6" t="str">
        <f>IFERROR(__xludf.DUMMYFUNCTION("GOOGLETRANSLATE(A5543,""en"",""fi"")"),"Se varastoi voimaa otsassaan oleviin mustiin helmiin. Kun se käyttää psyykkistä voimaansa, se suorittaa oudon tanssiaskeleen. Sen tanssityylistä tuli valtavan suosittu ulkomailla.")</f>
        <v>Se varastoi voimaa otsassaan oleviin mustiin helmiin. Kun se käyttää psyykkistä voimaansa, se suorittaa oudon tanssiaskeleen. Sen tanssityylistä tuli valtavan suosittu ulkomailla.</v>
      </c>
      <c r="C5543" s="9" t="s">
        <v>1344</v>
      </c>
    </row>
    <row r="5544" ht="33.75" customHeight="1">
      <c r="A5544" s="6" t="s">
        <v>8213</v>
      </c>
      <c r="B5544" s="6" t="str">
        <f>IFERROR(__xludf.DUMMYFUNCTION("GOOGLETRANSLATE(A5544,""en"",""fi"")"),"Se voi saada viholliset hallintaansa omituisilla tanssiaskeleilla. Sen otsassa olevat mustat helmet ovat arvokkaita jalokiviä.")</f>
        <v>Se voi saada viholliset hallintaansa omituisilla tanssiaskeleilla. Sen otsassa olevat mustat helmet ovat arvokkaita jalokiviä.</v>
      </c>
      <c r="C5544" s="9" t="s">
        <v>1344</v>
      </c>
    </row>
    <row r="5545" ht="33.75" customHeight="1">
      <c r="A5545" s="6" t="s">
        <v>8214</v>
      </c>
      <c r="B5545" s="6" t="str">
        <f>IFERROR(__xludf.DUMMYFUNCTION("GOOGLETRANSLATE(A5545,""en"",""fi"")"),"Se käyttää mustia helmiä vahvistaakseen psykovoimaansa. Se tanssii omituista tanssia saadakseen viholliset hallintaansa.")</f>
        <v>Se käyttää mustia helmiä vahvistaakseen psykovoimaansa. Se tanssii omituista tanssia saadakseen viholliset hallintaansa.</v>
      </c>
      <c r="C5545" s="9" t="s">
        <v>1344</v>
      </c>
    </row>
    <row r="5546" ht="33.75" customHeight="1">
      <c r="A5546" s="6" t="s">
        <v>8215</v>
      </c>
      <c r="B5546" s="6" t="str">
        <f>IFERROR(__xludf.DUMMYFUNCTION("GOOGLETRANSLATE(A5546,""en"",""fi"")"),"Se voi esittää outoja tanssiaskelia vihollisten vaikuttamiseksi. Sen tanssityylistä tuli valtavan suosittu ulkomailla.")</f>
        <v>Se voi esittää outoja tanssiaskelia vihollisten vaikuttamiseksi. Sen tanssityylistä tuli valtavan suosittu ulkomailla.</v>
      </c>
      <c r="C5546" s="9" t="s">
        <v>1344</v>
      </c>
    </row>
    <row r="5547" ht="33.75" customHeight="1">
      <c r="A5547" s="6" t="s">
        <v>8217</v>
      </c>
      <c r="B5547" s="6" t="str">
        <f>IFERROR(__xludf.DUMMYFUNCTION("GOOGLETRANSLATE(A5547,""en"",""fi"")"),"Se käyttää mustia helmiä vahvistaakseen psyykkistä voimaansa. Se tanssii outoa tanssia hallitakseen vihollisten mieliä.")</f>
        <v>Se käyttää mustia helmiä vahvistaakseen psyykkistä voimaansa. Se tanssii outoa tanssia hallitakseen vihollisten mieliä.</v>
      </c>
      <c r="C5547" s="9" t="s">
        <v>1344</v>
      </c>
    </row>
    <row r="5548" ht="33.75" customHeight="1">
      <c r="A5548" s="6" t="s">
        <v>8218</v>
      </c>
      <c r="B5548" s="6" t="str">
        <f>IFERROR(__xludf.DUMMYFUNCTION("GOOGLETRANSLATE(A5548,""en"",""fi"")"),"Se käyttää mustia helmiä vahvistaakseen psyykkistä voimaansa. Se tanssii omituista tanssia saadakseen viholliset hallintaansa.")</f>
        <v>Se käyttää mustia helmiä vahvistaakseen psyykkistä voimaansa. Se tanssii omituista tanssia saadakseen viholliset hallintaansa.</v>
      </c>
      <c r="C5548" s="9" t="s">
        <v>1344</v>
      </c>
    </row>
    <row r="5549" ht="33.75" customHeight="1">
      <c r="A5549" s="6" t="s">
        <v>8219</v>
      </c>
      <c r="B5549" s="6" t="str">
        <f>IFERROR(__xludf.DUMMYFUNCTION("GOOGLETRANSLATE(A5549,""en"",""fi"")"),"Grumpig käyttää kehossaan olevia mustia helmiä vahvistaakseen psyykkisiä voima-aaltojaan ja saadakseen täyden hallinnan vihollisestaan. Kun tämä Pokémon käyttää erityisvoimaansa, sen kuorsaus käy raskaaksi.")</f>
        <v>Grumpig käyttää kehossaan olevia mustia helmiä vahvistaakseen psyykkisiä voima-aaltojaan ja saadakseen täyden hallinnan vihollisestaan. Kun tämä Pokémon käyttää erityisvoimaansa, sen kuorsaus käy raskaaksi.</v>
      </c>
      <c r="C5549" s="9" t="s">
        <v>1344</v>
      </c>
    </row>
    <row r="5550" ht="33.75" customHeight="1">
      <c r="A5550" s="6" t="s">
        <v>8222</v>
      </c>
      <c r="B5550" s="6" t="str">
        <f>IFERROR(__xludf.DUMMYFUNCTION("GOOGLETRANSLATE(A5550,""en"",""fi"")"),"Grumpig käyttää kehossaan olevia mustia helmiä fantastisten voimiensa käyttämiseen. Niin tehdessään se tanssii omituisesti. Tämän Pokémonin mustat helmet ovat arvokkaita taideteoksia.")</f>
        <v>Grumpig käyttää kehossaan olevia mustia helmiä fantastisten voimiensa käyttämiseen. Niin tehdessään se tanssii omituisesti. Tämän Pokémonin mustat helmet ovat arvokkaita taideteoksia.</v>
      </c>
      <c r="C5550" s="9" t="s">
        <v>1344</v>
      </c>
    </row>
    <row r="5551" ht="33.75" customHeight="1">
      <c r="A5551" s="6" t="s">
        <v>8225</v>
      </c>
      <c r="B5551" s="6" t="str">
        <f>IFERROR(__xludf.DUMMYFUNCTION("GOOGLETRANSLATE(A5551,""en"",""fi"")"),"Kaikilla maailman SPINDA-pokémoneilla sanotaan olevan täysin ainutlaatuisia täpläkuvioita. Tämän POKéMONin horjuvat, horjuvat askeleet antavat sille tanssivan vaikutelman.")</f>
        <v>Kaikilla maailman SPINDA-pokémoneilla sanotaan olevan täysin ainutlaatuisia täpläkuvioita. Tämän POKéMONin horjuvat, horjuvat askeleet antavat sille tanssivan vaikutelman.</v>
      </c>
      <c r="C5551" s="9" t="s">
        <v>1344</v>
      </c>
    </row>
    <row r="5552" ht="33.75" customHeight="1">
      <c r="A5552" s="6" t="s">
        <v>8226</v>
      </c>
      <c r="B5552" s="6" t="str">
        <f>IFERROR(__xludf.DUMMYFUNCTION("GOOGLETRANSLATE(A5552,""en"",""fi"")"),"Kahdenkaan SPINDAn nahassa ei sanota olevan identtisiä täpläkuvioita. Tämä POKéMON liikkuu omituisesti, ikään kuin se kompastelisi huimauksesta. Sen horjuvat liikkeet voivat saada vastustajan hämmentymään.")</f>
        <v>Kahdenkaan SPINDAn nahassa ei sanota olevan identtisiä täpläkuvioita. Tämä POKéMON liikkuu omituisesti, ikään kuin se kompastelisi huimauksesta. Sen horjuvat liikkeet voivat saada vastustajan hämmentymään.</v>
      </c>
      <c r="C5552" s="9" t="s">
        <v>1344</v>
      </c>
    </row>
    <row r="5553" ht="33.75" customHeight="1">
      <c r="A5553" s="6" t="s">
        <v>8227</v>
      </c>
      <c r="B5553" s="6" t="str">
        <f>IFERROR(__xludf.DUMMYFUNCTION("GOOGLETRANSLATE(A5553,""en"",""fi"")"),"Sille on tunnusomaista aina erilainen täpläkuvio. Sen epävakaa, horjuva kävely tekee vihollisen tähtäimestä virheellisen.")</f>
        <v>Sille on tunnusomaista aina erilainen täpläkuvio. Sen epävakaa, horjuva kävely tekee vihollisen tähtäimestä virheellisen.</v>
      </c>
      <c r="C5553" s="9" t="s">
        <v>1344</v>
      </c>
    </row>
    <row r="5554" ht="33.75" customHeight="1">
      <c r="A5554" s="6" t="s">
        <v>8229</v>
      </c>
      <c r="B5554" s="6" t="str">
        <f>IFERROR(__xludf.DUMMYFUNCTION("GOOGLETRANSLATE(A5554,""en"",""fi"")"),"Kahden SPINDAn ei sanota omaavan identtisiä kuvioita. Se hämmentää vihollisia kompasteluliikkeillään.")</f>
        <v>Kahden SPINDAn ei sanota omaavan identtisiä kuvioita. Se hämmentää vihollisia kompasteluliikkeillään.</v>
      </c>
      <c r="C5554" s="9" t="s">
        <v>1344</v>
      </c>
    </row>
    <row r="5555" ht="33.75" customHeight="1">
      <c r="A5555" s="6" t="s">
        <v>8231</v>
      </c>
      <c r="B5555" s="6" t="str">
        <f>IFERROR(__xludf.DUMMYFUNCTION("GOOGLETRANSLATE(A5555,""en"",""fi"")"),"Kahdella SPINDALLA ei ole samanlaista täpläkuviota. Sen horjuva askel tekee vihollisten tähtäyksestä virheellisen.")</f>
        <v>Kahdella SPINDALLA ei ole samanlaista täpläkuviota. Sen horjuva askel tekee vihollisten tähtäyksestä virheellisen.</v>
      </c>
      <c r="C5555" s="9" t="s">
        <v>1344</v>
      </c>
    </row>
    <row r="5556" ht="33.75" customHeight="1">
      <c r="A5556" s="6" t="s">
        <v>8233</v>
      </c>
      <c r="B5556" s="6" t="str">
        <f>IFERROR(__xludf.DUMMYFUNCTION("GOOGLETRANSLATE(A5556,""en"",""fi"")"),"Kahden SPINDAn todennäköisyys saada identtiset täpläkuviot on alle yksi neljästä miljardista.")</f>
        <v>Kahden SPINDAn todennäköisyys saada identtiset täpläkuviot on alle yksi neljästä miljardista.</v>
      </c>
      <c r="C5556" s="9" t="s">
        <v>1344</v>
      </c>
    </row>
    <row r="5557" ht="33.75" customHeight="1">
      <c r="A5557" s="6" t="s">
        <v>8235</v>
      </c>
      <c r="B5557" s="6" t="str">
        <f>IFERROR(__xludf.DUMMYFUNCTION("GOOGLETRANSLATE(A5557,""en"",""fi"")"),"Kahdella Spindalla ei ole samanlaista täpläkuviota. Sen horjuva askel tekee vihollisten tähtäyksestä virheellistä.")</f>
        <v>Kahdella Spindalla ei ole samanlaista täpläkuviota. Sen horjuva askel tekee vihollisten tähtäyksestä virheellistä.</v>
      </c>
      <c r="C5557" s="9" t="s">
        <v>1344</v>
      </c>
    </row>
    <row r="5558" ht="33.75" customHeight="1">
      <c r="A5558" s="6" t="s">
        <v>8236</v>
      </c>
      <c r="B5558" s="6" t="str">
        <f>IFERROR(__xludf.DUMMYFUNCTION("GOOGLETRANSLATE(A5558,""en"",""fi"")"),"Kahden Spindan identtisten täpläkuvioiden todennäköisyys on alle yksi neljästä miljardista.")</f>
        <v>Kahden Spindan identtisten täpläkuvioiden todennäköisyys on alle yksi neljästä miljardista.</v>
      </c>
      <c r="C5558" s="9" t="s">
        <v>1344</v>
      </c>
    </row>
    <row r="5559" ht="33.75" customHeight="1">
      <c r="A5559" s="6" t="s">
        <v>8238</v>
      </c>
      <c r="B5559" s="6" t="str">
        <f>IFERROR(__xludf.DUMMYFUNCTION("GOOGLETRANSLATE(A5559,""en"",""fi"")"),"Kaikilla maailman Spindoilla sanotaan olevan täysin ainutlaatuisia täpläkuvioita. Tämän Pokémonin horjuvat, horjuvat askeleet antavat sille tanssivan vaikutelman.")</f>
        <v>Kaikilla maailman Spindoilla sanotaan olevan täysin ainutlaatuisia täpläkuvioita. Tämän Pokémonin horjuvat, horjuvat askeleet antavat sille tanssivan vaikutelman.</v>
      </c>
      <c r="C5559" s="9" t="s">
        <v>1344</v>
      </c>
    </row>
    <row r="5560" ht="33.75" customHeight="1">
      <c r="A5560" s="6" t="s">
        <v>8239</v>
      </c>
      <c r="B5560" s="6" t="str">
        <f>IFERROR(__xludf.DUMMYFUNCTION("GOOGLETRANSLATE(A5560,""en"",""fi"")"),"Kahdenkaan Spindan nahassa ei sanota olevan identtisiä täpläkuvioita. Tämä Pokémon liikkuu omituisesti, ikään kuin se kompastelisi huimauksesta. Sen horjuvat liikkeet voivat saada vastustajan hämmentymään.")</f>
        <v>Kahdenkaan Spindan nahassa ei sanota olevan identtisiä täpläkuvioita. Tämä Pokémon liikkuu omituisesti, ikään kuin se kompastelisi huimauksesta. Sen horjuvat liikkeet voivat saada vastustajan hämmentymään.</v>
      </c>
      <c r="C5560" s="9" t="s">
        <v>1344</v>
      </c>
    </row>
    <row r="5561" ht="33.75" customHeight="1">
      <c r="A5561" s="6" t="s">
        <v>8240</v>
      </c>
      <c r="B5561" s="6" t="str">
        <f>IFERROR(__xludf.DUMMYFUNCTION("GOOGLETRANSLATE(A5561,""en"",""fi"")"),"Sen askeleet ovat horjuvat ja epävakaat, mutta Spinda luulee sen kävelevän suoraa linjaa.")</f>
        <v>Sen askeleet ovat horjuvat ja epävakaat, mutta Spinda luulee sen kävelevän suoraa linjaa.</v>
      </c>
      <c r="C5561" s="9" t="s">
        <v>1344</v>
      </c>
    </row>
    <row r="5562" ht="33.75" customHeight="1">
      <c r="A5562" s="6" t="s">
        <v>8241</v>
      </c>
      <c r="B5562" s="6" t="str">
        <f>IFERROR(__xludf.DUMMYFUNCTION("GOOGLETRANSLATE(A5562,""en"",""fi"")"),"Jokaisessa Spindassa on hieman erilainen täplämuodostelma. On keräilijöitä, jotka nauttivat pienistä eroista täpläkuvioissa.")</f>
        <v>Jokaisessa Spindassa on hieman erilainen täplämuodostelma. On keräilijöitä, jotka nauttivat pienistä eroista täpläkuvioissa.</v>
      </c>
      <c r="C5562" s="9" t="s">
        <v>1344</v>
      </c>
    </row>
    <row r="5563" ht="33.75" customHeight="1">
      <c r="A5563" s="6" t="s">
        <v>8242</v>
      </c>
      <c r="B5563" s="6" t="str">
        <f>IFERROR(__xludf.DUMMYFUNCTION("GOOGLETRANSLATE(A5563,""en"",""fi"")"),"Sen askeleet ovat horjuvat ja kompastelevat. Pitkä kävely tekee siitä pahoinvoivaa.")</f>
        <v>Sen askeleet ovat horjuvat ja kompastelevat. Pitkä kävely tekee siitä pahoinvoivaa.</v>
      </c>
      <c r="C5563" s="9" t="s">
        <v>1344</v>
      </c>
    </row>
    <row r="5564" ht="33.75" customHeight="1">
      <c r="A5564" s="6" t="s">
        <v>8245</v>
      </c>
      <c r="B5564" s="6" t="str">
        <f>IFERROR(__xludf.DUMMYFUNCTION("GOOGLETRANSLATE(A5564,""en"",""fi"")"),"Jokaisen Spindan liikkeen kuvio on erilainen. Kompasteluliikkeillään se väistää vastustajien hyökkäykset nerokkaasti!")</f>
        <v>Jokaisen Spindan liikkeen kuvio on erilainen. Kompasteluliikkeillään se väistää vastustajien hyökkäykset nerokkaasti!</v>
      </c>
      <c r="C5564" s="9" t="s">
        <v>1344</v>
      </c>
    </row>
    <row r="5565" ht="33.75" customHeight="1">
      <c r="A5565" s="6" t="s">
        <v>8246</v>
      </c>
      <c r="B5565" s="6" t="str">
        <f>IFERROR(__xludf.DUMMYFUNCTION("GOOGLETRANSLATE(A5565,""en"",""fi"")"),"TRAPINCHin pesä on kalteva, kulhomainen hiekkaan kaivettu kuoppa. Tämä POKéMON odottaa kärsivällisesti saaliin putoamista kuoppaan. Sen jättimäiset leuat ovat tarpeeksi voimaa murskata jopa lohkareet.")</f>
        <v>TRAPINCHin pesä on kalteva, kulhomainen hiekkaan kaivettu kuoppa. Tämä POKéMON odottaa kärsivällisesti saaliin putoamista kuoppaan. Sen jättimäiset leuat ovat tarpeeksi voimaa murskata jopa lohkareet.</v>
      </c>
      <c r="C5565" s="9" t="s">
        <v>1344</v>
      </c>
    </row>
    <row r="5566" ht="33.75" customHeight="1">
      <c r="A5566" s="6" t="s">
        <v>8248</v>
      </c>
      <c r="B5566" s="6" t="str">
        <f>IFERROR(__xludf.DUMMYFUNCTION("GOOGLETRANSLATE(A5566,""en"",""fi"")"),"TRAPINCH on kärsivällinen metsästäjä. Se kaivaa pakoonpääsemättömän kuopan aavikolle ja odottaa saaliinsa putoavan alas. Tämä POKéMON voi pärjätä kokonaisen viikon ilman vettä.")</f>
        <v>TRAPINCH on kärsivällinen metsästäjä. Se kaivaa pakoonpääsemättömän kuopan aavikolle ja odottaa saaliinsa putoavan alas. Tämä POKéMON voi pärjätä kokonaisen viikon ilman vettä.</v>
      </c>
      <c r="C5566" s="9" t="s">
        <v>1344</v>
      </c>
    </row>
    <row r="5567" ht="33.75" customHeight="1">
      <c r="A5567" s="6" t="s">
        <v>8249</v>
      </c>
      <c r="B5567" s="6" t="str">
        <f>IFERROR(__xludf.DUMMYFUNCTION("GOOGLETRANSLATE(A5567,""en"",""fi"")"),"Sen suuret leuat rutistavat lohkareiden läpi. Koska sen pää on niin suuri, sillä on vaikeuksia nousta takaisin pystyyn, jos se kaatuu selälleen.")</f>
        <v>Sen suuret leuat rutistavat lohkareiden läpi. Koska sen pää on niin suuri, sillä on vaikeuksia nousta takaisin pystyyn, jos se kaatuu selälleen.</v>
      </c>
      <c r="C5567" s="9" t="s">
        <v>1344</v>
      </c>
    </row>
    <row r="5568" ht="33.75" customHeight="1">
      <c r="A5568" s="6" t="s">
        <v>8250</v>
      </c>
      <c r="B5568" s="6" t="str">
        <f>IFERROR(__xludf.DUMMYFUNCTION("GOOGLETRANSLATE(A5568,""en"",""fi"")"),"Se elää kuivilla aavikoilla. Se tekee viistokuopan hiekkaan, jossa se kärsivällisesti odottaa saalista.")</f>
        <v>Se elää kuivilla aavikoilla. Se tekee viistokuopan hiekkaan, jossa se kärsivällisesti odottaa saalista.</v>
      </c>
      <c r="C5568" s="9" t="s">
        <v>1344</v>
      </c>
    </row>
    <row r="5569" ht="33.75" customHeight="1">
      <c r="A5569" s="6" t="s">
        <v>8252</v>
      </c>
      <c r="B5569" s="6" t="str">
        <f>IFERROR(__xludf.DUMMYFUNCTION("GOOGLETRANSLATE(A5569,""en"",""fi"")"),"Se tekee kartiomaisen kuopan aavikon hiekkaan ja väijyy pohjalla saalista, joka putoaa alas.")</f>
        <v>Se tekee kartiomaisen kuopan aavikon hiekkaan ja väijyy pohjalla saalista, joka putoaa alas.</v>
      </c>
      <c r="C5569" s="9" t="s">
        <v>1344</v>
      </c>
    </row>
    <row r="5570" ht="33.75" customHeight="1">
      <c r="A5570" s="6" t="s">
        <v>8253</v>
      </c>
      <c r="B5570" s="6" t="str">
        <f>IFERROR(__xludf.DUMMYFUNCTION("GOOGLETRANSLATE(A5570,""en"",""fi"")"),"Sen pesä on viettävä, kulhomainen kuoppa aavikolla. Kun jokin on pudonnut sinne, sieltä ei ole pakoa.")</f>
        <v>Sen pesä on viettävä, kulhomainen kuoppa aavikolla. Kun jokin on pudonnut sinne, sieltä ei ole pakoa.</v>
      </c>
      <c r="C5570" s="9" t="s">
        <v>1344</v>
      </c>
    </row>
    <row r="5571" ht="33.75" customHeight="1">
      <c r="A5571" s="6" t="s">
        <v>8254</v>
      </c>
      <c r="B5571" s="6" t="str">
        <f>IFERROR(__xludf.DUMMYFUNCTION("GOOGLETRANSLATE(A5571,""en"",""fi"")"),"Se tekee väistämättömän kartiomaisen kuopan ja väijyy pohjalla saalista putoamassa alas.")</f>
        <v>Se tekee väistämättömän kartiomaisen kuopan ja väijyy pohjalla saalista putoamassa alas.</v>
      </c>
      <c r="C5571" s="9" t="s">
        <v>1344</v>
      </c>
    </row>
    <row r="5572" ht="33.75" customHeight="1">
      <c r="A5572" s="6" t="s">
        <v>8255</v>
      </c>
      <c r="B5572" s="6" t="str">
        <f>IFERROR(__xludf.DUMMYFUNCTION("GOOGLETRANSLATE(A5572,""en"",""fi"")"),"Trapinchin pesä on kalteva, kulhomainen hiekkaan kaivettu kuoppa. Tämä Pokémon odottaa kärsivällisesti saaliin putoamista kuoppaan. Sen jättimäiset leuat ovat tarpeeksi voimakkaita murskaamaan jopa lohkareita.")</f>
        <v>Trapinchin pesä on kalteva, kulhomainen hiekkaan kaivettu kuoppa. Tämä Pokémon odottaa kärsivällisesti saaliin putoamista kuoppaan. Sen jättimäiset leuat ovat tarpeeksi voimakkaita murskaamaan jopa lohkareita.</v>
      </c>
      <c r="C5572" s="9" t="s">
        <v>1344</v>
      </c>
    </row>
    <row r="5573" ht="33.75" customHeight="1">
      <c r="A5573" s="6" t="s">
        <v>8257</v>
      </c>
      <c r="B5573" s="6" t="str">
        <f>IFERROR(__xludf.DUMMYFUNCTION("GOOGLETRANSLATE(A5573,""en"",""fi"")"),"Trapinch on kärsivällinen metsästäjä. Se kaivaa pakoonpääsemättömän kuopan aavikolle ja odottaa saaliinsa putoavan alas. Tämä Pokémon voi olla kokonaisen viikon ilman vettä.")</f>
        <v>Trapinch on kärsivällinen metsästäjä. Se kaivaa pakoonpääsemättömän kuopan aavikolle ja odottaa saaliinsa putoavan alas. Tämä Pokémon voi olla kokonaisen viikon ilman vettä.</v>
      </c>
      <c r="C5573" s="9" t="s">
        <v>1344</v>
      </c>
    </row>
    <row r="5574" ht="33.75" customHeight="1">
      <c r="A5574" s="6" t="s">
        <v>8258</v>
      </c>
      <c r="B5574" s="6" t="str">
        <f>IFERROR(__xludf.DUMMYFUNCTION("GOOGLETRANSLATE(A5574,""en"",""fi"")"),"Se voi elää viikon syömättä mitään. Se odottaa kärsivällisesti pesänsä pohjalla saaliin ilmestymistä.")</f>
        <v>Se voi elää viikon syömättä mitään. Se odottaa kärsivällisesti pesänsä pohjalla saaliin ilmestymistä.</v>
      </c>
      <c r="C5574" s="9" t="s">
        <v>1344</v>
      </c>
    </row>
    <row r="5575" ht="33.75" customHeight="1">
      <c r="A5575" s="6" t="s">
        <v>8259</v>
      </c>
      <c r="B5575" s="6" t="str">
        <f>IFERROR(__xludf.DUMMYFUNCTION("GOOGLETRANSLATE(A5575,""en"",""fi"")"),"Kaivaessaan hiekkaa sen jättimäiset leuat murskaavat kaikki kivet, jotka estävät sen tietä. Se rakentaa suppilonmuotoisen pesän.")</f>
        <v>Kaivaessaan hiekkaa sen jättimäiset leuat murskaavat kaikki kivet, jotka estävät sen tietä. Se rakentaa suppilonmuotoisen pesän.</v>
      </c>
      <c r="C5575" s="9" t="s">
        <v>1344</v>
      </c>
    </row>
    <row r="5576" ht="33.75" customHeight="1">
      <c r="A5576" s="6" t="s">
        <v>8260</v>
      </c>
      <c r="B5576" s="6" t="str">
        <f>IFERROR(__xludf.DUMMYFUNCTION("GOOGLETRANSLATE(A5576,""en"",""fi"")"),"Sen leuat ovat tarpeeksi vahvat murskaamaan kiviä, mutta niin raskaat, ettei se nouse ylös, jos se kaatuu. Sandile tarttuu näihin hetkiin tilaisuutena.")</f>
        <v>Sen leuat ovat tarpeeksi vahvat murskaamaan kiviä, mutta niin raskaat, ettei se nouse ylös, jos se kaatuu. Sandile tarttuu näihin hetkiin tilaisuutena.</v>
      </c>
      <c r="C5576" s="9" t="s">
        <v>1344</v>
      </c>
    </row>
    <row r="5577" ht="33.75" customHeight="1">
      <c r="A5577" s="6" t="s">
        <v>8261</v>
      </c>
      <c r="B5577" s="6" t="str">
        <f>IFERROR(__xludf.DUMMYFUNCTION("GOOGLETRANSLATE(A5577,""en"",""fi"")"),"Se rakentaa pesiä, jotka toimivat myös ansoina väijyen saalistaan. Yön laskeutuessa se kaivaa itselleen paikan hiekan alle nukkuakseen.")</f>
        <v>Se rakentaa pesiä, jotka toimivat myös ansoina väijyen saalistaan. Yön laskeutuessa se kaivaa itselleen paikan hiekan alle nukkuakseen.</v>
      </c>
      <c r="C5577" s="9" t="s">
        <v>1344</v>
      </c>
    </row>
    <row r="5578" ht="33.75" customHeight="1">
      <c r="A5578" s="6" t="s">
        <v>8262</v>
      </c>
      <c r="B5578" s="6" t="str">
        <f>IFERROR(__xludf.DUMMYFUNCTION("GOOGLETRANSLATE(A5578,""en"",""fi"")"),"VIBRAVA tuottaa ultraääniaaltoja värähtelemällä voimakkaasti kahta siipeään saadakseen saaliinsa pyörtymään. Tämän POKéMONin ultraääniaallot ovat niin voimakkaita, että ne voivat aiheuttaa ihmisille päänsärkyä.")</f>
        <v>VIBRAVA tuottaa ultraääniaaltoja värähtelemällä voimakkaasti kahta siipeään saadakseen saaliinsa pyörtymään. Tämän POKéMONin ultraääniaallot ovat niin voimakkaita, että ne voivat aiheuttaa ihmisille päänsärkyä.</v>
      </c>
      <c r="C5578" s="9" t="s">
        <v>1344</v>
      </c>
    </row>
    <row r="5579" ht="33.75" customHeight="1">
      <c r="A5579" s="6" t="s">
        <v>8264</v>
      </c>
      <c r="B5579" s="6" t="str">
        <f>IFERROR(__xludf.DUMMYFUNCTION("GOOGLETRANSLATE(A5579,""en"",""fi"")"),"VIBRAVAn siivet eivät ole vielä kasvaneet loppuun. Pitkien matkojen lentämisen sijaan ne ovat hyödyllisempiä ultraääniaaltojen tuottamiseen värähtelemällä.")</f>
        <v>VIBRAVAn siivet eivät ole vielä kasvaneet loppuun. Pitkien matkojen lentämisen sijaan ne ovat hyödyllisempiä ultraääniaaltojen tuottamiseen värähtelemällä.</v>
      </c>
      <c r="C5579" s="9" t="s">
        <v>1344</v>
      </c>
    </row>
    <row r="5580" ht="33.75" customHeight="1">
      <c r="A5580" s="6" t="s">
        <v>8265</v>
      </c>
      <c r="B5580" s="6" t="str">
        <f>IFERROR(__xludf.DUMMYFUNCTION("GOOGLETRANSLATE(A5580,""en"",""fi"")"),"Se lähettää ultraääniaaltoja hankaamalla siipiään yhteen. Koska VIBRAVAn siivet ovat vielä kasvuvaiheessa, se voi lentää vain lyhyitä matkoja.")</f>
        <v>Se lähettää ultraääniaaltoja hankaamalla siipiään yhteen. Koska VIBRAVAn siivet ovat vielä kasvuvaiheessa, se voi lentää vain lyhyitä matkoja.</v>
      </c>
      <c r="C5580" s="9" t="s">
        <v>1344</v>
      </c>
    </row>
    <row r="5581" ht="33.75" customHeight="1">
      <c r="A5581" s="6" t="s">
        <v>8266</v>
      </c>
      <c r="B5581" s="6" t="str">
        <f>IFERROR(__xludf.DUMMYFUNCTION("GOOGLETRANSLATE(A5581,""en"",""fi"")"),"Se tuottaa ultraääniaaltoja räpyttelemällä siipiään rajusti. Pyörrytettyään saaliinsa se sulattaa sen hapolla.")</f>
        <v>Se tuottaa ultraääniaaltoja räpyttelemällä siipiään rajusti. Pyörrytettyään saaliinsa se sulattaa sen hapolla.</v>
      </c>
      <c r="C5581" s="9" t="s">
        <v>1344</v>
      </c>
    </row>
    <row r="5582" ht="33.75" customHeight="1">
      <c r="A5582" s="6" t="s">
        <v>8268</v>
      </c>
      <c r="B5582" s="6" t="str">
        <f>IFERROR(__xludf.DUMMYFUNCTION("GOOGLETRANSLATE(A5582,""en"",""fi"")"),"Se heiluttaa siipiään rajusti ja tuottaa ultraääniaaltoja, jotka aiheuttavat ihmisille päänsärkyä.")</f>
        <v>Se heiluttaa siipiään rajusti ja tuottaa ultraääniaaltoja, jotka aiheuttavat ihmisille päänsärkyä.</v>
      </c>
      <c r="C5582" s="9" t="s">
        <v>1344</v>
      </c>
    </row>
    <row r="5583" ht="33.75" customHeight="1">
      <c r="A5583" s="6" t="s">
        <v>8269</v>
      </c>
      <c r="B5583" s="6" t="str">
        <f>IFERROR(__xludf.DUMMYFUNCTION("GOOGLETRANSLATE(A5583,""en"",""fi"")"),"Se värisee siipiään voimakkaasti, mikä luo ultraääniaaltoja, jotka aiheuttavat vakavia päänsärkyjä.")</f>
        <v>Se värisee siipiään voimakkaasti, mikä luo ultraääniaaltoja, jotka aiheuttavat vakavia päänsärkyjä.</v>
      </c>
      <c r="C5583" s="9" t="s">
        <v>1344</v>
      </c>
    </row>
    <row r="5584" ht="33.75" customHeight="1">
      <c r="A5584" s="6" t="s">
        <v>8270</v>
      </c>
      <c r="B5584" s="6" t="str">
        <f>IFERROR(__xludf.DUMMYFUNCTION("GOOGLETRANSLATE(A5584,""en"",""fi"")"),"Sen kahden siiven hankauksesta syntyvät ultraääniaallot aiheuttavat voimakasta päänsärkyä.")</f>
        <v>Sen kahden siiven hankauksesta syntyvät ultraääniaallot aiheuttavat voimakasta päänsärkyä.</v>
      </c>
      <c r="C5584" s="9" t="s">
        <v>1344</v>
      </c>
    </row>
    <row r="5585" ht="33.75" customHeight="1">
      <c r="A5585" s="6" t="s">
        <v>8271</v>
      </c>
      <c r="B5585" s="6" t="str">
        <f>IFERROR(__xludf.DUMMYFUNCTION("GOOGLETRANSLATE(A5585,""en"",""fi"")"),"Saadakseen saaliinsa pyörtymään, Vibrava tuottaa ultraääniaaltoja värähtelemällä voimakkaasti kahta siipeään. Tämän Pokémonin ultraääniaallot ovat niin voimakkaita, että ne voivat aiheuttaa ihmisille päänsärkyä.")</f>
        <v>Saadakseen saaliinsa pyörtymään, Vibrava tuottaa ultraääniaaltoja värähtelemällä voimakkaasti kahta siipeään. Tämän Pokémonin ultraääniaallot ovat niin voimakkaita, että ne voivat aiheuttaa ihmisille päänsärkyä.</v>
      </c>
      <c r="C5585" s="9" t="s">
        <v>1344</v>
      </c>
    </row>
    <row r="5586" ht="33.75" customHeight="1">
      <c r="A5586" s="6" t="s">
        <v>8273</v>
      </c>
      <c r="B5586" s="6" t="str">
        <f>IFERROR(__xludf.DUMMYFUNCTION("GOOGLETRANSLATE(A5586,""en"",""fi"")"),"Vibravan siivet eivät ole vielä kasvaneet loppuun. Pitkien matkojen lentämisen sijaan ne ovat hyödyllisempiä ultraääniaaltojen tuottamiseen värähtelemällä.")</f>
        <v>Vibravan siivet eivät ole vielä kasvaneet loppuun. Pitkien matkojen lentämisen sijaan ne ovat hyödyllisempiä ultraääniaaltojen tuottamiseen värähtelemällä.</v>
      </c>
      <c r="C5586" s="9" t="s">
        <v>1344</v>
      </c>
    </row>
    <row r="5587" ht="33.75" customHeight="1">
      <c r="A5587" s="6" t="s">
        <v>8274</v>
      </c>
      <c r="B5587" s="6" t="str">
        <f>IFERROR(__xludf.DUMMYFUNCTION("GOOGLETRANSLATE(A5587,""en"",""fi"")"),"Sen sijaan, että se käyttäisi alikehittyneitä siipiään lentoon, se hieroo niitä yhteen ja tuottaa ultraääniaaltoja hyökätäkseen vihollistensa kimppuun.")</f>
        <v>Sen sijaan, että se käyttäisi alikehittyneitä siipiään lentoon, se hieroo niitä yhteen ja tuottaa ultraääniaaltoja hyökätäkseen vihollistensa kimppuun.</v>
      </c>
      <c r="C5587" s="9" t="s">
        <v>1344</v>
      </c>
    </row>
    <row r="5588" ht="33.75" customHeight="1">
      <c r="A5588" s="6" t="s">
        <v>8275</v>
      </c>
      <c r="B5588" s="6" t="str">
        <f>IFERROR(__xludf.DUMMYFUNCTION("GOOGLETRANSLATE(A5588,""en"",""fi"")"),"Auttaakseen siipiään kasvamaan se liuottaa saalista ruoansulatusnesteisiinsä ja ahmii sitä päivittäin.")</f>
        <v>Auttaakseen siipiään kasvamaan se liuottaa saalista ruoansulatusnesteisiinsä ja ahmii sitä päivittäin.</v>
      </c>
      <c r="C5588" s="9" t="s">
        <v>1344</v>
      </c>
    </row>
    <row r="5589" ht="33.75" customHeight="1">
      <c r="A5589" s="6" t="s">
        <v>8277</v>
      </c>
      <c r="B5589" s="6" t="str">
        <f>IFERROR(__xludf.DUMMYFUNCTION("GOOGLETRANSLATE(A5589,""en"",""fi"")"),"Se värisyttää siipiään tuottaakseen ultraääniaaltoja, jotka saavat saaliinsa pyörtymään. Sitten se hautaa saaliin elävältä hiekkaan suojellakseen sitä.")</f>
        <v>Se värisyttää siipiään tuottaakseen ultraääniaaltoja, jotka saavat saaliinsa pyörtymään. Sitten se hautaa saaliin elävältä hiekkaan suojellakseen sitä.</v>
      </c>
      <c r="C5589" s="9" t="s">
        <v>1344</v>
      </c>
    </row>
    <row r="5590" ht="33.75" customHeight="1">
      <c r="A5590" s="6" t="s">
        <v>8279</v>
      </c>
      <c r="B5590" s="6" t="str">
        <f>IFERROR(__xludf.DUMMYFUNCTION("GOOGLETRANSLATE(A5590,""en"",""fi"")"),"Se värisee siipiään lähettääkseen outoja ääniaaltoja. Sen kanssa olevat kouluttajat tarvitsevat korvatulpat.")</f>
        <v>Se värisee siipiään lähettääkseen outoja ääniaaltoja. Sen kanssa olevat kouluttajat tarvitsevat korvatulpat.</v>
      </c>
      <c r="C5590" s="9" t="s">
        <v>1344</v>
      </c>
    </row>
    <row r="5591" ht="33.75" customHeight="1">
      <c r="A5591" s="6" t="s">
        <v>8280</v>
      </c>
      <c r="B5591" s="6" t="str">
        <f>IFERROR(__xludf.DUMMYFUNCTION("GOOGLETRANSLATE(A5591,""en"",""fi"")"),"FLYGONia kutsutaan lempinimellä ""aavikon alkuainehengeksi"". Koska sen räpyttelevät siivet piiskaavat hiekkapilven, tämä POKéMON on aina lentäessään hiekkamyrskyn ympäröimänä.")</f>
        <v>FLYGONia kutsutaan lempinimellä "aavikon alkuainehengeksi". Koska sen räpyttelevät siivet piiskaavat hiekkapilven, tämä POKéMON on aina lentäessään hiekkamyrskyn ympäröimänä.</v>
      </c>
      <c r="C5591" s="9" t="s">
        <v>1344</v>
      </c>
    </row>
    <row r="5592" ht="33.75" customHeight="1">
      <c r="A5592" s="6" t="s">
        <v>8282</v>
      </c>
      <c r="B5592" s="6" t="str">
        <f>IFERROR(__xludf.DUMMYFUNCTION("GOOGLETRANSLATE(A5592,""en"",""fi"")"),"FLYGON aiheuttaa hiekkamyrskyn räpyttelemällä siipiään. Siivet luovat sarjan nuotteja, jotka kuulostavat laululta. Koska ""laulu"" on ainoa asia, jonka voi kuulla hiekkamyrskyssä, tämän POKéMONin sanotaan olevan aavikon henki.")</f>
        <v>FLYGON aiheuttaa hiekkamyrskyn räpyttelemällä siipiään. Siivet luovat sarjan nuotteja, jotka kuulostavat laululta. Koska "laulu" on ainoa asia, jonka voi kuulla hiekkamyrskyssä, tämän POKéMONin sanotaan olevan aavikon henki.</v>
      </c>
      <c r="C5592" s="9" t="s">
        <v>1344</v>
      </c>
    </row>
    <row r="5593" ht="33.75" customHeight="1">
      <c r="A5593" s="6" t="s">
        <v>8284</v>
      </c>
      <c r="B5593" s="6" t="str">
        <f>IFERROR(__xludf.DUMMYFUNCTION("GOOGLETRANSLATE(A5593,""en"",""fi"")"),"Sen siipien räpyttely kuulostaa laululta. Estääkseen vihollisten havaitsemisen se piiloutuu räpyttelemällä ilmaan aavikon hiekkapilven.")</f>
        <v>Sen siipien räpyttely kuulostaa laululta. Estääkseen vihollisten havaitsemisen se piiloutuu räpyttelemällä ilmaan aavikon hiekkapilven.</v>
      </c>
      <c r="C5593" s="9" t="s">
        <v>1344</v>
      </c>
    </row>
    <row r="5594" ht="33.75" customHeight="1">
      <c r="A5594" s="6" t="s">
        <v>8286</v>
      </c>
      <c r="B5594" s="6" t="str">
        <f>IFERROR(__xludf.DUMMYFUNCTION("GOOGLETRANSLATE(A5594,""en"",""fi"")"),"Se piiloutuu potkimalla siivillään aavikon hiekkaa ilmaan. Punaiset suojat suojaavat sen silmiä hiekalta.")</f>
        <v>Se piiloutuu potkimalla siivillään aavikon hiekkaa ilmaan. Punaiset suojat suojaavat sen silmiä hiekalta.</v>
      </c>
      <c r="C5594" s="9" t="s">
        <v>1344</v>
      </c>
    </row>
    <row r="5595" ht="33.75" customHeight="1">
      <c r="A5595" s="6" t="s">
        <v>8287</v>
      </c>
      <c r="B5595" s="6" t="str">
        <f>IFERROR(__xludf.DUMMYFUNCTION("GOOGLETRANSLATE(A5595,""en"",""fi"")"),"Se nostattaa hiekkamyrskyjä voimakkailla siipiensä läpätyksillä. Se tunnetaan nimellä ""Aavikon henki"".")</f>
        <v>Se nostattaa hiekkamyrskyjä voimakkailla siipiensä läpätyksillä. Se tunnetaan nimellä "Aavikon henki".</v>
      </c>
      <c r="C5595" s="9" t="s">
        <v>1344</v>
      </c>
    </row>
    <row r="5596" ht="33.75" customHeight="1">
      <c r="A5596" s="6" t="s">
        <v>8289</v>
      </c>
      <c r="B5596" s="6" t="str">
        <f>IFERROR(__xludf.DUMMYFUNCTION("GOOGLETRANSLATE(A5596,""en"",""fi"")"),"Se on saanut lempinimen ""Aavikon henki"", koska sen siipien räpyttely kuulostaa naisen laululta.")</f>
        <v>Se on saanut lempinimen "Aavikon henki", koska sen siipien räpyttely kuulostaa naisen laululta.</v>
      </c>
      <c r="C5596" s="9" t="s">
        <v>1344</v>
      </c>
    </row>
    <row r="5597" ht="33.75" customHeight="1">
      <c r="A5597" s="6" t="s">
        <v>8291</v>
      </c>
      <c r="B5597" s="6" t="str">
        <f>IFERROR(__xludf.DUMMYFUNCTION("GOOGLETRANSLATE(A5597,""en"",""fi"")"),"Tämä ""Aavikon sieluna"" tunnettu Pokémon piiloutuu siipiään räpyttelemällä aiheuttamiinsa hiekkamyrskyihin.")</f>
        <v>Tämä "Aavikon sieluna" tunnettu Pokémon piiloutuu siipiään räpyttelemällä aiheuttamiinsa hiekkamyrskyihin.</v>
      </c>
      <c r="C5597" s="9" t="s">
        <v>1344</v>
      </c>
    </row>
    <row r="5598" ht="33.75" customHeight="1">
      <c r="A5598" s="6" t="s">
        <v>8294</v>
      </c>
      <c r="B5598" s="6" t="str">
        <f>IFERROR(__xludf.DUMMYFUNCTION("GOOGLETRANSLATE(A5598,""en"",""fi"")"),"Flygonin lempinimi on ""aavikon elementtihenki"". Koska sen räpyttelevät siivet nostavat hiekkapilven, tämä Pokémon on aina lentäessään hiekkamyrskyn ympäröimänä.")</f>
        <v>Flygonin lempinimi on "aavikon elementtihenki". Koska sen räpyttelevät siivet nostavat hiekkapilven, tämä Pokémon on aina lentäessään hiekkamyrskyn ympäröimänä.</v>
      </c>
      <c r="C5598" s="9" t="s">
        <v>1344</v>
      </c>
    </row>
    <row r="5599" ht="33.75" customHeight="1">
      <c r="A5599" s="6" t="s">
        <v>8296</v>
      </c>
      <c r="B5599" s="6" t="str">
        <f>IFERROR(__xludf.DUMMYFUNCTION("GOOGLETRANSLATE(A5599,""en"",""fi"")"),"Flygon nostattaa hiekkamyrskyn räpyttelemällä siipiään. Siivet luovat sarjan nuotteja, jotka kuulostavat laululta. Koska ""laulu"" on ainoa asia, joka hiekkamyrskyssä kuuluu, tätä Pokémonia kutsutaan aavikonhengeksi.")</f>
        <v>Flygon nostattaa hiekkamyrskyn räpyttelemällä siipiään. Siivet luovat sarjan nuotteja, jotka kuulostavat laululta. Koska "laulu" on ainoa asia, joka hiekkamyrskyssä kuuluu, tätä Pokémonia kutsutaan aavikonhengeksi.</v>
      </c>
      <c r="C5599" s="9" t="s">
        <v>1344</v>
      </c>
    </row>
    <row r="5600" ht="33.75" customHeight="1">
      <c r="A5600" s="6" t="s">
        <v>8297</v>
      </c>
      <c r="B5600" s="6" t="str">
        <f>IFERROR(__xludf.DUMMYFUNCTION("GOOGLETRANSLATE(A5600,""en"",""fi"")"),"Sen siipien räpyttely kuulostaa vähän kuin laululta. Äänen houkuttelemat joutuvat hiekkamyrskyn ympäröimiksi ja niistä tulee Flygonin saalis.")</f>
        <v>Sen siipien räpyttely kuulostaa vähän kuin laululta. Äänen houkuttelemat joutuvat hiekkamyrskyn ympäröimiksi ja niistä tulee Flygonin saalis.</v>
      </c>
      <c r="C5600" s="9" t="s">
        <v>1344</v>
      </c>
    </row>
    <row r="5601" ht="33.75" customHeight="1">
      <c r="A5601" s="6" t="s">
        <v>8299</v>
      </c>
      <c r="B5601" s="6" t="str">
        <f>IFERROR(__xludf.DUMMYFUNCTION("GOOGLETRANSLATE(A5601,""en"",""fi"")"),"Tämä Pokémon piileskelee luomiensa hiekkamyrskyjen sydämessä ja esiintyy harvoin paikoissa, joissa ihmiset voivat nähdä sen.")</f>
        <v>Tämä Pokémon piileskelee luomiensa hiekkamyrskyjen sydämessä ja esiintyy harvoin paikoissa, joissa ihmiset voivat nähdä sen.</v>
      </c>
      <c r="C5601" s="9" t="s">
        <v>1344</v>
      </c>
    </row>
    <row r="5602" ht="33.75" customHeight="1">
      <c r="A5602" s="6" t="s">
        <v>8301</v>
      </c>
      <c r="B5602" s="6" t="str">
        <f>IFERROR(__xludf.DUMMYFUNCTION("GOOGLETRANSLATE(A5602,""en"",""fi"")"),"Läpyttelemällä siipiään Flygonit aiheuttavat hiekkamyrskyjä, jotka kätkevät Krookodilen. Sitten tiimi jakaa saaliinsa.")</f>
        <v>Läpyttelemällä siipiään Flygonit aiheuttavat hiekkamyrskyjä, jotka kätkevät Krookodilen. Sitten tiimi jakaa saaliinsa.</v>
      </c>
      <c r="C5602" s="9" t="s">
        <v>1344</v>
      </c>
    </row>
    <row r="5603" ht="33.75" customHeight="1">
      <c r="A5603" s="6" t="s">
        <v>8303</v>
      </c>
      <c r="B5603" s="6" t="str">
        <f>IFERROR(__xludf.DUMMYFUNCTION("GOOGLETRANSLATE(A5603,""en"",""fi"")"),"Ihmisten sydämet varastetaan edelleen sen lumoavilla lauluilla ja he huomaavat jäävänsä autiomaahan.")</f>
        <v>Ihmisten sydämet varastetaan edelleen sen lumoavilla lauluilla ja he huomaavat jäävänsä autiomaahan.</v>
      </c>
      <c r="C5603" s="9" t="s">
        <v>1344</v>
      </c>
    </row>
    <row r="5604" ht="33.75" customHeight="1">
      <c r="A5604" s="6" t="s">
        <v>8304</v>
      </c>
      <c r="B5604" s="6" t="str">
        <f>IFERROR(__xludf.DUMMYFUNCTION("GOOGLETRANSLATE(A5604,""en"",""fi"")"),"Se on saanut lempinimen Aavikon henki, koska sen siipien räpyttely kuulostaa naisen laululta.")</f>
        <v>Se on saanut lempinimen Aavikon henki, koska sen siipien räpyttely kuulostaa naisen laululta.</v>
      </c>
      <c r="C5604" s="9" t="s">
        <v>1344</v>
      </c>
    </row>
    <row r="5605" ht="33.75" customHeight="1">
      <c r="A5605" s="6" t="s">
        <v>8306</v>
      </c>
      <c r="B5605" s="6" t="str">
        <f>IFERROR(__xludf.DUMMYFUNCTION("GOOGLETRANSLATE(A5605,""en"",""fi"")"),"CACNEA elää kuivilla alueilla, kuten aavikoilla. Se vapauttaa kukastaan ​​voimakasta tuoksua houkutellakseen saalista. Kun saalis tulee lähelle, tämä POKéMON ampuu teräviä piikkejä ruumiistaan ​​kaataakseen uhrin.")</f>
        <v>CACNEA elää kuivilla alueilla, kuten aavikoilla. Se vapauttaa kukastaan ​​voimakasta tuoksua houkutellakseen saalista. Kun saalis tulee lähelle, tämä POKéMON ampuu teräviä piikkejä ruumiistaan ​​kaataakseen uhrin.</v>
      </c>
      <c r="C5605" s="9" t="s">
        <v>1344</v>
      </c>
    </row>
    <row r="5606" ht="33.75" customHeight="1">
      <c r="A5606" s="6" t="s">
        <v>8308</v>
      </c>
      <c r="B5606" s="6" t="str">
        <f>IFERROR(__xludf.DUMMYFUNCTION("GOOGLETRANSLATE(A5606,""en"",""fi"")"),"Mitä kuivempi ja ankarampi ympäristö, sitä kauniimpi ja tuoksuvampi CACNEA-kukka kasvaa. Tämä POKéMON taistelee heiluttamalla villisti piikkisiä käsivarsiaan.")</f>
        <v>Mitä kuivempi ja ankarampi ympäristö, sitä kauniimpi ja tuoksuvampi CACNEA-kukka kasvaa. Tämä POKéMON taistelee heiluttamalla villisti piikkisiä käsivarsiaan.</v>
      </c>
      <c r="C5606" s="9" t="s">
        <v>1344</v>
      </c>
    </row>
    <row r="5607" ht="33.75" customHeight="1">
      <c r="A5607" s="6" t="s">
        <v>8309</v>
      </c>
      <c r="B5607" s="6" t="str">
        <f>IFERROR(__xludf.DUMMYFUNCTION("GOOGLETRANSLATE(A5607,""en"",""fi"")"),"CACNEA elää aavikoilla, joilla ei juurikaan sada. Se taistelee heiluttamalla paksuja, piikkisiä käsiään. Kerran vuodessa kukkii keltainen kukka.")</f>
        <v>CACNEA elää aavikoilla, joilla ei juurikaan sada. Se taistelee heiluttamalla paksuja, piikkisiä käsiään. Kerran vuodessa kukkii keltainen kukka.</v>
      </c>
      <c r="C5607" s="9" t="s">
        <v>1344</v>
      </c>
    </row>
    <row r="5608" ht="33.75" customHeight="1">
      <c r="A5608" s="6" t="s">
        <v>8311</v>
      </c>
      <c r="B5608" s="6" t="str">
        <f>IFERROR(__xludf.DUMMYFUNCTION("GOOGLETRANSLATE(A5608,""en"",""fi"")"),"Se viihtyy ankarissa ympäristöissä, kuten aavikoilla. Se voi selvitä 30 päivää kehoonsa varastoidulla vedellä.")</f>
        <v>Se viihtyy ankarissa ympäristöissä, kuten aavikoilla. Se voi selvitä 30 päivää kehoonsa varastoidulla vedellä.</v>
      </c>
      <c r="C5608" s="9" t="s">
        <v>1344</v>
      </c>
    </row>
    <row r="5609" ht="33.75" customHeight="1">
      <c r="A5609" s="6" t="s">
        <v>8312</v>
      </c>
      <c r="B5609" s="6" t="str">
        <f>IFERROR(__xludf.DUMMYFUNCTION("GOOGLETRANSLATE(A5609,""en"",""fi"")"),"Varastoimalla vettä kehoonsa tämä aavikon asukas voi selvitä 30 päivää ilman vettä.")</f>
        <v>Varastoimalla vettä kehoonsa tämä aavikon asukas voi selvitä 30 päivää ilman vettä.</v>
      </c>
      <c r="C5609" s="9" t="s">
        <v>1344</v>
      </c>
    </row>
    <row r="5610" ht="33.75" customHeight="1">
      <c r="A5610" s="6" t="s">
        <v>8314</v>
      </c>
      <c r="B5610" s="6" t="str">
        <f>IFERROR(__xludf.DUMMYFUNCTION("GOOGLETRANSLATE(A5610,""en"",""fi"")"),"Se elää kuivilla paikoilla. Sen keltaiset kukat kukkivat kerran vuodessa.")</f>
        <v>Se elää kuivilla paikoilla. Sen keltaiset kukat kukkivat kerran vuodessa.</v>
      </c>
      <c r="C5610" s="9" t="s">
        <v>1344</v>
      </c>
    </row>
    <row r="5611" ht="33.75" customHeight="1">
      <c r="A5611" s="6" t="s">
        <v>8315</v>
      </c>
      <c r="B5611" s="6" t="str">
        <f>IFERROR(__xludf.DUMMYFUNCTION("GOOGLETRANSLATE(A5611,""en"",""fi"")"),"Cacnea elää kuivilla paikoilla, kuten aavikoilla. Se vapauttaa kukastaan ​​voimakasta tuoksua houkutellakseen saalista. Kun saalis tulee lähelle, tämä Pokémon ampuu teräviä piikkejä ruumiistaan ​​kaataakseen uhrin.")</f>
        <v>Cacnea elää kuivilla paikoilla, kuten aavikoilla. Se vapauttaa kukastaan ​​voimakasta tuoksua houkutellakseen saalista. Kun saalis tulee lähelle, tämä Pokémon ampuu teräviä piikkejä ruumiistaan ​​kaataakseen uhrin.</v>
      </c>
      <c r="C5611" s="9" t="s">
        <v>1344</v>
      </c>
    </row>
    <row r="5612" ht="33.75" customHeight="1">
      <c r="A5612" s="6" t="s">
        <v>8317</v>
      </c>
      <c r="B5612" s="6" t="str">
        <f>IFERROR(__xludf.DUMMYFUNCTION("GOOGLETRANSLATE(A5612,""en"",""fi"")"),"Mitä kuivempi ja ankarampi ympäristö on, sitä kauniimpi ja tuoksuvampi kukka Cacnea kasvaa. Tämä Pokémon taistelee heiluttamalla villisti piikkisiä käsivarsiaan.")</f>
        <v>Mitä kuivempi ja ankarampi ympäristö on, sitä kauniimpi ja tuoksuvampi kukka Cacnea kasvaa. Tämä Pokémon taistelee heiluttamalla villisti piikkisiä käsivarsiaan.</v>
      </c>
      <c r="C5612" s="9" t="s">
        <v>1344</v>
      </c>
    </row>
    <row r="5613" ht="33.75" customHeight="1">
      <c r="A5613" s="6" t="s">
        <v>8319</v>
      </c>
      <c r="B5613" s="6" t="str">
        <f>IFERROR(__xludf.DUMMYFUNCTION("GOOGLETRANSLATE(A5613,""en"",""fi"")"),"Päivällä CACTURNE pysyy paikallaan, jotta se ei menetä kosteutta ankaralle aavikon auringolle. Tämä POKéMON aktivoituu yöllä, kun lämpötila laskee.")</f>
        <v>Päivällä CACTURNE pysyy paikallaan, jotta se ei menetä kosteutta ankaralle aavikon auringolle. Tämä POKéMON aktivoituu yöllä, kun lämpötila laskee.</v>
      </c>
      <c r="C5613" s="9" t="s">
        <v>1344</v>
      </c>
    </row>
    <row r="5614" ht="33.75" customHeight="1">
      <c r="A5614" s="6" t="s">
        <v>8320</v>
      </c>
      <c r="B5614" s="6" t="str">
        <f>IFERROR(__xludf.DUMMYFUNCTION("GOOGLETRANSLATE(A5614,""en"",""fi"")"),"Jos matkaaja kulkee aavikon halki keskellä yötä, CACTURNE seuraa perässä sekalaisena joukkona. POKéMONit odottavat hetkeään ja odottavat matkaajan väsymistä ja liikkumattomuuden syntymistä.")</f>
        <v>Jos matkaaja kulkee aavikon halki keskellä yötä, CACTURNE seuraa perässä sekalaisena joukkona. POKéMONit odottavat hetkeään ja odottavat matkaajan väsymistä ja liikkumattomuuden syntymistä.</v>
      </c>
      <c r="C5614" s="9" t="s">
        <v>1344</v>
      </c>
    </row>
    <row r="5615" ht="33.75" customHeight="1">
      <c r="A5615" s="6" t="s">
        <v>8321</v>
      </c>
      <c r="B5615" s="6" t="str">
        <f>IFERROR(__xludf.DUMMYFUNCTION("GOOGLETRANSLATE(A5615,""en"",""fi"")"),"Vietettyään tuhansia vuosia ankarissa aavikoissa sen veri muuttui samoiksi aineiksi kuin hiekka. Se on yöeläin, joten se metsästää yöllä.")</f>
        <v>Vietettyään tuhansia vuosia ankarissa aavikoissa sen veri muuttui samoiksi aineiksi kuin hiekka. Se on yöeläin, joten se metsästää yöllä.</v>
      </c>
      <c r="C5615" s="9" t="s">
        <v>1344</v>
      </c>
    </row>
    <row r="5616" ht="33.75" customHeight="1">
      <c r="A5616" s="6" t="s">
        <v>8322</v>
      </c>
      <c r="B5616" s="6" t="str">
        <f>IFERROR(__xludf.DUMMYFUNCTION("GOOGLETRANSLATE(A5616,""en"",""fi"")"),"Se elää aavikoilla. Se aktivoituu yöllä metsästäessään aavikon kuumuudesta uupunutta saalista.")</f>
        <v>Se elää aavikoilla. Se aktivoituu yöllä metsästäessään aavikon kuumuudesta uupunutta saalista.</v>
      </c>
      <c r="C5616" s="9" t="s">
        <v>1344</v>
      </c>
    </row>
    <row r="5617" ht="33.75" customHeight="1">
      <c r="A5617" s="6" t="s">
        <v>8323</v>
      </c>
      <c r="B5617" s="6" t="str">
        <f>IFERROR(__xludf.DUMMYFUNCTION("GOOGLETRANSLATE(A5617,""en"",""fi"")"),"Se aktivoituu yöllä etsien saalista, joka on uupunut päivän aavikon kuumuudesta.")</f>
        <v>Se aktivoituu yöllä etsien saalista, joka on uupunut päivän aavikon kuumuudesta.</v>
      </c>
      <c r="C5617" s="9" t="s">
        <v>1344</v>
      </c>
    </row>
    <row r="5618" ht="33.75" customHeight="1">
      <c r="A5618" s="6" t="s">
        <v>8324</v>
      </c>
      <c r="B5618" s="6" t="str">
        <f>IFERROR(__xludf.DUMMYFUNCTION("GOOGLETRANSLATE(A5618,""en"",""fi"")"),"Laumat niitä seuraavat matkalaisia ​​aavikon halki, kunnes matkalaiset eivät enää pysty liikkumaan.")</f>
        <v>Laumat niitä seuraavat matkalaisia ​​aavikon halki, kunnes matkalaiset eivät enää pysty liikkumaan.</v>
      </c>
      <c r="C5618" s="9" t="s">
        <v>1344</v>
      </c>
    </row>
    <row r="5619" ht="33.75" customHeight="1">
      <c r="A5619" s="6" t="s">
        <v>8325</v>
      </c>
      <c r="B5619" s="6" t="str">
        <f>IFERROR(__xludf.DUMMYFUNCTION("GOOGLETRANSLATE(A5619,""en"",""fi"")"),"Päivällä Cacturne pysyy paikallaan, jotta se ei menetä kosteutta ankarassa aavikon auringossa. Tämä Pokémon aktivoituu yöllä, kun lämpötila laskee.")</f>
        <v>Päivällä Cacturne pysyy paikallaan, jotta se ei menetä kosteutta ankarassa aavikon auringossa. Tämä Pokémon aktivoituu yöllä, kun lämpötila laskee.</v>
      </c>
      <c r="C5619" s="9" t="s">
        <v>1344</v>
      </c>
    </row>
    <row r="5620" ht="33.75" customHeight="1">
      <c r="A5620" s="6" t="s">
        <v>8327</v>
      </c>
      <c r="B5620" s="6" t="str">
        <f>IFERROR(__xludf.DUMMYFUNCTION("GOOGLETRANSLATE(A5620,""en"",""fi"")"),"Jos matkaaja kulkee aavikon läpi keskellä yötä, Cacturne seuraa häntä sekalaisena ryhmänä. Pokémonit odottavat, että matkaaja väsyy ja menettää liikkumiskykynsä.")</f>
        <v>Jos matkaaja kulkee aavikon läpi keskellä yötä, Cacturne seuraa häntä sekalaisena ryhmänä. Pokémonit odottavat, että matkaaja väsyy ja menettää liikkumiskykynsä.</v>
      </c>
      <c r="C5620" s="9" t="s">
        <v>1344</v>
      </c>
    </row>
    <row r="5621" ht="33.75" customHeight="1">
      <c r="A5621" s="6" t="s">
        <v>8328</v>
      </c>
      <c r="B5621" s="6" t="str">
        <f>IFERROR(__xludf.DUMMYFUNCTION("GOOGLETRANSLATE(A5621,""en"",""fi"")"),"SWABLUlla on kevyet ja pörröiset siivet, jotka ovat kuin pumpulimaisia ​​pilviä. Tämä POKéMON ei pelkää ihmisiä. Se laskeutuu ihmisten päihin ja istuu siellä kuin pumpulimainen hattu.")</f>
        <v>SWABLUlla on kevyet ja pörröiset siivet, jotka ovat kuin pumpulimaisia ​​pilviä. Tämä POKéMON ei pelkää ihmisiä. Se laskeutuu ihmisten päihin ja istuu siellä kuin pumpulimainen hattu.</v>
      </c>
      <c r="C5621" s="9" t="s">
        <v>1344</v>
      </c>
    </row>
    <row r="5622" ht="33.75" customHeight="1">
      <c r="A5622" s="6" t="s">
        <v>8329</v>
      </c>
      <c r="B5622" s="6" t="str">
        <f>IFERROR(__xludf.DUMMYFUNCTION("GOOGLETRANSLATE(A5622,""en"",""fi"")"),"SWABLU rakastaa siivoamista. Jos se havaitsee jotain likaista, se pyyhkii ja kiillottaa sen pumpulimaisilla siivillään. Jos sen siivet likaantuvat, tämä POKéMON löytää puron ja suihkuttaa itseään.")</f>
        <v>SWABLU rakastaa siivoamista. Jos se havaitsee jotain likaista, se pyyhkii ja kiillottaa sen pumpulimaisilla siivillään. Jos sen siivet likaantuvat, tämä POKéMON löytää puron ja suihkuttaa itseään.</v>
      </c>
      <c r="C5622" s="9" t="s">
        <v>1344</v>
      </c>
    </row>
    <row r="5623" ht="33.75" customHeight="1">
      <c r="A5623" s="6" t="s">
        <v>8331</v>
      </c>
      <c r="B5623" s="6" t="str">
        <f>IFERROR(__xludf.DUMMYFUNCTION("GOOGLETRANSLATE(A5623,""en"",""fi"")"),"POKéMON, jolla on pumpulimaiset pilven kaltaiset siivet. Talven jälkeen, jolloin ruokaa on vähän saatavilla, SWABLU-parvet muuttavat keväällä lähemmäs kaupunkeja.")</f>
        <v>POKéMON, jolla on pumpulimaiset pilven kaltaiset siivet. Talven jälkeen, jolloin ruokaa on vähän saatavilla, SWABLU-parvet muuttavat keväällä lähemmäs kaupunkeja.</v>
      </c>
      <c r="C5623" s="9" t="s">
        <v>1344</v>
      </c>
    </row>
    <row r="5624" ht="33.75" customHeight="1">
      <c r="A5624" s="6" t="s">
        <v>8332</v>
      </c>
      <c r="B5624" s="6" t="str">
        <f>IFERROR(__xludf.DUMMYFUNCTION("GOOGLETRANSLATE(A5624,""en"",""fi"")"),"Se hoitaa jatkuvasti pumpulimaisia ​​siipiään. Se käy suihkussa puhdistaakseen itsensä, jos se likaantuu.")</f>
        <v>Se hoitaa jatkuvasti pumpulimaisia ​​siipiään. Se käy suihkussa puhdistaakseen itsensä, jos se likaantuu.</v>
      </c>
      <c r="C5624" s="9" t="s">
        <v>1344</v>
      </c>
    </row>
    <row r="5625" ht="33.75" customHeight="1">
      <c r="A5625" s="6" t="s">
        <v>8333</v>
      </c>
      <c r="B5625" s="6" t="str">
        <f>IFERROR(__xludf.DUMMYFUNCTION("GOOGLETRANSLATE(A5625,""en"",""fi"")"),"Sen siivet ovat kuin puuvillatupsut. Jos se istuu jonkun päässä, se näyttää puuvillahatulta.")</f>
        <v>Sen siivet ovat kuin puuvillatupsut. Jos se istuu jonkun päässä, se näyttää puuvillahatulta.</v>
      </c>
      <c r="C5625" s="9" t="s">
        <v>1344</v>
      </c>
    </row>
    <row r="5626" ht="33.75" customHeight="1">
      <c r="A5626" s="6" t="s">
        <v>8335</v>
      </c>
      <c r="B5626" s="6" t="str">
        <f>IFERROR(__xludf.DUMMYFUNCTION("GOOGLETRANSLATE(A5626,""en"",""fi"")"),"Se ei voi rentoutua, jos se tai sen ympäristö ei ole puhdas. Se pyyhkii likaa pois siivillään.")</f>
        <v>Se ei voi rentoutua, jos se tai sen ympäristö ei ole puhdas. Se pyyhkii likaa pois siivillään.</v>
      </c>
      <c r="C5626" s="9" t="s">
        <v>1344</v>
      </c>
    </row>
    <row r="5627" ht="33.75" customHeight="1">
      <c r="A5627" s="6" t="s">
        <v>8336</v>
      </c>
      <c r="B5627" s="6" t="str">
        <f>IFERROR(__xludf.DUMMYFUNCTION("GOOGLETRANSLATE(A5627,""en"",""fi"")"),"Sen siivet tuovat mieleen pumpulimaiset pilvet. Se kylpee lähdevedessä ja rakastaa istua päillä.")</f>
        <v>Sen siivet tuovat mieleen pumpulimaiset pilvet. Se kylpee lähdevedessä ja rakastaa istua päillä.</v>
      </c>
      <c r="C5627" s="9" t="s">
        <v>1344</v>
      </c>
    </row>
    <row r="5628" ht="33.75" customHeight="1">
      <c r="A5628" s="6" t="s">
        <v>8338</v>
      </c>
      <c r="B5628" s="6" t="str">
        <f>IFERROR(__xludf.DUMMYFUNCTION("GOOGLETRANSLATE(A5628,""en"",""fi"")"),"Jostain syystä se tykkää laskeutua pehmeästi ihmisten päähän ja käyttäytyä kuin se olisi hattu.")</f>
        <v>Jostain syystä se tykkää laskeutua pehmeästi ihmisten päähän ja käyttäytyä kuin se olisi hattu.</v>
      </c>
      <c r="C5628" s="9" t="s">
        <v>1344</v>
      </c>
    </row>
    <row r="5629" ht="33.75" customHeight="1">
      <c r="A5629" s="6" t="s">
        <v>8339</v>
      </c>
      <c r="B5629" s="6" t="str">
        <f>IFERROR(__xludf.DUMMYFUNCTION("GOOGLETRANSLATE(A5629,""en"",""fi"")"),"Swablun siivet ovat kevyet ja pörröiset kuin pumpulipilvet. Tämä Pokémon ei pelkää ihmisiä. Se laskeutuu ihmisten päihin ja istuu siellä kuin pumpulipipo.")</f>
        <v>Swablun siivet ovat kevyet ja pörröiset kuin pumpulipilvet. Tämä Pokémon ei pelkää ihmisiä. Se laskeutuu ihmisten päihin ja istuu siellä kuin pumpulipipo.</v>
      </c>
      <c r="C5629" s="9" t="s">
        <v>1344</v>
      </c>
    </row>
    <row r="5630" ht="33.75" customHeight="1">
      <c r="A5630" s="6" t="s">
        <v>8341</v>
      </c>
      <c r="B5630" s="6" t="str">
        <f>IFERROR(__xludf.DUMMYFUNCTION("GOOGLETRANSLATE(A5630,""en"",""fi"")"),"Swablu rakastaa siivoamista. Jos se havaitsee jotain likaista, se pyyhkii ja kiillottaa sen pumpulimaisilla siivillään. Jos sen siivet likaantuvat, tämä Pokémon löytää puron ja suihkuttaa itsensä.")</f>
        <v>Swablu rakastaa siivoamista. Jos se havaitsee jotain likaista, se pyyhkii ja kiillottaa sen pumpulimaisilla siivillään. Jos sen siivet likaantuvat, tämä Pokémon löytää puron ja suihkuttaa itsensä.</v>
      </c>
      <c r="C5630" s="9" t="s">
        <v>1344</v>
      </c>
    </row>
    <row r="5631" ht="33.75" customHeight="1">
      <c r="A5631" s="6" t="s">
        <v>8342</v>
      </c>
      <c r="B5631" s="6" t="str">
        <f>IFERROR(__xludf.DUMMYFUNCTION("GOOGLETRANSLATE(A5631,""en"",""fi"")"),"Sen pumpulimaiset siivet ovat täynnä ilmaa, mikä tekee niistä kevyet ja pörröiset koskettaa. Swablu pitää tunnollisesti huolta sen siivistä.")</f>
        <v>Sen pumpulimaiset siivet ovat täynnä ilmaa, mikä tekee niistä kevyet ja pörröiset koskettaa. Swablu pitää tunnollisesti huolta sen siivistä.</v>
      </c>
      <c r="C5631" s="9" t="s">
        <v>1344</v>
      </c>
    </row>
    <row r="5632" ht="33.75" customHeight="1">
      <c r="A5632" s="6" t="s">
        <v>8344</v>
      </c>
      <c r="B5632" s="6" t="str">
        <f>IFERROR(__xludf.DUMMYFUNCTION("GOOGLETRANSLATE(A5632,""en"",""fi"")"),"Koska Swablu näyttää kumpupilveltä, vihollisten voi olla vaikea löytää sitä. Ilmeisesti sen siivet ovat muuttuneet valkoisiksi useiden sukupolvien aikana.")</f>
        <v>Koska Swablu näyttää kumpupilveltä, vihollisten voi olla vaikea löytää sitä. Ilmeisesti sen siivet ovat muuttuneet valkoisiksi useiden sukupolvien aikana.</v>
      </c>
      <c r="C5632" s="9" t="s">
        <v>1344</v>
      </c>
    </row>
    <row r="5633" ht="33.75" customHeight="1">
      <c r="A5633" s="6" t="s">
        <v>8346</v>
      </c>
      <c r="B5633" s="6" t="str">
        <f>IFERROR(__xludf.DUMMYFUNCTION("GOOGLETRANSLATE(A5633,""en"",""fi"")"),"ALTARIA tanssii ja kiitää taivaalla hulmuavien, pumpulimaisten pilvien keskellä. Laulomalla melodioita kristallinkirkkaalla äänellään tämä POKéMON saa kuulijansa kokemaan unelmoivaa ihmetystä.")</f>
        <v>ALTARIA tanssii ja kiitää taivaalla hulmuavien, pumpulimaisten pilvien keskellä. Laulomalla melodioita kristallinkirkkaalla äänellään tämä POKéMON saa kuulijansa kokemaan unelmoivaa ihmetystä.</v>
      </c>
      <c r="C5633" s="9" t="s">
        <v>1344</v>
      </c>
    </row>
    <row r="5634" ht="33.75" customHeight="1">
      <c r="A5634" s="6" t="s">
        <v>8348</v>
      </c>
      <c r="B5634" s="6" t="str">
        <f>IFERROR(__xludf.DUMMYFUNCTION("GOOGLETRANSLATE(A5634,""en"",""fi"")"),"ALTARIA laulaa upealla sopraanoäänellä. Sen siivet ovat kuin puuvillapilviä. Tämä POKéMON pyydystää nousutuulet kelluvilla siivillään ja lentää korkealle villiin siniseen maahan.")</f>
        <v>ALTARIA laulaa upealla sopraanoäänellä. Sen siivet ovat kuin puuvillapilviä. Tämä POKéMON pyydystää nousutuulet kelluvilla siivillään ja lentää korkealle villiin siniseen maahan.</v>
      </c>
      <c r="C5634" s="9" t="s">
        <v>1344</v>
      </c>
    </row>
    <row r="5635" ht="33.75" customHeight="1">
      <c r="A5635" s="6" t="s">
        <v>8349</v>
      </c>
      <c r="B5635" s="6" t="str">
        <f>IFERROR(__xludf.DUMMYFUNCTION("GOOGLETRANSLATE(A5635,""en"",""fi"")"),"Se hyräilee kauniilla sopraanoäänellä. Se lentää valkoisten pilvien keskellä sinisellä taivaalla. Se ampuu suustaan ​​kuumia tulipalloja.")</f>
        <v>Se hyräilee kauniilla sopraanoäänellä. Se lentää valkoisten pilvien keskellä sinisellä taivaalla. Se ampuu suustaan ​​kuumia tulipalloja.</v>
      </c>
      <c r="C5635" s="9" t="s">
        <v>1344</v>
      </c>
    </row>
    <row r="5636" ht="33.75" customHeight="1">
      <c r="A5636" s="6" t="s">
        <v>8350</v>
      </c>
      <c r="B5636" s="6" t="str">
        <f>IFERROR(__xludf.DUMMYFUNCTION("GOOGLETRANSLATE(A5636,""en"",""fi"")"),"Jos kuulet kauniin melodian livertelevän syvällä vuorten keskellä kaukana ihmisistä, se on ALTARIAn hyrinää.")</f>
        <v>Jos kuulet kauniin melodian livertelevän syvällä vuorten keskellä kaukana ihmisistä, se on ALTARIAn hyrinää.</v>
      </c>
      <c r="C5636" s="9" t="s">
        <v>1344</v>
      </c>
    </row>
    <row r="5637" ht="33.75" customHeight="1">
      <c r="A5637" s="6" t="s">
        <v>8351</v>
      </c>
      <c r="B5637" s="6" t="str">
        <f>IFERROR(__xludf.DUMMYFUNCTION("GOOGLETRANSLATE(A5637,""en"",""fi"")"),"Se näyttää lennossa pörröiseltä pilveltä. Se hyräilee sopraanoäänellään.")</f>
        <v>Se näyttää lennossa pörröiseltä pilveltä. Se hyräilee sopraanoäänellään.</v>
      </c>
      <c r="C5637" s="9" t="s">
        <v>1344</v>
      </c>
    </row>
    <row r="5638" ht="33.75" customHeight="1">
      <c r="A5638" s="6" t="s">
        <v>8352</v>
      </c>
      <c r="B5638" s="6" t="str">
        <f>IFERROR(__xludf.DUMMYFUNCTION("GOOGLETRANSLATE(A5638,""en"",""fi"")"),"Jos se kiintyy ihmiseen, se kietoo ystävän hellästi pehmeisiin siiviinsä ja sitten hyräilee.")</f>
        <v>Jos se kiintyy ihmiseen, se kietoo ystävän hellästi pehmeisiin siiviinsä ja sitten hyräilee.</v>
      </c>
      <c r="C5638" s="9" t="s">
        <v>1344</v>
      </c>
    </row>
    <row r="5639" ht="33.75" customHeight="1">
      <c r="A5639" s="6" t="s">
        <v>8354</v>
      </c>
      <c r="B5639" s="6" t="str">
        <f>IFERROR(__xludf.DUMMYFUNCTION("GOOGLETRANSLATE(A5639,""en"",""fi"")"),"Se lentää sulavasti taivaan alla. Sen melodinen hyrinä saa sinut tuntemaan kuin olisit unessa.")</f>
        <v>Se lentää sulavasti taivaan alla. Sen melodinen hyrinä saa sinut tuntemaan kuin olisit unessa.</v>
      </c>
      <c r="C5639" s="9" t="s">
        <v>1344</v>
      </c>
    </row>
    <row r="5640" ht="33.75" customHeight="1">
      <c r="A5640" s="6" t="s">
        <v>8358</v>
      </c>
      <c r="B5640" s="6" t="str">
        <f>IFERROR(__xludf.DUMMYFUNCTION("GOOGLETRANSLATE(A5640,""en"",""fi"")"),"Aurinkoisina päivinä se lentää vapaasti taivaalla ja sulautuu pilviin. Se laulaa kauniilla sopraanolla.")</f>
        <v>Aurinkoisina päivinä se lentää vapaasti taivaalla ja sulautuu pilviin. Se laulaa kauniilla sopraanolla.</v>
      </c>
      <c r="C5640" s="9" t="s">
        <v>1344</v>
      </c>
    </row>
    <row r="5641" ht="33.75" customHeight="1">
      <c r="A5641" s="6" t="s">
        <v>8359</v>
      </c>
      <c r="B5641" s="6" t="str">
        <f>IFERROR(__xludf.DUMMYFUNCTION("GOOGLETRANSLATE(A5641,""en"",""fi"")"),"Altaria tanssii ja pyörii taivaalla hulmuavien, pumpulimaisten pilvien keskellä. Laulomalla melodioita kristallinkirkkaalla äänellään tämä Pokémon saa kuulijansa kokemaan unelmoivaa ihmetystä.")</f>
        <v>Altaria tanssii ja pyörii taivaalla hulmuavien, pumpulimaisten pilvien keskellä. Laulomalla melodioita kristallinkirkkaalla äänellään tämä Pokémon saa kuulijansa kokemaan unelmoivaa ihmetystä.</v>
      </c>
      <c r="C5641" s="9" t="s">
        <v>1344</v>
      </c>
    </row>
    <row r="5642" ht="33.75" customHeight="1">
      <c r="A5642" s="6" t="s">
        <v>8361</v>
      </c>
      <c r="B5642" s="6" t="str">
        <f>IFERROR(__xludf.DUMMYFUNCTION("GOOGLETRANSLATE(A5642,""en"",""fi"")"),"Altaria laulaa upealla sopraanolla. Sen siivet ovat kuin puuvillapilviä. Tämä Pokémon pyydystää ylöspäin suuntautuvia ilmavirtoja kelluvilla siivillään ja lentää korkealle villiin siniseen maahan.")</f>
        <v>Altaria laulaa upealla sopraanolla. Sen siivet ovat kuin puuvillapilviä. Tämä Pokémon pyydystää ylöspäin suuntautuvia ilmavirtoja kelluvilla siivillään ja lentää korkealle villiin siniseen maahan.</v>
      </c>
      <c r="C5642" s="9" t="s">
        <v>1344</v>
      </c>
    </row>
    <row r="5643" ht="33.75" customHeight="1">
      <c r="A5643" s="6" t="s">
        <v>8363</v>
      </c>
      <c r="B5643" s="6" t="str">
        <f>IFERROR(__xludf.DUMMYFUNCTION("GOOGLETRANSLATE(A5643,""en"",""fi"")"),"Rauhallisesti ja rentoutuneesti lentäessään Altaria esittää hyräilevän laulun, joka lumoaisi minkä tahansa yleisön.")</f>
        <v>Rauhallisesti ja rentoutuneesti lentäessään Altaria esittää hyräilevän laulun, joka lumoaisi minkä tahansa yleisön.</v>
      </c>
      <c r="C5643" s="9" t="s">
        <v>1344</v>
      </c>
    </row>
    <row r="5644" ht="33.75" customHeight="1">
      <c r="A5644" s="6" t="s">
        <v>8366</v>
      </c>
      <c r="B5644" s="6" t="str">
        <f>IFERROR(__xludf.DUMMYFUNCTION("GOOGLETRANSLATE(A5644,""en"",""fi"")"),"Tällä Pokémonilla on kiltti luonne, mutta jos sitä provosoidaan, se uhkaa vastustajia kimeillä huudoilla ennen kuin hyökkää heidän kimppuunsa armotta.")</f>
        <v>Tällä Pokémonilla on kiltti luonne, mutta jos sitä provosoidaan, se uhkaa vastustajia kimeillä huudoilla ennen kuin hyökkää heidän kimppuunsa armotta.</v>
      </c>
      <c r="C5644" s="9" t="s">
        <v>1344</v>
      </c>
    </row>
    <row r="5645" ht="33.75" customHeight="1">
      <c r="A5645" s="6" t="s">
        <v>8368</v>
      </c>
      <c r="B5645" s="6" t="str">
        <f>IFERROR(__xludf.DUMMYFUNCTION("GOOGLETRANSLATE(A5645,""en"",""fi"")"),"Muistot arkkivihollisensa SEVIPERin taistelusta ovat syöpyneet ZANGOOSEn jokaiseen kehon soluun. Tämä POKéMON väistää hyökkäykset taitavasti ja uskomattomalla ketteryydellä.")</f>
        <v>Muistot arkkivihollisensa SEVIPERin taistelusta ovat syöpyneet ZANGOOSEn jokaiseen kehon soluun. Tämä POKéMON väistää hyökkäykset taitavasti ja uskomattomalla ketteryydellä.</v>
      </c>
      <c r="C5645" s="9" t="s">
        <v>1344</v>
      </c>
    </row>
    <row r="5646" ht="33.75" customHeight="1">
      <c r="A5646" s="6" t="s">
        <v>8369</v>
      </c>
      <c r="B5646" s="6" t="str">
        <f>IFERROR(__xludf.DUMMYFUNCTION("GOOGLETRANSLATE(A5646,""en"",""fi"")"),"ZANGOOSE pysyy yleensä kontallaan, mutta suuttuessaan se nousee takajaloilleen ja ojentaa kyntensä. Tämä POKéMON ja SEVIPER kilpailevat keskenään sukupolvien ajan.")</f>
        <v>ZANGOOSE pysyy yleensä kontallaan, mutta suuttuessaan se nousee takajaloilleen ja ojentaa kyntensä. Tämä POKéMON ja SEVIPER kilpailevat keskenään sukupolvien ajan.</v>
      </c>
      <c r="C5646" s="9" t="s">
        <v>1344</v>
      </c>
    </row>
    <row r="5647" ht="33.75" customHeight="1">
      <c r="A5647" s="6" t="s">
        <v>8370</v>
      </c>
      <c r="B5647" s="6" t="str">
        <f>IFERROR(__xludf.DUMMYFUNCTION("GOOGLETRANSLATE(A5647,""en"",""fi"")"),"Taistellessaan se seisoo takajaloillaan ja hyökkää teräväkynsisillä etujaloillaan. Sen turkki nousee pystyyn, jos se kohtaa SEVIPERIN.")</f>
        <v>Taistellessaan se seisoo takajaloillaan ja hyökkää teräväkynsisillä etujaloillaan. Sen turkki nousee pystyyn, jos se kohtaa SEVIPERIN.</v>
      </c>
      <c r="C5647" s="9" t="s">
        <v>1344</v>
      </c>
    </row>
    <row r="5648" ht="33.75" customHeight="1">
      <c r="A5648" s="6" t="s">
        <v>8372</v>
      </c>
      <c r="B5648" s="6" t="str">
        <f>IFERROR(__xludf.DUMMYFUNCTION("GOOGLETRANSLATE(A5648,""en"",""fi"")"),"Jos se kohtaa SEVIPERIN, sen turkki nousee pystyyn ja se asettuu taisteluasentoon. Sen terävät kynnet ovat sen paras ase.")</f>
        <v>Jos se kohtaa SEVIPERIN, sen turkki nousee pystyyn ja se asettuu taisteluasentoon. Sen terävät kynnet ovat sen paras ase.</v>
      </c>
      <c r="C5648" s="9" t="s">
        <v>1344</v>
      </c>
    </row>
    <row r="5649" ht="33.75" customHeight="1">
      <c r="A5649" s="6" t="s">
        <v>8375</v>
      </c>
      <c r="B5649" s="6" t="str">
        <f>IFERROR(__xludf.DUMMYFUNCTION("GOOGLETRANSLATE(A5649,""en"",""fi"")"),"Se on käynyt vihanpitoa SEVIPERin kanssa useiden sukupolvien ajan. Sen terävät kynnet ovat sen suurimmat aseet.")</f>
        <v>Se on käynyt vihanpitoa SEVIPERin kanssa useiden sukupolvien ajan. Sen terävät kynnet ovat sen suurimmat aseet.</v>
      </c>
      <c r="C5649" s="9" t="s">
        <v>1344</v>
      </c>
    </row>
    <row r="5650" ht="33.75" customHeight="1">
      <c r="A5650" s="6" t="s">
        <v>8377</v>
      </c>
      <c r="B5650" s="6" t="str">
        <f>IFERROR(__xludf.DUMMYFUNCTION("GOOGLETRANSLATE(A5650,""en"",""fi"")"),"Sen turkki nousisi pystyyn, jos se haistaisi lähellä olevan SEVIPERIN. Sen terävät kynnet repivät vihollisensa.")</f>
        <v>Sen turkki nousisi pystyyn, jos se haistaisi lähellä olevan SEVIPERIN. Sen terävät kynnet repivät vihollisensa.</v>
      </c>
      <c r="C5650" s="9" t="s">
        <v>1344</v>
      </c>
    </row>
    <row r="5651" ht="33.75" customHeight="1">
      <c r="A5651" s="6" t="s">
        <v>8378</v>
      </c>
      <c r="B5651" s="6" t="str">
        <f>IFERROR(__xludf.DUMMYFUNCTION("GOOGLETRANSLATE(A5651,""en"",""fi"")"),"Se on käynyt vihanpitoa Seviperin kanssa useiden sukupolvien ajan. Sen terävät kynnet ovat sen suurimmat aseet.")</f>
        <v>Se on käynyt vihanpitoa Seviperin kanssa useiden sukupolvien ajan. Sen terävät kynnet ovat sen suurimmat aseet.</v>
      </c>
      <c r="C5651" s="9" t="s">
        <v>1344</v>
      </c>
    </row>
    <row r="5652" ht="33.75" customHeight="1">
      <c r="A5652" s="6" t="s">
        <v>8380</v>
      </c>
      <c r="B5652" s="6" t="str">
        <f>IFERROR(__xludf.DUMMYFUNCTION("GOOGLETRANSLATE(A5652,""en"",""fi"")"),"Se on Seviperin arkkivihollinen. Uhkatakseen kohtaamiaan se levittää etutassujensa kynnet.")</f>
        <v>Se on Seviperin arkkivihollinen. Uhkatakseen kohtaamiaan se levittää etutassujensa kynnet.</v>
      </c>
      <c r="C5652" s="9" t="s">
        <v>1344</v>
      </c>
    </row>
    <row r="5653" ht="33.75" customHeight="1">
      <c r="A5653" s="6" t="s">
        <v>8382</v>
      </c>
      <c r="B5653" s="6" t="str">
        <f>IFERROR(__xludf.DUMMYFUNCTION("GOOGLETRANSLATE(A5653,""en"",""fi"")"),"Sen turkki nousisi pystyyn, jos se haistaisi lähellä olevan kyykäärmeen. Sen terävät kynnet repivät vihollisensa.")</f>
        <v>Sen turkki nousisi pystyyn, jos se haistaisi lähellä olevan kyykäärmeen. Sen terävät kynnet repivät vihollisensa.</v>
      </c>
      <c r="C5653" s="9" t="s">
        <v>1344</v>
      </c>
    </row>
    <row r="5654" ht="33.75" customHeight="1">
      <c r="A5654" s="6" t="s">
        <v>8383</v>
      </c>
      <c r="B5654" s="6" t="str">
        <f>IFERROR(__xludf.DUMMYFUNCTION("GOOGLETRANSLATE(A5654,""en"",""fi"")"),"Muistot taistelusta arkkivihollista Seviperiä vastaan ​​ovat syöpyneet Zangoosen kehon jokaiseen soluun. Tämä Pokémon väistää hyökkäyksiä taitavasti ja uskomattomalla ketteryydellä.")</f>
        <v>Muistot taistelusta arkkivihollista Seviperiä vastaan ​​ovat syöpyneet Zangoosen kehon jokaiseen soluun. Tämä Pokémon väistää hyökkäyksiä taitavasti ja uskomattomalla ketteryydellä.</v>
      </c>
      <c r="C5654" s="9" t="s">
        <v>1344</v>
      </c>
    </row>
    <row r="5655" ht="33.75" customHeight="1">
      <c r="A5655" s="6" t="s">
        <v>8384</v>
      </c>
      <c r="B5655" s="6" t="str">
        <f>IFERROR(__xludf.DUMMYFUNCTION("GOOGLETRANSLATE(A5655,""en"",""fi"")"),"Zangoose pysyy yleensä kontallaan, mutta suuttuessaan se nousee takajaloilleen ja ojentaa kyntensä. Tämä Pokémon jakaa katkeran kilpailun Seviperin kanssa sukupolvien ajan.")</f>
        <v>Zangoose pysyy yleensä kontallaan, mutta suuttuessaan se nousee takajaloilleen ja ojentaa kyntensä. Tämä Pokémon jakaa katkeran kilpailun Seviperin kanssa sukupolvien ajan.</v>
      </c>
      <c r="C5655" s="9" t="s">
        <v>1344</v>
      </c>
    </row>
    <row r="5656" ht="33.75" customHeight="1">
      <c r="A5656" s="6" t="s">
        <v>8385</v>
      </c>
      <c r="B5656" s="6" t="str">
        <f>IFERROR(__xludf.DUMMYFUNCTION("GOOGLETRANSLATE(A5656,""en"",""fi"")"),"SEVIPER ja ZANGOOSE jakavat sukupolvien mittaisen vihanpidon. Sen ruumiissa olevat arvet ovat todisteita raaoista taisteluista. Tämä POKéMON hyökkää miekkateräisellä häntällään.")</f>
        <v>SEVIPER ja ZANGOOSE jakavat sukupolvien mittaisen vihanpidon. Sen ruumiissa olevat arvet ovat todisteita raaoista taisteluista. Tämä POKéMON hyökkää miekkateräisellä häntällään.</v>
      </c>
      <c r="C5656" s="9" t="s">
        <v>1344</v>
      </c>
    </row>
    <row r="5657" ht="33.75" customHeight="1">
      <c r="A5657" s="6" t="s">
        <v>8386</v>
      </c>
      <c r="B5657" s="6" t="str">
        <f>IFERROR(__xludf.DUMMYFUNCTION("GOOGLETRANSLATE(A5657,""en"",""fi"")"),"SEVIPERin miekkamainen häntä palvelee kahta tarkoitusta – se viiltää vihollisia ja upottaa heidät erittävää myrkkyä. Tämä POKéMON ei aio luopua pitkäaikaisesta verikostostaan ​​ZANGOOSEa vastaan.")</f>
        <v>SEVIPERin miekkamainen häntä palvelee kahta tarkoitusta – se viiltää vihollisia ja upottaa heidät erittävää myrkkyä. Tämä POKéMON ei aio luopua pitkäaikaisesta verikostostaan ​​ZANGOOSEa vastaan.</v>
      </c>
      <c r="C5657" s="9" t="s">
        <v>1344</v>
      </c>
    </row>
    <row r="5658" ht="33.75" customHeight="1">
      <c r="A5658" s="6" t="s">
        <v>8388</v>
      </c>
      <c r="B5658" s="6" t="str">
        <f>IFERROR(__xludf.DUMMYFUNCTION("GOOGLETRANSLATE(A5658,""en"",""fi"")"),"SEVIPER ja ZANGOOSE ovat ikuisia kilpailijoita. Se vastustaa ZANGOOSEN häikäisevää ketteryyttä miekkamaisella hännällään, josta myös tihkuu kamalaa myrkkyä.")</f>
        <v>SEVIPER ja ZANGOOSE ovat ikuisia kilpailijoita. Se vastustaa ZANGOOSEN häikäisevää ketteryyttä miekkamaisella hännällään, josta myös tihkuu kamalaa myrkkyä.</v>
      </c>
      <c r="C5658" s="9" t="s">
        <v>1344</v>
      </c>
    </row>
    <row r="5659" ht="33.75" customHeight="1">
      <c r="A5659" s="6" t="s">
        <v>8389</v>
      </c>
      <c r="B5659" s="6" t="str">
        <f>IFERROR(__xludf.DUMMYFUNCTION("GOOGLETRANSLATE(A5659,""en"",""fi"")"),"Se teroittaa miekan kaltaista häntäänsä kovilla kivillä. Se piiloutuu korkeaan ruohikkoon ja iskee varomattomaan saaliiseen myrkyllisillä hampailla.")</f>
        <v>Se teroittaa miekan kaltaista häntäänsä kovilla kivillä. Se piiloutuu korkeaan ruohikkoon ja iskee varomattomaan saaliiseen myrkyllisillä hampailla.</v>
      </c>
      <c r="C5659" s="9" t="s">
        <v>1344</v>
      </c>
    </row>
    <row r="5660" ht="33.75" customHeight="1">
      <c r="A5660" s="6" t="s">
        <v>8390</v>
      </c>
      <c r="B5660" s="6" t="str">
        <f>IFERROR(__xludf.DUMMYFUNCTION("GOOGLETRANSLATE(A5660,""en"",""fi"")"),"Se on käynyt vihanpitoa ZANGOOSE:n kanssa monien sukupolvien ajan. Se teroittaa terävää häntäänsä kallioilla taistelua varten.")</f>
        <v>Se on käynyt vihanpitoa ZANGOOSE:n kanssa monien sukupolvien ajan. Se teroittaa terävää häntäänsä kallioilla taistelua varten.</v>
      </c>
      <c r="C5660" s="9" t="s">
        <v>1344</v>
      </c>
    </row>
    <row r="5661" ht="33.75" customHeight="1">
      <c r="A5661" s="6" t="s">
        <v>8391</v>
      </c>
      <c r="B5661" s="6" t="str">
        <f>IFERROR(__xludf.DUMMYFUNCTION("GOOGLETRANSLATE(A5661,""en"",""fi"")"),"Taistelussa se käyttää terävää häntäänsä torjuakseen kaikki ZANGOOSE-hyökkäykset. Se erittää tappavaa myrkkyä pyrstössään.")</f>
        <v>Taistelussa se käyttää terävää häntäänsä torjuakseen kaikki ZANGOOSE-hyökkäykset. Se erittää tappavaa myrkkyä pyrstössään.</v>
      </c>
      <c r="C5661" s="9" t="s">
        <v>1344</v>
      </c>
    </row>
    <row r="5662" ht="33.75" customHeight="1">
      <c r="A5662" s="6" t="s">
        <v>8392</v>
      </c>
      <c r="B5662" s="6" t="str">
        <f>IFERROR(__xludf.DUMMYFUNCTION("GOOGLETRANSLATE(A5662,""en"",""fi"")"),"Se on käynyt vihanpitoa Zangoosen kanssa monien sukupolvien ajan. Se teroittaa terävää häntäänsä kallioilla taistelua varten.")</f>
        <v>Se on käynyt vihanpitoa Zangoosen kanssa monien sukupolvien ajan. Se teroittaa terävää häntäänsä kallioilla taistelua varten.</v>
      </c>
      <c r="C5662" s="9" t="s">
        <v>1344</v>
      </c>
    </row>
    <row r="5663" ht="33.75" customHeight="1">
      <c r="A5663" s="6" t="s">
        <v>8393</v>
      </c>
      <c r="B5663" s="6" t="str">
        <f>IFERROR(__xludf.DUMMYFUNCTION("GOOGLETRANSLATE(A5663,""en"",""fi"")"),"Jatkuva kiillotus tekee sen pyrstön terän erittäin teräväksi. Se on Zangoosen arkkivihollinen.")</f>
        <v>Jatkuva kiillotus tekee sen pyrstön terän erittäin teräväksi. Se on Zangoosen arkkivihollinen.</v>
      </c>
      <c r="C5663" s="9" t="s">
        <v>1344</v>
      </c>
    </row>
    <row r="5664" ht="33.75" customHeight="1">
      <c r="A5664" s="6" t="s">
        <v>8395</v>
      </c>
      <c r="B5664" s="6" t="str">
        <f>IFERROR(__xludf.DUMMYFUNCTION("GOOGLETRANSLATE(A5664,""en"",""fi"")"),"Taistelussa se käyttää terävää häntäänsä torjuakseen kaikki Zangoose-hyönteiset. Se erittää tappavaa myrkkyä pyrstössään.")</f>
        <v>Taistelussa se käyttää terävää häntäänsä torjuakseen kaikki Zangoose-hyönteiset. Se erittää tappavaa myrkkyä pyrstössään.</v>
      </c>
      <c r="C5664" s="9" t="s">
        <v>1344</v>
      </c>
    </row>
    <row r="5665" ht="33.75" customHeight="1">
      <c r="A5665" s="6" t="s">
        <v>8396</v>
      </c>
      <c r="B5665" s="6" t="str">
        <f>IFERROR(__xludf.DUMMYFUNCTION("GOOGLETRANSLATE(A5665,""en"",""fi"")"),"Seviper jakaa sukupolvien mittaisen vihanpidon Zangoosen kanssa. Sen ruumiissa olevat arvet ovat todisteita raaoista taisteluista. Tämä Pokémon hyökkää miekkateräisellä häntällään.")</f>
        <v>Seviper jakaa sukupolvien mittaisen vihanpidon Zangoosen kanssa. Sen ruumiissa olevat arvet ovat todisteita raaoista taisteluista. Tämä Pokémon hyökkää miekkateräisellä häntällään.</v>
      </c>
      <c r="C5665" s="9" t="s">
        <v>1344</v>
      </c>
    </row>
    <row r="5666" ht="33.75" customHeight="1">
      <c r="A5666" s="6" t="s">
        <v>8397</v>
      </c>
      <c r="B5666" s="6" t="str">
        <f>IFERROR(__xludf.DUMMYFUNCTION("GOOGLETRANSLATE(A5666,""en"",""fi"")"),"Seviperin miekkamainen häntä palvelee kahta tarkoitusta – se viiltää vihollisia ja upottaa heidät erittyvällä myrkyllä. Tämä Pokémon ei aio luopua pitkäaikaisesta verikostostaan ​​Zangoosea vastaan.")</f>
        <v>Seviperin miekkamainen häntä palvelee kahta tarkoitusta – se viiltää vihollisia ja upottaa heidät erittyvällä myrkyllä. Tämä Pokémon ei aio luopua pitkäaikaisesta verikostostaan ​​Zangoosea vastaan.</v>
      </c>
      <c r="C5666" s="9" t="s">
        <v>1344</v>
      </c>
    </row>
    <row r="5667" ht="33.75" customHeight="1">
      <c r="A5667" s="6" t="s">
        <v>8399</v>
      </c>
      <c r="B5667" s="6" t="str">
        <f>IFERROR(__xludf.DUMMYFUNCTION("GOOGLETRANSLATE(A5667,""en"",""fi"")"),"LUNATONE löydettiin paikasta, johon meteoriitti putosi. Tämän seurauksena jotkut teorioivat, että tämä POKéMON tuli avaruudesta. Kukaan ei kuitenkaan ole pystynyt todistamaan tätä teoriaa tähän mennessä.")</f>
        <v>LUNATONE löydettiin paikasta, johon meteoriitti putosi. Tämän seurauksena jotkut teorioivat, että tämä POKéMON tuli avaruudesta. Kukaan ei kuitenkaan ole pystynyt todistamaan tätä teoriaa tähän mennessä.</v>
      </c>
      <c r="C5667" s="9" t="s">
        <v>1344</v>
      </c>
    </row>
    <row r="5668" ht="33.75" customHeight="1">
      <c r="A5668" s="6" t="s">
        <v>8401</v>
      </c>
      <c r="B5668" s="6" t="str">
        <f>IFERROR(__xludf.DUMMYFUNCTION("GOOGLETRANSLATE(A5668,""en"",""fi"")"),"LUNATONE aktivoituu täysikuun aikaan. Kävelyn sijaan se liikkuu leijuen ilmassa. POKéMONin pelottavat punaiset silmät saavat kaikki sen näkevät kauhun vallassa.")</f>
        <v>LUNATONE aktivoituu täysikuun aikaan. Kävelyn sijaan se liikkuu leijuen ilmassa. POKéMONin pelottavat punaiset silmät saavat kaikki sen näkevät kauhun vallassa.</v>
      </c>
      <c r="C5668" s="9" t="s">
        <v>1344</v>
      </c>
    </row>
    <row r="5669" ht="33.75" customHeight="1">
      <c r="A5669" s="6" t="s">
        <v>8403</v>
      </c>
      <c r="B5669" s="6" t="str">
        <f>IFERROR(__xludf.DUMMYFUNCTION("GOOGLETRANSLATE(A5669,""en"",""fi"")"),"Se aktivoituu täysikuun yönä. Tämä POKéMON löydettiin ensimmäisen kerran 40 vuotta sitten meteorin iskun paikalta.")</f>
        <v>Se aktivoituu täysikuun yönä. Tämä POKéMON löydettiin ensimmäisen kerran 40 vuotta sitten meteorin iskun paikalta.</v>
      </c>
      <c r="C5669" s="9" t="s">
        <v>1344</v>
      </c>
    </row>
    <row r="5670" ht="33.75" customHeight="1">
      <c r="A5670" s="6" t="s">
        <v>8404</v>
      </c>
      <c r="B5670" s="6" t="str">
        <f>IFERROR(__xludf.DUMMYFUNCTION("GOOGLETRANSLATE(A5670,""en"",""fi"")"),"Sen terveys vaihtelee kuun kierron mukaan. Se on täynnä voimaa, kun se altistuu täysikuun valolle.")</f>
        <v>Sen terveys vaihtelee kuun kierron mukaan. Se on täynnä voimaa, kun se altistuu täysikuun valolle.</v>
      </c>
      <c r="C5670" s="9" t="s">
        <v>1344</v>
      </c>
    </row>
    <row r="5671" ht="33.75" customHeight="1">
      <c r="A5671" s="6" t="s">
        <v>8406</v>
      </c>
      <c r="B5671" s="6" t="str">
        <f>IFERROR(__xludf.DUMMYFUNCTION("GOOGLETRANSLATE(A5671,""en"",""fi"")"),"Koska se aktivoituu täysikuun öinä, sen sanotaan liittyvän jollain tavalla kuun vaiheisiin.")</f>
        <v>Koska se aktivoituu täysikuun öinä, sen sanotaan liittyvän jollain tavalla kuun vaiheisiin.</v>
      </c>
      <c r="C5671" s="9" t="s">
        <v>1344</v>
      </c>
    </row>
    <row r="5672" ht="33.75" customHeight="1">
      <c r="A5672" s="6" t="s">
        <v>8407</v>
      </c>
      <c r="B5672" s="6" t="str">
        <f>IFERROR(__xludf.DUMMYFUNCTION("GOOGLETRANSLATE(A5672,""en"",""fi"")"),"Se löydettiin meteorin iskun paikalta 40 vuotta sitten. Sen tuijotus voi tuudittaa viholliset uneen.")</f>
        <v>Se löydettiin meteorin iskun paikalta 40 vuotta sitten. Sen tuijotus voi tuudittaa viholliset uneen.</v>
      </c>
      <c r="C5672" s="9" t="s">
        <v>1344</v>
      </c>
    </row>
    <row r="5673" ht="33.75" customHeight="1">
      <c r="A5673" s="6" t="s">
        <v>8409</v>
      </c>
      <c r="B5673" s="6" t="str">
        <f>IFERROR(__xludf.DUMMYFUNCTION("GOOGLETRANSLATE(A5673,""en"",""fi"")"),"Kuun vaiheella on ilmeisesti jonkin verran vaikutusta sen tehoon. Se on aktiivinen täysikuun yönä.")</f>
        <v>Kuun vaiheella on ilmeisesti jonkin verran vaikutusta sen tehoon. Se on aktiivinen täysikuun yönä.</v>
      </c>
      <c r="C5673" s="9" t="s">
        <v>1344</v>
      </c>
    </row>
    <row r="5674" ht="33.75" customHeight="1">
      <c r="A5674" s="6" t="s">
        <v>8411</v>
      </c>
      <c r="B5674" s="6" t="str">
        <f>IFERROR(__xludf.DUMMYFUNCTION("GOOGLETRANSLATE(A5674,""en"",""fi"")"),"Lunatone löydettiin paikasta, johon meteoroidi putosi. Tämän seurauksena jotkut ihmiset teorioivat, että tämä Pokémon tuli avaruudesta. Kukaan ei kuitenkaan ole pystynyt todistamaan tätä teoriaa tähän mennessä.")</f>
        <v>Lunatone löydettiin paikasta, johon meteoroidi putosi. Tämän seurauksena jotkut ihmiset teorioivat, että tämä Pokémon tuli avaruudesta. Kukaan ei kuitenkaan ole pystynyt todistamaan tätä teoriaa tähän mennessä.</v>
      </c>
      <c r="C5674" s="9" t="s">
        <v>1344</v>
      </c>
    </row>
    <row r="5675" ht="33.75" customHeight="1">
      <c r="A5675" s="6" t="s">
        <v>8412</v>
      </c>
      <c r="B5675" s="6" t="str">
        <f>IFERROR(__xludf.DUMMYFUNCTION("GOOGLETRANSLATE(A5675,""en"",""fi"")"),"Lunatone aktivoituu täysikuun aikaan. Kävelyn sijaan se liikkuu leijuen ilmassa. Pokémonin pelottavat punaiset silmät saavat kaikki sen näkevät kauhun vallassa.")</f>
        <v>Lunatone aktivoituu täysikuun aikaan. Kävelyn sijaan se liikkuu leijuen ilmassa. Pokémonin pelottavat punaiset silmät saavat kaikki sen näkevät kauhun vallassa.</v>
      </c>
      <c r="C5675" s="9" t="s">
        <v>1344</v>
      </c>
    </row>
    <row r="5676" ht="33.75" customHeight="1">
      <c r="A5676" s="6" t="s">
        <v>8413</v>
      </c>
      <c r="B5676" s="6" t="str">
        <f>IFERROR(__xludf.DUMMYFUNCTION("GOOGLETRANSLATE(A5676,""en"",""fi"")"),"SOLROCK on uusi POKéMON-laji, jonka sanotaan pudonneen avaruudesta. Se leijuu ilmassa ja liikkuu äänettömästi. Taistelussa tämä POKéMON vapauttaa erittäin kirkasta valoa.")</f>
        <v>SOLROCK on uusi POKéMON-laji, jonka sanotaan pudonneen avaruudesta. Se leijuu ilmassa ja liikkuu äänettömästi. Taistelussa tämä POKéMON vapauttaa erittäin kirkasta valoa.</v>
      </c>
      <c r="C5676" s="9" t="s">
        <v>1344</v>
      </c>
    </row>
    <row r="5677" ht="33.75" customHeight="1">
      <c r="A5677" s="6" t="s">
        <v>8414</v>
      </c>
      <c r="B5677" s="6" t="str">
        <f>IFERROR(__xludf.DUMMYFUNCTION("GOOGLETRANSLATE(A5677,""en"",""fi"")"),"Auringonvalo on SOLROCKin voiman lähde. Sen sanotaan pystyvän lukemaan muiden tunteita. Tämä POKéMON erittää voimakasta lämpöä pyörittäessään kehoaan.")</f>
        <v>Auringonvalo on SOLROCKin voiman lähde. Sen sanotaan pystyvän lukemaan muiden tunteita. Tämä POKéMON erittää voimakasta lämpöä pyörittäessään kehoaan.</v>
      </c>
      <c r="C5677" s="9" t="s">
        <v>1344</v>
      </c>
    </row>
    <row r="5678" ht="33.75" customHeight="1">
      <c r="A5678" s="6" t="s">
        <v>8416</v>
      </c>
      <c r="B5678" s="6" t="str">
        <f>IFERROR(__xludf.DUMMYFUNCTION("GOOGLETRANSLATE(A5678,""en"",""fi"")"),"Tämän POKéMONin voimanlähde on aurinkoenergia. Aurinkoisina päivinä AURINGONKIVI-ryhmät asettuvat riviin aurinkoa kohti ja absorboivat sen valoa.")</f>
        <v>Tämän POKéMONin voimanlähde on aurinkoenergia. Aurinkoisina päivinä AURINGONKIVI-ryhmät asettuvat riviin aurinkoa kohti ja absorboivat sen valoa.</v>
      </c>
      <c r="C5678" s="9" t="s">
        <v>1344</v>
      </c>
    </row>
    <row r="5679" ht="33.75" customHeight="1">
      <c r="A5679" s="6" t="s">
        <v>8419</v>
      </c>
      <c r="B5679" s="6" t="str">
        <f>IFERROR(__xludf.DUMMYFUNCTION("GOOGLETRANSLATE(A5679,""en"",""fi"")"),"Se imee itseensä auringon energiaa päivän aikana. Aina ilmeettömänä se aistii, mitä sen vihollinen ajattelee.")</f>
        <v>Se imee itseensä auringon energiaa päivän aikana. Aina ilmeettömänä se aistii, mitä sen vihollinen ajattelee.</v>
      </c>
      <c r="C5679" s="9" t="s">
        <v>1344</v>
      </c>
    </row>
    <row r="5680" ht="33.75" customHeight="1">
      <c r="A5680" s="6" t="s">
        <v>8421</v>
      </c>
      <c r="B5680" s="6" t="str">
        <f>IFERROR(__xludf.DUMMYFUNCTION("GOOGLETRANSLATE(A5680,""en"",""fi"")"),"Uusi Pokémon-laji, jonka huhutaan olevan auringosta. Se säteilee valoa pyöriessään.")</f>
        <v>Uusi Pokémon-laji, jonka huhutaan olevan auringosta. Se säteilee valoa pyöriessään.</v>
      </c>
      <c r="C5680" s="9" t="s">
        <v>1344</v>
      </c>
    </row>
    <row r="5681" ht="33.75" customHeight="1">
      <c r="A5681" s="6" t="s">
        <v>8422</v>
      </c>
      <c r="B5681" s="6" t="str">
        <f>IFERROR(__xludf.DUMMYFUNCTION("GOOGLETRANSLATE(A5681,""en"",""fi"")"),"Kun se pyörii, se säteilee auringon kaltaista valoa, sokaisten siten vihollisensa.")</f>
        <v>Kun se pyörii, se säteilee auringon kaltaista valoa, sokaisten siten vihollisensa.</v>
      </c>
      <c r="C5681" s="9" t="s">
        <v>1344</v>
      </c>
    </row>
    <row r="5682" ht="33.75" customHeight="1">
      <c r="A5682" s="6" t="s">
        <v>8423</v>
      </c>
      <c r="B5682" s="6" t="str">
        <f>IFERROR(__xludf.DUMMYFUNCTION("GOOGLETRANSLATE(A5682,""en"",""fi"")"),"Aurinkoenergia on sen voiman lähde, joten se on voimakasta päiväsaikaan. Kun se pyörii, sen runko loistaa.")</f>
        <v>Aurinkoenergia on sen voiman lähde, joten se on voimakasta päiväsaikaan. Kun se pyörii, sen runko loistaa.</v>
      </c>
      <c r="C5682" s="9" t="s">
        <v>1344</v>
      </c>
    </row>
    <row r="5683" ht="33.75" customHeight="1">
      <c r="A5683" s="6" t="s">
        <v>8425</v>
      </c>
      <c r="B5683" s="6" t="str">
        <f>IFERROR(__xludf.DUMMYFUNCTION("GOOGLETRANSLATE(A5683,""en"",""fi"")"),"Solrock on uusi Pokémon-laji, jonka sanotaan pudonneen avaruudesta. Se leijuu ilmassa ja liikkuu äänettömästi. Taistelussa tämä Pokémon vapauttaa erittäin kirkasta valoa.")</f>
        <v>Solrock on uusi Pokémon-laji, jonka sanotaan pudonneen avaruudesta. Se leijuu ilmassa ja liikkuu äänettömästi. Taistelussa tämä Pokémon vapauttaa erittäin kirkasta valoa.</v>
      </c>
      <c r="C5683" s="9" t="s">
        <v>1344</v>
      </c>
    </row>
    <row r="5684" ht="33.75" customHeight="1">
      <c r="A5684" s="6" t="s">
        <v>8427</v>
      </c>
      <c r="B5684" s="6" t="str">
        <f>IFERROR(__xludf.DUMMYFUNCTION("GOOGLETRANSLATE(A5684,""en"",""fi"")"),"Auringonvalo on Solrockin voiman lähde. Sen sanotaan omaavan kyvyn lukea muiden tunteita. Tämä Pokémon erittää voimakasta lämpöä pyörittäessään kehoaan.")</f>
        <v>Auringonvalo on Solrockin voiman lähde. Sen sanotaan omaavan kyvyn lukea muiden tunteita. Tämä Pokémon erittää voimakasta lämpöä pyörittäessään kehoaan.</v>
      </c>
      <c r="C5684" s="9" t="s">
        <v>1344</v>
      </c>
    </row>
    <row r="5685" ht="33.75" customHeight="1">
      <c r="A5685" s="6" t="s">
        <v>8429</v>
      </c>
      <c r="B5685" s="6" t="str">
        <f>IFERROR(__xludf.DUMMYFUNCTION("GOOGLETRANSLATE(A5685,""en"",""fi"")"),"BARBOACHin herkät viikset toimivat erinomaisena tutkajärjestelmänä. Tämä POKéMON piiloutuu mutaan jättäen näkyviin vain kaksi viiksikarvaansa odottaessaan saalista.")</f>
        <v>BARBOACHin herkät viikset toimivat erinomaisena tutkajärjestelmänä. Tämä POKéMON piiloutuu mutaan jättäen näkyviin vain kaksi viiksikarvaansa odottaessaan saalista.</v>
      </c>
      <c r="C5685" s="9" t="s">
        <v>1344</v>
      </c>
    </row>
    <row r="5686" ht="33.75" customHeight="1">
      <c r="A5686" s="6" t="s">
        <v>8431</v>
      </c>
      <c r="B5686" s="6" t="str">
        <f>IFERROR(__xludf.DUMMYFUNCTION("GOOGLETRANSLATE(A5686,""en"",""fi"")"),"BARBOACHin keho on peittynyt limaan. Jos vihollinen nappaa sen, tämä POKéMON yksinkertaisesti lipsahtaa vihollisen otteesta. Tämä POKéMON heikkenee, jos limainen kerros kuivuu.")</f>
        <v>BARBOACHin keho on peittynyt limaan. Jos vihollinen nappaa sen, tämä POKéMON yksinkertaisesti lipsahtaa vihollisen otteesta. Tämä POKéMON heikkenee, jos limainen kerros kuivuu.</v>
      </c>
      <c r="C5686" s="9" t="s">
        <v>1344</v>
      </c>
    </row>
    <row r="5687" ht="33.75" customHeight="1">
      <c r="A5687" s="6" t="s">
        <v>8433</v>
      </c>
      <c r="B5687" s="6" t="str">
        <f>IFERROR(__xludf.DUMMYFUNCTION("GOOGLETRANSLATE(A5687,""en"",""fi"")"),"Sen ruumis on peittynyt limaiseen kalvoon. Kalvo toimii esteenä estäen mutaisessa vedessä olevien bakteerien pääsyn BARBOACHin kehoon.")</f>
        <v>Sen ruumis on peittynyt limaiseen kalvoon. Kalvo toimii esteenä estäen mutaisessa vedessä olevien bakteerien pääsyn BARBOACHin kehoon.</v>
      </c>
      <c r="C5687" s="9" t="s">
        <v>1344</v>
      </c>
    </row>
    <row r="5688" ht="33.75" customHeight="1">
      <c r="A5688" s="6" t="s">
        <v>8434</v>
      </c>
      <c r="B5688" s="6" t="str">
        <f>IFERROR(__xludf.DUMMYFUNCTION("GOOGLETRANSLATE(A5688,""en"",""fi"")"),"Se luotaa mutaisia ​​joenuomia kahdella pitkällä viiksikarvallaan. Limakalvo suojaa sen kehoa.")</f>
        <v>Se luotaa mutaisia ​​joenuomia kahdella pitkällä viiksikarvallaan. Limakalvo suojaa sen kehoa.</v>
      </c>
      <c r="C5688" s="9" t="s">
        <v>1344</v>
      </c>
    </row>
    <row r="5689" ht="33.75" customHeight="1">
      <c r="A5689" s="6" t="s">
        <v>8435</v>
      </c>
      <c r="B5689" s="6" t="str">
        <f>IFERROR(__xludf.DUMMYFUNCTION("GOOGLETRANSLATE(A5689,""en"",""fi"")"),"Se peittää koko ruumiinsa limalla, joten se voi kiemurrella ja livahtaa pois, jos siihen tarttuu.")</f>
        <v>Se peittää koko ruumiinsa limalla, joten se voi kiemurrella ja livahtaa pois, jos siihen tarttuu.</v>
      </c>
      <c r="C5689" s="9" t="s">
        <v>1344</v>
      </c>
    </row>
    <row r="5690" ht="33.75" customHeight="1">
      <c r="A5690" s="6" t="s">
        <v>8437</v>
      </c>
      <c r="B5690" s="6" t="str">
        <f>IFERROR(__xludf.DUMMYFUNCTION("GOOGLETRANSLATE(A5690,""en"",""fi"")"),"Sen viikset toimivat erinomaisena tutkana. Niitä käytetään saaliin paikantamiseen jopa sameimmassa vedessä.")</f>
        <v>Sen viikset toimivat erinomaisena tutkana. Niitä käytetään saaliin paikantamiseen jopa sameimmassa vedessä.</v>
      </c>
      <c r="C5690" s="9" t="s">
        <v>1344</v>
      </c>
    </row>
    <row r="5691" ht="33.75" customHeight="1">
      <c r="A5691" s="6" t="s">
        <v>8439</v>
      </c>
      <c r="B5691" s="6" t="str">
        <f>IFERROR(__xludf.DUMMYFUNCTION("GOOGLETRANSLATE(A5691,""en"",""fi"")"),"Sen limaista ruumista on vaikea saada kiinni. Yhdellä alueella sen sanotaan syntyneen kovettuneesta mudasta.")</f>
        <v>Sen limaista ruumista on vaikea saada kiinni. Yhdellä alueella sen sanotaan syntyneen kovettuneesta mudasta.</v>
      </c>
      <c r="C5691" s="9" t="s">
        <v>1344</v>
      </c>
    </row>
    <row r="5692" ht="33.75" customHeight="1">
      <c r="A5692" s="6" t="s">
        <v>8440</v>
      </c>
      <c r="B5692" s="6" t="str">
        <f>IFERROR(__xludf.DUMMYFUNCTION("GOOGLETRANSLATE(A5692,""en"",""fi"")"),"BARBOACH käyttää viiksikarvojaan maistaakseen asioita aivan kuten ihminen käyttää kieltään maistaakseen asioita.")</f>
        <v>BARBOACH käyttää viiksikarvojaan maistaakseen asioita aivan kuten ihminen käyttää kieltään maistaakseen asioita.</v>
      </c>
      <c r="C5692" s="9" t="s">
        <v>1344</v>
      </c>
    </row>
    <row r="5693" ht="33.75" customHeight="1">
      <c r="A5693" s="6" t="s">
        <v>8441</v>
      </c>
      <c r="B5693" s="6" t="str">
        <f>IFERROR(__xludf.DUMMYFUNCTION("GOOGLETRANSLATE(A5693,""en"",""fi"")"),"Barboachin herkät viikset toimivat erinomaisena tutkajärjestelmänä. Tämä Pokémon piiloutuu mutaan jättäen vain kaksi viiksikarvaansa näkyviin odottaessaan saalista.")</f>
        <v>Barboachin herkät viikset toimivat erinomaisena tutkajärjestelmänä. Tämä Pokémon piiloutuu mutaan jättäen vain kaksi viiksikarvaansa näkyviin odottaessaan saalista.</v>
      </c>
      <c r="C5693" s="9" t="s">
        <v>1344</v>
      </c>
    </row>
    <row r="5694" ht="33.75" customHeight="1">
      <c r="A5694" s="6" t="s">
        <v>8443</v>
      </c>
      <c r="B5694" s="6" t="str">
        <f>IFERROR(__xludf.DUMMYFUNCTION("GOOGLETRANSLATE(A5694,""en"",""fi"")"),"Barboachin keho on peittynyt limaan. Jos vihollinen tarttuu siihen, tämä Pokémon lipsahtaa vihollisen otteesta. Tämä Pokémon heikkenee, jos limainen kerros kuivuu.")</f>
        <v>Barboachin keho on peittynyt limaan. Jos vihollinen tarttuu siihen, tämä Pokémon lipsahtaa vihollisen otteesta. Tämä Pokémon heikkenee, jos limainen kerros kuivuu.</v>
      </c>
      <c r="C5694" s="9" t="s">
        <v>1344</v>
      </c>
    </row>
    <row r="5695" ht="33.75" customHeight="1">
      <c r="A5695" s="6" t="s">
        <v>8444</v>
      </c>
      <c r="B5695" s="6" t="str">
        <f>IFERROR(__xludf.DUMMYFUNCTION("GOOGLETRANSLATE(A5695,""en"",""fi"")"),"Sen kaksi viikset tarjoavat herkän tutkan. Se pystyy havaitsemaan saaliinsa sijainnin jopa mutaisissa vesissä.")</f>
        <v>Sen kaksi viikset tarjoavat herkän tutkan. Se pystyy havaitsemaan saaliinsa sijainnin jopa mutaisissa vesissä.</v>
      </c>
      <c r="C5695" s="9" t="s">
        <v>1344</v>
      </c>
    </row>
    <row r="5696" ht="33.75" customHeight="1">
      <c r="A5696" s="6" t="s">
        <v>8446</v>
      </c>
      <c r="B5696" s="6" t="str">
        <f>IFERROR(__xludf.DUMMYFUNCTION("GOOGLETRANSLATE(A5696,""en"",""fi"")"),"Sen liukasta vartaloa on vaikea saada kiinni, niin paljon, että on festivaaleja, joilla ihmiset kilpailevat siitä, kuinka monta he saavat paljain käsin kiinni.")</f>
        <v>Sen liukasta vartaloa on vaikea saada kiinni, niin paljon, että on festivaaleja, joilla ihmiset kilpailevat siitä, kuinka monta he saavat paljain käsin kiinni.</v>
      </c>
      <c r="C5696" s="9" t="s">
        <v>1344</v>
      </c>
    </row>
    <row r="5697" ht="33.75" customHeight="1">
      <c r="A5697" s="6" t="s">
        <v>8447</v>
      </c>
      <c r="B5697" s="6" t="str">
        <f>IFERROR(__xludf.DUMMYFUNCTION("GOOGLETRANSLATE(A5697,""en"",""fi"")"),"Sen koko ruumis on tahmainen. Kun lintu-Pokémon nokkii sitä, se liukastuu ja liukuu tiensä vapauteen.")</f>
        <v>Sen koko ruumis on tahmainen. Kun lintu-Pokémon nokkii sitä, se liukastuu ja liukuu tiensä vapauteen.</v>
      </c>
      <c r="C5697" s="9" t="s">
        <v>1344</v>
      </c>
    </row>
    <row r="5698" ht="33.75" customHeight="1">
      <c r="A5698" s="6" t="s">
        <v>8448</v>
      </c>
      <c r="B5698" s="6" t="str">
        <f>IFERROR(__xludf.DUMMYFUNCTION("GOOGLETRANSLATE(A5698,""en"",""fi"")"),"Sen viikset ovat täynnä hermoja. Ne voivat aistia hajuja ja makuja aivan kuten ihmisen nenä tai kieli.")</f>
        <v>Sen viikset ovat täynnä hermoja. Ne voivat aistia hajuja ja makuja aivan kuten ihmisen nenä tai kieli.</v>
      </c>
      <c r="C5698" s="9" t="s">
        <v>1344</v>
      </c>
    </row>
    <row r="5699" ht="33.75" customHeight="1">
      <c r="A5699" s="6" t="s">
        <v>8449</v>
      </c>
      <c r="B5699" s="6" t="str">
        <f>IFERROR(__xludf.DUMMYFUNCTION("GOOGLETRANSLATE(A5699,""en"",""fi"")"),"Se asuu suoilla, joissa on sameaa vettä. Huono näkyvyys piilottaa tämän Pokémonin saalistajilta, ja sen kehon lima tekee siitä vaikeasti tarttuvan.")</f>
        <v>Se asuu suoilla, joissa on sameaa vettä. Huono näkyvyys piilottaa tämän Pokémonin saalistajilta, ja sen kehon lima tekee siitä vaikeasti tarttuvan.</v>
      </c>
      <c r="C5699" s="9" t="s">
        <v>1344</v>
      </c>
    </row>
    <row r="5700" ht="33.75" customHeight="1">
      <c r="A5700" s="6" t="s">
        <v>8450</v>
      </c>
      <c r="B5700" s="6" t="str">
        <f>IFERROR(__xludf.DUMMYFUNCTION("GOOGLETRANSLATE(A5700,""en"",""fi"")"),"WHISCASH on äärimmäisen reviiritietoinen. Jopa yksi näistä POKéMONeista voi vallata suuren lammen yksinomaiseksi alueekseen. Jos vihollinen lähestyy sitä, se riehuu ympäriinsä ja laukaisee massiivisen maanjäristyksen.")</f>
        <v>WHISCASH on äärimmäisen reviiritietoinen. Jopa yksi näistä POKéMONeista voi vallata suuren lammen yksinomaiseksi alueekseen. Jos vihollinen lähestyy sitä, se riehuu ympäriinsä ja laukaisee massiivisen maanjäristyksen.</v>
      </c>
      <c r="C5700" s="9" t="s">
        <v>1344</v>
      </c>
    </row>
    <row r="5701" ht="33.75" customHeight="1">
      <c r="A5701" s="6" t="s">
        <v>8451</v>
      </c>
      <c r="B5701" s="6" t="str">
        <f>IFERROR(__xludf.DUMMYFUNCTION("GOOGLETRANSLATE(A5701,""en"",""fi"")"),"Jos WHISCASH riehuu villisti, se laukaisee maanjäristystä muistuttavan järistyksen, jonka säde on yli viiden kilometrin luokkaa. Tällä POKéMONilla on kyky ennustaa oikeita maanjäristyksiä.")</f>
        <v>Jos WHISCASH riehuu villisti, se laukaisee maanjäristystä muistuttavan järistyksen, jonka säde on yli viiden kilometrin luokkaa. Tällä POKéMONilla on kyky ennustaa oikeita maanjäristyksiä.</v>
      </c>
      <c r="C5701" s="9" t="s">
        <v>1344</v>
      </c>
    </row>
    <row r="5702" ht="33.75" customHeight="1">
      <c r="A5702" s="6" t="s">
        <v>8452</v>
      </c>
      <c r="B5702" s="6" t="str">
        <f>IFERROR(__xludf.DUMMYFUNCTION("GOOGLETRANSLATE(A5702,""en"",""fi"")"),"Se voi salaperäisesti ennustaa maanjäristyksiä. Päivällä se nukkuu mudassa lammen pohjalla. Herätessään se syö jatkuvasti läpi yön.")</f>
        <v>Se voi salaperäisesti ennustaa maanjäristyksiä. Päivällä se nukkuu mudassa lammen pohjalla. Herätessään se syö jatkuvasti läpi yön.</v>
      </c>
      <c r="C5702" s="9" t="s">
        <v>1344</v>
      </c>
    </row>
    <row r="5703" ht="33.75" customHeight="1">
      <c r="A5703" s="6" t="s">
        <v>8454</v>
      </c>
      <c r="B5703" s="6" t="str">
        <f>IFERROR(__xludf.DUMMYFUNCTION("GOOGLETRANSLATE(A5703,""en"",""fi"")"),"Se tekee pesänsä soiden pohjalle. Se syö mitä tahansa - jos se on elossa, WHISCASH syö sen.")</f>
        <v>Se tekee pesänsä soiden pohjalle. Se syö mitä tahansa - jos se on elossa, WHISCASH syö sen.</v>
      </c>
      <c r="C5703" s="9" t="s">
        <v>1344</v>
      </c>
    </row>
    <row r="5704" ht="33.75" customHeight="1">
      <c r="A5704" s="6" t="s">
        <v>8455</v>
      </c>
      <c r="B5704" s="6" t="str">
        <f>IFERROR(__xludf.DUMMYFUNCTION("GOOGLETRANSLATE(A5704,""en"",""fi"")"),"Se on hyvin reviiritietoinen. Se torjuu viholliset laukaisemalla järistyksiä, jotka ulottuvat viiden kilometrin säteelle.")</f>
        <v>Se on hyvin reviiritietoinen. Se torjuu viholliset laukaisemalla järistyksiä, jotka ulottuvat viiden kilometrin säteelle.</v>
      </c>
      <c r="C5704" s="9" t="s">
        <v>1344</v>
      </c>
    </row>
    <row r="5705" ht="33.75" customHeight="1">
      <c r="A5705" s="6" t="s">
        <v>8456</v>
      </c>
      <c r="B5705" s="6" t="str">
        <f>IFERROR(__xludf.DUMMYFUNCTION("GOOGLETRANSLATE(A5705,""en"",""fi"")"),"Koska se aiheutti järistyksiä rimpuilemalla ympäriinsä, se kehitti kyvyn ennustaa todellisia maanjäristyksiä.")</f>
        <v>Koska se aiheutti järistyksiä rimpuilemalla ympäriinsä, se kehitti kyvyn ennustaa todellisia maanjäristyksiä.</v>
      </c>
      <c r="C5705" s="9" t="s">
        <v>1344</v>
      </c>
    </row>
    <row r="5706" ht="33.75" customHeight="1">
      <c r="A5706" s="6" t="s">
        <v>8457</v>
      </c>
      <c r="B5706" s="6" t="str">
        <f>IFERROR(__xludf.DUMMYFUNCTION("GOOGLETRANSLATE(A5706,""en"",""fi"")"),"Se on äärimmäisen suojelevainen reviiriään kohtaan. Jos vihollinen lähestyy, se hyökkää käyttämällä raivokkaita vapinaiskuja.")</f>
        <v>Se on äärimmäisen suojelevainen reviiriään kohtaan. Jos vihollinen lähestyy, se hyökkää käyttämällä raivokkaita vapinaiskuja.</v>
      </c>
      <c r="C5706" s="9" t="s">
        <v>1344</v>
      </c>
    </row>
    <row r="5707" ht="33.75" customHeight="1">
      <c r="A5707" s="6" t="s">
        <v>8458</v>
      </c>
      <c r="B5707" s="6" t="str">
        <f>IFERROR(__xludf.DUMMYFUNCTION("GOOGLETRANSLATE(A5707,""en"",""fi"")"),"Se vaatii itselleen suuren suon. Jos vihollinen tulee lähelle, se aiheuttaa järistyksiä rimpuilemalla ympäriinsä.")</f>
        <v>Se vaatii itselleen suuren suon. Jos vihollinen tulee lähelle, se aiheuttaa järistyksiä rimpuilemalla ympäriinsä.</v>
      </c>
      <c r="C5707" s="9" t="s">
        <v>1344</v>
      </c>
    </row>
    <row r="5708" ht="33.75" customHeight="1">
      <c r="A5708" s="6" t="s">
        <v>8460</v>
      </c>
      <c r="B5708" s="6" t="str">
        <f>IFERROR(__xludf.DUMMYFUNCTION("GOOGLETRANSLATE(A5708,""en"",""fi"")"),"Se tekee pesänsä soiden pohjalle. Se syö mitä tahansa – jos se on elossa, Whiscash syö sen.")</f>
        <v>Se tekee pesänsä soiden pohjalle. Se syö mitä tahansa – jos se on elossa, Whiscash syö sen.</v>
      </c>
      <c r="C5708" s="9" t="s">
        <v>1344</v>
      </c>
    </row>
    <row r="5709" ht="33.75" customHeight="1">
      <c r="A5709" s="6" t="s">
        <v>8461</v>
      </c>
      <c r="B5709" s="6" t="str">
        <f>IFERROR(__xludf.DUMMYFUNCTION("GOOGLETRANSLATE(A5709,""en"",""fi"")"),"Whiscash on äärimmäisen reviiritietoinen. Jopa yksi näistä Pokémoneista voi vallata suuren lammen yksinomaiseksi reviirikseen. Jos vihollinen lähestyy sitä, se riehuu ympäriinsä ja laukaisee valtavan maanjäristyksen.")</f>
        <v>Whiscash on äärimmäisen reviiritietoinen. Jopa yksi näistä Pokémoneista voi vallata suuren lammen yksinomaiseksi reviirikseen. Jos vihollinen lähestyy sitä, se riehuu ympäriinsä ja laukaisee valtavan maanjäristyksen.</v>
      </c>
      <c r="C5709" s="9" t="s">
        <v>1344</v>
      </c>
    </row>
    <row r="5710" ht="33.75" customHeight="1">
      <c r="A5710" s="6" t="s">
        <v>8463</v>
      </c>
      <c r="B5710" s="6" t="str">
        <f>IFERROR(__xludf.DUMMYFUNCTION("GOOGLETRANSLATE(A5710,""en"",""fi"")"),"Jos Whiscash riehuu villisti, se laukaisee maanjäristystä muistuttavan järistyksen, jonka säde on yli viiden kilometrin luokkaa. Tällä Pokémonilla on kyky ennustaa oikeita maanjäristyksiä.")</f>
        <v>Jos Whiscash riehuu villisti, se laukaisee maanjäristystä muistuttavan järistyksen, jonka säde on yli viiden kilometrin luokkaa. Tällä Pokémonilla on kyky ennustaa oikeita maanjäristyksiä.</v>
      </c>
      <c r="C5710" s="9" t="s">
        <v>1344</v>
      </c>
    </row>
    <row r="5711" ht="33.75" customHeight="1">
      <c r="A5711" s="6" t="s">
        <v>8464</v>
      </c>
      <c r="B5711" s="6" t="str">
        <f>IFERROR(__xludf.DUMMYFUNCTION("GOOGLETRANSLATE(A5711,""en"",""fi"")"),"Ahmatti, joka ahmii kaiken liikkuvan, lymyilee hiljaa soiden pohjalla väijyen saalista.")</f>
        <v>Ahmatti, joka ahmii kaiken liikkuvan, lymyilee hiljaa soiden pohjalla väijyen saalista.</v>
      </c>
      <c r="C5711" s="9" t="s">
        <v>1344</v>
      </c>
    </row>
    <row r="5712" ht="33.75" customHeight="1">
      <c r="A5712" s="6" t="s">
        <v>8466</v>
      </c>
      <c r="B5712" s="6" t="str">
        <f>IFERROR(__xludf.DUMMYFUNCTION("GOOGLETRANSLATE(A5712,""en"",""fi"")"),"Whiscashin hyppäämisen vedestä uskotaan enteilevän maanjäristystä.")</f>
        <v>Whiscashin hyppäämisen vedestä uskotaan enteilevän maanjäristystä.</v>
      </c>
      <c r="C5712" s="9" t="s">
        <v>1344</v>
      </c>
    </row>
    <row r="5713" ht="33.75" customHeight="1">
      <c r="A5713" s="6" t="s">
        <v>8467</v>
      </c>
      <c r="B5713" s="6" t="str">
        <f>IFERROR(__xludf.DUMMYFUNCTION("GOOGLETRANSLATE(A5713,""en"",""fi"")"),"Whiscash ravistelee maata voimakkaasti pelotellakseen vastustajiaan. Se nielee saaliinsa kokonaisena – sekä mutaa suon pohjalta.")</f>
        <v>Whiscash ravistelee maata voimakkaasti pelotellakseen vastustajiaan. Se nielee saaliinsa kokonaisena – sekä mutaa suon pohjalta.</v>
      </c>
      <c r="C5713" s="9" t="s">
        <v>1344</v>
      </c>
    </row>
    <row r="5714" ht="33.75" customHeight="1">
      <c r="A5714" s="6" t="s">
        <v>8469</v>
      </c>
      <c r="B5714" s="6" t="str">
        <f>IFERROR(__xludf.DUMMYFUNCTION("GOOGLETRANSLATE(A5714,""en"",""fi"")"),"Sen näkö ei ole kovin hyvä. Se aistii veden värähtelyjä viiksikarvoillaan määrittääkseen saaliinsa sijainnin.")</f>
        <v>Sen näkö ei ole kovin hyvä. Se aistii veden värähtelyjä viiksikarvoillaan määrittääkseen saaliinsa sijainnin.</v>
      </c>
      <c r="C5714" s="9" t="s">
        <v>1344</v>
      </c>
    </row>
    <row r="5715" ht="33.75" customHeight="1">
      <c r="A5715" s="6" t="s">
        <v>8470</v>
      </c>
      <c r="B5715" s="6" t="str">
        <f>IFERROR(__xludf.DUMMYFUNCTION("GOOGLETRANSLATE(A5715,""en"",""fi"")"),"Se tekee pesänsä soiden pohjalle. Se syö mitä tahansa – jos se on elossa, Whiscash syö sen.")</f>
        <v>Se tekee pesänsä soiden pohjalle. Se syö mitä tahansa – jos se on elossa, Whiscash syö sen.</v>
      </c>
      <c r="C5715" s="9" t="s">
        <v>1344</v>
      </c>
    </row>
    <row r="5716" ht="33.75" customHeight="1">
      <c r="A5716" s="6" t="s">
        <v>8472</v>
      </c>
      <c r="B5716" s="6" t="str">
        <f>IFERROR(__xludf.DUMMYFUNCTION("GOOGLETRANSLATE(A5716,""en"",""fi"")"),"Iskee pyrstöevällään suonpohjaa ravistellakseen maata ja säikäyttääkseen saaliinsa. Sitten se nielee pakenevan saaliin kokonaisena. Ihmiset luulivat tätä käyttäytymistä maanjäristysten syyksi.")</f>
        <v>Iskee pyrstöevällään suonpohjaa ravistellakseen maata ja säikäyttääkseen saaliinsa. Sitten se nielee pakenevan saaliin kokonaisena. Ihmiset luulivat tätä käyttäytymistä maanjäristysten syyksi.</v>
      </c>
      <c r="C5716" s="9" t="s">
        <v>1344</v>
      </c>
    </row>
    <row r="5717" ht="33.75" customHeight="1">
      <c r="A5717" s="6" t="s">
        <v>8473</v>
      </c>
      <c r="B5717" s="6" t="str">
        <f>IFERROR(__xludf.DUMMYFUNCTION("GOOGLETRANSLATE(A5717,""en"",""fi"")"),"CORPHISHit olivat alun perin ulkomaisia ​​POKéMONEJA, jotka tuotiin lemmikeiksi. Lopulta ne ilmestyivät luontoon. Nämä POKéMONit ovat erittäin kestäviä ja niiden populaatio on kasvanut huomattavasti.")</f>
        <v>CORPHISHit olivat alun perin ulkomaisia ​​POKéMONEJA, jotka tuotiin lemmikeiksi. Lopulta ne ilmestyivät luontoon. Nämä POKéMONit ovat erittäin kestäviä ja niiden populaatio on kasvanut huomattavasti.</v>
      </c>
      <c r="C5717" s="9" t="s">
        <v>1344</v>
      </c>
    </row>
    <row r="5718" ht="33.75" customHeight="1">
      <c r="A5718" s="6" t="s">
        <v>8475</v>
      </c>
      <c r="B5718" s="6" t="str">
        <f>IFERROR(__xludf.DUMMYFUNCTION("GOOGLETRANSLATE(A5718,""en"",""fi"")"),"CORPHISH pyydystää saaliinsa terävillä kynsillään. Sillä ei ole mieltymyksiä ruoan suhteen – se syö mitä tahansa. Tällä POKéMONilla ei ole vaikeuksia elää likaisessa vedessä.")</f>
        <v>CORPHISH pyydystää saaliinsa terävillä kynsillään. Sillä ei ole mieltymyksiä ruoan suhteen – se syö mitä tahansa. Tällä POKéMONilla ei ole vaikeuksia elää likaisessa vedessä.</v>
      </c>
      <c r="C5718" s="9" t="s">
        <v>1344</v>
      </c>
    </row>
    <row r="5719" ht="33.75" customHeight="1">
      <c r="A5719" s="6" t="s">
        <v>8476</v>
      </c>
      <c r="B5719" s="6" t="str">
        <f>IFERROR(__xludf.DUMMYFUNCTION("GOOGLETRANSLATE(A5719,""en"",""fi"")"),"Kun se kerran nappaa saaliinsa suurilla pihdeillään, se ei koskaan päästä irti, tapahtuipa mitä tahansa. Se on sitkeä POKéMON, joka voi menestyä missä tahansa ympäristössä.")</f>
        <v>Kun se kerran nappaa saaliinsa suurilla pihdeillään, se ei koskaan päästä irti, tapahtuipa mitä tahansa. Se on sitkeä POKéMON, joka voi menestyä missä tahansa ympäristössä.</v>
      </c>
      <c r="C5719" s="9" t="s">
        <v>1344</v>
      </c>
    </row>
    <row r="5720" ht="33.75" customHeight="1">
      <c r="A5720" s="6" t="s">
        <v>8477</v>
      </c>
      <c r="B5720" s="6" t="str">
        <f>IFERROR(__xludf.DUMMYFUNCTION("GOOGLETRANSLATE(A5720,""en"",""fi"")"),"Se tuli ulkomailta. Se on erittäin kestävä olento, joka lisääntyy nopeasti jopa saastuneissa puroissa.")</f>
        <v>Se tuli ulkomailta. Se on erittäin kestävä olento, joka lisääntyy nopeasti jopa saastuneissa puroissa.</v>
      </c>
      <c r="C5720" s="9" t="s">
        <v>1344</v>
      </c>
    </row>
    <row r="5721" ht="33.75" customHeight="1">
      <c r="A5721" s="6" t="s">
        <v>8478</v>
      </c>
      <c r="B5721" s="6" t="str">
        <f>IFERROR(__xludf.DUMMYFUNCTION("GOOGLETRANSLATE(A5721,""en"",""fi"")"),"Sen sitkeä elinvoimaisuus antaa sille mahdollisuuden sopeutua mihin tahansa ympäristöön. Sen pihdit eivät koskaan päästä saalista irti.")</f>
        <v>Sen sitkeä elinvoimaisuus antaa sille mahdollisuuden sopeutua mihin tahansa ympäristöön. Sen pihdit eivät koskaan päästä saalista irti.</v>
      </c>
      <c r="C5721" s="9" t="s">
        <v>1344</v>
      </c>
    </row>
    <row r="5722" ht="33.75" customHeight="1">
      <c r="A5722" s="6" t="s">
        <v>8479</v>
      </c>
      <c r="B5722" s="6" t="str">
        <f>IFERROR(__xludf.DUMMYFUNCTION("GOOGLETRANSLATE(A5722,""en"",""fi"")"),"Se oli alun perin kaukaa luontoon karannut Pokémon. Se pystyy sopeutumaan likaisimpaankin jokeen.")</f>
        <v>Se oli alun perin kaukaa luontoon karannut Pokémon. Se pystyy sopeutumaan likaisimpaankin jokeen.</v>
      </c>
      <c r="C5722" s="9" t="s">
        <v>1344</v>
      </c>
    </row>
    <row r="5723" ht="33.75" customHeight="1">
      <c r="A5723" s="6" t="s">
        <v>8481</v>
      </c>
      <c r="B5723" s="6" t="str">
        <f>IFERROR(__xludf.DUMMYFUNCTION("GOOGLETRANSLATE(A5723,""en"",""fi"")"),"Olipa joen vesi kuinka likaista tahansa, se sopeutuu ja kukoistaa. Sillä on vahva selviytymistahto.")</f>
        <v>Olipa joen vesi kuinka likaista tahansa, se sopeutuu ja kukoistaa. Sillä on vahva selviytymistahto.</v>
      </c>
      <c r="C5723" s="9" t="s">
        <v>1344</v>
      </c>
    </row>
    <row r="5724" ht="33.75" customHeight="1">
      <c r="A5724" s="6" t="s">
        <v>8482</v>
      </c>
      <c r="B5724" s="6" t="str">
        <f>IFERROR(__xludf.DUMMYFUNCTION("GOOGLETRANSLATE(A5724,""en"",""fi"")"),"Corphish-pokémonit olivat alun perin ulkomaalaisia ​​Pokémoneja, jotka tuotiin lemmikeiksi. Lopulta ne ilmestyivät luontoon. Tämä Pokémon on erittäin kestävä ja sen populaatio on kasvanut huomattavasti.")</f>
        <v>Corphish-pokémonit olivat alun perin ulkomaalaisia ​​Pokémoneja, jotka tuotiin lemmikeiksi. Lopulta ne ilmestyivät luontoon. Tämä Pokémon on erittäin kestävä ja sen populaatio on kasvanut huomattavasti.</v>
      </c>
      <c r="C5724" s="9" t="s">
        <v>1344</v>
      </c>
    </row>
    <row r="5725" ht="33.75" customHeight="1">
      <c r="A5725" s="6" t="s">
        <v>8483</v>
      </c>
      <c r="B5725" s="6" t="str">
        <f>IFERROR(__xludf.DUMMYFUNCTION("GOOGLETRANSLATE(A5725,""en"",""fi"")"),"Corphish pyydystää saaliinsa terävillä kynsillään. Sillä ei ole mieltymyksiä ruoan suhteen – se syö mitä tahansa. Tällä Pokémonilla ei ole vaikeuksia elää likaisessa vedessä.")</f>
        <v>Corphish pyydystää saaliinsa terävillä kynsillään. Sillä ei ole mieltymyksiä ruoan suhteen – se syö mitä tahansa. Tällä Pokémonilla ei ole vaikeuksia elää likaisessa vedessä.</v>
      </c>
      <c r="C5725" s="9" t="s">
        <v>1344</v>
      </c>
    </row>
    <row r="5726" ht="33.75" customHeight="1">
      <c r="A5726" s="6" t="s">
        <v>8485</v>
      </c>
      <c r="B5726" s="6" t="str">
        <f>IFERROR(__xludf.DUMMYFUNCTION("GOOGLETRANSLATE(A5726,""en"",""fi"")"),"Yksilöt, jotka kouluttajat ovat vapauttaneet kasvatuksensa menettäneiden ihmisten vuoksi, ovat yleistyneet, ja heitä löytyy nyt Alolasta.")</f>
        <v>Yksilöt, jotka kouluttajat ovat vapauttaneet kasvatuksensa menettäneiden ihmisten vuoksi, ovat yleistyneet, ja heitä löytyy nyt Alolasta.</v>
      </c>
      <c r="C5726" s="9" t="s">
        <v>1344</v>
      </c>
    </row>
    <row r="5727" ht="33.75" customHeight="1">
      <c r="A5727" s="6" t="s">
        <v>8488</v>
      </c>
      <c r="B5727" s="6" t="str">
        <f>IFERROR(__xludf.DUMMYFUNCTION("GOOGLETRANSLATE(A5727,""en"",""fi"")"),"Se sopeutuu erittäin hyvin ympäristöönsä. Feebas ja Corphish ovat lähes ainoat Pokémonit, jotka elävät seisovissa ojissa.")</f>
        <v>Se sopeutuu erittäin hyvin ympäristöönsä. Feebas ja Corphish ovat lähes ainoat Pokémonit, jotka elävät seisovissa ojissa.</v>
      </c>
      <c r="C5727" s="9" t="s">
        <v>1344</v>
      </c>
    </row>
    <row r="5728" ht="33.75" customHeight="1">
      <c r="A5728" s="6" t="s">
        <v>8490</v>
      </c>
      <c r="B5728" s="6" t="str">
        <f>IFERROR(__xludf.DUMMYFUNCTION("GOOGLETRANSLATE(A5728,""en"",""fi"")"),"CRAWDAUNTilla on äärimmäisen väkivaltainen luonne, joka pakottaa sen haastamaan muita eläviä olentoja taisteluun. Muut elämänmuodot kieltäytyvät elämästä tämän POKéMONin asuttamissa lammissa, mikä tekee niistä autioita paikkoja.")</f>
        <v>CRAWDAUNTilla on äärimmäisen väkivaltainen luonne, joka pakottaa sen haastamaan muita eläviä olentoja taisteluun. Muut elämänmuodot kieltäytyvät elämästä tämän POKéMONin asuttamissa lammissa, mikä tekee niistä autioita paikkoja.</v>
      </c>
      <c r="C5728" s="9" t="s">
        <v>1344</v>
      </c>
    </row>
    <row r="5729" ht="33.75" customHeight="1">
      <c r="A5729" s="6" t="s">
        <v>8491</v>
      </c>
      <c r="B5729" s="6" t="str">
        <f>IFERROR(__xludf.DUMMYFUNCTION("GOOGLETRANSLATE(A5729,""en"",""fi"")"),"CRAWDAUNT luopuu kuorestaan ​​säännöllisesti. Heti sulkasadon jälkeen sen kuori on pehmeä ja murea. Kunnes kuori kovettuu, tämä POKéMON piiloutuu puronuomassaan välttääkseen vihollistensa hyökkäyksiä.")</f>
        <v>CRAWDAUNT luopuu kuorestaan ​​säännöllisesti. Heti sulkasadon jälkeen sen kuori on pehmeä ja murea. Kunnes kuori kovettuu, tämä POKéMON piiloutuu puronuomassaan välttääkseen vihollistensa hyökkäyksiä.</v>
      </c>
      <c r="C5729" s="9" t="s">
        <v>1344</v>
      </c>
    </row>
    <row r="5730" ht="33.75" customHeight="1">
      <c r="A5730" s="6" t="s">
        <v>8492</v>
      </c>
      <c r="B5730" s="6" t="str">
        <f>IFERROR(__xludf.DUMMYFUNCTION("GOOGLETRANSLATE(A5730,""en"",""fi"")"),"Brutaali POKéMON, joka rakastaa taistelua. Satoja taisteluita voittanut kokenut CRAWDAUNT kantaa jättimäisiä pihdejä, joissa on lukemattomia arpia.")</f>
        <v>Brutaali POKéMON, joka rakastaa taistelua. Satoja taisteluita voittanut kokenut CRAWDAUNT kantaa jättimäisiä pihdejä, joissa on lukemattomia arpia.</v>
      </c>
      <c r="C5730" s="9" t="s">
        <v>1344</v>
      </c>
    </row>
    <row r="5731" ht="33.75" customHeight="1">
      <c r="A5731" s="6" t="s">
        <v>8494</v>
      </c>
      <c r="B5731" s="6" t="str">
        <f>IFERROR(__xludf.DUMMYFUNCTION("GOOGLETRANSLATE(A5731,""en"",""fi"")"),"Karu asiakas, joka villisti heiluttelee jättimäisiä kynsiään. Sen sanotaan olevan erittäin vaikea kasvattaa.")</f>
        <v>Karu asiakas, joka villisti heiluttelee jättimäisiä kynsiään. Sen sanotaan olevan erittäin vaikea kasvattaa.</v>
      </c>
      <c r="C5731" s="9" t="s">
        <v>1344</v>
      </c>
    </row>
    <row r="5732" ht="33.75" customHeight="1">
      <c r="A5732" s="6" t="s">
        <v>8495</v>
      </c>
      <c r="B5732" s="6" t="str">
        <f>IFERROR(__xludf.DUMMYFUNCTION("GOOGLETRANSLATE(A5732,""en"",""fi"")"),"Se on roisto, joka käyttää pihdeitään poimiakseen ja heittääkseen pois muita Pokémoneja lammestaan.")</f>
        <v>Se on roisto, joka käyttää pihdeitään poimiakseen ja heittääkseen pois muita Pokémoneja lammestaan.</v>
      </c>
      <c r="C5732" s="9" t="s">
        <v>1344</v>
      </c>
    </row>
    <row r="5733" ht="33.75" customHeight="1">
      <c r="A5733" s="6" t="s">
        <v>8497</v>
      </c>
      <c r="B5733" s="6" t="str">
        <f>IFERROR(__xludf.DUMMYFUNCTION("GOOGLETRANSLATE(A5733,""en"",""fi"")"),"Raaka Pokémon, joka rakastaa taistelua. Se törmää mihin tahansa viholliseen, joka lähestyy sen pesää.")</f>
        <v>Raaka Pokémon, joka rakastaa taistelua. Se törmää mihin tahansa viholliseen, joka lähestyy sen pesää.</v>
      </c>
      <c r="C5733" s="9" t="s">
        <v>1344</v>
      </c>
    </row>
    <row r="5734" ht="33.75" customHeight="1">
      <c r="A5734" s="6" t="s">
        <v>8498</v>
      </c>
      <c r="B5734" s="6" t="str">
        <f>IFERROR(__xludf.DUMMYFUNCTION("GOOGLETRANSLATE(A5734,""en"",""fi"")"),"Taistelua rakastava Pokémon nipistää pihdeillään kaikkia alueelleen astuvia Pokémoneja ja heittää ne pois.")</f>
        <v>Taistelua rakastava Pokémon nipistää pihdeillään kaikkia alueelleen astuvia Pokémoneja ja heittää ne pois.</v>
      </c>
      <c r="C5734" s="9" t="s">
        <v>1344</v>
      </c>
    </row>
    <row r="5735" ht="33.75" customHeight="1">
      <c r="A5735" s="6" t="s">
        <v>8499</v>
      </c>
      <c r="B5735" s="6" t="str">
        <f>IFERROR(__xludf.DUMMYFUNCTION("GOOGLETRANSLATE(A5735,""en"",""fi"")"),"Crawdauntilla on äärimmäisen väkivaltainen luonne, joka pakottaa sen haastamaan muita eläviä olentoja taisteluun. Muut elämänmuodot kieltäytyvät elämästä tämän Pokémonin asuttamissa lammissa, mikä tekee niistä autioita paikkoja.")</f>
        <v>Crawdauntilla on äärimmäisen väkivaltainen luonne, joka pakottaa sen haastamaan muita eläviä olentoja taisteluun. Muut elämänmuodot kieltäytyvät elämästä tämän Pokémonin asuttamissa lammissa, mikä tekee niistä autioita paikkoja.</v>
      </c>
      <c r="C5735" s="9" t="s">
        <v>1344</v>
      </c>
    </row>
    <row r="5736" ht="33.75" customHeight="1">
      <c r="A5736" s="6" t="s">
        <v>8501</v>
      </c>
      <c r="B5736" s="6" t="str">
        <f>IFERROR(__xludf.DUMMYFUNCTION("GOOGLETRANSLATE(A5736,""en"",""fi"")"),"Crawdaunt luopuu kuorestaan ​​säännöllisesti. Heti sulkasadon jälkeen sen kuori on pehmeä ja murea. Kunnes kuori kovettuu, tämä Pokémon piiloutuu purouoman koloonsa välttääkseen vihollistensa hyökkäyksiä.")</f>
        <v>Crawdaunt luopuu kuorestaan ​​säännöllisesti. Heti sulkasadon jälkeen sen kuori on pehmeä ja murea. Kunnes kuori kovettuu, tämä Pokémon piiloutuu purouoman koloonsa välttääkseen vihollistensa hyökkäyksiä.</v>
      </c>
      <c r="C5736" s="9" t="s">
        <v>1344</v>
      </c>
    </row>
    <row r="5737" ht="33.75" customHeight="1">
      <c r="A5737" s="6" t="s">
        <v>8502</v>
      </c>
      <c r="B5737" s="6" t="str">
        <f>IFERROR(__xludf.DUMMYFUNCTION("GOOGLETRANSLATE(A5737,""en"",""fi"")"),"Sen luonne on karu ja se rakastaa tappelua, mutta heti kun sen pihdit katkeavat, se muuttuu pelkurimaiseksi. Se pysyy arkana, kunnes ne kasvavat takaisin.")</f>
        <v>Sen luonne on karu ja se rakastaa tappelua, mutta heti kun sen pihdit katkeavat, se muuttuu pelkurimaiseksi. Se pysyy arkana, kunnes ne kasvavat takaisin.</v>
      </c>
      <c r="C5737" s="9" t="s">
        <v>1344</v>
      </c>
    </row>
    <row r="5738" ht="33.75" customHeight="1">
      <c r="A5738" s="6" t="s">
        <v>8504</v>
      </c>
      <c r="B5738" s="6" t="str">
        <f>IFERROR(__xludf.DUMMYFUNCTION("GOOGLETRANSLATE(A5738,""en"",""fi"")"),"Sen pihdit putoavat usein irti. Toisin kuin Crabrawlerilla tai Clauncherilla, sen kynsien liha on äärimmäisen iljettävää ja haisevaa.")</f>
        <v>Sen pihdit putoavat usein irti. Toisin kuin Crabrawlerilla tai Clauncherilla, sen kynsien liha on äärimmäisen iljettävää ja haisevaa.</v>
      </c>
      <c r="C5738" s="9" t="s">
        <v>1344</v>
      </c>
    </row>
    <row r="5739" ht="33.75" customHeight="1">
      <c r="A5739" s="6" t="s">
        <v>8505</v>
      </c>
      <c r="B5739" s="6" t="str">
        <f>IFERROR(__xludf.DUMMYFUNCTION("GOOGLETRANSLATE(A5739,""en"",""fi"")"),"BALTOY liikkuu pyörien ympäri yhdellä jalallaan. Muinaisista raunioista on löydetty alkeellisia seinämaalauksia, jotka kuvaavat tätä POKéMONia ihmisten keskuudessa.")</f>
        <v>BALTOY liikkuu pyörien ympäri yhdellä jalallaan. Muinaisista raunioista on löydetty alkeellisia seinämaalauksia, jotka kuvaavat tätä POKéMONia ihmisten keskuudessa.</v>
      </c>
      <c r="C5739" s="9" t="s">
        <v>1344</v>
      </c>
    </row>
    <row r="5740" ht="33.75" customHeight="1">
      <c r="A5740" s="6" t="s">
        <v>8506</v>
      </c>
      <c r="B5740" s="6" t="str">
        <f>IFERROR(__xludf.DUMMYFUNCTION("GOOGLETRANSLATE(A5740,""en"",""fi"")"),"Heti kun BALTOY havaitsee muita lajitovereita, se kerääntyy niiden joukkoon ja alkaa sitten itkeä äänekkäästi yhteen ääneen. Tämä POKéMON nukkuu tasapainotellen taitavasti yhdellä jalallaan.")</f>
        <v>Heti kun BALTOY havaitsee muita lajitovereita, se kerääntyy niiden joukkoon ja alkaa sitten itkeä äänekkäästi yhteen ääneen. Tämä POKéMON nukkuu tasapainotellen taitavasti yhdellä jalallaan.</v>
      </c>
      <c r="C5740" s="9" t="s">
        <v>1344</v>
      </c>
    </row>
    <row r="5741" ht="33.75" customHeight="1">
      <c r="A5741" s="6" t="s">
        <v>8508</v>
      </c>
      <c r="B5741" s="6" t="str">
        <f>IFERROR(__xludf.DUMMYFUNCTION("GOOGLETRANSLATE(A5741,""en"",""fi"")"),"BALTOY liikkuu pyörimällä yhdellä jalallaan. Se on kuvattu muinaisen vilkkaan kaupungin muureja koristavissa seinämaalauksissa.")</f>
        <v>BALTOY liikkuu pyörimällä yhdellä jalallaan. Se on kuvattu muinaisen vilkkaan kaupungin muureja koristavissa seinämaalauksissa.</v>
      </c>
      <c r="C5741" s="9" t="s">
        <v>1344</v>
      </c>
    </row>
    <row r="5742" ht="33.75" customHeight="1">
      <c r="A5742" s="6" t="s">
        <v>8509</v>
      </c>
      <c r="B5742" s="6" t="str">
        <f>IFERROR(__xludf.DUMMYFUNCTION("GOOGLETRANSLATE(A5742,""en"",""fi"")"),"Se löydettiin muinaisista raunioista. Liikkuessaan se pyörii jatkuvasti. Se seisoo yhdellä jalalla jopa nukkuessaan.")</f>
        <v>Se löydettiin muinaisista raunioista. Liikkuessaan se pyörii jatkuvasti. Se seisoo yhdellä jalalla jopa nukkuessaan.</v>
      </c>
      <c r="C5742" s="9" t="s">
        <v>1344</v>
      </c>
    </row>
    <row r="5743" ht="33.75" customHeight="1">
      <c r="A5743" s="6" t="s">
        <v>8510</v>
      </c>
      <c r="B5743" s="6" t="str">
        <f>IFERROR(__xludf.DUMMYFUNCTION("GOOGLETRANSLATE(A5743,""en"",""fi"")"),"Se liikkuu pyörimällä jalallaan. Se on harvinainen Pokémon, joka löydettiin muinaisista raunioista.")</f>
        <v>Se liikkuu pyörimällä jalallaan. Se on harvinainen Pokémon, joka löydettiin muinaisista raunioista.</v>
      </c>
      <c r="C5743" s="9" t="s">
        <v>1344</v>
      </c>
    </row>
    <row r="5744" ht="33.75" customHeight="1">
      <c r="A5744" s="6" t="s">
        <v>8512</v>
      </c>
      <c r="B5744" s="6" t="str">
        <f>IFERROR(__xludf.DUMMYFUNCTION("GOOGLETRANSLATE(A5744,""en"",""fi"")"),"Se liikkuu pyöriessään ympäriinsä yhdellä jalallaan. Joidenkin BALTOY-hirviöiden on nähty pyörivän päänsä päällä.")</f>
        <v>Se liikkuu pyöriessään ympäriinsä yhdellä jalallaan. Joidenkin BALTOY-hirviöiden on nähty pyörivän päänsä päällä.</v>
      </c>
      <c r="C5744" s="9" t="s">
        <v>1344</v>
      </c>
    </row>
    <row r="5745" ht="33.75" customHeight="1">
      <c r="A5745" s="6" t="s">
        <v>8513</v>
      </c>
      <c r="B5745" s="6" t="str">
        <f>IFERROR(__xludf.DUMMYFUNCTION("GOOGLETRANSLATE(A5745,""en"",""fi"")"),"Muinaisista raunioista löydettynä se liikkuu pyörimällä ympäriinsä ja muodostaa ryhmän löytäessään muita.")</f>
        <v>Muinaisista raunioista löydettynä se liikkuu pyörimällä ympäriinsä ja muodostaa ryhmän löytäessään muita.</v>
      </c>
      <c r="C5745" s="9" t="s">
        <v>1344</v>
      </c>
    </row>
    <row r="5746" ht="33.75" customHeight="1">
      <c r="A5746" s="6" t="s">
        <v>8514</v>
      </c>
      <c r="B5746" s="6" t="str">
        <f>IFERROR(__xludf.DUMMYFUNCTION("GOOGLETRANSLATE(A5746,""en"",""fi"")"),"Se liikkuu pyöriessään ympäriinsä yhdellä jalallaan. Joidenkin baltoyjen on nähty pyörivän päänsä päällä.")</f>
        <v>Se liikkuu pyöriessään ympäriinsä yhdellä jalallaan. Joidenkin baltoyjen on nähty pyörivän päänsä päällä.</v>
      </c>
      <c r="C5746" s="9" t="s">
        <v>1344</v>
      </c>
    </row>
    <row r="5747" ht="33.75" customHeight="1">
      <c r="A5747" s="6" t="s">
        <v>8515</v>
      </c>
      <c r="B5747" s="6" t="str">
        <f>IFERROR(__xludf.DUMMYFUNCTION("GOOGLETRANSLATE(A5747,""en"",""fi"")"),"Baltoy liikkuu pyörien ympäri yhdellä jalallaan. Muinaisista raunioista on löydetty alkeellisia seinämaalauksia, jotka kuvaavat tätä Pokémonia ihmisten keskuudessa.")</f>
        <v>Baltoy liikkuu pyörien ympäri yhdellä jalallaan. Muinaisista raunioista on löydetty alkeellisia seinämaalauksia, jotka kuvaavat tätä Pokémonia ihmisten keskuudessa.</v>
      </c>
      <c r="C5747" s="9" t="s">
        <v>1344</v>
      </c>
    </row>
    <row r="5748" ht="33.75" customHeight="1">
      <c r="A5748" s="6" t="s">
        <v>8516</v>
      </c>
      <c r="B5748" s="6" t="str">
        <f>IFERROR(__xludf.DUMMYFUNCTION("GOOGLETRANSLATE(A5748,""en"",""fi"")"),"Heti kun Baltoy havaitsee muita lajitovereita, se kerääntyy niiden joukkoon ja alkaa sitten itkeä äänekkäästi yhteen ääneen. Tämä Pokémon nukkuu tasapainotellen taitavasti yhdellä jalallaan.")</f>
        <v>Heti kun Baltoy havaitsee muita lajitovereita, se kerääntyy niiden joukkoon ja alkaa sitten itkeä äänekkäästi yhteen ääneen. Tämä Pokémon nukkuu tasapainotellen taitavasti yhdellä jalallaan.</v>
      </c>
      <c r="C5748" s="9" t="s">
        <v>1344</v>
      </c>
    </row>
    <row r="5749" ht="33.75" customHeight="1">
      <c r="A5749" s="6" t="s">
        <v>8518</v>
      </c>
      <c r="B5749" s="6" t="str">
        <f>IFERROR(__xludf.DUMMYFUNCTION("GOOGLETRANSLATE(A5749,""en"",""fi"")"),"Baltoyn kaltaisia ​​Pokémon-kuvia on löydetty luolien seiniltä, ​​joissa alkukantaiset ihmiset elivät.")</f>
        <v>Baltoyn kaltaisia ​​Pokémon-kuvia on löydetty luolien seiniltä, ​​joissa alkukantaiset ihmiset elivät.</v>
      </c>
      <c r="C5749" s="9" t="s">
        <v>1344</v>
      </c>
    </row>
    <row r="5750" ht="33.75" customHeight="1">
      <c r="A5750" s="6" t="s">
        <v>8519</v>
      </c>
      <c r="B5750" s="6" t="str">
        <f>IFERROR(__xludf.DUMMYFUNCTION("GOOGLETRANSLATE(A5750,""en"",""fi"")"),"Löytäessään muita lajitoveriaan ne huutavat kovaa ja kerääntyvät yhteen. Niitä voi löytää suuria määriä vanhoilta hautausmailta.")</f>
        <v>Löytäessään muita lajitoveriaan ne huutavat kovaa ja kerääntyvät yhteen. Niitä voi löytää suuria määriä vanhoilta hautausmailta.</v>
      </c>
      <c r="C5750" s="9" t="s">
        <v>1344</v>
      </c>
    </row>
    <row r="5751" ht="33.75" customHeight="1">
      <c r="A5751" s="6" t="s">
        <v>8521</v>
      </c>
      <c r="B5751" s="6" t="str">
        <f>IFERROR(__xludf.DUMMYFUNCTION("GOOGLETRANSLATE(A5751,""en"",""fi"")"),"CLAYDOLien sanotaan olevan alkuihmisten tekemiä mudanukkeja, jotka heräävät eloon alttiiksi salaperäiselle säteelle. Tämä POKéMON liikkuu levitoimalla.")</f>
        <v>CLAYDOLien sanotaan olevan alkuihmisten tekemiä mudanukkeja, jotka heräävät eloon alttiiksi salaperäiselle säteelle. Tämä POKéMON liikkuu levitoimalla.</v>
      </c>
      <c r="C5751" s="9" t="s">
        <v>1344</v>
      </c>
    </row>
    <row r="5752" ht="33.75" customHeight="1">
      <c r="A5752" s="6" t="s">
        <v>8522</v>
      </c>
      <c r="B5752" s="6" t="str">
        <f>IFERROR(__xludf.DUMMYFUNCTION("GOOGLETRANSLATE(A5752,""en"",""fi"")"),"CLAYDOL on arvoitus, joka ilmestyi muinaisen sivilisaation 20 000 vuotta vanhasta savipatsaasta. Tämä POKéMON ampuu säteitä molemmista käsistään.")</f>
        <v>CLAYDOL on arvoitus, joka ilmestyi muinaisen sivilisaation 20 000 vuotta vanhasta savipatsaasta. Tämä POKéMON ampuu säteitä molemmista käsistään.</v>
      </c>
      <c r="C5752" s="9" t="s">
        <v>1344</v>
      </c>
    </row>
    <row r="5753" ht="33.75" customHeight="1">
      <c r="A5753" s="6" t="s">
        <v>8523</v>
      </c>
      <c r="B5753" s="6" t="str">
        <f>IFERROR(__xludf.DUMMYFUNCTION("GOOGLETRANSLATE(A5753,""en"",""fi"")"),"CLAYDOL nukkuu leijuen ilmassa. Sen kädet ovat erillään vartalosta. Ne pysyvät leijunnassa POKéMONien psyykkisten voimien manipuloinnin ansiosta.")</f>
        <v>CLAYDOL nukkuu leijuen ilmassa. Sen kädet ovat erillään vartalosta. Ne pysyvät leijunnassa POKéMONien psyykkisten voimien manipuloinnin ansiosta.</v>
      </c>
      <c r="C5753" s="9" t="s">
        <v>1344</v>
      </c>
    </row>
    <row r="5754" ht="33.75" customHeight="1">
      <c r="A5754" s="6" t="s">
        <v>8525</v>
      </c>
      <c r="B5754" s="6" t="str">
        <f>IFERROR(__xludf.DUMMYFUNCTION("GOOGLETRANSLATE(A5754,""en"",""fi"")"),"Se näyttää syntyneen muinaisten ihmisten tekemistä savinukeista. Se käyttää telekinesiaa kelluakseen ja liikkuakseen.")</f>
        <v>Se näyttää syntyneen muinaisten ihmisten tekemistä savinukeista. Se käyttää telekinesiaa kelluakseen ja liikkuakseen.</v>
      </c>
      <c r="C5754" s="9" t="s">
        <v>1344</v>
      </c>
    </row>
    <row r="5755" ht="33.75" customHeight="1">
      <c r="A5755" s="6" t="s">
        <v>8526</v>
      </c>
      <c r="B5755" s="6" t="str">
        <f>IFERROR(__xludf.DUMMYFUNCTION("GOOGLETRANSLATE(A5755,""en"",""fi"")"),"Muinainen savihahmo, joka heräsi eloon Pokémonina altistuttuaan salaperäiselle valonsäteelle.")</f>
        <v>Muinainen savihahmo, joka heräsi eloon Pokémonina altistuttuaan salaperäiselle valonsäteelle.</v>
      </c>
      <c r="C5755" s="9" t="s">
        <v>1344</v>
      </c>
    </row>
    <row r="5756" ht="33.75" customHeight="1">
      <c r="A5756" s="6" t="s">
        <v>8527</v>
      </c>
      <c r="B5756" s="6" t="str">
        <f>IFERROR(__xludf.DUMMYFUNCTION("GOOGLETRANSLATE(A5756,""en"",""fi"")"),"Sanotaan, että se on peräisin muinaisen sivilisaation tekemistä savinukeista.")</f>
        <v>Sanotaan, että se on peräisin muinaisen sivilisaation tekemistä savinukeista.</v>
      </c>
      <c r="C5756" s="9" t="s">
        <v>1344</v>
      </c>
    </row>
    <row r="5757" ht="33.75" customHeight="1">
      <c r="A5757" s="6" t="s">
        <v>8529</v>
      </c>
      <c r="B5757" s="6" t="str">
        <f>IFERROR(__xludf.DUMMYFUNCTION("GOOGLETRANSLATE(A5757,""en"",""fi"")"),"Tämä salaperäinen Pokémon aloitti elämänsä yli 20 000 vuotta sitten tehtynä muinaisena savihahmona.")</f>
        <v>Tämä salaperäinen Pokémon aloitti elämänsä yli 20 000 vuotta sitten tehtynä muinaisena savihahmona.</v>
      </c>
      <c r="C5757" s="9" t="s">
        <v>1344</v>
      </c>
    </row>
    <row r="5758" ht="33.75" customHeight="1">
      <c r="A5758" s="6" t="s">
        <v>8530</v>
      </c>
      <c r="B5758" s="6" t="str">
        <f>IFERROR(__xludf.DUMMYFUNCTION("GOOGLETRANSLATE(A5758,""en"",""fi"")"),"Claydol-pokémonien sanotaan olevan alkuihmisten tekemiä mudanukkeja, jotka heräävät eloon altistumalla salaperäiselle säteelle. Tämä Pokémon liikkuu levitoidessaan.")</f>
        <v>Claydol-pokémonien sanotaan olevan alkuihmisten tekemiä mudanukkeja, jotka heräävät eloon altistumalla salaperäiselle säteelle. Tämä Pokémon liikkuu levitoidessaan.</v>
      </c>
      <c r="C5758" s="9" t="s">
        <v>1344</v>
      </c>
    </row>
    <row r="5759" ht="33.75" customHeight="1">
      <c r="A5759" s="6" t="s">
        <v>8531</v>
      </c>
      <c r="B5759" s="6" t="str">
        <f>IFERROR(__xludf.DUMMYFUNCTION("GOOGLETRANSLATE(A5759,""en"",""fi"")"),"Claydol on arvoitus, joka ilmestyi muinaisen sivilisaation 20 000 vuotta vanhasta savipatsaasta. Tämä Pokémon ampuu säteitä molemmista käsistään.")</f>
        <v>Claydol on arvoitus, joka ilmestyi muinaisen sivilisaation 20 000 vuotta vanhasta savipatsaasta. Tämä Pokémon ampuu säteitä molemmista käsistään.</v>
      </c>
      <c r="C5759" s="9" t="s">
        <v>1344</v>
      </c>
    </row>
    <row r="5760" ht="33.75" customHeight="1">
      <c r="A5760" s="6" t="s">
        <v>8532</v>
      </c>
      <c r="B5760" s="6" t="str">
        <f>IFERROR(__xludf.DUMMYFUNCTION("GOOGLETRANSLATE(A5760,""en"",""fi"")"),"Jos se kastuu, sen ruumis sulaa. Kun alkaa sataa, se kietoo koko ruumiinsa psyykkisiin voimiinsa suojellakseen itseään.")</f>
        <v>Jos se kastuu, sen ruumis sulaa. Kun alkaa sataa, se kietoo koko ruumiinsa psyykkisiin voimiinsa suojellakseen itseään.</v>
      </c>
      <c r="C5760" s="9" t="s">
        <v>1344</v>
      </c>
    </row>
    <row r="5761" ht="33.75" customHeight="1">
      <c r="A5761" s="6" t="s">
        <v>8533</v>
      </c>
      <c r="B5761" s="6" t="str">
        <f>IFERROR(__xludf.DUMMYFUNCTION("GOOGLETRANSLATE(A5761,""en"",""fi"")"),"Muinaiset ihmiset, jotka sen tekivät, ilmeisesti mallinsivat sen jostakin taivaasta laskeutuneesta. Se ampuu säteitä molemmista käsivarsista.")</f>
        <v>Muinaiset ihmiset, jotka sen tekivät, ilmeisesti mallinsivat sen jostakin taivaasta laskeutuneesta. Se ampuu säteitä molemmista käsivarsista.</v>
      </c>
      <c r="C5761" s="9" t="s">
        <v>1344</v>
      </c>
    </row>
    <row r="5762" ht="33.75" customHeight="1">
      <c r="A5762" s="6" t="s">
        <v>8535</v>
      </c>
      <c r="B5762" s="6" t="str">
        <f>IFERROR(__xludf.DUMMYFUNCTION("GOOGLETRANSLATE(A5762,""en"",""fi"")"),"LILEEP kuoli sukupuuttoon noin sata miljoonaa vuotta sitten. Tämä muinainen POKéMON kiinnittyy merenpohjassa olevaan kiveen ja pyydystää lähestyvän saaliinsa kukka terälehtien muotoisten lonkeroiden avulla.")</f>
        <v>LILEEP kuoli sukupuuttoon noin sata miljoonaa vuotta sitten. Tämä muinainen POKéMON kiinnittyy merenpohjassa olevaan kiveen ja pyydystää lähestyvän saaliinsa kukka terälehtien muotoisten lonkeroiden avulla.</v>
      </c>
      <c r="C5762" s="9" t="s">
        <v>1344</v>
      </c>
    </row>
    <row r="5763" ht="33.75" customHeight="1">
      <c r="A5763" s="6" t="s">
        <v>8536</v>
      </c>
      <c r="B5763" s="6" t="str">
        <f>IFERROR(__xludf.DUMMYFUNCTION("GOOGLETRANSLATE(A5763,""en"",""fi"")"),"LILEEP on muinainen POKéMON, joka on syntynyt fossiilista. Se on pysyvästi ankkuroitunut kallioon. Liikkumattomalta istuimeltaan tämä POKéMON tarkkailee saalista kahdella silmällään.")</f>
        <v>LILEEP on muinainen POKéMON, joka on syntynyt fossiilista. Se on pysyvästi ankkuroitunut kallioon. Liikkumattomalta istuimeltaan tämä POKéMON tarkkailee saalista kahdella silmällään.</v>
      </c>
      <c r="C5763" s="9" t="s">
        <v>1344</v>
      </c>
    </row>
    <row r="5764" ht="33.75" customHeight="1">
      <c r="A5764" s="6" t="s">
        <v>8537</v>
      </c>
      <c r="B5764" s="6" t="str">
        <f>IFERROR(__xludf.DUMMYFUNCTION("GOOGLETRANSLATE(A5764,""en"",""fi"")"),"Se naamioituu merileväksi heiluttamalla lonkeroitaan. Liian lähelle tuleva tietämätön saalis niellään kokonaisena. Se kuoli sukupuuttoon 100 miljoonaa vuotta sitten.")</f>
        <v>Se naamioituu merileväksi heiluttamalla lonkeroitaan. Liian lähelle tuleva tietämätön saalis niellään kokonaisena. Se kuoli sukupuuttoon 100 miljoonaa vuotta sitten.</v>
      </c>
      <c r="C5764" s="9" t="s">
        <v>1344</v>
      </c>
    </row>
    <row r="5765" ht="33.75" customHeight="1">
      <c r="A5765" s="6" t="s">
        <v>8538</v>
      </c>
      <c r="B5765" s="6" t="str">
        <f>IFERROR(__xludf.DUMMYFUNCTION("GOOGLETRANSLATE(A5765,""en"",""fi"")"),"Se kuoli sukupuuttoon noin 100 miljoonaa vuotta sitten. Se elpyi fossiilista edistyneiden tekniikoiden avulla.")</f>
        <v>Se kuoli sukupuuttoon noin 100 miljoonaa vuotta sitten. Se elpyi fossiilista edistyneiden tekniikoiden avulla.</v>
      </c>
      <c r="C5765" s="9" t="s">
        <v>1344</v>
      </c>
    </row>
    <row r="5766" ht="33.75" customHeight="1">
      <c r="A5766" s="6" t="s">
        <v>8539</v>
      </c>
      <c r="B5766" s="6" t="str">
        <f>IFERROR(__xludf.DUMMYFUNCTION("GOOGLETRANSLATE(A5766,""en"",""fi"")"),"Se eli merenpohjassa 100 miljoonaa vuotta sitten ja herätettiin henkiin tieteellisesti.")</f>
        <v>Se eli merenpohjassa 100 miljoonaa vuotta sitten ja herätettiin henkiin tieteellisesti.</v>
      </c>
      <c r="C5766" s="9" t="s">
        <v>1344</v>
      </c>
    </row>
    <row r="5767" ht="33.75" customHeight="1">
      <c r="A5767" s="6" t="s">
        <v>8540</v>
      </c>
      <c r="B5767" s="6" t="str">
        <f>IFERROR(__xludf.DUMMYFUNCTION("GOOGLETRANSLATE(A5767,""en"",""fi"")"),"Se naamioi lonkeronsa kukiksi houkutellakseen ja pyydystääkseen saalista. Se kuoli sukupuuttoon muinaisina aikoina.")</f>
        <v>Se naamioi lonkeronsa kukiksi houkutellakseen ja pyydystääkseen saalista. Se kuoli sukupuuttoon muinaisina aikoina.</v>
      </c>
      <c r="C5767" s="9" t="s">
        <v>1344</v>
      </c>
    </row>
    <row r="5768" ht="33.75" customHeight="1">
      <c r="A5768" s="6" t="s">
        <v>8541</v>
      </c>
      <c r="B5768" s="6" t="str">
        <f>IFERROR(__xludf.DUMMYFUNCTION("GOOGLETRANSLATE(A5768,""en"",""fi"")"),"Lileep kuoli sukupuuttoon noin sata miljoonaa vuotta sitten. Tämä muinainen Pokémon kiinnittyy merenpohjassa olevaan kiveen ja pyydystää lähestyvän saaliinsa kukka terälehtien muotoisten lonkeroiden avulla.")</f>
        <v>Lileep kuoli sukupuuttoon noin sata miljoonaa vuotta sitten. Tämä muinainen Pokémon kiinnittyy merenpohjassa olevaan kiveen ja pyydystää lähestyvän saaliinsa kukka terälehtien muotoisten lonkeroiden avulla.</v>
      </c>
      <c r="C5768" s="9" t="s">
        <v>1344</v>
      </c>
    </row>
    <row r="5769" ht="33.75" customHeight="1">
      <c r="A5769" s="6" t="s">
        <v>8542</v>
      </c>
      <c r="B5769" s="6" t="str">
        <f>IFERROR(__xludf.DUMMYFUNCTION("GOOGLETRANSLATE(A5769,""en"",""fi"")"),"Lileep on muinainen Pokémon, joka on uusiutunut fossiilista. Se on pysyvästi ankkuroitunut kallioon. Liikkumattomalta istuimeltaan tämä Pokémon tarkkailee saalista kahdella silmällään.")</f>
        <v>Lileep on muinainen Pokémon, joka on uusiutunut fossiilista. Se on pysyvästi ankkuroitunut kallioon. Liikkumattomalta istuimeltaan tämä Pokémon tarkkailee saalista kahdella silmällään.</v>
      </c>
      <c r="C5769" s="9" t="s">
        <v>1344</v>
      </c>
    </row>
    <row r="5770" ht="33.75" customHeight="1">
      <c r="A5770" s="6" t="s">
        <v>8543</v>
      </c>
      <c r="B5770" s="6" t="str">
        <f>IFERROR(__xludf.DUMMYFUNCTION("GOOGLETRANSLATE(A5770,""en"",""fi"")"),"Muinaisina aikoina se eli lämpimissä merissä. Se naamioitui merileväksi väijyttääkseen saalistaan ​​ja ahmi ne kokonaisina, kun ne tulivat lähelle.")</f>
        <v>Muinaisina aikoina se eli lämpimissä merissä. Se naamioitui merileväksi väijyttääkseen saalistaan ​​ja ahmi ne kokonaisina, kun ne tulivat lähelle.</v>
      </c>
      <c r="C5770" s="9" t="s">
        <v>1344</v>
      </c>
    </row>
    <row r="5771" ht="33.75" customHeight="1">
      <c r="A5771" s="6" t="s">
        <v>8544</v>
      </c>
      <c r="B5771" s="6" t="str">
        <f>IFERROR(__xludf.DUMMYFUNCTION("GOOGLETRANSLATE(A5771,""en"",""fi"")"),"Se tarttuu kiviin voimakkailla imukupeillään, eikä sitä voi huuhtoa pois, olipa aalto kuinka karu tahansa.")</f>
        <v>Se tarttuu kiviin voimakkailla imukupeillään, eikä sitä voi huuhtoa pois, olipa aalto kuinka karu tahansa.</v>
      </c>
      <c r="C5771" s="9" t="s">
        <v>1344</v>
      </c>
    </row>
    <row r="5772" ht="33.75" customHeight="1">
      <c r="A5772" s="6" t="s">
        <v>8545</v>
      </c>
      <c r="B5772" s="6" t="str">
        <f>IFERROR(__xludf.DUMMYFUNCTION("GOOGLETRANSLATE(A5772,""en"",""fi"")"),"Tämä Pokémon on palautettu fossiilista. Lileep eli aikoinaan lämpimissä merissä noin 100 000 000 vuotta sitten.")</f>
        <v>Tämä Pokémon on palautettu fossiilista. Lileep eli aikoinaan lämpimissä merissä noin 100 000 000 vuotta sitten.</v>
      </c>
      <c r="C5772" s="9" t="s">
        <v>1344</v>
      </c>
    </row>
    <row r="5773" ht="33.75" customHeight="1">
      <c r="A5773" s="6" t="s">
        <v>8547</v>
      </c>
      <c r="B5773" s="6" t="str">
        <f>IFERROR(__xludf.DUMMYFUNCTION("GOOGLETRANSLATE(A5773,""en"",""fi"")"),"Lileep tarrautuu merenpohjan kiviin. Kun saalis tulee lähelle, tämä Pokémon kietoo sen terälehtimäisiin lonkeroihinsa.")</f>
        <v>Lileep tarrautuu merenpohjan kiviin. Kun saalis tulee lähelle, tämä Pokémon kietoo sen terälehtimäisiin lonkeroihinsa.</v>
      </c>
      <c r="C5773" s="9" t="s">
        <v>1344</v>
      </c>
    </row>
    <row r="5774" ht="33.75" customHeight="1">
      <c r="A5774" s="6" t="s">
        <v>8548</v>
      </c>
      <c r="B5774" s="6" t="str">
        <f>IFERROR(__xludf.DUMMYFUNCTION("GOOGLETRANSLATE(A5774,""en"",""fi"")"),"CRADILY vaeltelee merenpohjassa etsien ruokaa. Tämä POKéMON ojentaa vapaasti puunrunkoa muistuttavaa kaulaansa ja pyydystää varomattoman saaliin kahdeksalla lonkerollaan.")</f>
        <v>CRADILY vaeltelee merenpohjassa etsien ruokaa. Tämä POKéMON ojentaa vapaasti puunrunkoa muistuttavaa kaulaansa ja pyydystää varomattoman saaliin kahdeksalla lonkerollaan.</v>
      </c>
      <c r="C5774" s="9" t="s">
        <v>1344</v>
      </c>
    </row>
    <row r="5775" ht="33.75" customHeight="1">
      <c r="A5775" s="6" t="s">
        <v>8549</v>
      </c>
      <c r="B5775" s="6" t="str">
        <f>IFERROR(__xludf.DUMMYFUNCTION("GOOGLETRANSLATE(A5775,""en"",""fi"")"),"CRADILYn keho toimii ankkurina estäen sitä huuhtoutumasta mennessään kovassa merenkäynnissä. Tämä POKéMON erittää vahvaa ruoansulatusnestettä lonkeroistaan.")</f>
        <v>CRADILYn keho toimii ankkurina estäen sitä huuhtoutumasta mennessään kovassa merenkäynnissä. Tämä POKéMON erittää vahvaa ruoansulatusnestettä lonkeroistaan.</v>
      </c>
      <c r="C5775" s="9" t="s">
        <v>1344</v>
      </c>
    </row>
    <row r="5776" ht="33.75" customHeight="1">
      <c r="A5776" s="6" t="s">
        <v>8550</v>
      </c>
      <c r="B5776" s="6" t="str">
        <f>IFERROR(__xludf.DUMMYFUNCTION("GOOGLETRANSLATE(A5776,""en"",""fi"")"),"Se raahaa raskasta ruumistaan ​​merenpohjaa pitkin. Se tekee pesänsä lämpimien merien matalikkoihin. CRADILYä voi nähdä rannoilla laskuveden aikaan.")</f>
        <v>Se raahaa raskasta ruumistaan ​​merenpohjaa pitkin. Se tekee pesänsä lämpimien merien matalikkoihin. CRADILYä voi nähdä rannoilla laskuveden aikaan.</v>
      </c>
      <c r="C5776" s="9" t="s">
        <v>1344</v>
      </c>
    </row>
    <row r="5777" ht="33.75" customHeight="1">
      <c r="A5777" s="6" t="s">
        <v>8551</v>
      </c>
      <c r="B5777" s="6" t="str">
        <f>IFERROR(__xludf.DUMMYFUNCTION("GOOGLETRANSLATE(A5777,""en"",""fi"")"),"Se kietoo saaliinsa ansaan kahdeksalla lonkerollaan. Sitten se sulattaa saaliin vahvalla hapolla ennen syömistä.")</f>
        <v>Se kietoo saaliinsa ansaan kahdeksalla lonkerollaan. Sitten se sulattaa saaliin vahvalla hapolla ennen syömistä.</v>
      </c>
      <c r="C5777" s="9" t="s">
        <v>1344</v>
      </c>
    </row>
    <row r="5778" ht="33.75" customHeight="1">
      <c r="A5778" s="6" t="s">
        <v>8552</v>
      </c>
      <c r="B5778" s="6" t="str">
        <f>IFERROR(__xludf.DUMMYFUNCTION("GOOGLETRANSLATE(A5778,""en"",""fi"")"),"Se elää lämpimien merien matalikoissa. Kun vuorovesi laskee, se kaivaa saalista rannoilta.")</f>
        <v>Se elää lämpimien merien matalikoissa. Kun vuorovesi laskee, se kaivaa saalista rannoilta.</v>
      </c>
      <c r="C5778" s="9" t="s">
        <v>1344</v>
      </c>
    </row>
    <row r="5779" ht="33.75" customHeight="1">
      <c r="A5779" s="6" t="s">
        <v>8553</v>
      </c>
      <c r="B5779" s="6" t="str">
        <f>IFERROR(__xludf.DUMMYFUNCTION("GOOGLETRANSLATE(A5779,""en"",""fi"")"),"Se elää lämpimissä merissä. Sen raskas ruumis painaa sitä, joten se ei huuhtoudu pois kovassa säässä.")</f>
        <v>Se elää lämpimissä merissä. Sen raskas ruumis painaa sitä, joten se ei huuhtoudu pois kovassa säässä.</v>
      </c>
      <c r="C5779" s="9" t="s">
        <v>1344</v>
      </c>
    </row>
    <row r="5780" ht="33.75" customHeight="1">
      <c r="A5780" s="6" t="s">
        <v>8555</v>
      </c>
      <c r="B5780" s="6" t="str">
        <f>IFERROR(__xludf.DUMMYFUNCTION("GOOGLETRANSLATE(A5780,""en"",""fi"")"),"Cradily vaeltelee merenpohjassa etsien ruokaa. Tämä Pokémon ojentaa vapaasti puunrunkoa muistuttavaa kaulaansa ja pyydystää varomattoman saaliin kahdeksalla lonkerollaan.")</f>
        <v>Cradily vaeltelee merenpohjassa etsien ruokaa. Tämä Pokémon ojentaa vapaasti puunrunkoa muistuttavaa kaulaansa ja pyydystää varomattoman saaliin kahdeksalla lonkerollaan.</v>
      </c>
      <c r="C5780" s="9" t="s">
        <v>1344</v>
      </c>
    </row>
    <row r="5781" ht="33.75" customHeight="1">
      <c r="A5781" s="6" t="s">
        <v>8556</v>
      </c>
      <c r="B5781" s="6" t="str">
        <f>IFERROR(__xludf.DUMMYFUNCTION("GOOGLETRANSLATE(A5781,""en"",""fi"")"),"Cradilyn ruumis toimii ankkurina estäen sitä huuhtoutumasta mennessään kovassa merenkäynnissä. Tämä Pokémon erittää vahvaa ruoansulatusnestettä lonkeroistaan.")</f>
        <v>Cradilyn ruumis toimii ankkurina estäen sitä huuhtoutumasta mennessään kovassa merenkäynnissä. Tämä Pokémon erittää vahvaa ruoansulatusnestettä lonkeroistaan.</v>
      </c>
      <c r="C5781" s="9" t="s">
        <v>1344</v>
      </c>
    </row>
    <row r="5782" ht="33.75" customHeight="1">
      <c r="A5782" s="6" t="s">
        <v>8557</v>
      </c>
      <c r="B5782" s="6" t="str">
        <f>IFERROR(__xludf.DUMMYFUNCTION("GOOGLETRANSLATE(A5782,""en"",""fi"")"),"Normaalisti se eli matalilla meren matalikoilla. Kun vuorovesi laski, tämä Pokémon nousi maihin etsimään saalista.")</f>
        <v>Normaalisti se eli matalilla meren matalikoilla. Kun vuorovesi laski, tämä Pokémon nousi maihin etsimään saalista.</v>
      </c>
      <c r="C5782" s="9" t="s">
        <v>1344</v>
      </c>
    </row>
    <row r="5783" ht="33.75" customHeight="1">
      <c r="A5783" s="6" t="s">
        <v>8559</v>
      </c>
      <c r="B5783" s="6" t="str">
        <f>IFERROR(__xludf.DUMMYFUNCTION("GOOGLETRANSLATE(A5783,""en"",""fi"")"),"Tämä lihansyöjä-Pokémon eli alkukantaisissa merissä. Se pyydystää saalista kahdeksalla lonkerollaan ja liuottaa ne ruoansulatusnesteeseen syödessään.")</f>
        <v>Tämä lihansyöjä-Pokémon eli alkukantaisissa merissä. Se pyydystää saalista kahdeksalla lonkerollaan ja liuottaa ne ruoansulatusnesteeseen syödessään.</v>
      </c>
      <c r="C5783" s="9" t="s">
        <v>1344</v>
      </c>
    </row>
    <row r="5784" ht="33.75" customHeight="1">
      <c r="A5784" s="6" t="s">
        <v>8561</v>
      </c>
      <c r="B5784" s="6" t="str">
        <f>IFERROR(__xludf.DUMMYFUNCTION("GOOGLETRANSLATE(A5784,""en"",""fi"")"),"Sillä on lyhyet jalat eikä se pysty kävelemään kovin nopeasti, mutta sen kaula ja lonkerot voivat ulottua yli kolminkertaisiksi tavallisiin pituuksiinsa napatakseen kaukaisen saaliin.")</f>
        <v>Sillä on lyhyet jalat eikä se pysty kävelemään kovin nopeasti, mutta sen kaula ja lonkerot voivat ulottua yli kolminkertaisiksi tavallisiin pituuksiinsa napatakseen kaukaisen saaliin.</v>
      </c>
      <c r="C5784" s="9" t="s">
        <v>1344</v>
      </c>
    </row>
    <row r="5785" ht="33.75" customHeight="1">
      <c r="A5785" s="6" t="s">
        <v>8562</v>
      </c>
      <c r="B5785" s="6" t="str">
        <f>IFERROR(__xludf.DUMMYFUNCTION("GOOGLETRANSLATE(A5785,""en"",""fi"")"),"Kun Cradily nappaa saaliin lonkeroihinsa, se sulattaa sen kokonaisena ja imee sen ravintoaineet.")</f>
        <v>Kun Cradily nappaa saaliin lonkeroihinsa, se sulattaa sen kokonaisena ja imee sen ravintoaineet.</v>
      </c>
      <c r="C5785" s="9" t="s">
        <v>1344</v>
      </c>
    </row>
    <row r="5786" ht="33.75" customHeight="1">
      <c r="A5786" s="6" t="s">
        <v>8564</v>
      </c>
      <c r="B5786" s="6" t="str">
        <f>IFERROR(__xludf.DUMMYFUNCTION("GOOGLETRANSLATE(A5786,""en"",""fi"")"),"ANORITH luotiin uudelleen esihistoriallisesta fossiilista. Tämä alkukantainen POKéMON eli aikoinaan lämpimissä merissä. Se puristaa saalistaan ​​tiukasti kahden suuren kyntensä välissä.")</f>
        <v>ANORITH luotiin uudelleen esihistoriallisesta fossiilista. Tämä alkukantainen POKéMON eli aikoinaan lämpimissä merissä. Se puristaa saalistaan ​​tiukasti kahden suuren kyntensä välissä.</v>
      </c>
      <c r="C5786" s="9" t="s">
        <v>1344</v>
      </c>
    </row>
    <row r="5787" ht="33.75" customHeight="1">
      <c r="A5787" s="6" t="s">
        <v>8565</v>
      </c>
      <c r="B5787" s="6" t="str">
        <f>IFERROR(__xludf.DUMMYFUNCTION("GOOGLETRANSLATE(A5787,""en"",""fi"")"),"ANORITHin sanotaan olevan eräänlainen POKéMONien edeltäjä, jolla on kahdeksan siipeä kehonsa sivuilla. Tämä POKéMON ui alkukantaisessa meressä aaltoilemalla näitä kahdeksaa siipeä.")</f>
        <v>ANORITHin sanotaan olevan eräänlainen POKéMONien edeltäjä, jolla on kahdeksan siipeä kehonsa sivuilla. Tämä POKéMON ui alkukantaisessa meressä aaltoilemalla näitä kahdeksaa siipeä.</v>
      </c>
      <c r="C5787" s="9" t="s">
        <v>1344</v>
      </c>
    </row>
    <row r="5788" ht="33.75" customHeight="1">
      <c r="A5788" s="6" t="s">
        <v>8567</v>
      </c>
      <c r="B5788" s="6" t="str">
        <f>IFERROR(__xludf.DUMMYFUNCTION("GOOGLETRANSLATE(A5788,""en"",""fi"")"),"Se herätettiin fossiilista tieteen voimalla. Se ui aaltoilemalla kahdeksaa siipeään pitkin. Ne olivat jalat, jotka sopeutuivat elämään meressä.")</f>
        <v>Se herätettiin fossiilista tieteen voimalla. Se ui aaltoilemalla kahdeksaa siipeään pitkin. Ne olivat jalat, jotka sopeutuivat elämään meressä.</v>
      </c>
      <c r="C5788" s="9" t="s">
        <v>1344</v>
      </c>
    </row>
    <row r="5789" ht="33.75" customHeight="1">
      <c r="A5789" s="6" t="s">
        <v>8568</v>
      </c>
      <c r="B5789" s="6" t="str">
        <f>IFERROR(__xludf.DUMMYFUNCTION("GOOGLETRANSLATE(A5789,""en"",""fi"")"),"Se on eräänlainen POKéMONien kantamuoto. Se käyttää ojentuvia kynsiään pyydystääkseen merenpohjan kivien seassa piileskelevää saalista.")</f>
        <v>Se on eräänlainen POKéMONien kantamuoto. Se käyttää ojentuvia kynsiään pyydystääkseen merenpohjan kivien seassa piileskelevää saalista.</v>
      </c>
      <c r="C5789" s="9" t="s">
        <v>1344</v>
      </c>
    </row>
    <row r="5790" ht="33.75" customHeight="1">
      <c r="A5790" s="6" t="s">
        <v>8570</v>
      </c>
      <c r="B5790" s="6" t="str">
        <f>IFERROR(__xludf.DUMMYFUNCTION("GOOGLETRANSLATE(A5790,""en"",""fi"")"),"Fossiilista herätetty Pokémonin esi-isä. Se eli meressä ja metsästi kynsillään.")</f>
        <v>Fossiilista herätetty Pokémonin esi-isä. Se eli meressä ja metsästi kynsillään.</v>
      </c>
      <c r="C5790" s="9" t="s">
        <v>1344</v>
      </c>
    </row>
    <row r="5791" ht="33.75" customHeight="1">
      <c r="A5791" s="6" t="s">
        <v>8571</v>
      </c>
      <c r="B5791" s="6" t="str">
        <f>IFERROR(__xludf.DUMMYFUNCTION("GOOGLETRANSLATE(A5791,""en"",""fi"")"),"Meressä elänyt esi-isä-Pokémon. Ajan myötä sen kahdeksan jalkaa muuttuivat siiviksi.")</f>
        <v>Meressä elänyt esi-isä-Pokémon. Ajan myötä sen kahdeksan jalkaa muuttuivat siiviksi.</v>
      </c>
      <c r="C5791" s="9" t="s">
        <v>1344</v>
      </c>
    </row>
    <row r="5792" ht="33.75" customHeight="1">
      <c r="A5792" s="6" t="s">
        <v>8572</v>
      </c>
      <c r="B5792" s="6" t="str">
        <f>IFERROR(__xludf.DUMMYFUNCTION("GOOGLETRANSLATE(A5792,""en"",""fi"")"),"Se on eräänlainen Pokémonin kantamuoto. Se käyttää ojentuvia kynsiään pyydystääkseen merenpohjan kivien seassa piileskelevää saalista.")</f>
        <v>Se on eräänlainen Pokémonin kantamuoto. Se käyttää ojentuvia kynsiään pyydystääkseen merenpohjan kivien seassa piileskelevää saalista.</v>
      </c>
      <c r="C5792" s="9" t="s">
        <v>1344</v>
      </c>
    </row>
    <row r="5793" ht="33.75" customHeight="1">
      <c r="A5793" s="6" t="s">
        <v>8573</v>
      </c>
      <c r="B5793" s="6" t="str">
        <f>IFERROR(__xludf.DUMMYFUNCTION("GOOGLETRANSLATE(A5793,""en"",""fi"")"),"Anorith syntyi esihistoriallisesta fossiilista. Tämä alkukantainen Pokémon eli aikoinaan lämpimissä merissä. Se puristaa saalistaan ​​tiukasti kahden suuren kyntensä välissä.")</f>
        <v>Anorith syntyi esihistoriallisesta fossiilista. Tämä alkukantainen Pokémon eli aikoinaan lämpimissä merissä. Se puristaa saalistaan ​​tiukasti kahden suuren kyntensä välissä.</v>
      </c>
      <c r="C5793" s="9" t="s">
        <v>1344</v>
      </c>
    </row>
    <row r="5794" ht="33.75" customHeight="1">
      <c r="A5794" s="6" t="s">
        <v>8574</v>
      </c>
      <c r="B5794" s="6" t="str">
        <f>IFERROR(__xludf.DUMMYFUNCTION("GOOGLETRANSLATE(A5794,""en"",""fi"")"),"Anorithin sanotaan olevan eräänlainen Pokémonin edeltäjä, jolla on kahdeksan siipeä kehonsa sivuilla. Tämä Pokémon ui alkukantaisessa meressä aaltoilemalla näitä kahdeksaa siipeä.")</f>
        <v>Anorithin sanotaan olevan eräänlainen Pokémonin edeltäjä, jolla on kahdeksan siipeä kehonsa sivuilla. Tämä Pokémon ui alkukantaisessa meressä aaltoilemalla näitä kahdeksaa siipeä.</v>
      </c>
      <c r="C5794" s="9" t="s">
        <v>1344</v>
      </c>
    </row>
    <row r="5795" ht="33.75" customHeight="1">
      <c r="A5795" s="6" t="s">
        <v>8575</v>
      </c>
      <c r="B5795" s="6" t="str">
        <f>IFERROR(__xludf.DUMMYFUNCTION("GOOGLETRANSLATE(A5795,""en"",""fi"")"),"Kun ennallistetut anorithit päästetään mereen, ne eivät viihdy, koska veden koostumus on muuttunut niiden aikakaudesta.")</f>
        <v>Kun ennallistetut anorithit päästetään mereen, ne eivät viihdy, koska veden koostumus on muuttunut niiden aikakaudesta.</v>
      </c>
      <c r="C5795" s="9" t="s">
        <v>1344</v>
      </c>
    </row>
    <row r="5796" ht="33.75" customHeight="1">
      <c r="A5796" s="6" t="s">
        <v>8576</v>
      </c>
      <c r="B5796" s="6" t="str">
        <f>IFERROR(__xludf.DUMMYFUNCTION("GOOGLETRANSLATE(A5796,""en"",""fi"")"),"Tämä on eräänlainen alkukantainen ötökkä-Pokémon. Kahdeksan siiven ansiosta se kykeni ilmeisesti uimaan paljon nopeammin kuin voisi odottaa.")</f>
        <v>Tämä on eräänlainen alkukantainen ötökkä-Pokémon. Kahdeksan siiven ansiosta se kykeni ilmeisesti uimaan paljon nopeammin kuin voisi odottaa.</v>
      </c>
      <c r="C5796" s="9" t="s">
        <v>1344</v>
      </c>
    </row>
    <row r="5797" ht="33.75" customHeight="1">
      <c r="A5797" s="6" t="s">
        <v>8577</v>
      </c>
      <c r="B5797" s="6" t="str">
        <f>IFERROR(__xludf.DUMMYFUNCTION("GOOGLETRANSLATE(A5797,""en"",""fi"")"),"Tämä Pokémon on palautettu fossiilista. Anorith eli meressä noin 100 000 000 vuotta sitten metsästäen kynsillään.")</f>
        <v>Tämä Pokémon on palautettu fossiilista. Anorith eli meressä noin 100 000 000 vuotta sitten metsästäen kynsillään.</v>
      </c>
      <c r="C5797" s="9" t="s">
        <v>1344</v>
      </c>
    </row>
    <row r="5798" ht="33.75" customHeight="1">
      <c r="A5798" s="6" t="s">
        <v>8579</v>
      </c>
      <c r="B5798" s="6" t="str">
        <f>IFERROR(__xludf.DUMMYFUNCTION("GOOGLETRANSLATE(A5798,""en"",""fi"")"),"Anorith voi uida nopeasti vetämällä kahdeksaa siipeään vedessä kuin airoja veneessä. Tämä Pokémon on nykyaikaisten ötökkä-Pokémonien esi-isä.")</f>
        <v>Anorith voi uida nopeasti vetämällä kahdeksaa siipeään vedessä kuin airoja veneessä. Tämä Pokémon on nykyaikaisten ötökkä-Pokémonien esi-isä.</v>
      </c>
      <c r="C5798" s="9" t="s">
        <v>1344</v>
      </c>
    </row>
    <row r="5799" ht="33.75" customHeight="1">
      <c r="A5799" s="6" t="s">
        <v>8581</v>
      </c>
      <c r="B5799" s="6" t="str">
        <f>IFERROR(__xludf.DUMMYFUNCTION("GOOGLETRANSLATE(A5799,""en"",""fi"")"),"ARMALDOn kestävä haarniska saa kaikki hyökkäykset kimpoamaan takaisin. Tämän POKéMONin kahta valtavaa kynttä voi vapaasti ojentaa tai supistaa. Niillä on voima lävistää teräslaatta.")</f>
        <v>ARMALDOn kestävä haarniska saa kaikki hyökkäykset kimpoamaan takaisin. Tämän POKéMONin kahta valtavaa kynttä voi vapaasti ojentaa tai supistaa. Niillä on voima lävistää teräslaatta.</v>
      </c>
      <c r="C5799" s="9" t="s">
        <v>1344</v>
      </c>
    </row>
    <row r="5800" ht="33.75" customHeight="1">
      <c r="A5800" s="6" t="s">
        <v>8583</v>
      </c>
      <c r="B5800" s="6" t="str">
        <f>IFERROR(__xludf.DUMMYFUNCTION("GOOGLETRANSLATE(A5800,""en"",""fi"")"),"ARMALDO on POKéMON-laji, joka kuoli sukupuuttoon esihistoriallisella ajalla. Tämän POKéMONin sanotaan kävelleen takajaloillaan, mikä olisi ollut kätevämpää maalla elämiseen.")</f>
        <v>ARMALDO on POKéMON-laji, joka kuoli sukupuuttoon esihistoriallisella ajalla. Tämän POKéMONin sanotaan kävelleen takajaloillaan, mikä olisi ollut kätevämpää maalla elämiseen.</v>
      </c>
      <c r="C5800" s="9" t="s">
        <v>1344</v>
      </c>
    </row>
    <row r="5801" ht="33.75" customHeight="1">
      <c r="A5801" s="6" t="s">
        <v>8585</v>
      </c>
      <c r="B5801" s="6" t="str">
        <f>IFERROR(__xludf.DUMMYFUNCTION("GOOGLETRANSLATE(A5801,""en"",""fi"")"),"ARMALDO elää yleensä maalla. Saalista metsästäessään se kuitenkin sukeltaa merenpinnan alle. Se ui ympäriinsä käyttäen kahta suurta siipeään.")</f>
        <v>ARMALDO elää yleensä maalla. Saalista metsästäessään se kuitenkin sukeltaa merenpinnan alle. Se ui ympäriinsä käyttäen kahta suurta siipeään.</v>
      </c>
      <c r="C5801" s="9" t="s">
        <v>1344</v>
      </c>
    </row>
    <row r="5802" ht="33.75" customHeight="1">
      <c r="A5802" s="6" t="s">
        <v>8586</v>
      </c>
      <c r="B5802" s="6" t="str">
        <f>IFERROR(__xludf.DUMMYFUNCTION("GOOGLETRANSLATE(A5802,""en"",""fi"")"),"Kovan kuoren suojaama ruumis on erittäin tukeva. Se vartaa saaliin kynsillään ravinnokseen.")</f>
        <v>Kovan kuoren suojaama ruumis on erittäin tukeva. Se vartaa saaliin kynsillään ravinnokseen.</v>
      </c>
      <c r="C5802" s="9" t="s">
        <v>1344</v>
      </c>
    </row>
    <row r="5803" ht="33.75" customHeight="1">
      <c r="A5803" s="6" t="s">
        <v>8587</v>
      </c>
      <c r="B5803" s="6" t="str">
        <f>IFERROR(__xludf.DUMMYFUNCTION("GOOGLETRANSLATE(A5803,""en"",""fi"")"),"Se nousi maihin kehittymisen jälkeen. Koko sen ruumis on verhottu tukevaan panssariin.")</f>
        <v>Se nousi maihin kehittymisen jälkeen. Koko sen ruumis on verhottu tukevaan panssariin.</v>
      </c>
      <c r="C5803" s="9" t="s">
        <v>1344</v>
      </c>
    </row>
    <row r="5804" ht="33.75" customHeight="1">
      <c r="A5804" s="6" t="s">
        <v>8588</v>
      </c>
      <c r="B5804" s="6" t="str">
        <f>IFERROR(__xludf.DUMMYFUNCTION("GOOGLETRANSLATE(A5804,""en"",""fi"")"),"Sen valtavat, sisäänvedettävät kynnet voivat leikata lähes mitä tahansa. Koko sen ruumis on verhottu tukevilla levyillä.")</f>
        <v>Sen valtavat, sisäänvedettävät kynnet voivat leikata lähes mitä tahansa. Koko sen ruumis on verhottu tukevilla levyillä.</v>
      </c>
      <c r="C5804" s="9" t="s">
        <v>1344</v>
      </c>
    </row>
    <row r="5805" ht="33.75" customHeight="1">
      <c r="A5805" s="6" t="s">
        <v>8589</v>
      </c>
      <c r="B5805" s="6" t="str">
        <f>IFERROR(__xludf.DUMMYFUNCTION("GOOGLETRANSLATE(A5805,""en"",""fi"")"),"Armaldon kova haarniska saa kaikki hyökkäykset kimpoamaan takaisin. Tämän Pokémonin kahta valtavaa kynttä voi vapaasti ojentaa tai supistaa. Niillä on voima lävistää teräslaatta.")</f>
        <v>Armaldon kova haarniska saa kaikki hyökkäykset kimpoamaan takaisin. Tämän Pokémonin kahta valtavaa kynttä voi vapaasti ojentaa tai supistaa. Niillä on voima lävistää teräslaatta.</v>
      </c>
      <c r="C5805" s="9" t="s">
        <v>1344</v>
      </c>
    </row>
    <row r="5806" ht="33.75" customHeight="1">
      <c r="A5806" s="6" t="s">
        <v>8591</v>
      </c>
      <c r="B5806" s="6" t="str">
        <f>IFERROR(__xludf.DUMMYFUNCTION("GOOGLETRANSLATE(A5806,""en"",""fi"")"),"Armaldo on Pokémon-laji, joka kuoli sukupuuttoon esihistoriallisina aikoina. Tämän Pokémonin sanotaan kävelleen takajaloillaan, mikä olisi ollut kätevämpää maalla elämiseen.")</f>
        <v>Armaldo on Pokémon-laji, joka kuoli sukupuuttoon esihistoriallisina aikoina. Tämän Pokémonin sanotaan kävelleen takajaloillaan, mikä olisi ollut kätevämpää maalla elämiseen.</v>
      </c>
      <c r="C5806" s="9" t="s">
        <v>1344</v>
      </c>
    </row>
    <row r="5807" ht="33.75" customHeight="1">
      <c r="A5807" s="6" t="s">
        <v>8593</v>
      </c>
      <c r="B5807" s="6" t="str">
        <f>IFERROR(__xludf.DUMMYFUNCTION("GOOGLETRANSLATE(A5807,""en"",""fi"")"),"Se eli maalla ja meni mereen metsästämään saalista. Sen terävät kynnet olivat sen paras ase.")</f>
        <v>Se eli maalla ja meni mereen metsästämään saalista. Sen terävät kynnet olivat sen paras ase.</v>
      </c>
      <c r="C5807" s="9" t="s">
        <v>1344</v>
      </c>
    </row>
    <row r="5808" ht="33.75" customHeight="1">
      <c r="A5808" s="6" t="s">
        <v>8595</v>
      </c>
      <c r="B5808" s="6" t="str">
        <f>IFERROR(__xludf.DUMMYFUNCTION("GOOGLETRANSLATE(A5808,""en"",""fi"")"),"Armaldo sopeutui elämästä vedessä maalla elämään. On määritetty, että se on jonkin ötökkä-Pokémonin esi-isä.")</f>
        <v>Armaldo sopeutui elämästä vedessä maalla elämään. On määritetty, että se on jonkin ötökkä-Pokémonin esi-isä.</v>
      </c>
      <c r="C5808" s="9" t="s">
        <v>1344</v>
      </c>
    </row>
    <row r="5809" ht="33.75" customHeight="1">
      <c r="A5809" s="6" t="s">
        <v>8596</v>
      </c>
      <c r="B5809" s="6" t="str">
        <f>IFERROR(__xludf.DUMMYFUNCTION("GOOGLETRANSLATE(A5809,""en"",""fi"")"),"Evoluution jälkeen tämä Pokémon ilmestyi maalle. Sen alavartalo on vahvistunut ja sen pyrstön iskut ovat tuhoisia.")</f>
        <v>Evoluution jälkeen tämä Pokémon ilmestyi maalle. Sen alavartalo on vahvistunut ja sen pyrstön iskut ovat tuhoisia.</v>
      </c>
      <c r="C5809" s="9" t="s">
        <v>1344</v>
      </c>
    </row>
    <row r="5810" ht="33.75" customHeight="1">
      <c r="A5810" s="6" t="s">
        <v>8597</v>
      </c>
      <c r="B5810" s="6" t="str">
        <f>IFERROR(__xludf.DUMMYFUNCTION("GOOGLETRANSLATE(A5810,""en"",""fi"")"),"Vaikka se elää maalla, se on myös hyvä uimari. Se sukeltaa mereen etsimään saalista ja käyttää teräviä kynsiään saaliinsa kaatamiseen.")</f>
        <v>Vaikka se elää maalla, se on myös hyvä uimari. Se sukeltaa mereen etsimään saalista ja käyttää teräviä kynsiään saaliinsa kaatamiseen.</v>
      </c>
      <c r="C5810" s="9" t="s">
        <v>1344</v>
      </c>
    </row>
    <row r="5811" ht="33.75" customHeight="1">
      <c r="A5811" s="6" t="s">
        <v>8598</v>
      </c>
      <c r="B5811" s="6" t="str">
        <f>IFERROR(__xludf.DUMMYFUNCTION("GOOGLETRANSLATE(A5811,""en"",""fi"")"),"FEEBASin evät ovat repaleiset ja kuluneet sen elämästä lähtien. Huonon ulkonäkönsä vuoksi tätä POKéMONia ei juurikaan huomioida. Se pystyy elämään sekä meressä että joissa.")</f>
        <v>FEEBASin evät ovat repaleiset ja kuluneet sen elämästä lähtien. Huonon ulkonäkönsä vuoksi tätä POKéMONia ei juurikaan huomioida. Se pystyy elämään sekä meressä että joissa.</v>
      </c>
      <c r="C5811" s="9" t="s">
        <v>1344</v>
      </c>
    </row>
    <row r="5812" ht="33.75" customHeight="1">
      <c r="A5812" s="6" t="s">
        <v>8600</v>
      </c>
      <c r="B5812" s="6" t="str">
        <f>IFERROR(__xludf.DUMMYFUNCTION("GOOGLETRANSLATE(A5812,""en"",""fi"")"),"Vaikka FEEBASin ruumis on riekaleina, sillä on sitkeä ja sitkeä elämänvoima, jonka ansiosta se voi elää missä tahansa. Tämä POKéMON on kuitenkin myös hidas ja tyhmä, minkä ansiosta se on helppo saada kiinni.")</f>
        <v>Vaikka FEEBASin ruumis on riekaleina, sillä on sitkeä ja sitkeä elämänvoima, jonka ansiosta se voi elää missä tahansa. Tämä POKéMON on kuitenkin myös hidas ja tyhmä, minkä ansiosta se on helppo saada kiinni.</v>
      </c>
      <c r="C5812" s="9" t="s">
        <v>1344</v>
      </c>
    </row>
    <row r="5813" ht="33.75" customHeight="1">
      <c r="A5813" s="6" t="s">
        <v>8601</v>
      </c>
      <c r="B5813" s="6" t="str">
        <f>IFERROR(__xludf.DUMMYFUNCTION("GOOGLETRANSLATE(A5813,""en"",""fi"")"),"FEEBAT elävät lammikoissa, jotka ovat täynnä rikkaruohoja. Sen toivottoman rähjäisen ulkonäön vuoksi näyttää siltä, ​​että harvat KOULUTTAJAT kasvattavat sitä.")</f>
        <v>FEEBAT elävät lammikoissa, jotka ovat täynnä rikkaruohoja. Sen toivottoman rähjäisen ulkonäön vuoksi näyttää siltä, ​​että harvat KOULUTTAJAT kasvattavat sitä.</v>
      </c>
      <c r="C5813" s="9" t="s">
        <v>1344</v>
      </c>
    </row>
    <row r="5814" ht="33.75" customHeight="1">
      <c r="A5814" s="6" t="s">
        <v>8602</v>
      </c>
      <c r="B5814" s="6" t="str">
        <f>IFERROR(__xludf.DUMMYFUNCTION("GOOGLETRANSLATE(A5814,""en"",""fi"")"),"Tutkijat jättävät sen huomiotta sen nuhruisen ulkonäön vuoksi, ja sitä pilkataan. Se elää rikkaruohojen täyttämissä lammikoissa.")</f>
        <v>Tutkijat jättävät sen huomiotta sen nuhruisen ulkonäön vuoksi, ja sitä pilkataan. Se elää rikkaruohojen täyttämissä lammikoissa.</v>
      </c>
      <c r="C5814" s="9" t="s">
        <v>1344</v>
      </c>
    </row>
    <row r="5815" ht="33.75" customHeight="1">
      <c r="A5815" s="6" t="s">
        <v>8604</v>
      </c>
      <c r="B5815" s="6" t="str">
        <f>IFERROR(__xludf.DUMMYFUNCTION("GOOGLETRANSLATE(A5815,""en"",""fi"")"),"Se on kuuluisa nuhruisesta ulkonäöstään. Vaikka ne ovat runsaslukuisia, ne pyrkivät kerääntymään tietyille paikoille.")</f>
        <v>Se on kuuluisa nuhruisesta ulkonäöstään. Vaikka ne ovat runsaslukuisia, ne pyrkivät kerääntymään tietyille paikoille.</v>
      </c>
      <c r="C5815" s="9" t="s">
        <v>1344</v>
      </c>
    </row>
    <row r="5816" ht="33.75" customHeight="1">
      <c r="A5816" s="6" t="s">
        <v>8605</v>
      </c>
      <c r="B5816" s="6" t="str">
        <f>IFERROR(__xludf.DUMMYFUNCTION("GOOGLETRANSLATE(A5816,""en"",""fi"")"),"Se syö mitä tahansa, joten se voi elää jopa saastuneissa puroissa ja järvissä. Kukaan ei kiinnitä siihen huomiota.")</f>
        <v>Se syö mitä tahansa, joten se voi elää jopa saastuneissa puroissa ja järvissä. Kukaan ei kiinnitä siihen huomiota.</v>
      </c>
      <c r="C5816" s="9" t="s">
        <v>1344</v>
      </c>
    </row>
    <row r="5817" ht="33.75" customHeight="1">
      <c r="A5817" s="6" t="s">
        <v>8606</v>
      </c>
      <c r="B5817" s="6" t="str">
        <f>IFERROR(__xludf.DUMMYFUNCTION("GOOGLETRANSLATE(A5817,""en"",""fi"")"),"Se on nuhjuinen ja ruma Pokémon. Se on kuitenkin erittäin kestävä ja selviää vähällä vedellä.")</f>
        <v>Se on nuhjuinen ja ruma Pokémon. Se on kuitenkin erittäin kestävä ja selviää vähällä vedellä.</v>
      </c>
      <c r="C5817" s="9" t="s">
        <v>1344</v>
      </c>
    </row>
    <row r="5818" ht="33.75" customHeight="1">
      <c r="A5818" s="6" t="s">
        <v>8608</v>
      </c>
      <c r="B5818" s="6" t="str">
        <f>IFERROR(__xludf.DUMMYFUNCTION("GOOGLETRANSLATE(A5818,""en"",""fi"")"),"Se on kaikista nuhruisin Pokémon. Se muodostuu parvissa ja elää jokien pohjassa.")</f>
        <v>Se on kaikista nuhruisin Pokémon. Se muodostuu parvissa ja elää jokien pohjassa.</v>
      </c>
      <c r="C5818" s="9" t="s">
        <v>1344</v>
      </c>
    </row>
    <row r="5819" ht="33.75" customHeight="1">
      <c r="A5819" s="6" t="s">
        <v>8610</v>
      </c>
      <c r="B5819" s="6" t="str">
        <f>IFERROR(__xludf.DUMMYFUNCTION("GOOGLETRANSLATE(A5819,""en"",""fi"")"),"Feebasin evät ovat repaleiset ja rispaantuneet sen elämästä lähtien. Huonon ulkonäkönsä vuoksi tätä Pokémonia ei juurikaan pidetä tärkeänä. Se pystyy elämään sekä meressä että joissa.")</f>
        <v>Feebasin evät ovat repaleiset ja rispaantuneet sen elämästä lähtien. Huonon ulkonäkönsä vuoksi tätä Pokémonia ei juurikaan pidetä tärkeänä. Se pystyy elämään sekä meressä että joissa.</v>
      </c>
      <c r="C5819" s="9" t="s">
        <v>1344</v>
      </c>
    </row>
    <row r="5820" ht="33.75" customHeight="1">
      <c r="A5820" s="6" t="s">
        <v>8612</v>
      </c>
      <c r="B5820" s="6" t="str">
        <f>IFERROR(__xludf.DUMMYFUNCTION("GOOGLETRANSLATE(A5820,""en"",""fi"")"),"Vaikka Feebasin ruumis on riekaleina, sillä on sitkeä ja sitkeä elämänvoima, jonka ansiosta se voi elää missä tahansa. Tämä Pokémon on kuitenkin myös hidas ja tyhmä, minkä ansiosta se on helppo saada kiinni.")</f>
        <v>Vaikka Feebasin ruumis on riekaleina, sillä on sitkeä ja sitkeä elämänvoima, jonka ansiosta se voi elää missä tahansa. Tämä Pokémon on kuitenkin myös hidas ja tyhmä, minkä ansiosta se on helppo saada kiinni.</v>
      </c>
      <c r="C5820" s="9" t="s">
        <v>1344</v>
      </c>
    </row>
    <row r="5821" ht="33.75" customHeight="1">
      <c r="A5821" s="6" t="s">
        <v>8615</v>
      </c>
      <c r="B5821" s="6" t="str">
        <f>IFERROR(__xludf.DUMMYFUNCTION("GOOGLETRANSLATE(A5821,""en"",""fi"")"),"Kestävä Pokémon, joka pärjää täydellisesti jopa likaisessa vedessä. Rähjäisen ja nuhruisen ulkonäkönsä vuoksi se ei kuitenkaan ole suosittu.")</f>
        <v>Kestävä Pokémon, joka pärjää täydellisesti jopa likaisessa vedessä. Rähjäisen ja nuhruisen ulkonäkönsä vuoksi se ei kuitenkaan ole suosittu.</v>
      </c>
      <c r="C5821" s="9" t="s">
        <v>1344</v>
      </c>
    </row>
    <row r="5822" ht="33.75" customHeight="1">
      <c r="A5822" s="6" t="s">
        <v>8617</v>
      </c>
      <c r="B5822" s="6" t="str">
        <f>IFERROR(__xludf.DUMMYFUNCTION("GOOGLETRANSLATE(A5822,""en"",""fi"")"),"Vaikka tämä Pokémon ei olekaan houkutteleva ja epäsuosittu, sen ihmeellinen elinvoima on tehnyt siitä tutkimuskohteen.")</f>
        <v>Vaikka tämä Pokémon ei olekaan houkutteleva ja epäsuosittu, sen ihmeellinen elinvoima on tehnyt siitä tutkimuskohteen.</v>
      </c>
      <c r="C5822" s="9" t="s">
        <v>1344</v>
      </c>
    </row>
    <row r="5823" ht="33.75" customHeight="1">
      <c r="A5823" s="6" t="s">
        <v>8619</v>
      </c>
      <c r="B5823" s="6" t="str">
        <f>IFERROR(__xludf.DUMMYFUNCTION("GOOGLETRANSLATE(A5823,""en"",""fi"")"),"Ne näyttävät repaleisilta, joten kukaan ei saa niitä kiinni. Ne näyttävät siltä, ​​että ne maistuisivat pahalta, joten petoeläimet eivät syö niitä. Ja niiden määrä kasvaa jatkuvasti.")</f>
        <v>Ne näyttävät repaleisilta, joten kukaan ei saa niitä kiinni. Ne näyttävät siltä, ​​että ne maistuisivat pahalta, joten petoeläimet eivät syö niitä. Ja niiden määrä kasvaa jatkuvasti.</v>
      </c>
      <c r="C5823" s="9" t="s">
        <v>1344</v>
      </c>
    </row>
    <row r="5824" ht="33.75" customHeight="1">
      <c r="A5824" s="6" t="s">
        <v>8620</v>
      </c>
      <c r="B5824" s="6" t="str">
        <f>IFERROR(__xludf.DUMMYFUNCTION("GOOGLETRANSLATE(A5824,""en"",""fi"")"),"Sen kurjan ulkonäön vuoksi useimmat ihmiset eivät kiinnitä siihen huomiota, mutta jotkut keräävät Feebasta – ja vain Feebasta!")</f>
        <v>Sen kurjan ulkonäön vuoksi useimmat ihmiset eivät kiinnitä siihen huomiota, mutta jotkut keräävät Feebasta – ja vain Feebasta!</v>
      </c>
      <c r="C5824" s="9" t="s">
        <v>1344</v>
      </c>
    </row>
    <row r="5825" ht="33.75" customHeight="1">
      <c r="A5825" s="6" t="s">
        <v>8622</v>
      </c>
      <c r="B5825" s="6" t="str">
        <f>IFERROR(__xludf.DUMMYFUNCTION("GOOGLETRANSLATE(A5825,""en"",""fi"")"),"MILOTICin sanotaan olevan kaunein kaikista POKéMONeista. Sillä on kyky tyynnyttää vihan ja vihamielisyyden kaltaisia ​​tunteita ja tukahduttaa katkeran riidan.")</f>
        <v>MILOTICin sanotaan olevan kaunein kaikista POKéMONeista. Sillä on kyky tyynnyttää vihan ja vihamielisyyden kaltaisia ​​tunteita ja tukahduttaa katkeran riidan.</v>
      </c>
      <c r="C5825" s="9" t="s">
        <v>1344</v>
      </c>
    </row>
    <row r="5826" ht="33.75" customHeight="1">
      <c r="A5826" s="6" t="s">
        <v>8623</v>
      </c>
      <c r="B5826" s="6" t="str">
        <f>IFERROR(__xludf.DUMMYFUNCTION("GOOGLETRANSLATE(A5826,""en"",""fi"")"),"MILOTICIT elävät suurten järvien pohjassa. Kun tämän POKéMONin keho hehkuu kirkkaan vaaleanpunaisena, se vapauttaa sykkivän energia-aallon, joka tuo rauhoittavan rauhan levottomille sieluille.")</f>
        <v>MILOTICIT elävät suurten järvien pohjassa. Kun tämän POKéMONin keho hehkuu kirkkaan vaaleanpunaisena, se vapauttaa sykkivän energia-aallon, joka tuo rauhoittavan rauhan levottomille sieluille.</v>
      </c>
      <c r="C5826" s="9" t="s">
        <v>1344</v>
      </c>
    </row>
    <row r="5827" ht="33.75" customHeight="1">
      <c r="A5827" s="6" t="s">
        <v>8624</v>
      </c>
      <c r="B5827" s="6" t="str">
        <f>IFERROR(__xludf.DUMMYFUNCTION("GOOGLETRANSLATE(A5827,""en"",""fi"")"),"Sen sanotaan elävän suurten järvien pohjassa. Sitä pidetään kauneimpana kaikista POKéMONeista, ja sitä on kuvattu maalauksissa ja patsaissa.")</f>
        <v>Sen sanotaan elävän suurten järvien pohjassa. Sitä pidetään kauneimpana kaikista POKéMONeista, ja sitä on kuvattu maalauksissa ja patsaissa.</v>
      </c>
      <c r="C5827" s="9" t="s">
        <v>1344</v>
      </c>
    </row>
    <row r="5828" ht="33.75" customHeight="1">
      <c r="A5828" s="6" t="s">
        <v>8625</v>
      </c>
      <c r="B5828" s="6" t="str">
        <f>IFERROR(__xludf.DUMMYFUNCTION("GOOGLETRANSLATE(A5828,""en"",""fi"")"),"MILOTIC on henkeäsalpaavan kaunis. Niiden, jotka sen näkevät, sanotaan unohtavan taistelutahtonsa.")</f>
        <v>MILOTIC on henkeäsalpaavan kaunis. Niiden, jotka sen näkevät, sanotaan unohtavan taistelutahtonsa.</v>
      </c>
      <c r="C5828" s="9" t="s">
        <v>1344</v>
      </c>
    </row>
    <row r="5829" ht="33.75" customHeight="1">
      <c r="A5829" s="6" t="s">
        <v>8626</v>
      </c>
      <c r="B5829" s="6" t="str">
        <f>IFERROR(__xludf.DUMMYFUNCTION("GOOGLETRANSLATE(A5829,""en"",""fi"")"),"Kun ihmiset kiistelevät, sen sanotaan nousevan järvien syvyyksistä rauhoittamaan väkivaltaisia ​​sydämiä.")</f>
        <v>Kun ihmiset kiistelevät, sen sanotaan nousevan järvien syvyyksistä rauhoittamaan väkivaltaisia ​​sydämiä.</v>
      </c>
      <c r="C5829" s="9" t="s">
        <v>1344</v>
      </c>
    </row>
    <row r="5830" ht="33.75" customHeight="1">
      <c r="A5830" s="6" t="s">
        <v>8628</v>
      </c>
      <c r="B5830" s="6" t="str">
        <f>IFERROR(__xludf.DUMMYFUNCTION("GOOGLETRANSLATE(A5830,""en"",""fi"")"),"Se on maailman kaunein Pokémon. MILOTIC esiintyy monissa taideteoksissa.")</f>
        <v>Se on maailman kaunein Pokémon. MILOTIC esiintyy monissa taideteoksissa.</v>
      </c>
      <c r="C5830" s="9" t="s">
        <v>1344</v>
      </c>
    </row>
    <row r="5831" ht="33.75" customHeight="1">
      <c r="A5831" s="6" t="s">
        <v>8629</v>
      </c>
      <c r="B5831" s="6" t="str">
        <f>IFERROR(__xludf.DUMMYFUNCTION("GOOGLETRANSLATE(A5831,""en"",""fi"")"),"Sen ihania suomuja kuvataan sateenkaaren värisiksi. Ne vaihtavat väriä katselukulman mukaan.")</f>
        <v>Sen ihania suomuja kuvataan sateenkaaren värisiksi. Ne vaihtavat väriä katselukulman mukaan.</v>
      </c>
      <c r="C5831" s="9" t="s">
        <v>1344</v>
      </c>
    </row>
    <row r="5832" ht="33.75" customHeight="1">
      <c r="A5832" s="6" t="s">
        <v>8631</v>
      </c>
      <c r="B5832" s="6" t="str">
        <f>IFERROR(__xludf.DUMMYFUNCTION("GOOGLETRANSLATE(A5832,""en"",""fi"")"),"Sanotaan, että vilaus MILOTICISTA ja sen kauneudesta rauhoittaa kaikki vihamieliset tunteesi.")</f>
        <v>Sanotaan, että vilaus MILOTICISTA ja sen kauneudesta rauhoittaa kaikki vihamieliset tunteesi.</v>
      </c>
      <c r="C5832" s="9" t="s">
        <v>1344</v>
      </c>
    </row>
    <row r="5833" ht="33.75" customHeight="1">
      <c r="A5833" s="6" t="s">
        <v>8633</v>
      </c>
      <c r="B5833" s="6" t="str">
        <f>IFERROR(__xludf.DUMMYFUNCTION("GOOGLETRANSLATE(A5833,""en"",""fi"")"),"Milotić on henkeäsalpaavan kaunis. Niiden, jotka sen näkevät, sanotaan unohtavan taistelutahtonsa.")</f>
        <v>Milotić on henkeäsalpaavan kaunis. Niiden, jotka sen näkevät, sanotaan unohtavan taistelutahtonsa.</v>
      </c>
      <c r="C5833" s="9" t="s">
        <v>1344</v>
      </c>
    </row>
    <row r="5834" ht="33.75" customHeight="1">
      <c r="A5834" s="6" t="s">
        <v>8635</v>
      </c>
      <c r="B5834" s="6" t="str">
        <f>IFERROR(__xludf.DUMMYFUNCTION("GOOGLETRANSLATE(A5834,""en"",""fi"")"),"Se on maailman kaunein Pokémon. Miloticista on tehty monia taideteoksia.")</f>
        <v>Se on maailman kaunein Pokémon. Miloticista on tehty monia taideteoksia.</v>
      </c>
      <c r="C5834" s="9" t="s">
        <v>1344</v>
      </c>
    </row>
    <row r="5835" ht="33.75" customHeight="1">
      <c r="A5835" s="6" t="s">
        <v>8637</v>
      </c>
      <c r="B5835" s="6" t="str">
        <f>IFERROR(__xludf.DUMMYFUNCTION("GOOGLETRANSLATE(A5835,""en"",""fi"")"),"Miloticin sanotaan olevan kaunein kaikista Pokémoneista. Sillä on kyky tyynnyttää vihan ja vihamielisyyden kaltaisia ​​tunteita ja tukahduttaa katkeran riidan.")</f>
        <v>Miloticin sanotaan olevan kaunein kaikista Pokémoneista. Sillä on kyky tyynnyttää vihan ja vihamielisyyden kaltaisia ​​tunteita ja tukahduttaa katkeran riidan.</v>
      </c>
      <c r="C5835" s="9" t="s">
        <v>1344</v>
      </c>
    </row>
    <row r="5836" ht="33.75" customHeight="1">
      <c r="A5836" s="6" t="s">
        <v>8638</v>
      </c>
      <c r="B5836" s="6" t="str">
        <f>IFERROR(__xludf.DUMMYFUNCTION("GOOGLETRANSLATE(A5836,""en"",""fi"")"),"Miloottiset elävät suurten järvien pohjassa. Kun tämän Pokémonin keho hehkuu kirkkaan vaaleanpunaisena, se vapauttaa sykkivän energia-aallon, joka tuo rauhoittavan tyyneyden levottomille sydämille.")</f>
        <v>Miloottiset elävät suurten järvien pohjassa. Kun tämän Pokémonin keho hehkuu kirkkaan vaaleanpunaisena, se vapauttaa sykkivän energia-aallon, joka tuo rauhoittavan tyyneyden levottomille sydämille.</v>
      </c>
      <c r="C5836" s="9" t="s">
        <v>1344</v>
      </c>
    </row>
    <row r="5837" ht="33.75" customHeight="1">
      <c r="A5837" s="6" t="s">
        <v>8640</v>
      </c>
      <c r="B5837" s="6" t="str">
        <f>IFERROR(__xludf.DUMMYFUNCTION("GOOGLETRANSLATE(A5837,""en"",""fi"")"),"Milotic on inspiroinut monia taiteilijoita. Sitä on jopa kutsuttu kaikkien aikojen kauneimmaksi Pokémoniksi.")</f>
        <v>Milotic on inspiroinut monia taiteilijoita. Sitä on jopa kutsuttu kaikkien aikojen kauneimmaksi Pokémoniksi.</v>
      </c>
      <c r="C5837" s="9" t="s">
        <v>1344</v>
      </c>
    </row>
    <row r="5838" ht="33.75" customHeight="1">
      <c r="A5838" s="6" t="s">
        <v>8641</v>
      </c>
      <c r="B5838" s="6" t="str">
        <f>IFERROR(__xludf.DUMMYFUNCTION("GOOGLETRANSLATE(A5838,""en"",""fi"")"),"Se elää kirkkaiden järvien pohjalla. Sodan aikana se näyttäytyy, mikä rauhoittaa ihmisten mieliä ja sydämiä.")</f>
        <v>Se elää kirkkaiden järvien pohjalla. Sodan aikana se näyttäytyy, mikä rauhoittaa ihmisten mieliä ja sydämiä.</v>
      </c>
      <c r="C5838" s="9" t="s">
        <v>1344</v>
      </c>
    </row>
    <row r="5839" ht="33.75" customHeight="1">
      <c r="A5839" s="6" t="s">
        <v>8643</v>
      </c>
      <c r="B5839" s="6" t="str">
        <f>IFERROR(__xludf.DUMMYFUNCTION("GOOGLETRANSLATE(A5839,""en"",""fi"")"),"Vaikka Miloticin sanotaan olevan kaunein Pokémon, Feebasista pitävät ja sitä kasvattaneet kouluttajat ovat ilmeisesti pettyneitä Miloticiin.")</f>
        <v>Vaikka Miloticin sanotaan olevan kaunein Pokémon, Feebasista pitävät ja sitä kasvattaneet kouluttajat ovat ilmeisesti pettyneitä Miloticiin.</v>
      </c>
      <c r="C5839" s="9" t="s">
        <v>1344</v>
      </c>
    </row>
    <row r="5840" ht="33.75" customHeight="1">
      <c r="A5840" s="6" t="s">
        <v>8644</v>
      </c>
      <c r="B5840" s="6" t="str">
        <f>IFERROR(__xludf.DUMMYFUNCTION("GOOGLETRANSLATE(A5840,""en"",""fi"")"),"Sen asuinpaikka on suurten järvien pohjassa. Niiden, jotka näkevät sen ihanuuden, sanotaan puhdistuvan sydämensä.")</f>
        <v>Sen asuinpaikka on suurten järvien pohjassa. Niiden, jotka näkevät sen ihanuuden, sanotaan puhdistuvan sydämensä.</v>
      </c>
      <c r="C5840" s="9" t="s">
        <v>1344</v>
      </c>
    </row>
    <row r="5841" ht="33.75" customHeight="1">
      <c r="A5841" s="6" t="s">
        <v>8646</v>
      </c>
      <c r="B5841" s="6" t="str">
        <f>IFERROR(__xludf.DUMMYFUNCTION("GOOGLETRANSLATE(A5841,""en"",""fi"")"),"Sanotaan, että vilaus miloottisesta ja sen kauneudesta rauhoittaa kaikki vihamieliset tunteet, joita tunnet.")</f>
        <v>Sanotaan, että vilaus miloottisesta ja sen kauneudesta rauhoittaa kaikki vihamieliset tunteet, joita tunnet.</v>
      </c>
      <c r="C5841" s="9" t="s">
        <v>1344</v>
      </c>
    </row>
    <row r="5842" ht="33.75" customHeight="1">
      <c r="A5842" s="6" t="s">
        <v>8650</v>
      </c>
      <c r="B5842" s="6" t="str">
        <f>IFERROR(__xludf.DUMMYFUNCTION("GOOGLETRANSLATE(A5842,""en"",""fi"")"),"CASTFORMin ulkonäkö muuttuu sään mukaan. Tämä POKéMON sai kyvyn käyttää luonnon valtavaa voimaa suojellakseen pientä kehoaan.")</f>
        <v>CASTFORMin ulkonäkö muuttuu sään mukaan. Tämä POKéMON sai kyvyn käyttää luonnon valtavaa voimaa suojellakseen pientä kehoaan.</v>
      </c>
      <c r="C5842" s="9" t="s">
        <v>1344</v>
      </c>
    </row>
    <row r="5843" ht="33.75" customHeight="1">
      <c r="A5843" s="6" t="s">
        <v>8651</v>
      </c>
      <c r="B5843" s="6" t="str">
        <f>IFERROR(__xludf.DUMMYFUNCTION("GOOGLETRANSLATE(A5843,""en"",""fi"")"),"CASTFORM lainaa luonnon voimaa muuttuakseen auringon, sadepilvien ja lumipilvien hahmoiksi. Tämän POKéMONin tunteet muuttuvat sään mukaan.")</f>
        <v>CASTFORM lainaa luonnon voimaa muuttuakseen auringon, sadepilvien ja lumipilvien hahmoiksi. Tämän POKéMONin tunteet muuttuvat sään mukaan.</v>
      </c>
      <c r="C5843" s="9" t="s">
        <v>1344</v>
      </c>
    </row>
    <row r="5844" ht="33.75" customHeight="1">
      <c r="A5844" s="6" t="s">
        <v>8653</v>
      </c>
      <c r="B5844" s="6" t="str">
        <f>IFERROR(__xludf.DUMMYFUNCTION("GOOGLETRANSLATE(A5844,""en"",""fi"")"),"Se muuttaa muotoaan säästä riippuen. Ilmastonmuutokset, kuten lämpötila ja kosteus, näyttävät vaikuttavan sen solurakenteeseen.")</f>
        <v>Se muuttaa muotoaan säästä riippuen. Ilmastonmuutokset, kuten lämpötila ja kosteus, näyttävät vaikuttavan sen solurakenteeseen.</v>
      </c>
      <c r="C5844" s="9" t="s">
        <v>1344</v>
      </c>
    </row>
    <row r="5845" ht="33.75" customHeight="1">
      <c r="A5845" s="6" t="s">
        <v>8655</v>
      </c>
      <c r="B5845" s="6" t="str">
        <f>IFERROR(__xludf.DUMMYFUNCTION("GOOGLETRANSLATE(A5845,""en"",""fi"")"),"Sillä on kyky muuttaa muotoaan auringoksi, sateeksi tai lumipilveksi säästä riippuen.")</f>
        <v>Sillä on kyky muuttaa muotoaan auringoksi, sateeksi tai lumipilveksi säästä riippuen.</v>
      </c>
      <c r="C5845" s="9" t="s">
        <v>1344</v>
      </c>
    </row>
    <row r="5846" ht="33.75" customHeight="1">
      <c r="A5846" s="6" t="s">
        <v>8657</v>
      </c>
      <c r="B5846" s="6" t="str">
        <f>IFERROR(__xludf.DUMMYFUNCTION("GOOGLETRANSLATE(A5846,""en"",""fi"")"),"Sen ulkonäkö muuttuu sään mukaan. Äskettäin sen molekyylien havaittiin olevan aivan veden kaltaisia.")</f>
        <v>Sen ulkonäkö muuttuu sään mukaan. Äskettäin sen molekyylien havaittiin olevan aivan veden kaltaisia.</v>
      </c>
      <c r="C5846" s="9" t="s">
        <v>1344</v>
      </c>
    </row>
    <row r="5847" ht="33.75" customHeight="1">
      <c r="A5847" s="6" t="s">
        <v>8659</v>
      </c>
      <c r="B5847" s="6" t="str">
        <f>IFERROR(__xludf.DUMMYFUNCTION("GOOGLETRANSLATE(A5847,""en"",""fi"")"),"Tämä Pokémon voi muuttaa solujaan ja ottaa erilaisia ​​muotoja lämpötilan ja kosteuden mukaan.")</f>
        <v>Tämä Pokémon voi muuttaa solujaan ja ottaa erilaisia ​​muotoja lämpötilan ja kosteuden mukaan.</v>
      </c>
      <c r="C5847" s="9" t="s">
        <v>1344</v>
      </c>
    </row>
    <row r="5848" ht="33.75" customHeight="1">
      <c r="A5848" s="6" t="s">
        <v>8661</v>
      </c>
      <c r="B5848" s="6" t="str">
        <f>IFERROR(__xludf.DUMMYFUNCTION("GOOGLETRANSLATE(A5848,""en"",""fi"")"),"Lämpötila ja sää vaikuttavat sen solurakenteeseen, joten tämä Pokémon muuttaa muotoaan sään mukaan.")</f>
        <v>Lämpötila ja sää vaikuttavat sen solurakenteeseen, joten tämä Pokémon muuttaa muotoaan sään mukaan.</v>
      </c>
      <c r="C5848" s="9" t="s">
        <v>1344</v>
      </c>
    </row>
    <row r="5849" ht="33.75" customHeight="1">
      <c r="A5849" s="6" t="s">
        <v>8662</v>
      </c>
      <c r="B5849" s="6" t="str">
        <f>IFERROR(__xludf.DUMMYFUNCTION("GOOGLETRANSLATE(A5849,""en"",""fi"")"),"Castformin ulkonäkö muuttuu sään mukaan. Tämä Pokémon sai kyvyn käyttää luonnon valtavaa voimaa suojellakseen pientä kehoaan.")</f>
        <v>Castformin ulkonäkö muuttuu sään mukaan. Tämä Pokémon sai kyvyn käyttää luonnon valtavaa voimaa suojellakseen pientä kehoaan.</v>
      </c>
      <c r="C5849" s="9" t="s">
        <v>1344</v>
      </c>
    </row>
    <row r="5850" ht="33.75" customHeight="1">
      <c r="A5850" s="6" t="s">
        <v>8664</v>
      </c>
      <c r="B5850" s="6" t="str">
        <f>IFERROR(__xludf.DUMMYFUNCTION("GOOGLETRANSLATE(A5850,""en"",""fi"")"),"Castform lainaa luonnon voimaa muuttuakseen auringon, sateen ja lumipilvien hahmoiksi. Tämän Pokémonin tunteet muuttuvat sään mukaan.")</f>
        <v>Castform lainaa luonnon voimaa muuttuakseen auringon, sateen ja lumipilvien hahmoiksi. Tämän Pokémonin tunteet muuttuvat sään mukaan.</v>
      </c>
      <c r="C5850" s="9" t="s">
        <v>1344</v>
      </c>
    </row>
    <row r="5851" ht="33.75" customHeight="1">
      <c r="A5851" s="6" t="s">
        <v>8666</v>
      </c>
      <c r="B5851" s="6" t="str">
        <f>IFERROR(__xludf.DUMMYFUNCTION("GOOGLETRANSLATE(A5851,""en"",""fi"")"),"Se muuttaa muotoaan sään mukaan. Lämpötilan tai kosteuden muutokset näyttävät vaikuttavan sen solurakenteeseen.")</f>
        <v>Se muuttaa muotoaan sään mukaan. Lämpötilan tai kosteuden muutokset näyttävät vaikuttavan sen solurakenteeseen.</v>
      </c>
      <c r="C5851" s="9" t="s">
        <v>1344</v>
      </c>
    </row>
    <row r="5852" ht="33.75" customHeight="1">
      <c r="A5852" s="6" t="s">
        <v>8668</v>
      </c>
      <c r="B5852" s="6" t="str">
        <f>IFERROR(__xludf.DUMMYFUNCTION("GOOGLETRANSLATE(A5852,""en"",""fi"")"),"Sen muoto muuttuu itsestään solujen herkkien lämpötila- ja kosteusreaktioiden vuoksi.")</f>
        <v>Sen muoto muuttuu itsestään solujen herkkien lämpötila- ja kosteusreaktioiden vuoksi.</v>
      </c>
      <c r="C5852" s="9" t="s">
        <v>1344</v>
      </c>
    </row>
    <row r="5853" ht="33.75" customHeight="1">
      <c r="A5853" s="6" t="s">
        <v>8670</v>
      </c>
      <c r="B5853" s="6" t="str">
        <f>IFERROR(__xludf.DUMMYFUNCTION("GOOGLETRANSLATE(A5853,""en"",""fi"")"),"Vaikka sen muoto muuttuu sään mukaan, se on ilmeisesti kemiallisen reaktion tulos eikä sen omasta vapaasta tahdosta.")</f>
        <v>Vaikka sen muoto muuttuu sään mukaan, se on ilmeisesti kemiallisen reaktion tulos eikä sen omasta vapaasta tahdosta.</v>
      </c>
      <c r="C5853" s="9" t="s">
        <v>1344</v>
      </c>
    </row>
    <row r="5854" ht="33.75" customHeight="1">
      <c r="A5854" s="6" t="s">
        <v>8672</v>
      </c>
      <c r="B5854" s="6" t="str">
        <f>IFERROR(__xludf.DUMMYFUNCTION("GOOGLETRANSLATE(A5854,""en"",""fi"")"),"Sen muoto muuttuu sään mukaan. Mitä karummiksi olosuhteet muuttuvat, sitä karummaksi Castformin luonne muuttuu!")</f>
        <v>Sen muoto muuttuu sään mukaan. Mitä karummiksi olosuhteet muuttuvat, sitä karummaksi Castformin luonne muuttuu!</v>
      </c>
      <c r="C5854" s="9" t="s">
        <v>1344</v>
      </c>
    </row>
    <row r="5855" ht="33.75" customHeight="1">
      <c r="A5855" s="6" t="s">
        <v>8674</v>
      </c>
      <c r="B5855" s="6" t="str">
        <f>IFERROR(__xludf.DUMMYFUNCTION("GOOGLETRANSLATE(A5855,""en"",""fi"")"),"KECLEON pystyy muuttamaan ruumiinsa väriä mielensä mukaan sulautuakseen ympäristöönsä. Yksi poikkeus on kuitenkin se, että tämä POKéMON ei voi muuttaa vatsansa siksak-kuviota.")</f>
        <v>KECLEON pystyy muuttamaan ruumiinsa väriä mielensä mukaan sulautuakseen ympäristöönsä. Yksi poikkeus on kuitenkin se, että tämä POKéMON ei voi muuttaa vatsansa siksak-kuviota.</v>
      </c>
      <c r="C5855" s="9" t="s">
        <v>1344</v>
      </c>
    </row>
    <row r="5856" ht="33.75" customHeight="1">
      <c r="A5856" s="6" t="s">
        <v>8675</v>
      </c>
      <c r="B5856" s="6" t="str">
        <f>IFERROR(__xludf.DUMMYFUNCTION("GOOGLETRANSLATE(A5856,""en"",""fi"")"),"KECLEON muuttaa ruumiinväritystään sulautuakseen ympäristöönsä, jolloin se voi hiipiä saaliinsa kimppuun huomaamatta. Sitten se iskee pitkällä, venyvällä kielellään ja nappaa tietämättömän kohteen välittömästi ansaan.")</f>
        <v>KECLEON muuttaa ruumiinväritystään sulautuakseen ympäristöönsä, jolloin se voi hiipiä saaliinsa kimppuun huomaamatta. Sitten se iskee pitkällä, venyvällä kielellään ja nappaa tietämättömän kohteen välittömästi ansaan.</v>
      </c>
      <c r="C5856" s="9" t="s">
        <v>1344</v>
      </c>
    </row>
    <row r="5857" ht="33.75" customHeight="1">
      <c r="A5857" s="6" t="s">
        <v>8678</v>
      </c>
      <c r="B5857" s="6" t="str">
        <f>IFERROR(__xludf.DUMMYFUNCTION("GOOGLETRANSLATE(A5857,""en"",""fi"")"),"POKéMON, jolla on kyky muuttaa ruumiinväriään ympäristöönsä sopivaksi. KECLEON palaa alkuperäiseen väriinsä, jos se säpsähtää.")</f>
        <v>POKéMON, jolla on kyky muuttaa ruumiinväriään ympäristöönsä sopivaksi. KECLEON palaa alkuperäiseen väriinsä, jos se säpsähtää.</v>
      </c>
      <c r="C5857" s="9" t="s">
        <v>1344</v>
      </c>
    </row>
    <row r="5858" ht="33.75" customHeight="1">
      <c r="A5858" s="6" t="s">
        <v>8679</v>
      </c>
      <c r="B5858" s="6" t="str">
        <f>IFERROR(__xludf.DUMMYFUNCTION("GOOGLETRANSLATE(A5858,""en"",""fi"")"),"Se vaihtaa ruumiinväriä sulautuakseen ympäristöönsä. Se vaihtaa väriä myös, jos se on onnellinen tai surullinen.")</f>
        <v>Se vaihtaa ruumiinväriä sulautuakseen ympäristöönsä. Se vaihtaa väriä myös, jos se on onnellinen tai surullinen.</v>
      </c>
      <c r="C5858" s="9" t="s">
        <v>1344</v>
      </c>
    </row>
    <row r="5859" ht="33.75" customHeight="1">
      <c r="A5859" s="6" t="s">
        <v>8680</v>
      </c>
      <c r="B5859" s="6" t="str">
        <f>IFERROR(__xludf.DUMMYFUNCTION("GOOGLETRANSLATE(A5859,""en"",""fi"")"),"Se voi vapaasti vaihtaa ruumiinsa väriä. Vatsan siksak-kuvio ei kuitenkaan muutu.")</f>
        <v>Se voi vapaasti vaihtaa ruumiinsa väriä. Vatsan siksak-kuvio ei kuitenkaan muutu.</v>
      </c>
      <c r="C5859" s="9" t="s">
        <v>1344</v>
      </c>
    </row>
    <row r="5860" ht="33.75" customHeight="1">
      <c r="A5860" s="6" t="s">
        <v>8681</v>
      </c>
      <c r="B5860" s="6" t="str">
        <f>IFERROR(__xludf.DUMMYFUNCTION("GOOGLETRANSLATE(A5860,""en"",""fi"")"),"Se muuttaa sävyään ympäristönsä mukaan, jotta se voi hiipiä saaliinsa kimppuun. Vain sen vatsan kuviot pysyvät muuttumattomina.")</f>
        <v>Se muuttaa sävyään ympäristönsä mukaan, jotta se voi hiipiä saaliinsa kimppuun. Vain sen vatsan kuviot pysyvät muuttumattomina.</v>
      </c>
      <c r="C5860" s="9" t="s">
        <v>1344</v>
      </c>
    </row>
    <row r="5861" ht="33.75" customHeight="1">
      <c r="A5861" s="6" t="s">
        <v>8682</v>
      </c>
      <c r="B5861" s="6" t="str">
        <f>IFERROR(__xludf.DUMMYFUNCTION("GOOGLETRANSLATE(A5861,""en"",""fi"")"),"Kecleon pystyy muuttamaan ruumiinsa väriä mielensä mukaan sulautuakseen ympäristöönsä. Yksi poikkeus on kuitenkin se, ettei tämä Pokémon pysty muuttamaan vatsansa siksak-kuviota.")</f>
        <v>Kecleon pystyy muuttamaan ruumiinsa väriä mielensä mukaan sulautuakseen ympäristöönsä. Yksi poikkeus on kuitenkin se, ettei tämä Pokémon pysty muuttamaan vatsansa siksak-kuviota.</v>
      </c>
      <c r="C5861" s="9" t="s">
        <v>1344</v>
      </c>
    </row>
    <row r="5862" ht="33.75" customHeight="1">
      <c r="A5862" s="6" t="s">
        <v>8683</v>
      </c>
      <c r="B5862" s="6" t="str">
        <f>IFERROR(__xludf.DUMMYFUNCTION("GOOGLETRANSLATE(A5862,""en"",""fi"")"),"Kecleon muuttaa ruumiinväritystään sulautuakseen ympäristöönsä, jolloin se voi hiipiä saaliinsa kimppuun huomaamatta. Sitten se iskee pitkällä, venyvällä kielellään ja nappaa tietämättömän kohteen välittömästi ansaan.")</f>
        <v>Kecleon muuttaa ruumiinväritystään sulautuakseen ympäristöönsä, jolloin se voi hiipiä saaliinsa kimppuun huomaamatta. Sitten se iskee pitkällä, venyvällä kielellään ja nappaa tietämättömän kohteen välittömästi ansaan.</v>
      </c>
      <c r="C5862" s="9" t="s">
        <v>1344</v>
      </c>
    </row>
    <row r="5863" ht="33.75" customHeight="1">
      <c r="A5863" s="6" t="s">
        <v>8685</v>
      </c>
      <c r="B5863" s="6" t="str">
        <f>IFERROR(__xludf.DUMMYFUNCTION("GOOGLETRANSLATE(A5863,""en"",""fi"")"),"Se muuttaa sävyään sulautuakseen ympäristöönsä. Jos kukaan ei kiinnitä siihen huomiota liian pitkään aikaan, se mököttää eikä koskaan paljasta itseään.")</f>
        <v>Se muuttaa sävyään sulautuakseen ympäristöönsä. Jos kukaan ei kiinnitä siihen huomiota liian pitkään aikaan, se mököttää eikä koskaan paljasta itseään.</v>
      </c>
      <c r="C5863" s="9" t="s">
        <v>1344</v>
      </c>
    </row>
    <row r="5864" ht="33.75" customHeight="1">
      <c r="A5864" s="6" t="s">
        <v>8687</v>
      </c>
      <c r="B5864" s="6" t="str">
        <f>IFERROR(__xludf.DUMMYFUNCTION("GOOGLETRANSLATE(A5864,""en"",""fi"")"),"Sen väri muuttuu piilottamiseksi ja myös mielialan tai terveydentilan muuttuessa. Mitä tummempi väri, sitä terveempi se on.")</f>
        <v>Sen väri muuttuu piilottamiseksi ja myös mielialan tai terveydentilan muuttuessa. Mitä tummempi väri, sitä terveempi se on.</v>
      </c>
      <c r="C5864" s="9" t="s">
        <v>1344</v>
      </c>
    </row>
    <row r="5865" ht="33.75" customHeight="1">
      <c r="A5865" s="6" t="s">
        <v>8689</v>
      </c>
      <c r="B5865" s="6" t="str">
        <f>IFERROR(__xludf.DUMMYFUNCTION("GOOGLETRANSLATE(A5865,""en"",""fi"")"),"SHUPPETia vetävät puoleensa mustasukkaisuus ja kostonhimo. Jos joku kehittää voimakkaita kostonhimoisia tunteita, tämä POKéMON ilmestyy parvena ja asettuu riviin henkilön kodin räystäiden alle.")</f>
        <v>SHUPPETia vetävät puoleensa mustasukkaisuus ja kostonhimo. Jos joku kehittää voimakkaita kostonhimoisia tunteita, tämä POKéMON ilmestyy parvena ja asettuu riviin henkilön kodin räystäiden alle.</v>
      </c>
      <c r="C5865" s="9" t="s">
        <v>1344</v>
      </c>
    </row>
    <row r="5866" ht="33.75" customHeight="1">
      <c r="A5866" s="6" t="s">
        <v>8691</v>
      </c>
      <c r="B5866" s="6" t="str">
        <f>IFERROR(__xludf.DUMMYFUNCTION("GOOGLETRANSLATE(A5866,""en"",""fi"")"),"SHUPPET kasvaa ruokkimalla ihmisten sydämissä olevia synkkiä tunteita, kuten kostonhimoa ja kateutta. Se vaeltaa kaupungeissa etsien ihmisiä tahraavia kaunoja.")</f>
        <v>SHUPPET kasvaa ruokkimalla ihmisten sydämissä olevia synkkiä tunteita, kuten kostonhimoa ja kateutta. Se vaeltaa kaupungeissa etsien ihmisiä tahraavia kaunoja.</v>
      </c>
      <c r="C5866" s="9" t="s">
        <v>1344</v>
      </c>
    </row>
    <row r="5867" ht="33.75" customHeight="1">
      <c r="A5867" s="6" t="s">
        <v>8693</v>
      </c>
      <c r="B5867" s="6" t="str">
        <f>IFERROR(__xludf.DUMMYFUNCTION("GOOGLETRANSLATE(A5867,""en"",""fi"")"),"Tämä POKéMON vaeltelee syvällä yössä etsien negatiivisia tunteita, kuten kaunoja ja kateutta. Se vetäytyy pesäänsä auringon noustessa.")</f>
        <v>Tämä POKéMON vaeltelee syvällä yössä etsien negatiivisia tunteita, kuten kaunoja ja kateutta. Se vetäytyy pesäänsä auringon noustessa.</v>
      </c>
      <c r="C5867" s="9" t="s">
        <v>1344</v>
      </c>
    </row>
    <row r="5868" ht="33.75" customHeight="1">
      <c r="A5868" s="6" t="s">
        <v>8694</v>
      </c>
      <c r="B5868" s="6" t="str">
        <f>IFERROR(__xludf.DUMMYFUNCTION("GOOGLETRANSLATE(A5868,""en"",""fi"")"),"Se rakastaa ruokkia tunteita, kuten kateutta ja pahuutta. Sen pystyssä oleva sarvi vangitsee ihmisten tunteet.")</f>
        <v>Se rakastaa ruokkia tunteita, kuten kateutta ja pahuutta. Sen pystyssä oleva sarvi vangitsee ihmisten tunteet.</v>
      </c>
      <c r="C5868" s="9" t="s">
        <v>1344</v>
      </c>
    </row>
    <row r="5869" ht="33.75" customHeight="1">
      <c r="A5869" s="6" t="s">
        <v>8696</v>
      </c>
      <c r="B5869" s="6" t="str">
        <f>IFERROR(__xludf.DUMMYFUNCTION("GOOGLETRANSLATE(A5869,""en"",""fi"")"),"Se rakastaa kostonhimoisia tunteita ja roikkuu riveissä räystäiden alla taloissa, joissa kostonhimoiset ihmiset asuvat.")</f>
        <v>Se rakastaa kostonhimoisia tunteita ja roikkuu riveissä räystäiden alla taloissa, joissa kostonhimoiset ihmiset asuvat.</v>
      </c>
      <c r="C5869" s="9" t="s">
        <v>1344</v>
      </c>
    </row>
    <row r="5870" ht="33.75" customHeight="1">
      <c r="A5870" s="6" t="s">
        <v>8698</v>
      </c>
      <c r="B5870" s="6" t="str">
        <f>IFERROR(__xludf.DUMMYFUNCTION("GOOGLETRANSLATE(A5870,""en"",""fi"")"),"Se käyttää sarveaan kateuden ja pahansuovan ruokkimiseen, tai niin ainakin sanotaan. Se on hyvin aktiivinen yöllä.")</f>
        <v>Se käyttää sarveaan kateuden ja pahansuovan ruokkimiseen, tai niin ainakin sanotaan. Se on hyvin aktiivinen yöllä.</v>
      </c>
      <c r="C5870" s="9" t="s">
        <v>1344</v>
      </c>
    </row>
    <row r="5871" ht="33.75" customHeight="1">
      <c r="A5871" s="6" t="s">
        <v>8699</v>
      </c>
      <c r="B5871" s="6" t="str">
        <f>IFERROR(__xludf.DUMMYFUNCTION("GOOGLETRANSLATE(A5871,""en"",""fi"")"),"Se ruokkii surun ja vihan synkkiä tunteita, jotka saavat sen kasvamaan tasaisesti vahvemmaksi.")</f>
        <v>Se ruokkii surun ja vihan synkkiä tunteita, jotka saavat sen kasvamaan tasaisesti vahvemmaksi.</v>
      </c>
      <c r="C5871" s="9" t="s">
        <v>1344</v>
      </c>
    </row>
    <row r="5872" ht="33.75" customHeight="1">
      <c r="A5872" s="6" t="s">
        <v>8700</v>
      </c>
      <c r="B5872" s="6" t="str">
        <f>IFERROR(__xludf.DUMMYFUNCTION("GOOGLETRANSLATE(A5872,""en"",""fi"")"),"Se käyttää sarveaan kateuden ja pahansuovan ravinnoksi – tai niin ainakin sanotaan. Se on hyvin aktiivinen yöllä.")</f>
        <v>Se käyttää sarveaan kateuden ja pahansuovan ravinnoksi – tai niin ainakin sanotaan. Se on hyvin aktiivinen yöllä.</v>
      </c>
      <c r="C5872" s="9" t="s">
        <v>1344</v>
      </c>
    </row>
    <row r="5873" ht="33.75" customHeight="1">
      <c r="A5873" s="6" t="s">
        <v>8702</v>
      </c>
      <c r="B5873" s="6" t="str">
        <f>IFERROR(__xludf.DUMMYFUNCTION("GOOGLETRANSLATE(A5873,""en"",""fi"")"),"Shuppetia vetävät puoleensa mustasukkaisuus ja kostonhimo. Jos joku kehittää voimakkaita kostonhimoisia tunteita, tämä Pokémon ilmestyy parvena ja asettuu riviin henkilön kodin räystäiden alle.")</f>
        <v>Shuppetia vetävät puoleensa mustasukkaisuus ja kostonhimo. Jos joku kehittää voimakkaita kostonhimoisia tunteita, tämä Pokémon ilmestyy parvena ja asettuu riviin henkilön kodin räystäiden alle.</v>
      </c>
      <c r="C5873" s="9" t="s">
        <v>1344</v>
      </c>
    </row>
    <row r="5874" ht="33.75" customHeight="1">
      <c r="A5874" s="6" t="s">
        <v>8704</v>
      </c>
      <c r="B5874" s="6" t="str">
        <f>IFERROR(__xludf.DUMMYFUNCTION("GOOGLETRANSLATE(A5874,""en"",""fi"")"),"Shuppet kasvaa ruokkimalla ihmisten sydämissä olevia synkkiä tunteita, kuten kostonhimoa ja kateutta. Se vaeltaa kaupungeissa etsien ihmisiä tahraavia kaunoja.")</f>
        <v>Shuppet kasvaa ruokkimalla ihmisten sydämissä olevia synkkiä tunteita, kuten kostonhimoa ja kateutta. Se vaeltaa kaupungeissa etsien ihmisiä tahraavia kaunoja.</v>
      </c>
      <c r="C5874" s="9" t="s">
        <v>1344</v>
      </c>
    </row>
    <row r="5875" ht="33.75" customHeight="1">
      <c r="A5875" s="6" t="s">
        <v>8705</v>
      </c>
      <c r="B5875" s="6" t="str">
        <f>IFERROR(__xludf.DUMMYFUNCTION("GOOGLETRANSLATE(A5875,""en"",""fi"")"),"Se syö itseensä tunteita, kuten pahuutta, mustasukkaisuutta ja kaunan, joten jotkut ihmiset ovat kiitollisia sen läsnäolosta.")</f>
        <v>Se syö itseensä tunteita, kuten pahuutta, mustasukkaisuutta ja kaunan, joten jotkut ihmiset ovat kiitollisia sen läsnäolosta.</v>
      </c>
      <c r="C5875" s="9" t="s">
        <v>1344</v>
      </c>
    </row>
    <row r="5876" ht="33.75" customHeight="1">
      <c r="A5876" s="6" t="s">
        <v>8707</v>
      </c>
      <c r="B5876" s="6" t="str">
        <f>IFERROR(__xludf.DUMMYFUNCTION("GOOGLETRANSLATE(A5876,""en"",""fi"")"),"On olemassa sananlasku, joka kuuluu: ”Vältä taloa, jossa Shuppet kokoontuu hämärän laskeutuessa.”")</f>
        <v>On olemassa sananlasku, joka kuuluu: ”Vältä taloa, jossa Shuppet kokoontuu hämärän laskeutuessa.”</v>
      </c>
      <c r="C5876" s="9" t="s">
        <v>1344</v>
      </c>
    </row>
    <row r="5877" ht="33.75" customHeight="1">
      <c r="A5877" s="6" t="s">
        <v>8711</v>
      </c>
      <c r="B5877" s="6" t="str">
        <f>IFERROR(__xludf.DUMMYFUNCTION("GOOGLETRANSLATE(A5877,""en"",""fi"")"),"BANETTE tuottaa energiaa voimakkaiden kirousten langettamiseen työntämällä neuloja omaan kehoonsa. Tämä POKéMON oli alun perin säälittävä pehmonukke, joka heitettiin pois.")</f>
        <v>BANETTE tuottaa energiaa voimakkaiden kirousten langettamiseen työntämällä neuloja omaan kehoonsa. Tämä POKéMON oli alun perin säälittävä pehmonukke, joka heitettiin pois.</v>
      </c>
      <c r="C5877" s="9" t="s">
        <v>1344</v>
      </c>
    </row>
    <row r="5878" ht="33.75" customHeight="1">
      <c r="A5878" s="6" t="s">
        <v>8712</v>
      </c>
      <c r="B5878" s="6" t="str">
        <f>IFERROR(__xludf.DUMMYFUNCTION("GOOGLETRANSLATE(A5878,""en"",""fi"")"),"Kirottu energia läpäisi hylätyn ja unohdetun pehmonuken täytteen antaen sille uuden elämän BANETTENA. POKéMONin energia karkaisi, jos se koskaan avaisi suunsa.")</f>
        <v>Kirottu energia läpäisi hylätyn ja unohdetun pehmonuken täytteen antaen sille uuden elämän BANETTENA. POKéMONin energia karkaisi, jos se koskaan avaisi suunsa.</v>
      </c>
      <c r="C5878" s="9" t="s">
        <v>1344</v>
      </c>
    </row>
    <row r="5879" ht="33.75" customHeight="1">
      <c r="A5879" s="6" t="s">
        <v>8713</v>
      </c>
      <c r="B5879" s="6" t="str">
        <f>IFERROR(__xludf.DUMMYFUNCTION("GOOGLETRANSLATE(A5879,""en"",""fi"")"),"Hylätystä pehmonukesta tuli tämä POKéMON. Niiden sanotaan asuvan kaatopaikoilla ja vaeltelevan ympäriinsä etsien lapsia, jotka heittivät ne pois.")</f>
        <v>Hylätystä pehmonukesta tuli tämä POKéMON. Niiden sanotaan asuvan kaatopaikoilla ja vaeltelevan ympäriinsä etsien lapsia, jotka heittivät ne pois.</v>
      </c>
      <c r="C5879" s="9" t="s">
        <v>1344</v>
      </c>
    </row>
    <row r="5880" ht="33.75" customHeight="1">
      <c r="A5880" s="6" t="s">
        <v>8715</v>
      </c>
      <c r="B5880" s="6" t="str">
        <f>IFERROR(__xludf.DUMMYFUNCTION("GOOGLETRANSLATE(A5880,""en"",""fi"")"),"Voimakkaat vihan tunteet muuttivat nuken POKéMONiksi. Jos se avaa suunsa, sen kirottu energia pakenee.")</f>
        <v>Voimakkaat vihan tunteet muuttivat nuken POKéMONiksi. Jos se avaa suunsa, sen kirottu energia pakenee.</v>
      </c>
      <c r="C5880" s="9" t="s">
        <v>1344</v>
      </c>
    </row>
    <row r="5881" ht="33.75" customHeight="1">
      <c r="A5881" s="6" t="s">
        <v>8716</v>
      </c>
      <c r="B5881" s="6" t="str">
        <f>IFERROR(__xludf.DUMMYFUNCTION("GOOGLETRANSLATE(A5881,""en"",""fi"")"),"Nukke, josta tuli Pokémon romuttamisesta saamansa kaunan vuoksi. Se etsii lasta, joka hylkäsi sen.")</f>
        <v>Nukke, josta tuli Pokémon romuttamisesta saamansa kaunan vuoksi. Se etsii lasta, joka hylkäsi sen.</v>
      </c>
      <c r="C5881" s="9" t="s">
        <v>1344</v>
      </c>
    </row>
    <row r="5882" ht="33.75" customHeight="1">
      <c r="A5882" s="6" t="s">
        <v>8718</v>
      </c>
      <c r="B5882" s="6" t="str">
        <f>IFERROR(__xludf.DUMMYFUNCTION("GOOGLETRANSLATE(A5882,""en"",""fi"")"),"Tämä Pokémon kehittyi hylätystä nukesta, joka kantoi kaunan. Sitä nähdään pimeillä kujilla.")</f>
        <v>Tämä Pokémon kehittyi hylätystä nukesta, joka kantoi kaunan. Sitä nähdään pimeillä kujilla.</v>
      </c>
      <c r="C5882" s="9" t="s">
        <v>1344</v>
      </c>
    </row>
    <row r="5883" ht="33.75" customHeight="1">
      <c r="A5883" s="6" t="s">
        <v>8720</v>
      </c>
      <c r="B5883" s="6" t="str">
        <f>IFERROR(__xludf.DUMMYFUNCTION("GOOGLETRANSLATE(A5883,""en"",""fi"")"),"Nukke, josta tuli Pokémon, koska se kaunasi poisheittämistään. Se etsii lasta, joka hylkäsi sen.")</f>
        <v>Nukke, josta tuli Pokémon, koska se kaunasi poisheittämistään. Se etsii lasta, joka hylkäsi sen.</v>
      </c>
      <c r="C5883" s="9" t="s">
        <v>1344</v>
      </c>
    </row>
    <row r="5884" ht="33.75" customHeight="1">
      <c r="A5884" s="6" t="s">
        <v>8722</v>
      </c>
      <c r="B5884" s="6" t="str">
        <f>IFERROR(__xludf.DUMMYFUNCTION("GOOGLETRANSLATE(A5884,""en"",""fi"")"),"Voimakkaat vihan tunteet muuttivat nuken Pokémoniksi. Jos se avaa suunsa, sen kirottu energia pakenee.")</f>
        <v>Voimakkaat vihan tunteet muuttivat nuken Pokémoniksi. Jos se avaa suunsa, sen kirottu energia pakenee.</v>
      </c>
      <c r="C5884" s="9" t="s">
        <v>1344</v>
      </c>
    </row>
    <row r="5885" ht="33.75" customHeight="1">
      <c r="A5885" s="6" t="s">
        <v>8724</v>
      </c>
      <c r="B5885" s="6" t="str">
        <f>IFERROR(__xludf.DUMMYFUNCTION("GOOGLETRANSLATE(A5885,""en"",""fi"")"),"Banette tuottaa energiaa voimakkaiden kirousten langettamiseen työntämällä neuloja omaan kehoonsa. Tämä Pokémon oli alun perin säälittävä pehmonukke, joka heitettiin pois.")</f>
        <v>Banette tuottaa energiaa voimakkaiden kirousten langettamiseen työntämällä neuloja omaan kehoonsa. Tämä Pokémon oli alun perin säälittävä pehmonukke, joka heitettiin pois.</v>
      </c>
      <c r="C5885" s="9" t="s">
        <v>1344</v>
      </c>
    </row>
    <row r="5886" ht="33.75" customHeight="1">
      <c r="A5886" s="6" t="s">
        <v>8725</v>
      </c>
      <c r="B5886" s="6" t="str">
        <f>IFERROR(__xludf.DUMMYFUNCTION("GOOGLETRANSLATE(A5886,""en"",""fi"")"),"Kirottu energia läpäisi hylätyn ja unohdetun pehmonuken täytteen antaen sille uuden elämän Banettena. Pokémonin energia karkaisi, jos se koskaan avaisi suunsa.")</f>
        <v>Kirottu energia läpäisi hylätyn ja unohdetun pehmonuken täytteen antaen sille uuden elämän Banettena. Pokémonin energia karkaisi, jos se koskaan avaisi suunsa.</v>
      </c>
      <c r="C5886" s="9" t="s">
        <v>1344</v>
      </c>
    </row>
    <row r="5887" ht="33.75" customHeight="1">
      <c r="A5887" s="6" t="s">
        <v>8726</v>
      </c>
      <c r="B5887" s="6" t="str">
        <f>IFERROR(__xludf.DUMMYFUNCTION("GOOGLETRANSLATE(A5887,""en"",""fi"")"),"Se on pehmolelu, joka heitettiin pois ja josta tuli riivattu, aina etsien sitä, joka heitti sen pois, jotta se voi kostaa.")</f>
        <v>Se on pehmolelu, joka heitettiin pois ja josta tuli riivattu, aina etsien sitä, joka heitti sen pois, jotta se voi kostaa.</v>
      </c>
      <c r="C5887" s="9" t="s">
        <v>1344</v>
      </c>
    </row>
    <row r="5888" ht="33.75" customHeight="1">
      <c r="A5888" s="6" t="s">
        <v>8728</v>
      </c>
      <c r="B5888" s="6" t="str">
        <f>IFERROR(__xludf.DUMMYFUNCTION("GOOGLETRANSLATE(A5888,""en"",""fi"")"),"Kauna hylkäämisestä sai sen syntymään. Jotkut sanovat, että sen hyvä kohtelu tyydyttää sen ja siitä tulee jälleen pehmolelu.")</f>
        <v>Kauna hylkäämisestä sai sen syntymään. Jotkut sanovat, että sen hyvä kohtelu tyydyttää sen ja siitä tulee jälleen pehmolelu.</v>
      </c>
      <c r="C5888" s="9" t="s">
        <v>1344</v>
      </c>
    </row>
    <row r="5889" ht="33.75" customHeight="1">
      <c r="A5889" s="6" t="s">
        <v>8730</v>
      </c>
      <c r="B5889" s="6" t="str">
        <f>IFERROR(__xludf.DUMMYFUNCTION("GOOGLETRANSLATE(A5889,""en"",""fi"")"),"DUSKULL voi läpäistä minkä tahansa seinän, sen paksuudesta riippumatta. Kun tämä POKéMON valitsee kohteen, se jahtaa sitä sinnikkäästi aamunkoittoon asti.")</f>
        <v>DUSKULL voi läpäistä minkä tahansa seinän, sen paksuudesta riippumatta. Kun tämä POKéMON valitsee kohteen, se jahtaa sitä sinnikkäästi aamunkoittoon asti.</v>
      </c>
      <c r="C5889" s="9" t="s">
        <v>1344</v>
      </c>
    </row>
    <row r="5890" ht="33.75" customHeight="1">
      <c r="A5890" s="6" t="s">
        <v>8731</v>
      </c>
      <c r="B5890" s="6" t="str">
        <f>IFERROR(__xludf.DUMMYFUNCTION("GOOGLETRANSLATE(A5890,""en"",""fi"")"),"DUSKULL vaeltelee eksyksissä keskiyön pimeydessä. Usein kerrotaan, että huonosti käyttäytyville lapsille annetaan varoitus, jonka mukaan tämä POKéMON ajaa pois pahat lapset, jotka ansaitsevat äitiensä nuhteet.")</f>
        <v>DUSKULL vaeltelee eksyksissä keskiyön pimeydessä. Usein kerrotaan, että huonosti käyttäytyville lapsille annetaan varoitus, jonka mukaan tämä POKéMON ajaa pois pahat lapset, jotka ansaitsevat äitiensä nuhteet.</v>
      </c>
      <c r="C5890" s="9" t="s">
        <v>1344</v>
      </c>
    </row>
    <row r="5891" ht="33.75" customHeight="1">
      <c r="A5891" s="6" t="s">
        <v>8733</v>
      </c>
      <c r="B5891" s="6" t="str">
        <f>IFERROR(__xludf.DUMMYFUNCTION("GOOGLETRANSLATE(A5891,""en"",""fi"")"),"Sen ainoan helakanpunaisen silmän häivähdys jähmettää jopa rotevat aikuiset täydelliseen pelkoon. Se on yöllinen POKéMON, joka vaeltelee pimeyden viitan alla.")</f>
        <v>Sen ainoan helakanpunaisen silmän häivähdys jähmettää jopa rotevat aikuiset täydelliseen pelkoon. Se on yöllinen POKéMON, joka vaeltelee pimeyden viitan alla.</v>
      </c>
      <c r="C5891" s="9" t="s">
        <v>1344</v>
      </c>
    </row>
    <row r="5892" ht="33.75" customHeight="1">
      <c r="A5892" s="6" t="s">
        <v>8735</v>
      </c>
      <c r="B5892" s="6" t="str">
        <f>IFERROR(__xludf.DUMMYFUNCTION("GOOGLETRANSLATE(A5892,""en"",""fi"")"),"Se tekee itsensä näkymättömäksi ja hiipii äänettömästi saaliinsa luo. Sillä on kyky livahtaa paksujen seinien läpi.")</f>
        <v>Se tekee itsensä näkymättömäksi ja hiipii äänettömästi saaliinsa luo. Sillä on kyky livahtaa paksujen seinien läpi.</v>
      </c>
      <c r="C5892" s="9" t="s">
        <v>1344</v>
      </c>
    </row>
    <row r="5893" ht="33.75" customHeight="1">
      <c r="A5893" s="6" t="s">
        <v>8736</v>
      </c>
      <c r="B5893" s="6" t="str">
        <f>IFERROR(__xludf.DUMMYFUNCTION("GOOGLETRANSLATE(A5893,""en"",""fi"")"),"Se jahtaa saalistaan ​​sinnikkäästi minne ikinä se meneekin. Takaa-ajo kuitenkin loppuu auringonnousun aikaan.")</f>
        <v>Se jahtaa saalistaan ​​sinnikkäästi minne ikinä se meneekin. Takaa-ajo kuitenkin loppuu auringonnousun aikaan.</v>
      </c>
      <c r="C5893" s="9" t="s">
        <v>1344</v>
      </c>
    </row>
    <row r="5894" ht="33.75" customHeight="1">
      <c r="A5894" s="6" t="s">
        <v>8737</v>
      </c>
      <c r="B5894" s="6" t="str">
        <f>IFERROR(__xludf.DUMMYFUNCTION("GOOGLETRANSLATE(A5894,""en"",""fi"")"),"Se rakastaa lasten itkua. Se säikäyttää pahat lapset menemällä seinien läpi ja saamalla heidät itkemään.")</f>
        <v>Se rakastaa lasten itkua. Se säikäyttää pahat lapset menemällä seinien läpi ja saamalla heidät itkemään.</v>
      </c>
      <c r="C5894" s="9" t="s">
        <v>1344</v>
      </c>
    </row>
    <row r="5895" ht="33.75" customHeight="1">
      <c r="A5895" s="6" t="s">
        <v>8738</v>
      </c>
      <c r="B5895" s="6" t="str">
        <f>IFERROR(__xludf.DUMMYFUNCTION("GOOGLETRANSLATE(A5895,""en"",""fi"")"),"Jos se löytää pahoja lapsia, jotka eivät tottele vanhempiaan, se ajaa heidät pois – tai niin ainakin sanotaan.")</f>
        <v>Jos se löytää pahoja lapsia, jotka eivät tottele vanhempiaan, se ajaa heidät pois – tai niin ainakin sanotaan.</v>
      </c>
      <c r="C5895" s="9" t="s">
        <v>1344</v>
      </c>
    </row>
    <row r="5896" ht="33.75" customHeight="1">
      <c r="A5896" s="6" t="s">
        <v>8740</v>
      </c>
      <c r="B5896" s="6" t="str">
        <f>IFERROR(__xludf.DUMMYFUNCTION("GOOGLETRANSLATE(A5896,""en"",""fi"")"),"Duskull voi läpäistä minkä tahansa seinän, olipa se kuinka paksu tahansa. Kun tämä Pokémon valitsee kohteen, se jahtaa aiottua uhria sinnikkäästi aamunkoittoon asti.")</f>
        <v>Duskull voi läpäistä minkä tahansa seinän, olipa se kuinka paksu tahansa. Kun tämä Pokémon valitsee kohteen, se jahtaa aiottua uhria sinnikkäästi aamunkoittoon asti.</v>
      </c>
      <c r="C5896" s="9" t="s">
        <v>1344</v>
      </c>
    </row>
    <row r="5897" ht="33.75" customHeight="1">
      <c r="A5897" s="6" t="s">
        <v>8742</v>
      </c>
      <c r="B5897" s="6" t="str">
        <f>IFERROR(__xludf.DUMMYFUNCTION("GOOGLETRANSLATE(A5897,""en"",""fi"")"),"Duskull vaeltelee eksyksissä keskiyön pimeydessä. Usein kerrotaan, että huonosti käyttäytyville lapsille annetaan varoitus, jonka mukaan tämä Pokémon ajaa pois pahat lapset, jotka ansaitsevat äitiensä nuhteet.")</f>
        <v>Duskull vaeltelee eksyksissä keskiyön pimeydessä. Usein kerrotaan, että huonosti käyttäytyville lapsille annetaan varoitus, jonka mukaan tämä Pokémon ajaa pois pahat lapset, jotka ansaitsevat äitiensä nuhteet.</v>
      </c>
      <c r="C5897" s="9" t="s">
        <v>1344</v>
      </c>
    </row>
    <row r="5898" ht="33.75" customHeight="1">
      <c r="A5898" s="6" t="s">
        <v>8743</v>
      </c>
      <c r="B5898" s="6" t="str">
        <f>IFERROR(__xludf.DUMMYFUNCTION("GOOGLETRANSLATE(A5898,""en"",""fi"")"),"Jos se löytää pahoja lapsia, jotka eivät tottele vanhempiaan, se ajaa heidät pois – tai niin ainakin sanotaan.")</f>
        <v>Jos se löytää pahoja lapsia, jotka eivät tottele vanhempiaan, se ajaa heidät pois – tai niin ainakin sanotaan.</v>
      </c>
      <c r="C5898" s="9" t="s">
        <v>1344</v>
      </c>
    </row>
    <row r="5899" ht="33.75" customHeight="1">
      <c r="A5899" s="6" t="s">
        <v>8744</v>
      </c>
      <c r="B5899" s="6" t="str">
        <f>IFERROR(__xludf.DUMMYFUNCTION("GOOGLETRANSLATE(A5899,""en"",""fi"")"),"Olen kuullut, että Hisuin lapset alkavat käyttäytyä, kun heille on kerrottu tarina siitä, kuinka tämä Pokémon vaeltelee ympäriinsä ennen noitien hetkeä häätääkseen ilkikurisesti käyttäytyviä lapsia.")</f>
        <v>Olen kuullut, että Hisuin lapset alkavat käyttäytyä, kun heille on kerrottu tarina siitä, kuinka tämä Pokémon vaeltelee ympäriinsä ennen noitien hetkeä häätääkseen ilkikurisesti käyttäytyviä lapsia.</v>
      </c>
      <c r="C5899" s="9" t="s">
        <v>1344</v>
      </c>
    </row>
    <row r="5900" ht="33.75" customHeight="1">
      <c r="A5900" s="6" t="s">
        <v>8745</v>
      </c>
      <c r="B5900" s="6" t="str">
        <f>IFERROR(__xludf.DUMMYFUNCTION("GOOGLETRANSLATE(A5900,""en"",""fi"")"),"DUSCLOPSin ruumis on täysin ontto – sen sisällä ei ole yhtään mitään. Sanotaan, että sen ruumis on kuin musta aukko. Tämä POKéMON imee mitä tahansa ruumiiseensa, mutta mikään ei koskaan tule takaisin ulos.")</f>
        <v>DUSCLOPSin ruumis on täysin ontto – sen sisällä ei ole yhtään mitään. Sanotaan, että sen ruumis on kuin musta aukko. Tämä POKéMON imee mitä tahansa ruumiiseensa, mutta mikään ei koskaan tule takaisin ulos.</v>
      </c>
      <c r="C5900" s="9" t="s">
        <v>1344</v>
      </c>
    </row>
    <row r="5901" ht="33.75" customHeight="1">
      <c r="A5901" s="6" t="s">
        <v>8746</v>
      </c>
      <c r="B5901" s="6" t="str">
        <f>IFERROR(__xludf.DUMMYFUNCTION("GOOGLETRANSLATE(A5901,""en"",""fi"")"),"DUSCLOPS imee itseensä minkä tahansa esineen, olipa se kuinka suuri tahansa. Tämä POKéMON hypnotisoi vihollisensa heiluttamalla käsiään makaaberilla tavalla ja osoittamalla ainoalla silmällään. Hypnotisoitu vihollinen pakotetaan tottelemaan DUSCLOPSin käs"&amp;"kyjä.")</f>
        <v>DUSCLOPS imee itseensä minkä tahansa esineen, olipa se kuinka suuri tahansa. Tämä POKéMON hypnotisoi vihollisensa heiluttamalla käsiään makaaberilla tavalla ja osoittamalla ainoalla silmällään. Hypnotisoitu vihollinen pakotetaan tottelemaan DUSCLOPSin käskyjä.</v>
      </c>
      <c r="C5901" s="9" t="s">
        <v>1344</v>
      </c>
    </row>
    <row r="5902" ht="33.75" customHeight="1">
      <c r="A5902" s="6" t="s">
        <v>8747</v>
      </c>
      <c r="B5902" s="6" t="str">
        <f>IFERROR(__xludf.DUMMYFUNCTION("GOOGLETRANSLATE(A5902,""en"",""fi"")"),"Sen rungon uskotaan olevan ontto ja sen sisällä palaa vain aavemainen tulipallo. Kukaan ei kuitenkaan ole pystynyt vahvistamaan tätä teoriaa todeksi.")</f>
        <v>Sen rungon uskotaan olevan ontto ja sen sisällä palaa vain aavemainen tulipallo. Kukaan ei kuitenkaan ole pystynyt vahvistamaan tätä teoriaa todeksi.</v>
      </c>
      <c r="C5902" s="9" t="s">
        <v>1344</v>
      </c>
    </row>
    <row r="5903" ht="33.75" customHeight="1">
      <c r="A5903" s="6" t="s">
        <v>8748</v>
      </c>
      <c r="B5903" s="6" t="str">
        <f>IFERROR(__xludf.DUMMYFUNCTION("GOOGLETRANSLATE(A5903,""en"",""fi"")"),"Sen ruumis on kokonaan ontto. Kun se avaa suunsa, se imee kaiken sisäänsä kuin mustan aukon.")</f>
        <v>Sen ruumis on kokonaan ontto. Kun se avaa suunsa, se imee kaiken sisäänsä kuin mustan aukon.</v>
      </c>
      <c r="C5903" s="9" t="s">
        <v>1344</v>
      </c>
    </row>
    <row r="5904" ht="33.75" customHeight="1">
      <c r="A5904" s="6" t="s">
        <v>8749</v>
      </c>
      <c r="B5904" s="6" t="str">
        <f>IFERROR(__xludf.DUMMYFUNCTION("GOOGLETRANSLATE(A5904,""en"",""fi"")"),"Sen ruumis on ontto. Sanotaan, että ne, jotka katsovat sen ruumiiseen, imeytyvät tyhjyyteen.")</f>
        <v>Sen ruumis on ontto. Sanotaan, että ne, jotka katsovat sen ruumiiseen, imeytyvät tyhjyyteen.</v>
      </c>
      <c r="C5904" s="9" t="s">
        <v>1344</v>
      </c>
    </row>
    <row r="5905" ht="33.75" customHeight="1">
      <c r="A5905" s="6" t="s">
        <v>8750</v>
      </c>
      <c r="B5905" s="6" t="str">
        <f>IFERROR(__xludf.DUMMYFUNCTION("GOOGLETRANSLATE(A5905,""en"",""fi"")"),"Se etsii ajelehtivia virvatulia ja imaisee ne tyhjään ruumiiseensa. Se, mitä sisällä tapahtuu, on mysteeri.")</f>
        <v>Se etsii ajelehtivia virvatulia ja imaisee ne tyhjään ruumiiseensa. Se, mitä sisällä tapahtuu, on mysteeri.</v>
      </c>
      <c r="C5905" s="9" t="s">
        <v>1344</v>
      </c>
    </row>
    <row r="5906" ht="33.75" customHeight="1">
      <c r="A5906" s="6" t="s">
        <v>8752</v>
      </c>
      <c r="B5906" s="6" t="str">
        <f>IFERROR(__xludf.DUMMYFUNCTION("GOOGLETRANSLATE(A5906,""en"",""fi"")"),"Jokaiselta, joka uskaltaa kurkistaa sen ruumiiseen nähdäkseen sen aavemaisen tulipallon, varastetaan henki.")</f>
        <v>Jokaiselta, joka uskaltaa kurkistaa sen ruumiiseen nähdäkseen sen aavemaisen tulipallon, varastetaan henki.</v>
      </c>
      <c r="C5906" s="9" t="s">
        <v>1344</v>
      </c>
    </row>
    <row r="5907" ht="33.75" customHeight="1">
      <c r="A5907" s="6" t="s">
        <v>8753</v>
      </c>
      <c r="B5907" s="6" t="str">
        <f>IFERROR(__xludf.DUMMYFUNCTION("GOOGLETRANSLATE(A5907,""en"",""fi"")"),"Dusclopsin ruumis on täysin ontto – sen sisällä ei ole yhtään mitään. Sanotaan, että sen ruumis on kuin musta aukko. Tämä Pokémon imee mitä tahansa kehoonsa, mutta mikään ei koskaan tule takaisin ulos.")</f>
        <v>Dusclopsin ruumis on täysin ontto – sen sisällä ei ole yhtään mitään. Sanotaan, että sen ruumis on kuin musta aukko. Tämä Pokémon imee mitä tahansa kehoonsa, mutta mikään ei koskaan tule takaisin ulos.</v>
      </c>
      <c r="C5907" s="9" t="s">
        <v>1344</v>
      </c>
    </row>
    <row r="5908" ht="33.75" customHeight="1">
      <c r="A5908" s="6" t="s">
        <v>8756</v>
      </c>
      <c r="B5908" s="6" t="str">
        <f>IFERROR(__xludf.DUMMYFUNCTION("GOOGLETRANSLATE(A5908,""en"",""fi"")"),"Dusclops imee itseensä mitä tahansa, olipa esine kuinka suuri tahansa. Tämä Pokémon hypnotisoi vihollisensa heiluttamalla käsiään makaaberilla tavalla ja kohdistamalla ainoan silmänsä lentoon. Hypnotisoitu vihollinen pakotetaan tottelemaan Dusclopsin käsk"&amp;"yjä.")</f>
        <v>Dusclops imee itseensä mitä tahansa, olipa esine kuinka suuri tahansa. Tämä Pokémon hypnotisoi vihollisensa heiluttamalla käsiään makaaberilla tavalla ja kohdistamalla ainoan silmänsä lentoon. Hypnotisoitu vihollinen pakotetaan tottelemaan Dusclopsin käskyjä.</v>
      </c>
      <c r="C5908" s="9" t="s">
        <v>1344</v>
      </c>
    </row>
    <row r="5909" ht="33.75" customHeight="1">
      <c r="A5909" s="6" t="s">
        <v>8757</v>
      </c>
      <c r="B5909" s="6" t="str">
        <f>IFERROR(__xludf.DUMMYFUNCTION("GOOGLETRANSLATE(A5909,""en"",""fi"")"),"Huhujen mukaan sen siteisiin käärityn ruumiin sisään kurkistaminen johtaa siihen, että joku vedetään sisään siteiden välisistä raoista, eikä hän koskaan palaa. Olen ollut liian peloissani varmistaakseni tätä.")</f>
        <v>Huhujen mukaan sen siteisiin käärityn ruumiin sisään kurkistaminen johtaa siihen, että joku vedetään sisään siteiden välisistä raoista, eikä hän koskaan palaa. Olen ollut liian peloissani varmistaakseni tätä.</v>
      </c>
      <c r="C5909" s="9" t="s">
        <v>1344</v>
      </c>
    </row>
    <row r="5910" ht="33.75" customHeight="1">
      <c r="A5910" s="6" t="s">
        <v>8759</v>
      </c>
      <c r="B5910" s="6" t="str">
        <f>IFERROR(__xludf.DUMMYFUNCTION("GOOGLETRANSLATE(A5910,""en"",""fi"")"),"Tropiuksen kaulassa olevat hedelmätertut ovat lasten suosikkeja. Tämä POKéMON rakastaa hedelmiä ja syö niitä jatkuvasti. Ilmeisesti sen rakkaus hedelmiin johti sen omiin hedelmänkasvuihin.")</f>
        <v>Tropiuksen kaulassa olevat hedelmätertut ovat lasten suosikkeja. Tämä POKéMON rakastaa hedelmiä ja syö niitä jatkuvasti. Ilmeisesti sen rakkaus hedelmiin johti sen omiin hedelmänkasvuihin.</v>
      </c>
      <c r="C5910" s="9" t="s">
        <v>1344</v>
      </c>
    </row>
    <row r="5911" ht="33.75" customHeight="1">
      <c r="A5911" s="6" t="s">
        <v>8760</v>
      </c>
      <c r="B5911" s="6" t="str">
        <f>IFERROR(__xludf.DUMMYFUNCTION("GOOGLETRANSLATE(A5911,""en"",""fi"")"),"Eteläisen trooppisen alueen lapset syövät välipalaksi Tropiuksen kaulan ympärillä nipuissa kasvavia hedelmiä. Tämä PokéMON lentää räpyttelemällä selällään olevia lehtiä kuin ne olisivat siivet.")</f>
        <v>Eteläisen trooppisen alueen lapset syövät välipalaksi Tropiuksen kaulan ympärillä nipuissa kasvavia hedelmiä. Tämä PokéMON lentää räpyttelemällä selällään olevia lehtiä kuin ne olisivat siivet.</v>
      </c>
      <c r="C5911" s="9" t="s">
        <v>1344</v>
      </c>
    </row>
    <row r="5912" ht="33.75" customHeight="1">
      <c r="A5912" s="6" t="s">
        <v>8762</v>
      </c>
      <c r="B5912" s="6" t="str">
        <f>IFERROR(__xludf.DUMMYFUNCTION("GOOGLETRANSLATE(A5912,""en"",""fi"")"),"Se lentää räpyttelemällä leveitä lehtiään. Sen kaulan ympärillä kasvava hedelmäterttu on herkullisen makea. Keväällä se levittää siitepölyä kaulastaan.")</f>
        <v>Se lentää räpyttelemällä leveitä lehtiään. Sen kaulan ympärillä kasvava hedelmäterttu on herkullisen makea. Keväällä se levittää siitepölyä kaulastaan.</v>
      </c>
      <c r="C5912" s="9" t="s">
        <v>1344</v>
      </c>
    </row>
    <row r="5913" ht="33.75" customHeight="1">
      <c r="A5913" s="6" t="s">
        <v>8764</v>
      </c>
      <c r="B5913" s="6" t="str">
        <f>IFERROR(__xludf.DUMMYFUNCTION("GOOGLETRANSLATE(A5913,""en"",""fi"")"),"Se elää trooppisissa viidakoissa. Sen kaulassa oleva hedelmäterttu on herkullinen. Hedelmä kasvaa kaksi kertaa vuodessa.")</f>
        <v>Se elää trooppisissa viidakoissa. Sen kaulassa oleva hedelmäterttu on herkullinen. Hedelmä kasvaa kaksi kertaa vuodessa.</v>
      </c>
      <c r="C5913" s="9" t="s">
        <v>1344</v>
      </c>
    </row>
    <row r="5914" ht="33.75" customHeight="1">
      <c r="A5914" s="6" t="s">
        <v>8765</v>
      </c>
      <c r="B5914" s="6" t="str">
        <f>IFERROR(__xludf.DUMMYFUNCTION("GOOGLETRANSLATE(A5914,""en"",""fi"")"),"Koska se söi jatkuvasti vain lempihedelmäänsä, hedelmä alkoi kasvaa sen kaulan ympärille.")</f>
        <v>Koska se söi jatkuvasti vain lempihedelmäänsä, hedelmä alkoi kasvaa sen kaulan ympärille.</v>
      </c>
      <c r="C5914" s="9" t="s">
        <v>1344</v>
      </c>
    </row>
    <row r="5915" ht="33.75" customHeight="1">
      <c r="A5915" s="6" t="s">
        <v>8767</v>
      </c>
      <c r="B5915" s="6" t="str">
        <f>IFERROR(__xludf.DUMMYFUNCTION("GOOGLETRANSLATE(A5915,""en"",""fi"")"),"Sen kaulasta kasvoi herkullisia hedelmiä, koska se söi aina samanlaisia ​​hedelmiä.")</f>
        <v>Sen kaulasta kasvoi herkullisia hedelmiä, koska se söi aina samanlaisia ​​hedelmiä.</v>
      </c>
      <c r="C5915" s="9" t="s">
        <v>1344</v>
      </c>
    </row>
    <row r="5916" ht="33.75" customHeight="1">
      <c r="A5916" s="6" t="s">
        <v>8768</v>
      </c>
      <c r="B5916" s="6" t="str">
        <f>IFERROR(__xludf.DUMMYFUNCTION("GOOGLETRANSLATE(A5916,""en"",""fi"")"),"Sen kaulassa oleva hedelmäterttu kypsyy kahdesti vuodessa ja on herkullinen. Se on erittäin suosittu trooppinen välipala.")</f>
        <v>Sen kaulassa oleva hedelmäterttu kypsyy kahdesti vuodessa ja on herkullinen. Se on erittäin suosittu trooppinen välipala.</v>
      </c>
      <c r="C5916" s="9" t="s">
        <v>1344</v>
      </c>
    </row>
    <row r="5917" ht="33.75" customHeight="1">
      <c r="A5917" s="6" t="s">
        <v>8771</v>
      </c>
      <c r="B5917" s="6" t="str">
        <f>IFERROR(__xludf.DUMMYFUNCTION("GOOGLETRANSLATE(A5917,""en"",""fi"")"),"Se lentää räpyttelemällä leveitä lehtiään ja antaa kaulassaan olevat makeat, herkulliset hedelmät lapsilleen.")</f>
        <v>Se lentää räpyttelemällä leveitä lehtiään ja antaa kaulassaan olevat makeat, herkulliset hedelmät lapsilleen.</v>
      </c>
      <c r="C5917" s="9" t="s">
        <v>1344</v>
      </c>
    </row>
    <row r="5918" ht="33.75" customHeight="1">
      <c r="A5918" s="6" t="s">
        <v>8773</v>
      </c>
      <c r="B5918" s="6" t="str">
        <f>IFERROR(__xludf.DUMMYFUNCTION("GOOGLETRANSLATE(A5918,""en"",""fi"")"),"Tropiuksen kaulassa olevat hedelmätertut ovat lasten suosikkeja. Tämä Pokémon rakastaa hedelmiä ja syö niitä jatkuvasti. Ilmeisesti sen rakkaus hedelmiin johti sen omiin hedelmänkasvuihin.")</f>
        <v>Tropiuksen kaulassa olevat hedelmätertut ovat lasten suosikkeja. Tämä Pokémon rakastaa hedelmiä ja syö niitä jatkuvasti. Ilmeisesti sen rakkaus hedelmiin johti sen omiin hedelmänkasvuihin.</v>
      </c>
      <c r="C5918" s="9" t="s">
        <v>1344</v>
      </c>
    </row>
    <row r="5919" ht="33.75" customHeight="1">
      <c r="A5919" s="6" t="s">
        <v>8774</v>
      </c>
      <c r="B5919" s="6" t="str">
        <f>IFERROR(__xludf.DUMMYFUNCTION("GOOGLETRANSLATE(A5919,""en"",""fi"")"),"Eteläisen trooppisen alueen lapset syövät välipalaksi Tropiuksen kaulan ympärillä nipuissa kasvavaa hedelmää. Tämä Pokémon lentää räpyttelemällä selällään olevia lehtiä kuin ne olisivat siipiä.")</f>
        <v>Eteläisen trooppisen alueen lapset syövät välipalaksi Tropiuksen kaulan ympärillä nipuissa kasvavaa hedelmää. Tämä Pokémon lentää räpyttelemällä selällään olevia lehtiä kuin ne olisivat siipiä.</v>
      </c>
      <c r="C5919" s="9" t="s">
        <v>1344</v>
      </c>
    </row>
    <row r="5920" ht="33.75" customHeight="1">
      <c r="A5920" s="6" t="s">
        <v>8775</v>
      </c>
      <c r="B5920" s="6" t="str">
        <f>IFERROR(__xludf.DUMMYFUNCTION("GOOGLETRANSLATE(A5920,""en"",""fi"")"),"Alolassa Tropius-hedelmien kaulan ympärillä kasvavat hedelmätertut ovat erityisen makeita verrattuna muiden alueiden hedelmiin.")</f>
        <v>Alolassa Tropius-hedelmien kaulan ympärillä kasvavat hedelmätertut ovat erityisen makeita verrattuna muiden alueiden hedelmiin.</v>
      </c>
      <c r="C5920" s="9" t="s">
        <v>1344</v>
      </c>
    </row>
    <row r="5921" ht="33.75" customHeight="1">
      <c r="A5921" s="6" t="s">
        <v>8777</v>
      </c>
      <c r="B5921" s="6" t="str">
        <f>IFERROR(__xludf.DUMMYFUNCTION("GOOGLETRANSLATE(A5921,""en"",""fi"")"),"Sen kaulan ympärillä kasvaa herkullisia hedelmiä. Lämpimillä alueilla monet tilat kasvattavat trooppisia pyrstöjä.")</f>
        <v>Sen kaulan ympärillä kasvaa herkullisia hedelmiä. Lämpimillä alueilla monet tilat kasvattavat trooppisia pyrstöjä.</v>
      </c>
      <c r="C5921" s="9" t="s">
        <v>1344</v>
      </c>
    </row>
    <row r="5922" ht="33.75" customHeight="1">
      <c r="A5922" s="6" t="s">
        <v>8779</v>
      </c>
      <c r="B5922" s="6" t="str">
        <f>IFERROR(__xludf.DUMMYFUNCTION("GOOGLETRANSLATE(A5922,""en"",""fi"")"),"CHIMECHO saa huutonsa kaikumaan onton ruumiinsa sisällä. Kun tämä POKéMON raivostuu, sen huudot aiheuttavat ultraääniaaltoja, joilla on kyky lennättää viholliset lentoon.")</f>
        <v>CHIMECHO saa huutonsa kaikumaan onton ruumiinsa sisällä. Kun tämä POKéMON raivostuu, sen huudot aiheuttavat ultraääniaaltoja, joilla on kyky lennättää viholliset lentoon.</v>
      </c>
      <c r="C5922" s="9" t="s">
        <v>1344</v>
      </c>
    </row>
    <row r="5923" ht="33.75" customHeight="1">
      <c r="A5923" s="6" t="s">
        <v>8781</v>
      </c>
      <c r="B5923" s="6" t="str">
        <f>IFERROR(__xludf.DUMMYFUNCTION("GOOGLETRANSLATE(A5923,""en"",""fi"")"),"Kovassa tuulessa CHIMECHO itkee roikkuessaan puun oksalla tai rakennuksen räystäällä imukupin avulla päässään. Tämä POKéMON poimii marjoja pitkällä hännällään ja syö ne.")</f>
        <v>Kovassa tuulessa CHIMECHO itkee roikkuessaan puun oksalla tai rakennuksen räystäällä imukupin avulla päässään. Tämä POKéMON poimii marjoja pitkällä hännällään ja syö ne.</v>
      </c>
      <c r="C5923" s="9" t="s">
        <v>1344</v>
      </c>
    </row>
    <row r="5924" ht="33.75" customHeight="1">
      <c r="A5924" s="6" t="s">
        <v>8782</v>
      </c>
      <c r="B5924" s="6" t="str">
        <f>IFERROR(__xludf.DUMMYFUNCTION("GOOGLETRANSLATE(A5924,""en"",""fi"")"),"Ne lentävät erittäin aktiivisesti kuuman kauden saapuessa. Ne kommunikoivat keskenään seitsemällä erilaisella ja erottuvalla huudolla.")</f>
        <v>Ne lentävät erittäin aktiivisesti kuuman kauden saapuessa. Ne kommunikoivat keskenään seitsemällä erilaisella ja erottuvalla huudolla.</v>
      </c>
      <c r="C5924" s="9" t="s">
        <v>1344</v>
      </c>
    </row>
    <row r="5925" ht="33.75" customHeight="1">
      <c r="A5925" s="6" t="s">
        <v>8784</v>
      </c>
      <c r="B5925" s="6" t="str">
        <f>IFERROR(__xludf.DUMMYFUNCTION("GOOGLETRANSLATE(A5925,""en"",""fi"")"),"Se matkustaa tuulen varassa. Se käyttää taitavasti pitkää häntäänsä poimiakseen pähkinöitä ja marjoja, joita se rakastaa syödä.")</f>
        <v>Se matkustaa tuulen varassa. Se käyttää taitavasti pitkää häntäänsä poimiakseen pähkinöitä ja marjoja, joita se rakastaa syödä.</v>
      </c>
      <c r="C5925" s="9" t="s">
        <v>1344</v>
      </c>
    </row>
    <row r="5926" ht="33.75" customHeight="1">
      <c r="A5926" s="6" t="s">
        <v>8786</v>
      </c>
      <c r="B5926" s="6" t="str">
        <f>IFERROR(__xludf.DUMMYFUNCTION("GOOGLETRANSLATE(A5926,""en"",""fi"")"),"Lyödäkseen viholliset lentoon se saa ilman väreilemään huudoillaan. Se keskustelee seitsemällä huudolla.")</f>
        <v>Lyödäkseen viholliset lentoon se saa ilman väreilemään huudoillaan. Se keskustelee seitsemällä huudolla.</v>
      </c>
      <c r="C5926" s="9" t="s">
        <v>1344</v>
      </c>
    </row>
    <row r="5927" ht="33.75" customHeight="1">
      <c r="A5927" s="6" t="s">
        <v>8787</v>
      </c>
      <c r="B5927" s="6" t="str">
        <f>IFERROR(__xludf.DUMMYFUNCTION("GOOGLETRANSLATE(A5927,""en"",""fi"")"),"Se lähettää ultraäänihuutoja ja kulkee tuulen mukana pitkiä matkoja.")</f>
        <v>Se lähettää ultraäänihuutoja ja kulkee tuulen mukana pitkiä matkoja.</v>
      </c>
      <c r="C5927" s="9" t="s">
        <v>1344</v>
      </c>
    </row>
    <row r="5928" ht="33.75" customHeight="1">
      <c r="A5928" s="6" t="s">
        <v>8789</v>
      </c>
      <c r="B5928" s="6" t="str">
        <f>IFERROR(__xludf.DUMMYFUNCTION("GOOGLETRANSLATE(A5928,""en"",""fi"")"),"Sen huudot kaikuvat sen onton ruumiin sisällä ja nousevat esiin kauniina sävelinä vihollisten säikäyttämiseen ja torjumiseen.")</f>
        <v>Sen huudot kaikuvat sen onton ruumiin sisällä ja nousevat esiin kauniina sävelinä vihollisten säikäyttämiseen ja torjumiseen.</v>
      </c>
      <c r="C5928" s="9" t="s">
        <v>1344</v>
      </c>
    </row>
    <row r="5929" ht="33.75" customHeight="1">
      <c r="A5929" s="6" t="s">
        <v>8791</v>
      </c>
      <c r="B5929" s="6" t="str">
        <f>IFERROR(__xludf.DUMMYFUNCTION("GOOGLETRANSLATE(A5929,""en"",""fi"")"),"Se käyttää päässään olevaa imukuppia roikkuakseen puussa tai räystäällä. Se voi tuottaa seitsemän eri ääntä.")</f>
        <v>Se käyttää päässään olevaa imukuppia roikkuakseen puussa tai räystäällä. Se voi tuottaa seitsemän eri ääntä.</v>
      </c>
      <c r="C5929" s="9" t="s">
        <v>1344</v>
      </c>
    </row>
    <row r="5930" ht="33.75" customHeight="1">
      <c r="A5930" s="6" t="s">
        <v>8792</v>
      </c>
      <c r="B5930" s="6" t="str">
        <f>IFERROR(__xludf.DUMMYFUNCTION("GOOGLETRANSLATE(A5930,""en"",""fi"")"),"Chimecho saa huutonsa kaikumaan onton ruumiinsa sisällä. Kun tämä Pokémon raivostuu, sen huudot aiheuttavat ultraääniaaltoja, joilla on kyky lennättää viholliset lentoon.")</f>
        <v>Chimecho saa huutonsa kaikumaan onton ruumiinsa sisällä. Kun tämä Pokémon raivostuu, sen huudot aiheuttavat ultraääniaaltoja, joilla on kyky lennättää viholliset lentoon.</v>
      </c>
      <c r="C5930" s="9" t="s">
        <v>1344</v>
      </c>
    </row>
    <row r="5931" ht="33.75" customHeight="1">
      <c r="A5931" s="6" t="s">
        <v>8794</v>
      </c>
      <c r="B5931" s="6" t="str">
        <f>IFERROR(__xludf.DUMMYFUNCTION("GOOGLETRANSLATE(A5931,""en"",""fi"")"),"Kovassa tuulessa Chimecho itkee roikkuessaan puun oksalla tai rakennuksen räystäällä imukupin avulla päässään. Tämä Pokémon poimii marjoja pitkällä hännällään ja syö ne.")</f>
        <v>Kovassa tuulessa Chimecho itkee roikkuessaan puun oksalla tai rakennuksen räystäällä imukupin avulla päässään. Tämä Pokémon poimii marjoja pitkällä hännällään ja syö ne.</v>
      </c>
      <c r="C5931" s="9" t="s">
        <v>1344</v>
      </c>
    </row>
    <row r="5932" ht="33.75" customHeight="1">
      <c r="A5932" s="6" t="s">
        <v>8796</v>
      </c>
      <c r="B5932" s="6" t="str">
        <f>IFERROR(__xludf.DUMMYFUNCTION("GOOGLETRANSLATE(A5932,""en"",""fi"")"),"Voi lähettää riittävän voimakkaita ilmaaaltoja tyrmätäkseen itseään pidemmän saaliin. Oletukseni on, että se vahvistaa tuulen heikkoa ääntä kehossaan.")</f>
        <v>Voi lähettää riittävän voimakkaita ilmaaaltoja tyrmätäkseen itseään pidemmän saaliin. Oletukseni on, että se vahvistaa tuulen heikkoa ääntä kehossaan.</v>
      </c>
      <c r="C5932" s="9" t="s">
        <v>1344</v>
      </c>
    </row>
    <row r="5933" ht="33.75" customHeight="1">
      <c r="A5933" s="6" t="s">
        <v>8797</v>
      </c>
      <c r="B5933" s="6" t="str">
        <f>IFERROR(__xludf.DUMMYFUNCTION("GOOGLETRANSLATE(A5933,""en"",""fi"")"),"Joka kerta, kun ABSOL ilmestyy ihmisten eteen, sitä seuraa katastrofi, kuten maanjäristys tai hyökyaalto. Tämän seurauksena se tunnettiin katastrofi-POKéMONina.")</f>
        <v>Joka kerta, kun ABSOL ilmestyy ihmisten eteen, sitä seuraa katastrofi, kuten maanjäristys tai hyökyaalto. Tämän seurauksena se tunnettiin katastrofi-POKéMONina.</v>
      </c>
      <c r="C5933" s="9" t="s">
        <v>1344</v>
      </c>
    </row>
    <row r="5934" ht="33.75" customHeight="1">
      <c r="A5934" s="6" t="s">
        <v>8798</v>
      </c>
      <c r="B5934" s="6" t="str">
        <f>IFERROR(__xludf.DUMMYFUNCTION("GOOGLETRANSLATE(A5934,""en"",""fi"")"),"ABSOLilla on kyky ennustaa luonnonkatastrofien tuloa. Se elää ankarassa ja karussa vuoristoympäristössä. Tämä POKéMON laskeutuu vuorilta hyvin harvoin.")</f>
        <v>ABSOLilla on kyky ennustaa luonnonkatastrofien tuloa. Se elää ankarassa ja karussa vuoristoympäristössä. Tämä POKéMON laskeutuu vuorilta hyvin harvoin.</v>
      </c>
      <c r="C5934" s="9" t="s">
        <v>1344</v>
      </c>
    </row>
    <row r="5935" ht="33.75" customHeight="1">
      <c r="A5935" s="6" t="s">
        <v>8799</v>
      </c>
      <c r="B5935" s="6" t="str">
        <f>IFERROR(__xludf.DUMMYFUNCTION("GOOGLETRANSLATE(A5935,""en"",""fi"")"),"Se aistii tarkasti jopa hienovaraisimmat muutokset taivaalla ja maassa ennustaakseen luonnonkatastrofeja. Se on pitkäikäinen POKéMON, jonka elinikä on 100 vuotta.")</f>
        <v>Se aistii tarkasti jopa hienovaraisimmat muutokset taivaalla ja maassa ennustaakseen luonnonkatastrofeja. Se on pitkäikäinen POKéMON, jonka elinikä on 100 vuotta.</v>
      </c>
      <c r="C5935" s="9" t="s">
        <v>1344</v>
      </c>
    </row>
    <row r="5936" ht="33.75" customHeight="1">
      <c r="A5936" s="6" t="s">
        <v>8800</v>
      </c>
      <c r="B5936" s="6" t="str">
        <f>IFERROR(__xludf.DUMMYFUNCTION("GOOGLETRANSLATE(A5936,""en"",""fi"")"),"Se ilmestyy, kun se aistii uhkaavan luonnonkatastrofin. Tämän seurauksena sitä on virheellisesti pidetty tuhon tuojana.")</f>
        <v>Se ilmestyy, kun se aistii uhkaavan luonnonkatastrofin. Tämän seurauksena sitä on virheellisesti pidetty tuhon tuojana.</v>
      </c>
      <c r="C5936" s="9" t="s">
        <v>1344</v>
      </c>
    </row>
    <row r="5937" ht="33.75" customHeight="1">
      <c r="A5937" s="6" t="s">
        <v>8801</v>
      </c>
      <c r="B5937" s="6" t="str">
        <f>IFERROR(__xludf.DUMMYFUNCTION("GOOGLETRANSLATE(A5937,""en"",""fi"")"),"Se aistii tulevat katastrofit ja ilmestyy ihmisten eteen vain varoittaakseen heitä uhkaavasta vaarasta.")</f>
        <v>Se aistii tulevat katastrofit ja ilmestyy ihmisten eteen vain varoittaakseen heitä uhkaavasta vaarasta.</v>
      </c>
      <c r="C5937" s="9" t="s">
        <v>1344</v>
      </c>
    </row>
    <row r="5938" ht="33.75" customHeight="1">
      <c r="A5938" s="6" t="s">
        <v>8802</v>
      </c>
      <c r="B5938" s="6" t="str">
        <f>IFERROR(__xludf.DUMMYFUNCTION("GOOGLETRANSLATE(A5938,""en"",""fi"")"),"Huhujen mukaan se aisti katastrofeja torvellaan, joten siitä tuli maalitaulu. Se pakeni syvälle vuorille.")</f>
        <v>Huhujen mukaan se aisti katastrofeja torvellaan, joten siitä tuli maalitaulu. Se pakeni syvälle vuorille.</v>
      </c>
      <c r="C5938" s="9" t="s">
        <v>1344</v>
      </c>
    </row>
    <row r="5939" ht="33.75" customHeight="1">
      <c r="A5939" s="6" t="s">
        <v>8803</v>
      </c>
      <c r="B5939" s="6" t="str">
        <f>IFERROR(__xludf.DUMMYFUNCTION("GOOGLETRANSLATE(A5939,""en"",""fi"")"),"Sillä on kyky ennustaa luonnonkatastrofeja. Sen elinikä on yli sata vuotta.")</f>
        <v>Sillä on kyky ennustaa luonnonkatastrofeja. Sen elinikä on yli sata vuotta.</v>
      </c>
      <c r="C5939" s="9" t="s">
        <v>1344</v>
      </c>
    </row>
    <row r="5940" ht="33.75" customHeight="1">
      <c r="A5940" s="6" t="s">
        <v>8804</v>
      </c>
      <c r="B5940" s="6" t="str">
        <f>IFERROR(__xludf.DUMMYFUNCTION("GOOGLETRANSLATE(A5940,""en"",""fi"")"),"Se ilmestyy syvältä vuorista varoittamaan ihmisiä tulevista katastrofeista, jotka se on aistinut torvellaan.")</f>
        <v>Se ilmestyy syvältä vuorista varoittamaan ihmisiä tulevista katastrofeista, jotka se on aistinut torvellaan.</v>
      </c>
      <c r="C5940" s="9" t="s">
        <v>1344</v>
      </c>
    </row>
    <row r="5941" ht="33.75" customHeight="1">
      <c r="A5941" s="6" t="s">
        <v>8805</v>
      </c>
      <c r="B5941" s="6" t="str">
        <f>IFERROR(__xludf.DUMMYFUNCTION("GOOGLETRANSLATE(A5941,""en"",""fi"")"),"Se ilmestyy, kun se aistii uhkaavan luonnonkatastrofin. Tämän seurauksena sitä on virheellisesti pidetty tuhon tuojana.")</f>
        <v>Se ilmestyy, kun se aistii uhkaavan luonnonkatastrofin. Tämän seurauksena sitä on virheellisesti pidetty tuhon tuojana.</v>
      </c>
      <c r="C5941" s="9" t="s">
        <v>1344</v>
      </c>
    </row>
    <row r="5942" ht="33.75" customHeight="1">
      <c r="A5942" s="6" t="s">
        <v>8806</v>
      </c>
      <c r="B5942" s="6" t="str">
        <f>IFERROR(__xludf.DUMMYFUNCTION("GOOGLETRANSLATE(A5942,""en"",""fi"")"),"Joka kerta, kun Absol ilmestyy ihmisten eteen, sitä seuraa katastrofi, kuten maanjäristys tai hyökyaalto. Tämän seurauksena siitä tuli katastrofi-Pokémon.")</f>
        <v>Joka kerta, kun Absol ilmestyy ihmisten eteen, sitä seuraa katastrofi, kuten maanjäristys tai hyökyaalto. Tämän seurauksena siitä tuli katastrofi-Pokémon.</v>
      </c>
      <c r="C5942" s="9" t="s">
        <v>1344</v>
      </c>
    </row>
    <row r="5943" ht="33.75" customHeight="1">
      <c r="A5943" s="6" t="s">
        <v>8807</v>
      </c>
      <c r="B5943" s="6" t="str">
        <f>IFERROR(__xludf.DUMMYFUNCTION("GOOGLETRANSLATE(A5943,""en"",""fi"")"),"Absolilla on kyky ennustaa luonnonkatastrofien tuloa. Se elää ankarassa ja karussa vuoristoympäristössä. Tämä Pokémon laskeutuu vuorilta hyvin harvoin.")</f>
        <v>Absolilla on kyky ennustaa luonnonkatastrofien tuloa. Se elää ankarassa ja karussa vuoristoympäristössä. Tämä Pokémon laskeutuu vuorilta hyvin harvoin.</v>
      </c>
      <c r="C5943" s="9" t="s">
        <v>1344</v>
      </c>
    </row>
    <row r="5944" ht="33.75" customHeight="1">
      <c r="A5944" s="6" t="s">
        <v>8808</v>
      </c>
      <c r="B5944" s="6" t="str">
        <f>IFERROR(__xludf.DUMMYFUNCTION("GOOGLETRANSLATE(A5944,""en"",""fi"")"),"Kauan sitten levitettiin siitä taikauskoa, jonka mukaan se toi tuhoa. Tämä ruokki vihaa sitä kohtaan, ja se ajettiin syvälle vuorille.")</f>
        <v>Kauan sitten levitettiin siitä taikauskoa, jonka mukaan se toi tuhoa. Tämä ruokki vihaa sitä kohtaan, ja se ajettiin syvälle vuorille.</v>
      </c>
      <c r="C5944" s="9" t="s">
        <v>1344</v>
      </c>
    </row>
    <row r="5945" ht="33.75" customHeight="1">
      <c r="A5945" s="6" t="s">
        <v>8809</v>
      </c>
      <c r="B5945" s="6" t="str">
        <f>IFERROR(__xludf.DUMMYFUNCTION("GOOGLETRANSLATE(A5945,""en"",""fi"")"),"Vaikka sen sanotaan tuovan katastrofia, todellisuudessa tällä Pokémonilla on rauhallinen luonne ja se varoittaa ihmisiä uhkaavista kriiseistä.")</f>
        <v>Vaikka sen sanotaan tuovan katastrofia, todellisuudessa tällä Pokémonilla on rauhallinen luonne ja se varoittaa ihmisiä uhkaavista kriiseistä.</v>
      </c>
      <c r="C5945" s="9" t="s">
        <v>1344</v>
      </c>
    </row>
    <row r="5946" ht="33.75" customHeight="1">
      <c r="A5946" s="6" t="s">
        <v>8810</v>
      </c>
      <c r="B5946" s="6" t="str">
        <f>IFERROR(__xludf.DUMMYFUNCTION("GOOGLETRANSLATE(A5946,""en"",""fi"")"),"Absolin ainoa epäonnentekijä on sen ulkonäkö. Se suojelee peltoja ja varoittaa ihmisiä onnettomuudesta, joten siitä pitäisi olla kiitollinen.")</f>
        <v>Absolin ainoa epäonnentekijä on sen ulkonäkö. Se suojelee peltoja ja varoittaa ihmisiä onnettomuudesta, joten siitä pitäisi olla kiitollinen.</v>
      </c>
      <c r="C5946" s="9" t="s">
        <v>1344</v>
      </c>
    </row>
    <row r="5947" ht="33.75" customHeight="1">
      <c r="A5947" s="6" t="s">
        <v>8812</v>
      </c>
      <c r="B5947" s="6" t="str">
        <f>IFERROR(__xludf.DUMMYFUNCTION("GOOGLETRANSLATE(A5947,""en"",""fi"")"),"Vanhukset kutsuvat sitä katastrofi-Pokémoniksi ja inhoavat sitä, mutta kiinnostus sen kykyyn ennustaa katastrofeja on kasvussa.")</f>
        <v>Vanhukset kutsuvat sitä katastrofi-Pokémoniksi ja inhoavat sitä, mutta kiinnostus sen kykyyn ennustaa katastrofeja on kasvussa.</v>
      </c>
      <c r="C5947" s="9" t="s">
        <v>1344</v>
      </c>
    </row>
    <row r="5948" ht="33.75" customHeight="1">
      <c r="A5948" s="6" t="s">
        <v>8813</v>
      </c>
      <c r="B5948" s="6" t="str">
        <f>IFERROR(__xludf.DUMMYFUNCTION("GOOGLETRANSLATE(A5948,""en"",""fi"")"),"Tuulen lailla nopea Absol kiitää peltojen ja vuorten halki. Sen kaareva, jousenmuotoinen sarvi on erittäin herkkä luonnonkatastrofien varoitusmerkeille.")</f>
        <v>Tuulen lailla nopea Absol kiitää peltojen ja vuorten halki. Sen kaareva, jousenmuotoinen sarvi on erittäin herkkä luonnonkatastrofien varoitusmerkeille.</v>
      </c>
      <c r="C5948" s="9" t="s">
        <v>1344</v>
      </c>
    </row>
    <row r="5949" ht="33.75" customHeight="1">
      <c r="A5949" s="6" t="s">
        <v>8815</v>
      </c>
      <c r="B5949" s="6" t="str">
        <f>IFERROR(__xludf.DUMMYFUNCTION("GOOGLETRANSLATE(A5949,""en"",""fi"")"),"Koska tämä Pokémon pystyy havaitsemaan vaaran, ihmiset luulivat Absolia tuhon tuojaksi.")</f>
        <v>Koska tämä Pokémon pystyy havaitsemaan vaaran, ihmiset luulivat Absolia tuhon tuojaksi.</v>
      </c>
      <c r="C5949" s="9" t="s">
        <v>1344</v>
      </c>
    </row>
    <row r="5950" ht="33.75" customHeight="1">
      <c r="A5950" s="6" t="s">
        <v>8816</v>
      </c>
      <c r="B5950" s="6" t="str">
        <f>IFERROR(__xludf.DUMMYFUNCTION("GOOGLETRANSLATE(A5950,""en"",""fi"")"),"WYNAUTin voi aina nähdä leveä, onnellinen hymy kasvoillaan. Katso sen häntää nähdäksesi, onko se vihainen. Vihaisena tämä POKéMON läimäyttää maata hännällään.")</f>
        <v>WYNAUTin voi aina nähdä leveä, onnellinen hymy kasvoillaan. Katso sen häntää nähdäksesi, onko se vihainen. Vihaisena tämä POKéMON läimäyttää maata hännällään.</v>
      </c>
      <c r="C5950" s="9" t="s">
        <v>1344</v>
      </c>
    </row>
    <row r="5951" ht="33.75" customHeight="1">
      <c r="A5951" s="6" t="s">
        <v>8818</v>
      </c>
      <c r="B5951" s="6" t="str">
        <f>IFERROR(__xludf.DUMMYFUNCTION("GOOGLETRANSLATE(A5951,""en"",""fi"")"),"WYNAUTit kokoontuvat kuutamoöinä pelaamaan puristautumalla toisiaan vasten. Puristuksen seurauksena nämä POKéMONit saavat kestävyyttä ja ne koulutetaan tekemään voimakkaita vastahyökkäyksiä.")</f>
        <v>WYNAUTit kokoontuvat kuutamoöinä pelaamaan puristautumalla toisiaan vasten. Puristuksen seurauksena nämä POKéMONit saavat kestävyyttä ja ne koulutetaan tekemään voimakkaita vastahyökkäyksiä.</v>
      </c>
      <c r="C5951" s="9" t="s">
        <v>1344</v>
      </c>
    </row>
    <row r="5952" ht="33.75" customHeight="1">
      <c r="A5952" s="6" t="s">
        <v>8820</v>
      </c>
      <c r="B5952" s="6" t="str">
        <f>IFERROR(__xludf.DUMMYFUNCTION("GOOGLETRANSLATE(A5952,""en"",""fi"")"),"WYNAUT rakastaa syödä makeita hedelmiä. Se poimii taitavasti hedelmiä korvamaisilla käsillään. Tuoksu houkuttelee niitä hedelmätarhoihin.")</f>
        <v>WYNAUT rakastaa syödä makeita hedelmiä. Se poimii taitavasti hedelmiä korvamaisilla käsillään. Tuoksu houkuttelee niitä hedelmätarhoihin.</v>
      </c>
      <c r="C5952" s="9" t="s">
        <v>1344</v>
      </c>
    </row>
    <row r="5953" ht="33.75" customHeight="1">
      <c r="A5953" s="6" t="s">
        <v>8821</v>
      </c>
      <c r="B5953" s="6" t="str">
        <f>IFERROR(__xludf.DUMMYFUNCTION("GOOGLETRANSLATE(A5953,""en"",""fi"")"),"Se liikkuu yleensä laumassa muiden kanssa. Ne ryhmittyvät tiiviiksi ryhmiksi nukkumaan luolassa.")</f>
        <v>Se liikkuu yleensä laumassa muiden kanssa. Ne ryhmittyvät tiiviiksi ryhmiksi nukkumaan luolassa.</v>
      </c>
      <c r="C5953" s="9" t="s">
        <v>1344</v>
      </c>
    </row>
    <row r="5954" ht="33.75" customHeight="1">
      <c r="A5954" s="6" t="s">
        <v>8822</v>
      </c>
      <c r="B5954" s="6" t="str">
        <f>IFERROR(__xludf.DUMMYFUNCTION("GOOGLETRANSLATE(A5954,""en"",""fi"")"),"Se vahvistuu työntymällä joukolla muita vasten. Se rakastaa makeiden hedelmien syömistä.")</f>
        <v>Se vahvistuu työntymällä joukolla muita vasten. Se rakastaa makeiden hedelmien syömistä.</v>
      </c>
      <c r="C5954" s="9" t="s">
        <v>1344</v>
      </c>
    </row>
    <row r="5955" ht="33.75" customHeight="1">
      <c r="A5955" s="6" t="s">
        <v>8824</v>
      </c>
      <c r="B5955" s="6" t="str">
        <f>IFERROR(__xludf.DUMMYFUNCTION("GOOGLETRANSLATE(A5955,""en"",""fi"")"),"Se liikkuu yleensä laumassa. Yksilöt painautuvat toisiaan vasten kovettuakseen mielialaansa.")</f>
        <v>Se liikkuu yleensä laumassa. Yksilöt painautuvat toisiaan vasten kovettuakseen mielialaansa.</v>
      </c>
      <c r="C5955" s="9" t="s">
        <v>1344</v>
      </c>
    </row>
    <row r="5956" ht="33.75" customHeight="1">
      <c r="A5956" s="6" t="s">
        <v>8826</v>
      </c>
      <c r="B5956" s="6" t="str">
        <f>IFERROR(__xludf.DUMMYFUNCTION("GOOGLETRANSLATE(A5956,""en"",""fi"")"),"Wynautilla voi aina nähdä leveän, iloisen hymyn kasvoillaan. Katso sen häntää nähdäksesi, onko se vihainen. Vihaisena tämä Pokémon läimäyttää maata hännällään.")</f>
        <v>Wynautilla voi aina nähdä leveän, iloisen hymyn kasvoillaan. Katso sen häntää nähdäksesi, onko se vihainen. Vihaisena tämä Pokémon läimäyttää maata hännällään.</v>
      </c>
      <c r="C5956" s="9" t="s">
        <v>1344</v>
      </c>
    </row>
    <row r="5957" ht="33.75" customHeight="1">
      <c r="A5957" s="6" t="s">
        <v>8828</v>
      </c>
      <c r="B5957" s="6" t="str">
        <f>IFERROR(__xludf.DUMMYFUNCTION("GOOGLETRANSLATE(A5957,""en"",""fi"")"),"Wynautit kokoontuvat kuutamoöinä leikkimään puristautumalla toisiaan vasten. Puristuksen seurauksena tämä Pokémon saa kestävyyttä ja koulutetaan tekemään voimakkaita vastahyökkäyksiä.")</f>
        <v>Wynautit kokoontuvat kuutamoöinä leikkimään puristautumalla toisiaan vasten. Puristuksen seurauksena tämä Pokémon saa kestävyyttä ja koulutetaan tekemään voimakkaita vastahyökkäyksiä.</v>
      </c>
      <c r="C5957" s="9" t="s">
        <v>1344</v>
      </c>
    </row>
    <row r="5958" ht="33.75" customHeight="1">
      <c r="A5958" s="6" t="s">
        <v>8830</v>
      </c>
      <c r="B5958" s="6" t="str">
        <f>IFERROR(__xludf.DUMMYFUNCTION("GOOGLETRANSLATE(A5958,""en"",""fi"")"),"SNORUNTIT elävät runsaslumisilla alueilla. Lunta vailla olevina vuodenaikoina, kuten keväällä ja kesällä, nämä POKéMONit livahtavat hiljaa elämään tippukivien ja tippukivien sekaan syvälle luoliin.")</f>
        <v>SNORUNTIT elävät runsaslumisilla alueilla. Lunta vailla olevina vuodenaikoina, kuten keväällä ja kesällä, nämä POKéMONit livahtavat hiljaa elämään tippukivien ja tippukivien sekaan syvälle luoliin.</v>
      </c>
      <c r="C5958" s="9" t="s">
        <v>1344</v>
      </c>
    </row>
    <row r="5959" ht="33.75" customHeight="1">
      <c r="A5959" s="6" t="s">
        <v>8831</v>
      </c>
      <c r="B5959" s="6" t="str">
        <f>IFERROR(__xludf.DUMMYFUNCTION("GOOGLETRANSLATE(A5959,""en"",""fi"")"),"SNORUNT selviää syömällä vain lunta ja jäätä. Vanhan kansanperinteen mukaan tämän POKéMONin vierailema talo kukoistaa varmasti useiden sukupolvien ajan.")</f>
        <v>SNORUNT selviää syömällä vain lunta ja jäätä. Vanhan kansanperinteen mukaan tämän POKéMONin vierailema talo kukoistaa varmasti useiden sukupolvien ajan.</v>
      </c>
      <c r="C5959" s="9" t="s">
        <v>1344</v>
      </c>
    </row>
    <row r="5960" ht="33.75" customHeight="1">
      <c r="A5960" s="6" t="s">
        <v>8833</v>
      </c>
      <c r="B5960" s="6" t="str">
        <f>IFERROR(__xludf.DUMMYFUNCTION("GOOGLETRANSLATE(A5960,""en"",""fi"")"),"Ne liikkuvat yleensä noin viiden yksilön ryhmissä. Lumisilla alueilla sanotaan, että kun niitä nähdään myöhään yöllä, lumisade saapuu aamuun mennessä.")</f>
        <v>Ne liikkuvat yleensä noin viiden yksilön ryhmissä. Lumisilla alueilla sanotaan, että kun niitä nähdään myöhään yöllä, lumisade saapuu aamuun mennessä.</v>
      </c>
      <c r="C5960" s="9" t="s">
        <v>1344</v>
      </c>
    </row>
    <row r="5961" ht="33.75" customHeight="1">
      <c r="A5961" s="6" t="s">
        <v>8835</v>
      </c>
      <c r="B5961" s="6" t="str">
        <f>IFERROR(__xludf.DUMMYFUNCTION("GOOGLETRANSLATE(A5961,""en"",""fi"")"),"Sanotaan, että koti, jossa SNORUNT vierailee, menestyy. Se kestää jopa -73 celsiusastetta.")</f>
        <v>Sanotaan, että koti, jossa SNORUNT vierailee, menestyy. Se kestää jopa -73 celsiusastetta.</v>
      </c>
      <c r="C5961" s="9" t="s">
        <v>1344</v>
      </c>
    </row>
    <row r="5962" ht="33.75" customHeight="1">
      <c r="A5962" s="6" t="s">
        <v>8836</v>
      </c>
      <c r="B5962" s="6" t="str">
        <f>IFERROR(__xludf.DUMMYFUNCTION("GOOGLETRANSLATE(A5962,""en"",""fi"")"),"Lumimaassa tiettyjen kansanperinteiden mukaan talo menestyy, jos siellä asuu SNORUNT.")</f>
        <v>Lumimaassa tiettyjen kansanperinteiden mukaan talo menestyy, jos siellä asuu SNORUNT.</v>
      </c>
      <c r="C5962" s="9" t="s">
        <v>1344</v>
      </c>
    </row>
    <row r="5963" ht="33.75" customHeight="1">
      <c r="A5963" s="6" t="s">
        <v>8838</v>
      </c>
      <c r="B5963" s="6" t="str">
        <f>IFERROR(__xludf.DUMMYFUNCTION("GOOGLETRANSLATE(A5963,""en"",""fi"")"),"Sanotaan, että useita SNORUNT-eläimiä kokoontuu jättimäisten lehtien alle ja elää yhdessä harmoniassa.")</f>
        <v>Sanotaan, että useita SNORUNT-eläimiä kokoontuu jättimäisten lehtien alle ja elää yhdessä harmoniassa.</v>
      </c>
      <c r="C5963" s="9" t="s">
        <v>1344</v>
      </c>
    </row>
    <row r="5964" ht="33.75" customHeight="1">
      <c r="A5964" s="6" t="s">
        <v>8840</v>
      </c>
      <c r="B5964" s="6" t="str">
        <f>IFERROR(__xludf.DUMMYFUNCTION("GOOGLETRANSLATE(A5964,""en"",""fi"")"),"Sanotaan, että jos niitä nähdään keskiyöllä, ne aiheuttavat rankkaa lumisadetta. Ne syövät lunta ja jäätä selviytyäkseen.")</f>
        <v>Sanotaan, että jos niitä nähdään keskiyöllä, ne aiheuttavat rankkaa lumisadetta. Ne syövät lunta ja jäätä selviytyäkseen.</v>
      </c>
      <c r="C5964" s="9" t="s">
        <v>1344</v>
      </c>
    </row>
    <row r="5965" ht="33.75" customHeight="1">
      <c r="A5965" s="6" t="s">
        <v>8841</v>
      </c>
      <c r="B5965" s="6" t="str">
        <f>IFERROR(__xludf.DUMMYFUNCTION("GOOGLETRANSLATE(A5965,""en"",""fi"")"),"Sanotaan, että useita Snorunt-suvun asukkaita kokoontuu jättimäisten lehtien alle ja elää yhdessä harmoniassa.")</f>
        <v>Sanotaan, että useita Snorunt-suvun asukkaita kokoontuu jättimäisten lehtien alle ja elää yhdessä harmoniassa.</v>
      </c>
      <c r="C5965" s="9" t="s">
        <v>1344</v>
      </c>
    </row>
    <row r="5966" ht="33.75" customHeight="1">
      <c r="A5966" s="6" t="s">
        <v>8843</v>
      </c>
      <c r="B5966" s="6" t="str">
        <f>IFERROR(__xludf.DUMMYFUNCTION("GOOGLETRANSLATE(A5966,""en"",""fi"")"),"Lumimaassa tiettyjen kansanperinteiden mukaan talo menestyy, jos siellä asuu Snorunt.")</f>
        <v>Lumimaassa tiettyjen kansanperinteiden mukaan talo menestyy, jos siellä asuu Snorunt.</v>
      </c>
      <c r="C5966" s="9" t="s">
        <v>1344</v>
      </c>
    </row>
    <row r="5967" ht="33.75" customHeight="1">
      <c r="A5967" s="6" t="s">
        <v>8844</v>
      </c>
      <c r="B5967" s="6" t="str">
        <f>IFERROR(__xludf.DUMMYFUNCTION("GOOGLETRANSLATE(A5967,""en"",""fi"")"),"Snoruntit elävät alueilla, joilla sataa paljon lunta. Luntamattomina vuodenaikoina, kuten keväällä ja kesällä, tämä Pokémon livahtaa hiljaa elämään tippukivien ja tippukivien sekaan syvälle luoliin.")</f>
        <v>Snoruntit elävät alueilla, joilla sataa paljon lunta. Luntamattomina vuodenaikoina, kuten keväällä ja kesällä, tämä Pokémon livahtaa hiljaa elämään tippukivien ja tippukivien sekaan syvälle luoliin.</v>
      </c>
      <c r="C5967" s="9" t="s">
        <v>1344</v>
      </c>
    </row>
    <row r="5968" ht="33.75" customHeight="1">
      <c r="A5968" s="6" t="s">
        <v>8846</v>
      </c>
      <c r="B5968" s="6" t="str">
        <f>IFERROR(__xludf.DUMMYFUNCTION("GOOGLETRANSLATE(A5968,""en"",""fi"")"),"Snorunt selviää syömällä vain lunta ja jäätä. Vanhan kansanperinteen mukaan tämän Pokémonin vierailema talo kukoistaa varmasti useiden sukupolvien ajan.")</f>
        <v>Snorunt selviää syömällä vain lunta ja jäätä. Vanhan kansanperinteen mukaan tämän Pokémonin vierailema talo kukoistaa varmasti useiden sukupolvien ajan.</v>
      </c>
      <c r="C5968" s="9" t="s">
        <v>1344</v>
      </c>
    </row>
    <row r="5969" ht="33.75" customHeight="1">
      <c r="A5969" s="6" t="s">
        <v>8847</v>
      </c>
      <c r="B5969" s="6" t="str">
        <f>IFERROR(__xludf.DUMMYFUNCTION("GOOGLETRANSLATE(A5969,""en"",""fi"")"),"Niiden määrä näyttää kasvaneen nopeasti Alolassa. Perinteen mukaan talot, joissa Snoruntit asuvat, tulevat olemaan vauraita sukupolvien ajan.")</f>
        <v>Niiden määrä näyttää kasvaneen nopeasti Alolassa. Perinteen mukaan talot, joissa Snoruntit asuvat, tulevat olemaan vauraita sukupolvien ajan.</v>
      </c>
      <c r="C5969" s="9" t="s">
        <v>1344</v>
      </c>
    </row>
    <row r="5970" ht="33.75" customHeight="1">
      <c r="A5970" s="6" t="s">
        <v>8849</v>
      </c>
      <c r="B5970" s="6" t="str">
        <f>IFERROR(__xludf.DUMMYFUNCTION("GOOGLETRANSLATE(A5970,""en"",""fi"")"),"Se selviää vain kylmillä alueilla. Se pomppii iloisesti ympäriinsä jopa -73 celsiusasteen pakkasessa.")</f>
        <v>Se selviää vain kylmillä alueilla. Se pomppii iloisesti ympäriinsä jopa -73 celsiusasteen pakkasessa.</v>
      </c>
      <c r="C5970" s="9" t="s">
        <v>1344</v>
      </c>
    </row>
    <row r="5971" ht="33.75" customHeight="1">
      <c r="A5971" s="6" t="s">
        <v>8851</v>
      </c>
      <c r="B5971" s="6" t="str">
        <f>IFERROR(__xludf.DUMMYFUNCTION("GOOGLETRANSLATE(A5971,""en"",""fi"")"),"Se syö pääasiassa jäätä ja lunta. Se pystyy selviytymään vain rajoitetussa määrässä paikkoja lämpimällä Alolan alueella.")</f>
        <v>Se syö pääasiassa jäätä ja lunta. Se pystyy selviytymään vain rajoitetussa määrässä paikkoja lämpimällä Alolan alueella.</v>
      </c>
      <c r="C5971" s="9" t="s">
        <v>1344</v>
      </c>
    </row>
    <row r="5972" ht="33.75" customHeight="1">
      <c r="A5972" s="6" t="s">
        <v>8853</v>
      </c>
      <c r="B5972" s="6" t="str">
        <f>IFERROR(__xludf.DUMMYFUNCTION("GOOGLETRANSLATE(A5972,""en"",""fi"")"),"Kylmiltä alueilta kotoisin olevat rikkaat ihmiset jakavat lapsuusmuistoja Snoruntin kanssa leikkimisestä.")</f>
        <v>Kylmiltä alueilta kotoisin olevat rikkaat ihmiset jakavat lapsuusmuistoja Snoruntin kanssa leikkimisestä.</v>
      </c>
      <c r="C5972" s="9" t="s">
        <v>1344</v>
      </c>
    </row>
    <row r="5973" ht="33.75" customHeight="1">
      <c r="A5973" s="6" t="s">
        <v>8854</v>
      </c>
      <c r="B5973" s="6" t="str">
        <f>IFERROR(__xludf.DUMMYFUNCTION("GOOGLETRANSLATE(A5973,""en"",""fi"")"),"Se voi selviytyä vain kylmillä alueilla. Se pomppii iloisesti ympäriinsä jopa −73 celsiusasteen kylmyydessä.")</f>
        <v>Se voi selviytyä vain kylmillä alueilla. Se pomppii iloisesti ympäriinsä jopa −73 celsiusasteen kylmyydessä.</v>
      </c>
      <c r="C5973" s="9" t="s">
        <v>1344</v>
      </c>
    </row>
    <row r="5974" ht="33.75" customHeight="1">
      <c r="A5974" s="6" t="s">
        <v>8856</v>
      </c>
      <c r="B5974" s="6" t="str">
        <f>IFERROR(__xludf.DUMMYFUNCTION("GOOGLETRANSLATE(A5974,""en"",""fi"")"),"Saapuu ensilumen mukana. Snoruntin vierailemien kotien uskotaan menestyvän useiden sukupolvien ajan. Perinteen mukaan joku saattaa tarjota puhtaasta vedestä tehdyn jääpalan etuovelle.")</f>
        <v>Saapuu ensilumen mukana. Snoruntin vierailemien kotien uskotaan menestyvän useiden sukupolvien ajan. Perinteen mukaan joku saattaa tarjota puhtaasta vedestä tehdyn jääpalan etuovelle.</v>
      </c>
      <c r="C5974" s="9" t="s">
        <v>1344</v>
      </c>
    </row>
    <row r="5975" ht="33.75" customHeight="1">
      <c r="A5975" s="6" t="s">
        <v>8857</v>
      </c>
      <c r="B5975" s="6" t="str">
        <f>IFERROR(__xludf.DUMMYFUNCTION("GOOGLETRANSLATE(A5975,""en"",""fi"")"),"GLALIEN ruumis on tehty kivestä, jonka se kovettaa jääpanssarilla. Tällä POKéMONilla on kyky jäädyttää ilmakehän kosteutta mihin tahansa haluamaansa muotoon.")</f>
        <v>GLALIEN ruumis on tehty kivestä, jonka se kovettaa jääpanssarilla. Tällä POKéMONilla on kyky jäädyttää ilmakehän kosteutta mihin tahansa haluamaansa muotoon.</v>
      </c>
      <c r="C5975" s="9" t="s">
        <v>1344</v>
      </c>
    </row>
    <row r="5976" ht="33.75" customHeight="1">
      <c r="A5976" s="6" t="s">
        <v>8858</v>
      </c>
      <c r="B5976" s="6" t="str">
        <f>IFERROR(__xludf.DUMMYFUNCTION("GOOGLETRANSLATE(A5976,""en"",""fi"")"),"GLALIELLA on kyky hallita jäätä vapaasti. Se voi esimerkiksi jäädyttää vihollisensa välittömästi. Kun se on lamaannuttanut vihollisensa jäähän, tämä POKéMON nauttii sen syömisestä kaikessa rauhassa.")</f>
        <v>GLALIELLA on kyky hallita jäätä vapaasti. Se voi esimerkiksi jäädyttää vihollisensa välittömästi. Kun se on lamaannuttanut vihollisensa jäähän, tämä POKéMON nauttii sen syömisestä kaikessa rauhassa.</v>
      </c>
      <c r="C5976" s="9" t="s">
        <v>1344</v>
      </c>
    </row>
    <row r="5977" ht="33.75" customHeight="1">
      <c r="A5977" s="6" t="s">
        <v>8860</v>
      </c>
      <c r="B5977" s="6" t="str">
        <f>IFERROR(__xludf.DUMMYFUNCTION("GOOGLETRANSLATE(A5977,""en"",""fi"")"),"GLALIE-jäätiköllä on kyky jäädyttää ilmakehän kosteus välittömästi. Sen ympärille muodostuu häikäisevä timantin kaltaisten jääkiteiden pilvi.")</f>
        <v>GLALIE-jäätiköllä on kyky jäädyttää ilmakehän kosteus välittömästi. Sen ympärille muodostuu häikäisevä timantin kaltaisten jääkiteiden pilvi.</v>
      </c>
      <c r="C5977" s="9" t="s">
        <v>1344</v>
      </c>
    </row>
    <row r="5978" ht="33.75" customHeight="1">
      <c r="A5978" s="6" t="s">
        <v>8861</v>
      </c>
      <c r="B5978" s="6" t="str">
        <f>IFERROR(__xludf.DUMMYFUNCTION("GOOGLETRANSLATE(A5978,""en"",""fi"")"),"Siinä on jääkerros, joka ei sula edes tulessa. Se voi jäädyttää ilmakehän kosteuden välittömästi.")</f>
        <v>Siinä on jääkerros, joka ei sula edes tulessa. Se voi jäädyttää ilmakehän kosteuden välittömästi.</v>
      </c>
      <c r="C5978" s="9" t="s">
        <v>1344</v>
      </c>
    </row>
    <row r="5979" ht="33.75" customHeight="1">
      <c r="A5979" s="6" t="s">
        <v>8862</v>
      </c>
      <c r="B5979" s="6" t="str">
        <f>IFERROR(__xludf.DUMMYFUNCTION("GOOGLETRANSLATE(A5979,""en"",""fi"")"),"Suojautuakseen se verhoaa ruumiinsa jääpanssariin, joka on tehty jäädyttämällä ilman kosteutta.")</f>
        <v>Suojautuakseen se verhoaa ruumiinsa jääpanssariin, joka on tehty jäädyttämällä ilman kosteutta.</v>
      </c>
      <c r="C5979" s="9" t="s">
        <v>1344</v>
      </c>
    </row>
    <row r="5980" ht="33.75" customHeight="1">
      <c r="A5980" s="6" t="s">
        <v>8863</v>
      </c>
      <c r="B5980" s="6" t="str">
        <f>IFERROR(__xludf.DUMMYFUNCTION("GOOGLETRANSLATE(A5980,""en"",""fi"")"),"Se estää saalista pakenemasta jäädyttämällä ilman kosteuden välittömästi.")</f>
        <v>Se estää saalista pakenemasta jäädyttämällä ilman kosteuden välittömästi.</v>
      </c>
      <c r="C5980" s="9" t="s">
        <v>1344</v>
      </c>
    </row>
    <row r="5981" ht="33.75" customHeight="1">
      <c r="A5981" s="6" t="s">
        <v>8864</v>
      </c>
      <c r="B5981" s="6" t="str">
        <f>IFERROR(__xludf.DUMMYFUNCTION("GOOGLETRANSLATE(A5981,""en"",""fi"")"),"Se voi jäädyttää ilmakehän kosteuden välittömästi. Se käyttää tätä voimaa vihollistensa jäädyttämiseen.")</f>
        <v>Se voi jäädyttää ilmakehän kosteuden välittömästi. Se käyttää tätä voimaa vihollistensa jäädyttämiseen.</v>
      </c>
      <c r="C5981" s="9" t="s">
        <v>1344</v>
      </c>
    </row>
    <row r="5982" ht="33.75" customHeight="1">
      <c r="A5982" s="6" t="s">
        <v>8865</v>
      </c>
      <c r="B5982" s="6" t="str">
        <f>IFERROR(__xludf.DUMMYFUNCTION("GOOGLETRANSLATE(A5982,""en"",""fi"")"),"Suojautuakseen se verhosi ruumiinsa jääpanssariin, joka oli tehty jäädyttämällä ilman kosteutta.")</f>
        <v>Suojautuakseen se verhosi ruumiinsa jääpanssariin, joka oli tehty jäädyttämällä ilman kosteutta.</v>
      </c>
      <c r="C5982" s="9" t="s">
        <v>1344</v>
      </c>
    </row>
    <row r="5983" ht="33.75" customHeight="1">
      <c r="A5983" s="6" t="s">
        <v>8866</v>
      </c>
      <c r="B5983" s="6" t="str">
        <f>IFERROR(__xludf.DUMMYFUNCTION("GOOGLETRANSLATE(A5983,""en"",""fi"")"),"Glalien ruumis on tehty kivestä, jonka se kovettaa jääpanssarilla. Tällä Pokémonilla on kyky jäädyttää ilmakehän kosteutta haluamaansa muotoon.")</f>
        <v>Glalien ruumis on tehty kivestä, jonka se kovettaa jääpanssarilla. Tällä Pokémonilla on kyky jäädyttää ilmakehän kosteutta haluamaansa muotoon.</v>
      </c>
      <c r="C5983" s="9" t="s">
        <v>1344</v>
      </c>
    </row>
    <row r="5984" ht="33.75" customHeight="1">
      <c r="A5984" s="6" t="s">
        <v>8868</v>
      </c>
      <c r="B5984" s="6" t="str">
        <f>IFERROR(__xludf.DUMMYFUNCTION("GOOGLETRANSLATE(A5984,""en"",""fi"")"),"Glaliella on kyky hallita jäätä vapaasti. Se voi esimerkiksi jäädyttää saaliinsa välittömästi kiinteäksi. Jään sisään lamautettuaan saaliinsa tämä Pokémon nauttii sen syömisestä rauhassa.")</f>
        <v>Glaliella on kyky hallita jäätä vapaasti. Se voi esimerkiksi jäädyttää saaliinsa välittömästi kiinteäksi. Jään sisään lamautettuaan saaliinsa tämä Pokémon nauttii sen syömisestä rauhassa.</v>
      </c>
      <c r="C5984" s="9" t="s">
        <v>1344</v>
      </c>
    </row>
    <row r="5985" ht="33.75" customHeight="1">
      <c r="A5985" s="6" t="s">
        <v>8869</v>
      </c>
      <c r="B5985" s="6" t="str">
        <f>IFERROR(__xludf.DUMMYFUNCTION("GOOGLETRANSLATE(A5985,""en"",""fi"")"),"Legendan mukaan jäisellä vuorella oleva lohkare imeytyi jumiin jääneen vuorikiipeilijän hädän ja katumuksen, mikä synnytti Glalien.")</f>
        <v>Legendan mukaan jäisellä vuorella oleva lohkare imeytyi jumiin jääneen vuorikiipeilijän hädän ja katumuksen, mikä synnytti Glalien.</v>
      </c>
      <c r="C5985" s="9" t="s">
        <v>1344</v>
      </c>
    </row>
    <row r="5986" ht="33.75" customHeight="1">
      <c r="A5986" s="6" t="s">
        <v>8871</v>
      </c>
      <c r="B5986" s="6" t="str">
        <f>IFERROR(__xludf.DUMMYFUNCTION("GOOGLETRANSLATE(A5986,""en"",""fi"")"),"Sen saalis jäätyy välittömästi jäykäksi kylmän ilman vuoksi, jota se puhaltaa ulos valtavasta suustaan. Jäätyneessä tilassa se hotkaisee ne.")</f>
        <v>Sen saalis jäätyy välittömästi jäykäksi kylmän ilman vuoksi, jota se puhaltaa ulos valtavasta suustaan. Jäätyneessä tilassa se hotkaisee ne.</v>
      </c>
      <c r="C5986" s="9" t="s">
        <v>1344</v>
      </c>
    </row>
    <row r="5987" ht="33.75" customHeight="1">
      <c r="A5987" s="6" t="s">
        <v>8872</v>
      </c>
      <c r="B5987" s="6" t="str">
        <f>IFERROR(__xludf.DUMMYFUNCTION("GOOGLETRANSLATE(A5987,""en"",""fi"")"),"Se jäädyttää saaliinsa ja pureskelee ne kokonaisina. Se kuitenkin syö mieluummin jo jäätyneitä Pokémoneja, kuten Vanilliittia.")</f>
        <v>Se jäädyttää saaliinsa ja pureskelee ne kokonaisina. Se kuitenkin syö mieluummin jo jäätyneitä Pokémoneja, kuten Vanilliittia.</v>
      </c>
      <c r="C5987" s="9" t="s">
        <v>1344</v>
      </c>
    </row>
    <row r="5988" ht="33.75" customHeight="1">
      <c r="A5988" s="6" t="s">
        <v>8874</v>
      </c>
      <c r="B5988" s="6" t="str">
        <f>IFERROR(__xludf.DUMMYFUNCTION("GOOGLETRANSLATE(A5988,""en"",""fi"")"),"Sen varsinainen runko on kivi, joka ei ole erityisen kova. Glalie imee kosteutta ilmasta ja verhoutuu jääpanssariin.")</f>
        <v>Sen varsinainen runko on kivi, joka ei ole erityisen kova. Glalie imee kosteutta ilmasta ja verhoutuu jääpanssariin.</v>
      </c>
      <c r="C5988" s="9" t="s">
        <v>1344</v>
      </c>
    </row>
    <row r="5989" ht="33.75" customHeight="1">
      <c r="A5989" s="6" t="s">
        <v>8875</v>
      </c>
      <c r="B5989" s="6" t="str">
        <f>IFERROR(__xludf.DUMMYFUNCTION("GOOGLETRANSLATE(A5989,""en"",""fi"")"),"Se peittää ruumiinsa terästä kovemman jääpanssarin. Jäädyttää saaliinsa hengityksellään ja ahmii sen sitten kuin jäätyneitä jälkiruokia.")</f>
        <v>Se peittää ruumiinsa terästä kovemman jääpanssarin. Jäädyttää saaliinsa hengityksellään ja ahmii sen sitten kuin jäätyneitä jälkiruokia.</v>
      </c>
      <c r="C5989" s="9" t="s">
        <v>1344</v>
      </c>
    </row>
    <row r="5990" ht="33.75" customHeight="1">
      <c r="A5990" s="6" t="s">
        <v>8877</v>
      </c>
      <c r="B5990" s="6" t="str">
        <f>IFERROR(__xludf.DUMMYFUNCTION("GOOGLETRANSLATE(A5990,""en"",""fi"")"),"SPHEAL liikkuu paljon nopeammin vierimällä kuin kävelemällä. Kun tämän POKéMONin ryhmät syövät, ne kaikki taputtavat yhteen ääneen osoittaakseen nautintonsa. Tästä syystä niiden ruokailuhetket ovat meluisia.")</f>
        <v>SPHEAL liikkuu paljon nopeammin vierimällä kuin kävelemällä. Kun tämän POKéMONin ryhmät syövät, ne kaikki taputtavat yhteen ääneen osoittaakseen nautintonsa. Tästä syystä niiden ruokailuhetket ovat meluisia.</v>
      </c>
      <c r="C5990" s="9" t="s">
        <v>1344</v>
      </c>
    </row>
    <row r="5991" ht="33.75" customHeight="1">
      <c r="A5991" s="6" t="s">
        <v>8879</v>
      </c>
      <c r="B5991" s="6" t="str">
        <f>IFERROR(__xludf.DUMMYFUNCTION("GOOGLETRANSLATE(A5991,""en"",""fi"")"),"SPHEAL liikkuu aina pyörien pallomaisen vartalonsa päällä. Kun jäälauttojen sesonki koittaa, tämän POKéMONin voi nähdä pyörivän jäällä ja ylittävän meren.")</f>
        <v>SPHEAL liikkuu aina pyörien pallomaisen vartalonsa päällä. Kun jäälauttojen sesonki koittaa, tämän POKéMONin voi nähdä pyörivän jäällä ja ylittävän meren.</v>
      </c>
      <c r="C5991" s="9" t="s">
        <v>1344</v>
      </c>
    </row>
    <row r="5992" ht="33.75" customHeight="1">
      <c r="A5992" s="6" t="s">
        <v>8880</v>
      </c>
      <c r="B5992" s="6" t="str">
        <f>IFERROR(__xludf.DUMMYFUNCTION("GOOGLETRANSLATE(A5992,""en"",""fi"")"),"Se on kauttaaltaan pehmeän turkin peitossa. Tämän seurauksena se ei koskaan tunne kylmää, vaikka se kieriskelisi jäälautoilla tai sukeltaisi meressä.")</f>
        <v>Se on kauttaaltaan pehmeän turkin peitossa. Tämän seurauksena se ei koskaan tunne kylmää, vaikka se kieriskelisi jäälautoilla tai sukeltaisi meressä.</v>
      </c>
      <c r="C5992" s="9" t="s">
        <v>1344</v>
      </c>
    </row>
    <row r="5993" ht="33.75" customHeight="1">
      <c r="A5993" s="6" t="s">
        <v>8881</v>
      </c>
      <c r="B5993" s="6" t="str">
        <f>IFERROR(__xludf.DUMMYFUNCTION("GOOGLETRANSLATE(A5993,""en"",""fi"")"),"Sen vartalo on peittynyt pörröiseen turkkiin. Turkki estää sitä palelemasta, kun se pyörii jäällä.")</f>
        <v>Sen vartalo on peittynyt pörröiseen turkkiin. Turkki estää sitä palelemasta, kun se pyörii jäällä.</v>
      </c>
      <c r="C5993" s="9" t="s">
        <v>1344</v>
      </c>
    </row>
    <row r="5994" ht="33.75" customHeight="1">
      <c r="A5994" s="6" t="s">
        <v>8883</v>
      </c>
      <c r="B5994" s="6" t="str">
        <f>IFERROR(__xludf.DUMMYFUNCTION("GOOGLETRANSLATE(A5994,""en"",""fi"")"),"Se vierii jäälauttojen yli päästäkseen rantaan, koska sen ruumiinrakenne on huonosti muotoiltu uimista varten.")</f>
        <v>Se vierii jäälauttojen yli päästäkseen rantaan, koska sen ruumiinrakenne on huonosti muotoiltu uimista varten.</v>
      </c>
      <c r="C5994" s="9" t="s">
        <v>1344</v>
      </c>
    </row>
    <row r="5995" ht="33.75" customHeight="1">
      <c r="A5995" s="6" t="s">
        <v>8885</v>
      </c>
      <c r="B5995" s="6" t="str">
        <f>IFERROR(__xludf.DUMMYFUNCTION("GOOGLETRANSLATE(A5995,""en"",""fi"")"),"Se ylittää valtameret pyörimällä ajelehtivalla jäällä. Pörröinen turkki pitää sen lämpimänä, kun lämpötila on pakkasen puolella.")</f>
        <v>Se ylittää valtameret pyörimällä ajelehtivalla jäällä. Pörröinen turkki pitää sen lämpimänä, kun lämpötila on pakkasen puolella.</v>
      </c>
      <c r="C5995" s="9" t="s">
        <v>1344</v>
      </c>
    </row>
    <row r="5996" ht="33.75" customHeight="1">
      <c r="A5996" s="6" t="s">
        <v>8888</v>
      </c>
      <c r="B5996" s="6" t="str">
        <f>IFERROR(__xludf.DUMMYFUNCTION("GOOGLETRANSLATE(A5996,""en"",""fi"")"),"Ne eivät osaa vielä uida hyvin, ja ne liikkuvat paljon nopeammin pyörimällä. Kun ne ovat onnellisia, ne taputtavat eviä.")</f>
        <v>Ne eivät osaa vielä uida hyvin, ja ne liikkuvat paljon nopeammin pyörimällä. Kun ne ovat onnellisia, ne taputtavat eviä.</v>
      </c>
      <c r="C5996" s="9" t="s">
        <v>1344</v>
      </c>
    </row>
    <row r="5997" ht="33.75" customHeight="1">
      <c r="A5997" s="6" t="s">
        <v>8889</v>
      </c>
      <c r="B5997" s="6" t="str">
        <f>IFERROR(__xludf.DUMMYFUNCTION("GOOGLETRANSLATE(A5997,""en"",""fi"")"),"Spheal liikkuu paljon nopeammin vierimällä kuin kävelemällä. Kun tämän Pokémonin ryhmät syövät, ne kaikki taputtavat kerralla osoittaakseen nautintonsa. Tästä syystä niiden ruokailuhetket ovat meluisia.")</f>
        <v>Spheal liikkuu paljon nopeammin vierimällä kuin kävelemällä. Kun tämän Pokémonin ryhmät syövät, ne kaikki taputtavat kerralla osoittaakseen nautintonsa. Tästä syystä niiden ruokailuhetket ovat meluisia.</v>
      </c>
      <c r="C5997" s="9" t="s">
        <v>1344</v>
      </c>
    </row>
    <row r="5998" ht="33.75" customHeight="1">
      <c r="A5998" s="6" t="s">
        <v>8891</v>
      </c>
      <c r="B5998" s="6" t="str">
        <f>IFERROR(__xludf.DUMMYFUNCTION("GOOGLETRANSLATE(A5998,""en"",""fi"")"),"Spheal liikkuu aina pyörien pallomaisen vartalonsa päällä. Kun jäälauttojen sesonki koittaa, tämän Pokémonin voi nähdä pyörivän jäällä ja ylittävän meren.")</f>
        <v>Spheal liikkuu aina pyörien pallomaisen vartalonsa päällä. Kun jäälauttojen sesonki koittaa, tämän Pokémonin voi nähdä pyörivän jäällä ja ylittävän meren.</v>
      </c>
      <c r="C5998" s="9" t="s">
        <v>1344</v>
      </c>
    </row>
    <row r="5999" ht="33.75" customHeight="1">
      <c r="A5999" s="6" t="s">
        <v>8892</v>
      </c>
      <c r="B5999" s="6" t="str">
        <f>IFERROR(__xludf.DUMMYFUNCTION("GOOGLETRANSLATE(A5999,""en"",""fi"")"),"Tämän Pokémonin vartalo on täynnä rasvaa ja vaikuttavan pyöreä. Spheal on nopeampi pyörimään kuin kävelemään.")</f>
        <v>Tämän Pokémonin vartalo on täynnä rasvaa ja vaikuttavan pyöreä. Spheal on nopeampi pyörimään kuin kävelemään.</v>
      </c>
      <c r="C5999" s="9" t="s">
        <v>1344</v>
      </c>
    </row>
    <row r="6000" ht="33.75" customHeight="1">
      <c r="A6000" s="6" t="s">
        <v>8894</v>
      </c>
      <c r="B6000" s="6" t="str">
        <f>IFERROR(__xludf.DUMMYFUNCTION("GOOGLETRANSLATE(A6000,""en"",""fi"")"),"Ajelehtiessaan aaltojen keskellä Spheal luotaa merta. Heti saaliin havaittuaan se ilmoittaa siitä laumansa Walreinille.")</f>
        <v>Ajelehtiessaan aaltojen keskellä Spheal luotaa merta. Heti saaliin havaittuaan se ilmoittaa siitä laumansa Walreinille.</v>
      </c>
      <c r="C6000" s="9" t="s">
        <v>1344</v>
      </c>
    </row>
    <row r="6001" ht="33.75" customHeight="1">
      <c r="A6001" s="6" t="s">
        <v>8896</v>
      </c>
      <c r="B6001" s="6" t="str">
        <f>IFERROR(__xludf.DUMMYFUNCTION("GOOGLETRANSLATE(A6001,""en"",""fi"")"),"Ajojään lähestyessä rantaa Spheal viihtyy mieluummin jäällä – missä on vähemmän saalistajia – kuin maalla. Sen turkki säilyttää lämmön erinomaisesti ja kestää kovaa kylmyyttä.")</f>
        <v>Ajojään lähestyessä rantaa Spheal viihtyy mieluummin jäällä – missä on vähemmän saalistajia – kuin maalla. Sen turkki säilyttää lämmön erinomaisesti ja kestää kovaa kylmyyttä.</v>
      </c>
      <c r="C6001" s="9" t="s">
        <v>1344</v>
      </c>
    </row>
    <row r="6002" ht="33.75" customHeight="1">
      <c r="A6002" s="6" t="s">
        <v>8898</v>
      </c>
      <c r="B6002" s="6" t="str">
        <f>IFERROR(__xludf.DUMMYFUNCTION("GOOGLETRANSLATE(A6002,""en"",""fi"")"),"SEALEOlla on tapana jonglöörata nenänsä päällä kaikkea, minkä se näkee ensimmäistä kertaa. Tämä POKéMON viihdyttää itseään toisinaan tasapainottelemalla ja pyörittämällä SPHEALia nenänsä päällä.")</f>
        <v>SEALEOlla on tapana jonglöörata nenänsä päällä kaikkea, minkä se näkee ensimmäistä kertaa. Tämä POKéMON viihdyttää itseään toisinaan tasapainottelemalla ja pyörittämällä SPHEALia nenänsä päällä.</v>
      </c>
      <c r="C6002" s="9" t="s">
        <v>1344</v>
      </c>
    </row>
    <row r="6003" ht="33.75" customHeight="1">
      <c r="A6003" s="6" t="s">
        <v>8899</v>
      </c>
      <c r="B6003" s="6" t="str">
        <f>IFERROR(__xludf.DUMMYFUNCTION("GOOGLETRANSLATE(A6003,""en"",""fi"")"),"SEALEO tasapainottelee ja pyörittelee usein esineitä nenänsä päällä. POKéMON pyörittäessään jotakin tarkistaa esineen tuoksun ja rakenteen määrittääkseen, pitääkö se esineestä vai ei.")</f>
        <v>SEALEO tasapainottelee ja pyörittelee usein esineitä nenänsä päällä. POKéMON pyörittäessään jotakin tarkistaa esineen tuoksun ja rakenteen määrittääkseen, pitääkö se esineestä vai ei.</v>
      </c>
      <c r="C6003" s="9" t="s">
        <v>1344</v>
      </c>
    </row>
    <row r="6004" ht="33.75" customHeight="1">
      <c r="A6004" s="6" t="s">
        <v>8901</v>
      </c>
      <c r="B6004" s="6" t="str">
        <f>IFERROR(__xludf.DUMMYFUNCTION("GOOGLETRANSLATE(A6004,""en"",""fi"")"),"SEALEO elää laumoissa jäälautoilla. Voimakkailla eväillään se murskaa jäätä. Se sukeltaa mereen saalistamaan viisi kertaa päivässä.")</f>
        <v>SEALEO elää laumoissa jäälautoilla. Voimakkailla eväillään se murskaa jäätä. Se sukeltaa mereen saalistamaan viisi kertaa päivässä.</v>
      </c>
      <c r="C6004" s="9" t="s">
        <v>1344</v>
      </c>
    </row>
    <row r="6005" ht="33.75" customHeight="1">
      <c r="A6005" s="6" t="s">
        <v>8902</v>
      </c>
      <c r="B6005" s="6" t="str">
        <f>IFERROR(__xludf.DUMMYFUNCTION("GOOGLETRANSLATE(A6005,""en"",""fi"")"),"Se koskettaa uusia asioita nenällään testatakseen niiden hajua ja tuntua. Se leikkii pyörittämällä SPHEAL-palloa nenällään.")</f>
        <v>Se koskettaa uusia asioita nenällään testatakseen niiden hajua ja tuntua. Se leikkii pyörittämällä SPHEAL-palloa nenällään.</v>
      </c>
      <c r="C6005" s="9" t="s">
        <v>1344</v>
      </c>
    </row>
    <row r="6006" ht="33.75" customHeight="1">
      <c r="A6006" s="6" t="s">
        <v>8903</v>
      </c>
      <c r="B6006" s="6" t="str">
        <f>IFERROR(__xludf.DUMMYFUNCTION("GOOGLETRANSLATE(A6006,""en"",""fi"")"),"Se pyörittelee tapanaan esineitä nenällään. Näin se oppii tuntemaan niiden tekstuurit ja hajut.")</f>
        <v>Se pyörittelee tapanaan esineitä nenällään. Näin se oppii tuntemaan niiden tekstuurit ja hajut.</v>
      </c>
      <c r="C6006" s="9" t="s">
        <v>1344</v>
      </c>
    </row>
    <row r="6007" ht="33.75" customHeight="1">
      <c r="A6007" s="6" t="s">
        <v>8905</v>
      </c>
      <c r="B6007" s="6" t="str">
        <f>IFERROR(__xludf.DUMMYFUNCTION("GOOGLETRANSLATE(A6007,""en"",""fi"")"),"Sillä on erittäin herkkä nenä. Se koskettaa uusia asioita nenällään tutkiakseen niitä.")</f>
        <v>Sillä on erittäin herkkä nenä. Se koskettaa uusia asioita nenällään tutkiakseen niitä.</v>
      </c>
      <c r="C6007" s="9" t="s">
        <v>1344</v>
      </c>
    </row>
    <row r="6008" ht="33.75" customHeight="1">
      <c r="A6008" s="6" t="s">
        <v>8907</v>
      </c>
      <c r="B6008" s="6" t="str">
        <f>IFERROR(__xludf.DUMMYFUNCTION("GOOGLETRANSLATE(A6008,""en"",""fi"")"),"Olipa kyseessä sitten Spheal tai Poké Ball, se pyörittää mitä tahansa pyöreää esinettä nenänsä ympäri vaivattomasti.")</f>
        <v>Olipa kyseessä sitten Spheal tai Poké Ball, se pyörittää mitä tahansa pyöreää esinettä nenänsä ympäri vaivattomasti.</v>
      </c>
      <c r="C6008" s="9" t="s">
        <v>1344</v>
      </c>
    </row>
    <row r="6009" ht="33.75" customHeight="1">
      <c r="A6009" s="6" t="s">
        <v>8909</v>
      </c>
      <c r="B6009" s="6" t="str">
        <f>IFERROR(__xludf.DUMMYFUNCTION("GOOGLETRANSLATE(A6009,""en"",""fi"")"),"Sealeolla on tapana jonglöörata nenänpäällään kaikkea, minkä se näkee ensimmäistä kertaa. Tämä Pokémon viihdyttää itseään toisinaan tasapainottelemalla ja pyörittämällä Sphealia nenällään.")</f>
        <v>Sealeolla on tapana jonglöörata nenänpäällään kaikkea, minkä se näkee ensimmäistä kertaa. Tämä Pokémon viihdyttää itseään toisinaan tasapainottelemalla ja pyörittämällä Sphealia nenällään.</v>
      </c>
      <c r="C6009" s="9" t="s">
        <v>1344</v>
      </c>
    </row>
    <row r="6010" ht="33.75" customHeight="1">
      <c r="A6010" s="6" t="s">
        <v>8911</v>
      </c>
      <c r="B6010" s="6" t="str">
        <f>IFERROR(__xludf.DUMMYFUNCTION("GOOGLETRANSLATE(A6010,""en"",""fi"")"),"Sealeo tasapainottelee ja pyörittelee usein esineitä nenänsä päällä. Kun Pokémon pyörittelee jotakin, se tarkistaa esineen tuoksun ja rakenteen määrittääkseen, pitääkö se esineestä vai ei.")</f>
        <v>Sealeo tasapainottelee ja pyörittelee usein esineitä nenänsä päällä. Kun Pokémon pyörittelee jotakin, se tarkistaa esineen tuoksun ja rakenteen määrittääkseen, pitääkö se esineestä vai ei.</v>
      </c>
      <c r="C6010" s="9" t="s">
        <v>1344</v>
      </c>
    </row>
    <row r="6011" ht="33.75" customHeight="1">
      <c r="A6011" s="6" t="s">
        <v>8912</v>
      </c>
      <c r="B6011" s="6" t="str">
        <f>IFERROR(__xludf.DUMMYFUNCTION("GOOGLETRANSLATE(A6011,""en"",""fi"")"),"Meriahvenet elävät ajojään päällä. Ne uivat metsästäessään ja etsivät saalistaan ​​hajun perusteella.")</f>
        <v>Meriahvenet elävät ajojään päällä. Ne uivat metsästäessään ja etsivät saalistaan ​​hajun perusteella.</v>
      </c>
      <c r="C6011" s="9" t="s">
        <v>1344</v>
      </c>
    </row>
    <row r="6012" ht="33.75" customHeight="1">
      <c r="A6012" s="6" t="s">
        <v>8913</v>
      </c>
      <c r="B6012" s="6" t="str">
        <f>IFERROR(__xludf.DUMMYFUNCTION("GOOGLETRANSLATE(A6012,""en"",""fi"")"),"Tällä Pokémonilla on tapana pyörittää asioita nenänsä ympärillä, olivatpa ne sitten Poképalloja tai Sphealeja.")</f>
        <v>Tällä Pokémonilla on tapana pyörittää asioita nenänsä ympärillä, olivatpa ne sitten Poképalloja tai Sphealeja.</v>
      </c>
      <c r="C6012" s="9" t="s">
        <v>1344</v>
      </c>
    </row>
    <row r="6013" ht="33.75" customHeight="1">
      <c r="A6013" s="6" t="s">
        <v>8914</v>
      </c>
      <c r="B6013" s="6" t="str">
        <f>IFERROR(__xludf.DUMMYFUNCTION("GOOGLETRANSLATE(A6013,""en"",""fi"")"),"Sen valkoiset viikset ovat hyvin herkät. Sealeo tasapainottelee sfealia kuononsa kärjessä ja tarkistaa sen tuoksun ja tuntoaistin varmistaakseen, että sfeali on terve.")</f>
        <v>Sen valkoiset viikset ovat hyvin herkät. Sealeo tasapainottelee sfealia kuononsa kärjessä ja tarkistaa sen tuoksun ja tuntoaistin varmistaakseen, että sfeali on terve.</v>
      </c>
      <c r="C6013" s="9" t="s">
        <v>1344</v>
      </c>
    </row>
    <row r="6014" ht="33.75" customHeight="1">
      <c r="A6014" s="6" t="s">
        <v>8915</v>
      </c>
      <c r="B6014" s="6" t="str">
        <f>IFERROR(__xludf.DUMMYFUNCTION("GOOGLETRANSLATE(A6014,""en"",""fi"")"),"WALREINin kaksi massiivisesti kehittynyttä syöksyhampatta voivat rikkoa kymmenen tonnia painavia jäälohkareita yhdellä iskulla. Tämän POKéMONin paksu rasvakerros eristää sen pakkaslämpötiloilta.")</f>
        <v>WALREINin kaksi massiivisesti kehittynyttä syöksyhampatta voivat rikkoa kymmenen tonnia painavia jäälohkareita yhdellä iskulla. Tämän POKéMONin paksu rasvakerros eristää sen pakkaslämpötiloilta.</v>
      </c>
      <c r="C6014" s="9" t="s">
        <v>1344</v>
      </c>
    </row>
    <row r="6015" ht="33.75" customHeight="1">
      <c r="A6015" s="6" t="s">
        <v>8916</v>
      </c>
      <c r="B6015" s="6" t="str">
        <f>IFERROR(__xludf.DUMMYFUNCTION("GOOGLETRANSLATE(A6015,""en"",""fi"")"),"WALREIN ui hyytävässä merivedessä murskaten jäävuoria mahtipontisilla, vaikuttavilla syöksyhampaillaan. Sen paksu rasvakerros saa vihollisten hyökkäykset kimpoamaan harmittomasti.")</f>
        <v>WALREIN ui hyytävässä merivedessä murskaten jäävuoria mahtipontisilla, vaikuttavilla syöksyhampaillaan. Sen paksu rasvakerros saa vihollisten hyökkäykset kimpoamaan harmittomasti.</v>
      </c>
      <c r="C6015" s="9" t="s">
        <v>1344</v>
      </c>
    </row>
    <row r="6016" ht="33.75" customHeight="1">
      <c r="A6016" s="6" t="s">
        <v>8917</v>
      </c>
      <c r="B6016" s="6" t="str">
        <f>IFERROR(__xludf.DUMMYFUNCTION("GOOGLETRANSLATE(A6016,""en"",""fi"")"),"Suojellakseen laumaansa johtaja taistelee kaikkea vastaan, mikä tunkeutuu sen alueelle, jopa henkensä kustannuksella. Sen syöksyhampaat voivat katketa ​​taistelussa.")</f>
        <v>Suojellakseen laumaansa johtaja taistelee kaikkea vastaan, mikä tunkeutuu sen alueelle, jopa henkensä kustannuksella. Sen syöksyhampaat voivat katketa ​​taistelussa.</v>
      </c>
      <c r="C6016" s="9" t="s">
        <v>1344</v>
      </c>
    </row>
    <row r="6017" ht="33.75" customHeight="1">
      <c r="A6017" s="6" t="s">
        <v>8918</v>
      </c>
      <c r="B6017" s="6" t="str">
        <f>IFERROR(__xludf.DUMMYFUNCTION("GOOGLETRANSLATE(A6017,""en"",""fi"")"),"Se ui jäisissä merissä murskaaen jäälauttoja suurilla syöksyhampaillaan. Sitä suojaa paksu rasva.")</f>
        <v>Se ui jäisissä merissä murskaaen jäälauttoja suurilla syöksyhampaillaan. Sitä suojaa paksu rasva.</v>
      </c>
      <c r="C6017" s="9" t="s">
        <v>1344</v>
      </c>
    </row>
    <row r="6018" ht="33.75" customHeight="1">
      <c r="A6018" s="6" t="s">
        <v>8920</v>
      </c>
      <c r="B6018" s="6" t="str">
        <f>IFERROR(__xludf.DUMMYFUNCTION("GOOGLETRANSLATE(A6018,""en"",""fi"")"),"Se murskaa jäätä suurilla syöksyhampaillaan. Sen paksu rasva torjuu paitsi kylmyyden myös vihollisten hyökkäykset.")</f>
        <v>Se murskaa jäätä suurilla syöksyhampaillaan. Sen paksu rasva torjuu paitsi kylmyyden myös vihollisten hyökkäykset.</v>
      </c>
      <c r="C6018" s="9" t="s">
        <v>1344</v>
      </c>
    </row>
    <row r="6019" ht="33.75" customHeight="1">
      <c r="A6019" s="6" t="s">
        <v>8921</v>
      </c>
      <c r="B6019" s="6" t="str">
        <f>IFERROR(__xludf.DUMMYFUNCTION("GOOGLETRANSLATE(A6019,""en"",""fi"")"),"Se murskaa ajojäätä vahvoilla syöksyhampaillaan. Sen paksu rasvakerros torjuu vihollisen hyökkäykset.")</f>
        <v>Se murskaa ajojäätä vahvoilla syöksyhampaillaan. Sen paksu rasvakerros torjuu vihollisen hyökkäykset.</v>
      </c>
      <c r="C6019" s="9" t="s">
        <v>1344</v>
      </c>
    </row>
    <row r="6020" ht="33.75" customHeight="1">
      <c r="A6020" s="6" t="s">
        <v>8922</v>
      </c>
      <c r="B6020" s="6" t="str">
        <f>IFERROR(__xludf.DUMMYFUNCTION("GOOGLETRANSLATE(A6020,""en"",""fi"")"),"Sen paksu rasva ei ainoastaan ​​pidä sitä lämpimänä, vaan se myös suojaa sitä hyökkäyksiltä. Se murskaa jäätä arvokkailla syöksyhampaillaan.")</f>
        <v>Sen paksu rasva ei ainoastaan ​​pidä sitä lämpimänä, vaan se myös suojaa sitä hyökkäyksiltä. Se murskaa jäätä arvokkailla syöksyhampaillaan.</v>
      </c>
      <c r="C6020" s="9" t="s">
        <v>1344</v>
      </c>
    </row>
    <row r="6021" ht="33.75" customHeight="1">
      <c r="A6021" s="6" t="s">
        <v>8923</v>
      </c>
      <c r="B6021" s="6" t="str">
        <f>IFERROR(__xludf.DUMMYFUNCTION("GOOGLETRANSLATE(A6021,""en"",""fi"")"),"Walreinin kaksi massiivisesti kehittynyttä syöksyhampatta voivat rikkoa 10 tonnin painoisia jäälohkareita yhdellä iskulla. Tämän Pokémonin paksu rasvakerros suojaa sitä pakkaselta.")</f>
        <v>Walreinin kaksi massiivisesti kehittynyttä syöksyhampatta voivat rikkoa 10 tonnin painoisia jäälohkareita yhdellä iskulla. Tämän Pokémonin paksu rasvakerros suojaa sitä pakkaselta.</v>
      </c>
      <c r="C6021" s="9" t="s">
        <v>1344</v>
      </c>
    </row>
    <row r="6022" ht="33.75" customHeight="1">
      <c r="A6022" s="6" t="s">
        <v>8925</v>
      </c>
      <c r="B6022" s="6" t="str">
        <f>IFERROR(__xludf.DUMMYFUNCTION("GOOGLETRANSLATE(A6022,""en"",""fi"")"),"Walrein ui hyytävässä merivedessä murskaten jäävuoria mahtipontisilla, vaikuttavilla syöksyhampaillaan. Sen paksu rasvakerros saa vihollisten hyökkäykset kimpoamaan harmittomasti.")</f>
        <v>Walrein ui hyytävässä merivedessä murskaten jäävuoria mahtipontisilla, vaikuttavilla syöksyhampaillaan. Sen paksu rasvakerros saa vihollisten hyökkäykset kimpoamaan harmittomasti.</v>
      </c>
      <c r="C6022" s="9" t="s">
        <v>1344</v>
      </c>
    </row>
    <row r="6023" ht="33.75" customHeight="1">
      <c r="A6023" s="6" t="s">
        <v>8927</v>
      </c>
      <c r="B6023" s="6" t="str">
        <f>IFERROR(__xludf.DUMMYFUNCTION("GOOGLETRANSLATE(A6023,""en"",""fi"")"),"Walreinit muodostavat 20–30 yksilön laumoja. Uhan ilmaantuessa lauman johtaja suojelee ryhmää sen hengellä.")</f>
        <v>Walreinit muodostavat 20–30 yksilön laumoja. Uhan ilmaantuessa lauman johtaja suojelee ryhmää sen hengellä.</v>
      </c>
      <c r="C6023" s="9" t="s">
        <v>1344</v>
      </c>
    </row>
    <row r="6024" ht="33.75" customHeight="1">
      <c r="A6024" s="6" t="s">
        <v>8929</v>
      </c>
      <c r="B6024" s="6" t="str">
        <f>IFERROR(__xludf.DUMMYFUNCTION("GOOGLETRANSLATE(A6024,""en"",""fi"")"),"Walreinin syöksyhampaat kasvavat koko sen elämän ajan. Taistelussa murtuneet syöksyhampaat kasvavat takaisin tavanomaiseen vaikuttavaan kokoonsa vuodessa.")</f>
        <v>Walreinin syöksyhampaat kasvavat koko sen elämän ajan. Taistelussa murtuneet syöksyhampaat kasvavat takaisin tavanomaiseen vaikuttavaan kokoonsa vuodessa.</v>
      </c>
      <c r="C6024" s="9" t="s">
        <v>1344</v>
      </c>
    </row>
    <row r="6025" ht="33.75" customHeight="1">
      <c r="A6025" s="6" t="s">
        <v>8930</v>
      </c>
      <c r="B6025" s="6" t="str">
        <f>IFERROR(__xludf.DUMMYFUNCTION("GOOGLETRANSLATE(A6025,""en"",""fi"")"),"Sen paksut syöksyhampaat ovat riittävän vahvat murskaamaan ajojään. Niiden tiedetään katkeavan, mutta kasvavat takaisin ensi vuoteen mennessä. Hisuin alue on tunnettu näistä katkenneista syöksyhampaista.")</f>
        <v>Sen paksut syöksyhampaat ovat riittävän vahvat murskaamaan ajojään. Niiden tiedetään katkeavan, mutta kasvavat takaisin ensi vuoteen mennessä. Hisuin alue on tunnettu näistä katkenneista syöksyhampaista.</v>
      </c>
      <c r="C6025" s="9" t="s">
        <v>1344</v>
      </c>
    </row>
    <row r="6026" ht="33.75" customHeight="1">
      <c r="A6026" s="6" t="s">
        <v>8932</v>
      </c>
      <c r="B6026" s="6" t="str">
        <f>IFERROR(__xludf.DUMMYFUNCTION("GOOGLETRANSLATE(A6026,""en"",""fi"")"),"CLAMPERLin tukeva kuori ei ole hyvä vain suojaan – sitä käytetään myös saaliin puristamiseen ja pyydystämiseen. Täysikasvuisen CLAMPERLin kuoressa on kaikkialla naarmuja ja kolhuja.")</f>
        <v>CLAMPERLin tukeva kuori ei ole hyvä vain suojaan – sitä käytetään myös saaliin puristamiseen ja pyydystämiseen. Täysikasvuisen CLAMPERLin kuoressa on kaikkialla naarmuja ja kolhuja.</v>
      </c>
      <c r="C6026" s="9" t="s">
        <v>1344</v>
      </c>
    </row>
    <row r="6027" ht="33.75" customHeight="1">
      <c r="A6027" s="6" t="s">
        <v>8934</v>
      </c>
      <c r="B6027" s="6" t="str">
        <f>IFERROR(__xludf.DUMMYFUNCTION("GOOGLETRANSLATE(A6027,""en"",""fi"")"),"CLAMPERL kasvaa kivikovan kuorensa suojaamana. Kun sen ruumis kasvaa liian suureksi mahtuakseen kuoren sisään, se on varma todiste siitä, että tämä POKéMON on lähellä evoluutiota.")</f>
        <v>CLAMPERL kasvaa kivikovan kuorensa suojaamana. Kun sen ruumis kasvaa liian suureksi mahtuakseen kuoren sisään, se on varma todiste siitä, että tämä POKéMON on lähellä evoluutiota.</v>
      </c>
      <c r="C6027" s="9" t="s">
        <v>1344</v>
      </c>
    </row>
    <row r="6028" ht="33.75" customHeight="1">
      <c r="A6028" s="6" t="s">
        <v>8937</v>
      </c>
      <c r="B6028" s="6" t="str">
        <f>IFERROR(__xludf.DUMMYFUNCTION("GOOGLETRANSLATE(A6028,""en"",""fi"")"),"Helmi paiskaa kuorensa kiinni saaliinsa päälle estääkseen sitä pakenemasta. Sen evoluution aikana luoman helmen sanotaan olevan täynnä salaperäistä energiaa.")</f>
        <v>Helmi paiskaa kuorensa kiinni saaliinsa päälle estääkseen sitä pakenemasta. Sen evoluution aikana luoman helmen sanotaan olevan täynnä salaperäistä energiaa.</v>
      </c>
      <c r="C6028" s="9" t="s">
        <v>1344</v>
      </c>
    </row>
    <row r="6029" ht="33.75" customHeight="1">
      <c r="A6029" s="6" t="s">
        <v>8941</v>
      </c>
      <c r="B6029" s="6" t="str">
        <f>IFERROR(__xludf.DUMMYFUNCTION("GOOGLETRANSLATE(A6029,""en"",""fi"")"),"Sitä suojaa tukeva kuori. Kerran elämässä siitä tulee upea helmi.")</f>
        <v>Sitä suojaa tukeva kuori. Kerran elämässä siitä tulee upea helmi.</v>
      </c>
      <c r="C6029" s="9" t="s">
        <v>1344</v>
      </c>
    </row>
    <row r="6030" ht="33.75" customHeight="1">
      <c r="A6030" s="6" t="s">
        <v>8942</v>
      </c>
      <c r="B6030" s="6" t="str">
        <f>IFERROR(__xludf.DUMMYFUNCTION("GOOGLETRANSLATE(A6030,""en"",""fi"")"),"Se tekee elinaikanaan yhden helmen. Helmen sanotaan vahvistavan psyykkistä voimaa.")</f>
        <v>Se tekee elinaikanaan yhden helmen. Helmen sanotaan vahvistavan psyykkistä voimaa.</v>
      </c>
      <c r="C6030" s="9" t="s">
        <v>1344</v>
      </c>
    </row>
    <row r="6031" ht="33.75" customHeight="1">
      <c r="A6031" s="6" t="s">
        <v>8944</v>
      </c>
      <c r="B6031" s="6" t="str">
        <f>IFERROR(__xludf.DUMMYFUNCTION("GOOGLETRANSLATE(A6031,""en"",""fi"")"),"Kehittyessään se muodostaa salaperäisen helmen, joka vahvistaa psyykkisiä voimia, kun sitä pidetään kädessä.")</f>
        <v>Kehittyessään se muodostaa salaperäisen helmen, joka vahvistaa psyykkisiä voimia, kun sitä pidetään kädessä.</v>
      </c>
      <c r="C6031" s="9" t="s">
        <v>1344</v>
      </c>
    </row>
    <row r="6032" ht="33.75" customHeight="1">
      <c r="A6032" s="6" t="s">
        <v>8946</v>
      </c>
      <c r="B6032" s="6" t="str">
        <f>IFERROR(__xludf.DUMMYFUNCTION("GOOGLETRANSLATE(A6032,""en"",""fi"")"),"Clamperlin tukeva kuori ei ole hyvä vain suojaan, vaan sitä käytetään myös saaliin puristamiseen ja pyydystämiseen. Täysikasvuisen Clamperlin kuoressa on kaikkialla naarmuja ja viiltoja.")</f>
        <v>Clamperlin tukeva kuori ei ole hyvä vain suojaan, vaan sitä käytetään myös saaliin puristamiseen ja pyydystämiseen. Täysikasvuisen Clamperlin kuoressa on kaikkialla naarmuja ja viiltoja.</v>
      </c>
      <c r="C6032" s="9" t="s">
        <v>1344</v>
      </c>
    </row>
    <row r="6033" ht="33.75" customHeight="1">
      <c r="A6033" s="6" t="s">
        <v>8948</v>
      </c>
      <c r="B6033" s="6" t="str">
        <f>IFERROR(__xludf.DUMMYFUNCTION("GOOGLETRANSLATE(A6033,""en"",""fi"")"),"Clamperl kasvaa kivikovan kuorensa suojaamana. Kun sen ruumis kasvaa liian suureksi mahtuakseen kuoren sisään, se on varma todiste siitä, että tämä Pokémon on lähellä evoluutiota.")</f>
        <v>Clamperl kasvaa kivikovan kuorensa suojaamana. Kun sen ruumis kasvaa liian suureksi mahtuakseen kuoren sisään, se on varma todiste siitä, että tämä Pokémon on lähellä evoluutiota.</v>
      </c>
      <c r="C6033" s="9" t="s">
        <v>1344</v>
      </c>
    </row>
    <row r="6034" ht="33.75" customHeight="1">
      <c r="A6034" s="6" t="s">
        <v>8950</v>
      </c>
      <c r="B6034" s="6" t="str">
        <f>IFERROR(__xludf.DUMMYFUNCTION("GOOGLETRANSLATE(A6034,""en"",""fi"")"),"Ulkonäöstään huolimatta se on lihansyöjä. Se puristaa saalistaan ​​kuorensa molemmilla puolilla eikä päästä irti ennen kuin se lakkaa liikkumasta.")</f>
        <v>Ulkonäöstään huolimatta se on lihansyöjä. Se puristaa saalistaan ​​kuorensa molemmilla puolilla eikä päästä irti ennen kuin se lakkaa liikkumasta.</v>
      </c>
      <c r="C6034" s="9" t="s">
        <v>1344</v>
      </c>
    </row>
    <row r="6035" ht="33.75" customHeight="1">
      <c r="A6035" s="6" t="s">
        <v>8952</v>
      </c>
      <c r="B6035" s="6" t="str">
        <f>IFERROR(__xludf.DUMMYFUNCTION("GOOGLETRANSLATE(A6035,""en"",""fi"")"),"Clamperlin helmet ovat erittäin arvokkaita. Ne voivat olla yli 10 kertaa kalliimpia kuin Shellderin helmet.")</f>
        <v>Clamperlin helmet ovat erittäin arvokkaita. Ne voivat olla yli 10 kertaa kalliimpia kuin Shellderin helmet.</v>
      </c>
      <c r="C6035" s="9" t="s">
        <v>1344</v>
      </c>
    </row>
    <row r="6036" ht="33.75" customHeight="1">
      <c r="A6036" s="6" t="s">
        <v>8953</v>
      </c>
      <c r="B6036" s="6" t="str">
        <f>IFERROR(__xludf.DUMMYFUNCTION("GOOGLETRANSLATE(A6036,""en"",""fi"")"),"HUNTAILIN läsnäolo pysyi ihmisiltä pitkään huomaamattomana, koska se elää äärimmäisen syvällä meressä. Tämän POKéMONin silmät näkevät selvästi jopa meren sameassa pimeydessä.")</f>
        <v>HUNTAILIN läsnäolo pysyi ihmisiltä pitkään huomaamattomana, koska se elää äärimmäisen syvällä meressä. Tämän POKéMONin silmät näkevät selvästi jopa meren sameassa pimeydessä.</v>
      </c>
      <c r="C6036" s="9" t="s">
        <v>1344</v>
      </c>
    </row>
    <row r="6037" ht="33.75" customHeight="1">
      <c r="A6037" s="6" t="s">
        <v>8954</v>
      </c>
      <c r="B6037" s="6" t="str">
        <f>IFERROR(__xludf.DUMMYFUNCTION("GOOGLETRANSLATE(A6037,""en"",""fi"")"),"HUNTAILIN häntä on kalan muotoinen. Se käyttää häntäänsä saaliin houkuttelemiseen ja nielee sitten saaliin kokonaisena suurella, ammottavalla suullaan. Tämä POKéMON ui heiluttamalla hoikkaa vartaloaan kuin käärme.")</f>
        <v>HUNTAILIN häntä on kalan muotoinen. Se käyttää häntäänsä saaliin houkuttelemiseen ja nielee sitten saaliin kokonaisena suurella, ammottavalla suullaan. Tämä POKéMON ui heiluttamalla hoikkaa vartaloaan kuin käärme.</v>
      </c>
      <c r="C6037" s="9" t="s">
        <v>1344</v>
      </c>
    </row>
    <row r="6038" ht="33.75" customHeight="1">
      <c r="A6038" s="6" t="s">
        <v>8956</v>
      </c>
      <c r="B6038" s="6" t="str">
        <f>IFERROR(__xludf.DUMMYFUNCTION("GOOGLETRANSLATE(A6038,""en"",""fi"")"),"Kestääkseen syvän merenpinnan murskaavan paineen sen selkäranka on erittäin paksu ja tukeva. Sen pyrstö, joka on muodoltaan kuin pieni kala, on varustettu loistavilla silmillä.")</f>
        <v>Kestääkseen syvän merenpinnan murskaavan paineen sen selkäranka on erittäin paksu ja tukeva. Sen pyrstö, joka on muodoltaan kuin pieni kala, on varustettu loistavilla silmillä.</v>
      </c>
      <c r="C6038" s="9" t="s">
        <v>1344</v>
      </c>
    </row>
    <row r="6039" ht="33.75" customHeight="1">
      <c r="A6039" s="6" t="s">
        <v>8958</v>
      </c>
      <c r="B6039" s="6" t="str">
        <f>IFERROR(__xludf.DUMMYFUNCTION("GOOGLETRANSLATE(A6039,""en"",""fi"")"),"Se elää syvällä meressä, jonne ei koskaan siivilöidy valo. Se valaisee pienen kalan kaltaisen pyrstönsä houkutellakseen saalista.")</f>
        <v>Se elää syvällä meressä, jonne ei koskaan siivilöidy valo. Se valaisee pienen kalan kaltaisen pyrstönsä houkutellakseen saalista.</v>
      </c>
      <c r="C6039" s="9" t="s">
        <v>1344</v>
      </c>
    </row>
    <row r="6040" ht="33.75" customHeight="1">
      <c r="A6040" s="6" t="s">
        <v>8959</v>
      </c>
      <c r="B6040" s="6" t="str">
        <f>IFERROR(__xludf.DUMMYFUNCTION("GOOGLETRANSLATE(A6040,""en"",""fi"")"),"Se elää syvällä meressä. Pienen kalan muotoisella pyrstöllään se houkuttelee tietämätöntä saalista.")</f>
        <v>Se elää syvällä meressä. Pienen kalan muotoisella pyrstöllään se houkuttelee tietämätöntä saalista.</v>
      </c>
      <c r="C6040" s="9" t="s">
        <v>1344</v>
      </c>
    </row>
    <row r="6041" ht="33.75" customHeight="1">
      <c r="A6041" s="6" t="s">
        <v>8961</v>
      </c>
      <c r="B6041" s="6" t="str">
        <f>IFERROR(__xludf.DUMMYFUNCTION("GOOGLETRANSLATE(A6041,""en"",""fi"")"),"Se elää syvällä pikipimeässä meressä. Se houkuttelee saalista liikuttamalla häntäänsä pientä eläintä matkien.")</f>
        <v>Se elää syvällä pikipimeässä meressä. Se houkuttelee saalista liikuttamalla häntäänsä pientä eläintä matkien.</v>
      </c>
      <c r="C6041" s="9" t="s">
        <v>1344</v>
      </c>
    </row>
    <row r="6042" ht="33.75" customHeight="1">
      <c r="A6042" s="6" t="s">
        <v>8962</v>
      </c>
      <c r="B6042" s="6" t="str">
        <f>IFERROR(__xludf.DUMMYFUNCTION("GOOGLETRANSLATE(A6042,""en"",""fi"")"),"Huntailin läsnäolo pysyi pitkään ihmisten huomaamattomana, koska se elää äärimmäisen syvällä meressä. Tämän Pokémonin silmät näkevät selvästi jopa meren sameassa pimeydessä.")</f>
        <v>Huntailin läsnäolo pysyi pitkään ihmisten huomaamattomana, koska se elää äärimmäisen syvällä meressä. Tämän Pokémonin silmät näkevät selvästi jopa meren sameassa pimeydessä.</v>
      </c>
      <c r="C6042" s="9" t="s">
        <v>1344</v>
      </c>
    </row>
    <row r="6043" ht="33.75" customHeight="1">
      <c r="A6043" s="6" t="s">
        <v>8963</v>
      </c>
      <c r="B6043" s="6" t="str">
        <f>IFERROR(__xludf.DUMMYFUNCTION("GOOGLETRANSLATE(A6043,""en"",""fi"")"),"Metsäkäärmeen häntä on kalan muotoinen. Se käyttää häntäänsä saaliin houkuttelemiseen ja nielee sitten saaliin kokonaisena suurella, ammottavalla suullaan. Tämä Pokémon ui heiluttamalla hoikkaa vartaloaan kuin käärme.")</f>
        <v>Metsäkäärmeen häntä on kalan muotoinen. Se käyttää häntäänsä saaliin houkuttelemiseen ja nielee sitten saaliin kokonaisena suurella, ammottavalla suullaan. Tämä Pokémon ui heiluttamalla hoikkaa vartaloaan kuin käärme.</v>
      </c>
      <c r="C6043" s="9" t="s">
        <v>1344</v>
      </c>
    </row>
    <row r="6044" ht="33.75" customHeight="1">
      <c r="A6044" s="6" t="s">
        <v>8964</v>
      </c>
      <c r="B6044" s="6" t="str">
        <f>IFERROR(__xludf.DUMMYFUNCTION("GOOGLETRANSLATE(A6044,""en"",""fi"")"),"Se ei ole vahvin uimari. Se heiluttaa häntäänsä houkutellakseen saaliinsa puoleensa ja nielee sen sitten heti, kun se pääsee lähelle.")</f>
        <v>Se ei ole vahvin uimari. Se heiluttaa häntäänsä houkutellakseen saaliinsa puoleensa ja nielee sen sitten heti, kun se pääsee lähelle.</v>
      </c>
      <c r="C6044" s="9" t="s">
        <v>1344</v>
      </c>
    </row>
    <row r="6045" ht="33.75" customHeight="1">
      <c r="A6045" s="6" t="s">
        <v>8966</v>
      </c>
      <c r="B6045" s="6" t="str">
        <f>IFERROR(__xludf.DUMMYFUNCTION("GOOGLETRANSLATE(A6045,""en"",""fi"")"),"Syvät meret ovat niiden elinympäristöä. Perimätiedon mukaan, kun metsänhäntä ajautuu rannalle, tapahtuu jotain ikävää.")</f>
        <v>Syvät meret ovat niiden elinympäristöä. Perimätiedon mukaan, kun metsänhäntä ajautuu rannalle, tapahtuu jotain ikävää.</v>
      </c>
      <c r="C6045" s="9" t="s">
        <v>1344</v>
      </c>
    </row>
    <row r="6046" ht="33.75" customHeight="1">
      <c r="A6046" s="6" t="s">
        <v>8968</v>
      </c>
      <c r="B6046" s="6" t="str">
        <f>IFERROR(__xludf.DUMMYFUNCTION("GOOGLETRANSLATE(A6046,""en"",""fi"")"),"GOREBYSS elää eteläisillä merillä äärimmäisen syvyyksissä. Sen ruumis on rakennettu kestämään valtavan vedenpaineen uskomattomissa syvyyksissä. Tämän ansiosta tämän POKéMONin ruumis on turvassa tavallisilta hyökkäyksiltä.")</f>
        <v>GOREBYSS elää eteläisillä merillä äärimmäisen syvyyksissä. Sen ruumis on rakennettu kestämään valtavan vedenpaineen uskomattomissa syvyyksissä. Tämän ansiosta tämän POKéMONin ruumis on turvassa tavallisilta hyökkäyksiltä.</v>
      </c>
      <c r="C6046" s="9" t="s">
        <v>1344</v>
      </c>
    </row>
    <row r="6047" ht="33.75" customHeight="1">
      <c r="A6047" s="6" t="s">
        <v>8969</v>
      </c>
      <c r="B6047" s="6" t="str">
        <f>IFERROR(__xludf.DUMMYFUNCTION("GOOGLETRANSLATE(A6047,""en"",""fi"")"),"Vaikka GOREBYSS on uidessaan eleganssin ja kauneuden ruumiillistuma, se on myös julma. Havaitessaan saaliin tämä POKéMON työntää ohuen suunsa saaliin kehoon ja imee siitä pois sen ruumiinnesteet.")</f>
        <v>Vaikka GOREBYSS on uidessaan eleganssin ja kauneuden ruumiillistuma, se on myös julma. Havaitessaan saaliin tämä POKéMON työntää ohuen suunsa saaliin kehoon ja imee siitä pois sen ruumiinnesteet.</v>
      </c>
      <c r="C6047" s="9" t="s">
        <v>1344</v>
      </c>
    </row>
    <row r="6048" ht="33.75" customHeight="1">
      <c r="A6048" s="6" t="s">
        <v>8970</v>
      </c>
      <c r="B6048" s="6" t="str">
        <f>IFERROR(__xludf.DUMMYFUNCTION("GOOGLETRANSLATE(A6048,""en"",""fi"")"),"GOREBYSS imee saaliinsa ruumiinnesteet ohuen, putkimaisen suunsa kautta. Sen vaaleanpunainen ruumiinväri muuttuu kirkkaaksi, kun se lopettaa syömisen.")</f>
        <v>GOREBYSS imee saaliinsa ruumiinnesteet ohuen, putkimaisen suunsa kautta. Sen vaaleanpunainen ruumiinväri muuttuu kirkkaaksi, kun se lopettaa syömisen.</v>
      </c>
      <c r="C6048" s="9" t="s">
        <v>1344</v>
      </c>
    </row>
    <row r="6049" ht="33.75" customHeight="1">
      <c r="A6049" s="6" t="s">
        <v>8971</v>
      </c>
      <c r="B6049" s="6" t="str">
        <f>IFERROR(__xludf.DUMMYFUNCTION("GOOGLETRANSLATE(A6049,""en"",""fi"")"),"Sen uintimuoto on erittäin elegantti. Ohuella suullaan se syö kivien välissä kasvavaa merilevää.")</f>
        <v>Sen uintimuoto on erittäin elegantti. Ohuella suullaan se syö kivien välissä kasvavaa merilevää.</v>
      </c>
      <c r="C6049" s="9" t="s">
        <v>1344</v>
      </c>
    </row>
    <row r="6050" ht="33.75" customHeight="1">
      <c r="A6050" s="6" t="s">
        <v>8972</v>
      </c>
      <c r="B6050" s="6" t="str">
        <f>IFERROR(__xludf.DUMMYFUNCTION("GOOGLETRANSLATE(A6050,""en"",""fi"")"),"Se elää meren pohjassa. Keväällä sen vaaleanpunainen ruumis muuttuu jostain syystä kirkkaammaksi.")</f>
        <v>Se elää meren pohjassa. Keväällä sen vaaleanpunainen ruumis muuttuu jostain syystä kirkkaammaksi.</v>
      </c>
      <c r="C6050" s="9" t="s">
        <v>1344</v>
      </c>
    </row>
    <row r="6051" ht="33.75" customHeight="1">
      <c r="A6051" s="6" t="s">
        <v>8973</v>
      </c>
      <c r="B6051" s="6" t="str">
        <f>IFERROR(__xludf.DUMMYFUNCTION("GOOGLETRANSLATE(A6051,""en"",""fi"")"),"Sen vaaleanpunainen vartalo muuttuu kirkkaammaksi veden lämpötilan noustessa keväällä.")</f>
        <v>Sen vaaleanpunainen vartalo muuttuu kirkkaammaksi veden lämpötilan noustessa keväällä.</v>
      </c>
      <c r="C6051" s="9" t="s">
        <v>1344</v>
      </c>
    </row>
    <row r="6052" ht="33.75" customHeight="1">
      <c r="A6052" s="6" t="s">
        <v>8974</v>
      </c>
      <c r="B6052" s="6" t="str">
        <f>IFERROR(__xludf.DUMMYFUNCTION("GOOGLETRANSLATE(A6052,""en"",""fi"")"),"Gorebyss elää eteläisillä merillä äärimmäisen syvyyksissä. Sen ruumis on rakennettu kestämään valtavan vedenpaineen uskomattomissa syvyyksissä. Tämän ansiosta tämän Pokémonin ruumis on turvassa tavallisilta hyökkäyksiltä.")</f>
        <v>Gorebyss elää eteläisillä merillä äärimmäisen syvyyksissä. Sen ruumis on rakennettu kestämään valtavan vedenpaineen uskomattomissa syvyyksissä. Tämän ansiosta tämän Pokémonin ruumis on turvassa tavallisilta hyökkäyksiltä.</v>
      </c>
      <c r="C6052" s="9" t="s">
        <v>1344</v>
      </c>
    </row>
    <row r="6053" ht="33.75" customHeight="1">
      <c r="A6053" s="6" t="s">
        <v>8975</v>
      </c>
      <c r="B6053" s="6" t="str">
        <f>IFERROR(__xludf.DUMMYFUNCTION("GOOGLETRANSLATE(A6053,""en"",""fi"")"),"Vaikka Gorebyss on uinnissa eleganssin ja kauneuden ruumiillistuma, se on myös julma. Havaitessaan saaliin tämä Pokémon työntää ohuen suunsa saaliin kehoon ja imee saaliista sen nesteet.")</f>
        <v>Vaikka Gorebyss on uinnissa eleganssin ja kauneuden ruumiillistuma, se on myös julma. Havaitessaan saaliin tämä Pokémon työntää ohuen suunsa saaliin kehoon ja imee saaliista sen nesteet.</v>
      </c>
      <c r="C6053" s="9" t="s">
        <v>1344</v>
      </c>
    </row>
    <row r="6054" ht="33.75" customHeight="1">
      <c r="A6054" s="6" t="s">
        <v>8976</v>
      </c>
      <c r="B6054" s="6" t="str">
        <f>IFERROR(__xludf.DUMMYFUNCTION("GOOGLETRANSLATE(A6054,""en"",""fi"")"),"Sen ruumiin väri muuttuu veden lämpötilan mukaan. Gorebyssin väritys Alolassa on lähes sokaisevan kirkas.")</f>
        <v>Sen ruumiin väri muuttuu veden lämpötilan mukaan. Gorebyssin väritys Alolassa on lähes sokaisevan kirkas.</v>
      </c>
      <c r="C6054" s="9" t="s">
        <v>1344</v>
      </c>
    </row>
    <row r="6055" ht="33.75" customHeight="1">
      <c r="A6055" s="6" t="s">
        <v>8978</v>
      </c>
      <c r="B6055" s="6" t="str">
        <f>IFERROR(__xludf.DUMMYFUNCTION("GOOGLETRANSLATE(A6055,""en"",""fi"")"),"Se imee saaliistaan ​​ruumiinnesteitä. Jäljelle jäänyt liha vajoaa merenpohjaan, missä siitä tulee ruokaa muille Pokémoneille.")</f>
        <v>Se imee saaliistaan ​​ruumiinnesteitä. Jäljelle jäänyt liha vajoaa merenpohjaan, missä siitä tulee ruokaa muille Pokémoneille.</v>
      </c>
      <c r="C6055" s="9" t="s">
        <v>1344</v>
      </c>
    </row>
    <row r="6056" ht="33.75" customHeight="1">
      <c r="A6056" s="6" t="s">
        <v>8979</v>
      </c>
      <c r="B6056" s="6" t="str">
        <f>IFERROR(__xludf.DUMMYFUNCTION("GOOGLETRANSLATE(A6056,""en"",""fi"")"),"RELICANTH on POKéMON-laji, joka on elänyt sata miljoonaa vuotta muuttamatta muotoaan. Tämä muinainen POKéMON syö mikroskooppisia organismeja hampaattomalla suullaan.")</f>
        <v>RELICANTH on POKéMON-laji, joka on elänyt sata miljoonaa vuotta muuttamatta muotoaan. Tämä muinainen POKéMON syö mikroskooppisia organismeja hampaattomalla suullaan.</v>
      </c>
      <c r="C6056" s="9" t="s">
        <v>1344</v>
      </c>
    </row>
    <row r="6057" ht="33.75" customHeight="1">
      <c r="A6057" s="6" t="s">
        <v>8981</v>
      </c>
      <c r="B6057" s="6" t="str">
        <f>IFERROR(__xludf.DUMMYFUNCTION("GOOGLETRANSLATE(A6057,""en"",""fi"")"),"RELICANTH on harvinainen laji, joka löydettiin syvänmeren tutkimusmatkoilla. Tämän POKéMONin ruumis kestää valtameren syvyyksien valtavan vedenpaineen. Sen ruumis on peittynyt koviin suomuihin, jotka ovat kuin rosoisia kiviä.")</f>
        <v>RELICANTH on harvinainen laji, joka löydettiin syvänmeren tutkimusmatkoilla. Tämän POKéMONin ruumis kestää valtameren syvyyksien valtavan vedenpaineen. Sen ruumis on peittynyt koviin suomuihin, jotka ovat kuin rosoisia kiviä.</v>
      </c>
      <c r="C6057" s="9" t="s">
        <v>1344</v>
      </c>
    </row>
    <row r="6058" ht="33.75" customHeight="1">
      <c r="A6058" s="6" t="s">
        <v>8983</v>
      </c>
      <c r="B6058" s="6" t="str">
        <f>IFERROR(__xludf.DUMMYFUNCTION("GOOGLETRANSLATE(A6058,""en"",""fi"")"),"POKéMON, jonka aikoinaan uskottiin kuolleen sukupuuttoon. Laji ei ole muuttanut muotoaan 100 miljoonaan vuoteen. Se kävelee merenpohjassa rintaeviensä avulla.")</f>
        <v>POKéMON, jonka aikoinaan uskottiin kuolleen sukupuuttoon. Laji ei ole muuttanut muotoaan 100 miljoonaan vuoteen. Se kävelee merenpohjassa rintaeviensä avulla.</v>
      </c>
      <c r="C6058" s="9" t="s">
        <v>1344</v>
      </c>
    </row>
    <row r="6059" ht="33.75" customHeight="1">
      <c r="A6059" s="6" t="s">
        <v>8984</v>
      </c>
      <c r="B6059" s="6" t="str">
        <f>IFERROR(__xludf.DUMMYFUNCTION("GOOGLETRANSLATE(A6059,""en"",""fi"")"),"Se on pysynyt muuttumattomana 100 miljoonaa vuotta. Se löydettiin syvänmeren tutkimusmatkan aikana.")</f>
        <v>Se on pysynyt muuttumattomana 100 miljoonaa vuotta. Se löydettiin syvänmeren tutkimusmatkan aikana.</v>
      </c>
      <c r="C6059" s="9" t="s">
        <v>1344</v>
      </c>
    </row>
    <row r="6060" ht="33.75" customHeight="1">
      <c r="A6060" s="6" t="s">
        <v>8986</v>
      </c>
      <c r="B6060" s="6" t="str">
        <f>IFERROR(__xludf.DUMMYFUNCTION("GOOGLETRANSLATE(A6060,""en"",""fi"")"),"Harvinainen Pokémon, joka löydettiin syvänmeren tutkimusmatkalla. Se ei ole muuttunut yli 100 miljoonaan vuoteen.")</f>
        <v>Harvinainen Pokémon, joka löydettiin syvänmeren tutkimusmatkalla. Se ei ole muuttunut yli 100 miljoonaan vuoteen.</v>
      </c>
      <c r="C6060" s="9" t="s">
        <v>1344</v>
      </c>
    </row>
    <row r="6061" ht="33.75" customHeight="1">
      <c r="A6061" s="6" t="s">
        <v>8988</v>
      </c>
      <c r="B6061" s="6" t="str">
        <f>IFERROR(__xludf.DUMMYFUNCTION("GOOGLETRANSLATE(A6061,""en"",""fi"")"),"Se löydettiin sattumalta syvänmeren tutkimusretkien aikana, eikä se ole muuttunut muinaisista ajoista lähtien.")</f>
        <v>Se löydettiin sattumalta syvänmeren tutkimusretkien aikana, eikä se ole muuttunut muinaisista ajoista lähtien.</v>
      </c>
      <c r="C6061" s="9" t="s">
        <v>1344</v>
      </c>
    </row>
    <row r="6062" ht="33.75" customHeight="1">
      <c r="A6062" s="6" t="s">
        <v>8990</v>
      </c>
      <c r="B6062" s="6" t="str">
        <f>IFERROR(__xludf.DUMMYFUNCTION("GOOGLETRANSLATE(A6062,""en"",""fi"")"),"Relicanth on Pokémon-laji, joka on elänyt sata miljoonaa vuotta muuttamatta muotoaan. Tämä muinainen Pokémon syö mikroskooppisia organismeja hampaattomalla suullaan.")</f>
        <v>Relicanth on Pokémon-laji, joka on elänyt sata miljoonaa vuotta muuttamatta muotoaan. Tämä muinainen Pokémon syö mikroskooppisia organismeja hampaattomalla suullaan.</v>
      </c>
      <c r="C6062" s="9" t="s">
        <v>1344</v>
      </c>
    </row>
    <row r="6063" ht="33.75" customHeight="1">
      <c r="A6063" s="6" t="s">
        <v>8991</v>
      </c>
      <c r="B6063" s="6" t="str">
        <f>IFERROR(__xludf.DUMMYFUNCTION("GOOGLETRANSLATE(A6063,""en"",""fi"")"),"Relicanth on harvinainen laji, joka löydettiin syvänmeren tutkimusmatkoilla. Tämän Pokémonin ruumis kestää valtameren syvyyksien valtavan vedenpaineen. Sen ruumis on peittynyt koviin suomuihin, jotka ovat kuin rosoisia kiviä.")</f>
        <v>Relicanth on harvinainen laji, joka löydettiin syvänmeren tutkimusmatkoilla. Tämän Pokémonin ruumis kestää valtameren syvyyksien valtavan vedenpaineen. Sen ruumis on peittynyt koviin suomuihin, jotka ovat kuin rosoisia kiviä.</v>
      </c>
      <c r="C6063" s="9" t="s">
        <v>1344</v>
      </c>
    </row>
    <row r="6064" ht="33.75" customHeight="1">
      <c r="A6064" s="6" t="s">
        <v>8993</v>
      </c>
      <c r="B6064" s="6" t="str">
        <f>IFERROR(__xludf.DUMMYFUNCTION("GOOGLETRANSLATE(A6064,""en"",""fi"")"),"Sen muoto on pysynyt samana sata miljoonaa vuotta. Sen ruumis on täynnä rasvaa, joten se kestää syvänmeren vedenpaineen.")</f>
        <v>Sen muoto on pysynyt samana sata miljoonaa vuotta. Sen ruumis on täynnä rasvaa, joten se kestää syvänmeren vedenpaineen.</v>
      </c>
      <c r="C6064" s="9" t="s">
        <v>1344</v>
      </c>
    </row>
    <row r="6065" ht="33.75" customHeight="1">
      <c r="A6065" s="6" t="s">
        <v>8994</v>
      </c>
      <c r="B6065" s="6" t="str">
        <f>IFERROR(__xludf.DUMMYFUNCTION("GOOGLETRANSLATE(A6065,""en"",""fi"")"),"Se löydettiin sattumalta syvänmeren tutkimusretkellä. Sen hampaat ovat surkastuneet, joten se selviytyy nyt imemiensä mikroskooppisten organismien avulla.")</f>
        <v>Se löydettiin sattumalta syvänmeren tutkimusretkellä. Sen hampaat ovat surkastuneet, joten se selviytyy nyt imemiensä mikroskooppisten organismien avulla.</v>
      </c>
      <c r="C6065" s="9" t="s">
        <v>1344</v>
      </c>
    </row>
    <row r="6066" ht="33.75" customHeight="1">
      <c r="A6066" s="6" t="s">
        <v>8997</v>
      </c>
      <c r="B6066" s="6" t="str">
        <f>IFERROR(__xludf.DUMMYFUNCTION("GOOGLETRANSLATE(A6066,""en"",""fi"")"),"Relicanthille, jonka uskotaan kuolleen sukupuuttoon, annettiin nimi, joka on muunnelma sen löytäneen henkilön nimestä.")</f>
        <v>Relicanthille, jonka uskotaan kuolleen sukupuuttoon, annettiin nimi, joka on muunnelma sen löytäneen henkilön nimestä.</v>
      </c>
      <c r="C6066" s="9" t="s">
        <v>1344</v>
      </c>
    </row>
    <row r="6067" ht="33.75" customHeight="1">
      <c r="A6067" s="6" t="s">
        <v>9000</v>
      </c>
      <c r="B6067" s="6" t="str">
        <f>IFERROR(__xludf.DUMMYFUNCTION("GOOGLETRANSLATE(A6067,""en"",""fi"")"),"Syy siihen, miksi se ei ole muuttunut lainkaan sadassa miljoonassa vuodessa, on se, että se on ilmeisesti jo täydellinen elämänmuoto.")</f>
        <v>Syy siihen, miksi se ei ole muuttunut lainkaan sadassa miljoonassa vuodessa, on se, että se on ilmeisesti jo täydellinen elämänmuoto.</v>
      </c>
      <c r="C6067" s="9" t="s">
        <v>1344</v>
      </c>
    </row>
    <row r="6068" ht="33.75" customHeight="1">
      <c r="A6068" s="6" t="s">
        <v>9001</v>
      </c>
      <c r="B6068" s="6" t="str">
        <f>IFERROR(__xludf.DUMMYFUNCTION("GOOGLETRANSLATE(A6068,""en"",""fi"")"),"Kivenkovat suomut ja öljyllä täytetyt uimarakot auttavat tätä Pokémonia selviytymään syvänmeren voimakkaasta vedenpaineesta.")</f>
        <v>Kivenkovat suomut ja öljyllä täytetyt uimarakot auttavat tätä Pokémonia selviytymään syvänmeren voimakkaasta vedenpaineesta.</v>
      </c>
      <c r="C6068" s="9" t="s">
        <v>1344</v>
      </c>
    </row>
    <row r="6069" ht="33.75" customHeight="1">
      <c r="A6069" s="6" t="s">
        <v>9003</v>
      </c>
      <c r="B6069" s="6" t="str">
        <f>IFERROR(__xludf.DUMMYFUNCTION("GOOGLETRANSLATE(A6069,""en"",""fi"")"),"Tämä Pokémon löydettiin syvänmeren tutkimusmatkan aikana. Sen ulkonäkö ei ole muuttunut 100 000 000 vuoteen, joten sitä kutsutaan eläväksi fossiiliksi.")</f>
        <v>Tämä Pokémon löydettiin syvänmeren tutkimusmatkan aikana. Sen ulkonäkö ei ole muuttunut 100 000 000 vuoteen, joten sitä kutsutaan eläväksi fossiiliksi.</v>
      </c>
      <c r="C6069" s="9" t="s">
        <v>1344</v>
      </c>
    </row>
    <row r="6070" ht="33.75" customHeight="1">
      <c r="A6070" s="6" t="s">
        <v>9005</v>
      </c>
      <c r="B6070" s="6" t="str">
        <f>IFERROR(__xludf.DUMMYFUNCTION("GOOGLETRANSLATE(A6070,""en"",""fi"")"),"LUVDISC-pokémonit elävät matalissa merissä tropiikissa. Tämä sydämenmuotoinen POKéMON ansaitsi nimensä uimalla meren aalloissa havaitsemiensa rakastavaisten parien mukaan.")</f>
        <v>LUVDISC-pokémonit elävät matalissa merissä tropiikissa. Tämä sydämenmuotoinen POKéMON ansaitsi nimensä uimalla meren aalloissa havaitsemiensa rakastavaisten parien mukaan.</v>
      </c>
      <c r="C6070" s="9" t="s">
        <v>1344</v>
      </c>
    </row>
    <row r="6071" ht="33.75" customHeight="1">
      <c r="A6071" s="6" t="s">
        <v>9008</v>
      </c>
      <c r="B6071" s="6" t="str">
        <f>IFERROR(__xludf.DUMMYFUNCTION("GOOGLETRANSLATE(A6071,""en"",""fi"")"),"LUVDISCin sydämenmuotoinen vartalo symboloi rakkautta ja romantiikkaa. Sanotaan, että pariskunnalle, joka tapaa tämän POKéMONin, luvataan rakastava suhde, joka ei koskaan pääty.")</f>
        <v>LUVDISCin sydämenmuotoinen vartalo symboloi rakkautta ja romantiikkaa. Sanotaan, että pariskunnalle, joka tapaa tämän POKéMONin, luvataan rakastava suhde, joka ei koskaan pääty.</v>
      </c>
      <c r="C6071" s="9" t="s">
        <v>1344</v>
      </c>
    </row>
    <row r="6072" ht="33.75" customHeight="1">
      <c r="A6072" s="6" t="s">
        <v>9009</v>
      </c>
      <c r="B6072" s="6" t="str">
        <f>IFERROR(__xludf.DUMMYFUNCTION("GOOGLETRANSLATE(A6072,""en"",""fi"")"),"LUVDISC-lehdet tekevät pesänsä CORSOLAN oksista. On olemassa vanha tapa antaa LUVDISC lahjaksi rakkaudenosoituksena.")</f>
        <v>LUVDISC-lehdet tekevät pesänsä CORSOLAN oksista. On olemassa vanha tapa antaa LUVDISC lahjaksi rakkaudenosoituksena.</v>
      </c>
      <c r="C6072" s="9" t="s">
        <v>1344</v>
      </c>
    </row>
    <row r="6073" ht="33.75" customHeight="1">
      <c r="A6073" s="6" t="s">
        <v>9011</v>
      </c>
      <c r="B6073" s="6" t="str">
        <f>IFERROR(__xludf.DUMMYFUNCTION("GOOGLETRANSLATE(A6073,""en"",""fi"")"),"Kutuaikana lukemattomat LUVDISC-kärpäset kerääntyvät koralliriutoille ja värjäävät vedet vaaleanpunaisiksi.")</f>
        <v>Kutuaikana lukemattomat LUVDISC-kärpäset kerääntyvät koralliriutoille ja värjäävät vedet vaaleanpunaisiksi.</v>
      </c>
      <c r="C6073" s="9" t="s">
        <v>1344</v>
      </c>
    </row>
    <row r="6074" ht="33.75" customHeight="1">
      <c r="A6074" s="6" t="s">
        <v>9013</v>
      </c>
      <c r="B6074" s="6" t="str">
        <f>IFERROR(__xludf.DUMMYFUNCTION("GOOGLETRANSLATE(A6074,""en"",""fi"")"),"Se elää lämpimissä merissä. Sanotaan, että tämän Pokémonin löytävää paria siunataan ikuisella rakkaudella.")</f>
        <v>Se elää lämpimissä merissä. Sanotaan, että tämän Pokémonin löytävää paria siunataan ikuisella rakkaudella.</v>
      </c>
      <c r="C6074" s="9" t="s">
        <v>1344</v>
      </c>
    </row>
    <row r="6075" ht="33.75" customHeight="1">
      <c r="A6075" s="6" t="s">
        <v>9014</v>
      </c>
      <c r="B6075" s="6" t="str">
        <f>IFERROR(__xludf.DUMMYFUNCTION("GOOGLETRANSLATE(A6075,""en"",""fi"")"),"Sen sydämenmuotoinen runko tekee siitä suositun. Joissakin paikoissa LUVDISCin antaisi rakkaalleen.")</f>
        <v>Sen sydämenmuotoinen runko tekee siitä suositun. Joissakin paikoissa LUVDISCin antaisi rakkaalleen.</v>
      </c>
      <c r="C6075" s="9" t="s">
        <v>1344</v>
      </c>
    </row>
    <row r="6076" ht="33.75" customHeight="1">
      <c r="A6076" s="6" t="s">
        <v>9015</v>
      </c>
      <c r="B6076" s="6" t="str">
        <f>IFERROR(__xludf.DUMMYFUNCTION("GOOGLETRANSLATE(A6076,""en"",""fi"")"),"Kutuaikana lukemattomat Luvdisc-kärpäset kerääntyvät koralliriutoille ja värjäävät vedet vaaleanpunaisiksi.")</f>
        <v>Kutuaikana lukemattomat Luvdisc-kärpäset kerääntyvät koralliriutoille ja värjäävät vedet vaaleanpunaisiksi.</v>
      </c>
      <c r="C6076" s="9" t="s">
        <v>1344</v>
      </c>
    </row>
    <row r="6077" ht="33.75" customHeight="1">
      <c r="A6077" s="6" t="s">
        <v>9017</v>
      </c>
      <c r="B6077" s="6" t="str">
        <f>IFERROR(__xludf.DUMMYFUNCTION("GOOGLETRANSLATE(A6077,""en"",""fi"")"),"Luvdiscit elävät matalissa merissä tropiikissa. Tämä sydämenmuotoinen Pokémon ansaitsi nimensä uimalla meren aalloissa havaitsemiensa rakastavaisten parien perässä.")</f>
        <v>Luvdiscit elävät matalissa merissä tropiikissa. Tämä sydämenmuotoinen Pokémon ansaitsi nimensä uimalla meren aalloissa havaitsemiensa rakastavaisten parien perässä.</v>
      </c>
      <c r="C6077" s="9" t="s">
        <v>1344</v>
      </c>
    </row>
    <row r="6078" ht="33.75" customHeight="1">
      <c r="A6078" s="6" t="s">
        <v>9019</v>
      </c>
      <c r="B6078" s="6" t="str">
        <f>IFERROR(__xludf.DUMMYFUNCTION("GOOGLETRANSLATE(A6078,""en"",""fi"")"),"Luvdiscin sydämenmuotoinen vartalo on rakkauden ja romantiikan symboli. Sanotaan, että pariskunnalle, joka tapaa tämän Pokémonin, luvataan rakastava suhde, joka ei koskaan pääty.")</f>
        <v>Luvdiscin sydämenmuotoinen vartalo on rakkauden ja romantiikan symboli. Sanotaan, että pariskunnalle, joka tapaa tämän Pokémonin, luvataan rakastava suhde, joka ei koskaan pääty.</v>
      </c>
      <c r="C6078" s="9" t="s">
        <v>1344</v>
      </c>
    </row>
    <row r="6079" ht="33.75" customHeight="1">
      <c r="A6079" s="6" t="s">
        <v>9020</v>
      </c>
      <c r="B6079" s="6" t="str">
        <f>IFERROR(__xludf.DUMMYFUNCTION("GOOGLETRANSLATE(A6079,""en"",""fi"")"),"Jos Luvdisc jätetään yksin, se masentuu ja altis hyökkäyksille. Silloin Pelipper nappaa sen.")</f>
        <v>Jos Luvdisc jätetään yksin, se masentuu ja altis hyökkäyksille. Silloin Pelipper nappaa sen.</v>
      </c>
      <c r="C6079" s="9" t="s">
        <v>1344</v>
      </c>
    </row>
    <row r="6080" ht="33.75" customHeight="1">
      <c r="A6080" s="6" t="s">
        <v>9021</v>
      </c>
      <c r="B6080" s="6" t="str">
        <f>IFERROR(__xludf.DUMMYFUNCTION("GOOGLETRANSLATE(A6080,""en"",""fi"")"),"Rakastavaisilla pariskunnilla on heikko kohta tätä Pokémonia kohtaan, joten häämatkahotellit usein vapauttavat tämän Pokémonin uima-altaisiinsa.")</f>
        <v>Rakastavaisilla pariskunnilla on heikko kohta tätä Pokémonia kohtaan, joten häämatkahotellit usein vapauttavat tämän Pokémonin uima-altaisiinsa.</v>
      </c>
      <c r="C6080" s="9" t="s">
        <v>1344</v>
      </c>
    </row>
    <row r="6081" ht="33.75" customHeight="1">
      <c r="A6081" s="6" t="s">
        <v>9023</v>
      </c>
      <c r="B6081" s="6" t="str">
        <f>IFERROR(__xludf.DUMMYFUNCTION("GOOGLETRANSLATE(A6081,""en"",""fi"")"),"Oli aikakausi, jolloin sitä liikakalastettiin huhun vuoksi, että yhden sen sydämenmuotoisista suomuista avulla voisi löytää rakkaan.")</f>
        <v>Oli aikakausi, jolloin sitä liikakalastettiin huhun vuoksi, että yhden sen sydämenmuotoisista suomuista avulla voisi löytää rakkaan.</v>
      </c>
      <c r="C6081" s="9" t="s">
        <v>1344</v>
      </c>
    </row>
    <row r="6082" ht="33.75" customHeight="1">
      <c r="A6082" s="6" t="s">
        <v>9025</v>
      </c>
      <c r="B6082" s="6" t="str">
        <f>IFERROR(__xludf.DUMMYFUNCTION("GOOGLETRANSLATE(A6082,""en"",""fi"")"),"Luvdisc tekee kotinsa lämpimien merien koralliriutoilla. Se tykkää erityisesti nukkua Corsolan oksien välissä.")</f>
        <v>Luvdisc tekee kotinsa lämpimien merien koralliriutoilla. Se tykkää erityisesti nukkua Corsolan oksien välissä.</v>
      </c>
      <c r="C6082" s="9" t="s">
        <v>1344</v>
      </c>
    </row>
    <row r="6083" ht="33.75" customHeight="1">
      <c r="A6083" s="6" t="s">
        <v>9027</v>
      </c>
      <c r="B6083" s="6" t="str">
        <f>IFERROR(__xludf.DUMMYFUNCTION("GOOGLETRANSLATE(A6083,""en"",""fi"")"),"BAGONilla on unelma jonain päivänä kohota taivaalle. Tuhoisassa lentoyrityksessään tämä POKéMON syöksyy kallioilta. Sukellusten seurauksena sen päästä on tullut kova kuin karkaistusta teräksestä.")</f>
        <v>BAGONilla on unelma jonain päivänä kohota taivaalle. Tuhoisassa lentoyrityksessään tämä POKéMON syöksyy kallioilta. Sukellusten seurauksena sen päästä on tullut kova kuin karkaistusta teräksestä.</v>
      </c>
      <c r="C6083" s="9" t="s">
        <v>1344</v>
      </c>
    </row>
    <row r="6084" ht="33.75" customHeight="1">
      <c r="A6084" s="6" t="s">
        <v>9028</v>
      </c>
      <c r="B6084" s="6" t="str">
        <f>IFERROR(__xludf.DUMMYFUNCTION("GOOGLETRANSLATE(A6084,""en"",""fi"")"),"BAGONilla on loputon unelma jonain päivänä kohoamisesta korkealle pilvien sekaan. Ikään kuin yrittäen karkottaa lentokyvyttömyytensä aiheuttamaa turhautumista tämä POKéMON iskee kovan päänsä valtaviin kiviin ja murskaa ne pikkukiviksi.")</f>
        <v>BAGONilla on loputon unelma jonain päivänä kohoamisesta korkealle pilvien sekaan. Ikään kuin yrittäen karkottaa lentokyvyttömyytensä aiheuttamaa turhautumista tämä POKéMON iskee kovan päänsä valtaviin kiviin ja murskaa ne pikkukiviksi.</v>
      </c>
      <c r="C6084" s="9" t="s">
        <v>1344</v>
      </c>
    </row>
    <row r="6085" ht="33.75" customHeight="1">
      <c r="A6085" s="6" t="s">
        <v>9029</v>
      </c>
      <c r="B6085" s="6" t="str">
        <f>IFERROR(__xludf.DUMMYFUNCTION("GOOGLETRANSLATE(A6085,""en"",""fi"")"),"Vaikka se on pieni, tämä POKéMON on erittäin voimakas, koska sen ruumis on kuin lihaskimppu. Se ampuu pääniskuja raudankaltaisella kallollaan.")</f>
        <v>Vaikka se on pieni, tämä POKéMON on erittäin voimakas, koska sen ruumis on kuin lihaskimppu. Se ampuu pääniskuja raudankaltaisella kallollaan.</v>
      </c>
      <c r="C6085" s="9" t="s">
        <v>1344</v>
      </c>
    </row>
    <row r="6086" ht="33.75" customHeight="1">
      <c r="A6086" s="6" t="s">
        <v>9030</v>
      </c>
      <c r="B6086" s="6" t="str">
        <f>IFERROR(__xludf.DUMMYFUNCTION("GOOGLETRANSLATE(A6086,""en"",""fi"")"),"Sen teräskova pää voi murskata lohkareita. Se toivoo hartaasti siipien kasvamista, jotta se voisi lentää.")</f>
        <v>Sen teräskova pää voi murskata lohkareita. Se toivoo hartaasti siipien kasvamista, jotta se voisi lentää.</v>
      </c>
      <c r="C6086" s="9" t="s">
        <v>1344</v>
      </c>
    </row>
    <row r="6087" ht="33.75" customHeight="1">
      <c r="A6087" s="6" t="s">
        <v>9031</v>
      </c>
      <c r="B6087" s="6" t="str">
        <f>IFERROR(__xludf.DUMMYFUNCTION("GOOGLETRANSLATE(A6087,""en"",""fi"")"),"Haaveillen jonain päivänä lentämisestä se harjoittelee hyppäämällä kallioilta joka päivä.")</f>
        <v>Haaveillen jonain päivänä lentämisestä se harjoittelee hyppäämällä kallioilta joka päivä.</v>
      </c>
      <c r="C6087" s="9" t="s">
        <v>1344</v>
      </c>
    </row>
    <row r="6088" ht="33.75" customHeight="1">
      <c r="A6088" s="6" t="s">
        <v>9032</v>
      </c>
      <c r="B6088" s="6" t="str">
        <f>IFERROR(__xludf.DUMMYFUNCTION("GOOGLETRANSLATE(A6088,""en"",""fi"")"),"Sen hyvin kehittyneet niskalihakset ja raudankaltainen pää voivat murskata lohkareita palasiksi.")</f>
        <v>Sen hyvin kehittyneet niskalihakset ja raudankaltainen pää voivat murskata lohkareita palasiksi.</v>
      </c>
      <c r="C6088" s="9" t="s">
        <v>1344</v>
      </c>
    </row>
    <row r="6089" ht="33.75" customHeight="1">
      <c r="A6089" s="6" t="s">
        <v>9034</v>
      </c>
      <c r="B6089" s="6" t="str">
        <f>IFERROR(__xludf.DUMMYFUNCTION("GOOGLETRANSLATE(A6089,""en"",""fi"")"),"Sen hyvin kehittyneet niskalihakset ja raudan kaltainen pää voivat murskata lohkareita palasiksi.")</f>
        <v>Sen hyvin kehittyneet niskalihakset ja raudan kaltainen pää voivat murskata lohkareita palasiksi.</v>
      </c>
      <c r="C6089" s="9" t="s">
        <v>1344</v>
      </c>
    </row>
    <row r="6090" ht="33.75" customHeight="1">
      <c r="A6090" s="6" t="s">
        <v>9035</v>
      </c>
      <c r="B6090" s="6" t="str">
        <f>IFERROR(__xludf.DUMMYFUNCTION("GOOGLETRANSLATE(A6090,""en"",""fi"")"),"Bagonilla on unelma jonain päivänä kohota taivaalle. Tuhoisassa lentoyrityksessään tämä Pokémon heittäytyy kallioilta alas. Sukellusten seurauksena sen pää on kova kuin karkaistu teräs.")</f>
        <v>Bagonilla on unelma jonain päivänä kohota taivaalle. Tuhoisassa lentoyrityksessään tämä Pokémon heittäytyy kallioilta alas. Sukellusten seurauksena sen pää on kova kuin karkaistu teräs.</v>
      </c>
      <c r="C6090" s="9" t="s">
        <v>1344</v>
      </c>
    </row>
    <row r="6091" ht="33.75" customHeight="1">
      <c r="A6091" s="6" t="s">
        <v>9038</v>
      </c>
      <c r="B6091" s="6" t="str">
        <f>IFERROR(__xludf.DUMMYFUNCTION("GOOGLETRANSLATE(A6091,""en"",""fi"")"),"Bagonilla on loputon unelma jonain päivänä kohoamisesta korkealle pilvien sekaan. Ikään kuin yrittäen karkottaa lentokyvyttömyytensä aiheuttamaa turhautumista tämä Pokémon iskee kovan päänsä valtaviin kiviin ja murskaa ne pikkukiviksi.")</f>
        <v>Bagonilla on loputon unelma jonain päivänä kohoamisesta korkealle pilvien sekaan. Ikään kuin yrittäen karkottaa lentokyvyttömyytensä aiheuttamaa turhautumista tämä Pokémon iskee kovan päänsä valtaviin kiviin ja murskaa ne pikkukiviksi.</v>
      </c>
      <c r="C6091" s="9" t="s">
        <v>1344</v>
      </c>
    </row>
    <row r="6092" ht="33.75" customHeight="1">
      <c r="A6092" s="6" t="s">
        <v>9040</v>
      </c>
      <c r="B6092" s="6" t="str">
        <f>IFERROR(__xludf.DUMMYFUNCTION("GOOGLETRANSLATE(A6092,""en"",""fi"")"),"Sen usko siihen, että se pystyy lentämään jonain päivänä, johtuu ilmeisesti sen geeneissä kantamasta tiedosta.")</f>
        <v>Sen usko siihen, että se pystyy lentämään jonain päivänä, johtuu ilmeisesti sen geeneissä kantamasta tiedosta.</v>
      </c>
      <c r="C6092" s="9" t="s">
        <v>1344</v>
      </c>
    </row>
    <row r="6093" ht="33.75" customHeight="1">
      <c r="A6093" s="6" t="s">
        <v>9042</v>
      </c>
      <c r="B6093" s="6" t="str">
        <f>IFERROR(__xludf.DUMMYFUNCTION("GOOGLETRANSLATE(A6093,""en"",""fi"")"),"Teräksenkovalla kivipäällään se puskee umpimähkään. Tämä johtuu stressistä, jota se tuntee kyvyttömyydestä lentää.")</f>
        <v>Teräksenkovalla kivipäällään se puskee umpimähkään. Tämä johtuu stressistä, jota se tuntee kyvyttömyydestä lentää.</v>
      </c>
      <c r="C6093" s="9" t="s">
        <v>1344</v>
      </c>
    </row>
    <row r="6094" ht="33.75" customHeight="1">
      <c r="A6094" s="6" t="s">
        <v>9043</v>
      </c>
      <c r="B6094" s="6" t="str">
        <f>IFERROR(__xludf.DUMMYFUNCTION("GOOGLETRANSLATE(A6094,""en"",""fi"")"),"Aina kun se näkee lintu-Pokémonin lentävän taivaalla, se tulee kateelliseksi ja murskaa ympäristönsä palasiksi pääniskuilla.")</f>
        <v>Aina kun se näkee lintu-Pokémonin lentävän taivaalla, se tulee kateelliseksi ja murskaa ympäristönsä palasiksi pääniskuilla.</v>
      </c>
      <c r="C6094" s="9" t="s">
        <v>1344</v>
      </c>
    </row>
    <row r="6095" ht="33.75" customHeight="1">
      <c r="A6095" s="6" t="s">
        <v>9044</v>
      </c>
      <c r="B6095" s="6" t="str">
        <f>IFERROR(__xludf.DUMMYFUNCTION("GOOGLETRANSLATE(A6095,""en"",""fi"")"),"Jotkut teoriat viittaavat siihen, että sen käyttäytyminen, jossa se hakkaa päätään voimakkaasti esineisiin, stimuloi soluja, jotka vaikuttavat sen evoluutioon.")</f>
        <v>Jotkut teoriat viittaavat siihen, että sen käyttäytyminen, jossa se hakkaa päätään voimakkaasti esineisiin, stimuloi soluja, jotka vaikuttavat sen evoluutioon.</v>
      </c>
      <c r="C6095" s="9" t="s">
        <v>1344</v>
      </c>
    </row>
    <row r="6096" ht="33.75" customHeight="1">
      <c r="A6096" s="6" t="s">
        <v>9047</v>
      </c>
      <c r="B6096" s="6" t="str">
        <f>IFERROR(__xludf.DUMMYFUNCTION("GOOGLETRANSLATE(A6096,""en"",""fi"")"),"Bagon hyppää kallioilta joka päivä yrittäen vahvistua, jotta se jonain päivänä pystyisi lentämään.")</f>
        <v>Bagon hyppää kallioilta joka päivä yrittäen vahvistua, jotta se jonain päivänä pystyisi lentämään.</v>
      </c>
      <c r="C6096" s="9" t="s">
        <v>1344</v>
      </c>
    </row>
    <row r="6097" ht="33.75" customHeight="1">
      <c r="A6097" s="6" t="s">
        <v>9051</v>
      </c>
      <c r="B6097" s="6" t="str">
        <f>IFERROR(__xludf.DUMMYFUNCTION("GOOGLETRANSLATE(A6097,""en"",""fi"")"),"Bagon on yksinäinen Pokémon, joka ei muodosta ryhmiä muiden kaltaistensa kanssa. Sen pää on myös niin kova, että se voi halkaista lohkareen yhdellä iskulla.")</f>
        <v>Bagon on yksinäinen Pokémon, joka ei muodosta ryhmiä muiden kaltaistensa kanssa. Sen pää on myös niin kova, että se voi halkaista lohkareen yhdellä iskulla.</v>
      </c>
      <c r="C6097" s="9" t="s">
        <v>1344</v>
      </c>
    </row>
    <row r="6098" ht="33.75" customHeight="1">
      <c r="A6098" s="6" t="s">
        <v>9052</v>
      </c>
      <c r="B6098" s="6" t="str">
        <f>IFERROR(__xludf.DUMMYFUNCTION("GOOGLETRANSLATE(A6098,""en"",""fi"")"),"SHELGONin panssarin kaltaisen kuoren sisällä solut ovat keskellä muutosta luodakseen täysin uuden kehon. Tämän POKéMONin kuori on erittäin painava, mikä tekee sen liikkeistä hitaita.")</f>
        <v>SHELGONin panssarin kaltaisen kuoren sisällä solut ovat keskellä muutosta luodakseen täysin uuden kehon. Tämän POKéMONin kuori on erittäin painava, mikä tekee sen liikkeistä hitaita.</v>
      </c>
      <c r="C6098" s="9" t="s">
        <v>1344</v>
      </c>
    </row>
    <row r="6099" ht="33.75" customHeight="1">
      <c r="A6099" s="6" t="s">
        <v>9055</v>
      </c>
      <c r="B6099" s="6" t="str">
        <f>IFERROR(__xludf.DUMMYFUNCTION("GOOGLETRANSLATE(A6099,""en"",""fi"")"),"SHELGONIN kehoa peittävät luita muistuttavat ulokkeet. Kuori on erittäin kova ja kimpoaa vihollisen hyökkäyksistä. Kehitystä odottaessaan tämä POKéMON piiloutuu luolaan.")</f>
        <v>SHELGONIN kehoa peittävät luita muistuttavat ulokkeet. Kuori on erittäin kova ja kimpoaa vihollisen hyökkäyksistä. Kehitystä odottaessaan tämä POKéMON piiloutuu luolaan.</v>
      </c>
      <c r="C6099" s="9" t="s">
        <v>1344</v>
      </c>
    </row>
    <row r="6100" ht="33.75" customHeight="1">
      <c r="A6100" s="6" t="s">
        <v>9057</v>
      </c>
      <c r="B6100" s="6" t="str">
        <f>IFERROR(__xludf.DUMMYFUNCTION("GOOGLETRANSLATE(A6100,""en"",""fi"")"),"Se tuskin syö odottaessaan evoluutiota. Se tulee sitkeämmäksi kestämällä nälkää. Sen kuori irtoaa heti, kun se alkaa kehittyä.")</f>
        <v>Se tuskin syö odottaessaan evoluutiota. Se tulee sitkeämmäksi kestämällä nälkää. Sen kuori irtoaa heti, kun se alkaa kehittyä.</v>
      </c>
      <c r="C6100" s="9" t="s">
        <v>1344</v>
      </c>
    </row>
    <row r="6101" ht="33.75" customHeight="1">
      <c r="A6101" s="6" t="s">
        <v>9060</v>
      </c>
      <c r="B6101" s="6" t="str">
        <f>IFERROR(__xludf.DUMMYFUNCTION("GOOGLETRANSLATE(A6101,""en"",""fi"")"),"Sen panssaroitu vartalo kimpoaa kaikki hyökkäykset takaisin. Panssari on kuitenkin liian kestävä, mikä tekee siitä raskaan ja hieman hitaan.")</f>
        <v>Sen panssaroitu vartalo kimpoaa kaikki hyökkäykset takaisin. Panssari on kuitenkin liian kestävä, mikä tekee siitä raskaan ja hieman hitaan.</v>
      </c>
      <c r="C6101" s="9" t="s">
        <v>1344</v>
      </c>
    </row>
    <row r="6102" ht="33.75" customHeight="1">
      <c r="A6102" s="6" t="s">
        <v>9061</v>
      </c>
      <c r="B6102" s="6" t="str">
        <f>IFERROR(__xludf.DUMMYFUNCTION("GOOGLETRANSLATE(A6102,""en"",""fi"")"),"Karkean kuorensa sisällä sen solut ovat alkaneet muuttua. Kuori irtoaa heti, kun se kehittyy.")</f>
        <v>Karkean kuorensa sisällä sen solut ovat alkaneet muuttua. Kuori irtoaa heti, kun se kehittyy.</v>
      </c>
      <c r="C6102" s="9" t="s">
        <v>1344</v>
      </c>
    </row>
    <row r="6103" ht="33.75" customHeight="1">
      <c r="A6103" s="6" t="s">
        <v>9063</v>
      </c>
      <c r="B6103" s="6" t="str">
        <f>IFERROR(__xludf.DUMMYFUNCTION("GOOGLETRANSLATE(A6103,""en"",""fi"")"),"Se ympäröi ruumiinsa rautakovalla kuorella kerätäkseen tarpeeksi voimaa kehittyäkseen.")</f>
        <v>Se ympäröi ruumiinsa rautakovalla kuorella kerätäkseen tarpeeksi voimaa kehittyäkseen.</v>
      </c>
      <c r="C6103" s="9" t="s">
        <v>1344</v>
      </c>
    </row>
    <row r="6104" ht="33.75" customHeight="1">
      <c r="A6104" s="6" t="s">
        <v>9065</v>
      </c>
      <c r="B6104" s="6" t="str">
        <f>IFERROR(__xludf.DUMMYFUNCTION("GOOGLETRANSLATE(A6104,""en"",""fi"")"),"Shelgonin panssarin kaltaisen kuoren sisällä solut ovat keskellä muutosta luodakseen täysin uuden kehon. Tämän Pokémonin kuori on erittäin painava, mikä tekee sen liikkeistä hitaita.")</f>
        <v>Shelgonin panssarin kaltaisen kuoren sisällä solut ovat keskellä muutosta luodakseen täysin uuden kehon. Tämän Pokémonin kuori on erittäin painava, mikä tekee sen liikkeistä hitaita.</v>
      </c>
      <c r="C6104" s="9" t="s">
        <v>1344</v>
      </c>
    </row>
    <row r="6105" ht="33.75" customHeight="1">
      <c r="A6105" s="6" t="s">
        <v>9066</v>
      </c>
      <c r="B6105" s="6" t="str">
        <f>IFERROR(__xludf.DUMMYFUNCTION("GOOGLETRANSLATE(A6105,""en"",""fi"")"),"Shelgonin kehoa peittävät luuta muistuttavat ulokkeet. Kuori on erittäin kova ja kimpoaa vihollisen hyökkäyksistä. Kehitystä odottaessaan tämä Pokémon piiloutuu luolaan.")</f>
        <v>Shelgonin kehoa peittävät luuta muistuttavat ulokkeet. Kuori on erittäin kova ja kimpoaa vihollisen hyökkäyksistä. Kehitystä odottaessaan tämä Pokémon piiloutuu luolaan.</v>
      </c>
      <c r="C6105" s="9" t="s">
        <v>1344</v>
      </c>
    </row>
    <row r="6106" ht="33.75" customHeight="1">
      <c r="A6106" s="6" t="s">
        <v>9069</v>
      </c>
      <c r="B6106" s="6" t="str">
        <f>IFERROR(__xludf.DUMMYFUNCTION("GOOGLETRANSLATE(A6106,""en"",""fi"")"),"Sen kuoren solut muuttuvat räjähdysmäisellä nopeudella ja valmistavat sitä evoluutioon.")</f>
        <v>Sen kuoren solut muuttuvat räjähdysmäisellä nopeudella ja valmistavat sitä evoluutioon.</v>
      </c>
      <c r="C6106" s="9" t="s">
        <v>1344</v>
      </c>
    </row>
    <row r="6107" ht="33.75" customHeight="1">
      <c r="A6107" s="6" t="s">
        <v>9071</v>
      </c>
      <c r="B6107" s="6" t="str">
        <f>IFERROR(__xludf.DUMMYFUNCTION("GOOGLETRANSLATE(A6107,""en"",""fi"")"),"Ne lymyilevät syvällä luolissa – liikkumattomina, eivät syö eivätkä juo. Miksi ne eivät kuole, ei tiedetä.")</f>
        <v>Ne lymyilevät syvällä luolissa – liikkumattomina, eivät syö eivätkä juo. Miksi ne eivät kuole, ei tiedetä.</v>
      </c>
      <c r="C6107" s="9" t="s">
        <v>1344</v>
      </c>
    </row>
    <row r="6108" ht="33.75" customHeight="1">
      <c r="A6108" s="6" t="s">
        <v>9072</v>
      </c>
      <c r="B6108" s="6" t="str">
        <f>IFERROR(__xludf.DUMMYFUNCTION("GOOGLETRANSLATE(A6108,""en"",""fi"")"),"Sen kehon solut muuttuvat hämmentävää vauhtia. Sen kova kuori on tehty samasta aineesta kuin luu.")</f>
        <v>Sen kehon solut muuttuvat hämmentävää vauhtia. Sen kova kuori on tehty samasta aineesta kuin luu.</v>
      </c>
      <c r="C6108" s="9" t="s">
        <v>1344</v>
      </c>
    </row>
    <row r="6109" ht="33.75" customHeight="1">
      <c r="A6109" s="6" t="s">
        <v>9073</v>
      </c>
      <c r="B6109" s="6" t="str">
        <f>IFERROR(__xludf.DUMMYFUNCTION("GOOGLETRANSLATE(A6109,""en"",""fi"")"),"Shelgon asuu syvällä luolissa. Se pysyy suljettuna kovaan kuoreensa ja unelmoi päivästä, jolloin se pystyy lentämään.")</f>
        <v>Shelgon asuu syvällä luolissa. Se pysyy suljettuna kovaan kuoreensa ja unelmoi päivästä, jolloin se pystyy lentämään.</v>
      </c>
      <c r="C6109" s="9" t="s">
        <v>1344</v>
      </c>
    </row>
    <row r="6110" ht="33.75" customHeight="1">
      <c r="A6110" s="6" t="s">
        <v>9074</v>
      </c>
      <c r="B6110" s="6" t="str">
        <f>IFERROR(__xludf.DUMMYFUNCTION("GOOGLETRANSLATE(A6110,""en"",""fi"")"),"Tämä Pokémon on peittänyt kehonsa kovalla kuorella, jonka koostumus on sama kuin luun. Shelgon varastoi energiaa evoluutiota varten.")</f>
        <v>Tämä Pokémon on peittänyt kehonsa kovalla kuorella, jonka koostumus on sama kuin luun. Shelgon varastoi energiaa evoluutiota varten.</v>
      </c>
      <c r="C6110" s="9" t="s">
        <v>1344</v>
      </c>
    </row>
    <row r="6111" ht="33.75" customHeight="1">
      <c r="A6111" s="6" t="s">
        <v>9077</v>
      </c>
      <c r="B6111" s="6" t="str">
        <f>IFERROR(__xludf.DUMMYFUNCTION("GOOGLETRANSLATE(A6111,""en"",""fi"")"),"Shelgon ei välitä nälästään lainkaan eikä syö mitään. Ilmeisesti Shelgon kehittyy, kun kaikki sen energiavarastot ovat käytetty loppuun.")</f>
        <v>Shelgon ei välitä nälästään lainkaan eikä syö mitään. Ilmeisesti Shelgon kehittyy, kun kaikki sen energiavarastot ovat käytetty loppuun.</v>
      </c>
      <c r="C6111" s="9" t="s">
        <v>1344</v>
      </c>
    </row>
    <row r="6112" ht="33.75" customHeight="1">
      <c r="A6112" s="6" t="s">
        <v>9079</v>
      </c>
      <c r="B6112" s="6" t="str">
        <f>IFERROR(__xludf.DUMMYFUNCTION("GOOGLETRANSLATE(A6112,""en"",""fi"")"),"SALAMENCE syntyi pitkäaikaisen ja vahvan unelman tuloksena siipien kasvattamisesta. Kerrotaan, että tämä voimakas halu laukaisi äkillisen mutaation tämän POKéMONin soluissa, minkä seurauksena se kasvatti upeat siipensä.")</f>
        <v>SALAMENCE syntyi pitkäaikaisen ja vahvan unelman tuloksena siipien kasvattamisesta. Kerrotaan, että tämä voimakas halu laukaisi äkillisen mutaation tämän POKéMONin soluissa, minkä seurauksena se kasvatti upeat siipensä.</v>
      </c>
      <c r="C6112" s="9" t="s">
        <v>1344</v>
      </c>
    </row>
    <row r="6113" ht="33.75" customHeight="1">
      <c r="A6113" s="6" t="s">
        <v>9080</v>
      </c>
      <c r="B6113" s="6" t="str">
        <f>IFERROR(__xludf.DUMMYFUNCTION("GOOGLETRANSLATE(A6113,""en"",""fi"")"),"Kehittymällä SALAMENCEksi tämä POKéMON toteuttaa vihdoin pitkäaikaisen unelmansa siipien kasvattamisesta. Ilmaistakseen iloaan se lentää ja pyörii taivaalla syöstäen liekkejä suustaan.")</f>
        <v>Kehittymällä SALAMENCEksi tämä POKéMON toteuttaa vihdoin pitkäaikaisen unelmansa siipien kasvattamisesta. Ilmaistakseen iloaan se lentää ja pyörii taivaalla syöstäen liekkejä suustaan.</v>
      </c>
      <c r="C6113" s="9" t="s">
        <v>1344</v>
      </c>
    </row>
    <row r="6114" ht="33.75" customHeight="1">
      <c r="A6114" s="6" t="s">
        <v>9082</v>
      </c>
      <c r="B6114" s="6" t="str">
        <f>IFERROR(__xludf.DUMMYFUNCTION("GOOGLETRANSLATE(A6114,""en"",""fi"")"),"Monien pitkien vuosien jälkeen sen solurakenne koki äkillisen mutaation ja kasvatti siivet. Vihastuttuaan se menettää kaiken harkintakykynsä ja raivoaa hallitsemattomasti.")</f>
        <v>Monien pitkien vuosien jälkeen sen solurakenne koki äkillisen mutaation ja kasvatti siivet. Vihastuttuaan se menettää kaiken harkintakykynsä ja raivoaa hallitsemattomasti.</v>
      </c>
      <c r="C6114" s="9" t="s">
        <v>1344</v>
      </c>
    </row>
    <row r="6115" ht="33.75" customHeight="1">
      <c r="A6115" s="6" t="s">
        <v>9086</v>
      </c>
      <c r="B6115" s="6" t="str">
        <f>IFERROR(__xludf.DUMMYFUNCTION("GOOGLETRANSLATE(A6115,""en"",""fi"")"),"Raivostuneena siitä tulee hallitsematon. Se tuhoaa kaiken repivillä kynsillään ja tulella.")</f>
        <v>Raivostuneena siitä tulee hallitsematon. Se tuhoaa kaiken repivillä kynsillään ja tulella.</v>
      </c>
      <c r="C6115" s="9" t="s">
        <v>1344</v>
      </c>
    </row>
    <row r="6116" ht="33.75" customHeight="1">
      <c r="A6116" s="6" t="s">
        <v>9087</v>
      </c>
      <c r="B6116" s="6" t="str">
        <f>IFERROR(__xludf.DUMMYFUNCTION("GOOGLETRANSLATE(A6116,""en"",""fi"")"),"Pitkäaikaisen unelmansa lentämisestä seurauksena sen solurakenne muuttui ja siivet kasvoivat.")</f>
        <v>Pitkäaikaisen unelmansa lentämisestä seurauksena sen solurakenne muuttui ja siivet kasvoivat.</v>
      </c>
      <c r="C6116" s="9" t="s">
        <v>1344</v>
      </c>
    </row>
    <row r="6117" ht="33.75" customHeight="1">
      <c r="A6117" s="6" t="s">
        <v>9091</v>
      </c>
      <c r="B6117" s="6" t="str">
        <f>IFERROR(__xludf.DUMMYFUNCTION("GOOGLETRANSLATE(A6117,""en"",""fi"")"),"Raivostuneena sitä ei voi hillitä. Se lentää ympäriinsä sytyttäen liekkejä ja polttaen peltoja ja vuoria.")</f>
        <v>Raivostuneena sitä ei voi hillitä. Se lentää ympäriinsä sytyttäen liekkejä ja polttaen peltoja ja vuoria.</v>
      </c>
      <c r="C6117" s="9" t="s">
        <v>1344</v>
      </c>
    </row>
    <row r="6118" ht="33.75" customHeight="1">
      <c r="A6118" s="6" t="s">
        <v>9093</v>
      </c>
      <c r="B6118" s="6" t="str">
        <f>IFERROR(__xludf.DUMMYFUNCTION("GOOGLETRANSLATE(A6118,""en"",""fi"")"),"Salamence syntyi pitkäaikaisen ja vahvan unelman seurauksena siipien kasvattamisesta. Kerrotaan, että tämä voimakas halu laukaisi äkillisen mutaation Pokémonin soluissa, minkä seurauksena se kasvatti upeat siivet.")</f>
        <v>Salamence syntyi pitkäaikaisen ja vahvan unelman seurauksena siipien kasvattamisesta. Kerrotaan, että tämä voimakas halu laukaisi äkillisen mutaation Pokémonin soluissa, minkä seurauksena se kasvatti upeat siivet.</v>
      </c>
      <c r="C6118" s="9" t="s">
        <v>1344</v>
      </c>
    </row>
    <row r="6119" ht="33.75" customHeight="1">
      <c r="A6119" s="6" t="s">
        <v>9095</v>
      </c>
      <c r="B6119" s="6" t="str">
        <f>IFERROR(__xludf.DUMMYFUNCTION("GOOGLETRANSLATE(A6119,""en"",""fi"")"),"Kehittymällä Salamenceksi tämä Pokémon toteuttaa vihdoin pitkäaikaisen unelmansa siipien kasvattamisesta. Ilmaistakseen iloaan se lentää ja pyörii taivaalla pursottaen liekkejä suustaan.")</f>
        <v>Kehittymällä Salamenceksi tämä Pokémon toteuttaa vihdoin pitkäaikaisen unelmansa siipien kasvattamisesta. Ilmaistakseen iloaan se lentää ja pyörii taivaalla pursottaen liekkejä suustaan.</v>
      </c>
      <c r="C6119" s="9" t="s">
        <v>1344</v>
      </c>
    </row>
    <row r="6120" ht="33.75" customHeight="1">
      <c r="A6120" s="6" t="s">
        <v>9096</v>
      </c>
      <c r="B6120" s="6" t="str">
        <f>IFERROR(__xludf.DUMMYFUNCTION("GOOGLETRANSLATE(A6120,""en"",""fi"")"),"Vihastuttuaan se menettää kaiken itsetunnon ja tuhoaa kaiken ympärillään. Tuhoaminen jatkuu, kunnes Salamence on väsynyt.")</f>
        <v>Vihastuttuaan se menettää kaiken itsetunnon ja tuhoaa kaiken ympärillään. Tuhoaminen jatkuu, kunnes Salamence on väsynyt.</v>
      </c>
      <c r="C6120" s="9" t="s">
        <v>1344</v>
      </c>
    </row>
    <row r="6121" ht="33.75" customHeight="1">
      <c r="A6121" s="6" t="s">
        <v>9098</v>
      </c>
      <c r="B6121" s="6" t="str">
        <f>IFERROR(__xludf.DUMMYFUNCTION("GOOGLETRANSLATE(A6121,""en"",""fi"")"),"Se lentää siivillään, jotka ovat viimein kasvaneet isoiksi. Onnessaan se purkaa kuumia liekkejä, polttaen poroksi pellot, joiden yli se kulkee.")</f>
        <v>Se lentää siivillään, jotka ovat viimein kasvaneet isoiksi. Onnessaan se purkaa kuumia liekkejä, polttaen poroksi pellot, joiden yli se kulkee.</v>
      </c>
      <c r="C6121" s="9" t="s">
        <v>1344</v>
      </c>
    </row>
    <row r="6122" ht="33.75" customHeight="1">
      <c r="A6122" s="6" t="s">
        <v>9100</v>
      </c>
      <c r="B6122" s="6" t="str">
        <f>IFERROR(__xludf.DUMMYFUNCTION("GOOGLETRANSLATE(A6122,""en"",""fi"")"),"Iloisena siitä, että se vihdoin pystyy lentämään, se lentää joka paikkaan eikä yleensä laskeudu ennen kuin on täysin uupunut ja tarvitsee unta.")</f>
        <v>Iloisena siitä, että se vihdoin pystyy lentämään, se lentää joka paikkaan eikä yleensä laskeudu ennen kuin on täysin uupunut ja tarvitsee unta.</v>
      </c>
      <c r="C6122" s="9" t="s">
        <v>1344</v>
      </c>
    </row>
    <row r="6123" ht="33.75" customHeight="1">
      <c r="A6123" s="6" t="s">
        <v>9101</v>
      </c>
      <c r="B6123" s="6" t="str">
        <f>IFERROR(__xludf.DUMMYFUNCTION("GOOGLETRANSLATE(A6123,""en"",""fi"")"),"Sen hartaiden toiveiden ansiosta sen kehon solut lopulta mutatoituivat, ja viimein se sai sydämensä toiveen – siivet.")</f>
        <v>Sen hartaiden toiveiden ansiosta sen kehon solut lopulta mutatoituivat, ja viimein se sai sydämensä toiveen – siivet.</v>
      </c>
      <c r="C6123" s="9" t="s">
        <v>1344</v>
      </c>
    </row>
    <row r="6124" ht="33.75" customHeight="1">
      <c r="A6124" s="6" t="s">
        <v>9103</v>
      </c>
      <c r="B6124" s="6" t="str">
        <f>IFERROR(__xludf.DUMMYFUNCTION("GOOGLETRANSLATE(A6124,""en"",""fi"")"),"Salamence on epätavallinen Pokémon siinä mielessä, että se pystyi kehittämään siivellisen ruumiin vain toivomalla jatkuvasti pystyvänsä lentämään.")</f>
        <v>Salamence on epätavallinen Pokémon siinä mielessä, että se pystyi kehittämään siivellisen ruumiin vain toivomalla jatkuvasti pystyvänsä lentämään.</v>
      </c>
      <c r="C6124" s="9" t="s">
        <v>1344</v>
      </c>
    </row>
    <row r="6125" ht="33.75" customHeight="1">
      <c r="A6125" s="6" t="s">
        <v>9104</v>
      </c>
      <c r="B6125" s="6" t="str">
        <f>IFERROR(__xludf.DUMMYFUNCTION("GOOGLETRANSLATE(A6125,""en"",""fi"")"),"Vaikka lentämisen ilosta nauttiminen yleensä pitää tämän Pokémonin hyvällä tuulella, Salamence muuttuu hillittömäksi uhaksi, jos jokin suututtaa sitä.")</f>
        <v>Vaikka lentämisen ilosta nauttiminen yleensä pitää tämän Pokémonin hyvällä tuulella, Salamence muuttuu hillittömäksi uhaksi, jos jokin suututtaa sitä.</v>
      </c>
      <c r="C6125" s="9" t="s">
        <v>1344</v>
      </c>
    </row>
    <row r="6126" ht="33.75" customHeight="1">
      <c r="A6126" s="6" t="s">
        <v>9105</v>
      </c>
      <c r="B6126" s="6" t="str">
        <f>IFERROR(__xludf.DUMMYFUNCTION("GOOGLETRANSLATE(A6126,""en"",""fi"")"),"Veren sijaan voimakas magneettinen voima kulkee BELDUMin kehon läpi. Tämä POKéMON kommunikoi muiden kanssa lähettämällä kontrolloituja magneettipulsseja.")</f>
        <v>Veren sijaan voimakas magneettinen voima kulkee BELDUMin kehon läpi. Tämä POKéMON kommunikoi muiden kanssa lähettämällä kontrolloituja magneettipulsseja.</v>
      </c>
      <c r="C6126" s="9" t="s">
        <v>1344</v>
      </c>
    </row>
    <row r="6127" ht="33.75" customHeight="1">
      <c r="A6127" s="6" t="s">
        <v>9106</v>
      </c>
      <c r="B6127" s="6" t="str">
        <f>IFERROR(__xludf.DUMMYFUNCTION("GOOGLETRANSLATE(A6127,""en"",""fi"")"),"BELDUM pitää itsensä kellumassa tuottamalla magneettisen voiman, joka hylkii maan luonnollista magnetismia. Nukkuessaan tämä POKéMON ankkuroi itsensä kallioon takaosassaan olevien koukkujen avulla.")</f>
        <v>BELDUM pitää itsensä kellumassa tuottamalla magneettisen voiman, joka hylkii maan luonnollista magnetismia. Nukkuessaan tämä POKéMON ankkuroi itsensä kallioon takaosassaan olevien koukkujen avulla.</v>
      </c>
      <c r="C6127" s="9" t="s">
        <v>1344</v>
      </c>
    </row>
    <row r="6128" ht="33.75" customHeight="1">
      <c r="A6128" s="6" t="s">
        <v>9107</v>
      </c>
      <c r="B6128" s="6" t="str">
        <f>IFERROR(__xludf.DUMMYFUNCTION("GOOGLETRANSLATE(A6128,""en"",""fi"")"),"Kun BELDUMit kokoontuvat parveksi, ne liikkuvat täydellisessä yhteensattumassa aivan kuin ne olisivat vain yksi POKéMON. Ne kommunikoivat keskenään aivoaaltojen avulla.")</f>
        <v>Kun BELDUMit kokoontuvat parveksi, ne liikkuvat täydellisessä yhteensattumassa aivan kuin ne olisivat vain yksi POKéMON. Ne kommunikoivat keskenään aivoaaltojen avulla.</v>
      </c>
      <c r="C6128" s="9" t="s">
        <v>1344</v>
      </c>
    </row>
    <row r="6129" ht="33.75" customHeight="1">
      <c r="A6129" s="6" t="s">
        <v>9109</v>
      </c>
      <c r="B6129" s="6" t="str">
        <f>IFERROR(__xludf.DUMMYFUNCTION("GOOGLETRANSLATE(A6129,""en"",""fi"")"),"Se käyttää magneettisia aaltoja kommunikoidakseen lajitovereidensa kanssa. Kaikki sen kehon solut ovat magneettisia.")</f>
        <v>Se käyttää magneettisia aaltoja kommunikoidakseen lajitovereidensa kanssa. Kaikki sen kehon solut ovat magneettisia.</v>
      </c>
      <c r="C6129" s="9" t="s">
        <v>1344</v>
      </c>
    </row>
    <row r="6130" ht="33.75" customHeight="1">
      <c r="A6130" s="6" t="s">
        <v>9111</v>
      </c>
      <c r="B6130" s="6" t="str">
        <f>IFERROR(__xludf.DUMMYFUNCTION("GOOGLETRANSLATE(A6130,""en"",""fi"")"),"Se keskustelee muiden kanssa magneettipulssien avulla. Parvessa ne liikkuvat täydellisessä sopusoinnussa.")</f>
        <v>Se keskustelee muiden kanssa magneettipulssien avulla. Parvessa ne liikkuvat täydellisessä sopusoinnussa.</v>
      </c>
      <c r="C6130" s="9" t="s">
        <v>1344</v>
      </c>
    </row>
    <row r="6131" ht="33.75" customHeight="1">
      <c r="A6131" s="6" t="s">
        <v>9112</v>
      </c>
      <c r="B6131" s="6" t="str">
        <f>IFERROR(__xludf.DUMMYFUNCTION("GOOGLETRANSLATE(A6131,""en"",""fi"")"),"Sen kehon synnyttämä magneettinen voima hylkii maan luonnollista magnetismia, jolloin se kelluu.")</f>
        <v>Sen kehon synnyttämä magneettinen voima hylkii maan luonnollista magnetismia, jolloin se kelluu.</v>
      </c>
      <c r="C6131" s="9" t="s">
        <v>1344</v>
      </c>
    </row>
    <row r="6132" ht="33.75" customHeight="1">
      <c r="A6132" s="6" t="s">
        <v>9113</v>
      </c>
      <c r="B6132" s="6" t="str">
        <f>IFERROR(__xludf.DUMMYFUNCTION("GOOGLETRANSLATE(A6132,""en"",""fi"")"),"Sen solut ovat kaikki magneettisia, ja se kommunikoi muiden kanssa magneettipulssien avulla.")</f>
        <v>Sen solut ovat kaikki magneettisia, ja se kommunikoi muiden kanssa magneettipulssien avulla.</v>
      </c>
      <c r="C6132" s="9" t="s">
        <v>1344</v>
      </c>
    </row>
    <row r="6133" ht="33.75" customHeight="1">
      <c r="A6133" s="6" t="s">
        <v>9114</v>
      </c>
      <c r="B6133" s="6" t="str">
        <f>IFERROR(__xludf.DUMMYFUNCTION("GOOGLETRANSLATE(A6133,""en"",""fi"")"),"Veren sijaan voimakas magneettinen voima kulkee Beldumin kehon läpi. Tämä Pokémon kommunikoi muiden kanssa lähettämällä kontrolloituja magneettipulsseja.")</f>
        <v>Veren sijaan voimakas magneettinen voima kulkee Beldumin kehon läpi. Tämä Pokémon kommunikoi muiden kanssa lähettämällä kontrolloituja magneettipulsseja.</v>
      </c>
      <c r="C6133" s="9" t="s">
        <v>1344</v>
      </c>
    </row>
    <row r="6134" ht="33.75" customHeight="1">
      <c r="A6134" s="6" t="s">
        <v>9115</v>
      </c>
      <c r="B6134" s="6" t="str">
        <f>IFERROR(__xludf.DUMMYFUNCTION("GOOGLETRANSLATE(A6134,""en"",""fi"")"),"Beldum pitää itsensä kellumassa tuottamalla magneettisen voiman, joka hylkii maan luonnollista magnetismia. Nukkuessaan tämä Pokémon ankkuroi itsensä kallioon takamuksessaan olevien koukkujen avulla.")</f>
        <v>Beldum pitää itsensä kellumassa tuottamalla magneettisen voiman, joka hylkii maan luonnollista magnetismia. Nukkuessaan tämä Pokémon ankkuroi itsensä kallioon takamuksessaan olevien koukkujen avulla.</v>
      </c>
      <c r="C6134" s="9" t="s">
        <v>1344</v>
      </c>
    </row>
    <row r="6135" ht="33.75" customHeight="1">
      <c r="A6135" s="6" t="s">
        <v>9116</v>
      </c>
      <c r="B6135" s="6" t="str">
        <f>IFERROR(__xludf.DUMMYFUNCTION("GOOGLETRANSLATE(A6135,""en"",""fi"")"),"Sen solut ovat kaikki magneetteja. Se käyttää magnetismia kommunikoidakseen muiden kaltaistensa kanssa.")</f>
        <v>Sen solut ovat kaikki magneetteja. Se käyttää magnetismia kommunikoidakseen muiden kaltaistensa kanssa.</v>
      </c>
      <c r="C6135" s="9" t="s">
        <v>1344</v>
      </c>
    </row>
    <row r="6136" ht="33.75" customHeight="1">
      <c r="A6136" s="6" t="s">
        <v>9117</v>
      </c>
      <c r="B6136" s="6" t="str">
        <f>IFERROR(__xludf.DUMMYFUNCTION("GOOGLETRANSLATE(A6136,""en"",""fi"")"),"Magneettisen vetovoiman avulla se vetää vastustajansa lähelle. Kun he ovat kantaman sisällä, se viiltää heitä takakynsillään.")</f>
        <v>Magneettisen vetovoiman avulla se vetää vastustajansa lähelle. Kun he ovat kantaman sisällä, se viiltää heitä takakynsillään.</v>
      </c>
      <c r="C6136" s="9" t="s">
        <v>1344</v>
      </c>
    </row>
    <row r="6137" ht="33.75" customHeight="1">
      <c r="A6137" s="6" t="s">
        <v>9118</v>
      </c>
      <c r="B6137" s="6" t="str">
        <f>IFERROR(__xludf.DUMMYFUNCTION("GOOGLETRANSLATE(A6137,""en"",""fi"")"),"Veren sijaan sen kehossa virtaa magnetismia. Kun sillä on huono olo, kokeile antaa sille magneetti.")</f>
        <v>Veren sijaan sen kehossa virtaa magnetismia. Kun sillä on huono olo, kokeile antaa sille magneetti.</v>
      </c>
      <c r="C6137" s="9" t="s">
        <v>1344</v>
      </c>
    </row>
    <row r="6138" ht="33.75" customHeight="1">
      <c r="A6138" s="6" t="s">
        <v>9119</v>
      </c>
      <c r="B6138" s="6" t="str">
        <f>IFERROR(__xludf.DUMMYFUNCTION("GOOGLETRANSLATE(A6138,""en"",""fi"")"),"Jos suututat sen, se tekee muutakin kuin riehuu. Se myös purkaa voimakasta magnetismia, joka saa lähellä olevat koneet rikkoutumaan.")</f>
        <v>Jos suututat sen, se tekee muutakin kuin riehuu. Se myös purkaa voimakasta magnetismia, joka saa lähellä olevat koneet rikkoutumaan.</v>
      </c>
      <c r="C6138" s="9" t="s">
        <v>1344</v>
      </c>
    </row>
    <row r="6139" ht="33.75" customHeight="1">
      <c r="A6139" s="6" t="s">
        <v>9121</v>
      </c>
      <c r="B6139" s="6" t="str">
        <f>IFERROR(__xludf.DUMMYFUNCTION("GOOGLETRANSLATE(A6139,""en"",""fi"")"),"Beldum lähettää takaosastaan ​​magneettista voimaa, joka vetää vastustajat nopeasti puoleensa. He vartaastuvat Beldumin teräviin kynsiin.")</f>
        <v>Beldum lähettää takaosastaan ​​magneettista voimaa, joka vetää vastustajat nopeasti puoleensa. He vartaastuvat Beldumin teräviin kynsiin.</v>
      </c>
      <c r="C6139" s="9" t="s">
        <v>1344</v>
      </c>
    </row>
    <row r="6140" ht="33.75" customHeight="1">
      <c r="A6140" s="6" t="s">
        <v>9122</v>
      </c>
      <c r="B6140" s="6" t="str">
        <f>IFERROR(__xludf.DUMMYFUNCTION("GOOGLETRANSLATE(A6140,""en"",""fi"")"),"Tämän Pokémonin kehon solut koostuvat magneettisesta materiaalista. Veren sijaan Beldumin kehon läpi virtaa magneettisia voimia.")</f>
        <v>Tämän Pokémonin kehon solut koostuvat magneettisesta materiaalista. Veren sijaan Beldumin kehon läpi virtaa magneettisia voimia.</v>
      </c>
      <c r="C6140" s="9" t="s">
        <v>1344</v>
      </c>
    </row>
    <row r="6141" ht="33.75" customHeight="1">
      <c r="A6141" s="6" t="s">
        <v>9123</v>
      </c>
      <c r="B6141" s="6" t="str">
        <f>IFERROR(__xludf.DUMMYFUNCTION("GOOGLETRANSLATE(A6141,""en"",""fi"")"),"Kun kaksi BELDUMIA sulautuu yhteen, muodostuu METANG. BELDUMin aivot yhdistyvät magneettisen hermoston kautta. Yhdistämällä aivonsa magneettisesti tämä POKéMON tuottaa voimakasta psykokineettistä voimaa.")</f>
        <v>Kun kaksi BELDUMIA sulautuu yhteen, muodostuu METANG. BELDUMin aivot yhdistyvät magneettisen hermoston kautta. Yhdistämällä aivonsa magneettisesti tämä POKéMON tuottaa voimakasta psykokineettistä voimaa.</v>
      </c>
      <c r="C6141" s="9" t="s">
        <v>1344</v>
      </c>
    </row>
    <row r="6142" ht="33.75" customHeight="1">
      <c r="A6142" s="6" t="s">
        <v>9124</v>
      </c>
      <c r="B6142" s="6" t="str">
        <f>IFERROR(__xludf.DUMMYFUNCTION("GOOGLETRANSLATE(A6142,""en"",""fi"")"),"Kun kaksi BELDUMIA sulautuu yhteen, muodostuu METANG. BELDUMien aivot yhdistyvät magneettisen hermoston avulla. Tämä POKéMON kääntää kätensä taaksepäin liikkuakseen suurella nopeudella.")</f>
        <v>Kun kaksi BELDUMIA sulautuu yhteen, muodostuu METANG. BELDUMien aivot yhdistyvät magneettisen hermoston avulla. Tämä POKéMON kääntää kätensä taaksepäin liikkuakseen suurella nopeudella.</v>
      </c>
      <c r="C6142" s="9" t="s">
        <v>1344</v>
      </c>
    </row>
    <row r="6143" ht="33.75" customHeight="1">
      <c r="A6143" s="6" t="s">
        <v>9125</v>
      </c>
      <c r="B6143" s="6" t="str">
        <f>IFERROR(__xludf.DUMMYFUNCTION("GOOGLETRANSLATE(A6143,""en"",""fi"")"),"Sen käsivarsia väännevät kynnet ovat niin tuhovoimaisia, että ne voivat repiä paksuja rautalevyjä kuin ne olisivat silkkiä. Se lentää yli 95 kilometriä tunnissa.")</f>
        <v>Sen käsivarsia väännevät kynnet ovat niin tuhovoimaisia, että ne voivat repiä paksuja rautalevyjä kuin ne olisivat silkkiä. Se lentää yli 95 kilometriä tunnissa.</v>
      </c>
      <c r="C6143" s="9" t="s">
        <v>1344</v>
      </c>
    </row>
    <row r="6144" ht="33.75" customHeight="1">
      <c r="A6144" s="6" t="s">
        <v>9127</v>
      </c>
      <c r="B6144" s="6" t="str">
        <f>IFERROR(__xludf.DUMMYFUNCTION("GOOGLETRANSLATE(A6144,""en"",""fi"")"),"Se leijuu ilmassa magnetismin avulla. Sen runko on niin kestävä, että edes suihkukoneen törmäys ei jätä siihen naarmua.")</f>
        <v>Se leijuu ilmassa magnetismin avulla. Sen runko on niin kestävä, että edes suihkukoneen törmäys ei jätä siihen naarmua.</v>
      </c>
      <c r="C6144" s="9" t="s">
        <v>1344</v>
      </c>
    </row>
    <row r="6145" ht="33.75" customHeight="1">
      <c r="A6145" s="6" t="s">
        <v>9128</v>
      </c>
      <c r="B6145" s="6" t="str">
        <f>IFERROR(__xludf.DUMMYFUNCTION("GOOGLETRANSLATE(A6145,""en"",""fi"")"),"Se muodostuu kahdesta yhteen liitetystä BELDUM-kappaleesta. Sen teräsrunko ei naarmuunnu, jos se törmää suihkuun.")</f>
        <v>Se muodostuu kahdesta yhteen liitetystä BELDUM-kappaleesta. Sen teräsrunko ei naarmuunnu, jos se törmää suihkuun.</v>
      </c>
      <c r="C6145" s="9" t="s">
        <v>1344</v>
      </c>
    </row>
    <row r="6146" ht="33.75" customHeight="1">
      <c r="A6146" s="6" t="s">
        <v>9129</v>
      </c>
      <c r="B6146" s="6" t="str">
        <f>IFERROR(__xludf.DUMMYFUNCTION("GOOGLETRANSLATE(A6146,""en"",""fi"")"),"Kun kaksi BELDUMIA sulautuu yhteen, magneettinen hermosto yhdistää niiden aivot.")</f>
        <v>Kun kaksi BELDUMIA sulautuu yhteen, magneettinen hermosto yhdistää niiden aivot.</v>
      </c>
      <c r="C6146" s="9" t="s">
        <v>1344</v>
      </c>
    </row>
    <row r="6147" ht="33.75" customHeight="1">
      <c r="A6147" s="6" t="s">
        <v>9130</v>
      </c>
      <c r="B6147" s="6" t="str">
        <f>IFERROR(__xludf.DUMMYFUNCTION("GOOGLETRANSLATE(A6147,""en"",""fi"")"),"Se muodostuu kahdesta yhteen liitetystä Beldumista. Sen teräsrunko ei naarmuunnu, jos se törmää suihkukoneeseen.")</f>
        <v>Se muodostuu kahdesta yhteen liitetystä Beldumista. Sen teräsrunko ei naarmuunnu, jos se törmää suihkukoneeseen.</v>
      </c>
      <c r="C6147" s="9" t="s">
        <v>1344</v>
      </c>
    </row>
    <row r="6148" ht="33.75" customHeight="1">
      <c r="A6148" s="6" t="s">
        <v>9132</v>
      </c>
      <c r="B6148" s="6" t="str">
        <f>IFERROR(__xludf.DUMMYFUNCTION("GOOGLETRANSLATE(A6148,""en"",""fi"")"),"Se muodostuu kahden Beldumin yhdistymisestä. Sen kaksi aivoa ovat yhteydessä toisiinsa, mikä vahvistaa sen psyykkistä voimaa.")</f>
        <v>Se muodostuu kahden Beldumin yhdistymisestä. Sen kaksi aivoa ovat yhteydessä toisiinsa, mikä vahvistaa sen psyykkistä voimaa.</v>
      </c>
      <c r="C6148" s="9" t="s">
        <v>1344</v>
      </c>
    </row>
    <row r="6149" ht="33.75" customHeight="1">
      <c r="A6149" s="6" t="s">
        <v>9133</v>
      </c>
      <c r="B6149" s="6" t="str">
        <f>IFERROR(__xludf.DUMMYFUNCTION("GOOGLETRANSLATE(A6149,""en"",""fi"")"),"Kun kaksi Beldumia yhdistyy, muodostuu Metang. Beldumien aivot yhdistyvät magneettisen hermoston kautta. Yhdistämällä aivonsa magneettisesti tämä Pokémon tuottaa voimakasta psykokineettistä voimaa.")</f>
        <v>Kun kaksi Beldumia yhdistyy, muodostuu Metang. Beldumien aivot yhdistyvät magneettisen hermoston kautta. Yhdistämällä aivonsa magneettisesti tämä Pokémon tuottaa voimakasta psykokineettistä voimaa.</v>
      </c>
      <c r="C6149" s="9" t="s">
        <v>1344</v>
      </c>
    </row>
    <row r="6150" ht="33.75" customHeight="1">
      <c r="A6150" s="6" t="s">
        <v>9134</v>
      </c>
      <c r="B6150" s="6" t="str">
        <f>IFERROR(__xludf.DUMMYFUNCTION("GOOGLETRANSLATE(A6150,""en"",""fi"")"),"Kun kaksi Beldumia yhdistyy, muodostuu Metang. Beldumien aivot yhdistyvät magneettisen hermoston avulla. Tämä Pokémon kääntää kätensä taaksepäin matkustaakseen suurella nopeudella.")</f>
        <v>Kun kaksi Beldumia yhdistyy, muodostuu Metang. Beldumien aivot yhdistyvät magneettisen hermoston avulla. Tämä Pokémon kääntää kätensä taaksepäin matkustaakseen suurella nopeudella.</v>
      </c>
      <c r="C6150" s="9" t="s">
        <v>1344</v>
      </c>
    </row>
    <row r="6151" ht="33.75" customHeight="1">
      <c r="A6151" s="6" t="s">
        <v>9135</v>
      </c>
      <c r="B6151" s="6" t="str">
        <f>IFERROR(__xludf.DUMMYFUNCTION("GOOGLETRANSLATE(A6151,""en"",""fi"")"),"Kun kaksi Beldumia yhdistyy, heidän psyykkinen voimansa kaksinkertaistuu. Heidän älykkyytensä pysyy kuitenkin muuttumattomana.")</f>
        <v>Kun kaksi Beldumia yhdistyy, heidän psyykkinen voimansa kaksinkertaistuu. Heidän älykkyytensä pysyy kuitenkin muuttumattomana.</v>
      </c>
      <c r="C6151" s="9" t="s">
        <v>1344</v>
      </c>
    </row>
    <row r="6152" ht="33.75" customHeight="1">
      <c r="A6152" s="6" t="s">
        <v>9137</v>
      </c>
      <c r="B6152" s="6" t="str">
        <f>IFERROR(__xludf.DUMMYFUNCTION("GOOGLETRANSLATE(A6152,""en"",""fi"")"),"Se rakastaa magneettisia mineraaleja, joten se jahtaa Nosepassia yli 95 km/h nopeudella.")</f>
        <v>Se rakastaa magneettisia mineraaleja, joten se jahtaa Nosepassia yli 95 km/h nopeudella.</v>
      </c>
      <c r="C6152" s="9" t="s">
        <v>1344</v>
      </c>
    </row>
    <row r="6153" ht="33.75" customHeight="1">
      <c r="A6153" s="6" t="s">
        <v>9138</v>
      </c>
      <c r="B6153" s="6" t="str">
        <f>IFERROR(__xludf.DUMMYFUNCTION("GOOGLETRANSLATE(A6153,""en"",""fi"")"),"Kahdella aivollaan se ampuu voimakasta psyykkistä energiaa pysäyttääkseen saaliinsa.")</f>
        <v>Kahdella aivollaan se ampuu voimakasta psyykkistä energiaa pysäyttääkseen saaliinsa.</v>
      </c>
      <c r="C6153" s="9" t="s">
        <v>1344</v>
      </c>
    </row>
    <row r="6154" ht="33.75" customHeight="1">
      <c r="A6154" s="6" t="s">
        <v>9139</v>
      </c>
      <c r="B6154" s="6" t="str">
        <f>IFERROR(__xludf.DUMMYFUNCTION("GOOGLETRANSLATE(A6154,""en"",""fi"")"),"Se lentää taivaalla suurilla nopeuksilla. Löydettyään saaliinsa Metang ottaa siitä lujan otteen terävillä kynsillään eikä päästä irti.")</f>
        <v>Se lentää taivaalla suurilla nopeuksilla. Löydettyään saaliinsa Metang ottaa siitä lujan otteen terävillä kynsillään eikä päästä irti.</v>
      </c>
      <c r="C6154" s="9" t="s">
        <v>1344</v>
      </c>
    </row>
    <row r="6155" ht="33.75" customHeight="1">
      <c r="A6155" s="6" t="s">
        <v>9141</v>
      </c>
      <c r="B6155" s="6" t="str">
        <f>IFERROR(__xludf.DUMMYFUNCTION("GOOGLETRANSLATE(A6155,""en"",""fi"")"),"Kaksi Beldumia on juuttunut yhteen omien magneettivoimiensa ansiosta. Kahden aivon ansiosta Metangilla on kaksinkertaistuneet psyykkiset voimat.")</f>
        <v>Kaksi Beldumia on juuttunut yhteen omien magneettivoimiensa ansiosta. Kahden aivon ansiosta Metangilla on kaksinkertaistuneet psyykkiset voimat.</v>
      </c>
      <c r="C6155" s="9" t="s">
        <v>1344</v>
      </c>
    </row>
    <row r="6156" ht="33.75" customHeight="1">
      <c r="A6156" s="6" t="s">
        <v>9143</v>
      </c>
      <c r="B6156" s="6" t="str">
        <f>IFERROR(__xludf.DUMMYFUNCTION("GOOGLETRANSLATE(A6156,""en"",""fi"")"),"Tämä Pokémon pysyy korkealla magneettisten voimien avulla ja lentää suurilla nopeuksilla puikkelehtien karussa vuoristomaastossa saalista jahdaten.")</f>
        <v>Tämä Pokémon pysyy korkealla magneettisten voimien avulla ja lentää suurilla nopeuksilla puikkelehtien karussa vuoristomaastossa saalista jahdaten.</v>
      </c>
      <c r="C6156" s="9" t="s">
        <v>1344</v>
      </c>
    </row>
    <row r="6157" ht="33.75" customHeight="1">
      <c r="A6157" s="6" t="s">
        <v>9145</v>
      </c>
      <c r="B6157" s="6" t="str">
        <f>IFERROR(__xludf.DUMMYFUNCTION("GOOGLETRANSLATE(A6157,""en"",""fi"")"),"METAGROSSilla on yhteensä neljä aivoa. Yhdessä nämä neljä aivoa pystyvät suoriutumaan vaikeista laskutoimituksista nopeammin kuin supertietokone. Tämä POKéMON voi leijua ilmassa työntämällä neljä jalkaansa sisään.")</f>
        <v>METAGROSSilla on yhteensä neljä aivoa. Yhdessä nämä neljä aivoa pystyvät suoriutumaan vaikeista laskutoimituksista nopeammin kuin supertietokone. Tämä POKéMON voi leijua ilmassa työntämällä neljä jalkaansa sisään.</v>
      </c>
      <c r="C6157" s="9" t="s">
        <v>1344</v>
      </c>
    </row>
    <row r="6158" ht="33.75" customHeight="1">
      <c r="A6158" s="6" t="s">
        <v>9146</v>
      </c>
      <c r="B6158" s="6" t="str">
        <f>IFERROR(__xludf.DUMMYFUNCTION("GOOGLETRANSLATE(A6158,""en"",""fi"")"),"METAGROSS on kahden METANGin fuusion tulos. Metsästäessään tämä POKéMON kiinnittää saaliinsa maahan massiivisen ruumiinsa alle. Sitten se syö avuttoman uhrin vatsansa suuren suun avulla.")</f>
        <v>METAGROSS on kahden METANGin fuusion tulos. Metsästäessään tämä POKéMON kiinnittää saaliinsa maahan massiivisen ruumiinsa alle. Sitten se syö avuttoman uhrin vatsansa suuren suun avulla.</v>
      </c>
      <c r="C6158" s="9" t="s">
        <v>1344</v>
      </c>
    </row>
    <row r="6159" ht="33.75" customHeight="1">
      <c r="A6159" s="6" t="s">
        <v>9147</v>
      </c>
      <c r="B6159" s="6" t="str">
        <f>IFERROR(__xludf.DUMMYFUNCTION("GOOGLETRANSLATE(A6159,""en"",""fi"")"),"METAGROSSilla on neljä aivoa, jotka on yhdistetty monimutkaisella neuroverkolla. Integraation ansiosta tämä POKéMON on älykkäämpi kuin supertietokone.")</f>
        <v>METAGROSSilla on neljä aivoa, jotka on yhdistetty monimutkaisella neuroverkolla. Integraation ansiosta tämä POKéMON on älykkäämpi kuin supertietokone.</v>
      </c>
      <c r="C6159" s="9" t="s">
        <v>1344</v>
      </c>
    </row>
    <row r="6160" ht="33.75" customHeight="1">
      <c r="A6160" s="6" t="s">
        <v>9148</v>
      </c>
      <c r="B6160" s="6" t="str">
        <f>IFERROR(__xludf.DUMMYFUNCTION("GOOGLETRANSLATE(A6160,""en"",""fi"")"),"Se muodostuu kahden METANGin fuusioitumisesta. Sen neljän aivon sanotaan olevan supertietokonetta tehokkaammat.")</f>
        <v>Se muodostuu kahden METANGin fuusioitumisesta. Sen neljän aivon sanotaan olevan supertietokonetta tehokkaammat.</v>
      </c>
      <c r="C6160" s="9" t="s">
        <v>1344</v>
      </c>
    </row>
    <row r="6161" ht="33.75" customHeight="1">
      <c r="A6161" s="6" t="s">
        <v>9149</v>
      </c>
      <c r="B6161" s="6" t="str">
        <f>IFERROR(__xludf.DUMMYFUNCTION("GOOGLETRANSLATE(A6161,""en"",""fi"")"),"METANG yhdistyi muodostaen sen. Neljän aivonsa ansiosta sillä on supertietokoneen älykkyys.")</f>
        <v>METANG yhdistyi muodostaen sen. Neljän aivonsa ansiosta sillä on supertietokoneen älykkyys.</v>
      </c>
      <c r="C6161" s="9" t="s">
        <v>1344</v>
      </c>
    </row>
    <row r="6162" ht="33.75" customHeight="1">
      <c r="A6162" s="6" t="s">
        <v>9151</v>
      </c>
      <c r="B6162" s="6" t="str">
        <f>IFERROR(__xludf.DUMMYFUNCTION("GOOGLETRANSLATE(A6162,""en"",""fi"")"),"Se taittaa neljä jalkaansa lentäessään. Sen neljän aivon sanotaan olevan supertietokonetta tehokkaammat.")</f>
        <v>Se taittaa neljä jalkaansa lentäessään. Sen neljän aivon sanotaan olevan supertietokonetta tehokkaammat.</v>
      </c>
      <c r="C6162" s="9" t="s">
        <v>1344</v>
      </c>
    </row>
    <row r="6163" ht="33.75" customHeight="1">
      <c r="A6163" s="6" t="s">
        <v>9152</v>
      </c>
      <c r="B6163" s="6" t="str">
        <f>IFERROR(__xludf.DUMMYFUNCTION("GOOGLETRANSLATE(A6163,""en"",""fi"")"),"Metangit yhdistyivät muodostaen sen. Neljän aivonsa ansiosta sillä on supertietokoneen älykkyys.")</f>
        <v>Metangit yhdistyivät muodostaen sen. Neljän aivonsa ansiosta sillä on supertietokoneen älykkyys.</v>
      </c>
      <c r="C6163" s="9" t="s">
        <v>1344</v>
      </c>
    </row>
    <row r="6164" ht="33.75" customHeight="1">
      <c r="A6164" s="6" t="s">
        <v>9153</v>
      </c>
      <c r="B6164" s="6" t="str">
        <f>IFERROR(__xludf.DUMMYFUNCTION("GOOGLETRANSLATE(A6164,""en"",""fi"")"),"Neljän toisiinsa kytketyn aivonsa ansiosta se on älykkäämpi kuin supertietokone ja käyttää laskelmia vihollisten analysointiin.")</f>
        <v>Neljän toisiinsa kytketyn aivonsa ansiosta se on älykkäämpi kuin supertietokone ja käyttää laskelmia vihollisten analysointiin.</v>
      </c>
      <c r="C6164" s="9" t="s">
        <v>1344</v>
      </c>
    </row>
    <row r="6165" ht="33.75" customHeight="1">
      <c r="A6165" s="6" t="s">
        <v>9155</v>
      </c>
      <c r="B6165" s="6" t="str">
        <f>IFERROR(__xludf.DUMMYFUNCTION("GOOGLETRANSLATE(A6165,""en"",""fi"")"),"Metagrossilla on yhteensä neljä aivoa. Yhdessä ne pystyvät suoriutumaan vaikeista laskutoimituksista nopeammin kuin supertietokone. Tämä Pokémon voi leijua ilmassa työntämällä neljä jalkaansa sisään.")</f>
        <v>Metagrossilla on yhteensä neljä aivoa. Yhdessä ne pystyvät suoriutumaan vaikeista laskutoimituksista nopeammin kuin supertietokone. Tämä Pokémon voi leijua ilmassa työntämällä neljä jalkaansa sisään.</v>
      </c>
      <c r="C6165" s="9" t="s">
        <v>1344</v>
      </c>
    </row>
    <row r="6166" ht="33.75" customHeight="1">
      <c r="A6166" s="6" t="s">
        <v>9157</v>
      </c>
      <c r="B6166" s="6" t="str">
        <f>IFERROR(__xludf.DUMMYFUNCTION("GOOGLETRANSLATE(A6166,""en"",""fi"")"),"Metagross on kahden Metangin fuusion tulos. Metsästäessään tämä Pokémon kiinnittää saaliinsa maahan massiivisen ruumiinsa alle. Sitten se syö avuttoman uhrin vatsansa suuren suun avulla.")</f>
        <v>Metagross on kahden Metangin fuusion tulos. Metsästäessään tämä Pokémon kiinnittää saaliinsa maahan massiivisen ruumiinsa alle. Sitten se syö avuttoman uhrin vatsansa suuren suun avulla.</v>
      </c>
      <c r="C6166" s="9" t="s">
        <v>1344</v>
      </c>
    </row>
    <row r="6167" ht="33.75" customHeight="1">
      <c r="A6167" s="6" t="s">
        <v>9158</v>
      </c>
      <c r="B6167" s="6" t="str">
        <f>IFERROR(__xludf.DUMMYFUNCTION("GOOGLETRANSLATE(A6167,""en"",""fi"")"),"Se kiinnittää saaliinsa tiukasti neljällä kynnellään ja kookkailla vartaloillaan. Sitten sen vatsassa olevat hampaat pureskelevat saaliin palasiksi.")</f>
        <v>Se kiinnittää saaliinsa tiukasti neljällä kynnellään ja kookkailla vartaloillaan. Sitten sen vatsassa olevat hampaat pureskelevat saaliin palasiksi.</v>
      </c>
      <c r="C6167" s="9" t="s">
        <v>1344</v>
      </c>
    </row>
    <row r="6168" ht="33.75" customHeight="1">
      <c r="A6168" s="6" t="s">
        <v>9160</v>
      </c>
      <c r="B6168" s="6" t="str">
        <f>IFERROR(__xludf.DUMMYFUNCTION("GOOGLETRANSLATE(A6168,""en"",""fi"")"),"Kahden Metangin muodostama Pokémon pystyy suorittamaan minkä tahansa laskutoimituksen salamannopeasti hyödyntämällä neljän aivonsa rinnakkaisprosessointia.")</f>
        <v>Kahden Metangin muodostama Pokémon pystyy suorittamaan minkä tahansa laskutoimituksen salamannopeasti hyödyntämällä neljän aivonsa rinnakkaisprosessointia.</v>
      </c>
      <c r="C6168" s="9" t="s">
        <v>1344</v>
      </c>
    </row>
    <row r="6169" ht="33.75" customHeight="1">
      <c r="A6169" s="6" t="s">
        <v>9161</v>
      </c>
      <c r="B6169" s="6" t="str">
        <f>IFERROR(__xludf.DUMMYFUNCTION("GOOGLETRANSLATE(A6169,""en"",""fi"")"),"Sillä on paitsi psyykkisten voimien myös fantastinen voima. Se nappaa saaliinsa neljällä jalallaan ja pitää ne paikoillaan kynsillään.")</f>
        <v>Sillä on paitsi psyykkisten voimien myös fantastinen voima. Se nappaa saaliinsa neljällä jalallaan ja pitää ne paikoillaan kynsillään.</v>
      </c>
      <c r="C6169" s="9" t="s">
        <v>1344</v>
      </c>
    </row>
    <row r="6170" ht="33.75" customHeight="1">
      <c r="A6170" s="6" t="s">
        <v>9163</v>
      </c>
      <c r="B6170" s="6" t="str">
        <f>IFERROR(__xludf.DUMMYFUNCTION("GOOGLETRANSLATE(A6170,""en"",""fi"")"),"Se analysoi vastustajiaan tarkemmin kuin supertietokone, minkä ansiosta se voi rauhallisesti ajaa heidät nurkkaan.")</f>
        <v>Se analysoi vastustajiaan tarkemmin kuin supertietokone, minkä ansiosta se voi rauhallisesti ajaa heidät nurkkaan.</v>
      </c>
      <c r="C6170" s="9" t="s">
        <v>1344</v>
      </c>
    </row>
    <row r="6171" ht="33.75" customHeight="1">
      <c r="A6171" s="6" t="s">
        <v>9164</v>
      </c>
      <c r="B6171" s="6" t="str">
        <f>IFERROR(__xludf.DUMMYFUNCTION("GOOGLETRANSLATE(A6171,""en"",""fi"")"),"Koska näiden Pokémonien magneettiset voimat voimistuvat pakkasessa, lumisilla vuorilla elävät Metagrossit ovat täynnä energiaa.")</f>
        <v>Koska näiden Pokémonien magneettiset voimat voimistuvat pakkasessa, lumisilla vuorilla elävät Metagrossit ovat täynnä energiaa.</v>
      </c>
      <c r="C6171" s="9" t="s">
        <v>1344</v>
      </c>
    </row>
    <row r="6172" ht="33.75" customHeight="1">
      <c r="A6172" s="6" t="s">
        <v>9165</v>
      </c>
      <c r="B6172" s="6" t="str">
        <f>IFERROR(__xludf.DUMMYFUNCTION("GOOGLETRANSLATE(A6172,""en"",""fi"")"),"Metagross on kahden Metangin fuusion tulos. Tämä Pokémon voittaa vastustajansa supertietokoneen tason aivojensa avulla.")</f>
        <v>Metagross on kahden Metangin fuusion tulos. Tämä Pokémon voittaa vastustajansa supertietokoneen tason aivojensa avulla.</v>
      </c>
      <c r="C6172" s="9" t="s">
        <v>1344</v>
      </c>
    </row>
    <row r="6173" ht="33.75" customHeight="1">
      <c r="A6173" s="6" t="s">
        <v>9167</v>
      </c>
      <c r="B6173" s="6" t="str">
        <f>IFERROR(__xludf.DUMMYFUNCTION("GOOGLETRANSLATE(A6173,""en"",""fi"")"),"REGIROCK suljettiin ihmisten toimesta kauan sitten. Jos tämän POKéMONin ruumis vaurioituu taistelussa, sen sanotaan etsivän itse sopivia kiviä korjatakseen itsensä.")</f>
        <v>REGIROCK suljettiin ihmisten toimesta kauan sitten. Jos tämän POKéMONin ruumis vaurioituu taistelussa, sen sanotaan etsivän itse sopivia kiviä korjatakseen itsensä.</v>
      </c>
      <c r="C6173" s="9" t="s">
        <v>1344</v>
      </c>
    </row>
    <row r="6174" ht="33.75" customHeight="1">
      <c r="A6174" s="6" t="s">
        <v>9168</v>
      </c>
      <c r="B6174" s="6" t="str">
        <f>IFERROR(__xludf.DUMMYFUNCTION("GOOGLETRANSLATE(A6174,""en"",""fi"")"),"REGIROCKin runko koostuu kokonaan kivistä. Äskettäin tehdyssä tutkimuksessa tehtiin hätkähdyttävä havainto, että kivet olivat kaikki eri paikoista.")</f>
        <v>REGIROCKin runko koostuu kokonaan kivistä. Äskettäin tehdyssä tutkimuksessa tehtiin hätkähdyttävä havainto, että kivet olivat kaikki eri paikoista.</v>
      </c>
      <c r="C6174" s="9" t="s">
        <v>1344</v>
      </c>
    </row>
    <row r="6175" ht="33.75" customHeight="1">
      <c r="A6175" s="6" t="s">
        <v>9169</v>
      </c>
      <c r="B6175" s="6" t="str">
        <f>IFERROR(__xludf.DUMMYFUNCTION("GOOGLETRANSLATE(A6175,""en"",""fi"")"),"POKéMON, joka on tehty kokonaan kivistä ja lohkareista. Jos sen ruumiista lohkeaa osia taistelussa, REGIROCK korjaa itsensä lisäämällä uusia kiviä.")</f>
        <v>POKéMON, joka on tehty kokonaan kivistä ja lohkareista. Jos sen ruumiista lohkeaa osia taistelussa, REGIROCK korjaa itsensä lisäämällä uusia kiviä.</v>
      </c>
      <c r="C6175" s="9" t="s">
        <v>1344</v>
      </c>
    </row>
    <row r="6176" ht="33.75" customHeight="1">
      <c r="A6176" s="6" t="s">
        <v>9170</v>
      </c>
      <c r="B6176" s="6" t="str">
        <f>IFERROR(__xludf.DUMMYFUNCTION("GOOGLETRANSLATE(A6176,""en"",""fi"")"),"Se koostuu kokonaan kivistä, joissa ei ole merkkejä aivoista tai sydämestä. Se on mysteeri jopa nykyajan tiedemiehille.")</f>
        <v>Se koostuu kokonaan kivistä, joissa ei ole merkkejä aivoista tai sydämestä. Se on mysteeri jopa nykyajan tiedemiehille.</v>
      </c>
      <c r="C6176" s="9" t="s">
        <v>1344</v>
      </c>
    </row>
    <row r="6177" ht="33.75" customHeight="1">
      <c r="A6177" s="6" t="s">
        <v>9172</v>
      </c>
      <c r="B6177" s="6" t="str">
        <f>IFERROR(__xludf.DUMMYFUNCTION("GOOGLETRANSLATE(A6177,""en"",""fi"")"),"Sen koko ruumis on tehty kivestä. Jos jokin osa lohkeaa taistelussa, se korjaa itsensä kiinnittämällä siihen kiviä.")</f>
        <v>Sen koko ruumis on tehty kivestä. Jos jokin osa lohkeaa taistelussa, se korjaa itsensä kiinnittämällä siihen kiviä.</v>
      </c>
      <c r="C6177" s="9" t="s">
        <v>1344</v>
      </c>
    </row>
    <row r="6178" ht="33.75" customHeight="1">
      <c r="A6178" s="6" t="s">
        <v>9173</v>
      </c>
      <c r="B6178" s="6" t="str">
        <f>IFERROR(__xludf.DUMMYFUNCTION("GOOGLETRANSLATE(A6178,""en"",""fi"")"),"Samoja kiviä, jotka muodostavat sen rungon, on löydetty maankerroksista ympäri maailmaa.")</f>
        <v>Samoja kiviä, jotka muodostavat sen rungon, on löydetty maankerroksista ympäri maailmaa.</v>
      </c>
      <c r="C6178" s="9" t="s">
        <v>1344</v>
      </c>
    </row>
    <row r="6179" ht="33.75" customHeight="1">
      <c r="A6179" s="6" t="s">
        <v>9174</v>
      </c>
      <c r="B6179" s="6" t="str">
        <f>IFERROR(__xludf.DUMMYFUNCTION("GOOGLETRANSLATE(A6179,""en"",""fi"")"),"Regirock suljettiin ihmisten toimesta kauan sitten. Jos tämän Pokémonin ruumis vaurioituu taistelussa, sen sanotaan etsivän itse sopivia kiviä korjatakseen itsensä.")</f>
        <v>Regirock suljettiin ihmisten toimesta kauan sitten. Jos tämän Pokémonin ruumis vaurioituu taistelussa, sen sanotaan etsivän itse sopivia kiviä korjatakseen itsensä.</v>
      </c>
      <c r="C6179" s="9" t="s">
        <v>1344</v>
      </c>
    </row>
    <row r="6180" ht="33.75" customHeight="1">
      <c r="A6180" s="6" t="s">
        <v>9176</v>
      </c>
      <c r="B6180" s="6" t="str">
        <f>IFERROR(__xludf.DUMMYFUNCTION("GOOGLETRANSLATE(A6180,""en"",""fi"")"),"Regirockin runko koostuu kokonaan kivistä. Äskettäin tehdyssä tutkimuksessa tehtiin hätkähdyttävä havainto, että kivet olivat kaikki eri paikoista.")</f>
        <v>Regirockin runko koostuu kokonaan kivistä. Äskettäin tehdyssä tutkimuksessa tehtiin hätkähdyttävä havainto, että kivet olivat kaikki eri paikoista.</v>
      </c>
      <c r="C6180" s="9" t="s">
        <v>1344</v>
      </c>
    </row>
    <row r="6181" ht="33.75" customHeight="1">
      <c r="A6181" s="6" t="s">
        <v>9177</v>
      </c>
      <c r="B6181" s="6" t="str">
        <f>IFERROR(__xludf.DUMMYFUNCTION("GOOGLETRANSLATE(A6181,""en"",""fi"")"),"Regirockin ruumis on tehty joka kerta kivestä. Kun sen ruumiinosia kuluu, tämä Pokémon liimaa itseensä kiviä korjatakseen menetettyä.")</f>
        <v>Regirockin ruumis on tehty joka kerta kivestä. Kun sen ruumiinosia kuluu, tämä Pokémon liimaa itseensä kiviä korjatakseen menetettyä.</v>
      </c>
      <c r="C6181" s="9" t="s">
        <v>1344</v>
      </c>
    </row>
    <row r="6182" ht="33.75" customHeight="1">
      <c r="A6182" s="6" t="s">
        <v>9179</v>
      </c>
      <c r="B6182" s="6" t="str">
        <f>IFERROR(__xludf.DUMMYFUNCTION("GOOGLETRANSLATE(A6182,""en"",""fi"")"),"Tämän Pokémonin kiviruumiin sisäosia tutkittiin huipputeknologialla, mutta mitään ei löytynyt – ei edes aivoja tai sydäntä.")</f>
        <v>Tämän Pokémonin kiviruumiin sisäosia tutkittiin huipputeknologialla, mutta mitään ei löytynyt – ei edes aivoja tai sydäntä.</v>
      </c>
      <c r="C6182" s="9" t="s">
        <v>1344</v>
      </c>
    </row>
    <row r="6183" ht="33.75" customHeight="1">
      <c r="A6183" s="6" t="s">
        <v>9180</v>
      </c>
      <c r="B6183" s="6" t="str">
        <f>IFERROR(__xludf.DUMMYFUNCTION("GOOGLETRANSLATE(A6183,""en"",""fi"")"),"REGICEn ruumis tehtiin jääkauden aikana. Syväjäätynyttä ruumista ei voida sulattaa edes tulella. Tämä POKéMON hallitsee -160 celsiusasteen kylmää ilmaa.")</f>
        <v>REGICEn ruumis tehtiin jääkauden aikana. Syväjäätynyttä ruumista ei voida sulattaa edes tulella. Tämä POKéMON hallitsee -160 celsiusasteen kylmää ilmaa.</v>
      </c>
      <c r="C6183" s="9" t="s">
        <v>1344</v>
      </c>
    </row>
    <row r="6184" ht="33.75" customHeight="1">
      <c r="A6184" s="6" t="s">
        <v>9182</v>
      </c>
      <c r="B6184" s="6" t="str">
        <f>IFERROR(__xludf.DUMMYFUNCTION("GOOGLETRANSLATE(A6184,""en"",""fi"")"),"REGICE verhoutuu kylmään, -160 celsiusasteen ilmaan. Lähelle menemällä kaikki jäätyy. Sen jäinen ruumis on niin kylmä, ettei se sula, vaikka se upotettaisiin magmaan.")</f>
        <v>REGICE verhoutuu kylmään, -160 celsiusasteen ilmaan. Lähelle menemällä kaikki jäätyy. Sen jäinen ruumis on niin kylmä, ettei se sula, vaikka se upotettaisiin magmaan.</v>
      </c>
      <c r="C6184" s="9" t="s">
        <v>1344</v>
      </c>
    </row>
    <row r="6185" ht="33.75" customHeight="1">
      <c r="A6185" s="6" t="s">
        <v>9183</v>
      </c>
      <c r="B6185" s="6" t="str">
        <f>IFERROR(__xludf.DUMMYFUNCTION("GOOGLETRANSLATE(A6185,""en"",""fi"")"),"Sen koko runko on tehty Etelämantereen jäästä. Laajojen tutkimusten jälkeen tutkijat uskovat, että jää muodostui jääkauden aikana.")</f>
        <v>Sen koko runko on tehty Etelämantereen jäästä. Laajojen tutkimusten jälkeen tutkijat uskovat, että jää muodostui jääkauden aikana.</v>
      </c>
      <c r="C6185" s="9" t="s">
        <v>1344</v>
      </c>
    </row>
    <row r="6186" ht="33.75" customHeight="1">
      <c r="A6186" s="6" t="s">
        <v>9184</v>
      </c>
      <c r="B6186" s="6" t="str">
        <f>IFERROR(__xludf.DUMMYFUNCTION("GOOGLETRANSLATE(A6186,""en"",""fi"")"),"Tutkimukset paljastivat, että sen runko on tehty samanlaisesta jäästä kuin etelänavalla.")</f>
        <v>Tutkimukset paljastivat, että sen runko on tehty samanlaisesta jäästä kuin etelänavalla.</v>
      </c>
      <c r="C6186" s="9" t="s">
        <v>1344</v>
      </c>
    </row>
    <row r="6187" ht="33.75" customHeight="1">
      <c r="A6187" s="6" t="s">
        <v>9185</v>
      </c>
      <c r="B6187" s="6" t="str">
        <f>IFERROR(__xludf.DUMMYFUNCTION("GOOGLETRANSLATE(A6187,""en"",""fi"")"),"Sen runko on tehty jääkaudelta peräisin olevasta jäästä. Se hallitsee kylmää ilmaa, jonka lämpötila on -328 Fahrenheit-astetta.")</f>
        <v>Sen runko on tehty jääkaudelta peräisin olevasta jäästä. Se hallitsee kylmää ilmaa, jonka lämpötila on -328 Fahrenheit-astetta.</v>
      </c>
      <c r="C6187" s="9" t="s">
        <v>1344</v>
      </c>
    </row>
    <row r="6188" ht="33.75" customHeight="1">
      <c r="A6188" s="6" t="s">
        <v>9186</v>
      </c>
      <c r="B6188" s="6" t="str">
        <f>IFERROR(__xludf.DUMMYFUNCTION("GOOGLETRANSLATE(A6188,""en"",""fi"")"),"Sen sanotaan nukkuneen jäätikössä tuhansia vuosia. Sen ruumista ei voida sulattaa edes magman avulla.")</f>
        <v>Sen sanotaan nukkuneen jäätikössä tuhansia vuosia. Sen ruumista ei voida sulattaa edes magman avulla.</v>
      </c>
      <c r="C6188" s="9" t="s">
        <v>1344</v>
      </c>
    </row>
    <row r="6189" ht="33.75" customHeight="1">
      <c r="A6189" s="6" t="s">
        <v>9187</v>
      </c>
      <c r="B6189" s="6" t="str">
        <f>IFERROR(__xludf.DUMMYFUNCTION("GOOGLETRANSLATE(A6189,""en"",""fi"")"),"Regicen ruumis tehtiin jääkauden aikana. Syväjäätynyttä ruumista ei voida sulattaa edes tulella. Tämä Pokémon hallitsee -328 Fahrenheit-asteen kylmää ilmaa.")</f>
        <v>Regicen ruumis tehtiin jääkauden aikana. Syväjäätynyttä ruumista ei voida sulattaa edes tulella. Tämä Pokémon hallitsee -328 Fahrenheit-asteen kylmää ilmaa.</v>
      </c>
      <c r="C6189" s="9" t="s">
        <v>1344</v>
      </c>
    </row>
    <row r="6190" ht="33.75" customHeight="1">
      <c r="A6190" s="6" t="s">
        <v>9188</v>
      </c>
      <c r="B6190" s="6" t="str">
        <f>IFERROR(__xludf.DUMMYFUNCTION("GOOGLETRANSLATE(A6190,""en"",""fi"")"),"Regice verhoutuu hyytävään -160 celsiusasteen ilmaan. Lähelle meneminen voi jäädyttää kaiken. Sen jäinen ruumis on niin kylmä, ettei se sula, vaikka se uppoaisi magmaan.")</f>
        <v>Regice verhoutuu hyytävään -160 celsiusasteen ilmaan. Lähelle meneminen voi jäädyttää kaiken. Sen jäinen ruumis on niin kylmä, ettei se sula, vaikka se uppoaisi magmaan.</v>
      </c>
      <c r="C6190" s="9" t="s">
        <v>1344</v>
      </c>
    </row>
    <row r="6191" ht="33.75" customHeight="1">
      <c r="A6191" s="6" t="s">
        <v>9190</v>
      </c>
      <c r="B6191" s="6" t="str">
        <f>IFERROR(__xludf.DUMMYFUNCTION("GOOGLETRANSLATE(A6191,""en"",""fi"")"),"Kylmän ilman ansiosta, jonka lämpötila voi laskea jopa −328 celsiusasteeseen, Regice jäädyttää välittömästi kaikki sitä lähestyvät olennot.")</f>
        <v>Kylmän ilman ansiosta, jonka lämpötila voi laskea jopa −328 celsiusasteeseen, Regice jäädyttää välittömästi kaikki sitä lähestyvät olennot.</v>
      </c>
      <c r="C6191" s="9" t="s">
        <v>1344</v>
      </c>
    </row>
    <row r="6192" ht="33.75" customHeight="1">
      <c r="A6192" s="6" t="s">
        <v>9191</v>
      </c>
      <c r="B6192" s="6" t="str">
        <f>IFERROR(__xludf.DUMMYFUNCTION("GOOGLETRANSLATE(A6192,""en"",""fi"")"),"Tämän Pokémonin ruumis on tehty kiinteästä jäästä. Kerrotaan, että Regice syntyi paksun jään alla jääkaudella.")</f>
        <v>Tämän Pokémonin ruumis on tehty kiinteästä jäästä. Kerrotaan, että Regice syntyi paksun jään alla jääkaudella.</v>
      </c>
      <c r="C6192" s="9" t="s">
        <v>1344</v>
      </c>
    </row>
    <row r="6193" ht="33.75" customHeight="1">
      <c r="A6193" s="6" t="s">
        <v>9193</v>
      </c>
      <c r="B6193" s="6" t="str">
        <f>IFERROR(__xludf.DUMMYFUNCTION("GOOGLETRANSLATE(A6193,""en"",""fi"")"),"REGISTEELIN runko on kovempi kuin minkään metallin. Sen runko on ilmeisesti ontto. Kenelläkään ei ole aavistustakaan, mitä tämä POKéMON syö.")</f>
        <v>REGISTEELIN runko on kovempi kuin minkään metallin. Sen runko on ilmeisesti ontto. Kenelläkään ei ole aavistustakaan, mitä tämä POKéMON syö.</v>
      </c>
      <c r="C6193" s="9" t="s">
        <v>1344</v>
      </c>
    </row>
    <row r="6194" ht="33.75" customHeight="1">
      <c r="A6194" s="6" t="s">
        <v>9194</v>
      </c>
      <c r="B6194" s="6" t="str">
        <f>IFERROR(__xludf.DUMMYFUNCTION("GOOGLETRANSLATE(A6194,""en"",""fi"")"),"Muinaisina aikoina ihmiset vangitsivat REGISTEELIÄ. Sen runkoon kuuluvan metallin uskotaan olevan outoa ainetta, joka ei ole tästä maasta.")</f>
        <v>Muinaisina aikoina ihmiset vangitsivat REGISTEELIÄ. Sen runkoon kuuluvan metallin uskotaan olevan outoa ainetta, joka ei ole tästä maasta.</v>
      </c>
      <c r="C6194" s="9" t="s">
        <v>1344</v>
      </c>
    </row>
    <row r="6195" ht="33.75" customHeight="1">
      <c r="A6195" s="6" t="s">
        <v>9195</v>
      </c>
      <c r="B6195" s="6" t="str">
        <f>IFERROR(__xludf.DUMMYFUNCTION("GOOGLETRANSLATE(A6195,""en"",""fi"")"),"Sen runko on kovempi kuin mikään muu metalli. Runkometalli koostuu salaperäisestä aineesta. Se ei ole ainoastaan ​​kova, vaan se myös kutistuu ja venyy joustavasti.")</f>
        <v>Sen runko on kovempi kuin mikään muu metalli. Runkometalli koostuu salaperäisestä aineesta. Se ei ole ainoastaan ​​kova, vaan se myös kutistuu ja venyy joustavasti.</v>
      </c>
      <c r="C6195" s="9" t="s">
        <v>1344</v>
      </c>
    </row>
    <row r="6196" ht="33.75" customHeight="1">
      <c r="A6196" s="6" t="s">
        <v>9196</v>
      </c>
      <c r="B6196" s="6" t="str">
        <f>IFERROR(__xludf.DUMMYFUNCTION("GOOGLETRANSLATE(A6196,""en"",""fi"")"),"Se on lujempaa kuin mikään metalli. Se kovettunut maanalaisen paineen vaikutuksesta kymmenien tuhansien vuosien aikana.")</f>
        <v>Se on lujempaa kuin mikään metalli. Se kovettunut maanalaisen paineen vaikutuksesta kymmenien tuhansien vuosien aikana.</v>
      </c>
      <c r="C6196" s="9" t="s">
        <v>1344</v>
      </c>
    </row>
    <row r="6197" ht="33.75" customHeight="1">
      <c r="A6197" s="6" t="s">
        <v>9197</v>
      </c>
      <c r="B6197" s="6" t="str">
        <f>IFERROR(__xludf.DUMMYFUNCTION("GOOGLETRANSLATE(A6197,""en"",""fi"")"),"Kymmenien tuhansien vuosien ajan maanalaisen paineen karkaisemana sen ruumis ei naarmuunnu.")</f>
        <v>Kymmenien tuhansien vuosien ajan maanalaisen paineen karkaisemana sen ruumis ei naarmuunnu.</v>
      </c>
      <c r="C6197" s="9" t="s">
        <v>1344</v>
      </c>
    </row>
    <row r="6198" ht="33.75" customHeight="1">
      <c r="A6198" s="6" t="s">
        <v>9198</v>
      </c>
      <c r="B6198" s="6" t="str">
        <f>IFERROR(__xludf.DUMMYFUNCTION("GOOGLETRANSLATE(A6198,""en"",""fi"")"),"Sen rungon sanotaan olevan kovempi kuin mikään metalli. Tutkimus on paljastanut, että sen runko on ontto.")</f>
        <v>Sen rungon sanotaan olevan kovempi kuin mikään metalli. Tutkimus on paljastanut, että sen runko on ontto.</v>
      </c>
      <c r="C6198" s="9" t="s">
        <v>1344</v>
      </c>
    </row>
    <row r="6199" ht="33.75" customHeight="1">
      <c r="A6199" s="6" t="s">
        <v>9199</v>
      </c>
      <c r="B6199" s="6" t="str">
        <f>IFERROR(__xludf.DUMMYFUNCTION("GOOGLETRANSLATE(A6199,""en"",""fi"")"),"Registeelillä on vartalo, joka on kovempi kuin mikään metalli. Sen vartalo on ilmeisesti ontto. Kenelläkään ei ole aavistustakaan, mitä tämä Pokémon syö.")</f>
        <v>Registeelillä on vartalo, joka on kovempi kuin mikään metalli. Sen vartalo on ilmeisesti ontto. Kenelläkään ei ole aavistustakaan, mitä tämä Pokémon syö.</v>
      </c>
      <c r="C6199" s="9" t="s">
        <v>1344</v>
      </c>
    </row>
    <row r="6200" ht="33.75" customHeight="1">
      <c r="A6200" s="6" t="s">
        <v>9200</v>
      </c>
      <c r="B6200" s="6" t="str">
        <f>IFERROR(__xludf.DUMMYFUNCTION("GOOGLETRANSLATE(A6200,""en"",""fi"")"),"Registeeliä vangittiin muinaisina aikoina. Sen rungon metallin uskotaan olevan outoa ainetta, joka ei ole tästä maasta.")</f>
        <v>Registeeliä vangittiin muinaisina aikoina. Sen rungon metallin uskotaan olevan outoa ainetta, joka ei ole tästä maasta.</v>
      </c>
      <c r="C6200" s="9" t="s">
        <v>1344</v>
      </c>
    </row>
    <row r="6201" ht="33.75" customHeight="1">
      <c r="A6201" s="6" t="s">
        <v>9202</v>
      </c>
      <c r="B6201" s="6" t="str">
        <f>IFERROR(__xludf.DUMMYFUNCTION("GOOGLETRANSLATE(A6201,""en"",""fi"")"),"Registeelin runko on tehty oudosta materiaalista, joka on tarpeeksi joustava venymään ja kutistumaan, mutta myös kestävämpi kuin mikään metalli.")</f>
        <v>Registeelin runko on tehty oudosta materiaalista, joka on tarpeeksi joustava venymään ja kutistumaan, mutta myös kestävämpi kuin mikään metalli.</v>
      </c>
      <c r="C6201" s="9" t="s">
        <v>1344</v>
      </c>
    </row>
    <row r="6202" ht="33.75" customHeight="1">
      <c r="A6202" s="6" t="s">
        <v>9203</v>
      </c>
      <c r="B6202" s="6" t="str">
        <f>IFERROR(__xludf.DUMMYFUNCTION("GOOGLETRANSLATE(A6202,""en"",""fi"")"),"Huhutaan, että tämä Pokémon syntyi syvällä maan alla planeetan vaipassa ja että se nousi pinnalle 10 000 vuotta sitten.")</f>
        <v>Huhutaan, että tämä Pokémon syntyi syvällä maan alla planeetan vaipassa ja että se nousi pinnalle 10 000 vuotta sitten.</v>
      </c>
      <c r="C6202" s="9" t="s">
        <v>1344</v>
      </c>
    </row>
    <row r="6203" ht="33.75" customHeight="1">
      <c r="A6203" s="6" t="s">
        <v>9204</v>
      </c>
      <c r="B6203" s="6" t="str">
        <f>IFERROR(__xludf.DUMMYFUNCTION("GOOGLETRANSLATE(A6203,""en"",""fi"")"),"LATIAS on erittäin herkkä ihmisten tunteille. Jos se aistii vihamielisyyttä, tämä POKéMON pöyhii höyheniä ympäri kehoaan ja huutaa kimeästi pelotellakseen vihollista.")</f>
        <v>LATIAS on erittäin herkkä ihmisten tunteille. Jos se aistii vihamielisyyttä, tämä POKéMON pöyhii höyheniä ympäri kehoaan ja huutaa kimeästi pelotellakseen vihollista.</v>
      </c>
      <c r="C6203" s="9" t="s">
        <v>1344</v>
      </c>
    </row>
    <row r="6204" ht="33.75" customHeight="1">
      <c r="A6204" s="6" t="s">
        <v>9205</v>
      </c>
      <c r="B6204" s="6" t="str">
        <f>IFERROR(__xludf.DUMMYFUNCTION("GOOGLETRANSLATE(A6204,""en"",""fi"")"),"LATIAS on erittäin älykäs ja kykenevä ymmärtämään ihmispuhetta. Se on peitetty lasinkaltaisella untuvalla. POKéMON kietoo kehonsa untuvaan ja taittaa valoa muuttaakseen ulkonäköään.")</f>
        <v>LATIAS on erittäin älykäs ja kykenevä ymmärtämään ihmispuhetta. Se on peitetty lasinkaltaisella untuvalla. POKéMON kietoo kehonsa untuvaan ja taittaa valoa muuttaakseen ulkonäköään.</v>
      </c>
      <c r="C6204" s="9" t="s">
        <v>1344</v>
      </c>
    </row>
    <row r="6205" ht="33.75" customHeight="1">
      <c r="A6205" s="6" t="s">
        <v>9207</v>
      </c>
      <c r="B6205" s="6" t="str">
        <f>IFERROR(__xludf.DUMMYFUNCTION("GOOGLETRANSLATE(A6205,""en"",""fi"")"),"Ne muodostavat pienen lauman, jossa on vain muutama jäsen. Ne ovat harvoin tekemisissä ihmisten tai muiden POKéMONien kanssa. Ne katoavat, jos ne aistivat vihollisia.")</f>
        <v>Ne muodostavat pienen lauman, jossa on vain muutama jäsen. Ne ovat harvoin tekemisissä ihmisten tai muiden POKéMONien kanssa. Ne katoavat, jos ne aistivat vihollisia.</v>
      </c>
      <c r="C6205" s="9" t="s">
        <v>1344</v>
      </c>
    </row>
    <row r="6206" ht="33.75" customHeight="1">
      <c r="A6206" s="6" t="s">
        <v>9208</v>
      </c>
      <c r="B6206" s="6" t="str">
        <f>IFERROR(__xludf.DUMMYFUNCTION("GOOGLETRANSLATE(A6206,""en"",""fi"")"),"Se voi kommunikoida telepaattisesti ihmisten kanssa. Se muuttaa ulkonäköään käyttämällä valoa taittavaa untuvaa.")</f>
        <v>Se voi kommunikoida telepaattisesti ihmisten kanssa. Se muuttaa ulkonäköään käyttämällä valoa taittavaa untuvaa.</v>
      </c>
      <c r="C6206" s="9" t="s">
        <v>1344</v>
      </c>
    </row>
    <row r="6207" ht="33.75" customHeight="1">
      <c r="A6207" s="6" t="s">
        <v>9209</v>
      </c>
      <c r="B6207" s="6" t="str">
        <f>IFERROR(__xludf.DUMMYFUNCTION("GOOGLETRANSLATE(A6207,""en"",""fi"")"),"Sen vartalo on peitetty untuvalla, joka voi taittaa valoa siten, että siitä tulee näkymätön.")</f>
        <v>Sen vartalo on peitetty untuvalla, joka voi taittaa valoa siten, että siitä tulee näkymätön.</v>
      </c>
      <c r="C6207" s="9" t="s">
        <v>1344</v>
      </c>
    </row>
    <row r="6208" ht="33.75" customHeight="1">
      <c r="A6208" s="6" t="s">
        <v>9211</v>
      </c>
      <c r="B6208" s="6" t="str">
        <f>IFERROR(__xludf.DUMMYFUNCTION("GOOGLETRANSLATE(A6208,""en"",""fi"")"),"Se kommunikoi telepaattisesti. Sen ruumis on peitetty untuvalla, joka taittaa valoa tehden siitä näkymättömän.")</f>
        <v>Se kommunikoi telepaattisesti. Sen ruumis on peitetty untuvalla, joka taittaa valoa tehden siitä näkymättömän.</v>
      </c>
      <c r="C6208" s="9" t="s">
        <v>1344</v>
      </c>
    </row>
    <row r="6209" ht="33.75" customHeight="1">
      <c r="A6209" s="6" t="s">
        <v>9212</v>
      </c>
      <c r="B6209" s="6" t="str">
        <f>IFERROR(__xludf.DUMMYFUNCTION("GOOGLETRANSLATE(A6209,""en"",""fi"")"),"Latias on erittäin herkkä ihmisten tunteille. Jos se aistii vihamielisyyttä, tämä Pokémon pöyhii höyheniä ympäri kehoaan ja huutaa kimeästi pelotellakseen vihollista.")</f>
        <v>Latias on erittäin herkkä ihmisten tunteille. Jos se aistii vihamielisyyttä, tämä Pokémon pöyhii höyheniä ympäri kehoaan ja huutaa kimeästi pelotellakseen vihollista.</v>
      </c>
      <c r="C6209" s="9" t="s">
        <v>1344</v>
      </c>
    </row>
    <row r="6210" ht="33.75" customHeight="1">
      <c r="A6210" s="6" t="s">
        <v>9214</v>
      </c>
      <c r="B6210" s="6" t="str">
        <f>IFERROR(__xludf.DUMMYFUNCTION("GOOGLETRANSLATE(A6210,""en"",""fi"")"),"Latias on erittäin älykäs ja kykenevä ymmärtämään ihmispuhetta. Se on peitetty lasinkaltaisella untuvalla. Pokémon kietoo kehonsa untuvaan ja taittaa valoa muuttaakseen ulkonäköään.")</f>
        <v>Latias on erittäin älykäs ja kykenevä ymmärtämään ihmispuhetta. Se on peitetty lasinkaltaisella untuvalla. Pokémon kietoo kehonsa untuvaan ja taittaa valoa muuttaakseen ulkonäköään.</v>
      </c>
      <c r="C6210" s="9" t="s">
        <v>1344</v>
      </c>
    </row>
    <row r="6211" ht="33.75" customHeight="1">
      <c r="A6211" s="6" t="s">
        <v>9216</v>
      </c>
      <c r="B6211" s="6" t="str">
        <f>IFERROR(__xludf.DUMMYFUNCTION("GOOGLETRANSLATE(A6211,""en"",""fi"")"),"LATIOS pystyy saamaan vihollisensa näkemään kuvan siitä, mitä se on nähnyt tai kuvittelee päässään. Tämä POKéMON on älykäs ja ymmärtää ihmisen puhetta.")</f>
        <v>LATIOS pystyy saamaan vihollisensa näkemään kuvan siitä, mitä se on nähnyt tai kuvittelee päässään. Tämä POKéMON on älykäs ja ymmärtää ihmisen puhetta.</v>
      </c>
      <c r="C6211" s="9" t="s">
        <v>1344</v>
      </c>
    </row>
    <row r="6212" ht="33.75" customHeight="1">
      <c r="A6212" s="6" t="s">
        <v>9219</v>
      </c>
      <c r="B6212" s="6" t="str">
        <f>IFERROR(__xludf.DUMMYFUNCTION("GOOGLETRANSLATE(A6212,""en"",""fi"")"),"LATIOS avaa sydämensä vain myötätuntoiselle KOULUTTAJALLE. Tämä POKéMON voi lentää nopeammin kuin suihkukone taittamalla etujalkansa ilmanvastuksen minimoimiseksi.")</f>
        <v>LATIOS avaa sydämensä vain myötätuntoiselle KOULUTTAJALLE. Tämä POKéMON voi lentää nopeammin kuin suihkukone taittamalla etujalkansa ilmanvastuksen minimoimiseksi.</v>
      </c>
      <c r="C6212" s="9" t="s">
        <v>1344</v>
      </c>
    </row>
    <row r="6213" ht="33.75" customHeight="1">
      <c r="A6213" s="6" t="s">
        <v>9220</v>
      </c>
      <c r="B6213" s="6" t="str">
        <f>IFERROR(__xludf.DUMMYFUNCTION("GOOGLETRANSLATE(A6213,""en"",""fi"")"),"Se pystyy havaitsemaan muiden sijainnin ja aistimaan heidän tunteitaan jopa piilossa ollessaan, koska sillä on telepatiaa. Sen älykkyys mahdollistaa ihmiskielten ymmärtämisen.")</f>
        <v>Se pystyy havaitsemaan muiden sijainnin ja aistimaan heidän tunteitaan jopa piilossa ollessaan, koska sillä on telepatiaa. Sen älykkyys mahdollistaa ihmiskielten ymmärtämisen.</v>
      </c>
      <c r="C6213" s="9" t="s">
        <v>1344</v>
      </c>
    </row>
    <row r="6214" ht="33.75" customHeight="1">
      <c r="A6214" s="6" t="s">
        <v>9221</v>
      </c>
      <c r="B6214" s="6" t="str">
        <f>IFERROR(__xludf.DUMMYFUNCTION("GOOGLETRANSLATE(A6214,""en"",""fi"")"),"Sillä on säyseä luonne, eikä se pidä taisteluista. Etujalat sisään työntämällä se voi lentää nopeammin kuin suihkukone.")</f>
        <v>Sillä on säyseä luonne, eikä se pidä taisteluista. Etujalat sisään työntämällä se voi lentää nopeammin kuin suihkukone.</v>
      </c>
      <c r="C6214" s="9" t="s">
        <v>1344</v>
      </c>
    </row>
    <row r="6215" ht="33.75" customHeight="1">
      <c r="A6215" s="6" t="s">
        <v>9222</v>
      </c>
      <c r="B6215" s="6" t="str">
        <f>IFERROR(__xludf.DUMMYFUNCTION("GOOGLETRANSLATE(A6215,""en"",""fi"")"),"Erittäin älykäs Pokémon. Taittamalla siipensä taakse lennon aikana se voi ohittaa suihkukoneet.")</f>
        <v>Erittäin älykäs Pokémon. Taittamalla siipensä taakse lennon aikana se voi ohittaa suihkukoneet.</v>
      </c>
      <c r="C6215" s="9" t="s">
        <v>1344</v>
      </c>
    </row>
    <row r="6216" ht="33.75" customHeight="1">
      <c r="A6216" s="6" t="s">
        <v>9224</v>
      </c>
      <c r="B6216" s="6" t="str">
        <f>IFERROR(__xludf.DUMMYFUNCTION("GOOGLETRANSLATE(A6216,""en"",""fi"")"),"Se ymmärtää ihmispuhetta ja on erittäin älykäs. Se on herkkä Pokémon, joka ei pidä taistelusta.")</f>
        <v>Se ymmärtää ihmispuhetta ja on erittäin älykäs. Se on herkkä Pokémon, joka ei pidä taistelusta.</v>
      </c>
      <c r="C6216" s="9" t="s">
        <v>1344</v>
      </c>
    </row>
    <row r="6217" ht="33.75" customHeight="1">
      <c r="A6217" s="6" t="s">
        <v>9226</v>
      </c>
      <c r="B6217" s="6" t="str">
        <f>IFERROR(__xludf.DUMMYFUNCTION("GOOGLETRANSLATE(A6217,""en"",""fi"")"),"Latiosilla on kyky saada muut näkemään kuvan siitä, mitä se on nähnyt tai kuvittelee päässään. Tämä Pokémon on älykäs ja ymmärtää ihmisen puhetta.")</f>
        <v>Latiosilla on kyky saada muut näkemään kuvan siitä, mitä se on nähnyt tai kuvittelee päässään. Tämä Pokémon on älykäs ja ymmärtää ihmisen puhetta.</v>
      </c>
      <c r="C6217" s="9" t="s">
        <v>1344</v>
      </c>
    </row>
    <row r="6218" ht="33.75" customHeight="1">
      <c r="A6218" s="6" t="s">
        <v>9228</v>
      </c>
      <c r="B6218" s="6" t="str">
        <f>IFERROR(__xludf.DUMMYFUNCTION("GOOGLETRANSLATE(A6218,""en"",""fi"")"),"Latios avaa sydämensä vain myötätuntoiselle kouluttajalle. Tämä Pokémon voi lentää nopeammin kuin suihkukone taittamalla etujalkansa minimoidakseen ilmanvastuksen.")</f>
        <v>Latios avaa sydämensä vain myötätuntoiselle kouluttajalle. Tämä Pokémon voi lentää nopeammin kuin suihkukone taittamalla etujalkansa minimoidakseen ilmanvastuksen.</v>
      </c>
      <c r="C6218" s="9" t="s">
        <v>1344</v>
      </c>
    </row>
    <row r="6219" ht="33.75" customHeight="1">
      <c r="A6219" s="6" t="s">
        <v>9230</v>
      </c>
      <c r="B6219" s="6" t="str">
        <f>IFERROR(__xludf.DUMMYFUNCTION("GOOGLETRANSLATE(A6219,""en"",""fi"")"),"KYOGRElla on kyky luoda valtavia sadepilviä, jotka peittävät koko taivaan ja aiheuttavat rankkasateita. Tämä POKéMON pelasti kuivuudesta kärsineitä ihmisiä.")</f>
        <v>KYOGRElla on kyky luoda valtavia sadepilviä, jotka peittävät koko taivaan ja aiheuttavat rankkasateita. Tämä POKéMON pelasti kuivuudesta kärsineitä ihmisiä.</v>
      </c>
      <c r="C6219" s="9" t="s">
        <v>1344</v>
      </c>
    </row>
    <row r="6220" ht="33.75" customHeight="1">
      <c r="A6220" s="6" t="s">
        <v>9232</v>
      </c>
      <c r="B6220" s="6" t="str">
        <f>IFERROR(__xludf.DUMMYFUNCTION("GOOGLETRANSLATE(A6220,""en"",""fi"")"),"Mytologiassa KYOGRE on nimetty POKéMONiksi, joka laajensi merta peittämällä maan rankkasateilla ja kohoavilla hyökyaalloilla. Se nukahti katastrofaalisen taistelun jälkeen GROUDONia vastaan.")</f>
        <v>Mytologiassa KYOGRE on nimetty POKéMONiksi, joka laajensi merta peittämällä maan rankkasateilla ja kohoavilla hyökyaalloilla. Se nukahti katastrofaalisen taistelun jälkeen GROUDONia vastaan.</v>
      </c>
      <c r="C6220" s="9" t="s">
        <v>1344</v>
      </c>
    </row>
    <row r="6221" ht="33.75" customHeight="1">
      <c r="A6221" s="6" t="s">
        <v>9233</v>
      </c>
      <c r="B6221" s="6" t="str">
        <f>IFERROR(__xludf.DUMMYFUNCTION("GOOGLETRANSLATE(A6221,""en"",""fi"")"),"KYOGRE esiintyy mytologiassa meren luojana. Pitkien GROUDONin kanssa käytyjen riitojen jälkeen se päätyi nukkumaan meren pohjaan.")</f>
        <v>KYOGRE esiintyy mytologiassa meren luojana. Pitkien GROUDONin kanssa käytyjen riitojen jälkeen se päätyi nukkumaan meren pohjaan.</v>
      </c>
      <c r="C6221" s="9" t="s">
        <v>1344</v>
      </c>
    </row>
    <row r="6222" ht="33.75" customHeight="1">
      <c r="A6222" s="6" t="s">
        <v>9234</v>
      </c>
      <c r="B6222" s="6" t="str">
        <f>IFERROR(__xludf.DUMMYFUNCTION("GOOGLETRANSLATE(A6222,""en"",""fi"")"),"Tämän POKéMONin sanotaan laajentaneen merta tuomalla rankkasateita. Sillä on kyky hallita vettä.")</f>
        <v>Tämän POKéMONin sanotaan laajentaneen merta tuomalla rankkasateita. Sillä on kyky hallita vettä.</v>
      </c>
      <c r="C6222" s="9" t="s">
        <v>1344</v>
      </c>
    </row>
    <row r="6223" ht="33.75" customHeight="1">
      <c r="A6223" s="6" t="s">
        <v>9236</v>
      </c>
      <c r="B6223" s="6" t="str">
        <f>IFERROR(__xludf.DUMMYFUNCTION("GOOGLETRANSLATE(A6223,""en"",""fi"")"),"Sen sanotaan levittäneen meriä aiheuttamalla rankkasateita. Se oli nukkunut merihaudassa.")</f>
        <v>Sen sanotaan levittäneen meriä aiheuttamalla rankkasateita. Se oli nukkunut merihaudassa.</v>
      </c>
      <c r="C6223" s="9" t="s">
        <v>1344</v>
      </c>
    </row>
    <row r="6224" ht="33.75" customHeight="1">
      <c r="A6224" s="6" t="s">
        <v>9238</v>
      </c>
      <c r="B6224" s="6" t="str">
        <f>IFERROR(__xludf.DUMMYFUNCTION("GOOGLETRANSLATE(A6224,""en"",""fi"")"),"Myyttinen Pokémon, jonka sanotaan paisuttaneen meret sateella ja hyökyaalloilla. Se taisteli GROUDONia vastaan.")</f>
        <v>Myyttinen Pokémon, jonka sanotaan paisuttaneen meret sateella ja hyökyaalloilla. Se taisteli GROUDONia vastaan.</v>
      </c>
      <c r="C6224" s="9" t="s">
        <v>1344</v>
      </c>
    </row>
    <row r="6225" ht="33.75" customHeight="1">
      <c r="A6225" s="6" t="s">
        <v>9240</v>
      </c>
      <c r="B6225" s="6" t="str">
        <f>IFERROR(__xludf.DUMMYFUNCTION("GOOGLETRANSLATE(A6225,""en"",""fi"")"),"Myyttinen Pokémon, jonka sanotaan paisuttaneen meret sateella ja hyökyaalloilla. Se taisteli Groudonia vastaan.")</f>
        <v>Myyttinen Pokémon, jonka sanotaan paisuttaneen meret sateella ja hyökyaalloilla. Se taisteli Groudonia vastaan.</v>
      </c>
      <c r="C6225" s="9" t="s">
        <v>1344</v>
      </c>
    </row>
    <row r="6226" ht="33.75" customHeight="1">
      <c r="A6226" s="6" t="s">
        <v>9241</v>
      </c>
      <c r="B6226" s="6" t="str">
        <f>IFERROR(__xludf.DUMMYFUNCTION("GOOGLETRANSLATE(A6226,""en"",""fi"")"),"Alkuperäisen palautumisen ja luonnon täydellä voimalla se ottaa takaisin todellisen muotonsa. Se voi kutsua esiin myrskyjä, jotka nostavat merenpintaa.")</f>
        <v>Alkuperäisen palautumisen ja luonnon täydellä voimalla se ottaa takaisin todellisen muotonsa. Se voi kutsua esiin myrskyjä, jotka nostavat merenpintaa.</v>
      </c>
      <c r="C6226" s="9" t="s">
        <v>1344</v>
      </c>
    </row>
    <row r="6227" ht="33.75" customHeight="1">
      <c r="A6227" s="6" t="s">
        <v>9243</v>
      </c>
      <c r="B6227" s="6" t="str">
        <f>IFERROR(__xludf.DUMMYFUNCTION("GOOGLETRANSLATE(A6227,""en"",""fi"")"),"Kyogren sanotaan olevan meren itsensä personifikaatio. Legendat kertovat sen monista yhteenotoista Groudonia vastaan, kun jokainen pyrki saamaan luonnon voiman.")</f>
        <v>Kyogren sanotaan olevan meren itsensä personifikaatio. Legendat kertovat sen monista yhteenotoista Groudonia vastaan, kun jokainen pyrki saamaan luonnon voiman.</v>
      </c>
      <c r="C6227" s="9" t="s">
        <v>1344</v>
      </c>
    </row>
    <row r="6228" ht="33.75" customHeight="1">
      <c r="A6228" s="6" t="s">
        <v>9244</v>
      </c>
      <c r="B6228" s="6" t="str">
        <f>IFERROR(__xludf.DUMMYFUNCTION("GOOGLETRANSLATE(A6228,""en"",""fi"")"),"GROUDONIA on pitkään kuvattu mytologiassa POKéMONina, joka kasvatti maita ja laajensi mantereita. Tämä POKéMON nukahti mullistavan KYOGRE-taistelun jälkeen.")</f>
        <v>GROUDONIA on pitkään kuvattu mytologiassa POKéMONina, joka kasvatti maita ja laajensi mantereita. Tämä POKéMON nukahti mullistavan KYOGRE-taistelun jälkeen.</v>
      </c>
      <c r="C6228" s="9" t="s">
        <v>1344</v>
      </c>
    </row>
    <row r="6229" ht="33.75" customHeight="1">
      <c r="A6229" s="6" t="s">
        <v>9245</v>
      </c>
      <c r="B6229" s="6" t="str">
        <f>IFERROR(__xludf.DUMMYFUNCTION("GOOGLETRANSLATE(A6229,""en"",""fi"")"),"GROUDONilla on kyky hajottaa sadepilviä ja saada vesi haihtumaan valon ja lämmön avulla. Se tuli pelastajaksi ihmisille, jotka olivat kärsineet kauheista tulvista.")</f>
        <v>GROUDONilla on kyky hajottaa sadepilviä ja saada vesi haihtumaan valon ja lämmön avulla. Se tuli pelastajaksi ihmisille, jotka olivat kärsineet kauheista tulvista.</v>
      </c>
      <c r="C6229" s="9" t="s">
        <v>1344</v>
      </c>
    </row>
    <row r="6230" ht="33.75" customHeight="1">
      <c r="A6230" s="6" t="s">
        <v>9246</v>
      </c>
      <c r="B6230" s="6" t="str">
        <f>IFERROR(__xludf.DUMMYFUNCTION("GOOGLETRANSLATE(A6230,""en"",""fi"")"),"GROUDON on esiintynyt mytologiassa maan luojana. Se nukkuu maan alla olevassa magmassa ja sen sanotaan saavan herätessään tulivuoret purkautumaan.")</f>
        <v>GROUDON on esiintynyt mytologiassa maan luojana. Se nukkuu maan alla olevassa magmassa ja sen sanotaan saavan herätessään tulivuoret purkautumaan.</v>
      </c>
      <c r="C6230" s="9" t="s">
        <v>1344</v>
      </c>
    </row>
    <row r="6231" ht="33.75" customHeight="1">
      <c r="A6231" s="6" t="s">
        <v>9247</v>
      </c>
      <c r="B6231" s="6" t="str">
        <f>IFERROR(__xludf.DUMMYFUNCTION("GOOGLETRANSLATE(A6231,""en"",""fi"")"),"Tämän legendaarisen POKéMONin sanotaan edustavan maata. Se nukahti kaksintaistelun jälkeen KYOGREa vastaan.")</f>
        <v>Tämän legendaarisen POKéMONin sanotaan edustavan maata. Se nukahti kaksintaistelun jälkeen KYOGREa vastaan.</v>
      </c>
      <c r="C6231" s="9" t="s">
        <v>1344</v>
      </c>
    </row>
    <row r="6232" ht="33.75" customHeight="1">
      <c r="A6232" s="6" t="s">
        <v>9248</v>
      </c>
      <c r="B6232" s="6" t="str">
        <f>IFERROR(__xludf.DUMMYFUNCTION("GOOGLETRANSLATE(A6232,""en"",""fi"")"),"Se oli nukkunut maanalaisessa magmassa siitä lähtien, kun se taisteli raivokkaasti KYOGREa vastaan ​​kauan sitten.")</f>
        <v>Se oli nukkunut maanalaisessa magmassa siitä lähtien, kun se taisteli raivokkaasti KYOGREa vastaan ​​kauan sitten.</v>
      </c>
      <c r="C6232" s="9" t="s">
        <v>1344</v>
      </c>
    </row>
    <row r="6233" ht="33.75" customHeight="1">
      <c r="A6233" s="6" t="s">
        <v>9250</v>
      </c>
      <c r="B6233" s="6" t="str">
        <f>IFERROR(__xludf.DUMMYFUNCTION("GOOGLETRANSLATE(A6233,""en"",""fi"")"),"Sanotaan laajentaneen maita haihduttamalla vettä raivoavan kuumuuden mukana. Se taisteli titaanisesti KYOGREa vastaan.")</f>
        <v>Sanotaan laajentaneen maita haihduttamalla vettä raivoavan kuumuuden mukana. Se taisteli titaanisesti KYOGREa vastaan.</v>
      </c>
      <c r="C6233" s="9" t="s">
        <v>1344</v>
      </c>
    </row>
    <row r="6234" ht="33.75" customHeight="1">
      <c r="A6234" s="6" t="s">
        <v>9251</v>
      </c>
      <c r="B6234" s="6" t="str">
        <f>IFERROR(__xludf.DUMMYFUNCTION("GOOGLETRANSLATE(A6234,""en"",""fi"")"),"Se oli nukkunut maanalaisessa magmassa siitä lähtien, kun se taisteli raivokkaasti Kyogrea vastaan ​​kauan sitten.")</f>
        <v>Se oli nukkunut maanalaisessa magmassa siitä lähtien, kun se taisteli raivokkaasti Kyogrea vastaan ​​kauan sitten.</v>
      </c>
      <c r="C6234" s="9" t="s">
        <v>1344</v>
      </c>
    </row>
    <row r="6235" ht="33.75" customHeight="1">
      <c r="A6235" s="6" t="s">
        <v>9252</v>
      </c>
      <c r="B6235" s="6" t="str">
        <f>IFERROR(__xludf.DUMMYFUNCTION("GOOGLETRANSLATE(A6235,""en"",""fi"")"),"Sanotaan laajentaneen maita haihduttamalla vettä raivoavan kuumuuden mukana. Se taisteli titaanisesti Kyogrea vastaan.")</f>
        <v>Sanotaan laajentaneen maita haihduttamalla vettä raivoavan kuumuuden mukana. Se taisteli titaanisesti Kyogrea vastaan.</v>
      </c>
      <c r="C6235" s="9" t="s">
        <v>1344</v>
      </c>
    </row>
    <row r="6236" ht="33.75" customHeight="1">
      <c r="A6236" s="6" t="s">
        <v>9253</v>
      </c>
      <c r="B6236" s="6" t="str">
        <f>IFERROR(__xludf.DUMMYFUNCTION("GOOGLETRANSLATE(A6236,""en"",""fi"")"),"Tämän legendaarisen Pokémonin sanotaan edustavan maata. Se nukahti kaksintaistelun jälkeen Kyogren kanssa.")</f>
        <v>Tämän legendaarisen Pokémonin sanotaan edustavan maata. Se nukahti kaksintaistelun jälkeen Kyogren kanssa.</v>
      </c>
      <c r="C6236" s="9" t="s">
        <v>1344</v>
      </c>
    </row>
    <row r="6237" ht="33.75" customHeight="1">
      <c r="A6237" s="6" t="s">
        <v>9254</v>
      </c>
      <c r="B6237" s="6" t="str">
        <f>IFERROR(__xludf.DUMMYFUNCTION("GOOGLETRANSLATE(A6237,""en"",""fi"")"),"Groudonin sanotaan olevan itse maan henkilöitymä. Legendat kertovat sen monista yhteenotoista Kyogrea vastaan, kun jokainen pyrki saamaan luonnon voiman.")</f>
        <v>Groudonin sanotaan olevan itse maan henkilöitymä. Legendat kertovat sen monista yhteenotoista Kyogrea vastaan, kun jokainen pyrki saamaan luonnon voiman.</v>
      </c>
      <c r="C6237" s="9" t="s">
        <v>1344</v>
      </c>
    </row>
    <row r="6238" ht="33.75" customHeight="1">
      <c r="A6238" s="6" t="s">
        <v>9255</v>
      </c>
      <c r="B6238" s="6" t="str">
        <f>IFERROR(__xludf.DUMMYFUNCTION("GOOGLETRANSLATE(A6238,""en"",""fi"")"),"Alkuperäisen palautumisen kautta ja luonnon täydellä voimalla se ottaa takaisin todellisen muotonsa. Se voi aiheuttaa magman purkautumisen ja laajentaa maailman mannermaata.")</f>
        <v>Alkuperäisen palautumisen kautta ja luonnon täydellä voimalla se ottaa takaisin todellisen muotonsa. Se voi aiheuttaa magman purkautumisen ja laajentaa maailman mannermaata.</v>
      </c>
      <c r="C6238" s="9" t="s">
        <v>1344</v>
      </c>
    </row>
    <row r="6239" ht="33.75" customHeight="1">
      <c r="A6239" s="6" t="s">
        <v>9256</v>
      </c>
      <c r="B6239" s="6" t="str">
        <f>IFERROR(__xludf.DUMMYFUNCTION("GOOGLETRANSLATE(A6239,""en"",""fi"")"),"RAYQUAZA eli satoja miljoonia vuosia maan otsonikerroksessa eikä koskaan laskeutunut maan pinnalle. Tämä POKéMON näyttää syövän vettä ja ilmakehän hiukkasia.")</f>
        <v>RAYQUAZA eli satoja miljoonia vuosia maan otsonikerroksessa eikä koskaan laskeutunut maan pinnalle. Tämä POKéMON näyttää syövän vettä ja ilmakehän hiukkasia.</v>
      </c>
      <c r="C6239" s="9" t="s">
        <v>1344</v>
      </c>
    </row>
    <row r="6240" ht="33.75" customHeight="1">
      <c r="A6240" s="6" t="s">
        <v>9258</v>
      </c>
      <c r="B6240" s="6" t="str">
        <f>IFERROR(__xludf.DUMMYFUNCTION("GOOGLETRANSLATE(A6240,""en"",""fi"")"),"RAYQUAZAn sanotaan eläneen satoja miljoonia vuosia maan otsonikerroksessa pilvien yläpuolella. Sen olemassaolo oli aiemmin täysin tuntematon, koska se eli niin korkealla taivaalla.")</f>
        <v>RAYQUAZAn sanotaan eläneen satoja miljoonia vuosia maan otsonikerroksessa pilvien yläpuolella. Sen olemassaolo oli aiemmin täysin tuntematon, koska se eli niin korkealla taivaalla.</v>
      </c>
      <c r="C6240" s="9" t="s">
        <v>1344</v>
      </c>
    </row>
    <row r="6241" ht="33.75" customHeight="1">
      <c r="A6241" s="6" t="s">
        <v>9260</v>
      </c>
      <c r="B6241" s="6" t="str">
        <f>IFERROR(__xludf.DUMMYFUNCTION("GOOGLETRANSLATE(A6241,""en"",""fi"")"),"POKéMON, joka lentää loputtomasti otsonikerroksessa. Sanotaan, että se laskeutuisi maahan, jos KYOGRE ja GROUDON taistelisivat.")</f>
        <v>POKéMON, joka lentää loputtomasti otsonikerroksessa. Sanotaan, että se laskeutuisi maahan, jos KYOGRE ja GROUDON taistelisivat.</v>
      </c>
      <c r="C6241" s="9" t="s">
        <v>1344</v>
      </c>
    </row>
    <row r="6242" ht="33.75" customHeight="1">
      <c r="A6242" s="6" t="s">
        <v>9261</v>
      </c>
      <c r="B6242" s="6" t="str">
        <f>IFERROR(__xludf.DUMMYFUNCTION("GOOGLETRANSLATE(A6242,""en"",""fi"")"),"Se on elänyt satoja miljoonia vuosia otsonikerroksessa. Sen lentävä olomuoto näyttää meteorilta.")</f>
        <v>Se on elänyt satoja miljoonia vuosia otsonikerroksessa. Sen lentävä olomuoto näyttää meteorilta.</v>
      </c>
      <c r="C6242" s="9" t="s">
        <v>1344</v>
      </c>
    </row>
    <row r="6243" ht="33.75" customHeight="1">
      <c r="A6243" s="6" t="s">
        <v>9262</v>
      </c>
      <c r="B6243" s="6" t="str">
        <f>IFERROR(__xludf.DUMMYFUNCTION("GOOGLETRANSLATE(A6243,""en"",""fi"")"),"Se elää otsonikerroksessa pilvien yläpuolella, eikä sitä voida nähdä maan pinnalta.")</f>
        <v>Se elää otsonikerroksessa pilvien yläpuolella, eikä sitä voida nähdä maan pinnalta.</v>
      </c>
      <c r="C6243" s="9" t="s">
        <v>1344</v>
      </c>
    </row>
    <row r="6244" ht="33.75" customHeight="1">
      <c r="A6244" s="6" t="s">
        <v>9264</v>
      </c>
      <c r="B6244" s="6" t="str">
        <f>IFERROR(__xludf.DUMMYFUNCTION("GOOGLETRANSLATE(A6244,""en"",""fi"")"),"Se lentää otsonikerroksessa, korkealla taivaalla. Vielä vähän aikaa sitten kukaan ei ollut nähnyt sitä.")</f>
        <v>Se lentää otsonikerroksessa, korkealla taivaalla. Vielä vähän aikaa sitten kukaan ei ollut nähnyt sitä.</v>
      </c>
      <c r="C6244" s="9" t="s">
        <v>1344</v>
      </c>
    </row>
    <row r="6245" ht="33.75" customHeight="1">
      <c r="A6245" s="6" t="s">
        <v>9266</v>
      </c>
      <c r="B6245" s="6" t="str">
        <f>IFERROR(__xludf.DUMMYFUNCTION("GOOGLETRANSLATE(A6245,""en"",""fi"")"),"Rayquazan sanotaan eläneen satoja miljoonia vuosia. Legendat kertovat, kuinka se lopetti Kyogren ja Groudonin välisen yhteenoton.")</f>
        <v>Rayquazan sanotaan eläneen satoja miljoonia vuosia. Legendat kertovat, kuinka se lopetti Kyogren ja Groudonin välisen yhteenoton.</v>
      </c>
      <c r="C6245" s="9" t="s">
        <v>1344</v>
      </c>
    </row>
    <row r="6246" ht="33.75" customHeight="1">
      <c r="A6246" s="6" t="s">
        <v>9268</v>
      </c>
      <c r="B6246" s="6" t="str">
        <f>IFERROR(__xludf.DUMMYFUNCTION("GOOGLETRANSLATE(A6246,""en"",""fi"")"),"Se lentää ikuisesti otsonikerroksen läpi kuluttaen meteoroideja ravinnokseen. Sen kehon monet meteoroidit tarjoavat sille megakehitykseen tarvittavan energian.")</f>
        <v>Se lentää ikuisesti otsonikerroksen läpi kuluttaen meteoroideja ravinnokseen. Sen kehon monet meteoroidit tarjoavat sille megakehitykseen tarvittavan energian.</v>
      </c>
      <c r="C6246" s="9" t="s">
        <v>1344</v>
      </c>
    </row>
    <row r="6247" ht="33.75" customHeight="1">
      <c r="A6247" s="6" t="s">
        <v>9270</v>
      </c>
      <c r="B6247" s="6" t="str">
        <f>IFERROR(__xludf.DUMMYFUNCTION("GOOGLETRANSLATE(A6247,""en"",""fi"")"),"Legendan mukaan JIRACHI toteuttaa herätessään kaikki sen päähän kiinnitettyihin lapuihin kirjoitetut toiveet. Jos tämä POKéMON aistii vaaran, se taistelee heräämättä.")</f>
        <v>Legendan mukaan JIRACHI toteuttaa herätessään kaikki sen päähän kiinnitettyihin lapuihin kirjoitetut toiveet. Jos tämä POKéMON aistii vaaran, se taistelee heräämättä.</v>
      </c>
      <c r="C6247" s="9" t="s">
        <v>1344</v>
      </c>
    </row>
    <row r="6248" ht="33.75" customHeight="1">
      <c r="A6248" s="6" t="s">
        <v>9271</v>
      </c>
      <c r="B6248" s="6" t="str">
        <f>IFERROR(__xludf.DUMMYFUNCTION("GOOGLETRANSLATE(A6248,""en"",""fi"")"),"JIRACHI herää tuhannen vuoden unestaan, jos laulat sille puhtaalla äänellä. Sen sanotaan toteuttavan kaikki ihmisten toiveet.")</f>
        <v>JIRACHI herää tuhannen vuoden unestaan, jos laulat sille puhtaalla äänellä. Sen sanotaan toteuttavan kaikki ihmisten toiveet.</v>
      </c>
      <c r="C6248" s="9" t="s">
        <v>1344</v>
      </c>
    </row>
    <row r="6249" ht="33.75" customHeight="1">
      <c r="A6249" s="6" t="s">
        <v>9273</v>
      </c>
      <c r="B6249" s="6" t="str">
        <f>IFERROR(__xludf.DUMMYFUNCTION("GOOGLETRANSLATE(A6249,""en"",""fi"")"),"JIRACHIn sanotaan toteuttavan toiveet. Sen nukkuessa kova kiteinen kuori ympäröi sen kehon suojellakseen sitä vihollisilta.")</f>
        <v>JIRACHIn sanotaan toteuttavan toiveet. Sen nukkuessa kova kiteinen kuori ympäröi sen kehon suojellakseen sitä vihollisilta.</v>
      </c>
      <c r="C6249" s="9" t="s">
        <v>1344</v>
      </c>
    </row>
    <row r="6250" ht="33.75" customHeight="1">
      <c r="A6250" s="6" t="s">
        <v>9274</v>
      </c>
      <c r="B6250" s="6" t="str">
        <f>IFERROR(__xludf.DUMMYFUNCTION("GOOGLETRANSLATE(A6250,""en"",""fi"")"),"Sen sanotaan toteuttavan kaikki toiveet. Se on hereillä vain seitsemän päivää tuhannesta vuodesta.")</f>
        <v>Sen sanotaan toteuttavan kaikki toiveet. Se on hereillä vain seitsemän päivää tuhannesta vuodesta.</v>
      </c>
      <c r="C6250" s="9" t="s">
        <v>1344</v>
      </c>
    </row>
    <row r="6251" ht="33.75" customHeight="1">
      <c r="A6251" s="6" t="s">
        <v>9276</v>
      </c>
      <c r="B6251" s="6" t="str">
        <f>IFERROR(__xludf.DUMMYFUNCTION("GOOGLETRANSLATE(A6251,""en"",""fi"")"),"Sen sanotaan voivan toteuttaa minkä tahansa toiveen vain viikon ajan tuhannen vuoden välein.")</f>
        <v>Sen sanotaan voivan toteuttaa minkä tahansa toiveen vain viikon ajan tuhannen vuoden välein.</v>
      </c>
      <c r="C6251" s="9" t="s">
        <v>1344</v>
      </c>
    </row>
    <row r="6252" ht="33.75" customHeight="1">
      <c r="A6252" s="6" t="s">
        <v>9277</v>
      </c>
      <c r="B6252" s="6" t="str">
        <f>IFERROR(__xludf.DUMMYFUNCTION("GOOGLETRANSLATE(A6252,""en"",""fi"")"),"Sukupolvien ajan on uskottu, että mikä tahansa sen päässä olevaan lapulle kirjoitettu toive toteutuu, kun se herää.")</f>
        <v>Sukupolvien ajan on uskottu, että mikä tahansa sen päässä olevaan lapulle kirjoitettu toive toteutuu, kun se herää.</v>
      </c>
      <c r="C6252" s="9" t="s">
        <v>1344</v>
      </c>
    </row>
    <row r="6253" ht="33.75" customHeight="1">
      <c r="A6253" s="6" t="s">
        <v>9279</v>
      </c>
      <c r="B6253" s="6" t="str">
        <f>IFERROR(__xludf.DUMMYFUNCTION("GOOGLETRANSLATE(A6253,""en"",""fi"")"),"Legendan mukaan Jirachi toteuttaa herätessään kaikki sen päähän kiinnitettyihin lapuihin kirjoitetut toiveet. Jos tämä Pokémon aistii vaaran, se taistelee heräämättä.")</f>
        <v>Legendan mukaan Jirachi toteuttaa herätessään kaikki sen päähän kiinnitettyihin lapuihin kirjoitetut toiveet. Jos tämä Pokémon aistii vaaran, se taistelee heräämättä.</v>
      </c>
      <c r="C6253" s="9" t="s">
        <v>1344</v>
      </c>
    </row>
    <row r="6254" ht="33.75" customHeight="1">
      <c r="A6254" s="6" t="s">
        <v>9282</v>
      </c>
      <c r="B6254" s="6" t="str">
        <f>IFERROR(__xludf.DUMMYFUNCTION("GOOGLETRANSLATE(A6254,""en"",""fi"")"),"Jirachi herää tuhannen vuoden unestaan, jos laulat sille puhtaalla äänellä. Sen sanotaan toteuttavan kaikki ihmisten toiveet.")</f>
        <v>Jirachi herää tuhannen vuoden unestaan, jos laulat sille puhtaalla äänellä. Sen sanotaan toteuttavan kaikki ihmisten toiveet.</v>
      </c>
      <c r="C6254" s="9" t="s">
        <v>1344</v>
      </c>
    </row>
    <row r="6255" ht="33.75" customHeight="1">
      <c r="A6255" s="6" t="s">
        <v>9283</v>
      </c>
      <c r="B6255" s="6" t="str">
        <f>IFERROR(__xludf.DUMMYFUNCTION("GOOGLETRANSLATE(A6255,""en"",""fi"")"),"Kerran tuhannessa vuodessa puhdas laulu herättää tämän Pokémonin lähes ikuisesta unestaan. Se herää vain seitsemäksi päiväksi.")</f>
        <v>Kerran tuhannessa vuodessa puhdas laulu herättää tämän Pokémonin lähes ikuisesta unestaan. Se herää vain seitsemäksi päiväksi.</v>
      </c>
      <c r="C6255" s="9" t="s">
        <v>1344</v>
      </c>
    </row>
    <row r="6256" ht="33.75" customHeight="1">
      <c r="A6256" s="6" t="s">
        <v>9284</v>
      </c>
      <c r="B6256" s="6" t="str">
        <f>IFERROR(__xludf.DUMMYFUNCTION("GOOGLETRANSLATE(A6256,""en"",""fi"")"),"Uskotaan, että kun tämä Pokémon herää 1 000 vuoden unestaan, se toteuttaa kaikki sen päähän kiinnitettyihin lapuihin kirjoitetut toiveet.")</f>
        <v>Uskotaan, että kun tämä Pokémon herää 1 000 vuoden unestaan, se toteuttaa kaikki sen päähän kiinnitettyihin lapuihin kirjoitetut toiveet.</v>
      </c>
      <c r="C6256" s="9" t="s">
        <v>1344</v>
      </c>
    </row>
    <row r="6257" ht="33.75" customHeight="1">
      <c r="A6257" s="6" t="s">
        <v>9286</v>
      </c>
      <c r="B6257" s="6" t="str">
        <f>IFERROR(__xludf.DUMMYFUNCTION("GOOGLETRANSLATE(A6257,""en"",""fi"")"),"Avaruusviruksen DNA:han tapahtui äkillinen mutaatio lasersäteelle altistumisen jälkeen, ja tuloksena syntyi DEOXYS. Tämän POKéMONin rinnassa oleva kiteinen elin näyttää olevan sen aivot.")</f>
        <v>Avaruusviruksen DNA:han tapahtui äkillinen mutaatio lasersäteelle altistumisen jälkeen, ja tuloksena syntyi DEOXYS. Tämän POKéMONin rinnassa oleva kiteinen elin näyttää olevan sen aivot.</v>
      </c>
      <c r="C6257" s="9" t="s">
        <v>1344</v>
      </c>
    </row>
    <row r="6258" ht="33.75" customHeight="1">
      <c r="A6258" s="6" t="s">
        <v>9288</v>
      </c>
      <c r="B6258" s="6" t="str">
        <f>IFERROR(__xludf.DUMMYFUNCTION("GOOGLETRANSLATE(A6258,""en"",""fi"")"),"DEOXYS syntyi avaruudesta tulleesta viruksesta. Se on erittäin älykäs ja omaa psykokineettisiä voimia. Tämä POKéMON ampuu lasereita rinnassaan olevasta kristallielimestä.")</f>
        <v>DEOXYS syntyi avaruudesta tulleesta viruksesta. Se on erittäin älykäs ja omaa psykokineettisiä voimia. Tämä POKéMON ampuu lasereita rinnassaan olevasta kristallielimestä.</v>
      </c>
      <c r="C6258" s="9" t="s">
        <v>1344</v>
      </c>
    </row>
    <row r="6259" ht="33.75" customHeight="1">
      <c r="A6259" s="6" t="s">
        <v>9289</v>
      </c>
      <c r="B6259" s="6" t="str">
        <f>IFERROR(__xludf.DUMMYFUNCTION("GOOGLETRANSLATE(A6259,""en"",""fi"")"),"POKéMON, joka mutatoitui lasersäteelle altistetusta maan ulkopuolisesta viruksesta. Sen ruumis on suunniteltu ylivoimaista ketteryyttä ja nopeutta varten.")</f>
        <v>POKéMON, joka mutatoitui lasersäteelle altistetusta maan ulkopuolisesta viruksesta. Sen ruumis on suunniteltu ylivoimaista ketteryyttä ja nopeutta varten.</v>
      </c>
      <c r="C6259" s="9" t="s">
        <v>1344</v>
      </c>
    </row>
    <row r="6260" ht="33.75" customHeight="1">
      <c r="A6260" s="6" t="s">
        <v>9291</v>
      </c>
      <c r="B6260" s="6" t="str">
        <f>IFERROR(__xludf.DUMMYFUNCTION("GOOGLETRANSLATE(A6260,""en"",""fi"")"),"Tämä DEOXYS on muuttunut aggressiiviseen olemukseensa. Se voi huijata vihollisia muuttamalla ulkonäköään.")</f>
        <v>Tämä DEOXYS on muuttunut aggressiiviseen olemukseensa. Se voi huijata vihollisia muuttamalla ulkonäköään.</v>
      </c>
      <c r="C6260" s="9" t="s">
        <v>1344</v>
      </c>
    </row>
    <row r="6261" ht="33.75" customHeight="1">
      <c r="A6261" s="6" t="s">
        <v>9293</v>
      </c>
      <c r="B6261" s="6" t="str">
        <f>IFERROR(__xludf.DUMMYFUNCTION("GOOGLETRANSLATE(A6261,""en"",""fi"")"),"Kun se muuttaa muotoaan, ilmestyy revontulet. Se vaimentaa hyökkäyksiä muuttamalla solurakennettaan.")</f>
        <v>Kun se muuttaa muotoaan, ilmestyy revontulet. Se vaimentaa hyökkäyksiä muuttamalla solurakennettaan.</v>
      </c>
      <c r="C6261" s="9" t="s">
        <v>1344</v>
      </c>
    </row>
    <row r="6262" ht="33.75" customHeight="1">
      <c r="A6262" s="6" t="s">
        <v>9297</v>
      </c>
      <c r="B6262" s="6" t="str">
        <f>IFERROR(__xludf.DUMMYFUNCTION("GOOGLETRANSLATE(A6262,""en"",""fi"")"),"Meteorin mukana maan päälle pudonnut avaruusolentovirus kävi läpi DNA-mutaation ja siitä tuli tämä Pokémon.")</f>
        <v>Meteorin mukana maan päälle pudonnut avaruusolentovirus kävi läpi DNA-mutaation ja siitä tuli tämä Pokémon.</v>
      </c>
      <c r="C6262" s="9" t="s">
        <v>1344</v>
      </c>
    </row>
    <row r="6263" ht="33.75" customHeight="1">
      <c r="A6263" s="6" t="s">
        <v>9299</v>
      </c>
      <c r="B6263" s="6" t="str">
        <f>IFERROR(__xludf.DUMMYFUNCTION("GOOGLETRANSLATE(A6263,""en"",""fi"")"),"Avaruusviruksen DNA mutatoitui ja siitä tuli Pokémon. Se ilmestyy sinne, missä revontulia näkyy.")</f>
        <v>Avaruusviruksen DNA mutatoitui ja siitä tuli Pokémon. Se ilmestyy sinne, missä revontulia näkyy.</v>
      </c>
      <c r="C6263" s="9" t="s">
        <v>1344</v>
      </c>
    </row>
    <row r="6264" ht="33.75" customHeight="1">
      <c r="A6264" s="6" t="s">
        <v>9300</v>
      </c>
      <c r="B6264" s="6" t="str">
        <f>IFERROR(__xludf.DUMMYFUNCTION("GOOGLETRANSLATE(A6264,""en"",""fi"")"),"Avaruusviruksen DNA:han tapahtui äkillinen mutaatio lasersäteen vaikutuksesta, ja seurauksena syntyi Deoxys. Tämän Pokémonin rinnassa oleva kiteinen elin näyttää olevan sen aivot.")</f>
        <v>Avaruusviruksen DNA:han tapahtui äkillinen mutaatio lasersäteen vaikutuksesta, ja seurauksena syntyi Deoxys. Tämän Pokémonin rinnassa oleva kiteinen elin näyttää olevan sen aivot.</v>
      </c>
      <c r="C6264" s="9" t="s">
        <v>1344</v>
      </c>
    </row>
    <row r="6265" ht="33.75" customHeight="1">
      <c r="A6265" s="6" t="s">
        <v>9302</v>
      </c>
      <c r="B6265" s="6" t="str">
        <f>IFERROR(__xludf.DUMMYFUNCTION("GOOGLETRANSLATE(A6265,""en"",""fi"")"),"Deoxys syntyi avaruudesta tulleesta viruksesta. Se on erittäin älykäs ja hänellä on psykokineettisiä voimia. Tämä Pokémon ampuu lasereita rinnassaan olevasta kristallielimestä.")</f>
        <v>Deoxys syntyi avaruudesta tulleesta viruksesta. Se on erittäin älykäs ja hänellä on psykokineettisiä voimia. Tämä Pokémon ampuu lasereita rinnassaan olevasta kristallielimestä.</v>
      </c>
      <c r="C6265" s="9" t="s">
        <v>1344</v>
      </c>
    </row>
    <row r="6266" ht="33.75" customHeight="1">
      <c r="A6266" s="6" t="s">
        <v>9303</v>
      </c>
      <c r="B6266" s="6" t="str">
        <f>IFERROR(__xludf.DUMMYFUNCTION("GOOGLETRANSLATE(A6266,""en"",""fi"")"),"Sen selässä oleva maasta tehty kuori kovettuu, kun se juo vettä. Se elää järvien varrella.")</f>
        <v>Sen selässä oleva maasta tehty kuori kovettuu, kun se juo vettä. Se elää järvien varrella.</v>
      </c>
      <c r="C6266" s="9" t="s">
        <v>1344</v>
      </c>
    </row>
    <row r="6267" ht="33.75" customHeight="1">
      <c r="A6267" s="6" t="s">
        <v>9304</v>
      </c>
      <c r="B6267" s="6" t="str">
        <f>IFERROR(__xludf.DUMMYFUNCTION("GOOGLETRANSLATE(A6267,""en"",""fi"")"),"Se suorittaa fotosynteesiä kehollaan ja tuottaa happea. Sen päässä oleva lehti nuutuu, jos se on janoinen.")</f>
        <v>Se suorittaa fotosynteesiä kehollaan ja tuottaa happea. Sen päässä oleva lehti nuutuu, jos se on janoinen.</v>
      </c>
      <c r="C6267" s="9" t="s">
        <v>1344</v>
      </c>
    </row>
    <row r="6268" ht="33.75" customHeight="1">
      <c r="A6268" s="6" t="s">
        <v>9305</v>
      </c>
      <c r="B6268" s="6" t="str">
        <f>IFERROR(__xludf.DUMMYFUNCTION("GOOGLETRANSLATE(A6268,""en"",""fi"")"),"Sen selkäpuolella oleva kuori on tehty maasta. Hyvin terveellä TURTWIG-kärpäsellä kuoren pitäisi tuntua kostealta.")</f>
        <v>Sen selkäpuolella oleva kuori on tehty maasta. Hyvin terveellä TURTWIG-kärpäsellä kuoren pitäisi tuntua kostealta.</v>
      </c>
      <c r="C6268" s="9" t="s">
        <v>1344</v>
      </c>
    </row>
    <row r="6269" ht="33.75" customHeight="1">
      <c r="A6269" s="6" t="s">
        <v>9306</v>
      </c>
      <c r="B6269" s="6" t="str">
        <f>IFERROR(__xludf.DUMMYFUNCTION("GOOGLETRANSLATE(A6269,""en"",""fi"")"),"Fotosynteesi tapahtuu sen kehossa auringon alla. Sen selässä oleva kuori on itse asiassa kovettunutta maata.")</f>
        <v>Fotosynteesi tapahtuu sen kehossa auringon alla. Sen selässä oleva kuori on itse asiassa kovettunutta maata.</v>
      </c>
      <c r="C6269" s="9" t="s">
        <v>1344</v>
      </c>
    </row>
    <row r="6270" ht="33.75" customHeight="1">
      <c r="A6270" s="6" t="s">
        <v>9308</v>
      </c>
      <c r="B6270" s="6" t="str">
        <f>IFERROR(__xludf.DUMMYFUNCTION("GOOGLETRANSLATE(A6270,""en"",""fi"")"),"Sen selkäpuolella oleva kuori on tehty maasta. Hyvin terveellä Turtwig-turtwigilla kuoren pitäisi tuntua kostealta.")</f>
        <v>Sen selkäpuolella oleva kuori on tehty maasta. Hyvin terveellä Turtwig-turtwigilla kuoren pitäisi tuntua kostealta.</v>
      </c>
      <c r="C6270" s="9" t="s">
        <v>1344</v>
      </c>
    </row>
    <row r="6271" ht="33.75" customHeight="1">
      <c r="A6271" s="6" t="s">
        <v>9309</v>
      </c>
      <c r="B6271" s="6" t="str">
        <f>IFERROR(__xludf.DUMMYFUNCTION("GOOGLETRANSLATE(A6271,""en"",""fi"")"),"Tästä Pokémonista tulee energisempi mitä enemmän auringonvaloa on. Kuoren muotoinen osa on kuin lietettä ja hieman kostea ja lämmin koskettaa.")</f>
        <v>Tästä Pokémonista tulee energisempi mitä enemmän auringonvaloa on. Kuoren muotoinen osa on kuin lietettä ja hieman kostea ja lämmin koskettaa.</v>
      </c>
      <c r="C6271" s="9" t="s">
        <v>1344</v>
      </c>
    </row>
    <row r="6272" ht="33.75" customHeight="1">
      <c r="A6272" s="6" t="s">
        <v>9310</v>
      </c>
      <c r="B6272" s="6" t="str">
        <f>IFERROR(__xludf.DUMMYFUNCTION("GOOGLETRANSLATE(A6272,""en"",""fi"")"),"Se elää metsien vesistöjen varrella. Päivällä se poistuu metsästä paistattelemaan puukuoressaan.")</f>
        <v>Se elää metsien vesistöjen varrella. Päivällä se poistuu metsästä paistattelemaan puukuoressaan.</v>
      </c>
      <c r="C6272" s="9" t="s">
        <v>1344</v>
      </c>
    </row>
    <row r="6273" ht="33.75" customHeight="1">
      <c r="A6273" s="6" t="s">
        <v>9311</v>
      </c>
      <c r="B6273" s="6" t="str">
        <f>IFERROR(__xludf.DUMMYFUNCTION("GOOGLETRANSLATE(A6273,""en"",""fi"")"),"Kuori on kovettunutta maata. Jotkut Pokémonit tulevat nokkimaan sen selässä olevissa puissa kasvavia marjoja.")</f>
        <v>Kuori on kovettunutta maata. Jotkut Pokémonit tulevat nokkimaan sen selässä olevissa puissa kasvavia marjoja.</v>
      </c>
      <c r="C6273" s="9" t="s">
        <v>1344</v>
      </c>
    </row>
    <row r="6274" ht="33.75" customHeight="1">
      <c r="A6274" s="6" t="s">
        <v>9312</v>
      </c>
      <c r="B6274" s="6" t="str">
        <f>IFERROR(__xludf.DUMMYFUNCTION("GOOGLETRANSLATE(A6274,""en"",""fi"")"),"Se tietää, mistä puhdas vesi pulppuaa. Se kantaa muita Pokémoneja sinne selässään.")</f>
        <v>Se tietää, mistä puhdas vesi pulppuaa. Se kantaa muita Pokémoneja sinne selässään.</v>
      </c>
      <c r="C6274" s="9" t="s">
        <v>1344</v>
      </c>
    </row>
    <row r="6275" ht="33.75" customHeight="1">
      <c r="A6275" s="6" t="s">
        <v>9313</v>
      </c>
      <c r="B6275" s="6" t="str">
        <f>IFERROR(__xludf.DUMMYFUNCTION("GOOGLETRANSLATE(A6275,""en"",""fi"")"),"Metsässä elävällä MÖRSÖLLÄ sanotaan olevan oma salainen lähdevetensä.")</f>
        <v>Metsässä elävällä MÖRSÖLLÄ sanotaan olevan oma salainen lähdevetensä.</v>
      </c>
      <c r="C6275" s="9" t="s">
        <v>1344</v>
      </c>
    </row>
    <row r="6276" ht="33.75" customHeight="1">
      <c r="A6276" s="6" t="s">
        <v>9314</v>
      </c>
      <c r="B6276" s="6" t="str">
        <f>IFERROR(__xludf.DUMMYFUNCTION("GOOGLETRANSLATE(A6276,""en"",""fi"")"),"Esiintyy siellä, missä on puhdasta lähdevettä. Kuorellaan pensaissa kasvavat hedelmät ovat makeita, ravitsevia ja todella herkullisia.")</f>
        <v>Esiintyy siellä, missä on puhdasta lähdevettä. Kuorellaan pensaissa kasvavat hedelmät ovat makeita, ravitsevia ja todella herkullisia.</v>
      </c>
      <c r="C6276" s="9" t="s">
        <v>1344</v>
      </c>
    </row>
    <row r="6277" ht="33.75" customHeight="1">
      <c r="A6277" s="6" t="s">
        <v>9315</v>
      </c>
      <c r="B6277" s="6" t="str">
        <f>IFERROR(__xludf.DUMMYFUNCTION("GOOGLETRANSLATE(A6277,""en"",""fi"")"),"Pienet Pokémonit kerääntyvät toisinaan sen liikkumattomalle selälle aloittaakseen pesänsä rakentamisen.")</f>
        <v>Pienet Pokémonit kerääntyvät toisinaan sen liikkumattomalle selälle aloittaakseen pesänsä rakentamisen.</v>
      </c>
      <c r="C6277" s="9" t="s">
        <v>1344</v>
      </c>
    </row>
    <row r="6278" ht="33.75" customHeight="1">
      <c r="A6278" s="6" t="s">
        <v>9317</v>
      </c>
      <c r="B6278" s="6" t="str">
        <f>IFERROR(__xludf.DUMMYFUNCTION("GOOGLETRANSLATE(A6278,""en"",""fi"")"),"Tämän veden etsimiseen vaeltavan Pokémonin ryhmiä on erehdyksessä luultu ""liikkuviksi metsiksi"".")</f>
        <v>Tämän veden etsimiseen vaeltavan Pokémonin ryhmiä on erehdyksessä luultu "liikkuviksi metsiksi".</v>
      </c>
      <c r="C6278" s="9" t="s">
        <v>1344</v>
      </c>
    </row>
    <row r="6279" ht="33.75" customHeight="1">
      <c r="A6279" s="6" t="s">
        <v>9319</v>
      </c>
      <c r="B6279" s="6" t="str">
        <f>IFERROR(__xludf.DUMMYFUNCTION("GOOGLETRANSLATE(A6279,""en"",""fi"")"),"Jotkut Pokémonit syntyvät TORTERRAN selässä ja viettävät siellä koko elämänsä.")</f>
        <v>Jotkut Pokémonit syntyvät TORTERRAN selässä ja viettävät siellä koko elämänsä.</v>
      </c>
      <c r="C6279" s="9" t="s">
        <v>1344</v>
      </c>
    </row>
    <row r="6280" ht="33.75" customHeight="1">
      <c r="A6280" s="6" t="s">
        <v>9320</v>
      </c>
      <c r="B6280" s="6" t="str">
        <f>IFERROR(__xludf.DUMMYFUNCTION("GOOGLETRANSLATE(A6280,""en"",""fi"")"),"Muinaiset ihmiset kuvittelivat, että maan alla asui jättimäinen TORTERRA.")</f>
        <v>Muinaiset ihmiset kuvittelivat, että maan alla asui jättimäinen TORTERRA.</v>
      </c>
      <c r="C6280" s="9" t="s">
        <v>1344</v>
      </c>
    </row>
    <row r="6281" ht="33.75" customHeight="1">
      <c r="A6281" s="6" t="s">
        <v>9321</v>
      </c>
      <c r="B6281" s="6" t="str">
        <f>IFERROR(__xludf.DUMMYFUNCTION("GOOGLETRANSLATE(A6281,""en"",""fi"")"),"Jotkut Pokémonit syntyvät torterran selässä ja viettävät siellä koko elämänsä.")</f>
        <v>Jotkut Pokémonit syntyvät torterran selässä ja viettävät siellä koko elämänsä.</v>
      </c>
      <c r="C6281" s="9" t="s">
        <v>1344</v>
      </c>
    </row>
    <row r="6282" ht="33.75" customHeight="1">
      <c r="A6282" s="6" t="s">
        <v>9323</v>
      </c>
      <c r="B6282" s="6" t="str">
        <f>IFERROR(__xludf.DUMMYFUNCTION("GOOGLETRANSLATE(A6282,""en"",""fi"")"),"Muinaiset ihmiset kuvittelivat, että maan alla asui jättimäinen Torterra.")</f>
        <v>Muinaiset ihmiset kuvittelivat, että maan alla asui jättimäinen Torterra.</v>
      </c>
      <c r="C6282" s="9" t="s">
        <v>1344</v>
      </c>
    </row>
    <row r="6283" ht="33.75" customHeight="1">
      <c r="A6283" s="6" t="s">
        <v>9325</v>
      </c>
      <c r="B6283" s="6" t="str">
        <f>IFERROR(__xludf.DUMMYFUNCTION("GOOGLETRANSLATE(A6283,""en"",""fi"")"),"Tämä merkittävä, suurirunkoinen Pokémon toimisi kauniisti lainamaisemana puutarhaan, ja sen voima on vertaansa vailla. Torterra vaeltaa erämaassa etsien puhdasta vettä.")</f>
        <v>Tämä merkittävä, suurirunkoinen Pokémon toimisi kauniisti lainamaisemana puutarhaan, ja sen voima on vertaansa vailla. Torterra vaeltaa erämaassa etsien puhdasta vettä.</v>
      </c>
      <c r="C6283" s="9" t="s">
        <v>1344</v>
      </c>
    </row>
    <row r="6284" ht="33.75" customHeight="1">
      <c r="A6284" s="6" t="s">
        <v>9327</v>
      </c>
      <c r="B6284" s="6" t="str">
        <f>IFERROR(__xludf.DUMMYFUNCTION("GOOGLETRANSLATE(A6284,""en"",""fi"")"),"Se kiipeää ketterästi jyrkkiä kallioita pitkin asuakseen jyrkillä vuorilla. Sen tuli sammuu, kun se nukkuu.")</f>
        <v>Se kiipeää ketterästi jyrkkiä kallioita pitkin asuakseen jyrkillä vuorilla. Sen tuli sammuu, kun se nukkuu.</v>
      </c>
      <c r="C6284" s="9" t="s">
        <v>1344</v>
      </c>
    </row>
    <row r="6285" ht="33.75" customHeight="1">
      <c r="A6285" s="6" t="s">
        <v>9329</v>
      </c>
      <c r="B6285" s="6" t="str">
        <f>IFERROR(__xludf.DUMMYFUNCTION("GOOGLETRANSLATE(A6285,""en"",""fi"")"),"Sen tulinen perä saa polttoaineensa sen vatsassa tuotetusta kaasusta. Edes sade ei voi sammuttaa tulta.")</f>
        <v>Sen tulinen perä saa polttoaineensa sen vatsassa tuotetusta kaasusta. Edes sade ei voi sammuttaa tulta.</v>
      </c>
      <c r="C6285" s="9" t="s">
        <v>1344</v>
      </c>
    </row>
    <row r="6286" ht="33.75" customHeight="1">
      <c r="A6286" s="6" t="s">
        <v>9330</v>
      </c>
      <c r="B6286" s="6" t="str">
        <f>IFERROR(__xludf.DUMMYFUNCTION("GOOGLETRANSLATE(A6286,""en"",""fi"")"),"Se on erittäin ketterä. Ennen nukkumaanmenoa se sammuttaa pyrstönsä liekin estääkseen tulipaloja.")</f>
        <v>Se on erittäin ketterä. Ennen nukkumaanmenoa se sammuttaa pyrstönsä liekin estääkseen tulipaloja.</v>
      </c>
      <c r="C6286" s="9" t="s">
        <v>1344</v>
      </c>
    </row>
    <row r="6287" ht="33.75" customHeight="1">
      <c r="A6287" s="6" t="s">
        <v>9331</v>
      </c>
      <c r="B6287" s="6" t="str">
        <f>IFERROR(__xludf.DUMMYFUNCTION("GOOGLETRANSLATE(A6287,""en"",""fi"")"),"Sen vatsassa syntyvä kaasu palaa sen takaosasta. Tuli palaa heikosti, kun se on kipeä.")</f>
        <v>Sen vatsassa syntyvä kaasu palaa sen takaosasta. Tuli palaa heikosti, kun se on kipeä.</v>
      </c>
      <c r="C6287" s="9" t="s">
        <v>1344</v>
      </c>
    </row>
    <row r="6288" ht="33.75" customHeight="1">
      <c r="A6288" s="6" t="s">
        <v>9332</v>
      </c>
      <c r="B6288" s="6" t="str">
        <f>IFERROR(__xludf.DUMMYFUNCTION("GOOGLETRANSLATE(A6288,""en"",""fi"")"),"Täynnä tarmoa ja aina hyvällä tuulella. Se tunnettiin aikoinaan nimellä ”Lyhtyhäntä” ja sitä pelättiin jonkinlaisena aaveena.")</f>
        <v>Täynnä tarmoa ja aina hyvällä tuulella. Se tunnettiin aikoinaan nimellä ”Lyhtyhäntä” ja sitä pelättiin jonkinlaisena aaveena.</v>
      </c>
      <c r="C6288" s="9" t="s">
        <v>1344</v>
      </c>
    </row>
    <row r="6289" ht="33.75" customHeight="1">
      <c r="A6289" s="6" t="s">
        <v>9334</v>
      </c>
      <c r="B6289" s="6" t="str">
        <f>IFERROR(__xludf.DUMMYFUNCTION("GOOGLETRANSLATE(A6289,""en"",""fi"")"),"Hyökkääjien pelottelemiseksi se venyttää tulta pyrstössään näyttääkseen suuremmalta.")</f>
        <v>Hyökkääjien pelottelemiseksi se venyttää tulta pyrstössään näyttääkseen suuremmalta.</v>
      </c>
      <c r="C6289" s="9" t="s">
        <v>1344</v>
      </c>
    </row>
    <row r="6290" ht="33.75" customHeight="1">
      <c r="A6290" s="6" t="s">
        <v>9335</v>
      </c>
      <c r="B6290" s="6" t="str">
        <f>IFERROR(__xludf.DUMMYFUNCTION("GOOGLETRANSLATE(A6290,""en"",""fi"")"),"Se käyttää kattoja ja seiniä ilmahyökkäysten tekemiseen. Sen tulinen pyrstö on vain yksi ase.")</f>
        <v>Se käyttää kattoja ja seiniä ilmahyökkäysten tekemiseen. Sen tulinen pyrstö on vain yksi ase.</v>
      </c>
      <c r="C6290" s="9" t="s">
        <v>1344</v>
      </c>
    </row>
    <row r="6291" ht="33.75" customHeight="1">
      <c r="A6291" s="6" t="s">
        <v>9338</v>
      </c>
      <c r="B6291" s="6" t="str">
        <f>IFERROR(__xludf.DUMMYFUNCTION("GOOGLETRANSLATE(A6291,""en"",""fi"")"),"Se hallitsee taitavasti pyrstönsä tulen voimakkuutta pitääkseen vihollisensa ihanteellisella etäisyydellä.")</f>
        <v>Se hallitsee taitavasti pyrstönsä tulen voimakkuutta pitääkseen vihollisensa ihanteellisella etäisyydellä.</v>
      </c>
      <c r="C6291" s="9" t="s">
        <v>1344</v>
      </c>
    </row>
    <row r="6292" ht="33.75" customHeight="1">
      <c r="A6292" s="6" t="s">
        <v>9340</v>
      </c>
      <c r="B6292" s="6" t="str">
        <f>IFERROR(__xludf.DUMMYFUNCTION("GOOGLETRANSLATE(A6292,""en"",""fi"")"),"Suurempi tuli sen pyrstössä ja kirkkaampi sininen kuvio sen kasvoissa tarkoittavat korkeampaa sijoitusta laumassa.")</f>
        <v>Suurempi tuli sen pyrstössä ja kirkkaampi sininen kuvio sen kasvoissa tarkoittavat korkeampaa sijoitusta laumassa.</v>
      </c>
      <c r="C6292" s="9" t="s">
        <v>1344</v>
      </c>
    </row>
    <row r="6293" ht="33.75" customHeight="1">
      <c r="A6293" s="6" t="s">
        <v>9342</v>
      </c>
      <c r="B6293" s="6" t="str">
        <f>IFERROR(__xludf.DUMMYFUNCTION("GOOGLETRANSLATE(A6293,""en"",""fi"")"),"Mitä tummempi sininen sen kasvoissa on, sitä voimakkaammaksi se kasvaa. Se hyppii joka suuntaan ja iskee voimakkaita iskuja vastustajiinsa liekillä pyrstössään.")</f>
        <v>Mitä tummempi sininen sen kasvoissa on, sitä voimakkaammaksi se kasvaa. Se hyppii joka suuntaan ja iskee voimakkaita iskuja vastustajiinsa liekillä pyrstössään.</v>
      </c>
      <c r="C6293" s="9" t="s">
        <v>1344</v>
      </c>
    </row>
    <row r="6294" ht="33.75" customHeight="1">
      <c r="A6294" s="6" t="s">
        <v>9344</v>
      </c>
      <c r="B6294" s="6" t="str">
        <f>IFERROR(__xludf.DUMMYFUNCTION("GOOGLETRANSLATE(A6294,""en"",""fi"")"),"Se käyttää erityistä kamppailulajia, johon osallistuvat kaikki sen raajat. Sen tuli ei koskaan sammu.")</f>
        <v>Se käyttää erityistä kamppailulajia, johon osallistuvat kaikki sen raajat. Sen tuli ei koskaan sammu.</v>
      </c>
      <c r="C6294" s="9" t="s">
        <v>1344</v>
      </c>
    </row>
    <row r="6295" ht="33.75" customHeight="1">
      <c r="A6295" s="6" t="s">
        <v>9345</v>
      </c>
      <c r="B6295" s="6" t="str">
        <f>IFERROR(__xludf.DUMMYFUNCTION("GOOGLETRANSLATE(A6295,""en"",""fi"")"),"Sen tulikruunu kertoo sen tulisuudesta. Kukaan ei voita sitä nopeudessa.")</f>
        <v>Sen tulikruunu kertoo sen tulisuudesta. Kukaan ei voita sitä nopeudessa.</v>
      </c>
      <c r="C6295" s="9" t="s">
        <v>1344</v>
      </c>
    </row>
    <row r="6296" ht="33.75" customHeight="1">
      <c r="A6296" s="6" t="s">
        <v>9347</v>
      </c>
      <c r="B6296" s="6" t="str">
        <f>IFERROR(__xludf.DUMMYFUNCTION("GOOGLETRANSLATE(A6296,""en"",""fi"")"),"Se käyttää ainutlaatuisia taisteluliikkeitä, joissa sen kädet ja jalat ovat tulessa. Se kohtaa minkä tahansa vastustajan.")</f>
        <v>Se käyttää ainutlaatuisia taisteluliikkeitä, joissa sen kädet ja jalat ovat tulessa. Se kohtaa minkä tahansa vastustajan.</v>
      </c>
      <c r="C6296" s="9" t="s">
        <v>1344</v>
      </c>
    </row>
    <row r="6297" ht="33.75" customHeight="1">
      <c r="A6297" s="6" t="s">
        <v>9349</v>
      </c>
      <c r="B6297" s="6" t="str">
        <f>IFERROR(__xludf.DUMMYFUNCTION("GOOGLETRANSLATE(A6297,""en"",""fi"")"),"Se heittelee vihollisiaan ketterästi. Se käyttää kaikkia raajojaan taistellakseen omalla ainutlaatuisella tyylillään.")</f>
        <v>Se heittelee vihollisiaan ketterästi. Se käyttää kaikkia raajojaan taistellakseen omalla ainutlaatuisella tyylillään.</v>
      </c>
      <c r="C6297" s="9" t="s">
        <v>1344</v>
      </c>
    </row>
    <row r="6298" ht="33.75" customHeight="1">
      <c r="A6298" s="6" t="s">
        <v>9350</v>
      </c>
      <c r="B6298" s="6" t="str">
        <f>IFERROR(__xludf.DUMMYFUNCTION("GOOGLETRANSLATE(A6298,""en"",""fi"")"),"Pitkä ja sitkeä Pokémon, jolla on häikäisevä ulkonäkö. Se kietoutuu liekkeihin ja taistelee kuin tanssisi – todellakin näkemisen arvoinen.")</f>
        <v>Pitkä ja sitkeä Pokémon, jolla on häikäisevä ulkonäkö. Se kietoutuu liekkeihin ja taistelee kuin tanssisi – todellakin näkemisen arvoinen.</v>
      </c>
      <c r="C6298" s="9" t="s">
        <v>1344</v>
      </c>
    </row>
    <row r="6299" ht="33.75" customHeight="1">
      <c r="A6299" s="6" t="s">
        <v>9352</v>
      </c>
      <c r="B6299" s="6" t="str">
        <f>IFERROR(__xludf.DUMMYFUNCTION("GOOGLETRANSLATE(A6299,""en"",""fi"")"),"Koska se on hyvin ylpeä, se vihaa ottaa vastaan ​​ruokaa ihmisiltä. Sen paksu untuva suojaa sitä kylmältä.")</f>
        <v>Koska se on hyvin ylpeä, se vihaa ottaa vastaan ​​ruokaa ihmisiltä. Sen paksu untuva suojaa sitä kylmältä.</v>
      </c>
      <c r="C6299" s="9" t="s">
        <v>1344</v>
      </c>
    </row>
    <row r="6300" ht="33.75" customHeight="1">
      <c r="A6300" s="6" t="s">
        <v>9354</v>
      </c>
      <c r="B6300" s="6" t="str">
        <f>IFERROR(__xludf.DUMMYFUNCTION("GOOGLETRANSLATE(A6300,""en"",""fi"")"),"Se elää pohjoisten maiden rannoilla. Taitavana uimarina se sukeltaa yli 10 minuutiksi metsästämään.")</f>
        <v>Se elää pohjoisten maiden rannoilla. Taitavana uimarina se sukeltaa yli 10 minuutiksi metsästämään.</v>
      </c>
      <c r="C6300" s="9" t="s">
        <v>1344</v>
      </c>
    </row>
    <row r="6301" ht="33.75" customHeight="1">
      <c r="A6301" s="6" t="s">
        <v>9355</v>
      </c>
      <c r="B6301" s="6" t="str">
        <f>IFERROR(__xludf.DUMMYFUNCTION("GOOGLETRANSLATE(A6301,""en"",""fi"")"),"Huono kävelijä, se kaatuu usein. Sen vahva ylpeys saa sen kuitenkin pyörittämään rintaansa huoletta.")</f>
        <v>Huono kävelijä, se kaatuu usein. Sen vahva ylpeys saa sen kuitenkin pyörittämään rintaansa huoletta.</v>
      </c>
      <c r="C6301" s="9" t="s">
        <v>1344</v>
      </c>
    </row>
    <row r="6302" ht="33.75" customHeight="1">
      <c r="A6302" s="6" t="s">
        <v>9357</v>
      </c>
      <c r="B6302" s="6" t="str">
        <f>IFERROR(__xludf.DUMMYFUNCTION("GOOGLETRANSLATE(A6302,""en"",""fi"")"),"Se ei pidä siitä, että siitä pidetään huolta. Sen kanssa on vaikea luoda sidettä, koska se ei kuuntele kouluttajaansa.")</f>
        <v>Se ei pidä siitä, että siitä pidetään huolta. Sen kanssa on vaikea luoda sidettä, koska se ei kuuntele kouluttajaansa.</v>
      </c>
      <c r="C6302" s="9" t="s">
        <v>1344</v>
      </c>
    </row>
    <row r="6303" ht="33.75" customHeight="1">
      <c r="A6303" s="6" t="s">
        <v>9358</v>
      </c>
      <c r="B6303" s="6" t="str">
        <f>IFERROR(__xludf.DUMMYFUNCTION("GOOGLETRANSLATE(A6303,""en"",""fi"")"),"Se viihtyy kylmässä ilmastossa ja esiintyy rannikoilla. Se on suloinen pikkujuttu – yhtä söpö kuin mikä tahansa lapsi – mutta se on myös ylpeä, eikä halua ottaa vastaan ​​lahjoja ihmisiltä.")</f>
        <v>Se viihtyy kylmässä ilmastossa ja esiintyy rannikoilla. Se on suloinen pikkujuttu – yhtä söpö kuin mikä tahansa lapsi – mutta se on myös ylpeä, eikä halua ottaa vastaan ​​lahjoja ihmisiltä.</v>
      </c>
      <c r="C6303" s="9" t="s">
        <v>1344</v>
      </c>
    </row>
    <row r="6304" ht="33.75" customHeight="1">
      <c r="A6304" s="6" t="s">
        <v>9360</v>
      </c>
      <c r="B6304" s="6" t="str">
        <f>IFERROR(__xludf.DUMMYFUNCTION("GOOGLETRANSLATE(A6304,""en"",""fi"")"),"Se asuu yksin, erillään muista. Ilmeisesti jokainen heistä uskoo olevansa tärkein.")</f>
        <v>Se asuu yksin, erillään muista. Ilmeisesti jokainen heistä uskoo olevansa tärkein.</v>
      </c>
      <c r="C6304" s="9" t="s">
        <v>1344</v>
      </c>
    </row>
    <row r="6305" ht="33.75" customHeight="1">
      <c r="A6305" s="6" t="s">
        <v>9362</v>
      </c>
      <c r="B6305" s="6" t="str">
        <f>IFERROR(__xludf.DUMMYFUNCTION("GOOGLETRANSLATE(A6305,""en"",""fi"")"),"Sen siivet iskevät rajuja iskuja, jotka katkaisevat paksuimmatkin puut. Se etsii saalista jäisestä merestä.")</f>
        <v>Sen siivet iskevät rajuja iskuja, jotka katkaisevat paksuimmatkin puut. Se etsii saalista jäisestä merestä.</v>
      </c>
      <c r="C6305" s="9" t="s">
        <v>1344</v>
      </c>
    </row>
    <row r="6306" ht="33.75" customHeight="1">
      <c r="A6306" s="6" t="s">
        <v>9364</v>
      </c>
      <c r="B6306" s="6" t="str">
        <f>IFERROR(__xludf.DUMMYFUNCTION("GOOGLETRANSLATE(A6306,""en"",""fi"")"),"Koska jokainen PRINPLUP pitää itseään tärkeimpänä, he eivät voi koskaan muodostaa ryhmää.")</f>
        <v>Koska jokainen PRINPLUP pitää itseään tärkeimpänä, he eivät voi koskaan muodostaa ryhmää.</v>
      </c>
      <c r="C6306" s="9" t="s">
        <v>1344</v>
      </c>
    </row>
    <row r="6307" ht="33.75" customHeight="1">
      <c r="A6307" s="6" t="s">
        <v>9365</v>
      </c>
      <c r="B6307" s="6" t="str">
        <f>IFERROR(__xludf.DUMMYFUNCTION("GOOGLETRANSLATE(A6307,""en"",""fi"")"),"Se elää yksinäistä elämää. Sen siivet antavat rajuja iskuja, jotka voivat katkaista jopa paksuimmat puut.")</f>
        <v>Se elää yksinäistä elämää. Sen siivet antavat rajuja iskuja, jotka voivat katkaista jopa paksuimmat puut.</v>
      </c>
      <c r="C6307" s="9" t="s">
        <v>1344</v>
      </c>
    </row>
    <row r="6308" ht="33.75" customHeight="1">
      <c r="A6308" s="6" t="s">
        <v>9366</v>
      </c>
      <c r="B6308" s="6" t="str">
        <f>IFERROR(__xludf.DUMMYFUNCTION("GOOGLETRANSLATE(A6308,""en"",""fi"")"),"Koska jokainen Prinplup pitää itseään tärkeimpänä, he eivät voi koskaan muodostaa ryhmää.")</f>
        <v>Koska jokainen Prinplup pitää itseään tärkeimpänä, he eivät voi koskaan muodostaa ryhmää.</v>
      </c>
      <c r="C6308" s="9" t="s">
        <v>1344</v>
      </c>
    </row>
    <row r="6309" ht="33.75" customHeight="1">
      <c r="A6309" s="6" t="s">
        <v>9367</v>
      </c>
      <c r="B6309" s="6" t="str">
        <f>IFERROR(__xludf.DUMMYFUNCTION("GOOGLETRANSLATE(A6309,""en"",""fi"")"),"Se ui sulavasti hyisen meren läpi ja laulaa äänellä, joka on kuin pauhaava vuorovesi. Sillä on voimakkaat, tukevat siivet ja arvokkuus, jotka vastaavat sitä.")</f>
        <v>Se ui sulavasti hyisen meren läpi ja laulaa äänellä, joka on kuin pauhaava vuorovesi. Sillä on voimakkaat, tukevat siivet ja arvokkuus, jotka vastaavat sitä.</v>
      </c>
      <c r="C6309" s="9" t="s">
        <v>1344</v>
      </c>
    </row>
    <row r="6310" ht="33.75" customHeight="1">
      <c r="A6310" s="6" t="s">
        <v>9369</v>
      </c>
      <c r="B6310" s="6" t="str">
        <f>IFERROR(__xludf.DUMMYFUNCTION("GOOGLETRANSLATE(A6310,""en"",""fi"")"),"Sen nokasta lähtevät kolme sarvea todistavat sen voimasta. Johtajalla on suurimmat sarvet.")</f>
        <v>Sen nokasta lähtevät kolme sarvea todistavat sen voimasta. Johtajalla on suurimmat sarvet.</v>
      </c>
      <c r="C6310" s="9" t="s">
        <v>1344</v>
      </c>
    </row>
    <row r="6311" ht="33.75" customHeight="1">
      <c r="A6311" s="6" t="s">
        <v>9371</v>
      </c>
      <c r="B6311" s="6" t="str">
        <f>IFERROR(__xludf.DUMMYFUNCTION("GOOGLETRANSLATE(A6311,""en"",""fi"")"),"Se ui yhtä nopeasti kuin suihkuvene. Sen siipien reunat ovat terävät ja voivat viiltää ajelehtivaa jäätä.")</f>
        <v>Se ui yhtä nopeasti kuin suihkuvene. Sen siipien reunat ovat terävät ja voivat viiltää ajelehtivaa jäätä.</v>
      </c>
      <c r="C6311" s="9" t="s">
        <v>1344</v>
      </c>
    </row>
    <row r="6312" ht="33.75" customHeight="1">
      <c r="A6312" s="6" t="s">
        <v>9372</v>
      </c>
      <c r="B6312" s="6" t="str">
        <f>IFERROR(__xludf.DUMMYFUNCTION("GOOGLETRANSLATE(A6312,""en"",""fi"")"),"Jos joku loukkaisi sen ylpeyttä, se viiltäisi sitä siivillä, jotka voivat halkaista jäälautan läpi.")</f>
        <v>Jos joku loukkaisi sen ylpeyttä, se viiltäisi sitä siivillä, jotka voivat halkaista jäälautan läpi.</v>
      </c>
      <c r="C6312" s="9" t="s">
        <v>1344</v>
      </c>
    </row>
    <row r="6313" ht="33.75" customHeight="1">
      <c r="A6313" s="6" t="s">
        <v>9373</v>
      </c>
      <c r="B6313" s="6" t="str">
        <f>IFERROR(__xludf.DUMMYFUNCTION("GOOGLETRANSLATE(A6313,""en"",""fi"")"),"Se välttää tarpeettomia kiistoja, mutta se tuhoaa kaiken, mikä uhkaa sen ylpeyttä.")</f>
        <v>Se välttää tarpeettomia kiistoja, mutta se tuhoaa kaiken, mikä uhkaa sen ylpeyttä.</v>
      </c>
      <c r="C6313" s="9" t="s">
        <v>1344</v>
      </c>
    </row>
    <row r="6314" ht="33.75" customHeight="1">
      <c r="A6314" s="6" t="s">
        <v>9374</v>
      </c>
      <c r="B6314" s="6" t="str">
        <f>IFERROR(__xludf.DUMMYFUNCTION("GOOGLETRANSLATE(A6314,""en"",""fi"")"),"Hisui on kunnioittanut sitä muinaisista ajoista lähtien ja kutsunut sitä Aaltojen Mestariksi. Sen siivet vetävät vertoja jopa mestarillisesti valmistettuihin teriin.")</f>
        <v>Hisui on kunnioittanut sitä muinaisista ajoista lähtien ja kutsunut sitä Aaltojen Mestariksi. Sen siivet vetävät vertoja jopa mestarillisesti valmistettuihin teriin.</v>
      </c>
      <c r="C6314" s="9" t="s">
        <v>1344</v>
      </c>
    </row>
    <row r="6315" ht="33.75" customHeight="1">
      <c r="A6315" s="6" t="s">
        <v>9375</v>
      </c>
      <c r="B6315" s="6" t="str">
        <f>IFERROR(__xludf.DUMMYFUNCTION("GOOGLETRANSLATE(A6315,""en"",""fi"")"),"Ne kerääntyvät parveksiin. Vaikka ne ovat pieniä, ne räpyttelevät siipiään voimakkaasti.")</f>
        <v>Ne kerääntyvät parveksiin. Vaikka ne ovat pieniä, ne räpyttelevät siipiään voimakkaasti.</v>
      </c>
      <c r="C6315" s="9" t="s">
        <v>1344</v>
      </c>
    </row>
    <row r="6316" ht="33.75" customHeight="1">
      <c r="A6316" s="6" t="s">
        <v>9376</v>
      </c>
      <c r="B6316" s="6" t="str">
        <f>IFERROR(__xludf.DUMMYFUNCTION("GOOGLETRANSLATE(A6316,""en"",""fi"")"),"Yleensä suuressa parvessa se on yksin ollessaan tuskin havaittavissa. Sen huuto on hyvin kovaäänistä.")</f>
        <v>Yleensä suuressa parvessa se on yksin ollessaan tuskin havaittavissa. Sen huuto on hyvin kovaäänistä.</v>
      </c>
      <c r="C6316" s="9" t="s">
        <v>1344</v>
      </c>
    </row>
    <row r="6317" ht="33.75" customHeight="1">
      <c r="A6317" s="6" t="s">
        <v>9377</v>
      </c>
      <c r="B6317" s="6" t="str">
        <f>IFERROR(__xludf.DUMMYFUNCTION("GOOGLETRANSLATE(A6317,""en"",""fi"")"),"Koska ne ovat yksilöinä heikkoja, ne muodostavat ryhmiä. Ne kuitenkin riitelevät, jos ryhmä kasvaa liian suureksi.")</f>
        <v>Koska ne ovat yksilöinä heikkoja, ne muodostavat ryhmiä. Ne kuitenkin riitelevät, jos ryhmä kasvaa liian suureksi.</v>
      </c>
      <c r="C6317" s="9" t="s">
        <v>1344</v>
      </c>
    </row>
    <row r="6318" ht="33.75" customHeight="1">
      <c r="A6318" s="6" t="s">
        <v>9378</v>
      </c>
      <c r="B6318" s="6" t="str">
        <f>IFERROR(__xludf.DUMMYFUNCTION("GOOGLETRANSLATE(A6318,""en"",""fi"")"),"Ne parveilevat vuorilla ja pelloilla jahdaten ötökkä-Pokémoneja. Niiden laulu on äänekästä ja ärsyttävää.")</f>
        <v>Ne parveilevat vuorilla ja pelloilla jahdaten ötökkä-Pokémoneja. Niiden laulu on äänekästä ja ärsyttävää.</v>
      </c>
      <c r="C6318" s="9" t="s">
        <v>1344</v>
      </c>
    </row>
    <row r="6319" ht="33.75" customHeight="1">
      <c r="A6319" s="6" t="s">
        <v>9379</v>
      </c>
      <c r="B6319" s="6" t="str">
        <f>IFERROR(__xludf.DUMMYFUNCTION("GOOGLETRANSLATE(A6319,""en"",""fi"")"),"Ne elävät pelloilla ja vuorilla kokoontuen suuriksi parviksi. Niiden huuto on melko vastenmielistä. Vaikka ne ovat pieniä, niiden siivet ovat vahvat – niiden isku aiheuttaa kipua, joka kestää viikon.")</f>
        <v>Ne elävät pelloilla ja vuorilla kokoontuen suuriksi parviksi. Niiden huuto on melko vastenmielistä. Vaikka ne ovat pieniä, niiden siivet ovat vahvat – niiden isku aiheuttaa kipua, joka kestää viikon.</v>
      </c>
      <c r="C6319" s="9" t="s">
        <v>1344</v>
      </c>
    </row>
    <row r="6320" ht="33.75" customHeight="1">
      <c r="A6320" s="6" t="s">
        <v>9380</v>
      </c>
      <c r="B6320" s="6" t="str">
        <f>IFERROR(__xludf.DUMMYFUNCTION("GOOGLETRANSLATE(A6320,""en"",""fi"")"),"Se lentää metsien ja peltojen ympäri etsien ötökkä-Pokémoneja. Se pysyttelee valtavan parven sisällä.")</f>
        <v>Se lentää metsien ja peltojen ympäri etsien ötökkä-Pokémoneja. Se pysyttelee valtavan parven sisällä.</v>
      </c>
      <c r="C6320" s="9" t="s">
        <v>1344</v>
      </c>
    </row>
    <row r="6321" ht="33.75" customHeight="1">
      <c r="A6321" s="6" t="s">
        <v>9382</v>
      </c>
      <c r="B6321" s="6" t="str">
        <f>IFERROR(__xludf.DUMMYFUNCTION("GOOGLETRANSLATE(A6321,""en"",""fi"")"),"Se elää metsissä ja pelloilla. Aluekiistoja syntyy, kun parvet törmäävät toisiinsa.")</f>
        <v>Se elää metsissä ja pelloilla. Aluekiistoja syntyy, kun parvet törmäävät toisiinsa.</v>
      </c>
      <c r="C6321" s="9" t="s">
        <v>1344</v>
      </c>
    </row>
    <row r="6322" ht="33.75" customHeight="1">
      <c r="A6322" s="6" t="s">
        <v>9383</v>
      </c>
      <c r="B6322" s="6" t="str">
        <f>IFERROR(__xludf.DUMMYFUNCTION("GOOGLETRANSLATE(A6322,""en"",""fi"")"),"Tunnustaen oman heikkoutensa, ne elävät aina ryhmässä. Yksin ollessaan STARAVIA itkee äänekkäästi.")</f>
        <v>Tunnustaen oman heikkoutensa, ne elävät aina ryhmässä. Yksin ollessaan STARAVIA itkee äänekkäästi.</v>
      </c>
      <c r="C6322" s="9" t="s">
        <v>1344</v>
      </c>
    </row>
    <row r="6323" ht="33.75" customHeight="1">
      <c r="A6323" s="6" t="s">
        <v>9385</v>
      </c>
      <c r="B6323" s="6" t="str">
        <f>IFERROR(__xludf.DUMMYFUNCTION("GOOGLETRANSLATE(A6323,""en"",""fi"")"),"Ne ylläpitävät valtavia parvia, vaikka eri parvien välillä puhkeaakin raivokkaita kahakoita.")</f>
        <v>Ne ylläpitävät valtavia parvia, vaikka eri parvien välillä puhkeaakin raivokkaita kahakoita.</v>
      </c>
      <c r="C6323" s="9" t="s">
        <v>1344</v>
      </c>
    </row>
    <row r="6324" ht="33.75" customHeight="1">
      <c r="A6324" s="6" t="s">
        <v>9387</v>
      </c>
      <c r="B6324" s="6" t="str">
        <f>IFERROR(__xludf.DUMMYFUNCTION("GOOGLETRANSLATE(A6324,""en"",""fi"")"),"Tunnustaen oman heikkoutensa, ne elävät aina ryhmässä. Yksin ollessaan Staravia itkee äänekkäästi.")</f>
        <v>Tunnustaen oman heikkoutensa, ne elävät aina ryhmässä. Yksin ollessaan Staravia itkee äänekkäästi.</v>
      </c>
      <c r="C6324" s="9" t="s">
        <v>1344</v>
      </c>
    </row>
    <row r="6325" ht="33.75" customHeight="1">
      <c r="A6325" s="6" t="s">
        <v>9388</v>
      </c>
      <c r="B6325" s="6" t="str">
        <f>IFERROR(__xludf.DUMMYFUNCTION("GOOGLETRANSLATE(A6325,""en"",""fi"")"),"Ne muodostavat huomattavan suuria parvia ja tappelevat jatkuvasti keskenään. Epäilen, että ne, joilla on upeat höyhenet päässään, ovat vahvoja.")</f>
        <v>Ne muodostavat huomattavan suuria parvia ja tappelevat jatkuvasti keskenään. Epäilen, että ne, joilla on upeat höyhenet päässään, ovat vahvoja.</v>
      </c>
      <c r="C6325" s="9" t="s">
        <v>1344</v>
      </c>
    </row>
    <row r="6326" ht="33.75" customHeight="1">
      <c r="A6326" s="6" t="s">
        <v>9390</v>
      </c>
      <c r="B6326" s="6" t="str">
        <f>IFERROR(__xludf.DUMMYFUNCTION("GOOGLETRANSLATE(A6326,""en"",""fi"")"),"Sillä on raa'a luonne. Se haastaa rohkeasti paljon suurempia vihollisia.")</f>
        <v>Sillä on raa'a luonne. Se haastaa rohkeasti paljon suurempia vihollisia.</v>
      </c>
      <c r="C6326" s="9" t="s">
        <v>1344</v>
      </c>
    </row>
    <row r="6327" ht="33.75" customHeight="1">
      <c r="A6327" s="6" t="s">
        <v>9392</v>
      </c>
      <c r="B6327" s="6" t="str">
        <f>IFERROR(__xludf.DUMMYFUNCTION("GOOGLETRANSLATE(A6327,""en"",""fi"")"),"Sen siipien ja jalkojen lihakset ovat vahvat. Se voi helposti lentää pitäen kiinni pienestä Pokémonista.")</f>
        <v>Sen siipien ja jalkojen lihakset ovat vahvat. Se voi helposti lentää pitäen kiinni pienestä Pokémonista.</v>
      </c>
      <c r="C6327" s="9" t="s">
        <v>1344</v>
      </c>
    </row>
    <row r="6328" ht="33.75" customHeight="1">
      <c r="A6328" s="6" t="s">
        <v>9394</v>
      </c>
      <c r="B6328" s="6" t="str">
        <f>IFERROR(__xludf.DUMMYFUNCTION("GOOGLETRANSLATE(A6328,""en"",""fi"")"),"Se ei koskaan lakkaa hyökkäämästä, vaikka se loukkaantuisi. Se näprää kampansa muotoa.")</f>
        <v>Se ei koskaan lakkaa hyökkäämästä, vaikka se loukkaantuisi. Se näprää kampansa muotoa.</v>
      </c>
      <c r="C6328" s="9" t="s">
        <v>1344</v>
      </c>
    </row>
    <row r="6329" ht="33.75" customHeight="1">
      <c r="A6329" s="6" t="s">
        <v>9395</v>
      </c>
      <c r="B6329" s="6" t="str">
        <f>IFERROR(__xludf.DUMMYFUNCTION("GOOGLETRANSLATE(A6329,""en"",""fi"")"),"Kun STARAVIA kehittyy STARAPTOReiksi, ne jättävät parven elämään yksin. Niillä on vahvat siivet.")</f>
        <v>Kun STARAVIA kehittyy STARAPTOReiksi, ne jättävät parven elämään yksin. Niillä on vahvat siivet.</v>
      </c>
      <c r="C6329" s="9" t="s">
        <v>1344</v>
      </c>
    </row>
    <row r="6330" ht="33.75" customHeight="1">
      <c r="A6330" s="6" t="s">
        <v>9396</v>
      </c>
      <c r="B6330" s="6" t="str">
        <f>IFERROR(__xludf.DUMMYFUNCTION("GOOGLETRANSLATE(A6330,""en"",""fi"")"),"Kun Staravioista kehittyy Staraptor, ne jättävät parven elämään yksin. Niillä on vahvat siivet.")</f>
        <v>Kun Staravioista kehittyy Staraptor, ne jättävät parven elämään yksin. Niillä on vahvat siivet.</v>
      </c>
      <c r="C6330" s="9" t="s">
        <v>1344</v>
      </c>
    </row>
    <row r="6331" ht="33.75" customHeight="1">
      <c r="A6331" s="6" t="s">
        <v>9397</v>
      </c>
      <c r="B6331" s="6" t="str">
        <f>IFERROR(__xludf.DUMMYFUNCTION("GOOGLETRANSLATE(A6331,""en"",""fi"")"),"Se on lähtenyt parvesta saatuaan tarpeeksi voimaa selviytyäkseen omin avuin. Staraptorin hämmästyttävä lentovoima mahdollistaa sen kuljettaa pois suuria ja rotevia kohteita.")</f>
        <v>Se on lähtenyt parvesta saatuaan tarpeeksi voimaa selviytyäkseen omin avuin. Staraptorin hämmästyttävä lentovoima mahdollistaa sen kuljettaa pois suuria ja rotevia kohteita.</v>
      </c>
      <c r="C6331" s="9" t="s">
        <v>1344</v>
      </c>
    </row>
    <row r="6332" ht="33.75" customHeight="1">
      <c r="A6332" s="6" t="s">
        <v>9399</v>
      </c>
      <c r="B6332" s="6" t="str">
        <f>IFERROR(__xludf.DUMMYFUNCTION("GOOGLETRANSLATE(A6332,""en"",""fi"")"),"Teräksisten hermojen ansiosta mikään ei voi sitä häiritä. Se on ketterämpi ja aktiivisempi kuin miltä näyttää.")</f>
        <v>Teräksisten hermojen ansiosta mikään ei voi sitä häiritä. Se on ketterämpi ja aktiivisempi kuin miltä näyttää.</v>
      </c>
      <c r="C6332" s="9" t="s">
        <v>1344</v>
      </c>
    </row>
    <row r="6333" ht="33.75" customHeight="1">
      <c r="A6333" s="6" t="s">
        <v>9401</v>
      </c>
      <c r="B6333" s="6" t="str">
        <f>IFERROR(__xludf.DUMMYFUNCTION("GOOGLETRANSLATE(A6333,""en"",""fi"")"),"Se jyrsii jatkuvasti tukkeja ja kiviä veistääkseen etuhampaitaan. Se pesii veden äärellä.")</f>
        <v>Se jyrsii jatkuvasti tukkeja ja kiviä veistääkseen etuhampaitaan. Se pesii veden äärellä.</v>
      </c>
      <c r="C6333" s="9" t="s">
        <v>1344</v>
      </c>
    </row>
    <row r="6334" ht="33.75" customHeight="1">
      <c r="A6334" s="6" t="s">
        <v>9405</v>
      </c>
      <c r="B6334" s="6" t="str">
        <f>IFERROR(__xludf.DUMMYFUNCTION("GOOGLETRANSLATE(A6334,""en"",""fi"")"),"Vertailu paljasti, että BIDOOFin etuhampaat kasvavat samaan tahtiin kuin RATTATAn.")</f>
        <v>Vertailu paljasti, että BIDOOFin etuhampaat kasvavat samaan tahtiin kuin RATTATAn.</v>
      </c>
      <c r="C6334" s="9" t="s">
        <v>1344</v>
      </c>
    </row>
    <row r="6335" ht="33.75" customHeight="1">
      <c r="A6335" s="6" t="s">
        <v>9406</v>
      </c>
      <c r="B6335" s="6" t="str">
        <f>IFERROR(__xludf.DUMMYFUNCTION("GOOGLETRANSLATE(A6335,""en"",""fi"")"),"Se elää ryhmissä veden äärellä. Se pureskelee pesänsä ympärillä olevia lohkareita ja puita etuhampaillaan.")</f>
        <v>Se elää ryhmissä veden äärellä. Se pureskelee pesänsä ympärillä olevia lohkareita ja puita etuhampaillaan.</v>
      </c>
      <c r="C6335" s="9" t="s">
        <v>1344</v>
      </c>
    </row>
    <row r="6336" ht="33.75" customHeight="1">
      <c r="A6336" s="6" t="s">
        <v>9407</v>
      </c>
      <c r="B6336" s="6" t="str">
        <f>IFERROR(__xludf.DUMMYFUNCTION("GOOGLETRANSLATE(A6336,""en"",""fi"")"),"Vertailu paljasti, että Bidoofin etuhampaat kasvavat samaan tahtiin kuin Rattatan.")</f>
        <v>Vertailu paljasti, että Bidoofin etuhampaat kasvavat samaan tahtiin kuin Rattatan.</v>
      </c>
      <c r="C6336" s="9" t="s">
        <v>1344</v>
      </c>
    </row>
    <row r="6337" ht="33.75" customHeight="1">
      <c r="A6337" s="6" t="s">
        <v>9409</v>
      </c>
      <c r="B6337" s="6" t="str">
        <f>IFERROR(__xludf.DUMMYFUNCTION("GOOGLETRANSLATE(A6337,""en"",""fi"")"),"Bidoofilla on yksinkertainen ilme, eikä hän juurikaan hermostu mistään. On ollut tapauksia, joissa Bidoof on vaeltanut kyliin ja jyrsinyt taloja välittämättä niiden kalua.")</f>
        <v>Bidoofilla on yksinkertainen ilme, eikä hän juurikaan hermostu mistään. On ollut tapauksia, joissa Bidoof on vaeltanut kyliin ja jyrsinyt taloja välittämättä niiden kalua.</v>
      </c>
      <c r="C6337" s="9" t="s">
        <v>1344</v>
      </c>
    </row>
    <row r="6338" ht="33.75" customHeight="1">
      <c r="A6338" s="6" t="s">
        <v>9411</v>
      </c>
      <c r="B6338" s="6" t="str">
        <f>IFERROR(__xludf.DUMMYFUNCTION("GOOGLETRANSLATE(A6338,""en"",""fi"")"),"Se tekee pesänsä patoamalla puroja kaarnalla ja mudalla. Se tunnetaan ahkerana työntekijänä.")</f>
        <v>Se tekee pesänsä patoamalla puroja kaarnalla ja mudalla. Se tunnetaan ahkerana työntekijänä.</v>
      </c>
      <c r="C6338" s="9" t="s">
        <v>1344</v>
      </c>
    </row>
    <row r="6339" ht="33.75" customHeight="1">
      <c r="A6339" s="6" t="s">
        <v>9413</v>
      </c>
      <c r="B6339" s="6" t="str">
        <f>IFERROR(__xludf.DUMMYFUNCTION("GOOGLETRANSLATE(A6339,""en"",""fi"")"),"Vaikka sen liikkeet vedestä poissa ollessa ovat hitaita, se voi uida yhtä nopeasti kuin mikä tahansa FEEBAS.")</f>
        <v>Vaikka sen liikkeet vedestä poissa ollessa ovat hitaita, se voi uida yhtä nopeasti kuin mikä tahansa FEEBAS.</v>
      </c>
      <c r="C6339" s="9" t="s">
        <v>1344</v>
      </c>
    </row>
    <row r="6340" ht="33.75" customHeight="1">
      <c r="A6340" s="6" t="s">
        <v>9414</v>
      </c>
      <c r="B6340" s="6" t="str">
        <f>IFERROR(__xludf.DUMMYFUNCTION("GOOGLETRANSLATE(A6340,""en"",""fi"")"),"BIBARELin patoama joki ei koskaan tulvi yli rantojensa, mistä lähistöllä asuvat ihmiset ovat iloisia.")</f>
        <v>BIBARELin patoama joki ei koskaan tulvi yli rantojensa, mistä lähistöllä asuvat ihmiset ovat iloisia.</v>
      </c>
      <c r="C6340" s="9" t="s">
        <v>1344</v>
      </c>
    </row>
    <row r="6341" ht="33.75" customHeight="1">
      <c r="A6341" s="6" t="s">
        <v>9416</v>
      </c>
      <c r="B6341" s="6" t="str">
        <f>IFERROR(__xludf.DUMMYFUNCTION("GOOGLETRANSLATE(A6341,""en"",""fi"")"),"Se tekee ahkerasti pesänsä terävillä etuhampaillaan silpomistaan ​​oksista ja juurista.")</f>
        <v>Se tekee ahkerasti pesänsä terävillä etuhampaillaan silpomistaan ​​oksista ja juurista.</v>
      </c>
      <c r="C6341" s="9" t="s">
        <v>1344</v>
      </c>
    </row>
    <row r="6342" ht="33.75" customHeight="1">
      <c r="A6342" s="6" t="s">
        <v>9418</v>
      </c>
      <c r="B6342" s="6" t="str">
        <f>IFERROR(__xludf.DUMMYFUNCTION("GOOGLETRANSLATE(A6342,""en"",""fi"")"),"Bibarelin patoama joki ei koskaan tulvi yli rantojensa, mistä lähistöllä asuvat ihmiset ovat iloisia.")</f>
        <v>Bibarelin patoama joki ei koskaan tulvi yli rantojensa, mistä lähistöllä asuvat ihmiset ovat iloisia.</v>
      </c>
      <c r="C6342" s="9" t="s">
        <v>1344</v>
      </c>
    </row>
    <row r="6343" ht="33.75" customHeight="1">
      <c r="A6343" s="6" t="s">
        <v>9419</v>
      </c>
      <c r="B6343" s="6" t="str">
        <f>IFERROR(__xludf.DUMMYFUNCTION("GOOGLETRANSLATE(A6343,""en"",""fi"")"),"Bibarelin turkki hylkii vettä ja on myös loistava materiaali lämmönpidätyskyvyn kannalta. Nämä Pokémonit luovat jokiin patoja elääkseen.")</f>
        <v>Bibarelin turkki hylkii vettä ja on myös loistava materiaali lämmönpidätyskyvyn kannalta. Nämä Pokémonit luovat jokiin patoja elääkseen.</v>
      </c>
      <c r="C6343" s="9" t="s">
        <v>1344</v>
      </c>
    </row>
    <row r="6344" ht="33.75" customHeight="1">
      <c r="A6344" s="6" t="s">
        <v>9420</v>
      </c>
      <c r="B6344" s="6" t="str">
        <f>IFERROR(__xludf.DUMMYFUNCTION("GOOGLETRANSLATE(A6344,""en"",""fi"")"),"Se pudistelee päätään taaksepäin, jolloin sen tuntosarvet osuvat toisiinsa ja kuulostavat ksylofonilta.")</f>
        <v>Se pudistelee päätään taaksepäin, jolloin sen tuntosarvet osuvat toisiinsa ja kuulostavat ksylofonilta.</v>
      </c>
      <c r="C6344" s="9" t="s">
        <v>1344</v>
      </c>
    </row>
    <row r="6345" ht="33.75" customHeight="1">
      <c r="A6345" s="6" t="s">
        <v>9422</v>
      </c>
      <c r="B6345" s="6" t="str">
        <f>IFERROR(__xludf.DUMMYFUNCTION("GOOGLETRANSLATE(A6345,""en"",""fi"")"),"Se juttelee muiden kanssa törmäävien tuntosarviensa äänien avulla. Nämä äänet ovat syksyn tunnusmerkkejä.")</f>
        <v>Se juttelee muiden kanssa törmäävien tuntosarviensa äänien avulla. Nämä äänet ovat syksyn tunnusmerkkejä.</v>
      </c>
      <c r="C6345" s="9" t="s">
        <v>1344</v>
      </c>
    </row>
    <row r="6346" ht="33.75" customHeight="1">
      <c r="A6346" s="6" t="s">
        <v>9424</v>
      </c>
      <c r="B6346" s="6" t="str">
        <f>IFERROR(__xludf.DUMMYFUNCTION("GOOGLETRANSLATE(A6346,""en"",""fi"")"),"Sen jalat ovat lyhyet. Aina kun se kompastuu, sen jäykät tuntosarvet napsahtavat ksylofonin kaltaisella äänellä.")</f>
        <v>Sen jalat ovat lyhyet. Aina kun se kompastuu, sen jäykät tuntosarvet napsahtavat ksylofonin kaltaisella äänellä.</v>
      </c>
      <c r="C6346" s="9" t="s">
        <v>1344</v>
      </c>
    </row>
    <row r="6347" ht="33.75" customHeight="1">
      <c r="A6347" s="6" t="s">
        <v>9425</v>
      </c>
      <c r="B6347" s="6" t="str">
        <f>IFERROR(__xludf.DUMMYFUNCTION("GOOGLETRANSLATE(A6347,""en"",""fi"")"),"Kun sen tuntosarvet osuvat toisiinsa, se kuulostaa ksylofonin musiikilta.")</f>
        <v>Kun sen tuntosarvet osuvat toisiinsa, se kuulostaa ksylofonin musiikilta.</v>
      </c>
      <c r="C6347" s="9" t="s">
        <v>1344</v>
      </c>
    </row>
    <row r="6348" ht="33.75" customHeight="1">
      <c r="A6348" s="6" t="s">
        <v>9426</v>
      </c>
      <c r="B6348" s="6" t="str">
        <f>IFERROR(__xludf.DUMMYFUNCTION("GOOGLETRANSLATE(A6348,""en"",""fi"")"),"Kun puut saavat uusia sävyjä, näitä Pokémoneja ilmestyy lisää. Niiden tuntosarvien yhteen iskemisestä syntyvä ääni muistuttaa marimban, vieraiden maiden soittimen, ääntä.")</f>
        <v>Kun puut saavat uusia sävyjä, näitä Pokémoneja ilmestyy lisää. Niiden tuntosarvien yhteen iskemisestä syntyvä ääni muistuttaa marimban, vieraiden maiden soittimen, ääntä.</v>
      </c>
      <c r="C6348" s="9" t="s">
        <v>1344</v>
      </c>
    </row>
    <row r="6349" ht="33.75" customHeight="1">
      <c r="A6349" s="6" t="s">
        <v>9428</v>
      </c>
      <c r="B6349" s="6" t="str">
        <f>IFERROR(__xludf.DUMMYFUNCTION("GOOGLETRANSLATE(A6349,""en"",""fi"")"),"Se ristii veitsenmäiset käsivartensa rintansa edessä itkeessään. Se voi säveltää melodioita mielin määrin.")</f>
        <v>Se ristii veitsenmäiset käsivartensa rintansa edessä itkeessään. Se voi säveltää melodioita mielin määrin.</v>
      </c>
      <c r="C6349" s="9" t="s">
        <v>1344</v>
      </c>
    </row>
    <row r="6350" ht="33.75" customHeight="1">
      <c r="A6350" s="6" t="s">
        <v>9429</v>
      </c>
      <c r="B6350" s="6" t="str">
        <f>IFERROR(__xludf.DUMMYFUNCTION("GOOGLETRANSLATE(A6350,""en"",""fi"")"),"Se viestii tunteistaan ​​melodioillaan. Tutkijat tutkivat näitä melodiakuvioita.")</f>
        <v>Se viestii tunteistaan ​​melodioillaan. Tutkijat tutkivat näitä melodiakuvioita.</v>
      </c>
      <c r="C6350" s="9" t="s">
        <v>1344</v>
      </c>
    </row>
    <row r="6351" ht="33.75" customHeight="1">
      <c r="A6351" s="6" t="s">
        <v>9430</v>
      </c>
      <c r="B6351" s="6" t="str">
        <f>IFERROR(__xludf.DUMMYFUNCTION("GOOGLETRANSLATE(A6351,""en"",""fi"")"),"Eräässä kylässä järjestetään kilpailu, joka perustuu tämän Pokémonin hämmästyttävän vaihteleviin huutoihin.")</f>
        <v>Eräässä kylässä järjestetään kilpailu, joka perustuu tämän Pokémonin hämmästyttävän vaihteleviin huutoihin.</v>
      </c>
      <c r="C6351" s="9" t="s">
        <v>1344</v>
      </c>
    </row>
    <row r="6352" ht="33.75" customHeight="1">
      <c r="A6352" s="6" t="s">
        <v>9431</v>
      </c>
      <c r="B6352" s="6" t="str">
        <f>IFERROR(__xludf.DUMMYFUNCTION("GOOGLETRANSLATE(A6352,""en"",""fi"")"),"Antamalla huutonsa kaikua vatsansa onteloissa se tuottaa lumoavan äänen.")</f>
        <v>Antamalla huutonsa kaikua vatsansa onteloissa se tuottaa lumoavan äänen.</v>
      </c>
      <c r="C6352" s="9" t="s">
        <v>1344</v>
      </c>
    </row>
    <row r="6353" ht="33.75" customHeight="1">
      <c r="A6353" s="6" t="s">
        <v>9432</v>
      </c>
      <c r="B6353" s="6" t="str">
        <f>IFERROR(__xludf.DUMMYFUNCTION("GOOGLETRANSLATE(A6353,""en"",""fi"")"),"Se käyttää miekkamaisia ​​käsiään tuottaakseen ääntä, jonka melodia vaihtelee yksilöstä toiseen. Suosikkisävelmiensä etsiminen on vaivan arvoista.")</f>
        <v>Se käyttää miekkamaisia ​​käsiään tuottaakseen ääntä, jonka melodia vaihtelee yksilöstä toiseen. Suosikkisävelmiensä etsiminen on vaivan arvoista.</v>
      </c>
      <c r="C6353" s="9" t="s">
        <v>1344</v>
      </c>
    </row>
    <row r="6354" ht="33.75" customHeight="1">
      <c r="A6354" s="6" t="s">
        <v>9434</v>
      </c>
      <c r="B6354" s="6" t="str">
        <f>IFERROR(__xludf.DUMMYFUNCTION("GOOGLETRANSLATE(A6354,""en"",""fi"")"),"Kaikki sen turkki kiiltää, jos se aistii vaaran. Se pakenee, kun vihollinen sokeutuu hetkeksi.")</f>
        <v>Kaikki sen turkki kiiltää, jos se aistii vaaran. Se pakenee, kun vihollinen sokeutuu hetkeksi.</v>
      </c>
      <c r="C6354" s="9" t="s">
        <v>1344</v>
      </c>
    </row>
    <row r="6355" ht="33.75" customHeight="1">
      <c r="A6355" s="6" t="s">
        <v>9436</v>
      </c>
      <c r="B6355" s="6" t="str">
        <f>IFERROR(__xludf.DUMMYFUNCTION("GOOGLETRANSLATE(A6355,""en"",""fi"")"),"Sen etujaloilla on lihaspohjainen sähköntuotantojärjestelmä. Sen ruumis kiiltää, jos se on uhanalainen.")</f>
        <v>Sen etujaloilla on lihaspohjainen sähköntuotantojärjestelmä. Sen ruumis kiiltää, jos se on uhanalainen.</v>
      </c>
      <c r="C6355" s="9" t="s">
        <v>1344</v>
      </c>
    </row>
    <row r="6356" ht="33.75" customHeight="1">
      <c r="A6356" s="6" t="s">
        <v>9437</v>
      </c>
      <c r="B6356" s="6" t="str">
        <f>IFERROR(__xludf.DUMMYFUNCTION("GOOGLETRANSLATE(A6356,""en"",""fi"")"),"Sen lihasten ojentuminen ja supistuminen tuottaa sähköä. Se hehkuu vaikeuksissa.")</f>
        <v>Sen lihasten ojentuminen ja supistuminen tuottaa sähköä. Se hehkuu vaikeuksissa.</v>
      </c>
      <c r="C6356" s="9" t="s">
        <v>1344</v>
      </c>
    </row>
    <row r="6357" ht="33.75" customHeight="1">
      <c r="A6357" s="6" t="s">
        <v>9438</v>
      </c>
      <c r="B6357" s="6" t="str">
        <f>IFERROR(__xludf.DUMMYFUNCTION("GOOGLETRANSLATE(A6357,""en"",""fi"")"),"Sen lihasten ojentuminen ja supistuminen tuottaa sähköä. Sen turkki hehkuu, kun se on vaikeuksissa.")</f>
        <v>Sen lihasten ojentuminen ja supistuminen tuottaa sähköä. Sen turkki hehkuu, kun se on vaikeuksissa.</v>
      </c>
      <c r="C6357" s="9" t="s">
        <v>1344</v>
      </c>
    </row>
    <row r="6358" ht="33.75" customHeight="1">
      <c r="A6358" s="6" t="s">
        <v>9439</v>
      </c>
      <c r="B6358" s="6" t="str">
        <f>IFERROR(__xludf.DUMMYFUNCTION("GOOGLETRANSLATE(A6358,""en"",""fi"")"),"Tämä Pokémon tuottaa sähköä supistamalla lihaksiaan. Innostunut vapina on merkki siitä, että Shinx tuottaa valtavan määrän sähköä.")</f>
        <v>Tämä Pokémon tuottaa sähköä supistamalla lihaksiaan. Innostunut vapina on merkki siitä, että Shinx tuottaa valtavan määrän sähköä.</v>
      </c>
      <c r="C6358" s="9" t="s">
        <v>1344</v>
      </c>
    </row>
    <row r="6359" ht="33.75" customHeight="1">
      <c r="A6359" s="6" t="s">
        <v>9440</v>
      </c>
      <c r="B6359" s="6" t="str">
        <f>IFERROR(__xludf.DUMMYFUNCTION("GOOGLETRANSLATE(A6359,""en"",""fi"")"),"Sähkö saa tämän Pokémonin turkin hehkumaan. Shinx lähettää signaaleja muille lajitovereilleen ravistelemalla hännänpäätään, jonka hohtaessa kirkkaasti se palaa.")</f>
        <v>Sähkö saa tämän Pokémonin turkin hehkumaan. Shinx lähettää signaaleja muille lajitovereilleen ravistelemalla hännänpäätään, jonka hohtaessa kirkkaasti se palaa.</v>
      </c>
      <c r="C6359" s="9" t="s">
        <v>1344</v>
      </c>
    </row>
    <row r="6360" ht="33.75" customHeight="1">
      <c r="A6360" s="6" t="s">
        <v>9441</v>
      </c>
      <c r="B6360" s="6" t="str">
        <f>IFERROR(__xludf.DUMMYFUNCTION("GOOGLETRANSLATE(A6360,""en"",""fi"")"),"Ravistaa kehoaan tuottaakseen sähköä. Sen koko peittää aggressiivisuuden – tämän Pokémonin kesyttämiseen tarvitaan kärsivällisyyttä.")</f>
        <v>Ravistaa kehoaan tuottaakseen sähköä. Sen koko peittää aggressiivisuuden – tämän Pokémonin kesyttämiseen tarvitaan kärsivällisyyttä.</v>
      </c>
      <c r="C6360" s="9" t="s">
        <v>1344</v>
      </c>
    </row>
    <row r="6361" ht="33.75" customHeight="1">
      <c r="A6361" s="6" t="s">
        <v>9442</v>
      </c>
      <c r="B6361" s="6" t="str">
        <f>IFERROR(__xludf.DUMMYFUNCTION("GOOGLETRANSLATE(A6361,""en"",""fi"")"),"Sen kynnet vapauttavat niin paljon sähköä, että se voi aiheuttaa pyörtymisen. Ne elävät pienissä ryhmissä.")</f>
        <v>Sen kynnet vapauttavat niin paljon sähköä, että se voi aiheuttaa pyörtymisen. Ne elävät pienissä ryhmissä.</v>
      </c>
      <c r="C6361" s="9" t="s">
        <v>1344</v>
      </c>
    </row>
    <row r="6362" ht="33.75" customHeight="1">
      <c r="A6362" s="6" t="s">
        <v>9443</v>
      </c>
      <c r="B6362" s="6" t="str">
        <f>IFERROR(__xludf.DUMMYFUNCTION("GOOGLETRANSLATE(A6362,""en"",""fi"")"),"Se lepää etujalkojaan muiden päällä kommunikoidakseen kynsiensä rytmisten sähköpulssien avulla.")</f>
        <v>Se lepää etujalkojaan muiden päällä kommunikoidakseen kynsiensä rytmisten sähköpulssien avulla.</v>
      </c>
      <c r="C6362" s="9" t="s">
        <v>1344</v>
      </c>
    </row>
    <row r="6363" ht="33.75" customHeight="1">
      <c r="A6363" s="6" t="s">
        <v>9445</v>
      </c>
      <c r="B6363" s="6" t="str">
        <f>IFERROR(__xludf.DUMMYFUNCTION("GOOGLETRANSLATE(A6363,""en"",""fi"")"),"Sen terävien kynsien kärkien läpi kulkee voimakasta sähköä. Kevyt raaputus aiheuttaa vihollisille pyörtymisen.")</f>
        <v>Sen terävien kynsien kärkien läpi kulkee voimakasta sähköä. Kevyt raaputus aiheuttaa vihollisille pyörtymisen.</v>
      </c>
      <c r="C6363" s="9" t="s">
        <v>1344</v>
      </c>
    </row>
    <row r="6364" ht="33.75" customHeight="1">
      <c r="A6364" s="6" t="s">
        <v>9446</v>
      </c>
      <c r="B6364" s="6" t="str">
        <f>IFERROR(__xludf.DUMMYFUNCTION("GOOGLETRANSLATE(A6364,""en"",""fi"")"),"Kokoamalla hännänsä yhteen ne tuottavat yhdessä tehokasta sähköä kynsiensä avulla.")</f>
        <v>Kokoamalla hännänsä yhteen ne tuottavat yhdessä tehokasta sähköä kynsiensä avulla.</v>
      </c>
      <c r="C6364" s="9" t="s">
        <v>1344</v>
      </c>
    </row>
    <row r="6365" ht="33.75" customHeight="1">
      <c r="A6365" s="6" t="s">
        <v>9448</v>
      </c>
      <c r="B6365" s="6" t="str">
        <f>IFERROR(__xludf.DUMMYFUNCTION("GOOGLETRANSLATE(A6365,""en"",""fi"")"),"Yhdistämällä pyrstönsä toisen Luxion pyrstöön, tämä Pokémon voi vastaanottaa toisen Luxion sähköä ja käynnistää omat sähköiskunsa.")</f>
        <v>Yhdistämällä pyrstönsä toisen Luxion pyrstöön, tämä Pokémon voi vastaanottaa toisen Luxion sähköä ja käynnistää omat sähköiskunsa.</v>
      </c>
      <c r="C6365" s="9" t="s">
        <v>1344</v>
      </c>
    </row>
    <row r="6366" ht="33.75" customHeight="1">
      <c r="A6366" s="6" t="s">
        <v>9449</v>
      </c>
      <c r="B6366" s="6" t="str">
        <f>IFERROR(__xludf.DUMMYFUNCTION("GOOGLETRANSLATE(A6366,""en"",""fi"")"),"Kohdatessaan vastustajan tämä Pokémon valmistautuu taisteluun ojentamalla kyntensä, jotka voivat tuottaa miljoona volttia sähköä.")</f>
        <v>Kohdatessaan vastustajan tämä Pokémon valmistautuu taisteluun ojentamalla kyntensä, jotka voivat tuottaa miljoona volttia sähköä.</v>
      </c>
      <c r="C6366" s="9" t="s">
        <v>1344</v>
      </c>
    </row>
    <row r="6367" ht="33.75" customHeight="1">
      <c r="A6367" s="6" t="s">
        <v>9451</v>
      </c>
      <c r="B6367" s="6" t="str">
        <f>IFERROR(__xludf.DUMMYFUNCTION("GOOGLETRANSLATE(A6367,""en"",""fi"")"),"Käyttää ylpeänä sähköistettyjä kynsiään aseina. Se vaikuttaa olevan armollinen Pokémon, joka jakaa metsästyksen saaliin tasaisesti muiden kaltaistensa kanssa.")</f>
        <v>Käyttää ylpeänä sähköistettyjä kynsiään aseina. Se vaikuttaa olevan armollinen Pokémon, joka jakaa metsästyksen saaliin tasaisesti muiden kaltaistensa kanssa.</v>
      </c>
      <c r="C6367" s="9" t="s">
        <v>1344</v>
      </c>
    </row>
    <row r="6368" ht="33.75" customHeight="1">
      <c r="A6368" s="6" t="s">
        <v>9454</v>
      </c>
      <c r="B6368" s="6" t="str">
        <f>IFERROR(__xludf.DUMMYFUNCTION("GOOGLETRANSLATE(A6368,""en"",""fi"")"),"Sillä on silmät, jotka näkevät kaiken läpi. Se havaitsee ja nappaa esineiden taakse piiloutuneen saaliin.")</f>
        <v>Sillä on silmät, jotka näkevät kaiken läpi. Se havaitsee ja nappaa esineiden taakse piiloutuneen saaliin.</v>
      </c>
      <c r="C6368" s="9" t="s">
        <v>1344</v>
      </c>
    </row>
    <row r="6369" ht="33.75" customHeight="1">
      <c r="A6369" s="6" t="s">
        <v>9455</v>
      </c>
      <c r="B6369" s="6" t="str">
        <f>IFERROR(__xludf.DUMMYFUNCTION("GOOGLETRANSLATE(A6369,""en"",""fi"")"),"Kun sen silmät hohtavat kultaisina, se voi havaita piileskelevän saaliin – jopa sellaisen, joka hakee suojaa muurin takaa.")</f>
        <v>Kun sen silmät hohtavat kultaisina, se voi havaita piileskelevän saaliin – jopa sellaisen, joka hakee suojaa muurin takaa.</v>
      </c>
      <c r="C6369" s="9" t="s">
        <v>1344</v>
      </c>
    </row>
    <row r="6370" ht="33.75" customHeight="1">
      <c r="A6370" s="6" t="s">
        <v>9456</v>
      </c>
      <c r="B6370" s="6" t="str">
        <f>IFERROR(__xludf.DUMMYFUNCTION("GOOGLETRANSLATE(A6370,""en"",""fi"")"),"Se näkee selvästi seinien läpi jäljittääkseen saaliinsa ja etsiäkseen kadonneita poikasiaan.")</f>
        <v>Se näkee selvästi seinien läpi jäljittääkseen saaliinsa ja etsiäkseen kadonneita poikasiaan.</v>
      </c>
      <c r="C6370" s="9" t="s">
        <v>1344</v>
      </c>
    </row>
    <row r="6371" ht="33.75" customHeight="1">
      <c r="A6371" s="6" t="s">
        <v>9458</v>
      </c>
      <c r="B6371" s="6" t="str">
        <f>IFERROR(__xludf.DUMMYFUNCTION("GOOGLETRANSLATE(A6371,""en"",""fi"")"),"LUXRAYn kyky nähdä esineiden läpi on hyödyllinen, kun se etsii vaaroja.")</f>
        <v>LUXRAYn kyky nähdä esineiden läpi on hyödyllinen, kun se etsii vaaroja.</v>
      </c>
      <c r="C6371" s="9" t="s">
        <v>1344</v>
      </c>
    </row>
    <row r="6372" ht="33.75" customHeight="1">
      <c r="A6372" s="6" t="s">
        <v>9460</v>
      </c>
      <c r="B6372" s="6" t="str">
        <f>IFERROR(__xludf.DUMMYFUNCTION("GOOGLETRANSLATE(A6372,""en"",""fi"")"),"Luxrayn kyvystä nähdä esineiden läpi on hyötyä, kun se etsii vaaraa.")</f>
        <v>Luxrayn kyvystä nähdä esineiden läpi on hyötyä, kun se etsii vaaraa.</v>
      </c>
      <c r="C6372" s="9" t="s">
        <v>1344</v>
      </c>
    </row>
    <row r="6373" ht="33.75" customHeight="1">
      <c r="A6373" s="6" t="s">
        <v>9461</v>
      </c>
      <c r="B6373" s="6" t="str">
        <f>IFERROR(__xludf.DUMMYFUNCTION("GOOGLETRANSLATE(A6373,""en"",""fi"")"),"Kun sen silmät hohtavat kultaisina, se voi havaita piileskelevän saaliin – jopa sellaiset, jotka hakeutuvat suojaan muurin takaa.")</f>
        <v>Kun sen silmät hohtavat kultaisina, se voi havaita piileskelevän saaliin – jopa sellaiset, jotka hakeutuvat suojaan muurin takaa.</v>
      </c>
      <c r="C6373" s="9" t="s">
        <v>1344</v>
      </c>
    </row>
    <row r="6374" ht="33.75" customHeight="1">
      <c r="A6374" s="6" t="s">
        <v>9463</v>
      </c>
      <c r="B6374" s="6" t="str">
        <f>IFERROR(__xludf.DUMMYFUNCTION("GOOGLETRANSLATE(A6374,""en"",""fi"")"),"Luxray näkee kiinteiden esineiden läpi. Se havaitsee välittömästi saaliin, joka yrittää piiloutua seinien taakse, vaikka seinät olisivat paksut.")</f>
        <v>Luxray näkee kiinteiden esineiden läpi. Se havaitsee välittömästi saaliin, joka yrittää piiloutua seinien taakse, vaikka seinät olisivat paksut.</v>
      </c>
      <c r="C6374" s="9" t="s">
        <v>1344</v>
      </c>
    </row>
    <row r="6375" ht="33.75" customHeight="1">
      <c r="A6375" s="6" t="s">
        <v>9465</v>
      </c>
      <c r="B6375" s="6" t="str">
        <f>IFERROR(__xludf.DUMMYFUNCTION("GOOGLETRANSLATE(A6375,""en"",""fi"")"),"Kiinteiden esineiden läpi näkeminen kuluttaa paljon Luxrayn sähköä, joten Pokémon nukkuu pitkiä aikoja varastoidakseen energiaa.")</f>
        <v>Kiinteiden esineiden läpi näkeminen kuluttaa paljon Luxrayn sähköä, joten Pokémon nukkuu pitkiä aikoja varastoidakseen energiaa.</v>
      </c>
      <c r="C6375" s="9" t="s">
        <v>1344</v>
      </c>
    </row>
    <row r="6376" ht="33.75" customHeight="1">
      <c r="A6376" s="6" t="s">
        <v>9467</v>
      </c>
      <c r="B6376" s="6" t="str">
        <f>IFERROR(__xludf.DUMMYFUNCTION("GOOGLETRANSLATE(A6376,""en"",""fi"")"),"Ne muodostavat laumoja, joissa jokaisessa on yksi uros johtajana. Legendan mukaan Luxrayn kahden silmän hohde kullanhohtoisena Pokémon näkee minkä tahansa läpi.")</f>
        <v>Ne muodostavat laumoja, joissa jokaisessa on yksi uros johtajana. Legendan mukaan Luxrayn kahden silmän hohde kullanhohtoisena Pokémon näkee minkä tahansa läpi.</v>
      </c>
      <c r="C6376" s="9" t="s">
        <v>1344</v>
      </c>
    </row>
    <row r="6377" ht="33.75" customHeight="1">
      <c r="A6377" s="6" t="s">
        <v>9469</v>
      </c>
      <c r="B6377" s="6" t="str">
        <f>IFERROR(__xludf.DUMMYFUNCTION("GOOGLETRANSLATE(A6377,""en"",""fi"")"),"Talven yli se sulkee nupunsa ja kestää kylmän. Keväällä nuput avautuvat ja vapauttavat siitepölyä.")</f>
        <v>Talven yli se sulkee nupunsa ja kestää kylmän. Keväällä nuput avautuvat ja vapauttavat siitepölyä.</v>
      </c>
      <c r="C6377" s="9" t="s">
        <v>1344</v>
      </c>
    </row>
    <row r="6378" ht="33.75" customHeight="1">
      <c r="A6378" s="6" t="s">
        <v>9470</v>
      </c>
      <c r="B6378" s="6" t="str">
        <f>IFERROR(__xludf.DUMMYFUNCTION("GOOGLETRANSLATE(A6378,""en"",""fi"")"),"Se elää kirkkaiden lampien rannoilla. Se levittää siitepölyä, joka aiheuttaa voimakasta aivastelua ja vuotavaa nenää.")</f>
        <v>Se elää kirkkaiden lampien rannoilla. Se levittää siitepölyä, joka aiheuttaa voimakasta aivastelua ja vuotavaa nenää.</v>
      </c>
      <c r="C6378" s="9" t="s">
        <v>1344</v>
      </c>
    </row>
    <row r="6379" ht="33.75" customHeight="1">
      <c r="A6379" s="6" t="s">
        <v>9472</v>
      </c>
      <c r="B6379" s="6" t="str">
        <f>IFERROR(__xludf.DUMMYFUNCTION("GOOGLETRANSLATE(A6379,""en"",""fi"")"),"Herkkä lämpötilan muutoksille, nupun sanotaan kukkivan, kun se tuntee auringon lämpimän kosketuksen.")</f>
        <v>Herkkä lämpötilan muutoksille, nupun sanotaan kukkivan, kun se tuntee auringon lämpimän kosketuksen.</v>
      </c>
      <c r="C6379" s="9" t="s">
        <v>1344</v>
      </c>
    </row>
    <row r="6380" ht="33.75" customHeight="1">
      <c r="A6380" s="6" t="s">
        <v>9473</v>
      </c>
      <c r="B6380" s="6" t="str">
        <f>IFERROR(__xludf.DUMMYFUNCTION("GOOGLETRANSLATE(A6380,""en"",""fi"")"),"Kun se tuntee auringon lämpimän kosketuksen, se avaa nupunsa ja vapauttaa siitepölyä. Se elää kirkkaiden lammikoiden rannoilla.")</f>
        <v>Kun se tuntee auringon lämpimän kosketuksen, se avaa nupunsa ja vapauttaa siitepölyä. Se elää kirkkaiden lammikoiden rannoilla.</v>
      </c>
      <c r="C6380" s="9" t="s">
        <v>1344</v>
      </c>
    </row>
    <row r="6381" ht="33.75" customHeight="1">
      <c r="A6381" s="6" t="s">
        <v>9475</v>
      </c>
      <c r="B6381" s="6" t="str">
        <f>IFERROR(__xludf.DUMMYFUNCTION("GOOGLETRANSLATE(A6381,""en"",""fi"")"),"Lämpötilan muutoksille herkkä nuppu kukkii lämpimässä vapauttaen myrkyllistä siitepölyä.")</f>
        <v>Lämpötilan muutoksille herkkä nuppu kukkii lämpimässä vapauttaen myrkyllistä siitepölyä.</v>
      </c>
      <c r="C6381" s="9" t="s">
        <v>1344</v>
      </c>
    </row>
    <row r="6382" ht="33.75" customHeight="1">
      <c r="A6382" s="6" t="s">
        <v>9476</v>
      </c>
      <c r="B6382" s="6" t="str">
        <f>IFERROR(__xludf.DUMMYFUNCTION("GOOGLETRANSLATE(A6382,""en"",""fi"")"),"Sen vapauttama siitepöly sisältää myrkkyä. Jos tätä Pokémonia kasvatetaan puhtaalla vedellä, myrkyn myrkyllisyys lisääntyy.")</f>
        <v>Sen vapauttama siitepöly sisältää myrkkyä. Jos tätä Pokémonia kasvatetaan puhtaalla vedellä, myrkyn myrkyllisyys lisääntyy.</v>
      </c>
      <c r="C6382" s="9" t="s">
        <v>1344</v>
      </c>
    </row>
    <row r="6383" ht="33.75" customHeight="1">
      <c r="A6383" s="6" t="s">
        <v>9477</v>
      </c>
      <c r="B6383" s="6" t="str">
        <f>IFERROR(__xludf.DUMMYFUNCTION("GOOGLETRANSLATE(A6383,""en"",""fi"")"),"Tämä Pokémon on erittäin herkkä lämpötilan muutoksille. Kun sen nuppu alkaa avautua, se tarkoittaa, että kevät on aivan nurkan takana.")</f>
        <v>Tämä Pokémon on erittäin herkkä lämpötilan muutoksille. Kun sen nuppu alkaa avautua, se tarkoittaa, että kevät on aivan nurkan takana.</v>
      </c>
      <c r="C6383" s="9" t="s">
        <v>1344</v>
      </c>
    </row>
    <row r="6384" ht="33.75" customHeight="1">
      <c r="A6384" s="6" t="s">
        <v>9479</v>
      </c>
      <c r="B6384" s="6" t="str">
        <f>IFERROR(__xludf.DUMMYFUNCTION("GOOGLETRANSLATE(A6384,""en"",""fi"")"),"Kun auringonvalo voimistuu, tämän Pokémonin pään nuput avautuvat. Tämä on merkki ihmisille siitä, että ankara talvi on ohi ja silmujen muodostumiskausi on alkanut.")</f>
        <v>Kun auringonvalo voimistuu, tämän Pokémonin pään nuput avautuvat. Tämä on merkki ihmisille siitä, että ankara talvi on ohi ja silmujen muodostumiskausi on alkanut.</v>
      </c>
      <c r="C6384" s="9" t="s">
        <v>1344</v>
      </c>
    </row>
    <row r="6385" ht="33.75" customHeight="1">
      <c r="A6385" s="6" t="s">
        <v>9480</v>
      </c>
      <c r="B6385" s="6" t="str">
        <f>IFERROR(__xludf.DUMMYFUNCTION("GOOGLETRANSLATE(A6385,""en"",""fi"")"),"Se houkuttelee saalista makealla tuoksullaan ja sitten lyö sen alas piikkisillä ruoskilla, jotka on piilotettu sen syliin.")</f>
        <v>Se houkuttelee saalista makealla tuoksullaan ja sitten lyö sen alas piikkisillä ruoskilla, jotka on piilotettu sen syliin.</v>
      </c>
      <c r="C6385" s="9" t="s">
        <v>1344</v>
      </c>
    </row>
    <row r="6386" ht="33.75" customHeight="1">
      <c r="A6386" s="6" t="s">
        <v>9481</v>
      </c>
      <c r="B6386" s="6" t="str">
        <f>IFERROR(__xludf.DUMMYFUNCTION("GOOGLETRANSLATE(A6386,""en"",""fi"")"),"Tanssijan liikkein se iskee ruoskilla, jotka ovat tiheästi vuorattuja myrkkypiikkeillä.")</f>
        <v>Tanssijan liikkein se iskee ruoskilla, jotka ovat tiheästi vuorattuja myrkkypiikkeillä.</v>
      </c>
      <c r="C6386" s="9" t="s">
        <v>1344</v>
      </c>
    </row>
    <row r="6387" ht="33.75" customHeight="1">
      <c r="A6387" s="6" t="s">
        <v>9482</v>
      </c>
      <c r="B6387" s="6" t="str">
        <f>IFERROR(__xludf.DUMMYFUNCTION("GOOGLETRANSLATE(A6387,""en"",""fi"")"),"Sen jokainen käsi sisältää erilaisia ​​myrkkyjä, mutta molemmat kädet voivat iskeä lähes tappavalla voimalla.")</f>
        <v>Sen jokainen käsi sisältää erilaisia ​​myrkkyjä, mutta molemmat kädet voivat iskeä lähes tappavalla voimalla.</v>
      </c>
      <c r="C6387" s="9" t="s">
        <v>1344</v>
      </c>
    </row>
    <row r="6388" ht="33.75" customHeight="1">
      <c r="A6388" s="6" t="s">
        <v>9483</v>
      </c>
      <c r="B6388" s="6" t="str">
        <f>IFERROR(__xludf.DUMMYFUNCTION("GOOGLETRANSLATE(A6388,""en"",""fi"")"),"Sen makea tuoksu houkuttelee saalista. Sitten se sylkee myrkkyä. Mitä myrkyllisempää se on, sitä makeampi sen tuoksu.")</f>
        <v>Sen makea tuoksu houkuttelee saalista. Sitten se sylkee myrkkyä. Mitä myrkyllisempää se on, sitä makeampi sen tuoksu.</v>
      </c>
      <c r="C6388" s="9" t="s">
        <v>1344</v>
      </c>
    </row>
    <row r="6389" ht="33.75" customHeight="1">
      <c r="A6389" s="6" t="s">
        <v>9485</v>
      </c>
      <c r="B6389" s="6" t="str">
        <f>IFERROR(__xludf.DUMMYFUNCTION("GOOGLETRANSLATE(A6389,""en"",""fi"")"),"Se houkuttelee saalista makealla tuoksullaan ja käyttää käsivarsissaan olevia myrkkyruoskia saaliin myrkyttämiseen, sitomiseen ja loppuunsyömiseen.")</f>
        <v>Se houkuttelee saalista makealla tuoksullaan ja käyttää käsivarsissaan olevia myrkkyruoskia saaliin myrkyttämiseen, sitomiseen ja loppuunsyömiseen.</v>
      </c>
      <c r="C6389" s="9" t="s">
        <v>1344</v>
      </c>
    </row>
    <row r="6390" ht="33.75" customHeight="1">
      <c r="A6390" s="6" t="s">
        <v>9487</v>
      </c>
      <c r="B6390" s="6" t="str">
        <f>IFERROR(__xludf.DUMMYFUNCTION("GOOGLETRANSLATE(A6390,""en"",""fi"")"),"Lumottuaan vastustajat makealla tuoksullaan se pieksee heitä piikikkäillä ruoskillaan.")</f>
        <v>Lumottuaan vastustajat makealla tuoksullaan se pieksee heitä piikikkäillä ruoskillaan.</v>
      </c>
      <c r="C6390" s="9" t="s">
        <v>1344</v>
      </c>
    </row>
    <row r="6391" ht="33.75" customHeight="1">
      <c r="A6391" s="6" t="s">
        <v>9488</v>
      </c>
      <c r="B6391" s="6" t="str">
        <f>IFERROR(__xludf.DUMMYFUNCTION("GOOGLETRANSLATE(A6391,""en"",""fi"")"),"Sen oikeassa kädessä oleva myrkky on nopeasti vaikuttavaa. Sen vasemmassa kädessä oleva myrkky on hitaasti vaikuttavaa. Molemmat ovat hengenvaarallisia.")</f>
        <v>Sen oikeassa kädessä oleva myrkky on nopeasti vaikuttavaa. Sen vasemmassa kädessä oleva myrkky on hitaasti vaikuttavaa. Molemmat ovat hengenvaarallisia.</v>
      </c>
      <c r="C6391" s="9" t="s">
        <v>1344</v>
      </c>
    </row>
    <row r="6392" ht="33.75" customHeight="1">
      <c r="A6392" s="6" t="s">
        <v>9489</v>
      </c>
      <c r="B6392" s="6" t="str">
        <f>IFERROR(__xludf.DUMMYFUNCTION("GOOGLETRANSLATE(A6392,""en"",""fi"")"),"Kummankin käden kimpussa on piilotettu piikikkäät ruoskat, jotka on ladattu myrkyllisellä aineella. Roserade liikkuu sulavasti nurkkaan ahdistaessaan saaliinsa ja pieksee sitä armottomasti ruoskillaan.")</f>
        <v>Kummankin käden kimpussa on piilotettu piikikkäät ruoskat, jotka on ladattu myrkyllisellä aineella. Roserade liikkuu sulavasti nurkkaan ahdistaessaan saaliinsa ja pieksee sitä armottomasti ruoskillaan.</v>
      </c>
      <c r="C6392" s="9" t="s">
        <v>1344</v>
      </c>
    </row>
    <row r="6393" ht="33.75" customHeight="1">
      <c r="A6393" s="6" t="s">
        <v>9490</v>
      </c>
      <c r="B6393" s="6" t="str">
        <f>IFERROR(__xludf.DUMMYFUNCTION("GOOGLETRANSLATE(A6393,""en"",""fi"")"),"Se eli viidakoissa noin 100 miljoonaa vuotta sitten. Sen kallo on kova kuin rauta.")</f>
        <v>Se eli viidakoissa noin 100 miljoonaa vuotta sitten. Sen kallo on kova kuin rauta.</v>
      </c>
      <c r="C6393" s="9" t="s">
        <v>1344</v>
      </c>
    </row>
    <row r="6394" ht="33.75" customHeight="1">
      <c r="A6394" s="6" t="s">
        <v>9491</v>
      </c>
      <c r="B6394" s="6" t="str">
        <f>IFERROR(__xludf.DUMMYFUNCTION("GOOGLETRANSLATE(A6394,""en"",""fi"")"),"Se herätettiin henkiin rautapallon kaltaisesta fossiilista. Se kaataa saaliinsa pääniskuilla.")</f>
        <v>Se herätettiin henkiin rautapallon kaltaisesta fossiilista. Se kaataa saaliinsa pääniskuilla.</v>
      </c>
      <c r="C6394" s="9" t="s">
        <v>1344</v>
      </c>
    </row>
    <row r="6395" ht="33.75" customHeight="1">
      <c r="A6395" s="6" t="s">
        <v>9492</v>
      </c>
      <c r="B6395" s="6" t="str">
        <f>IFERROR(__xludf.DUMMYFUNCTION("GOOGLETRANSLATE(A6395,""en"",""fi"")"),"Se oli elinikäinen viidakon asukas 100 miljoonaa vuotta sitten, ja se napsautti tiellä olevia puita pääniskuilla.")</f>
        <v>Se oli elinikäinen viidakon asukas 100 miljoonaa vuotta sitten, ja se napsautti tiellä olevia puita pääniskuilla.</v>
      </c>
      <c r="C6395" s="9" t="s">
        <v>1344</v>
      </c>
    </row>
    <row r="6396" ht="33.75" customHeight="1">
      <c r="A6396" s="6" t="s">
        <v>9493</v>
      </c>
      <c r="B6396" s="6" t="str">
        <f>IFERROR(__xludf.DUMMYFUNCTION("GOOGLETRANSLATE(A6396,""en"",""fi"")"),"CRANIDOS kovettavat jo ennestään kivikovia päitään puskemalla toisiaan päällään.")</f>
        <v>CRANIDOS kovettavat jo ennestään kivikovia päitään puskemalla toisiaan päällään.</v>
      </c>
      <c r="C6396" s="9" t="s">
        <v>1344</v>
      </c>
    </row>
    <row r="6397" ht="33.75" customHeight="1">
      <c r="A6397" s="6" t="s">
        <v>9494</v>
      </c>
      <c r="B6397" s="6" t="str">
        <f>IFERROR(__xludf.DUMMYFUNCTION("GOOGLETRANSLATE(A6397,""en"",""fi"")"),"Se herätettiin henkiin rautapallon kaltaisesta fossiilista. Se kaataa saaliinsa pääniskuilla.")</f>
        <v>Se herätettiin henkiin rautapallon kaltaisesta fossiilista. Se kaataa saaliinsa pääniskuilla.</v>
      </c>
      <c r="C6397" s="9" t="s">
        <v>1344</v>
      </c>
    </row>
    <row r="6398" ht="33.75" customHeight="1">
      <c r="A6398" s="6" t="s">
        <v>9496</v>
      </c>
      <c r="B6398" s="6" t="str">
        <f>IFERROR(__xludf.DUMMYFUNCTION("GOOGLETRANSLATE(A6398,""en"",""fi"")"),"Se oli elinikäinen viidakon asukas 100 miljoonaa vuotta sitten, ja se napsautti tiellä olevia puita pääniskuilla.")</f>
        <v>Se oli elinikäinen viidakon asukas 100 miljoonaa vuotta sitten, ja se napsautti tiellä olevia puita pääniskuilla.</v>
      </c>
      <c r="C6398" s="9" t="s">
        <v>1344</v>
      </c>
    </row>
    <row r="6399" ht="33.75" customHeight="1">
      <c r="A6399" s="6" t="s">
        <v>9497</v>
      </c>
      <c r="B6399" s="6" t="str">
        <f>IFERROR(__xludf.DUMMYFUNCTION("GOOGLETRANSLATE(A6399,""en"",""fi"")"),"Se eli viidakoissa noin sata miljoonaa vuotta sitten. Se käytti taitavia pääniskujaan Aerodactylin torjumiseen.")</f>
        <v>Se eli viidakoissa noin sata miljoonaa vuotta sitten. Se käytti taitavia pääniskujaan Aerodactylin torjumiseen.</v>
      </c>
      <c r="C6399" s="9" t="s">
        <v>1344</v>
      </c>
    </row>
    <row r="6400" ht="33.75" customHeight="1">
      <c r="A6400" s="6" t="s">
        <v>9498</v>
      </c>
      <c r="B6400" s="6" t="str">
        <f>IFERROR(__xludf.DUMMYFUNCTION("GOOGLETRANSLATE(A6400,""en"",""fi"")"),"Kivikerroksista, joista Cranidos-fossiileja löytyy, löytyy usein myös kahtia katkenneiden puiden kivettyneitä runkoja.")</f>
        <v>Kivikerroksista, joista Cranidos-fossiileja löytyy, löytyy usein myös kahtia katkenneiden puiden kivettyneitä runkoja.</v>
      </c>
      <c r="C6400" s="9" t="s">
        <v>1344</v>
      </c>
    </row>
    <row r="6401" ht="33.75" customHeight="1">
      <c r="A6401" s="6" t="s">
        <v>9500</v>
      </c>
      <c r="B6401" s="6" t="str">
        <f>IFERROR(__xludf.DUMMYFUNCTION("GOOGLETRANSLATE(A6401,""en"",""fi"")"),"Alkukantainen Pokémon, jolla on kova ja tukeva kallo, eikä sisällä lainkaan älykkyyttä.")</f>
        <v>Alkukantainen Pokémon, jolla on kova ja tukeva kallo, eikä sisällä lainkaan älykkyyttä.</v>
      </c>
      <c r="C6401" s="9" t="s">
        <v>1344</v>
      </c>
    </row>
    <row r="6402" ht="33.75" customHeight="1">
      <c r="A6402" s="6" t="s">
        <v>9501</v>
      </c>
      <c r="B6402" s="6" t="str">
        <f>IFERROR(__xludf.DUMMYFUNCTION("GOOGLETRANSLATE(A6402,""en"",""fi"")"),"Sen kova kallo on sen erottava piirre. Se katkaisi puita puskemalla niitä päällään ja söi sitten niiden kypsiä marjoja.")</f>
        <v>Sen kova kallo on sen erottava piirre. Se katkaisi puita puskemalla niitä päällään ja söi sitten niiden kypsiä marjoja.</v>
      </c>
      <c r="C6402" s="9" t="s">
        <v>1344</v>
      </c>
    </row>
    <row r="6403" ht="33.75" customHeight="1">
      <c r="A6403" s="6" t="s">
        <v>9503</v>
      </c>
      <c r="B6403" s="6" t="str">
        <f>IFERROR(__xludf.DUMMYFUNCTION("GOOGLETRANSLATE(A6403,""en"",""fi"")"),"Uskomattoman harvinainen näky. He kaksintaistelevat toisiaan vastaan ​​paiskaamalla päätään yhteen, ja syntyvä ääni kaikuu alueella kuin kellon kumina.")</f>
        <v>Uskomattoman harvinainen näky. He kaksintaistelevat toisiaan vastaan ​​paiskaamalla päätään yhteen, ja syntyvä ääni kaikuu alueella kuin kellon kumina.</v>
      </c>
      <c r="C6403" s="9" t="s">
        <v>1344</v>
      </c>
    </row>
    <row r="6404" ht="33.75" customHeight="1">
      <c r="A6404" s="6" t="s">
        <v>9506</v>
      </c>
      <c r="B6404" s="6" t="str">
        <f>IFERROR(__xludf.DUMMYFUNCTION("GOOGLETRANSLATE(A6404,""en"",""fi"")"),"Sen voimakkaalla pääniskulla on tarpeeksi voimaa rikkoa jopa kestävimmät esineet osuessaan.")</f>
        <v>Sen voimakkaalla pääniskulla on tarpeeksi voimaa rikkoa jopa kestävimmät esineet osuessaan.</v>
      </c>
      <c r="C6404" s="9" t="s">
        <v>1344</v>
      </c>
    </row>
    <row r="6405" ht="33.75" customHeight="1">
      <c r="A6405" s="6" t="s">
        <v>9508</v>
      </c>
      <c r="B6405" s="6" t="str">
        <f>IFERROR(__xludf.DUMMYFUNCTION("GOOGLETRANSLATE(A6405,""en"",""fi"")"),"Sen kallo on kova kuin rauta. Se on peto, joka kaataa viidakkopuita saalista pyydystääkseen.")</f>
        <v>Sen kallo on kova kuin rauta. Se on peto, joka kaataa viidakkopuita saalista pyydystääkseen.</v>
      </c>
      <c r="C6405" s="9" t="s">
        <v>1344</v>
      </c>
    </row>
    <row r="6406" ht="33.75" customHeight="1">
      <c r="A6406" s="6" t="s">
        <v>9509</v>
      </c>
      <c r="B6406" s="6" t="str">
        <f>IFERROR(__xludf.DUMMYFUNCTION("GOOGLETRANSLATE(A6406,""en"",""fi"")"),"Jos kaksi ihmistä murskaisi päänsä yhteen, heidän jalkaa paksut kallonsa estäisivät heitä pyörtymästä.")</f>
        <v>Jos kaksi ihmistä murskaisi päänsä yhteen, heidän jalkaa paksut kallonsa estäisivät heitä pyörtymästä.</v>
      </c>
      <c r="C6406" s="9" t="s">
        <v>1344</v>
      </c>
    </row>
    <row r="6407" ht="33.75" customHeight="1">
      <c r="A6407" s="6" t="s">
        <v>9511</v>
      </c>
      <c r="B6407" s="6" t="str">
        <f>IFERROR(__xludf.DUMMYFUNCTION("GOOGLETRANSLATE(A6407,""en"",""fi"")"),"Sen kallo kestää minkä tahansa suuruisia iskuja. Tämän seurauksena sen aivot eivät koskaan pääse kasvamaan.")</f>
        <v>Sen kallo kestää minkä tahansa suuruisia iskuja. Tämän seurauksena sen aivot eivät koskaan pääse kasvamaan.</v>
      </c>
      <c r="C6407" s="9" t="s">
        <v>1344</v>
      </c>
    </row>
    <row r="6408" ht="33.75" customHeight="1">
      <c r="A6408" s="6" t="s">
        <v>9512</v>
      </c>
      <c r="B6408" s="6" t="str">
        <f>IFERROR(__xludf.DUMMYFUNCTION("GOOGLETRANSLATE(A6408,""en"",""fi"")"),"Toistuvien pääniskujen seurauksena kallo on paksuuntunut ja kova. Sen aivot ovat kuitenkin kutistuneet kooltaan Cranidosin aivoihin verrattuna.")</f>
        <v>Toistuvien pääniskujen seurauksena kallo on paksuuntunut ja kova. Sen aivot ovat kuitenkin kutistuneet kooltaan Cranidosin aivoihin verrattuna.</v>
      </c>
      <c r="C6408" s="9" t="s">
        <v>1344</v>
      </c>
    </row>
    <row r="6409" ht="33.75" customHeight="1">
      <c r="A6409" s="6" t="s">
        <v>9514</v>
      </c>
      <c r="B6409" s="6" t="str">
        <f>IFERROR(__xludf.DUMMYFUNCTION("GOOGLETRANSLATE(A6409,""en"",""fi"")"),"On olemassa tietoja elvytetystä fossiilista, joka kehittyi Rampardosiksi. Se pääsi karkaamaan ja tuhosi sitten pilvenpiirtäjän pääniskulla.")</f>
        <v>On olemassa tietoja elvytetystä fossiilista, joka kehittyi Rampardosiksi. Se pääsi karkaamaan ja tuhosi sitten pilvenpiirtäjän pääniskulla.</v>
      </c>
      <c r="C6409" s="9" t="s">
        <v>1344</v>
      </c>
    </row>
    <row r="6410" ht="33.75" customHeight="1">
      <c r="A6410" s="6" t="s">
        <v>9515</v>
      </c>
      <c r="B6410" s="6" t="str">
        <f>IFERROR(__xludf.DUMMYFUNCTION("GOOGLETRANSLATE(A6410,""en"",""fi"")"),"Muinaisina aikoina ihmiset kaivoivat esiin tämän Pokémonin fossiileja ja käyttivät sen kalloa, joka on terästä kovempaa, kypärien tekemiseen.")</f>
        <v>Muinaisina aikoina ihmiset kaivoivat esiin tämän Pokémonin fossiileja ja käyttivät sen kalloa, joka on terästä kovempaa, kypärien tekemiseen.</v>
      </c>
      <c r="C6410" s="9" t="s">
        <v>1344</v>
      </c>
    </row>
    <row r="6411" ht="33.75" customHeight="1">
      <c r="A6411" s="6" t="s">
        <v>9516</v>
      </c>
      <c r="B6411" s="6" t="str">
        <f>IFERROR(__xludf.DUMMYFUNCTION("GOOGLETRANSLATE(A6411,""en"",""fi"")"),"Tämä muinainen Pokémon käytti pääniskuja taitavasti. Sen aivot olivat todella pienet, joten jotkut teoriat viittaavat siihen, että sen tyhmyys johti sen sukupuuttoon.")</f>
        <v>Tämä muinainen Pokémon käytti pääniskuja taitavasti. Sen aivot olivat todella pienet, joten jotkut teoriat viittaavat siihen, että sen tyhmyys johti sen sukupuuttoon.</v>
      </c>
      <c r="C6411" s="9" t="s">
        <v>1344</v>
      </c>
    </row>
    <row r="6412" ht="33.75" customHeight="1">
      <c r="A6412" s="6" t="s">
        <v>9518</v>
      </c>
      <c r="B6412" s="6" t="str">
        <f>IFERROR(__xludf.DUMMYFUNCTION("GOOGLETRANSLATE(A6412,""en"",""fi"")"),"Sen biologiasta tiedetään hyvin vähän. Se voi kaataa massiivisia puita murskaamalla kauniin, helmiäismäisen latvuksensa niitä vasten.")</f>
        <v>Sen biologiasta tiedetään hyvin vähän. Se voi kaataa massiivisia puita murskaamalla kauniin, helmiäismäisen latvuksensa niitä vasten.</v>
      </c>
      <c r="C6412" s="9" t="s">
        <v>1344</v>
      </c>
    </row>
    <row r="6413" ht="33.75" customHeight="1">
      <c r="A6413" s="6" t="s">
        <v>9519</v>
      </c>
      <c r="B6413" s="6" t="str">
        <f>IFERROR(__xludf.DUMMYFUNCTION("GOOGLETRANSLATE(A6413,""en"",""fi"")"),"Pokémon, joka eli viidakoissa noin 100 miljoonaa vuotta sitten. Sen kasvojen nahka on erittäin kova.")</f>
        <v>Pokémon, joka eli viidakoissa noin 100 miljoonaa vuotta sitten. Sen kasvojen nahka on erittäin kova.</v>
      </c>
      <c r="C6413" s="9" t="s">
        <v>1344</v>
      </c>
    </row>
    <row r="6414" ht="33.75" customHeight="1">
      <c r="A6414" s="6" t="s">
        <v>9520</v>
      </c>
      <c r="B6414" s="6" t="str">
        <f>IFERROR(__xludf.DUMMYFUNCTION("GOOGLETRANSLATE(A6414,""en"",""fi"")"),"Se kiillottaa tavallisesti kasvojaan hankaamalla niitä puunrunkoja vasten. Se on heikko takaa tuleville hyökkäyksille.")</f>
        <v>Se kiillottaa tavallisesti kasvojaan hankaamalla niitä puunrunkoja vasten. Se on heikko takaa tuleville hyökkäyksille.</v>
      </c>
      <c r="C6414" s="9" t="s">
        <v>1344</v>
      </c>
    </row>
    <row r="6415" ht="33.75" customHeight="1">
      <c r="A6415" s="6" t="s">
        <v>9522</v>
      </c>
      <c r="B6415" s="6" t="str">
        <f>IFERROR(__xludf.DUMMYFUNCTION("GOOGLETRANSLATE(A6415,""en"",""fi"")"),"Se on erinomaisesti panssaroitu. Tämän seurauksena se voi syödä ruohoa ja marjoja taistelematta.")</f>
        <v>Se on erinomaisesti panssaroitu. Tämän seurauksena se voi syödä ruohoa ja marjoja taistelematta.</v>
      </c>
      <c r="C6415" s="9" t="s">
        <v>1344</v>
      </c>
    </row>
    <row r="6416" ht="33.75" customHeight="1">
      <c r="A6416" s="6" t="s">
        <v>9524</v>
      </c>
      <c r="B6416" s="6" t="str">
        <f>IFERROR(__xludf.DUMMYFUNCTION("GOOGLETRANSLATE(A6416,""en"",""fi"")"),"Se syntyi fossiilista, joka kaivettiin esiin savikerroksesta, joka oli vanhempi kuin kukaan tietää. Sillä on tukeva pinta.")</f>
        <v>Se syntyi fossiilista, joka kaivettiin esiin savikerroksesta, joka oli vanhempi kuin kukaan tietää. Sillä on tukeva pinta.</v>
      </c>
      <c r="C6416" s="9" t="s">
        <v>1344</v>
      </c>
    </row>
    <row r="6417" ht="33.75" customHeight="1">
      <c r="A6417" s="6" t="s">
        <v>9525</v>
      </c>
      <c r="B6417" s="6" t="str">
        <f>IFERROR(__xludf.DUMMYFUNCTION("GOOGLETRANSLATE(A6417,""en"",""fi"")"),"Tästä Pokémonista on löydetty monia fossiileja, mutta lähes missään ei ole merkkejä kasvoissa ilmenneistä vaurioista.")</f>
        <v>Tästä Pokémonista on löydetty monia fossiileja, mutta lähes missään ei ole merkkejä kasvoissa ilmenneistä vaurioista.</v>
      </c>
      <c r="C6417" s="9" t="s">
        <v>1344</v>
      </c>
    </row>
    <row r="6418" ht="33.75" customHeight="1">
      <c r="A6418" s="6" t="s">
        <v>9526</v>
      </c>
      <c r="B6418" s="6" t="str">
        <f>IFERROR(__xludf.DUMMYFUNCTION("GOOGLETRANSLATE(A6418,""en"",""fi"")"),"Tämä Pokémon eli alkukantaisissa viidakoissa. Harva vihollinen olisi ollut valmis taistelemaan sen raskaasti panssaroitua kasvoa vastaan, niin ainakin ajatellaan.")</f>
        <v>Tämä Pokémon eli alkukantaisissa viidakoissa. Harva vihollinen olisi ollut valmis taistelemaan sen raskaasti panssaroitua kasvoa vastaan, niin ainakin ajatellaan.</v>
      </c>
      <c r="C6418" s="9" t="s">
        <v>1344</v>
      </c>
    </row>
    <row r="6419" ht="33.75" customHeight="1">
      <c r="A6419" s="6" t="s">
        <v>9527</v>
      </c>
      <c r="B6419" s="6" t="str">
        <f>IFERROR(__xludf.DUMMYFUNCTION("GOOGLETRANSLATE(A6419,""en"",""fi"")"),"Lempeäluonteinen, kasvissyöjä-Pokémon, se käytti kasvojaan kaivaakseen puun juuria syötäväksi. Sen kasvojen iho oli melkoisen kova.")</f>
        <v>Lempeäluonteinen, kasvissyöjä-Pokémon, se käytti kasvojaan kaivaakseen puun juuria syötäväksi. Sen kasvojen iho oli melkoisen kova.</v>
      </c>
      <c r="C6419" s="9" t="s">
        <v>1344</v>
      </c>
    </row>
    <row r="6420" ht="33.75" customHeight="1">
      <c r="A6420" s="6" t="s">
        <v>9528</v>
      </c>
      <c r="B6420" s="6" t="str">
        <f>IFERROR(__xludf.DUMMYFUNCTION("GOOGLETRANSLATE(A6420,""en"",""fi"")"),"Vaikka sen fossiileja löytyy alkukantaisen kallion kerroksista, mitään muuta kuin sen kasvot on koskaan löydetty.")</f>
        <v>Vaikka sen fossiileja löytyy alkukantaisen kallion kerroksista, mitään muuta kuin sen kasvot on koskaan löydetty.</v>
      </c>
      <c r="C6420" s="9" t="s">
        <v>1344</v>
      </c>
    </row>
    <row r="6421" ht="33.75" customHeight="1">
      <c r="A6421" s="6" t="s">
        <v>9529</v>
      </c>
      <c r="B6421" s="6" t="str">
        <f>IFERROR(__xludf.DUMMYFUNCTION("GOOGLETRANSLATE(A6421,""en"",""fi"")"),"Tästä Pokémonista on vielä paljon tuntematonta, sillä harvat ovat koskaan nähneet sitä. Tiedämme kuitenkin, että se on rauhallinen eikä pidä konflikteista, ja se nauttii kasvojensa kiillottamisesta puita ja kiviä vasten.")</f>
        <v>Tästä Pokémonista on vielä paljon tuntematonta, sillä harvat ovat koskaan nähneet sitä. Tiedämme kuitenkin, että se on rauhallinen eikä pidä konflikteista, ja se nauttii kasvojensa kiillottamisesta puita ja kiviä vasten.</v>
      </c>
      <c r="C6421" s="9" t="s">
        <v>1344</v>
      </c>
    </row>
    <row r="6422" ht="33.75" customHeight="1">
      <c r="A6422" s="6" t="s">
        <v>9531</v>
      </c>
      <c r="B6422" s="6" t="str">
        <f>IFERROR(__xludf.DUMMYFUNCTION("GOOGLETRANSLATE(A6422,""en"",""fi"")"),"Kaikki etuhyökkäykset torjutaan. Se on säyseä Pokémon, joka syö ruohoa ja marjoja.")</f>
        <v>Kaikki etuhyökkäykset torjutaan. Se on säyseä Pokémon, joka syö ruohoa ja marjoja.</v>
      </c>
      <c r="C6422" s="9" t="s">
        <v>1344</v>
      </c>
    </row>
    <row r="6423" ht="33.75" customHeight="1">
      <c r="A6423" s="6" t="s">
        <v>9532</v>
      </c>
      <c r="B6423" s="6" t="str">
        <f>IFERROR(__xludf.DUMMYFUNCTION("GOOGLETRANSLATE(A6423,""en"",""fi"")"),"Hyökkäyksen sattuessa ne muodostavat kilpimaisilla kasvoillaan muurin suojellakseen poikasiaan.")</f>
        <v>Hyökkäyksen sattuessa ne muodostavat kilpimaisilla kasvoillaan muurin suojellakseen poikasiaan.</v>
      </c>
      <c r="C6423" s="9" t="s">
        <v>1344</v>
      </c>
    </row>
    <row r="6424" ht="33.75" customHeight="1">
      <c r="A6424" s="6" t="s">
        <v>9533</v>
      </c>
      <c r="B6424" s="6" t="str">
        <f>IFERROR(__xludf.DUMMYFUNCTION("GOOGLETRANSLATE(A6424,""en"",""fi"")"),"Kun ne asettuivat riviin vierekkäin, mikään vihollinen ei voinut murtautua läpi. He suojasivat poikasiaan tällä tavoin.")</f>
        <v>Kun ne asettuivat riviin vierekkäin, mikään vihollinen ei voinut murtautua läpi. He suojasivat poikasiaan tällä tavoin.</v>
      </c>
      <c r="C6424" s="9" t="s">
        <v>1344</v>
      </c>
    </row>
    <row r="6425" ht="33.75" customHeight="1">
      <c r="A6425" s="6" t="s">
        <v>9534</v>
      </c>
      <c r="B6425" s="6" t="str">
        <f>IFERROR(__xludf.DUMMYFUNCTION("GOOGLETRANSLATE(A6425,""en"",""fi"")"),"Hyökätessä ne muodostavat muurin. Niiden kivikovat kasvot suojaavat niitä hyökkäyksiltä.")</f>
        <v>Hyökätessä ne muodostavat muurin. Niiden kivikovat kasvot suojaavat niitä hyökkäyksiltä.</v>
      </c>
      <c r="C6425" s="9" t="s">
        <v>1344</v>
      </c>
    </row>
    <row r="6426" ht="33.75" customHeight="1">
      <c r="A6426" s="6" t="s">
        <v>9535</v>
      </c>
      <c r="B6426" s="6" t="str">
        <f>IFERROR(__xludf.DUMMYFUNCTION("GOOGLETRANSLATE(A6426,""en"",""fi"")"),"Vaikka se pystyy suojautumaan kaikenlaisilta edestä tulevilta hyökkäyksiltä, ​​se jää ilman keinoja, jos sitä vastaan ​​hyökätään takaa.")</f>
        <v>Vaikka se pystyy suojautumaan kaikenlaisilta edestä tulevilta hyökkäyksiltä, ​​se jää ilman keinoja, jos sitä vastaan ​​hyökätään takaa.</v>
      </c>
      <c r="C6426" s="9" t="s">
        <v>1344</v>
      </c>
    </row>
    <row r="6427" ht="33.75" customHeight="1">
      <c r="A6427" s="6" t="s">
        <v>9536</v>
      </c>
      <c r="B6427" s="6" t="str">
        <f>IFERROR(__xludf.DUMMYFUNCTION("GOOGLETRANSLATE(A6427,""en"",""fi"")"),"Se eli samoissa ympäristöissä kuin Rampardos. Niiden fossiileja on löydetty yhdessä – ilmeisesti ajalta, jolloin ne olivat taistelleet loppuun asti.")</f>
        <v>Se eli samoissa ympäristöissä kuin Rampardos. Niiden fossiileja on löydetty yhdessä – ilmeisesti ajalta, jolloin ne olivat taistelleet loppuun asti.</v>
      </c>
      <c r="C6427" s="9" t="s">
        <v>1344</v>
      </c>
    </row>
    <row r="6428" ht="33.75" customHeight="1">
      <c r="A6428" s="6" t="s">
        <v>9537</v>
      </c>
      <c r="B6428" s="6" t="str">
        <f>IFERROR(__xludf.DUMMYFUNCTION("GOOGLETRANSLATE(A6428,""en"",""fi"")"),"Sen kasvojen luut ovat valtavat ja kovat, joten niitä luultiin sen selkärangaksi, kunnes tämä Pokémon saatiin onnistuneesti ennalleen.")</f>
        <v>Sen kasvojen luut ovat valtavat ja kovat, joten niitä luultiin sen selkärangaksi, kunnes tämä Pokémon saatiin onnistuneesti ennalleen.</v>
      </c>
      <c r="C6428" s="9" t="s">
        <v>1344</v>
      </c>
    </row>
    <row r="6429" ht="33.75" customHeight="1">
      <c r="A6429" s="6" t="s">
        <v>9538</v>
      </c>
      <c r="B6429" s="6" t="str">
        <f>IFERROR(__xludf.DUMMYFUNCTION("GOOGLETRANSLATE(A6429,""en"",""fi"")"),"Tämä Pokémon on noin 100 miljoonan vuoden takaa. Sen pelottavan kovat kasvot ovat kovempia kuin teräs.")</f>
        <v>Tämä Pokémon on noin 100 miljoonan vuoden takaa. Sen pelottavan kovat kasvot ovat kovempia kuin teräs.</v>
      </c>
      <c r="C6429" s="9" t="s">
        <v>1344</v>
      </c>
    </row>
    <row r="6430" ht="33.75" customHeight="1">
      <c r="A6430" s="6" t="s">
        <v>9539</v>
      </c>
      <c r="B6430" s="6" t="str">
        <f>IFERROR(__xludf.DUMMYFUNCTION("GOOGLETRANSLATE(A6430,""en"",""fi"")"),"Sen pinta on tukeva – yhtä vahva kuin timantti – ja tämä kovuus tarjoaa erittäin vakaan suojan. Paljon tästä lajista on vielä tuntematonta, kuten sen luonnollinen elinympäristö.")</f>
        <v>Sen pinta on tukeva – yhtä vahva kuin timantti – ja tämä kovuus tarjoaa erittäin vakaan suojan. Paljon tästä lajista on vielä tuntematonta, kuten sen luonnollinen elinympäristö.</v>
      </c>
      <c r="C6430" s="9" t="s">
        <v>1344</v>
      </c>
    </row>
    <row r="6431" ht="33.75" customHeight="1">
      <c r="A6431" s="6" t="s">
        <v>9541</v>
      </c>
      <c r="B6431" s="6" t="str">
        <f>IFERROR(__xludf.DUMMYFUNCTION("GOOGLETRANSLATE(A6431,""en"",""fi"")"),"Suojautuakseen kylmiltä, ​​talvisilta tuulilta se peittää itsensä oksista ja lehdistä tehdyllä viitalla.")</f>
        <v>Suojautuakseen kylmiltä, ​​talvisilta tuulilta se peittää itsensä oksista ja lehdistä tehdyllä viitalla.</v>
      </c>
      <c r="C6431" s="9" t="s">
        <v>1344</v>
      </c>
    </row>
    <row r="6432" ht="33.75" customHeight="1">
      <c r="A6432" s="6" t="s">
        <v>9542</v>
      </c>
      <c r="B6432" s="6" t="str">
        <f>IFERROR(__xludf.DUMMYFUNCTION("GOOGLETRANSLATE(A6432,""en"",""fi"")"),"Jos sen viitta rikkoutuu taistelussa, se tekee viitan nopeasti uudelleen lähellä olevista materiaaleista.")</f>
        <v>Jos sen viitta rikkoutuu taistelussa, se tekee viitan nopeasti uudelleen lähellä olevista materiaaleista.</v>
      </c>
      <c r="C6432" s="9" t="s">
        <v>1344</v>
      </c>
    </row>
    <row r="6433" ht="33.75" customHeight="1">
      <c r="A6433" s="6" t="s">
        <v>9543</v>
      </c>
      <c r="B6433" s="6" t="str">
        <f>IFERROR(__xludf.DUMMYFUNCTION("GOOGLETRANSLATE(A6433,""en"",""fi"")"),"Vaikka se syntyisi paikassa, jossa ei ole suojamateriaaleja, se päätyy aina jotenkin viitan kanssa.")</f>
        <v>Vaikka se syntyisi paikassa, jossa ei ole suojamateriaaleja, se päätyy aina jotenkin viitan kanssa.</v>
      </c>
      <c r="C6433" s="9" t="s">
        <v>1344</v>
      </c>
    </row>
    <row r="6434" ht="33.75" customHeight="1">
      <c r="A6434" s="6" t="s">
        <v>9546</v>
      </c>
      <c r="B6434" s="6" t="str">
        <f>IFERROR(__xludf.DUMMYFUNCTION("GOOGLETRANSLATE(A6434,""en"",""fi"")"),"Se peittää itsensä viitalla suojautuakseen kylmältä. Kun on kuuma, sen viitta on ohuempi.")</f>
        <v>Se peittää itsensä viitalla suojautuakseen kylmältä. Kun on kuuma, sen viitta on ohuempi.</v>
      </c>
      <c r="C6434" s="9" t="s">
        <v>1344</v>
      </c>
    </row>
    <row r="6435" ht="33.75" customHeight="1">
      <c r="A6435" s="6" t="s">
        <v>9547</v>
      </c>
      <c r="B6435" s="6" t="str">
        <f>IFERROR(__xludf.DUMMYFUNCTION("GOOGLETRANSLATE(A6435,""en"",""fi"")"),"Jos sen viitta vaurioituu vähänkään, Burmy korjaa sen välittömästi millä tahansa läheltä löytyvällä esineellä. Viitan sisällä oleva Pokémon on laiha ja altis kylmälle.")</f>
        <v>Jos sen viitta vaurioituu vähänkään, Burmy korjaa sen välittömästi millä tahansa läheltä löytyvällä esineellä. Viitan sisällä oleva Pokémon on laiha ja altis kylmälle.</v>
      </c>
      <c r="C6435" s="9" t="s">
        <v>1344</v>
      </c>
    </row>
    <row r="6436" ht="33.75" customHeight="1">
      <c r="A6436" s="6" t="s">
        <v>9549</v>
      </c>
      <c r="B6436" s="6" t="str">
        <f>IFERROR(__xludf.DUMMYFUNCTION("GOOGLETRANSLATE(A6436,""en"",""fi"")"),"Kun BURMY kehittyi, sen viitasta tuli osa tämän Pokémonin kehoa. Viittaa ei koskaan pudoteta pois.")</f>
        <v>Kun BURMY kehittyi, sen viitasta tuli osa tämän Pokémonin kehoa. Viittaa ei koskaan pudoteta pois.</v>
      </c>
      <c r="C6436" s="9" t="s">
        <v>1344</v>
      </c>
    </row>
    <row r="6437" ht="33.75" customHeight="1">
      <c r="A6437" s="6" t="s">
        <v>9551</v>
      </c>
      <c r="B6437" s="6" t="str">
        <f>IFERROR(__xludf.DUMMYFUNCTION("GOOGLETRANSLATE(A6437,""en"",""fi"")"),"Sen ulkonäkö muuttuu sen mukaan, missä se on kehittynyt. Käytettävissä olevista materiaaleista tulee osa sen kehoa.")</f>
        <v>Sen ulkonäkö muuttuu sen mukaan, missä se on kehittynyt. Käytettävissä olevista materiaaleista tulee osa sen kehoa.</v>
      </c>
      <c r="C6437" s="9" t="s">
        <v>1344</v>
      </c>
    </row>
    <row r="6438" ht="33.75" customHeight="1">
      <c r="A6438" s="6" t="s">
        <v>9552</v>
      </c>
      <c r="B6438" s="6" t="str">
        <f>IFERROR(__xludf.DUMMYFUNCTION("GOOGLETRANSLATE(A6438,""en"",""fi"")"),"Kehittyessään sen keho ottaa vastaan ​​ympäröiviä materiaaleja. Tämän seurauksena kehosta on monia muunnelmia.")</f>
        <v>Kehittyessään sen keho ottaa vastaan ​​ympäröiviä materiaaleja. Tämän seurauksena kehosta on monia muunnelmia.</v>
      </c>
      <c r="C6438" s="9" t="s">
        <v>1344</v>
      </c>
    </row>
    <row r="6439" ht="33.75" customHeight="1">
      <c r="A6439" s="6" t="s">
        <v>9554</v>
      </c>
      <c r="B6439" s="6" t="str">
        <f>IFERROR(__xludf.DUMMYFUNCTION("GOOGLETRANSLATE(A6439,""en"",""fi"")"),"Sanotaan, että kylmänä päivänä kehittyvällä WORMADAMILLA on paksumpi viitta.")</f>
        <v>Sanotaan, että kylmänä päivänä kehittyvällä WORMADAMILLA on paksumpi viitta.</v>
      </c>
      <c r="C6439" s="9" t="s">
        <v>1344</v>
      </c>
    </row>
    <row r="6440" ht="33.75" customHeight="1">
      <c r="A6440" s="6" t="s">
        <v>9555</v>
      </c>
      <c r="B6440" s="6" t="str">
        <f>IFERROR(__xludf.DUMMYFUNCTION("GOOGLETRANSLATE(A6440,""en"",""fi"")"),"Kun Burmy kehittyi, sen viitasta tuli osa tämän Pokémonin kehoa. Viittaa ei koskaan pudoteta pois.")</f>
        <v>Kun Burmy kehittyi, sen viitasta tuli osa tämän Pokémonin kehoa. Viittaa ei koskaan pudoteta pois.</v>
      </c>
      <c r="C6440" s="9" t="s">
        <v>1344</v>
      </c>
    </row>
    <row r="6441" ht="33.75" customHeight="1">
      <c r="A6441" s="6" t="s">
        <v>9557</v>
      </c>
      <c r="B6441" s="6" t="str">
        <f>IFERROR(__xludf.DUMMYFUNCTION("GOOGLETRANSLATE(A6441,""en"",""fi"")"),"Se rakastaa kukkien hunajaa ja varastaa COMBEE:n keräämää hunajaa.")</f>
        <v>Se rakastaa kukkien hunajaa ja varastaa COMBEE:n keräämää hunajaa.</v>
      </c>
      <c r="C6441" s="9" t="s">
        <v>1344</v>
      </c>
    </row>
    <row r="6442" ht="33.75" customHeight="1">
      <c r="A6442" s="6" t="s">
        <v>9559</v>
      </c>
      <c r="B6442" s="6" t="str">
        <f>IFERROR(__xludf.DUMMYFUNCTION("GOOGLETRANSLATE(A6442,""en"",""fi"")"),"Se ei pidä pesää. Se lentää peltojen ja vuorten yllä etsien jatkuvasti kukkahunajaa.")</f>
        <v>Se ei pidä pesää. Se lentää peltojen ja vuorten yllä etsien jatkuvasti kukkahunajaa.</v>
      </c>
      <c r="C6442" s="9" t="s">
        <v>1344</v>
      </c>
    </row>
    <row r="6443" ht="33.75" customHeight="1">
      <c r="A6443" s="6" t="s">
        <v>9561</v>
      </c>
      <c r="B6443" s="6" t="str">
        <f>IFERROR(__xludf.DUMMYFUNCTION("GOOGLETRANSLATE(A6443,""en"",""fi"")"),"Vaikka se rakastaa kukkahunajaa, se ei kerää sitä itse. Sen sijaan se juonittelee varastavansa sitä COMBEE:lta.")</f>
        <v>Vaikka se rakastaa kukkahunajaa, se ei kerää sitä itse. Sen sijaan se juonittelee varastavansa sitä COMBEE:lta.</v>
      </c>
      <c r="C6443" s="9" t="s">
        <v>1344</v>
      </c>
    </row>
    <row r="6444" ht="33.75" customHeight="1">
      <c r="A6444" s="6" t="s">
        <v>9562</v>
      </c>
      <c r="B6444" s="6" t="str">
        <f>IFERROR(__xludf.DUMMYFUNCTION("GOOGLETRANSLATE(A6444,""en"",""fi"")"),"Se lepattaa öisin ja varastaa hunajaa COMBEE-pesästä.")</f>
        <v>Se lepattaa öisin ja varastaa hunajaa COMBEE-pesästä.</v>
      </c>
      <c r="C6444" s="9" t="s">
        <v>1344</v>
      </c>
    </row>
    <row r="6445" ht="33.75" customHeight="1">
      <c r="A6445" s="6" t="s">
        <v>9563</v>
      </c>
      <c r="B6445" s="6" t="str">
        <f>IFERROR(__xludf.DUMMYFUNCTION("GOOGLETRANSLATE(A6445,""en"",""fi"")"),"Vaikka se rakastaa kukkahunajaa, se ei kerää sitä itse. Sen sijaan se suunnittelee varastavansa sitä Combeelta.")</f>
        <v>Vaikka se rakastaa kukkahunajaa, se ei kerää sitä itse. Sen sijaan se suunnittelee varastavansa sitä Combeelta.</v>
      </c>
      <c r="C6445" s="9" t="s">
        <v>1344</v>
      </c>
    </row>
    <row r="6446" ht="33.75" customHeight="1">
      <c r="A6446" s="6" t="s">
        <v>9565</v>
      </c>
      <c r="B6446" s="6" t="str">
        <f>IFERROR(__xludf.DUMMYFUNCTION("GOOGLETRANSLATE(A6446,""en"",""fi"")"),"Se rakastaa kukkien hunajaa ja varastaa Combeen keräämää hunajaa.")</f>
        <v>Se rakastaa kukkien hunajaa ja varastaa Combeen keräämää hunajaa.</v>
      </c>
      <c r="C6446" s="9" t="s">
        <v>1344</v>
      </c>
    </row>
    <row r="6447" ht="33.75" customHeight="1">
      <c r="A6447" s="6" t="s">
        <v>9566</v>
      </c>
      <c r="B6447" s="6" t="str">
        <f>IFERROR(__xludf.DUMMYFUNCTION("GOOGLETRANSLATE(A6447,""en"",""fi"")"),"Se lepattaa öisin ja varastaa hunajaa Combeen pesästä.")</f>
        <v>Se lepattaa öisin ja varastaa hunajaa Combeen pesästä.</v>
      </c>
      <c r="C6447" s="9" t="s">
        <v>1344</v>
      </c>
    </row>
    <row r="6448" ht="33.75" customHeight="1">
      <c r="A6448" s="6" t="s">
        <v>9567</v>
      </c>
      <c r="B6448" s="6" t="str">
        <f>IFERROR(__xludf.DUMMYFUNCTION("GOOGLETRANSLATE(A6448,""en"",""fi"")"),"Levittelee teräksenvärisiä suomuja räpytellessään siipiään. Vaikka sen havaitaan syövän pääasiassa kukkien mettä, perhonen ei ole usein nähtävissä kukkapuutarhojen ympäristössä.")</f>
        <v>Levittelee teräksenvärisiä suomuja räpytellessään siipiään. Vaikka sen havaitaan syövän pääasiassa kukkien mettä, perhonen ei ole usein nähtävissä kukkapuutarhojen ympäristössä.</v>
      </c>
      <c r="C6448" s="9" t="s">
        <v>1344</v>
      </c>
    </row>
    <row r="6449" ht="33.75" customHeight="1">
      <c r="A6449" s="6" t="s">
        <v>9568</v>
      </c>
      <c r="B6449" s="6" t="str">
        <f>IFERROR(__xludf.DUMMYFUNCTION("GOOGLETRANSLATE(A6449,""en"",""fi"")"),"Kolmen muun Pokémonin muodostama Pokémon. Se kuljettaa ahkerasti makeaa kukkahunajaa VESPIQUENille.")</f>
        <v>Kolmen muun Pokémonin muodostama Pokémon. Se kuljettaa ahkerasti makeaa kukkahunajaa VESPIQUENille.</v>
      </c>
      <c r="C6449" s="9" t="s">
        <v>1344</v>
      </c>
    </row>
    <row r="6450" ht="33.75" customHeight="1">
      <c r="A6450" s="6" t="s">
        <v>9569</v>
      </c>
      <c r="B6450" s="6" t="str">
        <f>IFERROR(__xludf.DUMMYFUNCTION("GOOGLETRANSLATE(A6450,""en"",""fi"")"),"Se kerää ja toimittaa hunajaa yhdyskunnalleen. Yöllä ne ryhmittyvät muodostaen mehiläispesän ja nukkuvat.")</f>
        <v>Se kerää ja toimittaa hunajaa yhdyskunnalleen. Yöllä ne ryhmittyvät muodostaen mehiläispesän ja nukkuvat.</v>
      </c>
      <c r="C6450" s="9" t="s">
        <v>1344</v>
      </c>
    </row>
    <row r="6451" ht="33.75" customHeight="1">
      <c r="A6451" s="6" t="s">
        <v>9570</v>
      </c>
      <c r="B6451" s="6" t="str">
        <f>IFERROR(__xludf.DUMMYFUNCTION("GOOGLETRANSLATE(A6451,""en"",""fi"")"),"Kolmikko on ollut yhdessä syntymästä asti. Se kerää jatkuvasti hunajaa kukista miellyttääkseen VESPIQUENia.")</f>
        <v>Kolmikko on ollut yhdessä syntymästä asti. Se kerää jatkuvasti hunajaa kukista miellyttääkseen VESPIQUENia.</v>
      </c>
      <c r="C6451" s="9" t="s">
        <v>1344</v>
      </c>
    </row>
    <row r="6452" ht="33.75" customHeight="1">
      <c r="A6452" s="6" t="s">
        <v>9571</v>
      </c>
      <c r="B6452" s="6" t="str">
        <f>IFERROR(__xludf.DUMMYFUNCTION("GOOGLETRANSLATE(A6452,""en"",""fi"")"),"Yöllä COMBEEt nukkuvat noin tuhannen yksilön ryhmässä, ahtautuneina tiiviisti yhteen möykyksi.")</f>
        <v>Yöllä COMBEEt nukkuvat noin tuhannen yksilön ryhmässä, ahtautuneina tiiviisti yhteen möykyksi.</v>
      </c>
      <c r="C6452" s="9" t="s">
        <v>1344</v>
      </c>
    </row>
    <row r="6453" ht="33.75" customHeight="1">
      <c r="A6453" s="6" t="s">
        <v>9572</v>
      </c>
      <c r="B6453" s="6" t="str">
        <f>IFERROR(__xludf.DUMMYFUNCTION("GOOGLETRANSLATE(A6453,""en"",""fi"")"),"Kolmikko on ollut yhdessä syntymästä asti. Se kerää jatkuvasti hunajaa kukista miellyttääkseen Vespiquenia.")</f>
        <v>Kolmikko on ollut yhdessä syntymästä asti. Se kerää jatkuvasti hunajaa kukista miellyttääkseen Vespiquenia.</v>
      </c>
      <c r="C6453" s="9" t="s">
        <v>1344</v>
      </c>
    </row>
    <row r="6454" ht="33.75" customHeight="1">
      <c r="A6454" s="6" t="s">
        <v>9573</v>
      </c>
      <c r="B6454" s="6" t="str">
        <f>IFERROR(__xludf.DUMMYFUNCTION("GOOGLETRANSLATE(A6454,""en"",""fi"")"),"Tämä Pokémon on kolmen Pokémonin sarja. Nukkuessaan ne kerääntyvät yhteen ja muodostavat jättimäisen 100 Combeen pesän.")</f>
        <v>Tämä Pokémon on kolmen Pokémonin sarja. Nukkuessaan ne kerääntyvät yhteen ja muodostavat jättimäisen 100 Combeen pesän.</v>
      </c>
      <c r="C6454" s="9" t="s">
        <v>1344</v>
      </c>
    </row>
    <row r="6455" ht="33.75" customHeight="1">
      <c r="A6455" s="6" t="s">
        <v>9574</v>
      </c>
      <c r="B6455" s="6" t="str">
        <f>IFERROR(__xludf.DUMMYFUNCTION("GOOGLETRANSLATE(A6455,""en"",""fi"")"),"Kolmikon jäsenet viettävät kaiken aikansa yhdessä. Jokaisella on hieman erilainen maku mesialaisessa mielessä.")</f>
        <v>Kolmikon jäsenet viettävät kaiken aikansa yhdessä. Jokaisella on hieman erilainen maku mesialaisessa mielessä.</v>
      </c>
      <c r="C6455" s="9" t="s">
        <v>1344</v>
      </c>
    </row>
    <row r="6456" ht="33.75" customHeight="1">
      <c r="A6456" s="6" t="s">
        <v>9575</v>
      </c>
      <c r="B6456" s="6" t="str">
        <f>IFERROR(__xludf.DUMMYFUNCTION("GOOGLETRANSLATE(A6456,""en"",""fi"")"),"Se kerää lakkaamatta mettä auringonnoususta auringonlaskuun, kaikki Vespiquenin ja parven vuoksi.")</f>
        <v>Se kerää lakkaamatta mettä auringonnoususta auringonlaskuun, kaikki Vespiquenin ja parven vuoksi.</v>
      </c>
      <c r="C6456" s="9" t="s">
        <v>1344</v>
      </c>
    </row>
    <row r="6457" ht="33.75" customHeight="1">
      <c r="A6457" s="6" t="s">
        <v>9577</v>
      </c>
      <c r="B6457" s="6" t="str">
        <f>IFERROR(__xludf.DUMMYFUNCTION("GOOGLETRANSLATE(A6457,""en"",""fi"")"),"Ne vannovat uskollisuutta kuningatar-Pokémonille ja työskentelevät ahkerasti kerätäkseen mettä. Jokainen parvi tuottaa eri makuista hunajaa.")</f>
        <v>Ne vannovat uskollisuutta kuningatar-Pokémonille ja työskentelevät ahkerasti kerätäkseen mettä. Jokainen parvi tuottaa eri makuista hunajaa.</v>
      </c>
      <c r="C6457" s="9" t="s">
        <v>1344</v>
      </c>
    </row>
    <row r="6458" ht="33.75" customHeight="1">
      <c r="A6458" s="6" t="s">
        <v>9578</v>
      </c>
      <c r="B6458" s="6" t="str">
        <f>IFERROR(__xludf.DUMMYFUNCTION("GOOGLETRANSLATE(A6458,""en"",""fi"")"),"Sen vatsa on kuin hunajakenno toukille. Se kasvattaa toukkansa COMBEE:n keräämällä hunajalla.")</f>
        <v>Sen vatsa on kuin hunajakenno toukille. Se kasvattaa toukkansa COMBEE:n keräämällä hunajalla.</v>
      </c>
      <c r="C6458" s="9" t="s">
        <v>1344</v>
      </c>
    </row>
    <row r="6459" ht="33.75" customHeight="1">
      <c r="A6459" s="6" t="s">
        <v>9579</v>
      </c>
      <c r="B6459" s="6" t="str">
        <f>IFERROR(__xludf.DUMMYFUNCTION("GOOGLETRANSLATE(A6459,""en"",""fi"")"),"Uhanalaisena sen kuusisoluisen hunajakennomaisen rakenteen toukat iskevät takaisin. Yhdyskunnassa niitä on vain yksi.")</f>
        <v>Uhanalaisena sen kuusisoluisen hunajakennomaisen rakenteen toukat iskevät takaisin. Yhdyskunnassa niitä on vain yksi.</v>
      </c>
      <c r="C6459" s="9" t="s">
        <v>1344</v>
      </c>
    </row>
    <row r="6460" ht="33.75" customHeight="1">
      <c r="A6460" s="6" t="s">
        <v>9580</v>
      </c>
      <c r="B6460" s="6" t="str">
        <f>IFERROR(__xludf.DUMMYFUNCTION("GOOGLETRANSLATE(A6460,""en"",""fi"")"),"Se vapauttaa erilaisia ​​feromoneja saadakseen ruumiissaan olevat toukat tekemään sen velvollisuuksia taistellessaan vihollisia vastaan.")</f>
        <v>Se vapauttaa erilaisia ​​feromoneja saadakseen ruumiissaan olevat toukat tekemään sen velvollisuuksia taistellessaan vihollisia vastaan.</v>
      </c>
      <c r="C6460" s="9" t="s">
        <v>1344</v>
      </c>
    </row>
    <row r="6461" ht="33.75" customHeight="1">
      <c r="A6461" s="6" t="s">
        <v>9582</v>
      </c>
      <c r="B6461" s="6" t="str">
        <f>IFERROR(__xludf.DUMMYFUNCTION("GOOGLETRANSLATE(A6461,""en"",""fi"")"),"Se kasvattaa toukkia ruumiinsa reikiin. Se erittää feromoneja COMBEE:n torjumiseksi.")</f>
        <v>Se kasvattaa toukkia ruumiinsa reikiin. Se erittää feromoneja COMBEE:n torjumiseksi.</v>
      </c>
      <c r="C6461" s="9" t="s">
        <v>1344</v>
      </c>
    </row>
    <row r="6462" ht="33.75" customHeight="1">
      <c r="A6462" s="6" t="s">
        <v>9584</v>
      </c>
      <c r="B6462" s="6" t="str">
        <f>IFERROR(__xludf.DUMMYFUNCTION("GOOGLETRANSLATE(A6462,""en"",""fi"")"),"Se asuttaa yhdyskuntaansa kehonsa soluissa ja vapauttaa erilaisia ​​feromoneja saadakseen toukat tekemään sen tahdon.")</f>
        <v>Se asuttaa yhdyskuntaansa kehonsa soluissa ja vapauttaa erilaisia ​​feromoneja saadakseen toukat tekemään sen tahdon.</v>
      </c>
      <c r="C6462" s="9" t="s">
        <v>1344</v>
      </c>
    </row>
    <row r="6463" ht="33.75" customHeight="1">
      <c r="A6463" s="6" t="s">
        <v>9586</v>
      </c>
      <c r="B6463" s="6" t="str">
        <f>IFERROR(__xludf.DUMMYFUNCTION("GOOGLETRANSLATE(A6463,""en"",""fi"")"),"Sen vatsa on kuin hunajakenno toukille. Se kasvattaa toukkansa Combeen keräämällä hunajalla.")</f>
        <v>Sen vatsa on kuin hunajakenno toukille. Se kasvattaa toukkansa Combeen keräämällä hunajalla.</v>
      </c>
      <c r="C6463" s="9" t="s">
        <v>1344</v>
      </c>
    </row>
    <row r="6464" ht="33.75" customHeight="1">
      <c r="A6464" s="6" t="s">
        <v>9588</v>
      </c>
      <c r="B6464" s="6" t="str">
        <f>IFERROR(__xludf.DUMMYFUNCTION("GOOGLETRANSLATE(A6464,""en"",""fi"")"),"Se komentaa taitavasti toukkiaan taisteluissa vihollisiaan vastaan. Toukat ovat valmiita vaarantamaan henkensä puolustaakseen Vespiquenia.")</f>
        <v>Se komentaa taitavasti toukkiaan taisteluissa vihollisiaan vastaan. Toukat ovat valmiita vaarantamaan henkensä puolustaakseen Vespiquenia.</v>
      </c>
      <c r="C6464" s="9" t="s">
        <v>1344</v>
      </c>
    </row>
    <row r="6465" ht="33.75" customHeight="1">
      <c r="A6465" s="6" t="s">
        <v>9590</v>
      </c>
      <c r="B6465" s="6" t="str">
        <f>IFERROR(__xludf.DUMMYFUNCTION("GOOGLETRANSLATE(A6465,""en"",""fi"")"),"Enemmän feromoneja erittävillä Vespiquen-kärpäsillä on suurempia Combee-hoitajia.")</f>
        <v>Enemmän feromoneja erittävillä Vespiquen-kärpäsillä on suurempia Combee-hoitajia.</v>
      </c>
      <c r="C6465" s="9" t="s">
        <v>1344</v>
      </c>
    </row>
    <row r="6466" ht="33.75" customHeight="1">
      <c r="A6466" s="6" t="s">
        <v>9591</v>
      </c>
      <c r="B6466" s="6" t="str">
        <f>IFERROR(__xludf.DUMMYFUNCTION("GOOGLETRANSLATE(A6466,""en"",""fi"")"),"Käskee alamaisiaan rakentamaan pesänsä. Se häätää kaikki tunkeilijat, jotka uskaltavat hiipiä pesäänsä, ja käyttää heitä itse ravinnoksi.")</f>
        <v>Käskee alamaisiaan rakentamaan pesänsä. Se häätää kaikki tunkeilijat, jotka uskaltavat hiipiä pesäänsä, ja käyttää heitä itse ravinnoksi.</v>
      </c>
      <c r="C6466" s="9" t="s">
        <v>1344</v>
      </c>
    </row>
    <row r="6467" ht="33.75" customHeight="1">
      <c r="A6467" s="6" t="s">
        <v>9593</v>
      </c>
      <c r="B6467" s="6" t="str">
        <f>IFERROR(__xludf.DUMMYFUNCTION("GOOGLETRANSLATE(A6467,""en"",""fi"")"),"Se tekee staattisesta sähköstä rätiseviä karvapalloja. Se varastoi niitä marjojen kanssa puunkoloihin.")</f>
        <v>Se tekee staattisesta sähköstä rätiseviä karvapalloja. Se varastoi niitä marjojen kanssa puunkoloihin.</v>
      </c>
      <c r="C6467" s="9" t="s">
        <v>1344</v>
      </c>
    </row>
    <row r="6468" ht="33.75" customHeight="1">
      <c r="A6468" s="6" t="s">
        <v>9594</v>
      </c>
      <c r="B6468" s="6" t="str">
        <f>IFERROR(__xludf.DUMMYFUNCTION("GOOGLETRANSLATE(A6468,""en"",""fi"")"),"Se tuottaa sähköä poskissaan olevilla pusseilla ja ampuu varauksia pyrstöstään. Se elää puiden latvoissa.")</f>
        <v>Se tuottaa sähköä poskissaan olevilla pusseilla ja ampuu varauksia pyrstöstään. Se elää puiden latvoissa.</v>
      </c>
      <c r="C6468" s="9" t="s">
        <v>1344</v>
      </c>
    </row>
    <row r="6469" ht="33.75" customHeight="1">
      <c r="A6469" s="6" t="s">
        <v>9596</v>
      </c>
      <c r="B6469" s="6" t="str">
        <f>IFERROR(__xludf.DUMMYFUNCTION("GOOGLETRANSLATE(A6469,""en"",""fi"")"),"Pari voi nähdä hierovan poskipussejaan yhteen pyrkiessään jakamaan varastoitua sähköä.")</f>
        <v>Pari voi nähdä hierovan poskipussejaan yhteen pyrkiessään jakamaan varastoitua sähköä.</v>
      </c>
      <c r="C6469" s="9" t="s">
        <v>1344</v>
      </c>
    </row>
    <row r="6470" ht="33.75" customHeight="1">
      <c r="A6470" s="6" t="s">
        <v>9597</v>
      </c>
      <c r="B6470" s="6" t="str">
        <f>IFERROR(__xludf.DUMMYFUNCTION("GOOGLETRANSLATE(A6470,""en"",""fi"")"),"Se on yksi Pokémon-lajeista, joilla on sähköiset poskipussit. Se ampuu panoksia hännästään.")</f>
        <v>Se on yksi Pokémon-lajeista, joilla on sähköiset poskipussit. Se ampuu panoksia hännästään.</v>
      </c>
      <c r="C6470" s="9" t="s">
        <v>1344</v>
      </c>
    </row>
    <row r="6471" ht="33.75" customHeight="1">
      <c r="A6471" s="6" t="s">
        <v>9598</v>
      </c>
      <c r="B6471" s="6" t="str">
        <f>IFERROR(__xludf.DUMMYFUNCTION("GOOGLETRANSLATE(A6471,""en"",""fi"")"),"Pikachu-linjan sukua oleva laji. Vaikka Pachirisu on rauhallinen Pokémon, se on silti vaarallinen, jos sen sähköistettyyn häntään tai poskiin kosketaan.")</f>
        <v>Pikachu-linjan sukua oleva laji. Vaikka Pachirisu on rauhallinen Pokémon, se on silti vaarallinen, jos sen sähköistettyyn häntään tai poskiin kosketaan.</v>
      </c>
      <c r="C6471" s="9" t="s">
        <v>1344</v>
      </c>
    </row>
    <row r="6472" ht="33.75" customHeight="1">
      <c r="A6472" s="6" t="s">
        <v>9600</v>
      </c>
      <c r="B6472" s="6" t="str">
        <f>IFERROR(__xludf.DUMMYFUNCTION("GOOGLETRANSLATE(A6472,""en"",""fi"")"),"Sillä on kelluntapussi, joka on kuin puhallettava panta. Se kelluu vedessä pää ulkona.")</f>
        <v>Sillä on kelluntapussi, joka on kuin puhallettava panta. Se kelluu vedessä pää ulkona.</v>
      </c>
      <c r="C6472" s="9" t="s">
        <v>1344</v>
      </c>
    </row>
    <row r="6473" ht="33.75" customHeight="1">
      <c r="A6473" s="6" t="s">
        <v>9601</v>
      </c>
      <c r="B6473" s="6" t="str">
        <f>IFERROR(__xludf.DUMMYFUNCTION("GOOGLETRANSLATE(A6473,""en"",""fi"")"),"Se ui pyörittämällä kahta pyrstöään kuin ruuvi. Sukellessaan sen kelluntapussi painuu kasaan.")</f>
        <v>Se ui pyörittämällä kahta pyrstöään kuin ruuvi. Sukellessaan sen kelluntapussi painuu kasaan.</v>
      </c>
      <c r="C6473" s="9" t="s">
        <v>1344</v>
      </c>
    </row>
    <row r="6474" ht="33.75" customHeight="1">
      <c r="A6474" s="6" t="s">
        <v>9602</v>
      </c>
      <c r="B6474" s="6" t="str">
        <f>IFERROR(__xludf.DUMMYFUNCTION("GOOGLETRANSLATE(A6474,""en"",""fi"")"),"Se pyörittää kahta pyrstöään kuin ruuvia liikkuakseen vedessä. Pyrstöt myös viiltävät kiinni takertuneita merileviä.")</f>
        <v>Se pyörittää kahta pyrstöään kuin ruuvia liikkuakseen vedessä. Pyrstöt myös viiltävät kiinni takertuneita merileviä.</v>
      </c>
      <c r="C6474" s="9" t="s">
        <v>1344</v>
      </c>
    </row>
    <row r="6475" ht="33.75" customHeight="1">
      <c r="A6475" s="6" t="s">
        <v>9603</v>
      </c>
      <c r="B6475" s="6" t="str">
        <f>IFERROR(__xludf.DUMMYFUNCTION("GOOGLETRANSLATE(A6475,""en"",""fi"")"),"Se täyttää kelluntapussinsa pitäen kasvonsa vedenpinnan yläpuolella tarkkaillakseen saaliin liikkeitä.")</f>
        <v>Se täyttää kelluntapussinsa pitäen kasvonsa vedenpinnan yläpuolella tarkkaillakseen saaliin liikkeitä.</v>
      </c>
      <c r="C6475" s="9" t="s">
        <v>1344</v>
      </c>
    </row>
    <row r="6476" ht="33.75" customHeight="1">
      <c r="A6476" s="6" t="s">
        <v>9604</v>
      </c>
      <c r="B6476" s="6" t="str">
        <f>IFERROR(__xludf.DUMMYFUNCTION("GOOGLETRANSLATE(A6476,""en"",""fi"")"),"Se täyttää kaulassaan olevan kelluntapussin ilmalla ja työntää päänsä vedestä nähdäkseen, mitä tapahtuu.")</f>
        <v>Se täyttää kaulassaan olevan kelluntapussin ilmalla ja työntää päänsä vedestä nähdäkseen, mitä tapahtuu.</v>
      </c>
      <c r="C6476" s="9" t="s">
        <v>1344</v>
      </c>
    </row>
    <row r="6477" ht="33.75" customHeight="1">
      <c r="A6477" s="6" t="s">
        <v>9605</v>
      </c>
      <c r="B6477" s="6" t="str">
        <f>IFERROR(__xludf.DUMMYFUNCTION("GOOGLETRANSLATE(A6477,""en"",""fi"")"),"Se liikkuu vapaasti vedessä pyörittämällä haarukkaista pyrstöään työntövoiman saamiseksi. Sen samankaltaisuus höyrylaivan potkuriin on sattumaa.")</f>
        <v>Se liikkuu vapaasti vedessä pyörittämällä haarukkaista pyrstöään työntövoiman saamiseksi. Sen samankaltaisuus höyrylaivan potkuriin on sattumaa.</v>
      </c>
      <c r="C6477" s="9" t="s">
        <v>1344</v>
      </c>
    </row>
    <row r="6478" ht="33.75" customHeight="1">
      <c r="A6478" s="6" t="s">
        <v>9606</v>
      </c>
      <c r="B6478" s="6" t="str">
        <f>IFERROR(__xludf.DUMMYFUNCTION("GOOGLETRANSLATE(A6478,""en"",""fi"")"),"Se kelluu hyvin kehittyneen kelluntapussinsa avulla. Se auttaa hukkuvien ihmisten pelastamisessa.")</f>
        <v>Se kelluu hyvin kehittyneen kelluntapussinsa avulla. Se auttaa hukkuvien ihmisten pelastamisessa.</v>
      </c>
      <c r="C6478" s="9" t="s">
        <v>1344</v>
      </c>
    </row>
    <row r="6479" ht="33.75" customHeight="1">
      <c r="A6479" s="6" t="s">
        <v>9607</v>
      </c>
      <c r="B6479" s="6" t="str">
        <f>IFERROR(__xludf.DUMMYFUNCTION("GOOGLETRANSLATE(A6479,""en"",""fi"")"),"Sen kelluntapussi kehittyi vesisaaliin jahtaamisen seurauksena. Se voi toimia myös kumilautana.")</f>
        <v>Sen kelluntapussi kehittyi vesisaaliin jahtaamisen seurauksena. Se voi toimia myös kumilautana.</v>
      </c>
      <c r="C6479" s="9" t="s">
        <v>1344</v>
      </c>
    </row>
    <row r="6480" ht="33.75" customHeight="1">
      <c r="A6480" s="6" t="s">
        <v>9608</v>
      </c>
      <c r="B6480" s="6" t="str">
        <f>IFERROR(__xludf.DUMMYFUNCTION("GOOGLETRANSLATE(A6480,""en"",""fi"")"),"Se on yleinen näky kalasatamien ympäristössä. Sen tiedetään pelastavan ihmisiä ja vievän saalista.")</f>
        <v>Se on yleinen näky kalasatamien ympäristössä. Sen tiedetään pelastavan ihmisiä ja vievän saalista.</v>
      </c>
      <c r="C6480" s="9" t="s">
        <v>1344</v>
      </c>
    </row>
    <row r="6481" ht="33.75" customHeight="1">
      <c r="A6481" s="6" t="s">
        <v>9610</v>
      </c>
      <c r="B6481" s="6" t="str">
        <f>IFERROR(__xludf.DUMMYFUNCTION("GOOGLETRANSLATE(A6481,""en"",""fi"")"),"Täytettynä kelluntapussi voi kantaa ihmisiä selässään. Se tyhjentää pussin ennen sukeltamista.")</f>
        <v>Täytettynä kelluntapussi voi kantaa ihmisiä selässään. Se tyhjentää pussin ennen sukeltamista.</v>
      </c>
      <c r="C6481" s="9" t="s">
        <v>1344</v>
      </c>
    </row>
    <row r="6482" ht="33.75" customHeight="1">
      <c r="A6482" s="6" t="s">
        <v>9611</v>
      </c>
      <c r="B6482" s="6" t="str">
        <f>IFERROR(__xludf.DUMMYFUNCTION("GOOGLETRANSLATE(A6482,""en"",""fi"")"),"Sillä on pitkä, melko upea kelluntapussi, joka estää kelluntakalan hukkumisen jopa myrskyisillä merillä. Tätä lajia voi nähdä vilaukselta kalastuskylien ympäristössä aika ajoin.")</f>
        <v>Sillä on pitkä, melko upea kelluntapussi, joka estää kelluntakalan hukkumisen jopa myrskyisillä merillä. Tätä lajia voi nähdä vilaukselta kalastuskylien ympäristössä aika ajoin.</v>
      </c>
      <c r="C6482" s="9" t="s">
        <v>1344</v>
      </c>
    </row>
    <row r="6483" ht="33.75" customHeight="1">
      <c r="A6483" s="6" t="s">
        <v>9613</v>
      </c>
      <c r="B6483" s="6" t="str">
        <f>IFERROR(__xludf.DUMMYFUNCTION("GOOGLETRANSLATE(A6483,""en"",""fi"")"),"Pieni pallo sisältää evoluutiolle tarvittavat ravinteet. Se on ilmeisesti erittäin makea ja maukas.")</f>
        <v>Pieni pallo sisältää evoluutiolle tarvittavat ravinteet. Se on ilmeisesti erittäin makea ja maukas.</v>
      </c>
      <c r="C6483" s="9" t="s">
        <v>1344</v>
      </c>
    </row>
    <row r="6484" ht="33.75" customHeight="1">
      <c r="A6484" s="6" t="s">
        <v>9614</v>
      </c>
      <c r="B6484" s="6" t="str">
        <f>IFERROR(__xludf.DUMMYFUNCTION("GOOGLETRANSLATE(A6484,""en"",""fi"")"),"Auringonvalo värjää sen punaiseksi. Kun pieni pallo on ehtynyt ravinteista, se kutistuu evoluution enteeksi.")</f>
        <v>Auringonvalo värjää sen punaiseksi. Kun pieni pallo on ehtynyt ravinteista, se kutistuu evoluution enteeksi.</v>
      </c>
      <c r="C6484" s="9" t="s">
        <v>1344</v>
      </c>
    </row>
    <row r="6485" ht="33.75" customHeight="1">
      <c r="A6485" s="6" t="s">
        <v>9615</v>
      </c>
      <c r="B6485" s="6" t="str">
        <f>IFERROR(__xludf.DUMMYFUNCTION("GOOGLETRANSLATE(A6485,""en"",""fi"")"),"Pieni pallo ei ole vain täynnä ravinteita, se on myös maukas. Yritäpä nokkia se irti!")</f>
        <v>Pieni pallo ei ole vain täynnä ravinteita, se on myös maukas. Yritäpä nokkia se irti!</v>
      </c>
      <c r="C6485" s="9" t="s">
        <v>1344</v>
      </c>
    </row>
    <row r="6486" ht="33.75" customHeight="1">
      <c r="A6486" s="6" t="s">
        <v>9618</v>
      </c>
      <c r="B6486" s="6" t="str">
        <f>IFERROR(__xludf.DUMMYFUNCTION("GOOGLETRANSLATE(A6486,""en"",""fi"")"),"Se kehittyy imemällä energiaa pienestä pallosta, johon se on varastoinut ravinteita.")</f>
        <v>Se kehittyy imemällä energiaa pienestä pallosta, johon se on varastoinut ravinteita.</v>
      </c>
      <c r="C6486" s="9" t="s">
        <v>1344</v>
      </c>
    </row>
    <row r="6487" ht="33.75" customHeight="1">
      <c r="A6487" s="6" t="s">
        <v>9620</v>
      </c>
      <c r="B6487" s="6" t="str">
        <f>IFERROR(__xludf.DUMMYFUNCTION("GOOGLETRANSLATE(A6487,""en"",""fi"")"),"Pieni pallo ei ole vain täynnä ravinteita, se on myös maukas. Starly, yritä nokkia se irti.")</f>
        <v>Pieni pallo ei ole vain täynnä ravinteita, se on myös maukas. Starly, yritä nokkia se irti.</v>
      </c>
      <c r="C6487" s="9" t="s">
        <v>1344</v>
      </c>
    </row>
    <row r="6488" ht="33.75" customHeight="1">
      <c r="A6488" s="6" t="s">
        <v>9621</v>
      </c>
      <c r="B6488" s="6" t="str">
        <f>IFERROR(__xludf.DUMMYFUNCTION("GOOGLETRANSLATE(A6488,""en"",""fi"")"),"Se juoksee ketterästi välttääkseen lintu-Pokémonien nokkimisen, jotka haluaisivat paeta sen pienen, ravinnepitoisen säilytyspallon kanssa.")</f>
        <v>Se juoksee ketterästi välttääkseen lintu-Pokémonien nokkimisen, jotka haluaisivat paeta sen pienen, ravinnepitoisen säilytyspallon kanssa.</v>
      </c>
      <c r="C6488" s="9" t="s">
        <v>1344</v>
      </c>
    </row>
    <row r="6489" ht="33.75" customHeight="1">
      <c r="A6489" s="6" t="s">
        <v>9624</v>
      </c>
      <c r="B6489" s="6" t="str">
        <f>IFERROR(__xludf.DUMMYFUNCTION("GOOGLETRANSLATE(A6489,""en"",""fi"")"),"Mitä tummempi punainen kerubi on, sitä enemmän ravinteita sillä on varastossa. Ja sitä makeampi ja maukkaampi sen pieni pallo on!")</f>
        <v>Mitä tummempi punainen kerubi on, sitä enemmän ravinteita sillä on varastossa. Ja sitä makeampi ja maukkaampi sen pieni pallo on!</v>
      </c>
      <c r="C6489" s="9" t="s">
        <v>1344</v>
      </c>
    </row>
    <row r="6490" ht="33.75" customHeight="1">
      <c r="A6490" s="6" t="s">
        <v>9626</v>
      </c>
      <c r="B6490" s="6" t="str">
        <f>IFERROR(__xludf.DUMMYFUNCTION("GOOGLETRANSLATE(A6490,""en"",""fi"")"),"Kun rungon vieressä kasvava hedelmä on suuri ja pullea, kerubi käyttää sen sisältämiä ravinteita kehittyäkseen. Hedelmä irtoaa sitten ja siitä tulee ravintoa muille olennoille.")</f>
        <v>Kun rungon vieressä kasvava hedelmä on suuri ja pullea, kerubi käyttää sen sisältämiä ravinteita kehittyäkseen. Hedelmä irtoaa sitten ja siitä tulee ravintoa muille olennoille.</v>
      </c>
      <c r="C6490" s="9" t="s">
        <v>1344</v>
      </c>
    </row>
    <row r="6491" ht="33.75" customHeight="1">
      <c r="A6491" s="6" t="s">
        <v>9627</v>
      </c>
      <c r="B6491" s="6" t="str">
        <f>IFERROR(__xludf.DUMMYFUNCTION("GOOGLETRANSLATE(A6491,""en"",""fi"")"),"Se kukkii voimakkaan auringonvalon aikana. Se yrittää hyvittää kaiken, mitä se kesti nuppuna.")</f>
        <v>Se kukkii voimakkaan auringonvalon aikana. Se yrittää hyvittää kaiken, mitä se kesti nuppuna.</v>
      </c>
      <c r="C6491" s="9" t="s">
        <v>1344</v>
      </c>
    </row>
    <row r="6492" ht="33.75" customHeight="1">
      <c r="A6492" s="6" t="s">
        <v>9628</v>
      </c>
      <c r="B6492" s="6" t="str">
        <f>IFERROR(__xludf.DUMMYFUNCTION("GOOGLETRANSLATE(A6492,""en"",""fi"")"),"Se on säyseä kuin nuppu, mutta muuttuu iloiseksi kukintaessaan. Se taittuu takaisin nupuksi, jos auringonvalo hiipuu.")</f>
        <v>Se on säyseä kuin nuppu, mutta muuttuu iloiseksi kukintaessaan. Se taittuu takaisin nupuksi, jos auringonvalo hiipuu.</v>
      </c>
      <c r="C6492" s="9" t="s">
        <v>1344</v>
      </c>
    </row>
    <row r="6493" ht="33.75" customHeight="1">
      <c r="A6493" s="6" t="s">
        <v>9630</v>
      </c>
      <c r="B6493" s="6" t="str">
        <f>IFERROR(__xludf.DUMMYFUNCTION("GOOGLETRANSLATE(A6493,""en"",""fi"")"),"Jos se aistii voimakasta auringonvaloa, se avaa taitetut terälehtensä imeäkseen auringonsäteet koko kehollaan.")</f>
        <v>Jos se aistii voimakasta auringonvaloa, se avaa taitetut terälehtensä imeäkseen auringonsäteet koko kehollaan.</v>
      </c>
      <c r="C6493" s="9" t="s">
        <v>1344</v>
      </c>
    </row>
    <row r="6494" ht="33.75" customHeight="1">
      <c r="A6494" s="6" t="s">
        <v>9631</v>
      </c>
      <c r="B6494" s="6" t="str">
        <f>IFERROR(__xludf.DUMMYFUNCTION("GOOGLETRANSLATE(A6494,""en"",""fi"")"),"Kirkkaan auringonvalon aikana sen nuput kukkivat, terälehdet avautuvat kokonaan ja siitä tulee erittäin aktiivinen.")</f>
        <v>Kirkkaan auringonvalon aikana sen nuput kukkivat, terälehdet avautuvat kokonaan ja siitä tulee erittäin aktiivinen.</v>
      </c>
      <c r="C6494" s="9" t="s">
        <v>1344</v>
      </c>
    </row>
    <row r="6495" ht="33.75" customHeight="1">
      <c r="A6495" s="6" t="s">
        <v>9633</v>
      </c>
      <c r="B6495" s="6" t="str">
        <f>IFERROR(__xludf.DUMMYFUNCTION("GOOGLETRANSLATE(A6495,""en"",""fi"")"),"Nupuna se tuskin liikkuu. Se istuu paikallaan ja odottaa tyynesti auringonvalon ilmestymistä.")</f>
        <v>Nupuna se tuskin liikkuu. Se istuu paikallaan ja odottaa tyynesti auringonvalon ilmestymistä.</v>
      </c>
      <c r="C6495" s="9" t="s">
        <v>1344</v>
      </c>
    </row>
    <row r="6496" ht="33.75" customHeight="1">
      <c r="A6496" s="6" t="s">
        <v>9635</v>
      </c>
      <c r="B6496" s="6" t="str">
        <f>IFERROR(__xludf.DUMMYFUNCTION("GOOGLETRANSLATE(A6496,""en"",""fi"")"),"Sen taitetut terälehdet ovat melko kestäviä. Lintu-Pokémonit voivat nokkia niitä niin paljon kuin haluavat, eikä Cherrim välitä siitä ollenkaan.")</f>
        <v>Sen taitetut terälehdet ovat melko kestäviä. Lintu-Pokémonit voivat nokkia niitä niin paljon kuin haluavat, eikä Cherrim välitä siitä ollenkaan.</v>
      </c>
      <c r="C6496" s="9" t="s">
        <v>1344</v>
      </c>
    </row>
    <row r="6497" ht="33.75" customHeight="1">
      <c r="A6497" s="6" t="s">
        <v>9636</v>
      </c>
      <c r="B6497" s="6" t="str">
        <f>IFERROR(__xludf.DUMMYFUNCTION("GOOGLETRANSLATE(A6497,""en"",""fi"")"),"Liikkumaton, satunnaista värinää lukuun ottamatta. Sen ympärille voi löytää runsaan joukon Pokémoneja, joita Cherrimin taitelluista terälehdistä huokuva tuoksu vetää puoleensa.")</f>
        <v>Liikkumaton, satunnaista värinää lukuun ottamatta. Sen ympärille voi löytää runsaan joukon Pokémoneja, joita Cherrimin taitelluista terälehdistä huokuva tuoksu vetää puoleensa.</v>
      </c>
      <c r="C6497" s="9" t="s">
        <v>1344</v>
      </c>
    </row>
    <row r="6498" ht="33.75" customHeight="1">
      <c r="A6498" s="6" t="s">
        <v>9637</v>
      </c>
      <c r="B6498" s="6" t="str">
        <f>IFERROR(__xludf.DUMMYFUNCTION("GOOGLETRANSLATE(A6498,""en"",""fi"")"),"Sen värit ja muodot vaihtelevat alueittain. Sinnoh-alueella on vahvistettu kaksi tyyppiä.")</f>
        <v>Sen värit ja muodot vaihtelevat alueittain. Sinnoh-alueella on vahvistettu kaksi tyyppiä.</v>
      </c>
      <c r="C6498" s="9" t="s">
        <v>1344</v>
      </c>
    </row>
    <row r="6499" ht="33.75" customHeight="1">
      <c r="A6499" s="6" t="s">
        <v>9638</v>
      </c>
      <c r="B6499" s="6" t="str">
        <f>IFERROR(__xludf.DUMMYFUNCTION("GOOGLETRANSLATE(A6499,""en"",""fi"")"),"Se elää vesistöjen varrella. Sen ruumiinmuoto on muuttunut elinympäristöönsä sopivaksi.")</f>
        <v>Se elää vesistöjen varrella. Sen ruumiinmuoto on muuttunut elinympäristöönsä sopivaksi.</v>
      </c>
      <c r="C6499" s="9" t="s">
        <v>1344</v>
      </c>
    </row>
    <row r="6500" ht="33.75" customHeight="1">
      <c r="A6500" s="6" t="s">
        <v>9639</v>
      </c>
      <c r="B6500" s="6" t="str">
        <f>IFERROR(__xludf.DUMMYFUNCTION("GOOGLETRANSLATE(A6500,""en"",""fi"")"),"Varo painamasta voimakkaasti sen pehmeää vartaloa, sillä siitä pursuaa salaperäistä violettia nestettä.")</f>
        <v>Varo painamasta voimakkaasti sen pehmeää vartaloa, sillä siitä pursuaa salaperäistä violettia nestettä.</v>
      </c>
      <c r="C6500" s="9" t="s">
        <v>1344</v>
      </c>
    </row>
    <row r="6501" ht="33.75" customHeight="1">
      <c r="A6501" s="6" t="s">
        <v>9640</v>
      </c>
      <c r="B6501" s="6" t="str">
        <f>IFERROR(__xludf.DUMMYFUNCTION("GOOGLETRANSLATE(A6501,""en"",""fi"")"),"Sen muoto ja väri vaihtelevat elinympäristöstä riippuen.")</f>
        <v>Sen muoto ja väri vaihtelevat elinympäristöstä riippuen.</v>
      </c>
      <c r="C6501" s="9" t="s">
        <v>1344</v>
      </c>
    </row>
    <row r="6502" ht="33.75" customHeight="1">
      <c r="A6502" s="6" t="s">
        <v>9641</v>
      </c>
      <c r="B6502" s="6" t="str">
        <f>IFERROR(__xludf.DUMMYFUNCTION("GOOGLETRANSLATE(A6502,""en"",""fi"")"),"Se elää enimmäkseen meren rannalla. Sen väri ja muoto vaihtelevat elinympäristön ja ravinnon laadun mukaan.")</f>
        <v>Se elää enimmäkseen meren rannalla. Sen väri ja muoto vaihtelevat elinympäristön ja ravinnon laadun mukaan.</v>
      </c>
      <c r="C6502" s="9" t="s">
        <v>1344</v>
      </c>
    </row>
    <row r="6503" ht="33.75" customHeight="1">
      <c r="A6503" s="6" t="s">
        <v>9642</v>
      </c>
      <c r="B6503" s="6" t="str">
        <f>IFERROR(__xludf.DUMMYFUNCTION("GOOGLETRANSLATE(A6503,""en"",""fi"")"),"Violetti lima tarttuu jokaisen sitä koskevan käsiin. Ole varovainen, sillä ainetta on vaikea pestä pois.")</f>
        <v>Violetti lima tarttuu jokaisen sitä koskevan käsiin. Ole varovainen, sillä ainetta on vaikea pestä pois.</v>
      </c>
      <c r="C6503" s="9" t="s">
        <v>1344</v>
      </c>
    </row>
    <row r="6504" ht="33.75" customHeight="1">
      <c r="A6504" s="6" t="s">
        <v>9643</v>
      </c>
      <c r="B6504" s="6" t="str">
        <f>IFERROR(__xludf.DUMMYFUNCTION("GOOGLETRANSLATE(A6504,""en"",""fi"")"),"Vaikka ne normaalisti elävät meressä, ne voivat toimia myös maalla, kunnes niiden iho kuivuu.")</f>
        <v>Vaikka ne normaalisti elävät meressä, ne voivat toimia myös maalla, kunnes niiden iho kuivuu.</v>
      </c>
      <c r="C6504" s="9" t="s">
        <v>1344</v>
      </c>
    </row>
    <row r="6505" ht="33.75" customHeight="1">
      <c r="A6505" s="6" t="s">
        <v>9645</v>
      </c>
      <c r="B6505" s="6" t="str">
        <f>IFERROR(__xludf.DUMMYFUNCTION("GOOGLETRANSLATE(A6505,""en"",""fi"")"),"Kun se aistii vaaran, siitä tihkuu violettia nestettä. Nesteen ajatellaan olevan jonkinlaista rasvaista hikeä.")</f>
        <v>Kun se aistii vaaran, siitä tihkuu violettia nestettä. Nesteen ajatellaan olevan jonkinlaista rasvaista hikeä.</v>
      </c>
      <c r="C6505" s="9" t="s">
        <v>1344</v>
      </c>
    </row>
    <row r="6506" ht="33.75" customHeight="1">
      <c r="A6506" s="6" t="s">
        <v>9646</v>
      </c>
      <c r="B6506" s="6" t="str">
        <f>IFERROR(__xludf.DUMMYFUNCTION("GOOGLETRANSLATE(A6506,""en"",""fi"")"),"Tämän Pokémonin elinympäristö muokkaa sen fysiikkaa. Joidenkin teorioiden mukaan elämä lämpimissä merivesissä aiheuttaa tämän variaation kehittymisen.")</f>
        <v>Tämän Pokémonin elinympäristö muokkaa sen fysiikkaa. Joidenkin teorioiden mukaan elämä lämpimissä merivesissä aiheuttaa tämän variaation kehittymisen.</v>
      </c>
      <c r="C6506" s="9" t="s">
        <v>1344</v>
      </c>
    </row>
    <row r="6507" ht="33.75" customHeight="1">
      <c r="A6507" s="6" t="s">
        <v>9647</v>
      </c>
      <c r="B6507" s="6" t="str">
        <f>IFERROR(__xludf.DUMMYFUNCTION("GOOGLETRANSLATE(A6507,""en"",""fi"")"),"Voimakkaan voiman kohdistaminen tähän Pokémoniin saa sen erittämään outoa violettia nestettä. Vaikka neste on vaaratonta, se on kamalan tahmeaa.")</f>
        <v>Voimakkaan voiman kohdistaminen tähän Pokémoniin saa sen erittämään outoa violettia nestettä. Vaikka neste on vaaratonta, se on kamalan tahmeaa.</v>
      </c>
      <c r="C6507" s="9" t="s">
        <v>1344</v>
      </c>
    </row>
    <row r="6508" ht="33.75" customHeight="1">
      <c r="A6508" s="6" t="s">
        <v>9648</v>
      </c>
      <c r="B6508" s="6" t="str">
        <f>IFERROR(__xludf.DUMMYFUNCTION("GOOGLETRANSLATE(A6508,""en"",""fi"")"),"Lämpimien vesien rannoilla niitä tavataan runsaasti. Shellot ovat yllättävän ystävällisiä ja ryömivät ketä tahansa näkemäänsä ihmistä kohti. Varo, ettet peitä itseäsi limaan!")</f>
        <v>Lämpimien vesien rannoilla niitä tavataan runsaasti. Shellot ovat yllättävän ystävällisiä ja ryömivät ketä tahansa näkemäänsä ihmistä kohti. Varo, ettet peitä itseäsi limaan!</v>
      </c>
      <c r="C6508" s="9" t="s">
        <v>1344</v>
      </c>
    </row>
    <row r="6509" ht="33.75" customHeight="1">
      <c r="A6509" s="6" t="s">
        <v>9650</v>
      </c>
      <c r="B6509" s="6" t="str">
        <f>IFERROR(__xludf.DUMMYFUNCTION("GOOGLETRANSLATE(A6509,""en"",""fi"")"),"Sillä on taipuisa, lueton ruumis. Jos jokin osa ruumiista repeytyy irti, se kasvaa heti takaisin.")</f>
        <v>Sillä on taipuisa, lueton ruumis. Jos jokin osa ruumiista repeytyy irti, se kasvaa heti takaisin.</v>
      </c>
      <c r="C6509" s="9" t="s">
        <v>1344</v>
      </c>
    </row>
    <row r="6510" ht="33.75" customHeight="1">
      <c r="A6510" s="6" t="s">
        <v>9651</v>
      </c>
      <c r="B6510" s="6" t="str">
        <f>IFERROR(__xludf.DUMMYFUNCTION("GOOGLETRANSLATE(A6510,""en"",""fi"")"),"Sillä oli ilmeisesti valtava kuori suojana muinaisina aikoina. Se elää matalissa vuorovesialtaissa.")</f>
        <v>Sillä oli ilmeisesti valtava kuori suojana muinaisina aikoina. Se elää matalissa vuorovesialtaissa.</v>
      </c>
      <c r="C6510" s="9" t="s">
        <v>1344</v>
      </c>
    </row>
    <row r="6511" ht="33.75" customHeight="1">
      <c r="A6511" s="6" t="s">
        <v>9659</v>
      </c>
      <c r="B6511" s="6" t="str">
        <f>IFERROR(__xludf.DUMMYFUNCTION("GOOGLETRANSLATE(A6511,""en"",""fi"")"),"Kauan sitten sen koko selkä oli suojattu tukevalla kuorella. Sen soluissa on jäljellä jälkiä siitä.")</f>
        <v>Kauan sitten sen koko selkä oli suojattu tukevalla kuorella. Sen soluissa on jäljellä jälkiä siitä.</v>
      </c>
      <c r="C6511" s="9" t="s">
        <v>1344</v>
      </c>
    </row>
    <row r="6512" ht="33.75" customHeight="1">
      <c r="A6512" s="6" t="s">
        <v>9660</v>
      </c>
      <c r="B6512" s="6" t="str">
        <f>IFERROR(__xludf.DUMMYFUNCTION("GOOGLETRANSLATE(A6512,""en"",""fi"")"),"Kun sen luonnollinen vihollinen hyökkää, se tihkuu violettia nestettä ja pakenee.")</f>
        <v>Kun sen luonnollinen vihollinen hyökkää, se tihkuu violettia nestettä ja pakenee.</v>
      </c>
      <c r="C6512" s="9" t="s">
        <v>1344</v>
      </c>
    </row>
    <row r="6513" ht="33.75" customHeight="1">
      <c r="A6513" s="6" t="s">
        <v>9662</v>
      </c>
      <c r="B6513" s="6" t="str">
        <f>IFERROR(__xludf.DUMMYFUNCTION("GOOGLETRANSLATE(A6513,""en"",""fi"")"),"Sillä on vahvat uudistumiskyvyt. Vaikka kala-Pokémonit puraisivat siitä osia irti, se palautuu normaaliksi muutamassa tunnissa.")</f>
        <v>Sillä on vahvat uudistumiskyvyt. Vaikka kala-Pokémonit puraisivat siitä osia irti, se palautuu normaaliksi muutamassa tunnissa.</v>
      </c>
      <c r="C6513" s="9" t="s">
        <v>1344</v>
      </c>
    </row>
    <row r="6514" ht="33.75" customHeight="1">
      <c r="A6514" s="6" t="s">
        <v>9663</v>
      </c>
      <c r="B6514" s="6" t="str">
        <f>IFERROR(__xludf.DUMMYFUNCTION("GOOGLETRANSLATE(A6514,""en"",""fi"")"),"Paljaalla silmällä näkymätön plankton on sen tärkein ravinnonlähde. Se ilmestyy maalle ajoittain, mutta syytä tähän ei tiedetä.")</f>
        <v>Paljaalla silmällä näkymätön plankton on sen tärkein ravinnonlähde. Se ilmestyy maalle ajoittain, mutta syytä tähän ei tiedetä.</v>
      </c>
      <c r="C6514" s="9" t="s">
        <v>1344</v>
      </c>
    </row>
    <row r="6515" ht="33.75" customHeight="1">
      <c r="A6515" s="6" t="s">
        <v>9665</v>
      </c>
      <c r="B6515" s="6" t="str">
        <f>IFERROR(__xludf.DUMMYFUNCTION("GOOGLETRANSLATE(A6515,""en"",""fi"")"),"Kauan sitten sillä oli kuori selässään. Nyt sen selässä on kova mutta ohut jäännelevy.")</f>
        <v>Kauan sitten sillä oli kuori selässään. Nyt sen selässä on kova mutta ohut jäännelevy.</v>
      </c>
      <c r="C6515" s="9" t="s">
        <v>1344</v>
      </c>
    </row>
    <row r="6516" ht="33.75" customHeight="1">
      <c r="A6516" s="6" t="s">
        <v>9666</v>
      </c>
      <c r="B6516" s="6" t="str">
        <f>IFERROR(__xludf.DUMMYFUNCTION("GOOGLETRANSLATE(A6516,""en"",""fi"")"),"Niiden muoto ja väri muuttuvat ympäristön ja ruokavalion mukaan. Niitä on paljon rannoilla, joilla aallot ovat tyyniä.")</f>
        <v>Niiden muoto ja väri muuttuvat ympäristön ja ruokavalion mukaan. Niitä on paljon rannoilla, joilla aallot ovat tyyniä.</v>
      </c>
      <c r="C6516" s="9" t="s">
        <v>1344</v>
      </c>
    </row>
    <row r="6517" ht="33.75" customHeight="1">
      <c r="A6517" s="6" t="s">
        <v>9667</v>
      </c>
      <c r="B6517" s="6" t="str">
        <f>IFERROR(__xludf.DUMMYFUNCTION("GOOGLETRANSLATE(A6517,""en"",""fi"")"),"Sen ravinnonetsintä johtaa sen joskus maihin, missä se jättää jälkeensä tahmean limavanan kulkiessaan läpi.")</f>
        <v>Sen ravinnonetsintä johtaa sen joskus maihin, missä se jättää jälkeensä tahmean limavanan kulkiessaan läpi.</v>
      </c>
      <c r="C6517" s="9" t="s">
        <v>1344</v>
      </c>
    </row>
    <row r="6518" ht="33.75" customHeight="1">
      <c r="A6518" s="6" t="s">
        <v>9668</v>
      </c>
      <c r="B6518" s="6" t="str">
        <f>IFERROR(__xludf.DUMMYFUNCTION("GOOGLETRANSLATE(A6518,""en"",""fi"")"),"Sen pehmeys auttaa hajauttamaan iskujen voimaa, joten vaikka sen ruumis on epätavallisen pehmeä, se on myös yllättävän joustava.")</f>
        <v>Sen pehmeys auttaa hajauttamaan iskujen voimaa, joten vaikka sen ruumis on epätavallisen pehmeä, se on myös yllättävän joustava.</v>
      </c>
      <c r="C6518" s="9" t="s">
        <v>1344</v>
      </c>
    </row>
    <row r="6519" ht="33.75" customHeight="1">
      <c r="A6519" s="6" t="s">
        <v>9670</v>
      </c>
      <c r="B6519" s="6" t="str">
        <f>IFERROR(__xludf.DUMMYFUNCTION("GOOGLETRANSLATE(A6519,""en"",""fi"")"),"Syö rantahiekkaa ravinnokseen. Jos yksi gastrodon kohtaa toisen erivärisen, seurauksena on väistämättä kova taistelu.")</f>
        <v>Syö rantahiekkaa ravinnokseen. Jos yksi gastrodon kohtaa toisen erivärisen, seurauksena on väistämättä kova taistelu.</v>
      </c>
      <c r="C6519" s="9" t="s">
        <v>1344</v>
      </c>
    </row>
    <row r="6520" ht="33.75" customHeight="1">
      <c r="A6520" s="6" t="s">
        <v>9671</v>
      </c>
      <c r="B6520" s="6" t="str">
        <f>IFERROR(__xludf.DUMMYFUNCTION("GOOGLETRANSLATE(A6520,""en"",""fi"")"),"Syödessään se kuorii taitavasti pähkinöitä kahdella hännällään. Se käyttää nykyään harvoin käsiään.")</f>
        <v>Syödessään se kuorii taitavasti pähkinöitä kahdella hännällään. Se käyttää nykyään harvoin käsiään.</v>
      </c>
      <c r="C6520" s="9" t="s">
        <v>1344</v>
      </c>
    </row>
    <row r="6521" ht="33.75" customHeight="1">
      <c r="A6521" s="6" t="s">
        <v>9672</v>
      </c>
      <c r="B6521" s="6" t="str">
        <f>IFERROR(__xludf.DUMMYFUNCTION("GOOGLETRANSLATE(A6521,""en"",""fi"")"),"Ne työskentelevät suurissa yhdyskunnissa ja tekevät renkaita sitomalla häntänsä yhteen, ilmeisesti ystävyyden merkiksi.")</f>
        <v>Ne työskentelevät suurissa yhdyskunnissa ja tekevät renkaita sitomalla häntänsä yhteen, ilmeisesti ystävyyden merkiksi.</v>
      </c>
      <c r="C6521" s="9" t="s">
        <v>1344</v>
      </c>
    </row>
    <row r="6522" ht="33.75" customHeight="1">
      <c r="A6522" s="6" t="s">
        <v>9673</v>
      </c>
      <c r="B6522" s="6" t="str">
        <f>IFERROR(__xludf.DUMMYFUNCTION("GOOGLETRANSLATE(A6522,""en"",""fi"")"),"Kahteen osaan jakautuneiden pyrstöjen käsittely ja toiminta on niin taitavaa, että AMBIPOM käyttää harvoin käsiään.")</f>
        <v>Kahteen osaan jakautuneiden pyrstöjen käsittely ja toiminta on niin taitavaa, että AMBIPOM käyttää harvoin käsiään.</v>
      </c>
      <c r="C6522" s="9" t="s">
        <v>1344</v>
      </c>
    </row>
    <row r="6523" ht="33.75" customHeight="1">
      <c r="A6523" s="6" t="s">
        <v>9674</v>
      </c>
      <c r="B6523" s="6" t="str">
        <f>IFERROR(__xludf.DUMMYFUNCTION("GOOGLETRANSLATE(A6523,""en"",""fi"")"),"Ne elävät suurissa puissa. Niiden sanotaan kommunikoivan yhdistämällä häntänsä muiden häntiin.")</f>
        <v>Ne elävät suurissa puissa. Niiden sanotaan kommunikoivan yhdistämällä häntänsä muiden häntiin.</v>
      </c>
      <c r="C6523" s="9" t="s">
        <v>1344</v>
      </c>
    </row>
    <row r="6524" ht="33.75" customHeight="1">
      <c r="A6524" s="6" t="s">
        <v>9675</v>
      </c>
      <c r="B6524" s="6" t="str">
        <f>IFERROR(__xludf.DUMMYFUNCTION("GOOGLETRANSLATE(A6524,""en"",""fi"")"),"Sen kahden pyrstön peräkkäisiä iskuja on erittäin vaikea väistää.")</f>
        <v>Sen kahden pyrstön peräkkäisiä iskuja on erittäin vaikea väistää.</v>
      </c>
      <c r="C6524" s="9" t="s">
        <v>1344</v>
      </c>
    </row>
    <row r="6525" ht="33.75" customHeight="1">
      <c r="A6525" s="6" t="s">
        <v>9676</v>
      </c>
      <c r="B6525" s="6" t="str">
        <f>IFERROR(__xludf.DUMMYFUNCTION("GOOGLETRANSLATE(A6525,""en"",""fi"")"),"Kahteen osaan jakautuneiden häntien käsittely ja toiminta on niin taitavaa, että Ambipom harvoin käyttää käsiään.")</f>
        <v>Kahteen osaan jakautuneiden häntien käsittely ja toiminta on niin taitavaa, että Ambipom harvoin käyttää käsiään.</v>
      </c>
      <c r="C6525" s="9" t="s">
        <v>1344</v>
      </c>
    </row>
    <row r="6526" ht="33.75" customHeight="1">
      <c r="A6526" s="6" t="s">
        <v>9677</v>
      </c>
      <c r="B6526" s="6" t="str">
        <f>IFERROR(__xludf.DUMMYFUNCTION("GOOGLETRANSLATE(A6526,""en"",""fi"")"),"Etsiessään mukavia puita ne joutuvat reviirikiistoihin passimialaisten ryhmien kanssa. Ne voittavat noin puolet tapauksista.")</f>
        <v>Etsiessään mukavia puita ne joutuvat reviirikiistoihin passimialaisten ryhmien kanssa. Ne voittavat noin puolet tapauksista.</v>
      </c>
      <c r="C6526" s="9" t="s">
        <v>1344</v>
      </c>
    </row>
    <row r="6527" ht="33.75" customHeight="1">
      <c r="A6527" s="6" t="s">
        <v>9678</v>
      </c>
      <c r="B6527" s="6" t="str">
        <f>IFERROR(__xludf.DUMMYFUNCTION("GOOGLETRANSLATE(A6527,""en"",""fi"")"),"Se käyttää häntäänsä kaikkeen. Jos se kietoutuu molemmilla hännillään ympärillesi ja puristaa sinua, se on todiste siitä, että se todella pitää sinusta.")</f>
        <v>Se käyttää häntäänsä kaikkeen. Jos se kietoutuu molemmilla hännillään ympärillesi ja puristaa sinua, se on todiste siitä, että se todella pitää sinusta.</v>
      </c>
      <c r="C6527" s="9" t="s">
        <v>1344</v>
      </c>
    </row>
    <row r="6528" ht="33.75" customHeight="1">
      <c r="A6528" s="6" t="s">
        <v>9680</v>
      </c>
      <c r="B6528" s="6" t="str">
        <f>IFERROR(__xludf.DUMMYFUNCTION("GOOGLETRANSLATE(A6528,""en"",""fi"")"),"Sukulaisuuden vahvistamiseksi tämän lajin edustajat muodostavat renkaan sitomalla yhteen juuri kaksinkertaistuneet hännänsä. Harvinaisissa tapauksissa ihmiset on hyväksytty tällaisiin renkaisiin.")</f>
        <v>Sukulaisuuden vahvistamiseksi tämän lajin edustajat muodostavat renkaan sitomalla yhteen juuri kaksinkertaistuneet hännänsä. Harvinaisissa tapauksissa ihmiset on hyväksytty tällaisiin renkaisiin.</v>
      </c>
      <c r="C6528" s="9" t="s">
        <v>1344</v>
      </c>
    </row>
    <row r="6529" ht="33.75" customHeight="1">
      <c r="A6529" s="6" t="s">
        <v>9682</v>
      </c>
      <c r="B6529" s="6" t="str">
        <f>IFERROR(__xludf.DUMMYFUNCTION("GOOGLETRANSLATE(A6529,""en"",""fi"")"),"Ihmisten ja Pokémonien henkien muodostama Pokémon. Se rakastaa kosteita ja lämpimiä vuodenaikoja.")</f>
        <v>Ihmisten ja Pokémonien henkien muodostama Pokémon. Se rakastaa kosteita ja lämpimiä vuodenaikoja.</v>
      </c>
      <c r="C6529" s="9" t="s">
        <v>1344</v>
      </c>
    </row>
    <row r="6530" ht="33.75" customHeight="1">
      <c r="A6530" s="6" t="s">
        <v>9685</v>
      </c>
      <c r="B6530" s="6" t="str">
        <f>IFERROR(__xludf.DUMMYFUNCTION("GOOGLETRANSLATE(A6530,""en"",""fi"")"),"Se vetää lapsia kädestä varastaakseen heidät pois. Mutta sen sijaan se joutuukin vedetyksi.")</f>
        <v>Se vetää lapsia kädestä varastaakseen heidät pois. Mutta sen sijaan se joutuukin vedetyksi.</v>
      </c>
      <c r="C6530" s="9" t="s">
        <v>1344</v>
      </c>
    </row>
    <row r="6531" ht="33.75" customHeight="1">
      <c r="A6531" s="6" t="s">
        <v>9687</v>
      </c>
      <c r="B6531" s="6" t="str">
        <f>IFERROR(__xludf.DUMMYFUNCTION("GOOGLETRANSLATE(A6531,""en"",""fi"")"),"Koska se kelluu päämäärättömästi, vanha kansantarina kutsuu sitä ""vaeltelevien henkien tienviitaksi"".")</f>
        <v>Koska se kelluu päämäärättömästi, vanha kansantarina kutsuu sitä "vaeltelevien henkien tienviitaksi".</v>
      </c>
      <c r="C6531" s="9" t="s">
        <v>1344</v>
      </c>
    </row>
    <row r="6532" ht="33.75" customHeight="1">
      <c r="A6532" s="6" t="s">
        <v>9688</v>
      </c>
      <c r="B6532" s="6" t="str">
        <f>IFERROR(__xludf.DUMMYFUNCTION("GOOGLETRANSLATE(A6532,""en"",""fi"")"),"Kuiskataan, että lapsi, joka erehtyy luulemaan DRIFLOONIA ilmapalloksi ja pitää siitä kiinni, voi päätyä eksymään.")</f>
        <v>Kuiskataan, että lapsi, joka erehtyy luulemaan DRIFLOONIA ilmapalloksi ja pitää siitä kiinni, voi päätyä eksymään.</v>
      </c>
      <c r="C6532" s="9" t="s">
        <v>1344</v>
      </c>
    </row>
    <row r="6533" ht="33.75" customHeight="1">
      <c r="A6533" s="6" t="s">
        <v>9690</v>
      </c>
      <c r="B6533" s="6" t="str">
        <f>IFERROR(__xludf.DUMMYFUNCTION("GOOGLETRANSLATE(A6533,""en"",""fi"")"),"Näitä Pokémoneja kutsutaan ""Vaeltajien henkien tienviitoiksi"". Niitä pitelevät lapset joskus katoavat.")</f>
        <v>Näitä Pokémoneja kutsutaan "Vaeltajien henkien tienviitoiksi". Niitä pitelevät lapset joskus katoavat.</v>
      </c>
      <c r="C6533" s="9" t="s">
        <v>1344</v>
      </c>
    </row>
    <row r="6534" ht="33.75" customHeight="1">
      <c r="A6534" s="6" t="s">
        <v>9692</v>
      </c>
      <c r="B6534" s="6" t="str">
        <f>IFERROR(__xludf.DUMMYFUNCTION("GOOGLETRANSLATE(A6534,""en"",""fi"")"),"Tarinoiden mukaan se tarttuu pienten lasten käsiin ja raahaa heidät pois tuonpuoleiseen. Se ei pidä painavista lapsista.")</f>
        <v>Tarinoiden mukaan se tarttuu pienten lasten käsiin ja raahaa heidät pois tuonpuoleiseen. Se ei pidä painavista lapsista.</v>
      </c>
      <c r="C6534" s="9" t="s">
        <v>1344</v>
      </c>
    </row>
    <row r="6535" ht="33.75" customHeight="1">
      <c r="A6535" s="6" t="s">
        <v>9693</v>
      </c>
      <c r="B6535" s="6" t="str">
        <f>IFERROR(__xludf.DUMMYFUNCTION("GOOGLETRANSLATE(A6535,""en"",""fi"")"),"Jos jostain syystä sen ruumis halkeaa, sen sielu purkautuu ulos kirkuvan äänen saattelemana.")</f>
        <v>Jos jostain syystä sen ruumis halkeaa, sen sielu purkautuu ulos kirkuvan äänen saattelemana.</v>
      </c>
      <c r="C6535" s="9" t="s">
        <v>1344</v>
      </c>
    </row>
    <row r="6536" ht="33.75" customHeight="1">
      <c r="A6536" s="6" t="s">
        <v>9694</v>
      </c>
      <c r="B6536" s="6" t="str">
        <f>IFERROR(__xludf.DUMMYFUNCTION("GOOGLETRANSLATE(A6536,""en"",""fi"")"),"Sen pyöreä ruumis on täynnä sieluja ja laajenee joka kerta, kun se johdattaa jonkun pois.")</f>
        <v>Sen pyöreä ruumis on täynnä sieluja ja laajenee joka kerta, kun se johdattaa jonkun pois.</v>
      </c>
      <c r="C6536" s="9" t="s">
        <v>1344</v>
      </c>
    </row>
    <row r="6537" ht="33.75" customHeight="1">
      <c r="A6537" s="6" t="s">
        <v>9695</v>
      </c>
      <c r="B6537" s="6" t="str">
        <f>IFERROR(__xludf.DUMMYFUNCTION("GOOGLETRANSLATE(A6537,""en"",""fi"")"),"Vaeltavat sielut kokoontuivat muodostamaan tämän Pokémonin. Yrittäessään ystävystyä lasten kanssa, Drifloon tarttuu heidän kädestään.")</f>
        <v>Vaeltavat sielut kokoontuivat muodostamaan tämän Pokémonin. Yrittäessään ystävystyä lasten kanssa, Drifloon tarttuu heidän kädestään.</v>
      </c>
      <c r="C6537" s="9" t="s">
        <v>1344</v>
      </c>
    </row>
    <row r="6538" ht="33.75" customHeight="1">
      <c r="A6538" s="6" t="s">
        <v>9697</v>
      </c>
      <c r="B6538" s="6" t="str">
        <f>IFERROR(__xludf.DUMMYFUNCTION("GOOGLETRANSLATE(A6538,""en"",""fi"")"),"Se lähestyy lapsia ehkä etsiessään seuraa. Usein se kuitenkin karkaa nopeasti, jos lapset leikkivät sen kanssa liian rajusti.")</f>
        <v>Se lähestyy lapsia ehkä etsiessään seuraa. Usein se kuitenkin karkaa nopeasti, jos lapset leikkivät sen kanssa liian rajusti.</v>
      </c>
      <c r="C6538" s="9" t="s">
        <v>1344</v>
      </c>
    </row>
    <row r="6539" ht="33.75" customHeight="1">
      <c r="A6539" s="6" t="s">
        <v>9698</v>
      </c>
      <c r="B6539" s="6" t="str">
        <f>IFERROR(__xludf.DUMMYFUNCTION("GOOGLETRANSLATE(A6539,""en"",""fi"")"),"Monien sielujen kokoontuminen synnytti tämän Pokémonin. Kosteina vuodenaikoina niitä näyttää ilmestyvän runsaasti.")</f>
        <v>Monien sielujen kokoontuminen synnytti tämän Pokémonin. Kosteina vuodenaikoina niitä näyttää ilmestyvän runsaasti.</v>
      </c>
      <c r="C6539" s="9" t="s">
        <v>1344</v>
      </c>
    </row>
    <row r="6540" ht="33.75" customHeight="1">
      <c r="A6540" s="6" t="s">
        <v>9700</v>
      </c>
      <c r="B6540" s="6" t="str">
        <f>IFERROR(__xludf.DUMMYFUNCTION("GOOGLETRANSLATE(A6540,""en"",""fi"")"),"Sanotaan houkuttelevan pieniä lapsia pois ja vievän heidät tuonpuoleiseen. Jotkut kuiskaavat, että driflonit koostuvat jälleensyntyneistä ihmissieluista, mutta näitä huhuja ei ole vielä vahvistettu.")</f>
        <v>Sanotaan houkuttelevan pieniä lapsia pois ja vievän heidät tuonpuoleiseen. Jotkut kuiskaavat, että driflonit koostuvat jälleensyntyneistä ihmissieluista, mutta näitä huhuja ei ole vielä vahvistettu.</v>
      </c>
      <c r="C6540" s="9" t="s">
        <v>1344</v>
      </c>
    </row>
    <row r="6541" ht="33.75" customHeight="1">
      <c r="A6541" s="6" t="s">
        <v>9701</v>
      </c>
      <c r="B6541" s="6" t="str">
        <f>IFERROR(__xludf.DUMMYFUNCTION("GOOGLETRANSLATE(A6541,""en"",""fi"")"),"Se on päivällä unelias, mutta lentää illalla pois suurina parvina. Kukaan ei tiedä, minne ne menevät.")</f>
        <v>Se on päivällä unelias, mutta lentää illalla pois suurina parvina. Kukaan ei tiedä, minne ne menevät.</v>
      </c>
      <c r="C6541" s="9" t="s">
        <v>1344</v>
      </c>
    </row>
    <row r="6542" ht="33.75" customHeight="1">
      <c r="A6542" s="6" t="s">
        <v>9702</v>
      </c>
      <c r="B6542" s="6" t="str">
        <f>IFERROR(__xludf.DUMMYFUNCTION("GOOGLETRANSLATE(A6542,""en"",""fi"")"),"Se kuljettaa ihmisiä ja Pokémoneja lentäessään. Mutta koska se vain ajelehtii, se voi päätyä minne tahansa.")</f>
        <v>Se kuljettaa ihmisiä ja Pokémoneja lentäessään. Mutta koska se vain ajelehtii, se voi päätyä minne tahansa.</v>
      </c>
      <c r="C6542" s="9" t="s">
        <v>1344</v>
      </c>
    </row>
    <row r="6543" ht="33.75" customHeight="1">
      <c r="A6543" s="6" t="s">
        <v>9703</v>
      </c>
      <c r="B6543" s="6" t="str">
        <f>IFERROR(__xludf.DUMMYFUNCTION("GOOGLETRANSLATE(A6543,""en"",""fi"")"),"Hämärän laskeutuessa tuulet kuljettavat parvia niitä ilmaan. Kun ne havaitaan, ne katoavat yhtäkkiä.")</f>
        <v>Hämärän laskeutuessa tuulet kuljettavat parvia niitä ilmaan. Kun ne havaitaan, ne katoavat yhtäkkiä.</v>
      </c>
      <c r="C6543" s="9" t="s">
        <v>1344</v>
      </c>
    </row>
    <row r="6544" ht="33.75" customHeight="1">
      <c r="A6544" s="6" t="s">
        <v>9704</v>
      </c>
      <c r="B6544" s="6" t="str">
        <f>IFERROR(__xludf.DUMMYFUNCTION("GOOGLETRANSLATE(A6544,""en"",""fi"")"),"Se voi tuottaa ja vapauttaa kaasua kehossaan. Näin se voi hallita ajelehtimisensa korkeutta.")</f>
        <v>Se voi tuottaa ja vapauttaa kaasua kehossaan. Näin se voi hallita ajelehtimisensa korkeutta.</v>
      </c>
      <c r="C6544" s="9" t="s">
        <v>1344</v>
      </c>
    </row>
    <row r="6545" ht="33.75" customHeight="1">
      <c r="A6545" s="6" t="s">
        <v>9705</v>
      </c>
      <c r="B6545" s="6" t="str">
        <f>IFERROR(__xludf.DUMMYFUNCTION("GOOGLETRANSLATE(A6545,""en"",""fi"")"),"Ne kuljettavat ihmisiä ja Pokémoneja, mutta tuuli voi ottaa ne mukaansa, joten niille ei voi olla kiinteää määränpäätä.")</f>
        <v>Ne kuljettavat ihmisiä ja Pokémoneja, mutta tuuli voi ottaa ne mukaansa, joten niille ei voi olla kiinteää määränpäätä.</v>
      </c>
      <c r="C6545" s="9" t="s">
        <v>1344</v>
      </c>
    </row>
    <row r="6546" ht="33.75" customHeight="1">
      <c r="A6546" s="6" t="s">
        <v>9706</v>
      </c>
      <c r="B6546" s="6" t="str">
        <f>IFERROR(__xludf.DUMMYFUNCTION("GOOGLETRANSLATE(A6546,""en"",""fi"")"),"Se on päivällä unelias, mutta lentää illalla pois suurina parvina. Kukaan ei tiedä, minne ne menevät.")</f>
        <v>Se on päivällä unelias, mutta lentää illalla pois suurina parvina. Kukaan ei tiedä, minne ne menevät.</v>
      </c>
      <c r="C6546" s="9" t="s">
        <v>1344</v>
      </c>
    </row>
    <row r="6547" ht="33.75" customHeight="1">
      <c r="A6547" s="6" t="s">
        <v>9707</v>
      </c>
      <c r="B6547" s="6" t="str">
        <f>IFERROR(__xludf.DUMMYFUNCTION("GOOGLETRANSLATE(A6547,""en"",""fi"")"),"Kerran sattui tapaus, jossa mies lähti matkalle Drifblimin selässä, mutta katosi.")</f>
        <v>Kerran sattui tapaus, jossa mies lähti matkalle Drifblimin selässä, mutta katosi.</v>
      </c>
      <c r="C6547" s="9" t="s">
        <v>1344</v>
      </c>
    </row>
    <row r="6548" ht="33.75" customHeight="1">
      <c r="A6548" s="6" t="s">
        <v>9708</v>
      </c>
      <c r="B6548" s="6" t="str">
        <f>IFERROR(__xludf.DUMMYFUNCTION("GOOGLETRANSLATE(A6548,""en"",""fi"")"),"Vaikka niitä tarkkailtaisiin tarkasti, hämärässä lentävät suuret Drifblim-parvet katoavat selittämättömästi näkyvistä.")</f>
        <v>Vaikka niitä tarkkailtaisiin tarkasti, hämärässä lentävät suuret Drifblim-parvet katoavat selittämättömästi näkyvistä.</v>
      </c>
      <c r="C6548" s="9" t="s">
        <v>1344</v>
      </c>
    </row>
    <row r="6549" ht="33.75" customHeight="1">
      <c r="A6549" s="6" t="s">
        <v>9709</v>
      </c>
      <c r="B6549" s="6" t="str">
        <f>IFERROR(__xludf.DUMMYFUNCTION("GOOGLETRANSLATE(A6549,""en"",""fi"")"),"Huhutaan, että jos saat hämärän laskeutuessa tuulessa ajelehtivan drifblimin, sinut viedään tuonpuoleiseen.")</f>
        <v>Huhutaan, että jos saat hämärän laskeutuessa tuulessa ajelehtivan drifblimin, sinut viedään tuonpuoleiseen.</v>
      </c>
      <c r="C6549" s="9" t="s">
        <v>1344</v>
      </c>
    </row>
    <row r="6550" ht="33.75" customHeight="1">
      <c r="A6550" s="6" t="s">
        <v>9710</v>
      </c>
      <c r="B6550" s="6" t="str">
        <f>IFERROR(__xludf.DUMMYFUNCTION("GOOGLETRANSLATE(A6550,""en"",""fi"")"),"Sen ruumiissa olevan kaasun raaka-aineena ovat sielut. Kun sen ruumis alkaa tyhjentyä, sen uskotaan kuljettavan mukanaan ihmisiä ja Pokémoneja.")</f>
        <v>Sen ruumiissa olevan kaasun raaka-aineena ovat sielut. Kun sen ruumis alkaa tyhjentyä, sen uskotaan kuljettavan mukanaan ihmisiä ja Pokémoneja.</v>
      </c>
      <c r="C6550" s="9" t="s">
        <v>1344</v>
      </c>
    </row>
    <row r="6551" ht="33.75" customHeight="1">
      <c r="A6551" s="6" t="s">
        <v>9711</v>
      </c>
      <c r="B6551" s="6" t="str">
        <f>IFERROR(__xludf.DUMMYFUNCTION("GOOGLETRANSLATE(A6551,""en"",""fi"")"),"Jotkut sanovat, että tämä Pokémon on kokoelma katumuksen painamia sieluja, jotka ajelehtivat hiljaa hämärän halki.")</f>
        <v>Jotkut sanovat, että tämä Pokémon on kokoelma katumuksen painamia sieluja, jotka ajelehtivat hiljaa hämärän halki.</v>
      </c>
      <c r="C6551" s="9" t="s">
        <v>1344</v>
      </c>
    </row>
    <row r="6552" ht="33.75" customHeight="1">
      <c r="A6552" s="6" t="s">
        <v>9712</v>
      </c>
      <c r="B6552" s="6" t="str">
        <f>IFERROR(__xludf.DUMMYFUNCTION("GOOGLETRANSLATE(A6552,""en"",""fi"")"),"Se nappaa ihmisiä ja Pokémoneja ja vie heidät jonnekin. Minne he menevät? Kukaan ei tiedä.")</f>
        <v>Se nappaa ihmisiä ja Pokémoneja ja vie heidät jonnekin. Minne he menevät? Kukaan ei tiedä.</v>
      </c>
      <c r="C6552" s="9" t="s">
        <v>1344</v>
      </c>
    </row>
    <row r="6553" ht="33.75" customHeight="1">
      <c r="A6553" s="6" t="s">
        <v>9713</v>
      </c>
      <c r="B6553" s="6" t="str">
        <f>IFERROR(__xludf.DUMMYFUNCTION("GOOGLETRANSLATE(A6553,""en"",""fi"")"),"Se ajelehtii hämärän laskeutuessa, täysin hiljaa. Sen ohimenevä, melankolinen olemus koskettaa joitakin syvästi – silloin tällöin törmää Drifblimille omistettuun lauluun tai runoon.")</f>
        <v>Se ajelehtii hämärän laskeutuessa, täysin hiljaa. Sen ohimenevä, melankolinen olemus koskettaa joitakin syvästi – silloin tällöin törmää Drifblimille omistettuun lauluun tai runoon.</v>
      </c>
      <c r="C6553" s="9" t="s">
        <v>1344</v>
      </c>
    </row>
    <row r="6554" ht="33.75" customHeight="1">
      <c r="A6554" s="6" t="s">
        <v>9714</v>
      </c>
      <c r="B6554" s="6" t="str">
        <f>IFERROR(__xludf.DUMMYFUNCTION("GOOGLETRANSLATE(A6554,""en"",""fi"")"),"Se iskee vihollisia pyörittämällä pyöreitä korviaan terävästi. Se pistää niin paljon, että aikuinen pääsee itkemään tuskasta.")</f>
        <v>Se iskee vihollisia pyörittämällä pyöreitä korviaan terävästi. Se pistää niin paljon, että aikuinen pääsee itkemään tuskasta.</v>
      </c>
      <c r="C6554" s="9" t="s">
        <v>1344</v>
      </c>
    </row>
    <row r="6555" ht="33.75" customHeight="1">
      <c r="A6555" s="6" t="s">
        <v>9715</v>
      </c>
      <c r="B6555" s="6" t="str">
        <f>IFERROR(__xludf.DUMMYFUNCTION("GOOGLETRANSLATE(A6555,""en"",""fi"")"),"Aistiessaan vaaran se höristelee korviaan. Kylminä öinä se nukkuu pää turkkinsa alla.")</f>
        <v>Aistiessaan vaaran se höristelee korviaan. Kylminä öinä se nukkuu pää turkkinsa alla.</v>
      </c>
      <c r="C6555" s="9" t="s">
        <v>1344</v>
      </c>
    </row>
    <row r="6556" ht="33.75" customHeight="1">
      <c r="A6556" s="6" t="s">
        <v>9717</v>
      </c>
      <c r="B6556" s="6" t="str">
        <f>IFERROR(__xludf.DUMMYFUNCTION("GOOGLETRANSLATE(A6556,""en"",""fi"")"),"Sen korvat ovat aina kääntyneet ylös. Ne voidaan ojentaa voimakkaasti murskaamaan jopa suuri lohkare.")</f>
        <v>Sen korvat ovat aina kääntyneet ylös. Ne voidaan ojentaa voimakkaasti murskaamaan jopa suuri lohkare.</v>
      </c>
      <c r="C6556" s="9" t="s">
        <v>1344</v>
      </c>
    </row>
    <row r="6557" ht="33.75" customHeight="1">
      <c r="A6557" s="6" t="s">
        <v>9718</v>
      </c>
      <c r="B6557" s="6" t="str">
        <f>IFERROR(__xludf.DUMMYFUNCTION("GOOGLETRANSLATE(A6557,""en"",""fi"")"),"Voit päätellä sen tunteen korvien pyörittelytavasta. Kun se on peloissaan, molemmat korvat ovat pyöristyneet.")</f>
        <v>Voit päätellä sen tunteen korvien pyörittelytavasta. Kun se on peloissaan, molemmat korvat ovat pyöristyneet.</v>
      </c>
      <c r="C6557" s="9" t="s">
        <v>1344</v>
      </c>
    </row>
    <row r="6558" ht="33.75" customHeight="1">
      <c r="A6558" s="6" t="s">
        <v>9719</v>
      </c>
      <c r="B6558" s="6" t="str">
        <f>IFERROR(__xludf.DUMMYFUNCTION("GOOGLETRANSLATE(A6558,""en"",""fi"")"),"Ojentamalla käärityt korvansa ja iskeytymällä maahan se voi hypätä niin korkealle, että yllättää itsensä.")</f>
        <v>Ojentamalla käärityt korvansa ja iskeytymällä maahan se voi hypätä niin korkealle, että yllättää itsensä.</v>
      </c>
      <c r="C6558" s="9" t="s">
        <v>1344</v>
      </c>
    </row>
    <row r="6559" ht="33.75" customHeight="1">
      <c r="A6559" s="6" t="s">
        <v>9721</v>
      </c>
      <c r="B6559" s="6" t="str">
        <f>IFERROR(__xludf.DUMMYFUNCTION("GOOGLETRANSLATE(A6559,""en"",""fi"")"),"Sen kädet ja jalat ovat heikot, mutta kun se käärii korvansa tiukasti ylös ja sitten päästää ne valloilleen täydellä voimallaan, se voi murskata lohkareita tomuksi.")</f>
        <v>Sen kädet ja jalat ovat heikot, mutta kun se käärii korvansa tiukasti ylös ja sitten päästää ne valloilleen täydellä voimallaan, se voi murskata lohkareita tomuksi.</v>
      </c>
      <c r="C6559" s="9" t="s">
        <v>1344</v>
      </c>
    </row>
    <row r="6560" ht="33.75" customHeight="1">
      <c r="A6560" s="6" t="s">
        <v>9724</v>
      </c>
      <c r="B6560" s="6" t="str">
        <f>IFERROR(__xludf.DUMMYFUNCTION("GOOGLETRANSLATE(A6560,""en"",""fi"")"),"Syy siihen, miksi se pitää toisen korvansa pystyssä, on se, että se voi käynnistää nopean vastahyökkäyksen, jos vihollinen hyökkää sitä vastaan.")</f>
        <v>Syy siihen, miksi se pitää toisen korvansa pystyssä, on se, että se voi käynnistää nopean vastahyökkäyksen, jos vihollinen hyökkää sitä vastaan.</v>
      </c>
      <c r="C6560" s="9" t="s">
        <v>1344</v>
      </c>
    </row>
    <row r="6561" ht="33.75" customHeight="1">
      <c r="A6561" s="6" t="s">
        <v>9727</v>
      </c>
      <c r="B6561" s="6" t="str">
        <f>IFERROR(__xludf.DUMMYFUNCTION("GOOGLETRANSLATE(A6561,""en"",""fi"")"),"Jos Bunearyn molemmat korvat ovat pyöristyneet, sen kehossa tai mielessä on jotain vikaa. Se on varma merkki siitä, että Pokémon tarvitsee hoitoa.")</f>
        <v>Jos Bunearyn molemmat korvat ovat pyöristyneet, sen kehossa tai mielessä on jotain vikaa. Se on varma merkki siitä, että Pokémon tarvitsee hoitoa.</v>
      </c>
      <c r="C6561" s="9" t="s">
        <v>1344</v>
      </c>
    </row>
    <row r="6562" ht="33.75" customHeight="1">
      <c r="A6562" s="6" t="s">
        <v>9728</v>
      </c>
      <c r="B6562" s="6" t="str">
        <f>IFERROR(__xludf.DUMMYFUNCTION("GOOGLETRANSLATE(A6562,""en"",""fi"")"),"Buneary voi hyökätä pyörittämällä korviaan ja iskemällä sitten niiden auki pyörittämisestä syntyvällä voimalla. Tämä hyökkäys voimistuu harjoittelun myötä.")</f>
        <v>Buneary voi hyökätä pyörittämällä korviaan ja iskemällä sitten niiden auki pyörittämisestä syntyvällä voimalla. Tämä hyökkäys voimistuu harjoittelun myötä.</v>
      </c>
      <c r="C6562" s="9" t="s">
        <v>1344</v>
      </c>
    </row>
    <row r="6563" ht="33.75" customHeight="1">
      <c r="A6563" s="6" t="s">
        <v>9730</v>
      </c>
      <c r="B6563" s="6" t="str">
        <f>IFERROR(__xludf.DUMMYFUNCTION("GOOGLETRANSLATE(A6563,""en"",""fi"")"),"Hypoteesini siitä, miksi Buneary pyöristää korviaan, on, että sen kuulo on aivan liian tarkka. Oletan, että Pokémon suojelee kuuloaan rajoittamalla korviinsa pääsevää ääntä.")</f>
        <v>Hypoteesini siitä, miksi Buneary pyöristää korviaan, on, että sen kuulo on aivan liian tarkka. Oletan, että Pokémon suojelee kuuloaan rajoittamalla korviinsa pääsevää ääntä.</v>
      </c>
      <c r="C6563" s="9" t="s">
        <v>1344</v>
      </c>
    </row>
    <row r="6564" ht="33.75" customHeight="1">
      <c r="A6564" s="6" t="s">
        <v>9732</v>
      </c>
      <c r="B6564" s="6" t="str">
        <f>IFERROR(__xludf.DUMMYFUNCTION("GOOGLETRANSLATE(A6564,""en"",""fi"")"),"Äärimmäisen varovainen Pokémon. Se peittää vartalonsa pörröisellä korvakarvallaan aistiessaan vaaran.")</f>
        <v>Äärimmäisen varovainen Pokémon. Se peittää vartalonsa pörröisellä korvakarvallaan aistiessaan vaaran.</v>
      </c>
      <c r="C6564" s="9" t="s">
        <v>1344</v>
      </c>
    </row>
    <row r="6565" ht="33.75" customHeight="1">
      <c r="A6565" s="6" t="s">
        <v>9733</v>
      </c>
      <c r="B6565" s="6" t="str">
        <f>IFERROR(__xludf.DUMMYFUNCTION("GOOGLETRANSLATE(A6565,""en"",""fi"")"),"Se on hyvin tietoinen ulkonäöstään ja pitää aina korvistaan ​​huolta. Se juoksee reippaasti hyppien.")</f>
        <v>Se on hyvin tietoinen ulkonäöstään ja pitää aina korvistaan ​​huolta. Se juoksee reippaasti hyppien.</v>
      </c>
      <c r="C6565" s="9" t="s">
        <v>1344</v>
      </c>
    </row>
    <row r="6566" ht="33.75" customHeight="1">
      <c r="A6566" s="6" t="s">
        <v>9735</v>
      </c>
      <c r="B6566" s="6" t="str">
        <f>IFERROR(__xludf.DUMMYFUNCTION("GOOGLETRANSLATE(A6566,""en"",""fi"")"),"Korvat näyttävät herkiltä. Jos niitä koskettaa karkeasti, se potkaisee siroilla jaloillaan.")</f>
        <v>Korvat näyttävät herkiltä. Jos niitä koskettaa karkeasti, se potkaisee siroilla jaloillaan.</v>
      </c>
      <c r="C6566" s="9" t="s">
        <v>1344</v>
      </c>
    </row>
    <row r="6567" ht="33.75" customHeight="1">
      <c r="A6567" s="6" t="s">
        <v>9736</v>
      </c>
      <c r="B6567" s="6" t="str">
        <f>IFERROR(__xludf.DUMMYFUNCTION("GOOGLETRANSLATE(A6567,""en"",""fi"")"),"Se karvaa kahdesti vuodessa. Talvella sen turkki on pehmeä ja pörröinen.")</f>
        <v>Se karvaa kahdesti vuodessa. Talvella sen turkki on pehmeä ja pörröinen.</v>
      </c>
      <c r="C6567" s="9" t="s">
        <v>1344</v>
      </c>
    </row>
    <row r="6568" ht="33.75" customHeight="1">
      <c r="A6568" s="6" t="s">
        <v>9737</v>
      </c>
      <c r="B6568" s="6" t="str">
        <f>IFERROR(__xludf.DUMMYFUNCTION("GOOGLETRANSLATE(A6568,""en"",""fi"")"),"Se on erittäin varovainen ja hyppää nopeasti karkuun havaitessaan vaaran.")</f>
        <v>Se on erittäin varovainen ja hyppää nopeasti karkuun havaitessaan vaaran.</v>
      </c>
      <c r="C6568" s="9" t="s">
        <v>1344</v>
      </c>
    </row>
    <row r="6569" ht="33.75" customHeight="1">
      <c r="A6569" s="6" t="s">
        <v>9739</v>
      </c>
      <c r="B6569" s="6" t="str">
        <f>IFERROR(__xludf.DUMMYFUNCTION("GOOGLETRANSLATE(A6569,""en"",""fi"")"),"Lopunny kasvattaa turkkinsa uudelleen kaksi kertaa vuodessa. Sen turkista tehdyt kaulahuivit ja hatut ovat todella lämpimiä.")</f>
        <v>Lopunny kasvattaa turkkinsa uudelleen kaksi kertaa vuodessa. Sen turkista tehdyt kaulahuivit ja hatut ovat todella lämpimiä.</v>
      </c>
      <c r="C6569" s="9" t="s">
        <v>1344</v>
      </c>
    </row>
    <row r="6570" ht="33.75" customHeight="1">
      <c r="A6570" s="6" t="s">
        <v>9740</v>
      </c>
      <c r="B6570" s="6" t="str">
        <f>IFERROR(__xludf.DUMMYFUNCTION("GOOGLETRANSLATE(A6570,""en"",""fi"")"),"Se on huomattavan varovainen eikä pidä taistelusta, mutta samaan aikaan se pystyy antamaan voimakkaita potkuja notkeilla jaloillaan.")</f>
        <v>Se on huomattavan varovainen eikä pidä taistelusta, mutta samaan aikaan se pystyy antamaan voimakkaita potkuja notkeilla jaloillaan.</v>
      </c>
      <c r="C6570" s="9" t="s">
        <v>1344</v>
      </c>
    </row>
    <row r="6571" ht="33.75" customHeight="1">
      <c r="A6571" s="6" t="s">
        <v>9741</v>
      </c>
      <c r="B6571" s="6" t="str">
        <f>IFERROR(__xludf.DUMMYFUNCTION("GOOGLETRANSLATE(A6571,""en"",""fi"")"),"Lopunny tarkkailee jatkuvasti ympäristöään. Jos vaara lähestyy, tämä Pokémon vastaa supertuhoisilla potkuilla.")</f>
        <v>Lopunny tarkkailee jatkuvasti ympäristöään. Jos vaara lähestyy, tämä Pokémon vastaa supertuhoisilla potkuilla.</v>
      </c>
      <c r="C6571" s="9" t="s">
        <v>1344</v>
      </c>
    </row>
    <row r="6572" ht="33.75" customHeight="1">
      <c r="A6572" s="6" t="s">
        <v>9743</v>
      </c>
      <c r="B6572" s="6" t="str">
        <f>IFERROR(__xludf.DUMMYFUNCTION("GOOGLETRANSLATE(A6572,""en"",""fi"")"),"Kun kuumat kaudet ovat ohi, Lopunnyn turkki korvautuu turkilla, joka pitää sisällään paljon eristävää ilmaa kylmempää säätä varten.")</f>
        <v>Kun kuumat kaudet ovat ohi, Lopunnyn turkki korvautuu turkilla, joka pitää sisällään paljon eristävää ilmaa kylmempää säätä varten.</v>
      </c>
      <c r="C6572" s="9" t="s">
        <v>1344</v>
      </c>
    </row>
    <row r="6573" ht="33.75" customHeight="1">
      <c r="A6573" s="6" t="s">
        <v>9745</v>
      </c>
      <c r="B6573" s="6" t="str">
        <f>IFERROR(__xludf.DUMMYFUNCTION("GOOGLETRANSLATE(A6573,""en"",""fi"")"),"Sen turkki on lämmin mutta silti huomattavan kevyt. Tämä Pokémon potkaisee kuin karatemestari, ajaen vastustajansa vaivattomasti taaksepäin.")</f>
        <v>Sen turkki on lämmin mutta silti huomattavan kevyt. Tämä Pokémon potkaisee kuin karatemestari, ajaen vastustajansa vaivattomasti taaksepäin.</v>
      </c>
      <c r="C6573" s="9" t="s">
        <v>1344</v>
      </c>
    </row>
    <row r="6574" ht="33.75" customHeight="1">
      <c r="A6574" s="6" t="s">
        <v>9746</v>
      </c>
      <c r="B6574" s="6" t="str">
        <f>IFERROR(__xludf.DUMMYFUNCTION("GOOGLETRANSLATE(A6574,""en"",""fi"")"),"Sen huudot kuulostavat loitsuilta. Kuulijoita piinaavat päänsäryt ja hallusinaatiot.")</f>
        <v>Sen huudot kuulostavat loitsuilta. Kuulijoita piinaavat päänsäryt ja hallusinaatiot.</v>
      </c>
      <c r="C6574" s="9" t="s">
        <v>1344</v>
      </c>
    </row>
    <row r="6575" ht="33.75" customHeight="1">
      <c r="A6575" s="6" t="s">
        <v>9747</v>
      </c>
      <c r="B6575" s="6" t="str">
        <f>IFERROR(__xludf.DUMMYFUNCTION("GOOGLETRANSLATE(A6575,""en"",""fi"")"),"Se lausuu loitsuja. Vaikka ne yleensä piinaavat kohteitaan, jotkin loitsut tuovat onnellisuutta.")</f>
        <v>Se lausuu loitsuja. Vaikka ne yleensä piinaavat kohteitaan, jotkin loitsut tuovat onnellisuutta.</v>
      </c>
      <c r="C6575" s="9" t="s">
        <v>1344</v>
      </c>
    </row>
    <row r="6576" ht="33.75" customHeight="1">
      <c r="A6576" s="6" t="s">
        <v>9749</v>
      </c>
      <c r="B6576" s="6" t="str">
        <f>IFERROR(__xludf.DUMMYFUNCTION("GOOGLETRANSLATE(A6576,""en"",""fi"")"),"Sen huuto kuulostaa loitsulta. Sanotaan, että huudossa saattaa harvoin olla onnea antavaa voimaa.")</f>
        <v>Sen huuto kuulostaa loitsulta. Sanotaan, että huudossa saattaa harvoin olla onnea antavaa voimaa.</v>
      </c>
      <c r="C6576" s="9" t="s">
        <v>1344</v>
      </c>
    </row>
    <row r="6577" ht="33.75" customHeight="1">
      <c r="A6577" s="6" t="s">
        <v>9750</v>
      </c>
      <c r="B6577" s="6" t="str">
        <f>IFERROR(__xludf.DUMMYFUNCTION("GOOGLETRANSLATE(A6577,""en"",""fi"")"),"Sen huudot kuulostavat loitsuilta vihollisen piinaamiseksi. Se ilmestyy mistä vähiten odottaa.")</f>
        <v>Sen huudot kuulostavat loitsuilta vihollisen piinaamiseksi. Se ilmestyy mistä vähiten odottaa.</v>
      </c>
      <c r="C6577" s="9" t="s">
        <v>1344</v>
      </c>
    </row>
    <row r="6578" ht="33.75" customHeight="1">
      <c r="A6578" s="6" t="s">
        <v>9751</v>
      </c>
      <c r="B6578" s="6" t="str">
        <f>IFERROR(__xludf.DUMMYFUNCTION("GOOGLETRANSLATE(A6578,""en"",""fi"")"),"Se ilmestyy kuin tyhjästä – mutisten loitsuja, langettaen kirouksia ja antaen ihmisille kauhistuttavia näkyjä.")</f>
        <v>Se ilmestyy kuin tyhjästä – mutisten loitsuja, langettaen kirouksia ja antaen ihmisille kauhistuttavia näkyjä.</v>
      </c>
      <c r="C6578" s="9" t="s">
        <v>1344</v>
      </c>
    </row>
    <row r="6579" ht="33.75" customHeight="1">
      <c r="A6579" s="6" t="s">
        <v>9752</v>
      </c>
      <c r="B6579" s="6" t="str">
        <f>IFERROR(__xludf.DUMMYFUNCTION("GOOGLETRANSLATE(A6579,""en"",""fi"")"),"Mismagius-pokémonien tiedetään loihtivan ihmisiä rakastuakseen, joten jotkut ihmiset etsivät tätä Pokémonia aivan kuin heidän henkensä riippuisi siitä.")</f>
        <v>Mismagius-pokémonien tiedetään loihtivan ihmisiä rakastuakseen, joten jotkut ihmiset etsivät tätä Pokémonia aivan kuin heidän henkensä riippuisi siitä.</v>
      </c>
      <c r="C6579" s="9" t="s">
        <v>1344</v>
      </c>
    </row>
    <row r="6580" ht="33.75" customHeight="1">
      <c r="A6580" s="6" t="s">
        <v>9753</v>
      </c>
      <c r="B6580" s="6" t="str">
        <f>IFERROR(__xludf.DUMMYFUNCTION("GOOGLETRANSLATE(A6580,""en"",""fi"")"),"Pelätty vihansa ja levittämiensä kirousten vuoksi, tämä Pokémon voi myös hetken mielijohteesta loihtia loitsuja, jotka auttavat ihmisiä.")</f>
        <v>Pelätty vihansa ja levittämiensä kirousten vuoksi, tämä Pokémon voi myös hetken mielijohteesta loihtia loitsuja, jotka auttavat ihmisiä.</v>
      </c>
      <c r="C6580" s="9" t="s">
        <v>1344</v>
      </c>
    </row>
    <row r="6581" ht="33.75" customHeight="1">
      <c r="A6581" s="6" t="s">
        <v>9754</v>
      </c>
      <c r="B6581" s="6" t="str">
        <f>IFERROR(__xludf.DUMMYFUNCTION("GOOGLETRANSLATE(A6581,""en"",""fi"")"),"Sen mumiset kiroukset voivat aiheuttaa kamalia päänsärkyjä tai kauhistuttavia näkyjä, jotka piinaavat muita.")</f>
        <v>Sen mumiset kiroukset voivat aiheuttaa kamalia päänsärkyjä tai kauhistuttavia näkyjä, jotka piinaavat muita.</v>
      </c>
      <c r="C6581" s="9" t="s">
        <v>1344</v>
      </c>
    </row>
    <row r="6582" ht="33.75" customHeight="1">
      <c r="A6582" s="6" t="s">
        <v>9755</v>
      </c>
      <c r="B6582" s="6" t="str">
        <f>IFERROR(__xludf.DUMMYFUNCTION("GOOGLETRANSLATE(A6582,""en"",""fi"")"),"Mismagiuksen loitsut voivat torjua epäonnea, joten on olemassa tapa kutsua se kotiinsa. Jos kuitenkin teet Pokémonin epäsuosion, katastrofi on väistämätön.")</f>
        <v>Mismagiuksen loitsut voivat torjua epäonnea, joten on olemassa tapa kutsua se kotiinsa. Jos kuitenkin teet Pokémonin epäsuosion, katastrofi on väistämätön.</v>
      </c>
      <c r="C6582" s="9" t="s">
        <v>1344</v>
      </c>
    </row>
    <row r="6583" ht="33.75" customHeight="1">
      <c r="A6583" s="6" t="s">
        <v>9756</v>
      </c>
      <c r="B6583" s="6" t="str">
        <f>IFERROR(__xludf.DUMMYFUNCTION("GOOGLETRANSLATE(A6583,""en"",""fi"")"),"Se aktivoituu yöllä, ja sen tiedetään parveilevan lukuisten MURKROW-perhosten kanssa.")</f>
        <v>Se aktivoituu yöllä, ja sen tiedetään parveilevan lukuisten MURKROW-perhosten kanssa.</v>
      </c>
      <c r="C6583" s="9" t="s">
        <v>1344</v>
      </c>
    </row>
    <row r="6584" ht="33.75" customHeight="1">
      <c r="A6584" s="6" t="s">
        <v>9757</v>
      </c>
      <c r="B6584" s="6" t="str">
        <f>IFERROR(__xludf.DUMMYFUNCTION("GOOGLETRANSLATE(A6584,""en"",""fi"")"),"Se laittaa MURKROW-kätyrinsä tuomaan sille ruokaa. Se laiskottelee aikansa pesässään hoitaen itseään.")</f>
        <v>Se laittaa MURKROW-kätyrinsä tuomaan sille ruokaa. Se laiskottelee aikansa pesässään hoitaen itseään.</v>
      </c>
      <c r="C6584" s="9" t="s">
        <v>1344</v>
      </c>
    </row>
    <row r="6585" ht="33.75" customHeight="1">
      <c r="A6585" s="6" t="s">
        <v>9758</v>
      </c>
      <c r="B6585" s="6" t="str">
        <f>IFERROR(__xludf.DUMMYFUNCTION("GOOGLETRANSLATE(A6585,""en"",""fi"")"),"Jos päästää syvän huudon, monta MURKROWia kerääntyy nopeasti yhteen. Tätä kutsutaan nimellä ""Yön kutsuja"".")</f>
        <v>Jos päästää syvän huudon, monta MURKROWia kerääntyy nopeasti yhteen. Tätä kutsutaan nimellä "Yön kutsuja".</v>
      </c>
      <c r="C6585" s="9" t="s">
        <v>1344</v>
      </c>
    </row>
    <row r="6586" ht="33.75" customHeight="1">
      <c r="A6586" s="6" t="s">
        <v>9759</v>
      </c>
      <c r="B6586" s="6" t="str">
        <f>IFERROR(__xludf.DUMMYFUNCTION("GOOGLETRANSLATE(A6586,""en"",""fi"")"),"Se on luonteeltaan armoton. Sanotaan, ettei se koskaan anna anteeksi MURKROW-seuraajiensa virheitä.")</f>
        <v>Se on luonteeltaan armoton. Sanotaan, ettei se koskaan anna anteeksi MURKROW-seuraajiensa virheitä.</v>
      </c>
      <c r="C6586" s="9" t="s">
        <v>1344</v>
      </c>
    </row>
    <row r="6587" ht="33.75" customHeight="1">
      <c r="A6587" s="6" t="s">
        <v>9761</v>
      </c>
      <c r="B6587" s="6" t="str">
        <f>IFERROR(__xludf.DUMMYFUNCTION("GOOGLETRANSLATE(A6587,""en"",""fi"")"),"Jos päästää syvän huudon, monta Murkrow'ta kerääntyy nopeasti yhteen. Tätä kutsutaan nimellä ""Yön Kutsuja"".")</f>
        <v>Jos päästää syvän huudon, monta Murkrow'ta kerääntyy nopeasti yhteen. Tätä kutsutaan nimellä "Yön Kutsuja".</v>
      </c>
      <c r="C6587" s="9" t="s">
        <v>1344</v>
      </c>
    </row>
    <row r="6588" ht="33.75" customHeight="1">
      <c r="A6588" s="6" t="s">
        <v>9763</v>
      </c>
      <c r="B6588" s="6" t="str">
        <f>IFERROR(__xludf.DUMMYFUNCTION("GOOGLETRANSLATE(A6588,""en"",""fi"")"),"Se aktivoituu yöllä, ja sen tiedetään parveilevan lukuisten Murkrow-eläinten kanssa.")</f>
        <v>Se aktivoituu yöllä, ja sen tiedetään parveilevan lukuisten Murkrow-eläinten kanssa.</v>
      </c>
      <c r="C6588" s="9" t="s">
        <v>1344</v>
      </c>
    </row>
    <row r="6589" ht="33.75" customHeight="1">
      <c r="A6589" s="6" t="s">
        <v>9765</v>
      </c>
      <c r="B6589" s="6" t="str">
        <f>IFERROR(__xludf.DUMMYFUNCTION("GOOGLETRANSLATE(A6589,""en"",""fi"")"),"Yksi ainoa huuto tältä yölliseltä Pokémonilta, ja yli sata sen Murkrow-kätyriä kokoontuu.")</f>
        <v>Yksi ainoa huuto tältä yölliseltä Pokémonilta, ja yli sata sen Murkrow-kätyriä kokoontuu.</v>
      </c>
      <c r="C6589" s="9" t="s">
        <v>1344</v>
      </c>
    </row>
    <row r="6590" ht="33.75" customHeight="1">
      <c r="A6590" s="6" t="s">
        <v>9767</v>
      </c>
      <c r="B6590" s="6" t="str">
        <f>IFERROR(__xludf.DUMMYFUNCTION("GOOGLETRANSLATE(A6590,""en"",""fi"")"),"Jos sen Murkrow-kätyrit eivät saa sille ruokaa, tai jos se tuntee heidän pettäneen sen, se metsästää heidät missä tahansa he ovatkin ja rankaisee heitä.")</f>
        <v>Jos sen Murkrow-kätyrit eivät saa sille ruokaa, tai jos se tuntee heidän pettäneen sen, se metsästää heidät missä tahansa he ovatkin ja rankaisee heitä.</v>
      </c>
      <c r="C6590" s="9" t="s">
        <v>1344</v>
      </c>
    </row>
    <row r="6591" ht="33.75" customHeight="1">
      <c r="A6591" s="6" t="s">
        <v>9769</v>
      </c>
      <c r="B6591" s="6" t="str">
        <f>IFERROR(__xludf.DUMMYFUNCTION("GOOGLETRANSLATE(A6591,""en"",""fi"")"),"Se ei ehdottomasti anna anteeksi roistojensa epäonnistumisia tai petoksia. Sillä ei ole tässä vaihtoehtoa, jos se haluaa säilyttää lauman järjestyksen.")</f>
        <v>Se ei ehdottomasti anna anteeksi roistojensa epäonnistumisia tai petoksia. Sillä ei ole tässä vaihtoehtoa, jos se haluaa säilyttää lauman järjestyksen.</v>
      </c>
      <c r="C6591" s="9" t="s">
        <v>1344</v>
      </c>
    </row>
    <row r="6592" ht="33.75" customHeight="1">
      <c r="A6592" s="6" t="s">
        <v>9771</v>
      </c>
      <c r="B6592" s="6" t="str">
        <f>IFERROR(__xludf.DUMMYFUNCTION("GOOGLETRANSLATE(A6592,""en"",""fi"")"),"Sen kätyrit hoitavat suurimman osan taistelusta sen puolestaan. Se likaa kätensä vain antaessaan viimeisen iskun vihollisen tappamiseksi.")</f>
        <v>Sen kätyrit hoitavat suurimman osan taistelusta sen puolestaan. Se likaa kätensä vain antaessaan viimeisen iskun vihollisen tappamiseksi.</v>
      </c>
      <c r="C6592" s="9" t="s">
        <v>1344</v>
      </c>
    </row>
    <row r="6593" ht="33.75" customHeight="1">
      <c r="A6593" s="6" t="s">
        <v>9773</v>
      </c>
      <c r="B6593" s="6" t="str">
        <f>IFERROR(__xludf.DUMMYFUNCTION("GOOGLETRANSLATE(A6593,""en"",""fi"")"),"Yksi huuto tältä Pokémonilta, ja Murkrow'n murha lentää ohi. Sellaisina hetkinä voisi luulla yön verhon laskeutuneen ja upottaneen maailman pikimustaan ​​pimeyteen.")</f>
        <v>Yksi huuto tältä Pokémonilta, ja Murkrow'n murha lentää ohi. Sellaisina hetkinä voisi luulla yön verhon laskeutuneen ja upottaneen maailman pikimustaan ​​pimeyteen.</v>
      </c>
      <c r="C6593" s="9" t="s">
        <v>1344</v>
      </c>
    </row>
    <row r="6594" ht="33.75" customHeight="1">
      <c r="A6594" s="6" t="s">
        <v>9774</v>
      </c>
      <c r="B6594" s="6" t="str">
        <f>IFERROR(__xludf.DUMMYFUNCTION("GOOGLETRANSLATE(A6594,""en"",""fi"")"),"Se raapii, jos se on tyytymätön, ja kehrää, kun se on hellyydenkipeä. Sen oikukkuus on erittäin suosittua joidenkin keskuudessa.")</f>
        <v>Se raapii, jos se on tyytymätön, ja kehrää, kun se on hellyydenkipeä. Sen oikukkuus on erittäin suosittua joidenkin keskuudessa.</v>
      </c>
      <c r="C6594" s="9" t="s">
        <v>1344</v>
      </c>
    </row>
    <row r="6595" ht="33.75" customHeight="1">
      <c r="A6595" s="6" t="s">
        <v>9776</v>
      </c>
      <c r="B6595" s="6" t="str">
        <f>IFERROR(__xludf.DUMMYFUNCTION("GOOGLETRANSLATE(A6595,""en"",""fi"")"),"Terävällä tuijotuksellaan se saa viholliset lievästi hypnoottiseen tilaan. Se on hyvin oikukas Pokémon.")</f>
        <v>Terävällä tuijotuksellaan se saa viholliset lievästi hypnoottiseen tilaan. Se on hyvin oikukas Pokémon.</v>
      </c>
      <c r="C6595" s="9" t="s">
        <v>1344</v>
      </c>
    </row>
    <row r="6596" ht="33.75" customHeight="1">
      <c r="A6596" s="6" t="s">
        <v>9777</v>
      </c>
      <c r="B6596" s="6" t="str">
        <f>IFERROR(__xludf.DUMMYFUNCTION("GOOGLETRANSLATE(A6596,""en"",""fi"")"),"Se peittää ilkeän taipumuksensa työntää kyntensä kouluttajansa nenään, jos sitä ei ruokita.")</f>
        <v>Se peittää ilkeän taipumuksensa työntää kyntensä kouluttajansa nenään, jos sitä ei ruokita.</v>
      </c>
      <c r="C6596" s="9" t="s">
        <v>1344</v>
      </c>
    </row>
    <row r="6597" ht="33.75" customHeight="1">
      <c r="A6597" s="6" t="s">
        <v>9778</v>
      </c>
      <c r="B6597" s="6" t="str">
        <f>IFERROR(__xludf.DUMMYFUNCTION("GOOGLETRANSLATE(A6597,""en"",""fi"")"),"Kun se on onnellinen, GLAMEOW liikahtaa kauniisti häntäänsä kuin tanssivaa nauhaa.")</f>
        <v>Kun se on onnellinen, GLAMEOW liikahtaa kauniisti häntäänsä kuin tanssivaa nauhaa.</v>
      </c>
      <c r="C6597" s="9" t="s">
        <v>1344</v>
      </c>
    </row>
    <row r="6598" ht="33.75" customHeight="1">
      <c r="A6598" s="6" t="s">
        <v>9779</v>
      </c>
      <c r="B6598" s="6" t="str">
        <f>IFERROR(__xludf.DUMMYFUNCTION("GOOGLETRANSLATE(A6598,""en"",""fi"")"),"Kun se on onnellinen, Glameow liikauttaa häntäänsä kauniisti, kuin tanssivaa nauhaa.")</f>
        <v>Kun se on onnellinen, Glameow liikauttaa häntäänsä kauniisti, kuin tanssivaa nauhaa.</v>
      </c>
      <c r="C6598" s="9" t="s">
        <v>1344</v>
      </c>
    </row>
    <row r="6599" ht="33.75" customHeight="1">
      <c r="A6599" s="6" t="s">
        <v>9780</v>
      </c>
      <c r="B6599" s="6" t="str">
        <f>IFERROR(__xludf.DUMMYFUNCTION("GOOGLETRANSLATE(A6599,""en"",""fi"")"),"Lumoaa ihmiset kierteisellä hännällään ja lävistävällä katseellaan. Sen piilokynnet ovat myös melko terävät, mikä tekee tästä Pokémonista erittäin hankalan vastustajan, jos sitä vastustetaan.")</f>
        <v>Lumoaa ihmiset kierteisellä hännällään ja lävistävällä katseellaan. Sen piilokynnet ovat myös melko terävät, mikä tekee tästä Pokémonista erittäin hankalan vastustajan, jos sitä vastustetaan.</v>
      </c>
      <c r="C6599" s="9" t="s">
        <v>1344</v>
      </c>
    </row>
    <row r="6600" ht="33.75" customHeight="1">
      <c r="A6600" s="6" t="s">
        <v>9781</v>
      </c>
      <c r="B6600" s="6" t="str">
        <f>IFERROR(__xludf.DUMMYFUNCTION("GOOGLETRANSLATE(A6600,""en"",""fi"")"),"Se on röyhkeä peto, joka tunkeutuu toisen Pokémonin pesään ja väittää sen omakseen.")</f>
        <v>Se on röyhkeä peto, joka tunkeutuu toisen Pokémonin pesään ja väittää sen omakseen.</v>
      </c>
      <c r="C6600" s="9" t="s">
        <v>1344</v>
      </c>
    </row>
    <row r="6601" ht="33.75" customHeight="1">
      <c r="A6601" s="6" t="s">
        <v>9782</v>
      </c>
      <c r="B6601" s="6" t="str">
        <f>IFERROR(__xludf.DUMMYFUNCTION("GOOGLETRANSLATE(A6601,""en"",""fi"")"),"Jotta se näyttäisi pelottavan lihaksikkaalta, se puristaa tiukasti vyötäröään kaksoispyrstöillään.")</f>
        <v>Jotta se näyttäisi pelottavan lihaksikkaalta, se puristaa tiukasti vyötäröään kaksoispyrstöillään.</v>
      </c>
      <c r="C6601" s="9" t="s">
        <v>1344</v>
      </c>
    </row>
    <row r="6602" ht="33.75" customHeight="1">
      <c r="A6602" s="6" t="s">
        <v>9783</v>
      </c>
      <c r="B6602" s="6" t="str">
        <f>IFERROR(__xludf.DUMMYFUNCTION("GOOGLETRANSLATE(A6602,""en"",""fi"")"),"Se sitoo ruumiinsa hännällään näyttääkseen suuremmalta. Jos se lukitsee silmänsä, se tuijottaa lakkaamatta.")</f>
        <v>Se sitoo ruumiinsa hännällään näyttääkseen suuremmalta. Jos se lukitsee silmänsä, se tuijottaa lakkaamatta.</v>
      </c>
      <c r="C6602" s="9" t="s">
        <v>1344</v>
      </c>
    </row>
    <row r="6603" ht="33.75" customHeight="1">
      <c r="A6603" s="6" t="s">
        <v>9784</v>
      </c>
      <c r="B6603" s="6" t="str">
        <f>IFERROR(__xludf.DUMMYFUNCTION("GOOGLETRANSLATE(A6603,""en"",""fi"")"),"Se väittäisi toisen Pokémonin pesän omakseen, jos se löytäisi riittävän mukavan pesän.")</f>
        <v>Se väittäisi toisen Pokémonin pesän omakseen, jos se löytäisi riittävän mukavan pesän.</v>
      </c>
      <c r="C6603" s="9" t="s">
        <v>1344</v>
      </c>
    </row>
    <row r="6604" ht="33.75" customHeight="1">
      <c r="A6604" s="6" t="s">
        <v>9785</v>
      </c>
      <c r="B6604" s="6" t="str">
        <f>IFERROR(__xludf.DUMMYFUNCTION("GOOGLETRANSLATE(A6604,""en"",""fi"")"),"Vaikka Purugly on röyhkeä ja vaikeasti kesytettävä, se nauttii suurta suosiota turkkinsa ansiosta, jonka kauneus ylittää jopa samettisen kauneuden.")</f>
        <v>Vaikka Purugly on röyhkeä ja vaikeasti kesytettävä, se nauttii suurta suosiota turkkinsa ansiosta, jonka kauneus ylittää jopa samettisen kauneuden.</v>
      </c>
      <c r="C6604" s="9" t="s">
        <v>1344</v>
      </c>
    </row>
    <row r="6605" ht="33.75" customHeight="1">
      <c r="A6605" s="6" t="s">
        <v>9786</v>
      </c>
      <c r="B6605" s="6" t="str">
        <f>IFERROR(__xludf.DUMMYFUNCTION("GOOGLETRANSLATE(A6605,""en"",""fi"")"),"Se päästää huutoja liikuttamalla kurkkunsa takaosassa olevaa palloa. Se liikkuu lepattaen ja hyppien.")</f>
        <v>Se päästää huutoja liikuttamalla kurkkunsa takaosassa olevaa palloa. Se liikkuu lepattaen ja hyppien.</v>
      </c>
      <c r="C6605" s="9" t="s">
        <v>1344</v>
      </c>
    </row>
    <row r="6606" ht="33.75" customHeight="1">
      <c r="A6606" s="6" t="s">
        <v>9787</v>
      </c>
      <c r="B6606" s="6" t="str">
        <f>IFERROR(__xludf.DUMMYFUNCTION("GOOGLETRANSLATE(A6606,""en"",""fi"")"),"Joka kerta hypätessään se päästää soivan äänen. Se kuurouttaa viholliset päästämällä korkeataajuisia huutoja.")</f>
        <v>Joka kerta hypätessään se päästää soivan äänen. Se kuurouttaa viholliset päästämällä korkeataajuisia huutoja.</v>
      </c>
      <c r="C6606" s="9" t="s">
        <v>1344</v>
      </c>
    </row>
    <row r="6607" ht="33.75" customHeight="1">
      <c r="A6607" s="6" t="s">
        <v>9788</v>
      </c>
      <c r="B6607" s="6" t="str">
        <f>IFERROR(__xludf.DUMMYFUNCTION("GOOGLETRANSLATE(A6607,""en"",""fi"")"),"Sen suussa on pallo. Kun se hyppää, pallo pomppii ympäriinsä ja pitää soivan äänen.")</f>
        <v>Sen suussa on pallo. Kun se hyppää, pallo pomppii ympäriinsä ja pitää soivan äänen.</v>
      </c>
      <c r="C6607" s="9" t="s">
        <v>1344</v>
      </c>
    </row>
    <row r="6608" ht="33.75" customHeight="1">
      <c r="A6608" s="6" t="s">
        <v>9789</v>
      </c>
      <c r="B6608" s="6" t="str">
        <f>IFERROR(__xludf.DUMMYFUNCTION("GOOGLETRANSLATE(A6608,""en"",""fi"")"),"Se päästää korkeataajuisia huutoja, joita ihmiset eivät kuule. Kun se kerran alkaa, se voi itkeä todella pitkään.")</f>
        <v>Se päästää korkeataajuisia huutoja, joita ihmiset eivät kuule. Kun se kerran alkaa, se voi itkeä todella pitkään.</v>
      </c>
      <c r="C6608" s="9" t="s">
        <v>1344</v>
      </c>
    </row>
    <row r="6609" ht="33.75" customHeight="1">
      <c r="A6609" s="6" t="s">
        <v>9791</v>
      </c>
      <c r="B6609" s="6" t="str">
        <f>IFERROR(__xludf.DUMMYFUNCTION("GOOGLETRANSLATE(A6609,""en"",""fi"")"),"Tämä Pokémon aiheutti minulle sietämätöntä päänsärkyä, kun se näytti huutavan äänettömästi. Ehkä on olemassa ääniä, joita ihmiskorva ei yksinkertaisesti pysty kuulemaan.")</f>
        <v>Tämä Pokémon aiheutti minulle sietämätöntä päänsärkyä, kun se näytti huutavan äänettömästi. Ehkä on olemassa ääniä, joita ihmiskorva ei yksinkertaisesti pysty kuulemaan.</v>
      </c>
      <c r="C6609" s="9" t="s">
        <v>1344</v>
      </c>
    </row>
    <row r="6610" ht="33.75" customHeight="1">
      <c r="A6610" s="6" t="s">
        <v>9792</v>
      </c>
      <c r="B6610" s="6" t="str">
        <f>IFERROR(__xludf.DUMMYFUNCTION("GOOGLETRANSLATE(A6610,""en"",""fi"")"),"Se suojaa itseään suihkuttamalla myrkyllistä nestettä takapuoleltaan. Haju viipyy 24 tuntia.")</f>
        <v>Se suojaa itseään suihkuttamalla myrkyllistä nestettä takapuoleltaan. Haju viipyy 24 tuntia.</v>
      </c>
      <c r="C6610" s="9" t="s">
        <v>1344</v>
      </c>
    </row>
    <row r="6611" ht="33.75" customHeight="1">
      <c r="A6611" s="6" t="s">
        <v>9796</v>
      </c>
      <c r="B6611" s="6" t="str">
        <f>IFERROR(__xludf.DUMMYFUNCTION("GOOGLETRANSLATE(A6611,""en"",""fi"")"),"Se suihkuttaa takapuolestaan ​​nenää pyörittävää, haisevaa nestettä hyökkääjien torjumiseksi.")</f>
        <v>Se suihkuttaa takapuolestaan ​​nenää pyörittävää, haisevaa nestettä hyökkääjien torjumiseksi.</v>
      </c>
      <c r="C6611" s="9" t="s">
        <v>1344</v>
      </c>
    </row>
    <row r="6612" ht="33.75" customHeight="1">
      <c r="A6612" s="6" t="s">
        <v>9798</v>
      </c>
      <c r="B6612" s="6" t="str">
        <f>IFERROR(__xludf.DUMMYFUNCTION("GOOGLETRANSLATE(A6612,""en"",""fi"")"),"Se suihkuttaa takapuolestaan ​​ilkeää nestettä. Sen löyhkä leviää kilometrin säteelle ajaen Pokémonit pois.")</f>
        <v>Se suihkuttaa takapuolestaan ​​ilkeää nestettä. Sen löyhkä leviää kilometrin säteelle ajaen Pokémonit pois.</v>
      </c>
      <c r="C6612" s="9" t="s">
        <v>1344</v>
      </c>
    </row>
    <row r="6613" ht="33.75" customHeight="1">
      <c r="A6613" s="6" t="s">
        <v>9800</v>
      </c>
      <c r="B6613" s="6" t="str">
        <f>IFERROR(__xludf.DUMMYFUNCTION("GOOGLETRANSLATE(A6613,""en"",""fi"")"),"Sen takaosasta tuleva likainen neste on niin vastenmielistä, että se voi aiheuttaa pahoinvointia jopa puolentoista kilometrin päässä.")</f>
        <v>Sen takaosasta tuleva likainen neste on niin vastenmielistä, että se voi aiheuttaa pahoinvointia jopa puolentoista kilometrin päässä.</v>
      </c>
      <c r="C6613" s="9" t="s">
        <v>1344</v>
      </c>
    </row>
    <row r="6614" ht="33.75" customHeight="1">
      <c r="A6614" s="6" t="s">
        <v>9802</v>
      </c>
      <c r="B6614" s="6" t="str">
        <f>IFERROR(__xludf.DUMMYFUNCTION("GOOGLETRANSLATE(A6614,""en"",""fi"")"),"Se suihkuttaa takaapäin pahanhajuista nestettä vastustajiin. Se tähtää heidän kasvoihinsa ja voi osua heihin yli 5 metrin etäisyydeltä.")</f>
        <v>Se suihkuttaa takaapäin pahanhajuista nestettä vastustajiin. Se tähtää heidän kasvoihinsa ja voi osua heihin yli 5 metrin etäisyydeltä.</v>
      </c>
      <c r="C6614" s="9" t="s">
        <v>1344</v>
      </c>
    </row>
    <row r="6615" ht="33.75" customHeight="1">
      <c r="A6615" s="6" t="s">
        <v>9803</v>
      </c>
      <c r="B6615" s="6" t="str">
        <f>IFERROR(__xludf.DUMMYFUNCTION("GOOGLETRANSLATE(A6615,""en"",""fi"")"),"Jos se nostaa häntäänsä ja osoittaa takaosansa sinua kohti, ole varovainen. Se on suihkuttamassa sinuun nestettä, joka on niin haiseva, että pyörryt.")</f>
        <v>Jos se nostaa häntäänsä ja osoittaa takaosansa sinua kohti, ole varovainen. Se on suihkuttamassa sinuun nestettä, joka on niin haiseva, että pyörryt.</v>
      </c>
      <c r="C6615" s="9" t="s">
        <v>1344</v>
      </c>
    </row>
    <row r="6616" ht="33.75" customHeight="1">
      <c r="A6616" s="6" t="s">
        <v>9805</v>
      </c>
      <c r="B6616" s="6" t="str">
        <f>IFERROR(__xludf.DUMMYFUNCTION("GOOGLETRANSLATE(A6616,""en"",""fi"")"),"Sen peräpäästä pursuavaan myrkkyyn liittyy niin voimakas, että yksikin haihtelu voi aiheuttaa muistinmenetyksen.")</f>
        <v>Sen peräpäästä pursuavaan myrkkyyn liittyy niin voimakas, että yksikin haihtelu voi aiheuttaa muistinmenetyksen.</v>
      </c>
      <c r="C6616" s="9" t="s">
        <v>1344</v>
      </c>
    </row>
    <row r="6617" ht="33.75" customHeight="1">
      <c r="A6617" s="6" t="s">
        <v>9808</v>
      </c>
      <c r="B6617" s="6" t="str">
        <f>IFERROR(__xludf.DUMMYFUNCTION("GOOGLETRANSLATE(A6617,""en"",""fi"")"),"Se suihkuttaa pahanhajuista nestettä pyrstönsä päästä hyökätäkseen. Sen kantama on yli 50 metriä.")</f>
        <v>Se suihkuttaa pahanhajuista nestettä pyrstönsä päästä hyökätäkseen. Sen kantama on yli 50 metriä.</v>
      </c>
      <c r="C6617" s="9" t="s">
        <v>1344</v>
      </c>
    </row>
    <row r="6618" ht="33.75" customHeight="1">
      <c r="A6618" s="6" t="s">
        <v>9809</v>
      </c>
      <c r="B6618" s="6" t="str">
        <f>IFERROR(__xludf.DUMMYFUNCTION("GOOGLETRANSLATE(A6618,""en"",""fi"")"),"Se suihkuttaa pyrstöstään pahanhajuista nestettä. Neste haisee pahemmalle mitä kauemmin sen annetaan mädätä.")</f>
        <v>Se suihkuttaa pyrstöstään pahanhajuista nestettä. Neste haisee pahemmalle mitä kauemmin sen annetaan mädätä.</v>
      </c>
      <c r="C6618" s="9" t="s">
        <v>1344</v>
      </c>
    </row>
    <row r="6619" ht="33.75" customHeight="1">
      <c r="A6619" s="6" t="s">
        <v>9810</v>
      </c>
      <c r="B6619" s="6" t="str">
        <f>IFERROR(__xludf.DUMMYFUNCTION("GOOGLETRANSLATE(A6619,""en"",""fi"")"),"Se hyökkää suihkuttamalla kamalan haisevaa nestettä pyrstönsä päästä. Ylhäältä tulevat hyökkäykset hämmentävät sitä.")</f>
        <v>Se hyökkää suihkuttamalla kamalan haisevaa nestettä pyrstönsä päästä. Ylhäältä tulevat hyökkäykset hämmentävät sitä.</v>
      </c>
      <c r="C6619" s="9" t="s">
        <v>1344</v>
      </c>
    </row>
    <row r="6620" ht="33.75" customHeight="1">
      <c r="A6620" s="6" t="s">
        <v>9812</v>
      </c>
      <c r="B6620" s="6" t="str">
        <f>IFERROR(__xludf.DUMMYFUNCTION("GOOGLETRANSLATE(A6620,""en"",""fi"")"),"Se hyökkää suihkuttamalla vastenmielistä nestettä pyrstöstään, mutta löyhkä laimenee muutaman suihkauksen jälkeen.")</f>
        <v>Se hyökkää suihkuttamalla vastenmielistä nestettä pyrstöstään, mutta löyhkä laimenee muutaman suihkauksen jälkeen.</v>
      </c>
      <c r="C6620" s="9" t="s">
        <v>1344</v>
      </c>
    </row>
    <row r="6621" ht="33.75" customHeight="1">
      <c r="A6621" s="6" t="s">
        <v>9813</v>
      </c>
      <c r="B6621" s="6" t="str">
        <f>IFERROR(__xludf.DUMMYFUNCTION("GOOGLETRANSLATE(A6621,""en"",""fi"")"),"Vatsassaan se varastoi haisevaa nestettä, jota se ampuu hännästään taistelun aikana. Koska tämän Pokémonin ruokavalio vaihtelee, myös sen nesteen haju vaihtelee.")</f>
        <v>Vatsassaan se varastoi haisevaa nestettä, jota se ampuu hännästään taistelun aikana. Koska tämän Pokémonin ruokavalio vaihtelee, myös sen nesteen haju vaihtelee.</v>
      </c>
      <c r="C6621" s="9" t="s">
        <v>1344</v>
      </c>
    </row>
    <row r="6622" ht="33.75" customHeight="1">
      <c r="A6622" s="6" t="s">
        <v>9814</v>
      </c>
      <c r="B6622" s="6" t="str">
        <f>IFERROR(__xludf.DUMMYFUNCTION("GOOGLETRANSLATE(A6622,""en"",""fi"")"),"Se kaivaa kuoppia maahan pesäkseen. Sen pyrstönsä päästä lentävän nesteen löyhkä on erittäin voimakas.")</f>
        <v>Se kaivaa kuoppia maahan pesäkseen. Sen pyrstönsä päästä lentävän nesteen löyhkä on erittäin voimakas.</v>
      </c>
      <c r="C6622" s="9" t="s">
        <v>1344</v>
      </c>
    </row>
    <row r="6623" ht="33.75" customHeight="1">
      <c r="A6623" s="6" t="s">
        <v>9815</v>
      </c>
      <c r="B6623" s="6" t="str">
        <f>IFERROR(__xludf.DUMMYFUNCTION("GOOGLETRANSLATE(A6623,""en"",""fi"")"),"Suihkuttaa myrkyllistä nestettä saaliinsa kaatamiseksi. Joskus se ei kestä oman nesteensä hajua ja jättää voitetun saaliin syömättä.")</f>
        <v>Suihkuttaa myrkyllistä nestettä saaliinsa kaatamiseksi. Joskus se ei kestä oman nesteensä hajua ja jättää voitetun saaliin syömättä.</v>
      </c>
      <c r="C6623" s="9" t="s">
        <v>1344</v>
      </c>
    </row>
    <row r="6624" ht="33.75" customHeight="1">
      <c r="A6624" s="6" t="s">
        <v>9816</v>
      </c>
      <c r="B6624" s="6" t="str">
        <f>IFERROR(__xludf.DUMMYFUNCTION("GOOGLETRANSLATE(A6624,""en"",""fi"")"),"Sen muotoisia työvälineitä löydettiin muinaisista haudoista. Ei tiedetä, ovatko ne sukua toisilleen.")</f>
        <v>Sen muotoisia työvälineitä löydettiin muinaisista haudoista. Ei tiedetä, ovatko ne sukua toisilleen.</v>
      </c>
      <c r="C6624" s="9" t="s">
        <v>1344</v>
      </c>
    </row>
    <row r="6625" ht="33.75" customHeight="1">
      <c r="A6625" s="6" t="s">
        <v>9818</v>
      </c>
      <c r="B6625" s="6" t="str">
        <f>IFERROR(__xludf.DUMMYFUNCTION("GOOGLETRANSLATE(A6625,""en"",""fi"")"),"Röntgenkuvat otettiin sen ruumiinrakenteen tarkistamiseksi, mutta mitään ei kuitenkaan näkynyt.")</f>
        <v>Röntgenkuvat otettiin sen ruumiinrakenteen tarkistamiseksi, mutta mitään ei kuitenkaan näkynyt.</v>
      </c>
      <c r="C6625" s="9" t="s">
        <v>1344</v>
      </c>
    </row>
    <row r="6626" ht="33.75" customHeight="1">
      <c r="A6626" s="6" t="s">
        <v>9821</v>
      </c>
      <c r="B6626" s="6" t="str">
        <f>IFERROR(__xludf.DUMMYFUNCTION("GOOGLETRANSLATE(A6626,""en"",""fi"")"),"Jotkut tutkijat uskovat tämän Pokémonin heijastuvan peilin lailla kaukaiseen menneisyyteen.")</f>
        <v>Jotkut tutkijat uskovat tämän Pokémonin heijastuvan peilin lailla kaukaiseen menneisyyteen.</v>
      </c>
      <c r="C6626" s="9" t="s">
        <v>1344</v>
      </c>
    </row>
    <row r="6627" ht="33.75" customHeight="1">
      <c r="A6627" s="6" t="s">
        <v>9824</v>
      </c>
      <c r="B6627" s="6" t="str">
        <f>IFERROR(__xludf.DUMMYFUNCTION("GOOGLETRANSLATE(A6627,""en"",""fi"")"),"Muinaiset ihmiset uskoivat, että BRONZORin selässä oleva kuvio sisälsi salaperäisen voiman.")</f>
        <v>Muinaiset ihmiset uskoivat, että BRONZORin selässä oleva kuvio sisälsi salaperäisen voiman.</v>
      </c>
      <c r="C6627" s="9" t="s">
        <v>1344</v>
      </c>
    </row>
    <row r="6628" ht="33.75" customHeight="1">
      <c r="A6628" s="6" t="s">
        <v>9826</v>
      </c>
      <c r="B6628" s="6" t="str">
        <f>IFERROR(__xludf.DUMMYFUNCTION("GOOGLETRANSLATE(A6628,""en"",""fi"")"),"Niitä löytyy muinaisista haudoista. Niiden selissä olevien kuvioiden sanotaan olevan täynnä salaperäistä voimaa.")</f>
        <v>Niitä löytyy muinaisista haudoista. Niiden selissä olevien kuvioiden sanotaan olevan täynnä salaperäistä voimaa.</v>
      </c>
      <c r="C6628" s="9" t="s">
        <v>1344</v>
      </c>
    </row>
    <row r="6629" ht="33.75" customHeight="1">
      <c r="A6629" s="6" t="s">
        <v>9828</v>
      </c>
      <c r="B6629" s="6" t="str">
        <f>IFERROR(__xludf.DUMMYFUNCTION("GOOGLETRANSLATE(A6629,""en"",""fi"")"),"Muinaiset ihmiset uskoivat, että Bronzorin selässä oleva kuvio sisälsi salaperäisen voiman.")</f>
        <v>Muinaiset ihmiset uskoivat, että Bronzorin selässä oleva kuvio sisälsi salaperäisen voiman.</v>
      </c>
      <c r="C6629" s="9" t="s">
        <v>1344</v>
      </c>
    </row>
    <row r="6630" ht="33.75" customHeight="1">
      <c r="A6630" s="6" t="s">
        <v>9829</v>
      </c>
      <c r="B6630" s="6" t="str">
        <f>IFERROR(__xludf.DUMMYFUNCTION("GOOGLETRANSLATE(A6630,""en"",""fi"")"),"Se esiintyy muinaisissa raunioissa. Sen kehon kuvio ei ole peräisin mistään Galarin alueen kulttuurista, joten se on edelleen hämärän peitossa.")</f>
        <v>Se esiintyy muinaisissa raunioissa. Sen kehon kuvio ei ole peräisin mistään Galarin alueen kulttuurista, joten se on edelleen hämärän peitossa.</v>
      </c>
      <c r="C6630" s="9" t="s">
        <v>1344</v>
      </c>
    </row>
    <row r="6631" ht="33.75" customHeight="1">
      <c r="A6631" s="6" t="s">
        <v>9831</v>
      </c>
      <c r="B6631" s="6" t="str">
        <f>IFERROR(__xludf.DUMMYFUNCTION("GOOGLETRANSLATE(A6631,""en"",""fi"")"),"Yleisen perimysjärjen mukaan Bronzorin kiillottaminen saa sen pinnan heijastamaan totuutta. Oli miten oli, Bronzor vihaa kiillotusta.")</f>
        <v>Yleisen perimysjärjen mukaan Bronzorin kiillottaminen saa sen pinnan heijastamaan totuutta. Oli miten oli, Bronzor vihaa kiillotusta.</v>
      </c>
      <c r="C6631" s="9" t="s">
        <v>1344</v>
      </c>
    </row>
    <row r="6632" ht="33.75" customHeight="1">
      <c r="A6632" s="6" t="s">
        <v>9832</v>
      </c>
      <c r="B6632" s="6" t="str">
        <f>IFERROR(__xludf.DUMMYFUNCTION("GOOGLETRANSLATE(A6632,""en"",""fi"")"),"Kelluu salaperäisen energian avulla. Sen selkään kaiverrettua kuviota pidetään pyhänä, ja sitä voi joskus löytää muinaisten hautausmaiden ja muiden vastaavien ajan kuluttamien paikkojen kuvastoista.")</f>
        <v>Kelluu salaperäisen energian avulla. Sen selkään kaiverrettua kuviota pidetään pyhänä, ja sitä voi joskus löytää muinaisten hautausmaiden ja muiden vastaavien ajan kuluttamien paikkojen kuvastoista.</v>
      </c>
      <c r="C6632" s="9" t="s">
        <v>1344</v>
      </c>
    </row>
    <row r="6633" ht="33.75" customHeight="1">
      <c r="A6633" s="6" t="s">
        <v>9834</v>
      </c>
      <c r="B6633" s="6" t="str">
        <f>IFERROR(__xludf.DUMMYFUNCTION("GOOGLETRANSLATE(A6633,""en"",""fi"")"),"Yksi niistä aiheutti uutisensaation, kun se kaivettiin esiin rakennustyömaalta 2 000 vuoden unen jälkeen.")</f>
        <v>Yksi niistä aiheutti uutisensaation, kun se kaivettiin esiin rakennustyömaalta 2 000 vuoden unen jälkeen.</v>
      </c>
      <c r="C6633" s="9" t="s">
        <v>1344</v>
      </c>
    </row>
    <row r="6634" ht="33.75" customHeight="1">
      <c r="A6634" s="6" t="s">
        <v>9835</v>
      </c>
      <c r="B6634" s="6" t="str">
        <f>IFERROR(__xludf.DUMMYFUNCTION("GOOGLETRANSLATE(A6634,""en"",""fi"")"),"Se voi kutsua esiin sadepilviä. Ihmiset kunnioittivat sitä kauan sitten runsaan sadon tuojana.")</f>
        <v>Se voi kutsua esiin sadepilviä. Ihmiset kunnioittivat sitä kauan sitten runsaan sadon tuojana.</v>
      </c>
      <c r="C6634" s="9" t="s">
        <v>1344</v>
      </c>
    </row>
    <row r="6635" ht="33.75" customHeight="1">
      <c r="A6635" s="6" t="s">
        <v>9836</v>
      </c>
      <c r="B6635" s="6" t="str">
        <f>IFERROR(__xludf.DUMMYFUNCTION("GOOGLETRANSLATE(A6635,""en"",""fi"")"),"Se toi sateita avaamalla portaaleja toiseen maailmaan. Sitä kunnioitettiin runsaan sadon tuojana.")</f>
        <v>Se toi sateita avaamalla portaaleja toiseen maailmaan. Sitä kunnioitettiin runsaan sadon tuojana.</v>
      </c>
      <c r="C6635" s="9" t="s">
        <v>1344</v>
      </c>
    </row>
    <row r="6636" ht="33.75" customHeight="1">
      <c r="A6636" s="6" t="s">
        <v>9838</v>
      </c>
      <c r="B6636" s="6" t="str">
        <f>IFERROR(__xludf.DUMMYFUNCTION("GOOGLETRANSLATE(A6636,""en"",""fi"")"),"Muinaiset ihmiset uskoivat, että sadon kasvattaminen pyydettiin anomaan BRONZONGILTA sadetta.")</f>
        <v>Muinaiset ihmiset uskoivat, että sadon kasvattaminen pyydettiin anomaan BRONZONGILTA sadetta.</v>
      </c>
      <c r="C6636" s="9" t="s">
        <v>1344</v>
      </c>
    </row>
    <row r="6637" ht="33.75" customHeight="1">
      <c r="A6637" s="6" t="s">
        <v>9839</v>
      </c>
      <c r="B6637" s="6" t="str">
        <f>IFERROR(__xludf.DUMMYFUNCTION("GOOGLETRANSLATE(A6637,""en"",""fi"")"),"Menneinä aikoina tätä Pokémonia palvottiin sateen tuojana. Se löydettiin haudattuna maahan.")</f>
        <v>Menneinä aikoina tätä Pokémonia palvottiin sateen tuojana. Se löydettiin haudattuna maahan.</v>
      </c>
      <c r="C6637" s="9" t="s">
        <v>1344</v>
      </c>
    </row>
    <row r="6638" ht="33.75" customHeight="1">
      <c r="A6638" s="6" t="s">
        <v>9840</v>
      </c>
      <c r="B6638" s="6" t="str">
        <f>IFERROR(__xludf.DUMMYFUNCTION("GOOGLETRANSLATE(A6638,""en"",""fi"")"),"Muinaiset ihmiset uskoivat, että sadon kasvattaminen anomalla Bronzongilta sadetta oli tapa.")</f>
        <v>Muinaiset ihmiset uskoivat, että sadon kasvattaminen anomalla Bronzongilta sadetta oli tapa.</v>
      </c>
      <c r="C6638" s="9" t="s">
        <v>1344</v>
      </c>
    </row>
    <row r="6639" ht="33.75" customHeight="1">
      <c r="A6639" s="6" t="s">
        <v>9841</v>
      </c>
      <c r="B6639" s="6" t="str">
        <f>IFERROR(__xludf.DUMMYFUNCTION("GOOGLETRANSLATE(A6639,""en"",""fi"")"),"Jotkut uskovat sen olevan jumaluus, joka kutsuu esiin sadepilviä. Vihastuttuaan se päästää varoitushuudon, joka soi kuin kellojen kumina.")</f>
        <v>Jotkut uskovat sen olevan jumaluus, joka kutsuu esiin sadepilviä. Vihastuttuaan se päästää varoitushuudon, joka soi kuin kellojen kumina.</v>
      </c>
      <c r="C6639" s="9" t="s">
        <v>1344</v>
      </c>
    </row>
    <row r="6640" ht="33.75" customHeight="1">
      <c r="A6640" s="6" t="s">
        <v>9842</v>
      </c>
      <c r="B6640" s="6" t="str">
        <f>IFERROR(__xludf.DUMMYFUNCTION("GOOGLETRANSLATE(A6640,""en"",""fi"")"),"Monet tiedemiehet epäilevät, että tämä Pokémon on peräisin Galarin alueen ulkopuolelta, sen kehon kuvioiden perusteella.")</f>
        <v>Monet tiedemiehet epäilevät, että tämä Pokémon on peräisin Galarin alueen ulkopuolelta, sen kehon kuvioiden perusteella.</v>
      </c>
      <c r="C6640" s="9" t="s">
        <v>1344</v>
      </c>
    </row>
    <row r="6641" ht="33.75" customHeight="1">
      <c r="A6641" s="6" t="s">
        <v>9843</v>
      </c>
      <c r="B6641" s="6" t="str">
        <f>IFERROR(__xludf.DUMMYFUNCTION("GOOGLETRANSLATE(A6641,""en"",""fi"")"),"Jotkut uskovat, että sen kellomainen huuto avaa reikiä toiseen maailmaan. Sitä on palvottu jumaluutena muinaisista ajoista lähtien.")</f>
        <v>Jotkut uskovat, että sen kellomainen huuto avaa reikiä toiseen maailmaan. Sitä on palvottu jumaluutena muinaisista ajoista lähtien.</v>
      </c>
      <c r="C6641" s="9" t="s">
        <v>1344</v>
      </c>
    </row>
    <row r="6642" ht="33.75" customHeight="1">
      <c r="A6642" s="6" t="s">
        <v>9844</v>
      </c>
      <c r="B6642" s="6" t="str">
        <f>IFERROR(__xludf.DUMMYFUNCTION("GOOGLETRANSLATE(A6642,""en"",""fi"")"),"Se näyttää siltä kuin se itkisi jatkuvasti. Se itse asiassa tasapainottaa kehonsa nestetasapainoa poistamalla ylimääräistä nestettä.")</f>
        <v>Se näyttää siltä kuin se itkisi jatkuvasti. Se itse asiassa tasapainottaa kehonsa nestetasapainoa poistamalla ylimääräistä nestettä.</v>
      </c>
      <c r="C6642" s="9" t="s">
        <v>1344</v>
      </c>
    </row>
    <row r="6643" ht="33.75" customHeight="1">
      <c r="A6643" s="6" t="s">
        <v>9845</v>
      </c>
      <c r="B6643" s="6" t="str">
        <f>IFERROR(__xludf.DUMMYFUNCTION("GOOGLETRANSLATE(A6643,""en"",""fi"")"),"Se viihtyy kuivissa ympäristöissä. Se vuotaa vettä silmistään tasapainottaakseen kehonsa nestetasapainoa.")</f>
        <v>Se viihtyy kuivissa ympäristöissä. Se vuotaa vettä silmistään tasapainottaakseen kehonsa nestetasapainoa.</v>
      </c>
      <c r="C6643" s="9" t="s">
        <v>1344</v>
      </c>
    </row>
    <row r="6644" ht="33.75" customHeight="1">
      <c r="A6644" s="6" t="s">
        <v>9848</v>
      </c>
      <c r="B6644" s="6" t="str">
        <f>IFERROR(__xludf.DUMMYFUNCTION("GOOGLETRANSLATE(A6644,""en"",""fi"")"),"Se viihtyy kuivassa ympäristössä. Se vuotaa kyynelten kaltaista vettä säädellessään kosteustasoaan.")</f>
        <v>Se viihtyy kuivassa ympäristössä. Se vuotaa kyynelten kaltaista vettä säädellessään kosteustasoaan.</v>
      </c>
      <c r="C6644" s="9" t="s">
        <v>1344</v>
      </c>
    </row>
    <row r="6645" ht="33.75" customHeight="1">
      <c r="A6645" s="6" t="s">
        <v>9849</v>
      </c>
      <c r="B6645" s="6" t="str">
        <f>IFERROR(__xludf.DUMMYFUNCTION("GOOGLETRANSLATE(A6645,""en"",""fi"")"),"Säädelläkseen kehonsa nesteiden määrää se vuotaa vettä silmistään. Tämä saa sen näyttämään itkevältä.")</f>
        <v>Säädelläkseen kehonsa nesteiden määrää se vuotaa vettä silmistään. Tämä saa sen näyttämään itkevältä.</v>
      </c>
      <c r="C6645" s="9" t="s">
        <v>1344</v>
      </c>
    </row>
    <row r="6646" ht="33.75" customHeight="1">
      <c r="A6646" s="6" t="s">
        <v>9853</v>
      </c>
      <c r="B6646" s="6" t="str">
        <f>IFERROR(__xludf.DUMMYFUNCTION("GOOGLETRANSLATE(A6646,""en"",""fi"")"),"Se ei viihdy hyvin vedessä, joten se elää kuivilla paikoilla. Koska sen ympäristössä on usein vähän vehreyttä, se erottuu selvästi joukosta.")</f>
        <v>Se ei viihdy hyvin vedessä, joten se elää kuivilla paikoilla. Koska sen ympäristössä on usein vähän vehreyttä, se erottuu selvästi joukosta.</v>
      </c>
      <c r="C6646" s="9" t="s">
        <v>1344</v>
      </c>
    </row>
    <row r="6647" ht="33.75" customHeight="1">
      <c r="A6647" s="6" t="s">
        <v>9855</v>
      </c>
      <c r="B6647" s="6" t="str">
        <f>IFERROR(__xludf.DUMMYFUNCTION("GOOGLETRANSLATE(A6647,""en"",""fi"")"),"Silmistään se voi poistaa ylimääräistä kosteutta kehostaan. Tämä neste on koostumukseltaan samanlaista kuin ihmisen hiki.")</f>
        <v>Silmistään se voi poistaa ylimääräistä kosteutta kehostaan. Tämä neste on koostumukseltaan samanlaista kuin ihmisen hiki.</v>
      </c>
      <c r="C6647" s="9" t="s">
        <v>1344</v>
      </c>
    </row>
    <row r="6648" ht="33.75" customHeight="1">
      <c r="A6648" s="6" t="s">
        <v>9858</v>
      </c>
      <c r="B6648" s="6" t="str">
        <f>IFERROR(__xludf.DUMMYFUNCTION("GOOGLETRANSLATE(A6648,""en"",""fi"")"),"Se vuotaa kosteutta silmistään, jolloin se näyttää itkevältä – ilmeisesti tehokas tapa saada viholliset laskemaan vartiotaan.")</f>
        <v>Se vuotaa kosteutta silmistään, jolloin se näyttää itkevältä – ilmeisesti tehokas tapa saada viholliset laskemaan vartiotaan.</v>
      </c>
      <c r="C6648" s="9" t="s">
        <v>1344</v>
      </c>
    </row>
    <row r="6649" ht="33.75" customHeight="1">
      <c r="A6649" s="6" t="s">
        <v>9859</v>
      </c>
      <c r="B6649" s="6" t="str">
        <f>IFERROR(__xludf.DUMMYFUNCTION("GOOGLETRANSLATE(A6649,""en"",""fi"")"),"Jos sen ruumis kastuu liikaa, se kuolee. Niinpä sen silmät poistavat kosteutta hikoilua muistuttavassa prosessissa.")</f>
        <v>Jos sen ruumis kastuu liikaa, se kuolee. Niinpä sen silmät poistavat kosteutta hikoilua muistuttavassa prosessissa.</v>
      </c>
      <c r="C6649" s="9" t="s">
        <v>1344</v>
      </c>
    </row>
    <row r="6650" ht="33.75" customHeight="1">
      <c r="A6650" s="6" t="s">
        <v>9861</v>
      </c>
      <c r="B6650" s="6" t="str">
        <f>IFERROR(__xludf.DUMMYFUNCTION("GOOGLETRANSLATE(A6650,""en"",""fi"")"),"Se työntää silmistään sekä hikeä että kyyneleitä. Hiki on hieman suolaista, kun taas kyyneleet ovat hieman kitkeriä.")</f>
        <v>Se työntää silmistään sekä hikeä että kyyneleitä. Hiki on hieman suolaista, kun taas kyyneleet ovat hieman kitkeriä.</v>
      </c>
      <c r="C6650" s="9" t="s">
        <v>1344</v>
      </c>
    </row>
    <row r="6651" ht="33.75" customHeight="1">
      <c r="A6651" s="6" t="s">
        <v>9863</v>
      </c>
      <c r="B6651" s="6" t="str">
        <f>IFERROR(__xludf.DUMMYFUNCTION("GOOGLETRANSLATE(A6651,""en"",""fi"")"),"Tämä Pokémon elää kuivilla, kivisillä alueilla. Kun sen vihreät pallot kuivuvat, niiden himmeä kiilto lisääntyy.")</f>
        <v>Tämä Pokémon elää kuivilla, kivisillä alueilla. Kun sen vihreät pallot kuivuvat, niiden himmeä kiilto lisääntyy.</v>
      </c>
      <c r="C6651" s="9" t="s">
        <v>1344</v>
      </c>
    </row>
    <row r="6652" ht="33.75" customHeight="1">
      <c r="A6652" s="6" t="s">
        <v>9864</v>
      </c>
      <c r="B6652" s="6" t="str">
        <f>IFERROR(__xludf.DUMMYFUNCTION("GOOGLETRANSLATE(A6652,""en"",""fi"")"),"Sen kyyneleet herättävät myötätuntoa niissä, jotka ne näkevät, mutta älkää antako itsenne hämätä itseänne! Tämä kehon nesteen poistuminen on vain fysiologinen mekanismi, jolla se pitää itsensä terveenä.")</f>
        <v>Sen kyyneleet herättävät myötätuntoa niissä, jotka ne näkevät, mutta älkää antako itsenne hämätä itseänne! Tämä kehon nesteen poistuminen on vain fysiologinen mekanismi, jolla se pitää itsensä terveenä.</v>
      </c>
      <c r="C6652" s="9" t="s">
        <v>1344</v>
      </c>
    </row>
    <row r="6653" ht="33.75" customHeight="1">
      <c r="A6653" s="6" t="s">
        <v>9866</v>
      </c>
      <c r="B6653" s="6" t="str">
        <f>IFERROR(__xludf.DUMMYFUNCTION("GOOGLETRANSLATE(A6653,""en"",""fi"")"),"Se matkii vihollisia tavallisesti. Kun matkimista on tehty, vihollinen ei voi irrottaa katsettaan tästä Pokémonista.")</f>
        <v>Se matkii vihollisia tavallisesti. Kun matkimista on tehty, vihollinen ei voi irrottaa katsettaan tästä Pokémonista.</v>
      </c>
      <c r="C6653" s="9" t="s">
        <v>1344</v>
      </c>
    </row>
    <row r="6654" ht="33.75" customHeight="1">
      <c r="A6654" s="6" t="s">
        <v>9867</v>
      </c>
      <c r="B6654" s="6" t="str">
        <f>IFERROR(__xludf.DUMMYFUNCTION("GOOGLETRANSLATE(A6654,""en"",""fi"")"),"Se pitää paikoista, joissa ihmiset kokoontuvat. Se matkii vihollisia hämmentääkseen heitä ja pakenee sitten.")</f>
        <v>Se pitää paikoista, joissa ihmiset kokoontuvat. Se matkii vihollisia hämmentääkseen heitä ja pakenee sitten.</v>
      </c>
      <c r="C6654" s="9" t="s">
        <v>1344</v>
      </c>
    </row>
    <row r="6655" ht="33.75" customHeight="1">
      <c r="A6655" s="6" t="s">
        <v>9869</v>
      </c>
      <c r="B6655" s="6" t="str">
        <f>IFERROR(__xludf.DUMMYFUNCTION("GOOGLETRANSLATE(A6655,""en"",""fi"")"),"Se matkii näkemiensä ihmisten ilmeitä ja liikkeitä ymmärtääkseen muiden tunteita.")</f>
        <v>Se matkii näkemiensä ihmisten ilmeitä ja liikkeitä ymmärtääkseen muiden tunteita.</v>
      </c>
      <c r="C6655" s="9" t="s">
        <v>1344</v>
      </c>
    </row>
    <row r="6656" ht="33.75" customHeight="1">
      <c r="A6656" s="6" t="s">
        <v>9871</v>
      </c>
      <c r="B6656" s="6" t="str">
        <f>IFERROR(__xludf.DUMMYFUNCTION("GOOGLETRANSLATE(A6656,""en"",""fi"")"),"Yrittäessään hämmentää vihollistaan ​​se matkii tämän liikkeitä. Sitten se ei tuhlaa aikaa itsensä harventamiseen!")</f>
        <v>Yrittäessään hämmentää vihollistaan ​​se matkii tämän liikkeitä. Sitten se ei tuhlaa aikaa itsensä harventamiseen!</v>
      </c>
      <c r="C6656" s="9" t="s">
        <v>1344</v>
      </c>
    </row>
    <row r="6657" ht="33.75" customHeight="1">
      <c r="A6657" s="6" t="s">
        <v>9872</v>
      </c>
      <c r="B6657" s="6" t="str">
        <f>IFERROR(__xludf.DUMMYFUNCTION("GOOGLETRANSLATE(A6657,""en"",""fi"")"),"Se tekee parhaansa matkiakseen vastustajiensa liikkeitä ja ilmeitä, mutta se ei vieläkään ole siinä kovin hyvä.")</f>
        <v>Se tekee parhaansa matkiakseen vastustajiensa liikkeitä ja ilmeitä, mutta se ei vieläkään ole siinä kovin hyvä.</v>
      </c>
      <c r="C6657" s="9" t="s">
        <v>1344</v>
      </c>
    </row>
    <row r="6658" ht="33.75" customHeight="1">
      <c r="A6658" s="6" t="s">
        <v>9873</v>
      </c>
      <c r="B6658" s="6" t="str">
        <f>IFERROR(__xludf.DUMMYFUNCTION("GOOGLETRANSLATE(A6658,""en"",""fi"")"),"Kun tämä lahjakas matkija yllättää vastustajan, Mime Jr. on niin iloinen, että se lopulta unohtaa matkineensa jotakin.")</f>
        <v>Kun tämä lahjakas matkija yllättää vastustajan, Mime Jr. on niin iloinen, että se lopulta unohtaa matkineensa jotakin.</v>
      </c>
      <c r="C6658" s="9" t="s">
        <v>1344</v>
      </c>
    </row>
    <row r="6659" ht="33.75" customHeight="1">
      <c r="A6659" s="6" t="s">
        <v>9874</v>
      </c>
      <c r="B6659" s="6" t="str">
        <f>IFERROR(__xludf.DUMMYFUNCTION("GOOGLETRANSLATE(A6659,""en"",""fi"")"),"Se matkii kaikkia näkemiään, mutta harjoittelee erityisesti herra Rimen sulavien tanssiaskeleiden kopioimista.")</f>
        <v>Se matkii kaikkia näkemiään, mutta harjoittelee erityisesti herra Rimen sulavien tanssiaskeleiden kopioimista.</v>
      </c>
      <c r="C6659" s="9" t="s">
        <v>1344</v>
      </c>
    </row>
    <row r="6660" ht="33.75" customHeight="1">
      <c r="A6660" s="6" t="s">
        <v>9875</v>
      </c>
      <c r="B6660" s="6" t="str">
        <f>IFERROR(__xludf.DUMMYFUNCTION("GOOGLETRANSLATE(A6660,""en"",""fi"")"),"Se etsii herra Rimeä, joka on hyvä tanssija ja kopioi herra Rimen askeleita huolellisesti kuin oppipoika.")</f>
        <v>Se etsii herra Rimeä, joka on hyvä tanssija ja kopioi herra Rimen askeleita huolellisesti kuin oppipoika.</v>
      </c>
      <c r="C6660" s="9" t="s">
        <v>1344</v>
      </c>
    </row>
    <row r="6661" ht="33.75" customHeight="1">
      <c r="A6661" s="6" t="s">
        <v>9877</v>
      </c>
      <c r="B6661" s="6" t="str">
        <f>IFERROR(__xludf.DUMMYFUNCTION("GOOGLETRANSLATE(A6661,""en"",""fi"")"),"Tunnetaan vilkkailla toreilla silloin tällöin esiintyvänä. Se matkii ihmisiä lapsen lailla ja seuraa sitten heidän reaktioitaan silmät säihkyen.")</f>
        <v>Tunnetaan vilkkailla toreilla silloin tällöin esiintyvänä. Se matkii ihmisiä lapsen lailla ja seuraa sitten heidän reaktioitaan silmät säihkyen.</v>
      </c>
      <c r="C6661" s="9" t="s">
        <v>1344</v>
      </c>
    </row>
    <row r="6662" ht="33.75" customHeight="1">
      <c r="A6662" s="6" t="s">
        <v>9879</v>
      </c>
      <c r="B6662" s="6" t="str">
        <f>IFERROR(__xludf.DUMMYFUNCTION("GOOGLETRANSLATE(A6662,""en"",""fi"")"),"Se rakastaa pyöreitä valkoisia asioita. Se kantaa munanmuotoista kiveä jäljitellen CHANSEY:tä.")</f>
        <v>Se rakastaa pyöreitä valkoisia asioita. Se kantaa munanmuotoista kiveä jäljitellen CHANSEY:tä.</v>
      </c>
      <c r="C6662" s="9" t="s">
        <v>1344</v>
      </c>
    </row>
    <row r="6663" ht="33.75" customHeight="1">
      <c r="A6663" s="6" t="s">
        <v>9882</v>
      </c>
      <c r="B6663" s="6" t="str">
        <f>IFERROR(__xludf.DUMMYFUNCTION("GOOGLETRANSLATE(A6663,""en"",""fi"")"),"Se kantaa pyöreää, munanmuotoista kiveä vatsapussissaan ja antaa kiven ystävilleen.")</f>
        <v>Se kantaa pyöreää, munanmuotoista kiveä vatsapussissaan ja antaa kiven ystävilleen.</v>
      </c>
      <c r="C6663" s="9" t="s">
        <v>1344</v>
      </c>
    </row>
    <row r="6664" ht="33.75" customHeight="1">
      <c r="A6664" s="6" t="s">
        <v>9884</v>
      </c>
      <c r="B6664" s="6" t="str">
        <f>IFERROR(__xludf.DUMMYFUNCTION("GOOGLETRANSLATE(A6664,""en"",""fi"")"),"Se kantaa mielellään pientä kiveä mukanaan. Se saattaa vaellella muiden jalkojen ympärillä ja saada heidät kompastumaan.")</f>
        <v>Se kantaa mielellään pientä kiveä mukanaan. Se saattaa vaellella muiden jalkojen ympärillä ja saada heidät kompastumaan.</v>
      </c>
      <c r="C6664" s="9" t="s">
        <v>1344</v>
      </c>
    </row>
    <row r="6665" ht="33.75" customHeight="1">
      <c r="A6665" s="6" t="s">
        <v>9886</v>
      </c>
      <c r="B6665" s="6" t="str">
        <f>IFERROR(__xludf.DUMMYFUNCTION("GOOGLETRANSLATE(A6665,""en"",""fi"")"),"Se kantaa varovasti pyöreää, valkoista kiveä, jota se luulee munaksi. Sitä häiritsee sen kihara karva.")</f>
        <v>Se kantaa varovasti pyöreää, valkoista kiveä, jota se luulee munaksi. Sitä häiritsee sen kihara karva.</v>
      </c>
      <c r="C6665" s="9" t="s">
        <v>1344</v>
      </c>
    </row>
    <row r="6666" ht="33.75" customHeight="1">
      <c r="A6666" s="6" t="s">
        <v>9888</v>
      </c>
      <c r="B6666" s="6" t="str">
        <f>IFERROR(__xludf.DUMMYFUNCTION("GOOGLETRANSLATE(A6666,""en"",""fi"")"),"Se kantaa vatsapussissaan pyöreää valkoista kiveä. Jos se tulee hyvin toimeen jonkun kanssa, se joskus antaa kiven tälle henkilölle.")</f>
        <v>Se kantaa vatsapussissaan pyöreää valkoista kiveä. Jos se tulee hyvin toimeen jonkun kanssa, se joskus antaa kiven tälle henkilölle.</v>
      </c>
      <c r="C6666" s="9" t="s">
        <v>1344</v>
      </c>
    </row>
    <row r="6667" ht="33.75" customHeight="1">
      <c r="A6667" s="6" t="s">
        <v>9889</v>
      </c>
      <c r="B6667" s="6" t="str">
        <f>IFERROR(__xludf.DUMMYFUNCTION("GOOGLETRANSLATE(A6667,""en"",""fi"")"),"Se on vielä liian pieni munimaan. Korvikkeena se etsii pyöreitä valkoisia kiviä.")</f>
        <v>Se on vielä liian pieni munimaan. Korvikkeena se etsii pyöreitä valkoisia kiviä.</v>
      </c>
      <c r="C6667" s="9" t="s">
        <v>1344</v>
      </c>
    </row>
    <row r="6668" ht="33.75" customHeight="1">
      <c r="A6668" s="6" t="s">
        <v>9891</v>
      </c>
      <c r="B6668" s="6" t="str">
        <f>IFERROR(__xludf.DUMMYFUNCTION("GOOGLETRANSLATE(A6668,""en"",""fi"")"),"Yleensä se on hyvin käyttäytyvä Pokémon, mutta jos otat siltä pyöreän kiven pois, se itkee ja kiukuttelee ja heittää ison kiukkukohtauksen.")</f>
        <v>Yleensä se on hyvin käyttäytyvä Pokémon, mutta jos otat siltä pyöreän kiven pois, se itkee ja kiukuttelee ja heittää ison kiukkukohtauksen.</v>
      </c>
      <c r="C6668" s="9" t="s">
        <v>1344</v>
      </c>
    </row>
    <row r="6669" ht="33.75" customHeight="1">
      <c r="A6669" s="6" t="s">
        <v>9892</v>
      </c>
      <c r="B6669" s="6" t="str">
        <f>IFERROR(__xludf.DUMMYFUNCTION("GOOGLETRANSLATE(A6669,""en"",""fi"")"),"Kun se näkee jotakin pyöreää ja valkoista, Happiny laittaa sen vatsallaan olevaan pussiin. Joskus se ylikuormittuu eikä pysty liikkumaan.")</f>
        <v>Kun se näkee jotakin pyöreää ja valkoista, Happiny laittaa sen vatsallaan olevaan pussiin. Joskus se ylikuormittuu eikä pysty liikkumaan.</v>
      </c>
      <c r="C6669" s="9" t="s">
        <v>1344</v>
      </c>
    </row>
    <row r="6670" ht="33.75" customHeight="1">
      <c r="A6670" s="6" t="s">
        <v>9894</v>
      </c>
      <c r="B6670" s="6" t="str">
        <f>IFERROR(__xludf.DUMMYFUNCTION("GOOGLETRANSLATE(A6670,""en"",""fi"")"),"Chanseyta matkien Happiny asettaa munanmuotoisen kiven vatsapussiinsa. Happiny aarrelee tätä kiveä.")</f>
        <v>Chanseyta matkien Happiny asettaa munanmuotoisen kiven vatsapussiinsa. Happiny aarrelee tätä kiveä.</v>
      </c>
      <c r="C6670" s="9" t="s">
        <v>1344</v>
      </c>
    </row>
    <row r="6671" ht="33.75" customHeight="1">
      <c r="A6671" s="6" t="s">
        <v>9896</v>
      </c>
      <c r="B6671" s="6" t="str">
        <f>IFERROR(__xludf.DUMMYFUNCTION("GOOGLETRANSLATE(A6671,""en"",""fi"")"),"Happiny on halukas lainaamaan kallisarvoista pyöreää kiveään ystävilleen, mutta jos kiveä ei palauteta, Happiny itkee ja saa raivokohtauksen.")</f>
        <v>Happiny on halukas lainaamaan kallisarvoista pyöreää kiveään ystävilleen, mutta jos kiveä ei palauteta, Happiny itkee ja saa raivokohtauksen.</v>
      </c>
      <c r="C6671" s="9" t="s">
        <v>1344</v>
      </c>
    </row>
    <row r="6672" ht="33.75" customHeight="1">
      <c r="A6672" s="6" t="s">
        <v>9898</v>
      </c>
      <c r="B6672" s="6" t="str">
        <f>IFERROR(__xludf.DUMMYFUNCTION("GOOGLETRANSLATE(A6672,""en"",""fi"")"),"Chanseyn tavoin se pitää pyöreää kiveä vatsapussissaan ja vaalii sitä rakkaasti. Se tulee hyvin toimeen lasten kanssa ja leikkii joskus heidän kanssaan huvikseen.")</f>
        <v>Chanseyn tavoin se pitää pyöreää kiveä vatsapussissaan ja vaalii sitä rakkaasti. Se tulee hyvin toimeen lasten kanssa ja leikkii joskus heidän kanssaan huvikseen.</v>
      </c>
      <c r="C6672" s="9" t="s">
        <v>1344</v>
      </c>
    </row>
    <row r="6673" ht="33.75" customHeight="1">
      <c r="A6673" s="6" t="s">
        <v>9899</v>
      </c>
      <c r="B6673" s="6" t="str">
        <f>IFERROR(__xludf.DUMMYFUNCTION("GOOGLETRANSLATE(A6673,""en"",""fi"")"),"Se voi oppia ja puhua ihmissanoin. Jos ne kokoontuvat yhteen, ne kaikki oppivat saman sanonnan.")</f>
        <v>Se voi oppia ja puhua ihmissanoin. Jos ne kokoontuvat yhteen, ne kaikki oppivat saman sanonnan.</v>
      </c>
      <c r="C6673" s="9" t="s">
        <v>1344</v>
      </c>
    </row>
    <row r="6674" ht="33.75" customHeight="1">
      <c r="A6674" s="6" t="s">
        <v>9900</v>
      </c>
      <c r="B6674" s="6" t="str">
        <f>IFERROR(__xludf.DUMMYFUNCTION("GOOGLETRANSLATE(A6674,""en"",""fi"")"),"Se pitää rytmin yllä heiluttamalla pyrstösulkiaan kuin metronomi. Se matkii ihmisen puhetta.")</f>
        <v>Se pitää rytmin yllä heiluttamalla pyrstösulkiaan kuin metronomi. Se matkii ihmisen puhetta.</v>
      </c>
      <c r="C6674" s="9" t="s">
        <v>1344</v>
      </c>
    </row>
    <row r="6675" ht="33.75" customHeight="1">
      <c r="A6675" s="6" t="s">
        <v>9901</v>
      </c>
      <c r="B6675" s="6" t="str">
        <f>IFERROR(__xludf.DUMMYFUNCTION("GOOGLETRANSLATE(A6675,""en"",""fi"")"),"Sen kieli on aivan kuin ihmisen. Tämän seurauksena se pystyy taitavasti matkimaan ihmisen puhetta.")</f>
        <v>Sen kieli on aivan kuin ihmisen. Tämän seurauksena se pystyy taitavasti matkimaan ihmisen puhetta.</v>
      </c>
      <c r="C6675" s="9" t="s">
        <v>1344</v>
      </c>
    </row>
    <row r="6676" ht="33.75" customHeight="1">
      <c r="A6676" s="6" t="s">
        <v>9902</v>
      </c>
      <c r="B6676" s="6" t="str">
        <f>IFERROR(__xludf.DUMMYFUNCTION("GOOGLETRANSLATE(A6676,""en"",""fi"")"),"Se matkii muiden Pokémonien huutoja huijatakseen ne luulemaan olevansa yksi niistä. Tällä tavoin ne eivät hyökkää sen kimppuun.")</f>
        <v>Se matkii muiden Pokémonien huutoja huijatakseen ne luulemaan olevansa yksi niistä. Tällä tavoin ne eivät hyökkää sen kimppuun.</v>
      </c>
      <c r="C6676" s="9" t="s">
        <v>1344</v>
      </c>
    </row>
    <row r="6677" ht="33.75" customHeight="1">
      <c r="A6677" s="6" t="s">
        <v>9903</v>
      </c>
      <c r="B6677" s="6" t="str">
        <f>IFERROR(__xludf.DUMMYFUNCTION("GOOGLETRANSLATE(A6677,""en"",""fi"")"),"Monipuolinen esiintyjä, joka on taitava matkimaan ihmispuhetta. Vanhempien ja kokeneempien chatot-hahmojen sanotaan jopa ymmärtävän matkimiensa sanojen merkityksen.")</f>
        <v>Monipuolinen esiintyjä, joka on taitava matkimaan ihmispuhetta. Vanhempien ja kokeneempien chatot-hahmojen sanotaan jopa ymmärtävän matkimiensa sanojen merkityksen.</v>
      </c>
      <c r="C6677" s="9" t="s">
        <v>1344</v>
      </c>
    </row>
    <row r="6678" ht="33.75" customHeight="1">
      <c r="A6678" s="6" t="s">
        <v>9904</v>
      </c>
      <c r="B6678" s="6" t="str">
        <f>IFERROR(__xludf.DUMMYFUNCTION("GOOGLETRANSLATE(A6678,""en"",""fi"")"),"Pokémon, jonka 108 henkeä muovasi. Se on sidottu halkeamaan oudossa avainkivessä.")</f>
        <v>Pokémon, jonka 108 henkeä muovasi. Se on sidottu halkeamaan oudossa avainkivessä.</v>
      </c>
      <c r="C6678" s="9" t="s">
        <v>1344</v>
      </c>
    </row>
    <row r="6679" ht="33.75" customHeight="1">
      <c r="A6679" s="6" t="s">
        <v>9906</v>
      </c>
      <c r="B6679" s="6" t="str">
        <f>IFERROR(__xludf.DUMMYFUNCTION("GOOGLETRANSLATE(A6679,""en"",""fi"")"),"Se sidottiin halkeamaan omituisessa lakikivessä rangaistuksena väärinteoista 500 vuotta sitten.")</f>
        <v>Se sidottiin halkeamaan omituisessa lakikivessä rangaistuksena väärinteoista 500 vuotta sitten.</v>
      </c>
      <c r="C6679" s="9" t="s">
        <v>1344</v>
      </c>
    </row>
    <row r="6680" ht="33.75" customHeight="1">
      <c r="A6680" s="6" t="s">
        <v>9907</v>
      </c>
      <c r="B6680" s="6" t="str">
        <f>IFERROR(__xludf.DUMMYFUNCTION("GOOGLETRANSLATE(A6680,""en"",""fi"")"),"Sen jatkuvat ilkikurisuus ja väärinkäytökset johtivat siihen, että se sidottiin salaperäisen loitsun avulla parittomaan avainkiveen.")</f>
        <v>Sen jatkuvat ilkikurisuus ja väärinkäytökset johtivat siihen, että se sidottiin salaperäisen loitsun avulla parittomaan avainkiveen.</v>
      </c>
      <c r="C6680" s="9" t="s">
        <v>1344</v>
      </c>
    </row>
    <row r="6681" ht="33.75" customHeight="1">
      <c r="A6681" s="6" t="s">
        <v>9909</v>
      </c>
      <c r="B6681" s="6" t="str">
        <f>IFERROR(__xludf.DUMMYFUNCTION("GOOGLETRANSLATE(A6681,""en"",""fi"")"),"Se muodostettiin yhdistämällä 108 henkeä. Se on sidottu Parittiseen Avainkiveen estääkseen sitä tekemästä mitään pahaa.")</f>
        <v>Se muodostettiin yhdistämällä 108 henkeä. Se on sidottu Parittiseen Avainkiveen estääkseen sitä tekemästä mitään pahaa.</v>
      </c>
      <c r="C6681" s="9" t="s">
        <v>1344</v>
      </c>
    </row>
    <row r="6682" ht="33.75" customHeight="1">
      <c r="A6682" s="6" t="s">
        <v>9911</v>
      </c>
      <c r="B6682" s="6" t="str">
        <f>IFERROR(__xludf.DUMMYFUNCTION("GOOGLETRANSLATE(A6682,""en"",""fi"")"),"Tasan 108 henkeä kokoontui muodostaakseen tämän Pokémonin. Ilmeisesti joukossa on myös joitakin pahansuovia henkiä.")</f>
        <v>Tasan 108 henkeä kokoontui muodostaakseen tämän Pokémonin. Ilmeisesti joukossa on myös joitakin pahansuovia henkiä.</v>
      </c>
      <c r="C6682" s="9" t="s">
        <v>1344</v>
      </c>
    </row>
    <row r="6683" ht="33.75" customHeight="1">
      <c r="A6683" s="6" t="s">
        <v>9912</v>
      </c>
      <c r="B6683" s="6" t="str">
        <f>IFERROR(__xludf.DUMMYFUNCTION("GOOGLETRANSLATE(A6683,""en"",""fi"")"),"Kaikki Spiritombin ilkikurisuus ja väärinkäytökset pakottivat matkaajan käyttämään salaperäistä loitsua sitoakseen Spiritombin outoon avainkiveen.")</f>
        <v>Kaikki Spiritombin ilkikurisuus ja väärinkäytökset pakottivat matkaajan käyttämään salaperäistä loitsua sitoakseen Spiritombin outoon avainkiveen.</v>
      </c>
      <c r="C6683" s="9" t="s">
        <v>1344</v>
      </c>
    </row>
    <row r="6684" ht="33.75" customHeight="1">
      <c r="A6684" s="6" t="s">
        <v>9914</v>
      </c>
      <c r="B6684" s="6" t="str">
        <f>IFERROR(__xludf.DUMMYFUNCTION("GOOGLETRANSLATE(A6684,""en"",""fi"")"),"Se langettaa kirouksia ajattelemalla pahoja ajatuksia. Kirjoitukset kertovat, että tämä Pokémon syntyi 508 pahansuovan hengen joukosta.")</f>
        <v>Se langettaa kirouksia ajattelemalla pahoja ajatuksia. Kirjoitukset kertovat, että tämä Pokémon syntyi 508 pahansuovan hengen joukosta.</v>
      </c>
      <c r="C6684" s="9" t="s">
        <v>1344</v>
      </c>
    </row>
    <row r="6685" ht="33.75" customHeight="1">
      <c r="A6685" s="6" t="s">
        <v>9917</v>
      </c>
      <c r="B6685" s="6" t="str">
        <f>IFERROR(__xludf.DUMMYFUNCTION("GOOGLETRANSLATE(A6685,""en"",""fi"")"),"Se pesii pienissä, vaakasuorissa koloissa luolien seinissä. Se syöksyy pyydystämään liian lähelle eksyneitä saaliita.")</f>
        <v>Se pesii pienissä, vaakasuorissa koloissa luolien seinissä. Se syöksyy pyydystämään liian lähelle eksyneitä saaliita.</v>
      </c>
      <c r="C6685" s="9" t="s">
        <v>1344</v>
      </c>
    </row>
    <row r="6686" ht="33.75" customHeight="1">
      <c r="A6686" s="6" t="s">
        <v>9918</v>
      </c>
      <c r="B6686" s="6" t="str">
        <f>IFERROR(__xludf.DUMMYFUNCTION("GOOGLETRANSLATE(A6686,""en"",""fi"")"),"Se eli aikoinaan tropiikissa. Kylmyyden välttämiseksi se elää luolissa, joita lämmittää geoterminen lämpö.")</f>
        <v>Se eli aikoinaan tropiikissa. Kylmyyden välttämiseksi se elää luolissa, joita lämmittää geoterminen lämpö.</v>
      </c>
      <c r="C6686" s="9" t="s">
        <v>1344</v>
      </c>
    </row>
    <row r="6687" ht="33.75" customHeight="1">
      <c r="A6687" s="6" t="s">
        <v>9920</v>
      </c>
      <c r="B6687" s="6" t="str">
        <f>IFERROR(__xludf.DUMMYFUNCTION("GOOGLETRANSLATE(A6687,""en"",""fi"")"),"Se hyökkää valtavalla suullaan. Vaikka sen hyökkäykset ovat voimakkaita, se myös satuttaa itseään kömpelyytensä vuoksi.")</f>
        <v>Se hyökkää valtavalla suullaan. Vaikka sen hyökkäykset ovat voimakkaita, se myös satuttaa itseään kömpelyytensä vuoksi.</v>
      </c>
      <c r="C6687" s="9" t="s">
        <v>1344</v>
      </c>
    </row>
    <row r="6688" ht="33.75" customHeight="1">
      <c r="A6688" s="6" t="s">
        <v>9922</v>
      </c>
      <c r="B6688" s="6" t="str">
        <f>IFERROR(__xludf.DUMMYFUNCTION("GOOGLETRANSLATE(A6688,""en"",""fi"")"),"Se pesii vaakasuorissa koloissa, joita maalämpö lämmittää. Liian lähelle tulevat viholliset voivat odottaa joutuvansa hyökkääviksi ja puremiksi.")</f>
        <v>Se pesii vaakasuorissa koloissa, joita maalämpö lämmittää. Liian lähelle tulevat viholliset voivat odottaa joutuvansa hyökkääviksi ja puremiksi.</v>
      </c>
      <c r="C6688" s="9" t="s">
        <v>1344</v>
      </c>
    </row>
    <row r="6689" ht="33.75" customHeight="1">
      <c r="A6689" s="6" t="s">
        <v>9923</v>
      </c>
      <c r="B6689" s="6" t="str">
        <f>IFERROR(__xludf.DUMMYFUNCTION("GOOGLETRANSLATE(A6689,""en"",""fi"")"),"Se elää luolissa, joita lämmittää geoterminen lämpö. Silti, kun sää kylmenee, se kyyhöttää tiiviisti muiden lajitovereidensa kanssa.")</f>
        <v>Se elää luolissa, joita lämmittää geoterminen lämpö. Silti, kun sää kylmenee, se kyyhöttää tiiviisti muiden lajitovereidensa kanssa.</v>
      </c>
      <c r="C6689" s="9" t="s">
        <v>1344</v>
      </c>
    </row>
    <row r="6690" ht="33.75" customHeight="1">
      <c r="A6690" s="6" t="s">
        <v>9925</v>
      </c>
      <c r="B6690" s="6" t="str">
        <f>IFERROR(__xludf.DUMMYFUNCTION("GOOGLETRANSLATE(A6690,""en"",""fi"")"),"Se hiippailee luolissa, ja kun saalis tai vihollinen kulkee ohi, se hyppää esiin ja jyrää niitä. Sen hyökkäyksen voima lohkaisee joskus sen hampaita.")</f>
        <v>Se hiippailee luolissa, ja kun saalis tai vihollinen kulkee ohi, se hyppää esiin ja jyrää niitä. Sen hyökkäyksen voima lohkaisee joskus sen hampaita.</v>
      </c>
      <c r="C6690" s="9" t="s">
        <v>1344</v>
      </c>
    </row>
    <row r="6691" ht="33.75" customHeight="1">
      <c r="A6691" s="6" t="s">
        <v>9926</v>
      </c>
      <c r="B6691" s="6" t="str">
        <f>IFERROR(__xludf.DUMMYFUNCTION("GOOGLETRANSLATE(A6691,""en"",""fi"")"),"Se reagoi kaikkeen liikkuvaan – lentää suoraan sitä kohti ja puree sitä. Joskus se vahingoittaa itseään, mutta ei välitä siitä liikaa.")</f>
        <v>Se reagoi kaikkeen liikkuvaan – lentää suoraan sitä kohti ja puree sitä. Joskus se vahingoittaa itseään, mutta ei välitä siitä liikaa.</v>
      </c>
      <c r="C6691" s="9" t="s">
        <v>1344</v>
      </c>
    </row>
    <row r="6692" ht="33.75" customHeight="1">
      <c r="A6692" s="6" t="s">
        <v>9928</v>
      </c>
      <c r="B6692" s="6" t="str">
        <f>IFERROR(__xludf.DUMMYFUNCTION("GOOGLETRANSLATE(A6692,""en"",""fi"")"),"Sen alkuperäinen koti on paljon Alolaa kuumempi alue. Jos aiot asua sellaisen kanssa, lämmityslaskusi nousee pilviin.")</f>
        <v>Sen alkuperäinen koti on paljon Alolaa kuumempi alue. Jos aiot asua sellaisen kanssa, lämmityslaskusi nousee pilviin.</v>
      </c>
      <c r="C6692" s="9" t="s">
        <v>1344</v>
      </c>
    </row>
    <row r="6693" ht="33.75" customHeight="1">
      <c r="A6693" s="6" t="s">
        <v>9929</v>
      </c>
      <c r="B6693" s="6" t="str">
        <f>IFERROR(__xludf.DUMMYFUNCTION("GOOGLETRANSLATE(A6693,""en"",""fi"")"),"Gible viihtyy luolien kyljissä olevissa kapeissa koloissa, joita lämmittää geoterminen energia. Tällä tavoin Gible voi pysyä lämpimänä jopa lumimyrskyn aikana.")</f>
        <v>Gible viihtyy luolien kyljissä olevissa kapeissa koloissa, joita lämmittää geoterminen energia. Tällä tavoin Gible voi pysyä lämpimänä jopa lumimyrskyn aikana.</v>
      </c>
      <c r="C6693" s="9" t="s">
        <v>1344</v>
      </c>
    </row>
    <row r="6694" ht="33.75" customHeight="1">
      <c r="A6694" s="6" t="s">
        <v>9931</v>
      </c>
      <c r="B6694" s="6" t="str">
        <f>IFERROR(__xludf.DUMMYFUNCTION("GOOGLETRANSLATE(A6694,""en"",""fi"")"),"Gible hyökkää kaiken liikkuvan kimppuun ja raahaa kaiken, minkä se saa kiinni, pesäänsä. Suuresta suustaan ​​huolimatta Giblen vatsa on pieni.")</f>
        <v>Gible hyökkää kaiken liikkuvan kimppuun ja raahaa kaiken, minkä se saa kiinni, pesäänsä. Suuresta suustaan ​​huolimatta Giblen vatsa on pieni.</v>
      </c>
      <c r="C6694" s="9" t="s">
        <v>1344</v>
      </c>
    </row>
    <row r="6695" ht="33.75" customHeight="1">
      <c r="A6695" s="6" t="s">
        <v>9933</v>
      </c>
      <c r="B6695" s="6" t="str">
        <f>IFERROR(__xludf.DUMMYFUNCTION("GOOGLETRANSLATE(A6695,""en"",""fi"")"),"Se pesii luolissa, joihin auringonvalo ei ole päässyt. Sen terävät hampaat saattavat irrota kulumisen tai iskun seurauksena, mutta ne kasvavat takaisin muutamassa päivässä.")</f>
        <v>Se pesii luolissa, joihin auringonvalo ei ole päässyt. Sen terävät hampaat saattavat irrota kulumisen tai iskun seurauksena, mutta ne kasvavat takaisin muutamassa päivässä.</v>
      </c>
      <c r="C6695" s="9" t="s">
        <v>1344</v>
      </c>
    </row>
    <row r="6696" ht="33.75" customHeight="1">
      <c r="A6696" s="6" t="s">
        <v>9935</v>
      </c>
      <c r="B6696" s="6" t="str">
        <f>IFERROR(__xludf.DUMMYFUNCTION("GOOGLETRANSLATE(A6696,""en"",""fi"")"),"On pitkään uskottu, että sen suomuista valmistettu lääke parantaa jopa parantumattomia sairauksia.")</f>
        <v>On pitkään uskottu, että sen suomuista valmistettu lääke parantaa jopa parantumattomia sairauksia.</v>
      </c>
      <c r="C6696" s="9" t="s">
        <v>1344</v>
      </c>
    </row>
    <row r="6697" ht="33.75" customHeight="1">
      <c r="A6697" s="6" t="s">
        <v>9937</v>
      </c>
      <c r="B6697" s="6" t="str">
        <f>IFERROR(__xludf.DUMMYFUNCTION("GOOGLETRANSLATE(A6697,""en"",""fi"")"),"Se kaivaa ja hamstraa tavallisesti jalokiviä pesäänsä. Varkaat kohdistavat jatkuvasti sen saalista.")</f>
        <v>Se kaivaa ja hamstraa tavallisesti jalokiviä pesäänsä. Varkaat kohdistavat jatkuvasti sen saalista.</v>
      </c>
      <c r="C6697" s="9" t="s">
        <v>1344</v>
      </c>
    </row>
    <row r="6698" ht="33.75" customHeight="1">
      <c r="A6698" s="6" t="s">
        <v>9938</v>
      </c>
      <c r="B6698" s="6" t="str">
        <f>IFERROR(__xludf.DUMMYFUNCTION("GOOGLETRANSLATE(A6698,""en"",""fi"")"),"Se rakastaa kimaltelevia asioita. Se etsii aarteita luolista ja hamstraa saaliin pesäänsä.")</f>
        <v>Se rakastaa kimaltelevia asioita. Se etsii aarteita luolista ja hamstraa saaliin pesäänsä.</v>
      </c>
      <c r="C6698" s="9" t="s">
        <v>1344</v>
      </c>
    </row>
    <row r="6699" ht="33.75" customHeight="1">
      <c r="A6699" s="6" t="s">
        <v>9939</v>
      </c>
      <c r="B6699" s="6" t="str">
        <f>IFERROR(__xludf.DUMMYFUNCTION("GOOGLETRANSLATE(A6699,""en"",""fi"")"),"Kaivaessaan laajentaakseen pesäänsä se kaivaa tavallisesti esiin jalokiviä, joita se sitten hamstraa pesäänsä.")</f>
        <v>Kaivaessaan laajentaakseen pesäänsä se kaivaa tavallisesti esiin jalokiviä, joita se sitten hamstraa pesäänsä.</v>
      </c>
      <c r="C6699" s="9" t="s">
        <v>1344</v>
      </c>
    </row>
    <row r="6700" ht="33.75" customHeight="1">
      <c r="A6700" s="6" t="s">
        <v>9940</v>
      </c>
      <c r="B6700" s="6" t="str">
        <f>IFERROR(__xludf.DUMMYFUNCTION("GOOGLETRANSLATE(A6700,""en"",""fi"")"),"Harvinaisissa tapauksissa se luo nahkansa ja luo suomunsa. Sen suomuja ainesosana sisältävä lääke virkistää väsynyttä kehoa.")</f>
        <v>Harvinaisissa tapauksissa se luo nahkansa ja luo suomunsa. Sen suomuja ainesosana sisältävä lääke virkistää väsynyttä kehoa.</v>
      </c>
      <c r="C6700" s="9" t="s">
        <v>1344</v>
      </c>
    </row>
    <row r="6701" ht="33.75" customHeight="1">
      <c r="A6701" s="6" t="s">
        <v>9941</v>
      </c>
      <c r="B6701" s="6" t="str">
        <f>IFERROR(__xludf.DUMMYFUNCTION("GOOGLETRANSLATE(A6701,""en"",""fi"")"),"Kiiltävät esineet ovat sen intohimo. Se löytyy luolastaan, tuskin liikkuen, katse kiinnitettynä keräämiinsä jalokiviin tai pyydystämiinsä hiilihydraatteihin.")</f>
        <v>Kiiltävät esineet ovat sen intohimo. Se löytyy luolastaan, tuskin liikkuen, katse kiinnitettynä keräämiinsä jalokiviin tai pyydystämiinsä hiilihydraatteihin.</v>
      </c>
      <c r="C6701" s="9" t="s">
        <v>1344</v>
      </c>
    </row>
    <row r="6702" ht="33.75" customHeight="1">
      <c r="A6702" s="6" t="s">
        <v>9942</v>
      </c>
      <c r="B6702" s="6" t="str">
        <f>IFERROR(__xludf.DUMMYFUNCTION("GOOGLETRANSLATE(A6702,""en"",""fi"")"),"Se rakastaa kiiltäviä asioita. Kun se löytää Sableyeen yrittämästä ottaa kiinni hiilikarhua, Gabite suuttuu raivokkaasti ja hyökkää Sableyeen kimppuun.")</f>
        <v>Se rakastaa kiiltäviä asioita. Kun se löytää Sableyeen yrittämästä ottaa kiinni hiilikarhua, Gabite suuttuu raivokkaasti ja hyökkää Sableyeen kimppuun.</v>
      </c>
      <c r="C6702" s="9" t="s">
        <v>1344</v>
      </c>
    </row>
    <row r="6703" ht="33.75" customHeight="1">
      <c r="A6703" s="6" t="s">
        <v>9943</v>
      </c>
      <c r="B6703" s="6" t="str">
        <f>IFERROR(__xludf.DUMMYFUNCTION("GOOGLETRANSLATE(A6703,""en"",""fi"")"),"Se luo nahkansa ja kasvaa vähitellen suuremmaksi. Sen suomut voidaan jauhaa jauheeksi ja käyttää raaka-aineena perinteisessä lääketieteessä.")</f>
        <v>Se luo nahkansa ja kasvaa vähitellen suuremmaksi. Sen suomut voidaan jauhaa jauheeksi ja käyttää raaka-aineena perinteisessä lääketieteessä.</v>
      </c>
      <c r="C6703" s="9" t="s">
        <v>1344</v>
      </c>
    </row>
    <row r="6704" ht="33.75" customHeight="1">
      <c r="A6704" s="6" t="s">
        <v>9944</v>
      </c>
      <c r="B6704" s="6" t="str">
        <f>IFERROR(__xludf.DUMMYFUNCTION("GOOGLETRANSLATE(A6704,""en"",""fi"")"),"Tämä Pokémon lähettää ultraääniaaltoja päänsä molemmin puolin olevasta ulokkeesta tutkiakseen pikimustia luolia.")</f>
        <v>Tämä Pokémon lähettää ultraääniaaltoja päänsä molemmin puolin olevasta ulokkeesta tutkiakseen pikimustia luolia.</v>
      </c>
      <c r="C6704" s="9" t="s">
        <v>1344</v>
      </c>
    </row>
    <row r="6705" ht="33.75" customHeight="1">
      <c r="A6705" s="6" t="s">
        <v>9945</v>
      </c>
      <c r="B6705" s="6" t="str">
        <f>IFERROR(__xludf.DUMMYFUNCTION("GOOGLETRANSLATE(A6705,""en"",""fi"")"),"Näiden Pokémonien pesimäluoliin on haudattu jalokiviä, mutta kynnet ja torahampaat repivät sinut kappaleiksi heti, kun astut johonkin näistä luolista.")</f>
        <v>Näiden Pokémonien pesimäluoliin on haudattu jalokiviä, mutta kynnet ja torahampaat repivät sinut kappaleiksi heti, kun astut johonkin näistä luolista.</v>
      </c>
      <c r="C6705" s="9" t="s">
        <v>1344</v>
      </c>
    </row>
    <row r="6706" ht="33.75" customHeight="1">
      <c r="A6706" s="6" t="s">
        <v>9946</v>
      </c>
      <c r="B6706" s="6" t="str">
        <f>IFERROR(__xludf.DUMMYFUNCTION("GOOGLETRANSLATE(A6706,""en"",""fi"")"),"Vaikka gabiitit ovat yleensä luonteeltaan väkivaltaisia, kun annoin yhdelle lasihelmen, jota se oli ahneesti silmäillyt, siitä tuli yhtäkkiä melko säyseä.")</f>
        <v>Vaikka gabiitit ovat yleensä luonteeltaan väkivaltaisia, kun annoin yhdelle lasihelmen, jota se oli ahneesti silmäillyt, siitä tuli yhtäkkiä melko säyseä.</v>
      </c>
      <c r="C6706" s="9" t="s">
        <v>1344</v>
      </c>
    </row>
    <row r="6707" ht="33.75" customHeight="1">
      <c r="A6707" s="6" t="s">
        <v>9948</v>
      </c>
      <c r="B6707" s="6" t="str">
        <f>IFERROR(__xludf.DUMMYFUNCTION("GOOGLETRANSLATE(A6707,""en"",""fi"")"),"Kun se taittaa vartalonsa kokoon ja ojentaa siipensä, se näyttää suihkukoneelta. Se lentää äänennopeudella.")</f>
        <v>Kun se taittaa vartalonsa kokoon ja ojentaa siipensä, se näyttää suihkukoneelta. Se lentää äänennopeudella.</v>
      </c>
      <c r="C6707" s="9" t="s">
        <v>1344</v>
      </c>
    </row>
    <row r="6708" ht="33.75" customHeight="1">
      <c r="A6708" s="6" t="s">
        <v>9949</v>
      </c>
      <c r="B6708" s="6" t="str">
        <f>IFERROR(__xludf.DUMMYFUNCTION("GOOGLETRANSLATE(A6708,""en"",""fi"")"),"Se lentää suihkuhävittäjän nopeudella. Se ei koskaan päästä saalistaan ​​karkuun.")</f>
        <v>Se lentää suihkuhävittäjän nopeudella. Se ei koskaan päästä saalistaan ​​karkuun.</v>
      </c>
      <c r="C6708" s="9" t="s">
        <v>1344</v>
      </c>
    </row>
    <row r="6709" ht="33.75" customHeight="1">
      <c r="A6709" s="6" t="s">
        <v>9951</v>
      </c>
      <c r="B6709" s="6" t="str">
        <f>IFERROR(__xludf.DUMMYFUNCTION("GOOGLETRANSLATE(A6709,""en"",""fi"")"),"Sanotaan, että kun ihminen juossee suurella nopeudella, sen siivet luovat tuulensiipiä, jotka voivat kaataa lähellä olevia puita.")</f>
        <v>Sanotaan, että kun ihminen juossee suurella nopeudella, sen siivet luovat tuulensiipiä, jotka voivat kaataa lähellä olevia puita.</v>
      </c>
      <c r="C6709" s="9" t="s">
        <v>1344</v>
      </c>
    </row>
    <row r="6710" ht="33.75" customHeight="1">
      <c r="A6710" s="6" t="s">
        <v>9953</v>
      </c>
      <c r="B6710" s="6" t="str">
        <f>IFERROR(__xludf.DUMMYFUNCTION("GOOGLETRANSLATE(A6710,""en"",""fi"")"),"Sen runko on peittynyt hienoihin suomuihin, jotka vähentävät vastusta, jolloin se voi lentää suurilla nopeuksilla.")</f>
        <v>Sen runko on peittynyt hienoihin suomuihin, jotka vähentävät vastusta, jolloin se voi lentää suurilla nopeuksilla.</v>
      </c>
      <c r="C6710" s="9" t="s">
        <v>1344</v>
      </c>
    </row>
    <row r="6711" ht="33.75" customHeight="1">
      <c r="A6711" s="6" t="s">
        <v>9954</v>
      </c>
      <c r="B6711" s="6" t="str">
        <f>IFERROR(__xludf.DUMMYFUNCTION("GOOGLETRANSLATE(A6711,""en"",""fi"")"),"Se voi lentää suihkukoneiden vauhtia kilpailevalla nopeudella. Se syöksyy lintu-Pokémon-parviin ja nielaisee koko parven alas.")</f>
        <v>Se voi lentää suihkukoneiden vauhtia kilpailevalla nopeudella. Se syöksyy lintu-Pokémon-parviin ja nielaisee koko parven alas.</v>
      </c>
      <c r="C6711" s="9" t="s">
        <v>1344</v>
      </c>
    </row>
    <row r="6712" ht="33.75" customHeight="1">
      <c r="A6712" s="6" t="s">
        <v>9955</v>
      </c>
      <c r="B6712" s="6" t="str">
        <f>IFERROR(__xludf.DUMMYFUNCTION("GOOGLETRANSLATE(A6712,""en"",""fi"")"),"Sen pään kohoumat toimivat antureina. Se voi havaita jopa kaukaisen saaliin.")</f>
        <v>Sen pään kohoumat toimivat antureina. Se voi havaita jopa kaukaisen saaliin.</v>
      </c>
      <c r="C6712" s="9" t="s">
        <v>1344</v>
      </c>
    </row>
    <row r="6713" ht="33.75" customHeight="1">
      <c r="A6713" s="6" t="s">
        <v>9956</v>
      </c>
      <c r="B6713" s="6" t="str">
        <f>IFERROR(__xludf.DUMMYFUNCTION("GOOGLETRANSLATE(A6713,""en"",""fi"")"),"Se lentää äänen nopeudella etsiessään saalista ja käy ilmataisteluita Salamencen kanssa, kun nämä kaksi kilpailevat ruoasta.")</f>
        <v>Se lentää äänen nopeudella etsiessään saalista ja käy ilmataisteluita Salamencen kanssa, kun nämä kaksi kilpailevat ruoasta.</v>
      </c>
      <c r="C6713" s="9" t="s">
        <v>1344</v>
      </c>
    </row>
    <row r="6714" ht="33.75" customHeight="1">
      <c r="A6714" s="6" t="s">
        <v>9957</v>
      </c>
      <c r="B6714" s="6" t="str">
        <f>IFERROR(__xludf.DUMMYFUNCTION("GOOGLETRANSLATE(A6714,""en"",""fi"")"),"Sen hienot suomut eivät ainoastaan ​​vähennä ilmanvastusta – niiden terävät reunat voivat myös vahingoittaa sitä hyökkäävää vastustajaa.")</f>
        <v>Sen hienot suomut eivät ainoastaan ​​vähennä ilmanvastusta – niiden terävät reunat voivat myös vahingoittaa sitä hyökkäävää vastustajaa.</v>
      </c>
      <c r="C6714" s="9" t="s">
        <v>1344</v>
      </c>
    </row>
    <row r="6715" ht="33.75" customHeight="1">
      <c r="A6715" s="6" t="s">
        <v>9958</v>
      </c>
      <c r="B6715" s="6" t="str">
        <f>IFERROR(__xludf.DUMMYFUNCTION("GOOGLETRANSLATE(A6715,""en"",""fi"")"),"Garchomp asuu tulivuorilla. Se lentää taivaalla suihkukoneen vauhtia metsästäen niin paljon saalista kuin pystyy.")</f>
        <v>Garchomp asuu tulivuorilla. Se lentää taivaalla suihkukoneen vauhtia metsästäen niin paljon saalista kuin pystyy.</v>
      </c>
      <c r="C6715" s="9" t="s">
        <v>1344</v>
      </c>
    </row>
    <row r="6716" ht="33.75" customHeight="1">
      <c r="A6716" s="6" t="s">
        <v>9959</v>
      </c>
      <c r="B6716" s="6" t="str">
        <f>IFERROR(__xludf.DUMMYFUNCTION("GOOGLETRANSLATE(A6716,""en"",""fi"")"),"Garchomp on nopea sekä maan alla että maan päällä. Se voi kaataa saaliinsa ja palata pesälleen ennen kuin sen ruumis on ehtinyt jäähtyä ulkoilman jäljiltä.")</f>
        <v>Garchomp on nopea sekä maan alla että maan päällä. Se voi kaataa saaliinsa ja palata pesälleen ennen kuin sen ruumis on ehtinyt jäähtyä ulkoilman jäljiltä.</v>
      </c>
      <c r="C6716" s="9" t="s">
        <v>1344</v>
      </c>
    </row>
    <row r="6717" ht="33.75" customHeight="1">
      <c r="A6717" s="6" t="s">
        <v>9962</v>
      </c>
      <c r="B6717" s="6" t="str">
        <f>IFERROR(__xludf.DUMMYFUNCTION("GOOGLETRANSLATE(A6717,""en"",""fi"")"),"Liitee taivaiden halki sokaisevaa vauhtia – upea näky! Sillä on villiintynyt luonne. Äärimmäistä varovaisuutta vaaditaan, jos kohtaa garchompin erämaassa.")</f>
        <v>Liitee taivaiden halki sokaisevaa vauhtia – upea näky! Sillä on villiintynyt luonne. Äärimmäistä varovaisuutta vaaditaan, jos kohtaa garchompin erämaassa.</v>
      </c>
      <c r="C6717" s="9" t="s">
        <v>1344</v>
      </c>
    </row>
    <row r="6718" ht="33.75" customHeight="1">
      <c r="A6718" s="6" t="s">
        <v>9964</v>
      </c>
      <c r="B6718" s="6" t="str">
        <f>IFERROR(__xludf.DUMMYFUNCTION("GOOGLETRANSLATE(A6718,""en"",""fi"")"),"Se ahmii painonsa verran ruokaa kerran päivässä nielemällä sen kokonaisena lähes pureskelematta.")</f>
        <v>Se ahmii painonsa verran ruokaa kerran päivässä nielemällä sen kokonaisena lähes pureskelematta.</v>
      </c>
      <c r="C6718" s="9" t="s">
        <v>1344</v>
      </c>
    </row>
    <row r="6719" ht="33.75" customHeight="1">
      <c r="A6719" s="6" t="s">
        <v>9965</v>
      </c>
      <c r="B6719" s="6" t="str">
        <f>IFERROR(__xludf.DUMMYFUNCTION("GOOGLETRANSLATE(A6719,""en"",""fi"")"),"Se piilottaa ruoan pitkien karvojensa alle. Se kuitenkin unohtaa piilottaneensa ruoan.")</f>
        <v>Se piilottaa ruoan pitkien karvojensa alle. Se kuitenkin unohtaa piilottaneensa ruoan.</v>
      </c>
      <c r="C6719" s="9" t="s">
        <v>1344</v>
      </c>
    </row>
    <row r="6720" ht="33.75" customHeight="1">
      <c r="A6720" s="6" t="s">
        <v>9967</v>
      </c>
      <c r="B6720" s="6" t="str">
        <f>IFERROR(__xludf.DUMMYFUNCTION("GOOGLETRANSLATE(A6720,""en"",""fi"")"),"Epätoivoisessa halussaan ahmia ruokaa se unohtaa turkkinsa alle piilottaman ruoan.")</f>
        <v>Epätoivoisessa halussaan ahmia ruokaa se unohtaa turkkinsa alle piilottaman ruoan.</v>
      </c>
      <c r="C6720" s="9" t="s">
        <v>1344</v>
      </c>
    </row>
    <row r="6721" ht="33.75" customHeight="1">
      <c r="A6721" s="6" t="s">
        <v>9968</v>
      </c>
      <c r="B6721" s="6" t="str">
        <f>IFERROR(__xludf.DUMMYFUNCTION("GOOGLETRANSLATE(A6721,""en"",""fi"")"),"Se kätkee ruokaa pitkän turkkinsa alle. Se kuljettaa tätä ruokavarastoa ja nielee sen pureskelematta.")</f>
        <v>Se kätkee ruokaa pitkän turkkinsa alle. Se kuljettaa tätä ruokavarastoa ja nielee sen pureskelematta.</v>
      </c>
      <c r="C6721" s="9" t="s">
        <v>1344</v>
      </c>
    </row>
    <row r="6722" ht="33.75" customHeight="1">
      <c r="A6722" s="6" t="s">
        <v>9970</v>
      </c>
      <c r="B6722" s="6" t="str">
        <f>IFERROR(__xludf.DUMMYFUNCTION("GOOGLETRANSLATE(A6722,""en"",""fi"")"),"Sen täytyy kuluttaa oman painonsa verran ruokaa joka päivä. Maun suhteen se on yhdentekevää.")</f>
        <v>Sen täytyy kuluttaa oman painonsa verran ruokaa joka päivä. Maun suhteen se on yhdentekevää.</v>
      </c>
      <c r="C6722" s="9" t="s">
        <v>1344</v>
      </c>
    </row>
    <row r="6723" ht="33.75" customHeight="1">
      <c r="A6723" s="6" t="s">
        <v>9972</v>
      </c>
      <c r="B6723" s="6" t="str">
        <f>IFERROR(__xludf.DUMMYFUNCTION("GOOGLETRANSLATE(A6723,""en"",""fi"")"),"Kun se löytää jotain syötävältä näyttävää, se nielee sen kokonaisena. Siksi se lihoaa päivä päivältä.")</f>
        <v>Kun se löytää jotain syötävältä näyttävää, se nielee sen kokonaisena. Siksi se lihoaa päivä päivältä.</v>
      </c>
      <c r="C6723" s="9" t="s">
        <v>1344</v>
      </c>
    </row>
    <row r="6724" ht="33.75" customHeight="1">
      <c r="A6724" s="6" t="s">
        <v>9973</v>
      </c>
      <c r="B6724" s="6" t="str">
        <f>IFERROR(__xludf.DUMMYFUNCTION("GOOGLETRANSLATE(A6724,""en"",""fi"")"),"Se piilottaa ruokaa pitkän turkkinsa alle, mutta joskus unohtaa sen ja aiheuttaa ikävän häiriön.")</f>
        <v>Se piilottaa ruokaa pitkän turkkinsa alle, mutta joskus unohtaa sen ja aiheuttaa ikävän häiriön.</v>
      </c>
      <c r="C6724" s="9" t="s">
        <v>1344</v>
      </c>
    </row>
    <row r="6725" ht="33.75" customHeight="1">
      <c r="A6725" s="6" t="s">
        <v>9975</v>
      </c>
      <c r="B6725" s="6" t="str">
        <f>IFERROR(__xludf.DUMMYFUNCTION("GOOGLETRANSLATE(A6725,""en"",""fi"")"),"Munchlax nielee kaiken, mikä näyttää syötävältä. Sen vatsa on tarpeeksi vahva käsittelemään sen, vaikka ruoka olisi pilaantunut.")</f>
        <v>Munchlax nielee kaiken, mikä näyttää syötävältä. Sen vatsa on tarpeeksi vahva käsittelemään sen, vaikka ruoka olisi pilaantunut.</v>
      </c>
      <c r="C6725" s="9" t="s">
        <v>1344</v>
      </c>
    </row>
    <row r="6726" ht="33.75" customHeight="1">
      <c r="A6726" s="6" t="s">
        <v>9977</v>
      </c>
      <c r="B6726" s="6" t="str">
        <f>IFERROR(__xludf.DUMMYFUNCTION("GOOGLETRANSLATE(A6726,""en"",""fi"")"),"Sen ainoa huolenaihe on itsensä täyttäminen valtavilla ruokamäärillä. Onko ruoka pilaantunutta vai tuoretta, herkullista vai mautonta – sitä ei kiinnosta.")</f>
        <v>Sen ainoa huolenaihe on itsensä täyttäminen valtavilla ruokamäärillä. Onko ruoka pilaantunutta vai tuoretta, herkullista vai mautonta – sitä ei kiinnosta.</v>
      </c>
      <c r="C6726" s="9" t="s">
        <v>1344</v>
      </c>
    </row>
    <row r="6727" ht="33.75" customHeight="1">
      <c r="A6727" s="6" t="s">
        <v>9978</v>
      </c>
      <c r="B6727" s="6" t="str">
        <f>IFERROR(__xludf.DUMMYFUNCTION("GOOGLETRANSLATE(A6727,""en"",""fi"")"),"Se varastoi ruokaa turkkinsa alle. Se saattaa jakaa vain yhden puraisun, mutta vain jos se todella luottaa sinuun.")</f>
        <v>Se varastoi ruokaa turkkinsa alle. Se saattaa jakaa vain yhden puraisun, mutta vain jos se todella luottaa sinuun.</v>
      </c>
      <c r="C6727" s="9" t="s">
        <v>1344</v>
      </c>
    </row>
    <row r="6728" ht="33.75" customHeight="1">
      <c r="A6728" s="6" t="s">
        <v>9979</v>
      </c>
      <c r="B6728" s="6" t="str">
        <f>IFERROR(__xludf.DUMMYFUNCTION("GOOGLETRANSLATE(A6728,""en"",""fi"")"),"Sen vankka vatsa antaa sille mahdollisuuden ahmia huolettomasti jopa mädäntynyttä ainesta. Se vierailee usein kylissä etsimässä kompostiin tarkoitettuja ruokajätteitä.")</f>
        <v>Sen vankka vatsa antaa sille mahdollisuuden ahmia huolettomasti jopa mädäntynyttä ainesta. Se vierailee usein kylissä etsimässä kompostiin tarkoitettuja ruokajätteitä.</v>
      </c>
      <c r="C6728" s="9" t="s">
        <v>1344</v>
      </c>
    </row>
    <row r="6729" ht="33.75" customHeight="1">
      <c r="A6729" s="6" t="s">
        <v>9981</v>
      </c>
      <c r="B6729" s="6" t="str">
        <f>IFERROR(__xludf.DUMMYFUNCTION("GOOGLETRANSLATE(A6729,""en"",""fi"")"),"Sen kehosta säteilevä aura voimistuu hälyttääkseen muita, jos se on peloissaan tai surullinen.")</f>
        <v>Sen kehosta säteilevä aura voimistuu hälyttääkseen muita, jos se on peloissaan tai surullinen.</v>
      </c>
      <c r="C6729" s="9" t="s">
        <v>1344</v>
      </c>
    </row>
    <row r="6730" ht="33.75" customHeight="1">
      <c r="A6730" s="6" t="s">
        <v>9982</v>
      </c>
      <c r="B6730" s="6" t="str">
        <f>IFERROR(__xludf.DUMMYFUNCTION("GOOGLETRANSLATE(A6730,""en"",""fi"")"),"Sen ruumis on notkea mutta voimakas. Se voi ylittää kolmen vuoren huipun ja kaksi kanjonia yhdessä yössä.")</f>
        <v>Sen ruumis on notkea mutta voimakas. Se voi ylittää kolmen vuoren huipun ja kaksi kanjonia yhdessä yössä.</v>
      </c>
      <c r="C6730" s="9" t="s">
        <v>1344</v>
      </c>
    </row>
    <row r="6731" ht="33.75" customHeight="1">
      <c r="A6731" s="6" t="s">
        <v>9983</v>
      </c>
      <c r="B6731" s="6" t="str">
        <f>IFERROR(__xludf.DUMMYFUNCTION("GOOGLETRANSLATE(A6731,""en"",""fi"")"),"Sillä on erikoinen kyky nähdä tunteita, kuten iloa ja raivoa, aaltojen muodossa.")</f>
        <v>Sillä on erikoinen kyky nähdä tunteita, kuten iloa ja raivoa, aaltojen muodossa.</v>
      </c>
      <c r="C6731" s="9" t="s">
        <v>1344</v>
      </c>
    </row>
    <row r="6732" ht="33.75" customHeight="1">
      <c r="A6732" s="6" t="s">
        <v>9984</v>
      </c>
      <c r="B6732" s="6" t="str">
        <f>IFERROR(__xludf.DUMMYFUNCTION("GOOGLETRANSLATE(A6732,""en"",""fi"")"),"Ne kommunikoivat keskenään aurojensa avulla. Ne pystyvät juoksemaan läpi yön.")</f>
        <v>Ne kommunikoivat keskenään aurojensa avulla. Ne pystyvät juoksemaan läpi yön.</v>
      </c>
      <c r="C6732" s="9" t="s">
        <v>1344</v>
      </c>
    </row>
    <row r="6733" ht="33.75" customHeight="1">
      <c r="A6733" s="6" t="s">
        <v>9985</v>
      </c>
      <c r="B6733" s="6" t="str">
        <f>IFERROR(__xludf.DUMMYFUNCTION("GOOGLETRANSLATE(A6733,""en"",""fi"")"),"Se käyttää auran muotoja, jotka muuttuvat tunteiden mukaan, kommunikoidakseen muiden kanssa.")</f>
        <v>Se käyttää auran muotoja, jotka muuttuvat tunteiden mukaan, kommunikoidakseen muiden kanssa.</v>
      </c>
      <c r="C6733" s="9" t="s">
        <v>1344</v>
      </c>
    </row>
    <row r="6734" ht="33.75" customHeight="1">
      <c r="A6734" s="6" t="s">
        <v>9986</v>
      </c>
      <c r="B6734" s="6" t="str">
        <f>IFERROR(__xludf.DUMMYFUNCTION("GOOGLETRANSLATE(A6734,""en"",""fi"")"),"Se pystyy erottamaan ihmisten, Pokémonien ja muiden luonnollisten asioiden fyysiset ja emotionaaliset tilat heidän aura-aaltojensa muodosta.")</f>
        <v>Se pystyy erottamaan ihmisten, Pokémonien ja muiden luonnollisten asioiden fyysiset ja emotionaaliset tilat heidän aura-aaltojensa muodosta.</v>
      </c>
      <c r="C6734" s="9" t="s">
        <v>1344</v>
      </c>
    </row>
    <row r="6735" ht="33.75" customHeight="1">
      <c r="A6735" s="6" t="s">
        <v>9987</v>
      </c>
      <c r="B6735" s="6" t="str">
        <f>IFERROR(__xludf.DUMMYFUNCTION("GOOGLETRANSLATE(A6735,""en"",""fi"")"),"Se on tarpeeksi sitkeä juoksemaan läpi yön, ja se on myös ahkera työntekijä, mutta se on silti vasta nuori.")</f>
        <v>Se on tarpeeksi sitkeä juoksemaan läpi yön, ja se on myös ahkera työntekijä, mutta se on silti vasta nuori.</v>
      </c>
      <c r="C6735" s="9" t="s">
        <v>1344</v>
      </c>
    </row>
    <row r="6736" ht="33.75" customHeight="1">
      <c r="A6736" s="6" t="s">
        <v>9988</v>
      </c>
      <c r="B6736" s="6" t="str">
        <f>IFERROR(__xludf.DUMMYFUNCTION("GOOGLETRANSLATE(A6736,""en"",""fi"")"),"Se tietää, miltä ihmisistä ja Pokémoneista tuntuu, katsomalla heidän aurojaan. Se ei lähesty vaarallisia vastustajia.")</f>
        <v>Se tietää, miltä ihmisistä ja Pokémoneista tuntuu, katsomalla heidän aurojaan. Se ei lähesty vaarallisia vastustajia.</v>
      </c>
      <c r="C6736" s="9" t="s">
        <v>1344</v>
      </c>
    </row>
    <row r="6737" ht="33.75" customHeight="1">
      <c r="A6737" s="6" t="s">
        <v>9989</v>
      </c>
      <c r="B6737" s="6" t="str">
        <f>IFERROR(__xludf.DUMMYFUNCTION("GOOGLETRANSLATE(A6737,""en"",""fi"")"),"Se käyttää auroiksi kutsuttuja aaltoja kommunikoidakseen muiden kaltaistensa kanssa. Se ei pidä ääntä tänä aikana, joten sen viholliset eivät voi havaita sitä.")</f>
        <v>Se käyttää auroiksi kutsuttuja aaltoja kommunikoidakseen muiden kaltaistensa kanssa. Se ei pidä ääntä tänä aikana, joten sen viholliset eivät voi havaita sitä.</v>
      </c>
      <c r="C6737" s="9" t="s">
        <v>1344</v>
      </c>
    </row>
    <row r="6738" ht="33.75" customHeight="1">
      <c r="A6738" s="6" t="s">
        <v>9990</v>
      </c>
      <c r="B6738" s="6" t="str">
        <f>IFERROR(__xludf.DUMMYFUNCTION("GOOGLETRANSLATE(A6738,""en"",""fi"")"),"Se on äärimmäisen energinen ja sillä on tarpeeksi kestävyyttä juosta läpi yön. Sen vieminen kävelylle voi olla haastava kokemus.")</f>
        <v>Se on äärimmäisen energinen ja sillä on tarpeeksi kestävyyttä juosta läpi yön. Sen vieminen kävelylle voi olla haastava kokemus.</v>
      </c>
      <c r="C6738" s="9" t="s">
        <v>1344</v>
      </c>
    </row>
    <row r="6739" ht="33.75" customHeight="1">
      <c r="A6739" s="6" t="s">
        <v>9992</v>
      </c>
      <c r="B6739" s="6" t="str">
        <f>IFERROR(__xludf.DUMMYFUNCTION("GOOGLETRANSLATE(A6739,""en"",""fi"")"),"Se voi käyttää auroiksi kutsuttuja aaltoja arvioidakseen muiden tunteita. Samat aallot voivat myös kertoa tälle Pokémonille ympäristön tilasta.")</f>
        <v>Se voi käyttää auroiksi kutsuttuja aaltoja arvioidakseen muiden tunteita. Samat aallot voivat myös kertoa tälle Pokémonille ympäristön tilasta.</v>
      </c>
      <c r="C6739" s="9" t="s">
        <v>1344</v>
      </c>
    </row>
    <row r="6740" ht="33.75" customHeight="1">
      <c r="A6740" s="6" t="s">
        <v>9993</v>
      </c>
      <c r="B6740" s="6" t="str">
        <f>IFERROR(__xludf.DUMMYFUNCTION("GOOGLETRANSLATE(A6740,""en"",""fi"")"),"Vaikka se on ulkonäöltään lapsellinen, sillä on salaperäinen kyky lukea ihmisten ajatuksia. Puhdassydämiset saavat Riolulta hyväksyntää, kun taas huonoluontoiset saavat osakseen vain sen inhoa.")</f>
        <v>Vaikka se on ulkonäöltään lapsellinen, sillä on salaperäinen kyky lukea ihmisten ajatuksia. Puhdassydämiset saavat Riolulta hyväksyntää, kun taas huonoluontoiset saavat osakseen vain sen inhoa.</v>
      </c>
      <c r="C6740" s="9" t="s">
        <v>1344</v>
      </c>
    </row>
    <row r="6741" ht="33.75" customHeight="1">
      <c r="A6741" s="6" t="s">
        <v>9995</v>
      </c>
      <c r="B6741" s="6" t="str">
        <f>IFERROR(__xludf.DUMMYFUNCTION("GOOGLETRANSLATE(A6741,""en"",""fi"")"),"Sillä on kyky aistia kaiken aurat. Se ymmärtää ihmisen puhetta.")</f>
        <v>Sillä on kyky aistia kaiken aurat. Se ymmärtää ihmisen puhetta.</v>
      </c>
      <c r="C6741" s="9" t="s">
        <v>1344</v>
      </c>
    </row>
    <row r="6742" ht="33.75" customHeight="1">
      <c r="A6742" s="6" t="s">
        <v>9997</v>
      </c>
      <c r="B6742" s="6" t="str">
        <f>IFERROR(__xludf.DUMMYFUNCTION("GOOGLETRANSLATE(A6742,""en"",""fi"")"),"Tallentamalla toisten ihmisten auran se voi lukea heidän ajatuksiaan ja liikkeitään.")</f>
        <v>Tallentamalla toisten ihmisten auran se voi lukea heidän ajatuksiaan ja liikkeitään.</v>
      </c>
      <c r="C6742" s="9" t="s">
        <v>1344</v>
      </c>
    </row>
    <row r="6743" ht="33.75" customHeight="1">
      <c r="A6743" s="6" t="s">
        <v>9999</v>
      </c>
      <c r="B6743" s="6" t="str">
        <f>IFERROR(__xludf.DUMMYFUNCTION("GOOGLETRANSLATE(A6743,""en"",""fi"")"),"Hyvin koulutettu voi aistia auroja tunnistaakseen ja aistiakseen yli 800 metrin päässä olevien olentojen tunteita.")</f>
        <v>Hyvin koulutettu voi aistia auroja tunnistaakseen ja aistiakseen yli 800 metrin päässä olevien olentojen tunteita.</v>
      </c>
      <c r="C6743" s="9" t="s">
        <v>1344</v>
      </c>
    </row>
    <row r="6744" ht="33.75" customHeight="1">
      <c r="A6744" s="6" t="s">
        <v>10002</v>
      </c>
      <c r="B6744" s="6" t="str">
        <f>IFERROR(__xludf.DUMMYFUNCTION("GOOGLETRANSLATE(A6744,""en"",""fi"")"),"Sanotaan, ettei mikään vihollinen voi pysyä näkymätöntä LUCARIOlle, koska se pystyy havaitsemaan auroja. Edes vihollisia, joita se ei muuten voisi nähdä.")</f>
        <v>Sanotaan, ettei mikään vihollinen voi pysyä näkymätöntä LUCARIOlle, koska se pystyy havaitsemaan auroja. Edes vihollisia, joita se ei muuten voisi nähdä.</v>
      </c>
      <c r="C6744" s="9" t="s">
        <v>1344</v>
      </c>
    </row>
    <row r="6745" ht="33.75" customHeight="1">
      <c r="A6745" s="6" t="s">
        <v>10005</v>
      </c>
      <c r="B6745" s="6" t="str">
        <f>IFERROR(__xludf.DUMMYFUNCTION("GOOGLETRANSLATE(A6745,""en"",""fi"")"),"Lukemalla kaikkien asioiden auroja se voi kertoa, miltä muut tuntevat, yli 800 metrin päästä.")</f>
        <v>Lukemalla kaikkien asioiden auroja se voi kertoa, miltä muut tuntevat, yli 800 metrin päästä.</v>
      </c>
      <c r="C6745" s="9" t="s">
        <v>1344</v>
      </c>
    </row>
    <row r="6746" ht="33.75" customHeight="1">
      <c r="A6746" s="6" t="s">
        <v>10008</v>
      </c>
      <c r="B6746" s="6" t="str">
        <f>IFERROR(__xludf.DUMMYFUNCTION("GOOGLETRANSLATE(A6746,""en"",""fi"")"),"Se ei ainoastaan ​​havaitse auroja, vaan se on myös saavuttanut kyvyn hallita niitä. Se käyttää niitä taistelussa.")</f>
        <v>Se ei ainoastaan ​​havaitse auroja, vaan se on myös saavuttanut kyvyn hallita niitä. Se käyttää niitä taistelussa.</v>
      </c>
      <c r="C6746" s="9" t="s">
        <v>1344</v>
      </c>
    </row>
    <row r="6747" ht="33.75" customHeight="1">
      <c r="A6747" s="6" t="s">
        <v>10010</v>
      </c>
      <c r="B6747" s="6" t="str">
        <f>IFERROR(__xludf.DUMMYFUNCTION("GOOGLETRANSLATE(A6747,""en"",""fi"")"),"Ne pystyvät havaitsemaan elävän olennon lajin – ja sen tunteet – yli 800 metrin päästä. Ne hallitsevat auroja ja metsästävät saalistaan ​​laumoissa.")</f>
        <v>Ne pystyvät havaitsemaan elävän olennon lajin – ja sen tunteet – yli 800 metrin päästä. Ne hallitsevat auroja ja metsästävät saalistaan ​​laumoissa.</v>
      </c>
      <c r="C6747" s="9" t="s">
        <v>1344</v>
      </c>
    </row>
    <row r="6748" ht="33.75" customHeight="1">
      <c r="A6748" s="6" t="s">
        <v>10012</v>
      </c>
      <c r="B6748" s="6" t="str">
        <f>IFERROR(__xludf.DUMMYFUNCTION("GOOGLETRANSLATE(A6748,""en"",""fi"")"),"Se keskittää henkisen energiansa ja ampuu salaperäisiä aaltoja, joita kutsutaan auroiksi ja jotka voivat murskata suuria lohkareita tomuksi.")</f>
        <v>Se keskittää henkisen energiansa ja ampuu salaperäisiä aaltoja, joita kutsutaan auroiksi ja jotka voivat murskata suuria lohkareita tomuksi.</v>
      </c>
      <c r="C6748" s="9" t="s">
        <v>1344</v>
      </c>
    </row>
    <row r="6749" ht="33.75" customHeight="1">
      <c r="A6749" s="6" t="s">
        <v>10013</v>
      </c>
      <c r="B6749" s="6" t="str">
        <f>IFERROR(__xludf.DUMMYFUNCTION("GOOGLETRANSLATE(A6749,""en"",""fi"")"),"Lucario lukee vastustajansa tunteita aura-aaltojensa avulla. Se saa selville asioita, joita se ei mieluiten tietäisi, joten se stressaantuu helposti.")</f>
        <v>Lucario lukee vastustajansa tunteita aura-aaltojensa avulla. Se saa selville asioita, joita se ei mieluiten tietäisi, joten se stressaantuu helposti.</v>
      </c>
      <c r="C6749" s="9" t="s">
        <v>1344</v>
      </c>
    </row>
    <row r="6750" ht="33.75" customHeight="1">
      <c r="A6750" s="6" t="s">
        <v>10015</v>
      </c>
      <c r="B6750" s="6" t="str">
        <f>IFERROR(__xludf.DUMMYFUNCTION("GOOGLETRANSLATE(A6750,""en"",""fi"")"),"Se hallitsee auroina tunnettuja aaltoja, jotka ovat riittävän voimakkaita murskaamaan valtavia kiviä. Se käyttää näitä aaltoja saaliinsa kaatamiseen.")</f>
        <v>Se hallitsee auroina tunnettuja aaltoja, jotka ovat riittävän voimakkaita murskaamaan valtavia kiviä. Se käyttää näitä aaltoja saaliinsa kaatamiseen.</v>
      </c>
      <c r="C6750" s="9" t="s">
        <v>1344</v>
      </c>
    </row>
    <row r="6751" ht="33.75" customHeight="1">
      <c r="A6751" s="6" t="s">
        <v>10016</v>
      </c>
      <c r="B6751" s="6" t="str">
        <f>IFERROR(__xludf.DUMMYFUNCTION("GOOGLETRANSLATE(A6751,""en"",""fi"")"),"Se voi kertoa, mitä ihmiset ajattelevat. Vain oikeudenmukaisuutta sydämessään kantavat kouluttajat voivat ansaita tämän Pokémonin luottamuksen.")</f>
        <v>Se voi kertoa, mitä ihmiset ajattelevat. Vain oikeudenmukaisuutta sydämessään kantavat kouluttajat voivat ansaita tämän Pokémonin luottamuksen.</v>
      </c>
      <c r="C6751" s="9" t="s">
        <v>1344</v>
      </c>
    </row>
    <row r="6752" ht="33.75" customHeight="1">
      <c r="A6752" s="6" t="s">
        <v>10017</v>
      </c>
      <c r="B6752" s="6" t="str">
        <f>IFERROR(__xludf.DUMMYFUNCTION("GOOGLETRANSLATE(A6752,""en"",""fi"")"),"Hyvin urhean näköinen olento. Se säteilee energia-aaltoja ja hallitsee niitä tarkasti, käyttäen niitä jopa kaukaisten olentojen aistimiseen. Olen antanut tälle voimalle nimen ""aura"".")</f>
        <v>Hyvin urhean näköinen olento. Se säteilee energia-aaltoja ja hallitsee niitä tarkasti, käyttäen niitä jopa kaukaisten olentojen aistimiseen. Olen antanut tälle voimalle nimen "aura".</v>
      </c>
      <c r="C6752" s="9" t="s">
        <v>1344</v>
      </c>
    </row>
    <row r="6753" ht="33.75" customHeight="1">
      <c r="A6753" s="6" t="s">
        <v>10018</v>
      </c>
      <c r="B6753" s="6" t="str">
        <f>IFERROR(__xludf.DUMMYFUNCTION("GOOGLETRANSLATE(A6753,""en"",""fi"")"),"Se elää kuivilla paikoilla. Hien sijaan se erittää kehostaan ​​rakeista hiekkaa.")</f>
        <v>Se elää kuivilla paikoilla. Hien sijaan se erittää kehostaan ​​rakeista hiekkaa.</v>
      </c>
      <c r="C6753" s="9" t="s">
        <v>1344</v>
      </c>
    </row>
    <row r="6754" ht="33.75" customHeight="1">
      <c r="A6754" s="6" t="s">
        <v>10019</v>
      </c>
      <c r="B6754" s="6" t="str">
        <f>IFERROR(__xludf.DUMMYFUNCTION("GOOGLETRANSLATE(A6754,""en"",""fi"")"),"Se verhoutuu hiekkaan suojautuakseen bakteereilta. Se ei pidä kastumisesta.")</f>
        <v>Se verhoutuu hiekkaan suojautuakseen bakteereilta. Se ei pidä kastumisesta.</v>
      </c>
      <c r="C6754" s="9" t="s">
        <v>1344</v>
      </c>
    </row>
    <row r="6755" ht="33.75" customHeight="1">
      <c r="A6755" s="6" t="s">
        <v>10021</v>
      </c>
      <c r="B6755" s="6" t="str">
        <f>IFERROR(__xludf.DUMMYFUNCTION("GOOGLETRANSLATE(A6755,""en"",""fi"")"),"Se sulkee sieraimensa tiukasti ja kulkee sitten hiekan läpi kuin kävelisi. Ne muodostavat noin kymmenen yksilön yhdyskuntia.")</f>
        <v>Se sulkee sieraimensa tiukasti ja kulkee sitten hiekan läpi kuin kävelisi. Ne muodostavat noin kymmenen yksilön yhdyskuntia.</v>
      </c>
      <c r="C6755" s="9" t="s">
        <v>1344</v>
      </c>
    </row>
    <row r="6756" ht="33.75" customHeight="1">
      <c r="A6756" s="6" t="s">
        <v>10022</v>
      </c>
      <c r="B6756" s="6" t="str">
        <f>IFERROR(__xludf.DUMMYFUNCTION("GOOGLETRANSLATE(A6756,""en"",""fi"")"),"Se verhoutuu hiekkaan torjuakseen bakteereja. Se kulkee helposti aavikon hiekan läpi.")</f>
        <v>Se verhoutuu hiekkaan torjuakseen bakteereja. Se kulkee helposti aavikon hiekan läpi.</v>
      </c>
      <c r="C6756" s="9" t="s">
        <v>1344</v>
      </c>
    </row>
    <row r="6757" ht="33.75" customHeight="1">
      <c r="A6757" s="6" t="s">
        <v>10023</v>
      </c>
      <c r="B6757" s="6" t="str">
        <f>IFERROR(__xludf.DUMMYFUNCTION("GOOGLETRANSLATE(A6757,""en"",""fi"")"),"Se sulkee sieraimensa tiukasti ja kulkee sitten hiekan läpi ikään kuin kävelisi. Ne muodostavat noin 10 yksilön yhdyskuntia.")</f>
        <v>Se sulkee sieraimensa tiukasti ja kulkee sitten hiekan läpi ikään kuin kävelisi. Ne muodostavat noin 10 yksilön yhdyskuntia.</v>
      </c>
      <c r="C6757" s="9" t="s">
        <v>1344</v>
      </c>
    </row>
    <row r="6758" ht="33.75" customHeight="1">
      <c r="A6758" s="6" t="s">
        <v>10024</v>
      </c>
      <c r="B6758" s="6" t="str">
        <f>IFERROR(__xludf.DUMMYFUNCTION("GOOGLETRANSLATE(A6758,""en"",""fi"")"),"Se liikkuu hiekan halki suu auki ja nielee hiekkaa saaliinsa mukana. Se pääsee eroon hiekasta syöksymällä sitä kuonostaan.")</f>
        <v>Se liikkuu hiekan halki suu auki ja nielee hiekkaa saaliinsa mukana. Se pääsee eroon hiekasta syöksymällä sitä kuonostaan.</v>
      </c>
      <c r="C6758" s="9" t="s">
        <v>1344</v>
      </c>
    </row>
    <row r="6759" ht="33.75" customHeight="1">
      <c r="A6759" s="6" t="s">
        <v>10026</v>
      </c>
      <c r="B6759" s="6" t="str">
        <f>IFERROR(__xludf.DUMMYFUNCTION("GOOGLETRANSLATE(A6759,""en"",""fi"")"),"Tämä Pokémon on aktiivinen päivällä ja kulkee kylmien aavikkoöiden läpi kaivautuneena tiukasti hiekkaan.")</f>
        <v>Tämä Pokémon on aktiivinen päivällä ja kulkee kylmien aavikkoöiden läpi kaivautuneena tiukasti hiekkaan.</v>
      </c>
      <c r="C6759" s="9" t="s">
        <v>1344</v>
      </c>
    </row>
    <row r="6760" ht="33.75" customHeight="1">
      <c r="A6760" s="6" t="s">
        <v>10027</v>
      </c>
      <c r="B6760" s="6" t="str">
        <f>IFERROR(__xludf.DUMMYFUNCTION("GOOGLETRANSLATE(A6760,""en"",""fi"")"),"Vaikka virtahepo on suuri ja laiska, sitä on vaikea havaita, koska sillä on taipumus kaivautua maahan ja lymyillä sen alla. Kiihtyneenä tai levottomana se työntää hiekkaa sieraimistaan.")</f>
        <v>Vaikka virtahepo on suuri ja laiska, sitä on vaikea havaita, koska sillä on taipumus kaivautua maahan ja lymyillä sen alla. Kiihtyneenä tai levottomana se työntää hiekkaa sieraimistaan.</v>
      </c>
      <c r="C6760" s="9" t="s">
        <v>1344</v>
      </c>
    </row>
    <row r="6761" ht="33.75" customHeight="1">
      <c r="A6761" s="6" t="s">
        <v>10028</v>
      </c>
      <c r="B6761" s="6" t="str">
        <f>IFERROR(__xludf.DUMMYFUNCTION("GOOGLETRANSLATE(A6761,""en"",""fi"")"),"Se räjäyttää sisäisesti varastoitua hiekkaa rungonsa aukoista luodakseen kohoavan pyörremyrskyn hyökkäystä varten.")</f>
        <v>Se räjäyttää sisäisesti varastoitua hiekkaa rungonsa aukoista luodakseen kohoavan pyörremyrskyn hyökkäystä varten.</v>
      </c>
      <c r="C6761" s="9" t="s">
        <v>1344</v>
      </c>
    </row>
    <row r="6762" ht="33.75" customHeight="1">
      <c r="A6762" s="6" t="s">
        <v>10029</v>
      </c>
      <c r="B6762" s="6" t="str">
        <f>IFERROR(__xludf.DUMMYFUNCTION("GOOGLETRANSLATE(A6762,""en"",""fi"")"),"Sen valtava suu on lähes kaksi metriä leveä. Sillä on tarpeeksi voimaa murskata auton täysin.")</f>
        <v>Sen valtava suu on lähes kaksi metriä leveä. Sillä on tarpeeksi voimaa murskata auton täysin.</v>
      </c>
      <c r="C6762" s="9" t="s">
        <v>1344</v>
      </c>
    </row>
    <row r="6763" ht="33.75" customHeight="1">
      <c r="A6763" s="6" t="s">
        <v>10030</v>
      </c>
      <c r="B6763" s="6" t="str">
        <f>IFERROR(__xludf.DUMMYFUNCTION("GOOGLETRANSLATE(A6763,""en"",""fi"")"),"Se on yllättävän nopea suuttumaan. Se pitää suunsa auki voimansa osoituksena.")</f>
        <v>Se on yllättävän nopea suuttumaan. Se pitää suunsa auki voimansa osoituksena.</v>
      </c>
      <c r="C6763" s="9" t="s">
        <v>1344</v>
      </c>
    </row>
    <row r="6764" ht="33.75" customHeight="1">
      <c r="A6764" s="6" t="s">
        <v>10031</v>
      </c>
      <c r="B6764" s="6" t="str">
        <f>IFERROR(__xludf.DUMMYFUNCTION("GOOGLETRANSLATE(A6764,""en"",""fi"")"),"Se heiluttelee ammottavaa suutaan pelottavan voiman näytöksessä. Se nostaa ilmaan valtavia määriä hiekkaa hyökätessään.")</f>
        <v>Se heiluttelee ammottavaa suutaan pelottavan voiman näytöksessä. Se nostaa ilmaan valtavia määriä hiekkaa hyökätessään.</v>
      </c>
      <c r="C6764" s="9" t="s">
        <v>1344</v>
      </c>
    </row>
    <row r="6765" ht="33.75" customHeight="1">
      <c r="A6765" s="6" t="s">
        <v>10032</v>
      </c>
      <c r="B6765" s="6" t="str">
        <f>IFERROR(__xludf.DUMMYFUNCTION("GOOGLETRANSLATE(A6765,""en"",""fi"")"),"Kivet voivat juuttua niiden kehon aukkoihin. Dwebble auttaa irrottamaan tällaisia ​​kiviä, joten Hippowdon pitää huolta näistä Pokémoneista.")</f>
        <v>Kivet voivat juuttua niiden kehon aukkoihin. Dwebble auttaa irrottamaan tällaisia ​​kiviä, joten Hippowdon pitää huolta näistä Pokémoneista.</v>
      </c>
      <c r="C6765" s="9" t="s">
        <v>1344</v>
      </c>
    </row>
    <row r="6766" ht="33.75" customHeight="1">
      <c r="A6766" s="6" t="s">
        <v>10033</v>
      </c>
      <c r="B6766" s="6" t="str">
        <f>IFERROR(__xludf.DUMMYFUNCTION("GOOGLETRANSLATE(A6766,""en"",""fi"")"),"Raivonsa herättämänä se syöksyy ulos nielemänsä hiekkamäärät ja nostattaa hiekkamyrskyn.")</f>
        <v>Raivonsa herättämänä se syöksyy ulos nielemänsä hiekkamäärät ja nostattaa hiekkamyrskyn.</v>
      </c>
      <c r="C6766" s="9" t="s">
        <v>1344</v>
      </c>
    </row>
    <row r="6767" ht="33.75" customHeight="1">
      <c r="A6767" s="6" t="s">
        <v>10034</v>
      </c>
      <c r="B6767" s="6" t="str">
        <f>IFERROR(__xludf.DUMMYFUNCTION("GOOGLETRANSLATE(A6767,""en"",""fi"")"),"Ärsyyntynyt ja helposti väkivaltaan reagoiva. Se nostattaa hiekkapyörremyrskyjä murskatakseen vihollistensa hengen ja lähtee sitten hyökkäykseen.")</f>
        <v>Ärsyyntynyt ja helposti väkivaltaan reagoiva. Se nostattaa hiekkapyörremyrskyjä murskatakseen vihollistensa hengen ja lähtee sitten hyökkäykseen.</v>
      </c>
      <c r="C6767" s="9" t="s">
        <v>1344</v>
      </c>
    </row>
    <row r="6768" ht="33.75" customHeight="1">
      <c r="A6768" s="6" t="s">
        <v>10036</v>
      </c>
      <c r="B6768" s="6" t="str">
        <f>IFERROR(__xludf.DUMMYFUNCTION("GOOGLETRANSLATE(A6768,""en"",""fi"")"),"Se tarttuu saaliiseen pyrstökynsillään ja ruiskuttaa myrkkyä. Se roikkuu sinnikkäästi kiinni, kunnes myrkky imeytyy.")</f>
        <v>Se tarttuu saaliiseen pyrstökynsillään ja ruiskuttaa myrkkyä. Se roikkuu sinnikkäästi kiinni, kunnes myrkky imeytyy.</v>
      </c>
      <c r="C6768" s="9" t="s">
        <v>1344</v>
      </c>
    </row>
    <row r="6769" ht="33.75" customHeight="1">
      <c r="A6769" s="6" t="s">
        <v>10037</v>
      </c>
      <c r="B6769" s="6" t="str">
        <f>IFERROR(__xludf.DUMMYFUNCTION("GOOGLETRANSLATE(A6769,""en"",""fi"")"),"Se elää kuivilla seuduilla. Se hautautuu hiekkaan ja väijyy tietämätöntä saalista.")</f>
        <v>Se elää kuivilla seuduilla. Se hautautuu hiekkaan ja väijyy tietämätöntä saalista.</v>
      </c>
      <c r="C6769" s="9" t="s">
        <v>1344</v>
      </c>
    </row>
    <row r="6770" ht="33.75" customHeight="1">
      <c r="A6770" s="6" t="s">
        <v>10039</v>
      </c>
      <c r="B6770" s="6" t="str">
        <f>IFERROR(__xludf.DUMMYFUNCTION("GOOGLETRANSLATE(A6770,""en"",""fi"")"),"Heti kun pyrstökynnet sulkeutuvat, sen neulanpäät erittävät myrkkyä. Se voi selvitä vuoden ilman ruokaa.")</f>
        <v>Heti kun pyrstökynnet sulkeutuvat, sen neulanpäät erittävät myrkkyä. Se voi selvitä vuoden ilman ruokaa.</v>
      </c>
      <c r="C6770" s="9" t="s">
        <v>1344</v>
      </c>
    </row>
    <row r="6771" ht="33.75" customHeight="1">
      <c r="A6771" s="6" t="s">
        <v>10041</v>
      </c>
      <c r="B6771" s="6" t="str">
        <f>IFERROR(__xludf.DUMMYFUNCTION("GOOGLETRANSLATE(A6771,""en"",""fi"")"),"Se kaivautuu hiekan alle väijymään saalista. Sen pyrstökynnet voivat pistää saaliiseensa raakaa myrkkyä.")</f>
        <v>Se kaivautuu hiekan alle väijymään saalista. Sen pyrstökynnet voivat pistää saaliiseensa raakaa myrkkyä.</v>
      </c>
      <c r="C6771" s="9" t="s">
        <v>1344</v>
      </c>
    </row>
    <row r="6772" ht="33.75" customHeight="1">
      <c r="A6772" s="6" t="s">
        <v>10043</v>
      </c>
      <c r="B6772" s="6" t="str">
        <f>IFERROR(__xludf.DUMMYFUNCTION("GOOGLETRANSLATE(A6772,""en"",""fi"")"),"Se elää kuivilla alueilla ja voi olla ilman ruokaa vuoden ajan odottaessaan saalista.")</f>
        <v>Se elää kuivilla alueilla ja voi olla ilman ruokaa vuoden ajan odottaessaan saalista.</v>
      </c>
      <c r="C6772" s="9" t="s">
        <v>1344</v>
      </c>
    </row>
    <row r="6773" ht="33.75" customHeight="1">
      <c r="A6773" s="6" t="s">
        <v>10047</v>
      </c>
      <c r="B6773" s="6" t="str">
        <f>IFERROR(__xludf.DUMMYFUNCTION("GOOGLETRANSLATE(A6773,""en"",""fi"")"),"Kaivauduttuaan hiekkaan se odottaa kärsivällisesti saaliin tuloa lähelle. Tällä Pokémonilla ja Sizzlipedellä on yhteinen sukupuu.")</f>
        <v>Kaivauduttuaan hiekkaan se odottaa kärsivällisesti saaliin tuloa lähelle. Tällä Pokémonilla ja Sizzlipedellä on yhteinen sukupuu.</v>
      </c>
      <c r="C6773" s="9" t="s">
        <v>1344</v>
      </c>
    </row>
    <row r="6774" ht="33.75" customHeight="1">
      <c r="A6774" s="6" t="s">
        <v>10050</v>
      </c>
      <c r="B6774" s="6" t="str">
        <f>IFERROR(__xludf.DUMMYFUNCTION("GOOGLETRANSLATE(A6774,""en"",""fi"")"),"Se hyökkää käyttäen häntäänsä. Kun saalis on lukkiutunut sen otteeseen, se ei pysty liikkumaan, koska tämän Pokémonin myrkky pääsee sisään.")</f>
        <v>Se hyökkää käyttäen häntäänsä. Kun saalis on lukkiutunut sen otteeseen, se ei pysty liikkumaan, koska tämän Pokémonin myrkky pääsee sisään.</v>
      </c>
      <c r="C6774" s="9" t="s">
        <v>1344</v>
      </c>
    </row>
    <row r="6775" ht="33.75" customHeight="1">
      <c r="A6775" s="6" t="s">
        <v>10052</v>
      </c>
      <c r="B6775" s="6" t="str">
        <f>IFERROR(__xludf.DUMMYFUNCTION("GOOGLETRANSLATE(A6775,""en"",""fi"")"),"Sen kynnet ovat paitsi partaveitsen terävät myös myrkylliset, mikä tekee Skorupista erittäin vaarallisen Pokémonin. Kylmät lämpötilat näyttävät kuitenkin heikentävän sitä.")</f>
        <v>Sen kynnet ovat paitsi partaveitsen terävät myös myrkylliset, mikä tekee Skorupista erittäin vaarallisen Pokémonin. Kylmät lämpötilat näyttävät kuitenkin heikentävän sitä.</v>
      </c>
      <c r="C6775" s="9" t="s">
        <v>1344</v>
      </c>
    </row>
    <row r="6776" ht="33.75" customHeight="1">
      <c r="A6776" s="6" t="s">
        <v>10054</v>
      </c>
      <c r="B6776" s="6" t="str">
        <f>IFERROR(__xludf.DUMMYFUNCTION("GOOGLETRANSLATE(A6776,""en"",""fi"")"),"Sen kynsissä käsivarsissa on voima tehdä romua autosta. Sen kynsien kärjistä vapautuu myrkkyä.")</f>
        <v>Sen kynsissä käsivarsissa on voima tehdä romua autosta. Sen kynsien kärjistä vapautuu myrkkyä.</v>
      </c>
      <c r="C6776" s="9" t="s">
        <v>1344</v>
      </c>
    </row>
    <row r="6777" ht="33.75" customHeight="1">
      <c r="A6777" s="6" t="s">
        <v>10056</v>
      </c>
      <c r="B6777" s="6" t="str">
        <f>IFERROR(__xludf.DUMMYFUNCTION("GOOGLETRANSLATE(A6777,""en"",""fi"")"),"Sen runko on suojattu tukevalla kuorella. Sen pää kääntyy 180 astetta, mikä poistaa sokeat kulmat.")</f>
        <v>Sen runko on suojattu tukevalla kuorella. Sen pää kääntyy 180 astetta, mikä poistaa sokeat kulmat.</v>
      </c>
      <c r="C6777" s="9" t="s">
        <v>1344</v>
      </c>
    </row>
    <row r="6778" ht="33.75" customHeight="1">
      <c r="A6778" s="6" t="s">
        <v>10058</v>
      </c>
      <c r="B6778" s="6" t="str">
        <f>IFERROR(__xludf.DUMMYFUNCTION("GOOGLETRANSLATE(A6778,""en"",""fi"")"),"Vankkarakenteisena se on ylpeä voimastaan ​​ja kukistaa vihollisia käyttämättä myrkkyjä.")</f>
        <v>Vankkarakenteisena se on ylpeä voimastaan ​​ja kukistaa vihollisia käyttämättä myrkkyjä.</v>
      </c>
      <c r="C6778" s="9" t="s">
        <v>1344</v>
      </c>
    </row>
    <row r="6779" ht="33.75" customHeight="1">
      <c r="A6779" s="6" t="s">
        <v>10059</v>
      </c>
      <c r="B6779" s="6" t="str">
        <f>IFERROR(__xludf.DUMMYFUNCTION("GOOGLETRANSLATE(A6779,""en"",""fi"")"),"Se hyökkää aavikkoa ylittävien ihmisten ja Pokémonien kimppuun. Tämä on vain pahentanut sen huonoa mainetta.")</f>
        <v>Se hyökkää aavikkoa ylittävien ihmisten ja Pokémonien kimppuun. Tämä on vain pahentanut sen huonoa mainetta.</v>
      </c>
      <c r="C6779" s="9" t="s">
        <v>1344</v>
      </c>
    </row>
    <row r="6780" ht="33.75" customHeight="1">
      <c r="A6780" s="6" t="s">
        <v>10061</v>
      </c>
      <c r="B6780" s="6" t="str">
        <f>IFERROR(__xludf.DUMMYFUNCTION("GOOGLETRANSLATE(A6780,""en"",""fi"")"),"Se ylpeilee voimastaan. Vaikka se voi repiä vihollisia kappaleiksi, se viimeistelee heidät voimakkaalla myrkyllä.")</f>
        <v>Se ylpeilee voimastaan. Vaikka se voi repiä vihollisia kappaleiksi, se viimeistelee heidät voimakkaalla myrkyllä.</v>
      </c>
      <c r="C6780" s="9" t="s">
        <v>1344</v>
      </c>
    </row>
    <row r="6781" ht="33.75" customHeight="1">
      <c r="A6781" s="6" t="s">
        <v>10062</v>
      </c>
      <c r="B6781" s="6" t="str">
        <f>IFERROR(__xludf.DUMMYFUNCTION("GOOGLETRANSLATE(A6781,""en"",""fi"")"),"Sen myrkky on voimakasta, mutta sitä käytetään harvoin. Tämä Pokémon käyttää mieluummin fyysistä voimaa ja riehuu autoa murskaavalla voimallaan.")</f>
        <v>Sen myrkky on voimakasta, mutta sitä käytetään harvoin. Tämä Pokémon käyttää mieluummin fyysistä voimaa ja riehuu autoa murskaavalla voimallaan.</v>
      </c>
      <c r="C6781" s="9" t="s">
        <v>1344</v>
      </c>
    </row>
    <row r="6782" ht="33.75" customHeight="1">
      <c r="A6782" s="6" t="s">
        <v>10063</v>
      </c>
      <c r="B6782" s="6" t="str">
        <f>IFERROR(__xludf.DUMMYFUNCTION("GOOGLETRANSLATE(A6782,""en"",""fi"")"),"Se on niin ilkeä, että sitä kutsutaan Hiekkademoniksi. Silti Hippowdonin kohdatessa Drapion pysyy matalalla profiililla eikä koskaan aloita tappelua.")</f>
        <v>Se on niin ilkeä, että sitä kutsutaan Hiekkademoniksi. Silti Hippowdonin kohdatessa Drapion pysyy matalalla profiililla eikä koskaan aloita tappelua.</v>
      </c>
      <c r="C6782" s="9" t="s">
        <v>1344</v>
      </c>
    </row>
    <row r="6783" ht="33.75" customHeight="1">
      <c r="A6783" s="6" t="s">
        <v>10064</v>
      </c>
      <c r="B6783" s="6" t="str">
        <f>IFERROR(__xludf.DUMMYFUNCTION("GOOGLETRANSLATE(A6783,""en"",""fi"")"),"Sillä on raaka ja raivoisa luonne. Valtava voima ja tukeva kuori, josta miekat kimpoavat, riehuu ympäriinsä ja aiheuttaa tuhoa.")</f>
        <v>Sillä on raaka ja raivoisa luonne. Valtava voima ja tukeva kuori, josta miekat kimpoavat, riehuu ympäriinsä ja aiheuttaa tuhoa.</v>
      </c>
      <c r="C6783" s="9" t="s">
        <v>1344</v>
      </c>
    </row>
    <row r="6784" ht="33.75" customHeight="1">
      <c r="A6784" s="6" t="s">
        <v>10065</v>
      </c>
      <c r="B6784" s="6" t="str">
        <f>IFERROR(__xludf.DUMMYFUNCTION("GOOGLETRANSLATE(A6784,""en"",""fi"")"),"Sen poskissa on myrkkypusseja. Se yrittää yllättää viholliset ja iskeä heitä myrkyllisillä sormilla.")</f>
        <v>Sen poskissa on myrkkypusseja. Se yrittää yllättää viholliset ja iskeä heitä myrkyllisillä sormilla.</v>
      </c>
      <c r="C6784" s="9" t="s">
        <v>1344</v>
      </c>
    </row>
    <row r="6785" ht="33.75" customHeight="1">
      <c r="A6785" s="6" t="s">
        <v>10066</v>
      </c>
      <c r="B6785" s="6" t="str">
        <f>IFERROR(__xludf.DUMMYFUNCTION("GOOGLETRANSLATE(A6785,""en"",""fi"")"),"Se täyttää myrkkypussinsa ja päästää aavemaisen, pelotellakseen oloaan uhkaavan ulisevan äänen.")</f>
        <v>Se täyttää myrkkypussinsa ja päästää aavemaisen, pelotellakseen oloaan uhkaavan ulisevan äänen.</v>
      </c>
      <c r="C6785" s="9" t="s">
        <v>1344</v>
      </c>
    </row>
    <row r="6786" ht="33.75" customHeight="1">
      <c r="A6786" s="6" t="s">
        <v>10067</v>
      </c>
      <c r="B6786" s="6" t="str">
        <f>IFERROR(__xludf.DUMMYFUNCTION("GOOGLETRANSLATE(A6786,""en"",""fi"")"),"Se taistelee harvoin reilusti, mutta se on ehdottomasti selviytymisen varmistamiseksi. Se on suosittu maskotti.")</f>
        <v>Se taistelee harvoin reilusti, mutta se on ehdottomasti selviytymisen varmistamiseksi. Se on suosittu maskotti.</v>
      </c>
      <c r="C6786" s="9" t="s">
        <v>1344</v>
      </c>
    </row>
    <row r="6787" ht="33.75" customHeight="1">
      <c r="A6787" s="6" t="s">
        <v>10068</v>
      </c>
      <c r="B6787" s="6" t="str">
        <f>IFERROR(__xludf.DUMMYFUNCTION("GOOGLETRANSLATE(A6787,""en"",""fi"")"),"Sen sormesta puristettu neste, vaikkakin myrkyllinen, on merkittävä ainesosa alaselkäkipujen hoidossa.")</f>
        <v>Sen sormesta puristettu neste, vaikkakin myrkyllinen, on merkittävä ainesosa alaselkäkipujen hoidossa.</v>
      </c>
      <c r="C6787" s="9" t="s">
        <v>1344</v>
      </c>
    </row>
    <row r="6788" ht="33.75" customHeight="1">
      <c r="A6788" s="6" t="s">
        <v>10069</v>
      </c>
      <c r="B6788" s="6" t="str">
        <f>IFERROR(__xludf.DUMMYFUNCTION("GOOGLETRANSLATE(A6788,""en"",""fi"")"),"Sen sormesta puristettu neste, vaikkakin myrkyllinen, on merkittävä ainesosa alaselkäkipujen hoidossa.")</f>
        <v>Sen sormesta puristettu neste, vaikkakin myrkyllinen, on merkittävä ainesosa alaselkäkipujen hoidossa.</v>
      </c>
      <c r="C6788" s="9" t="s">
        <v>1344</v>
      </c>
    </row>
    <row r="6789" ht="33.75" customHeight="1">
      <c r="A6789" s="6" t="s">
        <v>10070</v>
      </c>
      <c r="B6789" s="6" t="str">
        <f>IFERROR(__xludf.DUMMYFUNCTION("GOOGLETRANSLATE(A6789,""en"",""fi"")"),"Se täyttää myrkkypussinsa, täyttää alueen oudolla äänellä ja iskee säpsähteleviä vastustajia myrkkypistolla.")</f>
        <v>Se täyttää myrkkypussinsa, täyttää alueen oudolla äänellä ja iskee säpsähteleviä vastustajia myrkkypistolla.</v>
      </c>
      <c r="C6789" s="9" t="s">
        <v>1344</v>
      </c>
    </row>
    <row r="6790" ht="33.75" customHeight="1">
      <c r="A6790" s="6" t="s">
        <v>10071</v>
      </c>
      <c r="B6790" s="6" t="str">
        <f>IFERROR(__xludf.DUMMYFUNCTION("GOOGLETRANSLATE(A6790,""en"",""fi"")"),"Se päästää pelottavia ääniä myrkkyä sisältävistä poskipussistaan. Kun vastustajat säpsähtävät, Croagunk iskee heihin myrkkypistolla.")</f>
        <v>Se päästää pelottavia ääniä myrkkyä sisältävistä poskipussistaan. Kun vastustajat säpsähtävät, Croagunk iskee heihin myrkkypistolla.</v>
      </c>
      <c r="C6790" s="9" t="s">
        <v>1344</v>
      </c>
    </row>
    <row r="6791" ht="33.75" customHeight="1">
      <c r="A6791" s="6" t="s">
        <v>10072</v>
      </c>
      <c r="B6791" s="6" t="str">
        <f>IFERROR(__xludf.DUMMYFUNCTION("GOOGLETRANSLATE(A6791,""en"",""fi"")"),"Laimennettuna sen myrkystä tulee lääkettä. Tämä Pokémon tuli suosituksi, kun lääkeyhtiö valitsi sen maskotiksi.")</f>
        <v>Laimennettuna sen myrkystä tulee lääkettä. Tämä Pokémon tuli suosituksi, kun lääkeyhtiö valitsi sen maskotiksi.</v>
      </c>
      <c r="C6791" s="9" t="s">
        <v>1344</v>
      </c>
    </row>
    <row r="6792" ht="33.75" customHeight="1">
      <c r="A6792" s="6" t="s">
        <v>10073</v>
      </c>
      <c r="B6792" s="6" t="str">
        <f>IFERROR(__xludf.DUMMYFUNCTION("GOOGLETRANSLATE(A6792,""en"",""fi"")"),"Myrkynkäyttäjä, jolla on ilkeämielinen persoonallisuus. Näistä ominaisuuksista huolimatta tämä laji on saavuttanut suosiota omituisen huutonsa ja koomisten piirteidensä ansiosta.")</f>
        <v>Myrkynkäyttäjä, jolla on ilkeämielinen persoonallisuus. Näistä ominaisuuksista huolimatta tämä laji on saavuttanut suosiota omituisen huutonsa ja koomisten piirteidensä ansiosta.</v>
      </c>
      <c r="C6792" s="9" t="s">
        <v>1344</v>
      </c>
    </row>
    <row r="6793" ht="33.75" customHeight="1">
      <c r="A6793" s="6" t="s">
        <v>10074</v>
      </c>
      <c r="B6793" s="6" t="str">
        <f>IFERROR(__xludf.DUMMYFUNCTION("GOOGLETRANSLATE(A6793,""en"",""fi"")"),"Sen rystysten kynnet erittävät niin myrkyllistä myrkkyä, että jo naarmu voi olla kohtalokas.")</f>
        <v>Sen rystysten kynnet erittävät niin myrkyllistä myrkkyä, että jo naarmu voi olla kohtalokas.</v>
      </c>
      <c r="C6793" s="9" t="s">
        <v>1344</v>
      </c>
    </row>
    <row r="6794" ht="33.75" customHeight="1">
      <c r="A6794" s="6" t="s">
        <v>10076</v>
      </c>
      <c r="B6794" s="6" t="str">
        <f>IFERROR(__xludf.DUMMYFUNCTION("GOOGLETRANSLATE(A6794,""en"",""fi"")"),"Myrkkypusseissaan tuotettu toksiini pumpataan rystysten kynsiin putkien kautta sen käsivarsia pitkin.")</f>
        <v>Myrkkypusseissaan tuotettu toksiini pumpataan rystysten kynsiin putkien kautta sen käsivarsia pitkin.</v>
      </c>
      <c r="C6794" s="9" t="s">
        <v>1344</v>
      </c>
    </row>
    <row r="6795" ht="33.75" customHeight="1">
      <c r="A6795" s="6" t="s">
        <v>10078</v>
      </c>
      <c r="B6795" s="6" t="str">
        <f>IFERROR(__xludf.DUMMYFUNCTION("GOOGLETRANSLATE(A6795,""en"",""fi"")"),"Sen kurkussa on myrkkypussi. Kun se kähisee, varastoitu myrkky kirnutaan vahvemmaksi.")</f>
        <v>Sen kurkussa on myrkkypussi. Kun se kähisee, varastoitu myrkky kirnutaan vahvemmaksi.</v>
      </c>
      <c r="C6795" s="9" t="s">
        <v>1344</v>
      </c>
    </row>
    <row r="6796" ht="33.75" customHeight="1">
      <c r="A6796" s="6" t="s">
        <v>10079</v>
      </c>
      <c r="B6796" s="6" t="str">
        <f>IFERROR(__xludf.DUMMYFUNCTION("GOOGLETRANSLATE(A6796,""en"",""fi"")"),"Se horjahtelee ja väistelee vihollistensa hyökkäyksiä, painaa joustavaa ruumistaan ​​lähelle ja syöksyy sitten esiin myrkyllisillä kynsillään.")</f>
        <v>Se horjahtelee ja väistelee vihollistensa hyökkäyksiä, painaa joustavaa ruumistaan ​​lähelle ja syöksyy sitten esiin myrkyllisillä kynsillään.</v>
      </c>
      <c r="C6796" s="9" t="s">
        <v>1344</v>
      </c>
    </row>
    <row r="6797" ht="33.75" customHeight="1">
      <c r="A6797" s="6" t="s">
        <v>10080</v>
      </c>
      <c r="B6797" s="6" t="str">
        <f>IFERROR(__xludf.DUMMYFUNCTION("GOOGLETRANSLATE(A6797,""en"",""fi"")"),"Toxicroakin ennen taistelua päästämä kähinä on tarkoitettu myrkkypussiinsa varastoiman myrkyn vatkaamiseen.")</f>
        <v>Toxicroakin ennen taistelua päästämä kähinä on tarkoitettu myrkkypussiinsa varastoiman myrkyn vatkaamiseen.</v>
      </c>
      <c r="C6797" s="9" t="s">
        <v>1344</v>
      </c>
    </row>
    <row r="6798" ht="33.75" customHeight="1">
      <c r="A6798" s="6" t="s">
        <v>10082</v>
      </c>
      <c r="B6798" s="6" t="str">
        <f>IFERROR(__xludf.DUMMYFUNCTION("GOOGLETRANSLATE(A6798,""en"",""fi"")"),"Se pomppii vastustajia kohti ja lävistää heidät myrkyllisillä kynsillään. Ei tarvita enempää kuin naarmu tyrmätäkseen vastustajansa.")</f>
        <v>Se pomppii vastustajia kohti ja lävistää heidät myrkyllisillä kynsillään. Ei tarvita enempää kuin naarmu tyrmätäkseen vastustajansa.</v>
      </c>
      <c r="C6798" s="9" t="s">
        <v>1344</v>
      </c>
    </row>
    <row r="6799" ht="33.75" customHeight="1">
      <c r="A6799" s="6" t="s">
        <v>10084</v>
      </c>
      <c r="B6799" s="6" t="str">
        <f>IFERROR(__xludf.DUMMYFUNCTION("GOOGLETRANSLATE(A6799,""en"",""fi"")"),"Se päästää voitonäänestyksen, kun sen saalis kaatuu tappion iskiessä. Tämä Pokémon ja Seismitoad ovat sukua toisilleen.")</f>
        <v>Se päästää voitonäänestyksen, kun sen saalis kaatuu tappion iskiessä. Tämä Pokémon ja Seismitoad ovat sukua toisilleen.</v>
      </c>
      <c r="C6799" s="9" t="s">
        <v>1344</v>
      </c>
    </row>
    <row r="6800" ht="33.75" customHeight="1">
      <c r="A6800" s="6" t="s">
        <v>10086</v>
      </c>
      <c r="B6800" s="6" t="str">
        <f>IFERROR(__xludf.DUMMYFUNCTION("GOOGLETRANSLATE(A6800,""en"",""fi"")"),"Sen karmiininpunaiset kynnet sisältävät myrkyllistä myrkkyä. Tästä myrkystä voidaan tehdä tonic-lääke laimentamalla sitä, sekoittamalla sitä useisiin villiheinälajeihin ja keittämällä sitä kahden päivän ajan.")</f>
        <v>Sen karmiininpunaiset kynnet sisältävät myrkyllistä myrkkyä. Tästä myrkystä voidaan tehdä tonic-lääke laimentamalla sitä, sekoittamalla sitä useisiin villiheinälajeihin ja keittämällä sitä kahden päivän ajan.</v>
      </c>
      <c r="C6800" s="9" t="s">
        <v>1344</v>
      </c>
    </row>
    <row r="6801" ht="33.75" customHeight="1">
      <c r="A6801" s="6" t="s">
        <v>10087</v>
      </c>
      <c r="B6801" s="6" t="str">
        <f>IFERROR(__xludf.DUMMYFUNCTION("GOOGLETRANSLATE(A6801,""en"",""fi"")"),"Se houkuttelee saalista makeanhajuisella syljellään ja sitten pureskelee sitä. Saaliin syömiseen kuluu kokonainen päivä.")</f>
        <v>Se houkuttelee saalista makeanhajuisella syljellään ja sitten pureskelee sitä. Saaliin syömiseen kuluu kokonainen päivä.</v>
      </c>
      <c r="C6801" s="9" t="s">
        <v>1344</v>
      </c>
    </row>
    <row r="6802" ht="33.75" customHeight="1">
      <c r="A6802" s="6" t="s">
        <v>10090</v>
      </c>
      <c r="B6802" s="6" t="str">
        <f>IFERROR(__xludf.DUMMYFUNCTION("GOOGLETRANSLATE(A6802,""en"",""fi"")"),"Se roikkuu oksista lonkeroiden avulla ja näyttää kasvilta. Se odottaa saalista suu ammollaan.")</f>
        <v>Se roikkuu oksista lonkeroiden avulla ja näyttää kasvilta. Se odottaa saalista suu ammollaan.</v>
      </c>
      <c r="C6802" s="9" t="s">
        <v>1344</v>
      </c>
    </row>
    <row r="6803" ht="33.75" customHeight="1">
      <c r="A6803" s="6" t="s">
        <v>10093</v>
      </c>
      <c r="B6803" s="6" t="str">
        <f>IFERROR(__xludf.DUMMYFUNCTION("GOOGLETRANSLATE(A6803,""en"",""fi"")"),"Se kiinnittyy puihin soilla. Se houkuttelee saalista makeanhajuisella kuolallaan ja nielee sen alas.")</f>
        <v>Se kiinnittyy puihin soilla. Se houkuttelee saalista makeanhajuisella kuolallaan ja nielee sen alas.</v>
      </c>
      <c r="C6803" s="9" t="s">
        <v>1344</v>
      </c>
    </row>
    <row r="6804" ht="33.75" customHeight="1">
      <c r="A6804" s="6" t="s">
        <v>10094</v>
      </c>
      <c r="B6804" s="6" t="str">
        <f>IFERROR(__xludf.DUMMYFUNCTION("GOOGLETRANSLATE(A6804,""en"",""fi"")"),"Se kävelee lonkeroillaan etsien puun oksaa, josta se voi roikkua alas ja väijyttää saalista.")</f>
        <v>Se kävelee lonkeroillaan etsien puun oksaa, josta se voi roikkua alas ja väijyttää saalista.</v>
      </c>
      <c r="C6804" s="9" t="s">
        <v>1344</v>
      </c>
    </row>
    <row r="6805" ht="33.75" customHeight="1">
      <c r="A6805" s="6" t="s">
        <v>10096</v>
      </c>
      <c r="B6805" s="6" t="str">
        <f>IFERROR(__xludf.DUMMYFUNCTION("GOOGLETRANSLATE(A6805,""en"",""fi"")"),"Se väijyy saalista lonkeroillaan kiinnittäen itsensä puihin ja houkuttelee sitä lähelleen makeantuoksuisella kuolallaan.")</f>
        <v>Se väijyy saalista lonkeroillaan kiinnittäen itsensä puihin ja houkuttelee sitä lähelleen makeantuoksuisella kuolallaan.</v>
      </c>
      <c r="C6805" s="9" t="s">
        <v>1344</v>
      </c>
    </row>
    <row r="6806" ht="33.75" customHeight="1">
      <c r="A6806" s="6" t="s">
        <v>10098</v>
      </c>
      <c r="B6806" s="6" t="str">
        <f>IFERROR(__xludf.DUMMYFUNCTION("GOOGLETRANSLATE(A6806,""en"",""fi"")"),"Se houkuttelee saalista makeanhajuisella syljellään ja sitten jyrää sen. Saaliin syömiseen kuluu kokonainen päivä.")</f>
        <v>Se houkuttelee saalista makeanhajuisella syljellään ja sitten jyrää sen. Saaliin syömiseen kuluu kokonainen päivä.</v>
      </c>
      <c r="C6806" s="9" t="s">
        <v>1344</v>
      </c>
    </row>
    <row r="6807" ht="33.75" customHeight="1">
      <c r="A6807" s="6" t="s">
        <v>10099</v>
      </c>
      <c r="B6807" s="6" t="str">
        <f>IFERROR(__xludf.DUMMYFUNCTION("GOOGLETRANSLATE(A6807,""en"",""fi"")"),"Se kiinnittyy puihin soilla. Se houkuttelee saalista makeantuoksuisella kuolallaan ja nielee sen alas.")</f>
        <v>Se kiinnittyy puihin soilla. Se houkuttelee saalista makeantuoksuisella kuolallaan ja nielee sen alas.</v>
      </c>
      <c r="C6807" s="9" t="s">
        <v>1344</v>
      </c>
    </row>
    <row r="6808" ht="33.75" customHeight="1">
      <c r="A6808" s="6" t="s">
        <v>10101</v>
      </c>
      <c r="B6808" s="6" t="str">
        <f>IFERROR(__xludf.DUMMYFUNCTION("GOOGLETRANSLATE(A6808,""en"",""fi"")"),"Vaikka tämä on kasvi-Pokémon, sillä on ahne ja kuriton luonne. Carnivine hyökkää saaliinsa kimppuun ammollaan oleva luolamainen kita.")</f>
        <v>Vaikka tämä on kasvi-Pokémon, sillä on ahne ja kuriton luonne. Carnivine hyökkää saaliinsa kimppuun ammollaan oleva luolamainen kita.</v>
      </c>
      <c r="C6808" s="9" t="s">
        <v>1344</v>
      </c>
    </row>
    <row r="6809" ht="33.75" customHeight="1">
      <c r="A6809" s="6" t="s">
        <v>10103</v>
      </c>
      <c r="B6809" s="6" t="str">
        <f>IFERROR(__xludf.DUMMYFUNCTION("GOOGLETRANSLATE(A6809,""en"",""fi"")"),"Pitkän auringonvalolle altistumisen jälkeen sen pyrstöevien kuviot loistavat kirkkaasti pimeän laskeutuessa.")</f>
        <v>Pitkän auringonvalolle altistumisen jälkeen sen pyrstöevien kuviot loistavat kirkkaasti pimeän laskeutuessa.</v>
      </c>
      <c r="C6809" s="9" t="s">
        <v>1344</v>
      </c>
    </row>
    <row r="6810" ht="33.75" customHeight="1">
      <c r="A6810" s="6" t="s">
        <v>10104</v>
      </c>
      <c r="B6810" s="6" t="str">
        <f>IFERROR(__xludf.DUMMYFUNCTION("GOOGLETRANSLATE(A6810,""en"",""fi"")"),"Tapa, jolla sen kaksi pyrstöevää lepattavat uidessa, on ansainnut sille lempinimen ""Meren KAUNIS"".")</f>
        <v>Tapa, jolla sen kaksi pyrstöevää lepattavat uidessa, on ansainnut sille lempinimen "Meren KAUNIS".</v>
      </c>
      <c r="C6810" s="9" t="s">
        <v>1344</v>
      </c>
    </row>
    <row r="6811" ht="33.75" customHeight="1">
      <c r="A6811" s="6" t="s">
        <v>10105</v>
      </c>
      <c r="B6811" s="6" t="str">
        <f>IFERROR(__xludf.DUMMYFUNCTION("GOOGLETRANSLATE(A6811,""en"",""fi"")"),"Sen kylkeä pitkin kulkeva viiva voi varastoida auringonvaloa. Se loistaa kirkkaasti yöllä.")</f>
        <v>Sen kylkeä pitkin kulkeva viiva voi varastoida auringonvaloa. Se loistaa kirkkaasti yöllä.</v>
      </c>
      <c r="C6811" s="9" t="s">
        <v>1344</v>
      </c>
    </row>
    <row r="6812" ht="33.75" customHeight="1">
      <c r="A6812" s="6" t="s">
        <v>10106</v>
      </c>
      <c r="B6812" s="6" t="str">
        <f>IFERROR(__xludf.DUMMYFUNCTION("GOOGLETRANSLATE(A6812,""en"",""fi"")"),"Uimalla ja kahdella pyrstöevällään se näyttää KAUNISELTA. Yöllä sen pyrstöevien kuviot hohtavat pehmeästi.")</f>
        <v>Uimalla ja kahdella pyrstöevällään se näyttää KAUNISELTA. Yöllä sen pyrstöevien kuviot hohtavat pehmeästi.</v>
      </c>
      <c r="C6812" s="9" t="s">
        <v>1344</v>
      </c>
    </row>
    <row r="6813" ht="33.75" customHeight="1">
      <c r="A6813" s="6" t="s">
        <v>10107</v>
      </c>
      <c r="B6813" s="6" t="str">
        <f>IFERROR(__xludf.DUMMYFUNCTION("GOOGLETRANSLATE(A6813,""en"",""fi"")"),"Se imee auringonvaloa ihonsa vaaleanpunaisilla alueilla, jotka sitten hohtavat. Tämä näyttää olevan eräänlainen naamiointi.")</f>
        <v>Se imee auringonvaloa ihonsa vaaleanpunaisilla alueilla, jotka sitten hohtavat. Tämä näyttää olevan eräänlainen naamiointi.</v>
      </c>
      <c r="C6813" s="9" t="s">
        <v>1344</v>
      </c>
    </row>
    <row r="6814" ht="33.75" customHeight="1">
      <c r="A6814" s="6" t="s">
        <v>10109</v>
      </c>
      <c r="B6814" s="6" t="str">
        <f>IFERROR(__xludf.DUMMYFUNCTION("GOOGLETRANSLATE(A6814,""en"",""fi"")"),"Sen kaksinkertaiset pyrstöevät vauhdittavat sen energisiä hyppyjä. Kun se rikkoo merenpinnan, Wingull syöksyy alas napatakseen sen lennossa.")</f>
        <v>Sen kaksinkertaiset pyrstöevät vauhdittavat sen energisiä hyppyjä. Kun se rikkoo merenpinnan, Wingull syöksyy alas napatakseen sen lennossa.</v>
      </c>
      <c r="C6814" s="9" t="s">
        <v>1344</v>
      </c>
    </row>
    <row r="6815" ht="33.75" customHeight="1">
      <c r="A6815" s="6" t="s">
        <v>10110</v>
      </c>
      <c r="B6815" s="6" t="str">
        <f>IFERROR(__xludf.DUMMYFUNCTION("GOOGLETRANSLATE(A6815,""en"",""fi"")"),"Illan laskeutuessa niiden vaaleanpunaiset kuviot alkavat loistaa. Ne ovat sukeltajien suosiossa, joten on olemassa lomakohteita, jotka ruokkivat niitä pitääkseen ne lähellä.")</f>
        <v>Illan laskeutuessa niiden vaaleanpunaiset kuviot alkavat loistaa. Ne ovat sukeltajien suosiossa, joten on olemassa lomakohteita, jotka ruokkivat niitä pitääkseen ne lähellä.</v>
      </c>
      <c r="C6815" s="9" t="s">
        <v>1344</v>
      </c>
    </row>
    <row r="6816" ht="33.75" customHeight="1">
      <c r="A6816" s="6" t="s">
        <v>10111</v>
      </c>
      <c r="B6816" s="6" t="str">
        <f>IFERROR(__xludf.DUMMYFUNCTION("GOOGLETRANSLATE(A6816,""en"",""fi"")"),"Se houkuttelee saalista kiiltävillä pyrstöevillä. Se pysyy lähellä pintaa päivällä ja siirtyy syvyyksiin yön laskeutuessa.")</f>
        <v>Se houkuttelee saalista kiiltävillä pyrstöevillä. Se pysyy lähellä pintaa päivällä ja siirtyy syvyyksiin yön laskeutuessa.</v>
      </c>
      <c r="C6816" s="9" t="s">
        <v>1344</v>
      </c>
    </row>
    <row r="6817" ht="33.75" customHeight="1">
      <c r="A6817" s="6" t="s">
        <v>10112</v>
      </c>
      <c r="B6817" s="6" t="str">
        <f>IFERROR(__xludf.DUMMYFUNCTION("GOOGLETRANSLATE(A6817,""en"",""fi"")"),"Mikä upea näky tämä Pokémon onkaan uiessaan pitkien, vaaleanpunaisten pyrstöeviensä lepattaessa perässä. Finneonin kaunis ulkonäkö on johtanut sen lempinimeen: ""hieno kala"".")</f>
        <v>Mikä upea näky tämä Pokémon onkaan uiessaan pitkien, vaaleanpunaisten pyrstöeviensä lepattaessa perässä. Finneonin kaunis ulkonäkö on johtanut sen lempinimeen: "hieno kala".</v>
      </c>
      <c r="C6817" s="9" t="s">
        <v>1344</v>
      </c>
    </row>
    <row r="6818" ht="33.75" customHeight="1">
      <c r="A6818" s="6" t="s">
        <v>10113</v>
      </c>
      <c r="B6818" s="6" t="str">
        <f>IFERROR(__xludf.DUMMYFUNCTION("GOOGLETRANSLATE(A6818,""en"",""fi"")"),"Se elää syvänmeren pohjassa. Se houkuttelee saalista väläyttämällä kuvioita neljässä pyrstöevässään.")</f>
        <v>Se elää syvänmeren pohjassa. Se houkuttelee saalista väläyttämällä kuvioita neljässä pyrstöevässään.</v>
      </c>
      <c r="C6818" s="9" t="s">
        <v>1344</v>
      </c>
    </row>
    <row r="6819" ht="33.75" customHeight="1">
      <c r="A6819" s="6" t="s">
        <v>10114</v>
      </c>
      <c r="B6819" s="6" t="str">
        <f>IFERROR(__xludf.DUMMYFUNCTION("GOOGLETRANSLATE(A6819,""en"",""fi"")"),"Välttääkseen petoeläinten havaitsemisen se ryömii merenpohjaa pitkin käyttäen kahta rinnassaan olevaa evää.")</f>
        <v>Välttääkseen petoeläinten havaitsemisen se ryömii merenpohjaa pitkin käyttäen kahta rinnassaan olevaa evää.</v>
      </c>
      <c r="C6819" s="9" t="s">
        <v>1344</v>
      </c>
    </row>
    <row r="6820" ht="33.75" customHeight="1">
      <c r="A6820" s="6" t="s">
        <v>10115</v>
      </c>
      <c r="B6820" s="6" t="str">
        <f>IFERROR(__xludf.DUMMYFUNCTION("GOOGLETRANSLATE(A6820,""en"",""fi"")"),"Se ryömii merenpohjaa pitkin käyttäen pitkiä etueviään jalkojen tavoin. Se kilpailee ravinnosta LANTURNin kanssa.")</f>
        <v>Se ryömii merenpohjaa pitkin käyttäen pitkiä etueviään jalkojen tavoin. Se kilpailee ravinnosta LANTURNin kanssa.</v>
      </c>
      <c r="C6820" s="9" t="s">
        <v>1344</v>
      </c>
    </row>
    <row r="6821" ht="33.75" customHeight="1">
      <c r="A6821" s="6" t="s">
        <v>10117</v>
      </c>
      <c r="B6821" s="6" t="str">
        <f>IFERROR(__xludf.DUMMYFUNCTION("GOOGLETRANSLATE(A6821,""en"",""fi"")"),"Syvänmeren pimeydessä uivat LUMINEONIT näyttävät yötaivaalla loistavilta tähdiltä.")</f>
        <v>Syvänmeren pimeydessä uivat LUMINEONIT näyttävät yötaivaalla loistavilta tähdiltä.</v>
      </c>
      <c r="C6821" s="9" t="s">
        <v>1344</v>
      </c>
    </row>
    <row r="6822" ht="33.75" customHeight="1">
      <c r="A6822" s="6" t="s">
        <v>10118</v>
      </c>
      <c r="B6822" s="6" t="str">
        <f>IFERROR(__xludf.DUMMYFUNCTION("GOOGLETRANSLATE(A6822,""en"",""fi"")"),"Se ryömii merenpohjaa pitkin käyttäen pitkiä etueviään jalkojen tavoin. Se kilpailee ravinnosta Lanturnin kanssa.")</f>
        <v>Se ryömii merenpohjaa pitkin käyttäen pitkiä etueviään jalkojen tavoin. Se kilpailee ravinnosta Lanturnin kanssa.</v>
      </c>
      <c r="C6822" s="9" t="s">
        <v>1344</v>
      </c>
    </row>
    <row r="6823" ht="33.75" customHeight="1">
      <c r="A6823" s="6" t="s">
        <v>10119</v>
      </c>
      <c r="B6823" s="6" t="str">
        <f>IFERROR(__xludf.DUMMYFUNCTION("GOOGLETRANSLATE(A6823,""en"",""fi"")"),"Kirkkaalla valollaan se houkuttelee saaliinsa lähelle. Valo kuitenkin houkuttelee myös raivokkaita kala-Pokémoneja – sen luonnollisia saalistajia.")</f>
        <v>Kirkkaalla valollaan se houkuttelee saaliinsa lähelle. Valo kuitenkin houkuttelee myös raivokkaita kala-Pokémoneja – sen luonnollisia saalistajia.</v>
      </c>
      <c r="C6823" s="9" t="s">
        <v>1344</v>
      </c>
    </row>
    <row r="6824" ht="33.75" customHeight="1">
      <c r="A6824" s="6" t="s">
        <v>10120</v>
      </c>
      <c r="B6824" s="6" t="str">
        <f>IFERROR(__xludf.DUMMYFUNCTION("GOOGLETRANSLATE(A6824,""en"",""fi"")"),"Tämä syvänmeren Pokémon elää meren pohjassa. Sen evät kuljettavat sitä merenpohjan yli etsimään lempiruokaansa, Starmieta.")</f>
        <v>Tämä syvänmeren Pokémon elää meren pohjassa. Sen evät kuljettavat sitä merenpohjan yli etsimään lempiruokaansa, Starmieta.</v>
      </c>
      <c r="C6824" s="9" t="s">
        <v>1344</v>
      </c>
    </row>
    <row r="6825" ht="33.75" customHeight="1">
      <c r="A6825" s="6" t="s">
        <v>10121</v>
      </c>
      <c r="B6825" s="6" t="str">
        <f>IFERROR(__xludf.DUMMYFUNCTION("GOOGLETRANSLATE(A6825,""en"",""fi"")"),"Syvällä merenpohjassa saalista on niukasti. Lumineonit ajautuvat rajuihin kiistoihin Lanturnin kanssa ruoasta.")</f>
        <v>Syvällä merenpohjassa saalista on niukasti. Lumineonit ajautuvat rajuihin kiistoihin Lanturnin kanssa ruoasta.</v>
      </c>
      <c r="C6825" s="9" t="s">
        <v>1344</v>
      </c>
    </row>
    <row r="6826" ht="33.75" customHeight="1">
      <c r="A6826" s="6" t="s">
        <v>10122</v>
      </c>
      <c r="B6826" s="6" t="str">
        <f>IFERROR(__xludf.DUMMYFUNCTION("GOOGLETRANSLATE(A6826,""en"",""fi"")"),"Ne kulkevat syvissä vesissä kuin ryömisivät merenpohjaa pitkin. Sen evien fantastiset valot loistavat kuin tähdet yötaivaalla.")</f>
        <v>Ne kulkevat syvissä vesissä kuin ryömisivät merenpohjaa pitkin. Sen evien fantastiset valot loistavat kuin tähdet yötaivaalla.</v>
      </c>
      <c r="C6826" s="9" t="s">
        <v>1344</v>
      </c>
    </row>
    <row r="6827" ht="33.75" customHeight="1">
      <c r="A6827" s="6" t="s">
        <v>10123</v>
      </c>
      <c r="B6827" s="6" t="str">
        <f>IFERROR(__xludf.DUMMYFUNCTION("GOOGLETRANSLATE(A6827,""en"",""fi"")"),"Käyttää kiiltäviä eviään saaliinsa metsästämiseen. Näkymä Lumineonien parvesta merenpinnan lähellä yöllä on henkeäsalpaava – aivan kuin siinä olisi loistavia tähtiä.")</f>
        <v>Käyttää kiiltäviä eviään saaliinsa metsästämiseen. Näkymä Lumineonien parvesta merenpinnan lähellä yöllä on henkeäsalpaava – aivan kuin siinä olisi loistavia tähtiä.</v>
      </c>
      <c r="C6827" s="9" t="s">
        <v>1344</v>
      </c>
    </row>
    <row r="6828" ht="33.75" customHeight="1">
      <c r="A6828" s="6" t="s">
        <v>10124</v>
      </c>
      <c r="B6828" s="6" t="str">
        <f>IFERROR(__xludf.DUMMYFUNCTION("GOOGLETRANSLATE(A6828,""en"",""fi"")"),"Ystävällinen Pokémon, joka tallentaa meriveden hienovaraiset virtaukset kahdella antennillaan.")</f>
        <v>Ystävällinen Pokémon, joka tallentaa meriveden hienovaraiset virtaukset kahdella antennillaan.</v>
      </c>
      <c r="C6828" s="9" t="s">
        <v>1344</v>
      </c>
    </row>
    <row r="6829" ht="33.75" customHeight="1">
      <c r="A6829" s="6" t="s">
        <v>10125</v>
      </c>
      <c r="B6829" s="6" t="str">
        <f>IFERROR(__xludf.DUMMYFUNCTION("GOOGLETRANSLATE(A6829,""en"",""fi"")"),"Tutkijat havaitsivat, että sen selän tunnusomaiset kuviot vaihtelevat alueittain.")</f>
        <v>Tutkijat havaitsivat, että sen selän tunnusomaiset kuviot vaihtelevat alueittain.</v>
      </c>
      <c r="C6829" s="9" t="s">
        <v>1344</v>
      </c>
    </row>
    <row r="6830" ht="33.75" customHeight="1">
      <c r="A6830" s="6" t="s">
        <v>10126</v>
      </c>
      <c r="B6830" s="6" t="str">
        <f>IFERROR(__xludf.DUMMYFUNCTION("GOOGLETRANSLATE(A6830,""en"",""fi"")"),"Ihmiset järjestävät retkiä nähdäkseen tämän Pokémonin leikkivän ja livahtavan aaltojen huipuilla REMORAIDin kanssa.")</f>
        <v>Ihmiset järjestävät retkiä nähdäkseen tämän Pokémonin leikkivän ja livahtavan aaltojen huipuilla REMORAIDin kanssa.</v>
      </c>
      <c r="C6830" s="9" t="s">
        <v>1344</v>
      </c>
    </row>
    <row r="6831" ht="33.75" customHeight="1">
      <c r="A6831" s="6" t="s">
        <v>10127</v>
      </c>
      <c r="B6831" s="6" t="str">
        <f>IFERROR(__xludf.DUMMYFUNCTION("GOOGLETRANSLATE(A6831,""en"",""fi"")"),"Kun se ui lähellä merenpintaa, laivoilla olevat ihmiset pystyvät havaitsemaan sen selässä olevan kuvion.")</f>
        <v>Kun se ui lähellä merenpintaa, laivoilla olevat ihmiset pystyvät havaitsemaan sen selässä olevan kuvion.</v>
      </c>
      <c r="C6831" s="9" t="s">
        <v>1344</v>
      </c>
    </row>
    <row r="6832" ht="33.75" customHeight="1">
      <c r="A6832" s="6" t="s">
        <v>10128</v>
      </c>
      <c r="B6832" s="6" t="str">
        <f>IFERROR(__xludf.DUMMYFUNCTION("GOOGLETRANSLATE(A6832,""en"",""fi"")"),"Ihmiset järjestävät retkiä nähdäkseen tämän Pokémonin leikkivän ja livahtavan aaltojen huipuilla Remoraidin kanssa.")</f>
        <v>Ihmiset järjestävät retkiä nähdäkseen tämän Pokémonin leikkivän ja livahtavan aaltojen huipuilla Remoraidin kanssa.</v>
      </c>
      <c r="C6832" s="9" t="s">
        <v>1344</v>
      </c>
    </row>
    <row r="6833" ht="33.75" customHeight="1">
      <c r="A6833" s="6" t="s">
        <v>10129</v>
      </c>
      <c r="B6833" s="6" t="str">
        <f>IFERROR(__xludf.DUMMYFUNCTION("GOOGLETRANSLATE(A6833,""en"",""fi"")"),"Sen selän kuvio vaihtelee alueittain. Se ui usein remoraidien parvessa.")</f>
        <v>Sen selän kuvio vaihtelee alueittain. Se ui usein remoraidien parvessa.</v>
      </c>
      <c r="C6833" s="9" t="s">
        <v>1344</v>
      </c>
    </row>
    <row r="6834" ht="33.75" customHeight="1">
      <c r="A6834" s="6" t="s">
        <v>10131</v>
      </c>
      <c r="B6834" s="6" t="str">
        <f>IFERROR(__xludf.DUMMYFUNCTION("GOOGLETRANSLATE(A6834,""en"",""fi"")"),"Se on erittäin ystävällinen ja helposti kesytettävä. Mantyken kanssa uivat retket ovat erittäin suosittuja ranta-aktiviteetteja.")</f>
        <v>Se on erittäin ystävällinen ja helposti kesytettävä. Mantyken kanssa uivat retket ovat erittäin suosittuja ranta-aktiviteetteja.</v>
      </c>
      <c r="C6834" s="9" t="s">
        <v>1344</v>
      </c>
    </row>
    <row r="6835" ht="33.75" customHeight="1">
      <c r="A6835" s="6" t="s">
        <v>10134</v>
      </c>
      <c r="B6835" s="6" t="str">
        <f>IFERROR(__xludf.DUMMYFUNCTION("GOOGLETRANSLATE(A6835,""en"",""fi"")"),"Mantyket ovat ystävällisiä ihmisiä kohtaan ja lähestyvät veneitä läheltä. Niiden selkäkuviot vaihtelevat elinympäristöstä riippuen.")</f>
        <v>Mantyket ovat ystävällisiä ihmisiä kohtaan ja lähestyvät veneitä läheltä. Niiden selkäkuviot vaihtelevat elinympäristöstä riippuen.</v>
      </c>
      <c r="C6835" s="9" t="s">
        <v>1344</v>
      </c>
    </row>
    <row r="6836" ht="33.75" customHeight="1">
      <c r="A6836" s="6" t="s">
        <v>10136</v>
      </c>
      <c r="B6836" s="6" t="str">
        <f>IFERROR(__xludf.DUMMYFUNCTION("GOOGLETRANSLATE(A6836,""en"",""fi"")"),"Galarissa asuvat mantykit vaikuttavat olevan hieman hitaita. Syynä saattaa olla alueen kylmemmät merivedet.")</f>
        <v>Galarissa asuvat mantykit vaikuttavat olevan hieman hitaita. Syynä saattaa olla alueen kylmemmät merivedet.</v>
      </c>
      <c r="C6836" s="9" t="s">
        <v>1344</v>
      </c>
    </row>
    <row r="6837" ht="33.75" customHeight="1">
      <c r="A6837" s="6" t="s">
        <v>10138</v>
      </c>
      <c r="B6837" s="6" t="str">
        <f>IFERROR(__xludf.DUMMYFUNCTION("GOOGLETRANSLATE(A6837,""en"",""fi"")"),"Se ui remoraidien parven mukana, ja ne kaikki taistelevat yhdessä torjuakseen hyökkääjät.")</f>
        <v>Se ui remoraidien parven mukana, ja ne kaikki taistelevat yhdessä torjuakseen hyökkääjät.</v>
      </c>
      <c r="C6837" s="9" t="s">
        <v>1344</v>
      </c>
    </row>
    <row r="6838" ht="33.75" customHeight="1">
      <c r="A6838" s="6" t="s">
        <v>10141</v>
      </c>
      <c r="B6838" s="6" t="str">
        <f>IFERROR(__xludf.DUMMYFUNCTION("GOOGLETRANSLATE(A6838,""en"",""fi"")"),"Vaikka tämä Pokémon on muodoltaan pallomainen, se on taitava uimari. Olen havainnut, että jos Mantyke viettää paljon aikaa Remoraidien parvissa, se lopulta saavuttaa evoluution.")</f>
        <v>Vaikka tämä Pokémon on muodoltaan pallomainen, se on taitava uimari. Olen havainnut, että jos Mantyke viettää paljon aikaa Remoraidien parvissa, se lopulta saavuttaa evoluution.</v>
      </c>
      <c r="C6838" s="9" t="s">
        <v>1344</v>
      </c>
    </row>
    <row r="6839" ht="33.75" customHeight="1">
      <c r="A6839" s="6" t="s">
        <v>10143</v>
      </c>
      <c r="B6839" s="6" t="str">
        <f>IFERROR(__xludf.DUMMYFUNCTION("GOOGLETRANSLATE(A6839,""en"",""fi"")"),"Se elää lumisilla vuorilla. Koska se on ollut vähän tekemisissä ihmisten kanssa, se on erittäin utelias.")</f>
        <v>Se elää lumisilla vuorilla. Koska se on ollut vähän tekemisissä ihmisten kanssa, se on erittäin utelias.</v>
      </c>
      <c r="C6839" s="9" t="s">
        <v>1344</v>
      </c>
    </row>
    <row r="6840" ht="33.75" customHeight="1">
      <c r="A6840" s="6" t="s">
        <v>10145</v>
      </c>
      <c r="B6840" s="6" t="str">
        <f>IFERROR(__xludf.DUMMYFUNCTION("GOOGLETRANSLATE(A6840,""en"",""fi"")"),"Keväällä se kasvattaa vatsansa ympärille marjoja, joiden koostumus on kuin pakasteherkuilla.")</f>
        <v>Keväällä se kasvattaa vatsansa ympärille marjoja, joiden koostumus on kuin pakasteherkuilla.</v>
      </c>
      <c r="C6840" s="9" t="s">
        <v>1344</v>
      </c>
    </row>
    <row r="6841" ht="33.75" customHeight="1">
      <c r="A6841" s="6" t="s">
        <v>10147</v>
      </c>
      <c r="B6841" s="6" t="str">
        <f>IFERROR(__xludf.DUMMYFUNCTION("GOOGLETRANSLATE(A6841,""en"",""fi"")"),"Näennäisesti uteliaina ihmisiä kohtaan he kerääntyvät lumisilla vuorilla löytämiensä jalanjälkien ympärille.")</f>
        <v>Näennäisesti uteliaina ihmisiä kohtaan he kerääntyvät lumisilla vuorilla löytämiensä jalanjälkien ympärille.</v>
      </c>
      <c r="C6841" s="9" t="s">
        <v>1344</v>
      </c>
    </row>
    <row r="6842" ht="33.75" customHeight="1">
      <c r="A6842" s="6" t="s">
        <v>10150</v>
      </c>
      <c r="B6842" s="6" t="str">
        <f>IFERROR(__xludf.DUMMYFUNCTION("GOOGLETRANSLATE(A6842,""en"",""fi"")"),"Kylminä vuodenaikoina se vaeltaa vuoren alemmille osille. Keväällä se palaa lumipeitteiselle huipulle.")</f>
        <v>Kylminä vuodenaikoina se vaeltaa vuoren alemmille osille. Keväällä se palaa lumipeitteiselle huipulle.</v>
      </c>
      <c r="C6842" s="9" t="s">
        <v>1344</v>
      </c>
    </row>
    <row r="6843" ht="33.75" customHeight="1">
      <c r="A6843" s="6" t="s">
        <v>10152</v>
      </c>
      <c r="B6843" s="6" t="str">
        <f>IFERROR(__xludf.DUMMYFUNCTION("GOOGLETRANSLATE(A6843,""en"",""fi"")"),"Se elää lumisilla vuorilla. Se upottaa jalkansa lumeen imeäkseen vettä ja pitääkseen oman lämpötilansa alhaisena.")</f>
        <v>Se elää lumisilla vuorilla. Se upottaa jalkansa lumeen imeäkseen vettä ja pitääkseen oman lämpötilansa alhaisena.</v>
      </c>
      <c r="C6843" s="9" t="s">
        <v>1344</v>
      </c>
    </row>
    <row r="6844" ht="33.75" customHeight="1">
      <c r="A6844" s="6" t="s">
        <v>10153</v>
      </c>
      <c r="B6844" s="6" t="str">
        <f>IFERROR(__xludf.DUMMYFUNCTION("GOOGLETRANSLATE(A6844,""en"",""fi"")"),"Sen vatsan ympärillä kasvavat marjat ovat kuin jäätelöitä. Galarian Darumaka rakastaa näitä marjoja.")</f>
        <v>Sen vatsan ympärillä kasvavat marjat ovat kuin jäätelöitä. Galarian Darumaka rakastaa näitä marjoja.</v>
      </c>
      <c r="C6844" s="9" t="s">
        <v>1344</v>
      </c>
    </row>
    <row r="6845" ht="33.75" customHeight="1">
      <c r="A6845" s="6" t="s">
        <v>10157</v>
      </c>
      <c r="B6845" s="6" t="str">
        <f>IFERROR(__xludf.DUMMYFUNCTION("GOOGLETRANSLATE(A6845,""en"",""fi"")"),"Tämän Pokémonin kohtaa todennäköisesti lumessa ollessaan. Tarinoiden mukaan Snover ilmestyy ihmisasutuskeskuksiin, mutta ei tee niille mitään pahaa – pikemminkin ne luovat kiintymyksen lasten kanssa.")</f>
        <v>Tämän Pokémonin kohtaa todennäköisesti lumessa ollessaan. Tarinoiden mukaan Snover ilmestyy ihmisasutuskeskuksiin, mutta ei tee niille mitään pahaa – pikemminkin ne luovat kiintymyksen lasten kanssa.</v>
      </c>
      <c r="C6845" s="9" t="s">
        <v>1344</v>
      </c>
    </row>
    <row r="6846" ht="33.75" customHeight="1">
      <c r="A6846" s="6" t="s">
        <v>10159</v>
      </c>
      <c r="B6846" s="6" t="str">
        <f>IFERROR(__xludf.DUMMYFUNCTION("GOOGLETRANSLATE(A6846,""en"",""fi"")"),"Se nostattaa lumimyrskyjä vuorilla, jotka ovat aina lumen peitossa. Se on iljettävä lumiukko.")</f>
        <v>Se nostattaa lumimyrskyjä vuorilla, jotka ovat aina lumen peitossa. Se on iljettävä lumiukko.</v>
      </c>
      <c r="C6846" s="9" t="s">
        <v>1344</v>
      </c>
    </row>
    <row r="6847" ht="33.75" customHeight="1">
      <c r="A6847" s="6" t="s">
        <v>10160</v>
      </c>
      <c r="B6847" s="6" t="str">
        <f>IFERROR(__xludf.DUMMYFUNCTION("GOOGLETRANSLATE(A6847,""en"",""fi"")"),"Se peittää laajoja alueita lumeen nostattamalla lumimyrskyjä. Se tunnetaan myös nimellä ""jäähirviö"".")</f>
        <v>Se peittää laajoja alueita lumeen nostattamalla lumimyrskyjä. Se tunnetaan myös nimellä "jäähirviö".</v>
      </c>
      <c r="C6847" s="9" t="s">
        <v>1344</v>
      </c>
    </row>
    <row r="6848" ht="33.75" customHeight="1">
      <c r="A6848" s="6" t="s">
        <v>10161</v>
      </c>
      <c r="B6848" s="6" t="str">
        <f>IFERROR(__xludf.DUMMYFUNCTION("GOOGLETRANSLATE(A6848,""en"",""fi"")"),"Ne ilmestyvät, kun lumikukat kukkivat. Kun terälehdet putoavat, ne vetäytyvät jälleen tuntemattomiin paikkoihin.")</f>
        <v>Ne ilmestyvät, kun lumikukat kukkivat. Kun terälehdet putoavat, ne vetäytyvät jälleen tuntemattomiin paikkoihin.</v>
      </c>
      <c r="C6848" s="9" t="s">
        <v>1344</v>
      </c>
    </row>
    <row r="6849" ht="33.75" customHeight="1">
      <c r="A6849" s="6" t="s">
        <v>10162</v>
      </c>
      <c r="B6849" s="6" t="str">
        <f>IFERROR(__xludf.DUMMYFUNCTION("GOOGLETRANSLATE(A6849,""en"",""fi"")"),"Se elää hiljaista elämää vuorilla, jotka ovat aina lumen peitossa. Se piiloutuu nostattamalla lumimyrskyjä.")</f>
        <v>Se elää hiljaista elämää vuorilla, jotka ovat aina lumen peitossa. Se piiloutuu nostattamalla lumimyrskyjä.</v>
      </c>
      <c r="C6849" s="9" t="s">
        <v>1344</v>
      </c>
    </row>
    <row r="6850" ht="33.75" customHeight="1">
      <c r="A6850" s="6" t="s">
        <v>10164</v>
      </c>
      <c r="B6850" s="6" t="str">
        <f>IFERROR(__xludf.DUMMYFUNCTION("GOOGLETRANSLATE(A6850,""en"",""fi"")"),"Jos se näkee darumaka-laumoja Snoverin perään, se ajaa ne pois heilutellen kookkaita käsiään kuin vasaroita.")</f>
        <v>Jos se näkee darumaka-laumoja Snoverin perään, se ajaa ne pois heilutellen kookkaita käsiään kuin vasaroita.</v>
      </c>
      <c r="C6850" s="9" t="s">
        <v>1344</v>
      </c>
    </row>
    <row r="6851" ht="33.75" customHeight="1">
      <c r="A6851" s="6" t="s">
        <v>10165</v>
      </c>
      <c r="B6851" s="6" t="str">
        <f>IFERROR(__xludf.DUMMYFUNCTION("GOOGLETRANSLATE(A6851,""en"",""fi"")"),"Tämä Pokémon tunnetaan lumimyrskyjen aiheuttajista. Sen massiivisen ruumiin ravistelu riittää aiheuttamaan lumimyrskyjä.")</f>
        <v>Tämä Pokémon tunnetaan lumimyrskyjen aiheuttajista. Sen massiivisen ruumiin ravistelu riittää aiheuttamaan lumimyrskyjä.</v>
      </c>
      <c r="C6851" s="9" t="s">
        <v>1344</v>
      </c>
    </row>
    <row r="6852" ht="33.75" customHeight="1">
      <c r="A6852" s="6" t="s">
        <v>10166</v>
      </c>
      <c r="B6852" s="6" t="str">
        <f>IFERROR(__xludf.DUMMYFUNCTION("GOOGLETRANSLATE(A6852,""en"",""fi"")"),"Voimakas Pokémon, joka pystyy halkaisemaan valtavia lohkareita helposti. Inhoaa seurustelua muiden kanssa ja asuu mieluummin hiljaa syvällä vuorissa leikkien lumen kanssa.")</f>
        <v>Voimakas Pokémon, joka pystyy halkaisemaan valtavia lohkareita helposti. Inhoaa seurustelua muiden kanssa ja asuu mieluummin hiljaa syvällä vuorissa leikkien lumen kanssa.</v>
      </c>
      <c r="C6852" s="9" t="s">
        <v>1344</v>
      </c>
    </row>
    <row r="6853" ht="33.75" customHeight="1">
      <c r="A6853" s="6" t="s">
        <v>10168</v>
      </c>
      <c r="B6853" s="6" t="str">
        <f>IFERROR(__xludf.DUMMYFUNCTION("GOOGLETRANSLATE(A6853,""en"",""fi"")"),"Ne elävät kylmillä alueilla muodostaen neljän tai viiden yksilön ryhmiä, jotka metsästävät saalista vaikuttavalla koordinaatiolla.")</f>
        <v>Ne elävät kylmillä alueilla muodostaen neljän tai viiden yksilön ryhmiä, jotka metsästävät saalista vaikuttavalla koordinaatiolla.</v>
      </c>
      <c r="C6853" s="9" t="s">
        <v>1344</v>
      </c>
    </row>
    <row r="6854" ht="33.75" customHeight="1">
      <c r="A6854" s="6" t="s">
        <v>10170</v>
      </c>
      <c r="B6854" s="6" t="str">
        <f>IFERROR(__xludf.DUMMYFUNCTION("GOOGLETRANSLATE(A6854,""en"",""fi"")"),"Se lähettää signaaleja muille kaivertamalla outoja kuvioita huurteiseen puihin ja jäähän.")</f>
        <v>Se lähettää signaaleja muille kaivertamalla outoja kuvioita huurteiseen puihin ja jäähän.</v>
      </c>
      <c r="C6854" s="9" t="s">
        <v>1344</v>
      </c>
    </row>
    <row r="6855" ht="33.75" customHeight="1">
      <c r="A6855" s="6" t="s">
        <v>10172</v>
      </c>
      <c r="B6855" s="6" t="str">
        <f>IFERROR(__xludf.DUMMYFUNCTION("GOOGLETRANSLATE(A6855,""en"",""fi"")"),"Evoluutio teki siitä vieläkin kieroutuneemman. Se kommunikoi raapimalla merkkejä lohkareisiin.")</f>
        <v>Evoluutio teki siitä vieläkin kieroutuneemman. Se kommunikoi raapimalla merkkejä lohkareisiin.</v>
      </c>
      <c r="C6855" s="9" t="s">
        <v>1344</v>
      </c>
    </row>
    <row r="6856" ht="33.75" customHeight="1">
      <c r="A6856" s="6" t="s">
        <v>10174</v>
      </c>
      <c r="B6856" s="6" t="str">
        <f>IFERROR(__xludf.DUMMYFUNCTION("GOOGLETRANSLATE(A6856,""en"",""fi"")"),"Se elää lumisilla alueilla. Se kaivertaa kuvioita puihin kynsillään viestiksi muille.")</f>
        <v>Se elää lumisilla alueilla. Se kaivertaa kuvioita puihin kynsillään viestiksi muille.</v>
      </c>
      <c r="C6856" s="9" t="s">
        <v>1344</v>
      </c>
    </row>
    <row r="6857" ht="33.75" customHeight="1">
      <c r="A6857" s="6" t="s">
        <v>10175</v>
      </c>
      <c r="B6857" s="6" t="str">
        <f>IFERROR(__xludf.DUMMYFUNCTION("GOOGLETRANSLATE(A6857,""en"",""fi"")"),"Ne kommunikoivat raapimalla merkkejä lohkareisiin ja työskentelevät yhdessä saartaakseen viholliset.")</f>
        <v>Ne kommunikoivat raapimalla merkkejä lohkareisiin ja työskentelevät yhdessä saartaakseen viholliset.</v>
      </c>
      <c r="C6857" s="9" t="s">
        <v>1344</v>
      </c>
    </row>
    <row r="6858" ht="33.75" customHeight="1">
      <c r="A6858" s="6" t="s">
        <v>10176</v>
      </c>
      <c r="B6858" s="6" t="str">
        <f>IFERROR(__xludf.DUMMYFUNCTION("GOOGLETRANSLATE(A6858,""en"",""fi"")"),"Ne liikkuvat neljän tai viiden hengen ryhmissä jättäen toisilleen merkkejä puihin ja kiviin. Ne kaatavat saaliinsa koordinoiduilla hyökkäyksillä.")</f>
        <v>Ne liikkuvat neljän tai viiden hengen ryhmissä jättäen toisilleen merkkejä puihin ja kiviin. Ne kaatavat saaliinsa koordinoiduilla hyökkäyksillä.</v>
      </c>
      <c r="C6858" s="9" t="s">
        <v>1344</v>
      </c>
    </row>
    <row r="6859" ht="33.75" customHeight="1">
      <c r="A6859" s="6" t="s">
        <v>10178</v>
      </c>
      <c r="B6859" s="6" t="str">
        <f>IFERROR(__xludf.DUMMYFUNCTION("GOOGLETRANSLATE(A6859,""en"",""fi"")"),"Ne asuvat kylmissä paikoissa. Tämän Pokémonin tärkein ravinnonlähde Alolassa ovat Vulpix ja Sandshrew, jotka he jakavat huolellisesti ryhmänsä kesken.")</f>
        <v>Ne asuvat kylmissä paikoissa. Tämän Pokémonin tärkein ravinnonlähde Alolassa ovat Vulpix ja Sandshrew, jotka he jakavat huolellisesti ryhmänsä kesken.</v>
      </c>
      <c r="C6859" s="9" t="s">
        <v>1344</v>
      </c>
    </row>
    <row r="6860" ht="33.75" customHeight="1">
      <c r="A6860" s="6" t="s">
        <v>10180</v>
      </c>
      <c r="B6860" s="6" t="str">
        <f>IFERROR(__xludf.DUMMYFUNCTION("GOOGLETRANSLATE(A6860,""en"",""fi"")"),"Yksi kärpäs kaataa hiekkakimpun ja kääntää sen ympäri, ja sitten toinen kärpäs antaa viimeisen iskun terävillä kynsillään.")</f>
        <v>Yksi kärpäs kaataa hiekkakimpun ja kääntää sen ympäri, ja sitten toinen kärpäs antaa viimeisen iskun terävillä kynsillään.</v>
      </c>
      <c r="C6860" s="9" t="s">
        <v>1344</v>
      </c>
    </row>
    <row r="6861" ht="33.75" customHeight="1">
      <c r="A6861" s="6" t="s">
        <v>10182</v>
      </c>
      <c r="B6861" s="6" t="str">
        <f>IFERROR(__xludf.DUMMYFUNCTION("GOOGLETRANSLATE(A6861,""en"",""fi"")"),"Lisääntyneen älykkyyden ansiosta ruoan kaapiminen on menneisyyttä. Kynsien raapu voi aiheuttaa paleltuman!")</f>
        <v>Lisääntyneen älykkyyden ansiosta ruoan kaapiminen on menneisyyttä. Kynsien raapu voi aiheuttaa paleltuman!</v>
      </c>
      <c r="C6861" s="9" t="s">
        <v>1344</v>
      </c>
    </row>
    <row r="6862" ht="33.75" customHeight="1">
      <c r="A6862" s="6" t="s">
        <v>10184</v>
      </c>
      <c r="B6862" s="6" t="str">
        <f>IFERROR(__xludf.DUMMYFUNCTION("GOOGLETRANSLATE(A6862,""en"",""fi"")"),"Ne hyökkäävät saaliinsa kimppuun laumoissa. Jopa Mamoswinen kokoinen saalis joutuu helposti Weavile-ryhmän yhteistyön uhriksi.")</f>
        <v>Ne hyökkäävät saaliinsa kimppuun laumoissa. Jopa Mamoswinen kokoinen saalis joutuu helposti Weavile-ryhmän yhteistyön uhriksi.</v>
      </c>
      <c r="C6862" s="9" t="s">
        <v>1344</v>
      </c>
    </row>
    <row r="6863" ht="33.75" customHeight="1">
      <c r="A6863" s="6" t="s">
        <v>10186</v>
      </c>
      <c r="B6863" s="6" t="str">
        <f>IFERROR(__xludf.DUMMYFUNCTION("GOOGLETRANSLATE(A6863,""en"",""fi"")"),"Kynsillään se jättää jälkeensä merkkejä ystävilleen löydettäväksi. Erilaisten merkkien määrän sanotaan olevan yli 500.")</f>
        <v>Kynsillään se jättää jälkeensä merkkejä ystävilleen löydettäväksi. Erilaisten merkkien määrän sanotaan olevan yli 500.</v>
      </c>
      <c r="C6863" s="9" t="s">
        <v>1344</v>
      </c>
    </row>
    <row r="6864" ht="33.75" customHeight="1">
      <c r="A6864" s="6" t="s">
        <v>10192</v>
      </c>
      <c r="B6864" s="6" t="str">
        <f>IFERROR(__xludf.DUMMYFUNCTION("GOOGLETRANSLATE(A6864,""en"",""fi"")"),"Tämä laji ajaa saalista laumana nurkkiin johtajan ohjauksessa. Kärsäkkä osoittaa lisääntynyttä oveluutta, mikä on saanut minut spekuloimaan, että sen evoluutio on johtanut aivojen kehitykseen.")</f>
        <v>Tämä laji ajaa saalista laumana nurkkiin johtajan ohjauksessa. Kärsäkkä osoittaa lisääntynyttä oveluutta, mikä on saanut minut spekuloimaan, että sen evoluutio on johtanut aivojen kehitykseen.</v>
      </c>
      <c r="C6864" s="9" t="s">
        <v>1344</v>
      </c>
    </row>
    <row r="6865" ht="33.75" customHeight="1">
      <c r="A6865" s="6" t="s">
        <v>10194</v>
      </c>
      <c r="B6865" s="6" t="str">
        <f>IFERROR(__xludf.DUMMYFUNCTION("GOOGLETRANSLATE(A6865,""en"",""fi"")"),"Se kehittyi altistumisesta erityiselle magneettikentälle. Kolme yksikköä tuottaa magnetismia.")</f>
        <v>Se kehittyi altistumisesta erityiselle magneettikentälle. Kolme yksikköä tuottaa magnetismia.</v>
      </c>
      <c r="C6865" s="9" t="s">
        <v>1344</v>
      </c>
    </row>
    <row r="6866" ht="33.75" customHeight="1">
      <c r="A6866" s="6" t="s">
        <v>10196</v>
      </c>
      <c r="B6866" s="6" t="str">
        <f>IFERROR(__xludf.DUMMYFUNCTION("GOOGLETRANSLATE(A6866,""en"",""fi"")"),"Ryhmä yritti käyttää tieteellisiä keinoja MAGNEZONEn kehittämiseksi, mutta heidän yrityksensä päättyivät epäonnistumiseen.")</f>
        <v>Ryhmä yritti käyttää tieteellisiä keinoja MAGNEZONEn kehittämiseksi, mutta heidän yrityksensä päättyivät epäonnistumiseen.</v>
      </c>
      <c r="C6866" s="9" t="s">
        <v>1344</v>
      </c>
    </row>
    <row r="6867" ht="33.75" customHeight="1">
      <c r="A6867" s="6" t="s">
        <v>10197</v>
      </c>
      <c r="B6867" s="6" t="str">
        <f>IFERROR(__xludf.DUMMYFUNCTION("GOOGLETRANSLATE(A6867,""en"",""fi"")"),"Altistuminen erityiselle magneettikentälle muutti MAGNETONIN molekyylirakennetta ja siitä tuli MAGNEZONE.")</f>
        <v>Altistuminen erityiselle magneettikentälle muutti MAGNETONIN molekyylirakennetta ja siitä tuli MAGNEZONE.</v>
      </c>
      <c r="C6867" s="9" t="s">
        <v>1344</v>
      </c>
    </row>
    <row r="6868" ht="33.75" customHeight="1">
      <c r="A6868" s="6" t="s">
        <v>10199</v>
      </c>
      <c r="B6868" s="6" t="str">
        <f>IFERROR(__xludf.DUMMYFUNCTION("GOOGLETRANSLATE(A6868,""en"",""fi"")"),"Ryhmä yritti käyttää tieteellisiä keinoja Magnezonen kehittämiseksi, mutta heidän yrityksensä päättyivät epäonnistumiseen.")</f>
        <v>Ryhmä yritti käyttää tieteellisiä keinoja Magnezonen kehittämiseksi, mutta heidän yrityksensä päättyivät epäonnistumiseen.</v>
      </c>
      <c r="C6868" s="9" t="s">
        <v>1344</v>
      </c>
    </row>
    <row r="6869" ht="33.75" customHeight="1">
      <c r="A6869" s="6" t="s">
        <v>10201</v>
      </c>
      <c r="B6869" s="6" t="str">
        <f>IFERROR(__xludf.DUMMYFUNCTION("GOOGLETRANSLATE(A6869,""en"",""fi"")"),"Joskus Magnezonen lähettämä magnetismi on liian voimakasta, jolloin ne vetävät toisiaan puoleensa eivätkä voi liikkua.")</f>
        <v>Joskus Magnezonen lähettämä magnetismi on liian voimakasta, jolloin ne vetävät toisiaan puoleensa eivätkä voi liikkua.</v>
      </c>
      <c r="C6869" s="9" t="s">
        <v>1344</v>
      </c>
    </row>
    <row r="6870" ht="33.75" customHeight="1">
      <c r="A6870" s="6" t="s">
        <v>10202</v>
      </c>
      <c r="B6870" s="6" t="str">
        <f>IFERROR(__xludf.DUMMYFUNCTION("GOOGLETRANSLATE(A6870,""en"",""fi"")"),"Kolme yksikköä tuottaa magnetismia. Magnezonen lentäessä yötaivaalla on ollut monia virheellisiä raportteja UFO-havainnoista.")</f>
        <v>Kolme yksikköä tuottaa magnetismia. Magnezonen lentäessä yötaivaalla on ollut monia virheellisiä raportteja UFO-havainnoista.</v>
      </c>
      <c r="C6870" s="9" t="s">
        <v>1344</v>
      </c>
    </row>
    <row r="6871" ht="33.75" customHeight="1">
      <c r="A6871" s="6" t="s">
        <v>10204</v>
      </c>
      <c r="B6871" s="6" t="str">
        <f>IFERROR(__xludf.DUMMYFUNCTION("GOOGLETRANSLATE(A6871,""en"",""fi"")"),"Taivaan halki kiitäessään tämä Pokémon näyttää vastaanottavan tuntemattomasta alkuperästä olevia signaaleja samalla lähettäen tuntemattomaan tarkoitukseen olevia signaaleja.")</f>
        <v>Taivaan halki kiitäessään tämä Pokémon näyttää vastaanottavan tuntemattomasta alkuperästä olevia signaaleja samalla lähettäen tuntemattomaan tarkoitukseen olevia signaaleja.</v>
      </c>
      <c r="C6871" s="9" t="s">
        <v>1344</v>
      </c>
    </row>
    <row r="6872" ht="33.75" customHeight="1">
      <c r="A6872" s="6" t="s">
        <v>10205</v>
      </c>
      <c r="B6872" s="6" t="str">
        <f>IFERROR(__xludf.DUMMYFUNCTION("GOOGLETRANSLATE(A6872,""en"",""fi"")"),"Se käyttää tutkaa alueensa valvontaan. Tunkeilijat tuhotaan nopeasti hypersäteellä.")</f>
        <v>Se käyttää tutkaa alueensa valvontaan. Tunkeilijat tuhotaan nopeasti hypersäteellä.</v>
      </c>
      <c r="C6872" s="9" t="s">
        <v>1344</v>
      </c>
    </row>
    <row r="6873" ht="33.75" customHeight="1">
      <c r="A6873" s="6" t="s">
        <v>10206</v>
      </c>
      <c r="B6873" s="6" t="str">
        <f>IFERROR(__xludf.DUMMYFUNCTION("GOOGLETRANSLATE(A6873,""en"",""fi"")"),"On edelleen ihmisiä, jotka uskovat, että tämä Pokémon tuli avaruudesta. Se säteilee voimakasta magneettikenttää.")</f>
        <v>On edelleen ihmisiä, jotka uskovat, että tämä Pokémon tuli avaruudesta. Se säteilee voimakasta magneettikenttää.</v>
      </c>
      <c r="C6873" s="9" t="s">
        <v>1344</v>
      </c>
    </row>
    <row r="6874" ht="33.75" customHeight="1">
      <c r="A6874" s="6" t="s">
        <v>10207</v>
      </c>
      <c r="B6874" s="6" t="str">
        <f>IFERROR(__xludf.DUMMYFUNCTION("GOOGLETRANSLATE(A6874,""en"",""fi"")"),"Jotkut sanovat, että Magnezone vastaanottaa signaaleja avaruudesta päässään olevan antennin kautta ja että sitä ohjaa jokin salaperäinen olento.")</f>
        <v>Jotkut sanovat, että Magnezone vastaanottaa signaaleja avaruudesta päässään olevan antennin kautta ja että sitä ohjaa jokin salaperäinen olento.</v>
      </c>
      <c r="C6874" s="9" t="s">
        <v>1344</v>
      </c>
    </row>
    <row r="6875" ht="33.75" customHeight="1">
      <c r="A6875" s="6" t="s">
        <v>10208</v>
      </c>
      <c r="B6875" s="6" t="str">
        <f>IFERROR(__xludf.DUMMYFUNCTION("GOOGLETRANSLATE(A6875,""en"",""fi"")"),"Uskotaan, että erityinen magneettikenttä muutti tämän Pokémonin kehon molekyylirakennetta, ja se aiheutti Pokémonin evoluution.")</f>
        <v>Uskotaan, että erityinen magneettikenttä muutti tämän Pokémonin kehon molekyylirakennetta, ja se aiheutti Pokémonin evoluution.</v>
      </c>
      <c r="C6875" s="9" t="s">
        <v>1344</v>
      </c>
    </row>
    <row r="6876" ht="33.75" customHeight="1">
      <c r="A6876" s="6" t="s">
        <v>10209</v>
      </c>
      <c r="B6876" s="6" t="str">
        <f>IFERROR(__xludf.DUMMYFUNCTION("GOOGLETRANSLATE(A6876,""en"",""fi"")"),"Teoriani mukaan erityinen magneettikenttä vaikutti tähän Pokémoniin, muuttaen sen molekyylirakennetta ja aiheuttaen sen kehityksen. Se lähettää antennistaan ​​outoja radioaaltoja avaruuteen.")</f>
        <v>Teoriani mukaan erityinen magneettikenttä vaikutti tähän Pokémoniin, muuttaen sen molekyylirakennetta ja aiheuttaen sen kehityksen. Se lähettää antennistaan ​​outoja radioaaltoja avaruuteen.</v>
      </c>
      <c r="C6876" s="9" t="s">
        <v>1344</v>
      </c>
    </row>
    <row r="6877" ht="33.75" customHeight="1">
      <c r="A6877" s="6" t="s">
        <v>10210</v>
      </c>
      <c r="B6877" s="6" t="str">
        <f>IFERROR(__xludf.DUMMYFUNCTION("GOOGLETRANSLATE(A6877,""en"",""fi"")"),"Se kietoo tavaroita pidennettävällä kielellään. Liian lähelle meneminen jättää sinut kuolasta läpimäräksi.")</f>
        <v>Se kietoo tavaroita pidennettävällä kielellään. Liian lähelle meneminen jättää sinut kuolasta läpimäräksi.</v>
      </c>
      <c r="C6877" s="9" t="s">
        <v>1344</v>
      </c>
    </row>
    <row r="6878" ht="33.75" customHeight="1">
      <c r="A6878" s="6" t="s">
        <v>10211</v>
      </c>
      <c r="B6878" s="6" t="str">
        <f>IFERROR(__xludf.DUMMYFUNCTION("GOOGLETRANSLATE(A6878,""en"",""fi"")"),"Pitkä kieli on aina kuolasta märkä. Sylki sisältää liuotinta, joka aiheuttaa puutumista.")</f>
        <v>Pitkä kieli on aina kuolasta märkä. Sylki sisältää liuotinta, joka aiheuttaa puutumista.</v>
      </c>
      <c r="C6878" s="9" t="s">
        <v>1344</v>
      </c>
    </row>
    <row r="6879" ht="33.75" customHeight="1">
      <c r="A6879" s="6" t="s">
        <v>10212</v>
      </c>
      <c r="B6879" s="6" t="str">
        <f>IFERROR(__xludf.DUMMYFUNCTION("GOOGLETRANSLATE(A6879,""en"",""fi"")"),"Sen sylki voi hajottaa mitä tahansa. Se kietoo pitkän kielensä esineiden ympärille peittääkseen ne tahmealla syljellään.")</f>
        <v>Sen sylki voi hajottaa mitä tahansa. Se kietoo pitkän kielensä esineiden ympärille peittääkseen ne tahmealla syljellään.</v>
      </c>
      <c r="C6879" s="9" t="s">
        <v>1344</v>
      </c>
    </row>
    <row r="6880" ht="33.75" customHeight="1">
      <c r="A6880" s="6" t="s">
        <v>10213</v>
      </c>
      <c r="B6880" s="6" t="str">
        <f>IFERROR(__xludf.DUMMYFUNCTION("GOOGLETRANSLATE(A6880,""en"",""fi"")"),"Sen kurkussa on tilaa syljen varastointiin. Se voi myös kääriä kielensä ja säilyttää sitä samassa paikassa.")</f>
        <v>Sen kurkussa on tilaa syljen varastointiin. Se voi myös kääriä kielensä ja säilyttää sitä samassa paikassa.</v>
      </c>
      <c r="C6880" s="9" t="s">
        <v>1344</v>
      </c>
    </row>
    <row r="6881" ht="33.75" customHeight="1">
      <c r="A6881" s="6" t="s">
        <v>10214</v>
      </c>
      <c r="B6881" s="6" t="str">
        <f>IFERROR(__xludf.DUMMYFUNCTION("GOOGLETRANSLATE(A6881,""en"",""fi"")"),"Niiden sylki sisältää paljon ainesosia, jotka voivat liuottaa mitä tahansa. Nuolemisen aiheuttama tunnottomuus ei häviä.")</f>
        <v>Niiden sylki sisältää paljon ainesosia, jotka voivat liuottaa mitä tahansa. Nuolemisen aiheuttama tunnottomuus ei häviä.</v>
      </c>
      <c r="C6881" s="9" t="s">
        <v>1344</v>
      </c>
    </row>
    <row r="6882" ht="33.75" customHeight="1">
      <c r="A6882" s="6" t="s">
        <v>10215</v>
      </c>
      <c r="B6882" s="6" t="str">
        <f>IFERROR(__xludf.DUMMYFUNCTION("GOOGLETRANSLATE(A6882,""en"",""fi"")"),"Kilpailu on käynnissä siitä, kuka pystyy työntämään kielensä pisimmälle. Nykyinen ennätys on... yli 25 metriä.")</f>
        <v>Kilpailu on käynnissä siitä, kuka pystyy työntämään kielensä pisimmälle. Nykyinen ennätys on... yli 25 metriä.</v>
      </c>
      <c r="C6882" s="9" t="s">
        <v>1344</v>
      </c>
    </row>
    <row r="6883" ht="33.75" customHeight="1">
      <c r="A6883" s="6" t="s">
        <v>10216</v>
      </c>
      <c r="B6883" s="6" t="str">
        <f>IFERROR(__xludf.DUMMYFUNCTION("GOOGLETRANSLATE(A6883,""en"",""fi"")"),"Se käyttää kieltään paljon taitavammin kuin käsiään tai jalkojaan. Se voi taitavasti poimia yhden pienen pavun kielellään.")</f>
        <v>Se käyttää kieltään paljon taitavammin kuin käsiään tai jalkojaan. Se voi taitavasti poimia yhden pienen pavun kielellään.</v>
      </c>
      <c r="C6883" s="9" t="s">
        <v>1344</v>
      </c>
    </row>
    <row r="6884" ht="33.75" customHeight="1">
      <c r="A6884" s="6" t="s">
        <v>10217</v>
      </c>
      <c r="B6884" s="6" t="str">
        <f>IFERROR(__xludf.DUMMYFUNCTION("GOOGLETRANSLATE(A6884,""en"",""fi"")"),"Lickilickyn outo kieli voi venyä moninkertaisesti sen vartalon pituiseksi. Kukaan ei ole keksinyt, miten Lickilickyn kieli voi venyä näin pitkälle.")</f>
        <v>Lickilickyn outo kieli voi venyä moninkertaisesti sen vartalon pituiseksi. Kukaan ei ole keksinyt, miten Lickilickyn kieli voi venyä näin pitkälle.</v>
      </c>
      <c r="C6884" s="9" t="s">
        <v>1344</v>
      </c>
    </row>
    <row r="6885" ht="33.75" customHeight="1">
      <c r="A6885" s="6" t="s">
        <v>10220</v>
      </c>
      <c r="B6885" s="6" t="str">
        <f>IFERROR(__xludf.DUMMYFUNCTION("GOOGLETRANSLATE(A6885,""en"",""fi"")"),"Lickilicky osaa tehdä melkein mitä tahansa kielellään, joka on yhtä taitava kuin ihmiskäsi. Sitä vastoin Lickilickyn sormien käyttö on kömpelöä.")</f>
        <v>Lickilicky osaa tehdä melkein mitä tahansa kielellään, joka on yhtä taitava kuin ihmiskäsi. Sitä vastoin Lickilickyn sormien käyttö on kömpelöä.</v>
      </c>
      <c r="C6885" s="9" t="s">
        <v>1344</v>
      </c>
    </row>
    <row r="6886" ht="33.75" customHeight="1">
      <c r="A6886" s="6" t="s">
        <v>10222</v>
      </c>
      <c r="B6886" s="6" t="str">
        <f>IFERROR(__xludf.DUMMYFUNCTION("GOOGLETRANSLATE(A6886,""en"",""fi"")"),"Sen kieli voi ojentua ja supistua vapaasti, ja se pystyy kasvamaan yli 10 kertaa Lickilickyn pituiseksi. Varo sylkeä, sillä se sisältää syövyttäviä aineita.")</f>
        <v>Sen kieli voi ojentua ja supistua vapaasti, ja se pystyy kasvamaan yli 10 kertaa Lickilickyn pituiseksi. Varo sylkeä, sillä se sisältää syövyttäviä aineita.</v>
      </c>
      <c r="C6886" s="9" t="s">
        <v>1344</v>
      </c>
    </row>
    <row r="6887" ht="33.75" customHeight="1">
      <c r="A6887" s="6" t="s">
        <v>10225</v>
      </c>
      <c r="B6887" s="6" t="str">
        <f>IFERROR(__xludf.DUMMYFUNCTION("GOOGLETRANSLATE(A6887,""en"",""fi"")"),"Se laittaa kiviä kämmeniensä reikiin ja ampuu niitä lihaksillaan. GEODUDE-hahmoja ammutaan harvoin.")</f>
        <v>Se laittaa kiviä kämmeniensä reikiin ja ampuu niitä lihaksillaan. GEODUDE-hahmoja ammutaan harvoin.</v>
      </c>
      <c r="C6887" s="9" t="s">
        <v>1344</v>
      </c>
    </row>
    <row r="6888" ht="33.75" customHeight="1">
      <c r="A6888" s="6" t="s">
        <v>10227</v>
      </c>
      <c r="B6888" s="6" t="str">
        <f>IFERROR(__xludf.DUMMYFUNCTION("GOOGLETRANSLATE(A6888,""en"",""fi"")"),"Se voi laukaista kädessään pidetyn kiven kuin ohjuksen kiristämällä ja laajentamalla lihaksiaan välittömästi.")</f>
        <v>Se voi laukaista kädessään pidetyn kiven kuin ohjuksen kiristämällä ja laajentamalla lihaksiaan välittömästi.</v>
      </c>
      <c r="C6888" s="9" t="s">
        <v>1344</v>
      </c>
    </row>
    <row r="6889" ht="33.75" customHeight="1">
      <c r="A6889" s="6" t="s">
        <v>10229</v>
      </c>
      <c r="B6889" s="6" t="str">
        <f>IFERROR(__xludf.DUMMYFUNCTION("GOOGLETRANSLATE(A6889,""en"",""fi"")"),"Kämmeniensä rei'istä se ampuu GEODUDE-rakettia. Sen kuori kestää tulivuorenpurkauksia.")</f>
        <v>Kämmeniensä rei'istä se ampuu GEODUDE-rakettia. Sen kuori kestää tulivuorenpurkauksia.</v>
      </c>
      <c r="C6889" s="9" t="s">
        <v>1344</v>
      </c>
    </row>
    <row r="6890" ht="33.75" customHeight="1">
      <c r="A6890" s="6" t="s">
        <v>10233</v>
      </c>
      <c r="B6890" s="6" t="str">
        <f>IFERROR(__xludf.DUMMYFUNCTION("GOOGLETRANSLATE(A6890,""en"",""fi"")"),"Kämmeniensä rei'istä se ampuu Geodudea. Sen kuori kestää tulivuorenpurkauksia.")</f>
        <v>Kämmeniensä rei'istä se ampuu Geodudea. Sen kuori kestää tulivuorenpurkauksia.</v>
      </c>
      <c r="C6890" s="9" t="s">
        <v>1344</v>
      </c>
    </row>
    <row r="6891" ht="33.75" customHeight="1">
      <c r="A6891" s="6" t="s">
        <v>10235</v>
      </c>
      <c r="B6891" s="6" t="str">
        <f>IFERROR(__xludf.DUMMYFUNCTION("GOOGLETRANSLATE(A6891,""en"",""fi"")"),"Se laittaa kiviä kämmeniensä reikiin ja ampuu niitä lihaksillaan. Geodudeja ammutaan harvoin.")</f>
        <v>Se laittaa kiviä kämmeniensä reikiin ja ampuu niitä lihaksillaan. Geodudeja ammutaan harvoin.</v>
      </c>
      <c r="C6891" s="9" t="s">
        <v>1344</v>
      </c>
    </row>
    <row r="6892" ht="33.75" customHeight="1">
      <c r="A6892" s="6" t="s">
        <v>10237</v>
      </c>
      <c r="B6892" s="6" t="str">
        <f>IFERROR(__xludf.DUMMYFUNCTION("GOOGLETRANSLATE(A6892,""en"",""fi"")"),"Se voi ladata jopa kolme ammusta käsivartta kohden käsiensä reikiin. Näistä rei'istä voi ampua joko kiviä tai Roggenrolaa.")</f>
        <v>Se voi ladata jopa kolme ammusta käsivartta kohden käsiensä reikiin. Näistä rei'istä voi ampua joko kiviä tai Roggenrolaa.</v>
      </c>
      <c r="C6892" s="9" t="s">
        <v>1344</v>
      </c>
    </row>
    <row r="6893" ht="33.75" customHeight="1">
      <c r="A6893" s="6" t="s">
        <v>10239</v>
      </c>
      <c r="B6893" s="6" t="str">
        <f>IFERROR(__xludf.DUMMYFUNCTION("GOOGLETRANSLATE(A6893,""en"",""fi"")"),"Se luottaa kuoreensa torjuakseen tulevat hyökkäykset ja horjuttaakseen vihollisensa tasapainosta. Heti kun niin tapahtuu, se iskee porallaan vihollista kohti.")</f>
        <v>Se luottaa kuoreensa torjuakseen tulevat hyökkäykset ja horjuttaakseen vihollisensa tasapainosta. Heti kun niin tapahtuu, se iskee porallaan vihollista kohti.</v>
      </c>
      <c r="C6893" s="9" t="s">
        <v>1344</v>
      </c>
    </row>
    <row r="6894" ht="33.75" customHeight="1">
      <c r="A6894" s="6" t="s">
        <v>10241</v>
      </c>
      <c r="B6894" s="6" t="str">
        <f>IFERROR(__xludf.DUMMYFUNCTION("GOOGLETRANSLATE(A6894,""en"",""fi"")"),"Tämä Pokémon kehittyi erikoisen esineen avulla. Sen kivenkaltainen nahka koostuu salaperäisestä aineesta ja kestää mestarimiekan iskun lähes naarmuttamatta.")</f>
        <v>Tämä Pokémon kehittyi erikoisen esineen avulla. Sen kivenkaltainen nahka koostuu salaperäisestä aineesta ja kestää mestarimiekan iskun lähes naarmuttamatta.</v>
      </c>
      <c r="C6894" s="9" t="s">
        <v>1344</v>
      </c>
    </row>
    <row r="6895" ht="33.75" customHeight="1">
      <c r="A6895" s="6" t="s">
        <v>10243</v>
      </c>
      <c r="B6895" s="6" t="str">
        <f>IFERROR(__xludf.DUMMYFUNCTION("GOOGLETRANSLATE(A6895,""en"",""fi"")"),"Se houkuttelee saalista ojentamalla köynnöksistä tehtyjä käsivarsiaan. Käsivarsien menettäminen saalistajille ei sitä vaivaa.")</f>
        <v>Se houkuttelee saalista ojentamalla köynnöksistä tehtyjä käsivarsiaan. Käsivarsien menettäminen saalistajille ei sitä vaivaa.</v>
      </c>
      <c r="C6895" s="9" t="s">
        <v>1344</v>
      </c>
    </row>
    <row r="6896" ht="33.75" customHeight="1">
      <c r="A6896" s="6" t="s">
        <v>10244</v>
      </c>
      <c r="B6896" s="6" t="str">
        <f>IFERROR(__xludf.DUMMYFUNCTION("GOOGLETRANSLATE(A6896,""en"",""fi"")"),"Sen käsivarret on tehty kasveista, jotka sitovat itsensä esineisiin. Ne kasvavat heti takaisin, jos ne leikataan.")</f>
        <v>Sen käsivarret on tehty kasveista, jotka sitovat itsensä esineisiin. Ne kasvavat heti takaisin, jos ne leikataan.</v>
      </c>
      <c r="C6896" s="9" t="s">
        <v>1344</v>
      </c>
    </row>
    <row r="6897" ht="33.75" customHeight="1">
      <c r="A6897" s="6" t="s">
        <v>10245</v>
      </c>
      <c r="B6897" s="6" t="str">
        <f>IFERROR(__xludf.DUMMYFUNCTION("GOOGLETRANSLATE(A6897,""en"",""fi"")"),"Liikkuessaan se näyttää suurelta pensaalta. Lähellä vaeltelevat tietämättömät saaliseläimet joutuvat sen köynnösten ansaan.")</f>
        <v>Liikkuessaan se näyttää suurelta pensaalta. Lähellä vaeltelevat tietämättömät saaliseläimet joutuvat sen köynnösten ansaan.</v>
      </c>
      <c r="C6897" s="9" t="s">
        <v>1344</v>
      </c>
    </row>
    <row r="6898" ht="33.75" customHeight="1">
      <c r="A6898" s="6" t="s">
        <v>10247</v>
      </c>
      <c r="B6898" s="6" t="str">
        <f>IFERROR(__xludf.DUMMYFUNCTION("GOOGLETRANSLATE(A6898,""en"",""fi"")"),"Sen köynnökset kasvavat niin rehevästi, että lämpimänä vuodenaikana sen silmiä ei voi edes nähdä.")</f>
        <v>Sen köynnökset kasvavat niin rehevästi, että lämpimänä vuodenaikana sen silmiä ei voi edes nähdä.</v>
      </c>
      <c r="C6898" s="9" t="s">
        <v>1344</v>
      </c>
    </row>
    <row r="6899" ht="33.75" customHeight="1">
      <c r="A6899" s="6" t="s">
        <v>10248</v>
      </c>
      <c r="B6899" s="6" t="str">
        <f>IFERROR(__xludf.DUMMYFUNCTION("GOOGLETRANSLATE(A6899,""en"",""fi"")"),"Vaikka toinen sen käsistä syötäisiin, se on kunnossa. Pokémon uudistuu nopeasti ja palaa heti normaaliksi.")</f>
        <v>Vaikka toinen sen käsistä syötäisiin, se on kunnossa. Pokémon uudistuu nopeasti ja palaa heti normaaliksi.</v>
      </c>
      <c r="C6899" s="9" t="s">
        <v>1344</v>
      </c>
    </row>
    <row r="6900" ht="33.75" customHeight="1">
      <c r="A6900" s="6" t="s">
        <v>10249</v>
      </c>
      <c r="B6900" s="6" t="str">
        <f>IFERROR(__xludf.DUMMYFUNCTION("GOOGLETRANSLATE(A6900,""en"",""fi"")"),"Tangrowthilla on kaksi haaraa, joita se voi ojentaa mielensä mukaan. Viimeaikaiset tutkimukset ovat osoittaneet, että nämä haarat ovat itse asiassa köynnösten kimppuja.")</f>
        <v>Tangrowthilla on kaksi haaraa, joita se voi ojentaa mielensä mukaan. Viimeaikaiset tutkimukset ovat osoittaneet, että nämä haarat ovat itse asiassa köynnösten kimppuja.</v>
      </c>
      <c r="C6900" s="9" t="s">
        <v>1344</v>
      </c>
    </row>
    <row r="6901" ht="33.75" customHeight="1">
      <c r="A6901" s="6" t="s">
        <v>10250</v>
      </c>
      <c r="B6901" s="6" t="str">
        <f>IFERROR(__xludf.DUMMYFUNCTION("GOOGLETRANSLATE(A6901,""en"",""fi"")"),"Lämpimässä ilmastossa elävän Tangrowth-köynnöksen kasvu kiihtyy. Jos köynnökset kasvavat pitkiksi, Tangrowth lyhentää niitä repimällä niistä osia irti.")</f>
        <v>Lämpimässä ilmastossa elävän Tangrowth-köynnöksen kasvu kiihtyy. Jos köynnökset kasvavat pitkiksi, Tangrowth lyhentää niitä repimällä niistä osia irti.</v>
      </c>
      <c r="C6901" s="9" t="s">
        <v>1344</v>
      </c>
    </row>
    <row r="6902" ht="33.75" customHeight="1">
      <c r="A6902" s="6" t="s">
        <v>10251</v>
      </c>
      <c r="B6902" s="6" t="str">
        <f>IFERROR(__xludf.DUMMYFUNCTION("GOOGLETRANSLATE(A6902,""en"",""fi"")"),"Pitkien köynnösten peittämä se muistuttaa ulkonäöltään pensasta. Se heiluttelee köynnöskimppuja kuin käsivarsia ja kietoo ne saaliinsa ympärille houkutellakseen ne ansaan.")</f>
        <v>Pitkien köynnösten peittämä se muistuttaa ulkonäöltään pensasta. Se heiluttelee köynnöskimppuja kuin käsivarsia ja kietoo ne saaliinsa ympärille houkutellakseen ne ansaan.</v>
      </c>
      <c r="C6902" s="9" t="s">
        <v>1344</v>
      </c>
    </row>
    <row r="6903" ht="33.75" customHeight="1">
      <c r="A6903" s="6" t="s">
        <v>10253</v>
      </c>
      <c r="B6903" s="6" t="str">
        <f>IFERROR(__xludf.DUMMYFUNCTION("GOOGLETRANSLATE(A6903,""en"",""fi"")"),"Se työntää kahden häntänsä kärjet vihollista vasten ja päästää sitten irti yli 20 000 voltin energian.")</f>
        <v>Se työntää kahden häntänsä kärjet vihollista vasten ja päästää sitten irti yli 20 000 voltin energian.</v>
      </c>
      <c r="C6903" s="9" t="s">
        <v>1344</v>
      </c>
    </row>
    <row r="6904" ht="33.75" customHeight="1">
      <c r="A6904" s="6" t="s">
        <v>10256</v>
      </c>
      <c r="B6904" s="6" t="str">
        <f>IFERROR(__xludf.DUMMYFUNCTION("GOOGLETRANSLATE(A6904,""en"",""fi"")"),"Välittämättä vihollisen hyökkäyksistä se lähestyy, työntää pyrstönsä vihollisen päälle ja menettää sitten korkean jännitteensä.")</f>
        <v>Välittämättä vihollisen hyökkäyksistä se lähestyy, työntää pyrstönsä vihollisen päälle ja menettää sitten korkean jännitteensä.</v>
      </c>
      <c r="C6904" s="9" t="s">
        <v>1344</v>
      </c>
    </row>
    <row r="6905" ht="33.75" customHeight="1">
      <c r="A6905" s="6" t="s">
        <v>10257</v>
      </c>
      <c r="B6905" s="6" t="str">
        <f>IFERROR(__xludf.DUMMYFUNCTION("GOOGLETRANSLATE(A6905,""en"",""fi"")"),"Sähkövarauksen voimistuessa siniset kipinät alkavat rätisemään sen sarvien välistä.")</f>
        <v>Sähkövarauksen voimistuessa siniset kipinät alkavat rätisemään sen sarvien välistä.</v>
      </c>
      <c r="C6905" s="9" t="s">
        <v>1344</v>
      </c>
    </row>
    <row r="6906" ht="33.75" customHeight="1">
      <c r="A6906" s="6" t="s">
        <v>10258</v>
      </c>
      <c r="B6906" s="6" t="str">
        <f>IFERROR(__xludf.DUMMYFUNCTION("GOOGLETRANSLATE(A6906,""en"",""fi"")"),"Heti kun se painaa häntänsä kärjet vastustajaa vasten, se lähettää yli 20 000 volttia sähköä viholliseen.")</f>
        <v>Heti kun se painaa häntänsä kärjet vastustajaa vasten, se lähettää yli 20 000 volttia sähköä viholliseen.</v>
      </c>
      <c r="C6906" s="9" t="s">
        <v>1344</v>
      </c>
    </row>
    <row r="6907" ht="33.75" customHeight="1">
      <c r="A6907" s="6" t="s">
        <v>10259</v>
      </c>
      <c r="B6907" s="6" t="str">
        <f>IFERROR(__xludf.DUMMYFUNCTION("GOOGLETRANSLATE(A6907,""en"",""fi"")"),"Se työntää häntänsä kärkiä vihollisiaan vasten ja päästää sitten irti korkeajännitteisen sähkövirran. Sen viholliset poltetaan hetkessä rapeaksi.")</f>
        <v>Se työntää häntänsä kärkiä vihollisiaan vasten ja päästää sitten irti korkeajännitteisen sähkövirran. Sen viholliset poltetaan hetkessä rapeaksi.</v>
      </c>
      <c r="C6907" s="9" t="s">
        <v>1344</v>
      </c>
    </row>
    <row r="6908" ht="33.75" customHeight="1">
      <c r="A6908" s="6" t="s">
        <v>10260</v>
      </c>
      <c r="B6908" s="6" t="str">
        <f>IFERROR(__xludf.DUMMYFUNCTION("GOOGLETRANSLATE(A6908,""en"",""fi"")"),"Kun se kiihtyy, se jyskyttää rintaansa. Jokaisen tömähdyksen myötä jyrisee ukkonen ja sähkökipinöitä sataa ympärilleen.")</f>
        <v>Kun se kiihtyy, se jyskyttää rintaansa. Jokaisen tömähdyksen myötä jyrisee ukkonen ja sähkökipinöitä sataa ympärilleen.</v>
      </c>
      <c r="C6908" s="9" t="s">
        <v>1344</v>
      </c>
    </row>
    <row r="6909" ht="33.75" customHeight="1">
      <c r="A6909" s="6" t="s">
        <v>10261</v>
      </c>
      <c r="B6909" s="6" t="str">
        <f>IFERROR(__xludf.DUMMYFUNCTION("GOOGLETRANSLATE(A6909,""en"",""fi"")"),"Se tarttuu sähköä syöksevään hännäänsä ja lyö sitten vastustajat alas sähköistetyn nyrkkinsä voimalla.")</f>
        <v>Se tarttuu sähköä syöksevään hännäänsä ja lyö sitten vastustajat alas sähköistetyn nyrkkinsä voimalla.</v>
      </c>
      <c r="C6909" s="9" t="s">
        <v>1344</v>
      </c>
    </row>
    <row r="6910" ht="33.75" customHeight="1">
      <c r="A6910" s="6" t="s">
        <v>10263</v>
      </c>
      <c r="B6910" s="6" t="str">
        <f>IFERROR(__xludf.DUMMYFUNCTION("GOOGLETRANSLATE(A6910,""en"",""fi"")"),"Yksi sähkölaitos voi tuottaa riittävästi sähköä kaikille suurkaupungin rakennuksille vuodeksi.")</f>
        <v>Yksi sähkölaitos voi tuottaa riittävästi sähköä kaikille suurkaupungin rakennuksille vuodeksi.</v>
      </c>
      <c r="C6910" s="9" t="s">
        <v>1344</v>
      </c>
    </row>
    <row r="6911" ht="33.75" customHeight="1">
      <c r="A6911" s="6" t="s">
        <v>10265</v>
      </c>
      <c r="B6911" s="6" t="str">
        <f>IFERROR(__xludf.DUMMYFUNCTION("GOOGLETRANSLATE(A6911,""en"",""fi"")"),"Tämän Pokémonin tuottaman sähköenergian määrä on verrannollinen sen pulssin nopeuteen. Jännite hyppää Electiviren taistellessa.")</f>
        <v>Tämän Pokémonin tuottaman sähköenergian määrä on verrannollinen sen pulssin nopeuteen. Jännite hyppää Electiviren taistellessa.</v>
      </c>
      <c r="C6911" s="9" t="s">
        <v>1344</v>
      </c>
    </row>
    <row r="6912" ht="33.75" customHeight="1">
      <c r="A6912" s="6" t="s">
        <v>10267</v>
      </c>
      <c r="B6912" s="6" t="str">
        <f>IFERROR(__xludf.DUMMYFUNCTION("GOOGLETRANSLATE(A6912,""en"",""fi"")"),"Sähköenergian tuoton suhteen Electivire on yksi parhaista sähkö-Pokémoneista. Se purkaa korkeajännitteisiä virtoja pyrstöistään.")</f>
        <v>Sähköenergian tuoton suhteen Electivire on yksi parhaista sähkö-Pokémoneista. Se purkaa korkeajännitteisiä virtoja pyrstöistään.</v>
      </c>
      <c r="C6912" s="9" t="s">
        <v>1344</v>
      </c>
    </row>
    <row r="6913" ht="33.75" customHeight="1">
      <c r="A6913" s="6" t="s">
        <v>10269</v>
      </c>
      <c r="B6913" s="6" t="str">
        <f>IFERROR(__xludf.DUMMYFUNCTION("GOOGLETRANSLATE(A6913,""en"",""fi"")"),"Sen evoluution aiheutti epätavallinen esine, ja sen sähköntuotto kasvaa sykkeen tahdissa. Pyrstöistään se voi laukaista 20 000 voltin sähkövirran.")</f>
        <v>Sen evoluution aiheutti epätavallinen esine, ja sen sähköntuotto kasvaa sykkeen tahdissa. Pyrstöistään se voi laukaista 20 000 voltin sähkövirran.</v>
      </c>
      <c r="C6913" s="9" t="s">
        <v>1344</v>
      </c>
    </row>
    <row r="6914" ht="33.75" customHeight="1">
      <c r="A6914" s="6" t="s">
        <v>10270</v>
      </c>
      <c r="B6914" s="6" t="str">
        <f>IFERROR(__xludf.DUMMYFUNCTION("GOOGLETRANSLATE(A6914,""en"",""fi"")"),"Se ampuu yli 3 600 Fahrenheit-asteen tulipalloja haarojensa päistä. Se elää tulivuoren kraattereissa.")</f>
        <v>Se ampuu yli 3 600 Fahrenheit-asteen tulipalloja haarojensa päistä. Se elää tulivuoren kraattereissa.</v>
      </c>
      <c r="C6914" s="9" t="s">
        <v>1344</v>
      </c>
    </row>
    <row r="6915" ht="33.75" customHeight="1">
      <c r="A6915" s="6" t="s">
        <v>10272</v>
      </c>
      <c r="B6915" s="6" t="str">
        <f>IFERROR(__xludf.DUMMYFUNCTION("GOOGLETRANSLATE(A6915,""en"",""fi"")"),"Kun laukaistaan ​​3 600 Fahrenheit-asteen tulipalloja, sen runko saa valkean sävyn voimakkaasta kuumuudesta.")</f>
        <v>Kun laukaistaan ​​3 600 Fahrenheit-asteen tulipalloja, sen runko saa valkean sävyn voimakkaasta kuumuudesta.</v>
      </c>
      <c r="C6915" s="9" t="s">
        <v>1344</v>
      </c>
    </row>
    <row r="6916" ht="33.75" customHeight="1">
      <c r="A6916" s="6" t="s">
        <v>10273</v>
      </c>
      <c r="B6916" s="6" t="str">
        <f>IFERROR(__xludf.DUMMYFUNCTION("GOOGLETRANSLATE(A6916,""en"",""fi"")"),"Se ampuu käsivarsistaan ​​yli 1 600 celsiusasteen tulipalloja. Sen hengitys myös polttaa ja sihisee.")</f>
        <v>Se ampuu käsivarsistaan ​​yli 1 600 celsiusasteen tulipalloja. Sen hengitys myös polttaa ja sihisee.</v>
      </c>
      <c r="C6916" s="9" t="s">
        <v>1344</v>
      </c>
    </row>
    <row r="6917" ht="33.75" customHeight="1">
      <c r="A6917" s="6" t="s">
        <v>10275</v>
      </c>
      <c r="B6917" s="6" t="str">
        <f>IFERROR(__xludf.DUMMYFUNCTION("GOOGLETRANSLATE(A6917,""en"",""fi"")"),"Kun se ampuu käsistään 3 600 Fahrenheit-asteen tulipalloja, sen keho saa valkean sävyn voimakkaasta kuumuudesta.")</f>
        <v>Kun se ampuu käsistään 3 600 Fahrenheit-asteen tulipalloja, sen keho saa valkean sävyn voimakkaasta kuumuudesta.</v>
      </c>
      <c r="C6917" s="9" t="s">
        <v>1344</v>
      </c>
    </row>
    <row r="6918" ht="33.75" customHeight="1">
      <c r="A6918" s="6" t="s">
        <v>10276</v>
      </c>
      <c r="B6918" s="6" t="str">
        <f>IFERROR(__xludf.DUMMYFUNCTION("GOOGLETRANSLATE(A6918,""en"",""fi"")"),"Se ampuu yli 1 600 celsiusasteen tulipalloja haarojensa päistä. Se elää tulivuoren kraattereissa.")</f>
        <v>Se ampuu yli 1 600 celsiusasteen tulipalloja haarojensa päistä. Se elää tulivuoren kraattereissa.</v>
      </c>
      <c r="C6918" s="9" t="s">
        <v>1344</v>
      </c>
    </row>
    <row r="6919" ht="33.75" customHeight="1">
      <c r="A6919" s="6" t="s">
        <v>10277</v>
      </c>
      <c r="B6919" s="6" t="str">
        <f>IFERROR(__xludf.DUMMYFUNCTION("GOOGLETRANSLATE(A6919,""en"",""fi"")"),"Ne asuvat tulivuoren kraattereissa. Tiedossa olevan mukaan yhdessä tulivuoressa asuu yksi uros- ja naarasmagmortar-pari.")</f>
        <v>Ne asuvat tulivuoren kraattereissa. Tiedossa olevan mukaan yhdessä tulivuoressa asuu yksi uros- ja naarasmagmortar-pari.</v>
      </c>
      <c r="C6919" s="9" t="s">
        <v>1344</v>
      </c>
    </row>
    <row r="6920" ht="33.75" customHeight="1">
      <c r="A6920" s="6" t="s">
        <v>10278</v>
      </c>
      <c r="B6920" s="6" t="str">
        <f>IFERROR(__xludf.DUMMYFUNCTION("GOOGLETRANSLATE(A6920,""en"",""fi"")"),"Käsivarrestaan ​​se ampuu yli 1 500 celsiusastetta kuumempia tulipalloja. Sen käsivarsi alkaa sulaa, kun se ampuu kokonaisen tulituksen.")</f>
        <v>Käsivarrestaan ​​se ampuu yli 1 500 celsiusastetta kuumempia tulipalloja. Sen käsivarsi alkaa sulaa, kun se ampuu kokonaisen tulituksen.</v>
      </c>
      <c r="C6920" s="9" t="s">
        <v>1344</v>
      </c>
    </row>
    <row r="6921" ht="33.75" customHeight="1">
      <c r="A6921" s="6" t="s">
        <v>10282</v>
      </c>
      <c r="B6921" s="6" t="str">
        <f>IFERROR(__xludf.DUMMYFUNCTION("GOOGLETRANSLATE(A6921,""en"",""fi"")"),"On edelleen melko monta tehtaita, jotka ovat riippuvaisia ​​Magmortarin tarjoamista liekeistä metallien prosessoinnissa.")</f>
        <v>On edelleen melko monta tehtaita, jotka ovat riippuvaisia ​​Magmortarin tarjoamista liekeistä metallien prosessoinnissa.</v>
      </c>
      <c r="C6921" s="9" t="s">
        <v>1344</v>
      </c>
    </row>
    <row r="6922" ht="33.75" customHeight="1">
      <c r="A6922" s="6" t="s">
        <v>10283</v>
      </c>
      <c r="B6922" s="6" t="str">
        <f>IFERROR(__xludf.DUMMYFUNCTION("GOOGLETRANSLATE(A6922,""en"",""fi"")"),"Magmortar tappaa vihollisensa ampumalla tulipalloja, jotka polttavat ne mustuneiksi ja rapeiksi. Se välttää tätä menetelmää saalista metsästäessään.")</f>
        <v>Magmortar tappaa vihollisensa ampumalla tulipalloja, jotka polttavat ne mustuneiksi ja rapeiksi. Se välttää tätä menetelmää saalista metsästäessään.</v>
      </c>
      <c r="C6922" s="9" t="s">
        <v>1344</v>
      </c>
    </row>
    <row r="6923" ht="33.75" customHeight="1">
      <c r="A6923" s="6" t="s">
        <v>10285</v>
      </c>
      <c r="B6923" s="6" t="str">
        <f>IFERROR(__xludf.DUMMYFUNCTION("GOOGLETRANSLATE(A6923,""en"",""fi"")"),"Kun Magmortar hengittää syvään sisään, sen vatsassa palava tuli voimistuu ja lämpötila nousee yli 3 600 Fahrenheit-asteeseen.")</f>
        <v>Kun Magmortar hengittää syvään sisään, sen vatsassa palava tuli voimistuu ja lämpötila nousee yli 3 600 Fahrenheit-asteeseen.</v>
      </c>
      <c r="C6923" s="9" t="s">
        <v>1344</v>
      </c>
    </row>
    <row r="6924" ht="33.75" customHeight="1">
      <c r="A6924" s="6" t="s">
        <v>10286</v>
      </c>
      <c r="B6924" s="6" t="str">
        <f>IFERROR(__xludf.DUMMYFUNCTION("GOOGLETRANSLATE(A6924,""en"",""fi"")"),"Tulivuoren kraatterissa eläminen on saanut tämän Pokémonin kehon muistuttamaan ympäristöään – sillä on magmakammiota muistuttava elin.")</f>
        <v>Tulivuoren kraatterissa eläminen on saanut tämän Pokémonin kehon muistuttamaan ympäristöään – sillä on magmakammiota muistuttava elin.</v>
      </c>
      <c r="C6924" s="9" t="s">
        <v>1344</v>
      </c>
    </row>
    <row r="6925" ht="33.75" customHeight="1">
      <c r="A6925" s="6" t="s">
        <v>10288</v>
      </c>
      <c r="B6925" s="6" t="str">
        <f>IFERROR(__xludf.DUMMYFUNCTION("GOOGLETRANSLATE(A6925,""en"",""fi"")"),"Oudon esineen käyttö sai tämän Pokémonin kehittymään. Sen putkimaisten käsivarsien päistä laukaistut tulipallot ovat niin kuumia, että ne voisivat sulattaa rautapadan hetkessä.")</f>
        <v>Oudon esineen käyttö sai tämän Pokémonin kehittymään. Sen putkimaisten käsivarsien päistä laukaistut tulipallot ovat niin kuumia, että ne voisivat sulattaa rautapadan hetkessä.</v>
      </c>
      <c r="C6925" s="9" t="s">
        <v>1344</v>
      </c>
    </row>
    <row r="6926" ht="33.75" customHeight="1">
      <c r="A6926" s="6" t="s">
        <v>10289</v>
      </c>
      <c r="B6926" s="6" t="str">
        <f>IFERROR(__xludf.DUMMYFUNCTION("GOOGLETRANSLATE(A6926,""en"",""fi"")"),"Se ei koskaan ilmesty sinne, missä on riitaa. Sen havainnot ovat harvinaistuneet viime aikoina.")</f>
        <v>Se ei koskaan ilmesty sinne, missä on riitaa. Sen havainnot ovat harvinaistuneet viime aikoina.</v>
      </c>
      <c r="C6926" s="9" t="s">
        <v>1344</v>
      </c>
    </row>
    <row r="6927" ht="33.75" customHeight="1">
      <c r="A6927" s="6" t="s">
        <v>10291</v>
      </c>
      <c r="B6927" s="6" t="str">
        <f>IFERROR(__xludf.DUMMYFUNCTION("GOOGLETRANSLATE(A6927,""en"",""fi"")"),"Se jakaa monia siunauksia ihmisille, jotka kunnioittavat toistensa oikeuksia ja välttävät tarpeetonta riitaa.")</f>
        <v>Se jakaa monia siunauksia ihmisille, jotka kunnioittavat toistensa oikeuksia ja välttävät tarpeetonta riitaa.</v>
      </c>
      <c r="C6927" s="9" t="s">
        <v>1344</v>
      </c>
    </row>
    <row r="6928" ht="33.75" customHeight="1">
      <c r="A6928" s="6" t="s">
        <v>10292</v>
      </c>
      <c r="B6928" s="6" t="str">
        <f>IFERROR(__xludf.DUMMYFUNCTION("GOOGLETRANSLATE(A6928,""en"",""fi"")"),"Kuten kaikki tietävät, se vierailee rauhallisilla alueilla tuoden niille ystävällisyyden lahjoja ja suloisia siunauksia.")</f>
        <v>Kuten kaikki tietävät, se vierailee rauhallisilla alueilla tuoden niille ystävällisyyden lahjoja ja suloisia siunauksia.</v>
      </c>
      <c r="C6928" s="9" t="s">
        <v>1344</v>
      </c>
    </row>
    <row r="6929" ht="33.75" customHeight="1">
      <c r="A6929" s="6" t="s">
        <v>10294</v>
      </c>
      <c r="B6929" s="6" t="str">
        <f>IFERROR(__xludf.DUMMYFUNCTION("GOOGLETRANSLATE(A6929,""en"",""fi"")"),"Näitä Pokémoneja ei koskaan nähdä lähelläkään konflikteja tai levottomuuksia. Viime aikoina niitä on nähty tuskin ollenkaan.")</f>
        <v>Näitä Pokémoneja ei koskaan nähdä lähelläkään konflikteja tai levottomuuksia. Viime aikoina niitä on nähty tuskin ollenkaan.</v>
      </c>
      <c r="C6929" s="9" t="s">
        <v>1344</v>
      </c>
    </row>
    <row r="6930" ht="33.75" customHeight="1">
      <c r="A6930" s="6" t="s">
        <v>10295</v>
      </c>
      <c r="B6930" s="6" t="str">
        <f>IFERROR(__xludf.DUMMYFUNCTION("GOOGLETRANSLATE(A6930,""en"",""fi"")"),"Siunauksen tuojana tunnettua kalpea on kuvattu onnenkaluissa muinaisista ajoista lähtien.")</f>
        <v>Siunauksen tuojana tunnettua kalpea on kuvattu onnenkaluissa muinaisista ajoista lähtien.</v>
      </c>
      <c r="C6930" s="9" t="s">
        <v>1344</v>
      </c>
    </row>
    <row r="6931" ht="33.75" customHeight="1">
      <c r="A6931" s="6" t="s">
        <v>10297</v>
      </c>
      <c r="B6931" s="6" t="str">
        <f>IFERROR(__xludf.DUMMYFUNCTION("GOOGLETRANSLATE(A6931,""en"",""fi"")"),"Harva on koskaan nähnyt tätä Pokémonia. Tutkittuani jäljellä olevaa kirjallisuutta olen varma, että Togekiss paljastaa itsensä, kun rauha vallitsee maassa.")</f>
        <v>Harva on koskaan nähnyt tätä Pokémonia. Tutkittuani jäljellä olevaa kirjallisuutta olen varma, että Togekiss paljastaa itsensä, kun rauha vallitsee maassa.</v>
      </c>
      <c r="C6931" s="9" t="s">
        <v>1344</v>
      </c>
    </row>
    <row r="6932" ht="33.75" customHeight="1">
      <c r="A6932" s="6" t="s">
        <v>10298</v>
      </c>
      <c r="B6932" s="6" t="str">
        <f>IFERROR(__xludf.DUMMYFUNCTION("GOOGLETRANSLATE(A6932,""en"",""fi"")"),"Siipiään heiluttamalla se luo paineaaltoja, jotka aiheuttavat vihollisille vakavia sisäisiä vammoja.")</f>
        <v>Siipiään heiluttamalla se luo paineaaltoja, jotka aiheuttavat vihollisille vakavia sisäisiä vammoja.</v>
      </c>
      <c r="C6932" s="9" t="s">
        <v>1344</v>
      </c>
    </row>
    <row r="6933" ht="33.75" customHeight="1">
      <c r="A6933" s="6" t="s">
        <v>10299</v>
      </c>
      <c r="B6933" s="6" t="str">
        <f>IFERROR(__xludf.DUMMYFUNCTION("GOOGLETRANSLATE(A6933,""en"",""fi"")"),"Sen leukojen voima on uskomaton. Se on taitava puremaan vihollisia kappaleiksi lentäessään ohi suurella nopeudella.")</f>
        <v>Sen leukojen voima on uskomaton. Se on taitava puremaan vihollisia kappaleiksi lentäessään ohi suurella nopeudella.</v>
      </c>
      <c r="C6933" s="9" t="s">
        <v>1344</v>
      </c>
    </row>
    <row r="6934" ht="33.75" customHeight="1">
      <c r="A6934" s="6" t="s">
        <v>10300</v>
      </c>
      <c r="B6934" s="6" t="str">
        <f>IFERROR(__xludf.DUMMYFUNCTION("GOOGLETRANSLATE(A6934,""en"",""fi"")"),"Tämä kuusijalkainen Pokémon pystyy helposti kuljettamaan aikuisen lennossa. Sen pyrstössä olevat siivet auttavat sitä pysymään tasapainossa.")</f>
        <v>Tämä kuusijalkainen Pokémon pystyy helposti kuljettamaan aikuisen lennossa. Sen pyrstössä olevat siivet auttavat sitä pysymään tasapainossa.</v>
      </c>
      <c r="C6934" s="9" t="s">
        <v>1344</v>
      </c>
    </row>
    <row r="6935" ht="33.75" customHeight="1">
      <c r="A6935" s="6" t="s">
        <v>10302</v>
      </c>
      <c r="B6935" s="6" t="str">
        <f>IFERROR(__xludf.DUMMYFUNCTION("GOOGLETRANSLATE(A6935,""en"",""fi"")"),"Sen siipieniskut ovat niin voimakkaita, että se vahingossa irrottaa täysikasvuisia puita lähtiessään lentoon.")</f>
        <v>Sen siipieniskut ovat niin voimakkaita, että se vahingossa irrottaa täysikasvuisia puita lähtiessään lentoon.</v>
      </c>
      <c r="C6935" s="9" t="s">
        <v>1344</v>
      </c>
    </row>
    <row r="6936" ht="33.75" customHeight="1">
      <c r="A6936" s="6" t="s">
        <v>10303</v>
      </c>
      <c r="B6936" s="6" t="str">
        <f>IFERROR(__xludf.DUMMYFUNCTION("GOOGLETRANSLATE(A6936,""en"",""fi"")"),"Se mieluummin taistelee puremalla vihollisten päät kappaleiksi välittömästi samalla kun se lentää ohi suurella nopeudella.")</f>
        <v>Se mieluummin taistelee puremalla vihollisten päät kappaleiksi välittömästi samalla kun se lentää ohi suurella nopeudella.</v>
      </c>
      <c r="C6936" s="9" t="s">
        <v>1344</v>
      </c>
    </row>
    <row r="6937" ht="33.75" customHeight="1">
      <c r="A6937" s="6" t="s">
        <v>10305</v>
      </c>
      <c r="B6937" s="6" t="str">
        <f>IFERROR(__xludf.DUMMYFUNCTION("GOOGLETRANSLATE(A6937,""en"",""fi"")"),"Äärimmäisen väkivaltainen. Metsästäessään se ei tuhlaa lainkaan energiaansa, vaan tähtää vain saaliin haavoittuvimpiin paikkoihin. Jokaisen, joka onnistuu kesyttämään tämän Pokémonin, täytyy olla uskomattoman rohkea.")</f>
        <v>Äärimmäisen väkivaltainen. Metsästäessään se ei tuhlaa lainkaan energiaansa, vaan tähtää vain saaliin haavoittuvimpiin paikkoihin. Jokaisen, joka onnistuu kesyttämään tämän Pokémonin, täytyy olla uskomattoman rohkea.</v>
      </c>
      <c r="C6937" s="9" t="s">
        <v>1344</v>
      </c>
    </row>
    <row r="6938" ht="33.75" customHeight="1">
      <c r="A6938" s="6" t="s">
        <v>10306</v>
      </c>
      <c r="B6938" s="6" t="str">
        <f>IFERROR(__xludf.DUMMYFUNCTION("GOOGLETRANSLATE(A6938,""en"",""fi"")"),"Aivan kuten kasvi, se käyttää fotosynteesiä. Tämän seurauksena se on aina kirkkaan ilman ympäröimä.")</f>
        <v>Aivan kuten kasvi, se käyttää fotosynteesiä. Tämän seurauksena se on aina kirkkaan ilman ympäröimä.</v>
      </c>
      <c r="C6938" s="9" t="s">
        <v>1344</v>
      </c>
    </row>
    <row r="6939" ht="33.75" customHeight="1">
      <c r="A6939" s="6" t="s">
        <v>10308</v>
      </c>
      <c r="B6939" s="6" t="str">
        <f>IFERROR(__xludf.DUMMYFUNCTION("GOOGLETRANSLATE(A6939,""en"",""fi"")"),"Se ei pohjimmiltaan taistele. Kasvien solujen kaltaisilla soluilla se voi suorittaa fotosynteesiä.")</f>
        <v>Se ei pohjimmiltaan taistele. Kasvien solujen kaltaisilla soluilla se voi suorittaa fotosynteesiä.</v>
      </c>
      <c r="C6939" s="9" t="s">
        <v>1344</v>
      </c>
    </row>
    <row r="6940" ht="33.75" customHeight="1">
      <c r="A6940" s="6" t="s">
        <v>10309</v>
      </c>
      <c r="B6940" s="6" t="str">
        <f>IFERROR(__xludf.DUMMYFUNCTION("GOOGLETRANSLATE(A6940,""en"",""fi"")"),"Kun näet LEAFEONin nukkuvan auringonpaisteessa, tiedät, että se käyttää fotosynteesiä puhtaan ilman tuottamiseen.")</f>
        <v>Kun näet LEAFEONin nukkuvan auringonpaisteessa, tiedät, että se käyttää fotosynteesiä puhtaan ilman tuottamiseen.</v>
      </c>
      <c r="C6940" s="9" t="s">
        <v>1344</v>
      </c>
    </row>
    <row r="6941" ht="33.75" customHeight="1">
      <c r="A6941" s="6" t="s">
        <v>10310</v>
      </c>
      <c r="B6941" s="6" t="str">
        <f>IFERROR(__xludf.DUMMYFUNCTION("GOOGLETRANSLATE(A6941,""en"",""fi"")"),"Kasvien solujen kaltaisilla soluilla se suorittaa fotosynteesiä kehossaan ja luo puhdasta ilmaa.")</f>
        <v>Kasvien solujen kaltaisilla soluilla se suorittaa fotosynteesiä kehossaan ja luo puhdasta ilmaa.</v>
      </c>
      <c r="C6941" s="9" t="s">
        <v>1344</v>
      </c>
    </row>
    <row r="6942" ht="33.75" customHeight="1">
      <c r="A6942" s="6" t="s">
        <v>10311</v>
      </c>
      <c r="B6942" s="6" t="str">
        <f>IFERROR(__xludf.DUMMYFUNCTION("GOOGLETRANSLATE(A6942,""en"",""fi"")"),"Kun näet Leafeonin nukkuvan auringonpaisteessa, tiedät, että se käyttää fotosynteesiä puhtaan ilman tuottamiseen.")</f>
        <v>Kun näet Leafeonin nukkuvan auringonpaisteessa, tiedät, että se käyttää fotosynteesiä puhtaan ilman tuottamiseen.</v>
      </c>
      <c r="C6942" s="9" t="s">
        <v>1344</v>
      </c>
    </row>
    <row r="6943" ht="33.75" customHeight="1">
      <c r="A6943" s="6" t="s">
        <v>10312</v>
      </c>
      <c r="B6943" s="6" t="str">
        <f>IFERROR(__xludf.DUMMYFUNCTION("GOOGLETRANSLATE(A6943,""en"",""fi"")"),"Sen solukoostumus on lähempänä kasvin kuin eläimen solukoostumusta. Se käyttää fotosynteesiä energiansaantiin syömättä ruokaa.")</f>
        <v>Sen solukoostumus on lähempänä kasvin kuin eläimen solukoostumusta. Se käyttää fotosynteesiä energiansaantiin syömättä ruokaa.</v>
      </c>
      <c r="C6943" s="9" t="s">
        <v>1344</v>
      </c>
    </row>
    <row r="6944" ht="33.75" customHeight="1">
      <c r="A6944" s="6" t="s">
        <v>10313</v>
      </c>
      <c r="B6944" s="6" t="str">
        <f>IFERROR(__xludf.DUMMYFUNCTION("GOOGLETRANSLATE(A6944,""en"",""fi"")"),"Mitä nuorempia ne ovat, sitä enemmän ne tuoksuvat tuoreelta ruoholta. Iän myötä niiden tuoksu saa pudonneiden lehtien tuoksun.")</f>
        <v>Mitä nuorempia ne ovat, sitä enemmän ne tuoksuvat tuoreelta ruoholta. Iän myötä niiden tuoksu saa pudonneiden lehtien tuoksun.</v>
      </c>
      <c r="C6944" s="9" t="s">
        <v>1344</v>
      </c>
    </row>
    <row r="6945" ht="33.75" customHeight="1">
      <c r="A6945" s="6" t="s">
        <v>10314</v>
      </c>
      <c r="B6945" s="6" t="str">
        <f>IFERROR(__xludf.DUMMYFUNCTION("GOOGLETRANSLATE(A6945,""en"",""fi"")"),"Vaikka se ei pidä riidoista, se teroittaa pyrstössään olevan lehden miekaksi ja taistelee, jos sen on suojeltava ystäviään.")</f>
        <v>Vaikka se ei pidä riidoista, se teroittaa pyrstössään olevan lehden miekaksi ja taistelee, jos sen on suojeltava ystäviään.</v>
      </c>
      <c r="C6945" s="9" t="s">
        <v>1344</v>
      </c>
    </row>
    <row r="6946" ht="33.75" customHeight="1">
      <c r="A6946" s="6" t="s">
        <v>10315</v>
      </c>
      <c r="B6946" s="6" t="str">
        <f>IFERROR(__xludf.DUMMYFUNCTION("GOOGLETRANSLATE(A6946,""en"",""fi"")"),"Se saa ravintonsa fotosynteesistä. Se elää hiljaista elämää syvällä metsissä, missä puhtaat joet virtaavat.")</f>
        <v>Se saa ravintonsa fotosynteesistä. Se elää hiljaista elämää syvällä metsissä, missä puhtaat joet virtaavat.</v>
      </c>
      <c r="C6946" s="9" t="s">
        <v>1344</v>
      </c>
    </row>
    <row r="6947" ht="33.75" customHeight="1">
      <c r="A6947" s="6" t="s">
        <v>10316</v>
      </c>
      <c r="B6947" s="6" t="str">
        <f>IFERROR(__xludf.DUMMYFUNCTION("GOOGLETRANSLATE(A6947,""en"",""fi"")"),"Galarialaiset pitävät tämän Pokémonin lehdistä leijuvasta ominaisesta aromista. Tästä tuoksusta valmistetaan suosittu hajuvesi.")</f>
        <v>Galarialaiset pitävät tämän Pokémonin lehdistä leijuvasta ominaisesta aromista. Tästä tuoksusta valmistetaan suosittu hajuvesi.</v>
      </c>
      <c r="C6947" s="9" t="s">
        <v>1344</v>
      </c>
    </row>
    <row r="6948" ht="33.75" customHeight="1">
      <c r="A6948" s="6" t="s">
        <v>10317</v>
      </c>
      <c r="B6948" s="6" t="str">
        <f>IFERROR(__xludf.DUMMYFUNCTION("GOOGLETRANSLATE(A6948,""en"",""fi"")"),"Tämän Pokémonin häntä on terävä ja siinä on upea leikkaava reuna, jolla se voi viiltää suoraan suurten puiden läpi.")</f>
        <v>Tämän Pokémonin häntä on terävä ja siinä on upea leikkaava reuna, jolla se voi viiltää suoraan suurten puiden läpi.</v>
      </c>
      <c r="C6948" s="9" t="s">
        <v>1344</v>
      </c>
    </row>
    <row r="6949" ht="33.75" customHeight="1">
      <c r="A6949" s="6" t="s">
        <v>10318</v>
      </c>
      <c r="B6949" s="6" t="str">
        <f>IFERROR(__xludf.DUMMYFUNCTION("GOOGLETRANSLATE(A6949,""en"",""fi"")"),"Sen turkista on löydetty kasvien soluja muistuttavia soluja. Sen kova häntä voi kaataa suuren puun yhdellä iskulla, ja hännän terävyys ylittää jopa mestarin valmistaman miekan terävyyden.")</f>
        <v>Sen turkista on löydetty kasvien soluja muistuttavia soluja. Sen kova häntä voi kaataa suuren puun yhdellä iskulla, ja hännän terävyys ylittää jopa mestarin valmistaman miekan terävyyden.</v>
      </c>
      <c r="C6949" s="9" t="s">
        <v>1344</v>
      </c>
    </row>
    <row r="6950" ht="33.75" customHeight="1">
      <c r="A6950" s="6" t="s">
        <v>10320</v>
      </c>
      <c r="B6950" s="6" t="str">
        <f>IFERROR(__xludf.DUMMYFUNCTION("GOOGLETRANSLATE(A6950,""en"",""fi"")"),"Suojautumiskeinona se voi jäädyttää turkkinsa kokonaan, jolloin sen karvat pystyvät kuin neulat.")</f>
        <v>Suojautumiskeinona se voi jäädyttää turkkinsa kokonaan, jolloin sen karvat pystyvät kuin neulat.</v>
      </c>
      <c r="C6950" s="9" t="s">
        <v>1344</v>
      </c>
    </row>
    <row r="6951" ht="33.75" customHeight="1">
      <c r="A6951" s="6" t="s">
        <v>10321</v>
      </c>
      <c r="B6951" s="6" t="str">
        <f>IFERROR(__xludf.DUMMYFUNCTION("GOOGLETRANSLATE(A6951,""en"",""fi"")"),"Säätelemällä ruumiinlämpöään se voi jäädyttää ympäröivän ilmakehän ja luoda timanttipölypilven.")</f>
        <v>Säätelemällä ruumiinlämpöään se voi jäädyttää ympäröivän ilmakehän ja luoda timanttipölypilven.</v>
      </c>
      <c r="C6951" s="9" t="s">
        <v>1344</v>
      </c>
    </row>
    <row r="6952" ht="33.75" customHeight="1">
      <c r="A6952" s="6" t="s">
        <v>10323</v>
      </c>
      <c r="B6952" s="6" t="str">
        <f>IFERROR(__xludf.DUMMYFUNCTION("GOOGLETRANSLATE(A6952,""en"",""fi"")"),"Se aiheuttaa pienten jääkiteiden muodostumista alentamalla ympäröivän ilmakehän lämpötilaa.")</f>
        <v>Se aiheuttaa pienten jääkiteiden muodostumista alentamalla ympäröivän ilmakehän lämpötilaa.</v>
      </c>
      <c r="C6952" s="9" t="s">
        <v>1344</v>
      </c>
    </row>
    <row r="6953" ht="33.75" customHeight="1">
      <c r="A6953" s="6" t="s">
        <v>10325</v>
      </c>
      <c r="B6953" s="6" t="str">
        <f>IFERROR(__xludf.DUMMYFUNCTION("GOOGLETRANSLATE(A6953,""en"",""fi"")"),"Se alentaa ruumiinlämpöään jäädyttääkseen turkkinsa. Karvat muuttuvat sitten neulojen kaltaisiksi, joita se voi ampua.")</f>
        <v>Se alentaa ruumiinlämpöään jäädyttääkseen turkkinsa. Karvat muuttuvat sitten neulojen kaltaisiksi, joita se voi ampua.</v>
      </c>
      <c r="C6953" s="9" t="s">
        <v>1344</v>
      </c>
    </row>
    <row r="6954" ht="33.75" customHeight="1">
      <c r="A6954" s="6" t="s">
        <v>10327</v>
      </c>
      <c r="B6954" s="6" t="str">
        <f>IFERROR(__xludf.DUMMYFUNCTION("GOOGLETRANSLATE(A6954,""en"",""fi"")"),"Se voi hallita ruumiinlämpöään mielensä mukaan. Tämän ansiosta se voi jäädyttää ilmakehän kosteuden, jolloin syntyy timanttipölyä.")</f>
        <v>Se voi hallita ruumiinlämpöään mielensä mukaan. Tämän ansiosta se voi jäädyttää ilmakehän kosteuden, jolloin syntyy timanttipölyä.</v>
      </c>
      <c r="C6954" s="9" t="s">
        <v>1344</v>
      </c>
    </row>
    <row r="6955" ht="33.75" customHeight="1">
      <c r="A6955" s="6" t="s">
        <v>10328</v>
      </c>
      <c r="B6955" s="6" t="str">
        <f>IFERROR(__xludf.DUMMYFUNCTION("GOOGLETRANSLATE(A6955,""en"",""fi"")"),"Se jäädyttää turkkinsa piikikkäiksi ja teräviksi jääpuikoiksi ja tarttuu saaliiseensa.")</f>
        <v>Se jäädyttää turkkinsa piikikkäiksi ja teräviksi jääpuikoiksi ja tarttuu saaliiseensa.</v>
      </c>
      <c r="C6955" s="9" t="s">
        <v>1344</v>
      </c>
    </row>
    <row r="6956" ht="33.75" customHeight="1">
      <c r="A6956" s="6" t="s">
        <v>10331</v>
      </c>
      <c r="B6956" s="6" t="str">
        <f>IFERROR(__xludf.DUMMYFUNCTION("GOOGLETRANSLATE(A6956,""en"",""fi"")"),"Se suojelee itseään jäädyttämällä turkkinsa teräviksi neuloiksi. Se voi laskea ruumiinlämpönsä alle –24 celsiusasteen.")</f>
        <v>Se suojelee itseään jäädyttämällä turkkinsa teräviksi neuloiksi. Se voi laskea ruumiinlämpönsä alle –24 celsiusasteen.</v>
      </c>
      <c r="C6956" s="9" t="s">
        <v>1344</v>
      </c>
    </row>
    <row r="6957" ht="33.75" customHeight="1">
      <c r="A6957" s="6" t="s">
        <v>10333</v>
      </c>
      <c r="B6957" s="6" t="str">
        <f>IFERROR(__xludf.DUMMYFUNCTION("GOOGLETRANSLATE(A6957,""en"",""fi"")"),"Se voi jäädyttää välittömästi kaiken ympärillään olevan kosteuden ja luoda jäärakeita, joilla se voi ampua saalistaan.")</f>
        <v>Se voi jäädyttää välittömästi kaiken ympärillään olevan kosteuden ja luoda jäärakeita, joilla se voi ampua saalistaan.</v>
      </c>
      <c r="C6957" s="9" t="s">
        <v>1344</v>
      </c>
    </row>
    <row r="6958" ht="33.75" customHeight="1">
      <c r="A6958" s="6" t="s">
        <v>10334</v>
      </c>
      <c r="B6958" s="6" t="str">
        <f>IFERROR(__xludf.DUMMYFUNCTION("GOOGLETRANSLATE(A6958,""en"",""fi"")"),"Jokainen, joka lumoutuu Glaceonin luoman lumisateen kauneudesta, jäätyy ennen kuin huomaakaan.")</f>
        <v>Jokainen, joka lumoutuu Glaceonin luoman lumisateen kauneudesta, jäätyy ennen kuin huomaakaan.</v>
      </c>
      <c r="C6958" s="9" t="s">
        <v>1344</v>
      </c>
    </row>
    <row r="6959" ht="33.75" customHeight="1">
      <c r="A6959" s="6" t="s">
        <v>10335</v>
      </c>
      <c r="B6959" s="6" t="str">
        <f>IFERROR(__xludf.DUMMYFUNCTION("GOOGLETRANSLATE(A6959,""en"",""fi"")"),"Glaceonista huokuva kylmyys aiheuttaa puuterimaisen lumen muodostumista, mikä tekee siitä melko suositun Pokémonin hiihtokeskuksissa.")</f>
        <v>Glaceonista huokuva kylmyys aiheuttaa puuterimaisen lumen muodostumista, mikä tekee siitä melko suositun Pokémonin hiihtokeskuksissa.</v>
      </c>
      <c r="C6959" s="9" t="s">
        <v>1344</v>
      </c>
    </row>
    <row r="6960" ht="33.75" customHeight="1">
      <c r="A6960" s="6" t="s">
        <v>10336</v>
      </c>
      <c r="B6960" s="6" t="str">
        <f>IFERROR(__xludf.DUMMYFUNCTION("GOOGLETRANSLATE(A6960,""en"",""fi"")"),"Glaceon pystyy laskemaan ruumiinlämpöään hyvin nopeasti. Se jäädyttää ilmakehän ja luo timanttipölyä, joka kimaltelee kuin jalokivet sen lepatellessa ja tanssiessa ympäriinsä.")</f>
        <v>Glaceon pystyy laskemaan ruumiinlämpöään hyvin nopeasti. Se jäädyttää ilmakehän ja luo timanttipölyä, joka kimaltelee kuin jalokivet sen lepatellessa ja tanssiessa ympäriinsä.</v>
      </c>
      <c r="C6960" s="9" t="s">
        <v>1344</v>
      </c>
    </row>
    <row r="6961" ht="33.75" customHeight="1">
      <c r="A6961" s="6" t="s">
        <v>10338</v>
      </c>
      <c r="B6961" s="6" t="str">
        <f>IFERROR(__xludf.DUMMYFUNCTION("GOOGLETRANSLATE(A6961,""en"",""fi"")"),"Se tarkkailee saalista roikkuessaan ylösalaisin oksilla. Tilaisuuden tullen se syöksyy kimppuun!")</f>
        <v>Se tarkkailee saalista roikkuessaan ylösalaisin oksilla. Tilaisuuden tullen se syöksyy kimppuun!</v>
      </c>
      <c r="C6961" s="9" t="s">
        <v>1344</v>
      </c>
    </row>
    <row r="6962" ht="33.75" customHeight="1">
      <c r="A6962" s="6" t="s">
        <v>10341</v>
      </c>
      <c r="B6962" s="6" t="str">
        <f>IFERROR(__xludf.DUMMYFUNCTION("GOOGLETRANSLATE(A6962,""en"",""fi"")"),"Jos se onnistuu saamaan kunnolla kiinni edes heikon tuulenvireen, se voi kiertää maapallon räpyttelemättä kertaakaan.")</f>
        <v>Jos se onnistuu saamaan kunnolla kiinni edes heikon tuulenvireen, se voi kiertää maapallon räpyttelemättä kertaakaan.</v>
      </c>
      <c r="C6962" s="9" t="s">
        <v>1344</v>
      </c>
    </row>
    <row r="6963" ht="33.75" customHeight="1">
      <c r="A6963" s="6" t="s">
        <v>10342</v>
      </c>
      <c r="B6963" s="6" t="str">
        <f>IFERROR(__xludf.DUMMYFUNCTION("GOOGLETRANSLATE(A6963,""en"",""fi"")"),"Sen lento on äänetön. Se käyttää pitkää häntäänsä saaliinsa kantamiseen... Sitten sen pitkänomaiset torahampaat hoitavat loput.")</f>
        <v>Sen lento on äänetön. Se käyttää pitkää häntäänsä saaliinsa kantamiseen... Sitten sen pitkänomaiset torahampaat hoitavat loput.</v>
      </c>
      <c r="C6963" s="9" t="s">
        <v>1344</v>
      </c>
    </row>
    <row r="6964" ht="33.75" customHeight="1">
      <c r="A6964" s="6" t="s">
        <v>10344</v>
      </c>
      <c r="B6964" s="6" t="str">
        <f>IFERROR(__xludf.DUMMYFUNCTION("GOOGLETRANSLATE(A6964,""en"",""fi"")"),"Se tanssii äänettömästi taivaalla. Lähestyessään saalista se voi osua kriittiseen osumaan hetkessä.")</f>
        <v>Se tanssii äänettömästi taivaalla. Lähestyessään saalista se voi osua kriittiseen osumaan hetkessä.</v>
      </c>
      <c r="C6964" s="9" t="s">
        <v>1344</v>
      </c>
    </row>
    <row r="6965" ht="33.75" customHeight="1">
      <c r="A6965" s="6" t="s">
        <v>10346</v>
      </c>
      <c r="B6965" s="6" t="str">
        <f>IFERROR(__xludf.DUMMYFUNCTION("GOOGLETRANSLATE(A6965,""en"",""fi"")"),"Se liitää äänettömästi pikimustilla siivillä ja upottaa terävät kulmahampaat saaliinsa kurkkuun. Se näyttää tyytyväiseltä, kun se on imenyt saaliinsa veren kokonaan pois.")</f>
        <v>Se liitää äänettömästi pikimustilla siivillä ja upottaa terävät kulmahampaat saaliinsa kurkkuun. Se näyttää tyytyväiseltä, kun se on imenyt saaliinsa veren kokonaan pois.</v>
      </c>
      <c r="C6965" s="9" t="s">
        <v>1344</v>
      </c>
    </row>
    <row r="6966" ht="33.75" customHeight="1">
      <c r="A6966" s="6" t="s">
        <v>10347</v>
      </c>
      <c r="B6966" s="6" t="str">
        <f>IFERROR(__xludf.DUMMYFUNCTION("GOOGLETRANSLATE(A6966,""en"",""fi"")"),"Sen vaikuttavat syöksyhampaat ovat jäätä. Populaatio harveni jääkauden jälkeisen lämpenemisen myötä.")</f>
        <v>Sen vaikuttavat syöksyhampaat ovat jäätä. Populaatio harveni jääkauden jälkeisen lämpenemisen myötä.</v>
      </c>
      <c r="C6966" s="9" t="s">
        <v>1344</v>
      </c>
    </row>
    <row r="6967" ht="33.75" customHeight="1">
      <c r="A6967" s="6" t="s">
        <v>10349</v>
      </c>
      <c r="B6967" s="6" t="str">
        <f>IFERROR(__xludf.DUMMYFUNCTION("GOOGLETRANSLATE(A6967,""en"",""fi"")"),"Maasta kaivettiin esiin jäätynyt yksi, joka on 10 000 vuotta vanha. Se heräsi suureen hämmästykseen.")</f>
        <v>Maasta kaivettiin esiin jäätynyt yksi, joka on 10 000 vuotta vanha. Se heräsi suureen hämmästykseen.</v>
      </c>
      <c r="C6967" s="9" t="s">
        <v>1344</v>
      </c>
    </row>
    <row r="6968" ht="33.75" customHeight="1">
      <c r="A6968" s="6" t="s">
        <v>10350</v>
      </c>
      <c r="B6968" s="6" t="str">
        <f>IFERROR(__xludf.DUMMYFUNCTION("GOOGLETRANSLATE(A6968,""en"",""fi"")"),"Jäästä kaivettiin 10 000 vuotta vanha jäänkappale. Tämä Pokémon on ollut olemassa jo pitkään, pitkään, pitkään.")</f>
        <v>Jäästä kaivettiin 10 000 vuotta vanha jäänkappale. Tämä Pokémon on ollut olemassa jo pitkään, pitkään, pitkään.</v>
      </c>
      <c r="C6968" s="9" t="s">
        <v>1344</v>
      </c>
    </row>
    <row r="6969" ht="33.75" customHeight="1">
      <c r="A6969" s="6" t="s">
        <v>10351</v>
      </c>
      <c r="B6969" s="6" t="str">
        <f>IFERROR(__xludf.DUMMYFUNCTION("GOOGLETRANSLATE(A6969,""en"",""fi"")"),"Se kukoisti maailmanlaajuisesti jääkauden aikana, mutta sen populaatio väheni, kun jäämassat alkoivat hupenemaan.")</f>
        <v>Se kukoisti maailmanlaajuisesti jääkauden aikana, mutta sen populaatio väheni, kun jäämassat alkoivat hupenemaan.</v>
      </c>
      <c r="C6969" s="9" t="s">
        <v>1344</v>
      </c>
    </row>
    <row r="6970" ht="33.75" customHeight="1">
      <c r="A6970" s="6" t="s">
        <v>10353</v>
      </c>
      <c r="B6970" s="6" t="str">
        <f>IFERROR(__xludf.DUMMYFUNCTION("GOOGLETRANSLATE(A6970,""en"",""fi"")"),"Kun lämpötila nousi jääkauden lopussa, suurin osa Mamoswinesta katosi.")</f>
        <v>Kun lämpötila nousi jääkauden lopussa, suurin osa Mamoswinesta katosi.</v>
      </c>
      <c r="C6970" s="9" t="s">
        <v>1344</v>
      </c>
    </row>
    <row r="6971" ht="33.75" customHeight="1">
      <c r="A6971" s="6" t="s">
        <v>10354</v>
      </c>
      <c r="B6971" s="6" t="str">
        <f>IFERROR(__xludf.DUMMYFUNCTION("GOOGLETRANSLATE(A6971,""en"",""fi"")"),"Jäästä kaivettiin jäätynyt Mamoswine, joka on 10 000 vuotta vanha. Tämä Pokémon on ollut olemassa jo pitkään, pitkään, pitkään.")</f>
        <v>Jäästä kaivettiin jäätynyt Mamoswine, joka on 10 000 vuotta vanha. Tämä Pokémon on ollut olemassa jo pitkään, pitkään, pitkään.</v>
      </c>
      <c r="C6971" s="9" t="s">
        <v>1344</v>
      </c>
    </row>
    <row r="6972" ht="33.75" customHeight="1">
      <c r="A6972" s="6" t="s">
        <v>10355</v>
      </c>
      <c r="B6972" s="6" t="str">
        <f>IFERROR(__xludf.DUMMYFUNCTION("GOOGLETRANSLATE(A6972,""en"",""fi"")"),"Tätä Pokémonia voi nähdä seinämaalauksissa jopa 10 000 vuoden takaa. Jonkin aikaa sen uskottiin kuolleen sukupuuttoon.")</f>
        <v>Tätä Pokémonia voi nähdä seinämaalauksissa jopa 10 000 vuoden takaa. Jonkin aikaa sen uskottiin kuolleen sukupuuttoon.</v>
      </c>
      <c r="C6972" s="9" t="s">
        <v>1344</v>
      </c>
    </row>
    <row r="6973" ht="33.75" customHeight="1">
      <c r="A6973" s="6" t="s">
        <v>10357</v>
      </c>
      <c r="B6973" s="6" t="str">
        <f>IFERROR(__xludf.DUMMYFUNCTION("GOOGLETRANSLATE(A6973,""en"",""fi"")"),"Se näyttää vahvalta, ja juuri sitä se onkin. Sään kylmetessä sen jäähampaat pitenevät, paksuuntuvat ja muuttuvat vaikuttavammiksi.")</f>
        <v>Se näyttää vahvalta, ja juuri sitä se onkin. Sään kylmetessä sen jäähampaat pitenevät, paksuuntuvat ja muuttuvat vaikuttavammiksi.</v>
      </c>
      <c r="C6973" s="9" t="s">
        <v>1344</v>
      </c>
    </row>
    <row r="6974" ht="33.75" customHeight="1">
      <c r="A6974" s="6" t="s">
        <v>10358</v>
      </c>
      <c r="B6974" s="6" t="str">
        <f>IFERROR(__xludf.DUMMYFUNCTION("GOOGLETRANSLATE(A6974,""en"",""fi"")"),"Tämä laji saavutti huippunsa jääkautena tunnettuna aikana. Epäilen, että Hisuin hyytävä ilmasto on sopusoinnussa Mamoswinen perusrakenteen kanssa, herättäen siten piilevän potentiaalin.")</f>
        <v>Tämä laji saavutti huippunsa jääkautena tunnettuna aikana. Epäilen, että Hisuin hyytävä ilmasto on sopusoinnussa Mamoswinen perusrakenteen kanssa, herättäen siten piilevän potentiaalin.</v>
      </c>
      <c r="C6974" s="9" t="s">
        <v>1344</v>
      </c>
    </row>
    <row r="6975" ht="33.75" customHeight="1">
      <c r="A6975" s="6" t="s">
        <v>10360</v>
      </c>
      <c r="B6975" s="6" t="str">
        <f>IFERROR(__xludf.DUMMYFUNCTION("GOOGLETRANSLATE(A6975,""en"",""fi"")"),"Lisäohjelmistoja asennettiin, jotta siitä tulisi parempi Pokémon. Se alkoi kuitenkin käyttäytyä oudosti.")</f>
        <v>Lisäohjelmistoja asennettiin, jotta siitä tulisi parempi Pokémon. Se alkoi kuitenkin käyttäytyä oudosti.</v>
      </c>
      <c r="C6975" s="9" t="s">
        <v>1344</v>
      </c>
    </row>
    <row r="6976" ht="33.75" customHeight="1">
      <c r="A6976" s="6" t="s">
        <v>10362</v>
      </c>
      <c r="B6976" s="6" t="str">
        <f>IFERROR(__xludf.DUMMYFUNCTION("GOOGLETRANSLATE(A6976,""en"",""fi"")"),"Sen ohjelmointia oli muokattu mahdollistamaan työskentely vieraissa ulottuvuuksissa. Se ei toiminut suunnitellusti.")</f>
        <v>Sen ohjelmointia oli muokattu mahdollistamaan työskentely vieraissa ulottuvuuksissa. Se ei toiminut suunnitellusti.</v>
      </c>
      <c r="C6976" s="9" t="s">
        <v>1344</v>
      </c>
    </row>
    <row r="6977" ht="33.75" customHeight="1">
      <c r="A6977" s="6" t="s">
        <v>10363</v>
      </c>
      <c r="B6977" s="6" t="str">
        <f>IFERROR(__xludf.DUMMYFUNCTION("GOOGLETRANSLATE(A6977,""en"",""fi"")"),"Sen ohjelmointia on muokattu, jotta se voisi matkustaa vieraiden ulottuvuuksien läpi. Näyttää siltä, ​​että siinä on saattanut olla virhe...")</f>
        <v>Sen ohjelmointia on muokattu, jotta se voisi matkustaa vieraiden ulottuvuuksien läpi. Näyttää siltä, ​​että siinä on saattanut olla virhe...</v>
      </c>
      <c r="C6977" s="9" t="s">
        <v>1344</v>
      </c>
    </row>
    <row r="6978" ht="33.75" customHeight="1">
      <c r="A6978" s="6" t="s">
        <v>10364</v>
      </c>
      <c r="B6978" s="6" t="str">
        <f>IFERROR(__xludf.DUMMYFUNCTION("GOOGLETRANSLATE(A6978,""en"",""fi"")"),"Kehittyneemmän Pokémonin luomiseksi asennettiin lisäohjelma, mutta ilmeisesti siinä oli vika, joka saa sen liikkumaan oudosti.")</f>
        <v>Kehittyneemmän Pokémonin luomiseksi asennettiin lisäohjelma, mutta ilmeisesti siinä oli vika, joka saa sen liikkumaan oudosti.</v>
      </c>
      <c r="C6978" s="9" t="s">
        <v>1344</v>
      </c>
    </row>
    <row r="6979" ht="33.75" customHeight="1">
      <c r="A6979" s="6" t="s">
        <v>10365</v>
      </c>
      <c r="B6979" s="6" t="str">
        <f>IFERROR(__xludf.DUMMYFUNCTION("GOOGLETRANSLATE(A6979,""en"",""fi"")"),"Sen ohjelmaa muokattiin helpottamaan ulottuvuuksien ulkopuolisia toimintoja, mutta se johti huomattavan outoon käyttäytymiseen.")</f>
        <v>Sen ohjelmaa muokattiin helpottamaan ulottuvuuksien ulkopuolisia toimintoja, mutta se johti huomattavan outoon käyttäytymiseen.</v>
      </c>
      <c r="C6979" s="9" t="s">
        <v>1344</v>
      </c>
    </row>
    <row r="6980" ht="33.75" customHeight="1">
      <c r="A6980" s="6" t="s">
        <v>10366</v>
      </c>
      <c r="B6980" s="6" t="str">
        <f>IFERROR(__xludf.DUMMYFUNCTION("GOOGLETRANSLATE(A6980,""en"",""fi"")"),"Sen käyttäytyminen on huomattavan epävakaata, mikä ilmeisesti johtuu ohjelmoinnin päivittäneen insinöörin epäpätevyydestä.")</f>
        <v>Sen käyttäytyminen on huomattavan epävakaata, mikä ilmeisesti johtuu ohjelmoinnin päivittäneen insinöörin epäpätevyydestä.</v>
      </c>
      <c r="C6980" s="9" t="s">
        <v>1344</v>
      </c>
    </row>
    <row r="6981" ht="33.75" customHeight="1">
      <c r="A6981" s="6" t="s">
        <v>10367</v>
      </c>
      <c r="B6981" s="6" t="str">
        <f>IFERROR(__xludf.DUMMYFUNCTION("GOOGLETRANSLATE(A6981,""en"",""fi"")"),"Sen ohjelmointiin lisättiin viallinen päivitys. Sen toiminta on huomattavan outoa, joten koe on saattanut epäonnistua.")</f>
        <v>Sen ohjelmointiin lisättiin viallinen päivitys. Sen toiminta on huomattavan outoa, joten koe on saattanut epäonnistua.</v>
      </c>
      <c r="C6981" s="9" t="s">
        <v>1344</v>
      </c>
    </row>
    <row r="6982" ht="33.75" customHeight="1">
      <c r="A6982" s="6" t="s">
        <v>10368</v>
      </c>
      <c r="B6982" s="6" t="str">
        <f>IFERROR(__xludf.DUMMYFUNCTION("GOOGLETRANSLATE(A6982,""en"",""fi"")"),"Porygon-Z:lla oli asennettuna ohjelma, jonka avulla se pystyi liikkumaan ulottuvuuksien välillä, mutta ohjelma aiheutti myös epävakautta Porygon-Z:n toiminnassa.")</f>
        <v>Porygon-Z:lla oli asennettuna ohjelma, jonka avulla se pystyi liikkumaan ulottuvuuksien välillä, mutta ohjelma aiheutti myös epävakautta Porygon-Z:n toiminnassa.</v>
      </c>
      <c r="C6982" s="9" t="s">
        <v>1344</v>
      </c>
    </row>
    <row r="6983" ht="33.75" customHeight="1">
      <c r="A6983" s="6" t="s">
        <v>10370</v>
      </c>
      <c r="B6983" s="6" t="str">
        <f>IFERROR(__xludf.DUMMYFUNCTION("GOOGLETRANSLATE(A6983,""en"",""fi"")"),"Jotkut sanovat, että tämän Pokémonin kehitykseen vaikutti jokin lisäohjelma, mutta edes akateemikot eivät ole yhtä mieltä siitä, onko Porygon-Z todella evoluutio.")</f>
        <v>Jotkut sanovat, että tämän Pokémonin kehitykseen vaikutti jokin lisäohjelma, mutta edes akateemikot eivät ole yhtä mieltä siitä, onko Porygon-Z todella evoluutio.</v>
      </c>
      <c r="C6983" s="9" t="s">
        <v>1344</v>
      </c>
    </row>
    <row r="6984" ht="33.75" customHeight="1">
      <c r="A6984" s="6" t="s">
        <v>10371</v>
      </c>
      <c r="B6984" s="6" t="str">
        <f>IFERROR(__xludf.DUMMYFUNCTION("GOOGLETRANSLATE(A6984,""en"",""fi"")"),"Eräs omituinen esine sai aikaan tämän kehityksen. Pokémonin hyökkäyskyky on lisääntynyt huomattavasti, mutta sen omituinen käyttäytyminen on voimistunut yhtä lailla. Tämä huolestuttaa minua.")</f>
        <v>Eräs omituinen esine sai aikaan tämän kehityksen. Pokémonin hyökkäyskyky on lisääntynyt huomattavasti, mutta sen omituinen käyttäytyminen on voimistunut yhtä lailla. Tämä huolestuttaa minua.</v>
      </c>
      <c r="C6984" s="9" t="s">
        <v>1344</v>
      </c>
    </row>
    <row r="6985" ht="33.75" customHeight="1">
      <c r="A6985" s="6" t="s">
        <v>10372</v>
      </c>
      <c r="B6985" s="6" t="str">
        <f>IFERROR(__xludf.DUMMYFUNCTION("GOOGLETRANSLATE(A6985,""en"",""fi"")"),"Kohteliaisuuden ja miekkataidon mestarina se taistelee käyttäen ojennettuja miekkoja kyynärpäillään.")</f>
        <v>Kohteliaisuuden ja miekkataidon mestarina se taistelee käyttäen ojennettuja miekkoja kyynärpäillään.</v>
      </c>
      <c r="C6985" s="9" t="s">
        <v>1344</v>
      </c>
    </row>
    <row r="6986" ht="33.75" customHeight="1">
      <c r="A6986" s="6" t="s">
        <v>10373</v>
      </c>
      <c r="B6986" s="6" t="str">
        <f>IFERROR(__xludf.DUMMYFUNCTION("GOOGLETRANSLATE(A6986,""en"",""fi"")"),"Yrittäessään suojella jotakuta se ojentaa kyynärpäänsä kuin miekat ja taistelee raa'asti.")</f>
        <v>Yrittäessään suojella jotakuta se ojentaa kyynärpäänsä kuin miekat ja taistelee raa'asti.</v>
      </c>
      <c r="C6986" s="9" t="s">
        <v>1344</v>
      </c>
    </row>
    <row r="6987" ht="33.75" customHeight="1">
      <c r="A6987" s="6" t="s">
        <v>10374</v>
      </c>
      <c r="B6987" s="6" t="str">
        <f>IFERROR(__xludf.DUMMYFUNCTION("GOOGLETRANSLATE(A6987,""en"",""fi"")"),"Koska se aistii vihollisen ajatukset, sen hyökkäykset purkautuvat ensin, nopeasti ja raivokkaasti.")</f>
        <v>Koska se aistii vihollisen ajatukset, sen hyökkäykset purkautuvat ensin, nopeasti ja raivokkaasti.</v>
      </c>
      <c r="C6987" s="9" t="s">
        <v>1344</v>
      </c>
    </row>
    <row r="6988" ht="33.75" customHeight="1">
      <c r="A6988" s="6" t="s">
        <v>10376</v>
      </c>
      <c r="B6988" s="6" t="str">
        <f>IFERROR(__xludf.DUMMYFUNCTION("GOOGLETRANSLATE(A6988,""en"",""fi"")"),"Kunniallisen soturin imagolleen uskollisena se käyttää kyynärpäissään olevia teriä vain puolustaakseen jotakuta tai jotakuta.")</f>
        <v>Kunniallisen soturin imagolleen uskollisena se käyttää kyynärpäissään olevia teriä vain puolustaakseen jotakuta tai jotakuta.</v>
      </c>
      <c r="C6988" s="9" t="s">
        <v>1344</v>
      </c>
    </row>
    <row r="6989" ht="33.75" customHeight="1">
      <c r="A6989" s="6" t="s">
        <v>10377</v>
      </c>
      <c r="B6989" s="6" t="str">
        <f>IFERROR(__xludf.DUMMYFUNCTION("GOOGLETRANSLATE(A6989,""en"",""fi"")"),"Terävästi muiden avuntoiveisiin herkkänä tämä Pokémon etsii apua tarvitsevia ja auttaa heitä taistelussa.")</f>
        <v>Terävästi muiden avuntoiveisiin herkkänä tämä Pokémon etsii apua tarvitsevia ja auttaa heitä taistelussa.</v>
      </c>
      <c r="C6989" s="9" t="s">
        <v>1344</v>
      </c>
    </row>
    <row r="6990" ht="33.75" customHeight="1">
      <c r="A6990" s="6" t="s">
        <v>10378</v>
      </c>
      <c r="B6990" s="6" t="str">
        <f>IFERROR(__xludf.DUMMYFUNCTION("GOOGLETRANSLATE(A6990,""en"",""fi"")"),"Sen kyynärpäistä ulkonevat terät ovat terävämmät kuin parhaimmatkaan miekat. Sen miekkailutaito, vaikkakin itseoppinut, on hämmästyttävän vaikuttava.")</f>
        <v>Sen kyynärpäistä ulkonevat terät ovat terävämmät kuin parhaimmatkaan miekat. Sen miekkailutaito, vaikkakin itseoppinut, on hämmästyttävän vaikuttava.</v>
      </c>
      <c r="C6990" s="9" t="s">
        <v>1344</v>
      </c>
    </row>
    <row r="6991" ht="33.75" customHeight="1">
      <c r="A6991" s="6" t="s">
        <v>10379</v>
      </c>
      <c r="B6991" s="6" t="str">
        <f>IFERROR(__xludf.DUMMYFUNCTION("GOOGLETRANSLATE(A6991,""en"",""fi"")"),"Se huokuu voimakasta magnetismia kaikkialta. Se ohjaa kolmea pientä yksikköä, joita kutsutaan Mini-Neniksi.")</f>
        <v>Se huokuu voimakasta magnetismia kaikkialta. Se ohjaa kolmea pientä yksikköä, joita kutsutaan Mini-Neniksi.</v>
      </c>
      <c r="C6991" s="9" t="s">
        <v>1344</v>
      </c>
    </row>
    <row r="6992" ht="33.75" customHeight="1">
      <c r="A6992" s="6" t="s">
        <v>10381</v>
      </c>
      <c r="B6992" s="6" t="str">
        <f>IFERROR(__xludf.DUMMYFUNCTION("GOOGLETRANSLATE(A6992,""en"",""fi"")"),"Se ohjaa vapaasti kolmea pientä yksikköä, joita kutsutaan Mini-Neniksi, magneettivoiman avulla.")</f>
        <v>Se ohjaa vapaasti kolmea pientä yksikköä, joita kutsutaan Mini-Neniksi, magneettivoiman avulla.</v>
      </c>
      <c r="C6992" s="9" t="s">
        <v>1344</v>
      </c>
    </row>
    <row r="6993" ht="33.75" customHeight="1">
      <c r="A6993" s="6" t="s">
        <v>10382</v>
      </c>
      <c r="B6993" s="6" t="str">
        <f>IFERROR(__xludf.DUMMYFUNCTION("GOOGLETRANSLATE(A6993,""en"",""fi"")"),"Se ohjaa magneettivoiman avulla kolmea Mini-Neniksi kutsuttua yksikköä. Niiden avulla se voi hyökätä vihollista kolmesta suunnasta.")</f>
        <v>Se ohjaa magneettivoiman avulla kolmea Mini-Neniksi kutsuttua yksikköä. Niiden avulla se voi hyökätä vihollista kolmesta suunnasta.</v>
      </c>
      <c r="C6993" s="9" t="s">
        <v>1344</v>
      </c>
    </row>
    <row r="6994" ht="33.75" customHeight="1">
      <c r="A6994" s="6" t="s">
        <v>10384</v>
      </c>
      <c r="B6994" s="6" t="str">
        <f>IFERROR(__xludf.DUMMYFUNCTION("GOOGLETRANSLATE(A6994,""en"",""fi"")"),"Se ohjaa vapaasti kolmea Mini-Neniksi kutsuttua yksikköä magneettivoiman avulla.")</f>
        <v>Se ohjaa vapaasti kolmea Mini-Neniksi kutsuttua yksikköä magneettivoiman avulla.</v>
      </c>
      <c r="C6994" s="9" t="s">
        <v>1344</v>
      </c>
    </row>
    <row r="6995" ht="33.75" customHeight="1">
      <c r="A6995" s="6" t="s">
        <v>10385</v>
      </c>
      <c r="B6995" s="6" t="str">
        <f>IFERROR(__xludf.DUMMYFUNCTION("GOOGLETRANSLATE(A6995,""en"",""fi"")"),"Se säteilee niin voimakasta magneettikenttää, että lähellä olevat sähkölaitteet tulevat käyttökelvottomiksi.")</f>
        <v>Se säteilee niin voimakasta magneettikenttää, että lähellä olevat sähkölaitteet tulevat käyttökelvottomiksi.</v>
      </c>
      <c r="C6995" s="9" t="s">
        <v>1344</v>
      </c>
    </row>
    <row r="6996" ht="33.75" customHeight="1">
      <c r="A6996" s="6" t="s">
        <v>10386</v>
      </c>
      <c r="B6996" s="6" t="str">
        <f>IFERROR(__xludf.DUMMYFUNCTION("GOOGLETRANSLATE(A6996,""en"",""fi"")"),"Päärunko ohjaa kolmea liikkuvaa yksikköä, joita kutsutaan Mini-Nosesiksi ja joita se ohjaa saaliin pyydystämiseksi.")</f>
        <v>Päärunko ohjaa kolmea liikkuvaa yksikköä, joita kutsutaan Mini-Nosesiksi ja joita se ohjaa saaliin pyydystämiseksi.</v>
      </c>
      <c r="C6996" s="9" t="s">
        <v>1344</v>
      </c>
    </row>
    <row r="6997" ht="33.75" customHeight="1">
      <c r="A6997" s="6" t="s">
        <v>10388</v>
      </c>
      <c r="B6997" s="6" t="str">
        <f>IFERROR(__xludf.DUMMYFUNCTION("GOOGLETRANSLATE(A6997,""en"",""fi"")"),"Vaikka se pystyy ohjaamaan Mini-Neniksi kutsuttuja yksiköitään, ne joskus eksyvät eivätkä palaa.")</f>
        <v>Vaikka se pystyy ohjaamaan Mini-Neniksi kutsuttuja yksiköitään, ne joskus eksyvät eivätkä palaa.</v>
      </c>
      <c r="C6997" s="9" t="s">
        <v>1344</v>
      </c>
    </row>
    <row r="6998" ht="33.75" customHeight="1">
      <c r="A6998" s="6" t="s">
        <v>10389</v>
      </c>
      <c r="B6998" s="6" t="str">
        <f>IFERROR(__xludf.DUMMYFUNCTION("GOOGLETRANSLATE(A6998,""en"",""fi"")"),"Se käyttää kolmea pientä yksikköä saaliin pyydystämiseen ja vihollisten torjumiseen. Pääosa enimmäkseen vain antaa käskyjä.")</f>
        <v>Se käyttää kolmea pientä yksikköä saaliin pyydystämiseen ja vihollisten torjumiseen. Pääosa enimmäkseen vain antaa käskyjä.</v>
      </c>
      <c r="C6998" s="9" t="s">
        <v>1344</v>
      </c>
    </row>
    <row r="6999" ht="33.75" customHeight="1">
      <c r="A6999" s="6" t="s">
        <v>10391</v>
      </c>
      <c r="B6999" s="6" t="str">
        <f>IFERROR(__xludf.DUMMYFUNCTION("GOOGLETRANSLATE(A6999,""en"",""fi"")"),"Se pystyy säteilemään voimakasta magnetismia, jonka avulla se hallitsee rautahiekkaa, joka muodostaa sen rehevät viikset. Tämän rautahiekan avulla Probopass muodostaa kovia kiviä, joilla se lyö saalistaan.")</f>
        <v>Se pystyy säteilemään voimakasta magnetismia, jonka avulla se hallitsee rautahiekkaa, joka muodostaa sen rehevät viikset. Tämän rautahiekan avulla Probopass muodostaa kovia kiviä, joilla se lyö saalistaan.</v>
      </c>
      <c r="C6999" s="9" t="s">
        <v>1344</v>
      </c>
    </row>
    <row r="7000" ht="33.75" customHeight="1">
      <c r="A7000" s="6" t="s">
        <v>10392</v>
      </c>
      <c r="B7000" s="6" t="str">
        <f>IFERROR(__xludf.DUMMYFUNCTION("GOOGLETRANSLATE(A7000,""en"",""fi"")"),"Sen päässä oleva antenni kaappaa henkimaailmasta tulevia radioaaltoja, jotka käskevät sitä viemään ihmisiä sinne.")</f>
        <v>Sen päässä oleva antenni kaappaa henkimaailmasta tulevia radioaaltoja, jotka käskevät sitä viemään ihmisiä sinne.</v>
      </c>
      <c r="C7000" s="9" t="s">
        <v>1344</v>
      </c>
    </row>
    <row r="7001" ht="33.75" customHeight="1">
      <c r="A7001" s="6" t="s">
        <v>10393</v>
      </c>
      <c r="B7001" s="6" t="str">
        <f>IFERROR(__xludf.DUMMYFUNCTION("GOOGLETRANSLATE(A7001,""en"",""fi"")"),"Sen sanotaan ottavan kadonneet henget taipuisaan ruumiiseensa ja ohjaavan ne kotiin.")</f>
        <v>Sen sanotaan ottavan kadonneet henget taipuisaan ruumiiseensa ja ohjaavan ne kotiin.</v>
      </c>
      <c r="C7001" s="9" t="s">
        <v>1344</v>
      </c>
    </row>
    <row r="7002" ht="33.75" customHeight="1">
      <c r="A7002" s="6" t="s">
        <v>10394</v>
      </c>
      <c r="B7002" s="6" t="str">
        <f>IFERROR(__xludf.DUMMYFUNCTION("GOOGLETRANSLATE(A7002,""en"",""fi"")"),"Tämän pelätyn Pokémonin sanotaan matkustavan tuntemattomiin maailmoihin. Jotkut jopa uskovat, että se vie kadonneet henget mukanaan.")</f>
        <v>Tämän pelätyn Pokémonin sanotaan matkustavan tuntemattomiin maailmoihin. Jotkut jopa uskovat, että se vie kadonneet henget mukanaan.</v>
      </c>
      <c r="C7002" s="9" t="s">
        <v>1344</v>
      </c>
    </row>
    <row r="7003" ht="33.75" customHeight="1">
      <c r="A7003" s="6" t="s">
        <v>10395</v>
      </c>
      <c r="B7003" s="6" t="str">
        <f>IFERROR(__xludf.DUMMYFUNCTION("GOOGLETRANSLATE(A7003,""en"",""fi"")"),"Henkimaailman lähetysten käskystä se varastaa ihmisiä ja Pokémoneja pois. Kukaan ei tiedä, onko sillä omaa tahtoa.")</f>
        <v>Henkimaailman lähetysten käskystä se varastaa ihmisiä ja Pokémoneja pois. Kukaan ei tiedä, onko sillä omaa tahtoa.</v>
      </c>
      <c r="C7003" s="9" t="s">
        <v>1344</v>
      </c>
    </row>
    <row r="7004" ht="33.75" customHeight="1">
      <c r="A7004" s="6" t="s">
        <v>10396</v>
      </c>
      <c r="B7004" s="6" t="str">
        <f>IFERROR(__xludf.DUMMYFUNCTION("GOOGLETRANSLATE(A7004,""en"",""fi"")"),"Suu vatsallaan Dusknoir nielee kohteensa kokonaisena. Vain sielu syödään – Dusknoir oksentaa ruumiin ennen lähtöään.")</f>
        <v>Suu vatsallaan Dusknoir nielee kohteensa kokonaisena. Vain sielu syödään – Dusknoir oksentaa ruumiin ennen lähtöään.</v>
      </c>
      <c r="C7004" s="9" t="s">
        <v>1344</v>
      </c>
    </row>
    <row r="7005" ht="33.75" customHeight="1">
      <c r="A7005" s="6" t="s">
        <v>10397</v>
      </c>
      <c r="B7005" s="6" t="str">
        <f>IFERROR(__xludf.DUMMYFUNCTION("GOOGLETRANSLATE(A7005,""en"",""fi"")"),"Tulee niiden luokse, joiden elämä on päättynyt, ja saattaa heidän sielunsa tuonpuoleiseen. Tunnetaan siitä, että se ottaa erehdyksessä niiden sielut, joilla on vielä elämää jäljellä, vaikkakin harvoin.")</f>
        <v>Tulee niiden luokse, joiden elämä on päättynyt, ja saattaa heidän sielunsa tuonpuoleiseen. Tunnetaan siitä, että se ottaa erehdyksessä niiden sielut, joilla on vielä elämää jäljellä, vaikkakin harvoin.</v>
      </c>
      <c r="C7005" s="9" t="s">
        <v>1344</v>
      </c>
    </row>
    <row r="7006" ht="33.75" customHeight="1">
      <c r="A7006" s="6" t="s">
        <v>10398</v>
      </c>
      <c r="B7006" s="6" t="str">
        <f>IFERROR(__xludf.DUMMYFUNCTION("GOOGLETRANSLATE(A7006,""en"",""fi"")"),"Se jäädyttää viholliset jäisellä hengityksellään lähes -15 celsiusasteeseen. Sen ruumis näyttää olevan ontto.")</f>
        <v>Se jäädyttää viholliset jäisellä hengityksellään lähes -15 celsiusasteeseen. Sen ruumis näyttää olevan ontto.</v>
      </c>
      <c r="C7006" s="9" t="s">
        <v>1344</v>
      </c>
    </row>
    <row r="7007" ht="33.75" customHeight="1">
      <c r="A7007" s="6" t="s">
        <v>10399</v>
      </c>
      <c r="B7007" s="6" t="str">
        <f>IFERROR(__xludf.DUMMYFUNCTION("GOOGLETRANSLATE(A7007,""en"",""fi"")"),"Se jäädyttää saaliinsa puhaltamalla -58 celsiusasteen henkäyksen. Sen sanotaan sitten salaa esittelevän saalistaan.")</f>
        <v>Se jäädyttää saaliinsa puhaltamalla -58 celsiusasteen henkäyksen. Sen sanotaan sitten salaa esittelevän saalistaan.</v>
      </c>
      <c r="C7007" s="9" t="s">
        <v>1344</v>
      </c>
    </row>
    <row r="7008" ht="33.75" customHeight="1">
      <c r="A7008" s="6" t="s">
        <v>10400</v>
      </c>
      <c r="B7008" s="6" t="str">
        <f>IFERROR(__xludf.DUMMYFUNCTION("GOOGLETRANSLATE(A7008,""en"",""fi"")"),"Lumisten alueiden legendoissa kerrotaan, että jäiselle vuorelle eksynyt nainen syntyi uudesti FROSLASSina.")</f>
        <v>Lumisten alueiden legendoissa kerrotaan, että jäiselle vuorelle eksynyt nainen syntyi uudesti FROSLASSina.</v>
      </c>
      <c r="C7008" s="9" t="s">
        <v>1344</v>
      </c>
    </row>
    <row r="7009" ht="33.75" customHeight="1">
      <c r="A7009" s="6" t="s">
        <v>10401</v>
      </c>
      <c r="B7009" s="6" t="str">
        <f>IFERROR(__xludf.DUMMYFUNCTION("GOOGLETRANSLATE(A7009,""en"",""fi"")"),"Lumisten alueiden legendojen mukaan jäiselle vuorelle eksynyt nainen syntyi uudelleen nimellä FROSLASS")</f>
        <v>Lumisten alueiden legendojen mukaan jäiselle vuorelle eksynyt nainen syntyi uudelleen nimellä FROSLASS</v>
      </c>
      <c r="C7009" s="9" t="s">
        <v>1344</v>
      </c>
    </row>
    <row r="7010" ht="33.75" customHeight="1">
      <c r="A7010" s="6" t="s">
        <v>10403</v>
      </c>
      <c r="B7010" s="6" t="str">
        <f>IFERROR(__xludf.DUMMYFUNCTION("GOOGLETRANSLATE(A7010,""en"",""fi"")"),"Se jäädyttää viholliset jäisellä hengityksellään lähes -60 celsiusasteeseen. Sen ruumis näyttää olevan ontto.")</f>
        <v>Se jäädyttää viholliset jäisellä hengityksellään lähes -60 celsiusasteeseen. Sen ruumis näyttää olevan ontto.</v>
      </c>
      <c r="C7010" s="9" t="s">
        <v>1344</v>
      </c>
    </row>
    <row r="7011" ht="33.75" customHeight="1">
      <c r="A7011" s="6" t="s">
        <v>10404</v>
      </c>
      <c r="B7011" s="6" t="str">
        <f>IFERROR(__xludf.DUMMYFUNCTION("GOOGLETRANSLATE(A7011,""en"",""fi"")"),"Lumisten alueiden legendoissa kerrotaan, että jäiselle vuorelle eksynyt nainen syntyi uudesti Froslassina.")</f>
        <v>Lumisten alueiden legendoissa kerrotaan, että jäiselle vuorelle eksynyt nainen syntyi uudesti Froslassina.</v>
      </c>
      <c r="C7011" s="9" t="s">
        <v>1344</v>
      </c>
    </row>
    <row r="7012" ht="33.75" customHeight="1">
      <c r="A7012" s="6" t="s">
        <v>10406</v>
      </c>
      <c r="B7012" s="6" t="str">
        <f>IFERROR(__xludf.DUMMYFUNCTION("GOOGLETRANSLATE(A7012,""en"",""fi"")"),"Löydettyään ihmisiä tai Pokémoneja, joista se pitää, se jäädyttää ne ja vie ne kylmään luolaansa, jossa niistä tulee koristeita.")</f>
        <v>Löydettyään ihmisiä tai Pokémoneja, joista se pitää, se jäädyttää ne ja vie ne kylmään luolaansa, jossa niistä tulee koristeita.</v>
      </c>
      <c r="C7012" s="9" t="s">
        <v>1344</v>
      </c>
    </row>
    <row r="7013" ht="33.75" customHeight="1">
      <c r="A7013" s="6" t="s">
        <v>10408</v>
      </c>
      <c r="B7013" s="6" t="str">
        <f>IFERROR(__xludf.DUMMYFUNCTION("GOOGLETRANSLATE(A7013,""en"",""fi"")"),"Lumiselle vuorelle eksyneen naisen sielu otti omakseen jääpuikon, ja siitä tuli tämä Pokémon. Se nauttii eniten miesten sieluista.")</f>
        <v>Lumiselle vuorelle eksyneen naisen sielu otti omakseen jääpuikon, ja siitä tuli tämä Pokémon. Se nauttii eniten miesten sieluista.</v>
      </c>
      <c r="C7013" s="9" t="s">
        <v>1344</v>
      </c>
    </row>
    <row r="7014" ht="33.75" customHeight="1">
      <c r="A7014" s="6" t="s">
        <v>10409</v>
      </c>
      <c r="B7014" s="6" t="str">
        <f>IFERROR(__xludf.DUMMYFUNCTION("GOOGLETRANSLATE(A7014,""en"",""fi"")"),"Se jäädyttää lumisille vuorille kiipeämään tulleet vaeltajat ja kantaa heidät takaisin kotiinsa. Se jahtaa vain miehiä, joita se pitää komeina.")</f>
        <v>Se jäädyttää lumisille vuorille kiipeämään tulleet vaeltajat ja kantaa heidät takaisin kotiinsa. Se jahtaa vain miehiä, joita se pitää komeina.</v>
      </c>
      <c r="C7014" s="9" t="s">
        <v>1344</v>
      </c>
    </row>
    <row r="7015" ht="33.75" customHeight="1">
      <c r="A7015" s="6" t="s">
        <v>10411</v>
      </c>
      <c r="B7015" s="6" t="str">
        <f>IFERROR(__xludf.DUMMYFUNCTION("GOOGLETRANSLATE(A7015,""en"",""fi"")"),"Sanotaan, että hirvittävien lumimyrskyjen öinä se taantuu ihmisasutuskeskuksiin. Jos kuulet sen koputtavan oveesi, älä avaa sitä!")</f>
        <v>Sanotaan, että hirvittävien lumimyrskyjen öinä se taantuu ihmisasutuskeskuksiin. Jos kuulet sen koputtavan oveesi, älä avaa sitä!</v>
      </c>
      <c r="C7015" s="9" t="s">
        <v>1344</v>
      </c>
    </row>
    <row r="7016" ht="33.75" customHeight="1">
      <c r="A7016" s="6" t="s">
        <v>10412</v>
      </c>
      <c r="B7016" s="6" t="str">
        <f>IFERROR(__xludf.DUMMYFUNCTION("GOOGLETRANSLATE(A7016,""en"",""fi"")"),"Nainen kohtasi loppunsa lumisilla vuorilla, ja katumus viipyi hänen mielessään. Niistä syntyi tämä Pokémon. Sen lempiruoka on jäätyneet sielut.")</f>
        <v>Nainen kohtasi loppunsa lumisilla vuorilla, ja katumus viipyi hänen mielessään. Niistä syntyi tämä Pokémon. Sen lempiruoka on jäätyneet sielut.</v>
      </c>
      <c r="C7016" s="9" t="s">
        <v>1344</v>
      </c>
    </row>
    <row r="7017" ht="33.75" customHeight="1">
      <c r="A7017" s="6" t="s">
        <v>10414</v>
      </c>
      <c r="B7017" s="6" t="str">
        <f>IFERROR(__xludf.DUMMYFUNCTION("GOOGLETRANSLATE(A7017,""en"",""fi"")"),"Se sylkee ulos lähes −15 celsiusasteen kylmää ilmaa jäädyttääkseen saaliinsa. Se tuo jäätyneen saaliin takaisin pesälleen ja asettaa ne siististi riviin.")</f>
        <v>Se sylkee ulos lähes −15 celsiusasteen kylmää ilmaa jäädyttääkseen saaliinsa. Se tuo jäätyneen saaliin takaisin pesälleen ja asettaa ne siististi riviin.</v>
      </c>
      <c r="C7017" s="9" t="s">
        <v>1344</v>
      </c>
    </row>
    <row r="7018" ht="33.75" customHeight="1">
      <c r="A7018" s="6" t="s">
        <v>10416</v>
      </c>
      <c r="B7018" s="6" t="str">
        <f>IFERROR(__xludf.DUMMYFUNCTION("GOOGLETRANSLATE(A7018,""en"",""fi"")"),"Pokémon, jonka asuttaa lumisilla vuorilla kaunaa kantaen kuolleen naisen sielu. Legendat Froslassista, joka langettaa kuolemankirouksia huonosti käyttäytyville miehille, saavat minut kylmille väreille.")</f>
        <v>Pokémon, jonka asuttaa lumisilla vuorilla kaunaa kantaen kuolleen naisen sielu. Legendat Froslassista, joka langettaa kuolemankirouksia huonosti käyttäytyville miehille, saavat minut kylmille väreille.</v>
      </c>
      <c r="C7018" s="9" t="s">
        <v>1344</v>
      </c>
    </row>
    <row r="7019" ht="33.75" customHeight="1">
      <c r="A7019" s="6" t="s">
        <v>10417</v>
      </c>
      <c r="B7019" s="6" t="str">
        <f>IFERROR(__xludf.DUMMYFUNCTION("GOOGLETRANSLATE(A7019,""en"",""fi"")"),"Sen runko koostuu plasmasta. Sen tiedetään tunkeutuvan elektronisiin laitteisiin ja aiheuttavan tuhoa.")</f>
        <v>Sen runko koostuu plasmasta. Sen tiedetään tunkeutuvan elektronisiin laitteisiin ja aiheuttavan tuhoa.</v>
      </c>
      <c r="C7019" s="9" t="s">
        <v>1344</v>
      </c>
    </row>
    <row r="7020" ht="33.75" customHeight="1">
      <c r="A7020" s="6" t="s">
        <v>10419</v>
      </c>
      <c r="B7020" s="6" t="str">
        <f>IFERROR(__xludf.DUMMYFUNCTION("GOOGLETRANSLATE(A7020,""en"",""fi"")"),"Sen sähkön kaltainen ruumis voi tunkeutua tietynlaisiin koneisiin ja ottaa ne hallintaansa tehdäkseen pahaa.")</f>
        <v>Sen sähkön kaltainen ruumis voi tunkeutua tietynlaisiin koneisiin ja ottaa ne hallintaansa tehdäkseen pahaa.</v>
      </c>
      <c r="C7020" s="9" t="s">
        <v>1344</v>
      </c>
    </row>
    <row r="7021" ht="33.75" customHeight="1">
      <c r="A7021" s="6" t="s">
        <v>10421</v>
      </c>
      <c r="B7021" s="6" t="str">
        <f>IFERROR(__xludf.DUMMYFUNCTION("GOOGLETRANSLATE(A7021,""en"",""fi"")"),"Tutkimus jatkuu tästä Pokémonista, joka voisi olla ainutlaatuisen moottorin voimanlähde.")</f>
        <v>Tutkimus jatkuu tästä Pokémonista, joka voisi olla ainutlaatuisen moottorin voimanlähde.</v>
      </c>
      <c r="C7021" s="9" t="s">
        <v>1344</v>
      </c>
    </row>
    <row r="7022" ht="33.75" customHeight="1">
      <c r="A7022" s="6" t="s">
        <v>10422</v>
      </c>
      <c r="B7022" s="6" t="str">
        <f>IFERROR(__xludf.DUMMYFUNCTION("GOOGLETRANSLATE(A7022,""en"",""fi"")"),"Yhden pojan keksintö johti monien erilaisten koneiden kehittämiseen, jotka hyödyntävät Rotomin ainutlaatuisia ominaisuuksia.")</f>
        <v>Yhden pojan keksintö johti monien erilaisten koneiden kehittämiseen, jotka hyödyntävät Rotomin ainutlaatuisia ominaisuuksia.</v>
      </c>
      <c r="C7022" s="9" t="s">
        <v>1344</v>
      </c>
    </row>
    <row r="7023" ht="33.75" customHeight="1">
      <c r="A7023" s="6" t="s">
        <v>10423</v>
      </c>
      <c r="B7023" s="6" t="str">
        <f>IFERROR(__xludf.DUMMYFUNCTION("GOOGLETRANSLATE(A7023,""en"",""fi"")"),"Plasmasta tehdyn ruumiinsa ansiosta se voi asua kaikenlaisissa koneissa. Se rakastaa yllättää muita.")</f>
        <v>Plasmasta tehdyn ruumiinsa ansiosta se voi asua kaikenlaisissa koneissa. Se rakastaa yllättää muita.</v>
      </c>
      <c r="C7023" s="9" t="s">
        <v>1344</v>
      </c>
    </row>
    <row r="7024" ht="33.75" customHeight="1">
      <c r="A7024" s="6" t="s">
        <v>10424</v>
      </c>
      <c r="B7024" s="6" t="str">
        <f>IFERROR(__xludf.DUMMYFUNCTION("GOOGLETRANSLATE(A7024,""en"",""fi"")"),"Tämä omituinen Pokémon näyttää sähkökäyttöiseltä virvatuli-Pokémonilta. Ole varovainen, sillä Rotom on sekä älykäs että ilkikurinen.")</f>
        <v>Tämä omituinen Pokémon näyttää sähkökäyttöiseltä virvatuli-Pokémonilta. Ole varovainen, sillä Rotom on sekä älykäs että ilkikurinen.</v>
      </c>
      <c r="C7024" s="9" t="s">
        <v>1344</v>
      </c>
    </row>
    <row r="7025" ht="33.75" customHeight="1">
      <c r="A7025" s="6" t="s">
        <v>10425</v>
      </c>
      <c r="B7025" s="6" t="str">
        <f>IFERROR(__xludf.DUMMYFUNCTION("GOOGLETRANSLATE(A7025,""en"",""fi"")"),"Tunnetaan nimellä ""Tiedon Olento"". Sanotaan, että se voi pyyhkiä pois niiden muistin, jotka näkevät sen silmät.")</f>
        <v>Tunnetaan nimellä "Tiedon Olento". Sanotaan, että se voi pyyhkiä pois niiden muistin, jotka näkevät sen silmät.</v>
      </c>
      <c r="C7025" s="9" t="s">
        <v>1344</v>
      </c>
    </row>
    <row r="7026" ht="33.75" customHeight="1">
      <c r="A7026" s="6" t="s">
        <v>10427</v>
      </c>
      <c r="B7026" s="6" t="str">
        <f>IFERROR(__xludf.DUMMYFUNCTION("GOOGLETRANSLATE(A7026,""en"",""fi"")"),"Sanotaan, että sen ilmaantuminen antoi ihmisille älykkyyden parantaa elämänlaatuaan.")</f>
        <v>Sanotaan, että sen ilmaantuminen antoi ihmisille älykkyyden parantaa elämänlaatuaan.</v>
      </c>
      <c r="C7026" s="9" t="s">
        <v>1344</v>
      </c>
    </row>
    <row r="7027" ht="33.75" customHeight="1">
      <c r="A7027" s="6" t="s">
        <v>10428</v>
      </c>
      <c r="B7027" s="6" t="str">
        <f>IFERROR(__xludf.DUMMYFUNCTION("GOOGLETRANSLATE(A7027,""en"",""fi"")"),"Kun UXIE lensi, ihmiset saivat kyvyn ratkaista ongelmia. Se oli tiedon synty.")</f>
        <v>Kun UXIE lensi, ihmiset saivat kyvyn ratkaista ongelmia. Se oli tiedon synty.</v>
      </c>
      <c r="C7027" s="9" t="s">
        <v>1344</v>
      </c>
    </row>
    <row r="7028" ht="33.75" customHeight="1">
      <c r="A7028" s="6" t="s">
        <v>10429</v>
      </c>
      <c r="B7028" s="6" t="str">
        <f>IFERROR(__xludf.DUMMYFUNCTION("GOOGLETRANSLATE(A7028,""en"",""fi"")"),"Joidenkin lähteiden mukaan tämä Pokémon antoi ihmisille tarvittavan älykkyyden erilaisten ongelmien ratkaisemiseksi.")</f>
        <v>Joidenkin lähteiden mukaan tämä Pokémon antoi ihmisille tarvittavan älykkyyden erilaisten ongelmien ratkaisemiseksi.</v>
      </c>
      <c r="C7028" s="9" t="s">
        <v>1344</v>
      </c>
    </row>
    <row r="7029" ht="33.75" customHeight="1">
      <c r="A7029" s="6" t="s">
        <v>10430</v>
      </c>
      <c r="B7029" s="6" t="str">
        <f>IFERROR(__xludf.DUMMYFUNCTION("GOOGLETRANSLATE(A7029,""en"",""fi"")"),"Kun Uxie lensi, ihmiset saivat kyvyn ratkaista ongelmia. Se oli tiedon synty.")</f>
        <v>Kun Uxie lensi, ihmiset saivat kyvyn ratkaista ongelmia. Se oli tiedon synty.</v>
      </c>
      <c r="C7029" s="9" t="s">
        <v>1344</v>
      </c>
    </row>
    <row r="7030" ht="33.75" customHeight="1">
      <c r="A7030" s="6" t="s">
        <v>10431</v>
      </c>
      <c r="B7030" s="6" t="str">
        <f>IFERROR(__xludf.DUMMYFUNCTION("GOOGLETRANSLATE(A7030,""en"",""fi"")"),"Pokémon, jota pelätään, mutta myös kunnioitetaan pahantekijöiden muistojen varastamisesta. Olen löytänyt tietoja, jotka viittaavat siihen, että Uxie hallitsee tietoa.")</f>
        <v>Pokémon, jota pelätään, mutta myös kunnioitetaan pahantekijöiden muistojen varastamisesta. Olen löytänyt tietoja, jotka viittaavat siihen, että Uxie hallitsee tietoa.</v>
      </c>
      <c r="C7030" s="9" t="s">
        <v>1344</v>
      </c>
    </row>
    <row r="7031" ht="33.75" customHeight="1">
      <c r="A7031" s="6" t="s">
        <v>10432</v>
      </c>
      <c r="B7031" s="6" t="str">
        <f>IFERROR(__xludf.DUMMYFUNCTION("GOOGLETRANSLATE(A7031,""en"",""fi"")"),"Tunnetaan nimellä ”Tunteiden olento”. Se opetti ihmisille surun, tuskan ja ilon jalouden.")</f>
        <v>Tunnetaan nimellä ”Tunteiden olento”. Se opetti ihmisille surun, tuskan ja ilon jalouden.</v>
      </c>
      <c r="C7031" s="9" t="s">
        <v>1344</v>
      </c>
    </row>
    <row r="7032" ht="33.75" customHeight="1">
      <c r="A7032" s="6" t="s">
        <v>10433</v>
      </c>
      <c r="B7032" s="6" t="str">
        <f>IFERROR(__xludf.DUMMYFUNCTION("GOOGLETRANSLATE(A7032,""en"",""fi"")"),"Se nukkuu järven pohjassa. Sen hengen sanotaan jättävän ruumiinsa lentääkseen järven pinnalla.")</f>
        <v>Se nukkuu järven pohjassa. Sen hengen sanotaan jättävän ruumiinsa lentääkseen järven pinnalla.</v>
      </c>
      <c r="C7032" s="9" t="s">
        <v>1344</v>
      </c>
    </row>
    <row r="7033" ht="33.75" customHeight="1">
      <c r="A7033" s="6" t="s">
        <v>10434</v>
      </c>
      <c r="B7033" s="6" t="str">
        <f>IFERROR(__xludf.DUMMYFUNCTION("GOOGLETRANSLATE(A7033,""en"",""fi"")"),"Kun MESPRIT lensi, ihmiset oppivat elämän ilon ja surun. Se oli tunteiden synty.")</f>
        <v>Kun MESPRIT lensi, ihmiset oppivat elämän ilon ja surun. Se oli tunteiden synty.</v>
      </c>
      <c r="C7033" s="9" t="s">
        <v>1344</v>
      </c>
    </row>
    <row r="7034" ht="33.75" customHeight="1">
      <c r="A7034" s="6" t="s">
        <v>10435</v>
      </c>
      <c r="B7034" s="6" t="str">
        <f>IFERROR(__xludf.DUMMYFUNCTION("GOOGLETRANSLATE(A7034,""en"",""fi"")"),"Tämän Pokémonin sanotaan antaneen ihmissydämelle tunteita, kuten surua ja iloa.")</f>
        <v>Tämän Pokémonin sanotaan antaneen ihmissydämelle tunteita, kuten surua ja iloa.</v>
      </c>
      <c r="C7034" s="9" t="s">
        <v>1344</v>
      </c>
    </row>
    <row r="7035" ht="33.75" customHeight="1">
      <c r="A7035" s="6" t="s">
        <v>10436</v>
      </c>
      <c r="B7035" s="6" t="str">
        <f>IFERROR(__xludf.DUMMYFUNCTION("GOOGLETRANSLATE(A7035,""en"",""fi"")"),"Kun Mesprit lensi, ihmiset oppivat elämän ilon ja surun. Se oli tunteiden synty.")</f>
        <v>Kun Mesprit lensi, ihmiset oppivat elämän ilon ja surun. Se oli tunteiden synty.</v>
      </c>
      <c r="C7035" s="9" t="s">
        <v>1344</v>
      </c>
    </row>
    <row r="7036" ht="33.75" customHeight="1">
      <c r="A7036" s="6" t="s">
        <v>10437</v>
      </c>
      <c r="B7036" s="6" t="str">
        <f>IFERROR(__xludf.DUMMYFUNCTION("GOOGLETRANSLATE(A7036,""en"",""fi"")"),"Tunnetaan Tunteiden Olentona. Legendan mukaan tätä Pokémonia pelättiin, sillä jokaisen epäkunnioitusta osoittavan tunteet sekoitettiin.")</f>
        <v>Tunnetaan Tunteiden Olentona. Legendan mukaan tätä Pokémonia pelättiin, sillä jokaisen epäkunnioitusta osoittavan tunteet sekoitettiin.</v>
      </c>
      <c r="C7036" s="9" t="s">
        <v>1344</v>
      </c>
    </row>
    <row r="7037" ht="33.75" customHeight="1">
      <c r="A7037" s="6" t="s">
        <v>10439</v>
      </c>
      <c r="B7037" s="6" t="str">
        <f>IFERROR(__xludf.DUMMYFUNCTION("GOOGLETRANSLATE(A7037,""en"",""fi"")"),"Tunnetaan nimellä ""Tahdonvoiman olento"". Se nukkuu järven pohjassa pitääkseen maailman tasapainossa.")</f>
        <v>Tunnetaan nimellä "Tahdonvoiman olento". Se nukkuu järven pohjassa pitääkseen maailman tasapainossa.</v>
      </c>
      <c r="C7037" s="9" t="s">
        <v>1344</v>
      </c>
    </row>
    <row r="7038" ht="33.75" customHeight="1">
      <c r="A7038" s="6" t="s">
        <v>10440</v>
      </c>
      <c r="B7038" s="6" t="str">
        <f>IFERROR(__xludf.DUMMYFUNCTION("GOOGLETRANSLATE(A7038,""en"",""fi"")"),"Uskotaan, että UXIE, MESPRIT ja AZELF ovat kaikki peräisin samasta munasta.")</f>
        <v>Uskotaan, että UXIE, MESPRIT ja AZELF ovat kaikki peräisin samasta munasta.</v>
      </c>
      <c r="C7038" s="9" t="s">
        <v>1344</v>
      </c>
    </row>
    <row r="7039" ht="33.75" customHeight="1">
      <c r="A7039" s="6" t="s">
        <v>10441</v>
      </c>
      <c r="B7039" s="6" t="str">
        <f>IFERROR(__xludf.DUMMYFUNCTION("GOOGLETRANSLATE(A7039,""en"",""fi"")"),"Kun AZELF lensi, ihmiset saivat päättäväisyyttä tehdä asioita. Se oli tahdonvoiman synty.")</f>
        <v>Kun AZELF lensi, ihmiset saivat päättäväisyyttä tehdä asioita. Se oli tahdonvoiman synty.</v>
      </c>
      <c r="C7039" s="9" t="s">
        <v>1344</v>
      </c>
    </row>
    <row r="7040" ht="33.75" customHeight="1">
      <c r="A7040" s="6" t="s">
        <v>10442</v>
      </c>
      <c r="B7040" s="6" t="str">
        <f>IFERROR(__xludf.DUMMYFUNCTION("GOOGLETRANSLATE(A7040,""en"",""fi"")"),"Tämän Pokémonin sanotaan antaneen ihmisille päättäväisyyden kohdata kaikki elämän vaikeudet.")</f>
        <v>Tämän Pokémonin sanotaan antaneen ihmisille päättäväisyyden kohdata kaikki elämän vaikeudet.</v>
      </c>
      <c r="C7040" s="9" t="s">
        <v>1344</v>
      </c>
    </row>
    <row r="7041" ht="33.75" customHeight="1">
      <c r="A7041" s="6" t="s">
        <v>10443</v>
      </c>
      <c r="B7041" s="6" t="str">
        <f>IFERROR(__xludf.DUMMYFUNCTION("GOOGLETRANSLATE(A7041,""en"",""fi"")"),"Kun Azelf lensi, ihmiset saivat päättäväisyyttä tehdä asioita. Se oli tahdonvoiman syntymä.")</f>
        <v>Kun Azelf lensi, ihmiset saivat päättäväisyyttä tehdä asioita. Se oli tahdonvoiman syntymä.</v>
      </c>
      <c r="C7041" s="9" t="s">
        <v>1344</v>
      </c>
    </row>
    <row r="7042" ht="33.75" customHeight="1">
      <c r="A7042" s="6" t="s">
        <v>10444</v>
      </c>
      <c r="B7042" s="6" t="str">
        <f>IFERROR(__xludf.DUMMYFUNCTION("GOOGLETRANSLATE(A7042,""en"",""fi"")"),"Uskotaan, että Uxie, Mesprit ja Azelf polveutuivat kaikki samasta munasta.")</f>
        <v>Uskotaan, että Uxie, Mesprit ja Azelf polveutuivat kaikki samasta munasta.</v>
      </c>
      <c r="C7042" s="9" t="s">
        <v>1344</v>
      </c>
    </row>
    <row r="7043" ht="33.75" customHeight="1">
      <c r="A7043" s="6" t="s">
        <v>10445</v>
      </c>
      <c r="B7043" s="6" t="str">
        <f>IFERROR(__xludf.DUMMYFUNCTION("GOOGLETRANSLATE(A7043,""en"",""fi"")"),"Pelätty tahdonvoiman olento. Legendat kertovat tästä Pokémonista, joka manipuloi vastustajiensa tahtoa ja muuttaa heidät omiksi nukeikseen.")</f>
        <v>Pelätty tahdonvoiman olento. Legendat kertovat tästä Pokémonista, joka manipuloi vastustajiensa tahtoa ja muuttaa heidät omiksi nukeikseen.</v>
      </c>
      <c r="C7043" s="9" t="s">
        <v>1344</v>
      </c>
    </row>
    <row r="7044" ht="33.75" customHeight="1">
      <c r="A7044" s="6" t="s">
        <v>10446</v>
      </c>
      <c r="B7044" s="6" t="str">
        <f>IFERROR(__xludf.DUMMYFUNCTION("GOOGLETRANSLATE(A7044,""en"",""fi"")"),"Sillä on voima hallita aikaa. Se esiintyy Sinnoh-alueen myyteissä muinaisena jumaluutena.")</f>
        <v>Sillä on voima hallita aikaa. Se esiintyy Sinnoh-alueen myyteissä muinaisena jumaluutena.</v>
      </c>
      <c r="C7044" s="9" t="s">
        <v>1344</v>
      </c>
    </row>
    <row r="7045" ht="33.75" customHeight="1">
      <c r="A7045" s="6" t="s">
        <v>10447</v>
      </c>
      <c r="B7045" s="6" t="str">
        <f>IFERROR(__xludf.DUMMYFUNCTION("GOOGLETRANSLATE(A7045,""en"",""fi"")"),"Legendaarinen Pokémon. Sanotaan, että aika alkoi kulua DIALGAn syntyessä.")</f>
        <v>Legendaarinen Pokémon. Sanotaan, että aika alkoi kulua DIALGAn syntyessä.</v>
      </c>
      <c r="C7045" s="9" t="s">
        <v>1344</v>
      </c>
    </row>
    <row r="7046" ht="33.75" customHeight="1">
      <c r="A7046" s="6" t="s">
        <v>10448</v>
      </c>
      <c r="B7046" s="6" t="str">
        <f>IFERROR(__xludf.DUMMYFUNCTION("GOOGLETRANSLATE(A7046,""en"",""fi"")"),"Legendaarinen Sinnohin Pokémon. Sanotaan, että aika virtaa DIALGAn sydämen lyödessä.")</f>
        <v>Legendaarinen Sinnohin Pokémon. Sanotaan, että aika virtaa DIALGAn sydämen lyödessä.</v>
      </c>
      <c r="C7046" s="9" t="s">
        <v>1344</v>
      </c>
    </row>
    <row r="7047" ht="33.75" customHeight="1">
      <c r="A7047" s="6" t="s">
        <v>10450</v>
      </c>
      <c r="B7047" s="6" t="str">
        <f>IFERROR(__xludf.DUMMYFUNCTION("GOOGLETRANSLATE(A7047,""en"",""fi"")"),"Tämä Pokémon hallitsee täysin ajan kulkua. Se käyttää voimiaan matkustaakseen mielensä mukaan menneisyyden ja tulevaisuuden halki.")</f>
        <v>Tämä Pokémon hallitsee täysin ajan kulkua. Se käyttää voimiaan matkustaakseen mielensä mukaan menneisyyden ja tulevaisuuden halki.</v>
      </c>
      <c r="C7047" s="9" t="s">
        <v>1344</v>
      </c>
    </row>
    <row r="7048" ht="33.75" customHeight="1">
      <c r="A7048" s="6" t="s">
        <v>10451</v>
      </c>
      <c r="B7048" s="6" t="str">
        <f>IFERROR(__xludf.DUMMYFUNCTION("GOOGLETRANSLATE(A7048,""en"",""fi"")"),"Legendaarinen Sinnohin Pokémon. Sanotaan, että aika virtaa Dialgan sydämen lyödessä.")</f>
        <v>Legendaarinen Sinnohin Pokémon. Sanotaan, että aika virtaa Dialgan sydämen lyödessä.</v>
      </c>
      <c r="C7048" s="9" t="s">
        <v>1344</v>
      </c>
    </row>
    <row r="7049" ht="33.75" customHeight="1">
      <c r="A7049" s="6" t="s">
        <v>10452</v>
      </c>
      <c r="B7049" s="6" t="str">
        <f>IFERROR(__xludf.DUMMYFUNCTION("GOOGLETRANSLATE(A7049,""en"",""fi"")"),"Legendaarinen Pokémon. Kerrotaan, että aika alkoi kulua Dialgan syntymästä.")</f>
        <v>Legendaarinen Pokémon. Kerrotaan, että aika alkoi kulua Dialgan syntymästä.</v>
      </c>
      <c r="C7049" s="9" t="s">
        <v>1344</v>
      </c>
    </row>
    <row r="7050" ht="33.75" customHeight="1">
      <c r="A7050" s="6" t="s">
        <v>10454</v>
      </c>
      <c r="B7050" s="6" t="str">
        <f>IFERROR(__xludf.DUMMYFUNCTION("GOOGLETRANSLATE(A7050,""en"",""fi"")"),"Tätä Pokémonia kunnioitetaan jumaluutena Hisuian legendoissa. Dialgan syntymä sai valtavan aikavirran virtaamaan maailmassamme.")</f>
        <v>Tätä Pokémonia kunnioitetaan jumaluutena Hisuian legendoissa. Dialgan syntymä sai valtavan aikavirran virtaamaan maailmassamme.</v>
      </c>
      <c r="C7050" s="9" t="s">
        <v>1344</v>
      </c>
    </row>
    <row r="7051" ht="33.75" customHeight="1">
      <c r="A7051" s="6" t="s">
        <v>10455</v>
      </c>
      <c r="B7051" s="6" t="str">
        <f>IFERROR(__xludf.DUMMYFUNCTION("GOOGLETRANSLATE(A7051,""en"",""fi"")"),"Sillä on kyky vääristää avaruutta. Sitä kuvataan jumaluudeksi Sinnoh-alueen mytologiassa.")</f>
        <v>Sillä on kyky vääristää avaruutta. Sitä kuvataan jumaluudeksi Sinnoh-alueen mytologiassa.</v>
      </c>
      <c r="C7051" s="9" t="s">
        <v>1344</v>
      </c>
    </row>
    <row r="7052" ht="33.75" customHeight="1">
      <c r="A7052" s="6" t="s">
        <v>10456</v>
      </c>
      <c r="B7052" s="6" t="str">
        <f>IFERROR(__xludf.DUMMYFUNCTION("GOOGLETRANSLATE(A7052,""en"",""fi"")"),"Sen sanotaan elävän meidän ulottuvuutemme kanssa rinnakkaisessa avaruudellisessa raossa. Se esiintyy mytologiassa.")</f>
        <v>Sen sanotaan elävän meidän ulottuvuutemme kanssa rinnakkaisessa avaruudellisessa raossa. Se esiintyy mytologiassa.</v>
      </c>
      <c r="C7052" s="9" t="s">
        <v>1344</v>
      </c>
    </row>
    <row r="7053" ht="33.75" customHeight="1">
      <c r="A7053" s="6" t="s">
        <v>10458</v>
      </c>
      <c r="B7053" s="6" t="str">
        <f>IFERROR(__xludf.DUMMYFUNCTION("GOOGLETRANSLATE(A7053,""en"",""fi"")"),"Legendaarinen Sinnohin Pokémon. Sanotaan, että avaruudesta tulee vakaampi PALKIAn jokaisella hengenvedolla.")</f>
        <v>Legendaarinen Sinnohin Pokémon. Sanotaan, että avaruudesta tulee vakaampi PALKIAn jokaisella hengenvedolla.</v>
      </c>
      <c r="C7053" s="9" t="s">
        <v>1344</v>
      </c>
    </row>
    <row r="7054" ht="33.75" customHeight="1">
      <c r="A7054" s="6" t="s">
        <v>10459</v>
      </c>
      <c r="B7054" s="6" t="str">
        <f>IFERROR(__xludf.DUMMYFUNCTION("GOOGLETRANSLATE(A7054,""en"",""fi"")"),"Sen täydellinen hallinta avaruuden rajojen yli mahdollistaa sen kuljettamisen kaukaisiin paikkoihin tai jopa muihin ulottuvuuksiin.")</f>
        <v>Sen täydellinen hallinta avaruuden rajojen yli mahdollistaa sen kuljettamisen kaukaisiin paikkoihin tai jopa muihin ulottuvuuksiin.</v>
      </c>
      <c r="C7054" s="9" t="s">
        <v>1344</v>
      </c>
    </row>
    <row r="7055" ht="33.75" customHeight="1">
      <c r="A7055" s="6" t="s">
        <v>10460</v>
      </c>
      <c r="B7055" s="6" t="str">
        <f>IFERROR(__xludf.DUMMYFUNCTION("GOOGLETRANSLATE(A7055,""en"",""fi"")"),"Legendaarinen Sinnohin Pokémon. Sanotaan, että avaruudesta tulee vakaampi Palkian jokaisella hengenvedolla.")</f>
        <v>Legendaarinen Sinnohin Pokémon. Sanotaan, että avaruudesta tulee vakaampi Palkian jokaisella hengenvedolla.</v>
      </c>
      <c r="C7055" s="9" t="s">
        <v>1344</v>
      </c>
    </row>
    <row r="7056" ht="33.75" customHeight="1">
      <c r="A7056" s="6" t="s">
        <v>10462</v>
      </c>
      <c r="B7056" s="6" t="str">
        <f>IFERROR(__xludf.DUMMYFUNCTION("GOOGLETRANSLATE(A7056,""en"",""fi"")"),"Tätä Pokémonia pelätään jumaluutena Hisuian legendoissa. Palkian syntymä aiheutti maailmamme muurien katoamisen ja loi äärettömyyteen ulottuvan taivaan.")</f>
        <v>Tätä Pokémonia pelätään jumaluutena Hisuian legendoissa. Palkian syntymä aiheutti maailmamme muurien katoamisen ja loi äärettömyyteen ulottuvan taivaan.</v>
      </c>
      <c r="C7056" s="9" t="s">
        <v>1344</v>
      </c>
    </row>
    <row r="7057" ht="33.75" customHeight="1">
      <c r="A7057" s="6" t="s">
        <v>10463</v>
      </c>
      <c r="B7057" s="6" t="str">
        <f>IFERROR(__xludf.DUMMYFUNCTION("GOOGLETRANSLATE(A7057,""en"",""fi"")"),"Se asuu tulivuorenpurkausten luolissa. Se kaivautuu ristinmuotoisilla jaloillaan katoissa ja seinillä ryömimään.")</f>
        <v>Se asuu tulivuorenpurkausten luolissa. Se kaivautuu ristinmuotoisilla jaloillaan katoissa ja seinillä ryömimään.</v>
      </c>
      <c r="C7057" s="9" t="s">
        <v>1344</v>
      </c>
    </row>
    <row r="7058" ht="33.75" customHeight="1">
      <c r="A7058" s="6" t="s">
        <v>10465</v>
      </c>
      <c r="B7058" s="6" t="str">
        <f>IFERROR(__xludf.DUMMYFUNCTION("GOOGLETRANSLATE(A7058,""en"",""fi"")"),"Sen runko on valmistettu kestävästä teräksestä. Se on kuitenkin paikoin sulanut oman lämmön vaikutuksesta.")</f>
        <v>Sen runko on valmistettu kestävästä teräksestä. Se on kuitenkin paikoin sulanut oman lämmön vaikutuksesta.</v>
      </c>
      <c r="C7058" s="9" t="s">
        <v>1344</v>
      </c>
    </row>
    <row r="7059" ht="33.75" customHeight="1">
      <c r="A7059" s="6" t="s">
        <v>10466</v>
      </c>
      <c r="B7059" s="6" t="str">
        <f>IFERROR(__xludf.DUMMYFUNCTION("GOOGLETRANSLATE(A7059,""en"",""fi"")"),"Kiehuva veri, kuten magma, kiertää sen kehossa. Se tekee asuinpaikkansa tulivuorenluolissa.")</f>
        <v>Kiehuva veri, kuten magma, kiertää sen kehossa. Se tekee asuinpaikkansa tulivuorenluolissa.</v>
      </c>
      <c r="C7059" s="9" t="s">
        <v>1344</v>
      </c>
    </row>
    <row r="7060" ht="33.75" customHeight="1">
      <c r="A7060" s="6" t="s">
        <v>10468</v>
      </c>
      <c r="B7060" s="6" t="str">
        <f>IFERROR(__xludf.DUMMYFUNCTION("GOOGLETRANSLATE(A7060,""en"",""fi"")"),"Tarinoiden mukaan tämä Pokémon syntyi kiehuvasta magmasta Mount Coronetin sisällä. Sen sulasta teräksestä valmistettu ruumis kätkee sisäänsä monia mysteerejä.")</f>
        <v>Tarinoiden mukaan tämä Pokémon syntyi kiehuvasta magmasta Mount Coronetin sisällä. Sen sulasta teräksestä valmistettu ruumis kätkee sisäänsä monia mysteerejä.</v>
      </c>
      <c r="C7060" s="9" t="s">
        <v>1344</v>
      </c>
    </row>
    <row r="7061" ht="33.75" customHeight="1">
      <c r="A7061" s="6" t="s">
        <v>10470</v>
      </c>
      <c r="B7061" s="6" t="str">
        <f>IFERROR(__xludf.DUMMYFUNCTION("GOOGLETRANSLATE(A7061,""en"",""fi"")"),"On olemassa pysyvä legenda, jonka mukaan tämä Pokémon hinasi mantereita köysillä.")</f>
        <v>On olemassa pysyvä legenda, jonka mukaan tämä Pokémon hinasi mantereita köysillä.</v>
      </c>
      <c r="C7061" s="9" t="s">
        <v>1344</v>
      </c>
    </row>
    <row r="7062" ht="33.75" customHeight="1">
      <c r="A7062" s="6" t="s">
        <v>10471</v>
      </c>
      <c r="B7062" s="6" t="str">
        <f>IFERROR(__xludf.DUMMYFUNCTION("GOOGLETRANSLATE(A7062,""en"",""fi"")"),"Sen sanotaan tehneen itsensä näköisiä Pokémoneja erityisestä jäävuoresta, kivistä ja magmasta.")</f>
        <v>Sen sanotaan tehneen itsensä näköisiä Pokémoneja erityisestä jäävuoresta, kivistä ja magmasta.</v>
      </c>
      <c r="C7062" s="9" t="s">
        <v>1344</v>
      </c>
    </row>
    <row r="7063" ht="33.75" customHeight="1">
      <c r="A7063" s="6" t="s">
        <v>10473</v>
      </c>
      <c r="B7063" s="6" t="str">
        <f>IFERROR(__xludf.DUMMYFUNCTION("GOOGLETRANSLATE(A7063,""en"",""fi"")"),"Sen uskotaan muovanneen REGIROCKin, REGICEn ja REGISTEELIN savesta, jäästä ja magmasta.")</f>
        <v>Sen uskotaan muovanneen REGIROCKin, REGICEn ja REGISTEELIN savesta, jäästä ja magmasta.</v>
      </c>
      <c r="C7063" s="9" t="s">
        <v>1344</v>
      </c>
    </row>
    <row r="7064" ht="33.75" customHeight="1">
      <c r="A7064" s="6" t="s">
        <v>10474</v>
      </c>
      <c r="B7064" s="6" t="str">
        <f>IFERROR(__xludf.DUMMYFUNCTION("GOOGLETRANSLATE(A7064,""en"",""fi"")"),"Ympäri maailmaa liikkuu legendoja, jotka kertovat Regigigasista, joka loi muita Pokémoneja omaksi kuvakseen.")</f>
        <v>Ympäri maailmaa liikkuu legendoja, jotka kertovat Regigigasista, joka loi muita Pokémoneja omaksi kuvakseen.</v>
      </c>
      <c r="C7064" s="9" t="s">
        <v>1344</v>
      </c>
    </row>
    <row r="7065" ht="33.75" customHeight="1">
      <c r="A7065" s="6" t="s">
        <v>10475</v>
      </c>
      <c r="B7065" s="6" t="str">
        <f>IFERROR(__xludf.DUMMYFUNCTION("GOOGLETRANSLATE(A7065,""en"",""fi"")"),"Sanotaan, että Regigigas loi muita Pokémoneja monista eri materiaaleista ennen kuin se siirsi mantereet nykyiseen sijaintiinsa.")</f>
        <v>Sanotaan, että Regigigas loi muita Pokémoneja monista eri materiaaleista ennen kuin se siirsi mantereet nykyiseen sijaintiinsa.</v>
      </c>
      <c r="C7065" s="9" t="s">
        <v>1344</v>
      </c>
    </row>
    <row r="7066" ht="33.75" customHeight="1">
      <c r="A7066" s="6" t="s">
        <v>10476</v>
      </c>
      <c r="B7066" s="6" t="str">
        <f>IFERROR(__xludf.DUMMYFUNCTION("GOOGLETRANSLATE(A7066,""en"",""fi"")"),"Legendan mukaan Regigigas veti maamassoja yhteen ja sitoi ne köydellä luodakseen Hisui-mantereen. Vaikka minulla on epäilykseni, tarinassa saattaa hyvinkin olla ripaus totuutta.")</f>
        <v>Legendan mukaan Regigigas veti maamassoja yhteen ja sitoi ne köydellä luodakseen Hisui-mantereen. Vaikka minulla on epäilykseni, tarinassa saattaa hyvinkin olla ripaus totuutta.</v>
      </c>
      <c r="C7066" s="9" t="s">
        <v>1344</v>
      </c>
    </row>
    <row r="7067" ht="33.75" customHeight="1">
      <c r="A7067" s="6" t="s">
        <v>10478</v>
      </c>
      <c r="B7067" s="6" t="str">
        <f>IFERROR(__xludf.DUMMYFUNCTION("GOOGLETRANSLATE(A7067,""en"",""fi"")"),"Pokémon, jonka sanotaan elävän meidän puolemme toisella puolella olevassa maailmassa. Se ilmestyy muinaisella hautausmaalla.")</f>
        <v>Pokémon, jonka sanotaan elävän meidän puolemme toisella puolella olevassa maailmassa. Se ilmestyy muinaisella hautausmaalla.</v>
      </c>
      <c r="C7067" s="9" t="s">
        <v>1344</v>
      </c>
    </row>
    <row r="7068" ht="33.75" customHeight="1">
      <c r="A7068" s="6" t="s">
        <v>10481</v>
      </c>
      <c r="B7068" s="6" t="str">
        <f>IFERROR(__xludf.DUMMYFUNCTION("GOOGLETRANSLATE(A7068,""en"",""fi"")"),"Se karkotettiin väkivaltaisuutensa vuoksi. Se katseli hiljaa vanhaa maailmaa Vääristymän maailmasta.")</f>
        <v>Se karkotettiin väkivaltaisuutensa vuoksi. Se katseli hiljaa vanhaa maailmaa Vääristymän maailmasta.</v>
      </c>
      <c r="C7068" s="9" t="s">
        <v>1344</v>
      </c>
    </row>
    <row r="7069" ht="33.75" customHeight="1">
      <c r="A7069" s="6" t="s">
        <v>10483</v>
      </c>
      <c r="B7069" s="6" t="str">
        <f>IFERROR(__xludf.DUMMYFUNCTION("GOOGLETRANSLATE(A7069,""en"",""fi"")"),"Tämän Pokémonin sanotaan elävän meidän puolemme kääntöpuolella olevassa maailmassa, jossa yleistieto on vääristynyttä ja outoa.")</f>
        <v>Tämän Pokémonin sanotaan elävän meidän puolemme kääntöpuolella olevassa maailmassa, jossa yleistieto on vääristynyttä ja outoa.</v>
      </c>
      <c r="C7069" s="9" t="s">
        <v>1344</v>
      </c>
    </row>
    <row r="7070" ht="33.75" customHeight="1">
      <c r="A7070" s="6" t="s">
        <v>10484</v>
      </c>
      <c r="B7070" s="6" t="str">
        <f>IFERROR(__xludf.DUMMYFUNCTION("GOOGLETRANSLATE(A7070,""en"",""fi"")"),"Yhdessä hisuilaisessa säkeessä kerrotaan voimakkaasta valosta, joka luo syvän varjon. Kuvittelen, että tämä syvä varjo on Giratina.")</f>
        <v>Yhdessä hisuilaisessa säkeessä kerrotaan voimakkaasta valosta, joka luo syvän varjon. Kuvittelen, että tämä syvä varjo on Giratina.</v>
      </c>
      <c r="C7070" s="9" t="s">
        <v>1344</v>
      </c>
    </row>
    <row r="7071" ht="33.75" customHeight="1">
      <c r="A7071" s="6" t="s">
        <v>10485</v>
      </c>
      <c r="B7071" s="6" t="str">
        <f>IFERROR(__xludf.DUMMYFUNCTION("GOOGLETRANSLATE(A7071,""en"",""fi"")"),"Sen siivistä vapautuu kiiltäviä hiukkasia kuin huntu. Sen sanotaan edustavan kuunsirppiä.")</f>
        <v>Sen siivistä vapautuu kiiltäviä hiukkasia kuin huntu. Sen sanotaan edustavan kuunsirppiä.</v>
      </c>
      <c r="C7071" s="9" t="s">
        <v>1344</v>
      </c>
    </row>
    <row r="7072" ht="33.75" customHeight="1">
      <c r="A7072" s="6" t="s">
        <v>10487</v>
      </c>
      <c r="B7072" s="6" t="str">
        <f>IFERROR(__xludf.DUMMYFUNCTION("GOOGLETRANSLATE(A7072,""en"",""fi"")"),"Neljänneskuun ympärysöinä sen pyrstöstä lähtevät revontulet ulottuvat ja aaltoilevat kauniisti.")</f>
        <v>Neljänneskuun ympärysöinä sen pyrstöstä lähtevät revontulet ulottuvat ja aaltoilevat kauniisti.</v>
      </c>
      <c r="C7072" s="9" t="s">
        <v>1344</v>
      </c>
    </row>
    <row r="7073" ht="33.75" customHeight="1">
      <c r="A7073" s="6" t="s">
        <v>10488</v>
      </c>
      <c r="B7073" s="6" t="str">
        <f>IFERROR(__xludf.DUMMYFUNCTION("GOOGLETRANSLATE(A7073,""en"",""fi"")"),"Ne, jotka nukkuvat CRESSELIAn höyhenen kanssa, näkevät varmasti iloisia unia. Sen sanotaan edustavan kuunsirppiä.")</f>
        <v>Ne, jotka nukkuvat CRESSELIAn höyhenen kanssa, näkevät varmasti iloisia unia. Sen sanotaan edustavan kuunsirppiä.</v>
      </c>
      <c r="C7073" s="9" t="s">
        <v>1344</v>
      </c>
    </row>
    <row r="7074" ht="33.75" customHeight="1">
      <c r="A7074" s="6" t="s">
        <v>10490</v>
      </c>
      <c r="B7074" s="6" t="str">
        <f>IFERROR(__xludf.DUMMYFUNCTION("GOOGLETRANSLATE(A7074,""en"",""fi"")"),"Ne, jotka nukkuvat Cresselian höyhen sylissä, näkevät varmasti iloisia unia. Sen sanotaan edustavan kuunsirppiä.")</f>
        <v>Ne, jotka nukkuvat Cresselian höyhen sylissä, näkevät varmasti iloisia unia. Sen sanotaan edustavan kuunsirppiä.</v>
      </c>
      <c r="C7074" s="9" t="s">
        <v>1344</v>
      </c>
    </row>
    <row r="7075" ht="33.75" customHeight="1">
      <c r="A7075" s="6" t="s">
        <v>10491</v>
      </c>
      <c r="B7075" s="6" t="str">
        <f>IFERROR(__xludf.DUMMYFUNCTION("GOOGLETRANSLATE(A7075,""en"",""fi"")"),"Cresselia muistuttaa kuunsirppiä. Se jättää jälkeensä kirkkaan valoviivan lentäessään yötaivaan halki. Uskallan väittää, että se muistuttaa Linnunradan luonutta taivaallista neitoa.")</f>
        <v>Cresselia muistuttaa kuunsirppiä. Se jättää jälkeensä kirkkaan valoviivan lentäessään yötaivaan halki. Uskallan väittää, että se muistuttaa Linnunradan luonutta taivaallista neitoa.</v>
      </c>
      <c r="C7075" s="9" t="s">
        <v>1344</v>
      </c>
    </row>
    <row r="7076" ht="33.75" customHeight="1">
      <c r="A7076" s="6" t="s">
        <v>10492</v>
      </c>
      <c r="B7076" s="6" t="str">
        <f>IFERROR(__xludf.DUMMYFUNCTION("GOOGLETRANSLATE(A7076,""en"",""fi"")"),"Lämpimissä merissä elävä Pokémon. Se täyttää päänsä päällä olevan kelluntapussin ajelehtiakseen ja etsiäkseen ruokaa.")</f>
        <v>Lämpimissä merissä elävä Pokémon. Se täyttää päänsä päällä olevan kelluntapussin ajelehtiakseen ja etsiäkseen ruokaa.</v>
      </c>
      <c r="C7076" s="9" t="s">
        <v>1344</v>
      </c>
    </row>
    <row r="7077" ht="33.75" customHeight="1">
      <c r="A7077" s="6" t="s">
        <v>10494</v>
      </c>
      <c r="B7077" s="6" t="str">
        <f>IFERROR(__xludf.DUMMYFUNCTION("GOOGLETRANSLATE(A7077,""en"",""fi"")"),"Se ajelehtii lämpimissä merissä. Se palaa aina syntymäpaikalleen, olipa se ajelehtinut kuinka kauas tahansa.")</f>
        <v>Se ajelehtii lämpimissä merissä. Se palaa aina syntymäpaikalleen, olipa se ajelehtinut kuinka kauas tahansa.</v>
      </c>
      <c r="C7077" s="9" t="s">
        <v>1344</v>
      </c>
    </row>
    <row r="7078" ht="33.75" customHeight="1">
      <c r="A7078" s="6" t="s">
        <v>10495</v>
      </c>
      <c r="B7078" s="6" t="str">
        <f>IFERROR(__xludf.DUMMYFUNCTION("GOOGLETRANSLATE(A7078,""en"",""fi"")"),"Kun vesi lämpenee, ne täyttävät kelluntapussin päähänsä ja ajelehtivat hitaasti merellä laumoissa.")</f>
        <v>Kun vesi lämpenee, ne täyttävät kelluntapussin päähänsä ja ajelehtivat hitaasti merellä laumoissa.</v>
      </c>
      <c r="C7078" s="9" t="s">
        <v>1344</v>
      </c>
    </row>
    <row r="7079" ht="33.75" customHeight="1">
      <c r="A7079" s="6" t="s">
        <v>10496</v>
      </c>
      <c r="B7079" s="6" t="str">
        <f>IFERROR(__xludf.DUMMYFUNCTION("GOOGLETRANSLATE(A7079,""en"",""fi"")"),"Sen voi nähdä kelluvan avomerellä lämpiminä vuodenaikoina. Sen turkoosi ruumis sulautuu meriveteen – loogisesti ajatellen kyseessä on puolustusmekanismi luonnollisia saalistajia vastaan.")</f>
        <v>Sen voi nähdä kelluvan avomerellä lämpiminä vuodenaikoina. Sen turkoosi ruumis sulautuu meriveteen – loogisesti ajatellen kyseessä on puolustusmekanismi luonnollisia saalistajia vastaan.</v>
      </c>
      <c r="C7079" s="9" t="s">
        <v>1344</v>
      </c>
    </row>
    <row r="7080" ht="33.75" customHeight="1">
      <c r="A7080" s="6" t="s">
        <v>10499</v>
      </c>
      <c r="B7080" s="6" t="str">
        <f>IFERROR(__xludf.DUMMYFUNCTION("GOOGLETRANSLATE(A7080,""en"",""fi"")"),"Kylmällä merenpohjalla syntynyt se ui pitkiäkin matkoja palatakseen syntymäpaikkaansa.")</f>
        <v>Kylmällä merenpohjalla syntynyt se ui pitkiäkin matkoja palatakseen syntymäpaikkaansa.</v>
      </c>
      <c r="C7080" s="9" t="s">
        <v>1344</v>
      </c>
    </row>
    <row r="7081" ht="33.75" customHeight="1">
      <c r="A7081" s="6" t="s">
        <v>10500</v>
      </c>
      <c r="B7081" s="6" t="str">
        <f>IFERROR(__xludf.DUMMYFUNCTION("GOOGLETRANSLATE(A7081,""en"",""fi"")"),"Vesi muodostaa 80 % sen kehosta. Ympäristö vaikuttaa tähän Pokémoniin helposti.")</f>
        <v>Vesi muodostaa 80 % sen kehosta. Ympäristö vaikuttaa tähän Pokémoniin helposti.</v>
      </c>
      <c r="C7081" s="9" t="s">
        <v>1344</v>
      </c>
    </row>
    <row r="7082" ht="33.75" customHeight="1">
      <c r="A7082" s="6" t="s">
        <v>10502</v>
      </c>
      <c r="B7082" s="6" t="str">
        <f>IFERROR(__xludf.DUMMYFUNCTION("GOOGLETRANSLATE(A7082,""en"",""fi"")"),"Se syntyy ihmeellisellä voimalla, jonka avulla se voi luoda yhteyden minkä tahansa tyyppiseen Pokémoniin.")</f>
        <v>Se syntyy ihmeellisellä voimalla, jonka avulla se voi luoda yhteyden minkä tahansa tyyppiseen Pokémoniin.</v>
      </c>
      <c r="C7082" s="9" t="s">
        <v>1344</v>
      </c>
    </row>
    <row r="7083" ht="33.75" customHeight="1">
      <c r="A7083" s="6" t="s">
        <v>10504</v>
      </c>
      <c r="B7083" s="6" t="str">
        <f>IFERROR(__xludf.DUMMYFUNCTION("GOOGLETRANSLATE(A7083,""en"",""fi"")"),"Se aloittaa elämänsä ihmeellisellä voimalla, jonka avulla se voi muodostaa yhteyden minkä tahansa tyyppiseen Pokémoniin.")</f>
        <v>Se aloittaa elämänsä ihmeellisellä voimalla, jonka avulla se voi muodostaa yhteyden minkä tahansa tyyppiseen Pokémoniin.</v>
      </c>
      <c r="C7083" s="9" t="s">
        <v>1344</v>
      </c>
    </row>
    <row r="7084" ht="33.75" customHeight="1">
      <c r="A7084" s="6" t="s">
        <v>10505</v>
      </c>
      <c r="B7084" s="6" t="str">
        <f>IFERROR(__xludf.DUMMYFUNCTION("GOOGLETRANSLATE(A7084,""en"",""fi"")"),"Huhujen mukaan Manaphy vaeltaa valtamerien yli ja vierailee Hisuin rannikkovesillä vain harvoin. Vaikka Manaphy muistuttaa Phionea, se on myös melko erilainen. Näiden kahden välinen suhde on epäselvä.")</f>
        <v>Huhujen mukaan Manaphy vaeltaa valtamerien yli ja vierailee Hisuin rannikkovesillä vain harvoin. Vaikka Manaphy muistuttaa Phionea, se on myös melko erilainen. Näiden kahden välinen suhde on epäselvä.</v>
      </c>
      <c r="C7084" s="9" t="s">
        <v>1344</v>
      </c>
    </row>
    <row r="7085" ht="33.75" customHeight="1">
      <c r="A7085" s="6" t="s">
        <v>10506</v>
      </c>
      <c r="B7085" s="6" t="str">
        <f>IFERROR(__xludf.DUMMYFUNCTION("GOOGLETRANSLATE(A7085,""en"",""fi"")"),"Se voi tuudittaa ihmiset uneen ja saada heidät näkemään unia. Se on aktiivinen uudenkuun öinä.")</f>
        <v>Se voi tuudittaa ihmiset uneen ja saada heidät näkemään unia. Se on aktiivinen uudenkuun öinä.</v>
      </c>
      <c r="C7085" s="9" t="s">
        <v>1344</v>
      </c>
    </row>
    <row r="7086" ht="33.75" customHeight="1">
      <c r="A7086" s="6" t="s">
        <v>10507</v>
      </c>
      <c r="B7086" s="6" t="str">
        <f>IFERROR(__xludf.DUMMYFUNCTION("GOOGLETRANSLATE(A7086,""en"",""fi"")"),"Tarinan mukaan tämä Pokémon saa ihmiset näkemään kauhistuttavia painajaisia ​​kuuttomina öinä.")</f>
        <v>Tarinan mukaan tämä Pokémon saa ihmiset näkemään kauhistuttavia painajaisia ​​kuuttomina öinä.</v>
      </c>
      <c r="C7086" s="9" t="s">
        <v>1344</v>
      </c>
    </row>
    <row r="7087" ht="33.75" customHeight="1">
      <c r="A7087" s="6" t="s">
        <v>10508</v>
      </c>
      <c r="B7087" s="6" t="str">
        <f>IFERROR(__xludf.DUMMYFUNCTION("GOOGLETRANSLATE(A7087,""en"",""fi"")"),"Suojellakseen itseään se vaivaa ympärillään olevia painajaisilla. Se ei kuitenkaan tarkoita mitään pahaa.")</f>
        <v>Suojellakseen itseään se vaivaa ympärillään olevia painajaisilla. Se ei kuitenkaan tarkoita mitään pahaa.</v>
      </c>
      <c r="C7087" s="9" t="s">
        <v>1344</v>
      </c>
    </row>
    <row r="7088" ht="33.75" customHeight="1">
      <c r="A7088" s="6" t="s">
        <v>10509</v>
      </c>
      <c r="B7088" s="6" t="str">
        <f>IFERROR(__xludf.DUMMYFUNCTION("GOOGLETRANSLATE(A7088,""en"",""fi"")"),"Se ajaa ihmisiä ja Pokémoneja pois reviiriltään aiheuttamalla heille syvän, painajaismaisen unen.")</f>
        <v>Se ajaa ihmisiä ja Pokémoneja pois reviiriltään aiheuttamalla heille syvän, painajaismaisen unen.</v>
      </c>
      <c r="C7088" s="9" t="s">
        <v>1344</v>
      </c>
    </row>
    <row r="7089" ht="33.75" customHeight="1">
      <c r="A7089" s="6" t="s">
        <v>10510</v>
      </c>
      <c r="B7089" s="6" t="str">
        <f>IFERROR(__xludf.DUMMYFUNCTION("GOOGLETRANSLATE(A7089,""en"",""fi"")"),"Kuuttomana yönä sattui outo tapaus, jossa jokainen kylän asukas näki painajaisia. Kyläläiset todistivat Darkrain ilmestyneen heille näissä painajaisissa.")</f>
        <v>Kuuttomana yönä sattui outo tapaus, jossa jokainen kylän asukas näki painajaisia. Kyläläiset todistivat Darkrain ilmestyneen heille näissä painajaisissa.</v>
      </c>
      <c r="C7089" s="9" t="s">
        <v>1344</v>
      </c>
    </row>
    <row r="7090" ht="33.75" customHeight="1">
      <c r="A7090" s="6" t="s">
        <v>10511</v>
      </c>
      <c r="B7090" s="6" t="str">
        <f>IFERROR(__xludf.DUMMYFUNCTION("GOOGLETRANSLATE(A7090,""en"",""fi"")"),"Se elää kukkalaikuissa ja välttää havaitsemisen käpertymällä näyttämään kukkivalta kasvilta.")</f>
        <v>Se elää kukkalaikuissa ja välttää havaitsemisen käpertymällä näyttämään kukkivalta kasvilta.</v>
      </c>
      <c r="C7090" s="9" t="s">
        <v>1344</v>
      </c>
    </row>
    <row r="7091" ht="33.75" customHeight="1">
      <c r="A7091" s="6" t="s">
        <v>10513</v>
      </c>
      <c r="B7091" s="6" t="str">
        <f>IFERROR(__xludf.DUMMYFUNCTION("GOOGLETRANSLATE(A7091,""en"",""fi"")"),"Se voi liuottaa ilmassa olevia myrkkyjä ja muuttaa pilalle menneen maan välittömästi reheväksi kukkapelloksi.")</f>
        <v>Se voi liuottaa ilmassa olevia myrkkyjä ja muuttaa pilalle menneen maan välittömästi reheväksi kukkapelloksi.</v>
      </c>
      <c r="C7091" s="9" t="s">
        <v>1344</v>
      </c>
    </row>
    <row r="7092" ht="33.75" customHeight="1">
      <c r="A7092" s="6" t="s">
        <v>10515</v>
      </c>
      <c r="B7092" s="6" t="str">
        <f>IFERROR(__xludf.DUMMYFUNCTION("GOOGLETRANSLATE(A7092,""en"",""fi"")"),"Kukat kaikkialla sen kehossa puhkeavat kukkaan, jos sitä halataan hellästi ja se tuntee kiitollisuutta.")</f>
        <v>Kukat kaikkialla sen kehossa puhkeavat kukkaan, jos sitä halataan hellästi ja se tuntee kiitollisuutta.</v>
      </c>
      <c r="C7092" s="9" t="s">
        <v>1344</v>
      </c>
    </row>
    <row r="7093" ht="33.75" customHeight="1">
      <c r="A7093" s="6" t="s">
        <v>10516</v>
      </c>
      <c r="B7093" s="6" t="str">
        <f>IFERROR(__xludf.DUMMYFUNCTION("GOOGLETRANSLATE(A7093,""en"",""fi"")"),"Gracidean kukinta antaa sille lentovoiman. Kiitollisuuden tunteet ovat sen viesti.")</f>
        <v>Gracidean kukinta antaa sille lentovoiman. Kiitollisuuden tunteet ovat sen viesti.</v>
      </c>
      <c r="C7093" s="9" t="s">
        <v>1344</v>
      </c>
    </row>
    <row r="7094" ht="33.75" customHeight="1">
      <c r="A7094" s="6" t="s">
        <v>10517</v>
      </c>
      <c r="B7094" s="6" t="str">
        <f>IFERROR(__xludf.DUMMYFUNCTION("GOOGLETRANSLATE(A7094,""en"",""fi"")"),"Kun vuodenaikojen vaihtuminen tuo julman talven loppuun ja iloiset ihmiset kiittävät taivasta, Shaymin ilmestyy ja peittää kuihtuneen maan kukilla.")</f>
        <v>Kun vuodenaikojen vaihtuminen tuo julman talven loppuun ja iloiset ihmiset kiittävät taivasta, Shaymin ilmestyy ja peittää kuihtuneen maan kukilla.</v>
      </c>
      <c r="C7094" s="9" t="s">
        <v>1344</v>
      </c>
    </row>
    <row r="7095" ht="33.75" customHeight="1">
      <c r="A7095" s="6" t="s">
        <v>10518</v>
      </c>
      <c r="B7095" s="6" t="str">
        <f>IFERROR(__xludf.DUMMYFUNCTION("GOOGLETRANSLATE(A7095,""en"",""fi"")"),"Mytologiassa sitä kuvataan Pokémonina, joka muovasi maailmankaikkeuden tuhannella kädellään.")</f>
        <v>Mytologiassa sitä kuvataan Pokémonina, joka muovasi maailmankaikkeuden tuhannella kädellään.</v>
      </c>
      <c r="C7095" s="9" t="s">
        <v>1344</v>
      </c>
    </row>
    <row r="7096" ht="33.75" customHeight="1">
      <c r="A7096" s="6" t="s">
        <v>10519</v>
      </c>
      <c r="B7096" s="6" t="str">
        <f>IFERROR(__xludf.DUMMYFUNCTION("GOOGLETRANSLATE(A7096,""en"",""fi"")"),"Mytologiassa kerrotaan, että tämä Pokémon syntyi ennen kuin maailmankaikkeutta edes oli olemassa.")</f>
        <v>Mytologiassa kerrotaan, että tämä Pokémon syntyi ennen kuin maailmankaikkeutta edes oli olemassa.</v>
      </c>
      <c r="C7096" s="9" t="s">
        <v>1344</v>
      </c>
    </row>
    <row r="7097" ht="33.75" customHeight="1">
      <c r="A7097" s="6" t="s">
        <v>10521</v>
      </c>
      <c r="B7097" s="6" t="str">
        <f>IFERROR(__xludf.DUMMYFUNCTION("GOOGLETRANSLATE(A7097,""en"",""fi"")"),"Sen sanotaan nousseen munasta paikassa, jossa ei ollut mitään, ja muovanneen sitten maailman.")</f>
        <v>Sen sanotaan nousseen munasta paikassa, jossa ei ollut mitään, ja muovanneen sitten maailman.</v>
      </c>
      <c r="C7097" s="9" t="s">
        <v>1344</v>
      </c>
    </row>
    <row r="7098" ht="33.75" customHeight="1">
      <c r="A7098" s="6" t="s">
        <v>10525</v>
      </c>
      <c r="B7098" s="6" t="str">
        <f>IFERROR(__xludf.DUMMYFUNCTION("GOOGLETRANSLATE(A7098,""en"",""fi"")"),"Sinnohin legendojen mukaan tämä Pokémon nousi munasta ja muovasi kaiken, mitä tässä maailmassa on.")</f>
        <v>Sinnohin legendojen mukaan tämä Pokémon nousi munasta ja muovasi kaiken, mitä tässä maailmassa on.</v>
      </c>
      <c r="C7098" s="9" t="s">
        <v>1344</v>
      </c>
    </row>
    <row r="7099" ht="33.75" customHeight="1">
      <c r="A7099" s="6" t="s">
        <v>10526</v>
      </c>
      <c r="B7099" s="6" t="str">
        <f>IFERROR(__xludf.DUMMYFUNCTION("GOOGLETRANSLATE(A7099,""en"",""fi"")"),"Sen sanotaan nousseen munasta paikassa, jossa ei ollut mitään, ja muovannut maailmaa.")</f>
        <v>Sen sanotaan nousseen munasta paikassa, jossa ei ollut mitään, ja muovannut maailmaa.</v>
      </c>
      <c r="C7099" s="9" t="s">
        <v>1344</v>
      </c>
    </row>
    <row r="7100" ht="33.75" customHeight="1">
      <c r="A7100" s="6" t="s">
        <v>10528</v>
      </c>
      <c r="B7100" s="6" t="str">
        <f>IFERROR(__xludf.DUMMYFUNCTION("GOOGLETRANSLATE(A7100,""en"",""fi"")"),"Se on taivaallinen lähde, josta virtaa Hisuin ylle loistava valo. Sen hohde opastaa ja suojelee kaikkia Pokémoneja. Hisuin mytologiassa Arceus on kaiken luoja.")</f>
        <v>Se on taivaallinen lähde, josta virtaa Hisuin ylle loistava valo. Sen hohde opastaa ja suojelee kaikkia Pokémoneja. Hisuin mytologiassa Arceus on kaiken luoja.</v>
      </c>
      <c r="C7100" s="9" t="s">
        <v>1344</v>
      </c>
    </row>
    <row r="7101" ht="33.75" customHeight="1">
      <c r="A7101" s="6" t="s">
        <v>10529</v>
      </c>
      <c r="B7101" s="6" t="str">
        <f>IFERROR(__xludf.DUMMYFUNCTION("GOOGLETRANSLATE(A7101,""en"",""fi"")"),"Tämä Pokémon tuo voiton. Sanotaan, että Victinin kanssa kouluttajat voittavat aina, kohtaamisen tyypistä riippumatta.")</f>
        <v>Tämä Pokémon tuo voiton. Sanotaan, että Victinin kanssa kouluttajat voittavat aina, kohtaamisen tyypistä riippumatta.</v>
      </c>
      <c r="C7101" s="9" t="s">
        <v>1344</v>
      </c>
    </row>
    <row r="7102" ht="33.75" customHeight="1">
      <c r="A7102" s="6" t="s">
        <v>10531</v>
      </c>
      <c r="B7102" s="6" t="str">
        <f>IFERROR(__xludf.DUMMYFUNCTION("GOOGLETRANSLATE(A7102,""en"",""fi"")"),"Se luo kehoonsa rajattoman energiavarannon, jota se jakaa sitä koskettavien kanssa.")</f>
        <v>Se luo kehoonsa rajattoman energiavarannon, jota se jakaa sitä koskettavien kanssa.</v>
      </c>
      <c r="C7102" s="9" t="s">
        <v>1344</v>
      </c>
    </row>
    <row r="7103" ht="33.75" customHeight="1">
      <c r="A7103" s="6" t="s">
        <v>10533</v>
      </c>
      <c r="B7103" s="6" t="str">
        <f>IFERROR(__xludf.DUMMYFUNCTION("GOOGLETRANSLATE(A7103,""en"",""fi"")"),"Kun se jakaa luomaansa ääretöntä energiaa, koko olennon keho on täynnä voimaa.")</f>
        <v>Kun se jakaa luomaansa ääretöntä energiaa, koko olennon keho on täynnä voimaa.</v>
      </c>
      <c r="C7103" s="9" t="s">
        <v>1344</v>
      </c>
    </row>
    <row r="7104" ht="33.75" customHeight="1">
      <c r="A7104" s="6" t="s">
        <v>10534</v>
      </c>
      <c r="B7104" s="6" t="str">
        <f>IFERROR(__xludf.DUMMYFUNCTION("GOOGLETRANSLATE(A7104,""en"",""fi"")"),"Se on hyvin älykäs ja rauhallinen. Altistuminen runsaalle auringonvalolle tekee sen liikkeistä nopeampia.")</f>
        <v>Se on hyvin älykäs ja rauhallinen. Altistuminen runsaalle auringonvalolle tekee sen liikkeistä nopeampia.</v>
      </c>
      <c r="C7104" s="9" t="s">
        <v>1344</v>
      </c>
    </row>
    <row r="7105" ht="33.75" customHeight="1">
      <c r="A7105" s="6" t="s">
        <v>10535</v>
      </c>
      <c r="B7105" s="6" t="str">
        <f>IFERROR(__xludf.DUMMYFUNCTION("GOOGLETRANSLATE(A7105,""en"",""fi"")"),"Ne fotosyntetisoivat kylpemällä häntäänsä auringonvalossa. Kun ne voivat huonosti, niiden häntä painuu alas.")</f>
        <v>Ne fotosyntetisoivat kylpemällä häntäänsä auringonvalossa. Kun ne voivat huonosti, niiden häntä painuu alas.</v>
      </c>
      <c r="C7105" s="9" t="s">
        <v>1344</v>
      </c>
    </row>
    <row r="7106" ht="33.75" customHeight="1">
      <c r="A7106" s="6" t="s">
        <v>10537</v>
      </c>
      <c r="B7106" s="6" t="str">
        <f>IFERROR(__xludf.DUMMYFUNCTION("GOOGLETRANSLATE(A7106,""en"",""fi"")"),"Auringonvalo tekee sen liikkeistä nopeampia. Se käyttää köynnöksiä taitavammin kuin käsiään.")</f>
        <v>Auringonvalo tekee sen liikkeistä nopeampia. Se käyttää köynnöksiä taitavammin kuin käsiään.</v>
      </c>
      <c r="C7106" s="9" t="s">
        <v>1344</v>
      </c>
    </row>
    <row r="7107" ht="33.75" customHeight="1">
      <c r="A7107" s="6" t="s">
        <v>10538</v>
      </c>
      <c r="B7107" s="6" t="str">
        <f>IFERROR(__xludf.DUMMYFUNCTION("GOOGLETRANSLATE(A7107,""en"",""fi"")"),"Se liikkuu maassa kuin liukuen. Sen nopeat liikkeet hämmentävät vihollisiaan ja hyökkää sitten köynnösruoskalla.")</f>
        <v>Se liikkuu maassa kuin liukuen. Sen nopeat liikkeet hämmentävät vihollisiaan ja hyökkää sitten köynnösruoskalla.</v>
      </c>
      <c r="C7107" s="9" t="s">
        <v>1344</v>
      </c>
    </row>
    <row r="7108" ht="33.75" customHeight="1">
      <c r="A7108" s="6" t="s">
        <v>10539</v>
      </c>
      <c r="B7108" s="6" t="str">
        <f>IFERROR(__xludf.DUMMYFUNCTION("GOOGLETRANSLATE(A7108,""en"",""fi"")"),"Ne välttävät hyökkäyksiä uppoutumalla tiheän kasvillisuuden varjoihin. Ne kostavat mestarillisilla ruoskintatekniikoilla.")</f>
        <v>Ne välttävät hyökkäyksiä uppoutumalla tiheän kasvillisuuden varjoihin. Ne kostavat mestarillisilla ruoskintatekniikoilla.</v>
      </c>
      <c r="C7108" s="9" t="s">
        <v>1344</v>
      </c>
    </row>
    <row r="7109" ht="33.75" customHeight="1">
      <c r="A7109" s="6" t="s">
        <v>10542</v>
      </c>
      <c r="B7109" s="6" t="str">
        <f>IFERROR(__xludf.DUMMYFUNCTION("GOOGLETRANSLATE(A7109,""en"",""fi"")"),"Kun se likaantuu, sen lehtiä ei voida käyttää fotosynteesiin, joten se pitää itsensä aina puhtaana.")</f>
        <v>Kun se likaantuu, sen lehtiä ei voida käyttää fotosynteesiin, joten se pitää itsensä aina puhtaana.</v>
      </c>
      <c r="C7109" s="9" t="s">
        <v>1344</v>
      </c>
    </row>
    <row r="7110" ht="33.75" customHeight="1">
      <c r="A7110" s="6" t="s">
        <v>10544</v>
      </c>
      <c r="B7110" s="6" t="str">
        <f>IFERROR(__xludf.DUMMYFUNCTION("GOOGLETRANSLATE(A7110,""en"",""fi"")"),"Se voi pysäyttää vastustajiensa liikkeet pelkällä häikäisyllä. Se ottaa vastaan ​​auringon energiaa ja vahvistaa sitä sisäisesti.")</f>
        <v>Se voi pysäyttää vastustajiensa liikkeet pelkällä häikäisyllä. Se ottaa vastaan ​​auringon energiaa ja vahvistaa sitä sisäisesti.</v>
      </c>
      <c r="C7110" s="9" t="s">
        <v>1344</v>
      </c>
    </row>
    <row r="7111" ht="33.75" customHeight="1">
      <c r="A7111" s="6" t="s">
        <v>10545</v>
      </c>
      <c r="B7111" s="6" t="str">
        <f>IFERROR(__xludf.DUMMYFUNCTION("GOOGLETRANSLATE(A7111,""en"",""fi"")"),"He nostavat päätään pelotellakseen vastustajia, mutta antavat kaikkensa vain taistellessaan voimakasta vastustajaa vastaan.")</f>
        <v>He nostavat päätään pelotellakseen vastustajia, mutta antavat kaikkensa vain taistellessaan voimakasta vastustajaa vastaan.</v>
      </c>
      <c r="C7111" s="9" t="s">
        <v>1344</v>
      </c>
    </row>
    <row r="7112" ht="33.75" customHeight="1">
      <c r="A7112" s="6" t="s">
        <v>10546</v>
      </c>
      <c r="B7112" s="6" t="str">
        <f>IFERROR(__xludf.DUMMYFUNCTION("GOOGLETRANSLATE(A7112,""en"",""fi"")"),"Se antaa kaikkensa vain vahvoja vastustajia vastaan, joita Serperiorin jalojen silmien tuijotus ei hätkähdä.")</f>
        <v>Se antaa kaikkensa vain vahvoja vastustajia vastaan, joita Serperiorin jalojen silmien tuijotus ei hätkähdä.</v>
      </c>
      <c r="C7112" s="9" t="s">
        <v>1344</v>
      </c>
    </row>
    <row r="7113" ht="33.75" customHeight="1">
      <c r="A7113" s="6" t="s">
        <v>10547</v>
      </c>
      <c r="B7113" s="6" t="str">
        <f>IFERROR(__xludf.DUMMYFUNCTION("GOOGLETRANSLATE(A7113,""en"",""fi"")"),"Se pystyy taitavasti väistelemään vihollistensa hyökkäyksiä ampumalla nenästään tulipalloja. Se paahtaa marjoja ennen kuin syö ne.")</f>
        <v>Se pystyy taitavasti väistelemään vihollistensa hyökkäyksiä ampumalla nenästään tulipalloja. Se paahtaa marjoja ennen kuin syö ne.</v>
      </c>
      <c r="C7113" s="9" t="s">
        <v>1344</v>
      </c>
    </row>
    <row r="7114" ht="33.75" customHeight="1">
      <c r="A7114" s="6" t="s">
        <v>10548</v>
      </c>
      <c r="B7114" s="6" t="str">
        <f>IFERROR(__xludf.DUMMYFUNCTION("GOOGLETRANSLATE(A7114,""en"",""fi"")"),"Se puhaltaa tulta nenänsä kautta. Kun se vilustuu, tulesta tulee pikimustaa savua.")</f>
        <v>Se puhaltaa tulta nenänsä kautta. Kun se vilustuu, tulesta tulee pikimustaa savua.</v>
      </c>
      <c r="C7114" s="9" t="s">
        <v>1344</v>
      </c>
    </row>
    <row r="7115" ht="33.75" customHeight="1">
      <c r="A7115" s="6" t="s">
        <v>10549</v>
      </c>
      <c r="B7115" s="6" t="str">
        <f>IFERROR(__xludf.DUMMYFUNCTION("GOOGLETRANSLATE(A7115,""en"",""fi"")"),"Se rakastaa paahdettujen marjojen syömistä, mutta joskus se innostuu liikaa ja polttaa ne rapeiksi.")</f>
        <v>Se rakastaa paahdettujen marjojen syömistä, mutta joskus se innostuu liikaa ja polttaa ne rapeiksi.</v>
      </c>
      <c r="C7115" s="9" t="s">
        <v>1344</v>
      </c>
    </row>
    <row r="7116" ht="33.75" customHeight="1">
      <c r="A7116" s="6" t="s">
        <v>10550</v>
      </c>
      <c r="B7116" s="6" t="str">
        <f>IFERROR(__xludf.DUMMYFUNCTION("GOOGLETRANSLATE(A7116,""en"",""fi"")"),"Kun sen sisäinen tuli leimahtaa, sen liikkeet terävöityvät ja nopeutuvat. Hädässä se päästää savua.")</f>
        <v>Kun sen sisäinen tuli leimahtaa, sen liikkeet terävöityvät ja nopeutuvat. Hädässä se päästää savua.</v>
      </c>
      <c r="C7116" s="9" t="s">
        <v>1344</v>
      </c>
    </row>
    <row r="7117" ht="33.75" customHeight="1">
      <c r="A7117" s="6" t="s">
        <v>10551</v>
      </c>
      <c r="B7117" s="6" t="str">
        <f>IFERROR(__xludf.DUMMYFUNCTION("GOOGLETRANSLATE(A7117,""en"",""fi"")"),"Kaikesta, mitä se syö, tulee polttoainetta sen vatsassa olevalle liekille. Kun se suuttuu, liekin voimakkuus kasvaa.")</f>
        <v>Kaikesta, mitä se syö, tulee polttoainetta sen vatsassa olevalle liekille. Kun se suuttuu, liekin voimakkuus kasvaa.</v>
      </c>
      <c r="C7117" s="9" t="s">
        <v>1344</v>
      </c>
    </row>
    <row r="7118" ht="33.75" customHeight="1">
      <c r="A7118" s="6" t="s">
        <v>10552</v>
      </c>
      <c r="B7118" s="6" t="str">
        <f>IFERROR(__xludf.DUMMYFUNCTION("GOOGLETRANSLATE(A7118,""en"",""fi"")"),"Mitä enemmän se syö, sitä enemmän polttoainetta sillä on vatsassaan olevan tulen vahvistamiseen. Tämä täyttää sen entistä suuremmalla voimalla.")</f>
        <v>Mitä enemmän se syö, sitä enemmän polttoainetta sillä on vatsassaan olevan tulen vahvistamiseen. Tämä täyttää sen entistä suuremmalla voimalla.</v>
      </c>
      <c r="C7118" s="9" t="s">
        <v>1344</v>
      </c>
    </row>
    <row r="7119" ht="33.75" customHeight="1">
      <c r="A7119" s="6" t="s">
        <v>10554</v>
      </c>
      <c r="B7119" s="6" t="str">
        <f>IFERROR(__xludf.DUMMYFUNCTION("GOOGLETRANSLATE(A7119,""en"",""fi"")"),"Se voi iskeä tulisen iskun sytyttämällä nyrkkinsä tuleen tulisella leuallaan. Se välittää syvästi ystävistään.")</f>
        <v>Se voi iskeä tulisen iskun sytyttämällä nyrkkinsä tuleen tulisella leuallaan. Se välittää syvästi ystävistään.</v>
      </c>
      <c r="C7119" s="9" t="s">
        <v>1344</v>
      </c>
    </row>
    <row r="7120" ht="33.75" customHeight="1">
      <c r="A7120" s="6" t="s">
        <v>10555</v>
      </c>
      <c r="B7120" s="6" t="str">
        <f>IFERROR(__xludf.DUMMYFUNCTION("GOOGLETRANSLATE(A7120,""en"",""fi"")"),"Se on oppinut nopeat ja tehokkaat taisteluliikkeet. Sille kasvaa tuliparta.")</f>
        <v>Se on oppinut nopeat ja tehokkaat taisteluliikkeet. Sille kasvaa tuliparta.</v>
      </c>
      <c r="C7120" s="9" t="s">
        <v>1344</v>
      </c>
    </row>
    <row r="7121" ht="33.75" customHeight="1">
      <c r="A7121" s="6" t="s">
        <v>10556</v>
      </c>
      <c r="B7121" s="6" t="str">
        <f>IFERROR(__xludf.DUMMYFUNCTION("GOOGLETRANSLATE(A7121,""en"",""fi"")"),"Leimuava tuliparta on todiste siitä, että se on tulessa. Se on taitava käyttämään monia eri liikkeitä.")</f>
        <v>Leimuava tuliparta on todiste siitä, että se on tulessa. Se on taitava käyttämään monia eri liikkeitä.</v>
      </c>
      <c r="C7121" s="9" t="s">
        <v>1344</v>
      </c>
    </row>
    <row r="7122" ht="33.75" customHeight="1">
      <c r="A7122" s="6" t="s">
        <v>10557</v>
      </c>
      <c r="B7122" s="6" t="str">
        <f>IFERROR(__xludf.DUMMYFUNCTION("GOOGLETRANSLATE(A7122,""en"",""fi"")"),"Se taistelee käyttäen vatsallaan olevaa simpukkaa. Vastauksena hyökkäykseen se kostaa välittömästi viiltäen.")</f>
        <v>Se taistelee käyttäen vatsallaan olevaa simpukkaa. Vastauksena hyökkäykseen se kostaa välittömästi viiltäen.</v>
      </c>
      <c r="C7122" s="9" t="s">
        <v>1344</v>
      </c>
    </row>
    <row r="7123" ht="33.75" customHeight="1">
      <c r="A7123" s="6" t="s">
        <v>10558</v>
      </c>
      <c r="B7123" s="6" t="str">
        <f>IFERROR(__xludf.DUMMYFUNCTION("GOOGLETRANSLATE(A7123,""en"",""fi"")"),"Sen vatsassa oleva simpukka on tehty samoista osista kuin kynnet. Se irrottaa simpukan käyttääkseen sitä teränä.")</f>
        <v>Sen vatsassa oleva simpukka on tehty samoista osista kuin kynnet. Se irrottaa simpukan käyttääkseen sitä teränä.</v>
      </c>
      <c r="C7123" s="9" t="s">
        <v>1344</v>
      </c>
    </row>
    <row r="7124" ht="33.75" customHeight="1">
      <c r="A7124" s="6" t="s">
        <v>10559</v>
      </c>
      <c r="B7124" s="6" t="str">
        <f>IFERROR(__xludf.DUMMYFUNCTION("GOOGLETRANSLATE(A7124,""en"",""fi"")"),"Sen vatsassa olevaa kampasimpukkaa ei käytetä vain taisteluun – sitä voidaan käyttää myös kovien marjojen rikkomiseen.")</f>
        <v>Sen vatsassa olevaa kampasimpukkaa ei käytetä vain taisteluun – sitä voidaan käyttää myös kovien marjojen rikkomiseen.</v>
      </c>
      <c r="C7124" s="9" t="s">
        <v>1344</v>
      </c>
    </row>
    <row r="7125" ht="33.75" customHeight="1">
      <c r="A7125" s="6" t="s">
        <v>10560</v>
      </c>
      <c r="B7125" s="6" t="str">
        <f>IFERROR(__xludf.DUMMYFUNCTION("GOOGLETRANSLATE(A7125,""en"",""fi"")"),"Sen vatsassa olevaa kampasimpukkaa ei käytetä vain taisteluun – sitä voidaan käyttää myös kovien marjojen rikkomiseen.")</f>
        <v>Sen vatsassa olevaa kampasimpukkaa ei käytetä vain taisteluun – sitä voidaan käyttää myös kovien marjojen rikkomiseen.</v>
      </c>
      <c r="C7125" s="9" t="s">
        <v>1344</v>
      </c>
    </row>
    <row r="7126" ht="33.75" customHeight="1">
      <c r="A7126" s="6" t="s">
        <v>10561</v>
      </c>
      <c r="B7126" s="6" t="str">
        <f>IFERROR(__xludf.DUMMYFUNCTION("GOOGLETRANSLATE(A7126,""en"",""fi"")"),"Tämä Unova-alueen Pokémon käyttää vatsassaan olevaa kuorta aseena vihollistensa kaatamiseen. Siksi olen antanut tälle kuorelle nimen ""scalchop"".")</f>
        <v>Tämä Unova-alueen Pokémon käyttää vatsassaan olevaa kuorta aseena vihollistensa kaatamiseen. Siksi olen antanut tälle kuorelle nimen "scalchop".</v>
      </c>
      <c r="C7126" s="9" t="s">
        <v>1344</v>
      </c>
    </row>
    <row r="7127" ht="33.75" customHeight="1">
      <c r="A7127" s="6" t="s">
        <v>10562</v>
      </c>
      <c r="B7127" s="6" t="str">
        <f>IFERROR(__xludf.DUMMYFUNCTION("GOOGLETRANSLATE(A7127,""en"",""fi"")"),"Tiukan koulutuksen avulla se oppii virtaavan kaksoiskalskop-tekniikkansa.")</f>
        <v>Tiukan koulutuksen avulla se oppii virtaavan kaksoiskalskop-tekniikkansa.</v>
      </c>
      <c r="C7127" s="9" t="s">
        <v>1344</v>
      </c>
    </row>
    <row r="7128" ht="33.75" customHeight="1">
      <c r="A7128" s="6" t="s">
        <v>10563</v>
      </c>
      <c r="B7128" s="6" t="str">
        <f>IFERROR(__xludf.DUMMYFUNCTION("GOOGLETRANSLATE(A7128,""en"",""fi"")"),"Kalkkunaleikkuutekniikat vaihtelevat Dewottin mukaan. Yritys ei koskaan laiminlyö kakkunsa huoltoa.")</f>
        <v>Kalkkunaleikkuutekniikat vaihtelevat Dewottin mukaan. Yritys ei koskaan laiminlyö kakkunsa huoltoa.</v>
      </c>
      <c r="C7128" s="9" t="s">
        <v>1344</v>
      </c>
    </row>
    <row r="7129" ht="33.75" customHeight="1">
      <c r="A7129" s="6" t="s">
        <v>10564</v>
      </c>
      <c r="B7129" s="6" t="str">
        <f>IFERROR(__xludf.DUMMYFUNCTION("GOOGLETRANSLATE(A7129,""en"",""fi"")"),"Tiukan harjoittelun seurauksena jokainen Dewott oppii erilaisia ​​​​tapoja käyttää kampasimpukoita.")</f>
        <v>Tiukan harjoittelun seurauksena jokainen Dewott oppii erilaisia ​​​​tapoja käyttää kampasimpukoita.</v>
      </c>
      <c r="C7129" s="9" t="s">
        <v>1344</v>
      </c>
    </row>
    <row r="7130" ht="33.75" customHeight="1">
      <c r="A7130" s="6" t="s">
        <v>10565</v>
      </c>
      <c r="B7130" s="6" t="str">
        <f>IFERROR(__xludf.DUMMYFUNCTION("GOOGLETRANSLATE(A7130,""en"",""fi"")"),"Sen hienostunut kaksoisleikkauksen tekniikka on todennäköisesti päivittäisen harjoittelun tulos, ja se voi saada jopa terän mestarit pakenemaan tappion uhatessa.")</f>
        <v>Sen hienostunut kaksoisleikkauksen tekniikka on todennäköisesti päivittäisen harjoittelun tulos, ja se voi saada jopa terän mestarit pakenemaan tappion uhatessa.</v>
      </c>
      <c r="C7130" s="9" t="s">
        <v>1344</v>
      </c>
    </row>
    <row r="7131" ht="33.75" customHeight="1">
      <c r="A7131" s="6" t="s">
        <v>10567</v>
      </c>
      <c r="B7131" s="6" t="str">
        <f>IFERROR(__xludf.DUMMYFUNCTION("GOOGLETRANSLATE(A7131,""en"",""fi"")"),"Yksikin sen haarniskaan kuuluvan miekan heilautus voi kaataa vastustajan. Yksinkertainen katse yhdeltä heistä hiljentää kaikki.")</f>
        <v>Yksikin sen haarniskaan kuuluvan miekan heilautus voi kaataa vastustajan. Yksinkertainen katse yhdeltä heistä hiljentää kaikki.</v>
      </c>
      <c r="C7131" s="9" t="s">
        <v>1344</v>
      </c>
    </row>
    <row r="7132" ht="33.75" customHeight="1">
      <c r="A7132" s="6" t="s">
        <v>10568</v>
      </c>
      <c r="B7132" s="6" t="str">
        <f>IFERROR(__xludf.DUMMYFUNCTION("GOOGLETRANSLATE(A7132,""en"",""fi"")"),"Osa sen etummaisten jalkojen panssaroista muuttuu jättimäiseksi miekaksi. Pelkkä sen huuto riittää pelottelemaan useimpia vihollisia.")</f>
        <v>Osa sen etummaisten jalkojen panssaroista muuttuu jättimäiseksi miekaksi. Pelkkä sen huuto riittää pelottelemaan useimpia vihollisia.</v>
      </c>
      <c r="C7132" s="9" t="s">
        <v>1344</v>
      </c>
    </row>
    <row r="7133" ht="33.75" customHeight="1">
      <c r="A7133" s="6" t="s">
        <v>10569</v>
      </c>
      <c r="B7133" s="6" t="str">
        <f>IFERROR(__xludf.DUMMYFUNCTION("GOOGLETRANSLATE(A7133,""en"",""fi"")"),"Sinä aikana, kun vihollinen räpäyttää silmänsä, se voi vetää puoleensa ja sulloa etujalkoihinsa kiinnitetyt merimitarit.")</f>
        <v>Sinä aikana, kun vihollinen räpäyttää silmänsä, se voi vetää puoleensa ja sulloa etujalkoihinsa kiinnitetyt merimitarit.</v>
      </c>
      <c r="C7133" s="9" t="s">
        <v>1344</v>
      </c>
    </row>
    <row r="7134" ht="33.75" customHeight="1">
      <c r="A7134" s="6" t="s">
        <v>10570</v>
      </c>
      <c r="B7134" s="6" t="str">
        <f>IFERROR(__xludf.DUMMYFUNCTION("GOOGLETRANSLATE(A7134,""en"",""fi"")"),"Kovasydäminen ja terän taitava käyttäytyminen, tämä harvinainen Samurottin muoto on Pokémonien evoluution tulos Hisuin alueella. Sen myrskyisät iskut iskeytyvät vihollisiin kuin lakkaamattomat jyskyttävät aallot.")</f>
        <v>Kovasydäminen ja terän taitava käyttäytyminen, tämä harvinainen Samurottin muoto on Pokémonien evoluution tulos Hisuin alueella. Sen myrskyisät iskut iskeytyvät vihollisiin kuin lakkaamattomat jyskyttävät aallot.</v>
      </c>
      <c r="C7134" s="9" t="s">
        <v>1344</v>
      </c>
    </row>
    <row r="7135" ht="33.75" customHeight="1">
      <c r="A7135" s="6" t="s">
        <v>10571</v>
      </c>
      <c r="B7135" s="6" t="str">
        <f>IFERROR(__xludf.DUMMYFUNCTION("GOOGLETRANSLATE(A7135,""en"",""fi"")"),"Poskipusseissa säilytettävän ruoan avulla ne voivat pitää vahtia päiväkausia. Ne käyttävät häntäänsä kommunikoidakseen muiden kanssa.")</f>
        <v>Poskipusseissa säilytettävän ruoan avulla ne voivat pitää vahtia päiväkausia. Ne käyttävät häntäänsä kommunikoidakseen muiden kanssa.</v>
      </c>
      <c r="C7135" s="9" t="s">
        <v>1344</v>
      </c>
    </row>
    <row r="7136" ht="33.75" customHeight="1">
      <c r="A7136" s="6" t="s">
        <v>10572</v>
      </c>
      <c r="B7136" s="6" t="str">
        <f>IFERROR(__xludf.DUMMYFUNCTION("GOOGLETRANSLATE(A7136,""en"",""fi"")"),"Ne ovat erittäin varovaisia ​​ja vuorottelevat pitääkseen pesäänsä jatkuvasti silmällä. Ilman tähystäjää ne tuntevat olonsa epävarmaksi.")</f>
        <v>Ne ovat erittäin varovaisia ​​ja vuorottelevat pitääkseen pesäänsä jatkuvasti silmällä. Ilman tähystäjää ne tuntevat olonsa epävarmaksi.</v>
      </c>
      <c r="C7136" s="9" t="s">
        <v>1344</v>
      </c>
    </row>
    <row r="7137" ht="33.75" customHeight="1">
      <c r="A7137" s="6" t="s">
        <v>10574</v>
      </c>
      <c r="B7137" s="6" t="str">
        <f>IFERROR(__xludf.DUMMYFUNCTION("GOOGLETRANSLATE(A7137,""en"",""fi"")"),"Erittäin varovainen, yksi niistä on aina valppaana, mutta se ei huomaa takaa tulevaa vihollista.")</f>
        <v>Erittäin varovainen, yksi niistä on aina valppaana, mutta se ei huomaa takaa tulevaa vihollista.</v>
      </c>
      <c r="C7137" s="9" t="s">
        <v>1344</v>
      </c>
    </row>
    <row r="7138" ht="33.75" customHeight="1">
      <c r="A7138" s="6" t="s">
        <v>10576</v>
      </c>
      <c r="B7138" s="6" t="str">
        <f>IFERROR(__xludf.DUMMYFUNCTION("GOOGLETRANSLATE(A7138,""en"",""fi"")"),"Nähdessään vihollisen ne nostavat pyrstönsä pystyyn ja sylkevät poskipussissaan säilytettyjen marjojen siemenet.")</f>
        <v>Nähdessään vihollisen ne nostavat pyrstönsä pystyyn ja sylkevät poskipussissaan säilytettyjen marjojen siemenet.</v>
      </c>
      <c r="C7138" s="9" t="s">
        <v>1344</v>
      </c>
    </row>
    <row r="7139" ht="33.75" customHeight="1">
      <c r="A7139" s="6" t="s">
        <v>10579</v>
      </c>
      <c r="B7139" s="6" t="str">
        <f>IFERROR(__xludf.DUMMYFUNCTION("GOOGLETRANSLATE(A7139,""en"",""fi"")"),"Ne saavat ruumiinsa kuviot kiiltäviksi uhkatakseen saalistajia. Tarkka näkö auttaa niitä näkemään pimeässä.")</f>
        <v>Ne saavat ruumiinsa kuviot kiiltäviksi uhkatakseen saalistajia. Tarkka näkö auttaa niitä näkemään pimeässä.</v>
      </c>
      <c r="C7139" s="9" t="s">
        <v>1344</v>
      </c>
    </row>
    <row r="7140" ht="33.75" customHeight="1">
      <c r="A7140" s="6" t="s">
        <v>10581</v>
      </c>
      <c r="B7140" s="6" t="str">
        <f>IFERROR(__xludf.DUMMYFUNCTION("GOOGLETRANSLATE(A7140,""en"",""fi"")"),"Luminesoivan aineen avulla se saa silmänsä ja vartalonsa hehkumaan ja tainnuttaa hyökkäävät vastustajat.")</f>
        <v>Luminesoivan aineen avulla se saa silmänsä ja vartalonsa hehkumaan ja tainnuttaa hyökkäävät vastustajat.</v>
      </c>
      <c r="C7140" s="9" t="s">
        <v>1344</v>
      </c>
    </row>
    <row r="7141" ht="33.75" customHeight="1">
      <c r="A7141" s="6" t="s">
        <v>10582</v>
      </c>
      <c r="B7141" s="6" t="str">
        <f>IFERROR(__xludf.DUMMYFUNCTION("GOOGLETRANSLATE(A7141,""en"",""fi"")"),"Se kohtaa vahvoja vastustajia suurella rohkeudella. Mutta taistelussa epäedullisessa asemassa tämä älykäs Pokémon pakenee.")</f>
        <v>Se kohtaa vahvoja vastustajia suurella rohkeudella. Mutta taistelussa epäedullisessa asemassa tämä älykäs Pokémon pakenee.</v>
      </c>
      <c r="C7141" s="9" t="s">
        <v>1344</v>
      </c>
    </row>
    <row r="7142" ht="33.75" customHeight="1">
      <c r="A7142" s="6" t="s">
        <v>10583</v>
      </c>
      <c r="B7142" s="6" t="str">
        <f>IFERROR(__xludf.DUMMYFUNCTION("GOOGLETRANSLATE(A7142,""en"",""fi"")"),"Sen kasvojen ympärillä olevat pitkät hiukset tarjoavat hämmästyttävän tutkan, jonka avulla se aistii ympäristönsä hienovaraisia ​​muutoksia.")</f>
        <v>Sen kasvojen ympärillä olevat pitkät hiukset tarjoavat hämmästyttävän tutkan, jonka avulla se aistii ympäristönsä hienovaraisia ​​muutoksia.</v>
      </c>
      <c r="C7142" s="9" t="s">
        <v>1344</v>
      </c>
    </row>
    <row r="7143" ht="33.75" customHeight="1">
      <c r="A7143" s="6" t="s">
        <v>10585</v>
      </c>
      <c r="B7143" s="6" t="str">
        <f>IFERROR(__xludf.DUMMYFUNCTION("GOOGLETRANSLATE(A7143,""en"",""fi"")"),"Vaikka se on erittäin rohkea Pokémon, se on myös tarpeeksi älykäs testatakseen vihollisensa voimat ja välttääkseen taistelun.")</f>
        <v>Vaikka se on erittäin rohkea Pokémon, se on myös tarpeeksi älykäs testatakseen vihollisensa voimat ja välttääkseen taistelun.</v>
      </c>
      <c r="C7143" s="9" t="s">
        <v>1344</v>
      </c>
    </row>
    <row r="7144" ht="33.75" customHeight="1">
      <c r="A7144" s="6" t="s">
        <v>10587</v>
      </c>
      <c r="B7144" s="6" t="str">
        <f>IFERROR(__xludf.DUMMYFUNCTION("GOOGLETRANSLATE(A7144,""en"",""fi"")"),"Koska se ei hauku, se on erittäin suosittu kerrostaloissa asuvien kouluttajien keskuudessa.")</f>
        <v>Koska se ei hauku, se on erittäin suosittu kerrostaloissa asuvien kouluttajien keskuudessa.</v>
      </c>
      <c r="C7144" s="9" t="s">
        <v>1344</v>
      </c>
    </row>
    <row r="7145" ht="33.75" customHeight="1">
      <c r="A7145" s="6" t="s">
        <v>10589</v>
      </c>
      <c r="B7145" s="6" t="str">
        <f>IFERROR(__xludf.DUMMYFUNCTION("GOOGLETRANSLATE(A7145,""en"",""fi"")"),"Sen kasvoja ympäröivä pitkä turkki toimii tutkana, jonka avulla se voi tutkia vastustajiensa kuntoa.")</f>
        <v>Sen kasvoja ympäröivä pitkä turkki toimii tutkana, jonka avulla se voi tutkia vastustajiensa kuntoa.</v>
      </c>
      <c r="C7145" s="9" t="s">
        <v>1344</v>
      </c>
    </row>
    <row r="7146" ht="33.75" customHeight="1">
      <c r="A7146" s="6" t="s">
        <v>10590</v>
      </c>
      <c r="B7146" s="6" t="str">
        <f>IFERROR(__xludf.DUMMYFUNCTION("GOOGLETRANSLATE(A7146,""en"",""fi"")"),"Tällä Pokémonilla on erinomainen harkintakyky. Jos se päättää, ettei pysty voittamaan vastustajaa, se kääntää välittömästi pyrstönsä ja lähtee hyökkäykseen.")</f>
        <v>Tällä Pokémonilla on erinomainen harkintakyky. Jos se päättää, ettei pysty voittamaan vastustajaa, se kääntää välittömästi pyrstönsä ja lähtee hyökkäykseen.</v>
      </c>
      <c r="C7146" s="9" t="s">
        <v>1344</v>
      </c>
    </row>
    <row r="7147" ht="33.75" customHeight="1">
      <c r="A7147" s="6" t="s">
        <v>10591</v>
      </c>
      <c r="B7147" s="6" t="str">
        <f>IFERROR(__xludf.DUMMYFUNCTION("GOOGLETRANSLATE(A7147,""en"",""fi"")"),"Tämä Pokémon on suosittu aloittelijoiden keskuudessa, koska se on älykäs, tottelee kouluttajansa käskyjä ja on helppo kasvattaa.")</f>
        <v>Tämä Pokémon on suosittu aloittelijoiden keskuudessa, koska se on älykäs, tottelee kouluttajansa käskyjä ja on helppo kasvattaa.</v>
      </c>
      <c r="C7147" s="9" t="s">
        <v>1344</v>
      </c>
    </row>
    <row r="7148" ht="33.75" customHeight="1">
      <c r="A7148" s="6" t="s">
        <v>10592</v>
      </c>
      <c r="B7148" s="6" t="str">
        <f>IFERROR(__xludf.DUMMYFUNCTION("GOOGLETRANSLATE(A7148,""en"",""fi"")"),"Tämä Pokémon on rohkea mutta myös varovainen. Se käyttää kasvojaan peittävää pehmeää turkkia kerätäkseen tietoa ympäristöstään.")</f>
        <v>Tämä Pokémon on rohkea mutta myös varovainen. Se käyttää kasvojaan peittävää pehmeää turkkia kerätäkseen tietoa ympäristöstään.</v>
      </c>
      <c r="C7148" s="9" t="s">
        <v>1344</v>
      </c>
    </row>
    <row r="7149" ht="33.75" customHeight="1">
      <c r="A7149" s="6" t="s">
        <v>10593</v>
      </c>
      <c r="B7149" s="6" t="str">
        <f>IFERROR(__xludf.DUMMYFUNCTION("GOOGLETRANSLATE(A7149,""en"",""fi"")"),"Tämä Pokémon on paljon kirkkaampi kuin keskivertolapsi, eikä Lillipup unohda saamaansa rakkautta tai kärsimäänsä kaltoinkohtelua.")</f>
        <v>Tämä Pokémon on paljon kirkkaampi kuin keskivertolapsi, eikä Lillipup unohda saamaansa rakkautta tai kärsimäänsä kaltoinkohtelua.</v>
      </c>
      <c r="C7149" s="9" t="s">
        <v>1344</v>
      </c>
    </row>
    <row r="7150" ht="33.75" customHeight="1">
      <c r="A7150" s="6" t="s">
        <v>10594</v>
      </c>
      <c r="B7150" s="6" t="str">
        <f>IFERROR(__xludf.DUMMYFUNCTION("GOOGLETRANSLATE(A7150,""en"",""fi"")"),"Sillä on musta, viittamainen turkki, joka on erittäin kova ja vähentää sen saamaa vahinkoa.")</f>
        <v>Sillä on musta, viittamainen turkki, joka on erittäin kova ja vähentää sen saamaa vahinkoa.</v>
      </c>
      <c r="C7150" s="9" t="s">
        <v>1344</v>
      </c>
    </row>
    <row r="7151" ht="33.75" customHeight="1">
      <c r="A7151" s="6" t="s">
        <v>10596</v>
      </c>
      <c r="B7151" s="6" t="str">
        <f>IFERROR(__xludf.DUMMYFUNCTION("GOOGLETRANSLATE(A7151,""en"",""fi"")"),"Se noudattaa uskollisesti kouluttajansa käskyjä. Se on auttanut kouluttajia kasvattamaan Pokémoneja jo iät ja ajat.")</f>
        <v>Se noudattaa uskollisesti kouluttajansa käskyjä. Se on auttanut kouluttajia kasvattamaan Pokémoneja jo iät ja ajat.</v>
      </c>
      <c r="C7151" s="9" t="s">
        <v>1344</v>
      </c>
    </row>
    <row r="7152" ht="33.75" customHeight="1">
      <c r="A7152" s="6" t="s">
        <v>10597</v>
      </c>
      <c r="B7152" s="6" t="str">
        <f>IFERROR(__xludf.DUMMYFUNCTION("GOOGLETRANSLATE(A7152,""en"",""fi"")"),"Tämä erittäin uskollinen Pokémon auttaa kouluttajia ja pitää huolta myös muista Pokémoneista.")</f>
        <v>Tämä erittäin uskollinen Pokémon auttaa kouluttajia ja pitää huolta myös muista Pokémoneista.</v>
      </c>
      <c r="C7152" s="9" t="s">
        <v>1344</v>
      </c>
    </row>
    <row r="7153" ht="33.75" customHeight="1">
      <c r="A7153" s="6" t="s">
        <v>10598</v>
      </c>
      <c r="B7153" s="6" t="str">
        <f>IFERROR(__xludf.DUMMYFUNCTION("GOOGLETRANSLATE(A7153,""en"",""fi"")"),"Sen tiheä musta turkki kasvaa jatkuvasti. Sen kovan turkin hoitaminen on kallista, joten tämän Pokémonin kouluttaminen on hankalaa.")</f>
        <v>Sen tiheä musta turkki kasvaa jatkuvasti. Sen kovan turkin hoitaminen on kallista, joten tämän Pokémonin kouluttaminen on hankalaa.</v>
      </c>
      <c r="C7153" s="9" t="s">
        <v>1344</v>
      </c>
    </row>
    <row r="7154" ht="33.75" customHeight="1">
      <c r="A7154" s="6" t="s">
        <v>10599</v>
      </c>
      <c r="B7154" s="6" t="str">
        <f>IFERROR(__xludf.DUMMYFUNCTION("GOOGLETRANSLATE(A7154,""en"",""fi"")"),"Tämä Pokémon tottelee isäntänsä käskyjä uskollisesti. Se kuitenkin kieltäytyy kuuntelemasta mitään, mitä sanoo henkilö, jota se ei kunnioita.")</f>
        <v>Tämä Pokémon tottelee isäntänsä käskyjä uskollisesti. Se kuitenkin kieltäytyy kuuntelemasta mitään, mitä sanoo henkilö, jota se ei kunnioita.</v>
      </c>
      <c r="C7154" s="9" t="s">
        <v>1344</v>
      </c>
    </row>
    <row r="7155" ht="33.75" customHeight="1">
      <c r="A7155" s="6" t="s">
        <v>10600</v>
      </c>
      <c r="B7155" s="6" t="str">
        <f>IFERROR(__xludf.DUMMYFUNCTION("GOOGLETRANSLATE(A7155,""en"",""fi"")"),"Mitä pidemmäksi sen musta turkki kasvaa, sitä kovempaa ja läpäisemättömämpää siitä tulee. Kynnet ja torahampaat eivät pääse helposti lävistämään sitä.")</f>
        <v>Mitä pidemmäksi sen musta turkki kasvaa, sitä kovempaa ja läpäisemättömämpää siitä tulee. Kynnet ja torahampaat eivät pääse helposti lävistämään sitä.</v>
      </c>
      <c r="C7155" s="9" t="s">
        <v>1344</v>
      </c>
    </row>
    <row r="7156" ht="33.75" customHeight="1">
      <c r="A7156" s="6" t="s">
        <v>10601</v>
      </c>
      <c r="B7156" s="6" t="str">
        <f>IFERROR(__xludf.DUMMYFUNCTION("GOOGLETRANSLATE(A7156,""en"",""fi"")"),"Se on elänyt ihmisten keskuudessa niin kauan, että sen kuvia voi löytää luolien seiniltä kauan, kauan sitten.")</f>
        <v>Se on elänyt ihmisten keskuudessa niin kauan, että sen kuvia voi löytää luolien seiniltä kauan, kauan sitten.</v>
      </c>
      <c r="C7156" s="9" t="s">
        <v>1344</v>
      </c>
    </row>
    <row r="7157" ht="33.75" customHeight="1">
      <c r="A7157" s="6" t="s">
        <v>10602</v>
      </c>
      <c r="B7157" s="6" t="str">
        <f>IFERROR(__xludf.DUMMYFUNCTION("GOOGLETRANSLATE(A7157,""en"",""fi"")"),"Herdier on erittäin älykäs ja ystävällinen Pokémon. Niin älykäs, että on olemassa teoria, jonka mukaan Herdier oli ensimmäinen Pokémon, joka teki parisuhteita ihmisten kanssa.")</f>
        <v>Herdier on erittäin älykäs ja ystävällinen Pokémon. Niin älykäs, että on olemassa teoria, jonka mukaan Herdier oli ensimmäinen Pokémon, joka teki parisuhteita ihmisten kanssa.</v>
      </c>
      <c r="C7157" s="9" t="s">
        <v>1344</v>
      </c>
    </row>
    <row r="7158" ht="33.75" customHeight="1">
      <c r="A7158" s="6" t="s">
        <v>10603</v>
      </c>
      <c r="B7158" s="6" t="str">
        <f>IFERROR(__xludf.DUMMYFUNCTION("GOOGLETRANSLATE(A7158,""en"",""fi"")"),"Tämän Pokémonin vartaloa peittävä musta turkki on tiheä ja joustava. Jopa terävät torahampaat kimpoavat siitä irti.")</f>
        <v>Tämän Pokémonin vartaloa peittävä musta turkki on tiheä ja joustava. Jopa terävät torahampaat kimpoavat siitä irti.</v>
      </c>
      <c r="C7158" s="9" t="s">
        <v>1344</v>
      </c>
    </row>
    <row r="7159" ht="33.75" customHeight="1">
      <c r="A7159" s="6" t="s">
        <v>10604</v>
      </c>
      <c r="B7159" s="6" t="str">
        <f>IFERROR(__xludf.DUMMYFUNCTION("GOOGLETRANSLATE(A7159,""en"",""fi"")"),"Se pelastaa vuorilla lumimyrskyjen vuoksi jumiin jääneitä ihmisiä. Sen pörröinen turkki suojaa sitä kylmältä.")</f>
        <v>Se pelastaa vuorilla lumimyrskyjen vuoksi jumiin jääneitä ihmisiä. Sen pörröinen turkki suojaa sitä kylmältä.</v>
      </c>
      <c r="C7159" s="9" t="s">
        <v>1344</v>
      </c>
    </row>
    <row r="7160" ht="33.75" customHeight="1">
      <c r="A7160" s="6" t="s">
        <v>10605</v>
      </c>
      <c r="B7160" s="6" t="str">
        <f>IFERROR(__xludf.DUMMYFUNCTION("GOOGLETRANSLATE(A7160,""en"",""fi"")"),"Tämä äärimmäisen viisas Pokémon on erinomaista merelle tai vuorille jääneiden ihmisten pelastamisessa.")</f>
        <v>Tämä äärimmäisen viisas Pokémon on erinomaista merelle tai vuorille jääneiden ihmisten pelastamisessa.</v>
      </c>
      <c r="C7160" s="9" t="s">
        <v>1344</v>
      </c>
    </row>
    <row r="7161" ht="33.75" customHeight="1">
      <c r="A7161" s="6" t="s">
        <v>10606</v>
      </c>
      <c r="B7161" s="6" t="str">
        <f>IFERROR(__xludf.DUMMYFUNCTION("GOOGLETRANSLATE(A7161,""en"",""fi"")"),"Sen pitkään turkkiin kääriytyminen on niin mukavaa, että ihminen pärjää hyvin jopa yön yli talvisella vuorella.")</f>
        <v>Sen pitkään turkkiin kääriytyminen on niin mukavaa, että ihminen pärjää hyvin jopa yön yli talvisella vuorella.</v>
      </c>
      <c r="C7161" s="9" t="s">
        <v>1344</v>
      </c>
    </row>
    <row r="7162" ht="33.75" customHeight="1">
      <c r="A7162" s="6" t="s">
        <v>10607</v>
      </c>
      <c r="B7162" s="6" t="str">
        <f>IFERROR(__xludf.DUMMYFUNCTION("GOOGLETRANSLATE(A7162,""en"",""fi"")"),"Älykäs, hyväluonteinen ja urhea, se on luotettava kumppani pelastusryhmissä.")</f>
        <v>Älykäs, hyväluonteinen ja urhea, se on luotettava kumppani pelastusryhmissä.</v>
      </c>
      <c r="C7162" s="9" t="s">
        <v>1344</v>
      </c>
    </row>
    <row r="7163" ht="33.75" customHeight="1">
      <c r="A7163" s="6" t="s">
        <v>10608</v>
      </c>
      <c r="B7163" s="6" t="str">
        <f>IFERROR(__xludf.DUMMYFUNCTION("GOOGLETRANSLATE(A7163,""en"",""fi"")"),"Tämän viisaan Pokémonin kanssa ei ole huolta siitä, että se hyökkäisi ihmisten kimppuun. Jotkut vanhemmat jopa uskovat sen lastenhoitajaksi.")</f>
        <v>Tämän viisaan Pokémonin kanssa ei ole huolta siitä, että se hyökkäisi ihmisten kimppuun. Jotkut vanhemmat jopa uskovat sen lastenhoitajaksi.</v>
      </c>
      <c r="C7163" s="9" t="s">
        <v>1344</v>
      </c>
    </row>
    <row r="7164" ht="33.75" customHeight="1">
      <c r="A7164" s="6" t="s">
        <v>10609</v>
      </c>
      <c r="B7164" s="6" t="str">
        <f>IFERROR(__xludf.DUMMYFUNCTION("GOOGLETRANSLATE(A7164,""en"",""fi"")"),"Se ei välitä kylmästä pitkän ja lämpimän turkkinsa ansiosta. Alolassa asuva Stoutland näyttää hieman epämukavalta.")</f>
        <v>Se ei välitä kylmästä pitkän ja lämpimän turkkinsa ansiosta. Alolassa asuva Stoutland näyttää hieman epämukavalta.</v>
      </c>
      <c r="C7164" s="9" t="s">
        <v>1344</v>
      </c>
    </row>
    <row r="7165" ht="33.75" customHeight="1">
      <c r="A7165" s="6" t="s">
        <v>10610</v>
      </c>
      <c r="B7165" s="6" t="str">
        <f>IFERROR(__xludf.DUMMYFUNCTION("GOOGLETRANSLATE(A7165,""en"",""fi"")"),"Sen turkki on pitkä ja paksu. Kauan sitten kylmillä alueilla jokaisessa taloudessa pidettiin stoutlandinkoiraa.")</f>
        <v>Sen turkki on pitkä ja paksu. Kauan sitten kylmillä alueilla jokaisessa taloudessa pidettiin stoutlandinkoiraa.</v>
      </c>
      <c r="C7165" s="9" t="s">
        <v>1344</v>
      </c>
    </row>
    <row r="7166" ht="33.75" customHeight="1">
      <c r="A7166" s="6" t="s">
        <v>10611</v>
      </c>
      <c r="B7166" s="6" t="str">
        <f>IFERROR(__xludf.DUMMYFUNCTION("GOOGLETRANSLATE(A7166,""en"",""fi"")"),"Nämä Pokémonit tuntuvat nauttivan ihmisten kanssa elämisestä. Jopa luonnossa pyydystetty Stoutland lämpenee ihmisille noin kolmessa päivässä.")</f>
        <v>Nämä Pokémonit tuntuvat nauttivan ihmisten kanssa elämisestä. Jopa luonnossa pyydystetty Stoutland lämpenee ihmisille noin kolmessa päivässä.</v>
      </c>
      <c r="C7166" s="9" t="s">
        <v>1344</v>
      </c>
    </row>
    <row r="7167" ht="33.75" customHeight="1">
      <c r="A7167" s="6" t="s">
        <v>10612</v>
      </c>
      <c r="B7167" s="6" t="str">
        <f>IFERROR(__xludf.DUMMYFUNCTION("GOOGLETRANSLATE(A7167,""en"",""fi"")"),"Stoutland on valtavan ylpeä vaikuttavista viiksistään. Sanotaan, että viiksien pituus määrää lajin sosiaalisen aseman.")</f>
        <v>Stoutland on valtavan ylpeä vaikuttavista viiksistään. Sanotaan, että viiksien pituus määrää lajin sosiaalisen aseman.</v>
      </c>
      <c r="C7167" s="9" t="s">
        <v>1344</v>
      </c>
    </row>
    <row r="7168" ht="33.75" customHeight="1">
      <c r="A7168" s="6" t="s">
        <v>10613</v>
      </c>
      <c r="B7168" s="6" t="str">
        <f>IFERROR(__xludf.DUMMYFUNCTION("GOOGLETRANSLATE(A7168,""en"",""fi"")"),"He varastavat ihmisiltä huvikseen, mutta uhrit antavat heille anteeksi. Heidän petollisen söpö temppunsa on täydellinen.")</f>
        <v>He varastavat ihmisiltä huvikseen, mutta uhrit antavat heille anteeksi. Heidän petollisen söpö temppunsa on täydellinen.</v>
      </c>
      <c r="C7168" s="9" t="s">
        <v>1344</v>
      </c>
    </row>
    <row r="7169" ht="33.75" customHeight="1">
      <c r="A7169" s="6" t="s">
        <v>10614</v>
      </c>
      <c r="B7169" s="6" t="str">
        <f>IFERROR(__xludf.DUMMYFUNCTION("GOOGLETRANSLATE(A7169,""en"",""fi"")"),"Sen suloinen ele on juoni. Kun uhrit menettävät vartijansa, he huomaavat tavaroidensa varastettuina. Se hyökkää terävillä kynsillä.")</f>
        <v>Sen suloinen ele on juoni. Kun uhrit menettävät vartijansa, he huomaavat tavaroidensa varastettuina. Se hyökkää terävillä kynsillä.</v>
      </c>
      <c r="C7169" s="9" t="s">
        <v>1344</v>
      </c>
    </row>
    <row r="7170" ht="33.75" customHeight="1">
      <c r="A7170" s="6" t="s">
        <v>10615</v>
      </c>
      <c r="B7170" s="6" t="str">
        <f>IFERROR(__xludf.DUMMYFUNCTION("GOOGLETRANSLATE(A7170,""en"",""fi"")"),"Heidän söpö eleensä on juoni. He huijaavat ihmisiä ja varastavat heidän arvoesineitään vain nähdäkseen heidän ilmeensä.")</f>
        <v>Heidän söpö eleensä on juoni. He huijaavat ihmisiä ja varastavat heidän arvoesineitään vain nähdäkseen heidän ilmeensä.</v>
      </c>
      <c r="C7170" s="9" t="s">
        <v>1344</v>
      </c>
    </row>
    <row r="7171" ht="33.75" customHeight="1">
      <c r="A7171" s="6" t="s">
        <v>10616</v>
      </c>
      <c r="B7171" s="6" t="str">
        <f>IFERROR(__xludf.DUMMYFUNCTION("GOOGLETRANSLATE(A7171,""en"",""fi"")"),"Se varastaa tavaroita ihmisiltä vain huvittaakseen itseään heidän turhautumisellaan. Tämän Pokémonin ja Nickitin välillä on kilpailuhenki.")</f>
        <v>Se varastaa tavaroita ihmisiltä vain huvittaakseen itseään heidän turhautumisellaan. Tämän Pokémonin ja Nickitin välillä on kilpailuhenki.</v>
      </c>
      <c r="C7171" s="9" t="s">
        <v>1344</v>
      </c>
    </row>
    <row r="7172" ht="33.75" customHeight="1">
      <c r="A7172" s="6" t="s">
        <v>10618</v>
      </c>
      <c r="B7172" s="6" t="str">
        <f>IFERROR(__xludf.DUMMYFUNCTION("GOOGLETRANSLATE(A7172,""en"",""fi"")"),"Vastustajat, jotka innostuvat sen suloisesta käytöksestä, saavat osakseen pistäviä raapaisuja sen kynsistä ja pistävää ylpeyttä sen naurusta.")</f>
        <v>Vastustajat, jotka innostuvat sen suloisesta käytöksestä, saavat osakseen pistäviä raapaisuja sen kynsistä ja pistävää ylpeyttä sen naurusta.</v>
      </c>
      <c r="C7172" s="9" t="s">
        <v>1344</v>
      </c>
    </row>
    <row r="7173" ht="33.75" customHeight="1">
      <c r="A7173" s="6" t="s">
        <v>10619</v>
      </c>
      <c r="B7173" s="6" t="str">
        <f>IFERROR(__xludf.DUMMYFUNCTION("GOOGLETRANSLATE(A7173,""en"",""fi"")"),"Nämä Pokémonit katoavat ja ilmestyvät yllättäen. Monet kouluttajat ihastuvat niiden kauniiseen muotoon ja turkkiin.")</f>
        <v>Nämä Pokémonit katoavat ja ilmestyvät yllättäen. Monet kouluttajat ihastuvat niiden kauniiseen muotoon ja turkkiin.</v>
      </c>
      <c r="C7173" s="9" t="s">
        <v>1344</v>
      </c>
    </row>
    <row r="7174" ht="33.75" customHeight="1">
      <c r="A7174" s="6" t="s">
        <v>10620</v>
      </c>
      <c r="B7174" s="6" t="str">
        <f>IFERROR(__xludf.DUMMYFUNCTION("GOOGLETRANSLATE(A7174,""en"",""fi"")"),"Se hiipii salaa kohteensa luo ja iskee takaapäin ennen kuin uhrilla on aikaa reagoida.")</f>
        <v>Se hiipii salaa kohteensa luo ja iskee takaapäin ennen kuin uhrilla on aikaa reagoida.</v>
      </c>
      <c r="C7174" s="9" t="s">
        <v>1344</v>
      </c>
    </row>
    <row r="7175" ht="33.75" customHeight="1">
      <c r="A7175" s="6" t="s">
        <v>10622</v>
      </c>
      <c r="B7175" s="6" t="str">
        <f>IFERROR(__xludf.DUMMYFUNCTION("GOOGLETRANSLATE(A7175,""en"",""fi"")"),"Niiden kaunis muoto johtuu niiden kehittämistä lihaksista. Ne juoksevat äänettömästi yössä.")</f>
        <v>Niiden kaunis muoto johtuu niiden kehittämistä lihaksista. Ne juoksevat äänettömästi yössä.</v>
      </c>
      <c r="C7175" s="9" t="s">
        <v>1344</v>
      </c>
    </row>
    <row r="7176" ht="33.75" customHeight="1">
      <c r="A7176" s="6" t="s">
        <v>10623</v>
      </c>
      <c r="B7176" s="6" t="str">
        <f>IFERROR(__xludf.DUMMYFUNCTION("GOOGLETRANSLATE(A7176,""en"",""fi"")"),"Älä anna sen upean turkin ja elegantin hahmon hämätä. Tämä on oikukas ja ilkeä Pokémon.")</f>
        <v>Älä anna sen upean turkin ja elegantin hahmon hämätä. Tämä on oikukas ja ilkeä Pokémon.</v>
      </c>
      <c r="C7176" s="9" t="s">
        <v>1344</v>
      </c>
    </row>
    <row r="7177" ht="33.75" customHeight="1">
      <c r="A7177" s="6" t="s">
        <v>10625</v>
      </c>
      <c r="B7177" s="6" t="str">
        <f>IFERROR(__xludf.DUMMYFUNCTION("GOOGLETRANSLATE(A7177,""en"",""fi"")"),"Tämä viekas Pokémon hiipii saaliinsa taakse päästämättä yhtään ääntä. Se kilpailee Thievulin kanssa reviiristä.")</f>
        <v>Tämä viekas Pokémon hiipii saaliinsa taakse päästämättä yhtään ääntä. Se kilpailee Thievulin kanssa reviiristä.</v>
      </c>
      <c r="C7177" s="9" t="s">
        <v>1344</v>
      </c>
    </row>
    <row r="7178" ht="33.75" customHeight="1">
      <c r="A7178" s="6" t="s">
        <v>10626</v>
      </c>
      <c r="B7178" s="6" t="str">
        <f>IFERROR(__xludf.DUMMYFUNCTION("GOOGLETRANSLATE(A7178,""en"",""fi"")"),"Tämä Pokémon asuu syvällä metsässä. Lehden syöminen sen päästä pyyhkäisee väsymyksen pois kuin taikaiskusta.")</f>
        <v>Tämä Pokémon asuu syvällä metsässä. Lehden syöminen sen päästä pyyhkäisee väsymyksen pois kuin taikaiskusta.</v>
      </c>
      <c r="C7178" s="9" t="s">
        <v>1344</v>
      </c>
    </row>
    <row r="7179" ht="33.75" customHeight="1">
      <c r="A7179" s="6" t="s">
        <v>10627</v>
      </c>
      <c r="B7179" s="6" t="str">
        <f>IFERROR(__xludf.DUMMYFUNCTION("GOOGLETRANSLATE(A7179,""en"",""fi"")"),"Se jakaa päänsä päällä olevan lehden väsyneen näköisten Pokémonien kanssa. Näiden lehtien tiedetään lievittävän stressiä.")</f>
        <v>Se jakaa päänsä päällä olevan lehden väsyneen näköisten Pokémonien kanssa. Näiden lehtien tiedetään lievittävän stressiä.</v>
      </c>
      <c r="C7179" s="9" t="s">
        <v>1344</v>
      </c>
    </row>
    <row r="7180" ht="33.75" customHeight="1">
      <c r="A7180" s="6" t="s">
        <v>10629</v>
      </c>
      <c r="B7180" s="6" t="str">
        <f>IFERROR(__xludf.DUMMYFUNCTION("GOOGLETRANSLATE(A7180,""en"",""fi"")"),"Se on hyvä löytämään marjoja ja kerää niitä kaikkialta. Se on niin ystävällinen, että jakaa niitä ystävien kanssa.")</f>
        <v>Se on hyvä löytämään marjoja ja kerää niitä kaikkialta. Se on niin ystävällinen, että jakaa niitä ystävien kanssa.</v>
      </c>
      <c r="C7180" s="9" t="s">
        <v>1344</v>
      </c>
    </row>
    <row r="7181" ht="33.75" customHeight="1">
      <c r="A7181" s="6" t="s">
        <v>10630</v>
      </c>
      <c r="B7181" s="6" t="str">
        <f>IFERROR(__xludf.DUMMYFUNCTION("GOOGLETRANSLATE(A7181,""en"",""fi"")"),"Se on luonteeltaan ärhäkkä ja taistelee heiluttamalla piikkistä häntäänsä villisti ympäriinsä. Sen päässä kasvava lehti on hyvin karvas.")</f>
        <v>Se on luonteeltaan ärhäkkä ja taistelee heiluttamalla piikkistä häntäänsä villisti ympäriinsä. Sen päässä kasvava lehti on hyvin karvas.</v>
      </c>
      <c r="C7181" s="9" t="s">
        <v>1344</v>
      </c>
    </row>
    <row r="7182" ht="33.75" customHeight="1">
      <c r="A7182" s="6" t="s">
        <v>10631</v>
      </c>
      <c r="B7182" s="6" t="str">
        <f>IFERROR(__xludf.DUMMYFUNCTION("GOOGLETRANSLATE(A7182,""en"",""fi"")"),"Se hyökkää vihollisten kimppuun piikkien peittämän häntänsä iskuilla. Tämä Pokémon on luonteeltaan villi.")</f>
        <v>Se hyökkää vihollisten kimppuun piikkien peittämän häntänsä iskuilla. Tämä Pokémon on luonteeltaan villi.</v>
      </c>
      <c r="C7182" s="9" t="s">
        <v>1344</v>
      </c>
    </row>
    <row r="7183" ht="33.75" customHeight="1">
      <c r="A7183" s="6" t="s">
        <v>10632</v>
      </c>
      <c r="B7183" s="6" t="str">
        <f>IFERROR(__xludf.DUMMYFUNCTION("GOOGLETRANSLATE(A7183,""en"",""fi"")"),"Se iskee vihollisiaan piikkien peittämällä pyrstöllä. Sen päässä oleva lehti on karvas.")</f>
        <v>Se iskee vihollisiaan piikkien peittämällä pyrstöllä. Sen päässä oleva lehti on karvas.</v>
      </c>
      <c r="C7183" s="9" t="s">
        <v>1344</v>
      </c>
    </row>
    <row r="7184" ht="33.75" customHeight="1">
      <c r="A7184" s="6" t="s">
        <v>10635</v>
      </c>
      <c r="B7184" s="6" t="str">
        <f>IFERROR(__xludf.DUMMYFUNCTION("GOOGLETRANSLATE(A7184,""en"",""fi"")"),"Kun se on suuttunut, sen pään tupsun lämpötila nousee 600° F:een. Se käyttää tupsuaan marjojen paahtamiseen.")</f>
        <v>Kun se on suuttunut, sen pään tupsun lämpötila nousee 600° F:een. Se käyttää tupsuaan marjojen paahtamiseen.</v>
      </c>
      <c r="C7184" s="9" t="s">
        <v>1344</v>
      </c>
    </row>
    <row r="7185" ht="33.75" customHeight="1">
      <c r="A7185" s="6" t="s">
        <v>10637</v>
      </c>
      <c r="B7185" s="6" t="str">
        <f>IFERROR(__xludf.DUMMYFUNCTION("GOOGLETRANSLATE(A7185,""en"",""fi"")"),"Tämä Pokémon elää tulivuorten luolissa. Sen päässä olevan tupsun tuli voi lämpötilan nousta 184°C:een.")</f>
        <v>Tämä Pokémon elää tulivuorten luolissa. Sen päässä olevan tupsun tuli voi lämpötilan nousta 184°C:een.</v>
      </c>
      <c r="C7185" s="9" t="s">
        <v>1344</v>
      </c>
    </row>
    <row r="7186" ht="33.75" customHeight="1">
      <c r="A7186" s="6" t="s">
        <v>10638</v>
      </c>
      <c r="B7186" s="6" t="str">
        <f>IFERROR(__xludf.DUMMYFUNCTION("GOOGLETRANSLATE(A7186,""en"",""fi"")"),"Se on hyvin älykäs ja paahtaa marjat ennen syömistä. Se auttaa mielellään ihmisiä.")</f>
        <v>Se on hyvin älykäs ja paahtaa marjat ennen syömistä. Se auttaa mielellään ihmisiä.</v>
      </c>
      <c r="C7186" s="9" t="s">
        <v>1344</v>
      </c>
    </row>
    <row r="7187" ht="33.75" customHeight="1">
      <c r="A7187" s="6" t="s">
        <v>10640</v>
      </c>
      <c r="B7187" s="6" t="str">
        <f>IFERROR(__xludf.DUMMYFUNCTION("GOOGLETRANSLATE(A7187,""en"",""fi"")"),"Tämä Pokémon elää tulivuorten luolissa. Sen päässä olevan tupsun tuli voi saavuttaa 600 celsiusasteen lämpötilan.")</f>
        <v>Tämä Pokémon elää tulivuorten luolissa. Sen päässä olevan tupsun tuli voi saavuttaa 600 celsiusasteen lämpötilan.</v>
      </c>
      <c r="C7187" s="9" t="s">
        <v>1344</v>
      </c>
    </row>
    <row r="7188" ht="33.75" customHeight="1">
      <c r="A7188" s="6" t="s">
        <v>10642</v>
      </c>
      <c r="B7188" s="6" t="str">
        <f>IFERROR(__xludf.DUMMYFUNCTION("GOOGLETRANSLATE(A7188,""en"",""fi"")"),"Se rakastaa makeisia, koska niistä tulee energiaa sen kehossa palavalle tulelle.")</f>
        <v>Se rakastaa makeisia, koska niistä tulee energiaa sen kehossa palavalle tulelle.</v>
      </c>
      <c r="C7188" s="9" t="s">
        <v>1344</v>
      </c>
    </row>
    <row r="7189" ht="33.75" customHeight="1">
      <c r="A7189" s="6" t="s">
        <v>10643</v>
      </c>
      <c r="B7189" s="6" t="str">
        <f>IFERROR(__xludf.DUMMYFUNCTION("GOOGLETRANSLATE(A7189,""en"",""fi"")"),"Sen ruumiissa palaa liekki. Se sirottelee päästään ja hännästään hiiliä polttaakseen vastustajiaan.")</f>
        <v>Sen ruumiissa palaa liekki. Se sirottelee päästään ja hännästään hiiliä polttaakseen vastustajiaan.</v>
      </c>
      <c r="C7189" s="9" t="s">
        <v>1344</v>
      </c>
    </row>
    <row r="7190" ht="33.75" customHeight="1">
      <c r="A7190" s="6" t="s">
        <v>10645</v>
      </c>
      <c r="B7190" s="6" t="str">
        <f>IFERROR(__xludf.DUMMYFUNCTION("GOOGLETRANSLATE(A7190,""en"",""fi"")"),"Kun se innostuu, sen päästä ja hännästä nousee hiillosta ja se kuumenee. Jostain syystä se rakastaa makeisia.")</f>
        <v>Kun se innostuu, sen päästä ja hännästä nousee hiillosta ja se kuumenee. Jostain syystä se rakastaa makeisia.</v>
      </c>
      <c r="C7190" s="9" t="s">
        <v>1344</v>
      </c>
    </row>
    <row r="7191" ht="33.75" customHeight="1">
      <c r="A7191" s="6" t="s">
        <v>10648</v>
      </c>
      <c r="B7191" s="6" t="str">
        <f>IFERROR(__xludf.DUMMYFUNCTION("GOOGLETRANSLATE(A7191,""en"",""fi"")"),"Sen pään päällä olevan tupsun sisällä oleva vesi on täynnä ravinteita. Kasvit, jotka saavat sen vettä, kasvavat suuriksi.")</f>
        <v>Sen pään päällä olevan tupsun sisällä oleva vesi on täynnä ravinteita. Kasvit, jotka saavat sen vettä, kasvavat suuriksi.</v>
      </c>
      <c r="C7191" s="9" t="s">
        <v>1344</v>
      </c>
    </row>
    <row r="7192" ht="33.75" customHeight="1">
      <c r="A7192" s="6" t="s">
        <v>10649</v>
      </c>
      <c r="B7192" s="6" t="str">
        <f>IFERROR(__xludf.DUMMYFUNCTION("GOOGLETRANSLATE(A7192,""en"",""fi"")"),"Se ei viihdy kuivissa ympäristöissä. Se pitää itsensä kosteana ampumalla pään tupsussa varastoitunutta vettä pyrstöstään.")</f>
        <v>Se ei viihdy kuivissa ympäristöissä. Se pitää itsensä kosteana ampumalla pään tupsussa varastoitunutta vettä pyrstöstään.</v>
      </c>
      <c r="C7192" s="9" t="s">
        <v>1344</v>
      </c>
    </row>
    <row r="7193" ht="33.75" customHeight="1">
      <c r="A7193" s="6" t="s">
        <v>10651</v>
      </c>
      <c r="B7193" s="6" t="str">
        <f>IFERROR(__xludf.DUMMYFUNCTION("GOOGLETRANSLATE(A7193,""en"",""fi"")"),"Sen pään tupsun sisällä oleva vesi on täynnä ravinteita. Se kastelee kasveja sillä häntäänsä käyttäen.")</f>
        <v>Sen pään tupsun sisällä oleva vesi on täynnä ravinteita. Se kastelee kasveja sillä häntäänsä käyttäen.</v>
      </c>
      <c r="C7193" s="9" t="s">
        <v>1344</v>
      </c>
    </row>
    <row r="7194" ht="33.75" customHeight="1">
      <c r="A7194" s="6" t="s">
        <v>10652</v>
      </c>
      <c r="B7194" s="6" t="str">
        <f>IFERROR(__xludf.DUMMYFUNCTION("GOOGLETRANSLATE(A7194,""en"",""fi"")"),"Sen päässä oleva tupsu pitää vettä. Kun pinta on vähissä, se täydentää tupsua imemällä vettä pyrstöllään.")</f>
        <v>Sen päässä oleva tupsu pitää vettä. Kun pinta on vähissä, se täydentää tupsua imemällä vettä pyrstöllään.</v>
      </c>
      <c r="C7194" s="9" t="s">
        <v>1344</v>
      </c>
    </row>
    <row r="7195" ht="33.75" customHeight="1">
      <c r="A7195" s="6" t="s">
        <v>10653</v>
      </c>
      <c r="B7195" s="6" t="str">
        <f>IFERROR(__xludf.DUMMYFUNCTION("GOOGLETRANSLATE(A7195,""en"",""fi"")"),"Sen pyrstöstä purkautuva korkeapaineinen vesi on niin voimakasta, että se voi tuhota betoniseinän.")</f>
        <v>Sen pyrstöstä purkautuva korkeapaineinen vesi on niin voimakasta, että se voi tuhota betoniseinän.</v>
      </c>
      <c r="C7195" s="9" t="s">
        <v>1344</v>
      </c>
    </row>
    <row r="7196" ht="33.75" customHeight="1">
      <c r="A7196" s="6" t="s">
        <v>10654</v>
      </c>
      <c r="B7196" s="6" t="str">
        <f>IFERROR(__xludf.DUMMYFUNCTION("GOOGLETRANSLATE(A7196,""en"",""fi"")"),"Se viihtyy paikoissa, joissa on puhdasta vettä. Kun sen tupsu on vähissä, se täydentää sitä imemällä vettä pyrstöllään.")</f>
        <v>Se viihtyy paikoissa, joissa on puhdasta vettä. Kun sen tupsu on vähissä, se täydentää sitä imemällä vettä pyrstöllään.</v>
      </c>
      <c r="C7196" s="9" t="s">
        <v>1344</v>
      </c>
    </row>
    <row r="7197" ht="33.75" customHeight="1">
      <c r="A7197" s="6" t="s">
        <v>10656</v>
      </c>
      <c r="B7197" s="6" t="str">
        <f>IFERROR(__xludf.DUMMYFUNCTION("GOOGLETRANSLATE(A7197,""en"",""fi"")"),"Munnat leijuvat aina ilmassa. Ihmiset, joiden unet ne syövät, unohtavat, mistä unissa oli kyse.")</f>
        <v>Munnat leijuvat aina ilmassa. Ihmiset, joiden unet ne syövät, unohtavat, mistä unissa oli kyse.</v>
      </c>
      <c r="C7197" s="9" t="s">
        <v>1344</v>
      </c>
    </row>
    <row r="7198" ht="33.75" customHeight="1">
      <c r="A7198" s="6" t="s">
        <v>10657</v>
      </c>
      <c r="B7198" s="6" t="str">
        <f>IFERROR(__xludf.DUMMYFUNCTION("GOOGLETRANSLATE(A7198,""en"",""fi"")"),"Se syö ihmisten ja Pokémonien unia. Kun se syö miellyttävän unen, se työntää ulos vaaleanpunaista usvaa.")</f>
        <v>Se syö ihmisten ja Pokémonien unia. Kun se syö miellyttävän unen, se työntää ulos vaaleanpunaista usvaa.</v>
      </c>
      <c r="C7198" s="9" t="s">
        <v>1344</v>
      </c>
    </row>
    <row r="7199" ht="33.75" customHeight="1">
      <c r="A7199" s="6" t="s">
        <v>10658</v>
      </c>
      <c r="B7199" s="6" t="str">
        <f>IFERROR(__xludf.DUMMYFUNCTION("GOOGLETRANSLATE(A7199,""en"",""fi"")"),"Tämä Pokémon ilmestyy painajaisia ​​näkevien ihmisten ja Pokémonien eteen ja syö nuo unet.")</f>
        <v>Tämä Pokémon ilmestyy painajaisia ​​näkevien ihmisten ja Pokémonien eteen ja syö nuo unet.</v>
      </c>
      <c r="C7199" s="9" t="s">
        <v>1344</v>
      </c>
    </row>
    <row r="7200" ht="33.75" customHeight="1">
      <c r="A7200" s="6" t="s">
        <v>10659</v>
      </c>
      <c r="B7200" s="6" t="str">
        <f>IFERROR(__xludf.DUMMYFUNCTION("GOOGLETRANSLATE(A7200,""en"",""fi"")"),"Myöhään yöllä se ilmestyy ihmisten tyynyjen viereen. Unien syödessään sen kehon kuviot hehkuvat himmeästi.")</f>
        <v>Myöhään yöllä se ilmestyy ihmisten tyynyjen viereen. Unien syödessään sen kehon kuviot hehkuvat himmeästi.</v>
      </c>
      <c r="C7200" s="9" t="s">
        <v>1344</v>
      </c>
    </row>
    <row r="7201" ht="33.75" customHeight="1">
      <c r="A7201" s="6" t="s">
        <v>10660</v>
      </c>
      <c r="B7201" s="6" t="str">
        <f>IFERROR(__xludf.DUMMYFUNCTION("GOOGLETRANSLATE(A7201,""en"",""fi"")"),"Se syö unia ja vapauttaa usvaa. Sumu on vaaleanpunaista, kun se syö hyvää unta, ja mustaa, kun se syö painajaista.")</f>
        <v>Se syö unia ja vapauttaa usvaa. Sumu on vaaleanpunaista, kun se syö hyvää unta, ja mustaa, kun se syö painajaista.</v>
      </c>
      <c r="C7201" s="9" t="s">
        <v>1344</v>
      </c>
    </row>
    <row r="7202" ht="33.75" customHeight="1">
      <c r="A7202" s="6" t="s">
        <v>10661</v>
      </c>
      <c r="B7202" s="6" t="str">
        <f>IFERROR(__xludf.DUMMYFUNCTION("GOOGLETRANSLATE(A7202,""en"",""fi"")"),"Heidän otsastaan ​​purkautuva usva on täynnä ihmisten ja Pokémonien unia.")</f>
        <v>Heidän otsastaan ​​purkautuva usva on täynnä ihmisten ja Pokémonien unia.</v>
      </c>
      <c r="C7202" s="9" t="s">
        <v>1344</v>
      </c>
    </row>
    <row r="7203" ht="33.75" customHeight="1">
      <c r="A7203" s="6" t="s">
        <v>10662</v>
      </c>
      <c r="B7203" s="6" t="str">
        <f>IFERROR(__xludf.DUMMYFUNCTION("GOOGLETRANSLATE(A7203,""en"",""fi"")"),"Otsastaan ​​tulevalla sumulla se voi luoda muotoja syömistään unista.")</f>
        <v>Otsastaan ​​tulevalla sumulla se voi luoda muotoja syömistään unista.</v>
      </c>
      <c r="C7203" s="9" t="s">
        <v>1344</v>
      </c>
    </row>
    <row r="7204" ht="33.75" customHeight="1">
      <c r="A7204" s="6" t="s">
        <v>10663</v>
      </c>
      <c r="B7204" s="6" t="str">
        <f>IFERROR(__xludf.DUMMYFUNCTION("GOOGLETRANSLATE(A7204,""en"",""fi"")"),"Sen otsasta tuleva unisumu muuttuu moniin eri väreihin syödyn unen mukaan.")</f>
        <v>Sen otsasta tuleva unisumu muuttuu moniin eri väreihin syödyn unen mukaan.</v>
      </c>
      <c r="C7204" s="9" t="s">
        <v>1344</v>
      </c>
    </row>
    <row r="7205" ht="33.75" customHeight="1">
      <c r="A7205" s="6" t="s">
        <v>10664</v>
      </c>
      <c r="B7205" s="6" t="str">
        <f>IFERROR(__xludf.DUMMYFUNCTION("GOOGLETRANSLATE(A7205,""en"",""fi"")"),"Kun sen ruumiista lähtee synkkiä usvia, älä mene liian lähelle. Jos teet niin, painajaisistasi tulee totta.")</f>
        <v>Kun sen ruumiista lähtee synkkiä usvia, älä mene liian lähelle. Jos teet niin, painajaisistasi tulee totta.</v>
      </c>
      <c r="C7205" s="9" t="s">
        <v>1344</v>
      </c>
    </row>
    <row r="7206" ht="33.75" customHeight="1">
      <c r="A7206" s="6" t="s">
        <v>10665</v>
      </c>
      <c r="B7206" s="6" t="str">
        <f>IFERROR(__xludf.DUMMYFUNCTION("GOOGLETRANSLATE(A7206,""en"",""fi"")"),"Se torkkuu ja näkee unia koko ajan. On parasta antaa sen olla rauhassa, jos se on juuri herännyt, sillä se on kauhea ärtyisä, kun se herätetään juuri unesta.")</f>
        <v>Se torkkuu ja näkee unia koko ajan. On parasta antaa sen olla rauhassa, jos se on juuri herännyt, sillä se on kauhea ärtyisä, kun se herätetään juuri unesta.</v>
      </c>
      <c r="C7206" s="9" t="s">
        <v>1344</v>
      </c>
    </row>
    <row r="7207" ht="33.75" customHeight="1">
      <c r="A7207" s="6" t="s">
        <v>10666</v>
      </c>
      <c r="B7207" s="6" t="str">
        <f>IFERROR(__xludf.DUMMYFUNCTION("GOOGLETRANSLATE(A7207,""en"",""fi"")"),"Jokainen noudattaa kouluttajansa käskyjä parhaansa mukaan, mutta joskus ne eivät ymmärrä monimutkaisia ​​komentoja.")</f>
        <v>Jokainen noudattaa kouluttajansa käskyjä parhaansa mukaan, mutta joskus ne eivät ymmärrä monimutkaisia ​​komentoja.</v>
      </c>
      <c r="C7207" s="9" t="s">
        <v>1344</v>
      </c>
    </row>
    <row r="7208" ht="33.75" customHeight="1">
      <c r="A7208" s="6" t="s">
        <v>10667</v>
      </c>
      <c r="B7208" s="6" t="str">
        <f>IFERROR(__xludf.DUMMYFUNCTION("GOOGLETRANSLATE(A7208,""en"",""fi"")"),"Nämä Pokémonit asuvat kaupungeissa. Ne ovat tottuneet ihmisiin. Parvet kokoontuvat usein puistoihin ja aukioille.")</f>
        <v>Nämä Pokémonit asuvat kaupungeissa. Ne ovat tottuneet ihmisiin. Parvet kokoontuvat usein puistoihin ja aukioille.</v>
      </c>
      <c r="C7208" s="9" t="s">
        <v>1344</v>
      </c>
    </row>
    <row r="7209" ht="33.75" customHeight="1">
      <c r="A7209" s="6" t="s">
        <v>10668</v>
      </c>
      <c r="B7209" s="6" t="str">
        <f>IFERROR(__xludf.DUMMYFUNCTION("GOOGLETRANSLATE(A7209,""en"",""fi"")"),"Tämä hyvin hajamielinen Pokémon odottaa uutta käskyä kouluttajaltaan, vaikka sillä jo on sellainen.")</f>
        <v>Tämä hyvin hajamielinen Pokémon odottaa uutta käskyä kouluttajaltaan, vaikka sillä jo on sellainen.</v>
      </c>
      <c r="C7209" s="9" t="s">
        <v>1344</v>
      </c>
    </row>
    <row r="7210" ht="33.75" customHeight="1">
      <c r="A7210" s="6" t="s">
        <v>10669</v>
      </c>
      <c r="B7210" s="6" t="str">
        <f>IFERROR(__xludf.DUMMYFUNCTION("GOOGLETRANSLATE(A7210,""en"",""fi"")"),"Minne ihmiset menevät, nämä Pokémonit seuraavat. Jos levität niille ruokaa, ole varovainen – niitä voi kerääntyä useita satoja kerralla.")</f>
        <v>Minne ihmiset menevät, nämä Pokémonit seuraavat. Jos levität niille ruokaa, ole varovainen – niitä voi kerääntyä useita satoja kerralla.</v>
      </c>
      <c r="C7210" s="9" t="s">
        <v>1344</v>
      </c>
    </row>
    <row r="7211" ht="33.75" customHeight="1">
      <c r="A7211" s="6" t="s">
        <v>10670</v>
      </c>
      <c r="B7211" s="6" t="str">
        <f>IFERROR(__xludf.DUMMYFUNCTION("GOOGLETRANSLATE(A7211,""en"",""fi"")"),"Se on hajamielinen eikä kovin älykäs, mutta monet kouluttajat rakastavat sitä joka tapauksessa sen ystävällisyyden ja vilpittömyyden vuoksi.")</f>
        <v>Se on hajamielinen eikä kovin älykäs, mutta monet kouluttajat rakastavat sitä joka tapauksessa sen ystävällisyyden ja vilpittömyyden vuoksi.</v>
      </c>
      <c r="C7211" s="9" t="s">
        <v>1344</v>
      </c>
    </row>
    <row r="7212" ht="33.75" customHeight="1">
      <c r="A7212" s="6" t="s">
        <v>10671</v>
      </c>
      <c r="B7212" s="6" t="str">
        <f>IFERROR(__xludf.DUMMYFUNCTION("GOOGLETRANSLATE(A7212,""en"",""fi"")"),"Se voi palata kouluttajansa sijaintiin riippumatta niiden välisestä etäisyydestä.")</f>
        <v>Se voi palata kouluttajansa sijaintiin riippumatta niiden välisestä etäisyydestä.</v>
      </c>
      <c r="C7212" s="9" t="s">
        <v>1344</v>
      </c>
    </row>
    <row r="7213" ht="33.75" customHeight="1">
      <c r="A7213" s="6" t="s">
        <v>10672</v>
      </c>
      <c r="B7213" s="6" t="str">
        <f>IFERROR(__xludf.DUMMYFUNCTION("GOOGLETRANSLATE(A7213,""en"",""fi"")"),"Monet ihmiset uskovat, että syvällä metsässä, jossa Tranquillit asuvat, on rauhallinen paikka, jossa ei ole sotaa.")</f>
        <v>Monet ihmiset uskovat, että syvällä metsässä, jossa Tranquillit asuvat, on rauhallinen paikka, jossa ei ole sotaa.</v>
      </c>
      <c r="C7213" s="9" t="s">
        <v>1344</v>
      </c>
    </row>
    <row r="7214" ht="33.75" customHeight="1">
      <c r="A7214" s="6" t="s">
        <v>10673</v>
      </c>
      <c r="B7214" s="6" t="str">
        <f>IFERROR(__xludf.DUMMYFUNCTION("GOOGLETRANSLATE(A7214,""en"",""fi"")"),"Minne tahansa maailmassa se meneekin, se tietää missä sen pesä on, joten se ei koskaan erota kouluttajastaan.")</f>
        <v>Minne tahansa maailmassa se meneekin, se tietää missä sen pesä on, joten se ei koskaan erota kouluttajastaan.</v>
      </c>
      <c r="C7214" s="9" t="s">
        <v>1344</v>
      </c>
    </row>
    <row r="7215" ht="33.75" customHeight="1">
      <c r="A7215" s="6" t="s">
        <v>10674</v>
      </c>
      <c r="B7215" s="6" t="str">
        <f>IFERROR(__xludf.DUMMYFUNCTION("GOOGLETRANSLATE(A7215,""en"",""fi"")"),"Se voi lentää kohtalaisen nopeasti. Matkan pituudesta riippumatta se löytää aina tiensä takaisin isäntänsä luo ja pesäänsä.")</f>
        <v>Se voi lentää kohtalaisen nopeasti. Matkan pituudesta riippumatta se löytää aina tiensä takaisin isäntänsä luo ja pesäänsä.</v>
      </c>
      <c r="C7215" s="9" t="s">
        <v>1344</v>
      </c>
    </row>
    <row r="7216" ht="33.75" customHeight="1">
      <c r="A7216" s="6" t="s">
        <v>10675</v>
      </c>
      <c r="B7216" s="6" t="str">
        <f>IFERROR(__xludf.DUMMYFUNCTION("GOOGLETRANSLATE(A7216,""en"",""fi"")"),"Näillä kirkkailla Pokémoneilla on tarkka muisti. Ilmeisesti lähetit valitsevat heidät usein kumppaneikseen.")</f>
        <v>Näillä kirkkailla Pokémoneilla on tarkka muisti. Ilmeisesti lähetit valitsevat heidät usein kumppaneikseen.</v>
      </c>
      <c r="C7216" s="9" t="s">
        <v>1344</v>
      </c>
    </row>
    <row r="7217" ht="33.75" customHeight="1">
      <c r="A7217" s="6" t="s">
        <v>10677</v>
      </c>
      <c r="B7217" s="6" t="str">
        <f>IFERROR(__xludf.DUMMYFUNCTION("GOOGLETRANSLATE(A7217,""en"",""fi"")"),"Koiraat heiluttavat pään höyhenpeitettään uhkatakseen vastustajia. Naaraiden lentokyky ylittää koiraiden kyvyt.")</f>
        <v>Koiraat heiluttavat pään höyhenpeitettään uhkatakseen vastustajia. Naaraiden lentokyky ylittää koiraiden kyvyt.</v>
      </c>
      <c r="C7217" s="9" t="s">
        <v>1344</v>
      </c>
    </row>
    <row r="7218" ht="33.75" customHeight="1">
      <c r="A7218" s="6" t="s">
        <v>10679</v>
      </c>
      <c r="B7218" s="6" t="str">
        <f>IFERROR(__xludf.DUMMYFUNCTION("GOOGLETRANSLATE(A7218,""en"",""fi"")"),"Uroksilla on höyhenpeite päässään. Ne eivät koskaan anna itsensä tuntea läheisyyttä kenellekään muulle kuin kouluttajalleen.")</f>
        <v>Uroksilla on höyhenpeite päässään. Ne eivät koskaan anna itsensä tuntea läheisyyttä kenellekään muulle kuin kouluttajalleen.</v>
      </c>
      <c r="C7218" s="9" t="s">
        <v>1344</v>
      </c>
    </row>
    <row r="7219" ht="33.75" customHeight="1">
      <c r="A7219" s="6" t="s">
        <v>10681</v>
      </c>
      <c r="B7219" s="6" t="str">
        <f>IFERROR(__xludf.DUMMYFUNCTION("GOOGLETRANSLATE(A7219,""en"",""fi"")"),"Urokset heiluttavat höyhenpeitettään päänsä päällä uhkatakseen muita, mutta naaraat ovat parempia lentäjiä.")</f>
        <v>Urokset heiluttavat höyhenpeitettään päänsä päällä uhkatakseen muita, mutta naaraat ovat parempia lentäjiä.</v>
      </c>
      <c r="C7219" s="9" t="s">
        <v>1344</v>
      </c>
    </row>
    <row r="7220" ht="33.75" customHeight="1">
      <c r="A7220" s="6" t="s">
        <v>10683</v>
      </c>
      <c r="B7220" s="6" t="str">
        <f>IFERROR(__xludf.DUMMYFUNCTION("GOOGLETRANSLATE(A7220,""en"",""fi"")"),"Unfezant ovat poikkeuksellisen hyviä lentäjiä. Naaraat tunnetaan kestävyydestään, kun taas urokset päihittävät ne nopeudessa.")</f>
        <v>Unfezant ovat poikkeuksellisen hyviä lentäjiä. Naaraat tunnetaan kestävyydestään, kun taas urokset päihittävät ne nopeudessa.</v>
      </c>
      <c r="C7220" s="9" t="s">
        <v>1344</v>
      </c>
    </row>
    <row r="7221" ht="33.75" customHeight="1">
      <c r="A7221" s="6" t="s">
        <v>10684</v>
      </c>
      <c r="B7221" s="6" t="str">
        <f>IFERROR(__xludf.DUMMYFUNCTION("GOOGLETRANSLATE(A7221,""en"",""fi"")"),"Tämä Pokémon on älykäs ja äärimmäisen ylpeä. Ihmiset istuvat ylös ja huomaavat sen, jos sinusta tulee sellaisen kouluttaja.")</f>
        <v>Tämä Pokémon on älykäs ja äärimmäisen ylpeä. Ihmiset istuvat ylös ja huomaavat sen, jos sinusta tulee sellaisen kouluttaja.</v>
      </c>
      <c r="C7221" s="9" t="s">
        <v>1344</v>
      </c>
    </row>
    <row r="7222" ht="33.75" customHeight="1">
      <c r="A7222" s="6" t="s">
        <v>10685</v>
      </c>
      <c r="B7222" s="6" t="str">
        <f>IFERROR(__xludf.DUMMYFUNCTION("GOOGLETRANSLATE(A7222,""en"",""fi"")"),"Sen harja kiiltää, kun se purkaa sähköä. Ne käyttävät välkkyviä harjaansa kommunikoidakseen keskenään.")</f>
        <v>Sen harja kiiltää, kun se purkaa sähköä. Ne käyttävät välkkyviä harjaansa kommunikoidakseen keskenään.</v>
      </c>
      <c r="C7222" s="9" t="s">
        <v>1344</v>
      </c>
    </row>
    <row r="7223" ht="33.75" customHeight="1">
      <c r="A7223" s="6" t="s">
        <v>10686</v>
      </c>
      <c r="B7223" s="6" t="str">
        <f>IFERROR(__xludf.DUMMYFUNCTION("GOOGLETRANSLATE(A7223,""en"",""fi"")"),"Kun ukkospilvet peittävät taivaan, se ilmestyy. Se voi osua salamoihin harjallaan ja varastoida sähköä.")</f>
        <v>Kun ukkospilvet peittävät taivaan, se ilmestyy. Se voi osua salamoihin harjallaan ja varastoida sähköä.</v>
      </c>
      <c r="C7223" s="9" t="s">
        <v>1344</v>
      </c>
    </row>
    <row r="7224" ht="33.75" customHeight="1">
      <c r="A7224" s="6" t="s">
        <v>10690</v>
      </c>
      <c r="B7224" s="6" t="str">
        <f>IFERROR(__xludf.DUMMYFUNCTION("GOOGLETRANSLATE(A7224,""en"",""fi"")"),"Sen harja kiiltää, kun se purkaa sähköä. Ne käyttävät näiden välähdysten taajuutta ja rytmiä kommunikoidakseen.")</f>
        <v>Sen harja kiiltää, kun se purkaa sähköä. Ne käyttävät näiden välähdysten taajuutta ja rytmiä kommunikoidakseen.</v>
      </c>
      <c r="C7224" s="9" t="s">
        <v>1344</v>
      </c>
    </row>
    <row r="7225" ht="33.75" customHeight="1">
      <c r="A7225" s="6" t="s">
        <v>10691</v>
      </c>
      <c r="B7225" s="6" t="str">
        <f>IFERROR(__xludf.DUMMYFUNCTION("GOOGLETRANSLATE(A7225,""en"",""fi"")"),"Niillä on salaman kaltaisia ​​liikkeitä. Kun Zebstrika juoksee täydellä vauhdilla, ukkosen jyrinä kaikuu.")</f>
        <v>Niillä on salaman kaltaisia ​​liikkeitä. Kun Zebstrika juoksee täydellä vauhdilla, ukkosen jyrinä kaikuu.</v>
      </c>
      <c r="C7225" s="9" t="s">
        <v>1344</v>
      </c>
    </row>
    <row r="7226" ht="33.75" customHeight="1">
      <c r="A7226" s="6" t="s">
        <v>10693</v>
      </c>
      <c r="B7226" s="6" t="str">
        <f>IFERROR(__xludf.DUMMYFUNCTION("GOOGLETRANSLATE(A7226,""en"",""fi"")"),"Tämä ärtyisä Pokémon on vaarallinen, koska vihaisena se ampuu salamoita harjastaan ​​kaikkiin suuntiin.")</f>
        <v>Tämä ärtyisä Pokémon on vaarallinen, koska vihaisena se ampuu salamoita harjastaan ​​kaikkiin suuntiin.</v>
      </c>
      <c r="C7226" s="9" t="s">
        <v>1344</v>
      </c>
    </row>
    <row r="7227" ht="33.75" customHeight="1">
      <c r="A7227" s="6" t="s">
        <v>10695</v>
      </c>
      <c r="B7227" s="6" t="str">
        <f>IFERROR(__xludf.DUMMYFUNCTION("GOOGLETRANSLATE(A7227,""en"",""fi"")"),"Kun tämä ärhäkkä Pokémon villiintyy, se ampuu salamoita harjastaan ​​kaikkiin suuntiin.")</f>
        <v>Kun tämä ärhäkkä Pokémon villiintyy, se ampuu salamoita harjastaan ​​kaikkiin suuntiin.</v>
      </c>
      <c r="C7227" s="9" t="s">
        <v>1344</v>
      </c>
    </row>
    <row r="7228" ht="33.75" customHeight="1">
      <c r="A7228" s="6" t="s">
        <v>10697</v>
      </c>
      <c r="B7228" s="6" t="str">
        <f>IFERROR(__xludf.DUMMYFUNCTION("GOOGLETRANSLATE(A7228,""en"",""fi"")"),"Sen korva on kuusikulmainen. Maan alla puristettuna sen ruumis on teräskova.")</f>
        <v>Sen korva on kuusikulmainen. Maan alla puristettuna sen ruumis on teräskova.</v>
      </c>
      <c r="C7228" s="9" t="s">
        <v>1344</v>
      </c>
    </row>
    <row r="7229" ht="33.75" customHeight="1">
      <c r="A7229" s="6" t="s">
        <v>10698</v>
      </c>
      <c r="B7229" s="6" t="str">
        <f>IFERROR(__xludf.DUMMYFUNCTION("GOOGLETRANSLATE(A7229,""en"",""fi"")"),"Ne löydettiin sata vuotta sitten maanjäristyksen aiheuttamasta halkeamasta. Jokaisen sisällä on energiaydin.")</f>
        <v>Ne löydettiin sata vuotta sitten maanjäristyksen aiheuttamasta halkeamasta. Jokaisen sisällä on energiaydin.</v>
      </c>
      <c r="C7229" s="9" t="s">
        <v>1344</v>
      </c>
    </row>
    <row r="7230" ht="33.75" customHeight="1">
      <c r="A7230" s="6" t="s">
        <v>10699</v>
      </c>
      <c r="B7230" s="6" t="str">
        <f>IFERROR(__xludf.DUMMYFUNCTION("GOOGLETRANSLATE(A7230,""en"",""fi"")"),"Kuusikulmainen reikä on sen korva. Sillä on taipumus kävellä äänen tulevaan suuntaan.")</f>
        <v>Kuusikulmainen reikä on sen korva. Sillä on taipumus kävellä äänen tulevaan suuntaan.</v>
      </c>
      <c r="C7230" s="9" t="s">
        <v>1344</v>
      </c>
    </row>
    <row r="7231" ht="33.75" customHeight="1">
      <c r="A7231" s="6" t="s">
        <v>10700</v>
      </c>
      <c r="B7231" s="6" t="str">
        <f>IFERROR(__xludf.DUMMYFUNCTION("GOOGLETRANSLATE(A7231,""en"",""fi"")"),"Syvällä maan alla syntynyt se vertaa itseään samankaltaisiin lajeihin, kuten Geodudeen ja Carbinkiin, asettuakseen aloilleen sen suhteen, millä on kovin ruumis.")</f>
        <v>Syvällä maan alla syntynyt se vertaa itseään samankaltaisiin lajeihin, kuten Geodudeen ja Carbinkiin, asettuakseen aloilleen sen suhteen, millä on kovin ruumis.</v>
      </c>
      <c r="C7231" s="9" t="s">
        <v>1344</v>
      </c>
    </row>
    <row r="7232" ht="33.75" customHeight="1">
      <c r="A7232" s="6" t="s">
        <v>10701</v>
      </c>
      <c r="B7232" s="6" t="str">
        <f>IFERROR(__xludf.DUMMYFUNCTION("GOOGLETRANSLATE(A7232,""en"",""fi"")"),"Kuusikulmainen ontelo on sen korva. Se kävelee kuulemiensa äänien suuntaan, mutta jos äänet loppuvat, se panikoi ja kaatuu.")</f>
        <v>Kuusikulmainen ontelo on sen korva. Se kävelee kuulemiensa äänien suuntaan, mutta jos äänet loppuvat, se panikoi ja kaatuu.</v>
      </c>
      <c r="C7232" s="9" t="s">
        <v>1344</v>
      </c>
    </row>
    <row r="7233" ht="33.75" customHeight="1">
      <c r="A7233" s="6" t="s">
        <v>10702</v>
      </c>
      <c r="B7233" s="6" t="str">
        <f>IFERROR(__xludf.DUMMYFUNCTION("GOOGLETRANSLATE(A7233,""en"",""fi"")"),"Kuusikulmainen reikä on sen korva. Syvällä korvassa on energiaydin, joten jos työnnät kätesi sinne, Roggenrola suuttuu kovasti!")</f>
        <v>Kuusikulmainen reikä on sen korva. Syvällä korvassa on energiaydin, joten jos työnnät kätesi sinne, Roggenrola suuttuu kovasti!</v>
      </c>
      <c r="C7233" s="9" t="s">
        <v>1344</v>
      </c>
    </row>
    <row r="7234" ht="33.75" customHeight="1">
      <c r="A7234" s="6" t="s">
        <v>10703</v>
      </c>
      <c r="B7234" s="6" t="str">
        <f>IFERROR(__xludf.DUMMYFUNCTION("GOOGLETRANSLATE(A7234,""en"",""fi"")"),"Se löydettiin paljaan kalliokerroksen halkeamasta. Sen runko on peräisin useiden satojen vuosien takaa peräisin olevasta maasta.")</f>
        <v>Se löydettiin paljaan kalliokerroksen halkeamasta. Sen runko on peräisin useiden satojen vuosien takaa peräisin olevasta maasta.</v>
      </c>
      <c r="C7234" s="9" t="s">
        <v>1344</v>
      </c>
    </row>
    <row r="7235" ht="33.75" customHeight="1">
      <c r="A7235" s="6" t="s">
        <v>10704</v>
      </c>
      <c r="B7235" s="6" t="str">
        <f>IFERROR(__xludf.DUMMYFUNCTION("GOOGLETRANSLATE(A7235,""en"",""fi"")"),"Se on yhtä kovaa kuin teräs, mutta pitkäaikainen liotus vedessä pehmentää sitä ilmeisesti hieman.")</f>
        <v>Se on yhtä kovaa kuin teräs, mutta pitkäaikainen liotus vedessä pehmentää sitä ilmeisesti hieman.</v>
      </c>
      <c r="C7235" s="9" t="s">
        <v>1344</v>
      </c>
    </row>
    <row r="7236" ht="33.75" customHeight="1">
      <c r="A7236" s="6" t="s">
        <v>10706</v>
      </c>
      <c r="B7236" s="6" t="str">
        <f>IFERROR(__xludf.DUMMYFUNCTION("GOOGLETRANSLATE(A7236,""en"",""fi"")"),"Kun se havaitsee äänen, se alkaa liikkua. Sen sisällä oleva energiaydin tekee tästä Pokémonista hieman lämpimän koskettaa.")</f>
        <v>Kun se havaitsee äänen, se alkaa liikkua. Sen sisällä oleva energiaydin tekee tästä Pokémonista hieman lämpimän koskettaa.</v>
      </c>
      <c r="C7236" s="9" t="s">
        <v>1344</v>
      </c>
    </row>
    <row r="7237" ht="33.75" customHeight="1">
      <c r="A7237" s="6" t="s">
        <v>10707</v>
      </c>
      <c r="B7237" s="6" t="str">
        <f>IFERROR(__xludf.DUMMYFUNCTION("GOOGLETRANSLATE(A7237,""en"",""fi"")"),"Kun se pursuaa voimaa, sen kehon oranssi kristalli hehkuu. Se etsii maanalaista vettä luolista.")</f>
        <v>Kun se pursuaa voimaa, sen kehon oranssi kristalli hehkuu. Se etsii maanalaista vettä luolista.</v>
      </c>
      <c r="C7237" s="9" t="s">
        <v>1344</v>
      </c>
    </row>
    <row r="7238" ht="33.75" customHeight="1">
      <c r="A7238" s="6" t="s">
        <v>10709</v>
      </c>
      <c r="B7238" s="6" t="str">
        <f>IFERROR(__xludf.DUMMYFUNCTION("GOOGLETRANSLATE(A7238,""en"",""fi"")"),"Koska sen energia oli liian suuri pidäteltäväksi, energia vuoti ja muodosti oransseja kiteitä.")</f>
        <v>Koska sen energia oli liian suuri pidäteltäväksi, energia vuoti ja muodosti oransseja kiteitä.</v>
      </c>
      <c r="C7238" s="9" t="s">
        <v>1344</v>
      </c>
    </row>
    <row r="7239" ht="33.75" customHeight="1">
      <c r="A7239" s="6" t="s">
        <v>10710</v>
      </c>
      <c r="B7239" s="6" t="str">
        <f>IFERROR(__xludf.DUMMYFUNCTION("GOOGLETRANSLATE(A7239,""en"",""fi"")"),"Kun se on terve, sen ydin työntyy ulos. Aina samaan suuntaan katsoen se liikkuu nopeasti edestä taakse ja vasemmalta oikealle.")</f>
        <v>Kun se on terve, sen ydin työntyy ulos. Aina samaan suuntaan katsoen se liikkuu nopeasti edestä taakse ja vasemmalta oikealle.</v>
      </c>
      <c r="C7239" s="9" t="s">
        <v>1344</v>
      </c>
    </row>
    <row r="7240" ht="33.75" customHeight="1">
      <c r="A7240" s="6" t="s">
        <v>10712</v>
      </c>
      <c r="B7240" s="6" t="str">
        <f>IFERROR(__xludf.DUMMYFUNCTION("GOOGLETRANSLATE(A7240,""en"",""fi"")"),"Sen oranssi kide on energiamassa. Yksi kristallinpalanen riittäisi polttoaineeksi sadalle kippiautolle.")</f>
        <v>Sen oranssi kide on energiamassa. Yksi kristallinpalanen riittäisi polttoaineeksi sadalle kippiautolle.</v>
      </c>
      <c r="C7240" s="9" t="s">
        <v>1344</v>
      </c>
    </row>
    <row r="7241" ht="33.75" customHeight="1">
      <c r="A7241" s="6" t="s">
        <v>10713</v>
      </c>
      <c r="B7241" s="6" t="str">
        <f>IFERROR(__xludf.DUMMYFUNCTION("GOOGLETRANSLATE(A7241,""en"",""fi"")"),"Se tutkii luolia etsien maanalaista vettä. Se ei viihdy veden lähellä, joten tämä Pokémon on erittäin varovainen sen nielemisessä.")</f>
        <v>Se tutkii luolia etsien maanalaista vettä. Se ei viihdy veden lähellä, joten tämä Pokémon on erittäin varovainen sen nielemisessä.</v>
      </c>
      <c r="C7241" s="9" t="s">
        <v>1344</v>
      </c>
    </row>
    <row r="7242" ht="33.75" customHeight="1">
      <c r="A7242" s="6" t="s">
        <v>10714</v>
      </c>
      <c r="B7242" s="6" t="str">
        <f>IFERROR(__xludf.DUMMYFUNCTION("GOOGLETRANSLATE(A7242,""en"",""fi"")"),"Sen kehosta pursuava energia on muuttunut oransseiksi kiteiksi, jotka ovat tarpeeksi kovia rikkomaan timantteja.")</f>
        <v>Sen kehosta pursuava energia on muuttunut oransseiksi kiteiksi, jotka ovat tarpeeksi kovia rikkomaan timantteja.</v>
      </c>
      <c r="C7242" s="9" t="s">
        <v>1344</v>
      </c>
    </row>
    <row r="7243" ht="33.75" customHeight="1">
      <c r="A7243" s="6" t="s">
        <v>10715</v>
      </c>
      <c r="B7243" s="6" t="str">
        <f>IFERROR(__xludf.DUMMYFUNCTION("GOOGLETRANSLATE(A7243,""en"",""fi"")"),"Sen oranssit kiteet ovat voimakkaita energiamöykkyjä. Ne ovat arvokkaita, joten Boldorea joskus kohdistetaan niiden vuoksi.")</f>
        <v>Sen oranssit kiteet ovat voimakkaita energiamöykkyjä. Ne ovat arvokkaita, joten Boldorea joskus kohdistetaan niiden vuoksi.</v>
      </c>
      <c r="C7243" s="9" t="s">
        <v>1344</v>
      </c>
    </row>
    <row r="7244" ht="33.75" customHeight="1">
      <c r="A7244" s="6" t="s">
        <v>10716</v>
      </c>
      <c r="B7244" s="6" t="str">
        <f>IFERROR(__xludf.DUMMYFUNCTION("GOOGLETRANSLATE(A7244,""en"",""fi"")"),"Jos näet sen oranssien kiteiden alkavan hehkua, ole varovainen. Se on ampumaisillaan energiapurskeita.")</f>
        <v>Jos näet sen oranssien kiteiden alkavan hehkua, ole varovainen. Se on ampumaisillaan energiapurskeita.</v>
      </c>
      <c r="C7244" s="9" t="s">
        <v>1344</v>
      </c>
    </row>
    <row r="7245" ht="33.75" customHeight="1">
      <c r="A7245" s="6" t="s">
        <v>10717</v>
      </c>
      <c r="B7245" s="6" t="str">
        <f>IFERROR(__xludf.DUMMYFUNCTION("GOOGLETRANSLATE(A7245,""en"",""fi"")"),"Se on riippuvainen äänestä seuratakseen lähiympäristöään. Vihaisena se hyökkää muuttamatta koskaan suuntaa, johon se katsoo.")</f>
        <v>Se on riippuvainen äänestä seuratakseen lähiympäristöään. Vihaisena se hyökkää muuttamatta koskaan suuntaa, johon se katsoo.</v>
      </c>
      <c r="C7245" s="9" t="s">
        <v>1344</v>
      </c>
    </row>
    <row r="7246" ht="33.75" customHeight="1">
      <c r="A7246" s="6" t="s">
        <v>10718</v>
      </c>
      <c r="B7246" s="6" t="str">
        <f>IFERROR(__xludf.DUMMYFUNCTION("GOOGLETRANSLATE(A7246,""en"",""fi"")"),"Sisäisen ytimensä energian puristaminen antaa sille mahdollisuuden ampua hyökkäys, joka kykenee räjäyttämään vuoren pois.")</f>
        <v>Sisäisen ytimensä energian puristaminen antaa sille mahdollisuuden ampua hyökkäys, joka kykenee räjäyttämään vuoren pois.</v>
      </c>
      <c r="C7246" s="9" t="s">
        <v>1344</v>
      </c>
    </row>
    <row r="7247" ht="33.75" customHeight="1">
      <c r="A7247" s="6" t="s">
        <v>10719</v>
      </c>
      <c r="B7247" s="6" t="str">
        <f>IFERROR(__xludf.DUMMYFUNCTION("GOOGLETRANSLATE(A7247,""en"",""fi"")"),"Sen oranssien kiteiden imemä aurinkoenergia voimistuu sisäisesti ja purkautuu sen suusta.")</f>
        <v>Sen oranssien kiteiden imemä aurinkoenergia voimistuu sisäisesti ja purkautuu sen suusta.</v>
      </c>
      <c r="C7247" s="9" t="s">
        <v>1344</v>
      </c>
    </row>
    <row r="7248" ht="33.75" customHeight="1">
      <c r="A7248" s="6" t="s">
        <v>10721</v>
      </c>
      <c r="B7248" s="6" t="str">
        <f>IFERROR(__xludf.DUMMYFUNCTION("GOOGLETRANSLATE(A7248,""en"",""fi"")"),"Sen absorboimat auringonsäteet käsitellään sen energiaytimessä ja laukaistaan ​​valopallona.")</f>
        <v>Sen absorboimat auringonsäteet käsitellään sen energiaytimessä ja laukaistaan ​​valopallona.</v>
      </c>
      <c r="C7248" s="9" t="s">
        <v>1344</v>
      </c>
    </row>
    <row r="7249" ht="33.75" customHeight="1">
      <c r="A7249" s="6" t="s">
        <v>10722</v>
      </c>
      <c r="B7249" s="6" t="str">
        <f>IFERROR(__xludf.DUMMYFUNCTION("GOOGLETRANSLATE(A7249,""en"",""fi"")"),"Sen auringonsäteistä lähtevät energiapurkaukset ovat pelottavan voimakkaita. Se ei kuitenkaan pysty ampumaan niitä yöllä tai sateisina päivinä.")</f>
        <v>Sen auringonsäteistä lähtevät energiapurkaukset ovat pelottavan voimakkaita. Se ei kuitenkaan pysty ampumaan niitä yöllä tai sateisina päivinä.</v>
      </c>
      <c r="C7249" s="9" t="s">
        <v>1344</v>
      </c>
    </row>
    <row r="7250" ht="33.75" customHeight="1">
      <c r="A7250" s="6" t="s">
        <v>10723</v>
      </c>
      <c r="B7250" s="6" t="str">
        <f>IFERROR(__xludf.DUMMYFUNCTION("GOOGLETRANSLATE(A7250,""en"",""fi"")"),"Tunnettu raskaasta hevosvoimastaan, tämä Pokémon on suosittu työpari rakennustyöntekijöille.")</f>
        <v>Tunnettu raskaasta hevosvoimastaan, tämä Pokémon on suosittu työpari rakennustyöntekijöille.</v>
      </c>
      <c r="C7250" s="9" t="s">
        <v>1344</v>
      </c>
    </row>
    <row r="7251" ht="33.75" customHeight="1">
      <c r="A7251" s="6" t="s">
        <v>10724</v>
      </c>
      <c r="B7251" s="6" t="str">
        <f>IFERROR(__xludf.DUMMYFUNCTION("GOOGLETRANSLATE(A7251,""en"",""fi"")"),"Kun se purkaa energiaa täydellä voimallaan, voima luo lukemattomia halkeamia sen kehoon.")</f>
        <v>Kun se purkaa energiaa täydellä voimallaan, voima luo lukemattomia halkeamia sen kehoon.</v>
      </c>
      <c r="C7251" s="9" t="s">
        <v>1344</v>
      </c>
    </row>
    <row r="7252" ht="33.75" customHeight="1">
      <c r="A7252" s="6" t="s">
        <v>10725</v>
      </c>
      <c r="B7252" s="6" t="str">
        <f>IFERROR(__xludf.DUMMYFUNCTION("GOOGLETRANSLATE(A7252,""en"",""fi"")"),"Se imee itseensä auringonvalon säteitä ja lähettää energiaa. Se piilee yleensä syvällä pinnan alla.")</f>
        <v>Se imee itseensä auringonvalon säteitä ja lähettää energiaa. Se piilee yleensä syvällä pinnan alla.</v>
      </c>
      <c r="C7252" s="9" t="s">
        <v>1344</v>
      </c>
    </row>
    <row r="7253" ht="33.75" customHeight="1">
      <c r="A7253" s="6" t="s">
        <v>10726</v>
      </c>
      <c r="B7253" s="6" t="str">
        <f>IFERROR(__xludf.DUMMYFUNCTION("GOOGLETRANSLATE(A7253,""en"",""fi"")"),"Tätä sitkeää Pokémonia voi usein löytää rakennustyömailta ja kaivoksista työskentelemässä ihmisten ja Copperajahin rinnalla.")</f>
        <v>Tätä sitkeää Pokémonia voi usein löytää rakennustyömailta ja kaivoksista työskentelemässä ihmisten ja Copperajahin rinnalla.</v>
      </c>
      <c r="C7253" s="9" t="s">
        <v>1344</v>
      </c>
    </row>
    <row r="7254" ht="33.75" customHeight="1">
      <c r="A7254" s="6" t="s">
        <v>10727</v>
      </c>
      <c r="B7254" s="6" t="str">
        <f>IFERROR(__xludf.DUMMYFUNCTION("GOOGLETRANSLATE(A7254,""en"",""fi"")"),"Vaikka sen energiapurkaukset voivat räjäyttää pois kippiauton, niillä on rajoituksensa – ne voidaan laukaista vain auringon paisteessa.")</f>
        <v>Vaikka sen energiapurkaukset voivat räjäyttää pois kippiauton, niillä on rajoituksensa – ne voidaan laukaista vain auringon paisteessa.</v>
      </c>
      <c r="C7254" s="9" t="s">
        <v>1344</v>
      </c>
    </row>
    <row r="7255" ht="33.75" customHeight="1">
      <c r="A7255" s="6" t="s">
        <v>10728</v>
      </c>
      <c r="B7255" s="6" t="str">
        <f>IFERROR(__xludf.DUMMYFUNCTION("GOOGLETRANSLATE(A7255,""en"",""fi"")"),"Sen elinympäristö on pimeitä metsiä ja luolia. Se lähettää kuonostaan ​​ultraääniaaltoja oppiakseen ympäristöstään.")</f>
        <v>Sen elinympäristö on pimeitä metsiä ja luolia. Se lähettää kuonostaan ​​ultraääniaaltoja oppiakseen ympäristöstään.</v>
      </c>
      <c r="C7255" s="9" t="s">
        <v>1344</v>
      </c>
    </row>
    <row r="7256" ht="33.75" customHeight="1">
      <c r="A7256" s="6" t="s">
        <v>10729</v>
      </c>
      <c r="B7256" s="6" t="str">
        <f>IFERROR(__xludf.DUMMYFUNCTION("GOOGLETRANSLATE(A7256,""en"",""fi"")"),"Sierainten kautta tuleva imu mahdollistaa sen tarttumisen luolan seiniin nukkuessaan. Se jättää jälkeensä sydämenmuotoisen jäljen.")</f>
        <v>Sierainten kautta tuleva imu mahdollistaa sen tarttumisen luolan seiniin nukkuessaan. Se jättää jälkeensä sydämenmuotoisen jäljen.</v>
      </c>
      <c r="C7256" s="9" t="s">
        <v>1344</v>
      </c>
    </row>
    <row r="7257" ht="33.75" customHeight="1">
      <c r="A7257" s="6" t="s">
        <v>10730</v>
      </c>
      <c r="B7257" s="6" t="str">
        <f>IFERROR(__xludf.DUMMYFUNCTION("GOOGLETRANSLATE(A7257,""en"",""fi"")"),"Woobatin kiinnittämisen jälkeen kehoon jäävän sydämenmuotoisen merkin sanotaan tuovan onnea.")</f>
        <v>Woobatin kiinnittämisen jälkeen kehoon jäävän sydämenmuotoisen merkin sanotaan tuovan onnea.</v>
      </c>
      <c r="C7257" s="9" t="s">
        <v>1344</v>
      </c>
    </row>
    <row r="7258" ht="33.75" customHeight="1">
      <c r="A7258" s="6" t="s">
        <v>10731</v>
      </c>
      <c r="B7258" s="6" t="str">
        <f>IFERROR(__xludf.DUMMYFUNCTION("GOOGLETRANSLATE(A7258,""en"",""fi"")"),"Jos luolan sisällä katsot ylös ja näet seinillä paljon sydämenmuotoisia merkkejä, se on todiste siitä, että woobatit asuvat siellä.")</f>
        <v>Jos luolan sisällä katsot ylös ja näet seinillä paljon sydämenmuotoisia merkkejä, se on todiste siitä, että woobatit asuvat siellä.</v>
      </c>
      <c r="C7258" s="9" t="s">
        <v>1344</v>
      </c>
    </row>
    <row r="7259" ht="33.75" customHeight="1">
      <c r="A7259" s="6" t="s">
        <v>10732</v>
      </c>
      <c r="B7259" s="6" t="str">
        <f>IFERROR(__xludf.DUMMYFUNCTION("GOOGLETRANSLATE(A7259,""en"",""fi"")"),"Se lähettää ultraääniaaltoja leijaillessaan ympäriinsä etsien saalistaan ​​– ötökkä-Pokémonia.")</f>
        <v>Se lähettää ultraääniaaltoja leijaillessaan ympäriinsä etsien saalistaan ​​– ötökkä-Pokémonia.</v>
      </c>
      <c r="C7259" s="9" t="s">
        <v>1344</v>
      </c>
    </row>
    <row r="7260" ht="33.75" customHeight="1">
      <c r="A7260" s="6" t="s">
        <v>10733</v>
      </c>
      <c r="B7260" s="6" t="str">
        <f>IFERROR(__xludf.DUMMYFUNCTION("GOOGLETRANSLATE(A7260,""en"",""fi"")"),"Se lähettää nenästään eri taajuuksilla olevia ääniaaltoja, joista osa on niin voimakkaita, että ne voivat tuhota kiviä.")</f>
        <v>Se lähettää nenästään eri taajuuksilla olevia ääniaaltoja, joista osa on niin voimakkaita, että ne voivat tuhota kiviä.</v>
      </c>
      <c r="C7260" s="9" t="s">
        <v>1344</v>
      </c>
    </row>
    <row r="7261" ht="33.75" customHeight="1">
      <c r="A7261" s="6" t="s">
        <v>10735</v>
      </c>
      <c r="B7261" s="6" t="str">
        <f>IFERROR(__xludf.DUMMYFUNCTION("GOOGLETRANSLATE(A7261,""en"",""fi"")"),"Jokainen, joka joutuu kosketuksiin seurustelevan miehen lähettämien ultraääniaaltojen kanssa, kokee positiivisen mielialan muutoksen.")</f>
        <v>Jokainen, joka joutuu kosketuksiin seurustelevan miehen lähettämien ultraääniaaltojen kanssa, kokee positiivisen mielialan muutoksen.</v>
      </c>
      <c r="C7261" s="9" t="s">
        <v>1344</v>
      </c>
    </row>
    <row r="7262" ht="33.75" customHeight="1">
      <c r="A7262" s="6" t="s">
        <v>10736</v>
      </c>
      <c r="B7262" s="6" t="str">
        <f>IFERROR(__xludf.DUMMYFUNCTION("GOOGLETRANSLATE(A7262,""en"",""fi"")"),"Se ravistelee häntäänsä voimakkaasti, kun se lähettää ultraääniaaltoja, jotka ovat riittävän voimakkaita muuttamaan betonin raunioiksi.")</f>
        <v>Se ravistelee häntäänsä voimakkaasti, kun se lähettää ultraääniaaltoja, jotka ovat riittävän voimakkaita muuttamaan betonin raunioiksi.</v>
      </c>
      <c r="C7262" s="9" t="s">
        <v>1344</v>
      </c>
    </row>
    <row r="7263" ht="33.75" customHeight="1">
      <c r="A7263" s="6" t="s">
        <v>10737</v>
      </c>
      <c r="B7263" s="6" t="str">
        <f>IFERROR(__xludf.DUMMYFUNCTION("GOOGLETRANSLATE(A7263,""en"",""fi"")"),"Voimakkaiden ääniaaltojen lähettäminen väsyttää sen. Sen jälkeen se ei pysty lentämään vähään aikaan.")</f>
        <v>Voimakkaiden ääniaaltojen lähettäminen väsyttää sen. Sen jälkeen se ei pysty lentämään vähään aikaan.</v>
      </c>
      <c r="C7263" s="9" t="s">
        <v>1344</v>
      </c>
    </row>
    <row r="7264" ht="33.75" customHeight="1">
      <c r="A7264" s="6" t="s">
        <v>10738</v>
      </c>
      <c r="B7264" s="6" t="str">
        <f>IFERROR(__xludf.DUMMYFUNCTION("GOOGLETRANSLATE(A7264,""en"",""fi"")"),"Tämän Pokémonin nenän suotuisa muoto ilmeisesti sai jotkut alueet pitämään Swoobatia onnen symbolina.")</f>
        <v>Tämän Pokémonin nenän suotuisa muoto ilmeisesti sai jotkut alueet pitämään Swoobatia onnen symbolina.</v>
      </c>
      <c r="C7264" s="9" t="s">
        <v>1344</v>
      </c>
    </row>
    <row r="7265" ht="33.75" customHeight="1">
      <c r="A7265" s="6" t="s">
        <v>10739</v>
      </c>
      <c r="B7265" s="6" t="str">
        <f>IFERROR(__xludf.DUMMYFUNCTION("GOOGLETRANSLATE(A7265,""en"",""fi"")"),"Se voi kaivaa maan läpi 48 km/h nopeudella. Se voisi antaa maanpäälliselle autolle hyvän kilpailun.")</f>
        <v>Se voi kaivaa maan läpi 48 km/h nopeudella. Se voisi antaa maanpäälliselle autolle hyvän kilpailun.</v>
      </c>
      <c r="C7265" s="9" t="s">
        <v>1344</v>
      </c>
    </row>
    <row r="7266" ht="33.75" customHeight="1">
      <c r="A7266" s="6" t="s">
        <v>10741</v>
      </c>
      <c r="B7266" s="6" t="str">
        <f>IFERROR(__xludf.DUMMYFUNCTION("GOOGLETRANSLATE(A7266,""en"",""fi"")"),"Se kulkee nopeasti maaperän läpi laittamalla molemmat kynnet yhteen ja pyörimällä suurella nopeudella.")</f>
        <v>Se kulkee nopeasti maaperän läpi laittamalla molemmat kynnet yhteen ja pyörimällä suurella nopeudella.</v>
      </c>
      <c r="C7266" s="9" t="s">
        <v>1344</v>
      </c>
    </row>
    <row r="7267" ht="33.75" customHeight="1">
      <c r="A7267" s="6" t="s">
        <v>10742</v>
      </c>
      <c r="B7267" s="6" t="str">
        <f>IFERROR(__xludf.DUMMYFUNCTION("GOOGLETRANSLATE(A7267,""en"",""fi"")"),"Pyörittämällä ruumistaan ​​se voi kaivaa suoraan maan läpi 48 km/h nopeudella.")</f>
        <v>Pyörittämällä ruumistaan ​​se voi kaivaa suoraan maan läpi 48 km/h nopeudella.</v>
      </c>
      <c r="C7267" s="9" t="s">
        <v>1344</v>
      </c>
    </row>
    <row r="7268" ht="33.75" customHeight="1">
      <c r="A7268" s="6" t="s">
        <v>10743</v>
      </c>
      <c r="B7268" s="6" t="str">
        <f>IFERROR(__xludf.DUMMYFUNCTION("GOOGLETRANSLATE(A7268,""en"",""fi"")"),"Se tuo kyntensä yhteen ja pyörähtelee ympäriinsä kovalla nopeudella ennen kuin ryntää saalistaan ​​kohti.")</f>
        <v>Se tuo kyntensä yhteen ja pyörähtelee ympäriinsä kovalla nopeudella ennen kuin ryntää saalistaan ​​kohti.</v>
      </c>
      <c r="C7268" s="9" t="s">
        <v>1344</v>
      </c>
    </row>
    <row r="7269" ht="33.75" customHeight="1">
      <c r="A7269" s="6" t="s">
        <v>10745</v>
      </c>
      <c r="B7269" s="6" t="str">
        <f>IFERROR(__xludf.DUMMYFUNCTION("GOOGLETRANSLATE(A7269,""en"",""fi"")"),"Se on kaivaja, joka kaivaa kynsillään maata. Se vahingoittaa vihanneskasveja, joten monet maanviljelijät eivät pidä siitä paljoakaan.")</f>
        <v>Se on kaivaja, joka kaivaa kynsillään maata. Se vahingoittaa vihanneskasveja, joten monet maanviljelijät eivät pidä siitä paljoakaan.</v>
      </c>
      <c r="C7269" s="9" t="s">
        <v>1344</v>
      </c>
    </row>
    <row r="7270" ht="33.75" customHeight="1">
      <c r="A7270" s="6" t="s">
        <v>10746</v>
      </c>
      <c r="B7270" s="6" t="str">
        <f>IFERROR(__xludf.DUMMYFUNCTION("GOOGLETRANSLATE(A7270,""en"",""fi"")"),"Se voi auttaa tunnelien rakentamisessa. Sen pora on kehittynyt teräkseksi, joka on riittävän vahvaa poratakseen rautalevyjen läpi.")</f>
        <v>Se voi auttaa tunnelien rakentamisessa. Sen pora on kehittynyt teräkseksi, joka on riittävän vahvaa poratakseen rautalevyjen läpi.</v>
      </c>
      <c r="C7270" s="9" t="s">
        <v>1344</v>
      </c>
    </row>
    <row r="7271" ht="33.75" customHeight="1">
      <c r="A7271" s="6" t="s">
        <v>10748</v>
      </c>
      <c r="B7271" s="6" t="str">
        <f>IFERROR(__xludf.DUMMYFUNCTION("GOOGLETRANSLATE(A7271,""en"",""fi"")"),"Yli 90 metrin syvyydessä ne rakentavat sokkelomaisia ​​pesiä. Niiden toiminta voi olla tuhoisaa metrotunneleille.")</f>
        <v>Yli 90 metrin syvyydessä ne rakentavat sokkelomaisia ​​pesiä. Niiden toiminta voi olla tuhoisaa metrotunneleille.</v>
      </c>
      <c r="C7271" s="9" t="s">
        <v>1344</v>
      </c>
    </row>
    <row r="7272" ht="33.75" customHeight="1">
      <c r="A7272" s="6" t="s">
        <v>10750</v>
      </c>
      <c r="B7272" s="6" t="str">
        <f>IFERROR(__xludf.DUMMYFUNCTION("GOOGLETRANSLATE(A7272,""en"",""fi"")"),"Teräksisten kynsiensä ja päänsä ansiosta se voi porata teräslevyn läpi sen paksuudesta riippumatta.")</f>
        <v>Teräksisten kynsiensä ja päänsä ansiosta se voi porata teräslevyn läpi sen paksuudesta riippumatta.</v>
      </c>
      <c r="C7272" s="9" t="s">
        <v>1344</v>
      </c>
    </row>
    <row r="7273" ht="33.75" customHeight="1">
      <c r="A7273" s="6" t="s">
        <v>10752</v>
      </c>
      <c r="B7273" s="6" t="str">
        <f>IFERROR(__xludf.DUMMYFUNCTION("GOOGLETRANSLATE(A7273,""en"",""fi"")"),"Ei ole harvinaista, että luonnostaan ​​muodostuneilta näyttävät tunnelit ovat itse asiassa Excadrillin jatkuvan kaivamisen tulosta.")</f>
        <v>Ei ole harvinaista, että luonnostaan ​​muodostuneilta näyttävät tunnelit ovat itse asiassa Excadrillin jatkuvan kaivamisen tulosta.</v>
      </c>
      <c r="C7273" s="9" t="s">
        <v>1344</v>
      </c>
    </row>
    <row r="7274" ht="33.75" customHeight="1">
      <c r="A7274" s="6" t="s">
        <v>10754</v>
      </c>
      <c r="B7274" s="6" t="str">
        <f>IFERROR(__xludf.DUMMYFUNCTION("GOOGLETRANSLATE(A7274,""en"",""fi"")"),"Porakuninkaana tunnettu Pokémon voi kaivaa tunneleita maastossa yli 145 km/h nopeudella.")</f>
        <v>Porakuninkaana tunnettu Pokémon voi kaivaa tunneleita maastossa yli 145 km/h nopeudella.</v>
      </c>
      <c r="C7274" s="9" t="s">
        <v>1344</v>
      </c>
    </row>
    <row r="7275" ht="33.75" customHeight="1">
      <c r="A7275" s="6" t="s">
        <v>10755</v>
      </c>
      <c r="B7275" s="6" t="str">
        <f>IFERROR(__xludf.DUMMYFUNCTION("GOOGLETRANSLATE(A7275,""en"",""fi"")"),"Se koskettaa muita korvissaan olevilla tuntosarvilla ja käyttää heidän sydämenlyöntejään kertoakseen, miltä heistä tuntuu.")</f>
        <v>Se koskettaa muita korvissaan olevilla tuntosarvilla ja käyttää heidän sydämenlyöntejään kertoakseen, miltä heistä tuntuu.</v>
      </c>
      <c r="C7275" s="9" t="s">
        <v>1344</v>
      </c>
    </row>
    <row r="7276" ht="33.75" customHeight="1">
      <c r="A7276" s="6" t="s">
        <v>10756</v>
      </c>
      <c r="B7276" s="6" t="str">
        <f>IFERROR(__xludf.DUMMYFUNCTION("GOOGLETRANSLATE(A7276,""en"",""fi"")"),"Sen kuuloaisti on hämmästyttävä. Sillä on tutkan kaltainen kyky ymmärtää ympäristöään pienten äänien avulla.")</f>
        <v>Sen kuuloaisti on hämmästyttävä. Sillä on tutkan kaltainen kyky ymmärtää ympäristöään pienten äänien avulla.</v>
      </c>
      <c r="C7276" s="9" t="s">
        <v>1344</v>
      </c>
    </row>
    <row r="7277" ht="33.75" customHeight="1">
      <c r="A7277" s="6" t="s">
        <v>10757</v>
      </c>
      <c r="B7277" s="6" t="str">
        <f>IFERROR(__xludf.DUMMYFUNCTION("GOOGLETRANSLATE(A7277,""en"",""fi"")"),"Korvissaan olevien tuntosarvien avulla se voi kertoa, miltä joku tuntuu tai milloin muna saattaa kuoriutua.")</f>
        <v>Korvissaan olevien tuntosarvien avulla se voi kertoa, miltä joku tuntuu tai milloin muna saattaa kuoriutua.</v>
      </c>
      <c r="C7277" s="9" t="s">
        <v>1344</v>
      </c>
    </row>
    <row r="7278" ht="33.75" customHeight="1">
      <c r="A7278" s="6" t="s">
        <v>10759</v>
      </c>
      <c r="B7278" s="6" t="str">
        <f>IFERROR(__xludf.DUMMYFUNCTION("GOOGLETRANSLATE(A7278,""en"",""fi"")"),"Audinon kuulo on erinomainen. Edes yli mailin päässä vierivä pikkukivi ei pääse Audinon korvilta pakoon.")</f>
        <v>Audinon kuulo on erinomainen. Edes yli mailin päässä vierivä pikkukivi ei pääse Audinon korvilta pakoon.</v>
      </c>
      <c r="C7278" s="9" t="s">
        <v>1344</v>
      </c>
    </row>
    <row r="7279" ht="33.75" customHeight="1">
      <c r="A7279" s="6" t="s">
        <v>10760</v>
      </c>
      <c r="B7279" s="6" t="str">
        <f>IFERROR(__xludf.DUMMYFUNCTION("GOOGLETRANSLATE(A7279,""en"",""fi"")"),"Tällä Pokémonilla on hyvä sydän. Tuntumalla tuntoreillään Audino voi arvioida muiden olentojen tunteita ja fyysistä kuntoa.")</f>
        <v>Tällä Pokémonilla on hyvä sydän. Tuntumalla tuntoreillään Audino voi arvioida muiden olentojen tunteita ja fyysistä kuntoa.</v>
      </c>
      <c r="C7279" s="9" t="s">
        <v>1344</v>
      </c>
    </row>
    <row r="7280" ht="33.75" customHeight="1">
      <c r="A7280" s="6" t="s">
        <v>10761</v>
      </c>
      <c r="B7280" s="6" t="str">
        <f>IFERROR(__xludf.DUMMYFUNCTION("GOOGLETRANSLATE(A7280,""en"",""fi"")"),"Se taistelee heiluttamalla puupalaa. Se on lähellä kehittymistä, kun se pystyy käsittelemään puutavaraa vaikeuksitta.")</f>
        <v>Se taistelee heiluttamalla puupalaa. Se on lähellä kehittymistä, kun se pystyy käsittelemään puutavaraa vaikeuksitta.</v>
      </c>
      <c r="C7280" s="9" t="s">
        <v>1344</v>
      </c>
    </row>
    <row r="7281" ht="33.75" customHeight="1">
      <c r="A7281" s="6" t="s">
        <v>10763</v>
      </c>
      <c r="B7281" s="6" t="str">
        <f>IFERROR(__xludf.DUMMYFUNCTION("GOOGLETRANSLATE(A7281,""en"",""fi"")"),"Nämä Pokémonit ilmestyvät rakennustyömaille ja auttavat rakentamisessa. Ne kantavat aina suorakaiteen muotoisia tukkeja.")</f>
        <v>Nämä Pokémonit ilmestyvät rakennustyömaille ja auttavat rakentamisessa. Ne kantavat aina suorakaiteen muotoisia tukkeja.</v>
      </c>
      <c r="C7281" s="9" t="s">
        <v>1344</v>
      </c>
    </row>
    <row r="7282" ht="33.75" customHeight="1">
      <c r="A7282" s="6" t="s">
        <v>10764</v>
      </c>
      <c r="B7282" s="6" t="str">
        <f>IFERROR(__xludf.DUMMYFUNCTION("GOOGLETRANSLATE(A7282,""en"",""fi"")"),"Ne kantavat aina mukanaan suorakaiteen muotoisia tukkeja ja auttavat rakentamisessa. Kasvaessaan ne kantavat isompia tukkeja.")</f>
        <v>Ne kantavat aina mukanaan suorakaiteen muotoisia tukkeja ja auttavat rakentamisessa. Kasvaessaan ne kantavat isompia tukkeja.</v>
      </c>
      <c r="C7282" s="9" t="s">
        <v>1344</v>
      </c>
    </row>
    <row r="7283" ht="33.75" customHeight="1">
      <c r="A7283" s="6" t="s">
        <v>10765</v>
      </c>
      <c r="B7283" s="6" t="str">
        <f>IFERROR(__xludf.DUMMYFUNCTION("GOOGLETRANSLATE(A7283,""en"",""fi"")"),"Se rakastaa auttamista rakennusprojekteissa. Se rakastaa sitä niin paljon, että jos sade pysäyttää työn, se heilauttaa tukkiaan ja heittää kiukkukohtauksen.")</f>
        <v>Se rakastaa auttamista rakennusprojekteissa. Se rakastaa sitä niin paljon, että jos sade pysäyttää työn, se heilauttaa tukkiaan ja heittää kiukkukohtauksen.</v>
      </c>
      <c r="C7283" s="9" t="s">
        <v>1344</v>
      </c>
    </row>
    <row r="7284" ht="33.75" customHeight="1">
      <c r="A7284" s="6" t="s">
        <v>10766</v>
      </c>
      <c r="B7284" s="6" t="str">
        <f>IFERROR(__xludf.DUMMYFUNCTION("GOOGLETRANSLATE(A7284,""en"",""fi"")"),"Timburrit, jotka ovat alkaneet kuljettaa noin kolme kertaa itseään suurempia tukkeja, ovat lähes valmiita kehittymään.")</f>
        <v>Timburrit, jotka ovat alkaneet kuljettaa noin kolme kertaa itseään suurempia tukkeja, ovat lähes valmiita kehittymään.</v>
      </c>
      <c r="C7284" s="9" t="s">
        <v>1344</v>
      </c>
    </row>
    <row r="7285" ht="33.75" customHeight="1">
      <c r="A7285" s="6" t="s">
        <v>10768</v>
      </c>
      <c r="B7285" s="6" t="str">
        <f>IFERROR(__xludf.DUMMYFUNCTION("GOOGLETRANSLATE(A7285,""en"",""fi"")"),"Tämä Pokémon on niin lihaksikas ja vahvarakenteinen, ettei edes painijaryhmä saa sitä liikahtamaan tuumaakaan.")</f>
        <v>Tämä Pokémon on niin lihaksikas ja vahvarakenteinen, ettei edes painijaryhmä saa sitä liikahtamaan tuumaakaan.</v>
      </c>
      <c r="C7285" s="9" t="s">
        <v>1344</v>
      </c>
    </row>
    <row r="7286" ht="33.75" customHeight="1">
      <c r="A7286" s="6" t="s">
        <v>10769</v>
      </c>
      <c r="B7286" s="6" t="str">
        <f>IFERROR(__xludf.DUMMYFUNCTION("GOOGLETRANSLATE(A7286,""en"",""fi"")"),"Ne vahvistavat kehojaan kantamalla teräspalkkeja. Ne esittelevät suuria lihaksiaan ystävilleen.")</f>
        <v>Ne vahvistavat kehojaan kantamalla teräspalkkeja. Ne esittelevät suuria lihaksiaan ystävilleen.</v>
      </c>
      <c r="C7286" s="9" t="s">
        <v>1344</v>
      </c>
    </row>
    <row r="7287" ht="33.75" customHeight="1">
      <c r="A7287" s="6" t="s">
        <v>10770</v>
      </c>
      <c r="B7287" s="6" t="str">
        <f>IFERROR(__xludf.DUMMYFUNCTION("GOOGLETRANSLATE(A7287,""en"",""fi"")"),"Vahvistettujen vartaloiden ansiosta he käyttävät taitavasti teräspalkkeja rakennusten purkamiseen.")</f>
        <v>Vahvistettujen vartaloiden ansiosta he käyttävät taitavasti teräspalkkeja rakennusten purkamiseen.</v>
      </c>
      <c r="C7287" s="9" t="s">
        <v>1344</v>
      </c>
    </row>
    <row r="7288" ht="33.75" customHeight="1">
      <c r="A7288" s="6" t="s">
        <v>10771</v>
      </c>
      <c r="B7288" s="6" t="str">
        <f>IFERROR(__xludf.DUMMYFUNCTION("GOOGLETRANSLATE(A7288,""en"",""fi"")"),"Se esittelee lihaksiaan Machokelle ja muille Gurdurreille. Jos se ei täytä muiden Pokémonien tasoa, se pysyy jonkin aikaa alhaalla.")</f>
        <v>Se esittelee lihaksiaan Machokelle ja muille Gurdurreille. Jos se ei täytä muiden Pokémonien tasoa, se pysyy jonkin aikaa alhaalla.</v>
      </c>
      <c r="C7288" s="9" t="s">
        <v>1344</v>
      </c>
    </row>
    <row r="7289" ht="33.75" customHeight="1">
      <c r="A7289" s="6" t="s">
        <v>10773</v>
      </c>
      <c r="B7289" s="6" t="str">
        <f>IFERROR(__xludf.DUMMYFUNCTION("GOOGLETRANSLATE(A7289,""en"",""fi"")"),"Gurdurr on loistavia purkamisessa – rakentaminen ei ole sen vahvuus. Joka tapauksessa tämän Pokémonin metallipalkin käsittelytavassa on taitoa.")</f>
        <v>Gurdurr on loistavia purkamisessa – rakentaminen ei ole sen vahvuus. Joka tapauksessa tämän Pokémonin metallipalkin käsittelytavassa on taitoa.</v>
      </c>
      <c r="C7289" s="9" t="s">
        <v>1344</v>
      </c>
    </row>
    <row r="7290" ht="33.75" customHeight="1">
      <c r="A7290" s="6" t="s">
        <v>10774</v>
      </c>
      <c r="B7290" s="6" t="str">
        <f>IFERROR(__xludf.DUMMYFUNCTION("GOOGLETRANSLATE(A7290,""en"",""fi"")"),"Conkeldurrin uskotaan opettaneen ihmisille betonin valmistuksen yli 2 000 vuotta sitten.")</f>
        <v>Conkeldurrin uskotaan opettaneen ihmisille betonin valmistuksen yli 2 000 vuotta sitten.</v>
      </c>
      <c r="C7290" s="9" t="s">
        <v>1344</v>
      </c>
    </row>
    <row r="7291" ht="33.75" customHeight="1">
      <c r="A7291" s="6" t="s">
        <v>10775</v>
      </c>
      <c r="B7291" s="6" t="str">
        <f>IFERROR(__xludf.DUMMYFUNCTION("GOOGLETRANSLATE(A7291,""en"",""fi"")"),"He käyttävät betonipylväitä kävelykeppeinä. He osaavat liikkeitä, joiden avulla he voivat heiluttaa pylväitä vapaasti taistelussa.")</f>
        <v>He käyttävät betonipylväitä kävelykeppeinä. He osaavat liikkeitä, joiden avulla he voivat heiluttaa pylväitä vapaasti taistelussa.</v>
      </c>
      <c r="C7291" s="9" t="s">
        <v>1344</v>
      </c>
    </row>
    <row r="7292" ht="33.75" customHeight="1">
      <c r="A7292" s="6" t="s">
        <v>10776</v>
      </c>
      <c r="B7292" s="6" t="str">
        <f>IFERROR(__xludf.DUMMYFUNCTION("GOOGLETRANSLATE(A7292,""en"",""fi"")"),"Voiman varaan luottamisen sijaan he hallitsevat liikkeitä, jotka hyödyntävät pyörivän betonin keskipakoisvoimaa.")</f>
        <v>Voiman varaan luottamisen sijaan he hallitsevat liikkeitä, jotka hyödyntävät pyörivän betonin keskipakoisvoimaa.</v>
      </c>
      <c r="C7292" s="9" t="s">
        <v>1344</v>
      </c>
    </row>
    <row r="7293" ht="33.75" customHeight="1">
      <c r="A7293" s="6" t="s">
        <v>10777</v>
      </c>
      <c r="B7293" s="6" t="str">
        <f>IFERROR(__xludf.DUMMYFUNCTION("GOOGLETRANSLATE(A7293,""en"",""fi"")"),"Conkeldurrin sekoittama betoni on paljon kestävämpää kuin tavallinen betoni, vaikka materiaalien koostumus olisi sama.")</f>
        <v>Conkeldurrin sekoittama betoni on paljon kestävämpää kuin tavallinen betoni, vaikka materiaalien koostumus olisi sama.</v>
      </c>
      <c r="C7293" s="9" t="s">
        <v>1344</v>
      </c>
    </row>
    <row r="7294" ht="33.75" customHeight="1">
      <c r="A7294" s="6" t="s">
        <v>10778</v>
      </c>
      <c r="B7294" s="6" t="str">
        <f>IFERROR(__xludf.DUMMYFUNCTION("GOOGLETRANSLATE(A7294,""en"",""fi"")"),"Kaikin voimin tämä Pokémon heittää betonipilarinsa syrjään ja hyppää vastustajien kimppuun moukaroimaan heitä nyrkeillään.")</f>
        <v>Kaikin voimin tämä Pokémon heittää betonipilarinsa syrjään ja hyppää vastustajien kimppuun moukaroimaan heitä nyrkeillään.</v>
      </c>
      <c r="C7294" s="9" t="s">
        <v>1344</v>
      </c>
    </row>
    <row r="7295" ht="33.75" customHeight="1">
      <c r="A7295" s="6" t="s">
        <v>10779</v>
      </c>
      <c r="B7295" s="6" t="str">
        <f>IFERROR(__xludf.DUMMYFUNCTION("GOOGLETRANSLATE(A7295,""en"",""fi"")"),"Ne varoittavat muita vaarasta tärisyttämällä poskiaan luodakseen korkean äänen.")</f>
        <v>Ne varoittavat muita vaarasta tärisyttämällä poskiaan luodakseen korkean äänen.</v>
      </c>
      <c r="C7295" s="9" t="s">
        <v>1344</v>
      </c>
    </row>
    <row r="7296" ht="33.75" customHeight="1">
      <c r="A7296" s="6" t="s">
        <v>10780</v>
      </c>
      <c r="B7296" s="6" t="str">
        <f>IFERROR(__xludf.DUMMYFUNCTION("GOOGLETRANSLATE(A7296,""en"",""fi"")"),"Värähtelemällä poskiaan se lähettää ihmisille huomaamattomia ääniaaltoja. Se käyttää näiden äänien rytmiä puhuakseen.")</f>
        <v>Värähtelemällä poskiaan se lähettää ihmisille huomaamattomia ääniaaltoja. Se käyttää näiden äänien rytmiä puhuakseen.</v>
      </c>
      <c r="C7296" s="9" t="s">
        <v>1344</v>
      </c>
    </row>
    <row r="7297" ht="33.75" customHeight="1">
      <c r="A7297" s="6" t="s">
        <v>10781</v>
      </c>
      <c r="B7297" s="6" t="str">
        <f>IFERROR(__xludf.DUMMYFUNCTION("GOOGLETRANSLATE(A7297,""en"",""fi"")"),"Värähtelemällä poskiaan se lähettää ihmisille huomaamattomia ääniaaltoja ja varoittaa muita vaarasta.")</f>
        <v>Värähtelemällä poskiaan se lähettää ihmisille huomaamattomia ääniaaltoja ja varoittaa muita vaarasta.</v>
      </c>
      <c r="C7297" s="9" t="s">
        <v>1344</v>
      </c>
    </row>
    <row r="7298" ht="33.75" customHeight="1">
      <c r="A7298" s="6" t="s">
        <v>10782</v>
      </c>
      <c r="B7298" s="6" t="str">
        <f>IFERROR(__xludf.DUMMYFUNCTION("GOOGLETRANSLATE(A7298,""en"",""fi"")"),"Veden pinnalla kulkevat sulavat väreilyt ovat varma merkki siitä, että Tympolet laulavat alhaalla korkeilla äänillä.")</f>
        <v>Veden pinnalla kulkevat sulavat väreilyt ovat varma merkki siitä, että Tympolet laulavat alhaalla korkeilla äänillä.</v>
      </c>
      <c r="C7298" s="9" t="s">
        <v>1344</v>
      </c>
    </row>
    <row r="7299" ht="33.75" customHeight="1">
      <c r="A7299" s="6" t="s">
        <v>10783</v>
      </c>
      <c r="B7299" s="6" t="str">
        <f>IFERROR(__xludf.DUMMYFUNCTION("GOOGLETRANSLATE(A7299,""en"",""fi"")"),"Se käyttää ääniaaltoja kommunikoidakseen muiden lajitovereidensa kanssa. Ihmiset ja muut Pokémon-lajit eivät kuule sen varoitushuutoja.")</f>
        <v>Se käyttää ääniaaltoja kommunikoidakseen muiden lajitovereidensa kanssa. Ihmiset ja muut Pokémon-lajit eivät kuule sen varoitushuutoja.</v>
      </c>
      <c r="C7299" s="9" t="s">
        <v>1344</v>
      </c>
    </row>
    <row r="7300" ht="33.75" customHeight="1">
      <c r="A7300" s="6" t="s">
        <v>10784</v>
      </c>
      <c r="B7300" s="6" t="str">
        <f>IFERROR(__xludf.DUMMYFUNCTION("GOOGLETRANSLATE(A7300,""en"",""fi"")"),"Kun ne tärisyttävät päänsä kohoumia, ne voivat aiheuttaa aaltoja vedessä tai maanjäristyksen kaltaisia ​​värähtelyjä maalla.")</f>
        <v>Kun ne tärisyttävät päänsä kohoumia, ne voivat aiheuttaa aaltoja vedessä tai maanjäristyksen kaltaisia ​​värähtelyjä maalla.</v>
      </c>
      <c r="C7300" s="9" t="s">
        <v>1344</v>
      </c>
    </row>
    <row r="7301" ht="33.75" customHeight="1">
      <c r="A7301" s="6" t="s">
        <v>10786</v>
      </c>
      <c r="B7301" s="6" t="str">
        <f>IFERROR(__xludf.DUMMYFUNCTION("GOOGLETRANSLATE(A7301,""en"",""fi"")"),"Se elää vedessä ja maalla. Se käyttää pitkää, tahmeaa kieltään saaliin pyydystämiseen.")</f>
        <v>Se elää vedessä ja maalla. Se käyttää pitkää, tahmeaa kieltään saaliin pyydystämiseen.</v>
      </c>
      <c r="C7301" s="9" t="s">
        <v>1344</v>
      </c>
    </row>
    <row r="7302" ht="33.75" customHeight="1">
      <c r="A7302" s="6" t="s">
        <v>10787</v>
      </c>
      <c r="B7302" s="6" t="str">
        <f>IFERROR(__xludf.DUMMYFUNCTION("GOOGLETRANSLATE(A7302,""en"",""fi"")"),"Se elää vedessä ja maalla. Se käyttää pitkää, tahmeaa kieltään lamauttaakseen vastustajansa.")</f>
        <v>Se elää vedessä ja maalla. Se käyttää pitkää, tahmeaa kieltään lamauttaakseen vastustajansa.</v>
      </c>
      <c r="C7302" s="9" t="s">
        <v>1344</v>
      </c>
    </row>
    <row r="7303" ht="33.75" customHeight="1">
      <c r="A7303" s="6" t="s">
        <v>10788</v>
      </c>
      <c r="B7303" s="6" t="str">
        <f>IFERROR(__xludf.DUMMYFUNCTION("GOOGLETRANSLATE(A7303,""en"",""fi"")"),"Se heikentää saalistaan ​​ääniaalloilla, jotka ovat niin voimakkaita, että ne aiheuttavat päänsärkyä, ja sitten se kietoutuu tahmeaan kieleensä.")</f>
        <v>Se heikentää saalistaan ​​ääniaalloilla, jotka ovat niin voimakkaita, että ne aiheuttavat päänsärkyä, ja sitten se kietoutuu tahmeaan kieleensä.</v>
      </c>
      <c r="C7303" s="9" t="s">
        <v>1344</v>
      </c>
    </row>
    <row r="7304" ht="33.75" customHeight="1">
      <c r="A7304" s="6" t="s">
        <v>10790</v>
      </c>
      <c r="B7304" s="6" t="str">
        <f>IFERROR(__xludf.DUMMYFUNCTION("GOOGLETRANSLATE(A7304,""en"",""fi"")"),"Toisinaan niiden huuto on korvaan miellyttävää. Suuremmilla kyhmyillä kehossaan olevat Palpitoadit voivat laulaa laajemmalla äänialalla.")</f>
        <v>Toisinaan niiden huuto on korvaan miellyttävää. Suuremmilla kyhmyillä kehossaan olevat Palpitoadit voivat laulaa laajemmalla äänialalla.</v>
      </c>
      <c r="C7304" s="9" t="s">
        <v>1344</v>
      </c>
    </row>
    <row r="7305" ht="33.75" customHeight="1">
      <c r="A7305" s="6" t="s">
        <v>10792</v>
      </c>
      <c r="B7305" s="6" t="str">
        <f>IFERROR(__xludf.DUMMYFUNCTION("GOOGLETRANSLATE(A7305,""en"",""fi"")"),"Ne ampuvat lamauttavaa nestettä pään iskuista. Ne käyttävät tärinää satuttaakseen vastustajiaan.")</f>
        <v>Ne ampuvat lamauttavaa nestettä pään iskuista. Ne käyttävät tärinää satuttaakseen vastustajiaan.</v>
      </c>
      <c r="C7305" s="9" t="s">
        <v>1344</v>
      </c>
    </row>
    <row r="7306" ht="33.75" customHeight="1">
      <c r="A7306" s="6" t="s">
        <v>10794</v>
      </c>
      <c r="B7306" s="6" t="str">
        <f>IFERROR(__xludf.DUMMYFUNCTION("GOOGLETRANSLATE(A7306,""en"",""fi"")"),"Se lisää iskujensa voimaa värisemällä nyrkkiensä töyssyjä. Se voi muuttaa lohkareen raunioiksi yhdellä iskulla.")</f>
        <v>Se lisää iskujensa voimaa värisemällä nyrkkiensä töyssyjä. Se voi muuttaa lohkareen raunioiksi yhdellä iskulla.</v>
      </c>
      <c r="C7306" s="9" t="s">
        <v>1344</v>
      </c>
    </row>
    <row r="7307" ht="33.75" customHeight="1">
      <c r="A7307" s="6" t="s">
        <v>10797</v>
      </c>
      <c r="B7307" s="6" t="str">
        <f>IFERROR(__xludf.DUMMYFUNCTION("GOOGLETRANSLATE(A7307,""en"",""fi"")"),"Antamalla voimaa töyssyihinsä se luo värähtelyjä ja lisää iskujensa voimaa.")</f>
        <v>Antamalla voimaa töyssyihinsä se luo värähtelyjä ja lisää iskujensa voimaa.</v>
      </c>
      <c r="C7307" s="9" t="s">
        <v>1344</v>
      </c>
    </row>
    <row r="7308" ht="33.75" customHeight="1">
      <c r="A7308" s="6" t="s">
        <v>10798</v>
      </c>
      <c r="B7308" s="6" t="str">
        <f>IFERROR(__xludf.DUMMYFUNCTION("GOOGLETRANSLATE(A7308,""en"",""fi"")"),"Kehon kuoppien värähtely aiheuttaa maanjäristyksen kaltaisia ​​vapinoita. Seismitoad ja Croagunk ovat samankaltaisia ​​lajeja.")</f>
        <v>Kehon kuoppien värähtely aiheuttaa maanjäristyksen kaltaisia ​​vapinoita. Seismitoad ja Croagunk ovat samankaltaisia ​​lajeja.</v>
      </c>
      <c r="C7308" s="9" t="s">
        <v>1344</v>
      </c>
    </row>
    <row r="7309" ht="33.75" customHeight="1">
      <c r="A7309" s="6" t="s">
        <v>10800</v>
      </c>
      <c r="B7309" s="6" t="str">
        <f>IFERROR(__xludf.DUMMYFUNCTION("GOOGLETRANSLATE(A7309,""en"",""fi"")"),"Tämä Pokémon on suosittu vanhusten keskuudessa, jotka sanovat sen kyhmyjen värähtelyjen olevan loistavia hieronnoissa.")</f>
        <v>Tämä Pokémon on suosittu vanhusten keskuudessa, jotka sanovat sen kyhmyjen värähtelyjen olevan loistavia hieronnoissa.</v>
      </c>
      <c r="C7309" s="9" t="s">
        <v>1344</v>
      </c>
    </row>
    <row r="7310" ht="33.75" customHeight="1">
      <c r="A7310" s="6" t="s">
        <v>10802</v>
      </c>
      <c r="B7310" s="6" t="str">
        <f>IFERROR(__xludf.DUMMYFUNCTION("GOOGLETRANSLATE(A7310,""en"",""fi"")"),"Kun se kiristää vyötään, siitä tulee vahvempi. Villi Throh käyttää köynnöksiä omien vyöidensä kutomiseen.")</f>
        <v>Kun se kiristää vyötään, siitä tulee vahvempi. Villi Throh käyttää köynnöksiä omien vyöidensä kutomiseen.</v>
      </c>
      <c r="C7310" s="9" t="s">
        <v>1344</v>
      </c>
    </row>
    <row r="7311" ht="33.75" customHeight="1">
      <c r="A7311" s="6" t="s">
        <v>10804</v>
      </c>
      <c r="B7311" s="6" t="str">
        <f>IFERROR(__xludf.DUMMYFUNCTION("GOOGLETRANSLATE(A7311,""en"",""fi"")"),"Kohdatessaan itseään suurempia vihollisia, ne yrittävät heittää ne. Ne matkustavat aina viiden hengen laumoissa.")</f>
        <v>Kohdatessaan itseään suurempia vihollisia, ne yrittävät heittää ne. Ne matkustavat aina viiden hengen laumoissa.</v>
      </c>
      <c r="C7311" s="9" t="s">
        <v>1344</v>
      </c>
    </row>
    <row r="7312" ht="33.75" customHeight="1">
      <c r="A7312" s="6" t="s">
        <v>10805</v>
      </c>
      <c r="B7312" s="6" t="str">
        <f>IFERROR(__xludf.DUMMYFUNCTION("GOOGLETRANSLATE(A7312,""en"",""fi"")"),"Kun se kohtaa itseään suuremman vihollisen, se haluaa heittää sen. Se vaihtaa vyötä vahvistuessaan.")</f>
        <v>Kun se kohtaa itseään suuremman vihollisen, se haluaa heittää sen. Se vaihtaa vyötä vahvistuessaan.</v>
      </c>
      <c r="C7312" s="9" t="s">
        <v>1344</v>
      </c>
    </row>
    <row r="7313" ht="33.75" customHeight="1">
      <c r="A7313" s="6" t="s">
        <v>10806</v>
      </c>
      <c r="B7313" s="6" t="str">
        <f>IFERROR(__xludf.DUMMYFUNCTION("GOOGLETRANSLATE(A7313,""en"",""fi"")"),"Se suorittaa heittoliikkeitä ensiluokkaisella taidolla. Monien taisteluiden aikana Throhin vyö tummuu sen imeytyessä kantajansa hikeen.")</f>
        <v>Se suorittaa heittoliikkeitä ensiluokkaisella taidolla. Monien taisteluiden aikana Throhin vyö tummuu sen imeytyessä kantajansa hikeen.</v>
      </c>
      <c r="C7313" s="9" t="s">
        <v>1344</v>
      </c>
    </row>
    <row r="7314" ht="33.75" customHeight="1">
      <c r="A7314" s="6" t="s">
        <v>10808</v>
      </c>
      <c r="B7314" s="6" t="str">
        <f>IFERROR(__xludf.DUMMYFUNCTION("GOOGLETRANSLATE(A7314,""en"",""fi"")"),"He harjoittelevat viiden hengen ryhmissä. Jokainen jäsen, joka ei pysy perässä, heittää vyönsä pois ja poistuu ryhmästä.")</f>
        <v>He harjoittelevat viiden hengen ryhmissä. Jokainen jäsen, joka ei pysy perässä, heittää vyönsä pois ja poistuu ryhmästä.</v>
      </c>
      <c r="C7314" s="9" t="s">
        <v>1344</v>
      </c>
    </row>
    <row r="7315" ht="33.75" customHeight="1">
      <c r="A7315" s="6" t="s">
        <v>10809</v>
      </c>
      <c r="B7315" s="6" t="str">
        <f>IFERROR(__xludf.DUMMYFUNCTION("GOOGLETRANSLATE(A7315,""en"",""fi"")"),"Sawkin lyöntien ääni lohkareissa ja puissa kuuluu aina vuorilta, joilla he harjoittelevat.")</f>
        <v>Sawkin lyöntien ääni lohkareissa ja puissa kuuluu aina vuorilta, joilla he harjoittelevat.</v>
      </c>
      <c r="C7315" s="9" t="s">
        <v>1344</v>
      </c>
    </row>
    <row r="7316" ht="33.75" customHeight="1">
      <c r="A7316" s="6" t="s">
        <v>10810</v>
      </c>
      <c r="B7316" s="6" t="str">
        <f>IFERROR(__xludf.DUMMYFUNCTION("GOOGLETRANSLATE(A7316,""en"",""fi"")"),"Vyön sitominen saa heidät energisoitumaan ja tekee lyönneistään tuhoisampia. Harjoittelun häiritseminen suututtaa heitä.")</f>
        <v>Vyön sitominen saa heidät energisoitumaan ja tekee lyönneistään tuhoisampia. Harjoittelun häiritseminen suututtaa heitä.</v>
      </c>
      <c r="C7316" s="9" t="s">
        <v>1344</v>
      </c>
    </row>
    <row r="7317" ht="33.75" customHeight="1">
      <c r="A7317" s="6" t="s">
        <v>10811</v>
      </c>
      <c r="B7317" s="6" t="str">
        <f>IFERROR(__xludf.DUMMYFUNCTION("GOOGLETRANSLATE(A7317,""en"",""fi"")"),"Haluten vahvimman karate-osuuden, he eristäytyvät vuorille ja harjoittelevat nukkumatta.")</f>
        <v>Haluten vahvimman karate-osuuden, he eristäytyvät vuorille ja harjoittelevat nukkumatta.</v>
      </c>
      <c r="C7317" s="9" t="s">
        <v>1344</v>
      </c>
    </row>
    <row r="7318" ht="33.75" customHeight="1">
      <c r="A7318" s="6" t="s">
        <v>10813</v>
      </c>
      <c r="B7318" s="6" t="str">
        <f>IFERROR(__xludf.DUMMYFUNCTION("GOOGLETRANSLATE(A7318,""en"",""fi"")"),"Jos näet vuorilla sahaharjoittelijan harjoittelemassa voimanjanossaan, on parasta ohittaa se hiljaa.")</f>
        <v>Jos näet vuorilla sahaharjoittelijan harjoittelemassa voimanjanossaan, on parasta ohittaa se hiljaa.</v>
      </c>
      <c r="C7318" s="9" t="s">
        <v>1344</v>
      </c>
    </row>
    <row r="7319" ht="33.75" customHeight="1">
      <c r="A7319" s="6" t="s">
        <v>10814</v>
      </c>
      <c r="B7319" s="6" t="str">
        <f>IFERROR(__xludf.DUMMYFUNCTION("GOOGLETRANSLATE(A7319,""en"",""fi"")"),"Viimeiseen asti itsensä harjoitelleen Sawkin karateniskut voivat halkaista jopa meren.")</f>
        <v>Viimeiseen asti itsensä harjoitelleen Sawkin karateniskut voivat halkaista jopa meren.</v>
      </c>
      <c r="C7319" s="9" t="s">
        <v>1344</v>
      </c>
    </row>
    <row r="7320" ht="33.75" customHeight="1">
      <c r="A7320" s="6" t="s">
        <v>10815</v>
      </c>
      <c r="B7320" s="6" t="str">
        <f>IFERROR(__xludf.DUMMYFUNCTION("GOOGLETRANSLATE(A7320,""en"",""fi"")"),"Leavanny pukee sen vaatteisiin, jotka he tekivät sille kuoriutumisen yhteydessä. Se piilottaa päänsä huppuunsa nukkuessaan.")</f>
        <v>Leavanny pukee sen vaatteisiin, jotka he tekivät sille kuoriutumisen yhteydessä. Se piilottaa päänsä huppuunsa nukkuessaan.</v>
      </c>
      <c r="C7320" s="9" t="s">
        <v>1344</v>
      </c>
    </row>
    <row r="7321" ht="33.75" customHeight="1">
      <c r="A7321" s="6" t="s">
        <v>10816</v>
      </c>
      <c r="B7321" s="6" t="str">
        <f>IFERROR(__xludf.DUMMYFUNCTION("GOOGLETRANSLATE(A7321,""en"",""fi"")"),"Tämä Pokémon tekee itselleen vaatteita. Se pureskelee lehtiä ja ompelee ne suustaan ​​pursuavalla tahmealla langalla.")</f>
        <v>Tämä Pokémon tekee itselleen vaatteita. Se pureskelee lehtiä ja ompelee ne suustaan ​​pursuavalla tahmealla langalla.</v>
      </c>
      <c r="C7321" s="9" t="s">
        <v>1344</v>
      </c>
    </row>
    <row r="7322" ht="33.75" customHeight="1">
      <c r="A7322" s="6" t="s">
        <v>10817</v>
      </c>
      <c r="B7322" s="6" t="str">
        <f>IFERROR(__xludf.DUMMYFUNCTION("GOOGLETRANSLATE(A7322,""en"",""fi"")"),"Koska tämä Pokémon tekee omat vaatteensa lehdistä, se on suosittu maskotti muotisuunnittelijoille.")</f>
        <v>Koska tämä Pokémon tekee omat vaatteensa lehdistä, se on suosittu maskotti muotisuunnittelijoille.</v>
      </c>
      <c r="C7322" s="9" t="s">
        <v>1344</v>
      </c>
    </row>
    <row r="7323" ht="33.75" customHeight="1">
      <c r="A7323" s="6" t="s">
        <v>10818</v>
      </c>
      <c r="B7323" s="6" t="str">
        <f>IFERROR(__xludf.DUMMYFUNCTION("GOOGLETRANSLATE(A7323,""en"",""fi"")"),"Metsissä, joissa swadloon-linnut elävät, on upeat lehdet, koska niiden pudonneista lehdistä tuottamat ravinteet ravitsevat kasvillisuutta.")</f>
        <v>Metsissä, joissa swadloon-linnut elävät, on upeat lehdet, koska niiden pudonneista lehdistä tuottamat ravinteet ravitsevat kasvillisuutta.</v>
      </c>
      <c r="C7323" s="9" t="s">
        <v>1344</v>
      </c>
    </row>
    <row r="7324" ht="33.75" customHeight="1">
      <c r="A7324" s="6" t="s">
        <v>10820</v>
      </c>
      <c r="B7324" s="6" t="str">
        <f>IFERROR(__xludf.DUMMYFUNCTION("GOOGLETRANSLATE(A7324,""en"",""fi"")"),"Se suojaa itseään kylmältä kääriytymällä lehtiin. Se pysyy liikkeellä ja syö lehtiä metsissä.")</f>
        <v>Se suojaa itseään kylmältä kääriytymällä lehtiin. Se pysyy liikkeellä ja syö lehtiä metsissä.</v>
      </c>
      <c r="C7324" s="9" t="s">
        <v>1344</v>
      </c>
    </row>
    <row r="7325" ht="33.75" customHeight="1">
      <c r="A7325" s="6" t="s">
        <v>10821</v>
      </c>
      <c r="B7325" s="6" t="str">
        <f>IFERROR(__xludf.DUMMYFUNCTION("GOOGLETRANSLATE(A7325,""en"",""fi"")"),"Se viihtyy pimeissä ja kosteissa paikoissa ja viettää koko päivän syöden ympärillään olevia pudonneita lehtiä.")</f>
        <v>Se viihtyy pimeissä ja kosteissa paikoissa ja viettää koko päivän syöden ympärillään olevia pudonneita lehtiä.</v>
      </c>
      <c r="C7325" s="9" t="s">
        <v>1344</v>
      </c>
    </row>
    <row r="7326" ht="33.75" customHeight="1">
      <c r="A7326" s="6" t="s">
        <v>10822</v>
      </c>
      <c r="B7326" s="6" t="str">
        <f>IFERROR(__xludf.DUMMYFUNCTION("GOOGLETRANSLATE(A7326,""en"",""fi"")"),"Löydettyään pienen Pokémonin se kutoo sille vaatteita lehdistä käyttäen käsivarsissaan olevia leikkureita ja tahmeaa silkkiä.")</f>
        <v>Löydettyään pienen Pokémonin se kutoo sille vaatteita lehdistä käyttäen käsivarsissaan olevia leikkureita ja tahmeaa silkkiä.</v>
      </c>
      <c r="C7326" s="9" t="s">
        <v>1344</v>
      </c>
    </row>
    <row r="7327" ht="33.75" customHeight="1">
      <c r="A7327" s="6" t="s">
        <v>10823</v>
      </c>
      <c r="B7327" s="6" t="str">
        <f>IFERROR(__xludf.DUMMYFUNCTION("GOOGLETRANSLATE(A7327,""en"",""fi"")"),"Se pitää munansa lämpiminä käymislehtien lämmön avulla. Se käyttää lehtiä myös lämpimien kääreiden tekemiseen Sewaddlelle.")</f>
        <v>Se pitää munansa lämpiminä käymislehtien lämmön avulla. Se käyttää lehtiä myös lämpimien kääreiden tekemiseen Sewaddlelle.</v>
      </c>
      <c r="C7327" s="9" t="s">
        <v>1344</v>
      </c>
    </row>
    <row r="7328" ht="33.75" customHeight="1">
      <c r="A7328" s="6" t="s">
        <v>10825</v>
      </c>
      <c r="B7328" s="6" t="str">
        <f>IFERROR(__xludf.DUMMYFUNCTION("GOOGLETRANSLATE(A7328,""en"",""fi"")"),"Löydettyään pienen Pokémonin se kutoo sille vaatteita lehdistä käyttämällä suustaan ​​erittyvää tahmeaa silkkiä.")</f>
        <v>Löydettyään pienen Pokémonin se kutoo sille vaatteita lehdistä käyttämällä suustaan ​​erittyvää tahmeaa silkkiä.</v>
      </c>
      <c r="C7328" s="9" t="s">
        <v>1344</v>
      </c>
    </row>
    <row r="7329" ht="33.75" customHeight="1">
      <c r="A7329" s="6" t="s">
        <v>10826</v>
      </c>
      <c r="B7329" s="6" t="str">
        <f>IFERROR(__xludf.DUMMYFUNCTION("GOOGLETRANSLATE(A7329,""en"",""fi"")"),"Sen purema ruiskuttaa voimakasta myrkkyä, joka riittää halvaannuttamaan sitä saalistavat suuret lintu-Pokémonit.")</f>
        <v>Sen purema ruiskuttaa voimakasta myrkkyä, joka riittää halvaannuttamaan sitä saalistavat suuret lintu-Pokémonit.</v>
      </c>
      <c r="C7329" s="9" t="s">
        <v>1344</v>
      </c>
    </row>
    <row r="7330" ht="33.75" customHeight="1">
      <c r="A7330" s="6" t="s">
        <v>10827</v>
      </c>
      <c r="B7330" s="6" t="str">
        <f>IFERROR(__xludf.DUMMYFUNCTION("GOOGLETRANSLATE(A7330,""en"",""fi"")"),"Se havaitsee ympäristönsä tapahtumat käyttämällä pään ja hännän tuntosarvia. Se on raa'an aggressiivinen.")</f>
        <v>Se havaitsee ympäristönsä tapahtumat käyttämällä pään ja hännän tuntosarvia. Se on raa'an aggressiivinen.</v>
      </c>
      <c r="C7330" s="9" t="s">
        <v>1344</v>
      </c>
    </row>
    <row r="7331" ht="33.75" customHeight="1">
      <c r="A7331" s="6" t="s">
        <v>10828</v>
      </c>
      <c r="B7331" s="6" t="str">
        <f>IFERROR(__xludf.DUMMYFUNCTION("GOOGLETRANSLATE(A7331,""en"",""fi"")"),"Pään ja hännän tuntosarvien avulla se havaitsee ilmassa olevia värähtelyjä määrittääkseen saaliinsa sijainnin ja tilan.")</f>
        <v>Pään ja hännän tuntosarvien avulla se havaitsee ilmassa olevia värähtelyjä määrittääkseen saaliinsa sijainnin ja tilan.</v>
      </c>
      <c r="C7331" s="9" t="s">
        <v>1344</v>
      </c>
    </row>
    <row r="7332" ht="33.75" customHeight="1">
      <c r="A7332" s="6" t="s">
        <v>10829</v>
      </c>
      <c r="B7332" s="6" t="str">
        <f>IFERROR(__xludf.DUMMYFUNCTION("GOOGLETRANSLATE(A7332,""en"",""fi"")"),"Venipede ja Sizzlipede ovat samankaltaisia ​​lajeja, mutta kun ne kohtaavat, syntyy valtava taistelu.")</f>
        <v>Venipede ja Sizzlipede ovat samankaltaisia ​​lajeja, mutta kun ne kohtaavat, syntyy valtava taistelu.</v>
      </c>
      <c r="C7332" s="9" t="s">
        <v>1344</v>
      </c>
    </row>
    <row r="7333" ht="33.75" customHeight="1">
      <c r="A7333" s="6" t="s">
        <v>10831</v>
      </c>
      <c r="B7333" s="6" t="str">
        <f>IFERROR(__xludf.DUMMYFUNCTION("GOOGLETRANSLATE(A7333,""en"",""fi"")"),"Sen torahampaat ovat erittäin myrkylliset. Jos tämä Pokémon löytää saaliin, jonka se luulee voivansa syödä, se hyppää sen kimppuun ajattelematta, miten asiat voisivat päättyä.")</f>
        <v>Sen torahampaat ovat erittäin myrkylliset. Jos tämä Pokémon löytää saaliin, jonka se luulee voivansa syödä, se hyppää sen kimppuun ajattelematta, miten asiat voisivat päättyä.</v>
      </c>
      <c r="C7333" s="9" t="s">
        <v>1344</v>
      </c>
    </row>
    <row r="7334" ht="33.75" customHeight="1">
      <c r="A7334" s="6" t="s">
        <v>10832</v>
      </c>
      <c r="B7334" s="6" t="str">
        <f>IFERROR(__xludf.DUMMYFUNCTION("GOOGLETRANSLATE(A7334,""en"",""fi"")"),"Kovan kuoren suojaamana se pyörittää ruumistaan ​​kuin pyörää ja törmää raivokkaasti vihollistensa päälle.")</f>
        <v>Kovan kuoren suojaamana se pyörittää ruumistaan ​​kuin pyörää ja törmää raivokkaasti vihollistensa päälle.</v>
      </c>
      <c r="C7334" s="9" t="s">
        <v>1344</v>
      </c>
    </row>
    <row r="7335" ht="33.75" customHeight="1">
      <c r="A7335" s="6" t="s">
        <v>10833</v>
      </c>
      <c r="B7335" s="6" t="str">
        <f>IFERROR(__xludf.DUMMYFUNCTION("GOOGLETRANSLATE(A7335,""en"",""fi"")"),"Se on yleensä liikkumaton, mutta hyökkäyksen sattuessa se pyörii suurella nopeudella ja törmää sitten vastustajaansa.")</f>
        <v>Se on yleensä liikkumaton, mutta hyökkäyksen sattuessa se pyörii suurella nopeudella ja törmää sitten vastustajaansa.</v>
      </c>
      <c r="C7335" s="9" t="s">
        <v>1344</v>
      </c>
    </row>
    <row r="7336" ht="33.75" customHeight="1">
      <c r="A7336" s="6" t="s">
        <v>10835</v>
      </c>
      <c r="B7336" s="6" t="str">
        <f>IFERROR(__xludf.DUMMYFUNCTION("GOOGLETRANSLATE(A7336,""en"",""fi"")"),"Se varastoi energiaa evoluutiota varten ja pysyy paikallaan. Mutta kun saalistajat lähestyvät, se liikkuu ja iskee niitä myrkkypiikeillä.")</f>
        <v>Se varastoi energiaa evoluutiota varten ja pysyy paikallaan. Mutta kun saalistajat lähestyvät, se liikkuu ja iskee niitä myrkkypiikeillä.</v>
      </c>
      <c r="C7336" s="9" t="s">
        <v>1344</v>
      </c>
    </row>
    <row r="7337" ht="33.75" customHeight="1">
      <c r="A7337" s="6" t="s">
        <v>10837</v>
      </c>
      <c r="B7337" s="6" t="str">
        <f>IFERROR(__xludf.DUMMYFUNCTION("GOOGLETRANSLATE(A7337,""en"",""fi"")"),"Tämä Pokémon pyörii nopeasti ja syöksyy vastustajiensa kimppuun. Sen huippunopeus on hieman yli 95 km/h.")</f>
        <v>Tämä Pokémon pyörii nopeasti ja syöksyy vastustajiensa kimppuun. Sen huippunopeus on hieman yli 95 km/h.</v>
      </c>
      <c r="C7337" s="9" t="s">
        <v>1344</v>
      </c>
    </row>
    <row r="7338" ht="33.75" customHeight="1">
      <c r="A7338" s="6" t="s">
        <v>10839</v>
      </c>
      <c r="B7338" s="6" t="str">
        <f>IFERROR(__xludf.DUMMYFUNCTION("GOOGLETRANSLATE(A7338,""en"",""fi"")"),"Whirlipede suojaa itseään tukevalla kuorella ja myrkyllisillä piikkeillä samalla kun se varastoi evoluutioon tarvitsemaansa energiaa.")</f>
        <v>Whirlipede suojaa itseään tukevalla kuorella ja myrkyllisillä piikkeillä samalla kun se varastoi evoluutioon tarvitsemaansa energiaa.</v>
      </c>
      <c r="C7338" s="9" t="s">
        <v>1344</v>
      </c>
    </row>
    <row r="7339" ht="33.75" customHeight="1">
      <c r="A7339" s="6" t="s">
        <v>10841</v>
      </c>
      <c r="B7339" s="6" t="str">
        <f>IFERROR(__xludf.DUMMYFUNCTION("GOOGLETRANSLATE(A7339,""en"",""fi"")"),"Nopeilla liikkeillä se jahtaa vihollisiaan ja hyökkää armottomasti sarvillaan, kunnes se voittaa.")</f>
        <v>Nopeilla liikkeillä se jahtaa vihollisiaan ja hyökkää armottomasti sarvillaan, kunnes se voittaa.</v>
      </c>
      <c r="C7339" s="9" t="s">
        <v>1344</v>
      </c>
    </row>
    <row r="7340" ht="33.75" customHeight="1">
      <c r="A7340" s="6" t="s">
        <v>10843</v>
      </c>
      <c r="B7340" s="6" t="str">
        <f>IFERROR(__xludf.DUMMYFUNCTION("GOOGLETRANSLATE(A7340,""en"",""fi"")"),"Erittäin aggressiivinen, se käyttää kaulansa lähellä olevia kynsiä kaivautuakseen vastustajiinsa ja myrkyttääkseen heidät.")</f>
        <v>Erittäin aggressiivinen, se käyttää kaulansa lähellä olevia kynsiä kaivautuakseen vastustajiinsa ja myrkyttääkseen heidät.</v>
      </c>
      <c r="C7340" s="9" t="s">
        <v>1344</v>
      </c>
    </row>
    <row r="7341" ht="33.75" customHeight="1">
      <c r="A7341" s="6" t="s">
        <v>10845</v>
      </c>
      <c r="B7341" s="6" t="str">
        <f>IFERROR(__xludf.DUMMYFUNCTION("GOOGLETRANSLATE(A7341,""en"",""fi"")"),"Se puristaa saalistaan ​​kaulansa kynsillä, kunnes se lakkaa liikkumasta. Sitten se tappaa sen tappavalla myrkyllä.")</f>
        <v>Se puristaa saalistaan ​​kaulansa kynsillä, kunnes se lakkaa liikkumasta. Sitten se tappaa sen tappavalla myrkyllä.</v>
      </c>
      <c r="C7341" s="9" t="s">
        <v>1344</v>
      </c>
    </row>
    <row r="7342" ht="33.75" customHeight="1">
      <c r="A7342" s="6" t="s">
        <v>10846</v>
      </c>
      <c r="B7342" s="6" t="str">
        <f>IFERROR(__xludf.DUMMYFUNCTION("GOOGLETRANSLATE(A7342,""en"",""fi"")"),"Scolipede tarttuu saaliiseensa kaulassaan olevilla kynsillä ennen kuin paiskaa ne maahan ja pistää niitä kynsiensä myrkyllisillä piikkeillä.")</f>
        <v>Scolipede tarttuu saaliiseensa kaulassaan olevilla kynsillä ennen kuin paiskaa ne maahan ja pistää niitä kynsiensä myrkyllisillä piikkeillä.</v>
      </c>
      <c r="C7342" s="9" t="s">
        <v>1344</v>
      </c>
    </row>
    <row r="7343" ht="33.75" customHeight="1">
      <c r="A7343" s="6" t="s">
        <v>10848</v>
      </c>
      <c r="B7343" s="6" t="str">
        <f>IFERROR(__xludf.DUMMYFUNCTION("GOOGLETRANSLATE(A7343,""en"",""fi"")"),"Scolipedet käyvät rajuja aluetaisteluita Centiskorchin kanssa. Yhden taistelun päätteeksi voittaja antaa häviäjälle aterian.")</f>
        <v>Scolipedet käyvät rajuja aluetaisteluita Centiskorchin kanssa. Yhden taistelun päätteeksi voittaja antaa häviäjälle aterian.</v>
      </c>
      <c r="C7343" s="9" t="s">
        <v>1344</v>
      </c>
    </row>
    <row r="7344" ht="33.75" customHeight="1">
      <c r="A7344" s="6" t="s">
        <v>10849</v>
      </c>
      <c r="B7344" s="6" t="str">
        <f>IFERROR(__xludf.DUMMYFUNCTION("GOOGLETRANSLATE(A7344,""en"",""fi"")"),"Hyökkäyksen sattuessa se pakenee ampumalla ulos vanua. Vanu toimii houkuttimena hyökkääjän häiritsemiseksi.")</f>
        <v>Hyökkäyksen sattuessa se pakenee ampumalla ulos vanua. Vanu toimii houkuttimena hyökkääjän häiritsemiseksi.</v>
      </c>
      <c r="C7344" s="9" t="s">
        <v>1344</v>
      </c>
    </row>
    <row r="7345" ht="33.75" customHeight="1">
      <c r="A7345" s="6" t="s">
        <v>10850</v>
      </c>
      <c r="B7345" s="6" t="str">
        <f>IFERROR(__xludf.DUMMYFUNCTION("GOOGLETRANSLATE(A7345,""en"",""fi"")"),"Ne menevät minne tuuli ne vie. Sateisina päivinä niiden ruumiit ovat painavampia, joten ne hakeutuvat suojaan suurten puiden alle.")</f>
        <v>Ne menevät minne tuuli ne vie. Sateisina päivinä niiden ruumiit ovat painavampia, joten ne hakeutuvat suojaan suurten puiden alle.</v>
      </c>
      <c r="C7345" s="9" t="s">
        <v>1344</v>
      </c>
    </row>
    <row r="7346" ht="33.75" customHeight="1">
      <c r="A7346" s="6" t="s">
        <v>10852</v>
      </c>
      <c r="B7346" s="6" t="str">
        <f>IFERROR(__xludf.DUMMYFUNCTION("GOOGLETRANSLATE(A7346,""en"",""fi"")"),"Ehkäpä siksi, että he tuntevat olonsa mukavammaksi ryhmässä, he pysyttelevät löytämiensä ihmisten seurassa. Lopulta he näyttävätkin pilveltä.")</f>
        <v>Ehkäpä siksi, että he tuntevat olonsa mukavammaksi ryhmässä, he pysyttelevät löytämiensä ihmisten seurassa. Lopulta he näyttävätkin pilveltä.</v>
      </c>
      <c r="C7346" s="9" t="s">
        <v>1344</v>
      </c>
    </row>
    <row r="7347" ht="33.75" customHeight="1">
      <c r="A7347" s="6" t="s">
        <v>10853</v>
      </c>
      <c r="B7347" s="6" t="str">
        <f>IFERROR(__xludf.DUMMYFUNCTION("GOOGLETRANSLATE(A7347,""en"",""fi"")"),"Kun se löytää muita samanlaisia, ne pysyvät yhdessä. Kun niitä on kertynyt tarpeeksi, massa muistuttaa kumpupilveä.")</f>
        <v>Kun se löytää muita samanlaisia, ne pysyvät yhdessä. Kun niitä on kertynyt tarpeeksi, massa muistuttaa kumpupilveä.</v>
      </c>
      <c r="C7347" s="9" t="s">
        <v>1344</v>
      </c>
    </row>
    <row r="7348" ht="33.75" customHeight="1">
      <c r="A7348" s="6" t="s">
        <v>10855</v>
      </c>
      <c r="B7348" s="6" t="str">
        <f>IFERROR(__xludf.DUMMYFUNCTION("GOOGLETRANSLATE(A7348,""en"",""fi"")"),"Cottoneen puuvillalla täytetyt tyynyt ja sängyt ovat pehmeitä ja muhkeita, kevyitä ja ilmavia – kaiken kaikkiaan huippulaatua.")</f>
        <v>Cottoneen puuvillalla täytetyt tyynyt ja sängyt ovat pehmeitä ja muhkeita, kevyitä ja ilmavia – kaiken kaikkiaan huippulaatua.</v>
      </c>
      <c r="C7348" s="9" t="s">
        <v>1344</v>
      </c>
    </row>
    <row r="7349" ht="33.75" customHeight="1">
      <c r="A7349" s="6" t="s">
        <v>10856</v>
      </c>
      <c r="B7349" s="6" t="str">
        <f>IFERROR(__xludf.DUMMYFUNCTION("GOOGLETRANSLATE(A7349,""en"",""fi"")"),"Suojautuakseen se ampuu puuvillaa ulos kehostaan. Kun se kastuu sateessa, sen puuvilla kostuu ja painaa, eikä se pysty liikkumaan yhtä hyvin.")</f>
        <v>Suojautuakseen se ampuu puuvillaa ulos kehostaan. Kun se kastuu sateessa, sen puuvilla kostuu ja painaa, eikä se pysty liikkumaan yhtä hyvin.</v>
      </c>
      <c r="C7349" s="9" t="s">
        <v>1344</v>
      </c>
    </row>
    <row r="7350" ht="33.75" customHeight="1">
      <c r="A7350" s="6" t="s">
        <v>10857</v>
      </c>
      <c r="B7350" s="6" t="str">
        <f>IFERROR(__xludf.DUMMYFUNCTION("GOOGLETRANSLATE(A7350,""en"",""fi"")"),"Hyökkäyksen sattuessa se työntää ulos vanua kehostaan ​​luodakseen harhautuksen. Menetetty vanu kasvaa nopeasti takaisin.")</f>
        <v>Hyökkäyksen sattuessa se työntää ulos vanua kehostaan ​​luodakseen harhautuksen. Menetetty vanu kasvaa nopeasti takaisin.</v>
      </c>
      <c r="C7350" s="9" t="s">
        <v>1344</v>
      </c>
    </row>
    <row r="7351" ht="33.75" customHeight="1">
      <c r="A7351" s="6" t="s">
        <v>10858</v>
      </c>
      <c r="B7351" s="6" t="str">
        <f>IFERROR(__xludf.DUMMYFUNCTION("GOOGLETRANSLATE(A7351,""en"",""fi"")"),"Se ampuu puuvillaa kehostaan ​​suojautuakseen. Jos se joutuu hurrikaanin voimakkuuden omaavien tuulien iskiessä, se voi lentää toiselle puolelle maapalloa.")</f>
        <v>Se ampuu puuvillaa kehostaan ​​suojautuakseen. Jos se joutuu hurrikaanin voimakkuuden omaavien tuulien iskiessä, se voi lentää toiselle puolelle maapalloa.</v>
      </c>
      <c r="C7351" s="9" t="s">
        <v>1344</v>
      </c>
    </row>
    <row r="7352" ht="33.75" customHeight="1">
      <c r="A7352" s="6" t="s">
        <v>10859</v>
      </c>
      <c r="B7352" s="6" t="str">
        <f>IFERROR(__xludf.DUMMYFUNCTION("GOOGLETRANSLATE(A7352,""en"",""fi"")"),"Cottooneen ja Eldegossin puuvillan yhdistäminen tuottaa hienoa kangasta, jota monet luksusmerkit arvostavat.")</f>
        <v>Cottooneen ja Eldegossin puuvillan yhdistäminen tuottaa hienoa kangasta, jota monet luksusmerkit arvostavat.</v>
      </c>
      <c r="C7352" s="9" t="s">
        <v>1344</v>
      </c>
    </row>
    <row r="7353" ht="33.75" customHeight="1">
      <c r="A7353" s="6" t="s">
        <v>10860</v>
      </c>
      <c r="B7353" s="6" t="str">
        <f>IFERROR(__xludf.DUMMYFUNCTION("GOOGLETRANSLATE(A7353,""en"",""fi"")"),"Kuten tuuli, se voi pujahtaa mistä tahansa raosta, olipa se kuinka pieni tahansa. Se jättää jälkeensä valkoisia nukkapalloja.")</f>
        <v>Kuten tuuli, se voi pujahtaa mistä tahansa raosta, olipa se kuinka pieni tahansa. Se jättää jälkeensä valkoisia nukkapalloja.</v>
      </c>
      <c r="C7353" s="9" t="s">
        <v>1344</v>
      </c>
    </row>
    <row r="7354" ht="33.75" customHeight="1">
      <c r="A7354" s="6" t="s">
        <v>10861</v>
      </c>
      <c r="B7354" s="6" t="str">
        <f>IFERROR(__xludf.DUMMYFUNCTION("GOOGLETRANSLATE(A7354,""en"",""fi"")"),"Ne ilmestyvät pyörremyrskyjen selässä. Nämä Pokémonit hiipivät raoista taloihin ja aiheuttavat kaikenlaista pahaa.")</f>
        <v>Ne ilmestyvät pyörremyrskyjen selässä. Nämä Pokémonit hiipivät raoista taloihin ja aiheuttavat kaikenlaista pahaa.</v>
      </c>
      <c r="C7354" s="9" t="s">
        <v>1344</v>
      </c>
    </row>
    <row r="7355" ht="33.75" customHeight="1">
      <c r="A7355" s="6" t="s">
        <v>10862</v>
      </c>
      <c r="B7355" s="6" t="str">
        <f>IFERROR(__xludf.DUMMYFUNCTION("GOOGLETRANSLATE(A7355,""en"",""fi"")"),"Ne ilmestyvät pyörremyrskyjen mukana. Ne tekevät kepposia, kuten siirtelevät huonekaluja ja jättävät vanupalloja koteihin.")</f>
        <v>Ne ilmestyvät pyörremyrskyjen mukana. Ne tekevät kepposia, kuten siirtelevät huonekaluja ja jättävät vanupalloja koteihin.</v>
      </c>
      <c r="C7355" s="9" t="s">
        <v>1344</v>
      </c>
    </row>
    <row r="7356" ht="33.75" customHeight="1">
      <c r="A7356" s="6" t="s">
        <v>10864</v>
      </c>
      <c r="B7356" s="6" t="str">
        <f>IFERROR(__xludf.DUMMYFUNCTION("GOOGLETRANSLATE(A7356,""en"",""fi"")"),"Se lipuu tuulen mukana ja livahtaa ihmisten koteihin. Muutettuaan huoneen pumpulimaiseksi sotkuksi se kikattaa itsekseen ja lähtee pois.")</f>
        <v>Se lipuu tuulen mukana ja livahtaa ihmisten koteihin. Muutettuaan huoneen pumpulimaiseksi sotkuksi se kikattaa itsekseen ja lähtee pois.</v>
      </c>
      <c r="C7356" s="9" t="s">
        <v>1344</v>
      </c>
    </row>
    <row r="7357" ht="33.75" customHeight="1">
      <c r="A7357" s="6" t="s">
        <v>10865</v>
      </c>
      <c r="B7357" s="6" t="str">
        <f>IFERROR(__xludf.DUMMYFUNCTION("GOOGLETRANSLATE(A7357,""en"",""fi"")"),"Tämä Pokémon ilmestyy ratsastaen tuulen päällä. Mutta jos tuuli yltyy, se puhaltaa puuvillan pois tämän Pokémonin päästä.")</f>
        <v>Tämä Pokémon ilmestyy ratsastaen tuulen päällä. Mutta jos tuuli yltyy, se puhaltaa puuvillan pois tämän Pokémonin päästä.</v>
      </c>
      <c r="C7357" s="9" t="s">
        <v>1344</v>
      </c>
    </row>
    <row r="7358" ht="33.75" customHeight="1">
      <c r="A7358" s="6" t="s">
        <v>10866</v>
      </c>
      <c r="B7358" s="6" t="str">
        <f>IFERROR(__xludf.DUMMYFUNCTION("GOOGLETRANSLATE(A7358,""en"",""fi"")"),"Tämä riesa hiipii ihmisten koteihin, piilottaa sinne tärkeitä tavaroita ja levittää puuvillaa kaikkialle.")</f>
        <v>Tämä riesa hiipii ihmisten koteihin, piilottaa sinne tärkeitä tavaroita ja levittää puuvillaa kaikkialle.</v>
      </c>
      <c r="C7358" s="9" t="s">
        <v>1344</v>
      </c>
    </row>
    <row r="7359" ht="33.75" customHeight="1">
      <c r="A7359" s="6" t="s">
        <v>10867</v>
      </c>
      <c r="B7359" s="6" t="str">
        <f>IFERROR(__xludf.DUMMYFUNCTION("GOOGLETRANSLATE(A7359,""en"",""fi"")"),"Whimsicott ei asu kiinteässä paikassa. Se liitelee ympäriinsä pyörteilevissä tuulissa ja ilmestyy kaikkialle tekemään kepposiaan.")</f>
        <v>Whimsicott ei asu kiinteässä paikassa. Se liitelee ympäriinsä pyörteilevissä tuulissa ja ilmestyy kaikkialle tekemään kepposiaan.</v>
      </c>
      <c r="C7359" s="9" t="s">
        <v>1344</v>
      </c>
    </row>
    <row r="7360" ht="33.75" customHeight="1">
      <c r="A7360" s="6" t="s">
        <v>10868</v>
      </c>
      <c r="B7360" s="6" t="str">
        <f>IFERROR(__xludf.DUMMYFUNCTION("GOOGLETRANSLATE(A7360,""en"",""fi"")"),"Se sipaisee puuvillaa kaikkialle pilallaan. Jos se kastuu, siitä tulee liian raskas liikuteltavaksi, eikä sillä ole muuta vaihtoehtoa kuin vastata ilkikurisuuteensa.")</f>
        <v>Se sipaisee puuvillaa kaikkialle pilallaan. Jos se kastuu, siitä tulee liian raskas liikuteltavaksi, eikä sillä ole muuta vaihtoehtoa kuin vastata ilkikurisuuteensa.</v>
      </c>
      <c r="C7360" s="9" t="s">
        <v>1344</v>
      </c>
    </row>
    <row r="7361" ht="33.75" customHeight="1">
      <c r="A7361" s="6" t="s">
        <v>10869</v>
      </c>
      <c r="B7361" s="6" t="str">
        <f>IFERROR(__xludf.DUMMYFUNCTION("GOOGLETRANSLATE(A7361,""en"",""fi"")"),"Niin kauan kuin tämä Pokémon kylpee auringonvalossa, sen puuvilla kasvaa. Jos puuvillanöyhtää kertyy liikaa, Whimsicott repii sen irti ja hajottaa sen.")</f>
        <v>Niin kauan kuin tämä Pokémon kylpee auringonvalossa, sen puuvilla kasvaa. Jos puuvillanöyhtää kertyy liikaa, Whimsicott repii sen irti ja hajottaa sen.</v>
      </c>
      <c r="C7361" s="9" t="s">
        <v>1344</v>
      </c>
    </row>
    <row r="7362" ht="33.75" customHeight="1">
      <c r="A7362" s="6" t="s">
        <v>10870</v>
      </c>
      <c r="B7362" s="6" t="str">
        <f>IFERROR(__xludf.DUMMYFUNCTION("GOOGLETRANSLATE(A7362,""en"",""fi"")"),"Sen päässä olevat lehdet ovat hyvin karvaita. Yhden tällaisen lehden syömisen tiedetään virkistävän väsynyttä kehoa.")</f>
        <v>Sen päässä olevat lehdet ovat hyvin karvaita. Yhden tällaisen lehden syömisen tiedetään virkistävän väsynyttä kehoa.</v>
      </c>
      <c r="C7362" s="9" t="s">
        <v>1344</v>
      </c>
    </row>
    <row r="7363" ht="33.75" customHeight="1">
      <c r="A7363" s="6" t="s">
        <v>10871</v>
      </c>
      <c r="B7363" s="6" t="str">
        <f>IFERROR(__xludf.DUMMYFUNCTION("GOOGLETRANSLATE(A7363,""en"",""fi"")"),"Koska ne suosivat kosteaa ja ravinnepitoista maaperää, alueet, joilla Petilil-heimon lajit elävät, tunnetaan hyvinä kasvien kasvattamiseen.")</f>
        <v>Koska ne suosivat kosteaa ja ravinnepitoista maaperää, alueet, joilla Petilil-heimon lajit elävät, tunnetaan hyvinä kasvien kasvattamiseen.</v>
      </c>
      <c r="C7363" s="9" t="s">
        <v>1344</v>
      </c>
    </row>
    <row r="7364" ht="33.75" customHeight="1">
      <c r="A7364" s="6" t="s">
        <v>10873</v>
      </c>
      <c r="B7364" s="6" t="str">
        <f>IFERROR(__xludf.DUMMYFUNCTION("GOOGLETRANSLATE(A7364,""en"",""fi"")"),"Sen päässä olevat lehdet kasvavat takaisin, vaikka ne putoaisivatkin pois. Nämä karvaat lehdet virkistävät niitä, jotka niitä syövät.")</f>
        <v>Sen päässä olevat lehdet kasvavat takaisin, vaikka ne putoaisivatkin pois. Nämä karvaat lehdet virkistävät niitä, jotka niitä syövät.</v>
      </c>
      <c r="C7364" s="9" t="s">
        <v>1344</v>
      </c>
    </row>
    <row r="7365" ht="33.75" customHeight="1">
      <c r="A7365" s="6" t="s">
        <v>10874</v>
      </c>
      <c r="B7365" s="6" t="str">
        <f>IFERROR(__xludf.DUMMYFUNCTION("GOOGLETRANSLATE(A7365,""en"",""fi"")"),"Vaikka sen päässä olevat lehdet ovat niin kitkeriä, että ne aiheuttavat huimausta, ne lievittävät väsymystä – varsinkin keitettyinä.")</f>
        <v>Vaikka sen päässä olevat lehdet ovat niin kitkeriä, että ne aiheuttavat huimausta, ne lievittävät väsymystä – varsinkin keitettyinä.</v>
      </c>
      <c r="C7365" s="9" t="s">
        <v>1344</v>
      </c>
    </row>
    <row r="7366" ht="33.75" customHeight="1">
      <c r="A7366" s="6" t="s">
        <v>10875</v>
      </c>
      <c r="B7366" s="6" t="str">
        <f>IFERROR(__xludf.DUMMYFUNCTION("GOOGLETRANSLATE(A7366,""en"",""fi"")"),"Leikkaamalla säännöllisesti sen pään lehtiä, tästä Pokémonista voidaan kasvattaa hieno pyöreä muoto.")</f>
        <v>Leikkaamalla säännöllisesti sen pään lehtiä, tästä Pokémonista voidaan kasvattaa hieno pyöreä muoto.</v>
      </c>
      <c r="C7366" s="9" t="s">
        <v>1344</v>
      </c>
    </row>
    <row r="7367" ht="33.75" customHeight="1">
      <c r="A7367" s="6" t="s">
        <v>10877</v>
      </c>
      <c r="B7367" s="6" t="str">
        <f>IFERROR(__xludf.DUMMYFUNCTION("GOOGLETRANSLATE(A7367,""en"",""fi"")"),"Jotkut sanovat, että jos kuivaat lehdet sen päästä, keität ne ja juot haudukkeen, elinvoimasi palaa, joten Petilil on suosittu vanhusten keskuudessa.")</f>
        <v>Jotkut sanovat, että jos kuivaat lehdet sen päästä, keität ne ja juot haudukkeen, elinvoimasi palaa, joten Petilil on suosittu vanhusten keskuudessa.</v>
      </c>
      <c r="C7367" s="9" t="s">
        <v>1344</v>
      </c>
    </row>
    <row r="7368" ht="33.75" customHeight="1">
      <c r="A7368" s="6" t="s">
        <v>10878</v>
      </c>
      <c r="B7368" s="6" t="str">
        <f>IFERROR(__xludf.DUMMYFUNCTION("GOOGLETRANSLATE(A7368,""en"",""fi"")"),"Ne pitävät puhtaasta vedestä ja maaperästä. Kun niiden elinympäristö huononee, koko lauma nousee ylös ja muuttaa uudelle alueelle.")</f>
        <v>Ne pitävät puhtaasta vedestä ja maaperästä. Kun niiden elinympäristö huononee, koko lauma nousee ylös ja muuttaa uudelle alueelle.</v>
      </c>
      <c r="C7368" s="9" t="s">
        <v>1344</v>
      </c>
    </row>
    <row r="7369" ht="33.75" customHeight="1">
      <c r="A7369" s="6" t="s">
        <v>10879</v>
      </c>
      <c r="B7369" s="6" t="str">
        <f>IFERROR(__xludf.DUMMYFUNCTION("GOOGLETRANSLATE(A7369,""en"",""fi"")"),"Petililiä esiintyy puhtaan veden lähteiden lähellä. Tämän Pokémonin päästä keitettyjen lehtien ansiosta syntyy nestettä, jota joskus käytetään hyönteiskarkotteena.")</f>
        <v>Petililiä esiintyy puhtaan veden lähteiden lähellä. Tämän Pokémonin päästä keitettyjen lehtien ansiosta syntyy nestettä, jota joskus käytetään hyönteiskarkotteena.</v>
      </c>
      <c r="C7369" s="9" t="s">
        <v>1344</v>
      </c>
    </row>
    <row r="7370" ht="33.75" customHeight="1">
      <c r="A7370" s="6" t="s">
        <v>10880</v>
      </c>
      <c r="B7370" s="6" t="str">
        <f>IFERROR(__xludf.DUMMYFUNCTION("GOOGLETRANSLATE(A7370,""en"",""fi"")"),"Mitä tummempi Petililin lehtien väri on, sitä terveempi Pokémon on. Petilil tekee joskus kotinsa hyvin hoidetulla pellolla tai kukkapenkissä.")</f>
        <v>Mitä tummempi Petililin lehtien väri on, sitä terveempi Pokémon on. Petilil tekee joskus kotinsa hyvin hoidetulla pellolla tai kukkapenkissä.</v>
      </c>
      <c r="C7370" s="9" t="s">
        <v>1344</v>
      </c>
    </row>
    <row r="7371" ht="33.75" customHeight="1">
      <c r="A7371" s="6" t="s">
        <v>10881</v>
      </c>
      <c r="B7371" s="6" t="str">
        <f>IFERROR(__xludf.DUMMYFUNCTION("GOOGLETRANSLATE(A7371,""en"",""fi"")"),"Sen päässä olevia lehtiä arvostetaan suuresti lääkinnällisiin tarkoituksiin. Kuivaa lehdet auringossa, keitä ne ja juo sitten katkeraa keittoa saadaksesi huomattavan tehokkaan lievityksen väsymykseen.")</f>
        <v>Sen päässä olevia lehtiä arvostetaan suuresti lääkinnällisiin tarkoituksiin. Kuivaa lehdet auringossa, keitä ne ja juo sitten katkeraa keittoa saadaksesi huomattavan tehokkaan lievityksen väsymykseen.</v>
      </c>
      <c r="C7371" s="9" t="s">
        <v>1344</v>
      </c>
    </row>
    <row r="7372" ht="33.75" customHeight="1">
      <c r="A7372" s="6" t="s">
        <v>10882</v>
      </c>
      <c r="B7372" s="6" t="str">
        <f>IFERROR(__xludf.DUMMYFUNCTION("GOOGLETRANSLATE(A7372,""en"",""fi"")"),"Jopa kokeneet kouluttajat kohtaavat haasteen saadakseen sen kauniin kukan kukkimaan. Tämä Pokémon on suosittu julkkisten keskuudessa.")</f>
        <v>Jopa kokeneet kouluttajat kohtaavat haasteen saadakseen sen kauniin kukan kukkimaan. Tämä Pokémon on suosittu julkkisten keskuudessa.</v>
      </c>
      <c r="C7372" s="9" t="s">
        <v>1344</v>
      </c>
    </row>
    <row r="7373" ht="33.75" customHeight="1">
      <c r="A7373" s="6" t="s">
        <v>10883</v>
      </c>
      <c r="B7373" s="6" t="str">
        <f>IFERROR(__xludf.DUMMYFUNCTION("GOOGLETRANSLATE(A7373,""en"",""fi"")"),"Pään päällä olevan köynnöksen tuoksulla on rentouttava vaikutus. Se kuihtuu, jos kouluttaja ei pidä siitä hyvää huolta.")</f>
        <v>Pään päällä olevan köynnöksen tuoksulla on rentouttava vaikutus. Se kuihtuu, jos kouluttaja ei pidä siitä hyvää huolta.</v>
      </c>
      <c r="C7373" s="9" t="s">
        <v>1344</v>
      </c>
    </row>
    <row r="7374" ht="33.75" customHeight="1">
      <c r="A7374" s="6" t="s">
        <v>10884</v>
      </c>
      <c r="B7374" s="6" t="str">
        <f>IFERROR(__xludf.DUMMYFUNCTION("GOOGLETRANSLATE(A7374,""en"",""fi"")"),"Pään päällä olevan seppeleen tuoksulla on rentouttava vaikutus, mutta sen hoitaminen on erittäin vaikeaa.")</f>
        <v>Pään päällä olevan seppeleen tuoksulla on rentouttava vaikutus, mutta sen hoitaminen on erittäin vaikeaa.</v>
      </c>
      <c r="C7374" s="9" t="s">
        <v>1344</v>
      </c>
    </row>
    <row r="7375" ht="33.75" customHeight="1">
      <c r="A7375" s="6" t="s">
        <v>10885</v>
      </c>
      <c r="B7375" s="6" t="str">
        <f>IFERROR(__xludf.DUMMYFUNCTION("GOOGLETRANSLATE(A7375,""en"",""fi"")"),"Riippumatta siitä, kuinka paljon aikaa ja rahaa sen kasvattamiseen käytetään, sen kukat ovat kauneimmillaan, kun ne kukkivat luonnossa.")</f>
        <v>Riippumatta siitä, kuinka paljon aikaa ja rahaa sen kasvattamiseen käytetään, sen kukat ovat kauneimmillaan, kun ne kukkivat luonnossa.</v>
      </c>
      <c r="C7375" s="9" t="s">
        <v>1344</v>
      </c>
    </row>
    <row r="7376" ht="33.75" customHeight="1">
      <c r="A7376" s="6" t="s">
        <v>10886</v>
      </c>
      <c r="B7376" s="6" t="str">
        <f>IFERROR(__xludf.DUMMYFUNCTION("GOOGLETRANSLATE(A7376,""en"",""fi"")"),"Heti kun se löytää uroksen kumppanikseen, sen päässä oleva kaunis kukka tummuu, kuihtuu ja kuihtuu pois.")</f>
        <v>Heti kun se löytää uroksen kumppanikseen, sen päässä oleva kaunis kukka tummuu, kuihtuu ja kuihtuu pois.</v>
      </c>
      <c r="C7376" s="9" t="s">
        <v>1344</v>
      </c>
    </row>
    <row r="7377" ht="33.75" customHeight="1">
      <c r="A7377" s="6" t="s">
        <v>10887</v>
      </c>
      <c r="B7377" s="6" t="str">
        <f>IFERROR(__xludf.DUMMYFUNCTION("GOOGLETRANSLATE(A7377,""en"",""fi"")"),"Sen kukan tuoksu vaihtelee hieman riippuen kasvupaikasta. Tuoksun nuuhkiminen rauhoittaa sydäntä ja mieltä.")</f>
        <v>Sen kukan tuoksu vaihtelee hieman riippuen kasvupaikasta. Tuoksun nuuhkiminen rauhoittaa sydäntä ja mieltä.</v>
      </c>
      <c r="C7377" s="9" t="s">
        <v>1344</v>
      </c>
    </row>
    <row r="7378" ht="33.75" customHeight="1">
      <c r="A7378" s="6" t="s">
        <v>10888</v>
      </c>
      <c r="B7378" s="6" t="str">
        <f>IFERROR(__xludf.DUMMYFUNCTION("GOOGLETRANSLATE(A7378,""en"",""fi"")"),"Muut Pokémonit pitävät siitä paljon sen kauneuden vuoksi. Sen päässä oleva kukka tarvitsee jatkuvaa hoitoa, tai se kuihtuu ja mätänee pian.")</f>
        <v>Muut Pokémonit pitävät siitä paljon sen kauneuden vuoksi. Sen päässä oleva kukka tarvitsee jatkuvaa hoitoa, tai se kuihtuu ja mätänee pian.</v>
      </c>
      <c r="C7378" s="9" t="s">
        <v>1344</v>
      </c>
    </row>
    <row r="7379" ht="33.75" customHeight="1">
      <c r="A7379" s="6" t="s">
        <v>10890</v>
      </c>
      <c r="B7379" s="6" t="str">
        <f>IFERROR(__xludf.DUMMYFUNCTION("GOOGLETRANSLATE(A7379,""en"",""fi"")"),"Uskotaan, että jopa ensiluokkaisilla puutarhureilla on vaikeuksia saada Lilligantin päässä oleva kukka kukkimaan.")</f>
        <v>Uskotaan, että jopa ensiluokkaisilla puutarhureilla on vaikeuksia saada Lilligantin päässä oleva kukka kukkimaan.</v>
      </c>
      <c r="C7379" s="9" t="s">
        <v>1344</v>
      </c>
    </row>
    <row r="7380" ht="33.75" customHeight="1">
      <c r="A7380" s="6" t="s">
        <v>10891</v>
      </c>
      <c r="B7380" s="6" t="str">
        <f>IFERROR(__xludf.DUMMYFUNCTION("GOOGLETRANSLATE(A7380,""en"",""fi"")"),"Lilligant-kukista valmistetuilla eteerisillä öljyillä on ylellinen tuoksu, mutta ne ovat myös uskomattoman kalliita.")</f>
        <v>Lilligant-kukista valmistetuilla eteerisillä öljyillä on ylellinen tuoksu, mutta ne ovat myös uskomattoman kalliita.</v>
      </c>
      <c r="C7380" s="9" t="s">
        <v>1344</v>
      </c>
    </row>
    <row r="7381" ht="33.75" customHeight="1">
      <c r="A7381" s="6" t="s">
        <v>10892</v>
      </c>
      <c r="B7381" s="6" t="str">
        <f>IFERROR(__xludf.DUMMYFUNCTION("GOOGLETRANSLATE(A7381,""en"",""fi"")"),"Epäilen, että sen hyvin kehittyneet jalat ovat seurausta elämästä paksun lumen peittämillä vuorilla. Sen kukkakruunusta leijuva tuoksu rohkaisee lähellä olevia.")</f>
        <v>Epäilen, että sen hyvin kehittyneet jalat ovat seurausta elämästä paksun lumen peittämillä vuorilla. Sen kukkakruunusta leijuva tuoksu rohkaisee lähellä olevia.</v>
      </c>
      <c r="C7381" s="9" t="s">
        <v>1344</v>
      </c>
    </row>
    <row r="7382" ht="33.75" customHeight="1">
      <c r="A7382" s="6" t="s">
        <v>10893</v>
      </c>
      <c r="B7382" s="6" t="str">
        <f>IFERROR(__xludf.DUMMYFUNCTION("GOOGLETRANSLATE(A7382,""en"",""fi"")"),"Punainen ja sininen baskuliini tulevat niin huonosti toimeen keskenään, että ne alkavat tapella välittömästi. Nämä Pokémonit ovat hyvin vihamielisiä.")</f>
        <v>Punainen ja sininen baskuliini tulevat niin huonosti toimeen keskenään, että ne alkavat tapella välittömästi. Nämä Pokémonit ovat hyvin vihamielisiä.</v>
      </c>
      <c r="C7382" s="9" t="s">
        <v>1344</v>
      </c>
    </row>
    <row r="7383" ht="33.75" customHeight="1">
      <c r="A7383" s="6" t="s">
        <v>10894</v>
      </c>
      <c r="B7383" s="6" t="str">
        <f>IFERROR(__xludf.DUMMYFUNCTION("GOOGLETRANSLATE(A7383,""en"",""fi"")"),"Punainen ja sininen baskuliini eivät yleensä tule toimeen keskenään, mutta joskus toisen koulukunnan jäsenet seurustelevat toisen koulukunnan jäsenten kanssa.")</f>
        <v>Punainen ja sininen baskuliini eivät yleensä tule toimeen keskenään, mutta joskus toisen koulukunnan jäsenet seurustelevat toisen koulukunnan jäsenten kanssa.</v>
      </c>
      <c r="C7383" s="9" t="s">
        <v>1344</v>
      </c>
    </row>
    <row r="7384" ht="33.75" customHeight="1">
      <c r="A7384" s="6" t="s">
        <v>10896</v>
      </c>
      <c r="B7384" s="6" t="str">
        <f>IFERROR(__xludf.DUMMYFUNCTION("GOOGLETRANSLATE(A7384,""en"",""fi"")"),"Puna- ja siniraitaiset baskuliinit ovat erittäin väkivaltaisia ​​ja tappelevat aina. Ne ovat myös huomattavan maukkaita.")</f>
        <v>Puna- ja siniraitaiset baskuliinit ovat erittäin väkivaltaisia ​​ja tappelevat aina. Ne ovat myös huomattavan maukkaita.</v>
      </c>
      <c r="C7384" s="9" t="s">
        <v>1344</v>
      </c>
    </row>
    <row r="7385" ht="33.75" customHeight="1">
      <c r="A7385" s="6" t="s">
        <v>10897</v>
      </c>
      <c r="B7385" s="6" t="str">
        <f>IFERROR(__xludf.DUMMYFUNCTION("GOOGLETRANSLATE(A7385,""en"",""fi"")"),"Villit, väkivaltaiset Pokémonit, punainen ja sininen Basculin taistelevat jatkuvasti toisiaan vastaan ​​reviiristä.")</f>
        <v>Villit, väkivaltaiset Pokémonit, punainen ja sininen Basculin taistelevat jatkuvasti toisiaan vastaan ​​reviiristä.</v>
      </c>
      <c r="C7385" s="9" t="s">
        <v>1344</v>
      </c>
    </row>
    <row r="7386" ht="33.75" customHeight="1">
      <c r="A7386" s="6" t="s">
        <v>10898</v>
      </c>
      <c r="B7386" s="6" t="str">
        <f>IFERROR(__xludf.DUMMYFUNCTION("GOOGLETRANSLATE(A7386,""en"",""fi"")"),"Kun baskuliiniparvi ilmestyy järveen, kaikki muu katoaa paitsi Corphish ja Crawdaunt. Niin väkivaltaisia ​​baskuliinit ovat.")</f>
        <v>Kun baskuliiniparvi ilmestyy järveen, kaikki muu katoaa paitsi Corphish ja Crawdaunt. Niin väkivaltaisia ​​baskuliinit ovat.</v>
      </c>
      <c r="C7386" s="9" t="s">
        <v>1344</v>
      </c>
    </row>
    <row r="7387" ht="33.75" customHeight="1">
      <c r="A7387" s="6" t="s">
        <v>10900</v>
      </c>
      <c r="B7387" s="6" t="str">
        <f>IFERROR(__xludf.DUMMYFUNCTION("GOOGLETRANSLATE(A7387,""en"",""fi"")"),"Kalastajat rakastavat tätä Pokémonia, joka taistelee koukussa. Ja aina on lisää saalista – monet päästävät niitä laittomasti järviin.")</f>
        <v>Kalastajat rakastavat tätä Pokémonia, joka taistelee koukussa. Ja aina on lisää saalista – monet päästävät niitä laittomasti järviin.</v>
      </c>
      <c r="C7387" s="9" t="s">
        <v>1344</v>
      </c>
    </row>
    <row r="7388" ht="33.75" customHeight="1">
      <c r="A7388" s="6" t="s">
        <v>10901</v>
      </c>
      <c r="B7388" s="6" t="str">
        <f>IFERROR(__xludf.DUMMYFUNCTION("GOOGLETRANSLATE(A7388,""en"",""fi"")"),"Ennen vanhaan sitä tarjottiin usein ruokapöydässä. Punaraidallisen baskulinin liha on rasvaista, ja se on suositumpaa nuorten keskuudessa.")</f>
        <v>Ennen vanhaan sitä tarjottiin usein ruokapöydässä. Punaraidallisen baskulinin liha on rasvaista, ja se on suositumpaa nuorten keskuudessa.</v>
      </c>
      <c r="C7388" s="9" t="s">
        <v>1344</v>
      </c>
    </row>
    <row r="7389" ht="33.75" customHeight="1">
      <c r="A7389" s="6" t="s">
        <v>10902</v>
      </c>
      <c r="B7389" s="6" t="str">
        <f>IFERROR(__xludf.DUMMYFUNCTION("GOOGLETRANSLATE(A7389,""en"",""fi"")"),"Vaikka se eroaa muista baskuliinirotuisista monessa suhteessa, mukaan lukien käytökseltään – tämä on lempeä – olen luokittelenut sen alueelliseksi muodoksi ottaen huomioon laajan kirjon yhteisiä ominaisuuksia.")</f>
        <v>Vaikka se eroaa muista baskuliinirotuisista monessa suhteessa, mukaan lukien käytökseltään – tämä on lempeä – olen luokittelenut sen alueelliseksi muodoksi ottaen huomioon laajan kirjon yhteisiä ominaisuuksia.</v>
      </c>
      <c r="C7389" s="9" t="s">
        <v>1344</v>
      </c>
    </row>
    <row r="7390" ht="33.75" customHeight="1">
      <c r="A7390" s="6" t="s">
        <v>10905</v>
      </c>
      <c r="B7390" s="6" t="str">
        <f>IFERROR(__xludf.DUMMYFUNCTION("GOOGLETRANSLATE(A7390,""en"",""fi"")"),"Ne elävät aavikon hiekkaan hautautuneina. Auringon lämmittämä hiekka estää niiden ruumiinlämpöä laskemasta.")</f>
        <v>Ne elävät aavikon hiekkaan hautautuneina. Auringon lämmittämä hiekka estää niiden ruumiinlämpöä laskemasta.</v>
      </c>
      <c r="C7390" s="9" t="s">
        <v>1344</v>
      </c>
    </row>
    <row r="7391" ht="33.75" customHeight="1">
      <c r="A7391" s="6" t="s">
        <v>10907</v>
      </c>
      <c r="B7391" s="6" t="str">
        <f>IFERROR(__xludf.DUMMYFUNCTION("GOOGLETRANSLATE(A7391,""en"",""fi"")"),"Se liikkuu hiekan pinnan alapuolella lukuun ottamatta nenäänsä ja silmiään. Tumma kalvo suojaa sen silmiä auringolta.")</f>
        <v>Se liikkuu hiekan pinnan alapuolella lukuun ottamatta nenäänsä ja silmiään. Tumma kalvo suojaa sen silmiä auringolta.</v>
      </c>
      <c r="C7391" s="9" t="s">
        <v>1344</v>
      </c>
    </row>
    <row r="7392" ht="33.75" customHeight="1">
      <c r="A7392" s="6" t="s">
        <v>10908</v>
      </c>
      <c r="B7392" s="6" t="str">
        <f>IFERROR(__xludf.DUMMYFUNCTION("GOOGLETRANSLATE(A7392,""en"",""fi"")"),"Ne elävät piilossa kuumien aavikon hiekkojen alla estääkseen ruumiinlämpönsä laskemisen.")</f>
        <v>Ne elävät piilossa kuumien aavikon hiekkojen alla estääkseen ruumiinlämpönsä laskemisen.</v>
      </c>
      <c r="C7392" s="9" t="s">
        <v>1344</v>
      </c>
    </row>
    <row r="7393" ht="33.75" customHeight="1">
      <c r="A7393" s="6" t="s">
        <v>10910</v>
      </c>
      <c r="B7393" s="6" t="str">
        <f>IFERROR(__xludf.DUMMYFUNCTION("GOOGLETRANSLATE(A7393,""en"",""fi"")"),"Se upottautuu hiekkaan ja liikkuu kuin uisi. Tämä viisas käytös estää vihollisiaan löytämästä sitä ja ylläpitää sen lämpötilaa.")</f>
        <v>Se upottautuu hiekkaan ja liikkuu kuin uisi. Tämä viisas käytös estää vihollisiaan löytämästä sitä ja ylläpitää sen lämpötilaa.</v>
      </c>
      <c r="C7393" s="9" t="s">
        <v>1344</v>
      </c>
    </row>
    <row r="7394" ht="33.75" customHeight="1">
      <c r="A7394" s="6" t="s">
        <v>10911</v>
      </c>
      <c r="B7394" s="6" t="str">
        <f>IFERROR(__xludf.DUMMYFUNCTION("GOOGLETRANSLATE(A7394,""en"",""fi"")"),"Se piiloutuu hiekkaan ja jyskyttää kaikkien sen yli varomatta kävelevien saaliiden jalkoja. Sen lempiruoka on Trapinch.")</f>
        <v>Se piiloutuu hiekkaan ja jyskyttää kaikkien sen yli varomatta kävelevien saaliiden jalkoja. Sen lempiruoka on Trapinch.</v>
      </c>
      <c r="C7394" s="9" t="s">
        <v>1344</v>
      </c>
    </row>
    <row r="7395" ht="33.75" customHeight="1">
      <c r="A7395" s="6" t="s">
        <v>10913</v>
      </c>
      <c r="B7395" s="6" t="str">
        <f>IFERROR(__xludf.DUMMYFUNCTION("GOOGLETRANSLATE(A7395,""en"",""fi"")"),"Alola, jossa on lämmintä ympäri vuoden, on mukava ympäristö tälle Pokémonille. Joskus näet sen jopa aavikoiden ulkopuolella.")</f>
        <v>Alola, jossa on lämmintä ympäri vuoden, on mukava ympäristö tälle Pokémonille. Joskus näet sen jopa aavikoiden ulkopuolella.</v>
      </c>
      <c r="C7395" s="9" t="s">
        <v>1344</v>
      </c>
    </row>
    <row r="7396" ht="33.75" customHeight="1">
      <c r="A7396" s="6" t="s">
        <v>10914</v>
      </c>
      <c r="B7396" s="6" t="str">
        <f>IFERROR(__xludf.DUMMYFUNCTION("GOOGLETRANSLATE(A7396,""en"",""fi"")"),"Sandile ei ole vieläkään hyvä metsästämään, joten se syö enimmäkseen aavikolla romahtaneita asioita. Sitä kutsutaan ""aavikon puhdistajaksi"".")</f>
        <v>Sandile ei ole vieläkään hyvä metsästämään, joten se syö enimmäkseen aavikolla romahtaneita asioita. Sitä kutsutaan "aavikon puhdistajaksi".</v>
      </c>
      <c r="C7396" s="9" t="s">
        <v>1344</v>
      </c>
    </row>
    <row r="7397" ht="33.75" customHeight="1">
      <c r="A7397" s="6" t="s">
        <v>10916</v>
      </c>
      <c r="B7397" s="6" t="str">
        <f>IFERROR(__xludf.DUMMYFUNCTION("GOOGLETRANSLATE(A7397,""en"",""fi"")"),"Aavikko kylmenee yöllä, joten auringon laskiessa tämä Pokémon kaivautuu syvälle hiekkaan ja nukkuu auringonnousuun asti.")</f>
        <v>Aavikko kylmenee yöllä, joten auringon laskiessa tämä Pokémon kaivautuu syvälle hiekkaan ja nukkuu auringonnousuun asti.</v>
      </c>
      <c r="C7397" s="9" t="s">
        <v>1344</v>
      </c>
    </row>
    <row r="7398" ht="33.75" customHeight="1">
      <c r="A7398" s="6" t="s">
        <v>10918</v>
      </c>
      <c r="B7398" s="6" t="str">
        <f>IFERROR(__xludf.DUMMYFUNCTION("GOOGLETRANSLATE(A7398,""en"",""fi"")"),"Sandile on pieni, mutta sen jalat ja alavartalo ovat voimakkaat. Työntäen hiekkaa sivuun liikkuessaan Sandile liikkuu aavikon halki kuin uisi.")</f>
        <v>Sandile on pieni, mutta sen jalat ja alavartalo ovat voimakkaat. Työntäen hiekkaa sivuun liikkuessaan Sandile liikkuu aavikon halki kuin uisi.</v>
      </c>
      <c r="C7398" s="9" t="s">
        <v>1344</v>
      </c>
    </row>
    <row r="7399" ht="33.75" customHeight="1">
      <c r="A7399" s="6" t="s">
        <v>10919</v>
      </c>
      <c r="B7399" s="6" t="str">
        <f>IFERROR(__xludf.DUMMYFUNCTION("GOOGLETRANSLATE(A7399,""en"",""fi"")"),"Ne elävät muutaman yksilön ryhmissä. Suojakalvot suojaavat niiden silmiä hiekkamyrskyiltä.")</f>
        <v>Ne elävät muutaman yksilön ryhmissä. Suojakalvot suojaavat niiden silmiä hiekkamyrskyiltä.</v>
      </c>
      <c r="C7399" s="9" t="s">
        <v>1344</v>
      </c>
    </row>
    <row r="7400" ht="33.75" customHeight="1">
      <c r="A7400" s="6" t="s">
        <v>10921</v>
      </c>
      <c r="B7400" s="6" t="str">
        <f>IFERROR(__xludf.DUMMYFUNCTION("GOOGLETRANSLATE(A7400,""en"",""fi"")"),"Sen silmiä peittävä erityinen kalvo aistii esineiden lämmön, joten se voi nähdä ympäristönsä jopa pimeässä.")</f>
        <v>Sen silmiä peittävä erityinen kalvo aistii esineiden lämmön, joten se voi nähdä ympäristönsä jopa pimeässä.</v>
      </c>
      <c r="C7400" s="9" t="s">
        <v>1344</v>
      </c>
    </row>
    <row r="7401" ht="33.75" customHeight="1">
      <c r="A7401" s="6" t="s">
        <v>10922</v>
      </c>
      <c r="B7401" s="6" t="str">
        <f>IFERROR(__xludf.DUMMYFUNCTION("GOOGLETRANSLATE(A7401,""en"",""fi"")"),"Ohuiden kalvojen suojaamina niiden silmät näkevät jopa yösydämessä. Ne elävät muutaman yksilön ryhmissä.")</f>
        <v>Ohuiden kalvojen suojaamina niiden silmät näkevät jopa yösydämessä. Ne elävät muutaman yksilön ryhmissä.</v>
      </c>
      <c r="C7401" s="9" t="s">
        <v>1344</v>
      </c>
    </row>
    <row r="7402" ht="33.75" customHeight="1">
      <c r="A7402" s="6" t="s">
        <v>10923</v>
      </c>
      <c r="B7402" s="6" t="str">
        <f>IFERROR(__xludf.DUMMYFUNCTION("GOOGLETRANSLATE(A7402,""en"",""fi"")"),"Ne liikkuvat muutaman yksilön ryhmissä. Naaras on usein ryhmän johtaja, ja koiraat keräävät ruokaa.")</f>
        <v>Ne liikkuvat muutaman yksilön ryhmissä. Naaras on usein ryhmän johtaja, ja koiraat keräävät ruokaa.</v>
      </c>
      <c r="C7402" s="9" t="s">
        <v>1344</v>
      </c>
    </row>
    <row r="7403" ht="33.75" customHeight="1">
      <c r="A7403" s="6" t="s">
        <v>10925</v>
      </c>
      <c r="B7403" s="6" t="str">
        <f>IFERROR(__xludf.DUMMYFUNCTION("GOOGLETRANSLATE(A7403,""en"",""fi"")"),"Silmiä peittävän erityisen kalvon ansiosta se näkee ympäristönsä selvästi, jopa keskellä yötä.")</f>
        <v>Silmiä peittävän erityisen kalvon ansiosta se näkee ympäristönsä selvästi, jopa keskellä yötä.</v>
      </c>
      <c r="C7403" s="9" t="s">
        <v>1344</v>
      </c>
    </row>
    <row r="7404" ht="33.75" customHeight="1">
      <c r="A7404" s="6" t="s">
        <v>10927</v>
      </c>
      <c r="B7404" s="6" t="str">
        <f>IFERROR(__xludf.DUMMYFUNCTION("GOOGLETRANSLATE(A7404,""en"",""fi"")"),"Krokorok vihaa sitä todella, kun sen ruumis kylmenee. Öisin, kun lämpötila laskee, se kaivautuu syvälle aavikon hiekkaan.")</f>
        <v>Krokorok vihaa sitä todella, kun sen ruumis kylmenee. Öisin, kun lämpötila laskee, se kaivautuu syvälle aavikon hiekkaan.</v>
      </c>
      <c r="C7404" s="9" t="s">
        <v>1344</v>
      </c>
    </row>
    <row r="7405" ht="33.75" customHeight="1">
      <c r="A7405" s="6" t="s">
        <v>10929</v>
      </c>
      <c r="B7405" s="6" t="str">
        <f>IFERROR(__xludf.DUMMYFUNCTION("GOOGLETRANSLATE(A7405,""en"",""fi"")"),"Se hautaa osan saaliistaan ​​hiekkaan käyttääkseen sitä hätäateriana, kun sen metsästys ei onnistu.")</f>
        <v>Se hautaa osan saaliistaan ​​hiekkaan käyttääkseen sitä hätäateriana, kun sen metsästys ei onnistu.</v>
      </c>
      <c r="C7405" s="9" t="s">
        <v>1344</v>
      </c>
    </row>
    <row r="7406" ht="33.75" customHeight="1">
      <c r="A7406" s="6" t="s">
        <v>10930</v>
      </c>
      <c r="B7406" s="6" t="str">
        <f>IFERROR(__xludf.DUMMYFUNCTION("GOOGLETRANSLATE(A7406,""en"",""fi"")"),"Krokorokilla on erikoistuneet silmät, joiden avulla se näkee pimeässä. Tämän kyvyn ansiosta Krokorok voi metsästää keskellä yötä eksymättä.")</f>
        <v>Krokorokilla on erikoistuneet silmät, joiden avulla se näkee pimeässä. Tämän kyvyn ansiosta Krokorok voi metsästää keskellä yötä eksymättä.</v>
      </c>
      <c r="C7406" s="9" t="s">
        <v>1344</v>
      </c>
    </row>
    <row r="7407" ht="33.75" customHeight="1">
      <c r="A7407" s="6" t="s">
        <v>10931</v>
      </c>
      <c r="B7407" s="6" t="str">
        <f>IFERROR(__xludf.DUMMYFUNCTION("GOOGLETRANSLATE(A7407,""en"",""fi"")"),"Vaikka tällä Pokémonilla on erikoistuneet silmät, joiden avulla se näkee pimeässä, Krokorok ei liiku paljon yöllä – aavikko kylmenee auringonlaskun jälkeen.")</f>
        <v>Vaikka tällä Pokémonilla on erikoistuneet silmät, joiden avulla se näkee pimeässä, Krokorok ei liiku paljon yöllä – aavikko kylmenee auringonlaskun jälkeen.</v>
      </c>
      <c r="C7407" s="9" t="s">
        <v>1344</v>
      </c>
    </row>
    <row r="7408" ht="33.75" customHeight="1">
      <c r="A7408" s="6" t="s">
        <v>10933</v>
      </c>
      <c r="B7408" s="6" t="str">
        <f>IFERROR(__xludf.DUMMYFUNCTION("GOOGLETRANSLATE(A7408,""en"",""fi"")"),"Ne eivät koskaan päästä saalista karkuun. Niiden leuat ovat niin voimakkaat, että ne voivat murskata auton korin.")</f>
        <v>Ne eivät koskaan päästä saalista karkuun. Niiden leuat ovat niin voimakkaat, että ne voivat murskata auton korin.</v>
      </c>
      <c r="C7408" s="9" t="s">
        <v>1344</v>
      </c>
    </row>
    <row r="7409" ht="33.75" customHeight="1">
      <c r="A7409" s="6" t="s">
        <v>10934</v>
      </c>
      <c r="B7409" s="6" t="str">
        <f>IFERROR(__xludf.DUMMYFUNCTION("GOOGLETRANSLATE(A7409,""en"",""fi"")"),"Se voi laajentaa silmiensä tarkennusaluetta, jolloin se voi nähdä kaukana olevia esineitä aivan kuin se käyttäisi kiikareita.")</f>
        <v>Se voi laajentaa silmiensä tarkennusaluetta, jolloin se voi nähdä kaukana olevia esineitä aivan kuin se käyttäisi kiikareita.</v>
      </c>
      <c r="C7409" s="9" t="s">
        <v>1344</v>
      </c>
    </row>
    <row r="7410" ht="33.75" customHeight="1">
      <c r="A7410" s="6" t="s">
        <v>10935</v>
      </c>
      <c r="B7410" s="6" t="str">
        <f>IFERROR(__xludf.DUMMYFUNCTION("GOOGLETRANSLATE(A7410,""en"",""fi"")"),"Hyvin väkivaltaisia ​​Pokémoneja, jotka yrittävät tukahduttaa kaiken, mikä liikkuu heidän silmiensä edessä.")</f>
        <v>Hyvin väkivaltaisia ​​Pokémoneja, jotka yrittävät tukahduttaa kaiken, mikä liikkuu heidän silmiensä edessä.</v>
      </c>
      <c r="C7410" s="9" t="s">
        <v>1344</v>
      </c>
    </row>
    <row r="7411" ht="33.75" customHeight="1">
      <c r="A7411" s="6" t="s">
        <v>10936</v>
      </c>
      <c r="B7411" s="6" t="str">
        <f>IFERROR(__xludf.DUMMYFUNCTION("GOOGLETRANSLATE(A7411,""en"",""fi"")"),"Sen ainutlaatuinen näkökyky pystyy havaitsemaan pienen saaliin yli 50 kilometrin päästä, jopa hiekkamyrskyn keskellä.")</f>
        <v>Sen ainutlaatuinen näkökyky pystyy havaitsemaan pienen saaliin yli 50 kilometrin päästä, jopa hiekkamyrskyn keskellä.</v>
      </c>
      <c r="C7411" s="9" t="s">
        <v>1344</v>
      </c>
    </row>
    <row r="7412" ht="33.75" customHeight="1">
      <c r="A7412" s="6" t="s">
        <v>10937</v>
      </c>
      <c r="B7412" s="6" t="str">
        <f>IFERROR(__xludf.DUMMYFUNCTION("GOOGLETRANSLATE(A7412,""en"",""fi"")"),"Puristettuaan saaliinsa voimakkailla leuoillaan se kiertää ruumistaan ​​ja repii sen kahtia.")</f>
        <v>Puristettuaan saaliinsa voimakkailla leuoillaan se kiertää ruumistaan ​​ja repii sen kahtia.</v>
      </c>
      <c r="C7412" s="9" t="s">
        <v>1344</v>
      </c>
    </row>
    <row r="7413" ht="33.75" customHeight="1">
      <c r="A7413" s="6" t="s">
        <v>10938</v>
      </c>
      <c r="B7413" s="6" t="str">
        <f>IFERROR(__xludf.DUMMYFUNCTION("GOOGLETRANSLATE(A7413,""en"",""fi"")"),"Kun se havaitsee saaliin, jopa yli 50 kilometrin etäisyydeltä, se ui aavikon läpi kuin vesi, hyppää sitten ulos ja jyrää sen.")</f>
        <v>Kun se havaitsee saaliin, jopa yli 50 kilometrin etäisyydeltä, se ui aavikon läpi kuin vesi, hyppää sitten ulos ja jyrää sen.</v>
      </c>
      <c r="C7413" s="9" t="s">
        <v>1344</v>
      </c>
    </row>
    <row r="7414" ht="33.75" customHeight="1">
      <c r="A7414" s="6" t="s">
        <v>10940</v>
      </c>
      <c r="B7414" s="6" t="str">
        <f>IFERROR(__xludf.DUMMYFUNCTION("GOOGLETRANSLATE(A7414,""en"",""fi"")"),"Se piiloutuu Flygonin nostattamiin hiekkamyrskyihin ja odottaa kärsivällisesti saaliin ilmestymistä.")</f>
        <v>Se piiloutuu Flygonin nostattamiin hiekkamyrskyihin ja odottaa kärsivällisesti saaliin ilmestymistä.</v>
      </c>
      <c r="C7414" s="9" t="s">
        <v>1344</v>
      </c>
    </row>
    <row r="7415" ht="33.75" customHeight="1">
      <c r="A7415" s="6" t="s">
        <v>10941</v>
      </c>
      <c r="B7415" s="6" t="str">
        <f>IFERROR(__xludf.DUMMYFUNCTION("GOOGLETRANSLATE(A7415,""en"",""fi"")"),"Tämä Pokémon tunnetaan nimellä Hiekan Kiusaaja. Krookodilen mahtavat leuat voivat purra raskaiden rautalevyjen läpi lähes ilman ponnisteluja.")</f>
        <v>Tämä Pokémon tunnetaan nimellä Hiekan Kiusaaja. Krookodilen mahtavat leuat voivat purra raskaiden rautalevyjen läpi lähes ilman ponnisteluja.</v>
      </c>
      <c r="C7415" s="9" t="s">
        <v>1344</v>
      </c>
    </row>
    <row r="7416" ht="33.75" customHeight="1">
      <c r="A7416" s="6" t="s">
        <v>10942</v>
      </c>
      <c r="B7416" s="6" t="str">
        <f>IFERROR(__xludf.DUMMYFUNCTION("GOOGLETRANSLATE(A7416,""en"",""fi"")"),"Vaikka Krookodile on hirvittävän aggressiivinen, sillä on myös kärsivällisyyttä pysyä piilossa hiekan alla päiväkausia väijymässä saalista.")</f>
        <v>Vaikka Krookodile on hirvittävän aggressiivinen, sillä on myös kärsivällisyyttä pysyä piilossa hiekan alla päiväkausia väijymässä saalista.</v>
      </c>
      <c r="C7416" s="9" t="s">
        <v>1344</v>
      </c>
    </row>
    <row r="7417" ht="33.75" customHeight="1">
      <c r="A7417" s="6" t="s">
        <v>10944</v>
      </c>
      <c r="B7417" s="6" t="str">
        <f>IFERROR(__xludf.DUMMYFUNCTION("GOOGLETRANSLATE(A7417,""en"",""fi"")"),"Kun sen sisäinen tuli palaa, se ei voi rauhoittua ja se juoksee ympäriinsä. Kun tuli hiipuu, se nukahtaa.")</f>
        <v>Kun sen sisäinen tuli palaa, se ei voi rauhoittua ja se juoksee ympäriinsä. Kun tuli hiipuu, se nukahtaa.</v>
      </c>
      <c r="C7417" s="9" t="s">
        <v>1344</v>
      </c>
    </row>
    <row r="7418" ht="33.75" customHeight="1">
      <c r="A7418" s="6" t="s">
        <v>10945</v>
      </c>
      <c r="B7418" s="6" t="str">
        <f>IFERROR(__xludf.DUMMYFUNCTION("GOOGLETRANSLATE(A7418,""en"",""fi"")"),"Darumakan ulosteet ovat kuumia, joten ihmiset laittoivat niitä vaatteisiinsa pysyäkseen lämpiminä.")</f>
        <v>Darumakan ulosteet ovat kuumia, joten ihmiset laittoivat niitä vaatteisiinsa pysyäkseen lämpiminä.</v>
      </c>
      <c r="C7418" s="9" t="s">
        <v>1344</v>
      </c>
    </row>
    <row r="7419" ht="33.75" customHeight="1">
      <c r="A7419" s="6" t="s">
        <v>10946</v>
      </c>
      <c r="B7419" s="6" t="str">
        <f>IFERROR(__xludf.DUMMYFUNCTION("GOOGLETRANSLATE(A7419,""en"",""fi"")"),"Nukkuessaan se vetää raajansa ruumistaan ​​vasten ja sen sisäinen tulipalo laskee 500°C:een.")</f>
        <v>Nukkuessaan se vetää raajansa ruumistaan ​​vasten ja sen sisäinen tulipalo laskee 500°C:een.</v>
      </c>
      <c r="C7419" s="9" t="s">
        <v>1344</v>
      </c>
    </row>
    <row r="7420" ht="33.75" customHeight="1">
      <c r="A7420" s="6" t="s">
        <v>10947</v>
      </c>
      <c r="B7420" s="6" t="str">
        <f>IFERROR(__xludf.DUMMYFUNCTION("GOOGLETRANSLATE(A7420,""en"",""fi"")"),"Nukkuessaan se vetää raajansa ruumiiseensa ja sen sisäinen tuli laskee 1 100 celsiusasteeseen.")</f>
        <v>Nukkuessaan se vetää raajansa ruumiiseensa ja sen sisäinen tuli laskee 1 100 celsiusasteeseen.</v>
      </c>
      <c r="C7420" s="9" t="s">
        <v>1344</v>
      </c>
    </row>
    <row r="7421" ht="33.75" customHeight="1">
      <c r="A7421" s="6" t="s">
        <v>10948</v>
      </c>
      <c r="B7421" s="6" t="str">
        <f>IFERROR(__xludf.DUMMYFUNCTION("GOOGLETRANSLATE(A7421,""en"",""fi"")"),"Se saa voimansa kehossaan palavasta tulesta. Jos tuli hiipuu, tämä Pokémon nukahtaa välittömästi.")</f>
        <v>Se saa voimansa kehossaan palavasta tulesta. Jos tuli hiipuu, tämä Pokémon nukahtaa välittömästi.</v>
      </c>
      <c r="C7421" s="9" t="s">
        <v>1344</v>
      </c>
    </row>
    <row r="7422" ht="33.75" customHeight="1">
      <c r="A7422" s="6" t="s">
        <v>10950</v>
      </c>
      <c r="B7422" s="6" t="str">
        <f>IFERROR(__xludf.DUMMYFUNCTION("GOOGLETRANSLATE(A7422,""en"",""fi"")"),"Tämä suosittu onnen symboli ei koskaan kaadu nukkuessaan, kuinka sitä sitten työnnetään tai vedetäänkään.")</f>
        <v>Tämä suosittu onnen symboli ei koskaan kaadu nukkuessaan, kuinka sitä sitten työnnetään tai vedetäänkään.</v>
      </c>
      <c r="C7422" s="9" t="s">
        <v>1344</v>
      </c>
    </row>
    <row r="7423" ht="33.75" customHeight="1">
      <c r="A7423" s="6" t="s">
        <v>10952</v>
      </c>
      <c r="B7423" s="6" t="str">
        <f>IFERROR(__xludf.DUMMYFUNCTION("GOOGLETRANSLATE(A7423,""en"",""fi"")"),"Sen sisäinen tuli palaa 2 500 °F:n lämpötilassa, mikä tuottaa riittävästi tehoa tuhota kippiauton yhdellä iskulla.")</f>
        <v>Sen sisäinen tuli palaa 2 500 °F:n lämpötilassa, mikä tuottaa riittävästi tehoa tuhota kippiauton yhdellä iskulla.</v>
      </c>
      <c r="C7423" s="9" t="s">
        <v>1344</v>
      </c>
    </row>
    <row r="7424" ht="33.75" customHeight="1">
      <c r="A7424" s="6" t="s">
        <v>10953</v>
      </c>
      <c r="B7424" s="6" t="str">
        <f>IFERROR(__xludf.DUMMYFUNCTION("GOOGLETRANSLATE(A7424,""en"",""fi"")"),"Taistelussa heikentyneenä se muuttuu kivipatsaaksi. Sitten se terävöittää mieltään ja jatkaa taistelua henkisesti.")</f>
        <v>Taistelussa heikentyneenä se muuttuu kivipatsaaksi. Sitten se terävöittää mieltään ja jatkaa taistelua henkisesti.</v>
      </c>
      <c r="C7424" s="9" t="s">
        <v>1344</v>
      </c>
    </row>
    <row r="7425" ht="33.75" customHeight="1">
      <c r="A7425" s="6" t="s">
        <v>10955</v>
      </c>
      <c r="B7425" s="6" t="str">
        <f>IFERROR(__xludf.DUMMYFUNCTION("GOOGLETRANSLATE(A7425,""en"",""fi"")"),"Kun ihminen loukkaantuu raivokkaassa taistelussa, se kovettuu kiven kaltaiseksi muodoksi. Sitten se meditoi ja terävöittää mieltään.")</f>
        <v>Kun ihminen loukkaantuu raivokkaassa taistelussa, se kovettuu kiven kaltaiseksi muodoksi. Sitten se meditoi ja terävöittää mieltään.</v>
      </c>
      <c r="C7425" s="9" t="s">
        <v>1344</v>
      </c>
    </row>
    <row r="7426" ht="33.75" customHeight="1">
      <c r="A7426" s="6" t="s">
        <v>10958</v>
      </c>
      <c r="B7426" s="6" t="str">
        <f>IFERROR(__xludf.DUMMYFUNCTION("GOOGLETRANSLATE(A7426,""en"",""fi"")"),"Sen sisäinen tuli palaa 2 500 Fahrenheit-asteessa, mikä tuottaa riittävästi tehoa tuhota kippiauton yhdellä iskulla.")</f>
        <v>Sen sisäinen tuli palaa 2 500 Fahrenheit-asteessa, mikä tuottaa riittävästi tehoa tuhota kippiauton yhdellä iskulla.</v>
      </c>
      <c r="C7426" s="9" t="s">
        <v>1344</v>
      </c>
    </row>
    <row r="7427" ht="33.75" customHeight="1">
      <c r="A7427" s="6" t="s">
        <v>10962</v>
      </c>
      <c r="B7427" s="6" t="str">
        <f>IFERROR(__xludf.DUMMYFUNCTION("GOOGLETRANSLATE(A7427,""en"",""fi"")"),"Tämän kuumaverisen Pokémonin paksut käsivarret pystyvät iskemään niin, että ne voisivat tuhota jopa kippiauton.")</f>
        <v>Tämän kuumaverisen Pokémonin paksut käsivarret pystyvät iskemään niin, että ne voisivat tuhota jopa kippiauton.</v>
      </c>
      <c r="C7427" s="9" t="s">
        <v>1344</v>
      </c>
    </row>
    <row r="7428" ht="33.75" customHeight="1">
      <c r="A7428" s="6" t="s">
        <v>10964</v>
      </c>
      <c r="B7428" s="6" t="str">
        <f>IFERROR(__xludf.DUMMYFUNCTION("GOOGLETRANSLATE(A7428,""en"",""fi"")"),"Tämän Pokémonin voimataso nousee sen tulen lämpötilan noustessa, joka voi nousta 2 500 celsiusasteeseen.")</f>
        <v>Tämän Pokémonin voimataso nousee sen tulen lämpötilan noustessa, joka voi nousta 2 500 celsiusasteeseen.</v>
      </c>
      <c r="C7428" s="9" t="s">
        <v>1344</v>
      </c>
    </row>
    <row r="7429" ht="33.75" customHeight="1">
      <c r="A7429" s="6" t="s">
        <v>10966</v>
      </c>
      <c r="B7429" s="6" t="str">
        <f>IFERROR(__xludf.DUMMYFUNCTION("GOOGLETRANSLATE(A7429,""en"",""fi"")"),"Se käyttää nopeatempoista laulua ja tanssia ajaakseen pois lintu-Pokémonit, jotka saalistavat sen kukkasiemeniä.")</f>
        <v>Se käyttää nopeatempoista laulua ja tanssia ajaakseen pois lintu-Pokémonit, jotka saalistavat sen kukkasiemeniä.</v>
      </c>
      <c r="C7429" s="9" t="s">
        <v>1344</v>
      </c>
    </row>
    <row r="7430" ht="33.75" customHeight="1">
      <c r="A7430" s="6" t="s">
        <v>10967</v>
      </c>
      <c r="B7430" s="6" t="str">
        <f>IFERROR(__xludf.DUMMYFUNCTION("GOOGLETRANSLATE(A7430,""en"",""fi"")"),"Kuivat alueet ovat niiden elinympäristöä. Ne liikkuvat rytmisesti ja tuottavat ääntä, joka muistuttaa marakasseja.")</f>
        <v>Kuivat alueet ovat niiden elinympäristöä. Ne liikkuvat rytmisesti ja tuottavat ääntä, joka muistuttaa marakasseja.</v>
      </c>
      <c r="C7430" s="9" t="s">
        <v>1344</v>
      </c>
    </row>
    <row r="7431" ht="33.75" customHeight="1">
      <c r="A7431" s="6" t="s">
        <v>10969</v>
      </c>
      <c r="B7431" s="6" t="str">
        <f>IFERROR(__xludf.DUMMYFUNCTION("GOOGLETRANSLATE(A7431,""en"",""fi"")"),"Kun se liikkuu rytmisesti, se päästää marakassien kaltaisen äänen, joka saa yllättyneen Pokémonin pakenemaan.")</f>
        <v>Kun se liikkuu rytmisesti, se päästää marakassien kaltaisen äänen, joka saa yllättyneen Pokémonin pakenemaan.</v>
      </c>
      <c r="C7431" s="9" t="s">
        <v>1344</v>
      </c>
    </row>
    <row r="7432" ht="33.75" customHeight="1">
      <c r="A7432" s="6" t="s">
        <v>10971</v>
      </c>
      <c r="B7432" s="6" t="str">
        <f>IFERROR(__xludf.DUMMYFUNCTION("GOOGLETRANSLATE(A7432,""en"",""fi"")"),"Äänillä, jotka voitaisiin erehtyä luulemaan marakassien helistimeksi, se luo iloisen rytmin, säikäyttäen lintu-Pokémoneja ja saamalla ne lentämään kiireesti pois.")</f>
        <v>Äänillä, jotka voitaisiin erehtyä luulemaan marakassien helistimeksi, se luo iloisen rytmin, säikäyttäen lintu-Pokémoneja ja saamalla ne lentämään kiireesti pois.</v>
      </c>
      <c r="C7432" s="9" t="s">
        <v>1344</v>
      </c>
    </row>
    <row r="7433" ht="33.75" customHeight="1">
      <c r="A7433" s="6" t="s">
        <v>10973</v>
      </c>
      <c r="B7433" s="6" t="str">
        <f>IFERROR(__xludf.DUMMYFUNCTION("GOOGLETRANSLATE(A7433,""en"",""fi"")"),"Kerran vuodessa tämä Pokémon levittää siemeniään. Ne ovat täynnä ravinteita, mikä tekee niistä arvokkaan ravinnonlähteen aavikolla.")</f>
        <v>Kerran vuodessa tämä Pokémon levittää siemeniään. Ne ovat täynnä ravinteita, mikä tekee niistä arvokkaan ravinnonlähteen aavikolla.</v>
      </c>
      <c r="C7433" s="9" t="s">
        <v>1344</v>
      </c>
    </row>
    <row r="7434" ht="33.75" customHeight="1">
      <c r="A7434" s="6" t="s">
        <v>10974</v>
      </c>
      <c r="B7434" s="6" t="str">
        <f>IFERROR(__xludf.DUMMYFUNCTION("GOOGLETRANSLATE(A7434,""en"",""fi"")"),"Tämä Pokémon voi helposti sulattaa reikiä kovissa kivissä suustaan ​​erittyvällä nesteellä.")</f>
        <v>Tämä Pokémon voi helposti sulattaa reikiä kovissa kivissä suustaan ​​erittyvällä nesteellä.</v>
      </c>
      <c r="C7434" s="9" t="s">
        <v>1344</v>
      </c>
    </row>
    <row r="7435" ht="33.75" customHeight="1">
      <c r="A7435" s="6" t="s">
        <v>10975</v>
      </c>
      <c r="B7435" s="6" t="str">
        <f>IFERROR(__xludf.DUMMYFUNCTION("GOOGLETRANSLATE(A7435,""en"",""fi"")"),"Se tekee reiän sopivaan kiveen. Jos kivi rikkoutuu, Pokémon pysyy levottomana, kunnes löytää korvaavan.")</f>
        <v>Se tekee reiän sopivaan kiveen. Jos kivi rikkoutuu, Pokémon pysyy levottomana, kunnes löytää korvaavan.</v>
      </c>
      <c r="C7435" s="9" t="s">
        <v>1344</v>
      </c>
    </row>
    <row r="7436" ht="33.75" customHeight="1">
      <c r="A7436" s="6" t="s">
        <v>10977</v>
      </c>
      <c r="B7436" s="6" t="str">
        <f>IFERROR(__xludf.DUMMYFUNCTION("GOOGLETRANSLATE(A7436,""en"",""fi"")"),"Löydettyään sopivan kokoisen kiven se erittää suustaan ​​nestettä avatakseen reiän, johon se voi ryömiä.")</f>
        <v>Löydettyään sopivan kokoisen kiven se erittää suustaan ​​nestettä avatakseen reiän, johon se voi ryömiä.</v>
      </c>
      <c r="C7436" s="9" t="s">
        <v>1344</v>
      </c>
    </row>
    <row r="7437" ht="33.75" customHeight="1">
      <c r="A7437" s="6" t="s">
        <v>10979</v>
      </c>
      <c r="B7437" s="6" t="str">
        <f>IFERROR(__xludf.DUMMYFUNCTION("GOOGLETRANSLATE(A7437,""en"",""fi"")"),"Kun se löytää kiven, se tekee siihen reiän ja käyttää sitä kotinaan. Tämä Pokémon on Roggenrolan ja Rolycolyn luonnollinen vihollinen.")</f>
        <v>Kun se löytää kiven, se tekee siihen reiän ja käyttää sitä kotinaan. Tämä Pokémon on Roggenrolan ja Rolycolyn luonnollinen vihollinen.</v>
      </c>
      <c r="C7437" s="9" t="s">
        <v>1344</v>
      </c>
    </row>
    <row r="7438" ht="33.75" customHeight="1">
      <c r="A7438" s="6" t="s">
        <v>10980</v>
      </c>
      <c r="B7438" s="6" t="str">
        <f>IFERROR(__xludf.DUMMYFUNCTION("GOOGLETRANSLATE(A7438,""en"",""fi"")"),"Se yrittää ensin löytää kiven, jossa asua, mutta jos sopivia kiviä ei löydy, Dwebble voi muuttaa Hippowdonin satamiin.")</f>
        <v>Se yrittää ensin löytää kiven, jossa asua, mutta jos sopivia kiviä ei löydy, Dwebble voi muuttaa Hippowdonin satamiin.</v>
      </c>
      <c r="C7438" s="9" t="s">
        <v>1344</v>
      </c>
    </row>
    <row r="7439" ht="33.75" customHeight="1">
      <c r="A7439" s="6" t="s">
        <v>10982</v>
      </c>
      <c r="B7439" s="6" t="str">
        <f>IFERROR(__xludf.DUMMYFUNCTION("GOOGLETRANSLATE(A7439,""en"",""fi"")"),"Alueesta kilpaillen Crustle taistelee raa'asti. Se, jonka lohkare rikkoutuu, häviää taistelun.")</f>
        <v>Alueesta kilpaillen Crustle taistelee raa'asti. Se, jonka lohkare rikkoutuu, häviää taistelun.</v>
      </c>
      <c r="C7439" s="9" t="s">
        <v>1344</v>
      </c>
    </row>
    <row r="7440" ht="33.75" customHeight="1">
      <c r="A7440" s="6" t="s">
        <v>10984</v>
      </c>
      <c r="B7440" s="6" t="str">
        <f>IFERROR(__xludf.DUMMYFUNCTION("GOOGLETRANSLATE(A7440,""en"",""fi"")"),"Sillä on valtavan vahvat jalat, joiden ansiosta se voi kantaa raskaita laattoja monien päivien ajan, jopa kuivaa maata ylittäessään.")</f>
        <v>Sillä on valtavan vahvat jalat, joiden ansiosta se voi kantaa raskaita laattoja monien päivien ajan, jopa kuivaa maata ylittäessään.</v>
      </c>
      <c r="C7440" s="9" t="s">
        <v>1344</v>
      </c>
    </row>
    <row r="7441" ht="33.75" customHeight="1">
      <c r="A7441" s="6" t="s">
        <v>10985</v>
      </c>
      <c r="B7441" s="6" t="str">
        <f>IFERROR(__xludf.DUMMYFUNCTION("GOOGLETRANSLATE(A7441,""en"",""fi"")"),"Kun sen lohkare hajoaa aluetaisteluissa, se tuntee olonsa epävarmaksi ja alkaa heiketä.")</f>
        <v>Kun sen lohkare hajoaa aluetaisteluissa, se tuntee olonsa epävarmaksi ja alkaa heiketä.</v>
      </c>
      <c r="C7441" s="9" t="s">
        <v>1344</v>
      </c>
    </row>
    <row r="7442" ht="33.75" customHeight="1">
      <c r="A7442" s="6" t="s">
        <v>10986</v>
      </c>
      <c r="B7442" s="6" t="str">
        <f>IFERROR(__xludf.DUMMYFUNCTION("GOOGLETRANSLATE(A7442,""en"",""fi"")"),"Tämä erittäin reviiritietoinen Pokémon viihtyy kuivassa ilmastossa. Se ei tule ulos lohkareestaan ​​sateisina päivinä.")</f>
        <v>Tämä erittäin reviiritietoinen Pokémon viihtyy kuivassa ilmastossa. Se ei tule ulos lohkareestaan ​​sateisina päivinä.</v>
      </c>
      <c r="C7442" s="9" t="s">
        <v>1344</v>
      </c>
    </row>
    <row r="7443" ht="33.75" customHeight="1">
      <c r="A7443" s="6" t="s">
        <v>10987</v>
      </c>
      <c r="B7443" s="6" t="str">
        <f>IFERROR(__xludf.DUMMYFUNCTION("GOOGLETRANSLATE(A7443,""en"",""fi"")"),"Sen paksut kynnet ovat sen mahtavimmat aseet. Ne ovat niin voimakkaita, että ne voivat murskata Rhyperiorin kilpen.")</f>
        <v>Sen paksut kynnet ovat sen mahtavimmat aseet. Ne ovat niin voimakkaita, että ne voivat murskata Rhyperiorin kilpen.</v>
      </c>
      <c r="C7443" s="9" t="s">
        <v>1344</v>
      </c>
    </row>
    <row r="7444" ht="33.75" customHeight="1">
      <c r="A7444" s="6" t="s">
        <v>10988</v>
      </c>
      <c r="B7444" s="6" t="str">
        <f>IFERROR(__xludf.DUMMYFUNCTION("GOOGLETRANSLATE(A7444,""en"",""fi"")"),"Sen iho on kumimaisesti kimmoisa, joten se voi vähentää vaurioita vetämällä nahkaansa puolustuskeinoin kaulaansa kohti.")</f>
        <v>Sen iho on kumimaisesti kimmoisa, joten se voi vähentää vaurioita vetämällä nahkaansa puolustuskeinoin kaulaansa kohti.</v>
      </c>
      <c r="C7444" s="9" t="s">
        <v>1344</v>
      </c>
    </row>
    <row r="7445" ht="33.75" customHeight="1">
      <c r="A7445" s="6" t="s">
        <v>10989</v>
      </c>
      <c r="B7445" s="6" t="str">
        <f>IFERROR(__xludf.DUMMYFUNCTION("GOOGLETRANSLATE(A7445,""en"",""fi"")"),"Se iskee välittömästi päähän ketä tahansa, joka kohtaa sen katsekontaktin. Sen kallo on valtavan paksu.")</f>
        <v>Se iskee välittömästi päähän ketä tahansa, joka kohtaa sen katsekontaktin. Sen kallo on valtavan paksu.</v>
      </c>
      <c r="C7445" s="9" t="s">
        <v>1344</v>
      </c>
    </row>
    <row r="7446" ht="33.75" customHeight="1">
      <c r="A7446" s="6" t="s">
        <v>10990</v>
      </c>
      <c r="B7446" s="6" t="str">
        <f>IFERROR(__xludf.DUMMYFUNCTION("GOOGLETRANSLATE(A7446,""en"",""fi"")"),"Ylpeänä tukevasta kallostaan ​​se iskee yhtäkkiä päällään kaikkea, mutta painonsa tekee siitä myös epävakaan.")</f>
        <v>Ylpeänä tukevasta kallostaan ​​se iskee yhtäkkiä päällään kaikkea, mutta painonsa tekee siitä myös epävakaan.</v>
      </c>
      <c r="C7446" s="9" t="s">
        <v>1344</v>
      </c>
    </row>
    <row r="7447" ht="33.75" customHeight="1">
      <c r="A7447" s="6" t="s">
        <v>10991</v>
      </c>
      <c r="B7447" s="6" t="str">
        <f>IFERROR(__xludf.DUMMYFUNCTION("GOOGLETRANSLATE(A7447,""en"",""fi"")"),"He liikkuvat pienissä ryhmissä ja kävelevät laiskasti ympäriinsä. Jokainen, joka katsoo heitä silmiin, saa päähän iskun.")</f>
        <v>He liikkuvat pienissä ryhmissä ja kävelevät laiskasti ympäriinsä. Jokainen, joka katsoo heitä silmiin, saa päähän iskun.</v>
      </c>
      <c r="C7447" s="9" t="s">
        <v>1344</v>
      </c>
    </row>
    <row r="7448" ht="33.75" customHeight="1">
      <c r="A7448" s="6" t="s">
        <v>10992</v>
      </c>
      <c r="B7448" s="6" t="str">
        <f>IFERROR(__xludf.DUMMYFUNCTION("GOOGLETRANSLATE(A7448,""en"",""fi"")"),"Se venyttelee roikkuvaa ihoaan kaulaansa asti suojatakseen itseään. Mitä roikkuvampi sen iho, sitä enemmän kunnioitusta se saa.")</f>
        <v>Se venyttelee roikkuvaa ihoaan kaulaansa asti suojatakseen itseään. Mitä roikkuvampi sen iho, sitä enemmän kunnioitusta se saa.</v>
      </c>
      <c r="C7448" s="9" t="s">
        <v>1344</v>
      </c>
    </row>
    <row r="7449" ht="33.75" customHeight="1">
      <c r="A7449" s="6" t="s">
        <v>10993</v>
      </c>
      <c r="B7449" s="6" t="str">
        <f>IFERROR(__xludf.DUMMYFUNCTION("GOOGLETRANSLATE(A7449,""en"",""fi"")"),"Jos se kohtaa katseesi, ole varovainen! Mikään eikä kukaan ole turvassa tämän hankalan Pokémonin holtittomilta pääniskuilta.")</f>
        <v>Jos se kohtaa katseesi, ole varovainen! Mikään eikä kukaan ole turvassa tämän hankalan Pokémonin holtittomilta pääniskuilta.</v>
      </c>
      <c r="C7449" s="9" t="s">
        <v>1344</v>
      </c>
    </row>
    <row r="7450" ht="33.75" customHeight="1">
      <c r="A7450" s="6" t="s">
        <v>10995</v>
      </c>
      <c r="B7450" s="6" t="str">
        <f>IFERROR(__xludf.DUMMYFUNCTION("GOOGLETRANSLATE(A7450,""en"",""fi"")"),"Se suojaa itseään kestävällä ihollaan. Tämän Pokémonin uskotaan kehittyvän, kun sen iho on venynyt kokonaan.")</f>
        <v>Se suojaa itseään kestävällä ihollaan. Tämän Pokémonin uskotaan kehittyvän, kun sen iho on venynyt kokonaan.</v>
      </c>
      <c r="C7450" s="9" t="s">
        <v>1344</v>
      </c>
    </row>
    <row r="7451" ht="33.75" customHeight="1">
      <c r="A7451" s="6" t="s">
        <v>10996</v>
      </c>
      <c r="B7451" s="6" t="str">
        <f>IFERROR(__xludf.DUMMYFUNCTION("GOOGLETRANSLATE(A7451,""en"",""fi"")"),"Ne pieksevät laumoittain kaikkea, mikä osuu niiden alueelle. Jokainen voi sylkeä suustaan ​​hapanta nestettä.")</f>
        <v>Ne pieksevät laumoittain kaikkea, mikä osuu niiden alueelle. Jokainen voi sylkeä suustaan ​​hapanta nestettä.</v>
      </c>
      <c r="C7451" s="9" t="s">
        <v>1344</v>
      </c>
    </row>
    <row r="7452" ht="33.75" customHeight="1">
      <c r="A7452" s="6" t="s">
        <v>10997</v>
      </c>
      <c r="B7452" s="6" t="str">
        <f>IFERROR(__xludf.DUMMYFUNCTION("GOOGLETRANSLATE(A7452,""en"",""fi"")"),"Se voi murskata betonilohkoja potkuhyökkäyksillään. Se, jolla on suurin harja, on ryhmänjohtaja.")</f>
        <v>Se voi murskata betonilohkoja potkuhyökkäyksillään. Se, jolla on suurin harja, on ryhmänjohtaja.</v>
      </c>
      <c r="C7452" s="9" t="s">
        <v>1344</v>
      </c>
    </row>
    <row r="7453" ht="33.75" customHeight="1">
      <c r="A7453" s="6" t="s">
        <v>10998</v>
      </c>
      <c r="B7453" s="6" t="str">
        <f>IFERROR(__xludf.DUMMYFUNCTION("GOOGLETRANSLATE(A7453,""en"",""fi"")"),"Se vetää irronnutta nahkaansa ylös suojatakseen itseään potkiessaan. Mitä suurempi harja, sitä arvostetumpi se on.")</f>
        <v>Se vetää irronnutta nahkaansa ylös suojatakseen itseään potkiessaan. Mitä suurempi harja, sitä arvostetumpi se on.</v>
      </c>
      <c r="C7453" s="9" t="s">
        <v>1344</v>
      </c>
    </row>
    <row r="7454" ht="33.75" customHeight="1">
      <c r="A7454" s="6" t="s">
        <v>10999</v>
      </c>
      <c r="B7454" s="6" t="str">
        <f>IFERROR(__xludf.DUMMYFUNCTION("GOOGLETRANSLATE(A7454,""en"",""fi"")"),"Tämä Pokémon saattaa olla töykeä, mutta se pitää erittäin hyvää huolta perheestään, ystävistään ja reviiristään.")</f>
        <v>Tämä Pokémon saattaa olla töykeä, mutta se pitää erittäin hyvää huolta perheestään, ystävistään ja reviiristään.</v>
      </c>
      <c r="C7454" s="9" t="s">
        <v>1344</v>
      </c>
    </row>
    <row r="7455" ht="33.75" customHeight="1">
      <c r="A7455" s="6" t="s">
        <v>11000</v>
      </c>
      <c r="B7455" s="6" t="str">
        <f>IFERROR(__xludf.DUMMYFUNCTION("GOOGLETRANSLATE(A7455,""en"",""fi"")"),"Se pilkkaa vastustajiaan sylkemällä. Sillä on tietty reviiri, josta se ei poistu koko elämänsä aikana.")</f>
        <v>Se pilkkaa vastustajiaan sylkemällä. Sillä on tietty reviiri, josta se ei poistu koko elämänsä aikana.</v>
      </c>
      <c r="C7455" s="9" t="s">
        <v>1344</v>
      </c>
    </row>
    <row r="7456" ht="33.75" customHeight="1">
      <c r="A7456" s="6" t="s">
        <v>11002</v>
      </c>
      <c r="B7456" s="6" t="str">
        <f>IFERROR(__xludf.DUMMYFUNCTION("GOOGLETRANSLATE(A7456,""en"",""fi"")"),"Vaikka tämän Pokémonin potkut saattavat tuntua puolivilttimiltä, ​​niissä on tarpeeksi voimaa murskata Conkeldurrin betonipilarit.")</f>
        <v>Vaikka tämän Pokémonin potkut saattavat tuntua puolivilttimiltä, ​​niissä on tarpeeksi voimaa murskata Conkeldurrin betonipilarit.</v>
      </c>
      <c r="C7456" s="9" t="s">
        <v>1344</v>
      </c>
    </row>
    <row r="7457" ht="33.75" customHeight="1">
      <c r="A7457" s="6" t="s">
        <v>11004</v>
      </c>
      <c r="B7457" s="6" t="str">
        <f>IFERROR(__xludf.DUMMYFUNCTION("GOOGLETRANSLATE(A7457,""en"",""fi"")"),"Vaikka tämä Pokémon tunnetaan enimmäkseen aggressiivisen roiston luonteestaan, se pitää erittäin hyvää huolta perheestään, ystävistään ja reviiristään.")</f>
        <v>Vaikka tämä Pokémon tunnetaan enimmäkseen aggressiivisen roiston luonteestaan, se pitää erittäin hyvää huolta perheestään, ystävistään ja reviiristään.</v>
      </c>
      <c r="C7457" s="9" t="s">
        <v>1344</v>
      </c>
    </row>
    <row r="7458" ht="33.75" customHeight="1">
      <c r="A7458" s="6" t="s">
        <v>11005</v>
      </c>
      <c r="B7458" s="6" t="str">
        <f>IFERROR(__xludf.DUMMYFUNCTION("GOOGLETRANSLATE(A7458,""en"",""fi"")"),"He eivät koskaan vaihda lentoreittiään, koska heidän muistonsa muinaisen kaupungin vartioinnista pysyvät vakaina.")</f>
        <v>He eivät koskaan vaihda lentoreittiään, koska heidän muistonsa muinaisen kaupungin vartioinnista pysyvät vakaina.</v>
      </c>
      <c r="C7458" s="9" t="s">
        <v>1344</v>
      </c>
    </row>
    <row r="7459" ht="33.75" customHeight="1">
      <c r="A7459" s="6" t="s">
        <v>11007</v>
      </c>
      <c r="B7459" s="6" t="str">
        <f>IFERROR(__xludf.DUMMYFUNCTION("GOOGLETRANSLATE(A7459,""en"",""fi"")"),"Muinaisen kaupungin vartijoina he käyttävät psyykkistä voimaansa hyökätäkseen alueelleen tunkeutuvien vihollisten kimppuun.")</f>
        <v>Muinaisen kaupungin vartijoina he käyttävät psyykkistä voimaansa hyökätäkseen alueelleen tunkeutuvien vihollisten kimppuun.</v>
      </c>
      <c r="C7459" s="9" t="s">
        <v>1344</v>
      </c>
    </row>
    <row r="7460" ht="33.75" customHeight="1">
      <c r="A7460" s="6" t="s">
        <v>11009</v>
      </c>
      <c r="B7460" s="6" t="str">
        <f>IFERROR(__xludf.DUMMYFUNCTION("GOOGLETRANSLATE(A7460,""en"",""fi"")"),"Muinaisen kaupungin vartijoina he lentävät aina samaa reittiä pitäen silmällä hyökkääjiä.")</f>
        <v>Muinaisen kaupungin vartijoina he lentävät aina samaa reittiä pitäen silmällä hyökkääjiä.</v>
      </c>
      <c r="C7460" s="9" t="s">
        <v>1344</v>
      </c>
    </row>
    <row r="7461" ht="33.75" customHeight="1">
      <c r="A7461" s="6" t="s">
        <v>11012</v>
      </c>
      <c r="B7461" s="6" t="str">
        <f>IFERROR(__xludf.DUMMYFUNCTION("GOOGLETRANSLATE(A7461,""en"",""fi"")"),"Psyykkisten voimien ansiosta nämä Pokémonit osaavat lentää. Jotkut sanovat heidän olleen muinaisen kaupungin suojelijoita. Toiset sanovat heidän olleen suojelijoiden lähettiläitä.")</f>
        <v>Psyykkisten voimien ansiosta nämä Pokémonit osaavat lentää. Jotkut sanovat heidän olleen muinaisen kaupungin suojelijoita. Toiset sanovat heidän olleen suojelijoiden lähettiläitä.</v>
      </c>
      <c r="C7461" s="9" t="s">
        <v>1344</v>
      </c>
    </row>
    <row r="7462" ht="33.75" customHeight="1">
      <c r="A7462" s="6" t="s">
        <v>11014</v>
      </c>
      <c r="B7462" s="6" t="str">
        <f>IFERROR(__xludf.DUMMYFUNCTION("GOOGLETRANSLATE(A7462,""en"",""fi"")"),"Sigilyphin lennon autiomaassa tehtiin löytö. Hiekan alta löytyi mahdollisesti muinaisen kaupungin rauniot.")</f>
        <v>Sigilyphin lennon autiomaassa tehtiin löytö. Hiekan alta löytyi mahdollisesti muinaisen kaupungin rauniot.</v>
      </c>
      <c r="C7462" s="9" t="s">
        <v>1344</v>
      </c>
    </row>
    <row r="7463" ht="33.75" customHeight="1">
      <c r="A7463" s="6" t="s">
        <v>11016</v>
      </c>
      <c r="B7463" s="6" t="str">
        <f>IFERROR(__xludf.DUMMYFUNCTION("GOOGLETRANSLATE(A7463,""en"",""fi"")"),"Jokaisella niistä on naamio, joka oli niiden kasvot silloin, kun ne olivat ihmisiä. Joskus ne katsovat sitä ja itkevät.")</f>
        <v>Jokaisella niistä on naamio, joka oli niiden kasvot silloin, kun ne olivat ihmisiä. Joskus ne katsovat sitä ja itkevät.</v>
      </c>
      <c r="C7463" s="9" t="s">
        <v>1344</v>
      </c>
    </row>
    <row r="7464" ht="33.75" customHeight="1">
      <c r="A7464" s="6" t="s">
        <v>11018</v>
      </c>
      <c r="B7464" s="6" t="str">
        <f>IFERROR(__xludf.DUMMYFUNCTION("GOOGLETRANSLATE(A7464,""en"",""fi"")"),"Nämä Pokémonit syntyivät menneinä aikoina haudoissa olleiden ihmisten hengistä. Jokainen säilyttää muistoja entisestä elämästään.")</f>
        <v>Nämä Pokémonit syntyivät menneinä aikoina haudoissa olleiden ihmisten hengistä. Jokainen säilyttää muistoja entisestä elämästään.</v>
      </c>
      <c r="C7464" s="9" t="s">
        <v>1344</v>
      </c>
    </row>
    <row r="7465" ht="33.75" customHeight="1">
      <c r="A7465" s="6" t="s">
        <v>11019</v>
      </c>
      <c r="B7465" s="6" t="str">
        <f>IFERROR(__xludf.DUMMYFUNCTION("GOOGLETRANSLATE(A7465,""en"",""fi"")"),"Nämä Pokémonit syntyivät hautoihin haudattujen ihmisten hengistä. Jokainen säilyttää muistoja entisestä elämästään.")</f>
        <v>Nämä Pokémonit syntyivät hautoihin haudattujen ihmisten hengistä. Jokainen säilyttää muistoja entisestä elämästään.</v>
      </c>
      <c r="C7465" s="9" t="s">
        <v>1344</v>
      </c>
    </row>
    <row r="7466" ht="33.75" customHeight="1">
      <c r="A7466" s="6" t="s">
        <v>11021</v>
      </c>
      <c r="B7466" s="6" t="str">
        <f>IFERROR(__xludf.DUMMYFUNCTION("GOOGLETRANSLATE(A7466,""en"",""fi"")"),"Se vaeltaa öisin raunioiden läpi kantaen naamiota, jonka sanotaan olleen sen kasvot, kun se oli vielä ihminen.")</f>
        <v>Se vaeltaa öisin raunioiden läpi kantaen naamiota, jonka sanotaan olleen sen kasvot, kun se oli vielä ihminen.</v>
      </c>
      <c r="C7466" s="9" t="s">
        <v>1344</v>
      </c>
    </row>
    <row r="7467" ht="33.75" customHeight="1">
      <c r="A7467" s="6" t="s">
        <v>11022</v>
      </c>
      <c r="B7467" s="6" t="str">
        <f>IFERROR(__xludf.DUMMYFUNCTION("GOOGLETRANSLATE(A7467,""en"",""fi"")"),"Muinaisen ajan ihmisen hengestä tuli tämä Pokémon. Se vaeltelee raunioiden läpi etsien jotakuta, joka tuntee sen kasvot.")</f>
        <v>Muinaisen ajan ihmisen hengestä tuli tämä Pokémon. Se vaeltelee raunioiden läpi etsien jotakuta, joka tuntee sen kasvot.</v>
      </c>
      <c r="C7467" s="9" t="s">
        <v>1344</v>
      </c>
    </row>
    <row r="7468" ht="33.75" customHeight="1">
      <c r="A7468" s="6" t="s">
        <v>11023</v>
      </c>
      <c r="B7468" s="6" t="str">
        <f>IFERROR(__xludf.DUMMYFUNCTION("GOOGLETRANSLATE(A7468,""en"",""fi"")"),"On sanottu, että ne nielevät lähelle tulevat ja muuttavat heidät muumioiksi. Ne syövät mielellään kultahippuja.")</f>
        <v>On sanottu, että ne nielevät lähelle tulevat ja muuttavat heidät muumioiksi. Ne syövät mielellään kultahippuja.</v>
      </c>
      <c r="C7468" s="9" t="s">
        <v>1344</v>
      </c>
    </row>
    <row r="7469" ht="33.75" customHeight="1">
      <c r="A7469" s="6" t="s">
        <v>11025</v>
      </c>
      <c r="B7469" s="6" t="str">
        <f>IFERROR(__xludf.DUMMYFUNCTION("GOOGLETRANSLATE(A7469,""en"",""fi"")"),"He teeskentelevät olevansa koristeellisia arkkuja opettaakseen haudanryöstäjille läksyjä. Heidän ruumiinsa on peitetty puhtaalla kullalla.")</f>
        <v>He teeskentelevät olevansa koristeellisia arkkuja opettaakseen haudanryöstäjille läksyjä. Heidän ruumiinsa on peitetty puhtaalla kullalla.</v>
      </c>
      <c r="C7469" s="9" t="s">
        <v>1344</v>
      </c>
    </row>
    <row r="7470" ht="33.75" customHeight="1">
      <c r="A7470" s="6" t="s">
        <v>11026</v>
      </c>
      <c r="B7470" s="6" t="str">
        <f>IFERROR(__xludf.DUMMYFUNCTION("GOOGLETRANSLATE(A7470,""en"",""fi"")"),"Haudanryöstäjät, jotka erehtyvät luulemaan niitä oikeiksi arkuiksi ja menevät liian lähelle, jäävät loukkuun niiden ruumiisiin.")</f>
        <v>Haudanryöstäjät, jotka erehtyvät luulemaan niitä oikeiksi arkuiksi ja menevät liian lähelle, jäävät loukkuun niiden ruumiisiin.</v>
      </c>
      <c r="C7470" s="9" t="s">
        <v>1344</v>
      </c>
    </row>
    <row r="7471" ht="33.75" customHeight="1">
      <c r="A7471" s="6" t="s">
        <v>11027</v>
      </c>
      <c r="B7471" s="6" t="str">
        <f>IFERROR(__xludf.DUMMYFUNCTION("GOOGLETRANSLATE(A7471,""en"",""fi"")"),"Tämän Pokémonin vartalo on kimaltelevan kultainen. Ihmisten mukaan se ei enää muista olleensa kerran ihminen.")</f>
        <v>Tämän Pokémonin vartalo on kimaltelevan kultainen. Ihmisten mukaan se ei enää muista olleensa kerran ihminen.</v>
      </c>
      <c r="C7471" s="9" t="s">
        <v>1344</v>
      </c>
    </row>
    <row r="7472" ht="33.75" customHeight="1">
      <c r="A7472" s="6" t="s">
        <v>11030</v>
      </c>
      <c r="B7472" s="6" t="str">
        <f>IFERROR(__xludf.DUMMYFUNCTION("GOOGLETRANSLATE(A7472,""en"",""fi"")"),"Muinaisissa haudoissa on monia Cofagriguksen kuvia. Ne symboloivat menneiden aikojen kuninkaiden vaurautta.")</f>
        <v>Muinaisissa haudoissa on monia Cofagriguksen kuvia. Ne symboloivat menneiden aikojen kuninkaiden vaurautta.</v>
      </c>
      <c r="C7472" s="9" t="s">
        <v>1344</v>
      </c>
    </row>
    <row r="7473" ht="33.75" customHeight="1">
      <c r="A7473" s="6" t="s">
        <v>11031</v>
      </c>
      <c r="B7473" s="6" t="str">
        <f>IFERROR(__xludf.DUMMYFUNCTION("GOOGLETRANSLATE(A7473,""en"",""fi"")"),"Fossiilista ennallistettu Pokémon voi sukeltaa yli 800 metrin syvyyteen.")</f>
        <v>Fossiilista ennallistettu Pokémon voi sukeltaa yli 800 metrin syvyyteen.</v>
      </c>
      <c r="C7473" s="9" t="s">
        <v>1344</v>
      </c>
    </row>
    <row r="7474" ht="33.75" customHeight="1">
      <c r="A7474" s="6" t="s">
        <v>11033</v>
      </c>
      <c r="B7474" s="6" t="str">
        <f>IFERROR(__xludf.DUMMYFUNCTION("GOOGLETRANSLATE(A7474,""en"",""fi"")"),"Noin 100 miljoonaa vuotta sitten nämä Pokémonit uivat valtamerissä. Niiden uskotaan myös menneen maihin hyökkäämään saaliinsa kimppuun.")</f>
        <v>Noin 100 miljoonaa vuotta sitten nämä Pokémonit uivat valtamerissä. Niiden uskotaan myös menneen maihin hyökkäämään saaliinsa kimppuun.</v>
      </c>
      <c r="C7474" s="9" t="s">
        <v>1344</v>
      </c>
    </row>
    <row r="7475" ht="33.75" customHeight="1">
      <c r="A7475" s="6" t="s">
        <v>11035</v>
      </c>
      <c r="B7475" s="6" t="str">
        <f>IFERROR(__xludf.DUMMYFUNCTION("GOOGLETRANSLATE(A7475,""en"",""fi"")"),"Tämä Pokémon palautettiin fossiilista. Se ui taitavasti ja sukelsi yli 800 metrin syvyyteen.")</f>
        <v>Tämä Pokémon palautettiin fossiilista. Se ui taitavasti ja sukelsi yli 800 metrin syvyyteen.</v>
      </c>
      <c r="C7475" s="9" t="s">
        <v>1344</v>
      </c>
    </row>
    <row r="7476" ht="33.75" customHeight="1">
      <c r="A7476" s="6" t="s">
        <v>11036</v>
      </c>
      <c r="B7476" s="6" t="str">
        <f>IFERROR(__xludf.DUMMYFUNCTION("GOOGLETRANSLATE(A7476,""en"",""fi"")"),"Sen luuston rakenteen tutkimusten perusteella se voi ilmeisesti sukeltaa yli 800 metrin syvyyteen meressä.")</f>
        <v>Sen luuston rakenteen tutkimusten perusteella se voi ilmeisesti sukeltaa yli 800 metrin syvyyteen meressä.</v>
      </c>
      <c r="C7476" s="9" t="s">
        <v>1344</v>
      </c>
    </row>
    <row r="7477" ht="33.75" customHeight="1">
      <c r="A7477" s="6" t="s">
        <v>11037</v>
      </c>
      <c r="B7477" s="6" t="str">
        <f>IFERROR(__xludf.DUMMYFUNCTION("GOOGLETRANSLATE(A7477,""en"",""fi"")"),"Sen sanotaan olevan useimpien kilpikonna-Pokémonien esi-isä, ja se eli lämpimissä merissä noin sata miljoonaa vuotta sitten.")</f>
        <v>Sen sanotaan olevan useimpien kilpikonna-Pokémonien esi-isä, ja se eli lämpimissä merissä noin sata miljoonaa vuotta sitten.</v>
      </c>
      <c r="C7477" s="9" t="s">
        <v>1344</v>
      </c>
    </row>
    <row r="7478" ht="33.75" customHeight="1">
      <c r="A7478" s="6" t="s">
        <v>11038</v>
      </c>
      <c r="B7478" s="6" t="str">
        <f>IFERROR(__xludf.DUMMYFUNCTION("GOOGLETRANSLATE(A7478,""en"",""fi"")"),"Se on ennallistettu muinaisesta fossiilista. Tirtouga eli meressä, mutta tuli maihin etsimään saalista.")</f>
        <v>Se on ennallistettu muinaisesta fossiilista. Tirtouga eli meressä, mutta tuli maihin etsimään saalista.</v>
      </c>
      <c r="C7478" s="9" t="s">
        <v>1344</v>
      </c>
    </row>
    <row r="7479" ht="33.75" customHeight="1">
      <c r="A7479" s="6" t="s">
        <v>11039</v>
      </c>
      <c r="B7479" s="6" t="str">
        <f>IFERROR(__xludf.DUMMYFUNCTION("GOOGLETRANSLATE(A7479,""en"",""fi"")"),"Sen metsästysalueet kattoivat laajan alueen maalta yli 800 metrin syvyyteen meressä.")</f>
        <v>Sen metsästysalueet kattoivat laajan alueen maalta yli 800 metrin syvyyteen meressä.</v>
      </c>
      <c r="C7479" s="9" t="s">
        <v>1344</v>
      </c>
    </row>
    <row r="7480" ht="33.75" customHeight="1">
      <c r="A7480" s="6" t="s">
        <v>11040</v>
      </c>
      <c r="B7480" s="6" t="str">
        <f>IFERROR(__xludf.DUMMYFUNCTION("GOOGLETRANSLATE(A7480,""en"",""fi"")"),"Tämä Pokémon asutti muinaisia ​​meriä. Vaikka se osaa vain ryömiä, se nousee edelleen maihin etsimään saalista.")</f>
        <v>Tämä Pokémon asutti muinaisia ​​meriä. Vaikka se osaa vain ryömiä, se nousee edelleen maihin etsimään saalista.</v>
      </c>
      <c r="C7480" s="9" t="s">
        <v>1344</v>
      </c>
    </row>
    <row r="7481" ht="33.75" customHeight="1">
      <c r="A7481" s="6" t="s">
        <v>11041</v>
      </c>
      <c r="B7481" s="6" t="str">
        <f>IFERROR(__xludf.DUMMYFUNCTION("GOOGLETRANSLATE(A7481,""en"",""fi"")"),"Tirtougaa pidetään monien kilpikonna-Pokémonien esi-isänä. Se herätettiin henkiin fossiilista.")</f>
        <v>Tirtougaa pidetään monien kilpikonna-Pokémonien esi-isänä. Se herätettiin henkiin fossiilista.</v>
      </c>
      <c r="C7481" s="9" t="s">
        <v>1344</v>
      </c>
    </row>
    <row r="7482" ht="33.75" customHeight="1">
      <c r="A7482" s="6" t="s">
        <v>11042</v>
      </c>
      <c r="B7482" s="6" t="str">
        <f>IFERROR(__xludf.DUMMYFUNCTION("GOOGLETRANSLATE(A7482,""en"",""fi"")"),"Ne voivat elää sekä meressä että maalla. Yhden niistä läimäys riittää avaamaan reiän tankkerin pohjaan.")</f>
        <v>Ne voivat elää sekä meressä että maalla. Yhden niistä läimäys riittää avaamaan reiän tankkerin pohjaan.</v>
      </c>
      <c r="C7482" s="9" t="s">
        <v>1344</v>
      </c>
    </row>
    <row r="7483" ht="33.75" customHeight="1">
      <c r="A7483" s="6" t="s">
        <v>11043</v>
      </c>
      <c r="B7483" s="6" t="str">
        <f>IFERROR(__xludf.DUMMYFUNCTION("GOOGLETRANSLATE(A7483,""en"",""fi"")"),"Uskomattoman vahvat leukansa ansiosta ne voivat pureskella teräspalkkeja ja kiviä saaliinsa ohella.")</f>
        <v>Uskomattoman vahvat leukansa ansiosta ne voivat pureskella teräspalkkeja ja kiviä saaliinsa ohella.</v>
      </c>
      <c r="C7483" s="9" t="s">
        <v>1344</v>
      </c>
    </row>
    <row r="7484" ht="33.75" customHeight="1">
      <c r="A7484" s="6" t="s">
        <v>11044</v>
      </c>
      <c r="B7484" s="6" t="str">
        <f>IFERROR(__xludf.DUMMYFUNCTION("GOOGLETRANSLATE(A7484,""en"",""fi"")"),"Se kykeni tyrmäämään vihollisen yhdellä kehittyneistä eturaajoistaan ​​ja pureskelemaan sen, kuorineen ja luineen kaikkineen.")</f>
        <v>Se kykeni tyrmäämään vihollisen yhdellä kehittyneistä eturaajoistaan ​​ja pureskelemaan sen, kuorineen ja luineen kaikkineen.</v>
      </c>
      <c r="C7484" s="9" t="s">
        <v>1344</v>
      </c>
    </row>
    <row r="7485" ht="33.75" customHeight="1">
      <c r="A7485" s="6" t="s">
        <v>11047</v>
      </c>
      <c r="B7485" s="6" t="str">
        <f>IFERROR(__xludf.DUMMYFUNCTION("GOOGLETRANSLATE(A7485,""en"",""fi"")"),"Se rakensi tukevan kuorensa murskaamalla ja nielemällä saaliinsa kovia kuoria tai luita.")</f>
        <v>Se rakensi tukevan kuorensa murskaamalla ja nielemällä saaliinsa kovia kuoria tai luita.</v>
      </c>
      <c r="C7485" s="9" t="s">
        <v>1344</v>
      </c>
    </row>
    <row r="7486" ht="33.75" customHeight="1">
      <c r="A7486" s="6" t="s">
        <v>11048</v>
      </c>
      <c r="B7486" s="6" t="str">
        <f>IFERROR(__xludf.DUMMYFUNCTION("GOOGLETRANSLATE(A7486,""en"",""fi"")"),"Tämä Pokémon on aktiivinen sekä maalla että merellä, ja se raahaa maalla olevan saaliinsa veteen tappaakseen sen.")</f>
        <v>Tämä Pokémon on aktiivinen sekä maalla että merellä, ja se raahaa maalla olevan saaliinsa veteen tappaakseen sen.</v>
      </c>
      <c r="C7486" s="9" t="s">
        <v>1344</v>
      </c>
    </row>
    <row r="7487" ht="33.75" customHeight="1">
      <c r="A7487" s="6" t="s">
        <v>11051</v>
      </c>
      <c r="B7487" s="6" t="str">
        <f>IFERROR(__xludf.DUMMYFUNCTION("GOOGLETRANSLATE(A7487,""en"",""fi"")"),"Sen leuat ovat pelottavan voimakkaat. Se voisi syödä Omastarin ja Omanyten kokonaisina välittämättä niiden kuorista lainkaan.")</f>
        <v>Sen leuat ovat pelottavan voimakkaat. Se voisi syödä Omastarin ja Omanyten kokonaisina välittämättä niiden kuorista lainkaan.</v>
      </c>
      <c r="C7487" s="9" t="s">
        <v>1344</v>
      </c>
    </row>
    <row r="7488" ht="33.75" customHeight="1">
      <c r="A7488" s="6" t="s">
        <v>11053</v>
      </c>
      <c r="B7488" s="6" t="str">
        <f>IFERROR(__xludf.DUMMYFUNCTION("GOOGLETRANSLATE(A7488,""en"",""fi"")"),"Carracosta syö saaliinsa viimeisetkin palat, jopa kuoret ja luut, vahvistaakseen tukevaa kuortaan entisestään.")</f>
        <v>Carracosta syö saaliinsa viimeisetkin palat, jopa kuoret ja luut, vahvistaakseen tukevaa kuortaan entisestään.</v>
      </c>
      <c r="C7488" s="9" t="s">
        <v>1344</v>
      </c>
    </row>
    <row r="7489" ht="33.75" customHeight="1">
      <c r="A7489" s="6" t="s">
        <v>11055</v>
      </c>
      <c r="B7489" s="6" t="str">
        <f>IFERROR(__xludf.DUMMYFUNCTION("GOOGLETRANSLATE(A7489,""en"",""fi"")"),"Carracosta ahmii saaliinsa kokonaan – luut, kuoret ja kaiken. Tämän ansiosta Carracostan oma kuori kasvaa paksuksi ja tukevaksi.")</f>
        <v>Carracosta ahmii saaliinsa kokonaan – luut, kuoret ja kaiken. Tämän ansiosta Carracostan oma kuori kasvaa paksuksi ja tukevaksi.</v>
      </c>
      <c r="C7489" s="9" t="s">
        <v>1344</v>
      </c>
    </row>
    <row r="7490" ht="33.75" customHeight="1">
      <c r="A7490" s="6" t="s">
        <v>11057</v>
      </c>
      <c r="B7490" s="6" t="str">
        <f>IFERROR(__xludf.DUMMYFUNCTION("GOOGLETRANSLATE(A7490,""en"",""fi"")"),"Tämä Pokémon nousee vedestä etsimään saalista, vaikka se liikkuu hitaammin maalla.")</f>
        <v>Tämä Pokémon nousee vedestä etsimään saalista, vaikka se liikkuu hitaammin maalla.</v>
      </c>
      <c r="C7490" s="9" t="s">
        <v>1344</v>
      </c>
    </row>
    <row r="7491" ht="33.75" customHeight="1">
      <c r="A7491" s="6" t="s">
        <v>11059</v>
      </c>
      <c r="B7491" s="6" t="str">
        <f>IFERROR(__xludf.DUMMYFUNCTION("GOOGLETRANSLATE(A7491,""en"",""fi"")"),"Niiden sanotaan olevan lintu-Pokémonien esi-isiä, eivätkä ne kyenneet lentämään ja liikkuivat hyppimällä oksalta toiselle.")</f>
        <v>Niiden sanotaan olevan lintu-Pokémonien esi-isiä, eivätkä ne kyenneet lentämään ja liikkuivat hyppimällä oksalta toiselle.</v>
      </c>
      <c r="C7491" s="9" t="s">
        <v>1344</v>
      </c>
    </row>
    <row r="7492" ht="33.75" customHeight="1">
      <c r="A7492" s="6" t="s">
        <v>11063</v>
      </c>
      <c r="B7492" s="6" t="str">
        <f>IFERROR(__xludf.DUMMYFUNCTION("GOOGLETRANSLATE(A7492,""en"",""fi"")"),"Fossiilista herätetyn Pokémonin uskotaan olevan kaikkien lintu-Pokémonien esi-isä.")</f>
        <v>Fossiilista herätetyn Pokémonin uskotaan olevan kaikkien lintu-Pokémonien esi-isä.</v>
      </c>
      <c r="C7492" s="9" t="s">
        <v>1344</v>
      </c>
    </row>
    <row r="7493" ht="33.75" customHeight="1">
      <c r="A7493" s="6" t="s">
        <v>11065</v>
      </c>
      <c r="B7493" s="6" t="str">
        <f>IFERROR(__xludf.DUMMYFUNCTION("GOOGLETRANSLATE(A7493,""en"",""fi"")"),"Se herätettiin henkiin muinaisesta fossiilista. Koska se ei pystynyt lentämään, se eli puiden latvoissa ja hyppi oksalta toiselle.")</f>
        <v>Se herätettiin henkiin muinaisesta fossiilista. Koska se ei pystynyt lentämään, se eli puiden latvoissa ja hyppi oksalta toiselle.</v>
      </c>
      <c r="C7493" s="9" t="s">
        <v>1344</v>
      </c>
    </row>
    <row r="7494" ht="33.75" customHeight="1">
      <c r="A7494" s="6" t="s">
        <v>11068</v>
      </c>
      <c r="B7494" s="6" t="str">
        <f>IFERROR(__xludf.DUMMYFUNCTION("GOOGLETRANSLATE(A7494,""en"",""fi"")"),"Se on kaikkien lintu-Pokémonien esi-isä. Archen itse ei osannut lentää, vaan se liikkui hyppimällä puun latvasta toiseen.")</f>
        <v>Se on kaikkien lintu-Pokémonien esi-isä. Archen itse ei osannut lentää, vaan se liikkui hyppimällä puun latvasta toiseen.</v>
      </c>
      <c r="C7494" s="9" t="s">
        <v>1344</v>
      </c>
    </row>
    <row r="7495" ht="33.75" customHeight="1">
      <c r="A7495" s="6" t="s">
        <v>11069</v>
      </c>
      <c r="B7495" s="6" t="str">
        <f>IFERROR(__xludf.DUMMYFUNCTION("GOOGLETRANSLATE(A7495,""en"",""fi"")"),"Kaikesta päätellen lentokyvyttömänä se kykeni liitämään alas korkeiden puiden latvoista napatakseen saaliinsa.")</f>
        <v>Kaikesta päätellen lentokyvyttömänä se kykeni liitämään alas korkeiden puiden latvoista napatakseen saaliinsa.</v>
      </c>
      <c r="C7495" s="9" t="s">
        <v>1344</v>
      </c>
    </row>
    <row r="7496" ht="33.75" customHeight="1">
      <c r="A7496" s="6" t="s">
        <v>11070</v>
      </c>
      <c r="B7496" s="6" t="str">
        <f>IFERROR(__xludf.DUMMYFUNCTION("GOOGLETRANSLATE(A7496,""en"",""fi"")"),"Aiemmin kaikkien lintu-Pokémonien esi-isäksi luultu Pokémon ei ehkä pidä paikkaansa.")</f>
        <v>Aiemmin kaikkien lintu-Pokémonien esi-isäksi luultu Pokémon ei ehkä pidä paikkaansa.</v>
      </c>
      <c r="C7496" s="9" t="s">
        <v>1344</v>
      </c>
    </row>
    <row r="7497" ht="33.75" customHeight="1">
      <c r="A7497" s="6" t="s">
        <v>11072</v>
      </c>
      <c r="B7497" s="6" t="str">
        <f>IFERROR(__xludf.DUMMYFUNCTION("GOOGLETRANSLATE(A7497,""en"",""fi"")"),"Fossiilista ennallistettu tämä muinainen lintu-Pokémon on siivet, mutta ei osaa vielä lentää.")</f>
        <v>Fossiilista ennallistettu tämä muinainen lintu-Pokémon on siivet, mutta ei osaa vielä lentää.</v>
      </c>
      <c r="C7497" s="9" t="s">
        <v>1344</v>
      </c>
    </row>
    <row r="7498" ht="33.75" customHeight="1">
      <c r="A7498" s="6" t="s">
        <v>11074</v>
      </c>
      <c r="B7498" s="6" t="str">
        <f>IFERROR(__xludf.DUMMYFUNCTION("GOOGLETRANSLATE(A7498,""en"",""fi"")"),"Tämä Pokémon onnistuttiin palauttamaan fossiilista. Kuten tutkimukset ovat osoittaneet, Archen ei pysty lentämään. Mutta se on erittäin hyvä hyppäämään.")</f>
        <v>Tämä Pokémon onnistuttiin palauttamaan fossiilista. Kuten tutkimukset ovat osoittaneet, Archen ei pysty lentämään. Mutta se on erittäin hyvä hyppäämään.</v>
      </c>
      <c r="C7498" s="9" t="s">
        <v>1344</v>
      </c>
    </row>
    <row r="7499" ht="33.75" customHeight="1">
      <c r="A7499" s="6" t="s">
        <v>11076</v>
      </c>
      <c r="B7499" s="6" t="str">
        <f>IFERROR(__xludf.DUMMYFUNCTION("GOOGLETRANSLATE(A7499,""en"",""fi"")"),"Archenin sanotaan olevan lintu-Pokémonien esi-isä. Se eli puiden latvoissa syöden marjoja ja ötökkä-Pokémoneja.")</f>
        <v>Archenin sanotaan olevan lintu-Pokémonien esi-isä. Se eli puiden latvoissa syöden marjoja ja ötökkä-Pokémoneja.</v>
      </c>
      <c r="C7499" s="9" t="s">
        <v>1344</v>
      </c>
    </row>
    <row r="7500" ht="33.75" customHeight="1">
      <c r="A7500" s="6" t="s">
        <v>11077</v>
      </c>
      <c r="B7500" s="6" t="str">
        <f>IFERROR(__xludf.DUMMYFUNCTION("GOOGLETRANSLATE(A7500,""en"",""fi"")"),"Ne ovat älykkäitä ja tekevät yhteistyötä saaliin nappaamiseksi. Maasta ne lähtevät lentoon vauhdilla.")</f>
        <v>Ne ovat älykkäitä ja tekevät yhteistyötä saaliin nappaamiseksi. Maasta ne lähtevät lentoon vauhdilla.</v>
      </c>
      <c r="C7500" s="9" t="s">
        <v>1344</v>
      </c>
    </row>
    <row r="7501" ht="33.75" customHeight="1">
      <c r="A7501" s="6" t="s">
        <v>11078</v>
      </c>
      <c r="B7501" s="6" t="str">
        <f>IFERROR(__xludf.DUMMYFUNCTION("GOOGLETRANSLATE(A7501,""en"",""fi"")"),"Se juoksee paremmin kuin lentää. Se pyydystää saalistaan ​​liikkumalla auton nopeuden veroisella nopeudella.")</f>
        <v>Se juoksee paremmin kuin lentää. Se pyydystää saalistaan ​​liikkumalla auton nopeuden veroisella nopeudella.</v>
      </c>
      <c r="C7501" s="9" t="s">
        <v>1344</v>
      </c>
    </row>
    <row r="7502" ht="33.75" customHeight="1">
      <c r="A7502" s="6" t="s">
        <v>11079</v>
      </c>
      <c r="B7502" s="6" t="str">
        <f>IFERROR(__xludf.DUMMYFUNCTION("GOOGLETRANSLATE(A7502,""en"",""fi"")"),"Se juoksee paremmin kuin lentää. Se nousee ilmaan juosten 40 km/h nopeudella.")</f>
        <v>Se juoksee paremmin kuin lentää. Se nousee ilmaan juosten 40 km/h nopeudella.</v>
      </c>
      <c r="C7502" s="9" t="s">
        <v>1344</v>
      </c>
    </row>
    <row r="7503" ht="33.75" customHeight="1">
      <c r="A7503" s="6" t="s">
        <v>11081</v>
      </c>
      <c r="B7503" s="6" t="str">
        <f>IFERROR(__xludf.DUMMYFUNCTION("GOOGLETRANSLATE(A7503,""en"",""fi"")"),"Vaikka ne ilmeisesti pystyivät lentämään, ne juoksivat yleensä maata pitkin, keskimäärin noin 40 km/h nopeudella.")</f>
        <v>Vaikka ne ilmeisesti pystyivät lentämään, ne juoksivat yleensä maata pitkin, keskimäärin noin 40 km/h nopeudella.</v>
      </c>
      <c r="C7503" s="9" t="s">
        <v>1344</v>
      </c>
    </row>
    <row r="7504" ht="33.75" customHeight="1">
      <c r="A7504" s="6" t="s">
        <v>11082</v>
      </c>
      <c r="B7504" s="6" t="str">
        <f>IFERROR(__xludf.DUMMYFUNCTION("GOOGLETRANSLATE(A7504,""en"",""fi"")"),"Ne metsästivät parvissa. Kun yksi arkeops oli ajanut saaliinsa nurkkaan, toinen hyökkäsi sen kimppuun.")</f>
        <v>Ne metsästivät parvissa. Kun yksi arkeops oli ajanut saaliinsa nurkkaan, toinen hyökkäsi sen kimppuun.</v>
      </c>
      <c r="C7504" s="9" t="s">
        <v>1344</v>
      </c>
    </row>
    <row r="7505" ht="33.75" customHeight="1">
      <c r="A7505" s="6" t="s">
        <v>11083</v>
      </c>
      <c r="B7505" s="6" t="str">
        <f>IFERROR(__xludf.DUMMYFUNCTION("GOOGLETRANSLATE(A7505,""en"",""fi"")"),"Tämän muinaisen Pokémonin höyhenpeite on herkkä, joten jos kukaan muu kuin kokenut ammattilainen yrittää ennallistaa sitä, hän epäonnistuu.")</f>
        <v>Tämän muinaisen Pokémonin höyhenpeite on herkkä, joten jos kukaan muu kuin kokenut ammattilainen yrittää ennallistaa sitä, hän epäonnistuu.</v>
      </c>
      <c r="C7505" s="9" t="s">
        <v>1344</v>
      </c>
    </row>
    <row r="7506" ht="33.75" customHeight="1">
      <c r="A7506" s="6" t="s">
        <v>11084</v>
      </c>
      <c r="B7506" s="6" t="str">
        <f>IFERROR(__xludf.DUMMYFUNCTION("GOOGLETRANSLATE(A7506,""en"",""fi"")"),"Lintu-Pokémonin esi-isäksi sanotun lihakset, joita se käyttää siipiensä räpyttelyyn, ovat vielä heikot, joten se tarvitsee pitkän kiitoradan päästäkseen lentoon.")</f>
        <v>Lintu-Pokémonin esi-isäksi sanotun lihakset, joita se käyttää siipiensä räpyttelyyn, ovat vielä heikot, joten se tarvitsee pitkän kiitoradan päästäkseen lentoon.</v>
      </c>
      <c r="C7506" s="9" t="s">
        <v>1344</v>
      </c>
    </row>
    <row r="7507" ht="33.75" customHeight="1">
      <c r="A7507" s="6" t="s">
        <v>11086</v>
      </c>
      <c r="B7507" s="6" t="str">
        <f>IFERROR(__xludf.DUMMYFUNCTION("GOOGLETRANSLATE(A7507,""en"",""fi"")"),"Se tarvitsee hyvän lähdön lähteäkseen lentoon. Jos Archeops haluaa lentää, sen on ensin juostava lähes 40 km/h nopeudella ja rakennettava vauhtia noin 4 kilometrin matkan aikana.")</f>
        <v>Se tarvitsee hyvän lähdön lähteäkseen lentoon. Jos Archeops haluaa lentää, sen on ensin juostava lähes 40 km/h nopeudella ja rakennettava vauhtia noin 4 kilometrin matkan aikana.</v>
      </c>
      <c r="C7507" s="9" t="s">
        <v>1344</v>
      </c>
    </row>
    <row r="7508" ht="33.75" customHeight="1">
      <c r="A7508" s="6" t="s">
        <v>11087</v>
      </c>
      <c r="B7508" s="6" t="str">
        <f>IFERROR(__xludf.DUMMYFUNCTION("GOOGLETRANSLATE(A7508,""en"",""fi"")"),"Vaikka Archeops kykeni lentämään, se oli ilmeisesti parempi metsästämään maassa.")</f>
        <v>Vaikka Archeops kykeni lentämään, se oli ilmeisesti parempi metsästämään maassa.</v>
      </c>
      <c r="C7508" s="9" t="s">
        <v>1344</v>
      </c>
    </row>
    <row r="7509" ht="33.75" customHeight="1">
      <c r="A7509" s="6" t="s">
        <v>11089</v>
      </c>
      <c r="B7509" s="6" t="str">
        <f>IFERROR(__xludf.DUMMYFUNCTION("GOOGLETRANSLATE(A7509,""en"",""fi"")"),"Niiden röyhtäilemän kaasun hengittäminen saa sinut nukkumaan viikon. Ne suosivat epähygieenisiä paikkoja.")</f>
        <v>Niiden röyhtäilemän kaasun hengittäminen saa sinut nukkumaan viikon. Ne suosivat epähygieenisiä paikkoja.</v>
      </c>
      <c r="C7509" s="9" t="s">
        <v>1344</v>
      </c>
    </row>
    <row r="7510" ht="33.75" customHeight="1">
      <c r="A7510" s="6" t="s">
        <v>11090</v>
      </c>
      <c r="B7510" s="6" t="str">
        <f>IFERROR(__xludf.DUMMYFUNCTION("GOOGLETRANSLATE(A7510,""en"",""fi"")"),"Roskapussien ja teollisuusjätteen yhdistelmä aiheutti kemiallisen reaktion, joka loi tämän Pokémonin.")</f>
        <v>Roskapussien ja teollisuusjätteen yhdistelmä aiheutti kemiallisen reaktion, joka loi tämän Pokémonin.</v>
      </c>
      <c r="C7510" s="9" t="s">
        <v>1344</v>
      </c>
    </row>
    <row r="7511" ht="33.75" customHeight="1">
      <c r="A7511" s="6" t="s">
        <v>11091</v>
      </c>
      <c r="B7511" s="6" t="str">
        <f>IFERROR(__xludf.DUMMYFUNCTION("GOOGLETRANSLATE(A7511,""en"",""fi"")"),"Koska ne haluavat lisää roskaa, ne seuraavat roskaajia. Ne röyhtäilevät aina myrkyllistä kaasua.")</f>
        <v>Koska ne haluavat lisää roskaa, ne seuraavat roskaajia. Ne röyhtäilevät aina myrkyllistä kaasua.</v>
      </c>
      <c r="C7511" s="9" t="s">
        <v>1344</v>
      </c>
    </row>
    <row r="7512" ht="33.75" customHeight="1">
      <c r="A7512" s="6" t="s">
        <v>11093</v>
      </c>
      <c r="B7512" s="6" t="str">
        <f>IFERROR(__xludf.DUMMYFUNCTION("GOOGLETRANSLATE(A7512,""en"",""fi"")"),"He pitävät eniten epähygieenisistä paikoista. Heidät voi havaita Alolassa, usein Grimerin jahdatessa heitä.")</f>
        <v>He pitävät eniten epähygieenisistä paikoista. Heidät voi havaita Alolassa, usein Grimerin jahdatessa heitä.</v>
      </c>
      <c r="C7512" s="9" t="s">
        <v>1344</v>
      </c>
    </row>
    <row r="7513" ht="33.75" customHeight="1">
      <c r="A7513" s="6" t="s">
        <v>11095</v>
      </c>
      <c r="B7513" s="6" t="str">
        <f>IFERROR(__xludf.DUMMYFUNCTION("GOOGLETRANSLATE(A7513,""en"",""fi"")"),"Se ahmii roskia vatsaansa täyteen. Sitten se röyhtäilee myrkyllistä kaasua. Epäonninen kaasun tuulahdus vie ihmisen sairaalaan.")</f>
        <v>Se ahmii roskia vatsaansa täyteen. Sitten se röyhtäilee myrkyllistä kaasua. Epäonninen kaasun tuulahdus vie ihmisen sairaalaan.</v>
      </c>
      <c r="C7513" s="9" t="s">
        <v>1344</v>
      </c>
    </row>
    <row r="7514" ht="33.75" customHeight="1">
      <c r="A7514" s="6" t="s">
        <v>11096</v>
      </c>
      <c r="B7514" s="6" t="str">
        <f>IFERROR(__xludf.DUMMYFUNCTION("GOOGLETRANSLATE(A7514,""en"",""fi"")"),"Siitä vuotaa myrkyllistä kaasua sen hengittäessä. Se, joka haistaa tuon löyhkän, kuolaa.")</f>
        <v>Siitä vuotaa myrkyllistä kaasua sen hengittäessä. Se, joka haistaa tuon löyhkän, kuolaa.</v>
      </c>
      <c r="C7514" s="9" t="s">
        <v>1344</v>
      </c>
    </row>
    <row r="7515" ht="33.75" customHeight="1">
      <c r="A7515" s="6" t="s">
        <v>11098</v>
      </c>
      <c r="B7515" s="6" t="str">
        <f>IFERROR(__xludf.DUMMYFUNCTION("GOOGLETRANSLATE(A7515,""en"",""fi"")"),"Jos nuori Pokémon tai lapsi hengittää sisään Trubbishin röyhtäilemää myrkyllistä kaasua, se voi olla hengenvaarallinen tilanne.")</f>
        <v>Jos nuori Pokémon tai lapsi hengittää sisään Trubbishin röyhtäilemää myrkyllistä kaasua, se voi olla hengenvaarallinen tilanne.</v>
      </c>
      <c r="C7515" s="9" t="s">
        <v>1344</v>
      </c>
    </row>
    <row r="7516" ht="33.75" customHeight="1">
      <c r="A7516" s="6" t="s">
        <v>11100</v>
      </c>
      <c r="B7516" s="6" t="str">
        <f>IFERROR(__xludf.DUMMYFUNCTION("GOOGLETRANSLATE(A7516,""en"",""fi"")"),"Sen lempipaikat ovat epähygieenisiä. Jos jätät roskat lojumaan ympäriinsä, saatat jopa löytää yhden näistä Pokémoneista asumasta huoneessasi.")</f>
        <v>Sen lempipaikat ovat epähygieenisiä. Jos jätät roskat lojumaan ympäriinsä, saatat jopa löytää yhden näistä Pokémoneista asumasta huoneessasi.</v>
      </c>
      <c r="C7516" s="9" t="s">
        <v>1344</v>
      </c>
    </row>
    <row r="7517" ht="33.75" customHeight="1">
      <c r="A7517" s="6" t="s">
        <v>11102</v>
      </c>
      <c r="B7517" s="6" t="str">
        <f>IFERROR(__xludf.DUMMYFUNCTION("GOOGLETRANSLATE(A7517,""en"",""fi"")"),"Tämä Pokémon syntyi roskakassista täytetystä pussista. Galarian Weezing nauttii Trubbishin röyhtäilevistä höyryistä.")</f>
        <v>Tämä Pokémon syntyi roskakassista täytetystä pussista. Galarian Weezing nauttii Trubbishin röyhtäilevistä höyryistä.</v>
      </c>
      <c r="C7517" s="9" t="s">
        <v>1344</v>
      </c>
    </row>
    <row r="7518" ht="33.75" customHeight="1">
      <c r="A7518" s="6" t="s">
        <v>11104</v>
      </c>
      <c r="B7518" s="6" t="str">
        <f>IFERROR(__xludf.DUMMYFUNCTION("GOOGLETRANSLATE(A7518,""en"",""fi"")"),"Se puristaa vastustajia vasemmalla kädellään ja viimeistelee heidät suustaan ​​​​purkautuvalla pahanhajuisella myrkkykaasulla.")</f>
        <v>Se puristaa vastustajia vasemmalla kädellään ja viimeistelee heidät suustaan ​​​​purkautuvalla pahanhajuisella myrkkykaasulla.</v>
      </c>
      <c r="C7518" s="9" t="s">
        <v>1344</v>
      </c>
    </row>
    <row r="7519" ht="33.75" customHeight="1">
      <c r="A7519" s="6" t="s">
        <v>11107</v>
      </c>
      <c r="B7519" s="6" t="str">
        <f>IFERROR(__xludf.DUMMYFUNCTION("GOOGLETRANSLATE(A7519,""en"",""fi"")"),"Ne imevät itseensä roskia ja tekevät niistä osan kehoaan. Ne ampuvat myrkyllistä nestettä oikean kätensä sormenpäistä.")</f>
        <v>Ne imevät itseensä roskia ja tekevät niistä osan kehoaan. Ne ampuvat myrkyllistä nestettä oikean kätensä sormenpäistä.</v>
      </c>
      <c r="C7519" s="9" t="s">
        <v>1344</v>
      </c>
    </row>
    <row r="7520" ht="33.75" customHeight="1">
      <c r="A7520" s="6" t="s">
        <v>11109</v>
      </c>
      <c r="B7520" s="6" t="str">
        <f>IFERROR(__xludf.DUMMYFUNCTION("GOOGLETRANSLATE(A7520,""en"",""fi"")"),"Roskien syöminen tuottaa heidän kehoonsa uudenlaisia ​​myrkyllisiä kaasuja ja nesteitä.")</f>
        <v>Roskien syöminen tuottaa heidän kehoonsa uudenlaisia ​​myrkyllisiä kaasuja ja nesteitä.</v>
      </c>
      <c r="C7520" s="9" t="s">
        <v>1344</v>
      </c>
    </row>
    <row r="7521" ht="33.75" customHeight="1">
      <c r="A7521" s="6" t="s">
        <v>11111</v>
      </c>
      <c r="B7521" s="6" t="str">
        <f>IFERROR(__xludf.DUMMYFUNCTION("GOOGLETRANSLATE(A7521,""en"",""fi"")"),"Varo myrkyllistä nestettä, jota se ampuu oikeasta käsivarrestaan. Jos edes pieni osa siitä joutuu päällesi, koet tuntemattoman toksiinin vaikutukset.")</f>
        <v>Varo myrkyllistä nestettä, jota se ampuu oikeasta käsivarrestaan. Jos edes pieni osa siitä joutuu päällesi, koet tuntemattoman toksiinin vaikutukset.</v>
      </c>
      <c r="C7521" s="9" t="s">
        <v>1344</v>
      </c>
    </row>
    <row r="7522" ht="33.75" customHeight="1">
      <c r="A7522" s="6" t="s">
        <v>11113</v>
      </c>
      <c r="B7522" s="6" t="str">
        <f>IFERROR(__xludf.DUMMYFUNCTION("GOOGLETRANSLATE(A7522,""en"",""fi"")"),"Jonkin aikaa niiden määrä kasvoi räjähdysmäisesti Alolassa. Grimerin saapumisen jälkeen niiden populaatio on vähentynyt dramaattisesti.")</f>
        <v>Jonkin aikaa niiden määrä kasvoi räjähdysmäisesti Alolassa. Grimerin saapumisen jälkeen niiden populaatio on vähentynyt dramaattisesti.</v>
      </c>
      <c r="C7522" s="9" t="s">
        <v>1344</v>
      </c>
    </row>
    <row r="7523" ht="33.75" customHeight="1">
      <c r="A7523" s="6" t="s">
        <v>11116</v>
      </c>
      <c r="B7523" s="6" t="str">
        <f>IFERROR(__xludf.DUMMYFUNCTION("GOOGLETRANSLATE(A7523,""en"",""fi"")"),"Se lukitsee vastustajat paikoilleen vasemmalla kädellään ja lamauttaa heidät kastelemalla heidän kehonsa kokonaan myrkyllisellä nesteellä.")</f>
        <v>Se lukitsee vastustajat paikoilleen vasemmalla kädellään ja lamauttaa heidät kastelemalla heidän kehonsa kokonaan myrkyllisellä nesteellä.</v>
      </c>
      <c r="C7523" s="9" t="s">
        <v>1344</v>
      </c>
    </row>
    <row r="7524" ht="33.75" customHeight="1">
      <c r="A7524" s="6" t="s">
        <v>11117</v>
      </c>
      <c r="B7524" s="6" t="str">
        <f>IFERROR(__xludf.DUMMYFUNCTION("GOOGLETRANSLATE(A7524,""en"",""fi"")"),"Jotkut sanovat, että syy siihen, miksi Garbodorit Alolassa ovat hieman vahvempia kuin heidän vastustajansa muualla, on Mukin, heidän luonnollisen vihollisensa, läsnäolo.")</f>
        <v>Jotkut sanovat, että syy siihen, miksi Garbodorit Alolassa ovat hieman vahvempia kuin heidän vastustajansa muualla, on Mukin, heidän luonnollisen vihollisensa, läsnäolo.</v>
      </c>
      <c r="C7524" s="9" t="s">
        <v>1344</v>
      </c>
    </row>
    <row r="7525" ht="33.75" customHeight="1">
      <c r="A7525" s="6" t="s">
        <v>11119</v>
      </c>
      <c r="B7525" s="6" t="str">
        <f>IFERROR(__xludf.DUMMYFUNCTION("GOOGLETRANSLATE(A7525,""en"",""fi"")"),"Tämä Pokémon syö roskaa, joka muuttuu myrkylliseksi sen kehossa. Myrkyn pääkomponentti riippuu syödyn roskan tyypistä.")</f>
        <v>Tämä Pokémon syö roskaa, joka muuttuu myrkylliseksi sen kehossa. Myrkyn pääkomponentti riippuu syödyn roskan tyypistä.</v>
      </c>
      <c r="C7525" s="9" t="s">
        <v>1344</v>
      </c>
    </row>
    <row r="7526" ht="33.75" customHeight="1">
      <c r="A7526" s="6" t="s">
        <v>11121</v>
      </c>
      <c r="B7526" s="6" t="str">
        <f>IFERROR(__xludf.DUMMYFUNCTION("GOOGLETRANSLATE(A7526,""en"",""fi"")"),"Sen oikeasta käsivarresta purkautuva myrkyllinen neste on niin myrkyllistä, että se voi tappaa heikentyneen olennon välittömästi.")</f>
        <v>Sen oikeasta käsivarresta purkautuva myrkyllinen neste on niin myrkyllistä, että se voi tappaa heikentyneen olennon välittömästi.</v>
      </c>
      <c r="C7526" s="9" t="s">
        <v>1344</v>
      </c>
    </row>
    <row r="7527" ht="33.75" customHeight="1">
      <c r="A7527" s="6" t="s">
        <v>11122</v>
      </c>
      <c r="B7527" s="6" t="str">
        <f>IFERROR(__xludf.DUMMYFUNCTION("GOOGLETRANSLATE(A7527,""en"",""fi"")"),"Se muuttaa muotonsa toisten ihmisten muotoon yllättääkseen heidät. Ilmeisesti se usein muuttuu hiljaiseksi lapseksi.")</f>
        <v>Se muuttaa muotonsa toisten ihmisten muotoon yllättääkseen heidät. Ilmeisesti se usein muuttuu hiljaiseksi lapseksi.</v>
      </c>
      <c r="C7527" s="9" t="s">
        <v>1344</v>
      </c>
    </row>
    <row r="7528" ht="33.75" customHeight="1">
      <c r="A7528" s="6" t="s">
        <v>11123</v>
      </c>
      <c r="B7528" s="6" t="str">
        <f>IFERROR(__xludf.DUMMYFUNCTION("GOOGLETRANSLATE(A7528,""en"",""fi"")"),"Suojellakseen itseään vaaralta he piilottavat todellisen identiteettinsä muuttumalla ihmisiksi ja Pokémoneiksi.")</f>
        <v>Suojellakseen itseään vaaralta he piilottavat todellisen identiteettinsä muuttumalla ihmisiksi ja Pokémoneiksi.</v>
      </c>
      <c r="C7528" s="9" t="s">
        <v>1344</v>
      </c>
    </row>
    <row r="7529" ht="33.75" customHeight="1">
      <c r="A7529" s="6" t="s">
        <v>11124</v>
      </c>
      <c r="B7529" s="6" t="str">
        <f>IFERROR(__xludf.DUMMYFUNCTION("GOOGLETRANSLATE(A7529,""en"",""fi"")"),"Se muuttuu näyttämään aivan viholliseltaan, huijaa sitä ja käyttää sitten tilaisuutta hyväkseen paetakseen.")</f>
        <v>Se muuttuu näyttämään aivan viholliseltaan, huijaa sitä ja käyttää sitten tilaisuutta hyväkseen paetakseen.</v>
      </c>
      <c r="C7529" s="9" t="s">
        <v>1344</v>
      </c>
    </row>
    <row r="7530" ht="33.75" customHeight="1">
      <c r="A7530" s="6" t="s">
        <v>11125</v>
      </c>
      <c r="B7530" s="6" t="str">
        <f>IFERROR(__xludf.DUMMYFUNCTION("GOOGLETRANSLATE(A7530,""en"",""fi"")"),"Tällä Pokémonilla on pelkurimainen luonne, joten ystäviensä poissa ollessa se pysyy aina muuttuneena joksikin muuksi.")</f>
        <v>Tällä Pokémonilla on pelkurimainen luonne, joten ystäviensä poissa ollessa se pysyy aina muuttuneena joksikin muuksi.</v>
      </c>
      <c r="C7530" s="9" t="s">
        <v>1344</v>
      </c>
    </row>
    <row r="7531" ht="33.75" customHeight="1">
      <c r="A7531" s="6" t="s">
        <v>11126</v>
      </c>
      <c r="B7531" s="6" t="str">
        <f>IFERROR(__xludf.DUMMYFUNCTION("GOOGLETRANSLATE(A7531,""en"",""fi"")"),"Jos normaalisti puhelias lapsi yhtäkkiä lakkaa puhumasta, Zorua on saattanut korvata hänet.")</f>
        <v>Jos normaalisti puhelias lapsi yhtäkkiä lakkaa puhumasta, Zorua on saattanut korvata hänet.</v>
      </c>
      <c r="C7531" s="9" t="s">
        <v>1344</v>
      </c>
    </row>
    <row r="7532" ht="33.75" customHeight="1">
      <c r="A7532" s="6" t="s">
        <v>11127</v>
      </c>
      <c r="B7532" s="6" t="str">
        <f>IFERROR(__xludf.DUMMYFUNCTION("GOOGLETRANSLATE(A7532,""en"",""fi"")"),"Zorua on arka Pokémon. Tämä luonne näyttää johtaneen Zoruan kykyyn ottaa muiden olentojen muotoja.")</f>
        <v>Zorua on arka Pokémon. Tämä luonne näyttää johtaneen Zoruan kykyyn ottaa muiden olentojen muotoja.</v>
      </c>
      <c r="C7532" s="9" t="s">
        <v>1344</v>
      </c>
    </row>
    <row r="7533" ht="33.75" customHeight="1">
      <c r="A7533" s="6" t="s">
        <v>11129</v>
      </c>
      <c r="B7533" s="6" t="str">
        <f>IFERROR(__xludf.DUMMYFUNCTION("GOOGLETRANSLATE(A7533,""en"",""fi"")"),"Zorua muuttuu joskus ihmiseksi ja menee kaupunkeihin etsimään ruokaa. Kun Zorua tekee näin, se yleensä ottaa lapsen muodon.")</f>
        <v>Zorua muuttuu joskus ihmiseksi ja menee kaupunkeihin etsimään ruokaa. Kun Zorua tekee näin, se yleensä ottaa lapsen muodon.</v>
      </c>
      <c r="C7533" s="9" t="s">
        <v>1344</v>
      </c>
    </row>
    <row r="7534" ht="33.75" customHeight="1">
      <c r="A7534" s="6" t="s">
        <v>11130</v>
      </c>
      <c r="B7534" s="6" t="str">
        <f>IFERROR(__xludf.DUMMYFUNCTION("GOOGLETRANSLATE(A7534,""en"",""fi"")"),"Kerran edesmennyt sielu, joka on palannut elämään Hisuissa. Ansaitsee voimansa kaunasta, joka nousee energiana sen päähän ja ottaa vihollisten hahmot. Tällä tavoin Zorua purkaa viipyilevää pahuuttaan.")</f>
        <v>Kerran edesmennyt sielu, joka on palannut elämään Hisuissa. Ansaitsee voimansa kaunasta, joka nousee energiana sen päähän ja ottaa vihollisten hahmot. Tällä tavoin Zorua purkaa viipyilevää pahuuttaan.</v>
      </c>
      <c r="C7534" s="9" t="s">
        <v>1344</v>
      </c>
    </row>
    <row r="7535" ht="33.75" customHeight="1">
      <c r="A7535" s="6" t="s">
        <v>11132</v>
      </c>
      <c r="B7535" s="6" t="str">
        <f>IFERROR(__xludf.DUMMYFUNCTION("GOOGLETRANSLATE(A7535,""en"",""fi"")"),"Näiden Pokémonien väliset siteet ovat erittäin vahvat. Se suojelee laumansa turvallisuutta huijaamalla vastustajiaan.")</f>
        <v>Näiden Pokémonien väliset siteet ovat erittäin vahvat. Se suojelee laumansa turvallisuutta huijaamalla vastustajiaan.</v>
      </c>
      <c r="C7535" s="9" t="s">
        <v>1344</v>
      </c>
    </row>
    <row r="7536" ht="33.75" customHeight="1">
      <c r="A7536" s="6" t="s">
        <v>11133</v>
      </c>
      <c r="B7536" s="6" t="str">
        <f>IFERROR(__xludf.DUMMYFUNCTION("GOOGLETRANSLATE(A7536,""en"",""fi"")"),"Jokaisella on kyky huijata suuri joukko ihmisiä samanaikaisesti. He suojelevat pesäänsä illuusiomaisemilla.")</f>
        <v>Jokaisella on kyky huijata suuri joukko ihmisiä samanaikaisesti. He suojelevat pesäänsä illuusiomaisemilla.</v>
      </c>
      <c r="C7536" s="9" t="s">
        <v>1344</v>
      </c>
    </row>
    <row r="7537" ht="33.75" customHeight="1">
      <c r="A7537" s="6" t="s">
        <v>11134</v>
      </c>
      <c r="B7537" s="6" t="str">
        <f>IFERROR(__xludf.DUMMYFUNCTION("GOOGLETRANSLATE(A7537,""en"",""fi"")"),"Tarinoiden mukaan Zoroarkin kiinniottamista yrittäneet jäivät illuusion vangiksi ja heitä rangaistiin.")</f>
        <v>Tarinoiden mukaan Zoroarkin kiinniottamista yrittäneet jäivät illuusion vangiksi ja heitä rangaistiin.</v>
      </c>
      <c r="C7537" s="9" t="s">
        <v>1344</v>
      </c>
    </row>
    <row r="7538" ht="33.75" customHeight="1">
      <c r="A7538" s="6" t="s">
        <v>11135</v>
      </c>
      <c r="B7538" s="6" t="str">
        <f>IFERROR(__xludf.DUMMYFUNCTION("GOOGLETRANSLATE(A7538,""en"",""fi"")"),"Se ei ainoastaan ​​muuta itseään – sillä on myös voima saada sadat ihmiset näkemään illuusiot.")</f>
        <v>Se ei ainoastaan ​​muuta itseään – sillä on myös voima saada sadat ihmiset näkemään illuusiot.</v>
      </c>
      <c r="C7538" s="9" t="s">
        <v>1344</v>
      </c>
    </row>
    <row r="7539" ht="33.75" customHeight="1">
      <c r="A7539" s="6" t="s">
        <v>11137</v>
      </c>
      <c r="B7539" s="6" t="str">
        <f>IFERROR(__xludf.DUMMYFUNCTION("GOOGLETRANSLATE(A7539,""en"",""fi"")"),"Jos se luulee ihmisten löytävän sen pesän, Zoroark näyttää niille näkyjä, jotka saavat ne vaeltelemaan metsässä.")</f>
        <v>Jos se luulee ihmisten löytävän sen pesän, Zoroark näyttää niille näkyjä, jotka saavat ne vaeltelemaan metsässä.</v>
      </c>
      <c r="C7539" s="9" t="s">
        <v>1344</v>
      </c>
    </row>
    <row r="7540" ht="33.75" customHeight="1">
      <c r="A7540" s="6" t="s">
        <v>11138</v>
      </c>
      <c r="B7540" s="6" t="str">
        <f>IFERROR(__xludf.DUMMYFUNCTION("GOOGLETRANSLATE(A7540,""en"",""fi"")"),"Tämä Pokémon välittää syvästi muista kaltaisistaan ​​ja se loihtii kauhistuttavia illuusioita pitääkseen pesänsä ja pakkaustaan ​​turvassa.")</f>
        <v>Tämä Pokémon välittää syvästi muista kaltaisistaan ​​ja se loihtii kauhistuttavia illuusioita pitääkseen pesänsä ja pakkaustaan ​​turvassa.</v>
      </c>
      <c r="C7540" s="9" t="s">
        <v>1344</v>
      </c>
    </row>
    <row r="7541" ht="33.75" customHeight="1">
      <c r="A7541" s="6" t="s">
        <v>11141</v>
      </c>
      <c r="B7541" s="6" t="str">
        <f>IFERROR(__xludf.DUMMYFUNCTION("GOOGLETRANSLATE(A7541,""en"",""fi"")"),"Yksinäisyyden taakkaa keventääkseen yksinäiset kouluttajat käskevät Zoroarkia näyttämään heille illuusioita.")</f>
        <v>Yksinäisyyden taakkaa keventääkseen yksinäiset kouluttajat käskevät Zoroarkia näyttämään heille illuusioita.</v>
      </c>
      <c r="C7541" s="9" t="s">
        <v>1344</v>
      </c>
    </row>
    <row r="7542" ht="33.75" customHeight="1">
      <c r="A7542" s="6" t="s">
        <v>11143</v>
      </c>
      <c r="B7542" s="6" t="str">
        <f>IFERROR(__xludf.DUMMYFUNCTION("GOOGLETRANSLATE(A7542,""en"",""fi"")"),"Sekalaisen valkoisen turkkinsa ansiosta se näyttää kuoleman ruumiillistumalta. Omasta turvallisuudestaan ​​välittämättä Zoroark hyökkää arkkivihollistensa kimppuun niin voimakkaalla katkeralla energialla, että se viiltää Zoroarkin omaa ruumista.")</f>
        <v>Sekalaisen valkoisen turkkinsa ansiosta se näyttää kuoleman ruumiillistumalta. Omasta turvallisuudestaan ​​välittämättä Zoroark hyökkää arkkivihollistensa kimppuun niin voimakkaalla katkeralla energialla, että se viiltää Zoroarkin omaa ruumista.</v>
      </c>
      <c r="C7542" s="9" t="s">
        <v>1344</v>
      </c>
    </row>
    <row r="7543" ht="33.75" customHeight="1">
      <c r="A7543" s="6" t="s">
        <v>11144</v>
      </c>
      <c r="B7543" s="6" t="str">
        <f>IFERROR(__xludf.DUMMYFUNCTION("GOOGLETRANSLATE(A7543,""en"",""fi"")"),"Ne tervehtivät toisiaan hieromalla toisiaan hännillään, jotka pidetään aina hyvin hoidettuina ja puhtaina.")</f>
        <v>Ne tervehtivät toisiaan hieromalla toisiaan hännillään, jotka pidetään aina hyvin hoidettuina ja puhtaina.</v>
      </c>
      <c r="C7543" s="9" t="s">
        <v>1344</v>
      </c>
    </row>
    <row r="7544" ht="33.75" customHeight="1">
      <c r="A7544" s="6" t="s">
        <v>11146</v>
      </c>
      <c r="B7544" s="6" t="str">
        <f>IFERROR(__xludf.DUMMYFUNCTION("GOOGLETRANSLATE(A7544,""en"",""fi"")"),"Nämä Pokémonit viihtyvät siistissä elinympäristössä. Ne lakaisevat ja pölyttävät aina käyttäen häntäänsä luutana.")</f>
        <v>Nämä Pokémonit viihtyvät siistissä elinympäristössä. Ne lakaisevat ja pölyttävät aina käyttäen häntäänsä luutana.</v>
      </c>
      <c r="C7544" s="9" t="s">
        <v>1344</v>
      </c>
    </row>
    <row r="7545" ht="33.75" customHeight="1">
      <c r="A7545" s="6" t="s">
        <v>11148</v>
      </c>
      <c r="B7545" s="6" t="str">
        <f>IFERROR(__xludf.DUMMYFUNCTION("GOOGLETRANSLATE(A7545,""en"",""fi"")"),"Minccinot tervehtivät toisiaan harjaamalla toisiaan huolellisesti hännällään.")</f>
        <v>Minccinot tervehtivät toisiaan harjaamalla toisiaan huolellisesti hännällään.</v>
      </c>
      <c r="C7545" s="9" t="s">
        <v>1344</v>
      </c>
    </row>
    <row r="7546" ht="33.75" customHeight="1">
      <c r="A7546" s="6" t="s">
        <v>11149</v>
      </c>
      <c r="B7546" s="6" t="str">
        <f>IFERROR(__xludf.DUMMYFUNCTION("GOOGLETRANSLATE(A7546,""en"",""fi"")"),"Puhtausfriikki, joka ei salli pienintäkään sotkua, käyttää häntäänsä kuin moppia puhdistaakseen perusteellisesti kaiken lian.")</f>
        <v>Puhtausfriikki, joka ei salli pienintäkään sotkua, käyttää häntäänsä kuin moppia puhdistaakseen perusteellisesti kaiken lian.</v>
      </c>
      <c r="C7546" s="9" t="s">
        <v>1344</v>
      </c>
    </row>
    <row r="7547" ht="33.75" customHeight="1">
      <c r="A7547" s="6" t="s">
        <v>11150</v>
      </c>
      <c r="B7547" s="6" t="str">
        <f>IFERROR(__xludf.DUMMYFUNCTION("GOOGLETRANSLATE(A7547,""en"",""fi"")"),"Kun Minccinon häntä on likaantunut itsepuhdistuksen tai pesän siivouksen seurauksena, se pesee häntäänsä kokonaisen päivän puhtaassa lähdevedessä.")</f>
        <v>Kun Minccinon häntä on likaantunut itsepuhdistuksen tai pesän siivouksen seurauksena, se pesee häntäänsä kokonaisen päivän puhtaassa lähdevedessä.</v>
      </c>
      <c r="C7547" s="9" t="s">
        <v>1344</v>
      </c>
    </row>
    <row r="7548" ht="33.75" customHeight="1">
      <c r="A7548" s="6" t="s">
        <v>11151</v>
      </c>
      <c r="B7548" s="6" t="str">
        <f>IFERROR(__xludf.DUMMYFUNCTION("GOOGLETRANSLATE(A7548,""en"",""fi"")"),"Se, miten se harjaa lian pois hännällään, voi olla hyödyllinen siivouksessa. Mutta sen keskittyminen tahrattomuuteen voi tehdä siivoamisesta hankalampaa.")</f>
        <v>Se, miten se harjaa lian pois hännällään, voi olla hyödyllinen siivouksessa. Mutta sen keskittyminen tahrattomuuteen voi tehdä siivoamisesta hankalampaa.</v>
      </c>
      <c r="C7548" s="9" t="s">
        <v>1344</v>
      </c>
    </row>
    <row r="7549" ht="33.75" customHeight="1">
      <c r="A7549" s="6" t="s">
        <v>11153</v>
      </c>
      <c r="B7549" s="6" t="str">
        <f>IFERROR(__xludf.DUMMYFUNCTION("GOOGLETRANSLATE(A7549,""en"",""fi"")"),"Ne silittävät toisiaan hännällään tervehdyksenä. Näistä kahdesta se, jonka häntä on pörröisempi, on hieman kerskailevampi.")</f>
        <v>Ne silittävät toisiaan hännällään tervehdyksenä. Näistä kahdesta se, jonka häntä on pörröisempi, on hieman kerskailevampi.</v>
      </c>
      <c r="C7549" s="9" t="s">
        <v>1344</v>
      </c>
    </row>
    <row r="7550" ht="33.75" customHeight="1">
      <c r="A7550" s="6" t="s">
        <v>11154</v>
      </c>
      <c r="B7550" s="6" t="str">
        <f>IFERROR(__xludf.DUMMYFUNCTION("GOOGLETRANSLATE(A7550,""en"",""fi"")"),"Niiden valkoinen turkki on päällystetty erityisellä öljyllä, jonka avulla ne voivat torjua hyökkäykset helposti.")</f>
        <v>Niiden valkoinen turkki on päällystetty erityisellä öljyllä, jonka avulla ne voivat torjua hyökkäykset helposti.</v>
      </c>
      <c r="C7550" s="9" t="s">
        <v>1344</v>
      </c>
    </row>
    <row r="7551" ht="33.75" customHeight="1">
      <c r="A7551" s="6" t="s">
        <v>11155</v>
      </c>
      <c r="B7551" s="6" t="str">
        <f>IFERROR(__xludf.DUMMYFUNCTION("GOOGLETRANSLATE(A7551,""en"",""fi"")"),"Niiden valkoinen turkki tuntuu ihanalta koskettaa. Niiden turkki hylkii pölyä ja estää staattisen sähkön kertymisen.")</f>
        <v>Niiden valkoinen turkki tuntuu ihanalta koskettaa. Niiden turkki hylkii pölyä ja estää staattisen sähkön kertymisen.</v>
      </c>
      <c r="C7551" s="9" t="s">
        <v>1344</v>
      </c>
    </row>
    <row r="7552" ht="33.75" customHeight="1">
      <c r="A7552" s="6" t="s">
        <v>11157</v>
      </c>
      <c r="B7552" s="6" t="str">
        <f>IFERROR(__xludf.DUMMYFUNCTION("GOOGLETRANSLATE(A7552,""en"",""fi"")"),"Cinccinon vartalo on päällystetty erityisellä öljyllä, joka auttaa sitä torjumaan hyökkäyksiä, kuten lyöntejä.")</f>
        <v>Cinccinon vartalo on päällystetty erityisellä öljyllä, joka auttaa sitä torjumaan hyökkäyksiä, kuten lyöntejä.</v>
      </c>
      <c r="C7552" s="9" t="s">
        <v>1344</v>
      </c>
    </row>
    <row r="7553" ht="33.75" customHeight="1">
      <c r="A7553" s="6" t="s">
        <v>11158</v>
      </c>
      <c r="B7553" s="6" t="str">
        <f>IFERROR(__xludf.DUMMYFUNCTION("GOOGLETRANSLATE(A7553,""en"",""fi"")"),"Sen turkin valkoiset osat ovat peittyneet sen kehosta erittyvään öljyyn, joten tämä Pokémon voi liukua suoraan pois vihollistensa hyökkäyksiltä.")</f>
        <v>Sen turkin valkoiset osat ovat peittyneet sen kehosta erittyvään öljyyn, joten tämä Pokémon voi liukua suoraan pois vihollistensa hyökkäyksiltä.</v>
      </c>
      <c r="C7553" s="9" t="s">
        <v>1344</v>
      </c>
    </row>
    <row r="7554" ht="33.75" customHeight="1">
      <c r="A7554" s="6" t="s">
        <v>11160</v>
      </c>
      <c r="B7554" s="6" t="str">
        <f>IFERROR(__xludf.DUMMYFUNCTION("GOOGLETRANSLATE(A7554,""en"",""fi"")"),"Sen sisältä tihkuva öljy on todella pehmeää. Tämä öljy on tehokas hoitokeino ihmisille, joita vaivaa huono iho.")</f>
        <v>Sen sisältä tihkuva öljy on todella pehmeää. Tämä öljy on tehokas hoitokeino ihmisille, joita vaivaa huono iho.</v>
      </c>
      <c r="C7554" s="9" t="s">
        <v>1344</v>
      </c>
    </row>
    <row r="7555" ht="33.75" customHeight="1">
      <c r="A7555" s="6" t="s">
        <v>11161</v>
      </c>
      <c r="B7555" s="6" t="str">
        <f>IFERROR(__xludf.DUMMYFUNCTION("GOOGLETRANSLATE(A7555,""en"",""fi"")"),"Sen ruumis erittää öljyä, jota tämä Pokémon levittää pesänsä päälle suojaamaan sitä pölyltä. Cinccino ei siedä edes hitustakaan tätä öljyä.")</f>
        <v>Sen ruumis erittää öljyä, jota tämä Pokémon levittää pesänsä päälle suojaamaan sitä pölyltä. Cinccino ei siedä edes hitustakaan tätä öljyä.</v>
      </c>
      <c r="C7555" s="9" t="s">
        <v>1344</v>
      </c>
    </row>
    <row r="7556" ht="33.75" customHeight="1">
      <c r="A7556" s="6" t="s">
        <v>11162</v>
      </c>
      <c r="B7556" s="6" t="str">
        <f>IFERROR(__xludf.DUMMYFUNCTION("GOOGLETRANSLATE(A7556,""en"",""fi"")"),"Erityinen öljy, joka imeytyy niiden turkkiin, auttaa niitä välttämään hyökkäyksiä. Öljystä saa markkinoilla korkean hinnan.")</f>
        <v>Erityinen öljy, joka imeytyy niiden turkkiin, auttaa niitä välttämään hyökkäyksiä. Öljystä saa markkinoilla korkean hinnan.</v>
      </c>
      <c r="C7556" s="9" t="s">
        <v>1344</v>
      </c>
    </row>
    <row r="7557" ht="33.75" customHeight="1">
      <c r="A7557" s="6" t="s">
        <v>11163</v>
      </c>
      <c r="B7557" s="6" t="str">
        <f>IFERROR(__xludf.DUMMYFUNCTION("GOOGLETRANSLATE(A7557,""en"",""fi"")"),"Heidän nauhamaiset tuntosarvensa lisäävät heidän psyykkistä voimaansa. He tuijottavat aina jotakin.")</f>
        <v>Heidän nauhamaiset tuntosarvensa lisäävät heidän psyykkistä voimaansa. He tuijottavat aina jotakin.</v>
      </c>
      <c r="C7557" s="9" t="s">
        <v>1344</v>
      </c>
    </row>
    <row r="7558" ht="33.75" customHeight="1">
      <c r="A7558" s="6" t="s">
        <v>11164</v>
      </c>
      <c r="B7558" s="6" t="str">
        <f>IFERROR(__xludf.DUMMYFUNCTION("GOOGLETRANSLATE(A7558,""en"",""fi"")"),"He tarkkailevat tarkasti sekä kouluttajia että Pokémoneja. Ilmeisesti he katsovat jotakin, minkä vain Gothita voi nähdä.")</f>
        <v>He tarkkailevat tarkasti sekä kouluttajia että Pokémoneja. Ilmeisesti he katsovat jotakin, minkä vain Gothita voi nähdä.</v>
      </c>
      <c r="C7558" s="9" t="s">
        <v>1344</v>
      </c>
    </row>
    <row r="7559" ht="33.75" customHeight="1">
      <c r="A7559" s="6" t="s">
        <v>11165</v>
      </c>
      <c r="B7559" s="6" t="str">
        <f>IFERROR(__xludf.DUMMYFUNCTION("GOOGLETRANSLATE(A7559,""en"",""fi"")"),"Se tuijottaa kaikkea intensiivisesti. Se voi olla niin pakkomielteisen tarkkaileva, ettei se huomaa hyökkäyksiä.")</f>
        <v>Se tuijottaa kaikkea intensiivisesti. Se voi olla niin pakkomielteisen tarkkaileva, ettei se huomaa hyökkäyksiä.</v>
      </c>
      <c r="C7559" s="9" t="s">
        <v>1344</v>
      </c>
    </row>
    <row r="7560" ht="33.75" customHeight="1">
      <c r="A7560" s="6" t="s">
        <v>11166</v>
      </c>
      <c r="B7560" s="6" t="str">
        <f>IFERROR(__xludf.DUMMYFUNCTION("GOOGLETRANSLATE(A7560,""en"",""fi"")"),"Vaikka he ovat vasta vauvoja, heidän nauhamaisissa tuntosarvissaan on varastoituneena psyykkistä voimaa, ja joskus he käyttävät tätä voimaa taisteluun.")</f>
        <v>Vaikka he ovat vasta vauvoja, heidän nauhamaisissa tuntosarvissaan on varastoituneena psyykkistä voimaa, ja joskus he käyttävät tätä voimaa taisteluun.</v>
      </c>
      <c r="C7560" s="9" t="s">
        <v>1344</v>
      </c>
    </row>
    <row r="7561" ht="33.75" customHeight="1">
      <c r="A7561" s="6" t="s">
        <v>11167</v>
      </c>
      <c r="B7561" s="6" t="str">
        <f>IFERROR(__xludf.DUMMYFUNCTION("GOOGLETRANSLATE(A7561,""en"",""fi"")"),"Vaikka ketään ei näyttäisi olevan lähellä, Gothita voi silti kuulla vaimean huudon. Monet uskovat sen puhuvan jollekin, minkä vain se voi nähdä.")</f>
        <v>Vaikka ketään ei näyttäisi olevan lähellä, Gothita voi silti kuulla vaimean huudon. Monet uskovat sen puhuvan jollekin, minkä vain se voi nähdä.</v>
      </c>
      <c r="C7561" s="9" t="s">
        <v>1344</v>
      </c>
    </row>
    <row r="7562" ht="33.75" customHeight="1">
      <c r="A7562" s="6" t="s">
        <v>11168</v>
      </c>
      <c r="B7562" s="6" t="str">
        <f>IFERROR(__xludf.DUMMYFUNCTION("GOOGLETRANSLATE(A7562,""en"",""fi"")"),"He käyttävät hypnoosia ihmisten ja Pokémonien hallitsemiseen. Tarinoita Gothoritoista, jotka johtavat ihmisiä harhaan, kerrotaan joka nurkalla.")</f>
        <v>He käyttävät hypnoosia ihmisten ja Pokémonien hallitsemiseen. Tarinoita Gothoritoista, jotka johtavat ihmisiä harhaan, kerrotaan joka nurkalla.</v>
      </c>
      <c r="C7562" s="9" t="s">
        <v>1344</v>
      </c>
    </row>
    <row r="7563" ht="33.75" customHeight="1">
      <c r="A7563" s="6" t="s">
        <v>11169</v>
      </c>
      <c r="B7563" s="6" t="str">
        <f>IFERROR(__xludf.DUMMYFUNCTION("GOOGLETRANSLATE(A7563,""en"",""fi"")"),"Tähtienvalo on heidän voimansa lähde. Yöllä he merkitsevät tähtien sijainteja käyttämällä psyykkistä voimaa kivien kelluttamiseen.")</f>
        <v>Tähtienvalo on heidän voimansa lähde. Yöllä he merkitsevät tähtien sijainteja käyttämällä psyykkistä voimaa kivien kelluttamiseen.</v>
      </c>
      <c r="C7563" s="9" t="s">
        <v>1344</v>
      </c>
    </row>
    <row r="7564" ht="33.75" customHeight="1">
      <c r="A7564" s="6" t="s">
        <v>11170</v>
      </c>
      <c r="B7564" s="6" t="str">
        <f>IFERROR(__xludf.DUMMYFUNCTION("GOOGLETRANSLATE(A7564,""en"",""fi"")"),"Monien vanhojen tarinoiden mukaan se luo itselleen ystäviä hallitsemalla nukkuvia lapsia tähtikirkkaina öinä.")</f>
        <v>Monien vanhojen tarinoiden mukaan se luo itselleen ystäviä hallitsemalla nukkuvia lapsia tähtikirkkaina öinä.</v>
      </c>
      <c r="C7564" s="9" t="s">
        <v>1344</v>
      </c>
    </row>
    <row r="7565" ht="33.75" customHeight="1">
      <c r="A7565" s="6" t="s">
        <v>11171</v>
      </c>
      <c r="B7565" s="6" t="str">
        <f>IFERROR(__xludf.DUMMYFUNCTION("GOOGLETRANSLATE(A7565,""en"",""fi"")"),"Sanotaan, että kun tähdet loistavat yötaivaalla, tämä Pokémon ajaa nukkuvat lapset pois. Jotkut kutsuvat sitä Rangaistuksen Noidaksi.")</f>
        <v>Sanotaan, että kun tähdet loistavat yötaivaalla, tämä Pokémon ajaa nukkuvat lapset pois. Jotkut kutsuvat sitä Rangaistuksen Noidaksi.</v>
      </c>
      <c r="C7565" s="9" t="s">
        <v>1344</v>
      </c>
    </row>
    <row r="7566" ht="33.75" customHeight="1">
      <c r="A7566" s="6" t="s">
        <v>11172</v>
      </c>
      <c r="B7566" s="6" t="str">
        <f>IFERROR(__xludf.DUMMYFUNCTION("GOOGLETRANSLATE(A7566,""en"",""fi"")"),"Öinä, jolloin tähdet loistavat, tämän Pokémonin psyykkinen voima on vahvimmillaan. Ei tiedetä, mikä yhteys Gothoritalla on suurempaan universumiin.")</f>
        <v>Öinä, jolloin tähdet loistavat, tämän Pokémonin psyykkinen voima on vahvimmillaan. Ei tiedetä, mikä yhteys Gothoritalla on suurempaan universumiin.</v>
      </c>
      <c r="C7566" s="9" t="s">
        <v>1344</v>
      </c>
    </row>
    <row r="7567" ht="33.75" customHeight="1">
      <c r="A7567" s="6" t="s">
        <v>11173</v>
      </c>
      <c r="B7567" s="6" t="str">
        <f>IFERROR(__xludf.DUMMYFUNCTION("GOOGLETRANSLATE(A7567,""en"",""fi"")"),"Tuhansien valovuosien päässä olevat tähtitaivaat näkyvät avaruudessa, jota niiden voimakas psyykkinen voima vääristää.")</f>
        <v>Tuhansien valovuosien päässä olevat tähtitaivaat näkyvät avaruudessa, jota niiden voimakas psyykkinen voima vääristää.</v>
      </c>
      <c r="C7567" s="9" t="s">
        <v>1344</v>
      </c>
    </row>
    <row r="7568" ht="33.75" customHeight="1">
      <c r="A7568" s="6" t="s">
        <v>11174</v>
      </c>
      <c r="B7568" s="6" t="str">
        <f>IFERROR(__xludf.DUMMYFUNCTION("GOOGLETRANSLATE(A7568,""en"",""fi"")"),"He voivat ennustaa tulevaisuutta tähtien sijainnin ja liikkeen perusteella. He voivat nähdä kouluttajien eliniän.")</f>
        <v>He voivat ennustaa tulevaisuutta tähtien sijainnin ja liikkeen perusteella. He voivat nähdä kouluttajien eliniän.</v>
      </c>
      <c r="C7568" s="9" t="s">
        <v>1344</v>
      </c>
    </row>
    <row r="7569" ht="33.75" customHeight="1">
      <c r="A7569" s="6" t="s">
        <v>11176</v>
      </c>
      <c r="B7569" s="6" t="str">
        <f>IFERROR(__xludf.DUMMYFUNCTION("GOOGLETRANSLATE(A7569,""en"",""fi"")"),"Se näkee tulevaisuuden tähtien liikkeestä. Kun se saa tietää kouluttajansa eliniän, se itkee surusta.")</f>
        <v>Se näkee tulevaisuuden tähtien liikkeestä. Kun se saa tietää kouluttajansa eliniän, se itkee surusta.</v>
      </c>
      <c r="C7569" s="9" t="s">
        <v>1344</v>
      </c>
    </row>
    <row r="7570" ht="33.75" customHeight="1">
      <c r="A7570" s="6" t="s">
        <v>11177</v>
      </c>
      <c r="B7570" s="6" t="str">
        <f>IFERROR(__xludf.DUMMYFUNCTION("GOOGLETRANSLATE(A7570,""en"",""fi"")"),"Sillä on valtava psyykkinen voima, mutta se ei pidä konflikteista. Se pystyy myös ennustamaan tulevaisuutta tähtien liikkeiden perusteella.")</f>
        <v>Sillä on valtava psyykkinen voima, mutta se ei pidä konflikteista. Se pystyy myös ennustamaan tulevaisuutta tähtien liikkeiden perusteella.</v>
      </c>
      <c r="C7570" s="9" t="s">
        <v>1344</v>
      </c>
    </row>
    <row r="7571" ht="33.75" customHeight="1">
      <c r="A7571" s="6" t="s">
        <v>11180</v>
      </c>
      <c r="B7571" s="6" t="str">
        <f>IFERROR(__xludf.DUMMYFUNCTION("GOOGLETRANSLATE(A7571,""en"",""fi"")"),"Rikollinen, jolle gothitelle näytti kohtalonsa, katosi samana päivänä eikä häntä enää koskaan nähty.")</f>
        <v>Rikollinen, jolle gothitelle näytti kohtalonsa, katosi samana päivänä eikä häntä enää koskaan nähty.</v>
      </c>
      <c r="C7571" s="9" t="s">
        <v>1344</v>
      </c>
    </row>
    <row r="7572" ht="33.75" customHeight="1">
      <c r="A7572" s="6" t="s">
        <v>11182</v>
      </c>
      <c r="B7572" s="6" t="str">
        <f>IFERROR(__xludf.DUMMYFUNCTION("GOOGLETRANSLATE(A7572,""en"",""fi"")"),"He ajavat hyökkääjät pois päästämällä psyykkisiä voimia. He voivat käyttää telepatiaa puhuakseen muiden kanssa.")</f>
        <v>He ajavat hyökkääjät pois päästämällä psyykkisiä voimia. He voivat käyttää telepatiaa puhuakseen muiden kanssa.</v>
      </c>
      <c r="C7572" s="9" t="s">
        <v>1344</v>
      </c>
    </row>
    <row r="7573" ht="33.75" customHeight="1">
      <c r="A7573" s="6" t="s">
        <v>11183</v>
      </c>
      <c r="B7573" s="6" t="str">
        <f>IFERROR(__xludf.DUMMYFUNCTION("GOOGLETRANSLATE(A7573,""en"",""fi"")"),"Koska niiden ruumiit ovat erityisen nesteen peitossa, ne voivat selviytyä missä tahansa ympäristössä.")</f>
        <v>Koska niiden ruumiit ovat erityisen nesteen peitossa, ne voivat selviytyä missä tahansa ympäristössä.</v>
      </c>
      <c r="C7573" s="9" t="s">
        <v>1344</v>
      </c>
    </row>
    <row r="7574" ht="33.75" customHeight="1">
      <c r="A7574" s="6" t="s">
        <v>11185</v>
      </c>
      <c r="B7574" s="6" t="str">
        <f>IFERROR(__xludf.DUMMYFUNCTION("GOOGLETRANSLATE(A7574,""en"",""fi"")"),"Koska niiden ruumiit ovat peittyneet erityiseen nesteeseen, ne pärjäävät missä tahansa ympäristössä, olipa se kuinka ankara tahansa.")</f>
        <v>Koska niiden ruumiit ovat peittyneet erityiseen nesteeseen, ne pärjäävät missä tahansa ympäristössä, olipa se kuinka ankara tahansa.</v>
      </c>
      <c r="C7574" s="9" t="s">
        <v>1344</v>
      </c>
    </row>
    <row r="7575" ht="33.75" customHeight="1">
      <c r="A7575" s="6" t="s">
        <v>11187</v>
      </c>
      <c r="B7575" s="6" t="str">
        <f>IFERROR(__xludf.DUMMYFUNCTION("GOOGLETRANSLATE(A7575,""en"",""fi"")"),"Se kommunikoi muiden kanssa telepaattisesti. Sen ruumis on nesteen peitossa, mutta jos se saa kovan iskun, neste vuotaa ulos.")</f>
        <v>Se kommunikoi muiden kanssa telepaattisesti. Sen ruumis on nesteen peitossa, mutta jos se saa kovan iskun, neste vuotaa ulos.</v>
      </c>
      <c r="C7575" s="9" t="s">
        <v>1344</v>
      </c>
    </row>
    <row r="7576" ht="33.75" customHeight="1">
      <c r="A7576" s="6" t="s">
        <v>11188</v>
      </c>
      <c r="B7576" s="6" t="str">
        <f>IFERROR(__xludf.DUMMYFUNCTION("GOOGLETRANSLATE(A7576,""en"",""fi"")"),"Monet sanovat, että tämän Pokémonin kehoa peittävä erityinen neste mahdollistaisi sen selviytymisen avaruuden tyhjiössä.")</f>
        <v>Monet sanovat, että tämän Pokémonin kehoa peittävä erityinen neste mahdollistaisi sen selviytymisen avaruuden tyhjiössä.</v>
      </c>
      <c r="C7576" s="9" t="s">
        <v>1344</v>
      </c>
    </row>
    <row r="7577" ht="33.75" customHeight="1">
      <c r="A7577" s="6" t="s">
        <v>11189</v>
      </c>
      <c r="B7577" s="6" t="str">
        <f>IFERROR(__xludf.DUMMYFUNCTION("GOOGLETRANSLATE(A7577,""en"",""fi"")"),"Koska niillä on kaksi eriytynyttä aivoa, ne yrittävät ajoittain yhtäkkiä tehdä kaksi eri asiaa kerralla.")</f>
        <v>Koska niillä on kaksi eriytynyttä aivoa, ne yrittävät ajoittain yhtäkkiä tehdä kaksi eri asiaa kerralla.</v>
      </c>
      <c r="C7577" s="9" t="s">
        <v>1344</v>
      </c>
    </row>
    <row r="7578" ht="33.75" customHeight="1">
      <c r="A7578" s="6" t="s">
        <v>11191</v>
      </c>
      <c r="B7578" s="6" t="str">
        <f>IFERROR(__xludf.DUMMYFUNCTION("GOOGLETRANSLATE(A7578,""en"",""fi"")"),"Kun heidän aivonsa, jotka ovat nyt jakautuneet kahtia, ajattelevat samoja ajatuksia, nämä Pokémonit osoittavat maksimaalista voimaansa.")</f>
        <v>Kun heidän aivonsa, jotka ovat nyt jakautuneet kahtia, ajattelevat samoja ajatuksia, nämä Pokémonit osoittavat maksimaalista voimaansa.</v>
      </c>
      <c r="C7578" s="9" t="s">
        <v>1344</v>
      </c>
    </row>
    <row r="7579" ht="33.75" customHeight="1">
      <c r="A7579" s="6" t="s">
        <v>11192</v>
      </c>
      <c r="B7579" s="6" t="str">
        <f>IFERROR(__xludf.DUMMYFUNCTION("GOOGLETRANSLATE(A7579,""en"",""fi"")"),"Kun heidän kaksi jakautunutta aivoaan ajattelevat samoja ajatuksia, heidän psyykkinen voimansa maksimoituu.")</f>
        <v>Kun heidän kaksi jakautunutta aivoaan ajattelevat samoja ajatuksia, heidän psyykkinen voimansa maksimoituu.</v>
      </c>
      <c r="C7579" s="9" t="s">
        <v>1344</v>
      </c>
    </row>
    <row r="7580" ht="33.75" customHeight="1">
      <c r="A7580" s="6" t="s">
        <v>11194</v>
      </c>
      <c r="B7580" s="6" t="str">
        <f>IFERROR(__xludf.DUMMYFUNCTION("GOOGLETRANSLATE(A7580,""en"",""fi"")"),"Sen psyykkisen voiman oletetaan voivan kattaa yli 800 metrin kantaman – mutta vain jos sen kaksi aivoa pystyvät toimimaan yhdessä.")</f>
        <v>Sen psyykkisen voiman oletetaan voivan kattaa yli 800 metrin kantaman – mutta vain jos sen kaksi aivoa pystyvät toimimaan yhdessä.</v>
      </c>
      <c r="C7580" s="9" t="s">
        <v>1344</v>
      </c>
    </row>
    <row r="7581" ht="33.75" customHeight="1">
      <c r="A7581" s="6" t="s">
        <v>11195</v>
      </c>
      <c r="B7581" s="6" t="str">
        <f>IFERROR(__xludf.DUMMYFUNCTION("GOOGLETRANSLATE(A7581,""en"",""fi"")"),"Sen aivot ovat jakautuneet kahtia, ja nämä kaksi puoliskoa ajattelevat harvoin samalla tavalla. Sen teot ovat täysin arvaamattomia.")</f>
        <v>Sen aivot ovat jakautuneet kahtia, ja nämä kaksi puoliskoa ajattelevat harvoin samalla tavalla. Sen teot ovat täysin arvaamattomia.</v>
      </c>
      <c r="C7581" s="9" t="s">
        <v>1344</v>
      </c>
    </row>
    <row r="7582" ht="33.75" customHeight="1">
      <c r="A7582" s="6" t="s">
        <v>11196</v>
      </c>
      <c r="B7582" s="6" t="str">
        <f>IFERROR(__xludf.DUMMYFUNCTION("GOOGLETRANSLATE(A7582,""en"",""fi"")"),"Kun Reuniclus kättelee, heidän aivojensa välille muodostuu verkosto, joka lisää heidän psyykkistä voimaansa.")</f>
        <v>Kun Reuniclus kättelee, heidän aivojensa välille muodostuu verkosto, joka lisää heidän psyykkistä voimaansa.</v>
      </c>
      <c r="C7582" s="9" t="s">
        <v>1344</v>
      </c>
    </row>
    <row r="7583" ht="33.75" customHeight="1">
      <c r="A7583" s="6" t="s">
        <v>11198</v>
      </c>
      <c r="B7583" s="6" t="str">
        <f>IFERROR(__xludf.DUMMYFUNCTION("GOOGLETRANSLATE(A7583,""en"",""fi"")"),"Nämä huomattavan älykkäät Pokémonit taistelevat käyttämällä käsivarsia, jotka pystyvät murskaamaan kiven.")</f>
        <v>Nämä huomattavan älykkäät Pokémonit taistelevat käyttämällä käsivarsia, jotka pystyvät murskaamaan kiven.</v>
      </c>
      <c r="C7583" s="9" t="s">
        <v>1344</v>
      </c>
    </row>
    <row r="7584" ht="33.75" customHeight="1">
      <c r="A7584" s="6" t="s">
        <v>11200</v>
      </c>
      <c r="B7584" s="6" t="str">
        <f>IFERROR(__xludf.DUMMYFUNCTION("GOOGLETRANSLATE(A7584,""en"",""fi"")"),"He käyttävät psyykkistä voimaa hallitakseen käsivarsiaan, jotka on tehty erityisestä nesteestä. He voivat murskata lohkareita psyykkisesti.")</f>
        <v>He käyttävät psyykkistä voimaa hallitakseen käsivarsiaan, jotka on tehty erityisestä nesteestä. He voivat murskata lohkareita psyykkisesti.</v>
      </c>
      <c r="C7584" s="9" t="s">
        <v>1344</v>
      </c>
    </row>
    <row r="7585" ht="33.75" customHeight="1">
      <c r="A7585" s="6" t="s">
        <v>11201</v>
      </c>
      <c r="B7585" s="6" t="str">
        <f>IFERROR(__xludf.DUMMYFUNCTION("GOOGLETRANSLATE(A7585,""en"",""fi"")"),"Vaikka se voisi käyttää psyykkisiä kykyjään taistelussa, tämä Pokémon mieluummin heiluttaa voimakkaita käsiään voittaakseen vastustajat alistumaan.")</f>
        <v>Vaikka se voisi käyttää psyykkisiä kykyjään taistelussa, tämä Pokémon mieluummin heiluttaa voimakkaita käsiään voittaakseen vastustajat alistumaan.</v>
      </c>
      <c r="C7585" s="9" t="s">
        <v>1344</v>
      </c>
    </row>
    <row r="7586" ht="33.75" customHeight="1">
      <c r="A7586" s="6" t="s">
        <v>11202</v>
      </c>
      <c r="B7586" s="6" t="str">
        <f>IFERROR(__xludf.DUMMYFUNCTION("GOOGLETRANSLATE(A7586,""en"",""fi"")"),"Sanotaan, että Reuniclus-nestettä juomalla saa viisautta. Ongelmana on, että neste on erittäin myrkyllistä kaikelle muulle paitsi itse Reuniclus-nesteelle.")</f>
        <v>Sanotaan, että Reuniclus-nestettä juomalla saa viisautta. Ongelmana on, että neste on erittäin myrkyllistä kaikelle muulle paitsi itse Reuniclus-nesteelle.</v>
      </c>
      <c r="C7586" s="9" t="s">
        <v>1344</v>
      </c>
    </row>
    <row r="7587" ht="33.75" customHeight="1">
      <c r="A7587" s="6" t="s">
        <v>11203</v>
      </c>
      <c r="B7587" s="6" t="str">
        <f>IFERROR(__xludf.DUMMYFUNCTION("GOOGLETRANSLATE(A7587,""en"",""fi"")"),"Nämä lintu-Pokémonit ovat erinomaisia ​​sukeltajia. Ne uivat vedessä syöden lempiruokaansa – turvetta.")</f>
        <v>Nämä lintu-Pokémonit ovat erinomaisia ​​sukeltajia. Ne uivat vedessä syöden lempiruokaansa – turvetta.</v>
      </c>
      <c r="C7587" s="9" t="s">
        <v>1344</v>
      </c>
    </row>
    <row r="7588" ht="33.75" customHeight="1">
      <c r="A7588" s="6" t="s">
        <v>11204</v>
      </c>
      <c r="B7588" s="6" t="str">
        <f>IFERROR(__xludf.DUMMYFUNCTION("GOOGLETRANSLATE(A7588,""en"",""fi"")"),"Hyökkäyksen sattuessa se roiskii vettä höyhenillään ja pakenee suihkeen suihkeen suojissa.")</f>
        <v>Hyökkäyksen sattuessa se roiskii vettä höyhenillään ja pakenee suihkeen suihkeen suojissa.</v>
      </c>
      <c r="C7588" s="9" t="s">
        <v>1344</v>
      </c>
    </row>
    <row r="7589" ht="33.75" customHeight="1">
      <c r="A7589" s="6" t="s">
        <v>11205</v>
      </c>
      <c r="B7589" s="6" t="str">
        <f>IFERROR(__xludf.DUMMYFUNCTION("GOOGLETRANSLATE(A7589,""en"",""fi"")"),"Ne ovat parempia uimaan kuin lentämään, ja ne syövät mielellään lempiruokaansa, turvetta, sukeltaessaan veden alle.")</f>
        <v>Ne ovat parempia uimaan kuin lentämään, ja ne syövät mielellään lempiruokaansa, turvetta, sukeltaessaan veden alle.</v>
      </c>
      <c r="C7589" s="9" t="s">
        <v>1344</v>
      </c>
    </row>
    <row r="7590" ht="33.75" customHeight="1">
      <c r="A7590" s="6" t="s">
        <v>11207</v>
      </c>
      <c r="B7590" s="6" t="str">
        <f>IFERROR(__xludf.DUMMYFUNCTION("GOOGLETRANSLATE(A7590,""en"",""fi"")"),"Swannat alkavat tanssia hämärän laskeutuessa. Keskellä tanssiva on parven johtaja.")</f>
        <v>Swannat alkavat tanssia hämärän laskeutuessa. Keskellä tanssiva on parven johtaja.</v>
      </c>
      <c r="C7590" s="9" t="s">
        <v>1344</v>
      </c>
    </row>
    <row r="7591" ht="33.75" customHeight="1">
      <c r="A7591" s="6" t="s">
        <v>11208</v>
      </c>
      <c r="B7591" s="6" t="str">
        <f>IFERROR(__xludf.DUMMYFUNCTION("GOOGLETRANSLATE(A7591,""en"",""fi"")"),"Se antaa nokallaan teräviä ja voimakkaita nokkaiskuja. Se heilauttaa pitkää kaulaansa antaakseen voimakkaita toistuvia iskuja.")</f>
        <v>Se antaa nokallaan teräviä ja voimakkaita nokkaiskuja. Se heilauttaa pitkää kaulaansa antaakseen voimakkaita toistuvia iskuja.</v>
      </c>
      <c r="C7591" s="9" t="s">
        <v>1344</v>
      </c>
    </row>
    <row r="7592" ht="33.75" customHeight="1">
      <c r="A7592" s="6" t="s">
        <v>11209</v>
      </c>
      <c r="B7592" s="6" t="str">
        <f>IFERROR(__xludf.DUMMYFUNCTION("GOOGLETRANSLATE(A7592,""en"",""fi"")"),"Tyylikkäästä ulkonäöstään huolimatta ne voivat räpytellä siipiään voimakkaasti ja lentää tuhansia kilometrejä.")</f>
        <v>Tyylikkäästä ulkonäöstään huolimatta ne voivat räpytellä siipiään voimakkaasti ja lentää tuhansia kilometrejä.</v>
      </c>
      <c r="C7592" s="9" t="s">
        <v>1344</v>
      </c>
    </row>
    <row r="7593" ht="33.75" customHeight="1">
      <c r="A7593" s="6" t="s">
        <v>11210</v>
      </c>
      <c r="B7593" s="6" t="str">
        <f>IFERROR(__xludf.DUMMYFUNCTION("GOOGLETRANSLATE(A7593,""en"",""fi"")"),"Niiden hengityksen lämpötila on -58° F. Ne luovat lumikiteitä ja saavat lumen satamaan ympärillään oleville alueille.")</f>
        <v>Niiden hengityksen lämpötila on -58° F. Ne luovat lumikiteitä ja saavat lumen satamaan ympärillään oleville alueille.</v>
      </c>
      <c r="C7593" s="9" t="s">
        <v>1344</v>
      </c>
    </row>
    <row r="7594" ht="33.75" customHeight="1">
      <c r="A7594" s="6" t="s">
        <v>11211</v>
      </c>
      <c r="B7594" s="6" t="str">
        <f>IFERROR(__xludf.DUMMYFUNCTION("GOOGLETRANSLATE(A7594,""en"",""fi"")"),"Tämä Pokémon muodostui jääpuikoista, jotka kylpivät aamuauringon energiassa. Se nukkuu lumen peitossa.")</f>
        <v>Tämä Pokémon muodostui jääpuikoista, jotka kylpivät aamuauringon energiassa. Se nukkuu lumen peitossa.</v>
      </c>
      <c r="C7594" s="9" t="s">
        <v>1344</v>
      </c>
    </row>
    <row r="7595" ht="33.75" customHeight="1">
      <c r="A7595" s="6" t="s">
        <v>11212</v>
      </c>
      <c r="B7595" s="6" t="str">
        <f>IFERROR(__xludf.DUMMYFUNCTION("GOOGLETRANSLATE(A7595,""en"",""fi"")"),"Teoriassa tämä Pokémon muodostui jääpuikoista, jotka kylpivät aamuauringon energiassa. Niiden hengityksen lämpötila on -58° F.")</f>
        <v>Teoriassa tämä Pokémon muodostui jääpuikoista, jotka kylpivät aamuauringon energiassa. Niiden hengityksen lämpötila on -58° F.</v>
      </c>
      <c r="C7595" s="9" t="s">
        <v>1344</v>
      </c>
    </row>
    <row r="7596" ht="33.75" customHeight="1">
      <c r="A7596" s="6" t="s">
        <v>11213</v>
      </c>
      <c r="B7596" s="6" t="str">
        <f>IFERROR(__xludf.DUMMYFUNCTION("GOOGLETRANSLATE(A7596,""en"",""fi"")"),"Niiden hengityksen lämpötila on -58 Fahrenheit-astetta. Ne luovat lumikiteitä ja saavat lumen satamaan ympärillään oleville alueille.")</f>
        <v>Niiden hengityksen lämpötila on -58 Fahrenheit-astetta. Ne luovat lumikiteitä ja saavat lumen satamaan ympärillään oleville alueille.</v>
      </c>
      <c r="C7596" s="9" t="s">
        <v>1344</v>
      </c>
    </row>
    <row r="7597" ht="33.75" customHeight="1">
      <c r="A7597" s="6" t="s">
        <v>11214</v>
      </c>
      <c r="B7597" s="6" t="str">
        <f>IFERROR(__xludf.DUMMYFUNCTION("GOOGLETRANSLATE(A7597,""en"",""fi"")"),"Jääpuikosta syntynyt Pokémon käyttää pakkashengitystään jääkiteiden tekemiseen, jotka aiheuttavat lumen satamista.")</f>
        <v>Jääpuikosta syntynyt Pokémon käyttää pakkashengitystään jääkiteiden tekemiseen, jotka aiheuttavat lumen satamista.</v>
      </c>
      <c r="C7597" s="9" t="s">
        <v>1344</v>
      </c>
    </row>
    <row r="7598" ht="33.75" customHeight="1">
      <c r="A7598" s="6" t="s">
        <v>11215</v>
      </c>
      <c r="B7598" s="6" t="str">
        <f>IFERROR(__xludf.DUMMYFUNCTION("GOOGLETRANSLATE(A7598,""en"",""fi"")"),"Se tuntuu miellyttävän viileältä halattaessa. Lämpimien alueiden kotitaloudet arvostavat tätä Pokémonia.")</f>
        <v>Se tuntuu miellyttävän viileältä halattaessa. Lämpimien alueiden kotitaloudet arvostavat tätä Pokémonia.</v>
      </c>
      <c r="C7598" s="9" t="s">
        <v>1344</v>
      </c>
    </row>
    <row r="7599" ht="33.75" customHeight="1">
      <c r="A7599" s="6" t="s">
        <v>11216</v>
      </c>
      <c r="B7599" s="6" t="str">
        <f>IFERROR(__xludf.DUMMYFUNCTION("GOOGLETRANSLATE(A7599,""en"",""fi"")"),"Se hengittää ulos kylmää ilmaa, jonka lämpötila on –27 celsiusastetta. Lämpimässä paikassa se kutistuu vähitellen.")</f>
        <v>Se hengittää ulos kylmää ilmaa, jonka lämpötila on –27 celsiusastetta. Lämpimässä paikassa se kutistuu vähitellen.</v>
      </c>
      <c r="C7599" s="9" t="s">
        <v>1344</v>
      </c>
    </row>
    <row r="7600" ht="33.75" customHeight="1">
      <c r="A7600" s="6" t="s">
        <v>11218</v>
      </c>
      <c r="B7600" s="6" t="str">
        <f>IFERROR(__xludf.DUMMYFUNCTION("GOOGLETRANSLATE(A7600,""en"",""fi"")"),"Kun aamuaurinko osui jääpuikkoon, se ei halunnut sulaa, ja näin vanilliitti syntyi. Yöllä se hautautuu lumeen nukkuakseen.")</f>
        <v>Kun aamuaurinko osui jääpuikkoon, se ei halunnut sulaa, ja näin vanilliitti syntyi. Yöllä se hautautuu lumeen nukkuakseen.</v>
      </c>
      <c r="C7600" s="9" t="s">
        <v>1344</v>
      </c>
    </row>
    <row r="7601" ht="33.75" customHeight="1">
      <c r="A7601" s="6" t="s">
        <v>11219</v>
      </c>
      <c r="B7601" s="6" t="str">
        <f>IFERROR(__xludf.DUMMYFUNCTION("GOOGLETRANSLATE(A7601,""en"",""fi"")"),"Koska se ei selviä kuumilla alueilla, se tekee olonsa mukavaksi hengittämällä ulos niin kylmää ilmaa, että se aiheuttaa lunta. Se kaivautuu lumeen nukkuakseen.")</f>
        <v>Koska se ei selviä kuumilla alueilla, se tekee olonsa mukavaksi hengittämällä ulos niin kylmää ilmaa, että se aiheuttaa lunta. Se kaivautuu lumeen nukkuakseen.</v>
      </c>
      <c r="C7601" s="9" t="s">
        <v>1344</v>
      </c>
    </row>
    <row r="7602" ht="33.75" customHeight="1">
      <c r="A7602" s="6" t="s">
        <v>11220</v>
      </c>
      <c r="B7602" s="6" t="str">
        <f>IFERROR(__xludf.DUMMYFUNCTION("GOOGLETRANSLATE(A7602,""en"",""fi"")"),"Tämän Pokémonin oletetaan syntyneen jääpuikosta. Se syöksee ulos -27 celsiusasteen jääkylmää ilmaa tehdäkseen olonsa mukavammaksi.")</f>
        <v>Tämän Pokémonin oletetaan syntyneen jääpuikosta. Se syöksee ulos -27 celsiusasteen jääkylmää ilmaa tehdäkseen olonsa mukavammaksi.</v>
      </c>
      <c r="C7602" s="9" t="s">
        <v>1344</v>
      </c>
    </row>
    <row r="7603" ht="33.75" customHeight="1">
      <c r="A7603" s="6" t="s">
        <v>11221</v>
      </c>
      <c r="B7603" s="6" t="str">
        <f>IFERROR(__xludf.DUMMYFUNCTION("GOOGLETRANSLATE(A7603,""en"",""fi"")"),"Lumiset vuoret ovat tämän Pokémonin elinympäristö. Muinaisen jääkauden aikana ne muuttivat eteläisille alueille.")</f>
        <v>Lumiset vuoret ovat tämän Pokémonin elinympäristö. Muinaisen jääkauden aikana ne muuttivat eteläisille alueille.</v>
      </c>
      <c r="C7603" s="9" t="s">
        <v>1344</v>
      </c>
    </row>
    <row r="7604" ht="33.75" customHeight="1">
      <c r="A7604" s="6" t="s">
        <v>11222</v>
      </c>
      <c r="B7604" s="6" t="str">
        <f>IFERROR(__xludf.DUMMYFUNCTION("GOOGLETRANSLATE(A7604,""en"",""fi"")"),"Se piiloutuu vihollisen katseilta luomalla monia pieniä jäähiukkasia ja piiloutumalla niiden joukkoon.")</f>
        <v>Se piiloutuu vihollisen katseilta luomalla monia pieniä jäähiukkasia ja piiloutumalla niiden joukkoon.</v>
      </c>
      <c r="C7604" s="9" t="s">
        <v>1344</v>
      </c>
    </row>
    <row r="7605" ht="33.75" customHeight="1">
      <c r="A7605" s="6" t="s">
        <v>11224</v>
      </c>
      <c r="B7605" s="6" t="str">
        <f>IFERROR(__xludf.DUMMYFUNCTION("GOOGLETRANSLATE(A7605,""en"",""fi"")"),"Ne viilentävät ympäröivää ilmaa ja luovat jäähiukkasia, joita ne käyttävät vihollistensa jäädyttämiseen.")</f>
        <v>Ne viilentävät ympäröivää ilmaa ja luovat jäähiukkasia, joita ne käyttävät vihollistensa jäädyttämiseen.</v>
      </c>
      <c r="C7605" s="9" t="s">
        <v>1344</v>
      </c>
    </row>
    <row r="7606" ht="33.75" customHeight="1">
      <c r="A7606" s="6" t="s">
        <v>11226</v>
      </c>
      <c r="B7606" s="6" t="str">
        <f>IFERROR(__xludf.DUMMYFUNCTION("GOOGLETRANSLATE(A7606,""en"",""fi"")"),"Kuumat päivät sulattavat sen ruumiin. Se voidaan palauttaa pakastamalla se uudelleen, mutta prosessi jättää sen ruumiin hieman vääristyneeksi.")</f>
        <v>Kuumat päivät sulattavat sen ruumiin. Se voidaan palauttaa pakastamalla se uudelleen, mutta prosessi jättää sen ruumiin hieman vääristyneeksi.</v>
      </c>
      <c r="C7606" s="9" t="s">
        <v>1344</v>
      </c>
    </row>
    <row r="7607" ht="33.75" customHeight="1">
      <c r="A7607" s="6" t="s">
        <v>11229</v>
      </c>
      <c r="B7607" s="6" t="str">
        <f>IFERROR(__xludf.DUMMYFUNCTION("GOOGLETRANSLATE(A7607,""en"",""fi"")"),"Tämä Pokémon on ollut olemassa jääkaudesta lähtien. Se hallitsee jäähiukkasia, jäädyttää vastustajansa ja murskaa heidät pääniskulla.")</f>
        <v>Tämä Pokémon on ollut olemassa jääkaudesta lähtien. Se hallitsee jäähiukkasia, jäädyttää vastustajansa ja murskaa heidät pääniskulla.</v>
      </c>
      <c r="C7607" s="9" t="s">
        <v>1344</v>
      </c>
    </row>
    <row r="7608" ht="33.75" customHeight="1">
      <c r="A7608" s="6" t="s">
        <v>11231</v>
      </c>
      <c r="B7608" s="6" t="str">
        <f>IFERROR(__xludf.DUMMYFUNCTION("GOOGLETRANSLATE(A7608,""en"",""fi"")"),"Se suihkuttaa vihollisiaan jääjyväsillä jäädyttääkseen heidät. Useimmat Alolan vaniljaiset ovat keskimääräistä pienempiä.")</f>
        <v>Se suihkuttaa vihollisiaan jääjyväsillä jäädyttääkseen heidät. Useimmat Alolan vaniljaiset ovat keskimääräistä pienempiä.</v>
      </c>
      <c r="C7608" s="9" t="s">
        <v>1344</v>
      </c>
    </row>
    <row r="7609" ht="33.75" customHeight="1">
      <c r="A7609" s="6" t="s">
        <v>11233</v>
      </c>
      <c r="B7609" s="6" t="str">
        <f>IFERROR(__xludf.DUMMYFUNCTION("GOOGLETRANSLATE(A7609,""en"",""fi"")"),"Tämä reipas Pokémon selvisi jääkaudesta. Se on uskomattoman suosittu erittäin kuumilla alueilla.")</f>
        <v>Tämä reipas Pokémon selvisi jääkaudesta. Se on uskomattoman suosittu erittäin kuumilla alueilla.</v>
      </c>
      <c r="C7609" s="9" t="s">
        <v>1344</v>
      </c>
    </row>
    <row r="7610" ht="33.75" customHeight="1">
      <c r="A7610" s="6" t="s">
        <v>11234</v>
      </c>
      <c r="B7610" s="6" t="str">
        <f>IFERROR(__xludf.DUMMYFUNCTION("GOOGLETRANSLATE(A7610,""en"",""fi"")"),"Juomalla puhdasta vettä se kasvattaa jäistä vartaloaan. Tätä Pokémonia voi olla vaikea löytää lämpiminä ja aurinkoisina päivinä.")</f>
        <v>Juomalla puhdasta vettä se kasvattaa jäistä vartaloaan. Tätä Pokémonia voi olla vaikea löytää lämpiminä ja aurinkoisina päivinä.</v>
      </c>
      <c r="C7610" s="9" t="s">
        <v>1344</v>
      </c>
    </row>
    <row r="7611" ht="33.75" customHeight="1">
      <c r="A7611" s="6" t="s">
        <v>11236</v>
      </c>
      <c r="B7611" s="6" t="str">
        <f>IFERROR(__xludf.DUMMYFUNCTION("GOOGLETRANSLATE(A7611,""en"",""fi"")"),"Se puhaltaa vihollisia kylmällä ilmalla, jonka lämpötila nousee −75 celsiusasteeseen, ja jäädyttää heidät jähmettyneiksi. Mutta se säästää heidän henkensä sen jälkeen – se on kiltti Pokémon.")</f>
        <v>Se puhaltaa vihollisia kylmällä ilmalla, jonka lämpötila nousee −75 celsiusasteeseen, ja jäädyttää heidät jähmettyneiksi. Mutta se säästää heidän henkensä sen jälkeen – se on kiltti Pokémon.</v>
      </c>
      <c r="C7611" s="9" t="s">
        <v>1344</v>
      </c>
    </row>
    <row r="7612" ht="33.75" customHeight="1">
      <c r="A7612" s="6" t="s">
        <v>11237</v>
      </c>
      <c r="B7612" s="6" t="str">
        <f>IFERROR(__xludf.DUMMYFUNCTION("GOOGLETRANSLATE(A7612,""en"",""fi"")"),"Nielemällä suuria määriä vettä ne muodostavat lumipilviä kehoonsa ja hyökkäävät vihollistensa kimppuun rajuilla lumimyrskyillä.")</f>
        <v>Nielemällä suuria määriä vettä ne muodostavat lumipilviä kehoonsa ja hyökkäävät vihollistensa kimppuun rajuilla lumimyrskyillä.</v>
      </c>
      <c r="C7612" s="9" t="s">
        <v>1344</v>
      </c>
    </row>
    <row r="7613" ht="33.75" customHeight="1">
      <c r="A7613" s="6" t="s">
        <v>11238</v>
      </c>
      <c r="B7613" s="6" t="str">
        <f>IFERROR(__xludf.DUMMYFUNCTION("GOOGLETRANSLATE(A7613,""en"",""fi"")"),"Jos molemmat päät suuttuvat samanaikaisesti, tämä Pokémon lähettää lumimyrskyn, joka hautaa kaiken lumeen.")</f>
        <v>Jos molemmat päät suuttuvat samanaikaisesti, tämä Pokémon lähettää lumimyrskyn, joka hautaa kaiken lumeen.</v>
      </c>
      <c r="C7613" s="9" t="s">
        <v>1344</v>
      </c>
    </row>
    <row r="7614" ht="33.75" customHeight="1">
      <c r="A7614" s="6" t="s">
        <v>11240</v>
      </c>
      <c r="B7614" s="6" t="str">
        <f>IFERROR(__xludf.DUMMYFUNCTION("GOOGLETRANSLATE(A7614,""en"",""fi"")"),"Nielemällä suuria määriä vettä ne muodostavat lumipilviä kehoonsa ja vihaisina aiheuttavat rajuja lumimyrskyjä.")</f>
        <v>Nielemällä suuria määriä vettä ne muodostavat lumipilviä kehoonsa ja vihaisina aiheuttavat rajuja lumimyrskyjä.</v>
      </c>
      <c r="C7614" s="9" t="s">
        <v>1344</v>
      </c>
    </row>
    <row r="7615" ht="33.75" customHeight="1">
      <c r="A7615" s="6" t="s">
        <v>11241</v>
      </c>
      <c r="B7615" s="6" t="str">
        <f>IFERROR(__xludf.DUMMYFUNCTION("GOOGLETRANSLATE(A7615,""en"",""fi"")"),"Kummallakin sen kahdella päällä on aivot, ja kun ne ovat yhteisymmärryksessä, se hyökkää vihollistensa kimppuun puhaltamalla ulos rajua lumimyrskyä.")</f>
        <v>Kummallakin sen kahdella päällä on aivot, ja kun ne ovat yhteisymmärryksessä, se hyökkää vihollistensa kimppuun puhaltamalla ulos rajua lumimyrskyä.</v>
      </c>
      <c r="C7615" s="9" t="s">
        <v>1344</v>
      </c>
    </row>
    <row r="7616" ht="33.75" customHeight="1">
      <c r="A7616" s="6" t="s">
        <v>11242</v>
      </c>
      <c r="B7616" s="6" t="str">
        <f>IFERROR(__xludf.DUMMYFUNCTION("GOOGLETRANSLATE(A7616,""en"",""fi"")"),"Vaikka se menettäisi toisen päänsä, se voi elää suhteellisen ongelmattomasti. Se tekee lumipilviä ruumiinsa sisään.")</f>
        <v>Vaikka se menettäisi toisen päänsä, se voi elää suhteellisen ongelmattomasti. Se tekee lumipilviä ruumiinsa sisään.</v>
      </c>
      <c r="C7616" s="9" t="s">
        <v>1344</v>
      </c>
    </row>
    <row r="7617" ht="33.75" customHeight="1">
      <c r="A7617" s="6" t="s">
        <v>11243</v>
      </c>
      <c r="B7617" s="6" t="str">
        <f>IFERROR(__xludf.DUMMYFUNCTION("GOOGLETRANSLATE(A7617,""en"",""fi"")"),"Se puhaltaa lumimyrskyjä kahdesta suustaan. Se voi luoda lunta minne tahansa, joten se saa paljon rakkautta hiihtäjiltä ja lumilautailijoilta.")</f>
        <v>Se puhaltaa lumimyrskyjä kahdesta suustaan. Se voi luoda lunta minne tahansa, joten se saa paljon rakkautta hiihtäjiltä ja lumilautailijoilta.</v>
      </c>
      <c r="C7617" s="9" t="s">
        <v>1344</v>
      </c>
    </row>
    <row r="7618" ht="33.75" customHeight="1">
      <c r="A7618" s="6" t="s">
        <v>11244</v>
      </c>
      <c r="B7618" s="6" t="str">
        <f>IFERROR(__xludf.DUMMYFUNCTION("GOOGLETRANSLATE(A7618,""en"",""fi"")"),"Vanilluxe syntyy, kun kaksi päivänvalossa puoliksi sulanutta vaniljaa tarttuvat toisiinsa ja jäätyvät yhteen yön kylmässä paluussa.")</f>
        <v>Vanilluxe syntyy, kun kaksi päivänvalossa puoliksi sulanutta vaniljaa tarttuvat toisiinsa ja jäätyvät yhteen yön kylmässä paluussa.</v>
      </c>
      <c r="C7618" s="9" t="s">
        <v>1344</v>
      </c>
    </row>
    <row r="7619" ht="33.75" customHeight="1">
      <c r="A7619" s="6" t="s">
        <v>11246</v>
      </c>
      <c r="B7619" s="6" t="str">
        <f>IFERROR(__xludf.DUMMYFUNCTION("GOOGLETRANSLATE(A7619,""en"",""fi"")"),"Kun sen viha saavuttaa rajansa, tämä Pokémon päästää valloilleen rajua lumimyrskyä, joka jäädyttää kaikki sen ympärillä olevat olennot, olivatpa ne ystäviä tai vihollisia.")</f>
        <v>Kun sen viha saavuttaa rajansa, tämä Pokémon päästää valloilleen rajua lumimyrskyä, joka jäädyttää kaikki sen ympärillä olevat olennot, olivatpa ne ystäviä tai vihollisia.</v>
      </c>
      <c r="C7619" s="9" t="s">
        <v>1344</v>
      </c>
    </row>
    <row r="7620" ht="33.75" customHeight="1">
      <c r="A7620" s="6" t="s">
        <v>11248</v>
      </c>
      <c r="B7620" s="6" t="str">
        <f>IFERROR(__xludf.DUMMYFUNCTION("GOOGLETRANSLATE(A7620,""en"",""fi"")"),"Ihmiset uskovat, että tämä Pokémon muodostui, kun kaksi Vanillishia tarttui yhteen. Sen ruumiinlämpö on noin -5 celsiusastetta.")</f>
        <v>Ihmiset uskovat, että tämä Pokémon muodostui, kun kaksi Vanillishia tarttui yhteen. Sen ruumiinlämpö on noin -5 celsiusastetta.</v>
      </c>
      <c r="C7620" s="9" t="s">
        <v>1344</v>
      </c>
    </row>
    <row r="7621" ht="33.75" customHeight="1">
      <c r="A7621" s="6" t="s">
        <v>11249</v>
      </c>
      <c r="B7621" s="6" t="str">
        <f>IFERROR(__xludf.DUMMYFUNCTION("GOOGLETRANSLATE(A7621,""en"",""fi"")"),"Niiden turkin väri ja tuoksu muuttuvat vuoristoruohon värin mukaan. Kun ne tuntevat vihamielisyyttä, ne piiloutuvat ruohikkoon.")</f>
        <v>Niiden turkin väri ja tuoksu muuttuvat vuoristoruohon värin mukaan. Kun ne tuntevat vihamielisyyttä, ne piiloutuvat ruohikkoon.</v>
      </c>
      <c r="C7621" s="9" t="s">
        <v>1344</v>
      </c>
    </row>
    <row r="7622" ht="33.75" customHeight="1">
      <c r="A7622" s="6" t="s">
        <v>11251</v>
      </c>
      <c r="B7622" s="6" t="str">
        <f>IFERROR(__xludf.DUMMYFUNCTION("GOOGLETRANSLATE(A7622,""en"",""fi"")"),"Vuodenaikojen vaihtuminen muuttaa tämän Pokémonin turkin väriä ja tuoksua. Ihmiset käyttävät sitä vuodenaikojen merkitsemiseen.")</f>
        <v>Vuodenaikojen vaihtuminen muuttaa tämän Pokémonin turkin väriä ja tuoksua. Ihmiset käyttävät sitä vuodenaikojen merkitsemiseen.</v>
      </c>
      <c r="C7622" s="9" t="s">
        <v>1344</v>
      </c>
    </row>
    <row r="7623" ht="33.75" customHeight="1">
      <c r="A7623" s="6" t="s">
        <v>11252</v>
      </c>
      <c r="B7623" s="6" t="str">
        <f>IFERROR(__xludf.DUMMYFUNCTION("GOOGLETRANSLATE(A7623,""en"",""fi"")"),"Niiden väritys muuttuu vuodenaikojen mukaan, ja lämpötila ja kosteus voivat vaikuttaa siihen hieman.")</f>
        <v>Niiden väritys muuttuu vuodenaikojen mukaan, ja lämpötila ja kosteus voivat vaikuttaa siihen hieman.</v>
      </c>
      <c r="C7623" s="9" t="s">
        <v>1344</v>
      </c>
    </row>
    <row r="7624" ht="33.75" customHeight="1">
      <c r="A7624" s="6" t="s">
        <v>11253</v>
      </c>
      <c r="B7624" s="6" t="str">
        <f>IFERROR(__xludf.DUMMYFUNCTION("GOOGLETRANSLATE(A7624,""en"",""fi"")"),"Ne muuttavat vuodenaikojen mukaan. Ihmiset voivat päätellä vuodenajan katsomalla Sawsbuckin sarvia.")</f>
        <v>Ne muuttavat vuodenaikojen mukaan. Ihmiset voivat päätellä vuodenajan katsomalla Sawsbuckin sarvia.</v>
      </c>
      <c r="C7624" s="9" t="s">
        <v>1344</v>
      </c>
    </row>
    <row r="7625" ht="33.75" customHeight="1">
      <c r="A7625" s="6" t="s">
        <v>11254</v>
      </c>
      <c r="B7625" s="6" t="str">
        <f>IFERROR(__xludf.DUMMYFUNCTION("GOOGLETRANSLATE(A7625,""en"",""fi"")"),"Sen sarvissa kasvavat kasvit vaihtuvat vuodenajan mukaan. Lauman johtajilla on upeat sarvet.")</f>
        <v>Sen sarvissa kasvavat kasvit vaihtuvat vuodenajan mukaan. Lauman johtajilla on upeat sarvet.</v>
      </c>
      <c r="C7625" s="9" t="s">
        <v>1344</v>
      </c>
    </row>
    <row r="7626" ht="33.75" customHeight="1">
      <c r="A7626" s="6" t="s">
        <v>11255</v>
      </c>
      <c r="B7626" s="6" t="str">
        <f>IFERROR(__xludf.DUMMYFUNCTION("GOOGLETRANSLATE(A7626,""en"",""fi"")"),"Ne muuttavat vuodenaikojen mukaan, joten jotkut kutsuvat Sawsbuckeja kevään airut.")</f>
        <v>Ne muuttavat vuodenaikojen mukaan, joten jotkut kutsuvat Sawsbuckeja kevään airut.</v>
      </c>
      <c r="C7626" s="9" t="s">
        <v>1344</v>
      </c>
    </row>
    <row r="7627" ht="33.75" customHeight="1">
      <c r="A7627" s="6" t="s">
        <v>11256</v>
      </c>
      <c r="B7627" s="6" t="str">
        <f>IFERROR(__xludf.DUMMYFUNCTION("GOOGLETRANSLATE(A7627,""en"",""fi"")"),"Sen poskien sähköpusseissa tuotettu energia varastoituu sen kalvon sisään ja vapautuu sen liukuessa.")</f>
        <v>Sen poskien sähköpusseissa tuotettu energia varastoituu sen kalvon sisään ja vapautuu sen liukuessa.</v>
      </c>
      <c r="C7627" s="9" t="s">
        <v>1344</v>
      </c>
    </row>
    <row r="7628" ht="33.75" customHeight="1">
      <c r="A7628" s="6" t="s">
        <v>11257</v>
      </c>
      <c r="B7628" s="6" t="str">
        <f>IFERROR(__xludf.DUMMYFUNCTION("GOOGLETRANSLATE(A7628,""en"",""fi"")"),"Ne elävät puiden latvoissa ja liitelevät viitan kaltaisen kalvon sisäpuolella purkaen samalla sähköä.")</f>
        <v>Ne elävät puiden latvoissa ja liitelevät viitan kaltaisen kalvon sisäpuolella purkaen samalla sähköä.</v>
      </c>
      <c r="C7628" s="9" t="s">
        <v>1344</v>
      </c>
    </row>
    <row r="7629" ht="33.75" customHeight="1">
      <c r="A7629" s="6" t="s">
        <v>11258</v>
      </c>
      <c r="B7629" s="6" t="str">
        <f>IFERROR(__xludf.DUMMYFUNCTION("GOOGLETRANSLATE(A7629,""en"",""fi"")"),"Se liukuu ojennettua kalvoaan pitkin ja antaa sähköiskuja vihollisille poskissaan olevien pussien varastoimalla sähköllä.")</f>
        <v>Se liukuu ojennettua kalvoaan pitkin ja antaa sähköiskuja vihollisille poskissaan olevien pussien varastoimalla sähköllä.</v>
      </c>
      <c r="C7629" s="9" t="s">
        <v>1344</v>
      </c>
    </row>
    <row r="7630" ht="33.75" customHeight="1">
      <c r="A7630" s="6" t="s">
        <v>11259</v>
      </c>
      <c r="B7630" s="6" t="str">
        <f>IFERROR(__xludf.DUMMYFUNCTION("GOOGLETRANSLATE(A7630,""en"",""fi"")"),"Se liitää viittamaisen kalvonsa avulla. Siitä säteilee sähköenergiaa, joka sähköistää niin sen ystäviä kuin vihollisiakin.")</f>
        <v>Se liitää viittamaisen kalvonsa avulla. Siitä säteilee sähköenergiaa, joka sähköistää niin sen ystäviä kuin vihollisiakin.</v>
      </c>
      <c r="C7630" s="9" t="s">
        <v>1344</v>
      </c>
    </row>
    <row r="7631" ht="33.75" customHeight="1">
      <c r="A7631" s="6" t="s">
        <v>11260</v>
      </c>
      <c r="B7631" s="6" t="str">
        <f>IFERROR(__xludf.DUMMYFUNCTION("GOOGLETRANSLATE(A7631,""en"",""fi"")"),"Se grillaa marjoja ja ärsyttää Pokémoneja sähköiskuilla ja tekee niistä aterian. Se pesii yleensä Pikipekin puihin kaivamissa rei'issä.")</f>
        <v>Se grillaa marjoja ja ärsyttää Pokémoneja sähköiskuilla ja tekee niistä aterian. Se pesii yleensä Pikipekin puihin kaivamissa rei'issä.</v>
      </c>
      <c r="C7631" s="9" t="s">
        <v>1344</v>
      </c>
    </row>
    <row r="7632" ht="33.75" customHeight="1">
      <c r="A7632" s="6" t="s">
        <v>11261</v>
      </c>
      <c r="B7632" s="6" t="str">
        <f>IFERROR(__xludf.DUMMYFUNCTION("GOOGLETRANSLATE(A7632,""en"",""fi"")"),"Ne varastoivat sähköä lentääkseen ilmassa. Kun ukkonen jyrisee yöllä, niitä on joskus melkein tarpeeksi peittämään taivaan.")</f>
        <v>Ne varastoivat sähköä lentääkseen ilmassa. Kun ukkonen jyrisee yöllä, niitä on joskus melkein tarpeeksi peittämään taivaan.</v>
      </c>
      <c r="C7632" s="9" t="s">
        <v>1344</v>
      </c>
    </row>
    <row r="7633" ht="33.75" customHeight="1">
      <c r="A7633" s="6" t="s">
        <v>11262</v>
      </c>
      <c r="B7633" s="6" t="str">
        <f>IFERROR(__xludf.DUMMYFUNCTION("GOOGLETRANSLATE(A7633,""en"",""fi"")"),"Lentäessään se levittää sähköä ympärilleen, joten lintu-Pokémonit pysyvät etäällä. Siksi Emolga voi pitää kaiken ruokansa itsellään.")</f>
        <v>Lentäessään se levittää sähköä ympärilleen, joten lintu-Pokémonit pysyvät etäällä. Siksi Emolga voi pitää kaiken ruokansa itsellään.</v>
      </c>
      <c r="C7633" s="9" t="s">
        <v>1344</v>
      </c>
    </row>
    <row r="7634" ht="33.75" customHeight="1">
      <c r="A7634" s="6" t="s">
        <v>11264</v>
      </c>
      <c r="B7634" s="6" t="str">
        <f>IFERROR(__xludf.DUMMYFUNCTION("GOOGLETRANSLATE(A7634,""en"",""fi"")"),"Emolga rätisee sähköä leijaillessaan ilmassa. Tämä Pokémon on söpö, mutta se voi aiheuttaa paljon ongelmia.")</f>
        <v>Emolga rätisee sähköä leijaillessaan ilmassa. Tämä Pokémon on söpö, mutta se voi aiheuttaa paljon ongelmia.</v>
      </c>
      <c r="C7634" s="9" t="s">
        <v>1344</v>
      </c>
    </row>
    <row r="7635" ht="33.75" customHeight="1">
      <c r="A7635" s="6" t="s">
        <v>11265</v>
      </c>
      <c r="B7635" s="6" t="str">
        <f>IFERROR(__xludf.DUMMYFUNCTION("GOOGLETRANSLATE(A7635,""en"",""fi"")"),"Tämä Pokémon rakastaa makeita marjoja. Joskus se tunkee poskensa täyteen ruokaa niin paljon, ettei pysty lentämään kunnolla.")</f>
        <v>Tämä Pokémon rakastaa makeita marjoja. Joskus se tunkee poskensa täyteen ruokaa niin paljon, ettei pysty lentämään kunnolla.</v>
      </c>
      <c r="C7635" s="9" t="s">
        <v>1344</v>
      </c>
    </row>
    <row r="7636" ht="33.75" customHeight="1">
      <c r="A7636" s="6" t="s">
        <v>11266</v>
      </c>
      <c r="B7636" s="6" t="str">
        <f>IFERROR(__xludf.DUMMYFUNCTION("GOOGLETRANSLATE(A7636,""en"",""fi"")"),"Nämä salaperäiset Pokémonit kehittyvät, kun ne saavat sähköistä stimulaatiota ollessaan samassa paikassa Shelmetin kanssa.")</f>
        <v>Nämä salaperäiset Pokémonit kehittyvät, kun ne saavat sähköistä stimulaatiota ollessaan samassa paikassa Shelmetin kanssa.</v>
      </c>
      <c r="C7636" s="9" t="s">
        <v>1344</v>
      </c>
    </row>
    <row r="7637" ht="33.75" customHeight="1">
      <c r="A7637" s="6" t="s">
        <v>11267</v>
      </c>
      <c r="B7637" s="6" t="str">
        <f>IFERROR(__xludf.DUMMYFUNCTION("GOOGLETRANSLATE(A7637,""en"",""fi"")"),"Tuntiessaan uhatuksi ne sylkevät hapanta nestettä ajaakseen hyökkääjät pois. Tämä Pokémon kohdistaa kohteekseen Shelmetin.")</f>
        <v>Tuntiessaan uhatuksi ne sylkevät hapanta nestettä ajaakseen hyökkääjät pois. Tämä Pokémon kohdistaa kohteekseen Shelmetin.</v>
      </c>
      <c r="C7637" s="9" t="s">
        <v>1344</v>
      </c>
    </row>
    <row r="7638" ht="33.75" customHeight="1">
      <c r="A7638" s="6" t="s">
        <v>11269</v>
      </c>
      <c r="B7638" s="6" t="str">
        <f>IFERROR(__xludf.DUMMYFUNCTION("GOOGLETRANSLATE(A7638,""en"",""fi"")"),"Jostain syystä ne kehittyvät, kun ne saavat sähköenergiaa hyökätessään Shelmetin kimppuun.")</f>
        <v>Jostain syystä ne kehittyvät, kun ne saavat sähköenergiaa hyökätessään Shelmetin kimppuun.</v>
      </c>
      <c r="C7638" s="9" t="s">
        <v>1344</v>
      </c>
    </row>
    <row r="7639" ht="33.75" customHeight="1">
      <c r="A7639" s="6" t="s">
        <v>11270</v>
      </c>
      <c r="B7639" s="6" t="str">
        <f>IFERROR(__xludf.DUMMYFUNCTION("GOOGLETRANSLATE(A7639,""en"",""fi"")"),"Sen outo fysiologia reagoi sähköenergiaan mielenkiintoisilla tavoilla. Shelmetin läsnäolo saa tämän Pokémonin kehittymään.")</f>
        <v>Sen outo fysiologia reagoi sähköenergiaan mielenkiintoisilla tavoilla. Shelmetin läsnäolo saa tämän Pokémonin kehittymään.</v>
      </c>
      <c r="C7639" s="9" t="s">
        <v>1344</v>
      </c>
    </row>
    <row r="7640" ht="33.75" customHeight="1">
      <c r="A7640" s="6" t="s">
        <v>11272</v>
      </c>
      <c r="B7640" s="6" t="str">
        <f>IFERROR(__xludf.DUMMYFUNCTION("GOOGLETRANSLATE(A7640,""en"",""fi"")"),"Se sylkee suustaan ​​nestettä, joka sulaa Shelmetin kuoren läpi. Karrablast ei syö kuorta – se syö vain sisällön.")</f>
        <v>Se sylkee suustaan ​​nestettä, joka sulaa Shelmetin kuoren läpi. Karrablast ei syö kuorta – se syö vain sisällön.</v>
      </c>
      <c r="C7640" s="9" t="s">
        <v>1344</v>
      </c>
    </row>
    <row r="7641" ht="33.75" customHeight="1">
      <c r="A7641" s="6" t="s">
        <v>11273</v>
      </c>
      <c r="B7641" s="6" t="str">
        <f>IFERROR(__xludf.DUMMYFUNCTION("GOOGLETRANSLATE(A7641,""en"",""fi"")"),"Ne lentävät ympäriinsä kovaa vauhtia iskien terävillä keihäillään. Jopa vaikeuksissa ne kohtaavat vastustajat rohkeasti.")</f>
        <v>Ne lentävät ympäriinsä kovaa vauhtia iskien terävillä keihäillään. Jopa vaikeuksissa ne kohtaavat vastustajat rohkeasti.</v>
      </c>
      <c r="C7641" s="9" t="s">
        <v>1344</v>
      </c>
    </row>
    <row r="7642" ht="33.75" customHeight="1">
      <c r="A7642" s="6" t="s">
        <v>11275</v>
      </c>
      <c r="B7642" s="6" t="str">
        <f>IFERROR(__xludf.DUMMYFUNCTION("GOOGLETRANSLATE(A7642,""en"",""fi"")"),"Nämä Pokémonit kehittyvät käyttämällä Shelmetin kuoripeitettä. Teräspanssari suojaa koko niiden kehoa.")</f>
        <v>Nämä Pokémonit kehittyvät käyttämällä Shelmetin kuoripeitettä. Teräspanssari suojaa koko niiden kehoa.</v>
      </c>
      <c r="C7642" s="9" t="s">
        <v>1344</v>
      </c>
    </row>
    <row r="7643" ht="33.75" customHeight="1">
      <c r="A7643" s="6" t="s">
        <v>11277</v>
      </c>
      <c r="B7643" s="6" t="str">
        <f>IFERROR(__xludf.DUMMYFUNCTION("GOOGLETRANSLATE(A7643,""en"",""fi"")"),"Yllään Shelmetiltä varastamansa kuoripeitteen he puolustautuvat ja hyökkäävät kahdella keihällä.")</f>
        <v>Yllään Shelmetiltä varastamansa kuoripeitteen he puolustautuvat ja hyökkäävät kahdella keihällä.</v>
      </c>
      <c r="C7643" s="9" t="s">
        <v>1344</v>
      </c>
    </row>
    <row r="7644" ht="33.75" customHeight="1">
      <c r="A7644" s="6" t="s">
        <v>11280</v>
      </c>
      <c r="B7644" s="6" t="str">
        <f>IFERROR(__xludf.DUMMYFUNCTION("GOOGLETRANSLATE(A7644,""en"",""fi"")"),"He käyttävät Shelmetiltä varastamiaan kranaatteja aseistautumiseen ja suojaamiseen. He ovat erittäin suosittuja Pokémoneja Galarin alueella.")</f>
        <v>He käyttävät Shelmetiltä varastamiaan kranaatteja aseistautumiseen ja suojaamiseen. He ovat erittäin suosittuja Pokémoneja Galarin alueella.</v>
      </c>
      <c r="C7644" s="9" t="s">
        <v>1344</v>
      </c>
    </row>
    <row r="7645" ht="33.75" customHeight="1">
      <c r="A7645" s="6" t="s">
        <v>11281</v>
      </c>
      <c r="B7645" s="6" t="str">
        <f>IFERROR(__xludf.DUMMYFUNCTION("GOOGLETRANSLATE(A7645,""en"",""fi"")"),"Se hyökkää vihollistensa kimppuun keihäät ampumavalmiina. Kuva yhdestä sen kaksintaisteluista on tallennettu kuuluisaan maalaukseen, jossa Escavalier ottaa yhteen Sirfetch’din kanssa.")</f>
        <v>Se hyökkää vihollistensa kimppuun keihäät ampumavalmiina. Kuva yhdestä sen kaksintaisteluista on tallennettu kuuluisaan maalaukseen, jossa Escavalier ottaa yhteen Sirfetch’din kanssa.</v>
      </c>
      <c r="C7645" s="9" t="s">
        <v>1344</v>
      </c>
    </row>
    <row r="7646" ht="33.75" customHeight="1">
      <c r="A7646" s="6" t="s">
        <v>11283</v>
      </c>
      <c r="B7646" s="6" t="str">
        <f>IFERROR(__xludf.DUMMYFUNCTION("GOOGLETRANSLATE(A7646,""en"",""fi"")"),"Se houkuttelee ihmisiä luokseen Poképallokuviollaan ja vapauttaa sitten myrkyllisiä itiöitä. Miksi se muistuttaa Poképalloa, ei tiedetä.")</f>
        <v>Se houkuttelee ihmisiä luokseen Poképallokuviollaan ja vapauttaa sitten myrkyllisiä itiöitä. Miksi se muistuttaa Poképalloa, ei tiedetä.</v>
      </c>
      <c r="C7646" s="9" t="s">
        <v>1344</v>
      </c>
    </row>
    <row r="7647" ht="33.75" customHeight="1">
      <c r="A7647" s="6" t="s">
        <v>11284</v>
      </c>
      <c r="B7647" s="6" t="str">
        <f>IFERROR(__xludf.DUMMYFUNCTION("GOOGLETRANSLATE(A7647,""en"",""fi"")"),"Jostain syystä tämä Pokémon muistuttaa Poképalloa. Ne vapauttavat myrkyllisiä itiöitä karkottaakseen ne, jotka yrittävät saada ne kiinni.")</f>
        <v>Jostain syystä tämä Pokémon muistuttaa Poképalloa. Ne vapauttavat myrkyllisiä itiöitä karkottaakseen ne, jotka yrittävät saada ne kiinni.</v>
      </c>
      <c r="C7647" s="9" t="s">
        <v>1344</v>
      </c>
    </row>
    <row r="7648" ht="33.75" customHeight="1">
      <c r="A7648" s="6" t="s">
        <v>11286</v>
      </c>
      <c r="B7648" s="6" t="str">
        <f>IFERROR(__xludf.DUMMYFUNCTION("GOOGLETRANSLATE(A7648,""en"",""fi"")"),"Se houkuttelee Pokémoneja kuviollaan, joka näyttää aivan Poképallolta, ja vapauttaa sitten myrkkyitiöitä.")</f>
        <v>Se houkuttelee Pokémoneja kuviollaan, joka näyttää aivan Poképallolta, ja vapauttaa sitten myrkkyitiöitä.</v>
      </c>
      <c r="C7648" s="9" t="s">
        <v>1344</v>
      </c>
    </row>
    <row r="7649" ht="33.75" customHeight="1">
      <c r="A7649" s="6" t="s">
        <v>11287</v>
      </c>
      <c r="B7649" s="6" t="str">
        <f>IFERROR(__xludf.DUMMYFUNCTION("GOOGLETRANSLATE(A7649,""en"",""fi"")"),"Se houkuttelee Pokémoneja kuviollaan, joka näyttää aivan Poképallolta, ja vapauttaa sitten myrkkyitiöitä.")</f>
        <v>Se houkuttelee Pokémoneja kuviollaan, joka näyttää aivan Poképallolta, ja vapauttaa sitten myrkkyitiöitä.</v>
      </c>
      <c r="C7649" s="9" t="s">
        <v>1344</v>
      </c>
    </row>
    <row r="7650" ht="33.75" customHeight="1">
      <c r="A7650" s="6" t="s">
        <v>11289</v>
      </c>
      <c r="B7650" s="6" t="str">
        <f>IFERROR(__xludf.DUMMYFUNCTION("GOOGLETRANSLATE(A7650,""en"",""fi"")"),"Kukaan ei tiedä, mitä Foonguksen Poképallon kaltainen kuvio tarkoittaa tai miksi Foonguksella on se.")</f>
        <v>Kukaan ei tiedä, mitä Foonguksen Poképallon kaltainen kuvio tarkoittaa tai miksi Foonguksella on se.</v>
      </c>
      <c r="C7650" s="9" t="s">
        <v>1344</v>
      </c>
    </row>
    <row r="7651" ht="33.75" customHeight="1">
      <c r="A7651" s="6" t="s">
        <v>11290</v>
      </c>
      <c r="B7651" s="6" t="str">
        <f>IFERROR(__xludf.DUMMYFUNCTION("GOOGLETRANSLATE(A7651,""en"",""fi"")"),"Tämän Pokémonin käsistä vapautuvat itiöt ovat erittäin myrkyllisiä, mutta perusteellisesti kuivattuina itiöitä voidaan käyttää vatsalääkkeenä.")</f>
        <v>Tämän Pokémonin käsistä vapautuvat itiöt ovat erittäin myrkyllisiä, mutta perusteellisesti kuivattuina itiöitä voidaan käyttää vatsalääkkeenä.</v>
      </c>
      <c r="C7651" s="9" t="s">
        <v>1344</v>
      </c>
    </row>
    <row r="7652" ht="33.75" customHeight="1">
      <c r="A7652" s="6" t="s">
        <v>11291</v>
      </c>
      <c r="B7652" s="6" t="str">
        <f>IFERROR(__xludf.DUMMYFUNCTION("GOOGLETRANSLATE(A7652,""en"",""fi"")"),"Se houkuttelee saalista lähelle tanssimalla ja heiluttamalla Poké-palloja muistuttavia käsivarsikorkkejaan huojuvalla liikkeellä.")</f>
        <v>Se houkuttelee saalista lähelle tanssimalla ja heiluttamalla Poké-palloja muistuttavia käsivarsikorkkejaan huojuvalla liikkeellä.</v>
      </c>
      <c r="C7652" s="9" t="s">
        <v>1344</v>
      </c>
    </row>
    <row r="7653" ht="33.75" customHeight="1">
      <c r="A7653" s="6" t="s">
        <v>11293</v>
      </c>
      <c r="B7653" s="6" t="str">
        <f>IFERROR(__xludf.DUMMYFUNCTION("GOOGLETRANSLATE(A7653,""en"",""fi"")"),"Ne esittelevät Poké Ball -lippiksiään houkutellakseen saalista, mutta hyvin harvat Pokémonit antavat tämän hämätä.")</f>
        <v>Ne esittelevät Poké Ball -lippiksiään houkutellakseen saalista, mutta hyvin harvat Pokémonit antavat tämän hämätä.</v>
      </c>
      <c r="C7653" s="9" t="s">
        <v>1344</v>
      </c>
    </row>
    <row r="7654" ht="33.75" customHeight="1">
      <c r="A7654" s="6" t="s">
        <v>11294</v>
      </c>
      <c r="B7654" s="6" t="str">
        <f>IFERROR(__xludf.DUMMYFUNCTION("GOOGLETRANSLATE(A7654,""en"",""fi"")"),"Se liikuttaa molempien käsivarsien lakkeja ja tanssii houkutellakseen saalista. Se pitää kosteista paikoista.")</f>
        <v>Se liikuttaa molempien käsivarsien lakkeja ja tanssii houkutellakseen saalista. Se pitää kosteista paikoista.</v>
      </c>
      <c r="C7654" s="9" t="s">
        <v>1344</v>
      </c>
    </row>
    <row r="7655" ht="33.75" customHeight="1">
      <c r="A7655" s="6" t="s">
        <v>11295</v>
      </c>
      <c r="B7655" s="6" t="str">
        <f>IFERROR(__xludf.DUMMYFUNCTION("GOOGLETRANSLATE(A7655,""en"",""fi"")"),"Tämä Pokémon suihkuttaa myrkyllisiä itiöitä vihollistensa päälle. Jos itiöitä ei huuhdella pois nopeasti, ne kasvavat sieniksi minne ikinä ne laskeutuvatkin.")</f>
        <v>Tämä Pokémon suihkuttaa myrkyllisiä itiöitä vihollistensa päälle. Jos itiöitä ei huuhdella pois nopeasti, ne kasvavat sieniksi minne ikinä ne laskeutuvatkin.</v>
      </c>
      <c r="C7655" s="9" t="s">
        <v>1344</v>
      </c>
    </row>
    <row r="7656" ht="33.75" customHeight="1">
      <c r="A7656" s="6" t="s">
        <v>11296</v>
      </c>
      <c r="B7656" s="6" t="str">
        <f>IFERROR(__xludf.DUMMYFUNCTION("GOOGLETRANSLATE(A7656,""en"",""fi"")"),"Amoonguss ei yleensä liiku paljon. Se seisoo usein paikallaan maahan pudotettujen Poképallojen lähellä.")</f>
        <v>Amoonguss ei yleensä liiku paljon. Se seisoo usein paikallaan maahan pudotettujen Poképallojen lähellä.</v>
      </c>
      <c r="C7656" s="9" t="s">
        <v>1344</v>
      </c>
    </row>
    <row r="7657" ht="33.75" customHeight="1">
      <c r="A7657" s="6" t="s">
        <v>11297</v>
      </c>
      <c r="B7657" s="6" t="str">
        <f>IFERROR(__xludf.DUMMYFUNCTION("GOOGLETRANSLATE(A7657,""en"",""fi"")"),"Ohuet, hunnun kaltaiset käsivartensa kiedottuina vastustajansa ruumiin ympärille se vajoaa merenpohjaan.")</f>
        <v>Ohuet, hunnun kaltaiset käsivartensa kiedottuina vastustajansa ruumiin ympärille se vajoaa merenpohjaan.</v>
      </c>
      <c r="C7657" s="9" t="s">
        <v>1344</v>
      </c>
    </row>
    <row r="7658" ht="33.75" customHeight="1">
      <c r="A7658" s="6" t="s">
        <v>11298</v>
      </c>
      <c r="B7658" s="6" t="str">
        <f>IFERROR(__xludf.DUMMYFUNCTION("GOOGLETRANSLATE(A7658,""en"",""fi"")"),"Ne lamauttavat saaliinsa myrkyllä ​​ja raahaavat sen sitten alas luoliinsa, kahdeksan kilometriä maanpinnan alapuolelle.")</f>
        <v>Ne lamauttavat saaliinsa myrkyllä ​​ja raahaavat sen sitten alas luoliinsa, kahdeksan kilometriä maanpinnan alapuolelle.</v>
      </c>
      <c r="C7658" s="9" t="s">
        <v>1344</v>
      </c>
    </row>
    <row r="7659" ht="33.75" customHeight="1">
      <c r="A7659" s="6" t="s">
        <v>11300</v>
      </c>
      <c r="B7659" s="6" t="str">
        <f>IFERROR(__xludf.DUMMYFUNCTION("GOOGLETRANSLATE(A7659,""en"",""fi"")"),"Jos sen hunnun kaltaiset käsivarret tainnuttavat ja kietovat vihollisen ympärilleen, vihollinen raahataan kilometrien syvyyksiin pinnan alle eikä koskaan palaa.")</f>
        <v>Jos sen hunnun kaltaiset käsivarret tainnuttavat ja kietovat vihollisen ympärilleen, vihollinen raahataan kilometrien syvyyksiin pinnan alle eikä koskaan palaa.</v>
      </c>
      <c r="C7659" s="9" t="s">
        <v>1344</v>
      </c>
    </row>
    <row r="7660" ht="33.75" customHeight="1">
      <c r="A7660" s="6" t="s">
        <v>11301</v>
      </c>
      <c r="B7660" s="6" t="str">
        <f>IFERROR(__xludf.DUMMYFUNCTION("GOOGLETRANSLATE(A7660,""en"",""fi"")"),"Se kietoo hunnumaiset käsivartensa ja jalkansa ohi uivan saaliinsa ympärille ja vetää ne alas meren syvyyksiin.")</f>
        <v>Se kietoo hunnumaiset käsivartensa ja jalkansa ohi uivan saaliinsa ympärille ja vetää ne alas meren syvyyksiin.</v>
      </c>
      <c r="C7660" s="9" t="s">
        <v>1344</v>
      </c>
    </row>
    <row r="7661" ht="33.75" customHeight="1">
      <c r="A7661" s="6" t="s">
        <v>11302</v>
      </c>
      <c r="B7661" s="6" t="str">
        <f>IFERROR(__xludf.DUMMYFUNCTION("GOOGLETRANSLATE(A7661,""en"",""fi"")"),"Käyttämällä näkymättömiä myrkkypiikkejä hunnun kaltaisissa käsivarsissaan ja jaloissaan se halvaantaa vihollisensa ja saa heidät hukkumaan.")</f>
        <v>Käyttämällä näkymättömiä myrkkypiikkejä hunnun kaltaisissa käsivarsissaan ja jaloissaan se halvaantaa vihollisensa ja saa heidät hukkumaan.</v>
      </c>
      <c r="C7661" s="9" t="s">
        <v>1344</v>
      </c>
    </row>
    <row r="7662" ht="33.75" customHeight="1">
      <c r="A7662" s="6" t="s">
        <v>11303</v>
      </c>
      <c r="B7662" s="6" t="str">
        <f>IFERROR(__xludf.DUMMYFUNCTION("GOOGLETRANSLATE(A7662,""en"",""fi"")"),"Se kietoo saaliinsa hunnunkaltaisiin käsivarsiinsa ja vetää sen syvyyksiin, kahdeksan kilometriä merenpinnan alapuolelle.")</f>
        <v>Se kietoo saaliinsa hunnunkaltaisiin käsivarsiinsa ja vetää sen syvyyksiin, kahdeksan kilometriä merenpinnan alapuolelle.</v>
      </c>
      <c r="C7662" s="9" t="s">
        <v>1344</v>
      </c>
    </row>
    <row r="7663" ht="33.75" customHeight="1">
      <c r="A7663" s="6" t="s">
        <v>11304</v>
      </c>
      <c r="B7663" s="6" t="str">
        <f>IFERROR(__xludf.DUMMYFUNCTION("GOOGLETRANSLATE(A7663,""en"",""fi"")"),"Legendan mukaan uponneen muinaisen kaupungin asukkaat muuttuivat näiksi Pokémoneiksi.")</f>
        <v>Legendan mukaan uponneen muinaisen kaupungin asukkaat muuttuivat näiksi Pokémoneiksi.</v>
      </c>
      <c r="C7663" s="9" t="s">
        <v>1344</v>
      </c>
    </row>
    <row r="7664" ht="33.75" customHeight="1">
      <c r="A7664" s="6" t="s">
        <v>11306</v>
      </c>
      <c r="B7664" s="6" t="str">
        <f>IFERROR(__xludf.DUMMYFUNCTION("GOOGLETRANSLATE(A7664,""en"",""fi"")"),"Jellicentin elinympäristöön vaeltelevien laivojen ja miehistön kohtalo: kaikki uponneet, kaikki kadonneet, kaikki katosivat.")</f>
        <v>Jellicentin elinympäristöön vaeltelevien laivojen ja miehistön kohtalo: kaikki uponneet, kaikki kadonneet, kaikki katosivat.</v>
      </c>
      <c r="C7664" s="9" t="s">
        <v>1344</v>
      </c>
    </row>
    <row r="7665" ht="33.75" customHeight="1">
      <c r="A7665" s="6" t="s">
        <v>11307</v>
      </c>
      <c r="B7665" s="6" t="str">
        <f>IFERROR(__xludf.DUMMYFUNCTION("GOOGLETRANSLATE(A7665,""en"",""fi"")"),"Ne liikkuvat poistamalla kehostaan ​​imeytynyttä merivettä. Niiden lempiruoka on elämänenergia.")</f>
        <v>Ne liikkuvat poistamalla kehostaan ​​imeytynyttä merivettä. Niiden lempiruoka on elämänenergia.</v>
      </c>
      <c r="C7665" s="9" t="s">
        <v>1344</v>
      </c>
    </row>
    <row r="7666" ht="33.75" customHeight="1">
      <c r="A7666" s="6" t="s">
        <v>11308</v>
      </c>
      <c r="B7666" s="6" t="str">
        <f>IFERROR(__xludf.DUMMYFUNCTION("GOOGLETRANSLATE(A7666,""en"",""fi"")"),"Sen runko on enimmäkseen merivettä. Kerrotaan, että merenpohjaan on uponnut laivojen linna.")</f>
        <v>Sen runko on enimmäkseen merivettä. Kerrotaan, että merenpohjaan on uponnut laivojen linna.</v>
      </c>
      <c r="C7666" s="9" t="s">
        <v>1344</v>
      </c>
    </row>
    <row r="7667" ht="33.75" customHeight="1">
      <c r="A7667" s="6" t="s">
        <v>11309</v>
      </c>
      <c r="B7667" s="6" t="str">
        <f>IFERROR(__xludf.DUMMYFUNCTION("GOOGLETRANSLATE(A7667,""en"",""fi"")"),"Jellicent hengailee aina hienojen risteilyalusten ja tankkereiden lähellä toivoen raahaavansa saaliinsa pois.")</f>
        <v>Jellicent hengailee aina hienojen risteilyalusten ja tankkereiden lähellä toivoen raahaavansa saaliinsa pois.</v>
      </c>
      <c r="C7667" s="9" t="s">
        <v>1344</v>
      </c>
    </row>
    <row r="7668" ht="33.75" customHeight="1">
      <c r="A7668" s="6" t="s">
        <v>11310</v>
      </c>
      <c r="B7668" s="6" t="str">
        <f>IFERROR(__xludf.DUMMYFUNCTION("GOOGLETRANSLATE(A7668,""en"",""fi"")"),"Kalastajat pelkäävät Jellicentiä. Huhujen mukaan se raahaa heidät mereen ja varastaa heidän henkensä.")</f>
        <v>Kalastajat pelkäävät Jellicentiä. Huhujen mukaan se raahaa heidät mereen ja varastaa heidän henkensä.</v>
      </c>
      <c r="C7668" s="9" t="s">
        <v>1344</v>
      </c>
    </row>
    <row r="7669" ht="33.75" customHeight="1">
      <c r="A7669" s="6" t="s">
        <v>11311</v>
      </c>
      <c r="B7669" s="6" t="str">
        <f>IFERROR(__xludf.DUMMYFUNCTION("GOOGLETRANSLATE(A7669,""en"",""fi"")"),"Suurin osa tämän Pokémonin ruumiinrakenteesta on identtinen meriveden kanssa. Se tekee uponneista laivoista pesänsä.")</f>
        <v>Suurin osa tämän Pokémonin ruumiinrakenteesta on identtinen meriveden kanssa. Se tekee uponneista laivoista pesänsä.</v>
      </c>
      <c r="C7669" s="9" t="s">
        <v>1344</v>
      </c>
    </row>
    <row r="7670" ht="33.75" customHeight="1">
      <c r="A7670" s="6" t="s">
        <v>11312</v>
      </c>
      <c r="B7670" s="6" t="str">
        <f>IFERROR(__xludf.DUMMYFUNCTION("GOOGLETRANSLATE(A7670,""en"",""fi"")"),"Aina kun täysikuu on yötaivaalla, Jellicent-parvet kokoontuvat merenpinnan lähelle odottamaan saaliinsa ilmestymistä.")</f>
        <v>Aina kun täysikuu on yötaivaalla, Jellicent-parvet kokoontuvat merenpinnan lähelle odottamaan saaliinsa ilmestymistä.</v>
      </c>
      <c r="C7670" s="9" t="s">
        <v>1344</v>
      </c>
    </row>
    <row r="7671" ht="33.75" customHeight="1">
      <c r="A7671" s="6" t="s">
        <v>11314</v>
      </c>
      <c r="B7671" s="6" t="str">
        <f>IFERROR(__xludf.DUMMYFUNCTION("GOOGLETRANSLATE(A7671,""en"",""fi"")"),"Alomomolaa ympäröivällä erityisellä kalvolla on kyky parantaa haavoja.")</f>
        <v>Alomomolaa ympäröivällä erityisellä kalvolla on kyky parantaa haavoja.</v>
      </c>
      <c r="C7671" s="9" t="s">
        <v>1344</v>
      </c>
    </row>
    <row r="7672" ht="33.75" customHeight="1">
      <c r="A7672" s="6" t="s">
        <v>11315</v>
      </c>
      <c r="B7672" s="6" t="str">
        <f>IFERROR(__xludf.DUMMYFUNCTION("GOOGLETRANSLATE(A7672,""en"",""fi"")"),"Ne kelluvat avomerellä. Löytäessään haavoittuneen Pokémonin ne syleilevät sitä ja tuovat sen rannalle.")</f>
        <v>Ne kelluvat avomerellä. Löytäessään haavoittuneen Pokémonin ne syleilevät sitä ja tuovat sen rannalle.</v>
      </c>
      <c r="C7672" s="9" t="s">
        <v>1344</v>
      </c>
    </row>
    <row r="7673" ht="33.75" customHeight="1">
      <c r="A7673" s="6" t="s">
        <v>11316</v>
      </c>
      <c r="B7673" s="6" t="str">
        <f>IFERROR(__xludf.DUMMYFUNCTION("GOOGLETRANSLATE(A7673,""en"",""fi"")"),"Se pitää loukkaantuneita ja heikkoja Pokémoneja hellästi evissään. Sen erityinen kalvo parantaa niiden haavat.")</f>
        <v>Se pitää loukkaantuneita ja heikkoja Pokémoneja hellästi evissään. Sen erityinen kalvo parantaa niiden haavat.</v>
      </c>
      <c r="C7673" s="9" t="s">
        <v>1344</v>
      </c>
    </row>
    <row r="7674" ht="33.75" customHeight="1">
      <c r="A7674" s="6" t="s">
        <v>11318</v>
      </c>
      <c r="B7674" s="6" t="str">
        <f>IFERROR(__xludf.DUMMYFUNCTION("GOOGLETRANSLATE(A7674,""en"",""fi"")"),"Se käyttää erityistä limaansa sulkeakseen loukkaantuneiden Pokémonien haavat. Tämän käyttäytymisen syy on edelleen tuntematon.")</f>
        <v>Se käyttää erityistä limaansa sulkeakseen loukkaantuneiden Pokémonien haavat. Tämän käyttäytymisen syy on edelleen tuntematon.</v>
      </c>
      <c r="C7674" s="9" t="s">
        <v>1344</v>
      </c>
    </row>
    <row r="7675" ht="33.75" customHeight="1">
      <c r="A7675" s="6" t="s">
        <v>11319</v>
      </c>
      <c r="B7675" s="6" t="str">
        <f>IFERROR(__xludf.DUMMYFUNCTION("GOOGLETRANSLATE(A7675,""en"",""fi"")"),"Ne kelluvat avomerellä. Monet vesi-Pokémonit kerääntyvät Alomomolan ympäristöön.")</f>
        <v>Ne kelluvat avomerellä. Monet vesi-Pokémonit kerääntyvät Alomomolan ympäristöön.</v>
      </c>
      <c r="C7675" s="9" t="s">
        <v>1344</v>
      </c>
    </row>
    <row r="7676" ht="33.75" customHeight="1">
      <c r="A7676" s="6" t="s">
        <v>11320</v>
      </c>
      <c r="B7676" s="6" t="str">
        <f>IFERROR(__xludf.DUMMYFUNCTION("GOOGLETRANSLATE(A7676,""en"",""fi"")"),"Kalastajat ottavat niitä mukaan pitkille matkoille, sillä jos sinulla on Alomomola mukanasi, lääkäriä tai lääkkeitä ei tarvita.")</f>
        <v>Kalastajat ottavat niitä mukaan pitkille matkoille, sillä jos sinulla on Alomomola mukanasi, lääkäriä tai lääkkeitä ei tarvita.</v>
      </c>
      <c r="C7676" s="9" t="s">
        <v>1344</v>
      </c>
    </row>
    <row r="7677" ht="33.75" customHeight="1">
      <c r="A7677" s="6" t="s">
        <v>11321</v>
      </c>
      <c r="B7677" s="6" t="str">
        <f>IFERROR(__xludf.DUMMYFUNCTION("GOOGLETRANSLATE(A7677,""en"",""fi"")"),"Syy siihen, miksi se auttaa heikentyneessä tilassa olevia Pokémoneja, on se, että kaikki niitä seuraavat Pokémonit voivat hyökätä myös Alomomolaa vastaan.")</f>
        <v>Syy siihen, miksi se auttaa heikentyneessä tilassa olevia Pokémoneja, on se, että kaikki niitä seuraavat Pokémonit voivat hyökätä myös Alomomolaa vastaan.</v>
      </c>
      <c r="C7677" s="9" t="s">
        <v>1344</v>
      </c>
    </row>
    <row r="7678" ht="33.75" customHeight="1">
      <c r="A7678" s="6" t="s">
        <v>11322</v>
      </c>
      <c r="B7678" s="6" t="str">
        <f>IFERROR(__xludf.DUMMYFUNCTION("GOOGLETRANSLATE(A7678,""en"",""fi"")"),"Kaupungeissa asuvat joltikit ovat oppineet tekniikan sähkön imemiseksi talojen pistorasioista.")</f>
        <v>Kaupungeissa asuvat joltikit ovat oppineet tekniikan sähkön imemiseksi talojen pistorasioista.</v>
      </c>
      <c r="C7678" s="9" t="s">
        <v>1344</v>
      </c>
    </row>
    <row r="7679" ht="33.75" customHeight="1">
      <c r="A7679" s="6" t="s">
        <v>11324</v>
      </c>
      <c r="B7679" s="6" t="str">
        <f>IFERROR(__xludf.DUMMYFUNCTION("GOOGLETRANSLATE(A7679,""en"",""fi"")"),"Ne kiinnittyvät suurikokoisiin Pokémoneihin ja imevät staattista sähköä, jota ne varastoivat sähköpussiin.")</f>
        <v>Ne kiinnittyvät suurikokoisiin Pokémoneihin ja imevät staattista sähköä, jota ne varastoivat sähköpussiin.</v>
      </c>
      <c r="C7679" s="9" t="s">
        <v>1344</v>
      </c>
    </row>
    <row r="7680" ht="33.75" customHeight="1">
      <c r="A7680" s="6" t="s">
        <v>11325</v>
      </c>
      <c r="B7680" s="6" t="str">
        <f>IFERROR(__xludf.DUMMYFUNCTION("GOOGLETRANSLATE(A7680,""en"",""fi"")"),"Koska se ei pysty tuottamaan omaa sähköä, se tarttuu suurikokoisiin Pokémoneihin ja imee staattista sähköä.")</f>
        <v>Koska se ei pysty tuottamaan omaa sähköä, se tarttuu suurikokoisiin Pokémoneihin ja imee staattista sähköä.</v>
      </c>
      <c r="C7680" s="9" t="s">
        <v>1344</v>
      </c>
    </row>
    <row r="7681" ht="33.75" customHeight="1">
      <c r="A7681" s="6" t="s">
        <v>11327</v>
      </c>
      <c r="B7681" s="6" t="str">
        <f>IFERROR(__xludf.DUMMYFUNCTION("GOOGLETRANSLATE(A7681,""en"",""fi"")"),"Joltikin voi löytää roikkumasta muissa Pokémoneissa. Se imee staattista sähköä, koska se ei pysty itse tuottamaan latausta.")</f>
        <v>Joltikin voi löytää roikkumasta muissa Pokémoneissa. Se imee staattista sähköä, koska se ei pysty itse tuottamaan latausta.</v>
      </c>
      <c r="C7681" s="9" t="s">
        <v>1344</v>
      </c>
    </row>
    <row r="7682" ht="33.75" customHeight="1">
      <c r="A7682" s="6" t="s">
        <v>11330</v>
      </c>
      <c r="B7682" s="6" t="str">
        <f>IFERROR(__xludf.DUMMYFUNCTION("GOOGLETRANSLATE(A7682,""en"",""fi"")"),"Joltik tarttuu muihin Pokémoneihin ja imee staattista sähköä. Ne tarttuvat usein Yamperin takaosaan.")</f>
        <v>Joltik tarttuu muihin Pokémoneihin ja imee staattista sähköä. Ne tarttuvat usein Yamperin takaosaan.</v>
      </c>
      <c r="C7682" s="9" t="s">
        <v>1344</v>
      </c>
    </row>
    <row r="7683" ht="33.75" customHeight="1">
      <c r="A7683" s="6" t="s">
        <v>11332</v>
      </c>
      <c r="B7683" s="6" t="str">
        <f>IFERROR(__xludf.DUMMYFUNCTION("GOOGLETRANSLATE(A7683,""en"",""fi"")"),"Hyökkäyksen aikana ne luovat sähköisen esteen sylkemällä ulos monia sähköisesti varautuneita lankoja.")</f>
        <v>Hyökkäyksen aikana ne luovat sähköisen esteen sylkemällä ulos monia sähköisesti varautuneita lankoja.</v>
      </c>
      <c r="C7683" s="9" t="s">
        <v>1344</v>
      </c>
    </row>
    <row r="7684" ht="33.75" customHeight="1">
      <c r="A7684" s="6" t="s">
        <v>11333</v>
      </c>
      <c r="B7684" s="6" t="str">
        <f>IFERROR(__xludf.DUMMYFUNCTION("GOOGLETRANSLATE(A7684,""en"",""fi"")"),"Ne käyttävät sähköisesti varattua verkkoa saaliinsa pyydystämiseen. Vaikka se on sähköiskun lamauttama, ne syövät sitä verkkaisesti.")</f>
        <v>Ne käyttävät sähköisesti varattua verkkoa saaliinsa pyydystämiseen. Vaikka se on sähköiskun lamauttama, ne syövät sitä verkkaisesti.</v>
      </c>
      <c r="C7684" s="9" t="s">
        <v>1344</v>
      </c>
    </row>
    <row r="7685" ht="33.75" customHeight="1">
      <c r="A7685" s="6" t="s">
        <v>11335</v>
      </c>
      <c r="B7685" s="6" t="str">
        <f>IFERROR(__xludf.DUMMYFUNCTION("GOOGLETRANSLATE(A7685,""en"",""fi"")"),"Se luo sähköistetystä silkistä esteitä, jotka tainnuttavat vihollisia. Tämä toimii sekä aseena että puolustuksena.")</f>
        <v>Se luo sähköistetystä silkistä esteitä, jotka tainnuttavat vihollisia. Tämä toimii sekä aseena että puolustuksena.</v>
      </c>
      <c r="C7685" s="9" t="s">
        <v>1344</v>
      </c>
    </row>
    <row r="7686" ht="33.75" customHeight="1">
      <c r="A7686" s="6" t="s">
        <v>11337</v>
      </c>
      <c r="B7686" s="6" t="str">
        <f>IFERROR(__xludf.DUMMYFUNCTION("GOOGLETRANSLATE(A7686,""en"",""fi"")"),"Se ampuu vatsastaan ​​sähköistettyä turkkia hyökkäyskeinonaan. Turkin osumat voivat johtaa kolmen kokonaisen päivän ja yön halvaantumiseen.")</f>
        <v>Se ampuu vatsastaan ​​sähköistettyä turkkia hyökkäyskeinonaan. Turkin osumat voivat johtaa kolmen kokonaisen päivän ja yön halvaantumiseen.</v>
      </c>
      <c r="C7686" s="9" t="s">
        <v>1344</v>
      </c>
    </row>
    <row r="7687" ht="33.75" customHeight="1">
      <c r="A7687" s="6" t="s">
        <v>11338</v>
      </c>
      <c r="B7687" s="6" t="str">
        <f>IFERROR(__xludf.DUMMYFUNCTION("GOOGLETRANSLATE(A7687,""en"",""fi"")"),"Se asettaa sähköistetyistä langoista koostuvia ansoja lintu-Pokémonien pesien lähelle ja pyrkii pyydystämään poikasia, jotka eivät vielä osaa lentää.")</f>
        <v>Se asettaa sähköistetyistä langoista koostuvia ansoja lintu-Pokémonien pesien lähelle ja pyrkii pyydystämään poikasia, jotka eivät vielä osaa lentää.</v>
      </c>
      <c r="C7687" s="9" t="s">
        <v>1344</v>
      </c>
    </row>
    <row r="7688" ht="33.75" customHeight="1">
      <c r="A7688" s="6" t="s">
        <v>11340</v>
      </c>
      <c r="B7688" s="6" t="str">
        <f>IFERROR(__xludf.DUMMYFUNCTION("GOOGLETRANSLATE(A7688,""en"",""fi"")"),"Uhkaatun hyökkäyksen sattuessa se hyökkää ampumalla piikkien sarjan, mikä antaa sille mahdollisuuden paeta vierimällä pois.")</f>
        <v>Uhkaatun hyökkäyksen sattuessa se hyökkää ampumalla piikkien sarjan, mikä antaa sille mahdollisuuden paeta vierimällä pois.</v>
      </c>
      <c r="C7688" s="9" t="s">
        <v>1344</v>
      </c>
    </row>
    <row r="7689" ht="33.75" customHeight="1">
      <c r="A7689" s="6" t="s">
        <v>11341</v>
      </c>
      <c r="B7689" s="6" t="str">
        <f>IFERROR(__xludf.DUMMYFUNCTION("GOOGLETRANSLATE(A7689,""en"",""fi"")"),"Ne työntävät piikkinsä luolan seiniin ja imevät itseensä kalliosta löytämiään mineraaleja.")</f>
        <v>Ne työntävät piikkinsä luolan seiniin ja imevät itseensä kalliosta löytämiään mineraaleja.</v>
      </c>
      <c r="C7689" s="9" t="s">
        <v>1344</v>
      </c>
    </row>
    <row r="7690" ht="33.75" customHeight="1">
      <c r="A7690" s="6" t="s">
        <v>11342</v>
      </c>
      <c r="B7690" s="6" t="str">
        <f>IFERROR(__xludf.DUMMYFUNCTION("GOOGLETRANSLATE(A7690,""en"",""fi"")"),"Se imee itseensä kalliosta löytämäänsä rautaa roikkuessaan katossa. Se ampuu piikkejä vaarassa.")</f>
        <v>Se imee itseensä kalliosta löytämäänsä rautaa roikkuessaan katossa. Se ampuu piikkejä vaarassa.</v>
      </c>
      <c r="C7690" s="9" t="s">
        <v>1344</v>
      </c>
    </row>
    <row r="7691" ht="33.75" customHeight="1">
      <c r="A7691" s="6" t="s">
        <v>11343</v>
      </c>
      <c r="B7691" s="6" t="str">
        <f>IFERROR(__xludf.DUMMYFUNCTION("GOOGLETRANSLATE(A7691,""en"",""fi"")"),"Se puolustaa itseään ampumalla piikkejä, mutta sen tähtäys ei ole aluksi kovin hyvä. Vasta paljon harjoittelun jälkeen se paranee.")</f>
        <v>Se puolustaa itseään ampumalla piikkejä, mutta sen tähtäys ei ole aluksi kovin hyvä. Vasta paljon harjoittelun jälkeen se paranee.</v>
      </c>
      <c r="C7691" s="9" t="s">
        <v>1344</v>
      </c>
    </row>
    <row r="7692" ht="33.75" customHeight="1">
      <c r="A7692" s="6" t="s">
        <v>11345</v>
      </c>
      <c r="B7692" s="6" t="str">
        <f>IFERROR(__xludf.DUMMYFUNCTION("GOOGLETRANSLATE(A7692,""en"",""fi"")"),"Sammalluolat ovat niiden suosimia asuinpaikkoja. Sammalissa olevat entsyymit auttavat Ferroseedin piikkien kasvamaan suuriksi ja vahvoiksi.")</f>
        <v>Sammalluolat ovat niiden suosimia asuinpaikkoja. Sammalissa olevat entsyymit auttavat Ferroseedin piikkien kasvamaan suuriksi ja vahvoiksi.</v>
      </c>
      <c r="C7692" s="9" t="s">
        <v>1344</v>
      </c>
    </row>
    <row r="7693" ht="33.75" customHeight="1">
      <c r="A7693" s="6" t="s">
        <v>11346</v>
      </c>
      <c r="B7693" s="6" t="str">
        <f>IFERROR(__xludf.DUMMYFUNCTION("GOOGLETRANSLATE(A7693,""en"",""fi"")"),"Se taistelee heilumalla kolmen piikkisen tuntosarunsa ympäri. Näiden teräspiikkien osuma voi muuttaa lohkareen raunioiksi.")</f>
        <v>Se taistelee heilumalla kolmen piikkisen tuntosarunsa ympäri. Näiden teräspiikkien osuma voi muuttaa lohkareen raunioiksi.</v>
      </c>
      <c r="C7693" s="9" t="s">
        <v>1344</v>
      </c>
    </row>
    <row r="7694" ht="33.75" customHeight="1">
      <c r="A7694" s="6" t="s">
        <v>11347</v>
      </c>
      <c r="B7694" s="6" t="str">
        <f>IFERROR(__xludf.DUMMYFUNCTION("GOOGLETRANSLATE(A7694,""en"",""fi"")"),"Ne kiinnittyvät luolien kattoihin ja ampuvat teräspiikkejä niiden ali kulkeviin kohteisiin.")</f>
        <v>Ne kiinnittyvät luolien kattoihin ja ampuvat teräspiikkejä niiden ali kulkeviin kohteisiin.</v>
      </c>
      <c r="C7694" s="9" t="s">
        <v>1344</v>
      </c>
    </row>
    <row r="7695" ht="33.75" customHeight="1">
      <c r="A7695" s="6" t="s">
        <v>11348</v>
      </c>
      <c r="B7695" s="6" t="str">
        <f>IFERROR(__xludf.DUMMYFUNCTION("GOOGLETRANSLATE(A7695,""en"",""fi"")"),"Heilahtelemalla kolmen piikkisen tuntosarunsa ympäri ja ampumalla piikkejä se voi tuhota vastustajan.")</f>
        <v>Heilahtelemalla kolmen piikkisen tuntosarunsa ympäri ja ampumalla piikkejä se voi tuhota vastustajan.</v>
      </c>
      <c r="C7695" s="9" t="s">
        <v>1344</v>
      </c>
    </row>
    <row r="7696" ht="33.75" customHeight="1">
      <c r="A7696" s="6" t="s">
        <v>11349</v>
      </c>
      <c r="B7696" s="6" t="str">
        <f>IFERROR(__xludf.DUMMYFUNCTION("GOOGLETRANSLATE(A7696,""en"",""fi"")"),"Tämä Pokémon raapii piikkinsä kiviä pitkin ja käyttää sitten tuntosarviensa kärkiä imeäkseen kivestä löytämiään ravinteita.")</f>
        <v>Tämä Pokémon raapii piikkinsä kiviä pitkin ja käyttää sitten tuntosarviensa kärkiä imeäkseen kivestä löytämiään ravinteita.</v>
      </c>
      <c r="C7696" s="9" t="s">
        <v>1344</v>
      </c>
    </row>
    <row r="7697" ht="33.75" customHeight="1">
      <c r="A7697" s="6" t="s">
        <v>11350</v>
      </c>
      <c r="B7697" s="6" t="str">
        <f>IFERROR(__xludf.DUMMYFUNCTION("GOOGLETRANSLATE(A7697,""en"",""fi"")"),"Sen piikit ovat kovempia kuin teräs. Tämä Pokémon ryömii kallioseinämien yli iskemällä tunnustelemiensa piikit kiveen.")</f>
        <v>Sen piikit ovat kovempia kuin teräs. Tämä Pokémon ryömii kallioseinämien yli iskemällä tunnustelemiensa piikit kiveen.</v>
      </c>
      <c r="C7697" s="9" t="s">
        <v>1344</v>
      </c>
    </row>
    <row r="7698" ht="33.75" customHeight="1">
      <c r="A7698" s="6" t="s">
        <v>11351</v>
      </c>
      <c r="B7698" s="6" t="str">
        <f>IFERROR(__xludf.DUMMYFUNCTION("GOOGLETRANSLATE(A7698,""en"",""fi"")"),"Kaksi toisiinsa kytkeytyvää miniratasta on ennalta määrätty. Kumpikin kimpoaa muista minirattaista kytkeytymättä toisiinsa.")</f>
        <v>Kaksi toisiinsa kytkeytyvää miniratasta on ennalta määrätty. Kumpikin kimpoaa muista minirattaista kytkeytymättä toisiinsa.</v>
      </c>
      <c r="C7698" s="9" t="s">
        <v>1344</v>
      </c>
    </row>
    <row r="7699" ht="33.75" customHeight="1">
      <c r="A7699" s="6" t="s">
        <v>11352</v>
      </c>
      <c r="B7699" s="6" t="str">
        <f>IFERROR(__xludf.DUMMYFUNCTION("GOOGLETRANSLATE(A7699,""en"",""fi"")"),"Kahden ruumiin lukittuminen toisiinsa ja pyöriminen ympäri tuottaa niiden tarvitseman energian elääkseen.")</f>
        <v>Kahden ruumiin lukittuminen toisiinsa ja pyöriminen ympäri tuottaa niiden tarvitseman energian elääkseen.</v>
      </c>
      <c r="C7699" s="9" t="s">
        <v>1344</v>
      </c>
    </row>
    <row r="7700" ht="33.75" customHeight="1">
      <c r="A7700" s="6" t="s">
        <v>11354</v>
      </c>
      <c r="B7700" s="6" t="str">
        <f>IFERROR(__xludf.DUMMYFUNCTION("GOOGLETRANSLATE(A7700,""en"",""fi"")"),"Kaksi kappaletta muodostavat kiinteän parin. Ne pyörivät toistensa ympäri tuottaakseen energiaa.")</f>
        <v>Kaksi kappaletta muodostavat kiinteän parin. Ne pyörivät toistensa ympäri tuottaakseen energiaa.</v>
      </c>
      <c r="C7700" s="9" t="s">
        <v>1344</v>
      </c>
    </row>
    <row r="7701" ht="33.75" customHeight="1">
      <c r="A7701" s="6" t="s">
        <v>11355</v>
      </c>
      <c r="B7701" s="6" t="str">
        <f>IFERROR(__xludf.DUMMYFUNCTION("GOOGLETRANSLATE(A7701,""en"",""fi"")"),"Tämän Pokémonin kaksi minihammasta ovat lähempänä toisiaan kuin kaksoset. Ne sopivat hyvin yhteen vain yhdessä.")</f>
        <v>Tämän Pokémonin kaksi minihammasta ovat lähempänä toisiaan kuin kaksoset. Ne sopivat hyvin yhteen vain yhdessä.</v>
      </c>
      <c r="C7701" s="9" t="s">
        <v>1344</v>
      </c>
    </row>
    <row r="7702" ht="33.75" customHeight="1">
      <c r="A7702" s="6" t="s">
        <v>11357</v>
      </c>
      <c r="B7702" s="6" t="str">
        <f>IFERROR(__xludf.DUMMYFUNCTION("GOOGLETRANSLATE(A7702,""en"",""fi"")"),"Klinkin epäillään olleen inspiraationa muinaisten ihmisten keksinnölle ensimmäiset vaihteet.")</f>
        <v>Klinkin epäillään olleen inspiraationa muinaisten ihmisten keksinnölle ensimmäiset vaihteet.</v>
      </c>
      <c r="C7702" s="9" t="s">
        <v>1344</v>
      </c>
    </row>
    <row r="7703" ht="33.75" customHeight="1">
      <c r="A7703" s="6" t="s">
        <v>11358</v>
      </c>
      <c r="B7703" s="6" t="str">
        <f>IFERROR(__xludf.DUMMYFUNCTION("GOOGLETRANSLATE(A7703,""en"",""fi"")"),"Muuttamalla pyörimissuuntaansa se viestii tunteistaan ​​muille. Vihaisena se pyörii nopeammin.")</f>
        <v>Muuttamalla pyörimissuuntaansa se viestii tunteistaan ​​muille. Vihaisena se pyörii nopeammin.</v>
      </c>
      <c r="C7703" s="9" t="s">
        <v>1344</v>
      </c>
    </row>
    <row r="7704" ht="33.75" customHeight="1">
      <c r="A7704" s="6" t="s">
        <v>11359</v>
      </c>
      <c r="B7704" s="6" t="str">
        <f>IFERROR(__xludf.DUMMYFUNCTION("GOOGLETRANSLATE(A7704,""en"",""fi"")"),"Pyöriviä minirattaita pyöritetään suurella nopeudella ja ammutaan toistuvasti pois. On vaarallista, jos rattaat eivät palaa takaisin.")</f>
        <v>Pyöriviä minirattaita pyöritetään suurella nopeudella ja ammutaan toistuvasti pois. On vaarallista, jos rattaat eivät palaa takaisin.</v>
      </c>
      <c r="C7704" s="9" t="s">
        <v>1344</v>
      </c>
    </row>
    <row r="7705" ht="33.75" customHeight="1">
      <c r="A7705" s="6" t="s">
        <v>11361</v>
      </c>
      <c r="B7705" s="6" t="str">
        <f>IFERROR(__xludf.DUMMYFUNCTION("GOOGLETRANSLATE(A7705,""en"",""fi"")"),"Sen rungon muodostavat minivaruste ja iso varuste. Jos vihollista kohti laukaisema minivaruste ei palaa, se kuolee.")</f>
        <v>Sen rungon muodostavat minivaruste ja iso varuste. Jos vihollista kohti laukaisema minivaruste ei palaa, se kuolee.</v>
      </c>
      <c r="C7705" s="9" t="s">
        <v>1344</v>
      </c>
    </row>
    <row r="7706" ht="33.75" customHeight="1">
      <c r="A7706" s="6" t="s">
        <v>11363</v>
      </c>
      <c r="B7706" s="6" t="str">
        <f>IFERROR(__xludf.DUMMYFUNCTION("GOOGLETRANSLATE(A7706,""en"",""fi"")"),"Kun Klang antaa kaikkensa, minigear yhdistyy täydellisesti ison gearin ulompaan osaan, ja tämän Pokémonin pyörimisnopeus kasvaa jyrkästi.")</f>
        <v>Kun Klang antaa kaikkensa, minigear yhdistyy täydellisesti ison gearin ulompaan osaan, ja tämän Pokémonin pyörimisnopeus kasvaa jyrkästi.</v>
      </c>
      <c r="C7706" s="9" t="s">
        <v>1344</v>
      </c>
    </row>
    <row r="7707" ht="33.75" customHeight="1">
      <c r="A7707" s="6" t="s">
        <v>11366</v>
      </c>
      <c r="B7707" s="6" t="str">
        <f>IFERROR(__xludf.DUMMYFUNCTION("GOOGLETRANSLATE(A7707,""en"",""fi"")"),"Monet Galarin alueen yritykset valitsevat Klangin logokseen. Tätä Pokémonia pidetään teollisen teknologian symbolina.")</f>
        <v>Monet Galarin alueen yritykset valitsevat Klangin logokseen. Tätä Pokémonia pidetään teollisen teknologian symbolina.</v>
      </c>
      <c r="C7707" s="9" t="s">
        <v>1344</v>
      </c>
    </row>
    <row r="7708" ht="33.75" customHeight="1">
      <c r="A7708" s="6" t="s">
        <v>11368</v>
      </c>
      <c r="B7708" s="6" t="str">
        <f>IFERROR(__xludf.DUMMYFUNCTION("GOOGLETRANSLATE(A7708,""en"",""fi"")"),"Sen punainen ydin toimii energiasäiliönä. Se ampuu ladattua energiaa piikkiensä kautta alueelle.")</f>
        <v>Sen punainen ydin toimii energiasäiliönä. Se ampuu ladattua energiaa piikkiensä kautta alueelle.</v>
      </c>
      <c r="C7708" s="9" t="s">
        <v>1344</v>
      </c>
    </row>
    <row r="7709" ht="33.75" customHeight="1">
      <c r="A7709" s="6" t="s">
        <v>11370</v>
      </c>
      <c r="B7709" s="6" t="str">
        <f>IFERROR(__xludf.DUMMYFUNCTION("GOOGLETRANSLATE(A7709,""en"",""fi"")"),"Punaisella ytimellä varustettua hammasratasta pyöritetään suurella nopeudella nopeaa energian latausta varten.")</f>
        <v>Punaisella ytimellä varustettua hammasratasta pyöritetään suurella nopeudella nopeaa energian latausta varten.</v>
      </c>
      <c r="C7709" s="9" t="s">
        <v>1344</v>
      </c>
    </row>
    <row r="7710" ht="33.75" customHeight="1">
      <c r="A7710" s="6" t="s">
        <v>11372</v>
      </c>
      <c r="B7710" s="6" t="str">
        <f>IFERROR(__xludf.DUMMYFUNCTION("GOOGLETRANSLATE(A7710,""en"",""fi"")"),"Miniratas pyörii suurella nopeudella. Sitten punaisen ytimen energia lataa minirattaan, jotta se on valmis ampumaan.")</f>
        <v>Miniratas pyörii suurella nopeudella. Sitten punaisen ytimen energia lataa minirattaan, jotta se on valmis ampumaan.</v>
      </c>
      <c r="C7710" s="9" t="s">
        <v>1344</v>
      </c>
    </row>
    <row r="7711" ht="33.75" customHeight="1">
      <c r="A7711" s="6" t="s">
        <v>11373</v>
      </c>
      <c r="B7711" s="6" t="str">
        <f>IFERROR(__xludf.DUMMYFUNCTION("GOOGLETRANSLATE(A7711,""en"",""fi"")"),"Piikeistään se laukaisee voimakkaita sähköpurkauksia. Sen punainen ydin sisältää valtavan määrän energiaa.")</f>
        <v>Piikeistään se laukaisee voimakkaita sähköpurkauksia. Sen punainen ydin sisältää valtavan määrän energiaa.</v>
      </c>
      <c r="C7711" s="9" t="s">
        <v>1344</v>
      </c>
    </row>
    <row r="7712" ht="33.75" customHeight="1">
      <c r="A7712" s="6" t="s">
        <v>11375</v>
      </c>
      <c r="B7712" s="6" t="str">
        <f>IFERROR(__xludf.DUMMYFUNCTION("GOOGLETRANSLATE(A7712,""en"",""fi"")"),"Tämän Pokémonin kolme hammasratasta pyörivät kovaa vauhtia. Sen uusi piikkinen hammasratas ei ole elävä olento.")</f>
        <v>Tämän Pokémonin kolme hammasratasta pyörivät kovaa vauhtia. Sen uusi piikkinen hammasratas ei ole elävä olento.</v>
      </c>
      <c r="C7712" s="9" t="s">
        <v>1344</v>
      </c>
    </row>
    <row r="7713" ht="33.75" customHeight="1">
      <c r="A7713" s="6" t="s">
        <v>11376</v>
      </c>
      <c r="B7713" s="6" t="str">
        <f>IFERROR(__xludf.DUMMYFUNCTION("GOOGLETRANSLATE(A7713,""en"",""fi"")"),"Vaikka yhdellä yksinään ei ole paljon voimaa, useiden Tynamojen ketju voi olla yhtä voimakas kuin salama.")</f>
        <v>Vaikka yhdellä yksinään ei ole paljon voimaa, useiden Tynamojen ketju voi olla yhtä voimakas kuin salama.</v>
      </c>
      <c r="C7713" s="9" t="s">
        <v>1344</v>
      </c>
    </row>
    <row r="7714" ht="33.75" customHeight="1">
      <c r="A7714" s="6" t="s">
        <v>11378</v>
      </c>
      <c r="B7714" s="6" t="str">
        <f>IFERROR(__xludf.DUMMYFUNCTION("GOOGLETRANSLATE(A7714,""en"",""fi"")"),"Nämä Pokémonit liikkuvat parvissa. Niillä on sähköä tuottava elin, joten ne purkavat sähköä vaarassa.")</f>
        <v>Nämä Pokémonit liikkuvat parvissa. Niillä on sähköä tuottava elin, joten ne purkavat sähköä vaarassa.</v>
      </c>
      <c r="C7714" s="9" t="s">
        <v>1344</v>
      </c>
    </row>
    <row r="7715" ht="33.75" customHeight="1">
      <c r="A7715" s="6" t="s">
        <v>11379</v>
      </c>
      <c r="B7715" s="6" t="str">
        <f>IFERROR(__xludf.DUMMYFUNCTION("GOOGLETRANSLATE(A7715,""en"",""fi"")"),"Yksinään voi lähettää vain pienen sähkövirran, joten joukko heitä kokoontuu laukaisemaan voimakkaan sähköiskun.")</f>
        <v>Yksinään voi lähettää vain pienen sähkövirran, joten joukko heitä kokoontuu laukaisemaan voimakkaan sähköiskun.</v>
      </c>
      <c r="C7715" s="9" t="s">
        <v>1344</v>
      </c>
    </row>
    <row r="7716" ht="33.75" customHeight="1">
      <c r="A7716" s="6" t="s">
        <v>11380</v>
      </c>
      <c r="B7716" s="6" t="str">
        <f>IFERROR(__xludf.DUMMYFUNCTION("GOOGLETRANSLATE(A7716,""en"",""fi"")"),"Ne kiemurtelevat vihollisten ympärille ja antavat heille sähköiskuja sähköä tuottavilla elimillä, jotka näyttävät yksinkertaisesti pyöreiltä kuvioilta.")</f>
        <v>Ne kiemurtelevat vihollisten ympärille ja antavat heille sähköiskuja sähköä tuottavilla elimillä, jotka näyttävät yksinkertaisesti pyöreiltä kuvioilta.</v>
      </c>
      <c r="C7716" s="9" t="s">
        <v>1344</v>
      </c>
    </row>
    <row r="7717" ht="33.75" customHeight="1">
      <c r="A7717" s="6" t="s">
        <v>11381</v>
      </c>
      <c r="B7717" s="6" t="str">
        <f>IFERROR(__xludf.DUMMYFUNCTION("GOOGLETRANSLATE(A7717,""en"",""fi"")"),"Näillä Pokémoneilla on suuri ruokahalu. Kun ne havaitsevat saaliinsa, ne hyökkäävät sen kimppuun ja lamauttavat sen sähköllä.")</f>
        <v>Näillä Pokémoneilla on suuri ruokahalu. Kun ne havaitsevat saaliinsa, ne hyökkäävät sen kimppuun ja lamauttavat sen sähköllä.</v>
      </c>
      <c r="C7717" s="9" t="s">
        <v>1344</v>
      </c>
    </row>
    <row r="7718" ht="33.75" customHeight="1">
      <c r="A7718" s="6" t="s">
        <v>11383</v>
      </c>
      <c r="B7718" s="6" t="str">
        <f>IFERROR(__xludf.DUMMYFUNCTION("GOOGLETRANSLATE(A7718,""en"",""fi"")"),"Se kietoutuu saaliinsa ympärille ja lamauttaa sen kylkiensä pyöreiden täplien sähköiskulla. Sitten se jyrää.")</f>
        <v>Se kietoutuu saaliinsa ympärille ja lamauttaa sen kylkiensä pyöreiden täplien sähköiskulla. Sitten se jyrää.</v>
      </c>
      <c r="C7718" s="9" t="s">
        <v>1344</v>
      </c>
    </row>
    <row r="7719" ht="33.75" customHeight="1">
      <c r="A7719" s="6" t="s">
        <v>11384</v>
      </c>
      <c r="B7719" s="6" t="str">
        <f>IFERROR(__xludf.DUMMYFUNCTION("GOOGLETRANSLATE(A7719,""en"",""fi"")"),"Ne ryömivät merestä käsivarsiensa avulla. Ne hyökkäävät saaliin kimppuun rannalla ja raahaavat sen välittömästi mereen.")</f>
        <v>Ne ryömivät merestä käsivarsiensa avulla. Ne hyökkäävät saaliin kimppuun rannalla ja raahaavat sen välittömästi mereen.</v>
      </c>
      <c r="C7719" s="9" t="s">
        <v>1344</v>
      </c>
    </row>
    <row r="7720" ht="33.75" customHeight="1">
      <c r="A7720" s="6" t="s">
        <v>11385</v>
      </c>
      <c r="B7720" s="6" t="str">
        <f>IFERROR(__xludf.DUMMYFUNCTION("GOOGLETRANSLATE(A7720,""en"",""fi"")"),"Imusuillaan ne imevät saalista. Sitten ne käyttävät kulmahampaitaan sähköiskun antamiseen saaliille.")</f>
        <v>Imusuillaan ne imevät saalista. Sitten ne käyttävät kulmahampaitaan sähköiskun antamiseen saaliille.</v>
      </c>
      <c r="C7720" s="9" t="s">
        <v>1344</v>
      </c>
    </row>
    <row r="7721" ht="33.75" customHeight="1">
      <c r="A7721" s="6" t="s">
        <v>11387</v>
      </c>
      <c r="B7721" s="6" t="str">
        <f>IFERROR(__xludf.DUMMYFUNCTION("GOOGLETRANSLATE(A7721,""en"",""fi"")"),"Se tarttuu saaliiseen imukivellään, uppoaa kulmahampaisiinsa ja antaa saaliille voimakkaan sähköiskun.")</f>
        <v>Se tarttuu saaliiseen imukivellään, uppoaa kulmahampaisiinsa ja antaa saaliille voimakkaan sähköiskun.</v>
      </c>
      <c r="C7721" s="9" t="s">
        <v>1344</v>
      </c>
    </row>
    <row r="7722" ht="33.75" customHeight="1">
      <c r="A7722" s="6" t="s">
        <v>11388</v>
      </c>
      <c r="B7722" s="6" t="str">
        <f>IFERROR(__xludf.DUMMYFUNCTION("GOOGLETRANSLATE(A7722,""en"",""fi"")"),"Se käyttää vahvaa psyykkistä voimaansa puristaakseen vastustajansa aivoja aiheuttaen sietämätöntä päänsärkyä.")</f>
        <v>Se käyttää vahvaa psyykkistä voimaansa puristaakseen vastustajansa aivoja aiheuttaen sietämätöntä päänsärkyä.</v>
      </c>
      <c r="C7722" s="9" t="s">
        <v>1344</v>
      </c>
    </row>
    <row r="7723" ht="33.75" customHeight="1">
      <c r="A7723" s="6" t="s">
        <v>11389</v>
      </c>
      <c r="B7723" s="6" t="str">
        <f>IFERROR(__xludf.DUMMYFUNCTION("GOOGLETRANSLATE(A7723,""en"",""fi"")"),"Tätä Pokémonia ei ollut koskaan nähty, ennen kuin se ilmestyi kaukaa aavikolta 50 vuotta sitten.")</f>
        <v>Tätä Pokémonia ei ollut koskaan nähty, ennen kuin se ilmestyi kaukaa aavikolta 50 vuotta sitten.</v>
      </c>
      <c r="C7723" s="9" t="s">
        <v>1344</v>
      </c>
    </row>
    <row r="7724" ht="33.75" customHeight="1">
      <c r="A7724" s="6" t="s">
        <v>11390</v>
      </c>
      <c r="B7724" s="6" t="str">
        <f>IFERROR(__xludf.DUMMYFUNCTION("GOOGLETRANSLATE(A7724,""en"",""fi"")"),"Huhut sen alkuperästä liittyvät ufon maahansyöksypaikkaan aavikolla 50 vuotta sitten.")</f>
        <v>Huhut sen alkuperästä liittyvät ufon maahansyöksypaikkaan aavikolla 50 vuotta sitten.</v>
      </c>
      <c r="C7724" s="9" t="s">
        <v>1344</v>
      </c>
    </row>
    <row r="7725" ht="33.75" customHeight="1">
      <c r="A7725" s="6" t="s">
        <v>11391</v>
      </c>
      <c r="B7725" s="6" t="str">
        <f>IFERROR(__xludf.DUMMYFUNCTION("GOOGLETRANSLATE(A7725,""en"",""fi"")"),"Se hallitsee valtavaa psyykkistä voimaa. Useimmat raportit avaruusolentojen havainnoista ovat itse asiassa vain ihmisten erehdyksessä luulleet Elgyemin avaruusolennoksi.")</f>
        <v>Se hallitsee valtavaa psyykkistä voimaa. Useimmat raportit avaruusolentojen havainnoista ovat itse asiassa vain ihmisten erehdyksessä luulleet Elgyemin avaruusolennoksi.</v>
      </c>
      <c r="C7725" s="9" t="s">
        <v>1344</v>
      </c>
    </row>
    <row r="7726" ht="33.75" customHeight="1">
      <c r="A7726" s="6" t="s">
        <v>11392</v>
      </c>
      <c r="B7726" s="6" t="str">
        <f>IFERROR(__xludf.DUMMYFUNCTION("GOOGLETRANSLATE(A7726,""en"",""fi"")"),"Tämä Pokémon on mysteerin verhoama. Sen sanotaan ilmestyneen noin 50 vuotta sitten taivaalta pudonneesta UFOsta.")</f>
        <v>Tämä Pokémon on mysteerin verhoama. Sen sanotaan ilmestyneen noin 50 vuotta sitten taivaalta pudonneesta UFOsta.</v>
      </c>
      <c r="C7726" s="9" t="s">
        <v>1344</v>
      </c>
    </row>
    <row r="7727" ht="33.75" customHeight="1">
      <c r="A7727" s="6" t="s">
        <v>11393</v>
      </c>
      <c r="B7727" s="6" t="str">
        <f>IFERROR(__xludf.DUMMYFUNCTION("GOOGLETRANSLATE(A7727,""en"",""fi"")"),"Jos tämä Pokémon seisoo television lähellä, ruudulle ilmestyy outoja maisemia. Maiseman sanotaan olevan sen kodista.")</f>
        <v>Jos tämä Pokémon seisoo television lähellä, ruudulle ilmestyy outoja maisemia. Maiseman sanotaan olevan sen kodista.</v>
      </c>
      <c r="C7727" s="9" t="s">
        <v>1344</v>
      </c>
    </row>
    <row r="7728" ht="33.75" customHeight="1">
      <c r="A7728" s="6" t="s">
        <v>11395</v>
      </c>
      <c r="B7728" s="6" t="str">
        <f>IFERROR(__xludf.DUMMYFUNCTION("GOOGLETRANSLATE(A7728,""en"",""fi"")"),"Tämä Pokémon löydettiin noin 50 vuotta sitten. Sen pitkälle kehittynyt aivot mahdollistavat sen psyykkisten voimiensa käyttämisen.")</f>
        <v>Tämä Pokémon löydettiin noin 50 vuotta sitten. Sen pitkälle kehittynyt aivot mahdollistavat sen psyykkisten voimiensa käyttämisen.</v>
      </c>
      <c r="C7728" s="9" t="s">
        <v>1344</v>
      </c>
    </row>
    <row r="7729" ht="33.75" customHeight="1">
      <c r="A7729" s="6" t="s">
        <v>11396</v>
      </c>
      <c r="B7729" s="6" t="str">
        <f>IFERROR(__xludf.DUMMYFUNCTION("GOOGLETRANSLATE(A7729,""en"",""fi"")"),"Se voi manipuloida vastustajan muistia. Ilmeisesti se kommunikoi väläyttämällä kolmea eriväristä sormeaan.")</f>
        <v>Se voi manipuloida vastustajan muistia. Ilmeisesti se kommunikoi väläyttämällä kolmea eriväristä sormeaan.</v>
      </c>
      <c r="C7729" s="9" t="s">
        <v>1344</v>
      </c>
    </row>
    <row r="7730" ht="33.75" customHeight="1">
      <c r="A7730" s="6" t="s">
        <v>11397</v>
      </c>
      <c r="B7730" s="6" t="str">
        <f>IFERROR(__xludf.DUMMYFUNCTION("GOOGLETRANSLATE(A7730,""en"",""fi"")"),"Se käyttää psyykkistä voimaa hallitakseen vastustajan aivoja ja peukaloidakseen sen muistoja.")</f>
        <v>Se käyttää psyykkistä voimaa hallitakseen vastustajan aivoja ja peukaloidakseen sen muistoja.</v>
      </c>
      <c r="C7730" s="9" t="s">
        <v>1344</v>
      </c>
    </row>
    <row r="7731" ht="33.75" customHeight="1">
      <c r="A7731" s="6" t="s">
        <v>11398</v>
      </c>
      <c r="B7731" s="6" t="str">
        <f>IFERROR(__xludf.DUMMYFUNCTION("GOOGLETRANSLATE(A7731,""en"",""fi"")"),"Ilmeisesti se kommunikoi vilkuttamalla kolmea sormeaan, mutta näitä eleitä ei ole vielä dekoodattu.")</f>
        <v>Ilmeisesti se kommunikoi vilkuttamalla kolmea sormeaan, mutta näitä eleitä ei ole vielä dekoodattu.</v>
      </c>
      <c r="C7731" s="9" t="s">
        <v>1344</v>
      </c>
    </row>
    <row r="7732" ht="33.75" customHeight="1">
      <c r="A7732" s="6" t="s">
        <v>11399</v>
      </c>
      <c r="B7732" s="6" t="str">
        <f>IFERROR(__xludf.DUMMYFUNCTION("GOOGLETRANSLATE(A7732,""en"",""fi"")"),"Psyykkisten voimiensa avulla se kirjoittaa vastustajiensa muistot uudelleen. Sinunkin muistosi ovat ehkä jo kirjoitettu uudelleen.")</f>
        <v>Psyykkisten voimiensa avulla se kirjoittaa vastustajiensa muistot uudelleen. Sinunkin muistosi ovat ehkä jo kirjoitettu uudelleen.</v>
      </c>
      <c r="C7732" s="9" t="s">
        <v>1344</v>
      </c>
    </row>
    <row r="7733" ht="33.75" customHeight="1">
      <c r="A7733" s="6" t="s">
        <v>11401</v>
      </c>
      <c r="B7733" s="6" t="str">
        <f>IFERROR(__xludf.DUMMYFUNCTION("GOOGLETRANSLATE(A7733,""en"",""fi"")"),"Sillä on vahvat psyykkiset voimat. Kolmea eri väriä välkkyvien sormiensa avulla se hallitsee vastustajiaan ja kirjoittaa heidän muistojaan uudelleen.")</f>
        <v>Sillä on vahvat psyykkiset voimat. Kolmea eri väriä välkkyvien sormiensa avulla se hallitsee vastustajiaan ja kirjoittaa heidän muistojaan uudelleen.</v>
      </c>
      <c r="C7733" s="9" t="s">
        <v>1344</v>
      </c>
    </row>
    <row r="7734" ht="33.75" customHeight="1">
      <c r="A7734" s="6" t="s">
        <v>11402</v>
      </c>
      <c r="B7734" s="6" t="str">
        <f>IFERROR(__xludf.DUMMYFUNCTION("GOOGLETRANSLATE(A7734,""en"",""fi"")"),"Aina kun Beheeyem vierailee maatilalla, Dubwool katoaa mystisesti.")</f>
        <v>Aina kun Beheeyem vierailee maatilalla, Dubwool katoaa mystisesti.</v>
      </c>
      <c r="C7734" s="9" t="s">
        <v>1344</v>
      </c>
    </row>
    <row r="7735" ht="33.75" customHeight="1">
      <c r="A7735" s="6" t="s">
        <v>11403</v>
      </c>
      <c r="B7735" s="6" t="str">
        <f>IFERROR(__xludf.DUMMYFUNCTION("GOOGLETRANSLATE(A7735,""en"",""fi"")"),"Tämä Pokémon, jota joskus löytyy ajelehtimasta vehnäpeltojen yllä, voi hallita vastustajiensa muistoja.")</f>
        <v>Tämä Pokémon, jota joskus löytyy ajelehtimasta vehnäpeltojen yllä, voi hallita vastustajiensa muistoja.</v>
      </c>
      <c r="C7735" s="9" t="s">
        <v>1344</v>
      </c>
    </row>
    <row r="7736" ht="33.75" customHeight="1">
      <c r="A7736" s="6" t="s">
        <v>11405</v>
      </c>
      <c r="B7736" s="6" t="str">
        <f>IFERROR(__xludf.DUMMYFUNCTION("GOOGLETRANSLATE(A7736,""en"",""fi"")"),"Litwick loistaa valoa, joka imee ihmisten ja Pokémonien elämänenergiaa, josta tulee sen polttama polttoaine.")</f>
        <v>Litwick loistaa valoa, joka imee ihmisten ja Pokémonien elämänenergiaa, josta tulee sen polttama polttoaine.</v>
      </c>
      <c r="C7736" s="9" t="s">
        <v>1344</v>
      </c>
    </row>
    <row r="7737" ht="33.75" customHeight="1">
      <c r="A7737" s="6" t="s">
        <v>11406</v>
      </c>
      <c r="B7737" s="6" t="str">
        <f>IFERROR(__xludf.DUMMYFUNCTION("GOOGLETRANSLATE(A7737,""en"",""fi"")"),"Loistaessaan valoa ja teeskennellessään olevansa opas, se imee itseensä elämänvoiman kaikilta, jotka sitä seuraavat.")</f>
        <v>Loistaessaan valoa ja teeskennellessään olevansa opas, se imee itseensä elämänvoiman kaikilta, jotka sitä seuraavat.</v>
      </c>
      <c r="C7737" s="9" t="s">
        <v>1344</v>
      </c>
    </row>
    <row r="7738" ht="33.75" customHeight="1">
      <c r="A7738" s="6" t="s">
        <v>11407</v>
      </c>
      <c r="B7738" s="6" t="str">
        <f>IFERROR(__xludf.DUMMYFUNCTION("GOOGLETRANSLATE(A7738,""en"",""fi"")"),"Sen liekki on yleensä sammunut, mutta se alkaa loistaa, kun se imee elämänvoimaa ihmisistä tai Pokémoneista.")</f>
        <v>Sen liekki on yleensä sammunut, mutta se alkaa loistaa, kun se imee elämänvoimaa ihmisistä tai Pokémoneista.</v>
      </c>
      <c r="C7738" s="9" t="s">
        <v>1344</v>
      </c>
    </row>
    <row r="7739" ht="33.75" customHeight="1">
      <c r="A7739" s="6" t="s">
        <v>11410</v>
      </c>
      <c r="B7739" s="6" t="str">
        <f>IFERROR(__xludf.DUMMYFUNCTION("GOOGLETRANSLATE(A7739,""en"",""fi"")"),"Sen päässä oleva liekki pitää sen kehon hieman lämpimänä. Tämä Pokémon ottaa kadonneita lapsia kädestä ohjatakseen heidät henkimaailmaan.")</f>
        <v>Sen päässä oleva liekki pitää sen kehon hieman lämpimänä. Tämä Pokémon ottaa kadonneita lapsia kädestä ohjatakseen heidät henkimaailmaan.</v>
      </c>
      <c r="C7739" s="9" t="s">
        <v>1344</v>
      </c>
    </row>
    <row r="7740" ht="33.75" customHeight="1">
      <c r="A7740" s="6" t="s">
        <v>11412</v>
      </c>
      <c r="B7740" s="6" t="str">
        <f>IFERROR(__xludf.DUMMYFUNCTION("GOOGLETRANSLATE(A7740,""en"",""fi"")"),"Mitä nuorempaa elämää tämä Pokémon imee, sitä kirkkaampi ja aavemainen liekki sen päässä palaa.")</f>
        <v>Mitä nuorempaa elämää tämä Pokémon imee, sitä kirkkaampi ja aavemainen liekki sen päässä palaa.</v>
      </c>
      <c r="C7740" s="9" t="s">
        <v>1344</v>
      </c>
    </row>
    <row r="7741" ht="33.75" customHeight="1">
      <c r="A7741" s="6" t="s">
        <v>11414</v>
      </c>
      <c r="B7741" s="6" t="str">
        <f>IFERROR(__xludf.DUMMYFUNCTION("GOOGLETRANSLATE(A7741,""en"",""fi"")"),"Tätä pahaenteistä Pokémonia pelätään. Se vaeltaa kaupunkien halki etsien kaatuneiden henkiä.")</f>
        <v>Tätä pahaenteistä Pokémonia pelätään. Se vaeltaa kaupunkien halki etsien kaatuneiden henkiä.</v>
      </c>
      <c r="C7741" s="9" t="s">
        <v>1344</v>
      </c>
    </row>
    <row r="7742" ht="33.75" customHeight="1">
      <c r="A7742" s="6" t="s">
        <v>11415</v>
      </c>
      <c r="B7742" s="6" t="str">
        <f>IFERROR(__xludf.DUMMYFUNCTION("GOOGLETRANSLATE(A7742,""en"",""fi"")"),"Se saapuu lähellä kuoleman hetkeä ja varastaa hengen ruumiilta.")</f>
        <v>Se saapuu lähellä kuoleman hetkeä ja varastaa hengen ruumiilta.</v>
      </c>
      <c r="C7742" s="9" t="s">
        <v>1344</v>
      </c>
    </row>
    <row r="7743" ht="33.75" customHeight="1">
      <c r="A7743" s="6" t="s">
        <v>11417</v>
      </c>
      <c r="B7743" s="6" t="str">
        <f>IFERROR(__xludf.DUMMYFUNCTION("GOOGLETRANSLATE(A7743,""en"",""fi"")"),"Sen imemät henget ruokkivat sen tuhoisaa tulta. Se leijuu sairaaloiden ympärillä odottaen ihmisten kuolemaa.")</f>
        <v>Sen imemät henget ruokkivat sen tuhoisaa tulta. Se leijuu sairaaloiden ympärillä odottaen ihmisten kuolemaa.</v>
      </c>
      <c r="C7743" s="9" t="s">
        <v>1344</v>
      </c>
    </row>
    <row r="7744" ht="33.75" customHeight="1">
      <c r="A7744" s="6" t="s">
        <v>11419</v>
      </c>
      <c r="B7744" s="6" t="str">
        <f>IFERROR(__xludf.DUMMYFUNCTION("GOOGLETRANSLATE(A7744,""en"",""fi"")"),"Tämä Pokémon ilmestyy juuri ennen jonkun kuolemaa, joten sitä pelätään kuoleman lähettiläänä.")</f>
        <v>Tämä Pokémon ilmestyy juuri ennen jonkun kuolemaa, joten sitä pelätään kuoleman lähettiläänä.</v>
      </c>
      <c r="C7744" s="9" t="s">
        <v>1344</v>
      </c>
    </row>
    <row r="7745" ht="33.75" customHeight="1">
      <c r="A7745" s="6" t="s">
        <v>11420</v>
      </c>
      <c r="B7745" s="6" t="str">
        <f>IFERROR(__xludf.DUMMYFUNCTION("GOOGLETRANSLATE(A7745,""en"",""fi"")"),"Se väijyy kaupungeissa teeskennellen olevansa lamppu. Löydettyään jonkun, jonka kuolema on lähellä, se seuraa hiljaa hänen perässään.")</f>
        <v>Se väijyy kaupungeissa teeskennellen olevansa lamppu. Löydettyään jonkun, jonka kuolema on lähellä, se seuraa hiljaa hänen perässään.</v>
      </c>
      <c r="C7745" s="9" t="s">
        <v>1344</v>
      </c>
    </row>
    <row r="7746" ht="33.75" customHeight="1">
      <c r="A7746" s="6" t="s">
        <v>11421</v>
      </c>
      <c r="B7746" s="6" t="str">
        <f>IFERROR(__xludf.DUMMYFUNCTION("GOOGLETRANSLATE(A7746,""en"",""fi"")"),"Se imee itseensä hengen, jonka se sitten polttaa. Heiluttamalla liekkejä käsivarsillaan se saa vihollisensa hypnoottiseen transsiin.")</f>
        <v>Se imee itseensä hengen, jonka se sitten polttaa. Heiluttamalla liekkejä käsivarsillaan se saa vihollisensa hypnoottiseen transsiin.</v>
      </c>
      <c r="C7746" s="9" t="s">
        <v>1344</v>
      </c>
    </row>
    <row r="7747" ht="33.75" customHeight="1">
      <c r="A7747" s="6" t="s">
        <v>11423</v>
      </c>
      <c r="B7747" s="6" t="str">
        <f>IFERROR(__xludf.DUMMYFUNCTION("GOOGLETRANSLATE(A7747,""en"",""fi"")"),"Kattokruunun liekissä kulutettu henki polttaa sen ja ruumis jää jälkeensä.")</f>
        <v>Kattokruunun liekissä kulutettu henki polttaa sen ja ruumis jää jälkeensä.</v>
      </c>
      <c r="C7747" s="9" t="s">
        <v>1344</v>
      </c>
    </row>
    <row r="7748" ht="33.75" customHeight="1">
      <c r="A7748" s="6" t="s">
        <v>11425</v>
      </c>
      <c r="B7748" s="6" t="str">
        <f>IFERROR(__xludf.DUMMYFUNCTION("GOOGLETRANSLATE(A7748,""en"",""fi"")"),"Sen pahaenteisessä liekissä palaneet henget eksyvät ja vaeltavat tässä maailmassa ikuisesti.")</f>
        <v>Sen pahaenteisessä liekissä palaneet henget eksyvät ja vaeltavat tässä maailmassa ikuisesti.</v>
      </c>
      <c r="C7748" s="9" t="s">
        <v>1344</v>
      </c>
    </row>
    <row r="7749" ht="33.75" customHeight="1">
      <c r="A7749" s="6" t="s">
        <v>11426</v>
      </c>
      <c r="B7749" s="6" t="str">
        <f>IFERROR(__xludf.DUMMYFUNCTION("GOOGLETRANSLATE(A7749,""en"",""fi"")"),"Tämä Pokémon kummittelee rapistuneissa kartanoissa. Se heiluttelee käsiään hypnotisoidakseen vastustajat liekkiensä pahaenteisellä tanssilla.")</f>
        <v>Tämä Pokémon kummittelee rapistuneissa kartanoissa. Se heiluttelee käsiään hypnotisoidakseen vastustajat liekkiensä pahaenteisellä tanssilla.</v>
      </c>
      <c r="C7749" s="9" t="s">
        <v>1344</v>
      </c>
    </row>
    <row r="7750" ht="33.75" customHeight="1">
      <c r="A7750" s="6" t="s">
        <v>11427</v>
      </c>
      <c r="B7750" s="6" t="str">
        <f>IFERROR(__xludf.DUMMYFUNCTION("GOOGLETRANSLATE(A7750,""en"",""fi"")"),"Kattokruunuilla valojen sijaan valaistuissa kodeissa hautajaiset olivat jatkuva tapahtuma – tai niin ainakin sanotaan.")</f>
        <v>Kattokruunuilla valojen sijaan valaistuissa kodeissa hautajaiset olivat jatkuva tapahtuma – tai niin ainakin sanotaan.</v>
      </c>
      <c r="C7750" s="9" t="s">
        <v>1344</v>
      </c>
    </row>
    <row r="7751" ht="33.75" customHeight="1">
      <c r="A7751" s="6" t="s">
        <v>11429</v>
      </c>
      <c r="B7751" s="6" t="str">
        <f>IFERROR(__xludf.DUMMYFUNCTION("GOOGLETRANSLATE(A7751,""en"",""fi"")"),"Ne murskaavat syömänsä marjat syömillään syöksyhampailla. Toistuva uudelleenkasvu tekee niiden syöksyhampaista vahvat ja terävät.")</f>
        <v>Ne murskaavat syömänsä marjat syömillään syöksyhampailla. Toistuva uudelleenkasvu tekee niiden syöksyhampaista vahvat ja terävät.</v>
      </c>
      <c r="C7751" s="9" t="s">
        <v>1344</v>
      </c>
    </row>
    <row r="7752" ht="33.75" customHeight="1">
      <c r="A7752" s="6" t="s">
        <v>11431</v>
      </c>
      <c r="B7752" s="6" t="str">
        <f>IFERROR(__xludf.DUMMYFUNCTION("GOOGLETRANSLATE(A7752,""en"",""fi"")"),"Ne merkitsevät reviirinsä jättämällä puihin viiltoja syöksyhampaillaan. Jos syöksyhammas katkeaa, uusi kasvaa nopeasti tilalle.")</f>
        <v>Ne merkitsevät reviirinsä jättämällä puihin viiltoja syöksyhampaillaan. Jos syöksyhammas katkeaa, uusi kasvaa nopeasti tilalle.</v>
      </c>
      <c r="C7752" s="9" t="s">
        <v>1344</v>
      </c>
    </row>
    <row r="7753" ht="33.75" customHeight="1">
      <c r="A7753" s="6" t="s">
        <v>11433</v>
      </c>
      <c r="B7753" s="6" t="str">
        <f>IFERROR(__xludf.DUMMYFUNCTION("GOOGLETRANSLATE(A7753,""en"",""fi"")"),"Sen suuret syöksyhampaat katkeavat helposti, mutta joka kerta kun ne kasvavat takaisin, ne kasvavat kovempina ja tukevampina.")</f>
        <v>Sen suuret syöksyhampaat katkeavat helposti, mutta joka kerta kun ne kasvavat takaisin, ne kasvavat kovempina ja tukevampina.</v>
      </c>
      <c r="C7753" s="9" t="s">
        <v>1344</v>
      </c>
    </row>
    <row r="7754" ht="33.75" customHeight="1">
      <c r="A7754" s="6" t="s">
        <v>11435</v>
      </c>
      <c r="B7754" s="6" t="str">
        <f>IFERROR(__xludf.DUMMYFUNCTION("GOOGLETRANSLATE(A7754,""en"",""fi"")"),"Nämä Pokémonit pesivät maassa ja murskaavat kovia marjoja syöksyhampaillaan. Marjojen murskaaminen on myös tapa, jolla ne testaavat toistensa voimia.")</f>
        <v>Nämä Pokémonit pesivät maassa ja murskaavat kovia marjoja syöksyhampaillaan. Marjojen murskaaminen on myös tapa, jolla ne testaavat toistensa voimia.</v>
      </c>
      <c r="C7754" s="9" t="s">
        <v>1344</v>
      </c>
    </row>
    <row r="7755" ht="33.75" customHeight="1">
      <c r="A7755" s="6" t="s">
        <v>11436</v>
      </c>
      <c r="B7755" s="6" t="str">
        <f>IFERROR(__xludf.DUMMYFUNCTION("GOOGLETRANSLATE(A7755,""en"",""fi"")"),"Ne leikkivät keskenään lyömällä suuria syöksyhampaitaan yhteen. Niiden syöksyhampaat katkeavat joskus, mutta ne kasvavat takaisin niin nopeasti, ettei siitä ole huolta.")</f>
        <v>Ne leikkivät keskenään lyömällä suuria syöksyhampaitaan yhteen. Niiden syöksyhampaat katkeavat joskus, mutta ne kasvavat takaisin niin nopeasti, ettei siitä ole huolta.</v>
      </c>
      <c r="C7755" s="9" t="s">
        <v>1344</v>
      </c>
    </row>
    <row r="7756" ht="33.75" customHeight="1">
      <c r="A7756" s="6" t="s">
        <v>11437</v>
      </c>
      <c r="B7756" s="6" t="str">
        <f>IFERROR(__xludf.DUMMYFUNCTION("GOOGLETRANSLATE(A7756,""en"",""fi"")"),"Koska katkennut syöksyhammas ei kasva takaisin, ne teroittavat syöksyhampaitaan ahkerasti joen kivillä taistelun jälkeen.")</f>
        <v>Koska katkennut syöksyhammas ei kasva takaisin, ne teroittavat syöksyhampaitaan ahkerasti joen kivillä taistelun jälkeen.</v>
      </c>
      <c r="C7756" s="9" t="s">
        <v>1344</v>
      </c>
    </row>
    <row r="7757" ht="33.75" customHeight="1">
      <c r="A7757" s="6" t="s">
        <v>11438</v>
      </c>
      <c r="B7757" s="6" t="str">
        <f>IFERROR(__xludf.DUMMYFUNCTION("GOOGLETRANSLATE(A7757,""en"",""fi"")"),"Niiden syöksyhampaat voivat rikkoa kiviä. Fraxurejen väliset aluetaistelut voivat olla erittäin väkivaltaisia.")</f>
        <v>Niiden syöksyhampaat voivat rikkoa kiviä. Fraxurejen väliset aluetaistelut voivat olla erittäin väkivaltaisia.</v>
      </c>
      <c r="C7757" s="9" t="s">
        <v>1344</v>
      </c>
    </row>
    <row r="7758" ht="33.75" customHeight="1">
      <c r="A7758" s="6" t="s">
        <v>11439</v>
      </c>
      <c r="B7758" s="6" t="str">
        <f>IFERROR(__xludf.DUMMYFUNCTION("GOOGLETRANSLATE(A7758,""en"",""fi"")"),"Katkennut syöksyhammas ei kasva takaisin, joten se teroittaa syöksyhampaitaan ahkerasti jokikivillä taistelun päätyttyä.")</f>
        <v>Katkennut syöksyhammas ei kasva takaisin, joten se teroittaa syöksyhampaitaan ahkerasti jokikivillä taistelun päätyttyä.</v>
      </c>
      <c r="C7758" s="9" t="s">
        <v>1344</v>
      </c>
    </row>
    <row r="7759" ht="33.75" customHeight="1">
      <c r="A7759" s="6" t="s">
        <v>11440</v>
      </c>
      <c r="B7759" s="6" t="str">
        <f>IFERROR(__xludf.DUMMYFUNCTION("GOOGLETRANSLATE(A7759,""en"",""fi"")"),"Taistelun jälkeen tämä Pokémon teroittaa huolellisesti syöksyhampaitaan jokikivillä. Sen täytyy huolehtia syöksyhampaistaan ​​– jos yksi niistä katkeaa, se ei koskaan kasva takaisin.")</f>
        <v>Taistelun jälkeen tämä Pokémon teroittaa huolellisesti syöksyhampaitaan jokikivillä. Sen täytyy huolehtia syöksyhampaistaan ​​– jos yksi niistä katkeaa, se ei koskaan kasva takaisin.</v>
      </c>
      <c r="C7759" s="9" t="s">
        <v>1344</v>
      </c>
    </row>
    <row r="7760" ht="33.75" customHeight="1">
      <c r="A7760" s="6" t="s">
        <v>11441</v>
      </c>
      <c r="B7760" s="6" t="str">
        <f>IFERROR(__xludf.DUMMYFUNCTION("GOOGLETRANSLATE(A7760,""en"",""fi"")"),"Sen iho on yhtä kova kuin haarniska. Fraxuren lempistrategia on taklata vastustajiaan ja samalla pistää heitä syöksyhampaillaan.")</f>
        <v>Sen iho on yhtä kova kuin haarniska. Fraxuren lempistrategia on taklata vastustajiaan ja samalla pistää heitä syöksyhampaillaan.</v>
      </c>
      <c r="C7760" s="9" t="s">
        <v>1344</v>
      </c>
    </row>
    <row r="7761" ht="33.75" customHeight="1">
      <c r="A7761" s="6" t="s">
        <v>11442</v>
      </c>
      <c r="B7761" s="6" t="str">
        <f>IFERROR(__xludf.DUMMYFUNCTION("GOOGLETRANSLATE(A7761,""en"",""fi"")"),"Ne ovat ystävällisiä, mutta voivat olla armottomia puolustaessaan aluettaan. Ne haastavat viholliset terästä leikkaavilla syöksyhampailla.")</f>
        <v>Ne ovat ystävällisiä, mutta voivat olla armottomia puolustaessaan aluettaan. Ne haastavat viholliset terästä leikkaavilla syöksyhampailla.</v>
      </c>
      <c r="C7761" s="9" t="s">
        <v>1344</v>
      </c>
    </row>
    <row r="7762" ht="33.75" customHeight="1">
      <c r="A7762" s="6" t="s">
        <v>11443</v>
      </c>
      <c r="B7762" s="6" t="str">
        <f>IFERROR(__xludf.DUMMYFUNCTION("GOOGLETRANSLATE(A7762,""en"",""fi"")"),"Niiden tukevat syöksyhampaat pysyvät terävinä, vaikka niitä käytettäisiin teräspalkkien leikkaamiseen. Nämä Pokémonit ovat suojattuja kovalla haarniskalla.")</f>
        <v>Niiden tukevat syöksyhampaat pysyvät terävinä, vaikka niitä käytettäisiin teräspalkkien leikkaamiseen. Nämä Pokémonit ovat suojattuja kovalla haarniskalla.</v>
      </c>
      <c r="C7762" s="9" t="s">
        <v>1344</v>
      </c>
    </row>
    <row r="7763" ht="33.75" customHeight="1">
      <c r="A7763" s="6" t="s">
        <v>11444</v>
      </c>
      <c r="B7763" s="6" t="str">
        <f>IFERROR(__xludf.DUMMYFUNCTION("GOOGLETRANSLATE(A7763,""en"",""fi"")"),"Sen syöksyhampaat ovat uskomattoman tuhoisia. Ne voivat helposti viiltää paksun ja tukevan teräspylvään läpi joka kerta.")</f>
        <v>Sen syöksyhampaat ovat uskomattoman tuhoisia. Ne voivat helposti viiltää paksun ja tukevan teräspylvään läpi joka kerta.</v>
      </c>
      <c r="C7763" s="9" t="s">
        <v>1344</v>
      </c>
    </row>
    <row r="7764" ht="33.75" customHeight="1">
      <c r="A7764" s="6" t="s">
        <v>11446</v>
      </c>
      <c r="B7764" s="6" t="str">
        <f>IFERROR(__xludf.DUMMYFUNCTION("GOOGLETRANSLATE(A7764,""en"",""fi"")"),"Sen sitkeät syöksyhampaat ovat sen ylpeydenaihe. Se nuolee likaa ottaakseen itseensä mineraaleja, joita se tarvitsee pitääkseen syöksyhampaat huippukunnossa.")</f>
        <v>Sen sitkeät syöksyhampaat ovat sen ylpeydenaihe. Se nuolee likaa ottaakseen itseensä mineraaleja, joita se tarvitsee pitääkseen syöksyhampaat huippukunnossa.</v>
      </c>
      <c r="C7764" s="9" t="s">
        <v>1344</v>
      </c>
    </row>
    <row r="7765" ht="33.75" customHeight="1">
      <c r="A7765" s="6" t="s">
        <v>11447</v>
      </c>
      <c r="B7765" s="6" t="str">
        <f>IFERROR(__xludf.DUMMYFUNCTION("GOOGLETRANSLATE(A7765,""en"",""fi"")"),"Vaikka se on yleensä hyväsydäminen, se voi olla kauhistuttava suuttuessaan. Haxorus käsittelee vihollisiaan syöksyhampailla, jotka voivat viiltää teräspalkkeja.")</f>
        <v>Vaikka se on yleensä hyväsydäminen, se voi olla kauhistuttava suuttuessaan. Haxorus käsittelee vihollisiaan syöksyhampailla, jotka voivat viiltää teräspalkkeja.</v>
      </c>
      <c r="C7765" s="9" t="s">
        <v>1344</v>
      </c>
    </row>
    <row r="7766" ht="33.75" customHeight="1">
      <c r="A7766" s="6" t="s">
        <v>11448</v>
      </c>
      <c r="B7766" s="6" t="str">
        <f>IFERROR(__xludf.DUMMYFUNCTION("GOOGLETRANSLATE(A7766,""en"",""fi"")"),"Kun se voi huonosti, sen lima muuttuu vetiseksi ja sen jäämäisten liikkeiden voima heikkenee.")</f>
        <v>Kun se voi huonosti, sen lima muuttuu vetiseksi ja sen jäämäisten liikkeiden voima heikkenee.</v>
      </c>
      <c r="C7766" s="9" t="s">
        <v>1344</v>
      </c>
    </row>
    <row r="7767" ht="33.75" customHeight="1">
      <c r="A7767" s="6" t="s">
        <v>11449</v>
      </c>
      <c r="B7767" s="6" t="str">
        <f>IFERROR(__xludf.DUMMYFUNCTION("GOOGLETRANSLATE(A7767,""en"",""fi"")"),"Sen nenä vuotaa jatkuvasti. Se nuuhtelee räkää takaisin, koska lima tarjoaa raaka-aineen sen liikkeille.")</f>
        <v>Sen nenä vuotaa jatkuvasti. Se nuuhtelee räkää takaisin, koska lima tarjoaa raaka-aineen sen liikkeille.</v>
      </c>
      <c r="C7767" s="9" t="s">
        <v>1344</v>
      </c>
    </row>
    <row r="7768" ht="33.75" customHeight="1">
      <c r="A7768" s="6" t="s">
        <v>11450</v>
      </c>
      <c r="B7768" s="6" t="str">
        <f>IFERROR(__xludf.DUMMYFUNCTION("GOOGLETRANSLATE(A7768,""en"",""fi"")"),"Heidän räkänsä on terveyden barometri. Terveenä heidän räkänsä on tahmeaa ja heidän jäänliikkeidensä voima kasvaa.")</f>
        <v>Heidän räkänsä on terveyden barometri. Terveenä heidän räkänsä on tahmeaa ja heidän jäänliikkeidensä voima kasvaa.</v>
      </c>
      <c r="C7768" s="9" t="s">
        <v>1344</v>
      </c>
    </row>
    <row r="7769" ht="33.75" customHeight="1">
      <c r="A7769" s="6" t="s">
        <v>11453</v>
      </c>
      <c r="B7769" s="6" t="str">
        <f>IFERROR(__xludf.DUMMYFUNCTION("GOOGLETRANSLATE(A7769,""en"",""fi"")"),"Kun tämä Pokémon on hyvässä kunnossa, sen räkä paksuuntuu ja tahmeutuu. Se sivelee räkäänsä kenen tahansa päälle, josta se ei pidä.")</f>
        <v>Kun tämä Pokémon on hyvässä kunnossa, sen räkä paksuuntuu ja tahmeutuu. Se sivelee räkäänsä kenen tahansa päälle, josta se ei pidä.</v>
      </c>
      <c r="C7769" s="9" t="s">
        <v>1344</v>
      </c>
    </row>
    <row r="7770" ht="33.75" customHeight="1">
      <c r="A7770" s="6" t="s">
        <v>11455</v>
      </c>
      <c r="B7770" s="6" t="str">
        <f>IFERROR(__xludf.DUMMYFUNCTION("GOOGLETRANSLATE(A7770,""en"",""fi"")"),"Se niiskaa ennen liikkeen suorittamista ja käyttää jäätävää räkäänsä antaakseen jäisen elementin mille tahansa liikkeelle, joka sitä tarvitsee.")</f>
        <v>Se niiskaa ennen liikkeen suorittamista ja käyttää jäätävää räkäänsä antaakseen jäisen elementin mille tahansa liikkeelle, joka sitä tarvitsee.</v>
      </c>
      <c r="C7770" s="9" t="s">
        <v>1344</v>
      </c>
    </row>
    <row r="7771" ht="33.75" customHeight="1">
      <c r="A7771" s="6" t="s">
        <v>11457</v>
      </c>
      <c r="B7771" s="6" t="str">
        <f>IFERROR(__xludf.DUMMYFUNCTION("GOOGLETRANSLATE(A7771,""en"",""fi"")"),"Se voi jäädyttää hengityksensä milloin tahansa. Se on erittäin taitava vedessä, ui pohjoisilla merillä ja pyydystää saalista.")</f>
        <v>Se voi jäädyttää hengityksensä milloin tahansa. Se on erittäin taitava vedessä, ui pohjoisilla merillä ja pyydystää saalista.</v>
      </c>
      <c r="C7771" s="9" t="s">
        <v>1344</v>
      </c>
    </row>
    <row r="7772" ht="33.75" customHeight="1">
      <c r="A7772" s="6" t="s">
        <v>11459</v>
      </c>
      <c r="B7772" s="6" t="str">
        <f>IFERROR(__xludf.DUMMYFUNCTION("GOOGLETRANSLATE(A7772,""en"",""fi"")"),"Se jäädyttää hengityksensä luodakseen jäästä kulmahampaita ja kynsiä taistelua varten. Kylmät pohjoiset alueet ovat sen elinympäristö.")</f>
        <v>Se jäädyttää hengityksensä luodakseen jäästä kulmahampaita ja kynsiä taistelua varten. Kylmät pohjoiset alueet ovat sen elinympäristö.</v>
      </c>
      <c r="C7772" s="9" t="s">
        <v>1344</v>
      </c>
    </row>
    <row r="7773" ht="33.75" customHeight="1">
      <c r="A7773" s="6" t="s">
        <v>11461</v>
      </c>
      <c r="B7773" s="6" t="str">
        <f>IFERROR(__xludf.DUMMYFUNCTION("GOOGLETRANSLATE(A7773,""en"",""fi"")"),"Ne rakastavat pohjoisen kylmiä meriä. Ne luovat polkuja valtamerten yli jäädyttämällä oman hengityksensä.")</f>
        <v>Ne rakastavat pohjoisen kylmiä meriä. Ne luovat polkuja valtamerten yli jäädyttämällä oman hengityksensä.</v>
      </c>
      <c r="C7773" s="9" t="s">
        <v>1344</v>
      </c>
    </row>
    <row r="7774" ht="33.75" customHeight="1">
      <c r="A7774" s="6" t="s">
        <v>11462</v>
      </c>
      <c r="B7774" s="6" t="str">
        <f>IFERROR(__xludf.DUMMYFUNCTION("GOOGLETRANSLATE(A7774,""en"",""fi"")"),"Se ui kylmissä merissä etsien saalista. Jäätyneestä hengityksestään se muodostaa jäisiä hampaita, jotka ovat kovempia kuin teräs.")</f>
        <v>Se ui kylmissä merissä etsien saalista. Jäätyneestä hengityksestään se muodostaa jäisiä hampaita, jotka ovat kovempia kuin teräs.</v>
      </c>
      <c r="C7774" s="9" t="s">
        <v>1344</v>
      </c>
    </row>
    <row r="7775" ht="33.75" customHeight="1">
      <c r="A7775" s="6" t="s">
        <v>11464</v>
      </c>
      <c r="B7775" s="6" t="str">
        <f>IFERROR(__xludf.DUMMYFUNCTION("GOOGLETRANSLATE(A7775,""en"",""fi"")"),"Se ui energisesti kylmissä merissä. Väsyessään se jäädyttää meriveden hengityksellään, jotta se voi levätä jäällä.")</f>
        <v>Se ui energisesti kylmissä merissä. Väsyessään se jäädyttää meriveden hengityksellään, jotta se voi levätä jäällä.</v>
      </c>
      <c r="C7775" s="9" t="s">
        <v>1344</v>
      </c>
    </row>
    <row r="7776" ht="33.75" customHeight="1">
      <c r="A7776" s="6" t="s">
        <v>11466</v>
      </c>
      <c r="B7776" s="6" t="str">
        <f>IFERROR(__xludf.DUMMYFUNCTION("GOOGLETRANSLATE(A7776,""en"",""fi"")"),"Kun sen ruumiinlämpö nousee, se muuttuu höyryksi ja katoaa. Kun sen lämpötila laskee, se palaa jääksi.")</f>
        <v>Kun sen ruumiinlämpö nousee, se muuttuu höyryksi ja katoaa. Kun sen lämpötila laskee, se palaa jääksi.</v>
      </c>
      <c r="C7776" s="9" t="s">
        <v>1344</v>
      </c>
    </row>
    <row r="7777" ht="33.75" customHeight="1">
      <c r="A7777" s="6" t="s">
        <v>11467</v>
      </c>
      <c r="B7777" s="6" t="str">
        <f>IFERROR(__xludf.DUMMYFUNCTION("GOOGLETRANSLATE(A7777,""en"",""fi"")"),"Ne syntyvät lumipilvissä. Ne käyttävät jääkiteistä tehtyjä ketjuja saaliin pyydystämiseen.")</f>
        <v>Ne syntyvät lumipilvissä. Ne käyttävät jääkiteistä tehtyjä ketjuja saaliin pyydystämiseen.</v>
      </c>
      <c r="C7777" s="9" t="s">
        <v>1344</v>
      </c>
    </row>
    <row r="7778" ht="33.75" customHeight="1">
      <c r="A7778" s="6" t="s">
        <v>11468</v>
      </c>
      <c r="B7778" s="6" t="str">
        <f>IFERROR(__xludf.DUMMYFUNCTION("GOOGLETRANSLATE(A7778,""en"",""fi"")"),"Ne koostuvat jääkiteistä. Ne pyydystävät saaliinsa jääketjuilla, jotka jäätyvät -75 °C:seen.")</f>
        <v>Ne koostuvat jääkiteistä. Ne pyydystävät saaliinsa jääketjuilla, jotka jäätyvät -75 °C:seen.</v>
      </c>
      <c r="C7778" s="9" t="s">
        <v>1344</v>
      </c>
    </row>
    <row r="7779" ht="33.75" customHeight="1">
      <c r="A7779" s="6" t="s">
        <v>11469</v>
      </c>
      <c r="B7779" s="6" t="str">
        <f>IFERROR(__xludf.DUMMYFUNCTION("GOOGLETRANSLATE(A7779,""en"",""fi"")"),"Ne koostuvat jääkiteistä. Ne pyydystävät saaliinsa jääketjuilla, jotka jäätyvät -75 celsiusasteeseen.")</f>
        <v>Ne koostuvat jääkiteistä. Ne pyydystävät saaliinsa jääketjuilla, jotka jäätyvät -75 celsiusasteeseen.</v>
      </c>
      <c r="C7779" s="9" t="s">
        <v>1344</v>
      </c>
    </row>
    <row r="7780" ht="33.75" customHeight="1">
      <c r="A7780" s="6" t="s">
        <v>11471</v>
      </c>
      <c r="B7780" s="6" t="str">
        <f>IFERROR(__xludf.DUMMYFUNCTION("GOOGLETRANSLATE(A7780,""en"",""fi"")"),"Jäisillä ketjuillaan Cryogonal jäädyttää kohtaamansa ihmiset. Sitten se vie uhrinsa jonnekin tuntemattomaan.")</f>
        <v>Jäisillä ketjuillaan Cryogonal jäädyttää kohtaamansa ihmiset. Sitten se vie uhrinsa jonnekin tuntemattomaan.</v>
      </c>
      <c r="C7780" s="9" t="s">
        <v>1344</v>
      </c>
    </row>
    <row r="7781" ht="33.75" customHeight="1">
      <c r="A7781" s="6" t="s">
        <v>11472</v>
      </c>
      <c r="B7781" s="6" t="str">
        <f>IFERROR(__xludf.DUMMYFUNCTION("GOOGLETRANSLATE(A7781,""en"",""fi"")"),"Kun sää kuumenee, nämä Pokémonit muuttuvat vesihöyryksi. Kryogonaaleja ei juurikaan nähdä kesällä.")</f>
        <v>Kun sää kuumenee, nämä Pokémonit muuttuvat vesihöyryksi. Kryogonaaleja ei juurikaan nähdä kesällä.</v>
      </c>
      <c r="C7781" s="9" t="s">
        <v>1344</v>
      </c>
    </row>
    <row r="7782" ht="33.75" customHeight="1">
      <c r="A7782" s="6" t="s">
        <v>11474</v>
      </c>
      <c r="B7782" s="6" t="str">
        <f>IFERROR(__xludf.DUMMYFUNCTION("GOOGLETRANSLATE(A7782,""en"",""fi"")"),"Hyökätessä se puolustautuu sulkemalla kuorensa kannen. Se voi sylkeä tahmeaa, myrkyllistä nestettä.")</f>
        <v>Hyökätessä se puolustautuu sulkemalla kuorensa kannen. Se voi sylkeä tahmeaa, myrkyllistä nestettä.</v>
      </c>
      <c r="C7782" s="9" t="s">
        <v>1344</v>
      </c>
    </row>
    <row r="7783" ht="33.75" customHeight="1">
      <c r="A7783" s="6" t="s">
        <v>11476</v>
      </c>
      <c r="B7783" s="6" t="str">
        <f>IFERROR(__xludf.DUMMYFUNCTION("GOOGLETRANSLATE(A7783,""en"",""fi"")"),"Se kehittyy, kun se kylpee sähkönkaltaisessa energiassa yhdessä Karrablastin kanssa. Syy on edelleen tuntematon.")</f>
        <v>Se kehittyy, kun se kylpee sähkönkaltaisessa energiassa yhdessä Karrablastin kanssa. Syy on edelleen tuntematon.</v>
      </c>
      <c r="C7783" s="9" t="s">
        <v>1344</v>
      </c>
    </row>
    <row r="7784" ht="33.75" customHeight="1">
      <c r="A7784" s="6" t="s">
        <v>11478</v>
      </c>
      <c r="B7784" s="6" t="str">
        <f>IFERROR(__xludf.DUMMYFUNCTION("GOOGLETRANSLATE(A7784,""en"",""fi"")"),"Kun se ja Karrablast ovat yhdessä ja molemmat saavat sähköistä stimulaatiota, ne molemmat kehittyvät.")</f>
        <v>Kun se ja Karrablast ovat yhdessä ja molemmat saavat sähköistä stimulaatiota, ne molemmat kehittyvät.</v>
      </c>
      <c r="C7784" s="9" t="s">
        <v>1344</v>
      </c>
    </row>
    <row r="7785" ht="33.75" customHeight="1">
      <c r="A7785" s="6" t="s">
        <v>11479</v>
      </c>
      <c r="B7785" s="6" t="str">
        <f>IFERROR(__xludf.DUMMYFUNCTION("GOOGLETRANSLATE(A7785,""en"",""fi"")"),"Hyökätessä se sulkee kuorensa kannen tiiviisti. Tämä reaktio ei kuitenkaan suojaa sitä Karrablasteilta, koska ne voivat silti päästä kuoreen.")</f>
        <v>Hyökätessä se sulkee kuorensa kannen tiiviisti. Tämä reaktio ei kuitenkaan suojaa sitä Karrablasteilta, koska ne voivat silti päästä kuoreen.</v>
      </c>
      <c r="C7785" s="9" t="s">
        <v>1344</v>
      </c>
    </row>
    <row r="7786" ht="33.75" customHeight="1">
      <c r="A7786" s="6" t="s">
        <v>11480</v>
      </c>
      <c r="B7786" s="6" t="str">
        <f>IFERROR(__xludf.DUMMYFUNCTION("GOOGLETRANSLATE(A7786,""en"",""fi"")"),"Sillä on outo fysiologia, joka reagoi sähköön. Yhdessä Karrablastin kanssa Shelmet kehittyy jostain syystä.")</f>
        <v>Sillä on outo fysiologia, joka reagoi sähköön. Yhdessä Karrablastin kanssa Shelmet kehittyy jostain syystä.</v>
      </c>
      <c r="C7786" s="9" t="s">
        <v>1344</v>
      </c>
    </row>
    <row r="7787" ht="33.75" customHeight="1">
      <c r="A7787" s="6" t="s">
        <v>11481</v>
      </c>
      <c r="B7787" s="6" t="str">
        <f>IFERROR(__xludf.DUMMYFUNCTION("GOOGLETRANSLATE(A7787,""en"",""fi"")"),"Kun sen ruumis kuivuu, se heikkenee. Niinpä nestehukan estämiseksi se käärii itsensä useisiin ohuisiin kalvokerroksiin.")</f>
        <v>Kun sen ruumis kuivuu, se heikkenee. Niinpä nestehukan estämiseksi se käärii itsensä useisiin ohuisiin kalvokerroksiin.</v>
      </c>
      <c r="C7787" s="9" t="s">
        <v>1344</v>
      </c>
    </row>
    <row r="7788" ht="33.75" customHeight="1">
      <c r="A7788" s="6" t="s">
        <v>11483</v>
      </c>
      <c r="B7788" s="6" t="str">
        <f>IFERROR(__xludf.DUMMYFUNCTION("GOOGLETRANSLATE(A7788,""en"",""fi"")"),"Poistattuaan raskaan kuorensa siitä tulee erittäin kevyt ja se voi taistella ninjan kaltaisilla liikkeillä.")</f>
        <v>Poistattuaan raskaan kuorensa siitä tulee erittäin kevyt ja se voi taistella ninjan kaltaisilla liikkeillä.</v>
      </c>
      <c r="C7788" s="9" t="s">
        <v>1344</v>
      </c>
    </row>
    <row r="7789" ht="33.75" customHeight="1">
      <c r="A7789" s="6" t="s">
        <v>11485</v>
      </c>
      <c r="B7789" s="6" t="str">
        <f>IFERROR(__xludf.DUMMYFUNCTION("GOOGLETRANSLATE(A7789,""en"",""fi"")"),"Kun sen ruumis kuivuu, se heikkenee. Niinpä se kietoo itsensä suojakalvon ympärille sylkeessään myrkkyä.")</f>
        <v>Kun sen ruumis kuivuu, se heikkenee. Niinpä se kietoo itsensä suojakalvon ympärille sylkeessään myrkkyä.</v>
      </c>
      <c r="C7789" s="9" t="s">
        <v>1344</v>
      </c>
    </row>
    <row r="7790" ht="33.75" customHeight="1">
      <c r="A7790" s="6" t="s">
        <v>11486</v>
      </c>
      <c r="B7790" s="6" t="str">
        <f>IFERROR(__xludf.DUMMYFUNCTION("GOOGLETRANSLATE(A7790,""en"",""fi"")"),"Se liikkuu sokaisevalla nopeudella ja heittää myrkkyä vihollisten päälle. Accelgorin käyttäminen päähenkilönä on varma tapa tehdä elokuvasta tai sarjakuvasta suosittu.")</f>
        <v>Se liikkuu sokaisevalla nopeudella ja heittää myrkkyä vihollisten päälle. Accelgorin käyttäminen päähenkilönä on varma tapa tehdä elokuvasta tai sarjakuvasta suosittu.</v>
      </c>
      <c r="C7790" s="9" t="s">
        <v>1344</v>
      </c>
    </row>
    <row r="7791" ht="33.75" customHeight="1">
      <c r="A7791" s="6" t="s">
        <v>11488</v>
      </c>
      <c r="B7791" s="6" t="str">
        <f>IFERROR(__xludf.DUMMYFUNCTION("GOOGLETRANSLATE(A7791,""en"",""fi"")"),"Kuoriensa hylkääminen teki siitä ketterän. Estääkseen nestehukan se kietoo ruumiinsa kalvonauhoihin.")</f>
        <v>Kuoriensa hylkääminen teki siitä ketterän. Estääkseen nestehukan se kietoo ruumiinsa kalvonauhoihin.</v>
      </c>
      <c r="C7791" s="9" t="s">
        <v>1344</v>
      </c>
    </row>
    <row r="7792" ht="33.75" customHeight="1">
      <c r="A7792" s="6" t="s">
        <v>11491</v>
      </c>
      <c r="B7792" s="6" t="str">
        <f>IFERROR(__xludf.DUMMYFUNCTION("GOOGLETRANSLATE(A7792,""en"",""fi"")"),"Sen iho on erittäin kova, joten se ei vahingoitu, vaikka sumopainijat astuisivat sen päälle. Se hymyilee lähettäessään sähköä.")</f>
        <v>Sen iho on erittäin kova, joten se ei vahingoitu, vaikka sumopainijat astuisivat sen päälle. Se hymyilee lähettäessään sähköä.</v>
      </c>
      <c r="C7792" s="9" t="s">
        <v>1344</v>
      </c>
    </row>
    <row r="7793" ht="33.75" customHeight="1">
      <c r="A7793" s="6" t="s">
        <v>11493</v>
      </c>
      <c r="B7793" s="6" t="str">
        <f>IFERROR(__xludf.DUMMYFUNCTION("GOOGLETRANSLATE(A7793,""en"",""fi"")"),"Se piiloutuu merenrannan mutaan. Sitten se odottaa. Kun saalis koskettaa sitä, se lähettää sähköiskun.")</f>
        <v>Se piiloutuu merenrannan mutaan. Sitten se odottaa. Kun saalis koskettaa sitä, se lähettää sähköiskun.</v>
      </c>
      <c r="C7793" s="9" t="s">
        <v>1344</v>
      </c>
    </row>
    <row r="7794" ht="33.75" customHeight="1">
      <c r="A7794" s="6" t="s">
        <v>11495</v>
      </c>
      <c r="B7794" s="6" t="str">
        <f>IFERROR(__xludf.DUMMYFUNCTION("GOOGLETRANSLATE(A7794,""en"",""fi"")"),"Kun vastustajaa ei saada lamaannutettua, se vääntyy odottamattomalla nopeudella ja syöksyy pois.")</f>
        <v>Kun vastustajaa ei saada lamaannutettua, se vääntyy odottamattomalla nopeudella ja syöksyy pois.</v>
      </c>
      <c r="C7794" s="9" t="s">
        <v>1344</v>
      </c>
    </row>
    <row r="7795" ht="33.75" customHeight="1">
      <c r="A7795" s="6" t="s">
        <v>11496</v>
      </c>
      <c r="B7795" s="6" t="str">
        <f>IFERROR(__xludf.DUMMYFUNCTION("GOOGLETRANSLATE(A7795,""en"",""fi"")"),"Mutatasangoilla elävien bakteerien ansiosta tämä Pokémon kehitti elimet, joita se käyttää sähkön tuottamiseen.")</f>
        <v>Mutatasangoilla elävien bakteerien ansiosta tämä Pokémon kehitti elimet, joita se käyttää sähkön tuottamiseen.</v>
      </c>
      <c r="C7795" s="9" t="s">
        <v>1344</v>
      </c>
    </row>
    <row r="7796" ht="33.75" customHeight="1">
      <c r="A7796" s="6" t="s">
        <v>11498</v>
      </c>
      <c r="B7796" s="6" t="str">
        <f>IFERROR(__xludf.DUMMYFUNCTION("GOOGLETRANSLATE(A7796,""en"",""fi"")"),"Jostain syystä tämä Pokémon hymyilee hieman, kun se lähettää voimakkaan sähkövirran kehonsa keltaisista merkinnöistä.")</f>
        <v>Jostain syystä tämä Pokémon hymyilee hieman, kun se lähettää voimakkaan sähkövirran kehonsa keltaisista merkinnöistä.</v>
      </c>
      <c r="C7796" s="9" t="s">
        <v>1344</v>
      </c>
    </row>
    <row r="7797" ht="33.75" customHeight="1">
      <c r="A7797" s="6" t="s">
        <v>11500</v>
      </c>
      <c r="B7797" s="6" t="str">
        <f>IFERROR(__xludf.DUMMYFUNCTION("GOOGLETRANSLATE(A7797,""en"",""fi"")"),"Taisteluissa ne hallitsevat jatkuvilla ja virtaavilla hyökkäyksillä. Terävillä kynsillään ne viiltävät vihollisia.")</f>
        <v>Taisteluissa ne hallitsevat jatkuvilla ja virtaavilla hyökkäyksillä. Terävillä kynsillään ne viiltävät vihollisia.</v>
      </c>
      <c r="C7797" s="9" t="s">
        <v>1344</v>
      </c>
    </row>
    <row r="7798" ht="33.75" customHeight="1">
      <c r="A7798" s="6" t="s">
        <v>11502</v>
      </c>
      <c r="B7798" s="6" t="str">
        <f>IFERROR(__xludf.DUMMYFUNCTION("GOOGLETRANSLATE(A7798,""en"",""fi"")"),"He ovat hallinneet elegantteja komboja. Keskittyessään heidän taisteluliikkeensä nopeutuvat ja tarkentuvat.")</f>
        <v>He ovat hallinneet elegantteja komboja. Keskittyessään heidän taisteluliikkeensä nopeutuvat ja tarkentuvat.</v>
      </c>
      <c r="C7798" s="9" t="s">
        <v>1344</v>
      </c>
    </row>
    <row r="7799" ht="33.75" customHeight="1">
      <c r="A7799" s="6" t="s">
        <v>11503</v>
      </c>
      <c r="B7799" s="6" t="str">
        <f>IFERROR(__xludf.DUMMYFUNCTION("GOOGLETRANSLATE(A7799,""en"",""fi"")"),"Se on ylpeä nopeudestaan, jolla se pystyy käyttämään liikkeitään. Minkä se menettää voimassa, sen se korvaa määrällä.")</f>
        <v>Se on ylpeä nopeudestaan, jolla se pystyy käyttämään liikkeitään. Minkä se menettää voimassa, sen se korvaa määrällä.</v>
      </c>
      <c r="C7799" s="9" t="s">
        <v>1344</v>
      </c>
    </row>
    <row r="7800" ht="33.75" customHeight="1">
      <c r="A7800" s="6" t="s">
        <v>11505</v>
      </c>
      <c r="B7800" s="6" t="str">
        <f>IFERROR(__xludf.DUMMYFUNCTION("GOOGLETRANSLATE(A7800,""en"",""fi"")"),"Ne voi usein nähdä laumoissa aamulla, hitaasti liikuttamassa kehoaan useiden asentojen läpi.")</f>
        <v>Ne voi usein nähdä laumoissa aamulla, hitaasti liikuttamassa kehoaan useiden asentojen läpi.</v>
      </c>
      <c r="C7800" s="9" t="s">
        <v>1344</v>
      </c>
    </row>
    <row r="7801" ht="33.75" customHeight="1">
      <c r="A7801" s="6" t="s">
        <v>11507</v>
      </c>
      <c r="B7801" s="6" t="str">
        <f>IFERROR(__xludf.DUMMYFUNCTION("GOOGLETRANSLATE(A7801,""en"",""fi"")"),"He eristäytyvät vuorilla ja omistautuvat harjoittelulle. Heidän potkujensa ja lyöntiensä muoto vaihtelee laumasta toiseen.")</f>
        <v>He eristäytyvät vuorilla ja omistautuvat harjoittelulle. Heidän potkujensa ja lyöntiensä muoto vaihtelee laumasta toiseen.</v>
      </c>
      <c r="C7801" s="9" t="s">
        <v>1344</v>
      </c>
    </row>
    <row r="7802" ht="33.75" customHeight="1">
      <c r="A7802" s="6" t="s">
        <v>11508</v>
      </c>
      <c r="B7802" s="6" t="str">
        <f>IFERROR(__xludf.DUMMYFUNCTION("GOOGLETRANSLATE(A7802,""en"",""fi"")"),"Yhdessä minuutissa hyvin koulutettu mienfoo voi hakata käsillään yli 100 kertaa.")</f>
        <v>Yhdessä minuutissa hyvin koulutettu mienfoo voi hakata käsillään yli 100 kertaa.</v>
      </c>
      <c r="C7802" s="9" t="s">
        <v>1344</v>
      </c>
    </row>
    <row r="7803" ht="33.75" customHeight="1">
      <c r="A7803" s="6" t="s">
        <v>11510</v>
      </c>
      <c r="B7803" s="6" t="str">
        <f>IFERROR(__xludf.DUMMYFUNCTION("GOOGLETRANSLATE(A7803,""en"",""fi"")"),"Vaikka Mienfoo on pieni, sen luonne on raju. Jokainen olento, joka lähestyy Mienfoota huolettomasti, saa osakseen sarjan tyylikkäitä hyökkäyksiä.")</f>
        <v>Vaikka Mienfoo on pieni, sen luonne on raju. Jokainen olento, joka lähestyy Mienfoota huolettomasti, saa osakseen sarjan tyylikkäitä hyökkäyksiä.</v>
      </c>
      <c r="C7803" s="9" t="s">
        <v>1344</v>
      </c>
    </row>
    <row r="7804" ht="33.75" customHeight="1">
      <c r="A7804" s="6" t="s">
        <v>11511</v>
      </c>
      <c r="B7804" s="6" t="str">
        <f>IFERROR(__xludf.DUMMYFUNCTION("GOOGLETRANSLATE(A7804,""en"",""fi"")"),"Se käyttää käsivarsiensa turkkia kuin ruoskaa. Sen käsivarsihyökkäykset tulevat niin nopeasti, ettei niitä edes näe.")</f>
        <v>Se käyttää käsivarsiensa turkkia kuin ruoskaa. Sen käsivarsihyökkäykset tulevat niin nopeasti, ettei niitä edes näe.</v>
      </c>
      <c r="C7804" s="9" t="s">
        <v>1344</v>
      </c>
    </row>
    <row r="7805" ht="33.75" customHeight="1">
      <c r="A7805" s="6" t="s">
        <v>11512</v>
      </c>
      <c r="B7805" s="6" t="str">
        <f>IFERROR(__xludf.DUMMYFUNCTION("GOOGLETRANSLATE(A7805,""en"",""fi"")"),"He käyttävät käsivarsiensa pitkää turkkia ruoskana lyödäkseen vastustajiaan.")</f>
        <v>He käyttävät käsivarsiensa pitkää turkkia ruoskana lyödäkseen vastustajiaan.</v>
      </c>
      <c r="C7805" s="9" t="s">
        <v>1344</v>
      </c>
    </row>
    <row r="7806" ht="33.75" customHeight="1">
      <c r="A7806" s="6" t="s">
        <v>11513</v>
      </c>
      <c r="B7806" s="6" t="str">
        <f>IFERROR(__xludf.DUMMYFUNCTION("GOOGLETRANSLATE(A7806,""en"",""fi"")"),"Käyttäen käsiensä pitkää turkkia kuin ruoskaa, se käynnistää yhdistelmähyökkäyksiä, joita kerran alennettuaan kukaan ei voi pysäyttää.")</f>
        <v>Käyttäen käsiensä pitkää turkkia kuin ruoskaa, se käynnistää yhdistelmähyökkäyksiä, joita kerran alennettuaan kukaan ei voi pysäyttää.</v>
      </c>
      <c r="C7806" s="9" t="s">
        <v>1344</v>
      </c>
    </row>
    <row r="7807" ht="33.75" customHeight="1">
      <c r="A7807" s="6" t="s">
        <v>11514</v>
      </c>
      <c r="B7807" s="6" t="str">
        <f>IFERROR(__xludf.DUMMYFUNCTION("GOOGLETRANSLATE(A7807,""en"",""fi"")"),"Se hukuttaa vastustajansa jatkuvilla hyökkäyksillä ja kerää sitten hitaasti voimaa ennen viimeistelyiskun antamista.")</f>
        <v>Se hukuttaa vastustajansa jatkuvilla hyökkäyksillä ja kerää sitten hitaasti voimaa ennen viimeistelyiskun antamista.</v>
      </c>
      <c r="C7807" s="9" t="s">
        <v>1344</v>
      </c>
    </row>
    <row r="7808" ht="33.75" customHeight="1">
      <c r="A7808" s="6" t="s">
        <v>11516</v>
      </c>
      <c r="B7808" s="6" t="str">
        <f>IFERROR(__xludf.DUMMYFUNCTION("GOOGLETRANSLATE(A7808,""en"",""fi"")"),"Kun Mienshao päästää omituisen valituksen, olet vaarassa. Potkujen ja iskujen sarja, jota on liian vaikea nähdä, on päästettämässä valloilleen!")</f>
        <v>Kun Mienshao päästää omituisen valituksen, olet vaarassa. Potkujen ja iskujen sarja, jota on liian vaikea nähdä, on päästettämässä valloilleen!</v>
      </c>
      <c r="C7808" s="9" t="s">
        <v>1344</v>
      </c>
    </row>
    <row r="7809" ht="33.75" customHeight="1">
      <c r="A7809" s="6" t="s">
        <v>11517</v>
      </c>
      <c r="B7809" s="6" t="str">
        <f>IFERROR(__xludf.DUMMYFUNCTION("GOOGLETRANSLATE(A7809,""en"",""fi"")"),"Kun Mienshao kohtaa todella haastavan vastustajan, se keventää itseään puremalla karvat pois käsivarsistaan.")</f>
        <v>Kun Mienshao kohtaa todella haastavan vastustajan, se keventää itseään puremalla karvat pois käsivarsistaan.</v>
      </c>
      <c r="C7809" s="9" t="s">
        <v>1344</v>
      </c>
    </row>
    <row r="7810" ht="33.75" customHeight="1">
      <c r="A7810" s="6" t="s">
        <v>11518</v>
      </c>
      <c r="B7810" s="6" t="str">
        <f>IFERROR(__xludf.DUMMYFUNCTION("GOOGLETRANSLATE(A7810,""en"",""fi"")"),"Tämän Pokémonin häikäisevän nopeasti lähettämät potkut voivat murskata massiivisia lohkareita pieniksi palasiksi.")</f>
        <v>Tämän Pokémonin häikäisevän nopeasti lähettämät potkut voivat murskata massiivisia lohkareita pieniksi palasiksi.</v>
      </c>
      <c r="C7810" s="9" t="s">
        <v>1344</v>
      </c>
    </row>
    <row r="7811" ht="33.75" customHeight="1">
      <c r="A7811" s="6" t="s">
        <v>11519</v>
      </c>
      <c r="B7811" s="6" t="str">
        <f>IFERROR(__xludf.DUMMYFUNCTION("GOOGLETRANSLATE(A7811,""en"",""fi"")"),"Se lämmittää ruumistaan ​​imemällä auringonvaloa siivillään. Kun sen ruumiinlämpö laskee, se ei voi enää liikkua.")</f>
        <v>Se lämmittää ruumistaan ​​imemällä auringonvaloa siivillään. Kun sen ruumiinlämpö laskee, se ei voi enää liikkua.</v>
      </c>
      <c r="C7811" s="9" t="s">
        <v>1344</v>
      </c>
    </row>
    <row r="7812" ht="33.75" customHeight="1">
      <c r="A7812" s="6" t="s">
        <v>11521</v>
      </c>
      <c r="B7812" s="6" t="str">
        <f>IFERROR(__xludf.DUMMYFUNCTION("GOOGLETRANSLATE(A7812,""en"",""fi"")"),"Se juoksee ahtaissa luolissa ja pyydystää saalista terävillä kynsillään. Sen kasvojen iho on kovempaa kuin kiven.")</f>
        <v>Se juoksee ahtaissa luolissa ja pyydystää saalista terävillä kynsillään. Sen kasvojen iho on kovempaa kuin kiven.</v>
      </c>
      <c r="C7812" s="9" t="s">
        <v>1344</v>
      </c>
    </row>
    <row r="7813" ht="33.75" customHeight="1">
      <c r="A7813" s="6" t="s">
        <v>11523</v>
      </c>
      <c r="B7813" s="6" t="str">
        <f>IFERROR(__xludf.DUMMYFUNCTION("GOOGLETRANSLATE(A7813,""en"",""fi"")"),"Se kulkee Excadrillin ja Onixin muodostamien kapeiden tunnelien läpi. Se käyttää teräviä kynsiään saaliin pyydystämiseen.")</f>
        <v>Se kulkee Excadrillin ja Onixin muodostamien kapeiden tunnelien läpi. Se käyttää teräviä kynsiään saaliin pyydystämiseen.</v>
      </c>
      <c r="C7813" s="9" t="s">
        <v>1344</v>
      </c>
    </row>
    <row r="7814" ht="33.75" customHeight="1">
      <c r="A7814" s="6" t="s">
        <v>11524</v>
      </c>
      <c r="B7814" s="6" t="str">
        <f>IFERROR(__xludf.DUMMYFUNCTION("GOOGLETRANSLATE(A7814,""en"",""fi"")"),"Sen kasvojen punainen iho on kovempaa kuin kallio. Kapeissa luolissa se asettuu vihollisiaan vastaan ​​ja hyökkää kasvot edellä suoraan heitä kohti.")</f>
        <v>Sen kasvojen punainen iho on kovempaa kuin kallio. Kapeissa luolissa se asettuu vihollisiaan vastaan ​​ja hyökkää kasvot edellä suoraan heitä kohti.</v>
      </c>
      <c r="C7814" s="9" t="s">
        <v>1344</v>
      </c>
    </row>
    <row r="7815" ht="33.75" customHeight="1">
      <c r="A7815" s="6" t="s">
        <v>11526</v>
      </c>
      <c r="B7815" s="6" t="str">
        <f>IFERROR(__xludf.DUMMYFUNCTION("GOOGLETRANSLATE(A7815,""en"",""fi"")"),"Se tunkeutuu tunneleihin, jotka Pokémonit, kuten Diglett ja Dugtrio, ovat kaivaneet, ja odottaa hiljaa saaliin kulkevan läpi.")</f>
        <v>Se tunkeutuu tunneleihin, jotka Pokémonit, kuten Diglett ja Dugtrio, ovat kaivaneet, ja odottaa hiljaa saaliin kulkevan läpi.</v>
      </c>
      <c r="C7815" s="9" t="s">
        <v>1344</v>
      </c>
    </row>
    <row r="7816" ht="33.75" customHeight="1">
      <c r="A7816" s="6" t="s">
        <v>11527</v>
      </c>
      <c r="B7816" s="6" t="str">
        <f>IFERROR(__xludf.DUMMYFUNCTION("GOOGLETRANSLATE(A7816,""en"",""fi"")"),"Druddigon asuu luolissa, mutta se ei koskaan jätä auringonottoa väliin – se ei pysty liikkumaan, jos sen ruumis kylmenee liikaa.")</f>
        <v>Druddigon asuu luolissa, mutta se ei koskaan jätä auringonottoa väliin – se ei pysty liikkumaan, jos sen ruumis kylmenee liikaa.</v>
      </c>
      <c r="C7816" s="9" t="s">
        <v>1344</v>
      </c>
    </row>
    <row r="7817" ht="33.75" customHeight="1">
      <c r="A7817" s="6" t="s">
        <v>11529</v>
      </c>
      <c r="B7817" s="6" t="str">
        <f>IFERROR(__xludf.DUMMYFUNCTION("GOOGLETRANSLATE(A7817,""en"",""fi"")"),"Druddigonit ovat ilkeitä ja ovelia. Ne asettuvat asumaan muiden Pokémonien kaivamiin pesiin ja pitävät varastettuja pesiä ominaan.")</f>
        <v>Druddigonit ovat ilkeitä ja ovelia. Ne asettuvat asumaan muiden Pokémonien kaivamiin pesiin ja pitävät varastettuja pesiä ominaan.</v>
      </c>
      <c r="C7817" s="9" t="s">
        <v>1344</v>
      </c>
    </row>
    <row r="7818" ht="33.75" customHeight="1">
      <c r="A7818" s="6" t="s">
        <v>11530</v>
      </c>
      <c r="B7818" s="6" t="str">
        <f>IFERROR(__xludf.DUMMYFUNCTION("GOOGLETRANSLATE(A7818,""en"",""fi"")"),"Sen sisällä palava energia mahdollistaa sen liikkumisen, mutta kukaan ei ole vielä pystynyt tunnistamaan tätä energiaa.")</f>
        <v>Sen sisällä palava energia mahdollistaa sen liikkumisen, mutta kukaan ei ole vielä pystynyt tunnistamaan tätä energiaa.</v>
      </c>
      <c r="C7818" s="9" t="s">
        <v>1344</v>
      </c>
    </row>
    <row r="7819" ht="33.75" customHeight="1">
      <c r="A7819" s="6" t="s">
        <v>11531</v>
      </c>
      <c r="B7819" s="6" t="str">
        <f>IFERROR(__xludf.DUMMYFUNCTION("GOOGLETRANSLATE(A7819,""en"",""fi"")"),"Näiden Pokémonien uskotaan olevan muinaisen ja salaperäisen sivilisaation tieteen luomia.")</f>
        <v>Näiden Pokémonien uskotaan olevan muinaisen ja salaperäisen sivilisaation tieteen luomia.</v>
      </c>
      <c r="C7819" s="9" t="s">
        <v>1344</v>
      </c>
    </row>
    <row r="7820" ht="33.75" customHeight="1">
      <c r="A7820" s="6" t="s">
        <v>11532</v>
      </c>
      <c r="B7820" s="6" t="str">
        <f>IFERROR(__xludf.DUMMYFUNCTION("GOOGLETRANSLATE(A7820,""en"",""fi"")"),"Muinainen tiede muovasi tämän Pokémonin savesta. Se on ollut aktiivinen tuhansia vuosia.")</f>
        <v>Muinainen tiede muovasi tämän Pokémonin savesta. Se on ollut aktiivinen tuhansia vuosia.</v>
      </c>
      <c r="C7820" s="9" t="s">
        <v>1344</v>
      </c>
    </row>
    <row r="7821" ht="33.75" customHeight="1">
      <c r="A7821" s="6" t="s">
        <v>11533</v>
      </c>
      <c r="B7821" s="6" t="str">
        <f>IFERROR(__xludf.DUMMYFUNCTION("GOOGLETRANSLATE(A7821,""en"",""fi"")"),"Sen liikkeet saavat voimansa salaperäisestä energiasta. Se on liikkunut jatkuvasti muinaisista ajoista lähtien, joten sen voima saattaa pian loppua.")</f>
        <v>Sen liikkeet saavat voimansa salaperäisestä energiasta. Se on liikkunut jatkuvasti muinaisista ajoista lähtien, joten sen voima saattaa pian loppua.</v>
      </c>
      <c r="C7821" s="9" t="s">
        <v>1344</v>
      </c>
    </row>
    <row r="7822" ht="33.75" customHeight="1">
      <c r="A7822" s="6" t="s">
        <v>11538</v>
      </c>
      <c r="B7822" s="6" t="str">
        <f>IFERROR(__xludf.DUMMYFUNCTION("GOOGLETRANSLATE(A7822,""en"",""fi"")"),"Vaikka muinaiset ihmiset ilmeisesti rakensivat sen työskentelemällä saven kanssa, sen energian lähde on epäselvä.")</f>
        <v>Vaikka muinaiset ihmiset ilmeisesti rakensivat sen työskentelemällä saven kanssa, sen energian lähde on epäselvä.</v>
      </c>
      <c r="C7822" s="9" t="s">
        <v>1344</v>
      </c>
    </row>
    <row r="7823" ht="33.75" customHeight="1">
      <c r="A7823" s="6" t="s">
        <v>11540</v>
      </c>
      <c r="B7823" s="6" t="str">
        <f>IFERROR(__xludf.DUMMYFUNCTION("GOOGLETRANSLATE(A7823,""en"",""fi"")"),"Ne veistettiin savesta muinaisina aikoina. Kukaan ei tiedä miksi, mutta jotkut niistä pyrkivät jatkuvasti rivittämään lohkareita.")</f>
        <v>Ne veistettiin savesta muinaisina aikoina. Kukaan ei tiedä miksi, mutta jotkut niistä pyrkivät jatkuvasti rivittämään lohkareita.</v>
      </c>
      <c r="C7823" s="9" t="s">
        <v>1344</v>
      </c>
    </row>
    <row r="7824" ht="33.75" customHeight="1">
      <c r="A7824" s="6" t="s">
        <v>11543</v>
      </c>
      <c r="B7824" s="6" t="str">
        <f>IFERROR(__xludf.DUMMYFUNCTION("GOOGLETRANSLATE(A7824,""en"",""fi"")"),"Tämä Pokémon luotiin savesta. Se sai käskyjä isännältään tuhansia vuosia sitten, ja se noudattaa näitä käskyjä edelleen.")</f>
        <v>Tämä Pokémon luotiin savesta. Se sai käskyjä isännältään tuhansia vuosia sitten, ja se noudattaa näitä käskyjä edelleen.</v>
      </c>
      <c r="C7824" s="9" t="s">
        <v>1344</v>
      </c>
    </row>
    <row r="7825" ht="33.75" customHeight="1">
      <c r="A7825" s="6" t="s">
        <v>11545</v>
      </c>
      <c r="B7825" s="6" t="str">
        <f>IFERROR(__xludf.DUMMYFUNCTION("GOOGLETRANSLATE(A7825,""en"",""fi"")"),"Se lentää taivaalla Machin nopeudella. Rintakehän sinetin poistaminen saa sen sisäisen energian hallitsemattomaksi.")</f>
        <v>Se lentää taivaalla Machin nopeudella. Rintakehän sinetin poistaminen saa sen sisäisen energian hallitsemattomaksi.</v>
      </c>
      <c r="C7825" s="9" t="s">
        <v>1344</v>
      </c>
    </row>
    <row r="7826" ht="33.75" customHeight="1">
      <c r="A7826" s="6" t="s">
        <v>11547</v>
      </c>
      <c r="B7826" s="6" t="str">
        <f>IFERROR(__xludf.DUMMYFUNCTION("GOOGLETRANSLATE(A7826,""en"",""fi"")"),"Kerrotaan, että muinaiset ihmiset, jotka loivat Golurkit, määräsivät ne suojelemaan ihmisiä ja Pokémoneja.")</f>
        <v>Kerrotaan, että muinaiset ihmiset, jotka loivat Golurkit, määräsivät ne suojelemaan ihmisiä ja Pokémoneja.</v>
      </c>
      <c r="C7826" s="9" t="s">
        <v>1344</v>
      </c>
    </row>
    <row r="7827" ht="33.75" customHeight="1">
      <c r="A7827" s="6" t="s">
        <v>11548</v>
      </c>
      <c r="B7827" s="6" t="str">
        <f>IFERROR(__xludf.DUMMYFUNCTION("GOOGLETRANSLATE(A7827,""en"",""fi"")"),"Golurk-hahmot luotiin suojelemaan ihmisiä ja Pokémoneja. Ne toimivat salaperäisellä energialla.")</f>
        <v>Golurk-hahmot luotiin suojelemaan ihmisiä ja Pokémoneja. Ne toimivat salaperäisellä energialla.</v>
      </c>
      <c r="C7827" s="9" t="s">
        <v>1344</v>
      </c>
    </row>
    <row r="7828" ht="33.75" customHeight="1">
      <c r="A7828" s="6" t="s">
        <v>11550</v>
      </c>
      <c r="B7828" s="6" t="str">
        <f>IFERROR(__xludf.DUMMYFUNCTION("GOOGLETRANSLATE(A7828,""en"",""fi"")"),"Jotkut sanovat, että muinaiset ihmiset keksivät golurkin työmieheksi. Se noudattaa isäntänsä käskyjä uskollisesti.")</f>
        <v>Jotkut sanovat, että muinaiset ihmiset keksivät golurkin työmieheksi. Se noudattaa isäntänsä käskyjä uskollisesti.</v>
      </c>
      <c r="C7828" s="9" t="s">
        <v>1344</v>
      </c>
    </row>
    <row r="7829" ht="33.75" customHeight="1">
      <c r="A7829" s="6" t="s">
        <v>11551</v>
      </c>
      <c r="B7829" s="6" t="str">
        <f>IFERROR(__xludf.DUMMYFUNCTION("GOOGLETRANSLATE(A7829,""en"",""fi"")"),"Kun sen rinnassa oleva sinetti poistetaan, se raivoaa umpimähkään ja muuttaa koko ympäröivän kaupungin rauniovuoreksi.")</f>
        <v>Kun sen rinnassa oleva sinetti poistetaan, se raivoaa umpimähkään ja muuttaa koko ympäröivän kaupungin rauniovuoreksi.</v>
      </c>
      <c r="C7829" s="9" t="s">
        <v>1344</v>
      </c>
    </row>
    <row r="7830" ht="33.75" customHeight="1">
      <c r="A7830" s="6" t="s">
        <v>11552</v>
      </c>
      <c r="B7830" s="6" t="str">
        <f>IFERROR(__xludf.DUMMYFUNCTION("GOOGLETRANSLATE(A7830,""en"",""fi"")"),"Muinaisten linnojen seiniin rakennetut tykistötasot toimivat orrina, joilta Golurk pystyi ampumaan energiasäteitä.")</f>
        <v>Muinaisten linnojen seiniin rakennetut tykistötasot toimivat orrina, joilta Golurk pystyi ampumaan energiasäteitä.</v>
      </c>
      <c r="C7830" s="9" t="s">
        <v>1344</v>
      </c>
    </row>
    <row r="7831" ht="33.75" customHeight="1">
      <c r="A7831" s="6" t="s">
        <v>11554</v>
      </c>
      <c r="B7831" s="6" t="str">
        <f>IFERROR(__xludf.DUMMYFUNCTION("GOOGLETRANSLATE(A7831,""en"",""fi"")"),"On olemassa teoria, jonka mukaan Golurkin sisällä on ikiliikkuja, jotka tuottavat rajattomasti energiaa, mutta tätä uskomusta ei ole todistettu.")</f>
        <v>On olemassa teoria, jonka mukaan Golurkin sisällä on ikiliikkuja, jotka tuottavat rajattomasti energiaa, mutta tätä uskomusta ei ole todistettu.</v>
      </c>
      <c r="C7831" s="9" t="s">
        <v>1344</v>
      </c>
    </row>
    <row r="7832" ht="33.75" customHeight="1">
      <c r="A7832" s="6" t="s">
        <v>11556</v>
      </c>
      <c r="B7832" s="6" t="str">
        <f>IFERROR(__xludf.DUMMYFUNCTION("GOOGLETRANSLATE(A7832,""en"",""fi"")"),"Terät muodostavat koko tämän Pokémonin kehon. Jos taistelu tylsyttää terät, se teroittaa ne joen varrella olevilla kivillä.")</f>
        <v>Terät muodostavat koko tämän Pokémonin kehon. Jos taistelu tylsyttää terät, se teroittaa ne joen varrella olevilla kivillä.</v>
      </c>
      <c r="C7832" s="9" t="s">
        <v>1344</v>
      </c>
    </row>
    <row r="7833" ht="33.75" customHeight="1">
      <c r="A7833" s="6" t="s">
        <v>11557</v>
      </c>
      <c r="B7833" s="6" t="str">
        <f>IFERROR(__xludf.DUMMYFUNCTION("GOOGLETRANSLATE(A7833,""en"",""fi"")"),"Ne taistelevat Bisharpin käskystä. Ne takertuvat saaliiseensa ja aiheuttavat vahinkoa upottamalla siihen teränsä.")</f>
        <v>Ne taistelevat Bisharpin käskystä. Ne takertuvat saaliiseensa ja aiheuttavat vahinkoa upottamalla siihen teränsä.</v>
      </c>
      <c r="C7833" s="9" t="s">
        <v>1344</v>
      </c>
    </row>
    <row r="7834" ht="33.75" customHeight="1">
      <c r="A7834" s="6" t="s">
        <v>11558</v>
      </c>
      <c r="B7834" s="6" t="str">
        <f>IFERROR(__xludf.DUMMYFUNCTION("GOOGLETRANSLATE(A7834,""en"",""fi"")"),"Ryhmät eivät välitä vammoistaan ​​ja hyökkäävät upottamalla ruumiitaan peittävät terät saaliiseensa.")</f>
        <v>Ryhmät eivät välitä vammoistaan ​​ja hyökkäävät upottamalla ruumiitaan peittävät terät saaliiseensa.</v>
      </c>
      <c r="C7834" s="9" t="s">
        <v>1344</v>
      </c>
    </row>
    <row r="7835" ht="33.75" customHeight="1">
      <c r="A7835" s="6" t="s">
        <v>11559</v>
      </c>
      <c r="B7835" s="6" t="str">
        <f>IFERROR(__xludf.DUMMYFUNCTION("GOOGLETRANSLATE(A7835,""en"",""fi"")"),"Silpottuaan saaliinsa se teroittaa teränsä joen varrella olevalla kivellä. Jokaisella panttilainaajalla on oma suosikkiteroituskivi.")</f>
        <v>Silpottuaan saaliinsa se teroittaa teränsä joen varrella olevalla kivellä. Jokaisella panttilainaajalla on oma suosikkiteroituskivi.</v>
      </c>
      <c r="C7835" s="9" t="s">
        <v>1344</v>
      </c>
    </row>
    <row r="7836" ht="33.75" customHeight="1">
      <c r="A7836" s="6" t="s">
        <v>11560</v>
      </c>
      <c r="B7836" s="6" t="str">
        <f>IFERROR(__xludf.DUMMYFUNCTION("GOOGLETRANSLATE(A7836,""en"",""fi"")"),"Se noudattaa Bisharpin käskyjä tarkasti hyökätessään vihollisten kimppuun. Viilrettyään vastustajan Pawniard kilahtaa molemmilla terällään yhteen.")</f>
        <v>Se noudattaa Bisharpin käskyjä tarkasti hyökätessään vihollisten kimppuun. Viilrettyään vastustajan Pawniard kilahtaa molemmilla terällään yhteen.</v>
      </c>
      <c r="C7836" s="9" t="s">
        <v>1344</v>
      </c>
    </row>
    <row r="7837" ht="33.75" customHeight="1">
      <c r="A7837" s="6" t="s">
        <v>11561</v>
      </c>
      <c r="B7837" s="6" t="str">
        <f>IFERROR(__xludf.DUMMYFUNCTION("GOOGLETRANSLATE(A7837,""en"",""fi"")"),"Se käyttää jokikiviä ylläpitääkseen vartaloaan peittävien terien teräviä teriä. Näiden teroitettujen terien avulla se voi kaataa vastustajia.")</f>
        <v>Se käyttää jokikiviä ylläpitääkseen vartaloaan peittävien terien teräviä teriä. Näiden teroitettujen terien avulla se voi kaataa vastustajia.</v>
      </c>
      <c r="C7837" s="9" t="s">
        <v>1344</v>
      </c>
    </row>
    <row r="7838" ht="33.75" customHeight="1">
      <c r="A7838" s="6" t="s">
        <v>11563</v>
      </c>
      <c r="B7838" s="6" t="str">
        <f>IFERROR(__xludf.DUMMYFUNCTION("GOOGLETRANSLATE(A7838,""en"",""fi"")"),"Näiden Pokémonien paketti muodostuu palvelemaan Bisharp-pomoa. Jokainen panssaripiiri harjoittelee ahkerasti ja haaveilee jonain päivänä johtoaseman ottamisesta.")</f>
        <v>Näiden Pokémonien paketti muodostuu palvelemaan Bisharp-pomoa. Jokainen panssaripiiri harjoittelee ahkerasti ja haaveilee jonain päivänä johtoaseman ottamisesta.</v>
      </c>
      <c r="C7838" s="9" t="s">
        <v>1344</v>
      </c>
    </row>
    <row r="7839" ht="33.75" customHeight="1">
      <c r="A7839" s="6" t="s">
        <v>11564</v>
      </c>
      <c r="B7839" s="6" t="str">
        <f>IFERROR(__xludf.DUMMYFUNCTION("GOOGLETRANSLATE(A7839,""en"",""fi"")"),"Se johtaa panttilainaajien ryhmää. Se taistelee pomon tittelistä, mutta jos se häviää, se ajetaan pois ryhmästä.")</f>
        <v>Se johtaa panttilainaajien ryhmää. Se taistelee pomon tittelistä, mutta jos se häviää, se ajetaan pois ryhmästä.</v>
      </c>
      <c r="C7839" s="9" t="s">
        <v>1344</v>
      </c>
    </row>
    <row r="7840" ht="33.75" customHeight="1">
      <c r="A7840" s="6" t="s">
        <v>11565</v>
      </c>
      <c r="B7840" s="6" t="str">
        <f>IFERROR(__xludf.DUMMYFUNCTION("GOOGLETRANSLATE(A7840,""en"",""fi"")"),"Bisharp jahtaa saalista suuren panttilaumajoukon seurassa. Sitten Bisharp viimeistelee saaliin.")</f>
        <v>Bisharp jahtaa saalista suuren panttilaumajoukon seurassa. Sitten Bisharp viimeistelee saaliin.</v>
      </c>
      <c r="C7840" s="9" t="s">
        <v>1344</v>
      </c>
    </row>
    <row r="7841" ht="33.75" customHeight="1">
      <c r="A7841" s="6" t="s">
        <v>11567</v>
      </c>
      <c r="B7841" s="6" t="str">
        <f>IFERROR(__xludf.DUMMYFUNCTION("GOOGLETRANSLATE(A7841,""en"",""fi"")"),"Tämä armoton Pokémon käskee Pawniard-ryhmän ajamaan saaliinsa liikkumattomaksi. Sitten se siirtyy lähemmäksi ja viimeistelee saaliin.")</f>
        <v>Tämä armoton Pokémon käskee Pawniard-ryhmän ajamaan saaliinsa liikkumattomaksi. Sitten se siirtyy lähemmäksi ja viimeistelee saaliin.</v>
      </c>
      <c r="C7841" s="9" t="s">
        <v>1344</v>
      </c>
    </row>
    <row r="7842" ht="33.75" customHeight="1">
      <c r="A7842" s="6" t="s">
        <v>11568</v>
      </c>
      <c r="B7842" s="6" t="str">
        <f>IFERROR(__xludf.DUMMYFUNCTION("GOOGLETRANSLATE(A7842,""en"",""fi"")"),"Olipa Bisharp kuinka vahva tahansa, sanotaan, että jos sen päässä oleva terä lohkeaa, se vetäytyy pomon asemastaan.")</f>
        <v>Olipa Bisharp kuinka vahva tahansa, sanotaan, että jos sen päässä oleva terä lohkeaa, se vetäytyy pomon asemastaan.</v>
      </c>
      <c r="C7842" s="9" t="s">
        <v>1344</v>
      </c>
    </row>
    <row r="7843" ht="33.75" customHeight="1">
      <c r="A7843" s="6" t="s">
        <v>11570</v>
      </c>
      <c r="B7843" s="6" t="str">
        <f>IFERROR(__xludf.DUMMYFUNCTION("GOOGLETRANSLATE(A7843,""en"",""fi"")"),"Se johtaa panttilainaajien ryhmää. Bisharp ei edes muuta ilmettään antaessaan vastustajalle viimeisen iskun.")</f>
        <v>Se johtaa panttilainaajien ryhmää. Bisharp ei edes muuta ilmettään antaessaan vastustajalle viimeisen iskun.</v>
      </c>
      <c r="C7843" s="9" t="s">
        <v>1344</v>
      </c>
    </row>
    <row r="7844" ht="33.75" customHeight="1">
      <c r="A7844" s="6" t="s">
        <v>11571</v>
      </c>
      <c r="B7844" s="6" t="str">
        <f>IFERROR(__xludf.DUMMYFUNCTION("GOOGLETRANSLATE(A7844,""en"",""fi"")"),"Sitä seuraa suuri Pawniard-joukko. Bisharp pitää tarkasti silmällä sen kätyreitä varmistaakseen, ettei kukaan heistä edes ajattele pettävänsä sitä.")</f>
        <v>Sitä seuraa suuri Pawniard-joukko. Bisharp pitää tarkasti silmällä sen kätyreitä varmistaakseen, ettei kukaan heistä edes ajattele pettävänsä sitä.</v>
      </c>
      <c r="C7844" s="9" t="s">
        <v>1344</v>
      </c>
    </row>
    <row r="7845" ht="33.75" customHeight="1">
      <c r="A7845" s="6" t="s">
        <v>11572</v>
      </c>
      <c r="B7845" s="6" t="str">
        <f>IFERROR(__xludf.DUMMYFUNCTION("GOOGLETRANSLATE(A7845,""en"",""fi"")"),"Bisharpin ja Fraxuren välille puhkeaa väkivaltaisia ​​konflikteja teroituskivien löytymispaikoista.")</f>
        <v>Bisharpin ja Fraxuren välille puhkeaa väkivaltaisia ​​konflikteja teroituskivien löytymispaikoista.</v>
      </c>
      <c r="C7845" s="9" t="s">
        <v>1344</v>
      </c>
    </row>
    <row r="7846" ht="33.75" customHeight="1">
      <c r="A7846" s="6" t="s">
        <v>11574</v>
      </c>
      <c r="B7846" s="6" t="str">
        <f>IFERROR(__xludf.DUMMYFUNCTION("GOOGLETRANSLATE(A7846,""en"",""fi"")"),"Niiden pörröinen turkki imee itseensä vahinkoa, vaikka ne iskeisivät vihollisiin raivokkaalla pääniskulla.")</f>
        <v>Niiden pörröinen turkki imee itseensä vahinkoa, vaikka ne iskeisivät vihollisiin raivokkaalla pääniskulla.</v>
      </c>
      <c r="C7846" s="9" t="s">
        <v>1344</v>
      </c>
    </row>
    <row r="7847" ht="33.75" customHeight="1">
      <c r="A7847" s="6" t="s">
        <v>11576</v>
      </c>
      <c r="B7847" s="6" t="str">
        <f>IFERROR(__xludf.DUMMYFUNCTION("GOOGLETRANSLATE(A7847,""en"",""fi"")"),"Ne rynnistävät villisti ja iskevät päällään kaikkea. Niiden pääniskuilla on tarpeeksi tuhovoimaa suistaa juna raiteilta.")</f>
        <v>Ne rynnistävät villisti ja iskevät päällään kaikkea. Niiden pääniskuilla on tarpeeksi tuhovoimaa suistaa juna raiteilta.</v>
      </c>
      <c r="C7847" s="9" t="s">
        <v>1344</v>
      </c>
    </row>
    <row r="7848" ht="33.75" customHeight="1">
      <c r="A7848" s="6" t="s">
        <v>11578</v>
      </c>
      <c r="B7848" s="6" t="str">
        <f>IFERROR(__xludf.DUMMYFUNCTION("GOOGLETRANSLATE(A7848,""en"",""fi"")"),"Niiden tiedetään rynnäköivän niin villisti, että jos juna tulisi heidän alueelleen, ne lennättäisivät sen lentoon.")</f>
        <v>Niiden tiedetään rynnäköivän niin villisti, että jos juna tulisi heidän alueelleen, ne lennättäisivät sen lentoon.</v>
      </c>
      <c r="C7848" s="9" t="s">
        <v>1344</v>
      </c>
    </row>
    <row r="7849" ht="33.75" customHeight="1">
      <c r="A7849" s="6" t="s">
        <v>11580</v>
      </c>
      <c r="B7849" s="6" t="str">
        <f>IFERROR(__xludf.DUMMYFUNCTION("GOOGLETRANSLATE(A7849,""en"",""fi"")"),"Nämä Pokémonit voivat murskata auton pelkällä pääniskulla. Bouffalanteilla, joilla on enemmän hiuksia päässä, on korkeammat asemat laumassa.")</f>
        <v>Nämä Pokémonit voivat murskata auton pelkällä pääniskulla. Bouffalanteilla, joilla on enemmän hiuksia päässä, on korkeammat asemat laumassa.</v>
      </c>
      <c r="C7849" s="9" t="s">
        <v>1344</v>
      </c>
    </row>
    <row r="7850" ht="33.75" customHeight="1">
      <c r="A7850" s="6" t="s">
        <v>11581</v>
      </c>
      <c r="B7850" s="6" t="str">
        <f>IFERROR(__xludf.DUMMYFUNCTION("GOOGLETRANSLATE(A7850,""en"",""fi"")"),"Nämä Pokémonit elävät noin 20 yksilön laumoissa. Lauman pettävät bouffalantit menettävät jostain syystä hiuksensa.")</f>
        <v>Nämä Pokémonit elävät noin 20 yksilön laumoissa. Lauman pettävät bouffalantit menettävät jostain syystä hiuksensa.</v>
      </c>
      <c r="C7850" s="9" t="s">
        <v>1344</v>
      </c>
    </row>
    <row r="7851" ht="33.75" customHeight="1">
      <c r="A7851" s="6" t="s">
        <v>11583</v>
      </c>
      <c r="B7851" s="6" t="str">
        <f>IFERROR(__xludf.DUMMYFUNCTION("GOOGLETRANSLATE(A7851,""en"",""fi"")"),"Ne murskaavat marjoja kynsillään. Ne kestävät rohkeasti vastustajan voimasta riippumatta.")</f>
        <v>Ne murskaavat marjoja kynsillään. Ne kestävät rohkeasti vastustajan voimasta riippumatta.</v>
      </c>
      <c r="C7851" s="9" t="s">
        <v>1344</v>
      </c>
    </row>
    <row r="7852" ht="33.75" customHeight="1">
      <c r="A7852" s="6" t="s">
        <v>11585</v>
      </c>
      <c r="B7852" s="6" t="str">
        <f>IFERROR(__xludf.DUMMYFUNCTION("GOOGLETRANSLATE(A7852,""en"",""fi"")"),"He haastavat mitä tahansa, jopa vahvoja vastustajia, pelottomasti. Heidän tiheät taistelunsa auttavat heitä vahvistumaan.")</f>
        <v>He haastavat mitä tahansa, jopa vahvoja vastustajia, pelottomasti. Heidän tiheät taistelunsa auttavat heitä vahvistumaan.</v>
      </c>
      <c r="C7852" s="9" t="s">
        <v>1344</v>
      </c>
    </row>
    <row r="7853" ht="33.75" customHeight="1">
      <c r="A7853" s="6" t="s">
        <v>11588</v>
      </c>
      <c r="B7853" s="6" t="str">
        <f>IFERROR(__xludf.DUMMYFUNCTION("GOOGLETRANSLATE(A7853,""en"",""fi"")"),"Se kestää massiivisia vastustajia, ei rohkeudesta, vaan holtittomuudesta. Mutta juuri niin se vahvistuu.")</f>
        <v>Se kestää massiivisia vastustajia, ei rohkeudesta, vaan holtittomuudesta. Mutta juuri niin se vahvistuu.</v>
      </c>
      <c r="C7853" s="9" t="s">
        <v>1344</v>
      </c>
    </row>
    <row r="7854" ht="33.75" customHeight="1">
      <c r="A7854" s="6" t="s">
        <v>11590</v>
      </c>
      <c r="B7854" s="6" t="str">
        <f>IFERROR(__xludf.DUMMYFUNCTION("GOOGLETRANSLATE(A7854,""en"",""fi"")"),"He aloittavat tappelut umpimähkään. Heistä tulee vahvempia ja voimakkaampia joka kerta, kun he pyörtyvät tai loukkaantuvat.")</f>
        <v>He aloittavat tappelut umpimähkään. Heistä tulee vahvempia ja voimakkaampia joka kerta, kun he pyörtyvät tai loukkaantuvat.</v>
      </c>
      <c r="C7854" s="9" t="s">
        <v>1344</v>
      </c>
    </row>
    <row r="7855" ht="33.75" customHeight="1">
      <c r="A7855" s="6" t="s">
        <v>11591</v>
      </c>
      <c r="B7855" s="6" t="str">
        <f>IFERROR(__xludf.DUMMYFUNCTION("GOOGLETRANSLATE(A7855,""en"",""fi"")"),"Terävillä kynsillään tämä Pokémon lävistää saaliinsa ja nokkii sitä. Vaikka se syö myös marjoja, se on sydämeltään lihansyöjä.")</f>
        <v>Terävillä kynsillään tämä Pokémon lävistää saaliinsa ja nokkii sitä. Vaikka se syö myös marjoja, se on sydämeltään lihansyöjä.</v>
      </c>
      <c r="C7855" s="9" t="s">
        <v>1344</v>
      </c>
    </row>
    <row r="7856" ht="33.75" customHeight="1">
      <c r="A7856" s="6" t="s">
        <v>11593</v>
      </c>
      <c r="B7856" s="6" t="str">
        <f>IFERROR(__xludf.DUMMYFUNCTION("GOOGLETRANSLATE(A7856,""en"",""fi"")"),"Voimakkaiden jalkojensa ja tukevien kynsiensä ansiosta se voi rikkoa jopa Shellderin kovat kuoret ja nyppää niiden sisukset irti.")</f>
        <v>Voimakkaiden jalkojensa ja tukevien kynsiensä ansiosta se voi rikkoa jopa Shellderin kovat kuoret ja nyppää niiden sisukset irti.</v>
      </c>
      <c r="C7856" s="9" t="s">
        <v>1344</v>
      </c>
    </row>
    <row r="7857" ht="33.75" customHeight="1">
      <c r="A7857" s="6" t="s">
        <v>11594</v>
      </c>
      <c r="B7857" s="6" t="str">
        <f>IFERROR(__xludf.DUMMYFUNCTION("GOOGLETRANSLATE(A7857,""en"",""fi"")"),"Luonnostaan ​​soturina tunnettu hirviö haastaa vanhempansa taisteluun pian kuoriutumisensa jälkeen saadakseen heidän hyväksyntänsä.")</f>
        <v>Luonnostaan ​​soturina tunnettu hirviö haastaa vanhempansa taisteluun pian kuoriutumisensa jälkeen saadakseen heidän hyväksyntänsä.</v>
      </c>
      <c r="C7857" s="9" t="s">
        <v>1344</v>
      </c>
    </row>
    <row r="7858" ht="33.75" customHeight="1">
      <c r="A7858" s="6" t="s">
        <v>11596</v>
      </c>
      <c r="B7858" s="6" t="str">
        <f>IFERROR(__xludf.DUMMYFUNCTION("GOOGLETRANSLATE(A7858,""en"",""fi"")"),"Jos se havaittaa vahvan Pokémonin, Rufflet ei voi vastustaa kiusausta haastaa sitä taisteluun. Mutta jos Rufflet häviää, se alkaa itkeä.")</f>
        <v>Jos se havaittaa vahvan Pokémonin, Rufflet ei voi vastustaa kiusausta haastaa sitä taisteluun. Mutta jos Rufflet häviää, se alkaa itkeä.</v>
      </c>
      <c r="C7858" s="9" t="s">
        <v>1344</v>
      </c>
    </row>
    <row r="7859" ht="33.75" customHeight="1">
      <c r="A7859" s="6" t="s">
        <v>11598</v>
      </c>
      <c r="B7859" s="6" t="str">
        <f>IFERROR(__xludf.DUMMYFUNCTION("GOOGLETRANSLATE(A7859,""en"",""fi"")"),"Taistelunhaluinen Pokémon on valmis tappelemaan ketä tahansa vastaan. Sen kynnet voivat murskata kovia marjoja.")</f>
        <v>Taistelunhaluinen Pokémon on valmis tappelemaan ketä tahansa vastaan. Sen kynnet voivat murskata kovia marjoja.</v>
      </c>
      <c r="C7859" s="9" t="s">
        <v>1344</v>
      </c>
    </row>
    <row r="7860" ht="33.75" customHeight="1">
      <c r="A7860" s="6" t="s">
        <v>11599</v>
      </c>
      <c r="B7860" s="6" t="str">
        <f>IFERROR(__xludf.DUMMYFUNCTION("GOOGLETRANSLATE(A7860,""en"",""fi"")"),"Sen tipumainen ulkonäkö peittää sen tulisuuden. Se haastaa vanhempansa joka tilaisuudessa, epätoivoisesti todistaakseen voimansa.")</f>
        <v>Sen tipumainen ulkonäkö peittää sen tulisuuden. Se haastaa vanhempansa joka tilaisuudessa, epätoivoisesti todistaakseen voimansa.</v>
      </c>
      <c r="C7860" s="9" t="s">
        <v>1344</v>
      </c>
    </row>
    <row r="7861" ht="33.75" customHeight="1">
      <c r="A7861" s="6" t="s">
        <v>11600</v>
      </c>
      <c r="B7861" s="6" t="str">
        <f>IFERROR(__xludf.DUMMYFUNCTION("GOOGLETRANSLATE(A7861,""en"",""fi"")"),"He taistelevat ystäviensä puolesta ajattelematta lainkaan omaa vaaraansa. Autoa voi kuljettaa lentäessään.")</f>
        <v>He taistelevat ystäviensä puolesta ajattelematta lainkaan omaa vaaraansa. Autoa voi kuljettaa lentäessään.</v>
      </c>
      <c r="C7861" s="9" t="s">
        <v>1344</v>
      </c>
    </row>
    <row r="7862" ht="33.75" customHeight="1">
      <c r="A7862" s="6" t="s">
        <v>11602</v>
      </c>
      <c r="B7862" s="6" t="str">
        <f>IFERROR(__xludf.DUMMYFUNCTION("GOOGLETRANSLATE(A7862,""en"",""fi"")"),"Mitä enemmän arpia heillä on, sitä enemmän kunnioitusta nämä urheat taivaan sotilaat saavat tovereiltaan.")</f>
        <v>Mitä enemmän arpia heillä on, sitä enemmän kunnioitusta nämä urheat taivaan sotilaat saavat tovereiltaan.</v>
      </c>
      <c r="C7862" s="9" t="s">
        <v>1344</v>
      </c>
    </row>
    <row r="7863" ht="33.75" customHeight="1">
      <c r="A7863" s="6" t="s">
        <v>11603</v>
      </c>
      <c r="B7863" s="6" t="str">
        <f>IFERROR(__xludf.DUMMYFUNCTION("GOOGLETRANSLATE(A7863,""en"",""fi"")"),"Ystäviensä vuoksi tämä urhea taivaan soturi ei lopeta taistelua, vaikka loukkaantuisikin.")</f>
        <v>Ystäviensä vuoksi tämä urhea taivaan soturi ei lopeta taistelua, vaikka loukkaantuisikin.</v>
      </c>
      <c r="C7863" s="9" t="s">
        <v>1344</v>
      </c>
    </row>
    <row r="7864" ht="33.75" customHeight="1">
      <c r="A7864" s="6" t="s">
        <v>11604</v>
      </c>
      <c r="B7864" s="6" t="str">
        <f>IFERROR(__xludf.DUMMYFUNCTION("GOOGLETRANSLATE(A7864,""en"",""fi"")"),"Rohkean luonteensa ansiosta se ei pelkää mitään – ei edes kuolemaa. Muinaiset alolaiset kunnioittivat sitä ja kutsuivat sitä ""taivaan sankariksi"".")</f>
        <v>Rohkean luonteensa ansiosta se ei pelkää mitään – ei edes kuolemaa. Muinaiset alolaiset kunnioittivat sitä ja kutsuivat sitä "taivaan sankariksi".</v>
      </c>
      <c r="C7864" s="9" t="s">
        <v>1344</v>
      </c>
    </row>
    <row r="7865" ht="33.75" customHeight="1">
      <c r="A7865" s="6" t="s">
        <v>11606</v>
      </c>
      <c r="B7865" s="6" t="str">
        <f>IFERROR(__xludf.DUMMYFUNCTION("GOOGLETRANSLATE(A7865,""en"",""fi"")"),"Uskotaan, että ihmiset häiritsivät niiden elinympäristöjä menneisyydessä, joten Braviary yhdisti voimansa taistellakseen vastaan.")</f>
        <v>Uskotaan, että ihmiset häiritsivät niiden elinympäristöjä menneisyydessä, joten Braviary yhdisti voimansa taistellakseen vastaan.</v>
      </c>
      <c r="C7865" s="9" t="s">
        <v>1344</v>
      </c>
    </row>
    <row r="7866" ht="33.75" customHeight="1">
      <c r="A7866" s="6" t="s">
        <v>11608</v>
      </c>
      <c r="B7866" s="6" t="str">
        <f>IFERROR(__xludf.DUMMYFUNCTION("GOOGLETRANSLATE(A7866,""en"",""fi"")"),"Mitä enemmän arpia sillä on edessään, sitä sankarillisempana sitä pidetään. Lauma pilkkaa niitä, joilla on paljon arpia selässään.")</f>
        <v>Mitä enemmän arpia sillä on edessään, sitä sankarillisempana sitä pidetään. Lauma pilkkaa niitä, joilla on paljon arpia selässään.</v>
      </c>
      <c r="C7866" s="9" t="s">
        <v>1344</v>
      </c>
    </row>
    <row r="7867" ht="33.75" customHeight="1">
      <c r="A7867" s="6" t="s">
        <v>11610</v>
      </c>
      <c r="B7867" s="6" t="str">
        <f>IFERROR(__xludf.DUMMYFUNCTION("GOOGLETRANSLATE(A7867,""en"",""fi"")"),"""Taivaan sankarina"" tunnettu Pokémon on niin ylpeä ja rohkea, ettei se koskaan peräänny, edes loukkaantuneena.")</f>
        <v>"Taivaan sankarina" tunnettu Pokémon on niin ylpeä ja rohkea, ettei se koskaan peräänny, edes loukkaantuneena.</v>
      </c>
      <c r="C7867" s="9" t="s">
        <v>1344</v>
      </c>
    </row>
    <row r="7868" ht="33.75" customHeight="1">
      <c r="A7868" s="6" t="s">
        <v>11611</v>
      </c>
      <c r="B7868" s="6" t="str">
        <f>IFERROR(__xludf.DUMMYFUNCTION("GOOGLETRANSLATE(A7868,""en"",""fi"")"),"Rohkeudestaan ​​ja ylpeydestään tunnettua majesteettista Pokémonia käytetään usein motiivina erilaisissa symboleissa.")</f>
        <v>Rohkeudestaan ​​ja ylpeydestään tunnettua majesteettista Pokémonia käytetään usein motiivina erilaisissa symboleissa.</v>
      </c>
      <c r="C7868" s="9" t="s">
        <v>1344</v>
      </c>
    </row>
    <row r="7869" ht="33.75" customHeight="1">
      <c r="A7869" s="6" t="s">
        <v>11612</v>
      </c>
      <c r="B7869" s="6" t="str">
        <f>IFERROR(__xludf.DUMMYFUNCTION("GOOGLETRANSLATE(A7869,""en"",""fi"")"),"Koska tämä Pokémon on tulipäinen ja aggressiivinen, Corviknight on ottanut kulkuvälineen roolin Galarissa.")</f>
        <v>Koska tämä Pokémon on tulipäinen ja aggressiivinen, Corviknight on ottanut kulkuvälineen roolin Galarissa.</v>
      </c>
      <c r="C7869" s="9" t="s">
        <v>1344</v>
      </c>
    </row>
    <row r="7870" ht="33.75" customHeight="1">
      <c r="A7870" s="6" t="s">
        <v>11613</v>
      </c>
      <c r="B7870" s="6" t="str">
        <f>IFERROR(__xludf.DUMMYFUNCTION("GOOGLETRANSLATE(A7870,""en"",""fi"")"),"Verenhyytävä taisteluhuuto huutaen tämä valtava ja hurja lintu-Pokémon lähtee metsästämään. Se räjäyttää järviä paineaalloilla ja nappaa sitten mukaansa kaikki veden pinnalle kelluvat saaliit.")</f>
        <v>Verenhyytävä taisteluhuuto huutaen tämä valtava ja hurja lintu-Pokémon lähtee metsästämään. Se räjäyttää järviä paineaalloilla ja nappaa sitten mukaansa kaikki veden pinnalle kelluvat saaliit.</v>
      </c>
      <c r="C7870" s="9" t="s">
        <v>1344</v>
      </c>
    </row>
    <row r="7871" ht="33.75" customHeight="1">
      <c r="A7871" s="6" t="s">
        <v>11614</v>
      </c>
      <c r="B7871" s="6" t="str">
        <f>IFERROR(__xludf.DUMMYFUNCTION("GOOGLETRANSLATE(A7871,""en"",""fi"")"),"Sen siivet ovat liian pienet lentääkseen. Kun sen kehityksen aika lähestyy, se hylkää luut, joita se käytti.")</f>
        <v>Sen siivet ovat liian pienet lentääkseen. Kun sen kehityksen aika lähestyy, se hylkää luut, joita se käytti.</v>
      </c>
      <c r="C7871" s="9" t="s">
        <v>1344</v>
      </c>
    </row>
    <row r="7872" ht="33.75" customHeight="1">
      <c r="A7872" s="6" t="s">
        <v>11615</v>
      </c>
      <c r="B7872" s="6" t="str">
        <f>IFERROR(__xludf.DUMMYFUNCTION("GOOGLETRANSLATE(A7872,""en"",""fi"")"),"Ne yleensä suojaavat takamuksiaan löytämillään sopivilla luilla. Ne jahtaavat heikkoja Pokémoneja.")</f>
        <v>Ne yleensä suojaavat takamuksiaan löytämillään sopivilla luilla. Ne jahtaavat heikkoja Pokémoneja.</v>
      </c>
      <c r="C7872" s="9" t="s">
        <v>1344</v>
      </c>
    </row>
    <row r="7873" ht="33.75" customHeight="1">
      <c r="A7873" s="6" t="s">
        <v>11617</v>
      </c>
      <c r="B7873" s="6" t="str">
        <f>IFERROR(__xludf.DUMMYFUNCTION("GOOGLETRANSLATE(A7873,""en"",""fi"")"),"Niiden siivet ovat liian pienet lentääkseen. Ne suojaavat takaosiaan Mandibuzzin keräämillä luilla.")</f>
        <v>Niiden siivet ovat liian pienet lentääkseen. Ne suojaavat takaosiaan Mandibuzzin keräämillä luilla.</v>
      </c>
      <c r="C7873" s="9" t="s">
        <v>1344</v>
      </c>
    </row>
    <row r="7874" ht="33.75" customHeight="1">
      <c r="A7874" s="6" t="s">
        <v>11618</v>
      </c>
      <c r="B7874" s="6" t="str">
        <f>IFERROR(__xludf.DUMMYFUNCTION("GOOGLETRANSLATE(A7874,""en"",""fi"")"),"Se suojaa pulleaa takamustaan ​​syömänsä saaliin luilla. Kasvaessaan se korvaa luut.")</f>
        <v>Se suojaa pulleaa takamustaan ​​syömänsä saaliin luilla. Kasvaessaan se korvaa luut.</v>
      </c>
      <c r="C7874" s="9" t="s">
        <v>1344</v>
      </c>
    </row>
    <row r="7875" ht="33.75" customHeight="1">
      <c r="A7875" s="6" t="s">
        <v>11620</v>
      </c>
      <c r="B7875" s="6" t="str">
        <f>IFERROR(__xludf.DUMMYFUNCTION("GOOGLETRANSLATE(A7875,""en"",""fi"")"),"Se ei osaa vielä lentää ja sen täytyy odottaa, kunnes sen siivet ovat kehittyneet enemmän. Koska se on vielä leikkisä iässä, se hyppii ympäriinsä reippaasti.")</f>
        <v>Se ei osaa vielä lentää ja sen täytyy odottaa, kunnes sen siivet ovat kehittyneet enemmän. Koska se on vielä leikkisä iässä, se hyppii ympäriinsä reippaasti.</v>
      </c>
      <c r="C7875" s="9" t="s">
        <v>1344</v>
      </c>
    </row>
    <row r="7876" ht="33.75" customHeight="1">
      <c r="A7876" s="6" t="s">
        <v>11621</v>
      </c>
      <c r="B7876" s="6" t="str">
        <f>IFERROR(__xludf.DUMMYFUNCTION("GOOGLETRANSLATE(A7876,""en"",""fi"")"),"Mandibuzz antaa sille sen kantamat luut. Vullabyn siivet ovat lyhyet, joten se ei osaa vielä lentää, mutta se hyppii ympäriinsä unelmoiden avoimista taivaista.")</f>
        <v>Mandibuzz antaa sille sen kantamat luut. Vullabyn siivet ovat lyhyet, joten se ei osaa vielä lentää, mutta se hyppii ympäriinsä unelmoiden avoimista taivaista.</v>
      </c>
      <c r="C7876" s="9" t="s">
        <v>1344</v>
      </c>
    </row>
    <row r="7877" ht="33.75" customHeight="1">
      <c r="A7877" s="6" t="s">
        <v>11623</v>
      </c>
      <c r="B7877" s="6" t="str">
        <f>IFERROR(__xludf.DUMMYFUNCTION("GOOGLETRANSLATE(A7877,""en"",""fi"")"),"Sen terve ruokahalu johtaa näkyviin kasvupyrähdyksiin. Sen on usein uusittava kuluneita luita koon kasvaessa.")</f>
        <v>Sen terve ruokahalu johtaa näkyviin kasvupyrähdyksiin. Sen on usein uusittava kuluneita luita koon kasvaessa.</v>
      </c>
      <c r="C7877" s="9" t="s">
        <v>1344</v>
      </c>
    </row>
    <row r="7878" ht="33.75" customHeight="1">
      <c r="A7878" s="6" t="s">
        <v>11624</v>
      </c>
      <c r="B7878" s="6" t="str">
        <f>IFERROR(__xludf.DUMMYFUNCTION("GOOGLETRANSLATE(A7878,""en"",""fi"")"),"Se käyttää luuta suojanaan takapuolellaan. Se usein riitelee muiden lajitovereidensa kanssa erityisen mukavista luista.")</f>
        <v>Se käyttää luuta suojanaan takapuolellaan. Se usein riitelee muiden lajitovereidensa kanssa erityisen mukavista luista.</v>
      </c>
      <c r="C7878" s="9" t="s">
        <v>1344</v>
      </c>
    </row>
    <row r="7879" ht="33.75" customHeight="1">
      <c r="A7879" s="6" t="s">
        <v>11625</v>
      </c>
      <c r="B7879" s="6" t="str">
        <f>IFERROR(__xludf.DUMMYFUNCTION("GOOGLETRANSLATE(A7879,""en"",""fi"")"),"Vullabyt kasvavat nopeasti. Luut, jotka ovat käyneet liian pieniksi vanhemmille Vullabyille, siirtyvät usein nuoremmille pesässä.")</f>
        <v>Vullabyt kasvavat nopeasti. Luut, jotka ovat käyneet liian pieniksi vanhemmille Vullabyille, siirtyvät usein nuoremmille pesässä.</v>
      </c>
      <c r="C7879" s="9" t="s">
        <v>1344</v>
      </c>
    </row>
    <row r="7880" ht="33.75" customHeight="1">
      <c r="A7880" s="6" t="s">
        <v>11627</v>
      </c>
      <c r="B7880" s="6" t="str">
        <f>IFERROR(__xludf.DUMMYFUNCTION("GOOGLETRANSLATE(A7880,""en"",""fi"")"),"Se tekee pesän löytämistään luista. Se nappaa heikentyneen saaliin kynsiinsä ja raahaa sen luista tehtyyn pesäänsä.")</f>
        <v>Se tekee pesän löytämistään luista. Se nappaa heikentyneen saaliin kynsiinsä ja raahaa sen luista tehtyyn pesäänsä.</v>
      </c>
      <c r="C7880" s="9" t="s">
        <v>1344</v>
      </c>
    </row>
    <row r="7881" ht="33.75" customHeight="1">
      <c r="A7881" s="6" t="s">
        <v>11629</v>
      </c>
      <c r="B7881" s="6" t="str">
        <f>IFERROR(__xludf.DUMMYFUNCTION("GOOGLETRANSLATE(A7881,""en"",""fi"")"),"Taivaalta katsellen ne syöksyvät iskemään maassa oleviin heikentyneisiin Pokémoneihin. Ne koristelevat itsensä luilla.")</f>
        <v>Taivaalta katsellen ne syöksyvät iskemään maassa oleviin heikentyneisiin Pokémoneihin. Ne koristelevat itsensä luilla.</v>
      </c>
      <c r="C7881" s="9" t="s">
        <v>1344</v>
      </c>
    </row>
    <row r="7882" ht="33.75" customHeight="1">
      <c r="A7882" s="6" t="s">
        <v>11630</v>
      </c>
      <c r="B7882" s="6" t="str">
        <f>IFERROR(__xludf.DUMMYFUNCTION("GOOGLETRANSLATE(A7882,""en"",""fi"")"),"Ne lentävät ympyrää taivaalla. Nähtyään saaliin ne hyökkäävät ja kantavat sen vaivattomasti takaisin pesäänsä.")</f>
        <v>Ne lentävät ympyrää taivaalla. Nähtyään saaliin ne hyökkäävät ja kantavat sen vaivattomasti takaisin pesäänsä.</v>
      </c>
      <c r="C7882" s="9" t="s">
        <v>1344</v>
      </c>
    </row>
    <row r="7883" ht="33.75" customHeight="1">
      <c r="A7883" s="6" t="s">
        <v>11632</v>
      </c>
      <c r="B7883" s="6" t="str">
        <f>IFERROR(__xludf.DUMMYFUNCTION("GOOGLETRANSLATE(A7883,""en"",""fi"")"),"Ne koristelevat itsensä kauniisti luilla. Tämän oletetaan olevan yritys houkutella uroksia, mutta yhtäkään Mandibuzz-urosta ei ole koskaan löydetty.")</f>
        <v>Ne koristelevat itsensä kauniisti luilla. Tämän oletetaan olevan yritys houkutella uroksia, mutta yhtäkään Mandibuzz-urosta ei ole koskaan löydetty.</v>
      </c>
      <c r="C7883" s="9" t="s">
        <v>1344</v>
      </c>
    </row>
    <row r="7884" ht="33.75" customHeight="1">
      <c r="A7884" s="6" t="s">
        <v>11634</v>
      </c>
      <c r="B7884" s="6" t="str">
        <f>IFERROR(__xludf.DUMMYFUNCTION("GOOGLETRANSLATE(A7884,""en"",""fi"")"),"Se kiertää taivaalla pitäen silmällä heikentyneitä Pokémoneja. Sen paras ruoka on Cubone.")</f>
        <v>Se kiertää taivaalla pitäen silmällä heikentyneitä Pokémoneja. Sen paras ruoka on Cubone.</v>
      </c>
      <c r="C7884" s="9" t="s">
        <v>1344</v>
      </c>
    </row>
    <row r="7885" ht="33.75" customHeight="1">
      <c r="A7885" s="6" t="s">
        <v>11636</v>
      </c>
      <c r="B7885" s="6" t="str">
        <f>IFERROR(__xludf.DUMMYFUNCTION("GOOGLETRANSLATE(A7885,""en"",""fi"")"),"Se järjestelee taitavasti saaliinsa luut rakentaakseen pesänsä. Suurin osa luista on kuboneja.")</f>
        <v>Se järjestelee taitavasti saaliinsa luut rakentaakseen pesänsä. Suurin osa luista on kuboneja.</v>
      </c>
      <c r="C7885" s="9" t="s">
        <v>1344</v>
      </c>
    </row>
    <row r="7886" ht="33.75" customHeight="1">
      <c r="A7886" s="6" t="s">
        <v>11639</v>
      </c>
      <c r="B7886" s="6" t="str">
        <f>IFERROR(__xludf.DUMMYFUNCTION("GOOGLETRANSLATE(A7886,""en"",""fi"")"),"Se etsii aina ruokaa Vullabylle. Löytäessään heikon Pokémonin Mandibuzz syöksyy sen suoraan pesälleen.")</f>
        <v>Se etsii aina ruokaa Vullabylle. Löytäessään heikon Pokémonin Mandibuzz syöksyy sen suoraan pesälleen.</v>
      </c>
      <c r="C7886" s="9" t="s">
        <v>1344</v>
      </c>
    </row>
    <row r="7887" ht="33.75" customHeight="1">
      <c r="A7887" s="6" t="s">
        <v>11641</v>
      </c>
      <c r="B7887" s="6" t="str">
        <f>IFERROR(__xludf.DUMMYFUNCTION("GOOGLETRANSLATE(A7887,""en"",""fi"")"),"Vaikka se on hieman veijarimainen, tämä Pokémon ottaa eksyneet Vullabyt siipiensä suojaan ja huolehtii niistä, kunnes ne ovat valmiita lähtemään pesästä.")</f>
        <v>Vaikka se on hieman veijarimainen, tämä Pokémon ottaa eksyneet Vullabyt siipiensä suojaan ja huolehtii niistä, kunnes ne ovat valmiita lähtemään pesästä.</v>
      </c>
      <c r="C7887" s="9" t="s">
        <v>1344</v>
      </c>
    </row>
    <row r="7888" ht="33.75" customHeight="1">
      <c r="A7888" s="6" t="s">
        <v>11643</v>
      </c>
      <c r="B7888" s="6" t="str">
        <f>IFERROR(__xludf.DUMMYFUNCTION("GOOGLETRANSLATE(A7888,""en"",""fi"")"),"He koristavat itsensä luilla. Heidän keskuudessaan näyttää olevan muotitrendejä, kun erilaiset luut tulevat ja menevät suosioon.")</f>
        <v>He koristavat itsensä luilla. Heidän keskuudessaan näyttää olevan muotitrendejä, kun erilaiset luut tulevat ja menevät suosioon.</v>
      </c>
      <c r="C7888" s="9" t="s">
        <v>1344</v>
      </c>
    </row>
    <row r="7889" ht="33.75" customHeight="1">
      <c r="A7889" s="6" t="s">
        <v>11645</v>
      </c>
      <c r="B7889" s="6" t="str">
        <f>IFERROR(__xludf.DUMMYFUNCTION("GOOGLETRANSLATE(A7889,""en"",""fi"")"),"Se hengittää pyrstössään olevan reiän läpi samalla kun se palaa sisäisellä tulella. Durant on sen saalis.")</f>
        <v>Se hengittää pyrstössään olevan reiän läpi samalla kun se palaa sisäisellä tulella. Durant on sen saalis.</v>
      </c>
      <c r="C7889" s="9" t="s">
        <v>1344</v>
      </c>
    </row>
    <row r="7890" ht="33.75" customHeight="1">
      <c r="A7890" s="6" t="s">
        <v>11647</v>
      </c>
      <c r="B7890" s="6" t="str">
        <f>IFERROR(__xludf.DUMMYFUNCTION("GOOGLETRANSLATE(A7890,""en"",""fi"")"),"Erittäin kuumilla, liekkien peittämillä kielillään ne polttavat Durantin teräsruumiit ja kuluttavat heidän sisuskalunsa.")</f>
        <v>Erittäin kuumilla, liekkien peittämillä kielillään ne polttavat Durantin teräsruumiit ja kuluttavat heidän sisuskalunsa.</v>
      </c>
      <c r="C7890" s="9" t="s">
        <v>1344</v>
      </c>
    </row>
    <row r="7891" ht="33.75" customHeight="1">
      <c r="A7891" s="6" t="s">
        <v>11648</v>
      </c>
      <c r="B7891" s="6" t="str">
        <f>IFERROR(__xludf.DUMMYFUNCTION("GOOGLETRANSLATE(A7891,""en"",""fi"")"),"Se vetää ilmaa sisäänsä pyrstönsä kautta, muuttaa sen tuleksi ja käyttää sitä kielenään. Se sulattaa Durantin ja syö heidät.")</f>
        <v>Se vetää ilmaa sisäänsä pyrstönsä kautta, muuttaa sen tuleksi ja käyttää sitä kielenään. Se sulattaa Durantin ja syö heidät.</v>
      </c>
      <c r="C7891" s="9" t="s">
        <v>1344</v>
      </c>
    </row>
    <row r="7892" ht="33.75" customHeight="1">
      <c r="A7892" s="6" t="s">
        <v>11649</v>
      </c>
      <c r="B7892" s="6" t="str">
        <f>IFERROR(__xludf.DUMMYFUNCTION("GOOGLETRANSLATE(A7892,""en"",""fi"")"),"Sen pyrstössä on reikä, jonka avulla se vetää sisään tulen palamiseen tarvittavaa ilmaa. Jos reikä tukkeutuu, tämä Pokémon sairastuu.")</f>
        <v>Sen pyrstössä on reikä, jonka avulla se vetää sisään tulen palamiseen tarvittavaa ilmaa. Jos reikä tukkeutuu, tämä Pokémon sairastuu.</v>
      </c>
      <c r="C7892" s="9" t="s">
        <v>1344</v>
      </c>
    </row>
    <row r="7893" ht="33.75" customHeight="1">
      <c r="A7893" s="6" t="s">
        <v>11651</v>
      </c>
      <c r="B7893" s="6" t="str">
        <f>IFERROR(__xludf.DUMMYFUNCTION("GOOGLETRANSLATE(A7893,""en"",""fi"")"),"Liekki toimii sen kielenä, sulattaen Durantin kovan kuoren läpi, jotta Heatmor voi ahmia heidän sisuskalunsa.")</f>
        <v>Liekki toimii sen kielenä, sulattaen Durantin kovan kuoren läpi, jotta Heatmor voi ahmia heidän sisuskalunsa.</v>
      </c>
      <c r="C7893" s="9" t="s">
        <v>1344</v>
      </c>
    </row>
    <row r="7894" ht="33.75" customHeight="1">
      <c r="A7894" s="6" t="s">
        <v>11652</v>
      </c>
      <c r="B7894" s="6" t="str">
        <f>IFERROR(__xludf.DUMMYFUNCTION("GOOGLETRANSLATE(A7894,""en"",""fi"")"),"Ne hyökkäävät ryhmissä suojaten itseään teräspanssaroilla Heatmorilta.")</f>
        <v>Ne hyökkäävät ryhmissä suojaten itseään teräspanssaroilla Heatmorilta.</v>
      </c>
      <c r="C7894" s="9" t="s">
        <v>1344</v>
      </c>
    </row>
    <row r="7895" ht="33.75" customHeight="1">
      <c r="A7895" s="6" t="s">
        <v>11654</v>
      </c>
      <c r="B7895" s="6" t="str">
        <f>IFERROR(__xludf.DUMMYFUNCTION("GOOGLETRANSLATE(A7895,""en"",""fi"")"),"Durant kaivaa pesiä vuorille. He rakentavat monimutkaiset, toisiinsa yhteydessä olevat tunnelit sokkeloiksi.")</f>
        <v>Durant kaivaa pesiä vuorille. He rakentavat monimutkaiset, toisiinsa yhteydessä olevat tunnelit sokkeloiksi.</v>
      </c>
      <c r="C7895" s="9" t="s">
        <v>1344</v>
      </c>
    </row>
    <row r="7896" ht="33.75" customHeight="1">
      <c r="A7896" s="6" t="s">
        <v>11655</v>
      </c>
      <c r="B7896" s="6" t="str">
        <f>IFERROR(__xludf.DUMMYFUNCTION("GOOGLETRANSLATE(A7896,""en"",""fi"")"),"Yksilöillä on erilainen rooli luonnollisen saalistajansa, Heatmorin, ajamisessa pois yhdyskunnastaan.")</f>
        <v>Yksilöillä on erilainen rooli luonnollisen saalistajansa, Heatmorin, ajamisessa pois yhdyskunnastaan.</v>
      </c>
      <c r="C7896" s="9" t="s">
        <v>1344</v>
      </c>
    </row>
    <row r="7897" ht="33.75" customHeight="1">
      <c r="A7897" s="6" t="s">
        <v>11657</v>
      </c>
      <c r="B7897" s="6" t="str">
        <f>IFERROR(__xludf.DUMMYFUNCTION("GOOGLETRANSLATE(A7897,""en"",""fi"")"),"Ne munivat syvälle pesiinsä. Kun Heatmor hyökkää niiden kimppuun, ne kostavat käyttämällä valtavia leukojaan.")</f>
        <v>Ne munivat syvälle pesiinsä. Kun Heatmor hyökkää niiden kimppuun, ne kostavat käyttämällä valtavia leukojaan.</v>
      </c>
      <c r="C7897" s="9" t="s">
        <v>1344</v>
      </c>
    </row>
    <row r="7898" ht="33.75" customHeight="1">
      <c r="A7898" s="6" t="s">
        <v>11658</v>
      </c>
      <c r="B7898" s="6" t="str">
        <f>IFERROR(__xludf.DUMMYFUNCTION("GOOGLETRANSLATE(A7898,""en"",""fi"")"),"Suurten leukojensa avulla nämä Pokémonit voivat murskata tiensä kiven läpi. Ne työskentelevät yhdessä suojellakseen muniaan Sandacondalta.")</f>
        <v>Suurten leukojensa avulla nämä Pokémonit voivat murskata tiensä kiven läpi. Ne työskentelevät yhdessä suojellakseen muniaan Sandacondalta.</v>
      </c>
      <c r="C7898" s="9" t="s">
        <v>1344</v>
      </c>
    </row>
    <row r="7899" ht="33.75" customHeight="1">
      <c r="A7899" s="6" t="s">
        <v>11659</v>
      </c>
      <c r="B7899" s="6" t="str">
        <f>IFERROR(__xludf.DUMMYFUNCTION("GOOGLETRANSLATE(A7899,""en"",""fi"")"),"Se puree kaikkea, eikä se ole nirso syöjä. Sen varomaton lähestyminen on vaarallista.")</f>
        <v>Se puree kaikkea, eikä se ole nirso syöjä. Sen varomaton lähestyminen on vaarallista.</v>
      </c>
      <c r="C7899" s="9" t="s">
        <v>1344</v>
      </c>
    </row>
    <row r="7900" ht="33.75" customHeight="1">
      <c r="A7900" s="6" t="s">
        <v>11660</v>
      </c>
      <c r="B7900" s="6" t="str">
        <f>IFERROR(__xludf.DUMMYFUNCTION("GOOGLETRANSLATE(A7900,""en"",""fi"")"),"Ne eivät näe, joten ne tarttuvat ja purevat oppiakseen tuntemaan ympäristönsä. Niiden ruumiit ovat täynnä haavoja.")</f>
        <v>Ne eivät näe, joten ne tarttuvat ja purevat oppiakseen tuntemaan ympäristönsä. Niiden ruumiit ovat täynnä haavoja.</v>
      </c>
      <c r="C7900" s="9" t="s">
        <v>1344</v>
      </c>
    </row>
    <row r="7901" ht="33.75" customHeight="1">
      <c r="A7901" s="6" t="s">
        <v>11661</v>
      </c>
      <c r="B7901" s="6" t="str">
        <f>IFERROR(__xludf.DUMMYFUNCTION("GOOGLETRANSLATE(A7901,""en"",""fi"")"),"Näkökyvyn puuttuessa sillä ei ole tietoa ympäristöstään, joten se törmää esineisiin ja syö kaikkea liikkuvaa.")</f>
        <v>Näkökyvyn puuttuessa sillä ei ole tietoa ympäristöstään, joten se törmää esineisiin ja syö kaikkea liikkuvaa.</v>
      </c>
      <c r="C7901" s="9" t="s">
        <v>1344</v>
      </c>
    </row>
    <row r="7902" ht="33.75" customHeight="1">
      <c r="A7902" s="6" t="s">
        <v>11662</v>
      </c>
      <c r="B7902" s="6" t="str">
        <f>IFERROR(__xludf.DUMMYFUNCTION("GOOGLETRANSLATE(A7902,""en"",""fi"")"),"Kun se kohtaa jonkin, sen ensimmäinen halu on yleensä purra sitä. Jos se pitää mausta, se painaa siihen liittyvän tuoksun mieleensä.")</f>
        <v>Kun se kohtaa jonkin, sen ensimmäinen halu on yleensä purra sitä. Jos se pitää mausta, se painaa siihen liittyvän tuoksun mieleensä.</v>
      </c>
      <c r="C7902" s="9" t="s">
        <v>1344</v>
      </c>
    </row>
    <row r="7903" ht="33.75" customHeight="1">
      <c r="A7903" s="6" t="s">
        <v>11664</v>
      </c>
      <c r="B7903" s="6" t="str">
        <f>IFERROR(__xludf.DUMMYFUNCTION("GOOGLETRANSLATE(A7903,""en"",""fi"")"),"Koska se ei näe, tämä Pokémon puree jatkuvasti kaikkea mihin se koskee ja yrittää pysyä ajan tasalla ympäristöstään.")</f>
        <v>Koska se ei näe, tämä Pokémon puree jatkuvasti kaikkea mihin se koskee ja yrittää pysyä ajan tasalla ympäristöstään.</v>
      </c>
      <c r="C7903" s="9" t="s">
        <v>1344</v>
      </c>
    </row>
    <row r="7904" ht="33.75" customHeight="1">
      <c r="A7904" s="6" t="s">
        <v>11665</v>
      </c>
      <c r="B7904" s="6" t="str">
        <f>IFERROR(__xludf.DUMMYFUNCTION("GOOGLETRANSLATE(A7904,""en"",""fi"")"),"Syötyään kaiken reviirinsä ruoan se siirtyy toiselle alueelle. Sen kaksi päätä eivät tule toimeen keskenään.")</f>
        <v>Syötyään kaiken reviirinsä ruoan se siirtyy toiselle alueelle. Sen kaksi päätä eivät tule toimeen keskenään.</v>
      </c>
      <c r="C7904" s="9" t="s">
        <v>1344</v>
      </c>
    </row>
    <row r="7905" ht="33.75" customHeight="1">
      <c r="A7905" s="6" t="s">
        <v>11666</v>
      </c>
      <c r="B7905" s="6" t="str">
        <f>IFERROR(__xludf.DUMMYFUNCTION("GOOGLETRANSLATE(A7905,""en"",""fi"")"),"Koska niiden kaksi päätä eivät tule toimeen keskenään ja kilpailevat keskenään ruoasta, ne syövät aina liikaa.")</f>
        <v>Koska niiden kaksi päätä eivät tule toimeen keskenään ja kilpailevat keskenään ruoasta, ne syövät aina liikaa.</v>
      </c>
      <c r="C7905" s="9" t="s">
        <v>1344</v>
      </c>
    </row>
    <row r="7906" ht="33.75" customHeight="1">
      <c r="A7906" s="6" t="s">
        <v>11667</v>
      </c>
      <c r="B7906" s="6" t="str">
        <f>IFERROR(__xludf.DUMMYFUNCTION("GOOGLETRANSLATE(A7906,""en"",""fi"")"),"Kaksi päätä eivät tule toimeen keskenään. Se, joka syö enemmän, saa olla johtaja.")</f>
        <v>Kaksi päätä eivät tule toimeen keskenään. Se, joka syö enemmän, saa olla johtaja.</v>
      </c>
      <c r="C7906" s="9" t="s">
        <v>1344</v>
      </c>
    </row>
    <row r="7907" ht="33.75" customHeight="1">
      <c r="A7907" s="6" t="s">
        <v>11668</v>
      </c>
      <c r="B7907" s="6" t="str">
        <f>IFERROR(__xludf.DUMMYFUNCTION("GOOGLETRANSLATE(A7907,""en"",""fi"")"),"Saalismetsästyksessä Zweilous vaeltelee reviiriään pitkin, ja sen kaksi päätä kiistelevät usein siitä, kumpaan suuntaan mennä.")</f>
        <v>Saalismetsästyksessä Zweilous vaeltelee reviiriään pitkin, ja sen kaksi päätä kiistelevät usein siitä, kumpaan suuntaan mennä.</v>
      </c>
      <c r="C7907" s="9" t="s">
        <v>1344</v>
      </c>
    </row>
    <row r="7908" ht="33.75" customHeight="1">
      <c r="A7908" s="6" t="s">
        <v>11669</v>
      </c>
      <c r="B7908" s="6" t="str">
        <f>IFERROR(__xludf.DUMMYFUNCTION("GOOGLETRANSLATE(A7908,""en"",""fi"")"),"Heidän kaksi päätään taistelevat keskenään yhdestä ainoasta ruokapalasta. Zweilou't ovat täynnä arpia, vaikka eivät taistelekaan muiden kanssa.")</f>
        <v>Heidän kaksi päätään taistelevat keskenään yhdestä ainoasta ruokapalasta. Zweilou't ovat täynnä arpia, vaikka eivät taistelekaan muiden kanssa.</v>
      </c>
      <c r="C7908" s="9" t="s">
        <v>1344</v>
      </c>
    </row>
    <row r="7909" ht="33.75" customHeight="1">
      <c r="A7909" s="6" t="s">
        <v>11671</v>
      </c>
      <c r="B7909" s="6" t="str">
        <f>IFERROR(__xludf.DUMMYFUNCTION("GOOGLETRANSLATE(A7909,""en"",""fi"")"),"Tämä raaka Pokémon matkustaa taivaalla kuudella siivellään. Kaikki liikkuva vaikuttaa sille viholliselta, mikä laukaisee sen hyökkäyksen.")</f>
        <v>Tämä raaka Pokémon matkustaa taivaalla kuudella siivellään. Kaikki liikkuva vaikuttaa sille viholliselta, mikä laukaisee sen hyökkäyksen.</v>
      </c>
      <c r="C7909" s="9" t="s">
        <v>1344</v>
      </c>
    </row>
    <row r="7910" ht="33.75" customHeight="1">
      <c r="A7910" s="6" t="s">
        <v>11673</v>
      </c>
      <c r="B7910" s="6" t="str">
        <f>IFERROR(__xludf.DUMMYFUNCTION("GOOGLETRANSLATE(A7910,""en"",""fi"")"),"Heidän käsivarsissaan olevilla päillä ei ole aivoja. He käyttävät kaikkia kolmea päätä kaiken kuluttamiseen ja tuhoamiseen.")</f>
        <v>Heidän käsivarsissaan olevilla päillä ei ole aivoja. He käyttävät kaikkia kolmea päätä kaiken kuluttamiseen ja tuhoamiseen.</v>
      </c>
      <c r="C7910" s="9" t="s">
        <v>1344</v>
      </c>
    </row>
    <row r="7911" ht="33.75" customHeight="1">
      <c r="A7911" s="6" t="s">
        <v>11674</v>
      </c>
      <c r="B7911" s="6" t="str">
        <f>IFERROR(__xludf.DUMMYFUNCTION("GOOGLETRANSLATE(A7911,""en"",""fi"")"),"Se reagoi liikkeeseen hyökkäämällä. Tämä pelottava, kolmipäinen Pokémon ahmii kaiken tieltään!")</f>
        <v>Se reagoi liikkeeseen hyökkäämällä. Tämä pelottava, kolmipäinen Pokémon ahmii kaiken tieltään!</v>
      </c>
      <c r="C7911" s="9" t="s">
        <v>1344</v>
      </c>
    </row>
    <row r="7912" ht="33.75" customHeight="1">
      <c r="A7912" s="6" t="s">
        <v>11676</v>
      </c>
      <c r="B7912" s="6" t="str">
        <f>IFERROR(__xludf.DUMMYFUNCTION("GOOGLETRANSLATE(A7912,""en"",""fi"")"),"Hydreigonin tuhoamista kylistä on olemassa lukuisia tarinoita. Se puree kaikkea mikä liikkuu.")</f>
        <v>Hydreigonin tuhoamista kylistä on olemassa lukuisia tarinoita. Se puree kaikkea mikä liikkuu.</v>
      </c>
      <c r="C7912" s="9" t="s">
        <v>1344</v>
      </c>
    </row>
    <row r="7913" ht="33.75" customHeight="1">
      <c r="A7913" s="6" t="s">
        <v>11677</v>
      </c>
      <c r="B7913" s="6" t="str">
        <f>IFERROR(__xludf.DUMMYFUNCTION("GOOGLETRANSLATE(A7913,""en"",""fi"")"),"Kolme päätä vuorotellen iskevät hampaitaan vastustajaan. Heidän hyökkäyksensä eivät hidastu ennen kuin kohde kaatuu.")</f>
        <v>Kolme päätä vuorotellen iskevät hampaitaan vastustajaan. Heidän hyökkäyksensä eivät hidastu ennen kuin kohde kaatuu.</v>
      </c>
      <c r="C7913" s="9" t="s">
        <v>1344</v>
      </c>
    </row>
    <row r="7914" ht="33.75" customHeight="1">
      <c r="A7914" s="6" t="s">
        <v>11679</v>
      </c>
      <c r="B7914" s="6" t="str">
        <f>IFERROR(__xludf.DUMMYFUNCTION("GOOGLETRANSLATE(A7914,""en"",""fi"")"),"Tämän Pokémonin uskottiin syntyneen auringosta. Kehittyessään koko sen ruumis on liekkien peitossa.")</f>
        <v>Tämän Pokémonin uskottiin syntyneen auringosta. Kehittyessään koko sen ruumis on liekkien peitossa.</v>
      </c>
      <c r="C7914" s="9" t="s">
        <v>1344</v>
      </c>
    </row>
    <row r="7915" ht="33.75" customHeight="1">
      <c r="A7915" s="6" t="s">
        <v>11680</v>
      </c>
      <c r="B7915" s="6" t="str">
        <f>IFERROR(__xludf.DUMMYFUNCTION("GOOGLETRANSLATE(A7915,""en"",""fi"")"),"Tulivuorten juurelle ne rakentavat kotinsa. Ne ampuvat tulta viidestä sarvestaan ​​torjuakseen hyökkäävät viholliset.")</f>
        <v>Tulivuorten juurelle ne rakentavat kotinsa. Ne ampuvat tulta viidestä sarvestaan ​​torjuakseen hyökkäävät viholliset.</v>
      </c>
      <c r="C7915" s="9" t="s">
        <v>1344</v>
      </c>
    </row>
    <row r="7916" ht="33.75" customHeight="1">
      <c r="A7916" s="6" t="s">
        <v>11682</v>
      </c>
      <c r="B7916" s="6" t="str">
        <f>IFERROR(__xludf.DUMMYFUNCTION("GOOGLETRANSLATE(A7916,""en"",""fi"")"),"Sen sanotaan syntyneen auringosta, se syöksee tulta sarvistaan ​​ja kääriytyy tuliseen koteloon kehittyessään.")</f>
        <v>Sen sanotaan syntyneen auringosta, se syöksee tulta sarvistaan ​​ja kääriytyy tuliseen koteloon kehittyessään.</v>
      </c>
      <c r="C7916" s="9" t="s">
        <v>1344</v>
      </c>
    </row>
    <row r="7917" ht="33.75" customHeight="1">
      <c r="A7917" s="6" t="s">
        <v>11685</v>
      </c>
      <c r="B7917" s="6" t="str">
        <f>IFERROR(__xludf.DUMMYFUNCTION("GOOGLETRANSLATE(A7917,""en"",""fi"")"),"Taistellessaan vastustajia vastaan ​​se suihkuttaa tulta viidestä sarvestaan. Liekkien maksimilämpötila voi nousta lähes 5 500 celsiusasteeseen.")</f>
        <v>Taistellessaan vastustajia vastaan ​​se suihkuttaa tulta viidestä sarvestaan. Liekkien maksimilämpötila voi nousta lähes 5 500 celsiusasteeseen.</v>
      </c>
      <c r="C7917" s="9" t="s">
        <v>1344</v>
      </c>
    </row>
    <row r="7918" ht="33.75" customHeight="1">
      <c r="A7918" s="6" t="s">
        <v>11686</v>
      </c>
      <c r="B7918" s="6" t="str">
        <f>IFERROR(__xludf.DUMMYFUNCTION("GOOGLETRANSLATE(A7918,""en"",""fi"")"),"Se suojaa itseään liekillä. Kauan sitten ihmiset uskoivat, että Larvestalla oli pesä auringossa.")</f>
        <v>Se suojaa itseään liekillä. Kauan sitten ihmiset uskoivat, että Larvestalla oli pesä auringossa.</v>
      </c>
      <c r="C7918" s="9" t="s">
        <v>1344</v>
      </c>
    </row>
    <row r="7919" ht="33.75" customHeight="1">
      <c r="A7919" s="6" t="s">
        <v>11688</v>
      </c>
      <c r="B7919" s="6" t="str">
        <f>IFERROR(__xludf.DUMMYFUNCTION("GOOGLETRANSLATE(A7919,""en"",""fi"")"),"Muinaisten aikojen ihmiset uskoivat, että Larvesta putosi auringosta.")</f>
        <v>Muinaisten aikojen ihmiset uskoivat, että Larvesta putosi auringosta.</v>
      </c>
      <c r="C7919" s="9" t="s">
        <v>1344</v>
      </c>
    </row>
    <row r="7920" ht="33.75" customHeight="1">
      <c r="A7920" s="6" t="s">
        <v>11690</v>
      </c>
      <c r="B7920" s="6" t="str">
        <f>IFERROR(__xludf.DUMMYFUNCTION("GOOGLETRANSLATE(A7920,""en"",""fi"")"),"Larvestan ruumis on kauttaaltaan lämmin. Se syöksyy sarviensa kärjistä tulta pelotellakseen saalistajia ja säikyttääkseen saalista.")</f>
        <v>Larvestan ruumis on kauttaaltaan lämmin. Se syöksyy sarviensa kärjistä tulta pelotellakseen saalistajia ja säikyttääkseen saalista.</v>
      </c>
      <c r="C7920" s="9" t="s">
        <v>1344</v>
      </c>
    </row>
    <row r="7921" ht="33.75" customHeight="1">
      <c r="A7921" s="6" t="s">
        <v>11694</v>
      </c>
      <c r="B7921" s="6" t="str">
        <f>IFERROR(__xludf.DUMMYFUNCTION("GOOGLETRANSLATE(A7921,""en"",""fi"")"),"Kun tulivuoren tuhka tummensi ilmakehän, sanotaan, että Volcaronan tuli tarjosi korvaajan auringolle.")</f>
        <v>Kun tulivuoren tuhka tummensi ilmakehän, sanotaan, että Volcaronan tuli tarjosi korvaajan auringolle.</v>
      </c>
      <c r="C7921" s="9" t="s">
        <v>1344</v>
      </c>
    </row>
    <row r="7922" ht="33.75" customHeight="1">
      <c r="A7922" s="6" t="s">
        <v>11695</v>
      </c>
      <c r="B7922" s="6" t="str">
        <f>IFERROR(__xludf.DUMMYFUNCTION("GOOGLETRANSLATE(A7922,""en"",""fi"")"),"Tulimeri peittää heidän taisteluidensa ympäristön, sillä he käyttävät kuutta siipeään sirotellakseen hiilisuomujaan.")</f>
        <v>Tulimeri peittää heidän taisteluidensa ympäristön, sillä he käyttävät kuutta siipeään sirotellakseen hiilisuomujaan.</v>
      </c>
      <c r="C7922" s="9" t="s">
        <v>1344</v>
      </c>
    </row>
    <row r="7923" ht="33.75" customHeight="1">
      <c r="A7923" s="6" t="s">
        <v>11697</v>
      </c>
      <c r="B7923" s="6" t="str">
        <f>IFERROR(__xludf.DUMMYFUNCTION("GOOGLETRANSLATE(A7923,""en"",""fi"")"),"Sen uskotaan olevan auringon ruumiillistuma, ja se ilmestyi purevan kylmänä talvena ja pelasti Pokémonit jäätymiseltä.")</f>
        <v>Sen uskotaan olevan auringon ruumiillistuma, ja se ilmestyi purevan kylmänä talvena ja pelasti Pokémonit jäätymiseltä.</v>
      </c>
      <c r="C7923" s="9" t="s">
        <v>1344</v>
      </c>
    </row>
    <row r="7924" ht="33.75" customHeight="1">
      <c r="A7924" s="6" t="s">
        <v>11699</v>
      </c>
      <c r="B7924" s="6" t="str">
        <f>IFERROR(__xludf.DUMMYFUNCTION("GOOGLETRANSLATE(A7924,""en"",""fi"")"),"Lentäessään se levittää liekehtiviä suomujaan. Muinaiset ihmiset pelkäsivät sitä ja kutsuivat sitä ""auringon raivoksi"".")</f>
        <v>Lentäessään se levittää liekehtiviä suomujaan. Muinaiset ihmiset pelkäsivät sitä ja kutsuivat sitä "auringon raivoksi".</v>
      </c>
      <c r="C7924" s="9" t="s">
        <v>1344</v>
      </c>
    </row>
    <row r="7925" ht="33.75" customHeight="1">
      <c r="A7925" s="6" t="s">
        <v>11700</v>
      </c>
      <c r="B7925" s="6" t="str">
        <f>IFERROR(__xludf.DUMMYFUNCTION("GOOGLETRANSLATE(A7925,""en"",""fi"")"),"Legendan mukaan se kuoriutui liekehtivästä kotelosta pelastaakseen kylmästä kärsiviä ihmisiä ja Pokémoneja.")</f>
        <v>Legendan mukaan se kuoriutui liekehtivästä kotelosta pelastaakseen kylmästä kärsiviä ihmisiä ja Pokémoneja.</v>
      </c>
      <c r="C7925" s="9" t="s">
        <v>1344</v>
      </c>
    </row>
    <row r="7926" ht="33.75" customHeight="1">
      <c r="A7926" s="6" t="s">
        <v>11702</v>
      </c>
      <c r="B7926" s="6" t="str">
        <f>IFERROR(__xludf.DUMMYFUNCTION("GOOGLETRANSLATE(A7926,""en"",""fi"")"),"Tulivuori levittää palavia hilseitä. Jotkut sanovat sen tekevän tämän sytyttääkseen tulipaloja. Toiset sanovat sen yrittävän pelastaa kylmyydestä kärsiviä.")</f>
        <v>Tulivuori levittää palavia hilseitä. Jotkut sanovat sen tekevän tämän sytyttääkseen tulipaloja. Toiset sanovat sen yrittävän pelastaa kylmyydestä kärsiviä.</v>
      </c>
      <c r="C7926" s="9" t="s">
        <v>1344</v>
      </c>
    </row>
    <row r="7927" ht="33.75" customHeight="1">
      <c r="A7927" s="6" t="s">
        <v>11703</v>
      </c>
      <c r="B7927" s="6" t="str">
        <f>IFERROR(__xludf.DUMMYFUNCTION("GOOGLETRANSLATE(A7927,""en"",""fi"")"),"Tämä Pokémon nousee raivoavien liekkien muodostamasta kotelosta. Muinaiset seinämaalaukset kuvaavat Volcaronaa tulen jumaluutena.")</f>
        <v>Tämä Pokémon nousee raivoavien liekkien muodostamasta kotelosta. Muinaiset seinämaalaukset kuvaavat Volcaronaa tulen jumaluutena.</v>
      </c>
      <c r="C7927" s="9" t="s">
        <v>1344</v>
      </c>
    </row>
    <row r="7928" ht="33.75" customHeight="1">
      <c r="A7928" s="6" t="s">
        <v>11704</v>
      </c>
      <c r="B7928" s="6" t="str">
        <f>IFERROR(__xludf.DUMMYFUNCTION("GOOGLETRANSLATE(A7928,""en"",""fi"")"),"Tämä legendaarinen Pokémon taisteli ihmisiä vastaan ​​suojellakseen Pokémoneja. Sen persoonallisuus on rauhallinen ja maltillinen.")</f>
        <v>Tämä legendaarinen Pokémon taisteli ihmisiä vastaan ​​suojellakseen Pokémoneja. Sen persoonallisuus on rauhallinen ja maltillinen.</v>
      </c>
      <c r="C7928" s="9" t="s">
        <v>1344</v>
      </c>
    </row>
    <row r="7929" ht="33.75" customHeight="1">
      <c r="A7929" s="6" t="s">
        <v>11706</v>
      </c>
      <c r="B7929" s="6" t="str">
        <f>IFERROR(__xludf.DUMMYFUNCTION("GOOGLETRANSLATE(A7929,""en"",""fi"")"),"Sen vartalo ja sydän ovat terästä. Sen loisto riittää saamaan jopa kurittoman Pokémonin tottelemaan sitä.")</f>
        <v>Sen vartalo ja sydän ovat terästä. Sen loisto riittää saamaan jopa kurittoman Pokémonin tottelemaan sitä.</v>
      </c>
      <c r="C7929" s="9" t="s">
        <v>1344</v>
      </c>
    </row>
    <row r="7930" ht="33.75" customHeight="1">
      <c r="A7930" s="6" t="s">
        <v>11707</v>
      </c>
      <c r="B7930" s="6" t="str">
        <f>IFERROR(__xludf.DUMMYFUNCTION("GOOGLETRANSLATE(A7930,""en"",""fi"")"),"Sillä on teräsrunko ja -sydän. Se työskenteli liittolaistensa kanssa rangaistakseen ihmisiä, kun he satuttivat Pokémoneja.")</f>
        <v>Sillä on teräsrunko ja -sydän. Se työskenteli liittolaistensa kanssa rangaistakseen ihmisiä, kun he satuttivat Pokémoneja.</v>
      </c>
      <c r="C7930" s="9" t="s">
        <v>1344</v>
      </c>
    </row>
    <row r="7931" ht="33.75" customHeight="1">
      <c r="A7931" s="6" t="s">
        <v>11708</v>
      </c>
      <c r="B7931" s="6" t="str">
        <f>IFERROR(__xludf.DUMMYFUNCTION("GOOGLETRANSLATE(A7931,""en"",""fi"")"),"Tämä Pokémon esiintyy legendassa Terrakionin ja Virizionin rinnalla taistelemassa ihmisiä vastaan ​​puolustaakseen Unova-alueen Pokémoneja.")</f>
        <v>Tämä Pokémon esiintyy legendassa Terrakionin ja Virizionin rinnalla taistelemassa ihmisiä vastaan ​​puolustaakseen Unova-alueen Pokémoneja.</v>
      </c>
      <c r="C7931" s="9" t="s">
        <v>1344</v>
      </c>
    </row>
    <row r="7932" ht="33.75" customHeight="1">
      <c r="A7932" s="6" t="s">
        <v>11709</v>
      </c>
      <c r="B7932" s="6" t="str">
        <f>IFERROR(__xludf.DUMMYFUNCTION("GOOGLETRANSLATE(A7932,""en"",""fi"")"),"Syntymästään lähtien tämä Pokémon säteilee johtajan olemusta. Sen läsnäolo rauhoittaa jopa ilkeät viholliset.")</f>
        <v>Syntymästään lähtien tämä Pokémon säteilee johtajan olemusta. Sen läsnäolo rauhoittaa jopa ilkeät viholliset.</v>
      </c>
      <c r="C7932" s="9" t="s">
        <v>1344</v>
      </c>
    </row>
    <row r="7933" ht="33.75" customHeight="1">
      <c r="A7933" s="6" t="s">
        <v>11710</v>
      </c>
      <c r="B7933" s="6" t="str">
        <f>IFERROR(__xludf.DUMMYFUNCTION("GOOGLETRANSLATE(A7933,""en"",""fi"")"),"Tämä Pokémon tuli puolustamaan Pokémoneja, jotka olivat menettäneet kotinsa ihmisten välisessä sodassa.")</f>
        <v>Tämä Pokémon tuli puolustamaan Pokémoneja, jotka olivat menettäneet kotinsa ihmisten välisessä sodassa.</v>
      </c>
      <c r="C7933" s="9" t="s">
        <v>1344</v>
      </c>
    </row>
    <row r="7934" ht="33.75" customHeight="1">
      <c r="A7934" s="6" t="s">
        <v>11711</v>
      </c>
      <c r="B7934" s="6" t="str">
        <f>IFERROR(__xludf.DUMMYFUNCTION("GOOGLETRANSLATE(A7934,""en"",""fi"")"),"Sen latauksen voima on riittävä murtamaan jättimäisen linnan muurin läpi yhdellä iskulla. Tästä Pokémonista kerrotaan legendoissa.")</f>
        <v>Sen latauksen voima on riittävä murtamaan jättimäisen linnan muurin läpi yhdellä iskulla. Tästä Pokémonista kerrotaan legendoissa.</v>
      </c>
      <c r="C7934" s="9" t="s">
        <v>1344</v>
      </c>
    </row>
    <row r="7935" ht="33.75" customHeight="1">
      <c r="A7935" s="6" t="s">
        <v>11713</v>
      </c>
      <c r="B7935" s="6" t="str">
        <f>IFERROR(__xludf.DUMMYFUNCTION("GOOGLETRANSLATE(A7935,""en"",""fi"")"),"Legendan mukaan tämä Pokémon käytti ilmiömäistä voimaansa tuhotakseen linnan suojellakseen Pokémoneja.")</f>
        <v>Legendan mukaan tämä Pokémon käytti ilmiömäistä voimaansa tuhotakseen linnan suojellakseen Pokémoneja.</v>
      </c>
      <c r="C7935" s="9" t="s">
        <v>1344</v>
      </c>
    </row>
    <row r="7936" ht="33.75" customHeight="1">
      <c r="A7936" s="6" t="s">
        <v>11714</v>
      </c>
      <c r="B7936" s="6" t="str">
        <f>IFERROR(__xludf.DUMMYFUNCTION("GOOGLETRANSLATE(A7936,""en"",""fi"")"),"Sillä on ilmiömäinen voima. Se murskaa armottomasti kenet tahansa tai minkä tahansa, joka kiusaa pieniä Pokémoneja.")</f>
        <v>Sillä on ilmiömäinen voima. Se murskaa armottomasti kenet tahansa tai minkä tahansa, joka kiusaa pieniä Pokémoneja.</v>
      </c>
      <c r="C7936" s="9" t="s">
        <v>1344</v>
      </c>
    </row>
    <row r="7937" ht="33.75" customHeight="1">
      <c r="A7937" s="6" t="s">
        <v>11715</v>
      </c>
      <c r="B7937" s="6" t="str">
        <f>IFERROR(__xludf.DUMMYFUNCTION("GOOGLETRANSLATE(A7937,""en"",""fi"")"),"Unovanin legendan mukaan Terrakion taisteli ihmisiä vastaan ​​suojellakseen muita Pokémoneja.")</f>
        <v>Unovanin legendan mukaan Terrakion taisteli ihmisiä vastaan ​​suojellakseen muita Pokémoneja.</v>
      </c>
      <c r="C7937" s="9" t="s">
        <v>1344</v>
      </c>
    </row>
    <row r="7938" ht="33.75" customHeight="1">
      <c r="A7938" s="6" t="s">
        <v>11717</v>
      </c>
      <c r="B7938" s="6" t="str">
        <f>IFERROR(__xludf.DUMMYFUNCTION("GOOGLETRANSLATE(A7938,""en"",""fi"")"),"Tämä Pokémon taisteli ihmisiä vastaan ​​suojellakseen ystäviään. Siitä kertovat legendat kulkevat edelleen sukupolvelta toiselle.")</f>
        <v>Tämä Pokémon taisteli ihmisiä vastaan ​​suojellakseen ystäviään. Siitä kertovat legendat kulkevat edelleen sukupolvelta toiselle.</v>
      </c>
      <c r="C7938" s="9" t="s">
        <v>1344</v>
      </c>
    </row>
    <row r="7939" ht="33.75" customHeight="1">
      <c r="A7939" s="6" t="s">
        <v>11719</v>
      </c>
      <c r="B7939" s="6" t="str">
        <f>IFERROR(__xludf.DUMMYFUNCTION("GOOGLETRANSLATE(A7939,""en"",""fi"")"),"Sen päässä kasvaa terävät sarvet. Pyörretuulen kaltaisilla liikkeillä se hämmentää ja viiltää vastustajia nopeasti.")</f>
        <v>Sen päässä kasvaa terävät sarvet. Pyörretuulen kaltaisilla liikkeillä se hämmentää ja viiltää vastustajia nopeasti.</v>
      </c>
      <c r="C7939" s="9" t="s">
        <v>1344</v>
      </c>
    </row>
    <row r="7940" ht="33.75" customHeight="1">
      <c r="A7940" s="6" t="s">
        <v>11720</v>
      </c>
      <c r="B7940" s="6" t="str">
        <f>IFERROR(__xludf.DUMMYFUNCTION("GOOGLETRANSLATE(A7940,""en"",""fi"")"),"Legendojen mukaan tämä Pokémon hämmensi vastustajia nopeilla liikkeillään.")</f>
        <v>Legendojen mukaan tämä Pokémon hämmensi vastustajia nopeilla liikkeillään.</v>
      </c>
      <c r="C7940" s="9" t="s">
        <v>1344</v>
      </c>
    </row>
    <row r="7941" ht="33.75" customHeight="1">
      <c r="A7941" s="6" t="s">
        <v>11721</v>
      </c>
      <c r="B7941" s="6" t="str">
        <f>IFERROR(__xludf.DUMMYFUNCTION("GOOGLETRANSLATE(A7941,""en"",""fi"")"),"Legendan mukaan tämä Pokémon työskentelee yhdessä Cobalionin ja Terrakionin kanssa suojellakseen Unova-alueen Pokémoneja.")</f>
        <v>Legendan mukaan tämä Pokémon työskentelee yhdessä Cobalionin ja Terrakionin kanssa suojellakseen Unova-alueen Pokémoneja.</v>
      </c>
      <c r="C7941" s="9" t="s">
        <v>1344</v>
      </c>
    </row>
    <row r="7942" ht="33.75" customHeight="1">
      <c r="A7942" s="6" t="s">
        <v>11723</v>
      </c>
      <c r="B7942" s="6" t="str">
        <f>IFERROR(__xludf.DUMMYFUNCTION("GOOGLETRANSLATE(A7942,""en"",""fi"")"),"Se syöksyy vastustajien ympäri nopeilla liikkeillä ja viiltää heidät sarvillaan.")</f>
        <v>Se syöksyy vastustajien ympäri nopeilla liikkeillä ja viiltää heidät sarvillaan.</v>
      </c>
      <c r="C7942" s="9" t="s">
        <v>1344</v>
      </c>
    </row>
    <row r="7943" ht="33.75" customHeight="1">
      <c r="A7943" s="6" t="s">
        <v>11724</v>
      </c>
      <c r="B7943" s="6" t="str">
        <f>IFERROR(__xludf.DUMMYFUNCTION("GOOGLETRANSLATE(A7943,""en"",""fi"")"),"Sen ruumiin alaosa on energiapilven ympäröimä. Se kiitää taivaan halki 320 km/h nopeudella.")</f>
        <v>Sen ruumiin alaosa on energiapilven ympäröimä. Se kiitää taivaan halki 320 km/h nopeudella.</v>
      </c>
      <c r="C7943" s="9" t="s">
        <v>1344</v>
      </c>
    </row>
    <row r="7944" ht="33.75" customHeight="1">
      <c r="A7944" s="6" t="s">
        <v>11725</v>
      </c>
      <c r="B7944" s="6" t="str">
        <f>IFERROR(__xludf.DUMMYFUNCTION("GOOGLETRANSLATE(A7944,""en"",""fi"")"),"Tornadus purkaa pyrstöstään valtavasti energiaa aiheuttaen ankaria myrskyjä. Sen voima on niin suuri, että se voi räjäyttää taloja pois.")</f>
        <v>Tornadus purkaa pyrstöstään valtavasti energiaa aiheuttaen ankaria myrskyjä. Sen voima on niin suuri, että se voi räjäyttää taloja pois.</v>
      </c>
      <c r="C7944" s="9" t="s">
        <v>1344</v>
      </c>
    </row>
    <row r="7945" ht="33.75" customHeight="1">
      <c r="A7945" s="6" t="s">
        <v>11726</v>
      </c>
      <c r="B7945" s="6" t="str">
        <f>IFERROR(__xludf.DUMMYFUNCTION("GOOGLETRANSLATE(A7945,""en"",""fi"")"),"Se lentää joka suuntaan ja luo niin voimakkaita tuulia, että ne puhaltavat kaiken pois.")</f>
        <v>Se lentää joka suuntaan ja luo niin voimakkaita tuulia, että ne puhaltavat kaiken pois.</v>
      </c>
      <c r="C7945" s="9" t="s">
        <v>1344</v>
      </c>
    </row>
    <row r="7946" ht="33.75" customHeight="1">
      <c r="A7946" s="6" t="s">
        <v>11727</v>
      </c>
      <c r="B7946" s="6" t="str">
        <f>IFERROR(__xludf.DUMMYFUNCTION("GOOGLETRANSLATE(A7946,""en"",""fi"")"),"Tämän myrskyjä lietsovan Pokémonin sanotaan aiheuttavan vuodenaikojen vaihtumisen piiskaamalla ilmaa. Epäilen sen ihmismäisen muodon olevan valehahmo.")</f>
        <v>Tämän myrskyjä lietsovan Pokémonin sanotaan aiheuttavan vuodenaikojen vaihtumisen piiskaamalla ilmaa. Epäilen sen ihmismäisen muodon olevan valehahmo.</v>
      </c>
      <c r="C7946" s="9" t="s">
        <v>1344</v>
      </c>
    </row>
    <row r="7947" ht="33.75" customHeight="1">
      <c r="A7947" s="6" t="s">
        <v>11728</v>
      </c>
      <c r="B7947" s="6" t="str">
        <f>IFERROR(__xludf.DUMMYFUNCTION("GOOGLETRANSLATE(A7947,""en"",""fi"")"),"Lukemattomat hiiltyneet jäänteet turmelevat maisemaa paikoissa, joiden läpi Thundurus on kulkenut.")</f>
        <v>Lukemattomat hiiltyneet jäänteet turmelevat maisemaa paikoissa, joiden läpi Thundurus on kulkenut.</v>
      </c>
      <c r="C7947" s="9" t="s">
        <v>1344</v>
      </c>
    </row>
    <row r="7948" ht="33.75" customHeight="1">
      <c r="A7948" s="6" t="s">
        <v>11729</v>
      </c>
      <c r="B7948" s="6" t="str">
        <f>IFERROR(__xludf.DUMMYFUNCTION("GOOGLETRANSLATE(A7948,""en"",""fi"")"),"Sen pyrstön piikit lähettävät valtavia salamoita. Se lentää Unova-alueen ympäri ampuen salamoita.")</f>
        <v>Sen pyrstön piikit lähettävät valtavia salamoita. Se lentää Unova-alueen ympäri ampuen salamoita.</v>
      </c>
      <c r="C7948" s="9" t="s">
        <v>1344</v>
      </c>
    </row>
    <row r="7949" ht="33.75" customHeight="1">
      <c r="A7949" s="6" t="s">
        <v>11730</v>
      </c>
      <c r="B7949" s="6" t="str">
        <f>IFERROR(__xludf.DUMMYFUNCTION("GOOGLETRANSLATE(A7949,""en"",""fi"")"),"Se lentää ympäriinsä ja ampuu salamoita kaikkialle aiheuttaen metsäpaloja. Siksi sitä ei pidetä hyvänä.")</f>
        <v>Se lentää ympäriinsä ja ampuu salamoita kaikkialle aiheuttaen metsäpaloja. Siksi sitä ei pidetä hyvänä.</v>
      </c>
      <c r="C7949" s="9" t="s">
        <v>1344</v>
      </c>
    </row>
    <row r="7950" ht="33.75" customHeight="1">
      <c r="A7950" s="6" t="s">
        <v>11731</v>
      </c>
      <c r="B7950" s="6" t="str">
        <f>IFERROR(__xludf.DUMMYFUNCTION("GOOGLETRANSLATE(A7950,""en"",""fi"")"),"Sanotaan, että tämä sähkönkantaja on käynyt sotaa arkkivihollisensa Tornaduksen kanssa muinaisista ajoista lähtien. Sen sinkoamat salamat lävistävät maan ja rikastuttavat maaperää.")</f>
        <v>Sanotaan, että tämä sähkönkantaja on käynyt sotaa arkkivihollisensa Tornaduksen kanssa muinaisista ajoista lähtien. Sen sinkoamat salamat lävistävät maan ja rikastuttavat maaperää.</v>
      </c>
      <c r="C7950" s="9" t="s">
        <v>1344</v>
      </c>
    </row>
    <row r="7951" ht="33.75" customHeight="1">
      <c r="A7951" s="6" t="s">
        <v>11732</v>
      </c>
      <c r="B7951" s="6" t="str">
        <f>IFERROR(__xludf.DUMMYFUNCTION("GOOGLETRANSLATE(A7951,""en"",""fi"")"),"Tämä Pokémon esiintyy legendoissa. Se lähettää liekkejä ilmaan pyrstöstään ja polttaa kaiken ympärillään.")</f>
        <v>Tämä Pokémon esiintyy legendoissa. Se lähettää liekkejä ilmaan pyrstöstään ja polttaa kaiken ympärillään.</v>
      </c>
      <c r="C7951" s="9" t="s">
        <v>1344</v>
      </c>
    </row>
    <row r="7952" ht="33.75" customHeight="1">
      <c r="A7952" s="6" t="s">
        <v>11733</v>
      </c>
      <c r="B7952" s="6" t="str">
        <f>IFERROR(__xludf.DUMMYFUNCTION("GOOGLETRANSLATE(A7952,""en"",""fi"")"),"Kun Reshiramin pyrstö leimahtaa, lämpöenergia liikuttaa ilmakehää ja muuttaa maailman säätä.")</f>
        <v>Kun Reshiramin pyrstö leimahtaa, lämpöenergia liikuttaa ilmakehää ja muuttaa maailman säätä.</v>
      </c>
      <c r="C7952" s="9" t="s">
        <v>1344</v>
      </c>
    </row>
    <row r="7953" ht="33.75" customHeight="1">
      <c r="A7953" s="6" t="s">
        <v>11734</v>
      </c>
      <c r="B7953" s="6" t="str">
        <f>IFERROR(__xludf.DUMMYFUNCTION("GOOGLETRANSLATE(A7953,""en"",""fi"")"),"Tämä legendaarinen Pokémon voi polttaa maailman tulella. Se auttaa niitä, jotka haluavat rakentaa totuuden maailman.")</f>
        <v>Tämä legendaarinen Pokémon voi polttaa maailman tulella. Se auttaa niitä, jotka haluavat rakentaa totuuden maailman.</v>
      </c>
      <c r="C7953" s="9" t="s">
        <v>1344</v>
      </c>
    </row>
    <row r="7954" ht="33.75" customHeight="1">
      <c r="A7954" s="6" t="s">
        <v>11736</v>
      </c>
      <c r="B7954" s="6" t="str">
        <f>IFERROR(__xludf.DUMMYFUNCTION("GOOGLETRANSLATE(A7954,""en"",""fi"")"),"Liekit sylkevät sen pyrstöstä sen lentäessä taivaalla kuin suihkukone. Sanotaan, että tämä Pokémon polttaa maailman.")</f>
        <v>Liekit sylkevät sen pyrstöstä sen lentäessä taivaalla kuin suihkukone. Sanotaan, että tämä Pokémon polttaa maailman.</v>
      </c>
      <c r="C7954" s="9" t="s">
        <v>1344</v>
      </c>
    </row>
    <row r="7955" ht="33.75" customHeight="1">
      <c r="A7955" s="6" t="s">
        <v>11737</v>
      </c>
      <c r="B7955" s="6" t="str">
        <f>IFERROR(__xludf.DUMMYFUNCTION("GOOGLETRANSLATE(A7955,""en"",""fi"")"),"Myytin mukaan, jos ihmiset jättävät totuuden huomiotta ja antavat ahneuden vallata itsensä, Reshiram saapuu polttamaan heidän valtakuntansa maan tasalle.")</f>
        <v>Myytin mukaan, jos ihmiset jättävät totuuden huomiotta ja antavat ahneuden vallata itsensä, Reshiram saapuu polttamaan heidän valtakuntansa maan tasalle.</v>
      </c>
      <c r="C7955" s="9" t="s">
        <v>1344</v>
      </c>
    </row>
    <row r="7956" ht="33.75" customHeight="1">
      <c r="A7956" s="6" t="s">
        <v>11738</v>
      </c>
      <c r="B7956" s="6" t="str">
        <f>IFERROR(__xludf.DUMMYFUNCTION("GOOGLETRANSLATE(A7956,""en"",""fi"")"),"Se kätkeytyy salamapilviin ja lentää Unovan alueella. Se luo sähköä pyrstössään.")</f>
        <v>Se kätkeytyy salamapilviin ja lentää Unovan alueella. Se luo sähköä pyrstössään.</v>
      </c>
      <c r="C7956" s="9" t="s">
        <v>1344</v>
      </c>
    </row>
    <row r="7957" ht="33.75" customHeight="1">
      <c r="A7957" s="6" t="s">
        <v>11739</v>
      </c>
      <c r="B7957" s="6" t="str">
        <f>IFERROR(__xludf.DUMMYFUNCTION("GOOGLETRANSLATE(A7957,""en"",""fi"")"),"Tämä Pokémon esiintyy legendoissa. Sen pyrstössä on jättimäinen generaattori, joka tuottaa sähköä.")</f>
        <v>Tämä Pokémon esiintyy legendoissa. Sen pyrstössä on jättimäinen generaattori, joka tuottaa sähköä.</v>
      </c>
      <c r="C7957" s="9" t="s">
        <v>1344</v>
      </c>
    </row>
    <row r="7958" ht="33.75" customHeight="1">
      <c r="A7958" s="6" t="s">
        <v>11741</v>
      </c>
      <c r="B7958" s="6" t="str">
        <f>IFERROR(__xludf.DUMMYFUNCTION("GOOGLETRANSLATE(A7958,""en"",""fi"")"),"Tämä legendaarinen Pokémon voi polttaa maailman salamoilla. Se auttaa niitä, jotka haluavat rakentaa ihanteellisen maailman.")</f>
        <v>Tämä legendaarinen Pokémon voi polttaa maailman salamoilla. Se auttaa niitä, jotka haluavat rakentaa ihanteellisen maailman.</v>
      </c>
      <c r="C7958" s="9" t="s">
        <v>1344</v>
      </c>
    </row>
    <row r="7959" ht="33.75" customHeight="1">
      <c r="A7959" s="6" t="s">
        <v>11742</v>
      </c>
      <c r="B7959" s="6" t="str">
        <f>IFERROR(__xludf.DUMMYFUNCTION("GOOGLETRANSLATE(A7959,""en"",""fi"")"),"Kun Zekromin pyrstön sisäosa pyörii moottorin tavoin, se voi tuottaa useita salamoita räjäyttääkseen ympäristönsä.")</f>
        <v>Kun Zekromin pyrstön sisäosa pyörii moottorin tavoin, se voi tuottaa useita salamoita räjäyttääkseen ympäristönsä.</v>
      </c>
      <c r="C7959" s="9" t="s">
        <v>1344</v>
      </c>
    </row>
    <row r="7960" ht="33.75" customHeight="1">
      <c r="A7960" s="6" t="s">
        <v>11744</v>
      </c>
      <c r="B7960" s="6" t="str">
        <f>IFERROR(__xludf.DUMMYFUNCTION("GOOGLETRANSLATE(A7960,""en"",""fi"")"),"Mytologia kertoo meille, että jos ihmiset menettävät sydämensä vanhurskauden, Zekromin salama tuhoaa heidän valtakuntansa.")</f>
        <v>Mytologia kertoo meille, että jos ihmiset menettävät sydämensä vanhurskauden, Zekromin salama tuhoaa heidän valtakuntansa.</v>
      </c>
      <c r="C7960" s="9" t="s">
        <v>1344</v>
      </c>
    </row>
    <row r="7961" ht="33.75" customHeight="1">
      <c r="A7961" s="6" t="s">
        <v>11745</v>
      </c>
      <c r="B7961" s="6" t="str">
        <f>IFERROR(__xludf.DUMMYFUNCTION("GOOGLETRANSLATE(A7961,""en"",""fi"")"),"Landoruksen vierailemat maat tarjoavat niin runsaan sadon, että sitä on kutsuttu ""peltojen vartijaksi"".")</f>
        <v>Landoruksen vierailemat maat tarjoavat niin runsaan sadon, että sitä on kutsuttu "peltojen vartijaksi".</v>
      </c>
      <c r="C7961" s="9" t="s">
        <v>1344</v>
      </c>
    </row>
    <row r="7962" ht="33.75" customHeight="1">
      <c r="A7962" s="6" t="s">
        <v>11746</v>
      </c>
      <c r="B7962" s="6" t="str">
        <f>IFERROR(__xludf.DUMMYFUNCTION("GOOGLETRANSLATE(A7962,""en"",""fi"")"),"Sen pyrstöstä purkautuva energia lisää maaperän ravinteita, jolloin sadot kasvavat suuriksi.")</f>
        <v>Sen pyrstöstä purkautuva energia lisää maaperän ravinteita, jolloin sadot kasvavat suuriksi.</v>
      </c>
      <c r="C7962" s="9" t="s">
        <v>1344</v>
      </c>
    </row>
    <row r="7963" ht="33.75" customHeight="1">
      <c r="A7963" s="6" t="s">
        <v>11748</v>
      </c>
      <c r="B7963" s="6" t="str">
        <f>IFERROR(__xludf.DUMMYFUNCTION("GOOGLETRANSLATE(A7963,""en"",""fi"")"),"Salaman ja tuulen voimista se luo energiaa, joka antaa ravinteita maaperälle ja tekee maasta runsaan.")</f>
        <v>Salaman ja tuulen voimista se luo energiaa, joka antaa ravinteita maaperälle ja tekee maasta runsaan.</v>
      </c>
      <c r="C7963" s="9" t="s">
        <v>1344</v>
      </c>
    </row>
    <row r="7964" ht="33.75" customHeight="1">
      <c r="A7964" s="6" t="s">
        <v>11749</v>
      </c>
      <c r="B7964" s="6" t="str">
        <f>IFERROR(__xludf.DUMMYFUNCTION("GOOGLETRANSLATE(A7964,""en"",""fi"")"),"Kun tuulen ja salaman inkarnaatiot ottavat yhteen, Landorus saapuu tukahduttamaan konfliktin. Myrskyjen ja ukkosen laantuessa maata siunataan varmasti runsaalla sadolla.")</f>
        <v>Kun tuulen ja salaman inkarnaatiot ottavat yhteen, Landorus saapuu tukahduttamaan konfliktin. Myrskyjen ja ukkosen laantuessa maata siunataan varmasti runsaalla sadolla.</v>
      </c>
      <c r="C7964" s="9" t="s">
        <v>1344</v>
      </c>
    </row>
    <row r="7965" ht="33.75" customHeight="1">
      <c r="A7965" s="6" t="s">
        <v>11751</v>
      </c>
      <c r="B7965" s="6" t="str">
        <f>IFERROR(__xludf.DUMMYFUNCTION("GOOGLETRANSLATE(A7965,""en"",""fi"")"),"Se tuottaa sisällään voimakkaan, jäätävän energian, mutta sen ruumis jähmettyi, kun energia vuoti ulos.")</f>
        <v>Se tuottaa sisällään voimakkaan, jäätävän energian, mutta sen ruumis jähmettyi, kun energia vuoti ulos.</v>
      </c>
      <c r="C7965" s="9" t="s">
        <v>1344</v>
      </c>
    </row>
    <row r="7966" ht="33.75" customHeight="1">
      <c r="A7966" s="6" t="s">
        <v>11752</v>
      </c>
      <c r="B7966" s="6" t="str">
        <f>IFERROR(__xludf.DUMMYFUNCTION("GOOGLETRANSLATE(A7966,""en"",""fi"")"),"Se voi tuottaa erittäin kylmää ilmaa. Sen ruumis on jäässä.")</f>
        <v>Se voi tuottaa erittäin kylmää ilmaa. Sen ruumis on jäässä.</v>
      </c>
      <c r="C7966" s="9" t="s">
        <v>1344</v>
      </c>
    </row>
    <row r="7967" ht="33.75" customHeight="1">
      <c r="A7967" s="6" t="s">
        <v>11756</v>
      </c>
      <c r="B7967" s="6" t="str">
        <f>IFERROR(__xludf.DUMMYFUNCTION("GOOGLETRANSLATE(A7967,""en"",""fi"")"),"Tämä legendaarinen jää-Pokémon odottaa sankaria täyttämään sen puuttuvat osat totuudella tai ihanteilla.")</f>
        <v>Tämä legendaarinen jää-Pokémon odottaa sankaria täyttämään sen puuttuvat osat totuudella tai ihanteilla.</v>
      </c>
      <c r="C7967" s="9" t="s">
        <v>1344</v>
      </c>
    </row>
    <row r="7968" ht="33.75" customHeight="1">
      <c r="A7968" s="6" t="s">
        <v>11758</v>
      </c>
      <c r="B7968" s="6" t="str">
        <f>IFERROR(__xludf.DUMMYFUNCTION("GOOGLETRANSLATE(A7968,""en"",""fi"")"),"Sen sisällä asuu voima, joka on jopa suurempi kuin Reshiramin tai Zekromin, mutta äärimmäinen kylmyys pitää tuon voiman sidottuna.")</f>
        <v>Sen sisällä asuu voima, joka on jopa suurempi kuin Reshiramin tai Zekromin, mutta äärimmäinen kylmyys pitää tuon voiman sidottuna.</v>
      </c>
      <c r="C7968" s="9" t="s">
        <v>1344</v>
      </c>
    </row>
    <row r="7969" ht="33.75" customHeight="1">
      <c r="A7969" s="6" t="s">
        <v>11759</v>
      </c>
      <c r="B7969" s="6" t="str">
        <f>IFERROR(__xludf.DUMMYFUNCTION("GOOGLETRANSLATE(A7969,""en"",""fi"")"),"Näyttää siltä, ​​että tämä Pokémon käyttää jään yli olevia voimiaan jäädyttääkseen oman kehonsa solurakenteensa vakauttamiseksi.")</f>
        <v>Näyttää siltä, ​​että tämä Pokémon käyttää jään yli olevia voimiaan jäädyttääkseen oman kehonsa solurakenteensa vakauttamiseksi.</v>
      </c>
      <c r="C7969" s="9" t="s">
        <v>1344</v>
      </c>
    </row>
    <row r="7970" ht="33.75" customHeight="1">
      <c r="A7970" s="6" t="s">
        <v>11761</v>
      </c>
      <c r="B7970" s="6" t="str">
        <f>IFERROR(__xludf.DUMMYFUNCTION("GOOGLETRANSLATE(A7970,""en"",""fi"")"),"Se voi liitää veden päällä puhaltamalla vettä kavioistaan. Se on erinomainen jalkaliikkeiden käyttämisessä taisteluissa.")</f>
        <v>Se voi liitää veden päällä puhaltamalla vettä kavioistaan. Se on erinomainen jalkaliikkeiden käyttämisessä taisteluissa.</v>
      </c>
      <c r="C7970" s="9" t="s">
        <v>1344</v>
      </c>
    </row>
    <row r="7971" ht="33.75" customHeight="1">
      <c r="A7971" s="6" t="s">
        <v>11762</v>
      </c>
      <c r="B7971" s="6" t="str">
        <f>IFERROR(__xludf.DUMMYFUNCTION("GOOGLETRANSLATE(A7971,""en"",""fi"")"),"Se kulkee halki maailman, virtaa valtamerien ja jokien pintojen yli. Se ilmestyy luonnonkauniille ranta-alueille.")</f>
        <v>Se kulkee halki maailman, virtaa valtamerien ja jokien pintojen yli. Se ilmestyy luonnonkauniille ranta-alueille.</v>
      </c>
      <c r="C7971" s="9" t="s">
        <v>1344</v>
      </c>
    </row>
    <row r="7972" ht="33.75" customHeight="1">
      <c r="A7972" s="6" t="s">
        <v>11764</v>
      </c>
      <c r="B7972" s="6" t="str">
        <f>IFERROR(__xludf.DUMMYFUNCTION("GOOGLETRANSLATE(A7972,""en"",""fi"")"),"Kun se on päättäväinen, sen ruumis täyttyy voimasta ja siitä tulee nopeampi. Sen hypyt ovat silloin liian nopeita seurata.")</f>
        <v>Kun se on päättäväinen, sen ruumis täyttyy voimasta ja siitä tulee nopeampi. Sen hypyt ovat silloin liian nopeita seurata.</v>
      </c>
      <c r="C7972" s="9" t="s">
        <v>1344</v>
      </c>
    </row>
    <row r="7973" ht="33.75" customHeight="1">
      <c r="A7973" s="6" t="s">
        <v>11765</v>
      </c>
      <c r="B7973" s="6" t="str">
        <f>IFERROR(__xludf.DUMMYFUNCTION("GOOGLETRANSLATE(A7973,""en"",""fi"")"),"Cobalion, Terrakion ja Virizion opettivat tälle Pokémonille taistelemaan. Se ryntää halki maailman etsien lisää tilaisuuksia koulutuksensa jatkamiseen.")</f>
        <v>Cobalion, Terrakion ja Virizion opettivat tälle Pokémonille taistelemaan. Se ryntää halki maailman etsien lisää tilaisuuksia koulutuksensa jatkamiseen.</v>
      </c>
      <c r="C7973" s="9" t="s">
        <v>1344</v>
      </c>
    </row>
    <row r="7974" ht="33.75" customHeight="1">
      <c r="A7974" s="6" t="s">
        <v>11767</v>
      </c>
      <c r="B7974" s="6" t="str">
        <f>IFERROR(__xludf.DUMMYFUNCTION("GOOGLETRANSLATE(A7974,""en"",""fi"")"),"He sanovat, että Keldeon täytyy selvitä ankarista taisteluista ja kehittää otsansa sarvi täysin ennen kuin tämän Pokémonin todellinen voima herää.")</f>
        <v>He sanovat, että Keldeon täytyy selvitä ankarista taisteluista ja kehittää otsansa sarvi täysin ennen kuin tämän Pokémonin todellinen voima herää.</v>
      </c>
      <c r="C7974" s="9" t="s">
        <v>1344</v>
      </c>
    </row>
    <row r="7975" ht="33.75" customHeight="1">
      <c r="A7975" s="6" t="s">
        <v>11768</v>
      </c>
      <c r="B7975" s="6" t="str">
        <f>IFERROR(__xludf.DUMMYFUNCTION("GOOGLETRANSLATE(A7975,""en"",""fi"")"),"Sen melodiat lauletaan erityisellä ääntelymenetelmällä, joka voi hallita kuulijoiden tunteita.")</f>
        <v>Sen melodiat lauletaan erityisellä ääntelymenetelmällä, joka voi hallita kuulijoiden tunteita.</v>
      </c>
      <c r="C7975" s="9" t="s">
        <v>1344</v>
      </c>
    </row>
    <row r="7976" ht="33.75" customHeight="1">
      <c r="A7976" s="6" t="s">
        <v>11769</v>
      </c>
      <c r="B7976" s="6" t="str">
        <f>IFERROR(__xludf.DUMMYFUNCTION("GOOGLETRANSLATE(A7976,""en"",""fi"")"),"Monet kuuluisat laulut ovat saaneet inspiraationsa Meloettan soittamista melodioista.")</f>
        <v>Monet kuuluisat laulut ovat saaneet inspiraationsa Meloettan soittamista melodioista.</v>
      </c>
      <c r="C7976" s="9" t="s">
        <v>1344</v>
      </c>
    </row>
    <row r="7977" ht="33.75" customHeight="1">
      <c r="A7977" s="6" t="s">
        <v>11770</v>
      </c>
      <c r="B7977" s="6" t="str">
        <f>IFERROR(__xludf.DUMMYFUNCTION("GOOGLETRANSLATE(A7977,""en"",""fi"")"),"Meloettan laulamilla melodioilla on kyky tehdä niitä kuulevat Pokémonit onnellisiksi tai surullisiksi.")</f>
        <v>Meloettan laulamilla melodioilla on kyky tehdä niitä kuulevat Pokémonit onnellisiksi tai surullisiksi.</v>
      </c>
      <c r="C7977" s="9" t="s">
        <v>1344</v>
      </c>
    </row>
    <row r="7978" ht="33.75" customHeight="1">
      <c r="A7978" s="6" t="s">
        <v>11773</v>
      </c>
      <c r="B7978" s="6" t="str">
        <f>IFERROR(__xludf.DUMMYFUNCTION("GOOGLETRANSLATE(A7978,""en"",""fi"")"),"Yli 300 miljoonaa vuotta sitten sitä pelättiin vahvimpana metsästäjänä. Plasmaryhmä on muokannut sitä.")</f>
        <v>Yli 300 miljoonaa vuotta sitten sitä pelättiin vahvimpana metsästäjänä. Plasmaryhmä on muokannut sitä.</v>
      </c>
      <c r="C7978" s="9" t="s">
        <v>1344</v>
      </c>
    </row>
    <row r="7979" ht="33.75" customHeight="1">
      <c r="A7979" s="6" t="s">
        <v>11774</v>
      </c>
      <c r="B7979" s="6" t="str">
        <f>IFERROR(__xludf.DUMMYFUNCTION("GOOGLETRANSLATE(A7979,""en"",""fi"")"),"Team Plasma muutti tätä muinaista ötökkä-Pokémonia. He päivittivät sen selässä olevaa tykkiä.")</f>
        <v>Team Plasma muutti tätä muinaista ötökkä-Pokémonia. He päivittivät sen selässä olevaa tykkiä.</v>
      </c>
      <c r="C7979" s="9" t="s">
        <v>1344</v>
      </c>
    </row>
    <row r="7980" ht="33.75" customHeight="1">
      <c r="A7980" s="6" t="s">
        <v>11775</v>
      </c>
      <c r="B7980" s="6" t="str">
        <f>IFERROR(__xludf.DUMMYFUNCTION("GOOGLETRANSLATE(A7980,""en"",""fi"")"),"Tämä Pokémon oli olemassa 300 miljoonaa vuotta sitten. Plasmatiimi muutti sitä ja kiinnitti tykin sen selkään.")</f>
        <v>Tämä Pokémon oli olemassa 300 miljoonaa vuotta sitten. Plasmatiimi muutti sitä ja kiinnitti tykin sen selkään.</v>
      </c>
      <c r="C7980" s="9" t="s">
        <v>1344</v>
      </c>
    </row>
    <row r="7981" ht="33.75" customHeight="1">
      <c r="A7981" s="6" t="s">
        <v>11776</v>
      </c>
      <c r="B7981" s="6" t="str">
        <f>IFERROR(__xludf.DUMMYFUNCTION("GOOGLETRANSLATE(A7981,""en"",""fi"")"),"Sen päässä olevat piikit ovat yleensä pehmeät. Kun se taivuttelee niitä, kärjistä tulee niin kovia ja teräviä, että ne voivat lävistää kiven.")</f>
        <v>Sen päässä olevat piikit ovat yleensä pehmeät. Kun se taivuttelee niitä, kärjistä tulee niin kovia ja teräviä, että ne voivat lävistää kiven.</v>
      </c>
      <c r="C7981" s="9" t="s">
        <v>1344</v>
      </c>
    </row>
    <row r="7982" ht="33.75" customHeight="1">
      <c r="A7982" s="6" t="s">
        <v>11777</v>
      </c>
      <c r="B7982" s="6" t="str">
        <f>IFERROR(__xludf.DUMMYFUNCTION("GOOGLETRANSLATE(A7982,""en"",""fi"")"),"Sen pään ja selkärangan peittää niin paksu puukuori, ettei edes kuorma-auton suora osuma säikäyttäisi sitä.")</f>
        <v>Sen pään ja selkärangan peittää niin paksu puukuori, ettei edes kuorma-auton suora osuma säikäyttäisi sitä.</v>
      </c>
      <c r="C7982" s="9" t="s">
        <v>1344</v>
      </c>
    </row>
    <row r="7983" ht="33.75" customHeight="1">
      <c r="A7983" s="6" t="s">
        <v>11779</v>
      </c>
      <c r="B7983" s="6" t="str">
        <f>IFERROR(__xludf.DUMMYFUNCTION("GOOGLETRANSLATE(A7983,""en"",""fi"")"),"Se torjuu petoeläinten hyökkäykset tukevan kuorensa avulla. Se tekee vastahyökkäyksiä terävillä piikeillään.")</f>
        <v>Se torjuu petoeläinten hyökkäykset tukevan kuorensa avulla. Se tekee vastahyökkäyksiä terävillä piikeillään.</v>
      </c>
      <c r="C7983" s="9" t="s">
        <v>1344</v>
      </c>
    </row>
    <row r="7984" ht="33.75" customHeight="1">
      <c r="A7984" s="6" t="s">
        <v>11780</v>
      </c>
      <c r="B7984" s="6" t="str">
        <f>IFERROR(__xludf.DUMMYFUNCTION("GOOGLETRANSLATE(A7984,""en"",""fi"")"),"Ne vahvistavat alavartaloaan törmäämällä toisiinsa. Ne ovat hyvin ystävällisiä eivätkä aloita tappeluita.")</f>
        <v>Ne vahvistavat alavartaloaan törmäämällä toisiinsa. Ne ovat hyvin ystävällisiä eivätkä aloita tappeluita.</v>
      </c>
      <c r="C7984" s="9" t="s">
        <v>1344</v>
      </c>
    </row>
    <row r="7985" ht="33.75" customHeight="1">
      <c r="A7985" s="6" t="s">
        <v>11781</v>
      </c>
      <c r="B7985" s="6" t="str">
        <f>IFERROR(__xludf.DUMMYFUNCTION("GOOGLETRANSLATE(A7985,""en"",""fi"")"),"Sen taklaus on riittävän voimakas kääntämään 50 tonnin painoisen panssarivaunun. Se suojaa liittolaisiaan vaaralta omalla ruumiillaan.")</f>
        <v>Sen taklaus on riittävän voimakas kääntämään 50 tonnin painoisen panssarivaunun. Se suojaa liittolaisiaan vaaralta omalla ruumiillaan.</v>
      </c>
      <c r="C7985" s="9" t="s">
        <v>1344</v>
      </c>
    </row>
    <row r="7986" ht="33.75" customHeight="1">
      <c r="A7986" s="6" t="s">
        <v>11783</v>
      </c>
      <c r="B7986" s="6" t="str">
        <f>IFERROR(__xludf.DUMMYFUNCTION("GOOGLETRANSLATE(A7986,""en"",""fi"")"),"Kun se ottaa puolustusasennon nyrkit kasvojensa edessä, se voisi kestää pommiräjähdyksen.")</f>
        <v>Kun se ottaa puolustusasennon nyrkit kasvojensa edessä, se voisi kestää pommiräjähdyksen.</v>
      </c>
      <c r="C7986" s="9" t="s">
        <v>1344</v>
      </c>
    </row>
    <row r="7987" ht="33.75" customHeight="1">
      <c r="A7987" s="6" t="s">
        <v>11784</v>
      </c>
      <c r="B7987" s="6" t="str">
        <f>IFERROR(__xludf.DUMMYFUNCTION("GOOGLETRANSLATE(A7987,""en"",""fi"")"),"Oksan syöminen täyttää sen energialla, ja sen tilavat korvat päästävät ilmaa, joka on kuumempaa kuin 190 celsiusastetta.")</f>
        <v>Oksan syöminen täyttää sen energialla, ja sen tilavat korvat päästävät ilmaa, joka on kuumempaa kuin 190 celsiusastetta.</v>
      </c>
      <c r="C7987" s="9" t="s">
        <v>1344</v>
      </c>
    </row>
    <row r="7988" ht="33.75" customHeight="1">
      <c r="A7988" s="6" t="s">
        <v>11786</v>
      </c>
      <c r="B7988" s="6" t="str">
        <f>IFERROR(__xludf.DUMMYFUNCTION("GOOGLETRANSLATE(A7988,""en"",""fi"")"),"Kävellessään se mutustaa oksaa välipalan sijasta. Se pelottelee vastustajia puhaltamalla kuumaa ilmaa korvistaan.")</f>
        <v>Kävellessään se mutustaa oksaa välipalan sijasta. Se pelottelee vastustajia puhaltamalla kuumaa ilmaa korvistaan.</v>
      </c>
      <c r="C7988" s="9" t="s">
        <v>1344</v>
      </c>
    </row>
    <row r="7989" ht="33.75" customHeight="1">
      <c r="A7989" s="6" t="s">
        <v>11787</v>
      </c>
      <c r="B7989" s="6" t="str">
        <f>IFERROR(__xludf.DUMMYFUNCTION("GOOGLETRANSLATE(A7989,""en"",""fi"")"),"Sen pyrstössä on oksa juuttunut. Pyrstökarvojen kitkan vaikutuksesta se sytyttää oksan tuleen ja lähtee taisteluun.")</f>
        <v>Sen pyrstössä on oksa juuttunut. Pyrstökarvojen kitkan vaikutuksesta se sytyttää oksan tuleen ja lähtee taisteluun.</v>
      </c>
      <c r="C7989" s="9" t="s">
        <v>1344</v>
      </c>
    </row>
    <row r="7990" ht="33.75" customHeight="1">
      <c r="A7990" s="6" t="s">
        <v>11788</v>
      </c>
      <c r="B7990" s="6" t="str">
        <f>IFERROR(__xludf.DUMMYFUNCTION("GOOGLETRANSLATE(A7990,""en"",""fi"")"),"Kun oksa nyppäätään irti sen pyrstöstä, kitka sytyttää oksan tuleen. Liekkiä käytetään signaalien lähettämiseen liittolaisilleen.")</f>
        <v>Kun oksa nyppäätään irti sen pyrstöstä, kitka sytyttää oksan tuleen. Liekkiä käytetään signaalien lähettämiseen liittolaisilleen.</v>
      </c>
      <c r="C7990" s="9" t="s">
        <v>1344</v>
      </c>
    </row>
    <row r="7991" ht="33.75" customHeight="1">
      <c r="A7991" s="6" t="s">
        <v>11790</v>
      </c>
      <c r="B7991" s="6" t="str">
        <f>IFERROR(__xludf.DUMMYFUNCTION("GOOGLETRANSLATE(A7991,""en"",""fi"")"),"Se tuijottaa oksansa kärjessä olevaa liekkiä saavuttaakseen keskittyneen tilan, jonka avulla se voi nähdä tulevaisuuteen.")</f>
        <v>Se tuijottaa oksansa kärjessä olevaa liekkiä saavuttaakseen keskittyneen tilan, jonka avulla se voi nähdä tulevaisuuteen.</v>
      </c>
      <c r="C7991" s="9" t="s">
        <v>1344</v>
      </c>
    </row>
    <row r="7992" ht="33.75" customHeight="1">
      <c r="A7992" s="6" t="s">
        <v>11791</v>
      </c>
      <c r="B7992" s="6" t="str">
        <f>IFERROR(__xludf.DUMMYFUNCTION("GOOGLETRANSLATE(A7992,""en"",""fi"")"),"Käyttäen psyykkistä voimaa se luo 5 400 Fahrenheit-asteen tulisen pyörteen ja polttaa tähän liekkipyörteeseen ajautuneet viholliset.")</f>
        <v>Käyttäen psyykkistä voimaa se luo 5 400 Fahrenheit-asteen tulisen pyörteen ja polttaa tähän liekkipyörteeseen ajautuneet viholliset.</v>
      </c>
      <c r="C7992" s="9" t="s">
        <v>1344</v>
      </c>
    </row>
    <row r="7993" ht="33.75" customHeight="1">
      <c r="A7993" s="6" t="s">
        <v>11792</v>
      </c>
      <c r="B7993" s="6" t="str">
        <f>IFERROR(__xludf.DUMMYFUNCTION("GOOGLETRANSLATE(A7993,""en"",""fi"")"),"Se erittää joustavia kuplia rinnastaan ​​ja selästään. Kuplat vähentävät vahinkoa, jota se muuten saisi hyökkäyksen sattuessa.")</f>
        <v>Se erittää joustavia kuplia rinnastaan ​​ja selästään. Kuplat vähentävät vahinkoa, jota se muuten saisi hyökkäyksen sattuessa.</v>
      </c>
      <c r="C7993" s="9" t="s">
        <v>1344</v>
      </c>
    </row>
    <row r="7994" ht="33.75" customHeight="1">
      <c r="A7994" s="6" t="s">
        <v>11793</v>
      </c>
      <c r="B7994" s="6" t="str">
        <f>IFERROR(__xludf.DUMMYFUNCTION("GOOGLETRANSLATE(A7994,""en"",""fi"")"),"Se suojaa ihoaan peittämällä kehonsa herkillä kuplilla. Onnellisella letkeällä ilmallaan se pitää silmällä ympäristöään.")</f>
        <v>Se suojaa ihoaan peittämällä kehonsa herkillä kuplilla. Onnellisella letkeällä ilmallaan se pitää silmällä ympäristöään.</v>
      </c>
      <c r="C7994" s="9" t="s">
        <v>1344</v>
      </c>
    </row>
    <row r="7995" ht="33.75" customHeight="1">
      <c r="A7995" s="6" t="s">
        <v>11794</v>
      </c>
      <c r="B7995" s="6" t="str">
        <f>IFERROR(__xludf.DUMMYFUNCTION("GOOGLETRANSLATE(A7995,""en"",""fi"")"),"Se voi heittää kuplien peittämiä kiviä tarkasti ja osua tyhjiin tölkkeihin jopa noin 30 metrin päähän.")</f>
        <v>Se voi heittää kuplien peittämiä kiviä tarkasti ja osua tyhjiin tölkkeihin jopa noin 30 metrin päähän.</v>
      </c>
      <c r="C7995" s="9" t="s">
        <v>1344</v>
      </c>
    </row>
    <row r="7996" ht="33.75" customHeight="1">
      <c r="A7996" s="6" t="s">
        <v>11795</v>
      </c>
      <c r="B7996" s="6" t="str">
        <f>IFERROR(__xludf.DUMMYFUNCTION("GOOGLETRANSLATE(A7996,""en"",""fi"")"),"Sen nopeus on vertaansa vailla. Se voi kiivetä yli 600 metrin korkuiseen torniin minuutissa.")</f>
        <v>Sen nopeus on vertaansa vailla. Se voi kiivetä yli 600 metrin korkuiseen torniin minuutissa.</v>
      </c>
      <c r="C7996" s="9" t="s">
        <v>1344</v>
      </c>
    </row>
    <row r="7997" ht="33.75" customHeight="1">
      <c r="A7997" s="6" t="s">
        <v>11796</v>
      </c>
      <c r="B7997" s="6" t="str">
        <f>IFERROR(__xludf.DUMMYFUNCTION("GOOGLETRANSLATE(A7997,""en"",""fi"")"),"Se luo heittotähtiä puristetusta vedestä. Kun se pyörittää ja heittää niitä suurella nopeudella, nämä tähdet voivat halkaista metallin kahtia.")</f>
        <v>Se luo heittotähtiä puristetusta vedestä. Kun se pyörittää ja heittää niitä suurella nopeudella, nämä tähdet voivat halkaista metallin kahtia.</v>
      </c>
      <c r="C7997" s="9" t="s">
        <v>1344</v>
      </c>
    </row>
    <row r="7998" ht="33.75" customHeight="1">
      <c r="A7998" s="6" t="s">
        <v>11797</v>
      </c>
      <c r="B7998" s="6" t="str">
        <f>IFERROR(__xludf.DUMMYFUNCTION("GOOGLETRANSLATE(A7998,""en"",""fi"")"),"Se ilmestyy ja katoaa ninjan armollisuudella. Se leikittelee vihollistensa kanssa nopeilla liikkeillä ja viiltää heitä terävimmällä vesimäärällä heittävillä tähdillä.")</f>
        <v>Se ilmestyy ja katoaa ninjan armollisuudella. Se leikittelee vihollistensa kanssa nopeilla liikkeillä ja viiltää heitä terävimmällä vesimäärällä heittävillä tähdillä.</v>
      </c>
      <c r="C7998" s="9" t="s">
        <v>1344</v>
      </c>
    </row>
    <row r="7999" ht="33.75" customHeight="1">
      <c r="A7999" s="6" t="s">
        <v>11798</v>
      </c>
      <c r="B7999" s="6" t="str">
        <f>IFERROR(__xludf.DUMMYFUNCTION("GOOGLETRANSLATE(A7999,""en"",""fi"")"),"Ne kaivavat kolojaan suurilla korvillaan. Ne kaivavat niitä koko yön.")</f>
        <v>Ne kaivavat kolojaan suurilla korvillaan. Ne kaivavat niitä koko yön.</v>
      </c>
      <c r="C7999" s="9" t="s">
        <v>1344</v>
      </c>
    </row>
    <row r="8000" ht="33.75" customHeight="1">
      <c r="A8000" s="6" t="s">
        <v>11800</v>
      </c>
      <c r="B8000" s="6" t="str">
        <f>IFERROR(__xludf.DUMMYFUNCTION("GOOGLETRANSLATE(A8000,""en"",""fi"")"),"Sen korvat ovat kuin lapiolla. Kuoppien kaivaminen vahvistaa sen korvia niin paljon, että ne voivat katkaista paksut juuret vaivattomasti.")</f>
        <v>Sen korvat ovat kuin lapiolla. Kuoppien kaivaminen vahvistaa sen korvia niin paljon, että ne voivat katkaista paksut juuret vaivattomasti.</v>
      </c>
      <c r="C8000" s="9" t="s">
        <v>1344</v>
      </c>
    </row>
    <row r="8001" ht="33.75" customHeight="1">
      <c r="A8001" s="6" t="s">
        <v>11802</v>
      </c>
      <c r="B8001" s="6" t="str">
        <f>IFERROR(__xludf.DUMMYFUNCTION("GOOGLETRANSLATE(A8001,""en"",""fi"")"),"Se on erinomainen kuoppien kaivaja. Korviaan käyttäen se voi kaivaa 10 metriä syvän pesän yhdessä yössä.")</f>
        <v>Se on erinomainen kuoppien kaivaja. Korviaan käyttäen se voi kaivaa 10 metriä syvän pesän yhdessä yössä.</v>
      </c>
      <c r="C8001" s="9" t="s">
        <v>1344</v>
      </c>
    </row>
    <row r="8002" ht="33.75" customHeight="1">
      <c r="A8002" s="6" t="s">
        <v>11803</v>
      </c>
      <c r="B8002" s="6" t="str">
        <f>IFERROR(__xludf.DUMMYFUNCTION("GOOGLETRANSLATE(A8002,""en"",""fi"")"),"Se on hyvin herkkä vaaralle. Corviknightin räpyttelyn ääni saa Bunnelbyn kaivamaan kuopan piiloutuakseen maan alle hetkessä.")</f>
        <v>Se on hyvin herkkä vaaralle. Corviknightin räpyttelyn ääni saa Bunnelbyn kaivamaan kuopan piiloutuakseen maan alle hetkessä.</v>
      </c>
      <c r="C8002" s="9" t="s">
        <v>1344</v>
      </c>
    </row>
    <row r="8003" ht="33.75" customHeight="1">
      <c r="A8003" s="6" t="s">
        <v>11806</v>
      </c>
      <c r="B8003" s="6" t="str">
        <f>IFERROR(__xludf.DUMMYFUNCTION("GOOGLETRANSLATE(A8003,""en"",""fi"")"),"Voimakkaiden korviensa ansiosta ne voivat nostaa vaivattomasti tonnin tai jopa suurempia lohkareita. Ne voivat olla suureksi avuksi rakennustyömailla.")</f>
        <v>Voimakkaiden korviensa ansiosta ne voivat nostaa vaivattomasti tonnin tai jopa suurempia lohkareita. Ne voivat olla suureksi avuksi rakennustyömailla.</v>
      </c>
      <c r="C8003" s="9" t="s">
        <v>1344</v>
      </c>
    </row>
    <row r="8004" ht="33.75" customHeight="1">
      <c r="A8004" s="6" t="s">
        <v>11809</v>
      </c>
      <c r="B8004" s="6" t="str">
        <f>IFERROR(__xludf.DUMMYFUNCTION("GOOGLETRANSLATE(A8004,""en"",""fi"")"),"Yhtä tehokas kuin kaivinkone, sen korvat voivat jauhaa tiheän kallioperän rouheeksi. Kaivamisen jälkeen se lekottelee laiskasti.")</f>
        <v>Yhtä tehokas kuin kaivinkone, sen korvat voivat jauhaa tiheän kallioperän rouheeksi. Kaivamisen jälkeen se lekottelee laiskasti.</v>
      </c>
      <c r="C8004" s="9" t="s">
        <v>1344</v>
      </c>
    </row>
    <row r="8005" ht="33.75" customHeight="1">
      <c r="A8005" s="6" t="s">
        <v>11810</v>
      </c>
      <c r="B8005" s="6" t="str">
        <f>IFERROR(__xludf.DUMMYFUNCTION("GOOGLETRANSLATE(A8005,""en"",""fi"")"),"Kaivinkoneen tehon ansiosta se voi kaivaa tiheän kallioperän läpi. Se on valtava apu tunnelinrakennuksessa.")</f>
        <v>Kaivinkoneen tehon ansiosta se voi kaivaa tiheän kallioperän läpi. Se on valtava apu tunnelinrakennuksessa.</v>
      </c>
      <c r="C8005" s="9" t="s">
        <v>1344</v>
      </c>
    </row>
    <row r="8006" ht="33.75" customHeight="1">
      <c r="A8006" s="6" t="s">
        <v>11812</v>
      </c>
      <c r="B8006" s="6" t="str">
        <f>IFERROR(__xludf.DUMMYFUNCTION("GOOGLETRANSLATE(A8006,""en"",""fi"")"),"Sen vatsan turkki pitää lämmön poikkeuksellisen hyvin. Ihmiset tekivät ennen raskaita talvivaatteita tämän Pokémonin karvasta.")</f>
        <v>Sen vatsan turkki pitää lämmön poikkeuksellisen hyvin. Ihmiset tekivät ennen raskaita talvivaatteita tämän Pokémonin karvasta.</v>
      </c>
      <c r="C8006" s="9" t="s">
        <v>1344</v>
      </c>
    </row>
    <row r="8007" ht="33.75" customHeight="1">
      <c r="A8007" s="6" t="s">
        <v>11814</v>
      </c>
      <c r="B8007" s="6" t="str">
        <f>IFERROR(__xludf.DUMMYFUNCTION("GOOGLETRANSLATE(A8007,""en"",""fi"")"),"Nämä ystävälliset Pokémonit lähettävät signaaleja toisilleen kauniilla viserryksillä ja pyrstön ja höyhenen liikkeillä.")</f>
        <v>Nämä ystävälliset Pokémonit lähettävät signaaleja toisilleen kauniilla viserryksillä ja pyrstön ja höyhenen liikkeillä.</v>
      </c>
      <c r="C8007" s="9" t="s">
        <v>1344</v>
      </c>
    </row>
    <row r="8008" ht="33.75" customHeight="1">
      <c r="A8008" s="6" t="s">
        <v>11816</v>
      </c>
      <c r="B8008" s="6" t="str">
        <f>IFERROR(__xludf.DUMMYFUNCTION("GOOGLETRANSLATE(A8008,""en"",""fi"")"),"Kauniista ja sointuvasta äänestään huolimatta se on armoton alueelleen tunkeileville tunkeilijoille.")</f>
        <v>Kauniista ja sointuvasta äänestään huolimatta se on armoton alueelleen tunkeileville tunkeilijoille.</v>
      </c>
      <c r="C8008" s="9" t="s">
        <v>1344</v>
      </c>
    </row>
    <row r="8009" ht="33.75" customHeight="1">
      <c r="A8009" s="6" t="s">
        <v>11817</v>
      </c>
      <c r="B8009" s="6" t="str">
        <f>IFERROR(__xludf.DUMMYFUNCTION("GOOGLETRANSLATE(A8009,""en"",""fi"")"),"Tämä ystävällinen Pokémon on helppo kouluttaa. Mutta taisteluun astuessa se näyttää raivoisan puolensa.")</f>
        <v>Tämä ystävällinen Pokémon on helppo kouluttaa. Mutta taisteluun astuessa se näyttää raivoisan puolensa.</v>
      </c>
      <c r="C8009" s="9" t="s">
        <v>1344</v>
      </c>
    </row>
    <row r="8010" ht="33.75" customHeight="1">
      <c r="A8010" s="6" t="s">
        <v>11819</v>
      </c>
      <c r="B8010" s="6" t="str">
        <f>IFERROR(__xludf.DUMMYFUNCTION("GOOGLETRANSLATE(A8010,""en"",""fi"")"),"Kun se on innoissaan, sen lämpötila voi kaksinkertaistua, mikä lisää hormonien tuotantoa kehossa.")</f>
        <v>Kun se on innoissaan, sen lämpötila voi kaksinkertaistua, mikä lisää hormonien tuotantoa kehossa.</v>
      </c>
      <c r="C8010" s="9" t="s">
        <v>1344</v>
      </c>
    </row>
    <row r="8011" ht="33.75" customHeight="1">
      <c r="A8011" s="6" t="s">
        <v>11820</v>
      </c>
      <c r="B8011" s="6" t="str">
        <f>IFERROR(__xludf.DUMMYFUNCTION("GOOGLETRANSLATE(A8011,""en"",""fi"")"),"Vaikka se onkin ystävällinen Pokémon, jos kosket siihen odottamatta, se kuumentaa kehonsa hetkessä ja poltat itsesi.")</f>
        <v>Vaikka se onkin ystävällinen Pokémon, jos kosket siihen odottamatta, se kuumentaa kehonsa hetkessä ja poltat itsesi.</v>
      </c>
      <c r="C8011" s="9" t="s">
        <v>1344</v>
      </c>
    </row>
    <row r="8012" ht="33.75" customHeight="1">
      <c r="A8012" s="6" t="s">
        <v>11822</v>
      </c>
      <c r="B8012" s="6" t="str">
        <f>IFERROR(__xludf.DUMMYFUNCTION("GOOGLETRANSLATE(A8012,""en"",""fi"")"),"Sen ruumis on aina lämmin. Kylmillä alueilla asuvat kouluttajat ilmeisesti nukkuvat sen kanssa sängyssään.")</f>
        <v>Sen ruumis on aina lämmin. Kylmillä alueilla asuvat kouluttajat ilmeisesti nukkuvat sen kanssa sängyssään.</v>
      </c>
      <c r="C8012" s="9" t="s">
        <v>1344</v>
      </c>
    </row>
    <row r="8013" ht="33.75" customHeight="1">
      <c r="A8013" s="6" t="s">
        <v>11823</v>
      </c>
      <c r="B8013" s="6" t="str">
        <f>IFERROR(__xludf.DUMMYFUNCTION("GOOGLETRANSLATE(A8013,""en"",""fi"")"),"Sen melodiset huudot ovat itse asiassa varoitusmerkkejä. Fletchling nokkii armottomasti kaikkea, mikä astuu sen alueelle.")</f>
        <v>Sen melodiset huudot ovat itse asiassa varoitusmerkkejä. Fletchling nokkii armottomasti kaikkea, mikä astuu sen alueelle.</v>
      </c>
      <c r="C8013" s="9" t="s">
        <v>1344</v>
      </c>
    </row>
    <row r="8014" ht="33.75" customHeight="1">
      <c r="A8014" s="6" t="s">
        <v>11824</v>
      </c>
      <c r="B8014" s="6" t="str">
        <f>IFERROR(__xludf.DUMMYFUNCTION("GOOGLETRANSLATE(A8014,""en"",""fi"")"),"Kun tämä Pokémon innostuu, sen ruumiinlämpö nousee jyrkästi. Jos kosket Fletchlingiin paljain käsin, saatat saada palovamman.")</f>
        <v>Kun tämä Pokémon innostuu, sen ruumiinlämpö nousee jyrkästi. Jos kosket Fletchlingiin paljain käsin, saatat saada palovamman.</v>
      </c>
      <c r="C8014" s="9" t="s">
        <v>1344</v>
      </c>
    </row>
    <row r="8015" ht="33.75" customHeight="1">
      <c r="A8015" s="6" t="s">
        <v>11825</v>
      </c>
      <c r="B8015" s="6" t="str">
        <f>IFERROR(__xludf.DUMMYFUNCTION("GOOGLETRANSLATE(A8015,""en"",""fi"")"),"Nokastaan ​​se työntää ulos hiiliä, jotka sytyttävät korkean ruohon tuleen. Sitten se hyökkää hämmentyneen saaliin kimppuun, joka ponnahtaa esiin ruohosta.")</f>
        <v>Nokastaan ​​se työntää ulos hiiliä, jotka sytyttävät korkean ruohon tuleen. Sitten se hyökkää hämmentyneen saaliin kimppuun, joka ponnahtaa esiin ruohosta.</v>
      </c>
      <c r="C8015" s="9" t="s">
        <v>1344</v>
      </c>
    </row>
    <row r="8016" ht="33.75" customHeight="1">
      <c r="A8016" s="6" t="s">
        <v>11827</v>
      </c>
      <c r="B8016" s="6" t="str">
        <f>IFERROR(__xludf.DUMMYFUNCTION("GOOGLETRANSLATE(A8016,""en"",""fi"")"),"Mitä kuumempi sen vatsassa oleva liekkipussi on, sitä nopeammin se voi lentää, mutta tulen sytyttämiseen menee jonkin aikaa.")</f>
        <v>Mitä kuumempi sen vatsassa oleva liekkipussi on, sitä nopeammin se voi lentää, mutta tulen sytyttämiseen menee jonkin aikaa.</v>
      </c>
      <c r="C8016" s="9" t="s">
        <v>1344</v>
      </c>
    </row>
    <row r="8017" ht="33.75" customHeight="1">
      <c r="A8017" s="6" t="s">
        <v>11829</v>
      </c>
      <c r="B8017" s="6" t="str">
        <f>IFERROR(__xludf.DUMMYFUNCTION("GOOGLETRANSLATE(A8017,""en"",""fi"")"),"Nokastaan ​​se ampuu saalistaan ​​hiiliä. Kun se on saanut saaliinsa kiinni, se grillaa ne kuumalla lämmöllä ennen kuin herkutelee niillä.")</f>
        <v>Nokastaan ​​se ampuu saalistaan ​​hiiliä. Kun se on saanut saaliinsa kiinni, se grillaa ne kuumalla lämmöllä ennen kuin herkutelee niillä.</v>
      </c>
      <c r="C8017" s="9" t="s">
        <v>1344</v>
      </c>
    </row>
    <row r="8018" ht="33.75" customHeight="1">
      <c r="A8018" s="6" t="s">
        <v>11830</v>
      </c>
      <c r="B8018" s="6" t="str">
        <f>IFERROR(__xludf.DUMMYFUNCTION("GOOGLETRANSLATE(A8018,""en"",""fi"")"),"Se ei siedä muiden Fletchinder-heimon jäsenten saapumista alueelleen, jonka säde on useita maileja.")</f>
        <v>Se ei siedä muiden Fletchinder-heimon jäsenten saapumista alueelleen, jonka säde on useita maileja.</v>
      </c>
      <c r="C8018" s="9" t="s">
        <v>1344</v>
      </c>
    </row>
    <row r="8019" ht="33.75" customHeight="1">
      <c r="A8019" s="6" t="s">
        <v>11831</v>
      </c>
      <c r="B8019" s="6" t="str">
        <f>IFERROR(__xludf.DUMMYFUNCTION("GOOGLETRANSLATE(A8019,""en"",""fi"")"),"Se sirottelee hiiliä korkeaan ruohoon. Sitten liekkien säikäyttämät Bug-Pokémonit lentävät esiin, ja Fletchinder hotkaisee ne.")</f>
        <v>Se sirottelee hiiliä korkeaan ruohoon. Sitten liekkien säikäyttämät Bug-Pokémonit lentävät esiin, ja Fletchinder hotkaisee ne.</v>
      </c>
      <c r="C8019" s="9" t="s">
        <v>1344</v>
      </c>
    </row>
    <row r="8020" ht="33.75" customHeight="1">
      <c r="A8020" s="6" t="s">
        <v>11832</v>
      </c>
      <c r="B8020" s="6" t="str">
        <f>IFERROR(__xludf.DUMMYFUNCTION("GOOGLETRANSLATE(A8020,""en"",""fi"")"),"Sen nopeus heti nousun jälkeen asettaa sen jo kaikkien lintu-Pokémonien huippunopeuteen.")</f>
        <v>Sen nopeus heti nousun jälkeen asettaa sen jo kaikkien lintu-Pokémonien huippunopeuteen.</v>
      </c>
      <c r="C8020" s="9" t="s">
        <v>1344</v>
      </c>
    </row>
    <row r="8021" ht="33.75" customHeight="1">
      <c r="A8021" s="6" t="s">
        <v>11834</v>
      </c>
      <c r="B8021" s="6" t="str">
        <f>IFERROR(__xludf.DUMMYFUNCTION("GOOGLETRANSLATE(A8021,""en"",""fi"")"),"Fletchinder heittää hiiliä saaliinsa pesään. Kun saalis hyppää ulos, Fletchinderin terävät kynnet viimeistelevät sen.")</f>
        <v>Fletchinder heittää hiiliä saaliinsa pesään. Kun saalis hyppää ulos, Fletchinderin terävät kynnet viimeistelevät sen.</v>
      </c>
      <c r="C8021" s="9" t="s">
        <v>1344</v>
      </c>
    </row>
    <row r="8022" ht="33.75" customHeight="1">
      <c r="A8022" s="6" t="s">
        <v>11835</v>
      </c>
      <c r="B8022" s="6" t="str">
        <f>IFERROR(__xludf.DUMMYFUNCTION("GOOGLETRANSLATE(A8022,""en"",""fi"")"),"Fletchinder-pokémonit ovat äärimmäisen reviiritietoisia ja aggressiivisia. Nämä Pokémonit taistelevat keskenään ruokailupaikoista.")</f>
        <v>Fletchinder-pokémonit ovat äärimmäisen reviiritietoisia ja aggressiivisia. Nämä Pokémonit taistelevat keskenään ruokailupaikoista.</v>
      </c>
      <c r="C8022" s="9" t="s">
        <v>1344</v>
      </c>
    </row>
    <row r="8023" ht="33.75" customHeight="1">
      <c r="A8023" s="6" t="s">
        <v>11836</v>
      </c>
      <c r="B8023" s="6" t="str">
        <f>IFERROR(__xludf.DUMMYFUNCTION("GOOGLETRANSLATE(A8023,""en"",""fi"")"),"Jännittävän taistelun kuumeessa se suihkuttaa hiiliä höyheniensä välistä ja nousee ilmaan.")</f>
        <v>Jännittävän taistelun kuumeessa se suihkuttaa hiiliä höyheniensä välistä ja nousee ilmaan.</v>
      </c>
      <c r="C8023" s="9" t="s">
        <v>1344</v>
      </c>
    </row>
    <row r="8024" ht="33.75" customHeight="1">
      <c r="A8024" s="6" t="s">
        <v>11837</v>
      </c>
      <c r="B8024" s="6" t="str">
        <f>IFERROR(__xludf.DUMMYFUNCTION("GOOGLETRANSLATE(A8024,""en"",""fi"")"),"Saalistaan ​​hyökätessään se voi saavuttaa jopa 500 km/h nopeuden. Se viimeistelee saaliinsa valtavalla potkulla.")</f>
        <v>Saalistaan ​​hyökätessään se voi saavuttaa jopa 500 km/h nopeuden. Se viimeistelee saaliinsa valtavalla potkulla.</v>
      </c>
      <c r="C8024" s="9" t="s">
        <v>1344</v>
      </c>
    </row>
    <row r="8025" ht="33.75" customHeight="1">
      <c r="A8025" s="6" t="s">
        <v>11838</v>
      </c>
      <c r="B8025" s="6" t="str">
        <f>IFERROR(__xludf.DUMMYFUNCTION("GOOGLETRANSLATE(A8025,""en"",""fi"")"),"Sen lempiruokaa ovat wingull ja pikipek. Se hyökkää voimakkaalla potkulla ja tarttuu niihin lujasti kynsiinsä.")</f>
        <v>Sen lempiruokaa ovat wingull ja pikipek. Se hyökkää voimakkaalla potkulla ja tarttuu niihin lujasti kynsiinsä.</v>
      </c>
      <c r="C8025" s="9" t="s">
        <v>1344</v>
      </c>
    </row>
    <row r="8026" ht="33.75" customHeight="1">
      <c r="A8026" s="6" t="s">
        <v>11839</v>
      </c>
      <c r="B8026" s="6" t="str">
        <f>IFERROR(__xludf.DUMMYFUNCTION("GOOGLETRANSLATE(A8026,""en"",""fi"")"),"Se kiitää suoraan saalistaan ​​lähes 500 km/h lentonopeudella, samalla kun tulisia hiiliä leviää sen höyhenten raoista.")</f>
        <v>Se kiitää suoraan saalistaan ​​lähes 500 km/h lentonopeudella, samalla kun tulisia hiiliä leviää sen höyhenten raoista.</v>
      </c>
      <c r="C8026" s="9" t="s">
        <v>1344</v>
      </c>
    </row>
    <row r="8027" ht="33.75" customHeight="1">
      <c r="A8027" s="6" t="s">
        <v>11840</v>
      </c>
      <c r="B8027" s="6" t="str">
        <f>IFERROR(__xludf.DUMMYFUNCTION("GOOGLETRANSLATE(A8027,""en"",""fi"")"),"Sen kovat siivet eivät päästä tulta läpi. Kauan sitten palomiesten varusteet tehtiin Talonflame-siivistä.")</f>
        <v>Sen kovat siivet eivät päästä tulta läpi. Kauan sitten palomiesten varusteet tehtiin Talonflame-siivistä.</v>
      </c>
      <c r="C8027" s="9" t="s">
        <v>1344</v>
      </c>
    </row>
    <row r="8028" ht="33.75" customHeight="1">
      <c r="A8028" s="6" t="s">
        <v>11841</v>
      </c>
      <c r="B8028" s="6" t="str">
        <f>IFERROR(__xludf.DUMMYFUNCTION("GOOGLETRANSLATE(A8028,""en"",""fi"")"),"Lintu-Pokémonit muodostavat suurimman osan sen ruokavaliosta. Se lähestyy kovalla nopeudella ja paiskaa ne maahan voimakkaalla potkullaan.")</f>
        <v>Lintu-Pokémonit muodostavat suurimman osan sen ruokavaliosta. Se lähestyy kovalla nopeudella ja paiskaa ne maahan voimakkaalla potkullaan.</v>
      </c>
      <c r="C8028" s="9" t="s">
        <v>1344</v>
      </c>
    </row>
    <row r="8029" ht="33.75" customHeight="1">
      <c r="A8029" s="6" t="s">
        <v>11842</v>
      </c>
      <c r="B8029" s="6" t="str">
        <f>IFERROR(__xludf.DUMMYFUNCTION("GOOGLETRANSLATE(A8029,""en"",""fi"")"),"Talonflame saalistaa pääasiassa muita lintu-Pokémoneja. Pelotellakseen vastustajiaan se lähettää hiiliä sylkemällä höyheniensä välistä.")</f>
        <v>Talonflame saalistaa pääasiassa muita lintu-Pokémoneja. Pelotellakseen vastustajiaan se lähettää hiiliä sylkemällä höyheniensä välistä.</v>
      </c>
      <c r="C8029" s="9" t="s">
        <v>1344</v>
      </c>
    </row>
    <row r="8030" ht="33.75" customHeight="1">
      <c r="A8030" s="6" t="s">
        <v>11843</v>
      </c>
      <c r="B8030" s="6" t="str">
        <f>IFERROR(__xludf.DUMMYFUNCTION("GOOGLETRANSLATE(A8030,""en"",""fi"")"),"Talonflame syöksyy saalista kohti jopa 500 km/h nopeudella ja hyökkää sen kimppuun voimakkailla potkuilla antamatta saaliille mitään mahdollisuutta paeta.")</f>
        <v>Talonflame syöksyy saalista kohti jopa 500 km/h nopeudella ja hyökkää sen kimppuun voimakkailla potkuilla antamatta saaliille mitään mahdollisuutta paeta.</v>
      </c>
      <c r="C8030" s="9" t="s">
        <v>1344</v>
      </c>
    </row>
    <row r="8031" ht="33.75" customHeight="1">
      <c r="A8031" s="6" t="s">
        <v>11844</v>
      </c>
      <c r="B8031" s="6" t="str">
        <f>IFERROR(__xludf.DUMMYFUNCTION("GOOGLETRANSLATE(A8031,""en"",""fi"")"),"Lintu-Pokémonin hyökkäyksen kohteeksi joutuessaan se sylkee myrkyllistä mustaa ruutia, joka aiheuttaa osuessaan halvaantumisen.")</f>
        <v>Lintu-Pokémonin hyökkäyksen kohteeksi joutuessaan se sylkee myrkyllistä mustaa ruutia, joka aiheuttaa osuessaan halvaantumisen.</v>
      </c>
      <c r="C8031" s="9" t="s">
        <v>1344</v>
      </c>
    </row>
    <row r="8032" ht="33.75" customHeight="1">
      <c r="A8032" s="6" t="s">
        <v>11845</v>
      </c>
      <c r="B8032" s="6" t="str">
        <f>IFERROR(__xludf.DUMMYFUNCTION("GOOGLETRANSLATE(A8032,""en"",""fi"")"),"Sen kehoa peittävä jauhe säätelee sen lämpötilaa, joten se voi elää missä tahansa alueella tai ilmastossa.")</f>
        <v>Sen kehoa peittävä jauhe säätelee sen lämpötilaa, joten se voi elää missä tahansa alueella tai ilmastossa.</v>
      </c>
      <c r="C8032" s="9" t="s">
        <v>1344</v>
      </c>
    </row>
    <row r="8033" ht="33.75" customHeight="1">
      <c r="A8033" s="6" t="s">
        <v>11847</v>
      </c>
      <c r="B8033" s="6" t="str">
        <f>IFERROR(__xludf.DUMMYFUNCTION("GOOGLETRANSLATE(A8033,""en"",""fi"")"),"Se elää piilossa tiheikön varjoissa. Kun saalistajat hyökkäävät, se nostaa nopeasti karvansa harjakseen yrittäessään uhata niitä.")</f>
        <v>Se elää piilossa tiheikön varjoissa. Kun saalistajat hyökkäävät, se nostaa nopeasti karvansa harjakseen yrittäessään uhata niitä.</v>
      </c>
      <c r="C8033" s="9" t="s">
        <v>1344</v>
      </c>
    </row>
    <row r="8034" ht="33.75" customHeight="1">
      <c r="A8034" s="6" t="s">
        <v>11848</v>
      </c>
      <c r="B8034" s="6" t="str">
        <f>IFERROR(__xludf.DUMMYFUNCTION("GOOGLETRANSLATE(A8034,""en"",""fi"")"),"Lintu-Pokémonin nokka ei voi alkaa raapimaan sen vankkaa ruumista. Puolustautuakseen se sylkee jauhetta.")</f>
        <v>Lintu-Pokémonin nokka ei voi alkaa raapimaan sen vankkaa ruumista. Puolustautuakseen se sylkee jauhetta.</v>
      </c>
      <c r="C8034" s="9" t="s">
        <v>1344</v>
      </c>
    </row>
    <row r="8035" ht="33.75" customHeight="1">
      <c r="A8035" s="6" t="s">
        <v>11850</v>
      </c>
      <c r="B8035" s="6" t="str">
        <f>IFERROR(__xludf.DUMMYFUNCTION("GOOGLETRANSLATE(A8035,""en"",""fi"")"),"Monia erilaisia ​​kuvioita omaavia Vivillon-lajikkeita löytyy kaikkialta maailmasta. Näihin kuvioihin vaikuttaa niiden elinympäristön ilmasto.")</f>
        <v>Monia erilaisia ​​kuvioita omaavia Vivillon-lajikkeita löytyy kaikkialta maailmasta. Näihin kuvioihin vaikuttaa niiden elinympäristön ilmasto.</v>
      </c>
      <c r="C8035" s="9" t="s">
        <v>1344</v>
      </c>
    </row>
    <row r="8036" ht="33.75" customHeight="1">
      <c r="A8036" s="6" t="s">
        <v>11851</v>
      </c>
      <c r="B8036" s="6" t="str">
        <f>IFERROR(__xludf.DUMMYFUNCTION("GOOGLETRANSLATE(A8036,""en"",""fi"")"),"Tämän Pokémonin siipien kuviot riippuvat sen elinympäristön ilmastosta ja topografiasta. Se levittää värikkäitä suomuja.")</f>
        <v>Tämän Pokémonin siipien kuviot riippuvat sen elinympäristön ilmastosta ja topografiasta. Se levittää värikkäitä suomuja.</v>
      </c>
      <c r="C8036" s="9" t="s">
        <v>1344</v>
      </c>
    </row>
    <row r="8037" ht="33.75" customHeight="1">
      <c r="A8037" s="6" t="s">
        <v>11852</v>
      </c>
      <c r="B8037" s="6" t="str">
        <f>IFERROR(__xludf.DUMMYFUNCTION("GOOGLETRANSLATE(A8037,""en"",""fi"")"),"Mitä vahvemman vihollisen se kohtaa, sitä enemmän lämpöä purkautuu sen harjasta ja sitä enemmän voimaa virtaa sen kehon läpi.")</f>
        <v>Mitä vahvemman vihollisen se kohtaa, sitä enemmän lämpöä purkautuu sen harjasta ja sitä enemmän voimaa virtaa sen kehon läpi.</v>
      </c>
      <c r="C8037" s="9" t="s">
        <v>1344</v>
      </c>
    </row>
    <row r="8038" ht="33.75" customHeight="1">
      <c r="A8038" s="6" t="s">
        <v>11854</v>
      </c>
      <c r="B8038" s="6" t="str">
        <f>IFERROR(__xludf.DUMMYFUNCTION("GOOGLETRANSLATE(A8038,""en"",""fi"")"),"Ne lähtevät ylpeydestään omille teilleen ja elävät omilla jaloillaan tullakseen vahvemmiksi. Nämä kuumaveriset Pokémonit ovat nopeita taistelemaan.")</f>
        <v>Ne lähtevät ylpeydestään omille teilleen ja elävät omilla jaloillaan tullakseen vahvemmiksi. Nämä kuumaveriset Pokémonit ovat nopeita taistelemaan.</v>
      </c>
      <c r="C8038" s="9" t="s">
        <v>1344</v>
      </c>
    </row>
    <row r="8039" ht="33.75" customHeight="1">
      <c r="A8039" s="6" t="s">
        <v>11857</v>
      </c>
      <c r="B8039" s="6" t="str">
        <f>IFERROR(__xludf.DUMMYFUNCTION("GOOGLETRANSLATE(A8039,""en"",""fi"")"),"Nuorena ne elävät ylpeänä. Kun ne pystyvät metsästämään saalista itse, ne häädetään ulos ja niiden on löydettävä oma tietään.")</f>
        <v>Nuorena ne elävät ylpeänä. Kun ne pystyvät metsästämään saalista itse, ne häädetään ulos ja niiden on löydettävä oma tietään.</v>
      </c>
      <c r="C8039" s="9" t="s">
        <v>1344</v>
      </c>
    </row>
    <row r="8040" ht="33.75" customHeight="1">
      <c r="A8040" s="6" t="s">
        <v>11859</v>
      </c>
      <c r="B8040" s="6" t="str">
        <f>IFERROR(__xludf.DUMMYFUNCTION("GOOGLETRANSLATE(A8040,""en"",""fi"")"),"Tämä kuumaverinen Pokémon on täynnä uteliaisuutta. Kun se suuttuu tai alkaa taistella, sen lyhyt harja kuumenee.")</f>
        <v>Tämä kuumaverinen Pokémon on täynnä uteliaisuutta. Kun se suuttuu tai alkaa taistella, sen lyhyt harja kuumenee.</v>
      </c>
      <c r="C8040" s="9" t="s">
        <v>1344</v>
      </c>
    </row>
    <row r="8041" ht="33.75" customHeight="1">
      <c r="A8041" s="6" t="s">
        <v>11861</v>
      </c>
      <c r="B8041" s="6" t="str">
        <f>IFERROR(__xludf.DUMMYFUNCTION("GOOGLETRANSLATE(A8041,""en"",""fi"")"),"Koiras, jolla on suurin tuliharja, on lauman johtaja.")</f>
        <v>Koiras, jolla on suurin tuliharja, on lauman johtaja.</v>
      </c>
      <c r="C8041" s="9" t="s">
        <v>1344</v>
      </c>
    </row>
    <row r="8042" ht="33.75" customHeight="1">
      <c r="A8042" s="6" t="s">
        <v>11862</v>
      </c>
      <c r="B8042" s="6" t="str">
        <f>IFERROR(__xludf.DUMMYFUNCTION("GOOGLETRANSLATE(A8042,""en"",""fi"")"),"Yli 3800 celsiusasteen tulisella hengityksellään ne uhkaavat ilkeästi ketä tahansa haastajaa. Naaraat suojelevat lauman pentuja.")</f>
        <v>Yli 3800 celsiusasteen tulisella hengityksellään ne uhkaavat ilkeästi ketä tahansa haastajaa. Naaraat suojelevat lauman pentuja.</v>
      </c>
      <c r="C8042" s="9" t="s">
        <v>1344</v>
      </c>
    </row>
    <row r="8043" ht="33.75" customHeight="1">
      <c r="A8043" s="6" t="s">
        <v>11864</v>
      </c>
      <c r="B8043" s="6" t="str">
        <f>IFERROR(__xludf.DUMMYFUNCTION("GOOGLETRANSLATE(A8043,""en"",""fi"")"),"Urokset ovat yleensä laiskoja, mutta voimakkaan vihollisen hyökkäyksen kohteeksi joutuessaan uros suojelee ystäviään välittämättä omasta turvallisuudestaan.")</f>
        <v>Urokset ovat yleensä laiskoja, mutta voimakkaan vihollisen hyökkäyksen kohteeksi joutuessaan uros suojelee ystäviään välittämättä omasta turvallisuudestaan.</v>
      </c>
      <c r="C8043" s="9" t="s">
        <v>1344</v>
      </c>
    </row>
    <row r="8044" ht="33.75" customHeight="1">
      <c r="A8044" s="6" t="s">
        <v>11866</v>
      </c>
      <c r="B8044" s="6" t="str">
        <f>IFERROR(__xludf.DUMMYFUNCTION("GOOGLETRANSLATE(A8044,""en"",""fi"")"),"Sen hengityksen lämpötila on yli 10 000 Fahrenheit-astetta, mutta Pyroar ei käytä sitä saaliiseensa. Tämä Pokémon syö mieluiten raakaa lihaa.")</f>
        <v>Sen hengityksen lämpötila on yli 10 000 Fahrenheit-astetta, mutta Pyroar ei käytä sitä saaliiseensa. Tämä Pokémon syö mieluiten raakaa lihaa.</v>
      </c>
      <c r="C8044" s="9" t="s">
        <v>1344</v>
      </c>
    </row>
    <row r="8045" ht="33.75" customHeight="1">
      <c r="A8045" s="6" t="s">
        <v>11867</v>
      </c>
      <c r="B8045" s="6" t="str">
        <f>IFERROR(__xludf.DUMMYFUNCTION("GOOGLETRANSLATE(A8045,""en"",""fi"")"),"Se vetää esiin ja hallitsee kukkien piilevää voimaa. Flabébén kädessään pitelemä kukka on todennäköisesti osa sen kehoa.")</f>
        <v>Se vetää esiin ja hallitsee kukkien piilevää voimaa. Flabébén kädessään pitelemä kukka on todennäköisesti osa sen kehoa.</v>
      </c>
      <c r="C8045" s="9" t="s">
        <v>1344</v>
      </c>
    </row>
    <row r="8046" ht="33.75" customHeight="1">
      <c r="A8046" s="6" t="s">
        <v>11869</v>
      </c>
      <c r="B8046" s="6" t="str">
        <f>IFERROR(__xludf.DUMMYFUNCTION("GOOGLETRANSLATE(A8046,""en"",""fi"")"),"Löydettyään kukan, josta se pitää, se viipyy sen perässä koko elämänsä. Se kelluu tuulen syleilyssä levottoman sydämen vallassa.")</f>
        <v>Löydettyään kukan, josta se pitää, se viipyy sen perässä koko elämänsä. Se kelluu tuulen syleilyssä levottoman sydämen vallassa.</v>
      </c>
      <c r="C8046" s="9" t="s">
        <v>1344</v>
      </c>
    </row>
    <row r="8047" ht="33.75" customHeight="1">
      <c r="A8047" s="6" t="s">
        <v>11870</v>
      </c>
      <c r="B8047" s="6" t="str">
        <f>IFERROR(__xludf.DUMMYFUNCTION("GOOGLETRANSLATE(A8047,""en"",""fi"")"),"Se ei ole turvassa ilman kukan voimaa, mutta se jatkaa matkaansa, kunnes löytää sellaisen, jolla on haluamansa väri ja muoto.")</f>
        <v>Se ei ole turvassa ilman kukan voimaa, mutta se jatkaa matkaansa, kunnes löytää sellaisen, jolla on haluamansa väri ja muoto.</v>
      </c>
      <c r="C8047" s="9" t="s">
        <v>1344</v>
      </c>
    </row>
    <row r="8048" ht="33.75" customHeight="1">
      <c r="A8048" s="6" t="s">
        <v>11871</v>
      </c>
      <c r="B8048" s="6" t="str">
        <f>IFERROR(__xludf.DUMMYFUNCTION("GOOGLETRANSLATE(A8048,""en"",""fi"")"),"Flabébé käyttää kruunua, joka on tehty sen kukasta kerätystä siitepölystä. Kruunulla on piilotettuja parantavia ominaisuuksia.")</f>
        <v>Flabébé käyttää kruunua, joka on tehty sen kukasta kerätystä siitepölystä. Kruunulla on piilotettuja parantavia ominaisuuksia.</v>
      </c>
      <c r="C8048" s="9" t="s">
        <v>1344</v>
      </c>
    </row>
    <row r="8049" ht="33.75" customHeight="1">
      <c r="A8049" s="6" t="s">
        <v>11872</v>
      </c>
      <c r="B8049" s="6" t="str">
        <f>IFERROR(__xludf.DUMMYFUNCTION("GOOGLETRANSLATE(A8049,""en"",""fi"")"),"Se lepattaa kukkapelloilla ja hoitaa nuutumaan alkavia kukkia. Se ammentaa esiin kukkien piilevän voiman taisteluun.")</f>
        <v>Se lepattaa kukkapelloilla ja hoitaa nuutumaan alkavia kukkia. Se ammentaa esiin kukkien piilevän voiman taisteluun.</v>
      </c>
      <c r="C8049" s="9" t="s">
        <v>1344</v>
      </c>
    </row>
    <row r="8050" ht="33.75" customHeight="1">
      <c r="A8050" s="6" t="s">
        <v>11873</v>
      </c>
      <c r="B8050" s="6" t="str">
        <f>IFERROR(__xludf.DUMMYFUNCTION("GOOGLETRANSLATE(A8050,""en"",""fi"")"),"Kun hyvin hoidetun kukkapenkin kukat puhkeavat kukkiin, se ilmestyy ja juhlii elegantilla tanssilla.")</f>
        <v>Kun hyvin hoidetun kukkapenkin kukat puhkeavat kukkiin, se ilmestyy ja juhlii elegantilla tanssilla.</v>
      </c>
      <c r="C8050" s="9" t="s">
        <v>1344</v>
      </c>
    </row>
    <row r="8051" ht="33.75" customHeight="1">
      <c r="A8051" s="6" t="s">
        <v>11875</v>
      </c>
      <c r="B8051" s="6" t="str">
        <f>IFERROR(__xludf.DUMMYFUNCTION("GOOGLETRANSLATE(A8051,""en"",""fi"")"),"Se kasvattaa kukkia ja käyttää niitä aseina. Mitä upeampi kukka, sitä enemmän voimaa se sisältää.")</f>
        <v>Se kasvattaa kukkia ja käyttää niitä aseina. Mitä upeampi kukka, sitä enemmän voimaa se sisältää.</v>
      </c>
      <c r="C8051" s="9" t="s">
        <v>1344</v>
      </c>
    </row>
    <row r="8052" ht="33.75" customHeight="1">
      <c r="A8052" s="6" t="s">
        <v>11876</v>
      </c>
      <c r="B8052" s="6" t="str">
        <f>IFERROR(__xludf.DUMMYFUNCTION("GOOGLETRANSLATE(A8052,""en"",""fi"")"),"Se antaa kukille oman voimansa ja kaataa sydämensä niiden hoitamiseen. Floette ei koskaan anna anteeksi kenellekään, joka sotkee ​​kukkapenkin.")</f>
        <v>Se antaa kukille oman voimansa ja kaataa sydämensä niiden hoitamiseen. Floette ei koskaan anna anteeksi kenellekään, joka sotkee ​​kukkapenkin.</v>
      </c>
      <c r="C8052" s="9" t="s">
        <v>1344</v>
      </c>
    </row>
    <row r="8053" ht="33.75" customHeight="1">
      <c r="A8053" s="6" t="s">
        <v>11878</v>
      </c>
      <c r="B8053" s="6" t="str">
        <f>IFERROR(__xludf.DUMMYFUNCTION("GOOGLETRANSLATE(A8053,""en"",""fi"")"),"Se väittää upeita kukkapuutarhoja alueekseen ja saa voimansa nauttimalla kukkivien kasvien säteilemästä energiasta.")</f>
        <v>Se väittää upeita kukkapuutarhoja alueekseen ja saa voimansa nauttimalla kukkivien kasvien säteilemästä energiasta.</v>
      </c>
      <c r="C8053" s="9" t="s">
        <v>1344</v>
      </c>
    </row>
    <row r="8054" ht="33.75" customHeight="1">
      <c r="A8054" s="6" t="s">
        <v>11880</v>
      </c>
      <c r="B8054" s="6" t="str">
        <f>IFERROR(__xludf.DUMMYFUNCTION("GOOGLETRANSLATE(A8054,""en"",""fi"")"),"Kauan sitten linnanjohtajat kutsuivat Florgesia luomaan kukkapuutarhoja kaunistamaan linnan alueita.")</f>
        <v>Kauan sitten linnanjohtajat kutsuivat Florgesia luomaan kukkapuutarhoja kaunistamaan linnan alueita.</v>
      </c>
      <c r="C8054" s="9" t="s">
        <v>1344</v>
      </c>
    </row>
    <row r="8055" ht="33.75" customHeight="1">
      <c r="A8055" s="6" t="s">
        <v>11881</v>
      </c>
      <c r="B8055" s="6" t="str">
        <f>IFERROR(__xludf.DUMMYFUNCTION("GOOGLETRANSLATE(A8055,""en"",""fi"")"),"Se hallitsee kasvattamiaan kukkia. Florgesin laukaisemat terälehtien lumimyrskyt ovat kauneudessaan ja voimassaan hämmentäviä.")</f>
        <v>Se hallitsee kasvattamiaan kukkia. Florgesin laukaisemat terälehtien lumimyrskyt ovat kauneudessaan ja voimassaan hämmentäviä.</v>
      </c>
      <c r="C8055" s="9" t="s">
        <v>1344</v>
      </c>
    </row>
    <row r="8056" ht="33.75" customHeight="1">
      <c r="A8056" s="6" t="s">
        <v>11883</v>
      </c>
      <c r="B8056" s="6" t="str">
        <f>IFERROR(__xludf.DUMMYFUNCTION("GOOGLETRANSLATE(A8056,""en"",""fi"")"),"Sen elinikä voi olla useita satoja vuosia. Sen sanotaan omistavan koko elämänsä puutarhojen suojelemiseen.")</f>
        <v>Sen elinikä voi olla useita satoja vuosia. Sen sanotaan omistavan koko elämänsä puutarhojen suojelemiseen.</v>
      </c>
      <c r="C8056" s="9" t="s">
        <v>1344</v>
      </c>
    </row>
    <row r="8057" ht="33.75" customHeight="1">
      <c r="A8057" s="6" t="s">
        <v>11884</v>
      </c>
      <c r="B8057" s="6" t="str">
        <f>IFERROR(__xludf.DUMMYFUNCTION("GOOGLETRANSLATE(A8057,""en"",""fi"")"),"Sen uskotaan olevan yksi ensimmäisistä Pokémoneista, joka eli sopusoinnussa ihmisten kanssa, ja sillä on rauhallinen luonne.")</f>
        <v>Sen uskotaan olevan yksi ensimmäisistä Pokémoneista, joka eli sopusoinnussa ihmisten kanssa, ja sillä on rauhallinen luonne.</v>
      </c>
      <c r="C8057" s="9" t="s">
        <v>1344</v>
      </c>
    </row>
    <row r="8058" ht="33.75" customHeight="1">
      <c r="A8058" s="6" t="s">
        <v>11885</v>
      </c>
      <c r="B8058" s="6" t="str">
        <f>IFERROR(__xludf.DUMMYFUNCTION("GOOGLETRANSLATE(A8058,""en"",""fi"")"),"Jos sillä on auringonpaistetta ja vettä, sen ei tarvitse syödä, koska se voi tuottaa energiaa selässään olevista lehdistä.")</f>
        <v>Jos sillä on auringonpaistetta ja vettä, sen ei tarvitse syödä, koska se voi tuottaa energiaa selässään olevista lehdistä.</v>
      </c>
      <c r="C8058" s="9" t="s">
        <v>1344</v>
      </c>
    </row>
    <row r="8059" ht="33.75" customHeight="1">
      <c r="A8059" s="6" t="s">
        <v>11886</v>
      </c>
      <c r="B8059" s="6" t="str">
        <f>IFERROR(__xludf.DUMMYFUNCTION("GOOGLETRANSLATE(A8059,""en"",""fi"")"),"Se pystyy kertomaan kouluttajansa tunteet hienovaraisista sarviensa otteen muutoksista. Tämä empaattinen aisti antaa niiden juosta kuin yhtenä olentona.")</f>
        <v>Se pystyy kertomaan kouluttajansa tunteet hienovaraisista sarviensa otteen muutoksista. Tämä empaattinen aisti antaa niiden juosta kuin yhtenä olentona.</v>
      </c>
      <c r="C8059" s="9" t="s">
        <v>1344</v>
      </c>
    </row>
    <row r="8060" ht="33.75" customHeight="1">
      <c r="A8060" s="6" t="s">
        <v>11887</v>
      </c>
      <c r="B8060" s="6" t="str">
        <f>IFERROR(__xludf.DUMMYFUNCTION("GOOGLETRANSLATE(A8060,""en"",""fi"")"),"Ne asuvat vuoristoalueilla. Lauman johtaja ratkaistaan ​​sarvien yhteentörmäyksessä.")</f>
        <v>Ne asuvat vuoristoalueilla. Lauman johtaja ratkaistaan ​​sarvien yhteentörmäyksessä.</v>
      </c>
      <c r="C8060" s="9" t="s">
        <v>1344</v>
      </c>
    </row>
    <row r="8061" ht="33.75" customHeight="1">
      <c r="A8061" s="6" t="s">
        <v>11888</v>
      </c>
      <c r="B8061" s="6" t="str">
        <f>IFERROR(__xludf.DUMMYFUNCTION("GOOGLETRANSLATE(A8061,""en"",""fi"")"),"Se tekee parhaansa, jotta vihollisensa ottaisivat sen vakavasti, mutta sen tuijotus ei ole tarpeeksi pelottava. Lehden pureskelu on sen tavaramerkki.")</f>
        <v>Se tekee parhaansa, jotta vihollisensa ottaisivat sen vakavasti, mutta sen tuijotus ei ole tarpeeksi pelottava. Lehden pureskelu on sen tavaramerkki.</v>
      </c>
      <c r="C8061" s="9" t="s">
        <v>1344</v>
      </c>
    </row>
    <row r="8062" ht="33.75" customHeight="1">
      <c r="A8062" s="6" t="s">
        <v>11889</v>
      </c>
      <c r="B8062" s="6" t="str">
        <f>IFERROR(__xludf.DUMMYFUNCTION("GOOGLETRANSLATE(A8062,""en"",""fi"")"),"Se tekee parhaansa tuijottaakseen ja tehdäkseen pelottavan ilmeen, mutta se ei voi olla virnistämättä, jos joku taputtaa sen päätä.")</f>
        <v>Se tekee parhaansa tuijottaakseen ja tehdäkseen pelottavan ilmeen, mutta se ei voi olla virnistämättä, jos joku taputtaa sen päätä.</v>
      </c>
      <c r="C8062" s="9" t="s">
        <v>1344</v>
      </c>
    </row>
    <row r="8063" ht="33.75" customHeight="1">
      <c r="A8063" s="6" t="s">
        <v>11890</v>
      </c>
      <c r="B8063" s="6" t="str">
        <f>IFERROR(__xludf.DUMMYFUNCTION("GOOGLETRANSLATE(A8063,""en"",""fi"")"),"Se kasvaa matkien Pangoron käytöstä, jota se ihailee johtajana.")</f>
        <v>Se kasvaa matkien Pangoron käytöstä, jota se ihailee johtajana.</v>
      </c>
      <c r="C8063" s="9" t="s">
        <v>1344</v>
      </c>
    </row>
    <row r="8064" ht="33.75" customHeight="1">
      <c r="A8064" s="6" t="s">
        <v>11891</v>
      </c>
      <c r="B8064" s="6" t="str">
        <f>IFERROR(__xludf.DUMMYFUNCTION("GOOGLETRANSLATE(A8064,""en"",""fi"")"),"Sen suussa olevalla lehdellä ei ole mitään tarkoitusta, paitsi että se pyrkii näyttämään coolilta. Se on ilkikurinen, joten se ei sovi kovin hyvin kokemattomille kouluttajille.")</f>
        <v>Sen suussa olevalla lehdellä ei ole mitään tarkoitusta, paitsi että se pyrkii näyttämään coolilta. Se on ilkikurinen, joten se ei sovi kovin hyvin kokemattomille kouluttajille.</v>
      </c>
      <c r="C8064" s="9" t="s">
        <v>1344</v>
      </c>
    </row>
    <row r="8065" ht="33.75" customHeight="1">
      <c r="A8065" s="6" t="s">
        <v>11892</v>
      </c>
      <c r="B8065" s="6" t="str">
        <f>IFERROR(__xludf.DUMMYFUNCTION("GOOGLETRANSLATE(A8065,""en"",""fi"")"),"Se seuraa Pangoroa kuin kätyri. Kun Pancham tekee ison virheen, sen lehti otetaan pois.")</f>
        <v>Se seuraa Pangoroa kuin kätyri. Kun Pancham tekee ison virheen, sen lehti otetaan pois.</v>
      </c>
      <c r="C8065" s="9" t="s">
        <v>1344</v>
      </c>
    </row>
    <row r="8066" ht="33.75" customHeight="1">
      <c r="A8066" s="6" t="s">
        <v>11893</v>
      </c>
      <c r="B8066" s="6" t="str">
        <f>IFERROR(__xludf.DUMMYFUNCTION("GOOGLETRANSLATE(A8066,""en"",""fi"")"),"Se yrittää epätoivoisesti pelotella vastustajiaan. Ole kiltti ja teeskentele peloissasi, jos huomaat sen tuijottavan sinua voimakkaasti.")</f>
        <v>Se yrittää epätoivoisesti pelotella vastustajiaan. Ole kiltti ja teeskentele peloissasi, jos huomaat sen tuijottavan sinua voimakkaasti.</v>
      </c>
      <c r="C8066" s="9" t="s">
        <v>1344</v>
      </c>
    </row>
    <row r="8067" ht="33.75" customHeight="1">
      <c r="A8067" s="6" t="s">
        <v>11894</v>
      </c>
      <c r="B8067" s="6" t="str">
        <f>IFERROR(__xludf.DUMMYFUNCTION("GOOGLETRANSLATE(A8067,""en"",""fi"")"),"Se valitsee isännäkseen Pangoron ja matkii sitten isäntänsä toimia. Näin se oppii taistelemaan ja metsästämään saalista.")</f>
        <v>Se valitsee isännäkseen Pangoron ja matkii sitten isäntänsä toimia. Näin se oppii taistelemaan ja metsästämään saalista.</v>
      </c>
      <c r="C8067" s="9" t="s">
        <v>1344</v>
      </c>
    </row>
    <row r="8068" ht="33.75" customHeight="1">
      <c r="A8068" s="6" t="s">
        <v>11895</v>
      </c>
      <c r="B8068" s="6" t="str">
        <f>IFERROR(__xludf.DUMMYFUNCTION("GOOGLETRANSLATE(A8068,""en"",""fi"")"),"Pancham haluaa varmistaa, että se otetaan vakavasti, joten se mulkoilee aina muita. Mutta jos se ei keskity, se päätyy hymyilemään.")</f>
        <v>Pancham haluaa varmistaa, että se otetaan vakavasti, joten se mulkoilee aina muita. Mutta jos se ei keskity, se päätyy hymyilemään.</v>
      </c>
      <c r="C8068" s="9" t="s">
        <v>1344</v>
      </c>
    </row>
    <row r="8069" ht="33.75" customHeight="1">
      <c r="A8069" s="6" t="s">
        <v>11897</v>
      </c>
      <c r="B8069" s="6" t="str">
        <f>IFERROR(__xludf.DUMMYFUNCTION("GOOGLETRANSLATE(A8069,""en"",""fi"")"),"Vaikka sillä on väkivaltainen luonne, se ei siedä kiusaamista. Se käyttää suussaan olevaa lehteä aistiakseen vihollistensa liikkeitä.")</f>
        <v>Vaikka sillä on väkivaltainen luonne, se ei siedä kiusaamista. Se käyttää suussaan olevaa lehteä aistiakseen vihollistensa liikkeitä.</v>
      </c>
      <c r="C8069" s="9" t="s">
        <v>1344</v>
      </c>
    </row>
    <row r="8070" ht="33.75" customHeight="1">
      <c r="A8070" s="6" t="s">
        <v>11898</v>
      </c>
      <c r="B8070" s="6" t="str">
        <f>IFERROR(__xludf.DUMMYFUNCTION("GOOGLETRANSLATE(A8070,""en"",""fi"")"),"Se syöksyy eteenpäin ja moukaroi vastustajiaan kuin raivohullu, välittämättä mahdollisista osumista. Sen käsivarret ovat niin mahtavat, että ne voisivat katkaista puhelinpylvään.")</f>
        <v>Se syöksyy eteenpäin ja moukaroi vastustajiaan kuin raivohullu, välittämättä mahdollisista osumista. Sen käsivarret ovat niin mahtavat, että ne voisivat katkaista puhelinpylvään.</v>
      </c>
      <c r="C8070" s="9" t="s">
        <v>1344</v>
      </c>
    </row>
    <row r="8071" ht="33.75" customHeight="1">
      <c r="A8071" s="6" t="s">
        <v>11901</v>
      </c>
      <c r="B8071" s="6" t="str">
        <f>IFERROR(__xludf.DUMMYFUNCTION("GOOGLETRANSLATE(A8071,""en"",""fi"")"),"Se ylpeilee erinomaisella fyysisellä voimalla. Pangoron kouluttajaksi haluavilla ei ole muuta vaihtoehtoa kuin keskustella nyrkeillään.")</f>
        <v>Se ylpeilee erinomaisella fyysisellä voimalla. Pangoron kouluttajaksi haluavilla ei ole muuta vaihtoehtoa kuin keskustella nyrkeillään.</v>
      </c>
      <c r="C8071" s="9" t="s">
        <v>1344</v>
      </c>
    </row>
    <row r="8072" ht="33.75" customHeight="1">
      <c r="A8072" s="6" t="s">
        <v>11904</v>
      </c>
      <c r="B8072" s="6" t="str">
        <f>IFERROR(__xludf.DUMMYFUNCTION("GOOGLETRANSLATE(A8072,""en"",""fi"")"),"Bambulehden pienistä nykäyksistä se päättelee vastustajansa liikkeet. Se on innokas tappelemaan, mutta hyväsydäminen tovereitaan kohtaan.")</f>
        <v>Bambulehden pienistä nykäyksistä se päättelee vastustajansa liikkeet. Se on innokas tappelemaan, mutta hyväsydäminen tovereitaan kohtaan.</v>
      </c>
      <c r="C8072" s="9" t="s">
        <v>1344</v>
      </c>
    </row>
    <row r="8073" ht="33.75" customHeight="1">
      <c r="A8073" s="6" t="s">
        <v>11905</v>
      </c>
      <c r="B8073" s="6" t="str">
        <f>IFERROR(__xludf.DUMMYFUNCTION("GOOGLETRANSLATE(A8073,""en"",""fi"")"),"Tämä riehakas Pokémon ylpeilee suurella fyysisellä voimalla. Monet kouluttajatkin ihastuvat sen eloisaan luonteeseen.")</f>
        <v>Tämä riehakas Pokémon ylpeilee suurella fyysisellä voimalla. Monet kouluttajatkin ihastuvat sen eloisaan luonteeseen.</v>
      </c>
      <c r="C8073" s="9" t="s">
        <v>1344</v>
      </c>
    </row>
    <row r="8074" ht="33.75" customHeight="1">
      <c r="A8074" s="6" t="s">
        <v>11907</v>
      </c>
      <c r="B8074" s="6" t="str">
        <f>IFERROR(__xludf.DUMMYFUNCTION("GOOGLETRANSLATE(A8074,""en"",""fi"")"),"Pangoro on tyyppiä, joka puhuu nyrkeillään. Se ei sano paljoa, vaan iskee vastustajia niin kovalla voimalla, että se lennättäisi roska-auton lentoon.")</f>
        <v>Pangoro on tyyppiä, joka puhuu nyrkeillään. Se ei sano paljoa, vaan iskee vastustajia niin kovalla voimalla, että se lennättäisi roska-auton lentoon.</v>
      </c>
      <c r="C8074" s="9" t="s">
        <v>1344</v>
      </c>
    </row>
    <row r="8075" ht="33.75" customHeight="1">
      <c r="A8075" s="6" t="s">
        <v>11909</v>
      </c>
      <c r="B8075" s="6" t="str">
        <f>IFERROR(__xludf.DUMMYFUNCTION("GOOGLETRANSLATE(A8075,""en"",""fi"")"),"Tämä Pokémon on nopea suuttumaan, eikä sillä ole ongelmia käyttää suunnatonta voimaansa saadakseen tahtonsa läpi. Se elää kaksintaisteluista Obstagoonia vastaan.")</f>
        <v>Tämä Pokémon on nopea suuttumaan, eikä sillä ole ongelmia käyttää suunnatonta voimaansa saadakseen tahtonsa läpi. Se elää kaksintaisteluista Obstagoonia vastaan.</v>
      </c>
      <c r="C8075" s="9" t="s">
        <v>1344</v>
      </c>
    </row>
    <row r="8076" ht="33.75" customHeight="1">
      <c r="A8076" s="6" t="s">
        <v>11911</v>
      </c>
      <c r="B8076" s="6" t="str">
        <f>IFERROR(__xludf.DUMMYFUNCTION("GOOGLETRANSLATE(A8076,""en"",""fi"")"),"Lehtensä avulla Pangoro voi ennustaa vastustajiensa liikkeitä. Se iskee lyönneillä, jotka voivat muuttaa roska-auton romuksi yhdellä iskulla.")</f>
        <v>Lehtensä avulla Pangoro voi ennustaa vastustajiensa liikkeitä. Se iskee lyönneillä, jotka voivat muuttaa roska-auton romuksi yhdellä iskulla.</v>
      </c>
      <c r="C8076" s="9" t="s">
        <v>1344</v>
      </c>
    </row>
    <row r="8077" ht="33.75" customHeight="1">
      <c r="A8077" s="6" t="s">
        <v>11912</v>
      </c>
      <c r="B8077" s="6" t="str">
        <f>IFERROR(__xludf.DUMMYFUNCTION("GOOGLETRANSLATE(A8077,""en"",""fi"")"),"Pörröisen turkin siistiminen ei ainoastaan ​​tee siitä eleganttimpaa, vaan myös lisää sen liikkeiden nopeutta.")</f>
        <v>Pörröisen turkin siistiminen ei ainoastaan ​​tee siitä eleganttimpaa, vaan myös lisää sen liikkeiden nopeutta.</v>
      </c>
      <c r="C8077" s="9" t="s">
        <v>1344</v>
      </c>
    </row>
    <row r="8078" ht="33.75" customHeight="1">
      <c r="A8078" s="6" t="s">
        <v>11914</v>
      </c>
      <c r="B8078" s="6" t="str">
        <f>IFERROR(__xludf.DUMMYFUNCTION("GOOGLETRANSLATE(A8078,""en"",""fi"")"),"Historiallisesti Kaloksen alueella nämä Pokémonit olivat kuninkaan nimettyjä suojelijoita.")</f>
        <v>Historiallisesti Kaloksen alueella nämä Pokémonit olivat kuninkaan nimettyjä suojelijoita.</v>
      </c>
      <c r="C8078" s="9" t="s">
        <v>1344</v>
      </c>
    </row>
    <row r="8079" ht="33.75" customHeight="1">
      <c r="A8079" s="6" t="s">
        <v>11915</v>
      </c>
      <c r="B8079" s="6" t="str">
        <f>IFERROR(__xludf.DUMMYFUNCTION("GOOGLETRANSLATE(A8079,""en"",""fi"")"),"Oli aikakausi, jolloin aateliset kilpailivat siitä, kuka saisi trimmattua furfroujensa turkin mahdollisimman hienoksi.")</f>
        <v>Oli aikakausi, jolloin aateliset kilpailivat siitä, kuka saisi trimmattua furfroujensa turkin mahdollisimman hienoksi.</v>
      </c>
      <c r="C8079" s="9" t="s">
        <v>1344</v>
      </c>
    </row>
    <row r="8080" ht="33.75" customHeight="1">
      <c r="A8080" s="6" t="s">
        <v>11916</v>
      </c>
      <c r="B8080" s="6" t="str">
        <f>IFERROR(__xludf.DUMMYFUNCTION("GOOGLETRANSLATE(A8080,""en"",""fi"")"),"Yksin jätettynä sen turkki kasvaa pidemmäksi ja pidemmäksi, mutta se antaa vain luotettavan henkilön leikata sen.")</f>
        <v>Yksin jätettynä sen turkki kasvaa pidemmäksi ja pidemmäksi, mutta se antaa vain luotettavan henkilön leikata sen.</v>
      </c>
      <c r="C8080" s="9" t="s">
        <v>1344</v>
      </c>
    </row>
    <row r="8081" ht="33.75" customHeight="1">
      <c r="A8081" s="6" t="s">
        <v>11918</v>
      </c>
      <c r="B8081" s="6" t="str">
        <f>IFERROR(__xludf.DUMMYFUNCTION("GOOGLETRANSLATE(A8081,""en"",""fi"")"),"Elin, joka säteilee voimakasta psyykkistä voimaansa, on suojattu korvillaan estääkseen voiman vuotamisen ulos.")</f>
        <v>Elin, joka säteilee voimakasta psyykkistä voimaansa, on suojattu korvillaan estääkseen voiman vuotamisen ulos.</v>
      </c>
      <c r="C8081" s="9" t="s">
        <v>1344</v>
      </c>
    </row>
    <row r="8082" ht="33.75" customHeight="1">
      <c r="A8082" s="6" t="s">
        <v>11919</v>
      </c>
      <c r="B8082" s="6" t="str">
        <f>IFERROR(__xludf.DUMMYFUNCTION("GOOGLETRANSLATE(A8082,""en"",""fi"")"),"Sillä on tarpeeksi psyykkistä energiaa räjäyttääkseen kaiken 300 jalan säteellä itsestään, mutta se ei pysty hallitsemaan omaa voimaansa.")</f>
        <v>Sillä on tarpeeksi psyykkistä energiaa räjäyttääkseen kaiken 300 jalan säteellä itsestään, mutta se ei pysty hallitsemaan omaa voimaansa.</v>
      </c>
      <c r="C8082" s="9" t="s">
        <v>1344</v>
      </c>
    </row>
    <row r="8083" ht="33.75" customHeight="1">
      <c r="A8083" s="6" t="s">
        <v>11921</v>
      </c>
      <c r="B8083" s="6" t="str">
        <f>IFERROR(__xludf.DUMMYFUNCTION("GOOGLETRANSLATE(A8083,""en"",""fi"")"),"Vaikka Espurrin ilme ei muutu, tyhjän katseen takana on intensiivinen kamppailu sen tuhoisan psyykkisen voiman hillitsemiseksi.")</f>
        <v>Vaikka Espurrin ilme ei muutu, tyhjän katseen takana on intensiivinen kamppailu sen tuhoisan psyykkisen voiman hillitsemiseksi.</v>
      </c>
      <c r="C8083" s="9" t="s">
        <v>1344</v>
      </c>
    </row>
    <row r="8084" ht="33.75" customHeight="1">
      <c r="A8084" s="6" t="s">
        <v>11923</v>
      </c>
      <c r="B8084" s="6" t="str">
        <f>IFERROR(__xludf.DUMMYFUNCTION("GOOGLETRANSLATE(A8084,""en"",""fi"")"),"Espurrissa on tarpeeksi psyykkistä voimaa lähettääkseen painijan lentoon, mutta koska tätä voimaa ei voi hallita, Espurr kokee sen ongelmalliseksi.")</f>
        <v>Espurrissa on tarpeeksi psyykkistä voimaa lähettääkseen painijan lentoon, mutta koska tätä voimaa ei voi hallita, Espurr kokee sen ongelmalliseksi.</v>
      </c>
      <c r="C8084" s="9" t="s">
        <v>1344</v>
      </c>
    </row>
    <row r="8085" ht="33.75" customHeight="1">
      <c r="A8085" s="6" t="s">
        <v>11924</v>
      </c>
      <c r="B8085" s="6" t="str">
        <f>IFERROR(__xludf.DUMMYFUNCTION("GOOGLETRANSLATE(A8085,""en"",""fi"")"),"Vaaratilanteessa se nostaa korvansa ja vapauttaa tarpeeksi psyykkistä voimaa jauhaakseen 10 tonnin kuorma-auton tomuksi.")</f>
        <v>Vaaratilanteessa se nostaa korvansa ja vapauttaa tarpeeksi psyykkistä voimaa jauhaakseen 10 tonnin kuorma-auton tomuksi.</v>
      </c>
      <c r="C8085" s="9" t="s">
        <v>1344</v>
      </c>
    </row>
    <row r="8086" ht="33.75" customHeight="1">
      <c r="A8086" s="6" t="s">
        <v>11926</v>
      </c>
      <c r="B8086" s="6" t="str">
        <f>IFERROR(__xludf.DUMMYFUNCTION("GOOGLETRANSLATE(A8086,""en"",""fi"")"),"Sen korvien sisäpuolella olevat silmämunakuviot säteilevät psyykkistä energiaa. Se pitää kuviot tiukasti piilossa, koska tuo voima on liian valtava.")</f>
        <v>Sen korvien sisäpuolella olevat silmämunakuviot säteilevät psyykkistä energiaa. Se pitää kuviot tiukasti piilossa, koska tuo voima on liian valtava.</v>
      </c>
      <c r="C8086" s="9" t="s">
        <v>1344</v>
      </c>
    </row>
    <row r="8087" ht="33.75" customHeight="1">
      <c r="A8087" s="6" t="s">
        <v>11927</v>
      </c>
      <c r="B8087" s="6" t="str">
        <f>IFERROR(__xludf.DUMMYFUNCTION("GOOGLETRANSLATE(A8087,""en"",""fi"")"),"Silmän kaltaisten kuvioiden paljastaminen sen korvien sisäpuolella vapauttaa sen psyykkiset voimat. Normaalisti se kuitenkin pitää kuviot piilossa.")</f>
        <v>Silmän kaltaisten kuvioiden paljastaminen sen korvien sisäpuolella vapauttaa sen psyykkiset voimat. Normaalisti se kuitenkin pitää kuviot piilossa.</v>
      </c>
      <c r="C8087" s="9" t="s">
        <v>1344</v>
      </c>
    </row>
    <row r="8088" ht="33.75" customHeight="1">
      <c r="A8088" s="6" t="s">
        <v>11928</v>
      </c>
      <c r="B8088" s="6" t="str">
        <f>IFERROR(__xludf.DUMMYFUNCTION("GOOGLETRANSLATE(A8088,""en"",""fi"")"),"Urosten puolustusvaisto on voimakas. Juuri suojellessaan itseään tai kumppaneitaan ne päästävät kaiken voimansa valloilleen.")</f>
        <v>Urosten puolustusvaisto on voimakas. Juuri suojellessaan itseään tai kumppaneitaan ne päästävät kaiken voimansa valloilleen.</v>
      </c>
      <c r="C8088" s="9" t="s">
        <v>1344</v>
      </c>
    </row>
    <row r="8089" ht="33.75" customHeight="1">
      <c r="A8089" s="6" t="s">
        <v>11929</v>
      </c>
      <c r="B8089" s="6" t="str">
        <f>IFERROR(__xludf.DUMMYFUNCTION("GOOGLETRANSLATE(A8089,""en"",""fi"")"),"Ilmeisesti tämä Pokémon syntyy, kun kuollut henki asuu miekassa. Se kiinnittyy ihmisiin ja juo heidän elinvoimansa.")</f>
        <v>Ilmeisesti tämä Pokémon syntyy, kun kuollut henki asuu miekassa. Se kiinnittyy ihmisiin ja juo heidän elinvoimansa.</v>
      </c>
      <c r="C8089" s="9" t="s">
        <v>1344</v>
      </c>
    </row>
    <row r="8090" ht="33.75" customHeight="1">
      <c r="A8090" s="6" t="s">
        <v>11930</v>
      </c>
      <c r="B8090" s="6" t="str">
        <f>IFERROR(__xludf.DUMMYFUNCTION("GOOGLETRANSLATE(A8090,""en"",""fi"")"),"Jos joku uskaltaa tarttua sen kahvaan, se kietoo sinisen kankaan henkilön käsivarren ympärille ja imee henkilön elämänenergian kokonaan.")</f>
        <v>Jos joku uskaltaa tarttua sen kahvaan, se kietoo sinisen kankaan henkilön käsivarren ympärille ja imee henkilön elämänenergian kokonaan.</v>
      </c>
      <c r="C8090" s="9" t="s">
        <v>1344</v>
      </c>
    </row>
    <row r="8091" ht="33.75" customHeight="1">
      <c r="A8091" s="6" t="s">
        <v>11931</v>
      </c>
      <c r="B8091" s="6" t="str">
        <f>IFERROR(__xludf.DUMMYFUNCTION("GOOGLETRANSLATE(A8091,""en"",""fi"")"),"Honedgen sielu kuului aikoinaan henkilölle, joka tapettiin kauan sitten Honedgen ruumiin muodostavalla miekalla.")</f>
        <v>Honedgen sielu kuului aikoinaan henkilölle, joka tapettiin kauan sitten Honedgen ruumiin muodostavalla miekalla.</v>
      </c>
      <c r="C8091" s="9" t="s">
        <v>1344</v>
      </c>
    </row>
    <row r="8092" ht="33.75" customHeight="1">
      <c r="A8092" s="6" t="s">
        <v>11932</v>
      </c>
      <c r="B8092" s="6" t="str">
        <f>IFERROR(__xludf.DUMMYFUNCTION("GOOGLETRANSLATE(A8092,""en"",""fi"")"),"Miekan kädensijan sininen silmä on Honedgen todellinen ruumis. Vanhalla kankaallaan se imee ihmisten henkiä.")</f>
        <v>Miekan kädensijan sininen silmä on Honedgen todellinen ruumis. Vanhalla kankaallaan se imee ihmisten henkiä.</v>
      </c>
      <c r="C8092" s="9" t="s">
        <v>1344</v>
      </c>
    </row>
    <row r="8093" ht="33.75" customHeight="1">
      <c r="A8093" s="6" t="s">
        <v>11933</v>
      </c>
      <c r="B8093" s="6" t="str">
        <f>IFERROR(__xludf.DUMMYFUNCTION("GOOGLETRANSLATE(A8093,""en"",""fi"")"),"Kun Honedge kehittyy, se jakautuu kahdeksi miekaksi, jotka toimivat telepaattisesti koordinoidakseen hyökkäyksiä ja viiltääkseen vihollisensa suikaleiksi.")</f>
        <v>Kun Honedge kehittyy, se jakautuu kahdeksi miekaksi, jotka toimivat telepaattisesti koordinoidakseen hyökkäyksiä ja viiltääkseen vihollisensa suikaleiksi.</v>
      </c>
      <c r="C8093" s="9" t="s">
        <v>1344</v>
      </c>
    </row>
    <row r="8094" ht="33.75" customHeight="1">
      <c r="A8094" s="6" t="s">
        <v>11934</v>
      </c>
      <c r="B8094" s="6" t="str">
        <f>IFERROR(__xludf.DUMMYFUNCTION("GOOGLETRANSLATE(A8094,""en"",""fi"")"),"Sen kahden miekan monimutkaiset hyökkäyskuviot ovat pysäyttämättömiä jopa miekkailussa erittäin taitavalle vastustajalle.")</f>
        <v>Sen kahden miekan monimutkaiset hyökkäyskuviot ovat pysäyttämättömiä jopa miekkailussa erittäin taitavalle vastustajalle.</v>
      </c>
      <c r="C8094" s="9" t="s">
        <v>1344</v>
      </c>
    </row>
    <row r="8095" ht="33.75" customHeight="1">
      <c r="A8095" s="6" t="s">
        <v>11935</v>
      </c>
      <c r="B8095" s="6" t="str">
        <f>IFERROR(__xludf.DUMMYFUNCTION("GOOGLETRANSLATE(A8095,""en"",""fi"")"),"Honedge kehittyy kaksosiksi. Miehen terät hankautuvat yhteen ja päästävät metallisen äänen, joka hermostuttaa vastustajia.")</f>
        <v>Honedge kehittyy kaksosiksi. Miehen terät hankautuvat yhteen ja päästävät metallisen äänen, joka hermostuttaa vastustajia.</v>
      </c>
      <c r="C8095" s="9" t="s">
        <v>1344</v>
      </c>
    </row>
    <row r="8096" ht="33.75" customHeight="1">
      <c r="A8096" s="6" t="s">
        <v>11936</v>
      </c>
      <c r="B8096" s="6" t="str">
        <f>IFERROR(__xludf.DUMMYFUNCTION("GOOGLETRANSLATE(A8096,""en"",""fi"")"),"Nämä kaksi miekkaa käyttävät strategiaa, jossa he vuorottelevat nopeasti hyökkäyksen ja puolustuksen välillä saaliinsa kaatamiseksi.")</f>
        <v>Nämä kaksi miekkaa käyttävät strategiaa, jossa he vuorottelevat nopeasti hyökkäyksen ja puolustuksen välillä saaliinsa kaatamiseksi.</v>
      </c>
      <c r="C8096" s="9" t="s">
        <v>1344</v>
      </c>
    </row>
    <row r="8097" ht="33.75" customHeight="1">
      <c r="A8097" s="6" t="s">
        <v>11937</v>
      </c>
      <c r="B8097" s="6" t="str">
        <f>IFERROR(__xludf.DUMMYFUNCTION("GOOGLETRANSLATE(A8097,""en"",""fi"")"),"Näitä Pokémoneja palvelivat sukupolvien ajan kuninkaat, ja ne käyttivät aavemaista voimiaan ihmisten ja Pokémonien manipulointiin ja hallintaan.")</f>
        <v>Näitä Pokémoneja palvelivat sukupolvien ajan kuninkaat, ja ne käyttivät aavemaista voimiaan ihmisten ja Pokémonien manipulointiin ja hallintaan.</v>
      </c>
      <c r="C8097" s="9" t="s">
        <v>1344</v>
      </c>
    </row>
    <row r="8098" ht="33.75" customHeight="1">
      <c r="A8098" s="6" t="s">
        <v>11938</v>
      </c>
      <c r="B8098" s="6" t="str">
        <f>IFERROR(__xludf.DUMMYFUNCTION("GOOGLETRANSLATE(A8098,""en"",""fi"")"),"Ilmeisesti se pystyy havaitsemaan johtajuuden synnynnäiset ominaisuudet. Legendan mukaan kenet tahansa se tunnistaa, siitä tulee kuningas.")</f>
        <v>Ilmeisesti se pystyy havaitsemaan johtajuuden synnynnäiset ominaisuudet. Legendan mukaan kenet tahansa se tunnistaa, siitä tulee kuningas.</v>
      </c>
      <c r="C8098" s="9" t="s">
        <v>1344</v>
      </c>
    </row>
    <row r="8099" ht="33.75" customHeight="1">
      <c r="A8099" s="6" t="s">
        <v>11939</v>
      </c>
      <c r="B8099" s="6" t="str">
        <f>IFERROR(__xludf.DUMMYFUNCTION("GOOGLETRANSLATE(A8099,""en"",""fi"")"),"Tässä puolustusasennossa Aegislash käyttää teräsrunkoaan ja spektrivoimakenttää vähentääkseen minkä tahansa hyökkäyksen vahinkoa.")</f>
        <v>Tässä puolustusasennossa Aegislash käyttää teräsrunkoaan ja spektrivoimakenttää vähentääkseen minkä tahansa hyökkäyksen vahinkoa.</v>
      </c>
      <c r="C8099" s="9" t="s">
        <v>1344</v>
      </c>
    </row>
    <row r="8100" ht="33.75" customHeight="1">
      <c r="A8100" s="6" t="s">
        <v>11940</v>
      </c>
      <c r="B8100" s="6" t="str">
        <f>IFERROR(__xludf.DUMMYFUNCTION("GOOGLETRANSLATE(A8100,""en"",""fi"")"),"Sen voimakkaat aavemaiset voimat antavat sille mahdollisuuden manipuloida muita. Se käytti aikoinaan voimiaan pakottaakseen ihmisiä ja Pokémoneja rakentamaan mieleisekseen kuningaskunnan.")</f>
        <v>Sen voimakkaat aavemaiset voimat antavat sille mahdollisuuden manipuloida muita. Se käytti aikoinaan voimiaan pakottaakseen ihmisiä ja Pokémoneja rakentamaan mieleisekseen kuningaskunnan.</v>
      </c>
      <c r="C8100" s="9" t="s">
        <v>1344</v>
      </c>
    </row>
    <row r="8101" ht="33.75" customHeight="1">
      <c r="A8101" s="6" t="s">
        <v>11941</v>
      </c>
      <c r="B8101" s="6" t="str">
        <f>IFERROR(__xludf.DUMMYFUNCTION("GOOGLETRANSLATE(A8101,""en"",""fi"")"),"Se levittää tuoksua, joka lumoaa haistajansa. Tuoksu muuttuu sen mukaan, mitä se on syönyt.")</f>
        <v>Se levittää tuoksua, joka lumoaa haistajansa. Tuoksu muuttuu sen mukaan, mitä se on syönyt.</v>
      </c>
      <c r="C8101" s="9" t="s">
        <v>1344</v>
      </c>
    </row>
    <row r="8102" ht="33.75" customHeight="1">
      <c r="A8102" s="6" t="s">
        <v>11942</v>
      </c>
      <c r="B8102" s="6" t="str">
        <f>IFERROR(__xludf.DUMMYFUNCTION("GOOGLETRANSLATE(A8102,""en"",""fi"")"),"Ennen vanhaan kuninkaalliset naiset kantoivat hajuveden sijaan mukanaan Spritzee-tuoksua, josta he pitivät.")</f>
        <v>Ennen vanhaan kuninkaalliset naiset kantoivat hajuveden sijaan mukanaan Spritzee-tuoksua, josta he pitivät.</v>
      </c>
      <c r="C8102" s="9" t="s">
        <v>1344</v>
      </c>
    </row>
    <row r="8103" ht="33.75" customHeight="1">
      <c r="A8103" s="6" t="s">
        <v>11943</v>
      </c>
      <c r="B8103" s="6" t="str">
        <f>IFERROR(__xludf.DUMMYFUNCTION("GOOGLETRANSLATE(A8103,""en"",""fi"")"),"Tämän Pokémonin kehossa oleva tuoksupussi mahdollistaa sen tuottamisen erilaisilla tuoksuilla. Ruokavalion muutos muuttaa sen tuottamaa tuoksua.")</f>
        <v>Tämän Pokémonin kehossa oleva tuoksupussi mahdollistaa sen tuottamisen erilaisilla tuoksuilla. Ruokavalion muutos muuttaa sen tuottamaa tuoksua.</v>
      </c>
      <c r="C8103" s="9" t="s">
        <v>1344</v>
      </c>
    </row>
    <row r="8104" ht="33.75" customHeight="1">
      <c r="A8104" s="6" t="s">
        <v>11944</v>
      </c>
      <c r="B8104" s="6" t="str">
        <f>IFERROR(__xludf.DUMMYFUNCTION("GOOGLETRANSLATE(A8104,""en"",""fi"")"),"Sen tuoksu lumoaa sen haistajat. Aateliset naiset rakastivat Spritzeetä runsaasti.")</f>
        <v>Sen tuoksu lumoaa sen haistajat. Aateliset naiset rakastivat Spritzeetä runsaasti.</v>
      </c>
      <c r="C8104" s="9" t="s">
        <v>1344</v>
      </c>
    </row>
    <row r="8105" ht="33.75" customHeight="1">
      <c r="A8105" s="6" t="s">
        <v>11945</v>
      </c>
      <c r="B8105" s="6" t="str">
        <f>IFERROR(__xludf.DUMMYFUNCTION("GOOGLETRANSLATE(A8105,""en"",""fi"")"),"Se keksii erilaisia ​​tuoksuja, miellyttäviä ja epämiellyttäviä, ja päästää tuoksuja, joista sen viholliset eivät pidä, saadakseen etulyöntiaseman taistelussa.")</f>
        <v>Se keksii erilaisia ​​tuoksuja, miellyttäviä ja epämiellyttäviä, ja päästää tuoksuja, joista sen viholliset eivät pidä, saadakseen etulyöntiaseman taistelussa.</v>
      </c>
      <c r="C8105" s="9" t="s">
        <v>1344</v>
      </c>
    </row>
    <row r="8106" ht="33.75" customHeight="1">
      <c r="A8106" s="6" t="s">
        <v>11946</v>
      </c>
      <c r="B8106" s="6" t="str">
        <f>IFERROR(__xludf.DUMMYFUNCTION("GOOGLETRANSLATE(A8106,""en"",""fi"")"),"Sen tuoksu on niin voimakas, että ellei kouluttaja satu todella nauttimaan tuoksusta, hänen on vaikeuksia kävellä sen rinnalla.")</f>
        <v>Sen tuoksu on niin voimakas, että ellei kouluttaja satu todella nauttimaan tuoksusta, hänen on vaikeuksia kävellä sen rinnalla.</v>
      </c>
      <c r="C8106" s="9" t="s">
        <v>1344</v>
      </c>
    </row>
    <row r="8107" ht="33.75" customHeight="1">
      <c r="A8107" s="6" t="s">
        <v>11947</v>
      </c>
      <c r="B8107" s="6" t="str">
        <f>IFERROR(__xludf.DUMMYFUNCTION("GOOGLETRANSLATE(A8107,""en"",""fi"")"),"Sen turkista jatkuvasti leviävä tuoksu on niin voimakas, että tämän Pokémonin seuralaiset menettävät lopulta hajuaistinsa.")</f>
        <v>Sen turkista jatkuvasti leviävä tuoksu on niin voimakas, että tämän Pokémonin seuralaiset menettävät lopulta hajuaistinsa.</v>
      </c>
      <c r="C8107" s="9" t="s">
        <v>1344</v>
      </c>
    </row>
    <row r="8108" ht="33.75" customHeight="1">
      <c r="A8108" s="6" t="s">
        <v>11949</v>
      </c>
      <c r="B8108" s="6" t="str">
        <f>IFERROR(__xludf.DUMMYFUNCTION("GOOGLETRANSLATE(A8108,""en"",""fi"")"),"Aromatissen tuottamat tuoksut vaihtelevat liittolaisia ​​vahvistavista makeista tuoksuista vastustajan taistelutahdon heikentäviin epämiellyttäviin hajuihin.")</f>
        <v>Aromatissen tuottamat tuoksut vaihtelevat liittolaisia ​​vahvistavista makeista tuoksuista vastustajan taistelutahdon heikentäviin epämiellyttäviin hajuihin.</v>
      </c>
      <c r="C8108" s="9" t="s">
        <v>1344</v>
      </c>
    </row>
    <row r="8109" ht="33.75" customHeight="1">
      <c r="A8109" s="6" t="s">
        <v>11950</v>
      </c>
      <c r="B8109" s="6" t="str">
        <f>IFERROR(__xludf.DUMMYFUNCTION("GOOGLETRANSLATE(A8109,""en"",""fi"")"),"Takertuakseen vastustajansa taisteluun se pursottaa ulos valkoisia lankoja, jotka ovat yhtä makeita ja tahmeita kuin hattara.")</f>
        <v>Takertuakseen vastustajansa taisteluun se pursottaa ulos valkoisia lankoja, jotka ovat yhtä makeita ja tahmeita kuin hattara.</v>
      </c>
      <c r="C8109" s="9" t="s">
        <v>1344</v>
      </c>
    </row>
    <row r="8110" ht="33.75" customHeight="1">
      <c r="A8110" s="6" t="s">
        <v>11951</v>
      </c>
      <c r="B8110" s="6" t="str">
        <f>IFERROR(__xludf.DUMMYFUNCTION("GOOGLETRANSLATE(A8110,""en"",""fi"")"),"Koska se syö vain makeisia, sen turkki on yhtä tahmeaa ja makeaa kuin hattara.")</f>
        <v>Koska se syö vain makeisia, sen turkki on yhtä tahmeaa ja makeaa kuin hattara.</v>
      </c>
      <c r="C8110" s="9" t="s">
        <v>1344</v>
      </c>
    </row>
    <row r="8111" ht="33.75" customHeight="1">
      <c r="A8111" s="6" t="s">
        <v>11952</v>
      </c>
      <c r="B8111" s="6" t="str">
        <f>IFERROR(__xludf.DUMMYFUNCTION("GOOGLETRANSLATE(A8111,""en"",""fi"")"),"Se syö oman painonsa verran sokeria joka päivä. Jos se ei saa tarpeeksi sokeria, siitä tulee uskomattoman ärtyisä.")</f>
        <v>Se syö oman painonsa verran sokeria joka päivä. Jos se ei saa tarpeeksi sokeria, siitä tulee uskomattoman ärtyisä.</v>
      </c>
      <c r="C8111" s="9" t="s">
        <v>1344</v>
      </c>
    </row>
    <row r="8112" ht="33.75" customHeight="1">
      <c r="A8112" s="6" t="s">
        <v>11953</v>
      </c>
      <c r="B8112" s="6" t="str">
        <f>IFERROR(__xludf.DUMMYFUNCTION("GOOGLETRANSLATE(A8112,""en"",""fi"")"),"Hattaran makea tuoksu leviää Swirlixin pörröiseen turkkiin. Tämä Pokémon sylkee tahmeaa narua sotkeakseen vihollisensa.")</f>
        <v>Hattaran makea tuoksu leviää Swirlixin pörröiseen turkkiin. Tämä Pokémon sylkee tahmeaa narua sotkeakseen vihollisensa.</v>
      </c>
      <c r="C8112" s="9" t="s">
        <v>1344</v>
      </c>
    </row>
    <row r="8113" ht="33.75" customHeight="1">
      <c r="A8113" s="6" t="s">
        <v>11954</v>
      </c>
      <c r="B8113" s="6" t="str">
        <f>IFERROR(__xludf.DUMMYFUNCTION("GOOGLETRANSLATE(A8113,""en"",""fi"")"),"Se pystyy erottamaan heikoimmatkin tuoksut. Se käyttää herkkää hajuaistiaan auttaessaan leipureita heidän työssään.")</f>
        <v>Se pystyy erottamaan heikoimmatkin tuoksut. Se käyttää herkkää hajuaistiaan auttaessaan leipureita heidän työssään.</v>
      </c>
      <c r="C8113" s="9" t="s">
        <v>1344</v>
      </c>
    </row>
    <row r="8114" ht="33.75" customHeight="1">
      <c r="A8114" s="6" t="s">
        <v>11956</v>
      </c>
      <c r="B8114" s="6" t="str">
        <f>IFERROR(__xludf.DUMMYFUNCTION("GOOGLETRANSLATE(A8114,""en"",""fi"")"),"Sen hajuaisti on sata miljoonaa kertaa parempi kuin ihmisen, joten jo heikoinkin tuoksu kertoo sille kaiken lähiympäristössä. Se on kuin se näkisi nenällään!")</f>
        <v>Sen hajuaisti on sata miljoonaa kertaa parempi kuin ihmisen, joten jo heikoinkin tuoksu kertoo sille kaiken lähiympäristössä. Se on kuin se näkisi nenällään!</v>
      </c>
      <c r="C8114" s="9" t="s">
        <v>1344</v>
      </c>
    </row>
    <row r="8115" ht="33.75" customHeight="1">
      <c r="A8115" s="6" t="s">
        <v>11957</v>
      </c>
      <c r="B8115" s="6" t="str">
        <f>IFERROR(__xludf.DUMMYFUNCTION("GOOGLETRANSLATE(A8115,""en"",""fi"")"),"Haistamalla ihmisen tuoksun se voi haistaa hänen henkisen ja fyysisen tilansa. Toivotaan, että tällä taidolla on monia lääketieteellisiä sovelluksia.")</f>
        <v>Haistamalla ihmisen tuoksun se voi haistaa hänen henkisen ja fyysisen tilansa. Toivotaan, että tällä taidolla on monia lääketieteellisiä sovelluksia.</v>
      </c>
      <c r="C8115" s="9" t="s">
        <v>1344</v>
      </c>
    </row>
    <row r="8116" ht="33.75" customHeight="1">
      <c r="A8116" s="6" t="s">
        <v>11961</v>
      </c>
      <c r="B8116" s="6" t="str">
        <f>IFERROR(__xludf.DUMMYFUNCTION("GOOGLETRANSLATE(A8116,""en"",""fi"")"),"Slurpuffin turkki sisältää paljon ilmaa, minkä ansiosta se on pehmeä koskettaa ja kevyempi kuin miltä se näyttää.")</f>
        <v>Slurpuffin turkki sisältää paljon ilmaa, minkä ansiosta se on pehmeä koskettaa ja kevyempi kuin miltä se näyttää.</v>
      </c>
      <c r="C8116" s="9" t="s">
        <v>1344</v>
      </c>
    </row>
    <row r="8117" ht="33.75" customHeight="1">
      <c r="A8117" s="6" t="s">
        <v>11962</v>
      </c>
      <c r="B8117" s="6" t="str">
        <f>IFERROR(__xludf.DUMMYFUNCTION("GOOGLETRANSLATE(A8117,""en"",""fi"")"),"Vastustajat, jotka tuijottavat sen vartalossa välkkyviä valopisteitä, hämmentyvät ja menettävät taistelutahtonsa.")</f>
        <v>Vastustajat, jotka tuijottavat sen vartalossa välkkyviä valopisteitä, hämmentyvät ja menettävät taistelutahtonsa.</v>
      </c>
      <c r="C8117" s="9" t="s">
        <v>1344</v>
      </c>
    </row>
    <row r="8118" ht="33.75" customHeight="1">
      <c r="A8118" s="6" t="s">
        <v>11963</v>
      </c>
      <c r="B8118" s="6" t="str">
        <f>IFERROR(__xludf.DUMMYFUNCTION("GOOGLETRANSLATE(A8118,""en"",""fi"")"),"Se väläyttää kehossaan olevia valoa emittoivia täpliä, mikä kuluttaa vastustajan taistelutahdon. Se käyttää tilaisuuden hyväkseen paeta ja piiloutua.")</f>
        <v>Se väläyttää kehossaan olevia valoa emittoivia täpliä, mikä kuluttaa vastustajan taistelutahdon. Se käyttää tilaisuuden hyväkseen paeta ja piiloutua.</v>
      </c>
      <c r="C8118" s="9" t="s">
        <v>1344</v>
      </c>
    </row>
    <row r="8119" ht="33.75" customHeight="1">
      <c r="A8119" s="6" t="s">
        <v>11965</v>
      </c>
      <c r="B8119" s="6" t="str">
        <f>IFERROR(__xludf.DUMMYFUNCTION("GOOGLETRANSLATE(A8119,""en"",""fi"")"),"Se vetää saalista lähelleen vilkkuvilla valoillaan ja kietoo sen sitten pitkien lonkeroidensa ympärille ja pitää sen paikallaan.")</f>
        <v>Se vetää saalista lähelleen vilkkuvilla valoillaan ja kietoo sen sitten pitkien lonkeroidensa ympärille ja pitää sen paikallaan.</v>
      </c>
      <c r="C8119" s="9" t="s">
        <v>1344</v>
      </c>
    </row>
    <row r="8120" ht="33.75" customHeight="1">
      <c r="A8120" s="6" t="s">
        <v>11966</v>
      </c>
      <c r="B8120" s="6" t="str">
        <f>IFERROR(__xludf.DUMMYFUNCTION("GOOGLETRANSLATE(A8120,""en"",""fi"")"),"Vaihtaessaan tietoja muiden kaltaistensa kanssa se väläyttää kehossaan olevia valoa emittoivia täpliä monimutkaisessa rytmissä.")</f>
        <v>Vaihtaessaan tietoja muiden kaltaistensa kanssa se väläyttää kehossaan olevia valoa emittoivia täpliä monimutkaisessa rytmissä.</v>
      </c>
      <c r="C8120" s="9" t="s">
        <v>1344</v>
      </c>
    </row>
    <row r="8121" ht="33.75" customHeight="1">
      <c r="A8121" s="6" t="s">
        <v>11967</v>
      </c>
      <c r="B8121" s="6" t="str">
        <f>IFERROR(__xludf.DUMMYFUNCTION("GOOGLETRANSLATE(A8121,""en"",""fi"")"),"Se pyörii samalla kun sen luminoivat täplät välkkyvät. Näiden täplien avulla se voi kommunikoida muiden kanssa käyttämällä erilaisia ​​valokuvioita.")</f>
        <v>Se pyörii samalla kun sen luminoivat täplät välkkyvät. Näiden täplien avulla se voi kommunikoida muiden kanssa käyttämällä erilaisia ​​valokuvioita.</v>
      </c>
      <c r="C8121" s="9" t="s">
        <v>1344</v>
      </c>
    </row>
    <row r="8122" ht="33.75" customHeight="1">
      <c r="A8122" s="6" t="s">
        <v>11969</v>
      </c>
      <c r="B8122" s="6" t="str">
        <f>IFERROR(__xludf.DUMMYFUNCTION("GOOGLETRANSLATE(A8122,""en"",""fi"")"),"Altistamalla viholliset hohtavien täplien välkkyvälle valolle Inkay lannistaa heidät ja tarttuu sitten tilaisuuteen paeta.")</f>
        <v>Altistamalla viholliset hohtavien täplien välkkyvälle valolle Inkay lannistaa heidät ja tarttuu sitten tilaisuuteen paeta.</v>
      </c>
      <c r="C8122" s="9" t="s">
        <v>1344</v>
      </c>
    </row>
    <row r="8123" ht="33.75" customHeight="1">
      <c r="A8123" s="6" t="s">
        <v>11970</v>
      </c>
      <c r="B8123" s="6" t="str">
        <f>IFERROR(__xludf.DUMMYFUNCTION("GOOGLETRANSLATE(A8123,""en"",""fi"")"),"Se käyttää kiehtovimpia hypnoottisia voimia kaikista Pokémoneista ja pakottaa muut tekemään mitä tahansa se haluaa.")</f>
        <v>Se käyttää kiehtovimpia hypnoottisia voimia kaikista Pokémoneista ja pakottaa muut tekemään mitä tahansa se haluaa.</v>
      </c>
      <c r="C8123" s="9" t="s">
        <v>1344</v>
      </c>
    </row>
    <row r="8124" ht="33.75" customHeight="1">
      <c r="A8124" s="6" t="s">
        <v>11972</v>
      </c>
      <c r="B8124" s="6" t="str">
        <f>IFERROR(__xludf.DUMMYFUNCTION("GOOGLETRANSLATE(A8124,""en"",""fi"")"),"Se houkuttelee saaliinsa lähelle hypnoottisilla liikkeillä, kietoo sitten lonkeronsa sen ympärille ja viimeistelee sen ruoansulatusnesteillä.")</f>
        <v>Se houkuttelee saaliinsa lähelle hypnoottisilla liikkeillä, kietoo sitten lonkeronsa sen ympärille ja viimeistelee sen ruoansulatusnesteillä.</v>
      </c>
      <c r="C8124" s="9" t="s">
        <v>1344</v>
      </c>
    </row>
    <row r="8125" ht="33.75" customHeight="1">
      <c r="A8125" s="6" t="s">
        <v>11973</v>
      </c>
      <c r="B8125" s="6" t="str">
        <f>IFERROR(__xludf.DUMMYFUNCTION("GOOGLETRANSLATE(A8125,""en"",""fi"")"),"Kun on kyse vahvasta hypnoosista, on loputon määrä ihmisiä, jotka käyttävät Malamaria ilkeisiin tekoihinsa.")</f>
        <v>Kun on kyse vahvasta hypnoosista, on loputon määrä ihmisiä, jotka käyttävät Malamaria ilkeisiin tekoihinsa.</v>
      </c>
      <c r="C8125" s="9" t="s">
        <v>1344</v>
      </c>
    </row>
    <row r="8126" ht="33.75" customHeight="1">
      <c r="A8126" s="6" t="s">
        <v>11974</v>
      </c>
      <c r="B8126" s="6" t="str">
        <f>IFERROR(__xludf.DUMMYFUNCTION("GOOGLETRANSLATE(A8126,""en"",""fi"")"),"Se väläyttää kuviota vartalossaan hallitakseen saalistaan ​​ja houkutellakseen sitä puoleensa. Sen evien reunat ovat erittäin terävät.")</f>
        <v>Se väläyttää kuviota vartalossaan hallitakseen saalistaan ​​ja houkutellakseen sitä puoleensa. Sen evien reunat ovat erittäin terävät.</v>
      </c>
      <c r="C8126" s="9" t="s">
        <v>1344</v>
      </c>
    </row>
    <row r="8127" ht="33.75" customHeight="1">
      <c r="A8127" s="6" t="s">
        <v>11975</v>
      </c>
      <c r="B8127" s="6" t="str">
        <f>IFERROR(__xludf.DUMMYFUNCTION("GOOGLETRANSLATE(A8127,""en"",""fi"")"),"Sen hohtavien täplien katseleminen aiheuttaa nopeasti hypnoottisen tilan, joka asettaa Malamarin hallintaan.")</f>
        <v>Sen hohtavien täplien katseleminen aiheuttaa nopeasti hypnoottisen tilan, joka asettaa Malamarin hallintaan.</v>
      </c>
      <c r="C8127" s="9" t="s">
        <v>1344</v>
      </c>
    </row>
    <row r="8128" ht="33.75" customHeight="1">
      <c r="A8128" s="6" t="s">
        <v>11977</v>
      </c>
      <c r="B8128" s="6" t="str">
        <f>IFERROR(__xludf.DUMMYFUNCTION("GOOGLETRANSLATE(A8128,""en"",""fi"")"),"Sanotaan, että Malamarin hypnoottisilla voimilla oli rooli tietyissä historiaa mullistavissa tapahtumissa.")</f>
        <v>Sanotaan, että Malamarin hypnoottisilla voimilla oli rooli tietyissä historiaa mullistavissa tapahtumissa.</v>
      </c>
      <c r="C8128" s="9" t="s">
        <v>1344</v>
      </c>
    </row>
    <row r="8129" ht="33.75" customHeight="1">
      <c r="A8129" s="6" t="s">
        <v>11979</v>
      </c>
      <c r="B8129" s="6" t="str">
        <f>IFERROR(__xludf.DUMMYFUNCTION("GOOGLETRANSLATE(A8129,""en"",""fi"")"),"Kaksi Binaclea asuu yhdessä samalla kalliolla. Kun he taistelevat, toinen heistä siirtyy toiselle kalliolle.")</f>
        <v>Kaksi Binaclea asuu yhdessä samalla kalliolla. Kun he taistelevat, toinen heistä siirtyy toiselle kalliolle.</v>
      </c>
      <c r="C8129" s="9" t="s">
        <v>1344</v>
      </c>
    </row>
    <row r="8130" ht="33.75" customHeight="1">
      <c r="A8130" s="6" t="s">
        <v>11980</v>
      </c>
      <c r="B8130" s="6" t="str">
        <f>IFERROR(__xludf.DUMMYFUNCTION("GOOGLETRANSLATE(A8130,""en"",""fi"")"),"Ne venyttelevät ja sitten supistuvat, vetäen kiviään mukanaan rohkeasti hyppien. Ne syövät rantaan huuhtoutunutta merilevää.")</f>
        <v>Ne venyttelevät ja sitten supistuvat, vetäen kiviään mukanaan rohkeasti hyppien. Ne syövät rantaan huuhtoutunutta merilevää.</v>
      </c>
      <c r="C8130" s="9" t="s">
        <v>1344</v>
      </c>
    </row>
    <row r="8131" ht="33.75" customHeight="1">
      <c r="A8131" s="6" t="s">
        <v>11981</v>
      </c>
      <c r="B8131" s="6" t="str">
        <f>IFERROR(__xludf.DUMMYFUNCTION("GOOGLETRANSLATE(A8131,""en"",""fi"")"),"Löydettyään sopivan kokoisen kiven, kaksi Binaclea tarttuvat siihen ja alkavat elää yhdessä. Ne tekevät yhteistyötä kerätäkseen ruokaa nousuveden aikana.")</f>
        <v>Löydettyään sopivan kokoisen kiven, kaksi Binaclea tarttuvat siihen ja alkavat elää yhdessä. Ne tekevät yhteistyötä kerätäkseen ruokaa nousuveden aikana.</v>
      </c>
      <c r="C8131" s="9" t="s">
        <v>1344</v>
      </c>
    </row>
    <row r="8132" ht="33.75" customHeight="1">
      <c r="A8132" s="6" t="s">
        <v>11982</v>
      </c>
      <c r="B8132" s="6" t="str">
        <f>IFERROR(__xludf.DUMMYFUNCTION("GOOGLETRANSLATE(A8132,""en"",""fi"")"),"Jos nämä kaksi eivät toimi hyvin yhdessä, sekä heidän hyökkäyksensä että puolustuksensa hajoavat. Ilman hyvää tiimityötä he eivät selviä.")</f>
        <v>Jos nämä kaksi eivät toimi hyvin yhdessä, sekä heidän hyökkäyksensä että puolustuksensa hajoavat. Ilman hyvää tiimityötä he eivät selviä.</v>
      </c>
      <c r="C8132" s="9" t="s">
        <v>1344</v>
      </c>
    </row>
    <row r="8133" ht="33.75" customHeight="1">
      <c r="A8133" s="6" t="s">
        <v>11984</v>
      </c>
      <c r="B8133" s="6" t="str">
        <f>IFERROR(__xludf.DUMMYFUNCTION("GOOGLETRANSLATE(A8133,""en"",""fi"")"),"Kun ne kehittyvät, kaksi Binaclea lisääntyy seitsemäksi. Ne taistelevat seitsemän Binaclen voimalla.")</f>
        <v>Kun ne kehittyvät, kaksi Binaclea lisääntyy seitsemäksi. Ne taistelevat seitsemän Binaclen voimalla.</v>
      </c>
      <c r="C8133" s="9" t="s">
        <v>1344</v>
      </c>
    </row>
    <row r="8134" ht="33.75" customHeight="1">
      <c r="A8134" s="6" t="s">
        <v>11985</v>
      </c>
      <c r="B8134" s="6" t="str">
        <f>IFERROR(__xludf.DUMMYFUNCTION("GOOGLETRANSLATE(A8134,""en"",""fi"")"),"Barbaraclen jaloilla ja käsillä on omat mielensä, ja ne liikkuvat itsenäisesti. Yleensä ne kuitenkin noudattavat pään käskyjä.")</f>
        <v>Barbaraclen jaloilla ja käsillä on omat mielensä, ja ne liikkuvat itsenäisesti. Yleensä ne kuitenkin noudattavat pään käskyjä.</v>
      </c>
      <c r="C8134" s="9" t="s">
        <v>1344</v>
      </c>
    </row>
    <row r="8135" ht="33.75" customHeight="1">
      <c r="A8135" s="6" t="s">
        <v>11986</v>
      </c>
      <c r="B8135" s="6" t="str">
        <f>IFERROR(__xludf.DUMMYFUNCTION("GOOGLETRANSLATE(A8135,""en"",""fi"")"),"Seitsemän Binaclea yhdistyy muodostaen yhden Barbaraclen. Binacle, joka toimii päänä, antaa käskyjä raajoina toimiville Binacleille.")</f>
        <v>Seitsemän Binaclea yhdistyy muodostaen yhden Barbaraclen. Binacle, joka toimii päänä, antaa käskyjä raajoina toimiville Binacleille.</v>
      </c>
      <c r="C8135" s="9" t="s">
        <v>1344</v>
      </c>
    </row>
    <row r="8136" ht="33.75" customHeight="1">
      <c r="A8136" s="6" t="s">
        <v>11988</v>
      </c>
      <c r="B8136" s="6" t="str">
        <f>IFERROR(__xludf.DUMMYFUNCTION("GOOGLETRANSLATE(A8136,""en"",""fi"")"),"Silmän pitäminen kummassakin kämmenessä antaa sille mahdollisuuden tarkkailla kaikkia suuntia. Hätätilanteessa sen raajat alkavat toimia itsenäisesti varmistaakseen vihollisen tappion.")</f>
        <v>Silmän pitäminen kummassakin kämmenessä antaa sille mahdollisuuden tarkkailla kaikkia suuntia. Hätätilanteessa sen raajat alkavat toimia itsenäisesti varmistaakseen vihollisen tappion.</v>
      </c>
      <c r="C8136" s="9" t="s">
        <v>1344</v>
      </c>
    </row>
    <row r="8137" ht="33.75" customHeight="1">
      <c r="A8137" s="6" t="s">
        <v>11989</v>
      </c>
      <c r="B8137" s="6" t="str">
        <f>IFERROR(__xludf.DUMMYFUNCTION("GOOGLETRANSLATE(A8137,""en"",""fi"")"),"Mädäntyneeksi merileväksi naamioituneina ne suihkuttavat nestemäistä myrkkyä saaliiseensa, joka lähestyy tietämättään, ja sitten tappavat sen.")</f>
        <v>Mädäntyneeksi merileväksi naamioituneina ne suihkuttavat nestemäistä myrkkyä saaliiseensa, joka lähestyy tietämättään, ja sitten tappavat sen.</v>
      </c>
      <c r="C8137" s="9" t="s">
        <v>1344</v>
      </c>
    </row>
    <row r="8138" ht="33.75" customHeight="1">
      <c r="A8138" s="6" t="s">
        <v>11991</v>
      </c>
      <c r="B8138" s="6" t="str">
        <f>IFERROR(__xludf.DUMMYFUNCTION("GOOGLETRANSLATE(A8138,""en"",""fi"")"),"Se näyttää aivan mädältä merilevältä. Se piiloutuu vihollisilta ja samalla kerää voimaa evoluutiotaan varten.")</f>
        <v>Se näyttää aivan mädältä merilevältä. Se piiloutuu vihollisilta ja samalla kerää voimaa evoluutiotaan varten.</v>
      </c>
      <c r="C8138" s="9" t="s">
        <v>1344</v>
      </c>
    </row>
    <row r="8139" ht="33.75" customHeight="1">
      <c r="A8139" s="6" t="s">
        <v>11992</v>
      </c>
      <c r="B8139" s="6" t="str">
        <f>IFERROR(__xludf.DUMMYFUNCTION("GOOGLETRANSLATE(A8139,""en"",""fi"")"),"Se katoaa merilevään ja pysyy täysin paikallaan välttääkseen suurten Pokémonien hyökkäyksiä. Mätämerilevä on sen tärkein ravinnonlähde.")</f>
        <v>Se katoaa merilevään ja pysyy täysin paikallaan välttääkseen suurten Pokémonien hyökkäyksiä. Mätämerilevä on sen tärkein ravinnonlähde.</v>
      </c>
      <c r="C8139" s="9" t="s">
        <v>1344</v>
      </c>
    </row>
    <row r="8140" ht="33.75" customHeight="1">
      <c r="A8140" s="6" t="s">
        <v>11993</v>
      </c>
      <c r="B8140" s="6" t="str">
        <f>IFERROR(__xludf.DUMMYFUNCTION("GOOGLETRANSLATE(A8140,""en"",""fi"")"),"Se ei ole hyvä uimaan, joten se takertuu merilevään. Alolan alueella sitä tavataan usein Dhelmisen lähellä.")</f>
        <v>Se ei ole hyvä uimaan, joten se takertuu merilevään. Alolan alueella sitä tavataan usein Dhelmisen lähellä.</v>
      </c>
      <c r="C8140" s="9" t="s">
        <v>1344</v>
      </c>
    </row>
    <row r="8141" ht="33.75" customHeight="1">
      <c r="A8141" s="6" t="s">
        <v>11994</v>
      </c>
      <c r="B8141" s="6" t="str">
        <f>IFERROR(__xludf.DUMMYFUNCTION("GOOGLETRANSLATE(A8141,""en"",""fi"")"),"Se ajelehtii meressä sekoittuen kelluvaan merilevään. Kun muut Pokémonit tulevat herkuttelemaan merilevällä, Skrelp herkuttelee niillä.")</f>
        <v>Se ajelehtii meressä sekoittuen kelluvaan merilevään. Kun muut Pokémonit tulevat herkuttelemaan merilevällä, Skrelp herkuttelee niillä.</v>
      </c>
      <c r="C8141" s="9" t="s">
        <v>1344</v>
      </c>
    </row>
    <row r="8142" ht="33.75" customHeight="1">
      <c r="A8142" s="6" t="s">
        <v>11995</v>
      </c>
      <c r="B8142" s="6" t="str">
        <f>IFERROR(__xludf.DUMMYFUNCTION("GOOGLETRANSLATE(A8142,""en"",""fi"")"),"Skrelp näyttää mädäntyneeltä merilevältä, joten se voi sulautua meressä ajelehtivaan merilevään ja välttää vihollisten havaitsemisen.")</f>
        <v>Skrelp näyttää mädäntyneeltä merilevältä, joten se voi sulautua meressä ajelehtivaan merilevään ja välttää vihollisten havaitsemisen.</v>
      </c>
      <c r="C8142" s="9" t="s">
        <v>1344</v>
      </c>
    </row>
    <row r="8143" ht="33.75" customHeight="1">
      <c r="A8143" s="6" t="s">
        <v>11996</v>
      </c>
      <c r="B8143" s="6" t="str">
        <f>IFERROR(__xludf.DUMMYFUNCTION("GOOGLETRANSLATE(A8143,""en"",""fi"")"),"Niiden myrkky on niin vahvaa, että se voi syödä läpi tankkerin rungon, ja ne sylkevät sitä umpimähkään kaikkeen, mikä saapuu niiden alueelle.")</f>
        <v>Niiden myrkky on niin vahvaa, että se voi syödä läpi tankkerin rungon, ja ne sylkevät sitä umpimähkään kaikkeen, mikä saapuu niiden alueelle.</v>
      </c>
      <c r="C8143" s="9" t="s">
        <v>1344</v>
      </c>
    </row>
    <row r="8144" ht="33.75" customHeight="1">
      <c r="A8144" s="6" t="s">
        <v>11997</v>
      </c>
      <c r="B8144" s="6" t="str">
        <f>IFERROR(__xludf.DUMMYFUNCTION("GOOGLETRANSLATE(A8144,""en"",""fi"")"),"Tarinoita kerrotaan laivoista, jotka vaeltavat merille, joilla Dragalge asuu, eivätkä koskaan palaa.")</f>
        <v>Tarinoita kerrotaan laivoista, jotka vaeltavat merille, joilla Dragalge asuu, eivätkä koskaan palaa.</v>
      </c>
      <c r="C8144" s="9" t="s">
        <v>1344</v>
      </c>
    </row>
    <row r="8145" ht="33.75" customHeight="1">
      <c r="A8145" s="6" t="s">
        <v>11998</v>
      </c>
      <c r="B8145" s="6" t="str">
        <f>IFERROR(__xludf.DUMMYFUNCTION("GOOGLETRANSLATE(A8145,""en"",""fi"")"),"Tämä ilkeä Pokémon suihkuttaa myrkyllistä nestettä lähelle tulevien vastustajien päälle. Jostain syystä se tulee todella hyvin toimeen Dhelmisen kanssa.")</f>
        <v>Tämä ilkeä Pokémon suihkuttaa myrkyllistä nestettä lähelle tulevien vastustajien päälle. Jostain syystä se tulee todella hyvin toimeen Dhelmisen kanssa.</v>
      </c>
      <c r="C8145" s="9" t="s">
        <v>1344</v>
      </c>
    </row>
    <row r="8146" ht="33.75" customHeight="1">
      <c r="A8146" s="6" t="s">
        <v>11999</v>
      </c>
      <c r="B8146" s="6" t="str">
        <f>IFERROR(__xludf.DUMMYFUNCTION("GOOGLETRANSLATE(A8146,""en"",""fi"")"),"Se sekoittuu merilevään väijyttääkseen saalistaan ​​ja tappaa sen sitten myrkyllisellä nesteellä, joka on tarpeeksi vahva sulattamaan metallia.")</f>
        <v>Se sekoittuu merilevään väijyttääkseen saalistaan ​​ja tappaa sen sitten myrkyllisellä nesteellä, joka on tarpeeksi vahva sulattamaan metallia.</v>
      </c>
      <c r="C8146" s="9" t="s">
        <v>1344</v>
      </c>
    </row>
    <row r="8147" ht="33.75" customHeight="1">
      <c r="A8147" s="6" t="s">
        <v>12000</v>
      </c>
      <c r="B8147" s="6" t="str">
        <f>IFERROR(__xludf.DUMMYFUNCTION("GOOGLETRANSLATE(A8147,""en"",""fi"")"),"Dragalge käyttää myrkyllistä nestettä, joka kykenee syövyttämään metallia, lähettääkseen alueelleen saapuvat säiliöalukset meren pohjaan.")</f>
        <v>Dragalge käyttää myrkyllistä nestettä, joka kykenee syövyttämään metallia, lähettääkseen alueelleen saapuvat säiliöalukset meren pohjaan.</v>
      </c>
      <c r="C8147" s="9" t="s">
        <v>1344</v>
      </c>
    </row>
    <row r="8148" ht="33.75" customHeight="1">
      <c r="A8148" s="6" t="s">
        <v>12001</v>
      </c>
      <c r="B8148" s="6" t="str">
        <f>IFERROR(__xludf.DUMMYFUNCTION("GOOGLETRANSLATE(A8148,""en"",""fi"")"),"Dragalge tuottaa lohikäärmeen energiaa työntämällä sen päässä olevan höyhenen merenpinnan yläpuolelle ja kylpemällä sitä auringonvalossa.")</f>
        <v>Dragalge tuottaa lohikäärmeen energiaa työntämällä sen päässä olevan höyhenen merenpinnan yläpuolelle ja kylpemällä sitä auringonvalossa.</v>
      </c>
      <c r="C8148" s="9" t="s">
        <v>1344</v>
      </c>
    </row>
    <row r="8149" ht="33.75" customHeight="1">
      <c r="A8149" s="6" t="s">
        <v>12003</v>
      </c>
      <c r="B8149" s="6" t="str">
        <f>IFERROR(__xludf.DUMMYFUNCTION("GOOGLETRANSLATE(A8149,""en"",""fi"")"),"Ne kaatavat lentävän saaliin ampumalla puristettua vettä massiivisista kynsillään kuin ampuisivat pistoolilla.")</f>
        <v>Ne kaatavat lentävän saaliin ampumalla puristettua vettä massiivisista kynsillään kuin ampuisivat pistoolilla.</v>
      </c>
      <c r="C8149" s="9" t="s">
        <v>1344</v>
      </c>
    </row>
    <row r="8150" ht="33.75" customHeight="1">
      <c r="A8150" s="6" t="s">
        <v>12004</v>
      </c>
      <c r="B8150" s="6" t="str">
        <f>IFERROR(__xludf.DUMMYFUNCTION("GOOGLETRANSLATE(A8150,""en"",""fi"")"),"Sisäisen kaasun hallittujen räjähdysten kautta se voi työntää vettä ulos kuin pistoolin laukaus. Lähietäisyydeltä se voi rikkoa kalliota.")</f>
        <v>Sisäisen kaasun hallittujen räjähdysten kautta se voi työntää vettä ulos kuin pistoolin laukaus. Lähietäisyydeltä se voi rikkoa kalliota.</v>
      </c>
      <c r="C8150" s="9" t="s">
        <v>1344</v>
      </c>
    </row>
    <row r="8151" ht="33.75" customHeight="1">
      <c r="A8151" s="6" t="s">
        <v>12006</v>
      </c>
      <c r="B8151" s="6" t="str">
        <f>IFERROR(__xludf.DUMMYFUNCTION("GOOGLETRANSLATE(A8151,""en"",""fi"")"),"Sen kynnet irtoavat silloin tällöin, ja se pysyy piilossa, kunnes ne kasvavat takaisin. Sen kynsien liha on niin herkullista!")</f>
        <v>Sen kynnet irtoavat silloin tällöin, ja se pysyy piilossa, kunnes ne kasvavat takaisin. Sen kynsien liha on niin herkullista!</v>
      </c>
      <c r="C8151" s="9" t="s">
        <v>1344</v>
      </c>
    </row>
    <row r="8152" ht="33.75" customHeight="1">
      <c r="A8152" s="6" t="s">
        <v>12008</v>
      </c>
      <c r="B8152" s="6" t="str">
        <f>IFERROR(__xludf.DUMMYFUNCTION("GOOGLETRANSLATE(A8152,""en"",""fi"")"),"Se liikkuu suihkuttamalla vettä oikeasta pihdeistään. Sillä on huono tasapainoaisti, joten se on surkea uimaan suoraan.")</f>
        <v>Se liikkuu suihkuttamalla vettä oikeasta pihdeistään. Sillä on huono tasapainoaisti, joten se on surkea uimaan suoraan.</v>
      </c>
      <c r="C8152" s="9" t="s">
        <v>1344</v>
      </c>
    </row>
    <row r="8153" ht="33.75" customHeight="1">
      <c r="A8153" s="6" t="s">
        <v>12010</v>
      </c>
      <c r="B8153" s="6" t="str">
        <f>IFERROR(__xludf.DUMMYFUNCTION("GOOGLETRANSLATE(A8153,""en"",""fi"")"),"Clauncherin kynnet voivat irrota taistelun aikana, mutta ne uusiutuvat. Kynsien sisällä oleva liha on suosittua herkkua Galarissa.")</f>
        <v>Clauncherin kynnet voivat irrota taistelun aikana, mutta ne uusiutuvat. Kynsien sisällä oleva liha on suosittua herkkua Galarissa.</v>
      </c>
      <c r="C8153" s="9" t="s">
        <v>1344</v>
      </c>
    </row>
    <row r="8154" ht="33.75" customHeight="1">
      <c r="A8154" s="6" t="s">
        <v>12011</v>
      </c>
      <c r="B8154" s="6" t="str">
        <f>IFERROR(__xludf.DUMMYFUNCTION("GOOGLETRANSLATE(A8154,""en"",""fi"")"),"Räjäyttämällä oikeaan kynteen kertyvää kaasua tämä Pokémon ampuu vettä kuin luoti. Näin Clauncher kukistaa vihollisensa.")</f>
        <v>Räjäyttämällä oikeaan kynteen kertyvää kaasua tämä Pokémon ampuu vettä kuin luoti. Näin Clauncher kukistaa vihollisensa.</v>
      </c>
      <c r="C8154" s="9" t="s">
        <v>1344</v>
      </c>
    </row>
    <row r="8155" ht="33.75" customHeight="1">
      <c r="A8155" s="6" t="s">
        <v>12012</v>
      </c>
      <c r="B8155" s="6" t="str">
        <f>IFERROR(__xludf.DUMMYFUNCTION("GOOGLETRANSLATE(A8155,""en"",""fi"")"),"Niiden valtavat kynnet ampuvat vesitykinkuulia, jotka ovat riittävän voimakkaita lävistämään tankkereiden rungot.")</f>
        <v>Niiden valtavat kynnet ampuvat vesitykinkuulia, jotka ovat riittävän voimakkaita lävistämään tankkereiden rungot.</v>
      </c>
      <c r="C8155" s="9" t="s">
        <v>1344</v>
      </c>
    </row>
    <row r="8156" ht="33.75" customHeight="1">
      <c r="A8156" s="6" t="s">
        <v>12014</v>
      </c>
      <c r="B8156" s="6" t="str">
        <f>IFERROR(__xludf.DUMMYFUNCTION("GOOGLETRANSLATE(A8156,""en"",""fi"")"),"Puristamalla vettä kynnen takaosassa olevasta suuttimesta se voi liikkua 60 solmun nopeudella.")</f>
        <v>Puristamalla vettä kynnen takaosassa olevasta suuttimesta se voi liikkua 60 solmun nopeudella.</v>
      </c>
      <c r="C8156" s="9" t="s">
        <v>1344</v>
      </c>
    </row>
    <row r="8157" ht="33.75" customHeight="1">
      <c r="A8157" s="6" t="s">
        <v>12015</v>
      </c>
      <c r="B8157" s="6" t="str">
        <f>IFERROR(__xludf.DUMMYFUNCTION("GOOGLETRANSLATE(A8157,""en"",""fi"")"),"Se puristaa imettämäänsä vettä ja puhaltaa sitä sitten niin voimakkaasti, että se pystyy tekemään reiän paksun rautalevyn läpi.")</f>
        <v>Se puristaa imettämäänsä vettä ja puhaltaa sitä sitten niin voimakkaasti, että se pystyy tekemään reiän paksun rautalevyn läpi.</v>
      </c>
      <c r="C8157" s="9" t="s">
        <v>1344</v>
      </c>
    </row>
    <row r="8158" ht="33.75" customHeight="1">
      <c r="A8158" s="6" t="s">
        <v>12017</v>
      </c>
      <c r="B8158" s="6" t="str">
        <f>IFERROR(__xludf.DUMMYFUNCTION("GOOGLETRANSLATE(A8158,""en"",""fi"")"),"Sen oikea käsivarsi on täynnä lihaa. Kun sen pihdit irtoavat, ne viedään muualle ruoanlaittoon.")</f>
        <v>Sen oikea käsivarsi on täynnä lihaa. Kun sen pihdit irtoavat, ne viedään muualle ruoanlaittoon.</v>
      </c>
      <c r="C8158" s="9" t="s">
        <v>1344</v>
      </c>
    </row>
    <row r="8159" ht="33.75" customHeight="1">
      <c r="A8159" s="6" t="s">
        <v>12018</v>
      </c>
      <c r="B8159" s="6" t="str">
        <f>IFERROR(__xludf.DUMMYFUNCTION("GOOGLETRANSLATE(A8159,""en"",""fi"")"),"Käytettyään ylisuuren kynteensä tuntosarvia saaliin sijainnin havaitsemiseen, Clawitzer ampuu vettä sisältävän tykinkuulan kohteeseensa.")</f>
        <v>Käytettyään ylisuuren kynteensä tuntosarvia saaliin sijainnin havaitsemiseen, Clawitzer ampuu vettä sisältävän tykinkuulan kohteeseensa.</v>
      </c>
      <c r="C8159" s="9" t="s">
        <v>1344</v>
      </c>
    </row>
    <row r="8160" ht="33.75" customHeight="1">
      <c r="A8160" s="6" t="s">
        <v>12020</v>
      </c>
      <c r="B8160" s="6" t="str">
        <f>IFERROR(__xludf.DUMMYFUNCTION("GOOGLETRANSLATE(A8160,""en"",""fi"")"),"Clawitzerin oikea käsivarsi on tykki, joka ampuu merivedestä valmistettuja ammuksia. Clawitzerin tykin käsivarresta ammutut laukaukset voivat upottaa tankkerin.")</f>
        <v>Clawitzerin oikea käsivarsi on tykki, joka ampuu merivedestä valmistettuja ammuksia. Clawitzerin tykin käsivarresta ammutut laukaukset voivat upottaa tankkerin.</v>
      </c>
      <c r="C8160" s="9" t="s">
        <v>1344</v>
      </c>
    </row>
    <row r="8161" ht="33.75" customHeight="1">
      <c r="A8161" s="6" t="s">
        <v>12021</v>
      </c>
      <c r="B8161" s="6" t="str">
        <f>IFERROR(__xludf.DUMMYFUNCTION("GOOGLETRANSLATE(A8161,""en"",""fi"")"),"Ne asettuvat asumaan aavikoihin. Ne voivat tuottaa energiansa paistattelemalla auringossa, joten ruoan syöminen ei ole välttämätöntä.")</f>
        <v>Ne asettuvat asumaan aavikoihin. Ne voivat tuottaa energiansa paistattelemalla auringossa, joten ruoan syöminen ei ole välttämätöntä.</v>
      </c>
      <c r="C8161" s="9" t="s">
        <v>1344</v>
      </c>
    </row>
    <row r="8162" ht="33.75" customHeight="1">
      <c r="A8162" s="6" t="s">
        <v>12023</v>
      </c>
      <c r="B8162" s="6" t="str">
        <f>IFERROR(__xludf.DUMMYFUNCTION("GOOGLETRANSLATE(A8162,""en"",""fi"")"),"Pään molemmin puolin olevissa kauluksissa on kennoja, jotka tuottavat sähköä auringonvalossa.")</f>
        <v>Pään molemmin puolin olevissa kauluksissa on kennoja, jotka tuottavat sähköä auringonvalossa.</v>
      </c>
      <c r="C8162" s="9" t="s">
        <v>1344</v>
      </c>
    </row>
    <row r="8163" ht="33.75" customHeight="1">
      <c r="A8163" s="6" t="s">
        <v>12025</v>
      </c>
      <c r="B8163" s="6" t="str">
        <f>IFERROR(__xludf.DUMMYFUNCTION("GOOGLETRANSLATE(A8163,""en"",""fi"")"),"Levitettyinä sen pään röyhelöt toimivat kuin aurinkopaneelit, jotka tuottavat energian tämän Pokémonin sähköisiin liikkeisiin.")</f>
        <v>Levitettyinä sen pään röyhelöt toimivat kuin aurinkopaneelit, jotka tuottavat energian tämän Pokémonin sähköisiin liikkeisiin.</v>
      </c>
      <c r="C8163" s="9" t="s">
        <v>1344</v>
      </c>
    </row>
    <row r="8164" ht="33.75" customHeight="1">
      <c r="A8164" s="6" t="s">
        <v>12026</v>
      </c>
      <c r="B8164" s="6" t="str">
        <f>IFERROR(__xludf.DUMMYFUNCTION("GOOGLETRANSLATE(A8164,""en"",""fi"")"),"Aurinko saa voimansa tämän Pokémonin sähköntuotannosta. Tämän prosessin keskeytyminen rasittaa Helioptilea heikkouden rajalle.")</f>
        <v>Aurinko saa voimansa tämän Pokémonin sähköntuotannosta. Tämän prosessin keskeytyminen rasittaa Helioptilea heikkouden rajalle.</v>
      </c>
      <c r="C8164" s="9" t="s">
        <v>1344</v>
      </c>
    </row>
    <row r="8165" ht="33.75" customHeight="1">
      <c r="A8165" s="6" t="s">
        <v>12027</v>
      </c>
      <c r="B8165" s="6" t="str">
        <f>IFERROR(__xludf.DUMMYFUNCTION("GOOGLETRANSLATE(A8165,""en"",""fi"")"),"Ne levittävät kauluriaan ja tuottavat energiaa. Yksi ainoa Heliolisk voi tuottaa riittävästi sähköä pilvenpiirtäjän käyttämiseen.")</f>
        <v>Ne levittävät kauluriaan ja tuottavat energiaa. Yksi ainoa Heliolisk voi tuottaa riittävästi sähköä pilvenpiirtäjän käyttämiseen.</v>
      </c>
      <c r="C8165" s="9" t="s">
        <v>1344</v>
      </c>
    </row>
    <row r="8166" ht="33.75" customHeight="1">
      <c r="A8166" s="6" t="s">
        <v>12028</v>
      </c>
      <c r="B8166" s="6" t="str">
        <f>IFERROR(__xludf.DUMMYFUNCTION("GOOGLETRANSLATE(A8166,""en"",""fi"")"),"Se stimuloi lihaksiaan sähköllä, mikä lisää jalkojen voimaa ja mahdollistaa sen juoksemisen 100 jaardia viidessä sekunnissa.")</f>
        <v>Se stimuloi lihaksiaan sähköllä, mikä lisää jalkojen voimaa ja mahdollistaa sen juoksemisen 100 jaardia viidessä sekunnissa.</v>
      </c>
      <c r="C8166" s="9" t="s">
        <v>1344</v>
      </c>
    </row>
    <row r="8167" ht="33.75" customHeight="1">
      <c r="A8167" s="6" t="s">
        <v>12029</v>
      </c>
      <c r="B8167" s="6" t="str">
        <f>IFERROR(__xludf.DUMMYFUNCTION("GOOGLETRANSLATE(A8167,""en"",""fi"")"),"Nykyään kadonnut aavikkokulttuuri vaali näitä Pokémoneja. Sopivasti, kun Heliolisk saapui Galarin alueelle, aarre toi mukanaan.")</f>
        <v>Nykyään kadonnut aavikkokulttuuri vaali näitä Pokémoneja. Sopivasti, kun Heliolisk saapui Galarin alueelle, aarre toi mukanaan.</v>
      </c>
      <c r="C8167" s="9" t="s">
        <v>1344</v>
      </c>
    </row>
    <row r="8168" ht="33.75" customHeight="1">
      <c r="A8168" s="6" t="s">
        <v>12030</v>
      </c>
      <c r="B8168" s="6" t="str">
        <f>IFERROR(__xludf.DUMMYFUNCTION("GOOGLETRANSLATE(A8168,""en"",""fi"")"),"Yksi auringossa paistatteleva heliolisk-hirviö röyhelöineen riittää tuottamaan tarpeeksi sähköä kaupungin virrankulutusta varten.")</f>
        <v>Yksi auringossa paistatteleva heliolisk-hirviö röyhelöineen riittää tuottamaan tarpeeksi sähköä kaupungin virrankulutusta varten.</v>
      </c>
      <c r="C8168" s="9" t="s">
        <v>1344</v>
      </c>
    </row>
    <row r="8169" ht="33.75" customHeight="1">
      <c r="A8169" s="6" t="s">
        <v>12031</v>
      </c>
      <c r="B8169" s="6" t="str">
        <f>IFERROR(__xludf.DUMMYFUNCTION("GOOGLETRANSLATE(A8169,""en"",""fi"")"),"Tämä Pokémon on palautettu fossiilista. Jos tapahtuu jotain, mistä se ei pidä, se saa raivokohtauksen ja lähtee villiin.")</f>
        <v>Tämä Pokémon on palautettu fossiilista. Jos tapahtuu jotain, mistä se ei pidä, se saa raivokohtauksen ja lähtee villiin.</v>
      </c>
      <c r="C8169" s="9" t="s">
        <v>1344</v>
      </c>
    </row>
    <row r="8170" ht="33.75" customHeight="1">
      <c r="A8170" s="6" t="s">
        <v>12032</v>
      </c>
      <c r="B8170" s="6" t="str">
        <f>IFERROR(__xludf.DUMMYFUNCTION("GOOGLETRANSLATE(A8170,""en"",""fi"")"),"Sen valtavilla leuoilla on niin paljon tuhovoimaa, että se voi pureskella auton. Se eli 100 miljoonaa vuotta sitten.")</f>
        <v>Sen valtavilla leuoilla on niin paljon tuhovoimaa, että se voi pureskella auton. Se eli 100 miljoonaa vuotta sitten.</v>
      </c>
      <c r="C8170" s="9" t="s">
        <v>1344</v>
      </c>
    </row>
    <row r="8171" ht="33.75" customHeight="1">
      <c r="A8171" s="6" t="s">
        <v>12034</v>
      </c>
      <c r="B8171" s="6" t="str">
        <f>IFERROR(__xludf.DUMMYFUNCTION("GOOGLETRANSLATE(A8171,""en"",""fi"")"),"Sen suurella leualla on uskomaton tuhovoima. Joidenkin teorioiden mukaan sen entisöity muoto on erilainen kuin se oli muinaisessa muodossaan.")</f>
        <v>Sen suurella leualla on uskomaton tuhovoima. Joidenkin teorioiden mukaan sen entisöity muoto on erilainen kuin se oli muinaisessa muodossaan.</v>
      </c>
      <c r="C8171" s="9" t="s">
        <v>1344</v>
      </c>
    </row>
    <row r="8172" ht="33.75" customHeight="1">
      <c r="A8172" s="6" t="s">
        <v>12035</v>
      </c>
      <c r="B8172" s="6" t="str">
        <f>IFERROR(__xludf.DUMMYFUNCTION("GOOGLETRANSLATE(A8172,""en"",""fi"")"),"Tyrunt on hemmoteltu ja itsekäs. Se saattaa vain yrittää leikkiä, mutta joskus sen leikkikaverit ovat vakavasti loukkaantuneita.")</f>
        <v>Tyrunt on hemmoteltu ja itsekäs. Se saattaa vain yrittää leikkiä, mutta joskus sen leikkikaverit ovat vakavasti loukkaantuneita.</v>
      </c>
      <c r="C8172" s="9" t="s">
        <v>1344</v>
      </c>
    </row>
    <row r="8173" ht="33.75" customHeight="1">
      <c r="A8173" s="6" t="s">
        <v>12036</v>
      </c>
      <c r="B8173" s="6" t="str">
        <f>IFERROR(__xludf.DUMMYFUNCTION("GOOGLETRANSLATE(A8173,""en"",""fi"")"),"Tämä on ikivanha Pokémon, joka on herätetty henkiin nykyaikana. Sillä on väkivaltainen luonne, ja se repii kappaleiksi kaiken, minkä se saa jykevien leukojensa väliin.")</f>
        <v>Tämä on ikivanha Pokémon, joka on herätetty henkiin nykyaikana. Sillä on väkivaltainen luonne, ja se repii kappaleiksi kaiken, minkä se saa jykevien leukojensa väliin.</v>
      </c>
      <c r="C8173" s="9" t="s">
        <v>1344</v>
      </c>
    </row>
    <row r="8174" ht="33.75" customHeight="1">
      <c r="A8174" s="6" t="s">
        <v>12038</v>
      </c>
      <c r="B8174" s="6" t="str">
        <f>IFERROR(__xludf.DUMMYFUNCTION("GOOGLETRANSLATE(A8174,""en"",""fi"")"),"Tämä Pokémon on itsekäs ja tykkää hemmottelusta. Se voi myös aiheuttaa vakavia haavoja kouluttajalleen pelkästään leikkimällä.")</f>
        <v>Tämä Pokémon on itsekäs ja tykkää hemmottelusta. Se voi myös aiheuttaa vakavia haavoja kouluttajalleen pelkästään leikkimällä.</v>
      </c>
      <c r="C8174" s="9" t="s">
        <v>1344</v>
      </c>
    </row>
    <row r="8175" ht="33.75" customHeight="1">
      <c r="A8175" s="6" t="s">
        <v>12039</v>
      </c>
      <c r="B8175" s="6" t="str">
        <f>IFERROR(__xludf.DUMMYFUNCTION("GOOGLETRANSLATE(A8175,""en"",""fi"")"),"Jättimäisten leukojensa ansiosta, jotka pystyivät silppuamaan paksuja metallilevyjä kuin ne olisivat paperia, se oli voittamaton muinaisessa maailmassa, jossa se kerran asui.")</f>
        <v>Jättimäisten leukojensa ansiosta, jotka pystyivät silppuamaan paksuja metallilevyjä kuin ne olisivat paperia, se oli voittamaton muinaisessa maailmassa, jossa se kerran asui.</v>
      </c>
      <c r="C8175" s="9" t="s">
        <v>1344</v>
      </c>
    </row>
    <row r="8176" ht="33.75" customHeight="1">
      <c r="A8176" s="6" t="s">
        <v>12040</v>
      </c>
      <c r="B8176" s="6" t="str">
        <f>IFERROR(__xludf.DUMMYFUNCTION("GOOGLETRANSLATE(A8176,""en"",""fi"")"),"Mikään ei voinut pysäyttää tätä Pokémonia 100 miljoonaa vuotta sitten, joten se käyttäytyi kuin kuningas.")</f>
        <v>Mikään ei voinut pysäyttää tätä Pokémonia 100 miljoonaa vuotta sitten, joten se käyttäytyi kuin kuningas.</v>
      </c>
      <c r="C8176" s="9" t="s">
        <v>1344</v>
      </c>
    </row>
    <row r="8177" ht="33.75" customHeight="1">
      <c r="A8177" s="6" t="s">
        <v>12042</v>
      </c>
      <c r="B8177" s="6" t="str">
        <f>IFERROR(__xludf.DUMMYFUNCTION("GOOGLETRANSLATE(A8177,""en"",""fi"")"),"Täydellinen restaurointi on mahdotonta, mikä antaa tilaa teorioille, joiden mukaan koko sen ruumis oli aikoinaan höyhenmäisen takin peitossa.")</f>
        <v>Täydellinen restaurointi on mahdotonta, mikä antaa tilaa teorioille, joiden mukaan koko sen ruumis oli aikoinaan höyhenmäisen takin peitossa.</v>
      </c>
      <c r="C8177" s="9" t="s">
        <v>1344</v>
      </c>
    </row>
    <row r="8178" ht="33.75" customHeight="1">
      <c r="A8178" s="6" t="s">
        <v>12043</v>
      </c>
      <c r="B8178" s="6" t="str">
        <f>IFERROR(__xludf.DUMMYFUNCTION("GOOGLETRANSLATE(A8178,""en"",""fi"")"),"Muinaisen maailman kuningas, se voi helposti murskaa auton valtavien leukojensa tuhoisalla voimalla.")</f>
        <v>Muinaisen maailman kuningas, se voi helposti murskaa auton valtavien leukojensa tuhoisalla voimalla.</v>
      </c>
      <c r="C8178" s="9" t="s">
        <v>1344</v>
      </c>
    </row>
    <row r="8179" ht="33.75" customHeight="1">
      <c r="A8179" s="6" t="s">
        <v>12044</v>
      </c>
      <c r="B8179" s="6" t="str">
        <f>IFERROR(__xludf.DUMMYFUNCTION("GOOGLETRANSLATE(A8179,""en"",""fi"")"),"Tämä Pokémon on noin 100 000 000 vuoden takaa. Sillä on kuninkaan olemus, se on ilkeä mutta mahtava.")</f>
        <v>Tämä Pokémon on noin 100 000 000 vuoden takaa. Sillä on kuninkaan olemus, se on ilkeä mutta mahtava.</v>
      </c>
      <c r="C8179" s="9" t="s">
        <v>1344</v>
      </c>
    </row>
    <row r="8180" ht="33.75" customHeight="1">
      <c r="A8180" s="6" t="s">
        <v>12045</v>
      </c>
      <c r="B8180" s="6" t="str">
        <f>IFERROR(__xludf.DUMMYFUNCTION("GOOGLETRANSLATE(A8180,""en"",""fi"")"),"Yksi Tyrantrumin massiivisten leukojen puraisu tuhoaa auton. Tämä Pokémon oli antiikin maailman kuningas.")</f>
        <v>Yksi Tyrantrumin massiivisten leukojen puraisu tuhoaa auton. Tämä Pokémon oli antiikin maailman kuningas.</v>
      </c>
      <c r="C8180" s="9" t="s">
        <v>1344</v>
      </c>
    </row>
    <row r="8181" ht="33.75" customHeight="1">
      <c r="A8181" s="6" t="s">
        <v>12046</v>
      </c>
      <c r="B8181" s="6" t="str">
        <f>IFERROR(__xludf.DUMMYFUNCTION("GOOGLETRANSLATE(A8181,""en"",""fi"")"),"Tämä muinainen Pokémon on palautettu osasta sen ruumista, joka oli ollut jäässä yli 100 miljoonaa vuotta.")</f>
        <v>Tämä muinainen Pokémon on palautettu osasta sen ruumista, joka oli ollut jäässä yli 100 miljoonaa vuotta.</v>
      </c>
      <c r="C8181" s="9" t="s">
        <v>1344</v>
      </c>
    </row>
    <row r="8182" ht="33.75" customHeight="1">
      <c r="A8182" s="6" t="s">
        <v>12048</v>
      </c>
      <c r="B8182" s="6" t="str">
        <f>IFERROR(__xludf.DUMMYFUNCTION("GOOGLETRANSLATE(A8182,""en"",""fi"")"),"Tämä rauhallinen Pokémon eli kylmällä maalla, jossa ei ollut Tyrantrumin kaltaisia ​​väkivaltaisia ​​saalistajia.")</f>
        <v>Tämä rauhallinen Pokémon eli kylmällä maalla, jossa ei ollut Tyrantrumin kaltaisia ​​väkivaltaisia ​​saalistajia.</v>
      </c>
      <c r="C8182" s="9" t="s">
        <v>1344</v>
      </c>
    </row>
    <row r="8183" ht="33.75" customHeight="1">
      <c r="A8183" s="6" t="s">
        <v>12049</v>
      </c>
      <c r="B8183" s="6" t="str">
        <f>IFERROR(__xludf.DUMMYFUNCTION("GOOGLETRANSLATE(A8183,""en"",""fi"")"),"Se eli muinaisina aikoina kylmillä alueilla. Sanotaan, että kun amaura hirnahtaa, revontulet ilmestyvät yötaivaalle.")</f>
        <v>Se eli muinaisina aikoina kylmillä alueilla. Sanotaan, että kun amaura hirnahtaa, revontulet ilmestyvät yötaivaalle.</v>
      </c>
      <c r="C8183" s="9" t="s">
        <v>1344</v>
      </c>
    </row>
    <row r="8184" ht="33.75" customHeight="1">
      <c r="A8184" s="6" t="s">
        <v>12051</v>
      </c>
      <c r="B8184" s="6" t="str">
        <f>IFERROR(__xludf.DUMMYFUNCTION("GOOGLETRANSLATE(A8184,""en"",""fi"")"),"Amaura saatiin ennalleen onnistuneesti, mutta sen ei odoteta elävän pitkään nykyisen kuumuuden vuoksi.")</f>
        <v>Amaura saatiin ennalleen onnistuneesti, mutta sen ei odoteta elävän pitkään nykyisen kuumuuden vuoksi.</v>
      </c>
      <c r="C8184" s="9" t="s">
        <v>1344</v>
      </c>
    </row>
    <row r="8185" ht="33.75" customHeight="1">
      <c r="A8185" s="6" t="s">
        <v>12052</v>
      </c>
      <c r="B8185" s="6" t="str">
        <f>IFERROR(__xludf.DUMMYFUNCTION("GOOGLETRANSLATE(A8185,""en"",""fi"")"),"Tämä Pokémon onnistuttiin palauttamaan fossiilista. Aiemmin se eli muiden lajitovereidensa kanssa kylmillä alueilla, joilla oli vähemmän saalistajia.")</f>
        <v>Tämä Pokémon onnistuttiin palauttamaan fossiilista. Aiemmin se eli muiden lajitovereidensa kanssa kylmillä alueilla, joilla oli vähemmän saalistajia.</v>
      </c>
      <c r="C8185" s="9" t="s">
        <v>1344</v>
      </c>
    </row>
    <row r="8186" ht="33.75" customHeight="1">
      <c r="A8186" s="6" t="s">
        <v>12053</v>
      </c>
      <c r="B8186" s="6" t="str">
        <f>IFERROR(__xludf.DUMMYFUNCTION("GOOGLETRANSLATE(A8186,""en"",""fi"")"),"Amaura on ikivanha Pokémon, joka on kuollut sukupuuttoon. Tämän lajin yksilöitä voi joskus löytää jäätyneinä.")</f>
        <v>Amaura on ikivanha Pokémon, joka on kuollut sukupuuttoon. Tämän lajin yksilöitä voi joskus löytää jäätyneinä.</v>
      </c>
      <c r="C8186" s="9" t="s">
        <v>1344</v>
      </c>
    </row>
    <row r="8187" ht="33.75" customHeight="1">
      <c r="A8187" s="6" t="s">
        <v>12054</v>
      </c>
      <c r="B8187" s="6" t="str">
        <f>IFERROR(__xludf.DUMMYFUNCTION("GOOGLETRANSLATE(A8187,""en"",""fi"")"),"Sen rungon timantinmuotoiset kiteet puhaltavat ulos jopa -240 celsiusastetta kylmää ilmaa, ympäröiden sen viholliset ja käärien heidät jäähän.")</f>
        <v>Sen rungon timantinmuotoiset kiteet puhaltavat ulos jopa -240 celsiusastetta kylmää ilmaa, ympäröiden sen viholliset ja käärien heidät jäähän.</v>
      </c>
      <c r="C8187" s="9" t="s">
        <v>1344</v>
      </c>
    </row>
    <row r="8188" ht="33.75" customHeight="1">
      <c r="A8188" s="6" t="s">
        <v>12056</v>
      </c>
      <c r="B8188" s="6" t="str">
        <f>IFERROR(__xludf.DUMMYFUNCTION("GOOGLETRANSLATE(A8188,""en"",""fi"")"),"Timantinmuotoisten kristalliensa avulla se voi välittömästi luoda jäämuurin estääkseen vastustajan hyökkäyksen.")</f>
        <v>Timantinmuotoisten kristalliensa avulla se voi välittömästi luoda jäämuurin estääkseen vastustajan hyökkäyksen.</v>
      </c>
      <c r="C8188" s="9" t="s">
        <v>1344</v>
      </c>
    </row>
    <row r="8189" ht="33.75" customHeight="1">
      <c r="A8189" s="6" t="s">
        <v>12058</v>
      </c>
      <c r="B8189" s="6" t="str">
        <f>IFERROR(__xludf.DUMMYFUNCTION("GOOGLETRANSLATE(A8189,""en"",""fi"")"),"Jäätikön sisältä löydettiin jäätynyt revontuli, aivan kuten se näytti kauan sitten, mistä tuli melkoinen uutistapahtuma.")</f>
        <v>Jäätikön sisältä löydettiin jäätynyt revontuli, aivan kuten se näytti kauan sitten, mistä tuli melkoinen uutistapahtuma.</v>
      </c>
      <c r="C8189" s="9" t="s">
        <v>1344</v>
      </c>
    </row>
    <row r="8190" ht="33.75" customHeight="1">
      <c r="A8190" s="6" t="s">
        <v>12059</v>
      </c>
      <c r="B8190" s="6" t="str">
        <f>IFERROR(__xludf.DUMMYFUNCTION("GOOGLETRANSLATE(A8190,""en"",""fi"")"),"Tämän yleensä hiljaisen ja kiltin Pokémonin pintalämpötila on noin -240 celsiusastetta.")</f>
        <v>Tämän yleensä hiljaisen ja kiltin Pokémonin pintalämpötila on noin -240 celsiusastetta.</v>
      </c>
      <c r="C8190" s="9" t="s">
        <v>1344</v>
      </c>
    </row>
    <row r="8191" ht="33.75" customHeight="1">
      <c r="A8191" s="6" t="s">
        <v>12060</v>
      </c>
      <c r="B8191" s="6" t="str">
        <f>IFERROR(__xludf.DUMMYFUNCTION("GOOGLETRANSLATE(A8191,""en"",""fi"")"),"Aurorus on palautettu fossiilista. Sanotaan, että kun tämä Pokémon ulvoo, revontulet ilmestyvät yötaivaalle.")</f>
        <v>Aurorus on palautettu fossiilista. Sanotaan, että kun tämä Pokémon ulvoo, revontulet ilmestyvät yötaivaalle.</v>
      </c>
      <c r="C8191" s="9" t="s">
        <v>1344</v>
      </c>
    </row>
    <row r="8192" ht="33.75" customHeight="1">
      <c r="A8192" s="6" t="s">
        <v>12061</v>
      </c>
      <c r="B8192" s="6" t="str">
        <f>IFERROR(__xludf.DUMMYFUNCTION("GOOGLETRANSLATE(A8192,""en"",""fi"")"),"Raivon vallassa Aurorus säteilee jääkylmää ilmaa, joka peittää kaiken ympärillään jäällä.")</f>
        <v>Raivon vallassa Aurorus säteilee jääkylmää ilmaa, joka peittää kaiken ympärillään jäällä.</v>
      </c>
      <c r="C8192" s="9" t="s">
        <v>1344</v>
      </c>
    </row>
    <row r="8193" ht="33.75" customHeight="1">
      <c r="A8193" s="6" t="s">
        <v>12063</v>
      </c>
      <c r="B8193" s="6" t="str">
        <f>IFERROR(__xludf.DUMMYFUNCTION("GOOGLETRANSLATE(A8193,""en"",""fi"")"),"Se lähettää rauhoittavan auran nauhamaisista tuntosarvistaan ​​rauhoittaakseen taisteluita.")</f>
        <v>Se lähettää rauhoittavan auran nauhamaisista tuntosarvistaan ​​rauhoittaakseen taisteluita.</v>
      </c>
      <c r="C8193" s="9" t="s">
        <v>1344</v>
      </c>
    </row>
    <row r="8194" ht="33.75" customHeight="1">
      <c r="A8194" s="6" t="s">
        <v>12064</v>
      </c>
      <c r="B8194" s="6" t="str">
        <f>IFERROR(__xludf.DUMMYFUNCTION("GOOGLETRANSLATE(A8194,""en"",""fi"")"),"Se kietoo nauhamaiset tuntosarunsa rakkaan kouluttajansa käsivarren ympärille ja kävelee hänen kanssaan.")</f>
        <v>Se kietoo nauhamaiset tuntosarunsa rakkaan kouluttajansa käsivarren ympärille ja kävelee hänen kanssaan.</v>
      </c>
      <c r="C8194" s="9" t="s">
        <v>1344</v>
      </c>
    </row>
    <row r="8195" ht="33.75" customHeight="1">
      <c r="A8195" s="6" t="s">
        <v>12065</v>
      </c>
      <c r="B8195" s="6" t="str">
        <f>IFERROR(__xludf.DUMMYFUNCTION("GOOGLETRANSLATE(A8195,""en"",""fi"")"),"Sen nauhamaiset tuntosarvet levittävät auraa, joka heikentää saaliin vihamielisyyttä ja saa sen laskemaan suojansa. Sitten se hyökkää.")</f>
        <v>Sen nauhamaiset tuntosarvet levittävät auraa, joka heikentää saaliin vihamielisyyttä ja saa sen laskemaan suojansa. Sitten se hyökkää.</v>
      </c>
      <c r="C8195" s="9" t="s">
        <v>1344</v>
      </c>
    </row>
    <row r="8196" ht="33.75" customHeight="1">
      <c r="A8196" s="6" t="s">
        <v>12066</v>
      </c>
      <c r="B8196" s="6" t="str">
        <f>IFERROR(__xludf.DUMMYFUNCTION("GOOGLETRANSLATE(A8196,""en"",""fi"")"),"Kun tämä Pokémon näkee saaliinsa, se pyörittää nauhamaisia ​​tuntosarviaan häiritäkseen huomiota. Hetkeä myöhemmin se hyökkää kimppuun.")</f>
        <v>Kun tämä Pokémon näkee saaliinsa, se pyörittää nauhamaisia ​​tuntosarviaan häiritäkseen huomiota. Hetkeä myöhemmin se hyökkää kimppuun.</v>
      </c>
      <c r="C8196" s="9" t="s">
        <v>1344</v>
      </c>
    </row>
    <row r="8197" ht="33.75" customHeight="1">
      <c r="A8197" s="6" t="s">
        <v>12067</v>
      </c>
      <c r="B8197" s="6" t="str">
        <f>IFERROR(__xludf.DUMMYFUNCTION("GOOGLETRANSLATE(A8197,""en"",""fi"")"),"Kun taistelu syttyy, se hyökkää horjumatta lohikäärme-Pokémonien kimppuun, jotka ovat monta kertaa sitä itseään suurempia.")</f>
        <v>Kun taistelu syttyy, se hyökkää horjumatta lohikäärme-Pokémonien kimppuun, jotka ovat monta kertaa sitä itseään suurempia.</v>
      </c>
      <c r="C8197" s="9" t="s">
        <v>1344</v>
      </c>
    </row>
    <row r="8198" ht="33.75" customHeight="1">
      <c r="A8198" s="6" t="s">
        <v>12068</v>
      </c>
      <c r="B8198" s="6" t="str">
        <f>IFERROR(__xludf.DUMMYFUNCTION("GOOGLETRANSLATE(A8198,""en"",""fi"")"),"Sylveon kietoo nauhamaiset tuntosarunsa kouluttajansa käsivarren ympärille, koska tämän kosketuksen avulla se pystyy lukemaan kouluttajansa tunteita.")</f>
        <v>Sylveon kietoo nauhamaiset tuntosarunsa kouluttajansa käsivarren ympärille, koska tämän kosketuksen avulla se pystyy lukemaan kouluttajansa tunteita.</v>
      </c>
      <c r="C8198" s="9" t="s">
        <v>1344</v>
      </c>
    </row>
    <row r="8199" ht="33.75" customHeight="1">
      <c r="A8199" s="6" t="s">
        <v>12070</v>
      </c>
      <c r="B8199" s="6" t="str">
        <f>IFERROR(__xludf.DUMMYFUNCTION("GOOGLETRANSLATE(A8199,""en"",""fi"")"),"Päästämällä vihamielisyyttä pyyhkiviä aaltoja nauhamaisista tuntosarvistaan ​​Sylveon pysäyttää kaikki konfliktit.")</f>
        <v>Päästämällä vihamielisyyttä pyyhkiviä aaltoja nauhamaisista tuntosarvistaan ​​Sylveon pysäyttää kaikki konfliktit.</v>
      </c>
      <c r="C8199" s="9" t="s">
        <v>1344</v>
      </c>
    </row>
    <row r="8200" ht="33.75" customHeight="1">
      <c r="A8200" s="6" t="s">
        <v>12072</v>
      </c>
      <c r="B8200" s="6" t="str">
        <f>IFERROR(__xludf.DUMMYFUNCTION("GOOGLETRANSLATE(A8200,""en"",""fi"")"),"Galarialaisessa sadussa kuvataan kaunista Sylveonia, joka kukistaa kauhistuttavan lohikäärme-Pokémonin.")</f>
        <v>Galarialaisessa sadussa kuvataan kaunista Sylveonia, joka kukistaa kauhistuttavan lohikäärme-Pokémonin.</v>
      </c>
      <c r="C8200" s="9" t="s">
        <v>1344</v>
      </c>
    </row>
    <row r="8201" ht="33.75" customHeight="1">
      <c r="A8201" s="6" t="s">
        <v>12073</v>
      </c>
      <c r="B8201" s="6" t="str">
        <f>IFERROR(__xludf.DUMMYFUNCTION("GOOGLETRANSLATE(A8201,""en"",""fi"")"),"Se säteilee rauhoittavaa auraa nauhamaisista elimistään. Se kietoo nämä ulokkeet riitelijöiden ympärille palauttaakseen tilanteen välittömästi rauhallisiksi.")</f>
        <v>Se säteilee rauhoittavaa auraa nauhamaisista elimistään. Se kietoo nämä ulokkeet riitelijöiden ympärille palauttaakseen tilanteen välittömästi rauhallisiksi.</v>
      </c>
      <c r="C8201" s="9" t="s">
        <v>1344</v>
      </c>
    </row>
    <row r="8202" ht="33.75" customHeight="1">
      <c r="A8202" s="6" t="s">
        <v>12075</v>
      </c>
      <c r="B8202" s="6" t="str">
        <f>IFERROR(__xludf.DUMMYFUNCTION("GOOGLETRANSLATE(A8202,""en"",""fi"")"),"Vaikka sen ruumiinrakenne on pieni, sen taitavat taistelutaidot mahdollistavat sen pysymisen Machampin ja Hariyaman kaltaisten kookkaiden vastustajien perässä.")</f>
        <v>Vaikka sen ruumiinrakenne on pieni, sen taitavat taistelutaidot mahdollistavat sen pysymisen Machampin ja Hariyaman kaltaisten kookkaiden vastustajien perässä.</v>
      </c>
      <c r="C8202" s="9" t="s">
        <v>1344</v>
      </c>
    </row>
    <row r="8203" ht="33.75" customHeight="1">
      <c r="A8203" s="6" t="s">
        <v>12076</v>
      </c>
      <c r="B8203" s="6" t="str">
        <f>IFERROR(__xludf.DUMMYFUNCTION("GOOGLETRANSLATE(A8203,""en"",""fi"")"),"Se hallitsee siipiensä avulla asemaansa ilmassa. Se hyökkää mielellään ylhäältä, mikä on vaikea puolustaa.")</f>
        <v>Se hallitsee siipiensä avulla asemaansa ilmassa. Se hyökkää mielellään ylhäältä, mikä on vaikea puolustaa.</v>
      </c>
      <c r="C8203" s="9" t="s">
        <v>1344</v>
      </c>
    </row>
    <row r="8204" ht="33.75" customHeight="1">
      <c r="A8204" s="6" t="s">
        <v>12078</v>
      </c>
      <c r="B8204" s="6" t="str">
        <f>IFERROR(__xludf.DUMMYFUNCTION("GOOGLETRANSLATE(A8204,""en"",""fi"")"),"Se hukuttaa vastustajat nopeilla liikkeillään, mutta joskus se esittelee venettään liian kauan käyttäessään erikoisliikettä ja joutuu ahtaalle.")</f>
        <v>Se hukuttaa vastustajat nopeilla liikkeillään, mutta joskus se esittelee venettään liian kauan käyttäessään erikoisliikettä ja joutuu ahtaalle.</v>
      </c>
      <c r="C8204" s="9" t="s">
        <v>1344</v>
      </c>
    </row>
    <row r="8205" ht="33.75" customHeight="1">
      <c r="A8205" s="6" t="s">
        <v>12082</v>
      </c>
      <c r="B8205" s="6" t="str">
        <f>IFERROR(__xludf.DUMMYFUNCTION("GOOGLETRANSLATE(A8205,""en"",""fi"")"),"Taistelussa Hawlucha hyppii ketterästi hyödyntäen vastustajiensa sokeita kulmia. Se on myös taitava käyttämään erinomaisia ​​alistumisotteita.")</f>
        <v>Taistelussa Hawlucha hyppii ketterästi hyödyntäen vastustajiensa sokeita kulmia. Se on myös taitava käyttämään erinomaisia ​​alistumisotteita.</v>
      </c>
      <c r="C8205" s="9" t="s">
        <v>1344</v>
      </c>
    </row>
    <row r="8206" ht="33.75" customHeight="1">
      <c r="A8206" s="6" t="s">
        <v>12083</v>
      </c>
      <c r="B8206" s="6" t="str">
        <f>IFERROR(__xludf.DUMMYFUNCTION("GOOGLETRANSLATE(A8206,""en"",""fi"")"),"Se ajaa vastustajansa uupumukseen ketterillä liikkeillään ja päättää sitten taistelun näyttävällä viimeistelyliikkeellä.")</f>
        <v>Se ajaa vastustajansa uupumukseen ketterillä liikkeillään ja päättää sitten taistelun näyttävällä viimeistelyliikkeellä.</v>
      </c>
      <c r="C8206" s="9" t="s">
        <v>1344</v>
      </c>
    </row>
    <row r="8207" ht="33.75" customHeight="1">
      <c r="A8207" s="6" t="s">
        <v>12085</v>
      </c>
      <c r="B8207" s="6" t="str">
        <f>IFERROR(__xludf.DUMMYFUNCTION("GOOGLETRANSLATE(A8207,""en"",""fi"")"),"Se ottaa aina asennon ennen viimeistelyliikettään. Joskus vastustajat käyttävät tilaisuuden hyväkseen vastahyökkäykseen.")</f>
        <v>Se ottaa aina asennon ennen viimeistelyliikettään. Joskus vastustajat käyttävät tilaisuuden hyväkseen vastahyökkäykseen.</v>
      </c>
      <c r="C8207" s="9" t="s">
        <v>1344</v>
      </c>
    </row>
    <row r="8208" ht="33.75" customHeight="1">
      <c r="A8208" s="6" t="s">
        <v>12087</v>
      </c>
      <c r="B8208" s="6" t="str">
        <f>IFERROR(__xludf.DUMMYFUNCTION("GOOGLETRANSLATE(A8208,""en"",""fi"")"),"Sen viikset toimivat antenneina. Lähettämällä ja vastaanottamalla sähköaaltoja se voi kommunikoida muiden kanssa pitkien etäisyyksien päästä.")</f>
        <v>Sen viikset toimivat antenneina. Lähettämällä ja vastaanottamalla sähköaaltoja se voi kommunikoida muiden kanssa pitkien etäisyyksien päästä.</v>
      </c>
      <c r="C8208" s="9" t="s">
        <v>1344</v>
      </c>
    </row>
    <row r="8209" ht="33.75" customHeight="1">
      <c r="A8209" s="6" t="s">
        <v>12089</v>
      </c>
      <c r="B8209" s="6" t="str">
        <f>IFERROR(__xludf.DUMMYFUNCTION("GOOGLETRANSLATE(A8209,""en"",""fi"")"),"Se käyttää häntäänsä sähkön absorboimiseen voimalaitoksista tai talojen pistorasioista ja sitten se ampuu sähköä viiksiensä avulla.")</f>
        <v>Se käyttää häntäänsä sähkön absorboimiseen voimalaitoksista tai talojen pistorasioista ja sitten se ampuu sähköä viiksiensä avulla.</v>
      </c>
      <c r="C8209" s="9" t="s">
        <v>1344</v>
      </c>
    </row>
    <row r="8210" ht="33.75" customHeight="1">
      <c r="A8210" s="6" t="s">
        <v>12090</v>
      </c>
      <c r="B8210" s="6" t="str">
        <f>IFERROR(__xludf.DUMMYFUNCTION("GOOGLETRANSLATE(A8210,""en"",""fi"")"),"Se hiipii ihmisten koteihin ja varastaa sähköä pistorasioista. Kun sähkölaskusi näyttää olevan pielessä, se on tämän lurjuksen tekosia.")</f>
        <v>Se hiipii ihmisten koteihin ja varastaa sähköä pistorasioista. Kun sähkölaskusi näyttää olevan pielessä, se on tämän lurjuksen tekosia.</v>
      </c>
      <c r="C8210" s="9" t="s">
        <v>1344</v>
      </c>
    </row>
    <row r="8211" ht="33.75" customHeight="1">
      <c r="A8211" s="6" t="s">
        <v>12092</v>
      </c>
      <c r="B8211" s="6" t="str">
        <f>IFERROR(__xludf.DUMMYFUNCTION("GOOGLETRANSLATE(A8211,""en"",""fi"")"),"Sen ylemmät viikset ovat ympäristöään tarkkailevia antureita. Sen alemmat viikset ovat sähköä lähettäviä elimiä.")</f>
        <v>Sen ylemmät viikset ovat ympäristöään tarkkailevia antureita. Sen alemmat viikset ovat sähköä lähettäviä elimiä.</v>
      </c>
      <c r="C8211" s="9" t="s">
        <v>1344</v>
      </c>
    </row>
    <row r="8212" ht="33.75" customHeight="1">
      <c r="A8212" s="6" t="s">
        <v>12093</v>
      </c>
      <c r="B8212" s="6" t="str">
        <f>IFERROR(__xludf.DUMMYFUNCTION("GOOGLETRANSLATE(A8212,""en"",""fi"")"),"Dedennen viikset poimivat muiden Dedennen lähettämiä sähköaaltoja. Nämä Pokémonit jakavat keskenään ruoka- tai sähköpaikkoja.")</f>
        <v>Dedennen viikset poimivat muiden Dedennen lähettämiä sähköaaltoja. Nämä Pokémonit jakavat keskenään ruoka- tai sähköpaikkoja.</v>
      </c>
      <c r="C8212" s="9" t="s">
        <v>1344</v>
      </c>
    </row>
    <row r="8213" ht="33.75" customHeight="1">
      <c r="A8213" s="6" t="s">
        <v>12094</v>
      </c>
      <c r="B8213" s="6" t="str">
        <f>IFERROR(__xludf.DUMMYFUNCTION("GOOGLETRANSLATE(A8213,""en"",""fi"")"),"Koska Dedenne ei pysty itse tuottamaan paljon sähköä, se varastaa sähköä pistorasioista tai muista sähköisistä Pokémoneista.")</f>
        <v>Koska Dedenne ei pysty itse tuottamaan paljon sähköä, se varastaa sähköä pistorasioista tai muista sähköisistä Pokémoneista.</v>
      </c>
      <c r="C8213" s="9" t="s">
        <v>1344</v>
      </c>
    </row>
    <row r="8214" ht="33.75" customHeight="1">
      <c r="A8214" s="6" t="s">
        <v>12096</v>
      </c>
      <c r="B8214" s="6" t="str">
        <f>IFERROR(__xludf.DUMMYFUNCTION("GOOGLETRANSLATE(A8214,""en"",""fi"")"),"Syvällä maan alla vallitsevien lämpötilojen ja paineiden vaikutuksesta se ampuu säteitä päässään olevasta kivestä.")</f>
        <v>Syvällä maan alla vallitsevien lämpötilojen ja paineiden vaikutuksesta se ampuu säteitä päässään olevasta kivestä.</v>
      </c>
      <c r="C8214" s="9" t="s">
        <v>1344</v>
      </c>
    </row>
    <row r="8215" ht="33.75" customHeight="1">
      <c r="A8215" s="6" t="s">
        <v>12097</v>
      </c>
      <c r="B8215" s="6" t="str">
        <f>IFERROR(__xludf.DUMMYFUNCTION("GOOGLETRANSLATE(A8215,""en"",""fi"")"),"Se on nukkunut maan alla satoja miljoonia vuosia syntymästään lähtien. Sitä löytyy toisinaan luolien kaivausten yhteydessä.")</f>
        <v>Se on nukkunut maan alla satoja miljoonia vuosia syntymästään lähtien. Sitä löytyy toisinaan luolien kaivausten yhteydessä.</v>
      </c>
      <c r="C8215" s="9" t="s">
        <v>1344</v>
      </c>
    </row>
    <row r="8216" ht="33.75" customHeight="1">
      <c r="A8216" s="6" t="s">
        <v>12099</v>
      </c>
      <c r="B8216" s="6" t="str">
        <f>IFERROR(__xludf.DUMMYFUNCTION("GOOGLETRANSLATE(A8216,""en"",""fi"")"),"Syvällä maan alla vallitsevien korkeiden lämpötilojen ja paineiden vaikutuksesta se puolustaa itseään ampumalla säteitä ruumiinsa jalokivestä.")</f>
        <v>Syvällä maan alla vallitsevien korkeiden lämpötilojen ja paineiden vaikutuksesta se puolustaa itseään ampumalla säteitä ruumiinsa jalokivestä.</v>
      </c>
      <c r="C8216" s="9" t="s">
        <v>1344</v>
      </c>
    </row>
    <row r="8217" ht="33.75" customHeight="1">
      <c r="A8217" s="6" t="s">
        <v>12101</v>
      </c>
      <c r="B8217" s="6" t="str">
        <f>IFERROR(__xludf.DUMMYFUNCTION("GOOGLETRANSLATE(A8217,""en"",""fi"")"),"Vaikka tämä Pokémon ei ole erityisen harvinainen, sen kimalteleva, jalokivillä koristeltu vartalo herättää ihmisten huomion.")</f>
        <v>Vaikka tämä Pokémon ei ole erityisen harvinainen, sen kimalteleva, jalokivillä koristeltu vartalo herättää ihmisten huomion.</v>
      </c>
      <c r="C8217" s="9" t="s">
        <v>1344</v>
      </c>
    </row>
    <row r="8218" ht="33.75" customHeight="1">
      <c r="A8218" s="6" t="s">
        <v>12102</v>
      </c>
      <c r="B8218" s="6" t="str">
        <f>IFERROR(__xludf.DUMMYFUNCTION("GOOGLETRANSLATE(A8218,""en"",""fi"")"),"Jotkut sanovat, että syvällä maailman pinnan alla lauma Carbink-hevosia elää kuningattarensa kanssa jalokivien valtakunnassa.")</f>
        <v>Jotkut sanovat, että syvällä maailman pinnan alla lauma Carbink-hevosia elää kuningattarensa kanssa jalokivien valtakunnassa.</v>
      </c>
      <c r="C8218" s="9" t="s">
        <v>1344</v>
      </c>
    </row>
    <row r="8219" ht="33.75" customHeight="1">
      <c r="A8219" s="6" t="s">
        <v>12103</v>
      </c>
      <c r="B8219" s="6" t="str">
        <f>IFERROR(__xludf.DUMMYFUNCTION("GOOGLETRANSLATE(A8219,""en"",""fi"")"),"Pitääkseen kehossaan olevat jalokivet tummumattomina, Carbink-laukut käyttävät pehmeitä harjaansa kiillottaakseen toistensa jalokiviä.")</f>
        <v>Pitääkseen kehossaan olevat jalokivet tummumattomina, Carbink-laukut käyttävät pehmeitä harjaansa kiillottaakseen toistensa jalokiviä.</v>
      </c>
      <c r="C8219" s="9" t="s">
        <v>1344</v>
      </c>
    </row>
    <row r="8220" ht="33.75" customHeight="1">
      <c r="A8220" s="6" t="s">
        <v>12104</v>
      </c>
      <c r="B8220" s="6" t="str">
        <f>IFERROR(__xludf.DUMMYFUNCTION("GOOGLETRANSLATE(A8220,""en"",""fi"")"),"Hyökkääjien ahdistaessa Carbink pyyhkäisee ne kaikki pois ampumalla korkeaenergisiä säteitä kehoonsa upotetuista jalokivistä.")</f>
        <v>Hyökkääjien ahdistaessa Carbink pyyhkäisee ne kaikki pois ampumalla korkeaenergisiä säteitä kehoonsa upotetuista jalokivistä.</v>
      </c>
      <c r="C8220" s="9" t="s">
        <v>1344</v>
      </c>
    </row>
    <row r="8221" ht="33.75" customHeight="1">
      <c r="A8221" s="6" t="s">
        <v>12105</v>
      </c>
      <c r="B8221" s="6" t="str">
        <f>IFERROR(__xludf.DUMMYFUNCTION("GOOGLETRANSLATE(A8221,""en"",""fi"")"),"Sanotaan, että jossain päin maailmaa on mineraalisuoni, jossa on suuri lauma uinuvaa hiilihydraattia. Kerrotaan myös, että tällä laumalla on kuningatar.")</f>
        <v>Sanotaan, että jossain päin maailmaa on mineraalisuoni, jossa on suuri lauma uinuvaa hiilihydraattia. Kerrotaan myös, että tällä laumalla on kuningatar.</v>
      </c>
      <c r="C8221" s="9" t="s">
        <v>1344</v>
      </c>
    </row>
    <row r="8222" ht="33.75" customHeight="1">
      <c r="A8222" s="6" t="s">
        <v>12106</v>
      </c>
      <c r="B8222" s="6" t="str">
        <f>IFERROR(__xludf.DUMMYFUNCTION("GOOGLETRANSLATE(A8222,""en"",""fi"")"),"Heikoin lohikäärmetyyppinen Pokémon, se elää kosteissa ja varjoisissa paikoissa, joten sen ruumis ei kuivu.")</f>
        <v>Heikoin lohikäärmetyyppinen Pokémon, se elää kosteissa ja varjoisissa paikoissa, joten sen ruumis ei kuivu.</v>
      </c>
      <c r="C8222" s="9" t="s">
        <v>1344</v>
      </c>
    </row>
    <row r="8223" ht="33.75" customHeight="1">
      <c r="A8223" s="6" t="s">
        <v>12107</v>
      </c>
      <c r="B8223" s="6" t="str">
        <f>IFERROR(__xludf.DUMMYFUNCTION("GOOGLETRANSLATE(A8223,""en"",""fi"")"),"Se on peitetty limaisella kalvolla, jonka ansiosta kaikki lyönnit tai potkut liukuvat siitä pois vaaratta.")</f>
        <v>Se on peitetty limaisella kalvolla, jonka ansiosta kaikki lyönnit tai potkut liukuvat siitä pois vaaratta.</v>
      </c>
      <c r="C8223" s="9" t="s">
        <v>1344</v>
      </c>
    </row>
    <row r="8224" ht="33.75" customHeight="1">
      <c r="A8224" s="6" t="s">
        <v>12108</v>
      </c>
      <c r="B8224" s="6" t="str">
        <f>IFERROR(__xludf.DUMMYFUNCTION("GOOGLETRANSLATE(A8224,""en"",""fi"")"),"Lohikäärmetyyppisistä Pokémoneista heikoin, se ei pysty hengittämään, jos sen iho kuivuu, joten se pysyttelee varjoisissa paikoissa.")</f>
        <v>Lohikäärmetyyppisistä Pokémoneista heikoin, se ei pysty hengittämään, jos sen iho kuivuu, joten se pysyttelee varjoisissa paikoissa.</v>
      </c>
      <c r="C8224" s="9" t="s">
        <v>1344</v>
      </c>
    </row>
    <row r="8225" ht="33.75" customHeight="1">
      <c r="A8225" s="6" t="s">
        <v>12110</v>
      </c>
      <c r="B8225" s="6" t="str">
        <f>IFERROR(__xludf.DUMMYFUNCTION("GOOGLETRANSLATE(A8225,""en"",""fi"")"),"Sen suojan lähde on sen limainen, bakteereja täynnä oleva limakalvo. Jokainen, joka koskee siihen, tarvitsee perusteellisen käsienpesun.")</f>
        <v>Sen suojan lähde on sen limainen, bakteereja täynnä oleva limakalvo. Jokainen, joka koskee siihen, tarvitsee perusteellisen käsienpesun.</v>
      </c>
      <c r="C8225" s="9" t="s">
        <v>1344</v>
      </c>
    </row>
    <row r="8226" ht="33.75" customHeight="1">
      <c r="A8226" s="6" t="s">
        <v>12111</v>
      </c>
      <c r="B8226" s="6" t="str">
        <f>IFERROR(__xludf.DUMMYFUNCTION("GOOGLETRANSLATE(A8226,""en"",""fi"")"),"Se käyttää sarviaan ympäristönsä tarkkailuun. Ne ovat hyvin herkkiä, joten jos tartut niihin, se tuntee voimakkaan iskun eikä pysty liikkumaan.")</f>
        <v>Se käyttää sarviaan ympäristönsä tarkkailuun. Ne ovat hyvin herkkiä, joten jos tartut niihin, se tuntee voimakkaan iskun eikä pysty liikkumaan.</v>
      </c>
      <c r="C8226" s="9" t="s">
        <v>1344</v>
      </c>
    </row>
    <row r="8227" ht="33.75" customHeight="1">
      <c r="A8227" s="6" t="s">
        <v>12112</v>
      </c>
      <c r="B8227" s="6" t="str">
        <f>IFERROR(__xludf.DUMMYFUNCTION("GOOGLETRANSLATE(A8227,""en"",""fi"")"),"Sen ruumis on enimmäkseen vettä. Jos se kuivuu, se kuolee, joten se istuu aina täysin liikkumatta varjossa.")</f>
        <v>Sen ruumis on enimmäkseen vettä. Jos se kuivuu, se kuolee, joten se istuu aina täysin liikkumatta varjossa.</v>
      </c>
      <c r="C8227" s="9" t="s">
        <v>1344</v>
      </c>
    </row>
    <row r="8228" ht="33.75" customHeight="1">
      <c r="A8228" s="6" t="s">
        <v>12113</v>
      </c>
      <c r="B8228" s="6" t="str">
        <f>IFERROR(__xludf.DUMMYFUNCTION("GOOGLETRANSLATE(A8228,""en"",""fi"")"),"Koska suurin osa sen kehosta on vettä, se kuivuu, jos säästä tulee liian kuiva. Sitä pidetään heikoimpana lohikäärme-Pokémonina.")</f>
        <v>Koska suurin osa sen kehosta on vettä, se kuivuu, jos säästä tulee liian kuiva. Sitä pidetään heikoimpana lohikäärme-Pokémonina.</v>
      </c>
      <c r="C8228" s="9" t="s">
        <v>1344</v>
      </c>
    </row>
    <row r="8229" ht="33.75" customHeight="1">
      <c r="A8229" s="6" t="s">
        <v>12114</v>
      </c>
      <c r="B8229" s="6" t="str">
        <f>IFERROR(__xludf.DUMMYFUNCTION("GOOGLETRANSLATE(A8229,""en"",""fi"")"),"Niiden sarvet ovat tehokkaita antureita. Heti kun Goomy havaitsee merkkejä vihollisista, ne piiloutuvat. Näin ne ovat selvinneet.")</f>
        <v>Niiden sarvet ovat tehokkaita antureita. Heti kun Goomy havaitsee merkkejä vihollisista, ne piiloutuvat. Näin ne ovat selvinneet.</v>
      </c>
      <c r="C8229" s="9" t="s">
        <v>1344</v>
      </c>
    </row>
    <row r="8230" ht="33.75" customHeight="1">
      <c r="A8230" s="6" t="s">
        <v>12115</v>
      </c>
      <c r="B8230" s="6" t="str">
        <f>IFERROR(__xludf.DUMMYFUNCTION("GOOGLETRANSLATE(A8230,""en"",""fi"")"),"Goomy piiloutuu puiden varjoon, missä on mukavan kosteaa. Jos sen kehoa peittävä lima kuivuu, Pokémonista tulee välittömästi apaattinen.")</f>
        <v>Goomy piiloutuu puiden varjoon, missä on mukavan kosteaa. Jos sen kehoa peittävä lima kuivuu, Pokémonista tulee välittömästi apaattinen.</v>
      </c>
      <c r="C8230" s="9" t="s">
        <v>1344</v>
      </c>
    </row>
    <row r="8231" ht="33.75" customHeight="1">
      <c r="A8231" s="6" t="s">
        <v>12116</v>
      </c>
      <c r="B8231" s="6" t="str">
        <f>IFERROR(__xludf.DUMMYFUNCTION("GOOGLETRANSLATE(A8231,""en"",""fi"")"),"Se ajaa vastustajat pois erittämällä tahmeaa nestettä, joka voi liuottaa mitä tahansa. Sen silmät ovat devolvoituneet, joten se ei näe mitään.")</f>
        <v>Se ajaa vastustajat pois erittämällä tahmeaa nestettä, joka voi liuottaa mitä tahansa. Sen silmät ovat devolvoituneet, joten se ei näe mitään.</v>
      </c>
      <c r="C8231" s="9" t="s">
        <v>1344</v>
      </c>
    </row>
    <row r="8232" ht="33.75" customHeight="1">
      <c r="A8232" s="6" t="s">
        <v>12117</v>
      </c>
      <c r="B8232" s="6" t="str">
        <f>IFERROR(__xludf.DUMMYFUNCTION("GOOGLETRANSLATE(A8232,""en"",""fi"")"),"Sen neljä sarvea muodostavat tehokkaan tutkajärjestelmän. Se käyttää niitä äänien ja hajujen havaitsemiseen korvien tai nenän sijaan.")</f>
        <v>Sen neljä sarvea muodostavat tehokkaan tutkajärjestelmän. Se käyttää niitä äänien ja hajujen havaitsemiseen korvien tai nenän sijaan.</v>
      </c>
      <c r="C8232" s="9" t="s">
        <v>1344</v>
      </c>
    </row>
    <row r="8233" ht="33.75" customHeight="1">
      <c r="A8233" s="6" t="s">
        <v>12120</v>
      </c>
      <c r="B8233" s="6" t="str">
        <f>IFERROR(__xludf.DUMMYFUNCTION("GOOGLETRANSLATE(A8233,""en"",""fi"")"),"Sillä on vaikeuksia vetää rajaa ystävien ja ruoan välille. Se yrittää rauhallisesti sulaa ja syödä jopa ne, joiden kanssa se tulee hyvin toimeen.")</f>
        <v>Sillä on vaikeuksia vetää rajaa ystävien ja ruoan välille. Se yrittää rauhallisesti sulaa ja syödä jopa ne, joiden kanssa se tulee hyvin toimeen.</v>
      </c>
      <c r="C8233" s="9" t="s">
        <v>1344</v>
      </c>
    </row>
    <row r="8234" ht="33.75" customHeight="1">
      <c r="A8234" s="6" t="s">
        <v>12121</v>
      </c>
      <c r="B8234" s="6" t="str">
        <f>IFERROR(__xludf.DUMMYFUNCTION("GOOGLETRANSLATE(A8234,""en"",""fi"")"),"Tämän Pokémonin lima voi liuottaa mitä tahansa. Hampaattomana se suihkuttaa limaa saaliinsa päälle. Kun limaa on liuennut hyvin, se nielee sen.")</f>
        <v>Tämän Pokémonin lima voi liuottaa mitä tahansa. Hampaattomana se suihkuttaa limaa saaliinsa päälle. Kun limaa on liuennut hyvin, se nielee sen.</v>
      </c>
      <c r="C8234" s="9" t="s">
        <v>1344</v>
      </c>
    </row>
    <row r="8235" ht="33.75" customHeight="1">
      <c r="A8235" s="6" t="s">
        <v>12122</v>
      </c>
      <c r="B8235" s="6" t="str">
        <f>IFERROR(__xludf.DUMMYFUNCTION("GOOGLETRANSLATE(A8235,""en"",""fi"")"),"Se ryömii hitaasti. Sen selässä oleva pyörteilevä kohouma on täynnä sen aivoja ja muita elimiä.")</f>
        <v>Se ryömii hitaasti. Sen selässä oleva pyörteilevä kohouma on täynnä sen aivoja ja muita elimiä.</v>
      </c>
      <c r="C8235" s="9" t="s">
        <v>1344</v>
      </c>
    </row>
    <row r="8236" ht="33.75" customHeight="1">
      <c r="A8236" s="6" t="s">
        <v>12124</v>
      </c>
      <c r="B8236" s="6" t="str">
        <f>IFERROR(__xludf.DUMMYFUNCTION("GOOGLETRANSLATE(A8236,""en"",""fi"")"),"Sen koko ruumis on peittynyt tahmaiseen limaan, joka voi liuottaa mitä tahansa. Muista laittaa hanskat käteen, jos aiot koskea siihen.")</f>
        <v>Sen koko ruumis on peittynyt tahmaiseen limaan, joka voi liuottaa mitä tahansa. Muista laittaa hanskat käteen, jos aiot koskea siihen.</v>
      </c>
      <c r="C8236" s="9" t="s">
        <v>1344</v>
      </c>
    </row>
    <row r="8237" ht="33.75" customHeight="1">
      <c r="A8237" s="6" t="s">
        <v>12127</v>
      </c>
      <c r="B8237" s="6" t="str">
        <f>IFERROR(__xludf.DUMMYFUNCTION("GOOGLETRANSLATE(A8237,""en"",""fi"")"),"Vaikka tämä Pokémon ei ole kovin vahva, sen ruumis on päällystetty syövyttävällä limalla, joka voi sulattaa minkä tahansa läpi, joten saalistajat pysyttelevät siitä erossa.")</f>
        <v>Vaikka tämä Pokémon ei ole kovin vahva, sen ruumis on päällystetty syövyttävällä limalla, joka voi sulattaa minkä tahansa läpi, joten saalistajat pysyttelevät siitä erossa.</v>
      </c>
      <c r="C8237" s="9" t="s">
        <v>1344</v>
      </c>
    </row>
    <row r="8238" ht="33.75" customHeight="1">
      <c r="A8238" s="6" t="s">
        <v>12129</v>
      </c>
      <c r="B8238" s="6" t="str">
        <f>IFERROR(__xludf.DUMMYFUNCTION("GOOGLETRANSLATE(A8238,""en"",""fi"")"),"Sen selässä olevassa möykkyssä on sen pieni aivo. Se ajattelee vain ruokaa ja vihollisiltaan pakenemista.")</f>
        <v>Sen selässä olevassa möykkyssä on sen pieni aivo. Se ajattelee vain ruokaa ja vihollisiltaan pakenemista.</v>
      </c>
      <c r="C8238" s="9" t="s">
        <v>1344</v>
      </c>
    </row>
    <row r="8239" ht="33.75" customHeight="1">
      <c r="A8239" s="6" t="s">
        <v>12130</v>
      </c>
      <c r="B8239" s="6" t="str">
        <f>IFERROR(__xludf.DUMMYFUNCTION("GOOGLETRANSLATE(A8239,""en"",""fi"")"),"Olento, jolla on taipumus melankoliaan. Epäilen, että sen metallinen kuori kehittyi ihon liman reagoidessa Hisuin vedessä olevan raudan kanssa.")</f>
        <v>Olento, jolla on taipumus melankoliaan. Epäilen, että sen metallinen kuori kehittyi ihon liman reagoidessa Hisuin vedessä olevan raudan kanssa.</v>
      </c>
      <c r="C8239" s="9" t="s">
        <v>1344</v>
      </c>
    </row>
    <row r="8240" ht="33.75" customHeight="1">
      <c r="A8240" s="6" t="s">
        <v>12133</v>
      </c>
      <c r="B8240" s="6" t="str">
        <f>IFERROR(__xludf.DUMMYFUNCTION("GOOGLETRANSLATE(A8240,""en"",""fi"")"),"Tämä erittäin ystävällinen lohikäärmetyyppinen Pokémon halaa rakasta kouluttajaansa, joka peittyy tahmeaan limaan.")</f>
        <v>Tämä erittäin ystävällinen lohikäärmetyyppinen Pokémon halaa rakasta kouluttajaansa, joka peittyy tahmeaan limaan.</v>
      </c>
      <c r="C8240" s="9" t="s">
        <v>1344</v>
      </c>
    </row>
    <row r="8241" ht="33.75" customHeight="1">
      <c r="A8241" s="6" t="s">
        <v>12134</v>
      </c>
      <c r="B8241" s="6" t="str">
        <f>IFERROR(__xludf.DUMMYFUNCTION("GOOGLETRANSLATE(A8241,""en"",""fi"")"),"Se hyökkää sisäänvedettävien sarvien avulla. Se heittää iskun, joka vastaa sadan ammattinyrkkeilijän voimaa.")</f>
        <v>Se hyökkää sisäänvedettävien sarvien avulla. Se heittää iskun, joka vastaa sadan ammattinyrkkeilijän voimaa.</v>
      </c>
      <c r="C8241" s="9" t="s">
        <v>1344</v>
      </c>
    </row>
    <row r="8242" ht="33.75" customHeight="1">
      <c r="A8242" s="6" t="s">
        <v>12136</v>
      </c>
      <c r="B8242" s="6" t="str">
        <f>IFERROR(__xludf.DUMMYFUNCTION("GOOGLETRANSLATE(A8242,""en"",""fi"")"),"Hämmästyttävän ystävällinen Pokémon, mutta jos sen jättää oman onnensa nojaan, yksinäisyys voittaa sen ja se vuodattaa tahmaisia ​​kyyneleitä.")</f>
        <v>Hämmästyttävän ystävällinen Pokémon, mutta jos sen jättää oman onnensa nojaan, yksinäisyys voittaa sen ja se vuodattaa tahmaisia ​​kyyneleitä.</v>
      </c>
      <c r="C8242" s="9" t="s">
        <v>1344</v>
      </c>
    </row>
    <row r="8243" ht="33.75" customHeight="1">
      <c r="A8243" s="6" t="s">
        <v>12137</v>
      </c>
      <c r="B8243" s="6" t="str">
        <f>IFERROR(__xludf.DUMMYFUNCTION("GOOGLETRANSLATE(A8243,""en"",""fi"")"),"Sitä kiusataan, koska se on nöyrä. Mutta sitten se, joka sitä kiusoitteli, saa tuntea sen sarvien täyden voiman ja kunnon läimäytyksen sen paksusta hännästä.")</f>
        <v>Sitä kiusataan, koska se on nöyrä. Mutta sitten se, joka sitä kiusoitteli, saa tuntea sen sarvien täyden voiman ja kunnon läimäytyksen sen paksusta hännästä.</v>
      </c>
      <c r="C8243" s="9" t="s">
        <v>1344</v>
      </c>
    </row>
    <row r="8244" ht="33.75" customHeight="1">
      <c r="A8244" s="6" t="s">
        <v>12139</v>
      </c>
      <c r="B8244" s="6" t="str">
        <f>IFERROR(__xludf.DUMMYFUNCTION("GOOGLETRANSLATE(A8244,""en"",""fi"")"),"Se on erittäin ystävällinen ihmisiä kohtaan. Jos kasvat sen lähelle, Goodra halaa sinua tahmealla, limalla peittyneellä ruumiillaan. Älä suutu.")</f>
        <v>Se on erittäin ystävällinen ihmisiä kohtaan. Jos kasvat sen lähelle, Goodra halaa sinua tahmealla, limalla peittyneellä ruumiillaan. Älä suutu.</v>
      </c>
      <c r="C8244" s="9" t="s">
        <v>1344</v>
      </c>
    </row>
    <row r="8245" ht="33.75" customHeight="1">
      <c r="A8245" s="6" t="s">
        <v>12140</v>
      </c>
      <c r="B8245" s="6" t="str">
        <f>IFERROR(__xludf.DUMMYFUNCTION("GOOGLETRANSLATE(A8245,""en"",""fi"")"),"Sen limaisen kuoren alla on paksu rasvakerros, ja näiden kahden yhdistelmä saa vihollisten hyökkäykset liukumaan pois.")</f>
        <v>Sen limaisen kuoren alla on paksu rasvakerros, ja näiden kahden yhdistelmä saa vihollisten hyökkäykset liukumaan pois.</v>
      </c>
      <c r="C8245" s="9" t="s">
        <v>1344</v>
      </c>
    </row>
    <row r="8246" ht="33.75" customHeight="1">
      <c r="A8246" s="6" t="s">
        <v>12141</v>
      </c>
      <c r="B8246" s="6" t="str">
        <f>IFERROR(__xludf.DUMMYFUNCTION("GOOGLETRANSLATE(A8246,""en"",""fi"")"),"Joskus se ymmärtää ohjeet väärin ja vaikuttaa hämmentyneeltä tai hämmentyneeltä. Monet kouluttajat eivät välitä tästä, ja pitävät tätä käytöstä suloisena.")</f>
        <v>Joskus se ymmärtää ohjeet väärin ja vaikuttaa hämmentyneeltä tai hämmentyneeltä. Monet kouluttajat eivät välitä tästä, ja pitävät tätä käytöstä suloisena.</v>
      </c>
      <c r="C8246" s="9" t="s">
        <v>1344</v>
      </c>
    </row>
    <row r="8247" ht="33.75" customHeight="1">
      <c r="A8247" s="6" t="s">
        <v>12142</v>
      </c>
      <c r="B8247" s="6" t="str">
        <f>IFERROR(__xludf.DUMMYFUNCTION("GOOGLETRANSLATE(A8247,""en"",""fi"")"),"Sen hyökkäysmuoto on sarvien venyttäminen voimakkaasti. Iskut osuvat sata kertaa kovempaan kuin mikään raskaansarjan nyrkkeilijän isku.")</f>
        <v>Sen hyökkäysmuoto on sarvien venyttäminen voimakkaasti. Iskut osuvat sata kertaa kovempaan kuin mikään raskaansarjan nyrkkeilijän isku.</v>
      </c>
      <c r="C8247" s="9" t="s">
        <v>1344</v>
      </c>
    </row>
    <row r="8248" ht="33.75" customHeight="1">
      <c r="A8248" s="6" t="s">
        <v>12144</v>
      </c>
      <c r="B8248" s="6" t="str">
        <f>IFERROR(__xludf.DUMMYFUNCTION("GOOGLETRANSLATE(A8248,""en"",""fi"")"),"Kykenee hallitsemaan vapaasti metallisen kuorensa kovuutta. Se inhoaa yksinäisyyttä ja on äärimmäisen takertuva – se raivoaa ja riehuu, jos sille rakkaimmat ihmiset joskus lähtevät sen rinnalta.")</f>
        <v>Kykenee hallitsemaan vapaasti metallisen kuorensa kovuutta. Se inhoaa yksinäisyyttä ja on äärimmäisen takertuva – se raivoaa ja riehuu, jos sille rakkaimmat ihmiset joskus lähtevät sen rinnalta.</v>
      </c>
      <c r="C8248" s="9" t="s">
        <v>1344</v>
      </c>
    </row>
    <row r="8249" ht="33.75" customHeight="1">
      <c r="A8249" s="6" t="s">
        <v>12146</v>
      </c>
      <c r="B8249" s="6" t="str">
        <f>IFERROR(__xludf.DUMMYFUNCTION("GOOGLETRANSLATE(A8249,""en"",""fi"")"),"Nämä avaintenkeräilijät uhkaavat hyökkääjiä kilisemällä avaimiaan raivokkaasti.")</f>
        <v>Nämä avaintenkeräilijät uhkaavat hyökkääjiä kilisemällä avaimiaan raivokkaasti.</v>
      </c>
      <c r="C8249" s="9" t="s">
        <v>1344</v>
      </c>
    </row>
    <row r="8250" ht="33.75" customHeight="1">
      <c r="A8250" s="6" t="s">
        <v>12147</v>
      </c>
      <c r="B8250" s="6" t="str">
        <f>IFERROR(__xludf.DUMMYFUNCTION("GOOGLETRANSLATE(A8250,""en"",""fi"")"),"Se ei koskaan päästä irti avaimesta, josta se pitää, joten ihmiset antavat sille holvien ja kassakaappien avaimet keinona estää rikoksia.")</f>
        <v>Se ei koskaan päästä irti avaimesta, josta se pitää, joten ihmiset antavat sille holvien ja kassakaappien avaimet keinona estää rikoksia.</v>
      </c>
      <c r="C8250" s="9" t="s">
        <v>1344</v>
      </c>
    </row>
    <row r="8251" ht="33.75" customHeight="1">
      <c r="A8251" s="6" t="s">
        <v>12149</v>
      </c>
      <c r="B8251" s="6" t="str">
        <f>IFERROR(__xludf.DUMMYFUNCTION("GOOGLETRANSLATE(A8251,""en"",""fi"")"),"Tällä tasaisen luonteen omaavalla Pokémonilla on tapana kerätä avaimia. Se hiipii ihmisten koteihin varastaakseen heidän avaimensa.")</f>
        <v>Tällä tasaisen luonteen omaavalla Pokémonilla on tapana kerätä avaimia. Se hiipii ihmisten koteihin varastaakseen heidän avaimensa.</v>
      </c>
      <c r="C8251" s="9" t="s">
        <v>1344</v>
      </c>
    </row>
    <row r="8252" ht="33.75" customHeight="1">
      <c r="A8252" s="6" t="s">
        <v>12150</v>
      </c>
      <c r="B8252" s="6" t="str">
        <f>IFERROR(__xludf.DUMMYFUNCTION("GOOGLETRANSLATE(A8252,""en"",""fi"")"),"Se työntää torvensa metallin rakoihin ja imee itseensä metalli-ioneja. Jostain syystä se kerää avaimia.")</f>
        <v>Se työntää torvensa metallin rakoihin ja imee itseensä metalli-ioneja. Jostain syystä se kerää avaimia.</v>
      </c>
      <c r="C8252" s="9" t="s">
        <v>1344</v>
      </c>
    </row>
    <row r="8253" ht="33.75" customHeight="1">
      <c r="A8253" s="6" t="s">
        <v>12151</v>
      </c>
      <c r="B8253" s="6" t="str">
        <f>IFERROR(__xludf.DUMMYFUNCTION("GOOGLETRANSLATE(A8253,""en"",""fi"")"),"Vaikka on epäselvää, miksi se kerää avaimia, avaimen antaminen tekee Klefkin erittäin onnelliseksi. Ilmeisesti se kuitenkin pitää vain pääavaimista.")</f>
        <v>Vaikka on epäselvää, miksi se kerää avaimia, avaimen antaminen tekee Klefkin erittäin onnelliseksi. Ilmeisesti se kuitenkin pitää vain pääavaimista.</v>
      </c>
      <c r="C8253" s="9" t="s">
        <v>1344</v>
      </c>
    </row>
    <row r="8254" ht="33.75" customHeight="1">
      <c r="A8254" s="6" t="s">
        <v>12153</v>
      </c>
      <c r="B8254" s="6" t="str">
        <f>IFERROR(__xludf.DUMMYFUNCTION("GOOGLETRANSLATE(A8254,""en"",""fi"")"),"Kauan sitten se eli kaivoksissa, mutta kun sen ruokavalion mineraalit vähenivät, Klefki alkoi ilmestyä ihmisasutusalueille.")</f>
        <v>Kauan sitten se eli kaivoksissa, mutta kun sen ruokavalion mineraalit vähenivät, Klefki alkoi ilmestyä ihmisasutusalueille.</v>
      </c>
      <c r="C8254" s="9" t="s">
        <v>1344</v>
      </c>
    </row>
    <row r="8255" ht="33.75" customHeight="1">
      <c r="A8255" s="6" t="s">
        <v>12154</v>
      </c>
      <c r="B8255" s="6" t="str">
        <f>IFERROR(__xludf.DUMMYFUNCTION("GOOGLETRANSLATE(A8255,""en"",""fi"")"),"Tämä Pokémon kerää jatkuvasti avaimia. Anna Klefkille tärkeät avaimet, niin Pokémon suojelee niitä tapahtuipa mitä tahansa.")</f>
        <v>Tämä Pokémon kerää jatkuvasti avaimia. Anna Klefkille tärkeät avaimet, niin Pokémon suojelee niitä tapahtuipa mitä tahansa.</v>
      </c>
      <c r="C8255" s="9" t="s">
        <v>1344</v>
      </c>
    </row>
    <row r="8256" ht="33.75" customHeight="1">
      <c r="A8256" s="6" t="s">
        <v>12155</v>
      </c>
      <c r="B8256" s="6" t="str">
        <f>IFERROR(__xludf.DUMMYFUNCTION("GOOGLETRANSLATE(A8256,""en"",""fi"")"),"Klefki imee metalli-ioneja päänsä päällä olevalla sarvella. Näyttää siltä, ​​että tämä Pokémon rakastaa avaimia niin paljon, että sen pään piti näyttää myös samalta.")</f>
        <v>Klefki imee metalli-ioneja päänsä päällä olevalla sarvella. Näyttää siltä, ​​että tämä Pokémon rakastaa avaimia niin paljon, että sen pään piti näyttää myös samalta.</v>
      </c>
      <c r="C8256" s="9" t="s">
        <v>1344</v>
      </c>
    </row>
    <row r="8257" ht="33.75" customHeight="1">
      <c r="A8257" s="6" t="s">
        <v>12156</v>
      </c>
      <c r="B8257" s="6" t="str">
        <f>IFERROR(__xludf.DUMMYFUNCTION("GOOGLETRANSLATE(A8257,""en"",""fi"")"),"Nämä Pokémonit syntyvät, kun henget ottavat haltuunsa lahoja puunkantoja. Ne mieluummin asuvat hylätyissä metsissä.")</f>
        <v>Nämä Pokémonit syntyvät, kun henget ottavat haltuunsa lahoja puunkantoja. Ne mieluummin asuvat hylätyissä metsissä.</v>
      </c>
      <c r="C8257" s="9" t="s">
        <v>1344</v>
      </c>
    </row>
    <row r="8258" ht="33.75" customHeight="1">
      <c r="A8258" s="6" t="s">
        <v>12158</v>
      </c>
      <c r="B8258" s="6" t="str">
        <f>IFERROR(__xludf.DUMMYFUNCTION("GOOGLETRANSLATE(A8258,""en"",""fi"")"),"Vanhojen tarinoiden mukaan nämä Pokémonit ovat metsässä kuolleiden lasten henkien riivaamia tynkiä.")</f>
        <v>Vanhojen tarinoiden mukaan nämä Pokémonit ovat metsässä kuolleiden lasten henkien riivaamia tynkiä.</v>
      </c>
      <c r="C8258" s="9" t="s">
        <v>1344</v>
      </c>
    </row>
    <row r="8259" ht="33.75" customHeight="1">
      <c r="A8259" s="6" t="s">
        <v>12159</v>
      </c>
      <c r="B8259" s="6" t="str">
        <f>IFERROR(__xludf.DUMMYFUNCTION("GOOGLETRANSLATE(A8259,""en"",""fi"")"),"Nämä Pokémonit ovat metsässä kuolleiden lasten henkien riivaamia tynkiä. Niiden huuto kuulostaa aavemaisilta kirkaisuilta.")</f>
        <v>Nämä Pokémonit ovat metsässä kuolleiden lasten henkien riivaamia tynkiä. Niiden huuto kuulostaa aavemaisilta kirkaisuilta.</v>
      </c>
      <c r="C8259" s="9" t="s">
        <v>1344</v>
      </c>
    </row>
    <row r="8260" ht="33.75" customHeight="1">
      <c r="A8260" s="6" t="s">
        <v>12160</v>
      </c>
      <c r="B8260" s="6" t="str">
        <f>IFERROR(__xludf.DUMMYFUNCTION("GOOGLETRANSLATE(A8260,""en"",""fi"")"),"Legendan mukaan lääkettä mihin tahansa sairauteen voidaan valmistaa poimimalla sen pään vihreät lehdet, hauduttamalla ne ja keittämällä neste.")</f>
        <v>Legendan mukaan lääkettä mihin tahansa sairauteen voidaan valmistaa poimimalla sen pään vihreät lehdet, hauduttamalla ne ja keittämällä neste.</v>
      </c>
      <c r="C8260" s="9" t="s">
        <v>1344</v>
      </c>
    </row>
    <row r="8261" ht="33.75" customHeight="1">
      <c r="A8261" s="6" t="s">
        <v>12161</v>
      </c>
      <c r="B8261" s="6" t="str">
        <f>IFERROR(__xludf.DUMMYFUNCTION("GOOGLETRANSLATE(A8261,""en"",""fi"")"),"Matkimalla lapsen ääntä se saa ihmiset eksymään toivottomasti syvälle metsään. Se yrittää ystävystyä heidän kanssaan.")</f>
        <v>Matkimalla lapsen ääntä se saa ihmiset eksymään toivottomasti syvälle metsään. Se yrittää ystävystyä heidän kanssaan.</v>
      </c>
      <c r="C8261" s="9" t="s">
        <v>1344</v>
      </c>
    </row>
    <row r="8262" ht="33.75" customHeight="1">
      <c r="A8262" s="6" t="s">
        <v>12162</v>
      </c>
      <c r="B8262" s="6" t="str">
        <f>IFERROR(__xludf.DUMMYFUNCTION("GOOGLETRANSLATE(A8262,""en"",""fi"")"),"Tuntematon henki asettui puunkantoon pesälle ja loi tämän Pokémonin. Sen vihreistä lehdistä voi tehdä ihmelääkkeen.")</f>
        <v>Tuntematon henki asettui puunkantoon pesälle ja loi tämän Pokémonin. Sen vihreistä lehdistä voi tehdä ihmelääkkeen.</v>
      </c>
      <c r="C8262" s="9" t="s">
        <v>1344</v>
      </c>
    </row>
    <row r="8263" ht="33.75" customHeight="1">
      <c r="A8263" s="6" t="s">
        <v>12163</v>
      </c>
      <c r="B8263" s="6" t="str">
        <f>IFERROR(__xludf.DUMMYFUNCTION("GOOGLETRANSLATE(A8263,""en"",""fi"")"),"Metsään kadonneen lapsen kuoltua heidän henkensä valtasi puunkannon, mikä aiheutti hengen uudestisyntymisen täksi Pokémoniksi.")</f>
        <v>Metsään kadonneen lapsen kuoltua heidän henkensä valtasi puunkannon, mikä aiheutti hengen uudestisyntymisen täksi Pokémoniksi.</v>
      </c>
      <c r="C8263" s="9" t="s">
        <v>1344</v>
      </c>
    </row>
    <row r="8264" ht="33.75" customHeight="1">
      <c r="A8264" s="6" t="s">
        <v>12164</v>
      </c>
      <c r="B8264" s="6" t="str">
        <f>IFERROR(__xludf.DUMMYFUNCTION("GOOGLETRANSLATE(A8264,""en"",""fi"")"),"Ihmislapsen äänellä se huutaa houkutellakseen aikuisia syvälle metsään ja eksyttääkseen heidät puiden sekaan.")</f>
        <v>Ihmislapsen äänellä se huutaa houkutellakseen aikuisia syvälle metsään ja eksyttääkseen heidät puiden sekaan.</v>
      </c>
      <c r="C8264" s="9" t="s">
        <v>1344</v>
      </c>
    </row>
    <row r="8265" ht="33.75" customHeight="1">
      <c r="A8265" s="6" t="s">
        <v>12165</v>
      </c>
      <c r="B8265" s="6" t="str">
        <f>IFERROR(__xludf.DUMMYFUNCTION("GOOGLETRANSLATE(A8265,""en"",""fi"")"),"Se voi hallita puita mielensä mukaan. Se vangitsee metsää vahingoittavat ihmiset, jotta he eivät koskaan pääse pois.")</f>
        <v>Se voi hallita puita mielensä mukaan. Se vangitsee metsää vahingoittavat ihmiset, jotta he eivät koskaan pääse pois.</v>
      </c>
      <c r="C8265" s="9" t="s">
        <v>1344</v>
      </c>
    </row>
    <row r="8266" ht="33.75" customHeight="1">
      <c r="A8266" s="6" t="s">
        <v>12167</v>
      </c>
      <c r="B8266" s="6" t="str">
        <f>IFERROR(__xludf.DUMMYFUNCTION("GOOGLETRANSLATE(A8266,""en"",""fi"")"),"Se käyttää juuriaan hermostonaan ja hallitsee metsän puita. Se on ystävällinen kehossaan asuville Pokémoneille.")</f>
        <v>Se käyttää juuriaan hermostonaan ja hallitsee metsän puita. Se on ystävällinen kehossaan asuville Pokémoneille.</v>
      </c>
      <c r="C8266" s="9" t="s">
        <v>1344</v>
      </c>
    </row>
    <row r="8267" ht="33.75" customHeight="1">
      <c r="A8267" s="6" t="s">
        <v>12168</v>
      </c>
      <c r="B8267" s="6" t="str">
        <f>IFERROR(__xludf.DUMMYFUNCTION("GOOGLETRANSLATE(A8267,""en"",""fi"")"),"Tämän Pokémonin sanotaan ahmivan jokaisen, joka uskaltaa riehua metsässä. Se osoittaa suurta ystävällisyyttä metsän olennoille.")</f>
        <v>Tämän Pokémonin sanotaan ahmivan jokaisen, joka uskaltaa riehua metsässä. Se osoittaa suurta ystävällisyyttä metsän olennoille.</v>
      </c>
      <c r="C8267" s="9" t="s">
        <v>1344</v>
      </c>
    </row>
    <row r="8268" ht="33.75" customHeight="1">
      <c r="A8268" s="6" t="s">
        <v>12169</v>
      </c>
      <c r="B8268" s="6" t="str">
        <f>IFERROR(__xludf.DUMMYFUNCTION("GOOGLETRANSLATE(A8268,""en"",""fi"")"),"Juuriensa kautta se hallitsee muita puita. Tappava kirous langettaa jokaisen, joka kaataa puita metsissä, joissa Trevenantit asuvat.")</f>
        <v>Juuriensa kautta se hallitsee muita puita. Tappava kirous langettaa jokaisen, joka kaataa puita metsissä, joissa Trevenantit asuvat.</v>
      </c>
      <c r="C8268" s="9" t="s">
        <v>1344</v>
      </c>
    </row>
    <row r="8269" ht="33.75" customHeight="1">
      <c r="A8269" s="6" t="s">
        <v>12171</v>
      </c>
      <c r="B8269" s="6" t="str">
        <f>IFERROR(__xludf.DUMMYFUNCTION("GOOGLETRANSLATE(A8269,""en"",""fi"")"),"Sitä pelätään metsän aaveena. Metsurit tuovat mukanaan tulilaisia ​​olentoja, joita Trevenant vihaa, tullessaan metsään.")</f>
        <v>Sitä pelätään metsän aaveena. Metsurit tuovat mukanaan tulilaisia ​​olentoja, joita Trevenant vihaa, tullessaan metsään.</v>
      </c>
      <c r="C8269" s="9" t="s">
        <v>1344</v>
      </c>
    </row>
    <row r="8270" ht="33.75" customHeight="1">
      <c r="A8270" s="6" t="s">
        <v>12172</v>
      </c>
      <c r="B8270" s="6" t="str">
        <f>IFERROR(__xludf.DUMMYFUNCTION("GOOGLETRANSLATE(A8270,""en"",""fi"")"),"Tämä Pokémon hallitsee puita jaloistaan ​​​​lähtevien juurien avulla ja hyökkää kaikkien metsää ryöstävien kimppuun.")</f>
        <v>Tämä Pokémon hallitsee puita jaloistaan ​​​​lähtevien juurien avulla ja hyökkää kaikkien metsää ryöstävien kimppuun.</v>
      </c>
      <c r="C8270" s="9" t="s">
        <v>1344</v>
      </c>
    </row>
    <row r="8271" ht="33.75" customHeight="1">
      <c r="A8271" s="6" t="s">
        <v>12173</v>
      </c>
      <c r="B8271" s="6" t="str">
        <f>IFERROR(__xludf.DUMMYFUNCTION("GOOGLETRANSLATE(A8271,""en"",""fi"")"),"Ihmiset pelkäävät sitä, koska uskotaan sen syövän kaikki, jotka yrittävät kaataa puita sen metsässä, mutta Pokémoneille, joiden kanssa se jakaa metsänsä, se on ystävällinen.")</f>
        <v>Ihmiset pelkäävät sitä, koska uskotaan sen syövän kaikki, jotka yrittävät kaataa puita sen metsässä, mutta Pokémoneille, joiden kanssa se jakaa metsänsä, se on ystävällinen.</v>
      </c>
      <c r="C8271" s="9" t="s">
        <v>1344</v>
      </c>
    </row>
    <row r="8272" ht="33.75" customHeight="1">
      <c r="A8272" s="6" t="s">
        <v>12174</v>
      </c>
      <c r="B8272" s="6" t="str">
        <f>IFERROR(__xludf.DUMMYFUNCTION("GOOGLETRANSLATE(A8272,""en"",""fi"")"),"Tämän Pokémonin jalkojen kärjistä ulkonevat pienet juuret voivat tarttua metsän puihin ja antaa Trevenantille hallinnan niistä.")</f>
        <v>Tämän Pokémonin jalkojen kärjistä ulkonevat pienet juuret voivat tarttua metsän puihin ja antaa Trevenantille hallinnan niistä.</v>
      </c>
      <c r="C8272" s="9" t="s">
        <v>1344</v>
      </c>
    </row>
    <row r="8273" ht="33.75" customHeight="1">
      <c r="A8273" s="6" t="s">
        <v>12176</v>
      </c>
      <c r="B8273" s="6" t="str">
        <f>IFERROR(__xludf.DUMMYFUNCTION("GOOGLETRANSLATE(A8273,""en"",""fi"")"),"Kurpitsan ruumiissa asuu tähän maailmaan loukkuun jäänyt henki. Auringon laskiessa siitä tulee levoton ja aktiivinen.")</f>
        <v>Kurpitsan ruumiissa asuu tähän maailmaan loukkuun jäänyt henki. Auringon laskiessa siitä tulee levoton ja aktiivinen.</v>
      </c>
      <c r="C8273" s="9" t="s">
        <v>1344</v>
      </c>
    </row>
    <row r="8274" ht="33.75" customHeight="1">
      <c r="A8274" s="6" t="s">
        <v>12178</v>
      </c>
      <c r="B8274" s="6" t="str">
        <f>IFERROR(__xludf.DUMMYFUNCTION("GOOGLETRANSLATE(A8274,""en"",""fi"")"),"Sen sanotaan kuljettavan vaeltelevia henkiä niiden kuuluviin paikkoihin, jotta ne voivat jatkaa matkaansa.")</f>
        <v>Sen sanotaan kuljettavan vaeltelevia henkiä niiden kuuluviin paikkoihin, jotta ne voivat jatkaa matkaansa.</v>
      </c>
      <c r="C8274" s="9" t="s">
        <v>1344</v>
      </c>
    </row>
    <row r="8275" ht="33.75" customHeight="1">
      <c r="A8275" s="6" t="s">
        <v>12180</v>
      </c>
      <c r="B8275" s="6" t="str">
        <f>IFERROR(__xludf.DUMMYFUNCTION("GOOGLETRANSLATE(A8275,""en"",""fi"")"),"Maailmassa vaeltavat henget asetetaan Pumpkaboon ruumiiseen. Sitten ne siirretään tuonpuoleiseen.")</f>
        <v>Maailmassa vaeltavat henget asetetaan Pumpkaboon ruumiiseen. Sitten ne siirretään tuonpuoleiseen.</v>
      </c>
      <c r="C8275" s="9" t="s">
        <v>1344</v>
      </c>
    </row>
    <row r="8276" ht="33.75" customHeight="1">
      <c r="A8276" s="6" t="s">
        <v>12183</v>
      </c>
      <c r="B8276" s="6" t="str">
        <f>IFERROR(__xludf.DUMMYFUNCTION("GOOGLETRANSLATE(A8276,""en"",""fi"")"),"Kurpitsan rei'istä virtaava valo voi hypnotisoida ja hallita sen näkeviä ihmisiä ja Pokémoneja.")</f>
        <v>Kurpitsan rei'istä virtaava valo voi hypnotisoida ja hallita sen näkeviä ihmisiä ja Pokémoneja.</v>
      </c>
      <c r="C8276" s="9" t="s">
        <v>1344</v>
      </c>
    </row>
    <row r="8277" ht="33.75" customHeight="1">
      <c r="A8277" s="6" t="s">
        <v>12185</v>
      </c>
      <c r="B8277" s="6" t="str">
        <f>IFERROR(__xludf.DUMMYFUNCTION("GOOGLETRANSLATE(A8277,""en"",""fi"")"),"Aavemaisilla äänillä laulaen ne vaeltelevat kaupungin kaduilla uudenkuun yönä. Jokainen, joka kuulee heidän laulunsa, on kirottu.")</f>
        <v>Aavemaisilla äänillä laulaen ne vaeltelevat kaupungin kaduilla uudenkuun yönä. Jokainen, joka kuulee heidän laulunsa, on kirottu.</v>
      </c>
      <c r="C8277" s="9" t="s">
        <v>1344</v>
      </c>
    </row>
    <row r="8278" ht="33.75" customHeight="1">
      <c r="A8278" s="6" t="s">
        <v>12186</v>
      </c>
      <c r="B8278" s="6" t="str">
        <f>IFERROR(__xludf.DUMMYFUNCTION("GOOGLETRANSLATE(A8278,""en"",""fi"")"),"Se kietoo saaliinsa karvaisiin käsivarsiinsa. Se laulaa iloisesti tarkkaillessaan saaliinsa kärsimystä.")</f>
        <v>Se kietoo saaliinsa karvaisiin käsivarsiinsa. Se laulaa iloisesti tarkkaillessaan saaliinsa kärsimystä.</v>
      </c>
      <c r="C8278" s="9" t="s">
        <v>1344</v>
      </c>
    </row>
    <row r="8279" ht="33.75" customHeight="1">
      <c r="A8279" s="6" t="s">
        <v>12188</v>
      </c>
      <c r="B8279" s="6" t="str">
        <f>IFERROR(__xludf.DUMMYFUNCTION("GOOGLETRANSLATE(A8279,""en"",""fi"")"),"Sen ruumiista kantautuu aavemaisia ​​huutoja yön keskellä. Äänten sanotaan olevan tuonpuoleisessa kärsivien henkien valitusta.")</f>
        <v>Sen ruumiista kantautuu aavemaisia ​​huutoja yön keskellä. Äänten sanotaan olevan tuonpuoleisessa kärsivien henkien valitusta.</v>
      </c>
      <c r="C8279" s="9" t="s">
        <v>1344</v>
      </c>
    </row>
    <row r="8280" ht="33.75" customHeight="1">
      <c r="A8280" s="6" t="s">
        <v>12189</v>
      </c>
      <c r="B8280" s="6" t="str">
        <f>IFERROR(__xludf.DUMMYFUNCTION("GOOGLETRANSLATE(A8280,""en"",""fi"")"),"Uudenkuun yön pimeydessä Gourgeist koputtaa. Se, joka avaa oven, tempataan tuonpuoleiseen.")</f>
        <v>Uudenkuun yön pimeydessä Gourgeist koputtaa. Se, joka avaa oven, tempataan tuonpuoleiseen.</v>
      </c>
      <c r="C8280" s="9" t="s">
        <v>1344</v>
      </c>
    </row>
    <row r="8281" ht="33.75" customHeight="1">
      <c r="A8281" s="6" t="s">
        <v>12190</v>
      </c>
      <c r="B8281" s="6" t="str">
        <f>IFERROR(__xludf.DUMMYFUNCTION("GOOGLETRANSLATE(A8281,""en"",""fi"")"),"Se estää vastustajien hyökkäykset vartaloaan suojaavalla jäällä. Se käyttää kylmää ilmaa korjatakseen mahdolliset halkeamat uudella jäällä.")</f>
        <v>Se estää vastustajien hyökkäykset vartaloaan suojaavalla jäällä. Se käyttää kylmää ilmaa korjatakseen mahdolliset halkeamat uudella jäällä.</v>
      </c>
      <c r="C8281" s="9" t="s">
        <v>1344</v>
      </c>
    </row>
    <row r="8282" ht="33.75" customHeight="1">
      <c r="A8282" s="6" t="s">
        <v>12191</v>
      </c>
      <c r="B8282" s="6" t="str">
        <f>IFERROR(__xludf.DUMMYFUNCTION("GOOGLETRANSLATE(A8282,""en"",""fi"")"),"Käyttämällä -83 celsiusasteen ilmaa ne jäädyttävät vastustajat jähmeiksi. Ne elävät laumoissa lumirajan yläpuolella vuorilla.")</f>
        <v>Käyttämällä -83 celsiusasteen ilmaa ne jäädyttävät vastustajat jähmeiksi. Ne elävät laumoissa lumirajan yläpuolella vuorilla.</v>
      </c>
      <c r="C8282" s="9" t="s">
        <v>1344</v>
      </c>
    </row>
    <row r="8283" ht="33.75" customHeight="1">
      <c r="A8283" s="6" t="s">
        <v>12192</v>
      </c>
      <c r="B8283" s="6" t="str">
        <f>IFERROR(__xludf.DUMMYFUNCTION("GOOGLETRANSLATE(A8283,""en"",""fi"")"),"Ne jäähdyttävät ympäröivän ilman −150 Fahrenheit-asteeseen, jäädyttäen ilmassa olevan veden jääksi, jota ne käyttävät panssarina.")</f>
        <v>Ne jäähdyttävät ympäröivän ilman −150 Fahrenheit-asteeseen, jäädyttäen ilmassa olevan veden jääksi, jota ne käyttävät panssarina.</v>
      </c>
      <c r="C8283" s="9" t="s">
        <v>1344</v>
      </c>
    </row>
    <row r="8284" ht="33.75" customHeight="1">
      <c r="A8284" s="6" t="s">
        <v>12194</v>
      </c>
      <c r="B8284" s="6" t="str">
        <f>IFERROR(__xludf.DUMMYFUNCTION("GOOGLETRANSLATE(A8284,""en"",""fi"")"),"Tämä Pokémon elää hyytävän kylmillä alueilla. Se kiinnittää itsensä Avaluggin selkään jäädyttämällä sen jalat paikoilleen.")</f>
        <v>Tämä Pokémon elää hyytävän kylmillä alueilla. Se kiinnittää itsensä Avaluggin selkään jäädyttämällä sen jalat paikoilleen.</v>
      </c>
      <c r="C8284" s="9" t="s">
        <v>1344</v>
      </c>
    </row>
    <row r="8285" ht="33.75" customHeight="1">
      <c r="A8285" s="6" t="s">
        <v>12195</v>
      </c>
      <c r="B8285" s="6" t="str">
        <f>IFERROR(__xludf.DUMMYFUNCTION("GOOGLETRANSLATE(A8285,""en"",""fi"")"),"Se elää vuorilla, jotka ovat peittyneet ikuiseen lumeen. Se jäädyttää ilmassa olevan vesihöyryn ja tekee siitä puolustuskypärän.")</f>
        <v>Se elää vuorilla, jotka ovat peittyneet ikuiseen lumeen. Se jäädyttää ilmassa olevan vesihöyryn ja tekee siitä puolustuskypärän.</v>
      </c>
      <c r="C8285" s="9" t="s">
        <v>1344</v>
      </c>
    </row>
    <row r="8286" ht="33.75" customHeight="1">
      <c r="A8286" s="6" t="s">
        <v>12196</v>
      </c>
      <c r="B8286" s="6" t="str">
        <f>IFERROR(__xludf.DUMMYFUNCTION("GOOGLETRANSLATE(A8286,""en"",""fi"")"),"Sen jään peittämä runko on teräskova. Sen kömpelö kehys murskaa kaiken, mikä sen tiellä seisoo.")</f>
        <v>Sen jään peittämä runko on teräskova. Sen kömpelö kehys murskaa kaiken, mikä sen tiellä seisoo.</v>
      </c>
      <c r="C8286" s="9" t="s">
        <v>1344</v>
      </c>
    </row>
    <row r="8287" ht="33.75" customHeight="1">
      <c r="A8287" s="6" t="s">
        <v>12197</v>
      </c>
      <c r="B8287" s="6" t="str">
        <f>IFERROR(__xludf.DUMMYFUNCTION("GOOGLETRANSLATE(A8287,""en"",""fi"")"),"Se, miten useat bergmiitit ovat kerääntyneet sen selkään, saa sen näyttämään jäästä tehdyltä lentotukialukselta.")</f>
        <v>Se, miten useat bergmiitit ovat kerääntyneet sen selkään, saa sen näyttämään jäästä tehdyltä lentotukialukselta.</v>
      </c>
      <c r="C8287" s="9" t="s">
        <v>1344</v>
      </c>
    </row>
    <row r="8288" ht="33.75" customHeight="1">
      <c r="A8288" s="6" t="s">
        <v>12198</v>
      </c>
      <c r="B8288" s="6" t="str">
        <f>IFERROR(__xludf.DUMMYFUNCTION("GOOGLETRANSLATE(A8288,""en"",""fi"")"),"Korkeilla leveysasteilla tätä Pokémonia voi löytää selässään bergmiittiryppäitä sen uidessa jäävuorten lomassa.")</f>
        <v>Korkeilla leveysasteilla tätä Pokémonia voi löytää selässään bergmiittiryppäitä sen uidessa jäävuorten lomassa.</v>
      </c>
      <c r="C8288" s="9" t="s">
        <v>1344</v>
      </c>
    </row>
    <row r="8289" ht="33.75" customHeight="1">
      <c r="A8289" s="6" t="s">
        <v>12199</v>
      </c>
      <c r="B8289" s="6" t="str">
        <f>IFERROR(__xludf.DUMMYFUNCTION("GOOGLETRANSLATE(A8289,""en"",""fi"")"),"Avaluggin liikkuessa päivän aikana sen kehon halkeamat syvenevät. Pokémonin keho palaa alkuperäiseen tilaansa yön aikana.")</f>
        <v>Avaluggin liikkuessa päivän aikana sen kehon halkeamat syvenevät. Pokémonin keho palaa alkuperäiseen tilaansa yön aikana.</v>
      </c>
      <c r="C8289" s="9" t="s">
        <v>1344</v>
      </c>
    </row>
    <row r="8290" ht="33.75" customHeight="1">
      <c r="A8290" s="6" t="s">
        <v>12201</v>
      </c>
      <c r="B8290" s="6" t="str">
        <f>IFERROR(__xludf.DUMMYFUNCTION("GOOGLETRANSLATE(A8290,""en"",""fi"")"),"Jään panssari peittää sen alaleuan ja voi murskata kivet helposti. Tämä Pokémon kiipeilee jyrkkiä vuoristopolkuja pitkin halkaisten syvän lumen läpi.")</f>
        <v>Jään panssari peittää sen alaleuan ja voi murskata kivet helposti. Tämä Pokémon kiipeilee jyrkkiä vuoristopolkuja pitkin halkaisten syvän lumen läpi.</v>
      </c>
      <c r="C8290" s="9" t="s">
        <v>1344</v>
      </c>
    </row>
    <row r="8291" ht="33.75" customHeight="1">
      <c r="A8291" s="6" t="s">
        <v>12202</v>
      </c>
      <c r="B8291" s="6" t="str">
        <f>IFERROR(__xludf.DUMMYFUNCTION("GOOGLETRANSLATE(A8291,""en"",""fi"")"),"Ne elävät pikimustissa luolissa. Niiden valtavat korvat voivat lähettää 200 000 hertsin ultraääniaaltoja.")</f>
        <v>Ne elävät pikimustissa luolissa. Niiden valtavat korvat voivat lähettää 200 000 hertsin ultraääniaaltoja.</v>
      </c>
      <c r="C8291" s="9" t="s">
        <v>1344</v>
      </c>
    </row>
    <row r="8292" ht="33.75" customHeight="1">
      <c r="A8292" s="6" t="s">
        <v>12203</v>
      </c>
      <c r="B8292" s="6" t="str">
        <f>IFERROR(__xludf.DUMMYFUNCTION("GOOGLETRANSLATE(A8292,""en"",""fi"")"),"Jopa vankkarakenteinen painija saa huimausta eikä pysty seisomaan, jos hän altistuu sen 200 000 hertsin ultraääniaalloille.")</f>
        <v>Jopa vankkarakenteinen painija saa huimausta eikä pysty seisomaan, jos hän altistuu sen 200 000 hertsin ultraääniaalloille.</v>
      </c>
      <c r="C8292" s="9" t="s">
        <v>1344</v>
      </c>
    </row>
    <row r="8293" ht="33.75" customHeight="1">
      <c r="A8293" s="6" t="s">
        <v>12204</v>
      </c>
      <c r="B8293" s="6" t="str">
        <f>IFERROR(__xludf.DUMMYFUNCTION("GOOGLETRANSLATE(A8293,""en"",""fi"")"),"Hedelmät ovat sen lempiruokia. Tämä herkkusuu poimii huolellisesti vain kypsät hedelmät kaikuluotaimellaan.")</f>
        <v>Hedelmät ovat sen lempiruokia. Tämä herkkusuu poimii huolellisesti vain kypsät hedelmät kaikuluotaimellaan.</v>
      </c>
      <c r="C8293" s="9" t="s">
        <v>1344</v>
      </c>
    </row>
    <row r="8294" ht="33.75" customHeight="1">
      <c r="A8294" s="6" t="s">
        <v>12205</v>
      </c>
      <c r="B8294" s="6" t="str">
        <f>IFERROR(__xludf.DUMMYFUNCTION("GOOGLETRANSLATE(A8294,""en"",""fi"")"),"Se lentää ympäriinsä etsien syötäväksi kelpaavia hedelmiä. Se käyttää ultraääniaaltoja havaitakseen, mitkä hedelmät ovat kypsiä.")</f>
        <v>Se lentää ympäriinsä etsien syötäväksi kelpaavia hedelmiä. Se käyttää ultraääniaaltoja havaitakseen, mitkä hedelmät ovat kypsiä.</v>
      </c>
      <c r="C8294" s="9" t="s">
        <v>1344</v>
      </c>
    </row>
    <row r="8295" ht="33.75" customHeight="1">
      <c r="A8295" s="6" t="s">
        <v>12206</v>
      </c>
      <c r="B8295" s="6" t="str">
        <f>IFERROR(__xludf.DUMMYFUNCTION("GOOGLETRANSLATE(A8295,""en"",""fi"")"),"Illan tultua ne nousevat luolista, joissa ne pesivät päivällä. Ultraääniaaltojensa avulla ne lähtevät metsästämään kypsyneitä hedelmiä.")</f>
        <v>Illan tultua ne nousevat luolista, joissa ne pesivät päivällä. Ultraääniaaltojensa avulla ne lähtevät metsästämään kypsyneitä hedelmiä.</v>
      </c>
      <c r="C8295" s="9" t="s">
        <v>1344</v>
      </c>
    </row>
    <row r="8296" ht="33.75" customHeight="1">
      <c r="A8296" s="6" t="s">
        <v>12207</v>
      </c>
      <c r="B8296" s="6" t="str">
        <f>IFERROR(__xludf.DUMMYFUNCTION("GOOGLETRANSLATE(A8296,""en"",""fi"")"),"Mikään äänen aallonpituus ei ole Noibatin kyvyn ulkopuolella. Sen tuottamat ultraääniaallot voivat päihittää paljon suurempia Pokémoneja.")</f>
        <v>Mikään äänen aallonpituus ei ole Noibatin kyvyn ulkopuolella. Sen tuottamat ultraääniaallot voivat päihittää paljon suurempia Pokémoneja.</v>
      </c>
      <c r="C8296" s="9" t="s">
        <v>1344</v>
      </c>
    </row>
    <row r="8297" ht="33.75" customHeight="1">
      <c r="A8297" s="6" t="s">
        <v>12208</v>
      </c>
      <c r="B8297" s="6" t="str">
        <f>IFERROR(__xludf.DUMMYFUNCTION("GOOGLETRANSLATE(A8297,""en"",""fi"")"),"Ne lentelevät ympäriinsä kuuttomina öinä ja hyökkäävät huolimattoman saaliin kimppuun. Mikään ei voi voittaa niitä pimeässä käydyssä taistelussa.")</f>
        <v>Ne lentelevät ympäriinsä kuuttomina öinä ja hyökkäävät huolimattoman saaliin kimppuun. Mikään ei voi voittaa niitä pimeässä käydyssä taistelussa.</v>
      </c>
      <c r="C8297" s="9" t="s">
        <v>1344</v>
      </c>
    </row>
    <row r="8298" ht="33.75" customHeight="1">
      <c r="A8298" s="6" t="s">
        <v>12209</v>
      </c>
      <c r="B8298" s="6" t="str">
        <f>IFERROR(__xludf.DUMMYFUNCTION("GOOGLETRANSLATE(A8298,""en"",""fi"")"),"Sen korvista lähtevät ultraääniaallot voivat pilkkoa suuren lohkareen pikkukiviksi. Se syöksyy pimeydestä hyökkäämään.")</f>
        <v>Sen korvista lähtevät ultraääniaallot voivat pilkkoa suuren lohkareen pikkukiviksi. Se syöksyy pimeydestä hyökkäämään.</v>
      </c>
      <c r="C8298" s="9" t="s">
        <v>1344</v>
      </c>
    </row>
    <row r="8299" ht="33.75" customHeight="1">
      <c r="A8299" s="6" t="s">
        <v>12210</v>
      </c>
      <c r="B8299" s="6" t="str">
        <f>IFERROR(__xludf.DUMMYFUNCTION("GOOGLETRANSLATE(A8299,""en"",""fi"")"),"Vaikka sillä on väkivaltainen luonne, jos annat sille kauniin kypsän hedelmän, josta se pitää, Noivernista tulee yhtäkkiä kesy.")</f>
        <v>Vaikka sillä on väkivaltainen luonne, jos annat sille kauniin kypsän hedelmän, josta se pitää, Noivernista tulee yhtäkkiä kesy.</v>
      </c>
      <c r="C8299" s="9" t="s">
        <v>1344</v>
      </c>
    </row>
    <row r="8300" ht="33.75" customHeight="1">
      <c r="A8300" s="6" t="s">
        <v>12211</v>
      </c>
      <c r="B8300" s="6" t="str">
        <f>IFERROR(__xludf.DUMMYFUNCTION("GOOGLETRANSLATE(A8300,""en"",""fi"")"),"Tämä kuumaverinen Pokémon hyökkää kaikkea näkemäänsä vastaan ​​ultraääniaalloilla, jotka voivat murskata lohkareita.")</f>
        <v>Tämä kuumaverinen Pokémon hyökkää kaikkea näkemäänsä vastaan ​​ultraääniaalloilla, jotka voivat murskata lohkareita.</v>
      </c>
      <c r="C8300" s="9" t="s">
        <v>1344</v>
      </c>
    </row>
    <row r="8301" ht="33.75" customHeight="1">
      <c r="A8301" s="6" t="s">
        <v>12212</v>
      </c>
      <c r="B8301" s="6" t="str">
        <f>IFERROR(__xludf.DUMMYFUNCTION("GOOGLETRANSLATE(A8301,""en"",""fi"")"),"Aggressiivinen ja julma, tämä Pokémon piinaa armottomasti pimeydessä avuttomia vihollisia.")</f>
        <v>Aggressiivinen ja julma, tämä Pokémon piinaa armottomasti pimeydessä avuttomia vihollisia.</v>
      </c>
      <c r="C8301" s="9" t="s">
        <v>1344</v>
      </c>
    </row>
    <row r="8302" ht="33.75" customHeight="1">
      <c r="A8302" s="6" t="s">
        <v>12213</v>
      </c>
      <c r="B8302" s="6" t="str">
        <f>IFERROR(__xludf.DUMMYFUNCTION("GOOGLETRANSLATE(A8302,""en"",""fi"")"),"Pimeyden halki lentäen se heikentää vihollisia ultraääniaalloilla, jotka voivat murskata kiven. Sen torahampaat viimeistelevät taistelun.")</f>
        <v>Pimeyden halki lentäen se heikentää vihollisia ultraääniaalloilla, jotka voivat murskata kiven. Sen torahampaat viimeistelevät taistelun.</v>
      </c>
      <c r="C8302" s="9" t="s">
        <v>1344</v>
      </c>
    </row>
    <row r="8303" ht="33.75" customHeight="1">
      <c r="A8303" s="6" t="s">
        <v>12214</v>
      </c>
      <c r="B8303" s="6" t="str">
        <f>IFERROR(__xludf.DUMMYFUNCTION("GOOGLETRANSLATE(A8303,""en"",""fi"")"),"Legendojen mukaan se voi jakaa ikuisen elämän. Se nukkui tuhat vuotta puun muodossa ennen heräämistään henkiin.")</f>
        <v>Legendojen mukaan se voi jakaa ikuisen elämän. Se nukkui tuhat vuotta puun muodossa ennen heräämistään henkiin.</v>
      </c>
      <c r="C8303" s="9" t="s">
        <v>1344</v>
      </c>
    </row>
    <row r="8304" ht="33.75" customHeight="1">
      <c r="A8304" s="6" t="s">
        <v>12215</v>
      </c>
      <c r="B8304" s="6" t="str">
        <f>IFERROR(__xludf.DUMMYFUNCTION("GOOGLETRANSLATE(A8304,""en"",""fi"")"),"Kun sen päässä olevat sarvet loistavat seitsemässä värissä, sen sanotaan jakavan iankaikkisen elämän.")</f>
        <v>Kun sen päässä olevat sarvet loistavat seitsemässä värissä, sen sanotaan jakavan iankaikkisen elämän.</v>
      </c>
      <c r="C8304" s="9" t="s">
        <v>1344</v>
      </c>
    </row>
    <row r="8305" ht="33.75" customHeight="1">
      <c r="A8305" s="6" t="s">
        <v>12216</v>
      </c>
      <c r="B8305" s="6" t="str">
        <f>IFERROR(__xludf.DUMMYFUNCTION("GOOGLETRANSLATE(A8305,""en"",""fi"")"),"Kun tämän legendaarisen Pokémonin siivet ja pyrstösulat leviävät leveälle ja hehkuvat punaisina, se imee itseensä elävien olentojen elämänvoiman.")</f>
        <v>Kun tämän legendaarisen Pokémonin siivet ja pyrstösulat leviävät leveälle ja hehkuvat punaisina, se imee itseensä elävien olentojen elämänvoiman.</v>
      </c>
      <c r="C8305" s="9" t="s">
        <v>1344</v>
      </c>
    </row>
    <row r="8306" ht="33.75" customHeight="1">
      <c r="A8306" s="6" t="s">
        <v>12217</v>
      </c>
      <c r="B8306" s="6" t="str">
        <f>IFERROR(__xludf.DUMMYFUNCTION("GOOGLETRANSLATE(A8306,""en"",""fi"")"),"Kun sen elämä päättyy, se imee itseensä kaikkien elävien olentojen elämänenergian ja muuttuu jälleen koteloksi.")</f>
        <v>Kun sen elämä päättyy, se imee itseensä kaikkien elävien olentojen elämänenergian ja muuttuu jälleen koteloksi.</v>
      </c>
      <c r="C8306" s="9" t="s">
        <v>1344</v>
      </c>
    </row>
    <row r="8307" ht="33.75" customHeight="1">
      <c r="A8307" s="6" t="s">
        <v>12218</v>
      </c>
      <c r="B8307" s="6" t="str">
        <f>IFERROR(__xludf.DUMMYFUNCTION("GOOGLETRANSLATE(A8307,""en"",""fi"")"),"Kun Kaloksen alueen ekosysteemi ajautuu sekasortoon, se ilmestyy ja paljastaa salaisen voimansa.")</f>
        <v>Kun Kaloksen alueen ekosysteemi ajautuu sekasortoon, se ilmestyy ja paljastaa salaisen voimansa.</v>
      </c>
      <c r="C8307" s="9" t="s">
        <v>1344</v>
      </c>
    </row>
    <row r="8308" ht="33.75" customHeight="1">
      <c r="A8308" s="6" t="s">
        <v>12219</v>
      </c>
      <c r="B8308" s="6" t="str">
        <f>IFERROR(__xludf.DUMMYFUNCTION("GOOGLETRANSLATE(A8308,""en"",""fi"")"),"On oletettu, että se seuraa ekosysteemiä tuhoavia ihmisiä syvältä luolasta, jossa se elää.")</f>
        <v>On oletettu, että se seuraa ekosysteemiä tuhoavia ihmisiä syvältä luolasta, jossa se elää.</v>
      </c>
      <c r="C8308" s="9" t="s">
        <v>1344</v>
      </c>
    </row>
    <row r="8309" ht="33.75" customHeight="1">
      <c r="A8309" s="6" t="s">
        <v>12220</v>
      </c>
      <c r="B8309" s="6" t="str">
        <f>IFERROR(__xludf.DUMMYFUNCTION("GOOGLETRANSLATE(A8309,""en"",""fi"")"),"Tämä on Zygarden muoto, kun se on kerännyt 50 % soluistaan. Se pyyhkäisee pois kaikki vastustajansa, osoittamatta hitustakaan armoa.")</f>
        <v>Tämä on Zygarden muoto, kun se on kerännyt 50 % soluistaan. Se pyyhkäisee pois kaikki vastustajansa, osoittamatta hitustakaan armoa.</v>
      </c>
      <c r="C8309" s="9" t="s">
        <v>1344</v>
      </c>
    </row>
    <row r="8310" ht="33.75" customHeight="1">
      <c r="A8310" s="6" t="s">
        <v>12221</v>
      </c>
      <c r="B8310" s="6" t="str">
        <f>IFERROR(__xludf.DUMMYFUNCTION("GOOGLETRANSLATE(A8310,""en"",""fi"")"),"Sen uskotaan tarkkailevan ekosysteemiä. Huhujen mukaan sen sisällä piilee vielä suurempi voima.")</f>
        <v>Sen uskotaan tarkkailevan ekosysteemiä. Huhujen mukaan sen sisällä piilee vielä suurempi voima.</v>
      </c>
      <c r="C8310" s="9" t="s">
        <v>1344</v>
      </c>
    </row>
    <row r="8311" ht="33.75" customHeight="1">
      <c r="A8311" s="6" t="s">
        <v>12223</v>
      </c>
      <c r="B8311" s="6" t="str">
        <f>IFERROR(__xludf.DUMMYFUNCTION("GOOGLETRANSLATE(A8311,""en"",""fi"")"),"Tämä on Zygarden muoto, kun noin puolet sen osista on koottu. Se toimii ekosysteemin valvojana.")</f>
        <v>Tämä on Zygarden muoto, kun noin puolet sen osista on koottu. Se toimii ekosysteemin valvojana.</v>
      </c>
      <c r="C8311" s="9" t="s">
        <v>1344</v>
      </c>
    </row>
    <row r="8312" ht="33.75" customHeight="1">
      <c r="A8312" s="6" t="s">
        <v>12224</v>
      </c>
      <c r="B8312" s="6" t="str">
        <f>IFERROR(__xludf.DUMMYFUNCTION("GOOGLETRANSLATE(A8312,""en"",""fi"")"),"Jotkut sanovat, että se voi muuttua vielä voimakkaammaksi taistellessaan ekosysteemiä uhkaavia vastaan.")</f>
        <v>Jotkut sanovat, että se voi muuttua vielä voimakkaammaksi taistellessaan ekosysteemiä uhkaavia vastaan.</v>
      </c>
      <c r="C8312" s="9" t="s">
        <v>1344</v>
      </c>
    </row>
    <row r="8313" ht="33.75" customHeight="1">
      <c r="A8313" s="6" t="s">
        <v>12225</v>
      </c>
      <c r="B8313" s="6" t="str">
        <f>IFERROR(__xludf.DUMMYFUNCTION("GOOGLETRANSLATE(A8313,""en"",""fi"")"),"Carbinkin äkillisen muodonmuutoksen, sen vaaleanpunaisen, kimaltelevan vartalon, sanotaan olevan maailman ihanin näky.")</f>
        <v>Carbinkin äkillisen muodonmuutoksen, sen vaaleanpunaisen, kimaltelevan vartalon, sanotaan olevan maailman ihanin näky.</v>
      </c>
      <c r="C8313" s="9" t="s">
        <v>1344</v>
      </c>
    </row>
    <row r="8314" ht="33.75" customHeight="1">
      <c r="A8314" s="6" t="s">
        <v>12226</v>
      </c>
      <c r="B8314" s="6" t="str">
        <f>IFERROR(__xludf.DUMMYFUNCTION("GOOGLETRANSLATE(A8314,""en"",""fi"")"),"Se voi hetkessä luoda paljon timantteja puristamalla ilmassa olevaa hiiltä käsiensä välissä.")</f>
        <v>Se voi hetkessä luoda paljon timantteja puristamalla ilmassa olevaa hiiltä käsiensä välissä.</v>
      </c>
      <c r="C8314" s="9" t="s">
        <v>1344</v>
      </c>
    </row>
    <row r="8315" ht="33.75" customHeight="1">
      <c r="A8315" s="6" t="s">
        <v>12228</v>
      </c>
      <c r="B8315" s="6" t="str">
        <f>IFERROR(__xludf.DUMMYFUNCTION("GOOGLETRANSLATE(A8315,""en"",""fi"")"),"Tämä häirikkö lähettää mitä tahansa kaukaisiin paikkoihin silmukan avulla, joka voi vääristää avaruutta.")</f>
        <v>Tämä häirikkö lähettää mitä tahansa kaukaisiin paikkoihin silmukan avulla, joka voi vääristää avaruutta.</v>
      </c>
      <c r="C8315" s="9" t="s">
        <v>1344</v>
      </c>
    </row>
    <row r="8316" ht="33.75" customHeight="1">
      <c r="A8316" s="6" t="s">
        <v>12230</v>
      </c>
      <c r="B8316" s="6" t="str">
        <f>IFERROR(__xludf.DUMMYFUNCTION("GOOGLETRANSLATE(A8316,""en"",""fi"")"),"Se kerää asioita, joista se pitää, ja lähettää ne silmukkansa läpi teleportatakseen ne salaiseen paikkaan.")</f>
        <v>Se kerää asioita, joista se pitää, ja lähettää ne silmukkansa läpi teleportatakseen ne salaiseen paikkaan.</v>
      </c>
      <c r="C8316" s="9" t="s">
        <v>1344</v>
      </c>
    </row>
    <row r="8317" ht="33.75" customHeight="1">
      <c r="A8317" s="6" t="s">
        <v>12232</v>
      </c>
      <c r="B8317" s="6" t="str">
        <f>IFERROR(__xludf.DUMMYFUNCTION("GOOGLETRANSLATE(A8317,""en"",""fi"")"),"Todellisessa muodossaan sillä on valtava voima. Sen ahneutta kuvaavat legendat kertovat, kuinka se kerran vei kokonaisen linnan mukanaan saadakseen sen sisältä piilotetun aarteen.")</f>
        <v>Todellisessa muodossaan sillä on valtava voima. Sen ahneutta kuvaavat legendat kertovat, kuinka se kerran vei kokonaisen linnan mukanaan saadakseen sen sisältä piilotetun aarteen.</v>
      </c>
      <c r="C8317" s="9" t="s">
        <v>1344</v>
      </c>
    </row>
    <row r="8318" ht="33.75" customHeight="1">
      <c r="A8318" s="6" t="s">
        <v>12234</v>
      </c>
      <c r="B8318" s="6" t="str">
        <f>IFERROR(__xludf.DUMMYFUNCTION("GOOGLETRANSLATE(A8318,""en"",""fi"")"),"Sen sanotaan pystyvän kaappaamaan mitä tahansa kuudella renkaallaan ja kuudella valtavalla käsivarrellaan. Voimansa sinetöityä se muuttuu paljon pienemmäksi.")</f>
        <v>Sen sanotaan pystyvän kaappaamaan mitä tahansa kuudella renkaallaan ja kuudella valtavalla käsivarrellaan. Voimansa sinetöityä se muuttuu paljon pienemmäksi.</v>
      </c>
      <c r="C8318" s="9" t="s">
        <v>1344</v>
      </c>
    </row>
    <row r="8319" ht="33.75" customHeight="1">
      <c r="A8319" s="6" t="s">
        <v>12235</v>
      </c>
      <c r="B8319" s="6" t="str">
        <f>IFERROR(__xludf.DUMMYFUNCTION("GOOGLETRANSLATE(A8319,""en"",""fi"")"),"Se päästää höyrypilviä ja katoaa tiheään sumuun. Sen sanotaan elävän vuorilla, joilla ihmiset eivät astele.")</f>
        <v>Se päästää höyrypilviä ja katoaa tiheään sumuun. Sen sanotaan elävän vuorilla, joilla ihmiset eivät astele.</v>
      </c>
      <c r="C8319" s="9" t="s">
        <v>1344</v>
      </c>
    </row>
    <row r="8320" ht="33.75" customHeight="1">
      <c r="A8320" s="6" t="s">
        <v>12237</v>
      </c>
      <c r="B8320" s="6" t="str">
        <f>IFERROR(__xludf.DUMMYFUNCTION("GOOGLETRANSLATE(A8320,""en"",""fi"")"),"Se purkaa sisäisen höyrynsä selässään olevista käsivarsista. Sillä on tarpeeksi voimaa puhaltaa pois vuoren.")</f>
        <v>Se purkaa sisäisen höyrynsä selässään olevista käsivarsista. Sillä on tarpeeksi voimaa puhaltaa pois vuoren.</v>
      </c>
      <c r="C8320" s="9" t="s">
        <v>1344</v>
      </c>
    </row>
    <row r="8321" ht="33.75" customHeight="1">
      <c r="A8321" s="6" t="s">
        <v>12238</v>
      </c>
      <c r="B8321" s="6" t="str">
        <f>IFERROR(__xludf.DUMMYFUNCTION("GOOGLETRANSLATE(A8321,""en"",""fi"")"),"Tämä varovainen Pokémon käyttää fotosynteesiä energian varastoimiseen päivällä ja aktivoituu yöllä.")</f>
        <v>Tämä varovainen Pokémon käyttää fotosynteesiä energian varastoimiseen päivällä ja aktivoituu yöllä.</v>
      </c>
      <c r="C8321" s="9" t="s">
        <v>1344</v>
      </c>
    </row>
    <row r="8322" ht="33.75" customHeight="1">
      <c r="A8322" s="6" t="s">
        <v>12240</v>
      </c>
      <c r="B8322" s="6" t="str">
        <f>IFERROR(__xludf.DUMMYFUNCTION("GOOGLETRANSLATE(A8322,""en"",""fi"")"),"Se liitää äänettömästi ja lähestyy kohteitaan. Ennen kuin ne edes huomaavat sitä, se alkaa potkia heitä rajusti.")</f>
        <v>Se liitää äänettömästi ja lähestyy kohteitaan. Ennen kuin ne edes huomaavat sitä, se alkaa potkia heitä rajusti.</v>
      </c>
      <c r="C8322" s="9" t="s">
        <v>1344</v>
      </c>
    </row>
    <row r="8323" ht="33.75" customHeight="1">
      <c r="A8323" s="6" t="s">
        <v>12242</v>
      </c>
      <c r="B8323" s="6" t="str">
        <f>IFERROR(__xludf.DUMMYFUNCTION("GOOGLETRANSLATE(A8323,""en"",""fi"")"),"Se lähettää terävät höyhenensä lentoon hyökkäyksessä. Sen jalat ovat vahvat, joten myös sen potkut ovat pelottavia.")</f>
        <v>Se lähettää terävät höyhenensä lentoon hyökkäyksessä. Sen jalat ovat vahvat, joten myös sen potkut ovat pelottavia.</v>
      </c>
      <c r="C8323" s="9" t="s">
        <v>1344</v>
      </c>
    </row>
    <row r="8324" ht="33.75" customHeight="1">
      <c r="A8324" s="6" t="s">
        <v>12243</v>
      </c>
      <c r="B8324" s="6" t="str">
        <f>IFERROR(__xludf.DUMMYFUNCTION("GOOGLETRANSLATE(A8324,""en"",""fi"")"),"Se tuntuu rennolta ahtaissa ja pimeissä paikoissa ja sen tiedetään käyttävän Trainer’s-taskuaan tai -laukkuaan pesänä.")</f>
        <v>Se tuntuu rennolta ahtaissa ja pimeissä paikoissa ja sen tiedetään käyttävän Trainer’s-taskuaan tai -laukkuaan pesänä.</v>
      </c>
      <c r="C8324" s="9" t="s">
        <v>1344</v>
      </c>
    </row>
    <row r="8325" ht="33.75" customHeight="1">
      <c r="A8325" s="6" t="s">
        <v>12245</v>
      </c>
      <c r="B8325" s="6" t="str">
        <f>IFERROR(__xludf.DUMMYFUNCTION("GOOGLETRANSLATE(A8325,""en"",""fi"")"),"Kaukaa se ampuu teräviä höyheniä lentäessään. Jos vihollinen pääsee liian lähelle, Rowlet vaihtaa taktiikkaa ja antaa rajuja potkuja.")</f>
        <v>Kaukaa se ampuu teräviä höyheniä lentäessään. Jos vihollinen pääsee liian lähelle, Rowlet vaihtaa taktiikkaa ja antaa rajuja potkuja.</v>
      </c>
      <c r="C8325" s="9" t="s">
        <v>1344</v>
      </c>
    </row>
    <row r="8326" ht="33.75" customHeight="1">
      <c r="A8326" s="6" t="s">
        <v>12246</v>
      </c>
      <c r="B8326" s="6" t="str">
        <f>IFERROR(__xludf.DUMMYFUNCTION("GOOGLETRANSLATE(A8326,""en"",""fi"")"),"Päivällä se kerää energiaa fotosynteesin avulla. Yöllä se lentää äänettömästi taivaalla saalista etsien.")</f>
        <v>Päivällä se kerää energiaa fotosynteesin avulla. Yöllä se lentää äänettömästi taivaalla saalista etsien.</v>
      </c>
      <c r="C8326" s="9" t="s">
        <v>1344</v>
      </c>
    </row>
    <row r="8327" ht="33.75" customHeight="1">
      <c r="A8327" s="6" t="s">
        <v>12248</v>
      </c>
      <c r="B8327" s="6" t="str">
        <f>IFERROR(__xludf.DUMMYFUNCTION("GOOGLETRANSLATE(A8327,""en"",""fi"")"),"Lentää äänettömästi herkillä siivillä. Se on oppinut ampumaan taitavasti tikarinteräviä höyheniä samoista siivistä.")</f>
        <v>Lentää äänettömästi herkillä siivillä. Se on oppinut ampumaan taitavasti tikarinteräviä höyheniä samoista siivistä.</v>
      </c>
      <c r="C8327" s="9" t="s">
        <v>1344</v>
      </c>
    </row>
    <row r="8328" ht="33.75" customHeight="1">
      <c r="A8328" s="6" t="s">
        <v>12250</v>
      </c>
      <c r="B8328" s="6" t="str">
        <f>IFERROR(__xludf.DUMMYFUNCTION("GOOGLETRANSLATE(A8328,""en"",""fi"")"),"Se on hieman näppärä ja viettää vapaa-aikansa siipiään sukitellen. Sen keskittyminen höyhenpeitteensä likaan voi tehdä siitä taistelukyvyttömän.")</f>
        <v>Se on hieman näppärä ja viettää vapaa-aikansa siipiään sukitellen. Sen keskittyminen höyhenpeitteensä likaan voi tehdä siitä taistelukyvyttömän.</v>
      </c>
      <c r="C8328" s="9" t="s">
        <v>1344</v>
      </c>
    </row>
    <row r="8329" ht="33.75" customHeight="1">
      <c r="A8329" s="6" t="s">
        <v>12251</v>
      </c>
      <c r="B8329" s="6" t="str">
        <f>IFERROR(__xludf.DUMMYFUNCTION("GOOGLETRANSLATE(A8329,""en"",""fi"")"),"Se heittää teräviä höyheniä, joita kutsutaan terän sulkijoiksi, vihollisia tai saalista kohti. Se osuu harvoin ohi.")</f>
        <v>Se heittää teräviä höyheniä, joita kutsutaan terän sulkijoiksi, vihollisia tai saalista kohti. Se osuu harvoin ohi.</v>
      </c>
      <c r="C8329" s="9" t="s">
        <v>1344</v>
      </c>
    </row>
    <row r="8330" ht="33.75" customHeight="1">
      <c r="A8330" s="6" t="s">
        <v>12252</v>
      </c>
      <c r="B8330" s="6" t="str">
        <f>IFERROR(__xludf.DUMMYFUNCTION("GOOGLETRANSLATE(A8330,""en"",""fi"")"),"Tämä narsistinen Pokémon on puhdasverinen friikki. Jos et turkinnu sitä ahkerasti, se lakkaa kuuntelemasta sinua.")</f>
        <v>Tämä narsistinen Pokémon on puhdasverinen friikki. Jos et turkinnu sitä ahkerasti, se lakkaa kuuntelemasta sinua.</v>
      </c>
      <c r="C8330" s="9" t="s">
        <v>1344</v>
      </c>
    </row>
    <row r="8331" ht="33.75" customHeight="1">
      <c r="A8331" s="6" t="s">
        <v>12253</v>
      </c>
      <c r="B8331" s="6" t="str">
        <f>IFERROR(__xludf.DUMMYFUNCTION("GOOGLETRANSLATE(A8331,""en"",""fi"")"),"Se on erittäin herkkä muiden läsnäololle ja pystyy havaitsemaan takanaan seisovat vastustajat ja heittämään teräviä höyheniä tuhotakseen heidät.")</f>
        <v>Se on erittäin herkkä muiden läsnäololle ja pystyy havaitsemaan takanaan seisovat vastustajat ja heittämään teräviä höyheniä tuhotakseen heidät.</v>
      </c>
      <c r="C8331" s="9" t="s">
        <v>1344</v>
      </c>
    </row>
    <row r="8332" ht="33.75" customHeight="1">
      <c r="A8332" s="6" t="s">
        <v>12255</v>
      </c>
      <c r="B8332" s="6" t="str">
        <f>IFERROR(__xludf.DUMMYFUNCTION("GOOGLETRANSLATE(A8332,""en"",""fi"")"),"Se heittää veitsen kaltaisen höyhenen toisensa jälkeen vihollisiaan kohti, ja jokainen osuu tarkasti heikkoon kohtaan. Näitä höyheniä kutsutaan terän sulkimiksi.")</f>
        <v>Se heittää veitsen kaltaisen höyhenen toisensa jälkeen vihollisiaan kohti, ja jokainen osuu tarkasti heikkoon kohtaan. Näitä höyheniä kutsutaan terän sulkimiksi.</v>
      </c>
      <c r="C8332" s="9" t="s">
        <v>1344</v>
      </c>
    </row>
    <row r="8333" ht="33.75" customHeight="1">
      <c r="A8333" s="6" t="s">
        <v>12256</v>
      </c>
      <c r="B8333" s="6" t="str">
        <f>IFERROR(__xludf.DUMMYFUNCTION("GOOGLETRANSLATE(A8333,""en"",""fi"")"),"Se ei koskaan laiminlyö höyhenten puhdistamista. Huolellinen sukiminen pitää sen tyylikkäänä ja sen terän sulkat ovat siistit ja terävät.")</f>
        <v>Se ei koskaan laiminlyö höyhenten puhdistamista. Huolellinen sukiminen pitää sen tyylikkäänä ja sen terän sulkat ovat siistit ja terävät.</v>
      </c>
      <c r="C8333" s="9" t="s">
        <v>1344</v>
      </c>
    </row>
    <row r="8334" ht="33.75" customHeight="1">
      <c r="A8334" s="6" t="s">
        <v>12257</v>
      </c>
      <c r="B8334" s="6" t="str">
        <f>IFERROR(__xludf.DUMMYFUNCTION("GOOGLETRANSLATE(A8334,""en"",""fi"")"),"Se paistattelee säännöllisesti auringonvalossa kerätäkseen voimaa – luultavasti kylmän ilmaston vuoksi. Siipiin kiinnitettyjen teränpiikkien reunat ovat kuitenkin jälleen kerran terävät.")</f>
        <v>Se paistattelee säännöllisesti auringonvalossa kerätäkseen voimaa – luultavasti kylmän ilmaston vuoksi. Siipiin kiinnitettyjen teränpiikkien reunat ovat kuitenkin jälleen kerran terävät.</v>
      </c>
      <c r="C8334" s="9" t="s">
        <v>1344</v>
      </c>
    </row>
    <row r="8335" ht="33.75" customHeight="1">
      <c r="A8335" s="6" t="s">
        <v>12258</v>
      </c>
      <c r="B8335" s="6" t="str">
        <f>IFERROR(__xludf.DUMMYFUNCTION("GOOGLETRANSLATE(A8335,""en"",""fi"")"),"Se ampuu nuolikärkiä siivistään niin tarkasti, että ne voivat lävistää kiven yli sadan metrin etäisyydeltä.")</f>
        <v>Se ampuu nuolikärkiä siivistään niin tarkasti, että ne voivat lävistää kiven yli sadan metrin etäisyydeltä.</v>
      </c>
      <c r="C8335" s="9" t="s">
        <v>1344</v>
      </c>
    </row>
    <row r="8336" ht="33.75" customHeight="1">
      <c r="A8336" s="6" t="s">
        <v>12260</v>
      </c>
      <c r="B8336" s="6" t="str">
        <f>IFERROR(__xludf.DUMMYFUNCTION("GOOGLETRANSLATE(A8336,""en"",""fi"")"),"Vaikka se on pohjimmiltaan viileä ja varovainen, yllätyksenä se valtaa paniikki.")</f>
        <v>Vaikka se on pohjimmiltaan viileä ja varovainen, yllätyksenä se valtaa paniikki.</v>
      </c>
      <c r="C8336" s="9" t="s">
        <v>1344</v>
      </c>
    </row>
    <row r="8337" ht="33.75" customHeight="1">
      <c r="A8337" s="6" t="s">
        <v>12262</v>
      </c>
      <c r="B8337" s="6" t="str">
        <f>IFERROR(__xludf.DUMMYFUNCTION("GOOGLETRANSLATE(A8337,""en"",""fi"")"),"Se virittää nuolenkärkensä jänteeseen ja ampuu niitä vastustajia kohti. Kun se ei yksinkertaisesti voi osua harhaan, se nykäisee köynnöstä päänsä ympäri parantaakseen keskittymiskykyään.")</f>
        <v>Se virittää nuolenkärkensä jänteeseen ja ampuu niitä vastustajia kohti. Kun se ei yksinkertaisesti voi osua harhaan, se nykäisee köynnöstä päänsä ympäri parantaakseen keskittymiskykyään.</v>
      </c>
      <c r="C8337" s="9" t="s">
        <v>1344</v>
      </c>
    </row>
    <row r="8338" ht="33.75" customHeight="1">
      <c r="A8338" s="6" t="s">
        <v>12263</v>
      </c>
      <c r="B8338" s="6" t="str">
        <f>IFERROR(__xludf.DUMMYFUNCTION("GOOGLETRANSLATE(A8338,""en"",""fi"")"),"Decidueye voi virittää ja ampua nuolen vihollista kohti kymmenesosassa sekuntia, joten sen taistelut ratkaistaan ​​silmänräpäyksessä.")</f>
        <v>Decidueye voi virittää ja ampua nuolen vihollista kohti kymmenesosassa sekuntia, joten sen taistelut ratkaistaan ​​silmänräpäyksessä.</v>
      </c>
      <c r="C8338" s="9" t="s">
        <v>1344</v>
      </c>
    </row>
    <row r="8339" ht="33.75" customHeight="1">
      <c r="A8339" s="6" t="s">
        <v>12264</v>
      </c>
      <c r="B8339" s="6" t="str">
        <f>IFERROR(__xludf.DUMMYFUNCTION("GOOGLETRANSLATE(A8339,""en"",""fi"")"),"Kuin jousta heilutellen se ampuu siipiensä höyhenten väliin piilotetut nuolenkärjet. Decidueyen laukaukset eivät koskaan osu harhaan.")</f>
        <v>Kuin jousta heilutellen se ampuu siipiensä höyhenten väliin piilotetut nuolenkärjet. Decidueyen laukaukset eivät koskaan osu harhaan.</v>
      </c>
      <c r="C8339" s="9" t="s">
        <v>1344</v>
      </c>
    </row>
    <row r="8340" ht="33.75" customHeight="1">
      <c r="A8340" s="6" t="s">
        <v>12265</v>
      </c>
      <c r="B8340" s="6" t="str">
        <f>IFERROR(__xludf.DUMMYFUNCTION("GOOGLETRANSLATE(A8340,""en"",""fi"")"),"Se voi virittää ja ampua nuolen sulkakynän kymmenesosassa sekuntia, lävistäen vastustajan heikon kohdan ennen kuin tämä huomaa, mitä tapahtuu.")</f>
        <v>Se voi virittää ja ampua nuolen sulkakynän kymmenesosassa sekuntia, lävistäen vastustajan heikon kohdan ennen kuin tämä huomaa, mitä tapahtuu.</v>
      </c>
      <c r="C8340" s="9" t="s">
        <v>1344</v>
      </c>
    </row>
    <row r="8341" ht="33.75" customHeight="1">
      <c r="A8341" s="6" t="s">
        <v>12266</v>
      </c>
      <c r="B8341" s="6" t="str">
        <f>IFERROR(__xludf.DUMMYFUNCTION("GOOGLETRANSLATE(A8341,""en"",""fi"")"),"Decidueyen höyhenten rachiseissa oleva ilma eristää Pokémonin Hisuin äärimmäiseltä kylmyydeltä. Tämä on vankka todiste siitä, että ympäristö voi vaikuttaa evoluutioon.")</f>
        <v>Decidueyen höyhenten rachiseissa oleva ilma eristää Pokémonin Hisuin äärimmäiseltä kylmyydeltä. Tämä on vankka todiste siitä, että ympäristö voi vaikuttaa evoluutioon.</v>
      </c>
      <c r="C8341" s="9" t="s">
        <v>1344</v>
      </c>
    </row>
    <row r="8342" ht="33.75" customHeight="1">
      <c r="A8342" s="6" t="s">
        <v>12267</v>
      </c>
      <c r="B8342" s="6" t="str">
        <f>IFERROR(__xludf.DUMMYFUNCTION("GOOGLETRANSLATE(A8342,""en"",""fi"")"),"Puhdistaessaan itseään se kerää karvoja vatsaansa. Se sytyttää karvat tuleen ja sylkee tulisia hyökkäyksiä, jotka vaihtelevat sen yskimisen mukaan.")</f>
        <v>Puhdistaessaan itseään se kerää karvoja vatsaansa. Se sytyttää karvat tuleen ja sylkee tulisia hyökkäyksiä, jotka vaihtelevat sen yskimisen mukaan.</v>
      </c>
      <c r="C8342" s="9" t="s">
        <v>1344</v>
      </c>
    </row>
    <row r="8343" ht="33.75" customHeight="1">
      <c r="A8343" s="6" t="s">
        <v>12268</v>
      </c>
      <c r="B8343" s="6" t="str">
        <f>IFERROR(__xludf.DUMMYFUNCTION("GOOGLETRANSLATE(A8343,""en"",""fi"")"),"Se ei anna tunteidensa näkyä helposti. Sen luottamuksen ansaitseminen vie aikaa. Se suosii yksinäisyyttä.")</f>
        <v>Se ei anna tunteidensa näkyä helposti. Sen luottamuksen ansaitseminen vie aikaa. Se suosii yksinäisyyttä.</v>
      </c>
      <c r="C8343" s="9" t="s">
        <v>1344</v>
      </c>
    </row>
    <row r="8344" ht="33.75" customHeight="1">
      <c r="A8344" s="6" t="s">
        <v>12269</v>
      </c>
      <c r="B8344" s="6" t="str">
        <f>IFERROR(__xludf.DUMMYFUNCTION("GOOGLETRANSLATE(A8344,""en"",""fi"")"),"Jos yrität liikaa päästää sitä lähelle, se ei avaudu sinulle. Vaikka tulisittekin läheisiksi, liiallinen hellyydenosoitus sille on silti kiellettyä.")</f>
        <v>Jos yrität liikaa päästää sitä lähelle, se ei avaudu sinulle. Vaikka tulisittekin läheisiksi, liiallinen hellyydenosoitus sille on silti kiellettyä.</v>
      </c>
      <c r="C8344" s="9" t="s">
        <v>1344</v>
      </c>
    </row>
    <row r="8345" ht="33.75" customHeight="1">
      <c r="A8345" s="6" t="s">
        <v>12271</v>
      </c>
      <c r="B8345" s="6" t="str">
        <f>IFERROR(__xludf.DUMMYFUNCTION("GOOGLETRANSLATE(A8345,""en"",""fi"")"),"Sen turkki kasvaa uudelleen kaksi kertaa vuodessa. Kun aika koittaa, Litten sytyttää oman ruumiinsa tuleen ja polttaa vanhan turkin pois.")</f>
        <v>Sen turkki kasvaa uudelleen kaksi kertaa vuodessa. Kun aika koittaa, Litten sytyttää oman ruumiinsa tuleen ja polttaa vanhan turkin pois.</v>
      </c>
      <c r="C8345" s="9" t="s">
        <v>1344</v>
      </c>
    </row>
    <row r="8346" ht="33.75" customHeight="1">
      <c r="A8346" s="6" t="s">
        <v>12272</v>
      </c>
      <c r="B8346" s="6" t="str">
        <f>IFERROR(__xludf.DUMMYFUNCTION("GOOGLETRANSLATE(A8346,""en"",""fi"")"),"Se käyttää pienimmänkin vapaa-ajan hoitaen turkkiaan kielellään. Irtonaiset karvat kerääntyvät sen vatsaan ja toimivat polttoaineena tulisille liikkeille.")</f>
        <v>Se käyttää pienimmänkin vapaa-ajan hoitaen turkkiaan kielellään. Irtonaiset karvat kerääntyvät sen vatsaan ja toimivat polttoaineena tulisille liikkeille.</v>
      </c>
      <c r="C8346" s="9" t="s">
        <v>1344</v>
      </c>
    </row>
    <row r="8347" ht="33.75" customHeight="1">
      <c r="A8347" s="6" t="s">
        <v>12273</v>
      </c>
      <c r="B8347" s="6" t="str">
        <f>IFERROR(__xludf.DUMMYFUNCTION("GOOGLETRANSLATE(A8347,""en"",""fi"")"),"Jos yrität silittää Litteniä ennen kuin se luottaa sinuun, se naarmuttaa itseään ikävästi terävillä kynsillään. Ole varovainen.")</f>
        <v>Jos yrität silittää Litteniä ennen kuin se luottaa sinuun, se naarmuttaa itseään ikävästi terävillä kynsillään. Ole varovainen.</v>
      </c>
      <c r="C8347" s="9" t="s">
        <v>1344</v>
      </c>
    </row>
    <row r="8348" ht="33.75" customHeight="1">
      <c r="A8348" s="6" t="s">
        <v>12274</v>
      </c>
      <c r="B8348" s="6" t="str">
        <f>IFERROR(__xludf.DUMMYFUNCTION("GOOGLETRANSLATE(A8348,""en"",""fi"")"),"Kurkussaan se kantaa tulikelloa. Kello soi kirkkaasti aina, kun tämä Pokémon sylkee tulta.")</f>
        <v>Kurkussaan se kantaa tulikelloa. Kello soi kirkkaasti aina, kun tämä Pokémon sylkee tulta.</v>
      </c>
      <c r="C8348" s="9" t="s">
        <v>1344</v>
      </c>
    </row>
    <row r="8349" ht="33.75" customHeight="1">
      <c r="A8349" s="6" t="s">
        <v>12275</v>
      </c>
      <c r="B8349" s="6" t="str">
        <f>IFERROR(__xludf.DUMMYFUNCTION("GOOGLETRANSLATE(A8349,""en"",""fi"")"),"Sillä on voimakkaat etujalat. Yhdellä iskulla se voi taivuttaa rautatangon nurinpäin.")</f>
        <v>Sillä on voimakkaat etujalat. Yhdellä iskulla se voi taivuttaa rautatangon nurinpäin.</v>
      </c>
      <c r="C8349" s="9" t="s">
        <v>1344</v>
      </c>
    </row>
    <row r="8350" ht="33.75" customHeight="1">
      <c r="A8350" s="6" t="s">
        <v>12276</v>
      </c>
      <c r="B8350" s="6" t="str">
        <f>IFERROR(__xludf.DUMMYFUNCTION("GOOGLETRANSLATE(A8350,""en"",""fi"")"),"Se voi käyttäytyä hemmoteltuna, jos se kasvaa lähelle kouluttajaansa. Voimakkaana Pokémonina sen terävät kynnet voivat peittää kouluttajansa koko kehon naarmuilla.")</f>
        <v>Se voi käyttäytyä hemmoteltuna, jos se kasvaa lähelle kouluttajaansa. Voimakkaana Pokémonina sen terävät kynnet voivat peittää kouluttajansa koko kehon naarmuilla.</v>
      </c>
      <c r="C8350" s="9" t="s">
        <v>1344</v>
      </c>
    </row>
    <row r="8351" ht="33.75" customHeight="1">
      <c r="A8351" s="6" t="s">
        <v>12277</v>
      </c>
      <c r="B8351" s="6" t="str">
        <f>IFERROR(__xludf.DUMMYFUNCTION("GOOGLETRANSLATE(A8351,""en"",""fi"")"),"Kun sen harja on pystyssä, sen vointi on hyvä. Kun se ei voi hyvin, sen turkki on litteänä.")</f>
        <v>Kun sen harja on pystyssä, sen vointi on hyvä. Kun se ei voi hyvin, sen turkki on litteänä.</v>
      </c>
      <c r="C8351" s="9" t="s">
        <v>1344</v>
      </c>
    </row>
    <row r="8352" ht="33.75" customHeight="1">
      <c r="A8352" s="6" t="s">
        <v>12278</v>
      </c>
      <c r="B8352" s="6" t="str">
        <f>IFERROR(__xludf.DUMMYFUNCTION("GOOGLETRANSLATE(A8352,""en"",""fi"")"),"Taistelun keskellä Torracatin kaulassa oleva tulipussi soi kuin kello ja tuottaa tavallista voimakkaampia liekkejä.")</f>
        <v>Taistelun keskellä Torracatin kaulassa oleva tulipussi soi kuin kello ja tuottaa tavallista voimakkaampia liekkejä.</v>
      </c>
      <c r="C8352" s="9" t="s">
        <v>1344</v>
      </c>
    </row>
    <row r="8353" ht="33.75" customHeight="1">
      <c r="A8353" s="6" t="s">
        <v>12279</v>
      </c>
      <c r="B8353" s="6" t="str">
        <f>IFERROR(__xludf.DUMMYFUNCTION("GOOGLETRANSLATE(A8353,""en"",""fi"")"),"Kohdatessaan voimakkaan vihollisen, Torracatin taistelutahto nousee ja sen tulikello leimahtaa kuumemmin.")</f>
        <v>Kohdatessaan voimakkaan vihollisen, Torracatin taistelutahto nousee ja sen tulikello leimahtaa kuumemmin.</v>
      </c>
      <c r="C8353" s="9" t="s">
        <v>1344</v>
      </c>
    </row>
    <row r="8354" ht="33.75" customHeight="1">
      <c r="A8354" s="6" t="s">
        <v>12280</v>
      </c>
      <c r="B8354" s="6" t="str">
        <f>IFERROR(__xludf.DUMMYFUNCTION("GOOGLETRANSLATE(A8354,""en"",""fi"")"),"Tällä Pokémonilla on väkivaltainen ja itsekäs luonne. Jos se ei ole sillä tuulella, että haluaisi kuunnella, se jättää kouluttajansa käskyt täysin välinpitämättömästi huomiotta.")</f>
        <v>Tällä Pokémonilla on väkivaltainen ja itsekäs luonne. Jos se ei ole sillä tuulella, että haluaisi kuunnella, se jättää kouluttajansa käskyt täysin välinpitämättömästi huomiotta.</v>
      </c>
      <c r="C8354" s="9" t="s">
        <v>1344</v>
      </c>
    </row>
    <row r="8355" ht="33.75" customHeight="1">
      <c r="A8355" s="6" t="s">
        <v>12282</v>
      </c>
      <c r="B8355" s="6" t="str">
        <f>IFERROR(__xludf.DUMMYFUNCTION("GOOGLETRANSLATE(A8355,""en"",""fi"")"),"Heitettyään raivokkaita lyöntejä ja heiteltyään raivokkaita potkuja se viimeistelee vastustajat sylkemällä tulta navastaan.")</f>
        <v>Heitettyään raivokkaita lyöntejä ja heiteltyään raivokkaita potkuja se viimeistelee vastustajat sylkemällä tulta navastaan.</v>
      </c>
      <c r="C8355" s="9" t="s">
        <v>1344</v>
      </c>
    </row>
    <row r="8356" ht="33.75" customHeight="1">
      <c r="A8356" s="6" t="s">
        <v>12284</v>
      </c>
      <c r="B8356" s="6" t="str">
        <f>IFERROR(__xludf.DUMMYFUNCTION("GOOGLETRANSLATE(A8356,""en"",""fi"")"),"Vaikka se on karkeakäytöksinen ja itsekeskeinen, se pitää kelvottomien vastustajien nujertamisen tylsänä. Vahvemmat vastustajat motivoivat sitä.")</f>
        <v>Vaikka se on karkeakäytöksinen ja itsekeskeinen, se pitää kelvottomien vastustajien nujertamisen tylsänä. Vahvemmat vastustajat motivoivat sitä.</v>
      </c>
      <c r="C8356" s="9" t="s">
        <v>1344</v>
      </c>
    </row>
    <row r="8357" ht="33.75" customHeight="1">
      <c r="A8357" s="6" t="s">
        <v>12285</v>
      </c>
      <c r="B8357" s="6" t="str">
        <f>IFERROR(__xludf.DUMMYFUNCTION("GOOGLETRANSLATE(A8357,""en"",""fi"")"),"Kun sen taistelutahto syttyy, liekit sen vyötäröllä kiristyvät erityisen voimakkaasti.")</f>
        <v>Kun sen taistelutahto syttyy, liekit sen vyötäröllä kiristyvät erityisen voimakkaasti.</v>
      </c>
      <c r="C8357" s="9" t="s">
        <v>1344</v>
      </c>
    </row>
    <row r="8358" ht="33.75" customHeight="1">
      <c r="A8358" s="6" t="s">
        <v>12287</v>
      </c>
      <c r="B8358" s="6" t="str">
        <f>IFERROR(__xludf.DUMMYFUNCTION("GOOGLETRANSLATE(A8358,""en"",""fi"")"),"Se loistaa väkivaltaisissa ja ehdottomissa taisteluissa. Sen navasta lähtevien liekkien lämpötila ylittää 3 600 Fahrenheit-astetta.")</f>
        <v>Se loistaa väkivaltaisissa ja ehdottomissa taisteluissa. Sen navasta lähtevien liekkien lämpötila ylittää 3 600 Fahrenheit-astetta.</v>
      </c>
      <c r="C8358" s="9" t="s">
        <v>1344</v>
      </c>
    </row>
    <row r="8359" ht="33.75" customHeight="1">
      <c r="A8359" s="6" t="s">
        <v>12289</v>
      </c>
      <c r="B8359" s="6" t="str">
        <f>IFERROR(__xludf.DUMMYFUNCTION("GOOGLETRANSLATE(A8359,""en"",""fi"")"),"Incineroarin karkea ja aggressiivinen käytös on sen huomattavin piirre, mutta tapa, jolla se auttaa pieniä Pokémoneja, osoittaa, että sillä on myös ystävällinen puolensa.")</f>
        <v>Incineroarin karkea ja aggressiivinen käytös on sen huomattavin piirre, mutta tapa, jolla se auttaa pieniä Pokémoneja, osoittaa, että sillä on myös ystävällinen puolensa.</v>
      </c>
      <c r="C8359" s="9" t="s">
        <v>1344</v>
      </c>
    </row>
    <row r="8360" ht="33.75" customHeight="1">
      <c r="A8360" s="6" t="s">
        <v>12296</v>
      </c>
      <c r="B8360" s="6" t="str">
        <f>IFERROR(__xludf.DUMMYFUNCTION("GOOGLETRANSLATE(A8360,""en"",""fi"")"),"Tämä Pokémon nuuhkaa ruumiinnesteitä nenästään ja puhaltaa ilmapalloja paiskautuakseen vihollisiinsa. Se on kuuluisa ahkerasta työstään.")</f>
        <v>Tämä Pokémon nuuhkaa ruumiinnesteitä nenästään ja puhaltaa ilmapalloja paiskautuakseen vihollisiinsa. Se on kuuluisa ahkerasta työstään.</v>
      </c>
      <c r="C8360" s="9" t="s">
        <v>1344</v>
      </c>
    </row>
    <row r="8361" ht="33.75" customHeight="1">
      <c r="A8361" s="6" t="s">
        <v>12298</v>
      </c>
      <c r="B8361" s="6" t="str">
        <f>IFERROR(__xludf.DUMMYFUNCTION("GOOGLETRANSLATE(A8361,""en"",""fi"")"),"Tämä Pokémon osaa hallita vesikuplia. Se harjoittelee ahkerasti, jotta se voi oppia tekemään isoja kuplia.")</f>
        <v>Tämä Pokémon osaa hallita vesikuplia. Se harjoittelee ahkerasti, jotta se voi oppia tekemään isoja kuplia.</v>
      </c>
      <c r="C8361" s="9" t="s">
        <v>1344</v>
      </c>
    </row>
    <row r="8362" ht="33.75" customHeight="1">
      <c r="A8362" s="6" t="s">
        <v>12300</v>
      </c>
      <c r="B8362" s="6" t="str">
        <f>IFERROR(__xludf.DUMMYFUNCTION("GOOGLETRANSLATE(A8362,""en"",""fi"")"),"Ilmapallot, joita se täyttää nenällään, kasvavat suuremmiksi ja suuremmiksi sen harjoitellessa päivä päivältä.")</f>
        <v>Ilmapallot, joita se täyttää nenällään, kasvavat suuremmiksi ja suuremmiksi sen harjoitellessa päivä päivältä.</v>
      </c>
      <c r="C8362" s="9" t="s">
        <v>1344</v>
      </c>
    </row>
    <row r="8363" ht="33.75" customHeight="1">
      <c r="A8363" s="6" t="s">
        <v>12301</v>
      </c>
      <c r="B8363" s="6" t="str">
        <f>IFERROR(__xludf.DUMMYFUNCTION("GOOGLETRANSLATE(A8363,""en"",""fi"")"),"Popplio kiipeää pomppivien vesipallojensa päälle hypätäkseen korkeammalle. Se on melkoinen akrobaattinen taistelija!")</f>
        <v>Popplio kiipeää pomppivien vesipallojensa päälle hypätäkseen korkeammalle. Se on melkoinen akrobaattinen taistelija!</v>
      </c>
      <c r="C8363" s="9" t="s">
        <v>1344</v>
      </c>
    </row>
    <row r="8364" ht="33.75" customHeight="1">
      <c r="A8364" s="6" t="s">
        <v>12302</v>
      </c>
      <c r="B8364" s="6" t="str">
        <f>IFERROR(__xludf.DUMMYFUNCTION("GOOGLETRANSLATE(A8364,""en"",""fi"")"),"Se luo erityisiä pomppivia ilmapalloja lähettääkseen niitä vastustajiaan kohti. Kun ilmapallot poksahtavat, niiden puhkeamisen pelkkä voima tekee vahinkoa.")</f>
        <v>Se luo erityisiä pomppivia ilmapalloja lähettääkseen niitä vastustajiaan kohti. Kun ilmapallot poksahtavat, niiden puhkeamisen pelkkä voima tekee vahinkoa.</v>
      </c>
      <c r="C8364" s="9" t="s">
        <v>1344</v>
      </c>
    </row>
    <row r="8365" ht="33.75" customHeight="1">
      <c r="A8365" s="6" t="s">
        <v>12304</v>
      </c>
      <c r="B8365" s="6" t="str">
        <f>IFERROR(__xludf.DUMMYFUNCTION("GOOGLETRANSLATE(A8365,""en"",""fi"")"),"Jos Popplio haluaa luoda isoja ja voimakkaita ilmapalloja, heidän on oltava sinnikkäitä. Näiden Pokémonien taitojen kehittäminen vaatii päivittäistä harjoittelua.")</f>
        <v>Jos Popplio haluaa luoda isoja ja voimakkaita ilmapalloja, heidän on oltava sinnikkäitä. Näiden Pokémonien taitojen kehittäminen vaatii päivittäistä harjoittelua.</v>
      </c>
      <c r="C8365" s="9" t="s">
        <v>1344</v>
      </c>
    </row>
    <row r="8366" ht="33.75" customHeight="1">
      <c r="A8366" s="6" t="s">
        <v>12305</v>
      </c>
      <c r="B8366" s="6" t="str">
        <f>IFERROR(__xludf.DUMMYFUNCTION("GOOGLETRANSLATE(A8366,""en"",""fi"")"),"Taitava tanssija, se luo tanssiessaan vesipallojen sarjan ja pommittaa vihollisiaan reippaasti.")</f>
        <v>Taitava tanssija, se luo tanssiessaan vesipallojen sarjan ja pommittaa vihollisiaan reippaasti.</v>
      </c>
      <c r="C8366" s="9" t="s">
        <v>1344</v>
      </c>
    </row>
    <row r="8367" ht="33.75" customHeight="1">
      <c r="A8367" s="6" t="s">
        <v>12306</v>
      </c>
      <c r="B8367" s="6" t="str">
        <f>IFERROR(__xludf.DUMMYFUNCTION("GOOGLETRANSLATE(A8367,""en"",""fi"")"),"Se välittää syvästi seuralaisistaan. Kun sen kouluttaja on alakuloinen, se tanssii iloisen tanssin yrittääkseen auttaa.")</f>
        <v>Se välittää syvästi seuralaisistaan. Kun sen kouluttaja on alakuloinen, se tanssii iloisen tanssin yrittääkseen auttaa.</v>
      </c>
      <c r="C8367" s="9" t="s">
        <v>1344</v>
      </c>
    </row>
    <row r="8368" ht="33.75" customHeight="1">
      <c r="A8368" s="6" t="s">
        <v>12307</v>
      </c>
      <c r="B8368" s="6" t="str">
        <f>IFERROR(__xludf.DUMMYFUNCTION("GOOGLETRANSLATE(A8368,""en"",""fi"")"),"Se innostuu nähdessään tanssin, jota se ei osaa. Tämä ahkera harjoittelee ahkerasti, kunnes se oppii tanssin.")</f>
        <v>Se innostuu nähdessään tanssin, jota se ei osaa. Tämä ahkera harjoittelee ahkerasti, kunnes se oppii tanssin.</v>
      </c>
      <c r="C8368" s="9" t="s">
        <v>1344</v>
      </c>
    </row>
    <row r="8369" ht="33.75" customHeight="1">
      <c r="A8369" s="6" t="s">
        <v>12309</v>
      </c>
      <c r="B8369" s="6" t="str">
        <f>IFERROR(__xludf.DUMMYFUNCTION("GOOGLETRANSLATE(A8369,""en"",""fi"")"),"Se hyökkää läimäisemällä vihollisiaan luomillaan räjähtävillä vesipalloilla.")</f>
        <v>Se hyökkää läimäisemällä vihollisiaan luomillaan räjähtävillä vesipalloilla.</v>
      </c>
      <c r="C8369" s="9" t="s">
        <v>1344</v>
      </c>
    </row>
    <row r="8370" ht="33.75" customHeight="1">
      <c r="A8370" s="6" t="s">
        <v>12310</v>
      </c>
      <c r="B8370" s="6" t="str">
        <f>IFERROR(__xludf.DUMMYFUNCTION("GOOGLETRANSLATE(A8370,""en"",""fi"")"),"Kuin tanssien se väistää taitavasti vihollistensa hyökkäyksiä. Samaan aikaan se on kiireinen muodostaen kasa ilmapalloja hukuttaakseen vihollisensa.")</f>
        <v>Kuin tanssien se väistää taitavasti vihollistensa hyökkäyksiä. Samaan aikaan se on kiireinen muodostaen kasa ilmapalloja hukuttaakseen vihollisensa.</v>
      </c>
      <c r="C8370" s="9" t="s">
        <v>1344</v>
      </c>
    </row>
    <row r="8371" ht="33.75" customHeight="1">
      <c r="A8371" s="6" t="s">
        <v>12311</v>
      </c>
      <c r="B8371" s="6" t="str">
        <f>IFERROR(__xludf.DUMMYFUNCTION("GOOGLETRANSLATE(A8371,""en"",""fi"")"),"Öinä, kun meri on tyyni, Brionne tanssii keskenään heitä johtavan Primarinan laulun tahtiin.")</f>
        <v>Öinä, kun meri on tyyni, Brionne tanssii keskenään heitä johtavan Primarinan laulun tahtiin.</v>
      </c>
      <c r="C8371" s="9" t="s">
        <v>1344</v>
      </c>
    </row>
    <row r="8372" ht="33.75" customHeight="1">
      <c r="A8372" s="6" t="s">
        <v>12312</v>
      </c>
      <c r="B8372" s="6" t="str">
        <f>IFERROR(__xludf.DUMMYFUNCTION("GOOGLETRANSLATE(A8372,""en"",""fi"")"),"Se ohjaa vesipallojaan laululla. Melodian se oppii lajitovereilta ja siirtyy sukupolvelta toiselle.")</f>
        <v>Se ohjaa vesipallojaan laululla. Melodian se oppii lajitovereilta ja siirtyy sukupolvelta toiselle.</v>
      </c>
      <c r="C8372" s="9" t="s">
        <v>1344</v>
      </c>
    </row>
    <row r="8373" ht="33.75" customHeight="1">
      <c r="A8373" s="6" t="s">
        <v>12313</v>
      </c>
      <c r="B8373" s="6" t="str">
        <f>IFERROR(__xludf.DUMMYFUNCTION("GOOGLETRANSLATE(A8373,""en"",""fi"")"),"Sen lauluääni on sen tärkein ase taistelussa. Tämän Pokémonin kouluttajan on asetettava kurkkunsa päivittäinen huolto etusijalle hinnalla millä hyvänsä.")</f>
        <v>Sen lauluääni on sen tärkein ase taistelussa. Tämän Pokémonin kouluttajan on asetettava kurkkunsa päivittäinen huolto etusijalle hinnalla millä hyvänsä.</v>
      </c>
      <c r="C8373" s="9" t="s">
        <v>1344</v>
      </c>
    </row>
    <row r="8374" ht="33.75" customHeight="1">
      <c r="A8374" s="6" t="s">
        <v>12315</v>
      </c>
      <c r="B8374" s="6" t="str">
        <f>IFERROR(__xludf.DUMMYFUNCTION("GOOGLETRANSLATE(A8374,""en"",""fi"")"),"Primarinalle jokainen taistelu on näyttämö. Se kaataa saaliinsa kauniilla laululla ja tanssilla.")</f>
        <v>Primarinalle jokainen taistelu on näyttämö. Se kaataa saaliinsa kauniilla laululla ja tanssilla.</v>
      </c>
      <c r="C8374" s="9" t="s">
        <v>1344</v>
      </c>
    </row>
    <row r="8375" ht="33.75" customHeight="1">
      <c r="A8375" s="6" t="s">
        <v>12316</v>
      </c>
      <c r="B8375" s="6" t="str">
        <f>IFERROR(__xludf.DUMMYFUNCTION("GOOGLETRANSLATE(A8375,""en"",""fi"")"),"Tunnetaan myös laulutähdenä, ja sillä on fantastinen ilme kuutamoöinä johdattaessaan yhdyskuntaansa laulussa.")</f>
        <v>Tunnetaan myös laulutähdenä, ja sillä on fantastinen ilme kuutamoöinä johdattaessaan yhdyskuntaansa laulussa.</v>
      </c>
      <c r="C8375" s="9" t="s">
        <v>1344</v>
      </c>
    </row>
    <row r="8376" ht="33.75" customHeight="1">
      <c r="A8376" s="6" t="s">
        <v>12317</v>
      </c>
      <c r="B8376" s="6" t="str">
        <f>IFERROR(__xludf.DUMMYFUNCTION("GOOGLETRANSLATE(A8376,""en"",""fi"")"),"Suullaan se tuottaa ääniaaltoja, jotka kuulostavat kauniilta laululta. Se käyttää ääniaaltoja vesipallojensa ohjaamiseen.")</f>
        <v>Suullaan se tuottaa ääniaaltoja, jotka kuulostavat kauniilta laululta. Se käyttää ääniaaltoja vesipallojensa ohjaamiseen.</v>
      </c>
      <c r="C8376" s="9" t="s">
        <v>1344</v>
      </c>
    </row>
    <row r="8377" ht="33.75" customHeight="1">
      <c r="A8377" s="6" t="s">
        <v>12318</v>
      </c>
      <c r="B8377" s="6" t="str">
        <f>IFERROR(__xludf.DUMMYFUNCTION("GOOGLETRANSLATE(A8377,""en"",""fi"")"),"Primarinalle jokainen taistelu on näyttämö. Sen laulu ja ilmapallojen tanssi lumoavat yleisön.")</f>
        <v>Primarinalle jokainen taistelu on näyttämö. Sen laulu ja ilmapallojen tanssi lumoavat yleisön.</v>
      </c>
      <c r="C8377" s="9" t="s">
        <v>1344</v>
      </c>
    </row>
    <row r="8378" ht="33.75" customHeight="1">
      <c r="A8378" s="6" t="s">
        <v>12319</v>
      </c>
      <c r="B8378" s="6" t="str">
        <f>IFERROR(__xludf.DUMMYFUNCTION("GOOGLETRANSLATE(A8378,""en"",""fi"")"),"Se voi nokkia puuhun reikiä 16 kertaa sekunnissa. Se käyttää reikiä ravinnon varastointiin ja pesimiseen.")</f>
        <v>Se voi nokkia puuhun reikiä 16 kertaa sekunnissa. Se käyttää reikiä ravinnon varastointiin ja pesimiseen.</v>
      </c>
      <c r="C8378" s="9" t="s">
        <v>1344</v>
      </c>
    </row>
    <row r="8379" ht="33.75" customHeight="1">
      <c r="A8379" s="6" t="s">
        <v>12320</v>
      </c>
      <c r="B8379" s="6" t="str">
        <f>IFERROR(__xludf.DUMMYFUNCTION("GOOGLETRANSLATE(A8379,""en"",""fi"")"),"Tämä Pokémon syö marjoja, joiden ylijääneistä siemenistä se käyttää ammuksia suustaan ​​ampumiinsa hyökkäyksiin.")</f>
        <v>Tämä Pokémon syö marjoja, joiden ylijääneistä siemenistä se käyttää ammuksia suustaan ​​ampumiinsa hyökkäyksiin.</v>
      </c>
      <c r="C8379" s="9" t="s">
        <v>1344</v>
      </c>
    </row>
    <row r="8380" ht="33.75" customHeight="1">
      <c r="A8380" s="6" t="s">
        <v>12321</v>
      </c>
      <c r="B8380" s="6" t="str">
        <f>IFERROR(__xludf.DUMMYFUNCTION("GOOGLETRANSLATE(A8380,""en"",""fi"")"),"Se nokkii puita kovalla nokallaan. Sen mielialasta tai tilasta voi saada jonkinlaisen käsityksen nokkimisen rytmistä.")</f>
        <v>Se nokkii puita kovalla nokallaan. Sen mielialasta tai tilasta voi saada jonkinlaisen käsityksen nokkimisen rytmistä.</v>
      </c>
      <c r="C8380" s="9" t="s">
        <v>1344</v>
      </c>
    </row>
    <row r="8381" ht="33.75" customHeight="1">
      <c r="A8381" s="6" t="s">
        <v>12322</v>
      </c>
      <c r="B8381" s="6" t="str">
        <f>IFERROR(__xludf.DUMMYFUNCTION("GOOGLETRANSLATE(A8381,""en"",""fi"")"),"Se saattaa näyttää hontelolta, mutta sen niskalihakset ovat raskaat. Se voi nokkia puuta 16 kertaa sekunnissa!")</f>
        <v>Se saattaa näyttää hontelolta, mutta sen niskalihakset ovat raskaat. Se voi nokkia puuta 16 kertaa sekunnissa!</v>
      </c>
      <c r="C8381" s="9" t="s">
        <v>1344</v>
      </c>
    </row>
    <row r="8382" ht="33.75" customHeight="1">
      <c r="A8382" s="6" t="s">
        <v>12323</v>
      </c>
      <c r="B8382" s="6" t="str">
        <f>IFERROR(__xludf.DUMMYFUNCTION("GOOGLETRANSLATE(A8382,""en"",""fi"")"),"Se syö marjoja ja varastoi niiden siemeniä nokkaansa. Kohdatessaan vihollisia tai saalista se ampuu kaikki siemenet ryöpyssä.")</f>
        <v>Se syö marjoja ja varastoi niiden siemeniä nokkaansa. Kohdatessaan vihollisia tai saalista se ampuu kaikki siemenet ryöpyssä.</v>
      </c>
      <c r="C8382" s="9" t="s">
        <v>1344</v>
      </c>
    </row>
    <row r="8383" ht="33.75" customHeight="1">
      <c r="A8383" s="6" t="s">
        <v>12324</v>
      </c>
      <c r="B8383" s="6" t="str">
        <f>IFERROR(__xludf.DUMMYFUNCTION("GOOGLETRANSLATE(A8383,""en"",""fi"")"),"Taivuttamalla nokkaansa se voi tuottaa monenlaisia ​​ääniä ja leimata itsensä meluisaksi riesaksi naapureilleen.")</f>
        <v>Taivuttamalla nokkaansa se voi tuottaa monenlaisia ​​ääniä ja leimata itsensä meluisaksi riesaksi naapureilleen.</v>
      </c>
      <c r="C8383" s="9" t="s">
        <v>1344</v>
      </c>
    </row>
    <row r="8384" ht="33.75" customHeight="1">
      <c r="A8384" s="6" t="s">
        <v>12326</v>
      </c>
      <c r="B8384" s="6" t="str">
        <f>IFERROR(__xludf.DUMMYFUNCTION("GOOGLETRANSLATE(A8384,""en"",""fi"")"),"Se voi taivuttaa nokkansa kärkeä ja tuottaa yli sata erilaista huutoa mielensä mukaan.")</f>
        <v>Se voi taivuttaa nokkansa kärkeä ja tuottaa yli sata erilaista huutoa mielensä mukaan.</v>
      </c>
      <c r="C8384" s="9" t="s">
        <v>1344</v>
      </c>
    </row>
    <row r="8385" ht="33.75" customHeight="1">
      <c r="A8385" s="6" t="s">
        <v>12327</v>
      </c>
      <c r="B8385" s="6" t="str">
        <f>IFERROR(__xludf.DUMMYFUNCTION("GOOGLETRANSLATE(A8385,""en"",""fi"")"),"Suustaan ​​se ampuu syömiensä marjojen siemeniä. Hajottavista siemenistä kasvaa uusia kasveja.")</f>
        <v>Suustaan ​​se ampuu syömiensä marjojen siemeniä. Hajottavista siemenistä kasvaa uusia kasveja.</v>
      </c>
      <c r="C8385" s="9" t="s">
        <v>1344</v>
      </c>
    </row>
    <row r="8386" ht="33.75" customHeight="1">
      <c r="A8386" s="6" t="s">
        <v>12328</v>
      </c>
      <c r="B8386" s="6" t="str">
        <f>IFERROR(__xludf.DUMMYFUNCTION("GOOGLETRANSLATE(A8386,""en"",""fi"")"),"Taistellessaan sen nokka kuumenee. Lämpötila voi helposti ylittää 100 celsiusastetta, mikä aiheuttaa vakavia palovammoja sen osuessa.")</f>
        <v>Taistellessaan sen nokka kuumenee. Lämpötila voi helposti ylittää 100 celsiusastetta, mikä aiheuttaa vakavia palovammoja sen osuessa.</v>
      </c>
      <c r="C8386" s="9" t="s">
        <v>1344</v>
      </c>
    </row>
    <row r="8387" ht="33.75" customHeight="1">
      <c r="A8387" s="6" t="s">
        <v>12330</v>
      </c>
      <c r="B8387" s="6" t="str">
        <f>IFERROR(__xludf.DUMMYFUNCTION("GOOGLETRANSLATE(A8387,""en"",""fi"")"),"Sen nokassa oleva kaasu syttyy ja räjähtää lähettäen siemeniä, joilla on tarpeeksi voimaa jauhaa lohkareita.")</f>
        <v>Sen nokassa oleva kaasu syttyy ja räjähtää lähettäen siemeniä, joilla on tarpeeksi voimaa jauhaa lohkareita.</v>
      </c>
      <c r="C8387" s="9" t="s">
        <v>1344</v>
      </c>
    </row>
    <row r="8388" ht="33.75" customHeight="1">
      <c r="A8388" s="6" t="s">
        <v>12331</v>
      </c>
      <c r="B8388" s="6" t="str">
        <f>IFERROR(__xludf.DUMMYFUNCTION("GOOGLETRANSLATE(A8388,""en"",""fi"")"),"Ne läpsäyttävät nokkaansa muiden lajitovereidensa kanssa kommunikoidakseen. Iskujen voimakkuus ja määrä kertovat toisilleen, miltä ne tuntevat.")</f>
        <v>Ne läpsäyttävät nokkaansa muiden lajitovereidensa kanssa kommunikoidakseen. Iskujen voimakkuus ja määrä kertovat toisilleen, miltä ne tuntevat.</v>
      </c>
      <c r="C8388" s="9" t="s">
        <v>1344</v>
      </c>
    </row>
    <row r="8389" ht="33.75" customHeight="1">
      <c r="A8389" s="6" t="s">
        <v>12332</v>
      </c>
      <c r="B8389" s="6" t="str">
        <f>IFERROR(__xludf.DUMMYFUNCTION("GOOGLETRANSLATE(A8389,""en"",""fi"")"),"Tämä Pokémon tunnetaan harmonisten parien muodostamisesta, ja sitä käytetään hääseremonioissa onnenkaluna.")</f>
        <v>Tämä Pokémon tunnetaan harmonisten parien muodostamisesta, ja sitä käytetään hääseremonioissa onnenkaluna.</v>
      </c>
      <c r="C8389" s="9" t="s">
        <v>1344</v>
      </c>
    </row>
    <row r="8390" ht="33.75" customHeight="1">
      <c r="A8390" s="6" t="s">
        <v>12334</v>
      </c>
      <c r="B8390" s="6" t="str">
        <f>IFERROR(__xludf.DUMMYFUNCTION("GOOGLETRANSLATE(A8390,""en"",""fi"")"),"Terävillä hampaillaan se puree mitä tahansa. Se ei alun perin elänyt Alolassa, vaan se tuotiin toiselta alueelta.")</f>
        <v>Terävillä hampaillaan se puree mitä tahansa. Se ei alun perin elänyt Alolassa, vaan se tuotiin toiselta alueelta.</v>
      </c>
      <c r="C8390" s="9" t="s">
        <v>1344</v>
      </c>
    </row>
    <row r="8391" ht="33.75" customHeight="1">
      <c r="A8391" s="6" t="s">
        <v>12336</v>
      </c>
      <c r="B8391" s="6" t="str">
        <f>IFERROR(__xludf.DUMMYFUNCTION("GOOGLETRANSLATE(A8391,""en"",""fi"")"),"Se vaeltelee ympäriinsä loputtomassa ruoan etsinnässä. Hämärän laskeutuessa se romahtaa uupumuksesta ja nukahtaa paikalleen.")</f>
        <v>Se vaeltelee ympäriinsä loputtomassa ruoan etsinnässä. Hämärän laskeutuessa se romahtaa uupumuksesta ja nukahtaa paikalleen.</v>
      </c>
      <c r="C8391" s="9" t="s">
        <v>1344</v>
      </c>
    </row>
    <row r="8392" ht="33.75" customHeight="1">
      <c r="A8392" s="6" t="s">
        <v>12339</v>
      </c>
      <c r="B8392" s="6" t="str">
        <f>IFERROR(__xludf.DUMMYFUNCTION("GOOGLETRANSLATE(A8392,""en"",""fi"")"),"Sen vatsa vie suurimman osan pitkästä vartalosta. Se on suuri syöjä, joten summa, jonka kouluttajien on käytettävä sen ruokaan, ei ole naurun asia.")</f>
        <v>Sen vatsa vie suurimman osan pitkästä vartalosta. Se on suuri syöjä, joten summa, jonka kouluttajien on käytettävä sen ruokaan, ei ole naurun asia.</v>
      </c>
      <c r="C8392" s="9" t="s">
        <v>1344</v>
      </c>
    </row>
    <row r="8393" ht="33.75" customHeight="1">
      <c r="A8393" s="6" t="s">
        <v>12341</v>
      </c>
      <c r="B8393" s="6" t="str">
        <f>IFERROR(__xludf.DUMMYFUNCTION("GOOGLETRANSLATE(A8393,""en"",""fi"")"),"Vaikka se syö mitä tahansa, se suosii tuoreita eläviä olentoja, joten se marssii kaduilla etsimässä saalista.")</f>
        <v>Vaikka se syö mitä tahansa, se suosii tuoreita eläviä olentoja, joten se marssii kaduilla etsimässä saalista.</v>
      </c>
      <c r="C8393" s="9" t="s">
        <v>1344</v>
      </c>
    </row>
    <row r="8394" ht="33.75" customHeight="1">
      <c r="A8394" s="6" t="s">
        <v>12343</v>
      </c>
      <c r="B8394" s="6" t="str">
        <f>IFERROR(__xludf.DUMMYFUNCTION("GOOGLETRANSLATE(A8394,""en"",""fi"")"),"Löydettyään jäljen saaliistaan ​​se tarkkailee kärsivällisesti paikkaa... mutta iltaan mennessä se on aina torkussa.")</f>
        <v>Löydettyään jäljen saaliistaan ​​se tarkkailee kärsivällisesti paikkaa... mutta iltaan mennessä se on aina torkussa.</v>
      </c>
      <c r="C8394" s="9" t="s">
        <v>1344</v>
      </c>
    </row>
    <row r="8395" ht="33.75" customHeight="1">
      <c r="A8395" s="6" t="s">
        <v>12345</v>
      </c>
      <c r="B8395" s="6" t="str">
        <f>IFERROR(__xludf.DUMMYFUNCTION("GOOGLETRANSLATE(A8395,""en"",""fi"")"),"Se rakastaa Rattatan ja Raticaten syömistä illallisella, mutta koska se on päiväsaikaan elävä, se ei koskaan kohtaa niitä. Tämä Pokémon ylpeilee uskomattomalla kärsivällisyydellä.")</f>
        <v>Se rakastaa Rattatan ja Raticaten syömistä illallisella, mutta koska se on päiväsaikaan elävä, se ei koskaan kohtaa niitä. Tämä Pokémon ylpeilee uskomattomalla kärsivällisyydellä.</v>
      </c>
      <c r="C8395" s="9" t="s">
        <v>1344</v>
      </c>
    </row>
    <row r="8396" ht="33.75" customHeight="1">
      <c r="A8396" s="6" t="s">
        <v>12347</v>
      </c>
      <c r="B8396" s="6" t="str">
        <f>IFERROR(__xludf.DUMMYFUNCTION("GOOGLETRANSLATE(A8396,""en"",""fi"")"),"Vaikka sitä ei alun perin löydetty Alolasta, tämä Pokémon tuotiin sinne kauan sitten valtavan Rattata-epidemian aikana.")</f>
        <v>Vaikka sitä ei alun perin löydetty Alolasta, tämä Pokémon tuotiin sinne kauan sitten valtavan Rattata-epidemian aikana.</v>
      </c>
      <c r="C8396" s="9" t="s">
        <v>1344</v>
      </c>
    </row>
    <row r="8397" ht="33.75" customHeight="1">
      <c r="A8397" s="6" t="s">
        <v>12348</v>
      </c>
      <c r="B8397" s="6" t="str">
        <f>IFERROR(__xludf.DUMMYFUNCTION("GOOGLETRANSLATE(A8397,""en"",""fi"")"),"Luonteeltaan kärsivällinen tämä Pokémon menettää itsensä hallinnan ja hyökkää kimppuun kohdatessaan lempiruokansa – Rattatan!")</f>
        <v>Luonteeltaan kärsivällinen tämä Pokémon menettää itsensä hallinnan ja hyökkää kimppuun kohdatessaan lempiruokansa – Rattatan!</v>
      </c>
      <c r="C8397" s="9" t="s">
        <v>1344</v>
      </c>
    </row>
    <row r="8398" ht="33.75" customHeight="1">
      <c r="A8398" s="6" t="s">
        <v>12349</v>
      </c>
      <c r="B8398" s="6" t="str">
        <f>IFERROR(__xludf.DUMMYFUNCTION("GOOGLETRANSLATE(A8398,""en"",""fi"")"),"Sen vahvat leuat mahdollistavat sen kaapimisen puista ja mahlan imemisen. Se elää normaalisti maan alla.")</f>
        <v>Sen vahvat leuat mahdollistavat sen kaapimisen puista ja mahlan imemisen. Se elää normaalisti maan alla.</v>
      </c>
      <c r="C8398" s="9" t="s">
        <v>1344</v>
      </c>
    </row>
    <row r="8399" ht="33.75" customHeight="1">
      <c r="A8399" s="6" t="s">
        <v>12350</v>
      </c>
      <c r="B8399" s="6" t="str">
        <f>IFERROR(__xludf.DUMMYFUNCTION("GOOGLETRANSLATE(A8399,""en"",""fi"")"),"Ne kokoontuvat usein sähköisten Pokémonien suosimien paikkojen lähelle välttääkseen lintu-Pokémonien hyökkäykset.")</f>
        <v>Ne kokoontuvat usein sähköisten Pokémonien suosimien paikkojen lähelle välttääkseen lintu-Pokémonien hyökkäykset.</v>
      </c>
      <c r="C8399" s="9" t="s">
        <v>1344</v>
      </c>
    </row>
    <row r="8400" ht="33.75" customHeight="1">
      <c r="A8400" s="6" t="s">
        <v>12352</v>
      </c>
      <c r="B8400" s="6" t="str">
        <f>IFERROR(__xludf.DUMMYFUNCTION("GOOGLETRANSLATE(A8400,""en"",""fi"")"),"Jos löydät sen pesän, älä työnnä kättäsi sisään. Ärtynyt toukka puree sinua.")</f>
        <v>Jos löydät sen pesän, älä työnnä kättäsi sisään. Ärtynyt toukka puree sinua.</v>
      </c>
      <c r="C8400" s="9" t="s">
        <v>1344</v>
      </c>
    </row>
    <row r="8401" ht="33.75" customHeight="1">
      <c r="A8401" s="6" t="s">
        <v>12353</v>
      </c>
      <c r="B8401" s="6" t="str">
        <f>IFERROR(__xludf.DUMMYFUNCTION("GOOGLETRANSLATE(A8401,""en"",""fi"")"),"Se sylkee tahmean langan pysäyttääkseen vastustajat heidän raiteillaan ja sitten se tarttuu heihin teräviin, tukeviin leukoihinsa kaataakseen heidät.")</f>
        <v>Se sylkee tahmean langan pysäyttääkseen vastustajat heidän raiteillaan ja sitten se tarttuu heihin teräviin, tukeviin leukoihinsa kaataakseen heidät.</v>
      </c>
      <c r="C8401" s="9" t="s">
        <v>1344</v>
      </c>
    </row>
    <row r="8402" ht="33.75" customHeight="1">
      <c r="A8402" s="6" t="s">
        <v>12354</v>
      </c>
      <c r="B8402" s="6" t="str">
        <f>IFERROR(__xludf.DUMMYFUNCTION("GOOGLETRANSLATE(A8402,""en"",""fi"")"),"Sen luonnolliset viholliset, kuten Rookidee, saattavat paeta mieluummin kuin ottaa riskin jäädä kiinni sen suuriin leukoihin, jotka voivat napsauttaa paksuja puiden oksia.")</f>
        <v>Sen luonnolliset viholliset, kuten Rookidee, saattavat paeta mieluummin kuin ottaa riskin jäädä kiinni sen suuriin leukoihin, jotka voivat napsauttaa paksuja puiden oksia.</v>
      </c>
      <c r="C8402" s="9" t="s">
        <v>1344</v>
      </c>
    </row>
    <row r="8403" ht="33.75" customHeight="1">
      <c r="A8403" s="6" t="s">
        <v>12356</v>
      </c>
      <c r="B8403" s="6" t="str">
        <f>IFERROR(__xludf.DUMMYFUNCTION("GOOGLETRANSLATE(A8403,""en"",""fi"")"),"Se kaivaa pesiä metsänpohjaan suurilla leuoillaan ja rakastaa makean puunmahlan syömistä.")</f>
        <v>Se kaivaa pesiä metsänpohjaan suurilla leuoillaan ja rakastaa makean puunmahlan syömistä.</v>
      </c>
      <c r="C8403" s="9" t="s">
        <v>1344</v>
      </c>
    </row>
    <row r="8404" ht="33.75" customHeight="1">
      <c r="A8404" s="6" t="s">
        <v>12357</v>
      </c>
      <c r="B8404" s="6" t="str">
        <f>IFERROR(__xludf.DUMMYFUNCTION("GOOGLETRANSLATE(A8404,""en"",""fi"")"),"Sen runko pystyy varastoimaan sähköä. Leirintäretkillä ihmiset ovat kiitollisia siitä, että heillä on sellainen mukanaan.")</f>
        <v>Sen runko pystyy varastoimaan sähköä. Leirintäretkillä ihmiset ovat kiitollisia siitä, että heillä on sellainen mukanaan.</v>
      </c>
      <c r="C8404" s="9" t="s">
        <v>1344</v>
      </c>
    </row>
    <row r="8405" ht="33.75" customHeight="1">
      <c r="A8405" s="6" t="s">
        <v>12358</v>
      </c>
      <c r="B8405" s="6" t="str">
        <f>IFERROR(__xludf.DUMMYFUNCTION("GOOGLETRANSLATE(A8405,""en"",""fi"")"),"Ruoasta se tuottaa sähköä ja varastoi tämän energian sähköpussiinsa.")</f>
        <v>Ruoasta se tuottaa sähköä ja varastoi tämän energian sähköpussiinsa.</v>
      </c>
      <c r="C8405" s="9" t="s">
        <v>1344</v>
      </c>
    </row>
    <row r="8406" ht="33.75" customHeight="1">
      <c r="A8406" s="6" t="s">
        <v>12360</v>
      </c>
      <c r="B8406" s="6" t="str">
        <f>IFERROR(__xludf.DUMMYFUNCTION("GOOGLETRANSLATE(A8406,""en"",""fi"")"),"Se hautautuu pudonneisiin lehtiin ja tuskin liikkuu mutustaen humusta. Jos vahingossa astut sellaisen päälle, saat sähköiskun!")</f>
        <v>Se hautautuu pudonneisiin lehtiin ja tuskin liikkuu mutustaen humusta. Jos vahingossa astut sellaisen päälle, saat sähköiskun!</v>
      </c>
      <c r="C8406" s="9" t="s">
        <v>1344</v>
      </c>
    </row>
    <row r="8407" ht="33.75" customHeight="1">
      <c r="A8407" s="6" t="s">
        <v>12361</v>
      </c>
      <c r="B8407" s="6" t="str">
        <f>IFERROR(__xludf.DUMMYFUNCTION("GOOGLETRANSLATE(A8407,""en"",""fi"")"),"Sen tukeva kuori tarjoaa erinomaisen suojan hyökkäyksiä vastaan. Se käyttää sähköä sinnikkäisiin vastustajiin.")</f>
        <v>Sen tukeva kuori tarjoaa erinomaisen suojan hyökkäyksiä vastaan. Se käyttää sähköä sinnikkäisiin vastustajiin.</v>
      </c>
      <c r="C8407" s="9" t="s">
        <v>1344</v>
      </c>
    </row>
    <row r="8408" ht="33.75" customHeight="1">
      <c r="A8408" s="6" t="s">
        <v>12362</v>
      </c>
      <c r="B8408" s="6" t="str">
        <f>IFERROR(__xludf.DUMMYFUNCTION("GOOGLETRANSLATE(A8408,""en"",""fi"")"),"Vaikka Charjabug suojaa sitä kestävältä kuorelta hyökkäyksiltä, ​​se iskee vihollisiin leukojensa kärjistä purkautuvilla sähköiskuilla.")</f>
        <v>Vaikka Charjabug suojaa sitä kestävältä kuorelta hyökkäyksiltä, ​​se iskee vihollisiin leukojensa kärjistä purkautuvilla sähköiskuilla.</v>
      </c>
      <c r="C8408" s="9" t="s">
        <v>1344</v>
      </c>
    </row>
    <row r="8409" ht="33.75" customHeight="1">
      <c r="A8409" s="6" t="s">
        <v>12363</v>
      </c>
      <c r="B8409" s="6" t="str">
        <f>IFERROR(__xludf.DUMMYFUNCTION("GOOGLETRANSLATE(A8409,""en"",""fi"")"),"Sen ruoansulatusprosessit muuttavat syömänsä lehdet sähköksi. Sen vatsassa oleva sähköpussi varastoi sähkön myöhempää käyttöä varten.")</f>
        <v>Sen ruoansulatusprosessit muuttavat syömänsä lehdet sähköksi. Sen vatsassa oleva sähköpussi varastoi sähkön myöhempää käyttöä varten.</v>
      </c>
      <c r="C8409" s="9" t="s">
        <v>1344</v>
      </c>
    </row>
    <row r="8410" ht="33.75" customHeight="1">
      <c r="A8410" s="6" t="s">
        <v>12364</v>
      </c>
      <c r="B8410" s="6" t="str">
        <f>IFERROR(__xludf.DUMMYFUNCTION("GOOGLETRANSLATE(A8410,""en"",""fi"")"),"Se viuhuu ympäriinsä tähyillen tarkasti aukkoa. Se keskittää sähköenergiaa suuriin leukoihinsa ja käyttää sitä vihollistensa tuhoamiseen.")</f>
        <v>Se viuhuu ympäriinsä tähyillen tarkasti aukkoa. Se keskittää sähköenergiaa suuriin leukoihinsa ja käyttää sitä vihollistensa tuhoamiseen.</v>
      </c>
      <c r="C8410" s="9" t="s">
        <v>1344</v>
      </c>
    </row>
    <row r="8411" ht="33.75" customHeight="1">
      <c r="A8411" s="6" t="s">
        <v>12365</v>
      </c>
      <c r="B8411" s="6" t="str">
        <f>IFERROR(__xludf.DUMMYFUNCTION("GOOGLETRANSLATE(A8411,""en"",""fi"")"),"Se tuottaa sähköä vatsassaan olevan sähköisen elimen kautta. Se hukuttaa lintu-Pokémonit sähköenergian säteillä.")</f>
        <v>Se tuottaa sähköä vatsassaan olevan sähköisen elimen kautta. Se hukuttaa lintu-Pokémonit sähköenergian säteillä.</v>
      </c>
      <c r="C8411" s="9" t="s">
        <v>1344</v>
      </c>
    </row>
    <row r="8412" ht="33.75" customHeight="1">
      <c r="A8412" s="6" t="s">
        <v>12366</v>
      </c>
      <c r="B8412" s="6" t="str">
        <f>IFERROR(__xludf.DUMMYFUNCTION("GOOGLETRANSLATE(A8412,""en"",""fi"")"),"Sillä on vatsassa sähköä tuottava elin. Se keskittää energiaa vahvoihin leukoihinsa ja lähettää voimakkaita sähköiskuja.")</f>
        <v>Sillä on vatsassa sähköä tuottava elin. Se keskittää energiaa vahvoihin leukoihinsa ja lähettää voimakkaita sähköiskuja.</v>
      </c>
      <c r="C8412" s="9" t="s">
        <v>1344</v>
      </c>
    </row>
    <row r="8413" ht="33.75" customHeight="1">
      <c r="A8413" s="6" t="s">
        <v>12368</v>
      </c>
      <c r="B8413" s="6" t="str">
        <f>IFERROR(__xludf.DUMMYFUNCTION("GOOGLETRANSLATE(A8413,""en"",""fi"")"),"Vikavolt hämmentää vastustajia akrobaattisilla lentoliikkeillä. Tämä luo sille mahdollisuuden suorittaa sähkösuihkuhyökkäys.")</f>
        <v>Vikavolt hämmentää vastustajia akrobaattisilla lentoliikkeillä. Tämä luo sille mahdollisuuden suorittaa sähkösuihkuhyökkäys.</v>
      </c>
      <c r="C8413" s="9" t="s">
        <v>1344</v>
      </c>
    </row>
    <row r="8414" ht="33.75" customHeight="1">
      <c r="A8414" s="6" t="s">
        <v>12369</v>
      </c>
      <c r="B8414" s="6" t="str">
        <f>IFERROR(__xludf.DUMMYFUNCTION("GOOGLETRANSLATE(A8414,""en"",""fi"")"),"Se kerää sähköä vatsaansa, keskittää sen leukojensa kautta ja lähettää sitten sähköä keskitetyissä säteissä.")</f>
        <v>Se kerää sähköä vatsaansa, keskittää sen leukojensa kautta ja lähettää sitten sähköä keskitetyissä säteissä.</v>
      </c>
      <c r="C8414" s="9" t="s">
        <v>1344</v>
      </c>
    </row>
    <row r="8415" ht="33.75" customHeight="1">
      <c r="A8415" s="6" t="s">
        <v>12371</v>
      </c>
      <c r="B8415" s="6" t="str">
        <f>IFERROR(__xludf.DUMMYFUNCTION("GOOGLETRANSLATE(A8415,""en"",""fi"")"),"Jos se kantaa mukanaan Charjabugia vara-akkuna, lentävä Vikavolt voi ampua nopeasti tehokkaita sähkösäteitä.")</f>
        <v>Jos se kantaa mukanaan Charjabugia vara-akkuna, lentävä Vikavolt voi ampua nopeasti tehokkaita sähkösäteitä.</v>
      </c>
      <c r="C8415" s="9" t="s">
        <v>1344</v>
      </c>
    </row>
    <row r="8416" ht="33.75" customHeight="1">
      <c r="A8416" s="6" t="s">
        <v>12372</v>
      </c>
      <c r="B8416" s="6" t="str">
        <f>IFERROR(__xludf.DUMMYFUNCTION("GOOGLETRANSLATE(A8416,""en"",""fi"")"),"Suojaten heikkoja kohtiaan pihdeillään se etsii aukkoa ja päästää irti lyöntejä. Hävitessään se vaahtoaa suustaan ​​ja pyörtyy.")</f>
        <v>Suojaten heikkoja kohtiaan pihdeillään se etsii aukkoa ja päästää irti lyöntejä. Hävitessään se vaahtoaa suustaan ​​ja pyörtyy.</v>
      </c>
      <c r="C8416" s="9" t="s">
        <v>1344</v>
      </c>
    </row>
    <row r="8417" ht="33.75" customHeight="1">
      <c r="A8417" s="6" t="s">
        <v>12373</v>
      </c>
      <c r="B8417" s="6" t="str">
        <f>IFERROR(__xludf.DUMMYFUNCTION("GOOGLETRANSLATE(A8417,""en"",""fi"")"),"Se iskee niin paljon, että sen pihdit usein irtoavat liikakäytöstä, mutta ne kasvavat nopeasti takaisin. Se vähä liha, mitä niissä on, on täyteläistä ja herkullista.")</f>
        <v>Se iskee niin paljon, että sen pihdit usein irtoavat liikakäytöstä, mutta ne kasvavat nopeasti takaisin. Se vähä liha, mitä niissä on, on täyteläistä ja herkullista.</v>
      </c>
      <c r="C8417" s="9" t="s">
        <v>1344</v>
      </c>
    </row>
    <row r="8418" ht="33.75" customHeight="1">
      <c r="A8418" s="6" t="s">
        <v>12375</v>
      </c>
      <c r="B8418" s="6" t="str">
        <f>IFERROR(__xludf.DUMMYFUNCTION("GOOGLETRANSLATE(A8418,""en"",""fi"")"),"Sen kovat pihdit sopivat hyvin sekä hyökkäykseen että puolustukseen. Kahden Crabbrawlerin väliset taistelut ovat kuin nyrkkeilyotteluita.")</f>
        <v>Sen kovat pihdit sopivat hyvin sekä hyökkäykseen että puolustukseen. Kahden Crabbrawlerin väliset taistelut ovat kuin nyrkkeilyotteluita.</v>
      </c>
      <c r="C8418" s="9" t="s">
        <v>1344</v>
      </c>
    </row>
    <row r="8419" ht="33.75" customHeight="1">
      <c r="A8419" s="6" t="s">
        <v>12377</v>
      </c>
      <c r="B8419" s="6" t="str">
        <f>IFERROR(__xludf.DUMMYFUNCTION("GOOGLETRANSLATE(A8419,""en"",""fi"")"),"Crabrawler on erehtynyt luulemaan Exeggutoria kookospalmuksi ja kiipeämään sen päälle. Raivostunut Exeggutor ravistelee sen pois ja tallaa sen.")</f>
        <v>Crabrawler on erehtynyt luulemaan Exeggutoria kookospalmuksi ja kiipeämään sen päälle. Raivostunut Exeggutor ravistelee sen pois ja tallaa sen.</v>
      </c>
      <c r="C8419" s="9" t="s">
        <v>1344</v>
      </c>
    </row>
    <row r="8420" ht="33.75" customHeight="1">
      <c r="A8420" s="6" t="s">
        <v>12379</v>
      </c>
      <c r="B8420" s="6" t="str">
        <f>IFERROR(__xludf.DUMMYFUNCTION("GOOGLETRANSLATE(A8420,""en"",""fi"")"),"Se tähtäsi huipulle, mutta eksyi ja päätyi lumihuippuiselle vuorelle. Kylmyyden kestämisen vuoksi tämä Pokémon kehittyi ja kasvatti turkkinsa.")</f>
        <v>Se tähtäsi huipulle, mutta eksyi ja päätyi lumihuippuiselle vuorelle. Kylmyyden kestämisen vuoksi tämä Pokémon kehittyi ja kasvatti turkkinsa.</v>
      </c>
      <c r="C8420" s="9" t="s">
        <v>1344</v>
      </c>
    </row>
    <row r="8421" ht="33.75" customHeight="1">
      <c r="A8421" s="6" t="s">
        <v>12380</v>
      </c>
      <c r="B8421" s="6" t="str">
        <f>IFERROR(__xludf.DUMMYFUNCTION("GOOGLETRANSLATE(A8421,""en"",""fi"")"),"Se vain lyö umpimähkään. Epätoivon hetkellä se voi katkaista omat pihtinsä ja ampua niitä kuin raketteja.")</f>
        <v>Se vain lyö umpimähkään. Epätoivon hetkellä se voi katkaista omat pihtinsä ja ampua niitä kuin raketteja.</v>
      </c>
      <c r="C8421" s="9" t="s">
        <v>1344</v>
      </c>
    </row>
    <row r="8422" ht="33.75" customHeight="1">
      <c r="A8422" s="6" t="s">
        <v>12382</v>
      </c>
      <c r="B8422" s="6" t="str">
        <f>IFERROR(__xludf.DUMMYFUNCTION("GOOGLETRANSLATE(A8422,""en"",""fi"")"),"Se varastoi kylmyyttä pihdeissään ja moukaroi vihollisiaan. Se voi jopa murskata paksut jääkuoria palasiksi!")</f>
        <v>Se varastoi kylmyyttä pihdeissään ja moukaroi vihollisiaan. Se voi jopa murskata paksut jääkuoria palasiksi!</v>
      </c>
      <c r="C8422" s="9" t="s">
        <v>1344</v>
      </c>
    </row>
    <row r="8423" ht="33.75" customHeight="1">
      <c r="A8423" s="6" t="s">
        <v>12384</v>
      </c>
      <c r="B8423" s="6" t="str">
        <f>IFERROR(__xludf.DUMMYFUNCTION("GOOGLETRANSLATE(A8423,""en"",""fi"")"),"Ennen kuin se pysähtyy ajattelemaan, se jo alkaa hakata. On olemassa tietoja siitä, kuinka se on torjunut lumivyöryjä iskujen riehuessa.")</f>
        <v>Ennen kuin se pysähtyy ajattelemaan, se jo alkaa hakata. On olemassa tietoja siitä, kuinka se on torjunut lumivyöryjä iskujen riehuessa.</v>
      </c>
      <c r="C8423" s="9" t="s">
        <v>1344</v>
      </c>
    </row>
    <row r="8424" ht="33.75" customHeight="1">
      <c r="A8424" s="6" t="s">
        <v>12387</v>
      </c>
      <c r="B8424" s="6" t="str">
        <f>IFERROR(__xludf.DUMMYFUNCTION("GOOGLETRANSLATE(A8424,""en"",""fi"")"),"Se lyö siipiään yhteen luodakseen tulta. Kauniin tanssinsa askeleissa se kylvettää vastustajat voimakkaisiin liekkeihin.")</f>
        <v>Se lyö siipiään yhteen luodakseen tulta. Kauniin tanssinsa askeleissa se kylvettää vastustajat voimakkaisiin liekkeihin.</v>
      </c>
      <c r="C8424" s="9" t="s">
        <v>1344</v>
      </c>
    </row>
    <row r="8425" ht="33.75" customHeight="1">
      <c r="A8425" s="6" t="s">
        <v>12391</v>
      </c>
      <c r="B8425" s="6" t="str">
        <f>IFERROR(__xludf.DUMMYFUNCTION("GOOGLETRANSLATE(A8425,""en"",""fi"")"),"Tämä Oricorio on siemannut punaista nektaria. Sen intohimoiset tanssiliikkeet saavat viholliset liekkeihin sekä ruumiissa että mielissä.")</f>
        <v>Tämä Oricorio on siemannut punaista nektaria. Sen intohimoiset tanssiliikkeet saavat viholliset liekkeihin sekä ruumiissa että mielissä.</v>
      </c>
      <c r="C8425" s="9" t="s">
        <v>1344</v>
      </c>
    </row>
    <row r="8426" ht="33.75" customHeight="1">
      <c r="A8426" s="6" t="s">
        <v>12393</v>
      </c>
      <c r="B8426" s="6" t="str">
        <f>IFERROR(__xludf.DUMMYFUNCTION("GOOGLETRANSLATE(A8426,""en"",""fi"")"),"Se voittaa vihollistensa sydämet intohimoisella tanssillaan ja käyttää sitten luomaansa aukkoa polttaakseen heidät liekehtivillä liekeillä.")</f>
        <v>Se voittaa vihollistensa sydämet intohimoisella tanssillaan ja käyttää sitten luomaansa aukkoa polttaakseen heidät liekehtivillä liekeillä.</v>
      </c>
      <c r="C8426" s="9" t="s">
        <v>1344</v>
      </c>
    </row>
    <row r="8427" ht="33.75" customHeight="1">
      <c r="A8427" s="6" t="s">
        <v>12395</v>
      </c>
      <c r="B8427" s="6" t="str">
        <f>IFERROR(__xludf.DUMMYFUNCTION("GOOGLETRANSLATE(A8427,""en"",""fi"")"),"Tämä Oricorio on juonut punaista nektaria. Jos sen kouluttaja antaa väärän käskyn, tämä intohimoinen Pokémon suuttuu raivokkaasti.")</f>
        <v>Tämä Oricorio on juonut punaista nektaria. Jos sen kouluttaja antaa väärän käskyn, tämä intohimoinen Pokémon suuttuu raivokkaasti.</v>
      </c>
      <c r="C8427" s="9" t="s">
        <v>1344</v>
      </c>
    </row>
    <row r="8428" ht="33.75" customHeight="1">
      <c r="A8428" s="6" t="s">
        <v>12397</v>
      </c>
      <c r="B8428" s="6" t="str">
        <f>IFERROR(__xludf.DUMMYFUNCTION("GOOGLETRANSLATE(A8428,""en"",""fi"")"),"Se syö kukkien mettä ja siitepölyä. Koska se pystyy aistimaan auroja, se voi tunnistaa, mitkä kukat ovat puhkeamassa kukkaan.")</f>
        <v>Se syö kukkien mettä ja siitepölyä. Koska se pystyy aistimaan auroja, se voi tunnistaa, mitkä kukat ovat puhkeamassa kukkaan.</v>
      </c>
      <c r="C8428" s="9" t="s">
        <v>1344</v>
      </c>
    </row>
    <row r="8429" ht="33.75" customHeight="1">
      <c r="A8429" s="6" t="s">
        <v>12398</v>
      </c>
      <c r="B8429" s="6" t="str">
        <f>IFERROR(__xludf.DUMMYFUNCTION("GOOGLETRANSLATE(A8429,""en"",""fi"")"),"Myriadeittain söpöläisiä lepattaa ihmisten yllä, joiden aurat muistuttavat kukkien auroja.")</f>
        <v>Myriadeittain söpöläisiä lepattaa ihmisten yllä, joiden aurat muistuttavat kukkien auroja.</v>
      </c>
      <c r="C8429" s="9" t="s">
        <v>1344</v>
      </c>
    </row>
    <row r="8430" ht="33.75" customHeight="1">
      <c r="A8430" s="6" t="s">
        <v>12400</v>
      </c>
      <c r="B8430" s="6" t="str">
        <f>IFERROR(__xludf.DUMMYFUNCTION("GOOGLETRANSLATE(A8430,""en"",""fi"")"),"Mesi ja siitepöly ovat sen lempiruokaa. Kukkakasveilla se joutuu kahakoihin Butterfreen kanssa ruoasta.")</f>
        <v>Mesi ja siitepöly ovat sen lempiruokaa. Kukkakasveilla se joutuu kahakoihin Butterfreen kanssa ruoasta.</v>
      </c>
      <c r="C8430" s="9" t="s">
        <v>1344</v>
      </c>
    </row>
    <row r="8431" ht="33.75" customHeight="1">
      <c r="A8431" s="6" t="s">
        <v>12402</v>
      </c>
      <c r="B8431" s="6" t="str">
        <f>IFERROR(__xludf.DUMMYFUNCTION("GOOGLETRANSLATE(A8431,""en"",""fi"")"),"Cutiefly pystyy havaitsemaan elävien olentojen auroja. Se lukee niitä taitavasti ennustaakseen vihollistensa liikkeitä ja tehdäkseen heistä naurunalaisia.")</f>
        <v>Cutiefly pystyy havaitsemaan elävien olentojen auroja. Se lukee niitä taitavasti ennustaakseen vihollistensa liikkeitä ja tehdäkseen heistä naurunalaisia.</v>
      </c>
      <c r="C8431" s="9" t="s">
        <v>1344</v>
      </c>
    </row>
    <row r="8432" ht="33.75" customHeight="1">
      <c r="A8432" s="6" t="s">
        <v>12405</v>
      </c>
      <c r="B8432" s="6" t="str">
        <f>IFERROR(__xludf.DUMMYFUNCTION("GOOGLETRANSLATE(A8432,""en"",""fi"")"),"Mesi ja siitepöly ovat sen lempiruokaa. Voit löytää Cutiefly-perhonen leijumasta Gossifleurin ympärillä yrittämässä saada kiinni Gossifleurin siitepölyä.")</f>
        <v>Mesi ja siitepöly ovat sen lempiruokaa. Voit löytää Cutiefly-perhonen leijumasta Gossifleurin ympärillä yrittämässä saada kiinni Gossifleurin siitepölyä.</v>
      </c>
      <c r="C8432" s="9" t="s">
        <v>1344</v>
      </c>
    </row>
    <row r="8433" ht="33.75" customHeight="1">
      <c r="A8433" s="6" t="s">
        <v>12406</v>
      </c>
      <c r="B8433" s="6" t="str">
        <f>IFERROR(__xludf.DUMMYFUNCTION("GOOGLETRANSLATE(A8433,""en"",""fi"")"),"Vastustajan aura voi kertoa Cutieflylle, mikä vastustajan seuraava liike on. Sitten Cutiefly voi liitää hyökkäyksen ympäri ja iskeä takaisin.")</f>
        <v>Vastustajan aura voi kertoa Cutieflylle, mikä vastustajan seuraava liike on. Sitten Cutiefly voi liitää hyökkäyksen ympäri ja iskeä takaisin.</v>
      </c>
      <c r="C8433" s="9" t="s">
        <v>1344</v>
      </c>
    </row>
    <row r="8434" ht="33.75" customHeight="1">
      <c r="A8434" s="6" t="s">
        <v>12408</v>
      </c>
      <c r="B8434" s="6" t="str">
        <f>IFERROR(__xludf.DUMMYFUNCTION("GOOGLETRANSLATE(A8434,""en"",""fi"")"),"Se käärii siitepölyä möykkyiksi. Siitä muodostuu monia eri lajikkeita, joista osaa käytetään ruoana ja toisia taistelussa.")</f>
        <v>Se käärii siitepölyä möykkyiksi. Siitä muodostuu monia eri lajikkeita, joista osaa käytetään ruoana ja toisia taistelussa.</v>
      </c>
      <c r="C8434" s="9" t="s">
        <v>1344</v>
      </c>
    </row>
    <row r="8435" ht="33.75" customHeight="1">
      <c r="A8435" s="6" t="s">
        <v>12410</v>
      </c>
      <c r="B8435" s="6" t="str">
        <f>IFERROR(__xludf.DUMMYFUNCTION("GOOGLETRANSLATE(A8435,""en"",""fi"")"),"Jotkut Ribombeen siitepölyhuiskauksista ovat erittäin ravitsevia. Niitä myydään joskus ravintolisinä.")</f>
        <v>Jotkut Ribombeen siitepölyhuiskauksista ovat erittäin ravitsevia. Niitä myydään joskus ravintolisinä.</v>
      </c>
      <c r="C8435" s="9" t="s">
        <v>1344</v>
      </c>
    </row>
    <row r="8436" ht="33.75" customHeight="1">
      <c r="A8436" s="6" t="s">
        <v>12411</v>
      </c>
      <c r="B8436" s="6" t="str">
        <f>IFERROR(__xludf.DUMMYFUNCTION("GOOGLETRANSLATE(A8436,""en"",""fi"")"),"Sade tekee siitepölystä kosteaa, joten Ribombee vihaa sadetta. Nähdessään uhkaavia pilviä se löytää onkalon puusta, jossa se odottaa liikkumatta.")</f>
        <v>Sade tekee siitepölystä kosteaa, joten Ribombee vihaa sadetta. Nähdessään uhkaavia pilviä se löytää onkalon puusta, jossa se odottaa liikkumatta.</v>
      </c>
      <c r="C8436" s="9" t="s">
        <v>1344</v>
      </c>
    </row>
    <row r="8437" ht="33.75" customHeight="1">
      <c r="A8437" s="6" t="s">
        <v>12413</v>
      </c>
      <c r="B8437" s="6" t="str">
        <f>IFERROR(__xludf.DUMMYFUNCTION("GOOGLETRANSLATE(A8437,""en"",""fi"")"),"Se voi ennustaa sään kosteustasojen ja tuulen suunnan perusteella. Ribombee paljastaa itsensä vain, kun on muutama kirkas päivä peräkkäin.")</f>
        <v>Se voi ennustaa sään kosteustasojen ja tuulen suunnan perusteella. Ribombee paljastaa itsensä vain, kun on muutama kirkas päivä peräkkäin.</v>
      </c>
      <c r="C8437" s="9" t="s">
        <v>1344</v>
      </c>
    </row>
    <row r="8438" ht="33.75" customHeight="1">
      <c r="A8438" s="6" t="s">
        <v>12414</v>
      </c>
      <c r="B8438" s="6" t="str">
        <f>IFERROR(__xludf.DUMMYFUNCTION("GOOGLETRANSLATE(A8438,""en"",""fi"")"),"Se tekee siitepölypuhalluksia siitepölystä ja medestä. Puhallusten vaikutukset riippuvat ainesosien tyypistä ja siitä, kuinka paljon kutakin käytetään.")</f>
        <v>Se tekee siitepölypuhalluksia siitepölystä ja medestä. Puhallusten vaikutukset riippuvat ainesosien tyypistä ja siitä, kuinka paljon kutakin käytetään.</v>
      </c>
      <c r="C8438" s="9" t="s">
        <v>1344</v>
      </c>
    </row>
    <row r="8439" ht="33.75" customHeight="1">
      <c r="A8439" s="6" t="s">
        <v>12416</v>
      </c>
      <c r="B8439" s="6" t="str">
        <f>IFERROR(__xludf.DUMMYFUNCTION("GOOGLETRANSLATE(A8439,""en"",""fi"")"),"Ribombeet vihaavat kastumista tai satamista. Pilvisellä Galarin alueella niitä näkee hyvin harvoin.")</f>
        <v>Ribombeet vihaavat kastumista tai satamista. Pilvisellä Galarin alueella niitä näkee hyvin harvoin.</v>
      </c>
      <c r="C8439" s="9" t="s">
        <v>1344</v>
      </c>
    </row>
    <row r="8440" ht="33.75" customHeight="1">
      <c r="A8440" s="6" t="s">
        <v>12417</v>
      </c>
      <c r="B8440" s="6" t="str">
        <f>IFERROR(__xludf.DUMMYFUNCTION("GOOGLETRANSLATE(A8440,""en"",""fi"")"),"Sitä pidetään hyvänä Pokémonina aloittelijoille ystävällisyytensä vuoksi, mutta sen luonne karhenee kasvaessaan.")</f>
        <v>Sitä pidetään hyvänä Pokémonina aloittelijoille ystävällisyytensä vuoksi, mutta sen luonne karhenee kasvaessaan.</v>
      </c>
      <c r="C8440" s="9" t="s">
        <v>1344</v>
      </c>
    </row>
    <row r="8441" ht="33.75" customHeight="1">
      <c r="A8441" s="6" t="s">
        <v>12419</v>
      </c>
      <c r="B8441" s="6" t="str">
        <f>IFERROR(__xludf.DUMMYFUNCTION("GOOGLETRANSLATE(A8441,""en"",""fi"")"),"Tämä Pokémon on elänyt ihmisten kanssa kauan sitten. Se aistii, milloin sen kouluttaja on alakuloinen, ja pysyy kouluttajansa lähellä.")</f>
        <v>Tämä Pokémon on elänyt ihmisten kanssa kauan sitten. Se aistii, milloin sen kouluttaja on alakuloinen, ja pysyy kouluttajansa lähellä.</v>
      </c>
      <c r="C8441" s="9" t="s">
        <v>1344</v>
      </c>
    </row>
    <row r="8442" ht="33.75" customHeight="1">
      <c r="A8442" s="6" t="s">
        <v>12420</v>
      </c>
      <c r="B8442" s="6" t="str">
        <f>IFERROR(__xludf.DUMMYFUNCTION("GOOGLETRANSLATE(A8442,""en"",""fi"")"),"Kehittyessään niiden luonne muuttuu väkivaltaisemmaksi ja aggressiivisemmaksi. Monet kouluttajat kokevat ne liian vaikeiksi käsitellä ja hylkäävät ne.")</f>
        <v>Kehittyessään niiden luonne muuttuu väkivaltaisemmaksi ja aggressiivisemmaksi. Monet kouluttajat kokevat ne liian vaikeiksi käsitellä ja hylkäävät ne.</v>
      </c>
      <c r="C8442" s="9" t="s">
        <v>1344</v>
      </c>
    </row>
    <row r="8443" ht="33.75" customHeight="1">
      <c r="A8443" s="6" t="s">
        <v>12424</v>
      </c>
      <c r="B8443" s="6" t="str">
        <f>IFERROR(__xludf.DUMMYFUNCTION("GOOGLETRANSLATE(A8443,""en"",""fi"")"),"Kun se hieroo niskassaan olevia kiviä sinua vasten, se on todiste sen rakkaudesta sinua kohtaan. Kivet ovat kuitenkin teräviä, joten ele on melko tuskallinen!")</f>
        <v>Kun se hieroo niskassaan olevia kiviä sinua vasten, se on todiste sen rakkaudesta sinua kohtaan. Kivet ovat kuitenkin teräviä, joten ele on melko tuskallinen!</v>
      </c>
      <c r="C8443" s="9" t="s">
        <v>1344</v>
      </c>
    </row>
    <row r="8444" ht="33.75" customHeight="1">
      <c r="A8444" s="6" t="s">
        <v>12425</v>
      </c>
      <c r="B8444" s="6" t="str">
        <f>IFERROR(__xludf.DUMMYFUNCTION("GOOGLETRANSLATE(A8444,""en"",""fi"")"),"Tämä Pokémon voi kiintyä erittäin vahvasti kouluttajaansa, mutta sillä on myös tapana purra. Rockruffin kasvattaminen pitkään voi olla haastavaa.")</f>
        <v>Tämä Pokémon voi kiintyä erittäin vahvasti kouluttajaansa, mutta sillä on myös tapana purra. Rockruffin kasvattaminen pitkään voi olla haastavaa.</v>
      </c>
      <c r="C8444" s="9" t="s">
        <v>1344</v>
      </c>
    </row>
    <row r="8445" ht="33.75" customHeight="1">
      <c r="A8445" s="6" t="s">
        <v>12427</v>
      </c>
      <c r="B8445" s="6" t="str">
        <f>IFERROR(__xludf.DUMMYFUNCTION("GOOGLETRANSLATE(A8445,""en"",""fi"")"),"Tämä Pokémon pelottelee vastustajia lyömällä maahan kaulassaan olevilla kivillä. Heti kun vastustaja säpsähtää, Rockruff hyökkää.")</f>
        <v>Tämä Pokémon pelottelee vastustajia lyömällä maahan kaulassaan olevilla kivillä. Heti kun vastustaja säpsähtää, Rockruff hyökkää.</v>
      </c>
      <c r="C8445" s="9" t="s">
        <v>1344</v>
      </c>
    </row>
    <row r="8446" ht="33.75" customHeight="1">
      <c r="A8446" s="6" t="s">
        <v>12429</v>
      </c>
      <c r="B8446" s="6" t="str">
        <f>IFERROR(__xludf.DUMMYFUNCTION("GOOGLETRANSLATE(A8446,""en"",""fi"")"),"Sen nopeat liikkeet hämmentävät vihollisia. Se on hyvin varustautunut kynsillään ja hampaillaan ja käyttää harjansa teräviä kiviä aseina.")</f>
        <v>Sen nopeat liikkeet hämmentävät vihollisia. Se on hyvin varustautunut kynsillään ja hampaillaan ja käyttää harjansa teräviä kiviä aseina.</v>
      </c>
      <c r="C8446" s="9" t="s">
        <v>1344</v>
      </c>
    </row>
    <row r="8447" ht="33.75" customHeight="1">
      <c r="A8447" s="6" t="s">
        <v>12431</v>
      </c>
      <c r="B8447" s="6" t="str">
        <f>IFERROR(__xludf.DUMMYFUNCTION("GOOGLETRANSLATE(A8447,""en"",""fi"")"),"Kun sitä kasvatetaan oikein nuoresta iästä lähtien, siitä tulee luotettava kumppani, joka ei koskaan petä kouluttajaansa.")</f>
        <v>Kun sitä kasvatetaan oikein nuoresta iästä lähtien, siitä tulee luotettava kumppani, joka ei koskaan petä kouluttajaansa.</v>
      </c>
      <c r="C8447" s="9" t="s">
        <v>1344</v>
      </c>
    </row>
    <row r="8448" ht="33.75" customHeight="1">
      <c r="A8448" s="6" t="s">
        <v>12433</v>
      </c>
      <c r="B8448" s="6" t="str">
        <f>IFERROR(__xludf.DUMMYFUNCTION("GOOGLETRANSLATE(A8448,""en"",""fi"")"),"Sen harjan terävät kivet voivat viiltää kuin veitset. Lycanroc kuluttaa saaliinsa vähitellen ennen kuin lopettaa sen.")</f>
        <v>Sen harjan terävät kivet voivat viiltää kuin veitset. Lycanroc kuluttaa saaliinsa vähitellen ennen kuin lopettaa sen.</v>
      </c>
      <c r="C8448" s="9" t="s">
        <v>1344</v>
      </c>
    </row>
    <row r="8449" ht="33.75" customHeight="1">
      <c r="A8449" s="6" t="s">
        <v>12435</v>
      </c>
      <c r="B8449" s="6" t="str">
        <f>IFERROR(__xludf.DUMMYFUNCTION("GOOGLETRANSLATE(A8449,""en"",""fi"")"),"Sen harjan kivet ovat terävämpiä kuin veitsi. Irtoavia sirpaleita vaalitaan onnenkaluina.")</f>
        <v>Sen harjan kivet ovat terävämpiä kuin veitsi. Irtoavia sirpaleita vaalitaan onnenkaluina.</v>
      </c>
      <c r="C8449" s="9" t="s">
        <v>1344</v>
      </c>
    </row>
    <row r="8450" ht="33.75" customHeight="1">
      <c r="A8450" s="6" t="s">
        <v>12436</v>
      </c>
      <c r="B8450" s="6" t="str">
        <f>IFERROR(__xludf.DUMMYFUNCTION("GOOGLETRANSLATE(A8450,""en"",""fi"")"),"Tämä Lycanroc on rauhallinen ja varovainen. Sen harjasta törröttävät kivet ovat partaveitsen teräviä.")</f>
        <v>Tämä Lycanroc on rauhallinen ja varovainen. Sen harjasta törröttävät kivet ovat partaveitsen teräviä.</v>
      </c>
      <c r="C8450" s="9" t="s">
        <v>1344</v>
      </c>
    </row>
    <row r="8451" ht="33.75" customHeight="1">
      <c r="A8451" s="6" t="s">
        <v>12440</v>
      </c>
      <c r="B8451" s="6" t="str">
        <f>IFERROR(__xludf.DUMMYFUNCTION("GOOGLETRANSLATE(A8451,""en"",""fi"")"),"Nopeilla liikkeillä tämä Pokémon ajaa saaliinsa vähitellen nurkkaan. Lycanrocin torahampaat on aina suunnattu vastustajien heikkoihin kohtiin.")</f>
        <v>Nopeilla liikkeillä tämä Pokémon ajaa saaliinsa vähitellen nurkkaan. Lycanrocin torahampaat on aina suunnattu vastustajien heikkoihin kohtiin.</v>
      </c>
      <c r="C8451" s="9" t="s">
        <v>1344</v>
      </c>
    </row>
    <row r="8452" ht="33.75" customHeight="1">
      <c r="A8452" s="6" t="s">
        <v>12442</v>
      </c>
      <c r="B8452" s="6" t="str">
        <f>IFERROR(__xludf.DUMMYFUNCTION("GOOGLETRANSLATE(A8452,""en"",""fi"")"),"Kun se on vaikeuksissa, sen silmät kostuvat ja alkavat loistaa. Loistava valo vetää puoleensa sen tovereita, ja he puolustavat yhdessä vihollisiaan vastaan.")</f>
        <v>Kun se on vaikeuksissa, sen silmät kostuvat ja alkavat loistaa. Loistava valo vetää puoleensa sen tovereita, ja he puolustavat yhdessä vihollisiaan vastaan.</v>
      </c>
      <c r="C8452" s="9" t="s">
        <v>1344</v>
      </c>
    </row>
    <row r="8453" ht="33.75" customHeight="1">
      <c r="A8453" s="6" t="s">
        <v>12444</v>
      </c>
      <c r="B8453" s="6" t="str">
        <f>IFERROR(__xludf.DUMMYFUNCTION("GOOGLETRANSLATE(A8453,""en"",""fi"")"),"Se on kamalan laihaa ja huomattavan maukasta, joten kaikki ovat aina sen perässä. Sattumalta jokainen, joka yrittää kiusata sitä, saa tuskallisen opetuksen.")</f>
        <v>Se on kamalan laihaa ja huomattavan maukasta, joten kaikki ovat aina sen perässä. Sattumalta jokainen, joka yrittää kiusata sitä, saa tuskallisen opetuksen.</v>
      </c>
      <c r="C8453" s="9" t="s">
        <v>1344</v>
      </c>
    </row>
    <row r="8454" ht="33.75" customHeight="1">
      <c r="A8454" s="6" t="s">
        <v>12446</v>
      </c>
      <c r="B8454" s="6" t="str">
        <f>IFERROR(__xludf.DUMMYFUNCTION("GOOGLETRANSLATE(A8454,""en"",""fi"")"),"Ne ovat heikkoja, joten ne liikkuvat kouluissa. Ne voidaan kuitenkin usein nähdä myös aivan yksin, eksyneinä koulusta.")</f>
        <v>Ne ovat heikkoja, joten ne liikkuvat kouluissa. Ne voidaan kuitenkin usein nähdä myös aivan yksin, eksyneinä koulusta.</v>
      </c>
      <c r="C8454" s="9" t="s">
        <v>1344</v>
      </c>
    </row>
    <row r="8455" ht="33.75" customHeight="1">
      <c r="A8455" s="6" t="s">
        <v>12447</v>
      </c>
      <c r="B8455" s="6" t="str">
        <f>IFERROR(__xludf.DUMMYFUNCTION("GOOGLETRANSLATE(A8455,""en"",""fi"")"),"Ruuhkassa ollessaan sen loistavat silmät vetävät puoleensa muita lajitovereitaan. Sen silmien valo näkyy lähes 40 kilometrin päähän.")</f>
        <v>Ruuhkassa ollessaan sen loistavat silmät vetävät puoleensa muita lajitovereitaan. Sen silmien valo näkyy lähes 40 kilometrin päähän.</v>
      </c>
      <c r="C8455" s="9" t="s">
        <v>1344</v>
      </c>
    </row>
    <row r="8456" ht="33.75" customHeight="1">
      <c r="A8456" s="6" t="s">
        <v>12448</v>
      </c>
      <c r="B8456" s="6" t="str">
        <f>IFERROR(__xludf.DUMMYFUNCTION("GOOGLETRANSLATE(A8456,""en"",""fi"")"),"Yksilöinä he ovat uskomattoman heikkoja. He pystyvät kohtaamaan vastustajat kerääntymällä kouluiksi.")</f>
        <v>Yksilöinä he ovat uskomattoman heikkoja. He pystyvät kohtaamaan vastustajat kerääntymällä kouluiksi.</v>
      </c>
      <c r="C8456" s="9" t="s">
        <v>1344</v>
      </c>
    </row>
    <row r="8457" ht="33.75" customHeight="1">
      <c r="A8457" s="6" t="s">
        <v>12449</v>
      </c>
      <c r="B8457" s="6" t="str">
        <f>IFERROR(__xludf.DUMMYFUNCTION("GOOGLETRANSLATE(A8457,""en"",""fi"")"),"Kun se aistii vaaran, sen silmät kostuvat. Sen kyynelten kimallus viestii muille Wishiwasheille, että heidän on kokoontuttava.")</f>
        <v>Kun se aistii vaaran, sen silmät kostuvat. Sen kyynelten kimallus viestii muille Wishiwasheille, että heidän on kokoontuttava.</v>
      </c>
      <c r="C8457" s="9" t="s">
        <v>1344</v>
      </c>
    </row>
    <row r="8458" ht="33.75" customHeight="1">
      <c r="A8458" s="6" t="s">
        <v>12450</v>
      </c>
      <c r="B8458" s="6" t="str">
        <f>IFERROR(__xludf.DUMMYFUNCTION("GOOGLETRANSLATE(A8458,""en"",""fi"")"),"Se iskee päässään olevan myrkkypiikin saaliiseensa. Kun saalis on heikentynyt, Mareanie antaa viimeisen iskun kymmenellä lonkerollaan.")</f>
        <v>Se iskee päässään olevan myrkkypiikin saaliiseensa. Kun saalis on heikentynyt, Mareanie antaa viimeisen iskun kymmenellä lonkerollaan.</v>
      </c>
      <c r="C8458" s="9" t="s">
        <v>1344</v>
      </c>
    </row>
    <row r="8459" ht="33.75" customHeight="1">
      <c r="A8459" s="6" t="s">
        <v>12452</v>
      </c>
      <c r="B8459" s="6" t="str">
        <f>IFERROR(__xludf.DUMMYFUNCTION("GOOGLETRANSLATE(A8459,""en"",""fi"")"),"Sitä tavataan ryömimässä rannoilla ja merenpohjassa. Corsolan päässä kasvava koralli on tälle Pokémonille kuin viiden tähden juhla-ateria.")</f>
        <v>Sitä tavataan ryömimässä rannoilla ja merenpohjassa. Corsolan päässä kasvava koralli on tälle Pokémonille kuin viiden tähden juhla-ateria.</v>
      </c>
      <c r="C8459" s="9" t="s">
        <v>1344</v>
      </c>
    </row>
    <row r="8460" ht="33.75" customHeight="1">
      <c r="A8460" s="6" t="s">
        <v>12453</v>
      </c>
      <c r="B8460" s="6" t="str">
        <f>IFERROR(__xludf.DUMMYFUNCTION("GOOGLETRANSLATE(A8460,""en"",""fi"")"),"Ne syövät Corsolan oksia, joten käsityöläiset, jotka työskentelevät luonnostaan ​​pudonneiden Corsolan oksien kanssa, vihaavat Mareanie-kanoja.")</f>
        <v>Ne syövät Corsolan oksia, joten käsityöläiset, jotka työskentelevät luonnostaan ​​pudonneiden Corsolan oksien kanssa, vihaavat Mareanie-kanoja.</v>
      </c>
      <c r="C8460" s="9" t="s">
        <v>1344</v>
      </c>
    </row>
    <row r="8461" ht="33.75" customHeight="1">
      <c r="A8461" s="6" t="s">
        <v>12455</v>
      </c>
      <c r="B8461" s="6" t="str">
        <f>IFERROR(__xludf.DUMMYFUNCTION("GOOGLETRANSLATE(A8461,""en"",""fi"")"),"Päätä lukuun ottamatta sen ruumiinosat uusiutuvat nopeasti, jos ne katkaistaan. Hyvin nukutun yön jälkeen Mareanie on taas normaali.")</f>
        <v>Päätä lukuun ottamatta sen ruumiinosat uusiutuvat nopeasti, jos ne katkaistaan. Hyvin nukutun yön jälkeen Mareanie on taas normaali.</v>
      </c>
      <c r="C8461" s="9" t="s">
        <v>1344</v>
      </c>
    </row>
    <row r="8462" ht="33.75" customHeight="1">
      <c r="A8462" s="6" t="s">
        <v>12456</v>
      </c>
      <c r="B8462" s="6" t="str">
        <f>IFERROR(__xludf.DUMMYFUNCTION("GOOGLETRANSLATE(A8462,""en"",""fi"")"),"Sen piston ensimmäinen oire on tunnottomuus. Seuraava on kutina, joka on niin voimakasta, että on mahdotonta vastustaa halua raapia ihoa.")</f>
        <v>Sen piston ensimmäinen oire on tunnottomuus. Seuraava on kutina, joka on niin voimakasta, että on mahdotonta vastustaa halua raapia ihoa.</v>
      </c>
      <c r="C8462" s="9" t="s">
        <v>1344</v>
      </c>
    </row>
    <row r="8463" ht="33.75" customHeight="1">
      <c r="A8463" s="6" t="s">
        <v>12457</v>
      </c>
      <c r="B8463" s="6" t="str">
        <f>IFERROR(__xludf.DUMMYFUNCTION("GOOGLETRANSLATE(A8463,""en"",""fi"")"),"Toisin kuin alolaiset kollegansa, Galarin alueen mareaniet eivät ole vielä tajunneet, että Corsolan oksat ovat herkullisia.")</f>
        <v>Toisin kuin alolaiset kollegansa, Galarin alueen mareaniet eivät ole vielä tajunneet, että Corsolan oksat ovat herkullisia.</v>
      </c>
      <c r="C8463" s="9" t="s">
        <v>1344</v>
      </c>
    </row>
    <row r="8464" ht="33.75" customHeight="1">
      <c r="A8464" s="6" t="s">
        <v>12458</v>
      </c>
      <c r="B8464" s="6" t="str">
        <f>IFERROR(__xludf.DUMMYFUNCTION("GOOGLETRANSLATE(A8464,""en"",""fi"")"),"Toxapex ryömii merenpohjaa pitkin 12 jalallaan. Se jättää jälkeensä vanan Corsolan palasista.")</f>
        <v>Toxapex ryömii merenpohjaa pitkin 12 jalallaan. Se jättää jälkeensä vanan Corsolan palasista.</v>
      </c>
      <c r="C8464" s="9" t="s">
        <v>1344</v>
      </c>
    </row>
    <row r="8465" ht="33.75" customHeight="1">
      <c r="A8465" s="6" t="s">
        <v>12460</v>
      </c>
      <c r="B8465" s="6" t="str">
        <f>IFERROR(__xludf.DUMMYFUNCTION("GOOGLETRANSLATE(A8465,""en"",""fi"")"),"Toxapexin myrkyn kohteeksi joutuneet kärsivät voimakkaasta kivusta kolmen päivän ja kolmen yön ajan. Toipumisen jälkeen on joitakin jälkivaikutuksia.")</f>
        <v>Toxapexin myrkyn kohteeksi joutuneet kärsivät voimakkaasta kivusta kolmen päivän ja kolmen yön ajan. Toipumisen jälkeen on joitakin jälkivaikutuksia.</v>
      </c>
      <c r="C8465" s="9" t="s">
        <v>1344</v>
      </c>
    </row>
    <row r="8466" ht="33.75" customHeight="1">
      <c r="A8466" s="6" t="s">
        <v>12462</v>
      </c>
      <c r="B8466" s="6" t="str">
        <f>IFERROR(__xludf.DUMMYFUNCTION("GOOGLETRANSLATE(A8466,""en"",""fi"")"),"Hyökätäkseen tämä Pokémon lähettää myrkyllisiä piikkejä vihollisiaan kohti. Lähelle tulevat piikit niitetään alas sen jalkojen kynsillä.")</f>
        <v>Hyökätäkseen tämä Pokémon lähettää myrkyllisiä piikkejä vihollisiaan kohti. Lähelle tulevat piikit niitetään alas sen jalkojen kynsillä.</v>
      </c>
      <c r="C8466" s="9" t="s">
        <v>1344</v>
      </c>
    </row>
    <row r="8467" ht="33.75" customHeight="1">
      <c r="A8467" s="6" t="s">
        <v>12465</v>
      </c>
      <c r="B8467" s="6" t="str">
        <f>IFERROR(__xludf.DUMMYFUNCTION("GOOGLETRANSLATE(A8467,""en"",""fi"")"),"12 jalallaan se luo kupolin suojaan. Vuoroveden virtaus ei vaikuta siellä olevaan Toxapexiin, joten se on erittäin mukava.")</f>
        <v>12 jalallaan se luo kupolin suojaan. Vuoroveden virtaus ei vaikuta siellä olevaan Toxapexiin, joten se on erittäin mukava.</v>
      </c>
      <c r="C8467" s="9" t="s">
        <v>1344</v>
      </c>
    </row>
    <row r="8468" ht="33.75" customHeight="1">
      <c r="A8468" s="6" t="s">
        <v>12467</v>
      </c>
      <c r="B8468" s="6" t="str">
        <f>IFERROR(__xludf.DUMMYFUNCTION("GOOGLETRANSLATE(A8468,""en"",""fi"")"),"Selviytyäkseen Galarin kylmissä vesissä tämä Pokémon muodostaa jaloillaan kupolin, joka ympäröi sen ruumiin, jotta se voi kerätä omaa ruumiinlämpöään.")</f>
        <v>Selviytyäkseen Galarin kylmissä vesissä tämä Pokémon muodostaa jaloillaan kupolin, joka ympäröi sen ruumiin, jotta se voi kerätä omaa ruumiinlämpöään.</v>
      </c>
      <c r="C8468" s="9" t="s">
        <v>1344</v>
      </c>
    </row>
    <row r="8469" ht="33.75" customHeight="1">
      <c r="A8469" s="6" t="s">
        <v>12469</v>
      </c>
      <c r="B8469" s="6" t="str">
        <f>IFERROR(__xludf.DUMMYFUNCTION("GOOGLETRANSLATE(A8469,""en"",""fi"")"),"Sen kehon myrkkypussissa on niin myrkyllistä myrkkyä, että jopa Wailordin kokoiset Pokémonit kärsivät siitä vielä kolme päivää sen vaikutuksen alkamisen jälkeen.")</f>
        <v>Sen kehon myrkkypussissa on niin myrkyllistä myrkkyä, että jopa Wailordin kokoiset Pokémonit kärsivät siitä vielä kolme päivää sen vaikutuksen alkamisen jälkeen.</v>
      </c>
      <c r="C8469" s="9" t="s">
        <v>1344</v>
      </c>
    </row>
    <row r="8470" ht="33.75" customHeight="1">
      <c r="A8470" s="6" t="s">
        <v>12473</v>
      </c>
      <c r="B8470" s="6" t="str">
        <f>IFERROR(__xludf.DUMMYFUNCTION("GOOGLETRANSLATE(A8470,""en"",""fi"")"),"Mudbrayn kavioihin tarttunut muta parantaa sen pitoa ja voimakasta juoksuaskelta.")</f>
        <v>Mudbrayn kavioihin tarttunut muta parantaa sen pitoa ja voimakasta juoksuaskelta.</v>
      </c>
      <c r="C8470" s="9" t="s">
        <v>1344</v>
      </c>
    </row>
    <row r="8471" ht="33.75" customHeight="1">
      <c r="A8471" s="6" t="s">
        <v>12475</v>
      </c>
      <c r="B8471" s="6" t="str">
        <f>IFERROR(__xludf.DUMMYFUNCTION("GOOGLETRANSLATE(A8471,""en"",""fi"")"),"Sillä on itsepäinen ja individualistinen luonne. Maaperän syöminen, mudan tekeminen ja mudassa leikkiminen ovat kaikki osa sen päivittäistä rutiinia.")</f>
        <v>Sillä on itsepäinen ja individualistinen luonne. Maaperän syöminen, mudan tekeminen ja mudassa leikkiminen ovat kaikki osa sen päivittäistä rutiinia.</v>
      </c>
      <c r="C8471" s="9" t="s">
        <v>1344</v>
      </c>
    </row>
    <row r="8472" ht="33.75" customHeight="1">
      <c r="A8472" s="6" t="s">
        <v>12477</v>
      </c>
      <c r="B8472" s="6" t="str">
        <f>IFERROR(__xludf.DUMMYFUNCTION("GOOGLETRANSLATE(A8472,""en"",""fi"")"),"Se rakastaa mudassa leikkimistä. Jos sitä ei suihkuteta mudalla päivittäin, se stressaantuu eikä enää kuuntele kouluttajaansa.")</f>
        <v>Se rakastaa mudassa leikkimistä. Jos sitä ei suihkuteta mudalla päivittäin, se stressaantuu eikä enää kuuntele kouluttajaansa.</v>
      </c>
      <c r="C8472" s="9" t="s">
        <v>1344</v>
      </c>
    </row>
    <row r="8473" ht="33.75" customHeight="1">
      <c r="A8473" s="6" t="s">
        <v>12479</v>
      </c>
      <c r="B8473" s="6" t="str">
        <f>IFERROR(__xludf.DUMMYFUNCTION("GOOGLETRANSLATE(A8473,""en"",""fi"")"),"Mahtavan voimansa omaava Mudbray voidaan kuormittaa 50 kertaa oman painonsa verran, eikä se haittaa mitään.")</f>
        <v>Mahtavan voimansa omaava Mudbray voidaan kuormittaa 50 kertaa oman painonsa verran, eikä se haittaa mitään.</v>
      </c>
      <c r="C8473" s="9" t="s">
        <v>1344</v>
      </c>
    </row>
    <row r="8474" ht="33.75" customHeight="1">
      <c r="A8474" s="6" t="s">
        <v>12480</v>
      </c>
      <c r="B8474" s="6" t="str">
        <f>IFERROR(__xludf.DUMMYFUNCTION("GOOGLETRANSLATE(A8474,""en"",""fi"")"),"Jopa 50 kertaa sen oman painon painavat kuormat eivät ole tälle Pokémonille ongelma. Se on taitava käyttämään mutaa hyväkseen.")</f>
        <v>Jopa 50 kertaa sen oman painon painavat kuormat eivät ole tälle Pokémonille ongelma. Se on taitava käyttämään mutaa hyväkseen.</v>
      </c>
      <c r="C8474" s="9" t="s">
        <v>1344</v>
      </c>
    </row>
    <row r="8475" ht="33.75" customHeight="1">
      <c r="A8475" s="6" t="s">
        <v>12481</v>
      </c>
      <c r="B8475" s="6" t="str">
        <f>IFERROR(__xludf.DUMMYFUNCTION("GOOGLETRANSLATE(A8475,""en"",""fi"")"),"Se syö multaa luodakseen mutaa ja sivelee tätä mutaa kaikkialle jalkoihinsa, mikä antaa niille tarvittavan pidon kävellä epätasaisessa maastossa liukastumatta.")</f>
        <v>Se syö multaa luodakseen mutaa ja sivelee tätä mutaa kaikkialle jalkoihinsa, mikä antaa niille tarvittavan pidon kävellä epätasaisessa maastossa liukastumatta.</v>
      </c>
      <c r="C8475" s="9" t="s">
        <v>1344</v>
      </c>
    </row>
    <row r="8476" ht="33.75" customHeight="1">
      <c r="A8476" s="6" t="s">
        <v>12483</v>
      </c>
      <c r="B8476" s="6" t="str">
        <f>IFERROR(__xludf.DUMMYFUNCTION("GOOGLETRANSLATE(A8476,""en"",""fi"")"),"Se sylkee mutaa, joka kestää sekä tuulta että sadetta, joten vanhojen talojen seinät päällystettiin usein sillä.")</f>
        <v>Se sylkee mutaa, joka kestää sekä tuulta että sadetta, joten vanhojen talojen seinät päällystettiin usein sillä.</v>
      </c>
      <c r="C8476" s="9" t="s">
        <v>1344</v>
      </c>
    </row>
    <row r="8477" ht="33.75" customHeight="1">
      <c r="A8477" s="6" t="s">
        <v>12484</v>
      </c>
      <c r="B8477" s="6" t="str">
        <f>IFERROR(__xludf.DUMMYFUNCTION("GOOGLETRANSLATE(A8477,""en"",""fi"")"),"Sen raskaat, mudassa peitetyt potkut ovat sen paras hyökkäyskeino, ja sillä voi romuttaa suuretkin kuorma-autot hikoilematta.")</f>
        <v>Sen raskaat, mudassa peitetyt potkut ovat sen paras hyökkäyskeino, ja sillä voi romuttaa suuretkin kuorma-autot hikoilematta.</v>
      </c>
      <c r="C8477" s="9" t="s">
        <v>1344</v>
      </c>
    </row>
    <row r="8478" ht="33.75" customHeight="1">
      <c r="A8478" s="6" t="s">
        <v>12485</v>
      </c>
      <c r="B8478" s="6" t="str">
        <f>IFERROR(__xludf.DUMMYFUNCTION("GOOGLETRANSLATE(A8478,""en"",""fi"")"),"Se pysyy rauhallisena ja liikkumattomana tilanteesta riippumatta. Se sekoittaa suussaan sylkeen likaa muodostaen erityisen mudan.")</f>
        <v>Se pysyy rauhallisena ja liikkumattomana tilanteesta riippumatta. Se sekoittaa suussaan sylkeen likaa muodostaen erityisen mudan.</v>
      </c>
      <c r="C8478" s="9" t="s">
        <v>1344</v>
      </c>
    </row>
    <row r="8479" ht="33.75" customHeight="1">
      <c r="A8479" s="6" t="s">
        <v>12487</v>
      </c>
      <c r="B8479" s="6" t="str">
        <f>IFERROR(__xludf.DUMMYFUNCTION("GOOGLETRANSLATE(A8479,""en"",""fi"")"),"Se voi tarpoa vuoristoteitä lepäämättä kolme päivää ja kolme yötä, koko ajan raahaten 10 tonnin kuormaa.")</f>
        <v>Se voi tarpoa vuoristoteitä lepäämättä kolme päivää ja kolme yötä, koko ajan raahaten 10 tonnin kuormaa.</v>
      </c>
      <c r="C8479" s="9" t="s">
        <v>1344</v>
      </c>
    </row>
    <row r="8480" ht="33.75" customHeight="1">
      <c r="A8480" s="6" t="s">
        <v>12489</v>
      </c>
      <c r="B8480" s="6" t="str">
        <f>IFERROR(__xludf.DUMMYFUNCTION("GOOGLETRANSLATE(A8480,""en"",""fi"")"),"Mudsdalen jalkojen ympärille kovettunut muta kovettuu kiveä kovempaa. Se on niin kovaa, että tämä Pokémon voi romuttaa rekan yhdellä potkulla.")</f>
        <v>Mudsdalen jalkojen ympärille kovettunut muta kovettuu kiveä kovempaa. Se on niin kovaa, että tämä Pokémon voi romuttaa rekan yhdellä potkulla.</v>
      </c>
      <c r="C8480" s="9" t="s">
        <v>1344</v>
      </c>
    </row>
    <row r="8481" ht="33.75" customHeight="1">
      <c r="A8481" s="6" t="s">
        <v>12490</v>
      </c>
      <c r="B8481" s="6" t="str">
        <f>IFERROR(__xludf.DUMMYFUNCTION("GOOGLETRANSLATE(A8481,""en"",""fi"")"),"Mudsdalella on niin paljon kestävyyttä, että se voisi kantaa yli 10 tonnia Galarin alueen halki ilman lepoa tai unta.")</f>
        <v>Mudsdalella on niin paljon kestävyyttä, että se voisi kantaa yli 10 tonnia Galarin alueen halki ilman lepoa tai unta.</v>
      </c>
      <c r="C8481" s="9" t="s">
        <v>1344</v>
      </c>
    </row>
    <row r="8482" ht="33.75" customHeight="1">
      <c r="A8482" s="6" t="s">
        <v>12491</v>
      </c>
      <c r="B8482" s="6" t="str">
        <f>IFERROR(__xludf.DUMMYFUNCTION("GOOGLETRANSLATE(A8482,""en"",""fi"")"),"Se ryömii maalle etsimään ruokaa. Sen vesikupla mahdollistaa hengityksen ja suojaa pehmeää päätään.")</f>
        <v>Se ryömii maalle etsimään ruokaa. Sen vesikupla mahdollistaa hengityksen ja suojaa pehmeää päätään.</v>
      </c>
      <c r="C8482" s="9" t="s">
        <v>1344</v>
      </c>
    </row>
    <row r="8483" ht="33.75" customHeight="1">
      <c r="A8483" s="6" t="s">
        <v>12493</v>
      </c>
      <c r="B8483" s="6" t="str">
        <f>IFERROR(__xludf.DUMMYFUNCTION("GOOGLETRANSLATE(A8483,""en"",""fi"")"),"Kohdatessaan vihollisia tai mahdollisen saaliin, tämä Pokémon iskee vesikuplien peittämän päänsä heihin.")</f>
        <v>Kohdatessaan vihollisia tai mahdollisen saaliin, tämä Pokémon iskee vesikuplien peittämän päänsä heihin.</v>
      </c>
      <c r="C8483" s="9" t="s">
        <v>1344</v>
      </c>
    </row>
    <row r="8484" ht="33.75" customHeight="1">
      <c r="A8484" s="6" t="s">
        <v>12494</v>
      </c>
      <c r="B8484" s="6" t="str">
        <f>IFERROR(__xludf.DUMMYFUNCTION("GOOGLETRANSLATE(A8484,""en"",""fi"")"),"Kun kaksi kastehämähäkkiä kohtaavat, ne esittelevät vesikupliaan toisilleen. Sitten se, jolla on pienempi kupla, väistyy toisen tieltä.")</f>
        <v>Kun kaksi kastehämähäkkiä kohtaavat, ne esittelevät vesikupliaan toisilleen. Sitten se, jolla on pienempi kupla, väistyy toisen tieltä.</v>
      </c>
      <c r="C8484" s="9" t="s">
        <v>1344</v>
      </c>
    </row>
    <row r="8485" ht="33.75" customHeight="1">
      <c r="A8485" s="6" t="s">
        <v>12496</v>
      </c>
      <c r="B8485" s="6" t="str">
        <f>IFERROR(__xludf.DUMMYFUNCTION("GOOGLETRANSLATE(A8485,""en"",""fi"")"),"Se voi hengittää vain veteen liuennutta happea, joten sillä on päässään vesikupla kävellessään maalla.")</f>
        <v>Se voi hengittää vain veteen liuennutta happea, joten sillä on päässään vesikupla kävellessään maalla.</v>
      </c>
      <c r="C8485" s="9" t="s">
        <v>1344</v>
      </c>
    </row>
    <row r="8486" ht="33.75" customHeight="1">
      <c r="A8486" s="6" t="s">
        <v>12498</v>
      </c>
      <c r="B8486" s="6" t="str">
        <f>IFERROR(__xludf.DUMMYFUNCTION("GOOGLETRANSLATE(A8486,""en"",""fi"")"),"Se muodostaa vesikuplan ruumiinsa takaosaan ja peittää sitten päänsä sillä. Toisen kastehämähäkin tapaaminen tarkoittaa vesikuplien koon vertailua.")</f>
        <v>Se muodostaa vesikuplan ruumiinsa takaosaan ja peittää sitten päänsä sillä. Toisen kastehämähäkin tapaaminen tarkoittaa vesikuplien koon vertailua.</v>
      </c>
      <c r="C8486" s="9" t="s">
        <v>1344</v>
      </c>
    </row>
    <row r="8487" ht="33.75" customHeight="1">
      <c r="A8487" s="6" t="s">
        <v>12499</v>
      </c>
      <c r="B8487" s="6" t="str">
        <f>IFERROR(__xludf.DUMMYFUNCTION("GOOGLETRANSLATE(A8487,""en"",""fi"")"),"Kastihämähäkki elää normaalisti veden alla. Kun se tulee maihin etsimään ruokaa, se ottaa vettä mukaansa päähänsä muodostuneen kuplan muodossa.")</f>
        <v>Kastihämähäkki elää normaalisti veden alla. Kun se tulee maihin etsimään ruokaa, se ottaa vettä mukaansa päähänsä muodostuneen kuplan muodossa.</v>
      </c>
      <c r="C8487" s="9" t="s">
        <v>1344</v>
      </c>
    </row>
    <row r="8488" ht="33.75" customHeight="1">
      <c r="A8488" s="6" t="s">
        <v>12500</v>
      </c>
      <c r="B8488" s="6" t="str">
        <f>IFERROR(__xludf.DUMMYFUNCTION("GOOGLETRANSLATE(A8488,""en"",""fi"")"),"Se suorittaa pääniskuja vesikupla päässään. Pienet Pokémonit imeytyvät kuplaan, jossa ne hukkuvat.")</f>
        <v>Se suorittaa pääniskuja vesikupla päässään. Pienet Pokémonit imeytyvät kuplaan, jossa ne hukkuvat.</v>
      </c>
      <c r="C8488" s="9" t="s">
        <v>1344</v>
      </c>
    </row>
    <row r="8489" ht="33.75" customHeight="1">
      <c r="A8489" s="6" t="s">
        <v>12502</v>
      </c>
      <c r="B8489" s="6" t="str">
        <f>IFERROR(__xludf.DUMMYFUNCTION("GOOGLETRANSLATE(A8489,""en"",""fi"")"),"Ulkonäöstään huolimatta se välittää muista. Jos se löytää haavoittuvia, heikkoja Pokémoneja, se tuo ne suojelevasti vesikuplaansa.")</f>
        <v>Ulkonäöstään huolimatta se välittää muista. Jos se löytää haavoittuvia, heikkoja Pokémoneja, se tuo ne suojelevasti vesikuplaansa.</v>
      </c>
      <c r="C8489" s="9" t="s">
        <v>1344</v>
      </c>
    </row>
    <row r="8490" ht="33.75" customHeight="1">
      <c r="A8490" s="6" t="s">
        <v>12503</v>
      </c>
      <c r="B8490" s="6" t="str">
        <f>IFERROR(__xludf.DUMMYFUNCTION("GOOGLETRANSLATE(A8490,""en"",""fi"")"),"Se viettää yleensä aikansa vedessä. Kun sen vatsa on täynnä, se säilöö hillityn saaliinsa päänsä vesikuplaan.")</f>
        <v>Se viettää yleensä aikansa vedessä. Kun sen vatsa on täynnä, se säilöö hillityn saaliinsa päänsä vesikuplaan.</v>
      </c>
      <c r="C8490" s="9" t="s">
        <v>1344</v>
      </c>
    </row>
    <row r="8491" ht="33.75" customHeight="1">
      <c r="A8491" s="6" t="s">
        <v>12505</v>
      </c>
      <c r="B8491" s="6" t="str">
        <f>IFERROR(__xludf.DUMMYFUNCTION("GOOGLETRANSLATE(A8491,""en"",""fi"")"),"Sillä on tapana säilyttää arvokkaita asioita vesikuplassaan. Jos sen kouluttaja ei ole varuillaan, Araquanid yrittää laittaa ne sen kuplaan!")</f>
        <v>Sillä on tapana säilyttää arvokkaita asioita vesikuplassaan. Jos sen kouluttaja ei ole varuillaan, Araquanid yrittää laittaa ne sen kuplaan!</v>
      </c>
      <c r="C8491" s="9" t="s">
        <v>1344</v>
      </c>
    </row>
    <row r="8492" ht="33.75" customHeight="1">
      <c r="A8492" s="6" t="s">
        <v>12506</v>
      </c>
      <c r="B8492" s="6" t="str">
        <f>IFERROR(__xludf.DUMMYFUNCTION("GOOGLETRANSLATE(A8492,""en"",""fi"")"),"Se laukaisee vesikuplia jaloillaan hukuttaen saaliinsa kupliin. Tämä Pokémon voi sitten nauttia ateriastaan ​​rauhassa.")</f>
        <v>Se laukaisee vesikuplia jaloillaan hukuttaen saaliinsa kupliin. Tämä Pokémon voi sitten nauttia ateriastaan ​​rauhassa.</v>
      </c>
      <c r="C8492" s="9" t="s">
        <v>1344</v>
      </c>
    </row>
    <row r="8493" ht="33.75" customHeight="1">
      <c r="A8493" s="6" t="s">
        <v>12507</v>
      </c>
      <c r="B8493" s="6" t="str">
        <f>IFERROR(__xludf.DUMMYFUNCTION("GOOGLETRANSLATE(A8493,""en"",""fi"")"),"Se toimii Kastehämähäkin hoitajana laittamalla ne omaan kuplaansa ja antamalla niiden syödä jäljelle jääneen ruoan.")</f>
        <v>Se toimii Kastehämähäkin hoitajana laittamalla ne omaan kuplaansa ja antamalla niiden syödä jäljelle jääneen ruoan.</v>
      </c>
      <c r="C8493" s="9" t="s">
        <v>1344</v>
      </c>
    </row>
    <row r="8494" ht="33.75" customHeight="1">
      <c r="A8494" s="6" t="s">
        <v>12508</v>
      </c>
      <c r="B8494" s="6" t="str">
        <f>IFERROR(__xludf.DUMMYFUNCTION("GOOGLETRANSLATE(A8494,""en"",""fi"")"),"Päivällä se nukkuu ja nauttii valosta. Yön laskeutuessa se kävelee ympäriinsä etsien turvallisempaa nukkumapaikkaa.")</f>
        <v>Päivällä se nukkuu ja nauttii valosta. Yön laskeutuessa se kävelee ympäriinsä etsien turvallisempaa nukkumapaikkaa.</v>
      </c>
      <c r="C8494" s="9" t="s">
        <v>1344</v>
      </c>
    </row>
    <row r="8495" ht="33.75" customHeight="1">
      <c r="A8495" s="6" t="s">
        <v>12509</v>
      </c>
      <c r="B8495" s="6" t="str">
        <f>IFERROR(__xludf.DUMMYFUNCTION("GOOGLETRANSLATE(A8495,""en"",""fi"")"),"Ne tuoksuvat makealta ja virkistävältä. Söpöläiskäiset kerääntyvät usein lähelle korkeaa ruohoa, jossa Fomantis-perhoset piileskelevät.")</f>
        <v>Ne tuoksuvat makealta ja virkistävältä. Söpöläiskäiset kerääntyvät usein lähelle korkeaa ruohoa, jossa Fomantis-perhoset piileskelevät.</v>
      </c>
      <c r="C8495" s="9" t="s">
        <v>1344</v>
      </c>
    </row>
    <row r="8496" ht="33.75" customHeight="1">
      <c r="A8496" s="6" t="s">
        <v>12511</v>
      </c>
      <c r="B8496" s="6" t="str">
        <f>IFERROR(__xludf.DUMMYFUNCTION("GOOGLETRANSLATE(A8496,""en"",""fi"")"),"Auringon noustessa Fomantis levittää neljä lehteään ja kylpee auringonvalossa. Sen pään kärjestä leviää miellyttävä tuoksu.")</f>
        <v>Auringon noustessa Fomantis levittää neljä lehteään ja kylpee auringonvalossa. Sen pään kärjestä leviää miellyttävä tuoksu.</v>
      </c>
      <c r="C8496" s="9" t="s">
        <v>1344</v>
      </c>
    </row>
    <row r="8497" ht="33.75" customHeight="1">
      <c r="A8497" s="6" t="s">
        <v>12512</v>
      </c>
      <c r="B8497" s="6" t="str">
        <f>IFERROR(__xludf.DUMMYFUNCTION("GOOGLETRANSLATE(A8497,""en"",""fi"")"),"Se rakastaa auringonpaistetta. Kun se paistattelee säännöllisesti auringonvalossa, se kasvaa kirkkaanväriseksi.")</f>
        <v>Se rakastaa auringonpaistetta. Kun se paistattelee säännöllisesti auringonvalossa, se kasvaa kirkkaanväriseksi.</v>
      </c>
      <c r="C8497" s="9" t="s">
        <v>1344</v>
      </c>
    </row>
    <row r="8498" ht="33.75" customHeight="1">
      <c r="A8498" s="6" t="s">
        <v>12514</v>
      </c>
      <c r="B8498" s="6" t="str">
        <f>IFERROR(__xludf.DUMMYFUNCTION("GOOGLETRANSLATE(A8498,""en"",""fi"")"),"Auringonvalossa kylpeessään tämä Pokémon erittää miellyttävän makean tuoksun, joka saa ötökkä-Pokémonit kerääntymään sen ympärille.")</f>
        <v>Auringonvalossa kylpeessään tämä Pokémon erittää miellyttävän makean tuoksun, joka saa ötökkä-Pokémonit kerääntymään sen ympärille.</v>
      </c>
      <c r="C8498" s="9" t="s">
        <v>1344</v>
      </c>
    </row>
    <row r="8499" ht="33.75" customHeight="1">
      <c r="A8499" s="6" t="s">
        <v>12515</v>
      </c>
      <c r="B8499" s="6" t="str">
        <f>IFERROR(__xludf.DUMMYFUNCTION("GOOGLETRANSLATE(A8499,""en"",""fi"")"),"Päivällä Fomantis paistattelee auringonvalossa ja nukkuu rauhallisesti. Yöllä se herää ja liikkuu.")</f>
        <v>Päivällä Fomantis paistattelee auringonvalossa ja nukkuu rauhallisesti. Yöllä se herää ja liikkuu.</v>
      </c>
      <c r="C8499" s="9" t="s">
        <v>1344</v>
      </c>
    </row>
    <row r="8500" ht="33.75" customHeight="1">
      <c r="A8500" s="6" t="s">
        <v>12517</v>
      </c>
      <c r="B8500" s="6" t="str">
        <f>IFERROR(__xludf.DUMMYFUNCTION("GOOGLETRANSLATE(A8500,""en"",""fi"")"),"Lurantisin eloisien värien ylläpitäminen vaatii paljon vaivaa, mutta jotkut keräilijät nauttivat tästä työstä ja pitävät sitä harrastuksenaan.")</f>
        <v>Lurantisin eloisien värien ylläpitäminen vaatii paljon vaivaa, mutta jotkut keräilijät nauttivat tästä työstä ja pitävät sitä harrastuksenaan.</v>
      </c>
      <c r="C8500" s="9" t="s">
        <v>1344</v>
      </c>
    </row>
    <row r="8501" ht="33.75" customHeight="1">
      <c r="A8501" s="6" t="s">
        <v>12519</v>
      </c>
      <c r="B8501" s="6" t="str">
        <f>IFERROR(__xludf.DUMMYFUNCTION("GOOGLETRANSLATE(A8501,""en"",""fi"")"),"Se ampuu sirpinmuotoisista terälehdistään säteitä. Nämä säteet ovat riittävän voimakkaita halkaisemaan paksuja metallilevyjä.")</f>
        <v>Se ampuu sirpinmuotoisista terälehdistään säteitä. Nämä säteet ovat riittävän voimakkaita halkaisemaan paksuja metallilevyjä.</v>
      </c>
      <c r="C8501" s="9" t="s">
        <v>1344</v>
      </c>
    </row>
    <row r="8502" ht="33.75" customHeight="1">
      <c r="A8502" s="6" t="s">
        <v>12520</v>
      </c>
      <c r="B8502" s="6" t="str">
        <f>IFERROR(__xludf.DUMMYFUNCTION("GOOGLETRANSLATE(A8502,""en"",""fi"")"),"Itsepuolustukseksi se teeskentelee olevansa ötökkä-Pokémon. Molemmissa sen käsivarsissa on teräväreunaiset terälehdet.")</f>
        <v>Itsepuolustukseksi se teeskentelee olevansa ötökkä-Pokémon. Molemmissa sen käsivarsissa on teräväreunaiset terälehdet.</v>
      </c>
      <c r="C8502" s="9" t="s">
        <v>1344</v>
      </c>
    </row>
    <row r="8503" ht="33.75" customHeight="1">
      <c r="A8503" s="6" t="s">
        <v>12522</v>
      </c>
      <c r="B8503" s="6" t="str">
        <f>IFERROR(__xludf.DUMMYFUNCTION("GOOGLETRANSLATE(A8503,""en"",""fi"")"),"Viiltäessään vihollisiaan se näyttää tanssivan. Sen elegantti ulkonäkö on saanut jotkut kutsumaan sitä lumoavimmaksi ruoho-Pokémoniksi.")</f>
        <v>Viiltäessään vihollisiaan se näyttää tanssivan. Sen elegantti ulkonäkö on saanut jotkut kutsumaan sitä lumoavimmaksi ruoho-Pokémoniksi.</v>
      </c>
      <c r="C8503" s="9" t="s">
        <v>1344</v>
      </c>
    </row>
    <row r="8504" ht="33.75" customHeight="1">
      <c r="A8504" s="6" t="s">
        <v>12523</v>
      </c>
      <c r="B8504" s="6" t="str">
        <f>IFERROR(__xludf.DUMMYFUNCTION("GOOGLETRANSLATE(A8504,""en"",""fi"")"),"Tämä Pokémon muistuttaa kaunista kukkaa. Oikein kasvatetulla Lurantiksella on upeat, loistavat värit.")</f>
        <v>Tämä Pokémon muistuttaa kaunista kukkaa. Oikein kasvatetulla Lurantiksella on upeat, loistavat värit.</v>
      </c>
      <c r="C8504" s="9" t="s">
        <v>1344</v>
      </c>
    </row>
    <row r="8505" ht="33.75" customHeight="1">
      <c r="A8505" s="6" t="s">
        <v>12524</v>
      </c>
      <c r="B8505" s="6" t="str">
        <f>IFERROR(__xludf.DUMMYFUNCTION("GOOGLETRANSLATE(A8505,""en"",""fi"")"),"Tämän Pokémonin käsivarsien terälehdet ovat ohuet ja superterävät, ja ne voivat ampua lasersäteitä, jos Lurantis kerää valoa ensin.")</f>
        <v>Tämän Pokémonin käsivarsien terälehdet ovat ohuet ja superterävät, ja ne voivat ampua lasersäteitä, jos Lurantis kerää valoa ensin.</v>
      </c>
      <c r="C8505" s="9" t="s">
        <v>1344</v>
      </c>
    </row>
    <row r="8506" ht="33.75" customHeight="1">
      <c r="A8506" s="6" t="s">
        <v>12525</v>
      </c>
      <c r="B8506" s="6" t="str">
        <f>IFERROR(__xludf.DUMMYFUNCTION("GOOGLETRANSLATE(A8506,""en"",""fi"")"),"Se levittää itiöitä, jotka välkkyvät ja hehkuvat. Jokainen, joka näkee nämä valot, vaipuu syvään uneen.")</f>
        <v>Se levittää itiöitä, jotka välkkyvät ja hehkuvat. Jokainen, joka näkee nämä valot, vaipuu syvään uneen.</v>
      </c>
      <c r="C8506" s="9" t="s">
        <v>1344</v>
      </c>
    </row>
    <row r="8507" ht="33.75" customHeight="1">
      <c r="A8507" s="6" t="s">
        <v>12528</v>
      </c>
      <c r="B8507" s="6" t="str">
        <f>IFERROR(__xludf.DUMMYFUNCTION("GOOGLETRANSLATE(A8507,""en"",""fi"")"),"Päivän nukahtaessaan se ravitsee itseään imemällä puiden juurista. Se herää yön laskeutuessa ja vaeltaa etsimään uutta puuta.")</f>
        <v>Päivän nukahtaessaan se ravitsee itseään imemällä puiden juurista. Se herää yön laskeutuessa ja vaeltaa etsimään uutta puuta.</v>
      </c>
      <c r="C8507" s="9" t="s">
        <v>1344</v>
      </c>
    </row>
    <row r="8508" ht="33.75" customHeight="1">
      <c r="A8508" s="6" t="s">
        <v>12531</v>
      </c>
      <c r="B8508" s="6" t="str">
        <f>IFERROR(__xludf.DUMMYFUNCTION("GOOGLETRANSLATE(A8508,""en"",""fi"")"),"Se levittää hohtavia itiöitään ympärilleen. Vaikka ne ovat vaarallisia, yölliset retket metsiin, joissa Morelullit elävät, ovat suosittuja.")</f>
        <v>Se levittää hohtavia itiöitään ympärilleen. Vaikka ne ovat vaarallisia, yölliset retket metsiin, joissa Morelullit elävät, ovat suosittuja.</v>
      </c>
      <c r="C8508" s="9" t="s">
        <v>1344</v>
      </c>
    </row>
    <row r="8509" ht="33.75" customHeight="1">
      <c r="A8509" s="6" t="s">
        <v>12534</v>
      </c>
      <c r="B8509" s="6" t="str">
        <f>IFERROR(__xludf.DUMMYFUNCTION("GOOGLETRANSLATE(A8509,""en"",""fi"")"),"Se pitää kosteista, pimeistä paikoista. Yön laskeutuessa sen sienten lakkeja täyttävät itiöt hehkuvat.")</f>
        <v>Se pitää kosteista, pimeistä paikoista. Yön laskeutuessa sen sienten lakkeja täyttävät itiöt hehkuvat.</v>
      </c>
      <c r="C8509" s="9" t="s">
        <v>1344</v>
      </c>
    </row>
    <row r="8510" ht="33.75" customHeight="1">
      <c r="A8510" s="6" t="s">
        <v>12536</v>
      </c>
      <c r="B8510" s="6" t="str">
        <f>IFERROR(__xludf.DUMMYFUNCTION("GOOGLETRANSLATE(A8510,""en"",""fi"")"),"Metsässä asuvat Pokémonit syövät Morelullin pään herkullisia lakkeja. Lakit kasvavat uudelleen yön aikana.")</f>
        <v>Metsässä asuvat Pokémonit syövät Morelullin pään herkullisia lakkeja. Lakit kasvavat uudelleen yön aikana.</v>
      </c>
      <c r="C8510" s="9" t="s">
        <v>1344</v>
      </c>
    </row>
    <row r="8511" ht="33.75" customHeight="1">
      <c r="A8511" s="6" t="s">
        <v>12538</v>
      </c>
      <c r="B8511" s="6" t="str">
        <f>IFERROR(__xludf.DUMMYFUNCTION("GOOGLETRANSLATE(A8511,""en"",""fi"")"),"Morelullit elävät metsissä, jotka pysyvät pimeinä jopa päivällä. Ne levittävät lepattavia itiöitä, jotka nukuttavat viholliset.")</f>
        <v>Morelullit elävät metsissä, jotka pysyvät pimeinä jopa päivällä. Ne levittävät lepattavia itiöitä, jotka nukuttavat viholliset.</v>
      </c>
      <c r="C8511" s="9" t="s">
        <v>1344</v>
      </c>
    </row>
    <row r="8512" ht="33.75" customHeight="1">
      <c r="A8512" s="6" t="s">
        <v>12539</v>
      </c>
      <c r="B8512" s="6" t="str">
        <f>IFERROR(__xludf.DUMMYFUNCTION("GOOGLETRANSLATE(A8512,""en"",""fi"")"),"Metsät, joissa shiinoottiset asuvat, ovat petollisia mennä yöllä. Metsän oudot valot hämmentävät ihmisiä, jotka eivät koskaan löydä tietään kotiin.")</f>
        <v>Metsät, joissa shiinoottiset asuvat, ovat petollisia mennä yöllä. Metsän oudot valot hämmentävät ihmisiä, jotka eivät koskaan löydä tietään kotiin.</v>
      </c>
      <c r="C8512" s="9" t="s">
        <v>1344</v>
      </c>
    </row>
    <row r="8513" ht="33.75" customHeight="1">
      <c r="A8513" s="6" t="s">
        <v>12541</v>
      </c>
      <c r="B8513" s="6" t="str">
        <f>IFERROR(__xludf.DUMMYFUNCTION("GOOGLETRANSLATE(A8513,""en"",""fi"")"),"Se erittää välkkyviä itiöitä, jotka aiheuttavat uneliaisuutta. Kun sen saalis nukahtaa, tämä Pokémon imee niiden energiaa.")</f>
        <v>Se erittää välkkyviä itiöitä, jotka aiheuttavat uneliaisuutta. Kun sen saalis nukahtaa, tämä Pokémon imee niiden energiaa.</v>
      </c>
      <c r="C8513" s="9" t="s">
        <v>1344</v>
      </c>
    </row>
    <row r="8514" ht="33.75" customHeight="1">
      <c r="A8514" s="6" t="s">
        <v>12542</v>
      </c>
      <c r="B8514" s="6" t="str">
        <f>IFERROR(__xludf.DUMMYFUNCTION("GOOGLETRANSLATE(A8514,""en"",""fi"")"),"Se nukuttaa saaliinsa ja imee niiden elinvoimaa käsivarsiensa päiden kautta. Jos jokin lajitoveri heikkenee, se auttaa lähettämällä sille elinvoimaa.")</f>
        <v>Se nukuttaa saaliinsa ja imee niiden elinvoimaa käsivarsiensa päiden kautta. Jos jokin lajitoveri heikkenee, se auttaa lähettämällä sille elinvoimaa.</v>
      </c>
      <c r="C8514" s="9" t="s">
        <v>1344</v>
      </c>
    </row>
    <row r="8515" ht="33.75" customHeight="1">
      <c r="A8515" s="6" t="s">
        <v>12544</v>
      </c>
      <c r="B8515" s="6" t="str">
        <f>IFERROR(__xludf.DUMMYFUNCTION("GOOGLETRANSLATE(A8515,""en"",""fi"")"),"Kun se alkaa taistella reviiriä Parasectin kanssa, koko alue peittyy kauttaaltaan itiöihin!")</f>
        <v>Kun se alkaa taistella reviiriä Parasectin kanssa, koko alue peittyy kauttaaltaan itiöihin!</v>
      </c>
      <c r="C8515" s="9" t="s">
        <v>1344</v>
      </c>
    </row>
    <row r="8516" ht="33.75" customHeight="1">
      <c r="A8516" s="6" t="s">
        <v>12545</v>
      </c>
      <c r="B8516" s="6" t="str">
        <f>IFERROR(__xludf.DUMMYFUNCTION("GOOGLETRANSLATE(A8516,""en"",""fi"")"),"Sen välkkyvät itiöt houkuttelevat saaliinsa puoleensa ja nukuttavat ne. Kun tämä Pokémon on saanut saaliinsa torkkumaan, se imee niiden energiaa sormenpäillään.")</f>
        <v>Sen välkkyvät itiöt houkuttelevat saaliinsa puoleensa ja nukuttavat ne. Kun tämä Pokémon on saanut saaliinsa torkkumaan, se imee niiden energiaa sormenpäillään.</v>
      </c>
      <c r="C8516" s="9" t="s">
        <v>1344</v>
      </c>
    </row>
    <row r="8517" ht="33.75" customHeight="1">
      <c r="A8517" s="6" t="s">
        <v>12546</v>
      </c>
      <c r="B8517" s="6" t="str">
        <f>IFERROR(__xludf.DUMMYFUNCTION("GOOGLETRANSLATE(A8517,""en"",""fi"")"),"Jos näet valon syvällä metsässä yöllä, älä mene lähelle. Shiinotic saa sinut nukahtamaan sikeästi.")</f>
        <v>Jos näet valon syvällä metsässä yöllä, älä mene lähelle. Shiinotic saa sinut nukahtamaan sikeästi.</v>
      </c>
      <c r="C8517" s="9" t="s">
        <v>1344</v>
      </c>
    </row>
    <row r="8518" ht="33.75" customHeight="1">
      <c r="A8518" s="6" t="s">
        <v>12548</v>
      </c>
      <c r="B8518" s="6" t="str">
        <f>IFERROR(__xludf.DUMMYFUNCTION("GOOGLETRANSLATE(A8518,""en"",""fi"")"),"Se polttaa ruumiinnesteitään muodostaen myrkyllistä kaasua. Kun sen viholliset menettävät suuntavaistonsa hengittäessään kaasua, se hyökkää niiden kimppuun.")</f>
        <v>Se polttaa ruumiinnesteitään muodostaen myrkyllistä kaasua. Kun sen viholliset menettävät suuntavaistonsa hengittäessään kaasua, se hyökkää niiden kimppuun.</v>
      </c>
      <c r="C8518" s="9" t="s">
        <v>1344</v>
      </c>
    </row>
    <row r="8519" ht="33.75" customHeight="1">
      <c r="A8519" s="6" t="s">
        <v>12549</v>
      </c>
      <c r="B8519" s="6" t="str">
        <f>IFERROR(__xludf.DUMMYFUNCTION("GOOGLETRANSLATE(A8519,""en"",""fi"")"),"Tulivuoret tai kuivat, kallioiset paikat ovat sen koti. Se erittää makeanhajuista myrkyllistä kaasua, joka houkuttelee ötökkä-Pokémoneja ja hyökkää niiden kimppuun.")</f>
        <v>Tulivuoret tai kuivat, kallioiset paikat ovat sen koti. Se erittää makeanhajuista myrkyllistä kaasua, joka houkuttelee ötökkä-Pokémoneja ja hyökkää niiden kimppuun.</v>
      </c>
      <c r="C8519" s="9" t="s">
        <v>1344</v>
      </c>
    </row>
    <row r="8520" ht="33.75" customHeight="1">
      <c r="A8520" s="6" t="s">
        <v>12550</v>
      </c>
      <c r="B8520" s="6" t="str">
        <f>IFERROR(__xludf.DUMMYFUNCTION("GOOGLETRANSLATE(A8520,""en"",""fi"")"),"Urokset tekevät mitä tahansa naaraat käskevät. Ne antavat naaraille suurimman osan ravinnostaan. Aliravitsemuksen vuoksi urokset eivät pysty kehittymään.")</f>
        <v>Urokset tekevät mitä tahansa naaraat käskevät. Ne antavat naaraille suurimman osan ravinnostaan. Aliravitsemuksen vuoksi urokset eivät pysty kehittymään.</v>
      </c>
      <c r="C8520" s="9" t="s">
        <v>1344</v>
      </c>
    </row>
    <row r="8521" ht="33.75" customHeight="1">
      <c r="A8521" s="6" t="s">
        <v>12551</v>
      </c>
      <c r="B8521" s="6" t="str">
        <f>IFERROR(__xludf.DUMMYFUNCTION("GOOGLETRANSLATE(A8521,""en"",""fi"")"),"Se heikentää vastustajia ja lähettää heidät sekaisin myrkyllisellä kaasullaan. Salandit ei pärjää hyvin Spindan kanssa, koska se on jatkuvasti sekaisin.")</f>
        <v>Se heikentää vastustajia ja lähettää heidät sekaisin myrkyllisellä kaasullaan. Salandit ei pärjää hyvin Spindan kanssa, koska se on jatkuvasti sekaisin.</v>
      </c>
      <c r="C8521" s="9" t="s">
        <v>1344</v>
      </c>
    </row>
    <row r="8522" ht="33.75" customHeight="1">
      <c r="A8522" s="6" t="s">
        <v>12552</v>
      </c>
      <c r="B8522" s="6" t="str">
        <f>IFERROR(__xludf.DUMMYFUNCTION("GOOGLETRANSLATE(A8522,""en"",""fi"")"),"Sen myrkkypussit tuottavat nestettä, jota tämä Pokémon sitten kuumentaa pyrstönsä liekillä. Tämä prosessi luo Salanditin myrkyllisen kaasun.")</f>
        <v>Sen myrkkypussit tuottavat nestettä, jota tämä Pokémon sitten kuumentaa pyrstönsä liekillä. Tämä prosessi luo Salanditin myrkyllisen kaasun.</v>
      </c>
      <c r="C8522" s="9" t="s">
        <v>1344</v>
      </c>
    </row>
    <row r="8523" ht="33.75" customHeight="1">
      <c r="A8523" s="6" t="s">
        <v>12553</v>
      </c>
      <c r="B8523" s="6" t="str">
        <f>IFERROR(__xludf.DUMMYFUNCTION("GOOGLETRANSLATE(A8523,""en"",""fi"")"),"Tämä salakavala Pokémon hiipii saaliinsa taakse ja lamauttaa sen myrkyllisellä kaasulla ennen kuin saalis edes huomaa Salanditin olevan paikalla.")</f>
        <v>Tämä salakavala Pokémon hiipii saaliinsa taakse ja lamauttaa sen myrkyllisellä kaasulla ennen kuin saalis edes huomaa Salanditin olevan paikalla.</v>
      </c>
      <c r="C8523" s="9" t="s">
        <v>1344</v>
      </c>
    </row>
    <row r="8524" ht="33.75" customHeight="1">
      <c r="A8524" s="6" t="s">
        <v>12554</v>
      </c>
      <c r="B8524" s="6" t="str">
        <f>IFERROR(__xludf.DUMMYFUNCTION("GOOGLETRANSLATE(A8524,""en"",""fi"")"),"Jostain syystä vain naaraita on löydetty. Se luo käänteisen haaremin uros Salanditista, jonka kanssa se elää.")</f>
        <v>Jostain syystä vain naaraita on löydetty. Se luo käänteisen haaremin uros Salanditista, jonka kanssa se elää.</v>
      </c>
      <c r="C8524" s="9" t="s">
        <v>1344</v>
      </c>
    </row>
    <row r="8525" ht="33.75" customHeight="1">
      <c r="A8525" s="6" t="s">
        <v>12555</v>
      </c>
      <c r="B8525" s="6" t="str">
        <f>IFERROR(__xludf.DUMMYFUNCTION("GOOGLETRANSLATE(A8525,""en"",""fi"")"),"Feromoneilla täytettyä myrkyllistä kaasua voidaan laimentaa ja käyttää sitä herkullisten hajuvesien valmistuksessa.")</f>
        <v>Feromoneilla täytettyä myrkyllistä kaasua voidaan laimentaa ja käyttää sitä herkullisten hajuvesien valmistuksessa.</v>
      </c>
      <c r="C8525" s="9" t="s">
        <v>1344</v>
      </c>
    </row>
    <row r="8526" ht="33.75" customHeight="1">
      <c r="A8526" s="6" t="s">
        <v>12556</v>
      </c>
      <c r="B8526" s="6" t="str">
        <f>IFERROR(__xludf.DUMMYFUNCTION("GOOGLETRANSLATE(A8526,""en"",""fi"")"),"Salazzle asuu syvällä luolissa ja pakottaa feromoniensa avulla houkuttelemansa salandiitin palvelemaan itseään.")</f>
        <v>Salazzle asuu syvällä luolissa ja pakottaa feromoniensa avulla houkuttelemansa salandiitin palvelemaan itseään.</v>
      </c>
      <c r="C8526" s="9" t="s">
        <v>1344</v>
      </c>
    </row>
    <row r="8527" ht="33.75" customHeight="1">
      <c r="A8527" s="6" t="s">
        <v>12557</v>
      </c>
      <c r="B8527" s="6" t="str">
        <f>IFERROR(__xludf.DUMMYFUNCTION("GOOGLETRANSLATE(A8527,""en"",""fi"")"),"Se rankaisee Salanditia, joka ei pystynyt tuomaan sille ruokaa, rajulla läimäytyksellä liekkejä sylkevällä kämmenellään.")</f>
        <v>Se rankaisee Salanditia, joka ei pystynyt tuomaan sille ruokaa, rajulla läimäytyksellä liekkejä sylkevällä kämmenellään.</v>
      </c>
      <c r="C8527" s="9" t="s">
        <v>1344</v>
      </c>
    </row>
    <row r="8528" ht="33.75" customHeight="1">
      <c r="A8528" s="6" t="s">
        <v>12558</v>
      </c>
      <c r="B8528" s="6" t="str">
        <f>IFERROR(__xludf.DUMMYFUNCTION("GOOGLETRANSLATE(A8528,""en"",""fi"")"),"Vain naaraspuolisia Salazzleja on olemassa. Ne erittävät feromonipitoista kaasua kiehtoakseen Salandit-uroksia.")</f>
        <v>Vain naaraspuolisia Salazzleja on olemassa. Ne erittävät feromonipitoista kaasua kiehtoakseen Salandit-uroksia.</v>
      </c>
      <c r="C8528" s="9" t="s">
        <v>1344</v>
      </c>
    </row>
    <row r="8529" ht="33.75" customHeight="1">
      <c r="A8529" s="6" t="s">
        <v>12559</v>
      </c>
      <c r="B8529" s="6" t="str">
        <f>IFERROR(__xludf.DUMMYFUNCTION("GOOGLETRANSLATE(A8529,""en"",""fi"")"),"Salazzlejen välisten kilpailujen voittaja ratkaistaan ​​sen perusteella, kummalla on eniten miespuolisia Salandit-hahmoja.")</f>
        <v>Salazzlejen välisten kilpailujen voittaja ratkaistaan ​​sen perusteella, kummalla on eniten miespuolisia Salandit-hahmoja.</v>
      </c>
      <c r="C8529" s="9" t="s">
        <v>1344</v>
      </c>
    </row>
    <row r="8530" ht="33.75" customHeight="1">
      <c r="A8530" s="6" t="s">
        <v>12561</v>
      </c>
      <c r="B8530" s="6" t="str">
        <f>IFERROR(__xludf.DUMMYFUNCTION("GOOGLETRANSLATE(A8530,""en"",""fi"")"),"Vaikka se on suloinen ulkonäkönsä puolesta, sen kädet ja jalat voivat suuttuessaan ja räpytellessään lyödä ammattipainijan levälleen.")</f>
        <v>Vaikka se on suloinen ulkonäkönsä puolesta, sen kädet ja jalat voivat suuttuessaan ja räpytellessään lyödä ammattipainijan levälleen.</v>
      </c>
      <c r="C8530" s="9" t="s">
        <v>1344</v>
      </c>
    </row>
    <row r="8531" ht="33.75" customHeight="1">
      <c r="A8531" s="6" t="s">
        <v>12562</v>
      </c>
      <c r="B8531" s="6" t="str">
        <f>IFERROR(__xludf.DUMMYFUNCTION("GOOGLETRANSLATE(A8531,""en"",""fi"")"),"Kosketus keneltä tahansa muulta kuin tutulta ystävältä saa sen raivokkaaseen vimmaan. Se on uskomattoman vaarallinen Pokémon.")</f>
        <v>Kosketus keneltä tahansa muulta kuin tutulta ystävältä saa sen raivokkaaseen vimmaan. Se on uskomattoman vaarallinen Pokémon.</v>
      </c>
      <c r="C8531" s="9" t="s">
        <v>1344</v>
      </c>
    </row>
    <row r="8532" ht="33.75" customHeight="1">
      <c r="A8532" s="6" t="s">
        <v>12566</v>
      </c>
      <c r="B8532" s="6" t="str">
        <f>IFERROR(__xludf.DUMMYFUNCTION("GOOGLETRANSLATE(A8532,""en"",""fi"")"),"Sillä on niin paljon voimaa, että se pystyy halkaisemaan suuria puita kahtia. Sen takaosassa oleva elin vapauttaa hajua, jota se käyttää kommunikoidakseen muiden lajitovereidensa kanssa.")</f>
        <v>Sillä on niin paljon voimaa, että se pystyy halkaisemaan suuria puita kahtia. Sen takaosassa oleva elin vapauttaa hajua, jota se käyttää kommunikoidakseen muiden lajitovereidensa kanssa.</v>
      </c>
      <c r="C8532" s="9" t="s">
        <v>1344</v>
      </c>
    </row>
    <row r="8533" ht="33.75" customHeight="1">
      <c r="A8533" s="6" t="s">
        <v>12569</v>
      </c>
      <c r="B8533" s="6" t="str">
        <f>IFERROR(__xludf.DUMMYFUNCTION("GOOGLETRANSLATE(A8533,""en"",""fi"")"),"Stufful vihaa halailua tai kosketusta millään tavalla. Se rimpuilee, rimpuilee ja vastustelee uskomattomalla voimalla.")</f>
        <v>Stufful vihaa halailua tai kosketusta millään tavalla. Se rimpuilee, rimpuilee ja vastustelee uskomattomalla voimalla.</v>
      </c>
      <c r="C8533" s="9" t="s">
        <v>1344</v>
      </c>
    </row>
    <row r="8534" ht="33.75" customHeight="1">
      <c r="A8534" s="6" t="s">
        <v>12571</v>
      </c>
      <c r="B8534" s="6" t="str">
        <f>IFERROR(__xludf.DUMMYFUNCTION("GOOGLETRANSLATE(A8534,""en"",""fi"")"),"Sen pörröistä turkkia on ilo silittää, mutta huolimaton käden koskettaminen voi johtaa tuskalliseen kostotoimeen.")</f>
        <v>Sen pörröistä turkkia on ilo silittää, mutta huolimaton käden koskettaminen voi johtaa tuskalliseen kostotoimeen.</v>
      </c>
      <c r="C8534" s="9" t="s">
        <v>1344</v>
      </c>
    </row>
    <row r="8535" ht="33.75" customHeight="1">
      <c r="A8535" s="6" t="s">
        <v>12573</v>
      </c>
      <c r="B8535" s="6" t="str">
        <f>IFERROR(__xludf.DUMMYFUNCTION("GOOGLETRANSLATE(A8535,""en"",""fi"")"),"Tapa, jolla se suojelee itseään heiluttamalla käsiään, voi olla suloinen näky, mutta pysy kaukana. Tämä heiluttelu voi katkaista paksuja puunrunkoja.")</f>
        <v>Tapa, jolla se suojelee itseään heiluttamalla käsiään, voi olla suloinen näky, mutta pysy kaukana. Tämä heiluttelu voi katkaista paksuja puunrunkoja.</v>
      </c>
      <c r="C8535" s="9" t="s">
        <v>1344</v>
      </c>
    </row>
    <row r="8536" ht="33.75" customHeight="1">
      <c r="A8536" s="6" t="s">
        <v>12574</v>
      </c>
      <c r="B8536" s="6" t="str">
        <f>IFERROR(__xludf.DUMMYFUNCTION("GOOGLETRANSLATE(A8536,""en"",""fi"")"),"Tällä äärimmäisen vaarallisella Pokémonilla on valtava fyysinen voima. Sen elinympäristö on yleensä kielletty.")</f>
        <v>Tällä äärimmäisen vaarallisella Pokémonilla on valtava fyysinen voima. Sen elinympäristö on yleensä kielletty.</v>
      </c>
      <c r="C8536" s="9" t="s">
        <v>1344</v>
      </c>
    </row>
    <row r="8537" ht="33.75" customHeight="1">
      <c r="A8537" s="6" t="s">
        <v>12575</v>
      </c>
      <c r="B8537" s="6" t="str">
        <f>IFERROR(__xludf.DUMMYFUNCTION("GOOGLETRANSLATE(A8537,""en"",""fi"")"),"Tällä Pokémonilla on tapana halata seuralaisiaan. Monet kouluttajat ovat lähteneet tästä maailmasta sen jälkeen, kun heidän selkärankansa ovat litistyneet sen halauksesta.")</f>
        <v>Tällä Pokémonilla on tapana halata seuralaisiaan. Monet kouluttajat ovat lähteneet tästä maailmasta sen jälkeen, kun heidän selkärankansa ovat litistyneet sen halauksesta.</v>
      </c>
      <c r="C8537" s="9" t="s">
        <v>1344</v>
      </c>
    </row>
    <row r="8538" ht="33.75" customHeight="1">
      <c r="A8538" s="6" t="s">
        <v>12577</v>
      </c>
      <c r="B8538" s="6" t="str">
        <f>IFERROR(__xludf.DUMMYFUNCTION("GOOGLETRANSLATE(A8538,""en"",""fi"")"),"Se heiluttaa käsiään villisti pelotellen ja varoittaen. Elämä on ohi kenelle tahansa, joka ei juokse karkuun niin nopeasti kuin mahdollista.")</f>
        <v>Se heiluttaa käsiään villisti pelotellen ja varoittaen. Elämä on ohi kenelle tahansa, joka ei juokse karkuun niin nopeasti kuin mahdollista.</v>
      </c>
      <c r="C8538" s="9" t="s">
        <v>1344</v>
      </c>
    </row>
    <row r="8539" ht="33.75" customHeight="1">
      <c r="A8539" s="6" t="s">
        <v>12579</v>
      </c>
      <c r="B8539" s="6" t="str">
        <f>IFERROR(__xludf.DUMMYFUNCTION("GOOGLETRANSLATE(A8539,""en"",""fi"")"),"Se ylpeilee valtavalla fyysisellä voimalla. Monet ihmiset kutsuvat sitä Alolan alueen vaarallisimmaksi Pokémoniksi.")</f>
        <v>Se ylpeilee valtavalla fyysisellä voimalla. Monet ihmiset kutsuvat sitä Alolan alueen vaarallisimmaksi Pokémoniksi.</v>
      </c>
      <c r="C8539" s="9" t="s">
        <v>1344</v>
      </c>
    </row>
    <row r="8540" ht="33.75" customHeight="1">
      <c r="A8540" s="6" t="s">
        <v>12581</v>
      </c>
      <c r="B8540" s="6" t="str">
        <f>IFERROR(__xludf.DUMMYFUNCTION("GOOGLETRANSLATE(A8540,""en"",""fi"")"),"Kun se hyväksyy sinut ystäväkseen, se yrittää osoittaa kiintymyksensä halauksella. Sen tekeminen niin on vaarallista – se voi helposti murskata luusi.")</f>
        <v>Kun se hyväksyy sinut ystäväkseen, se yrittää osoittaa kiintymyksensä halauksella. Sen tekeminen niin on vaarallista – se voi helposti murskata luusi.</v>
      </c>
      <c r="C8540" s="9" t="s">
        <v>1344</v>
      </c>
    </row>
    <row r="8541" ht="33.75" customHeight="1">
      <c r="A8541" s="6" t="s">
        <v>12583</v>
      </c>
      <c r="B8541" s="6" t="str">
        <f>IFERROR(__xludf.DUMMYFUNCTION("GOOGLETRANSLATE(A8541,""en"",""fi"")"),"Liikkeet, joita se käyttää saaliinsa kaatamiseen, tekisivät jopa kamppailulajien taitajan kateellisiksi. Se sujauttaa alistetun saaliin kainaloonsa kantaakseen sen pesäänsä.")</f>
        <v>Liikkeet, joita se käyttää saaliinsa kaatamiseen, tekisivät jopa kamppailulajien taitajan kateellisiksi. Se sujauttaa alistetun saaliin kainaloonsa kantaakseen sen pesäänsä.</v>
      </c>
      <c r="C8541" s="9" t="s">
        <v>1344</v>
      </c>
    </row>
    <row r="8542" ht="33.75" customHeight="1">
      <c r="A8542" s="6" t="s">
        <v>12584</v>
      </c>
      <c r="B8542" s="6" t="str">
        <f>IFERROR(__xludf.DUMMYFUNCTION("GOOGLETRANSLATE(A8542,""en"",""fi"")"),"Sen ruumiista leijuu herkullinen tuoksu. Tukanonit nielaisevat ne usein kokonaisina houkuteltuina tuohon leijuvaan herkullisuuteen.")</f>
        <v>Sen ruumiista leijuu herkullinen tuoksu. Tukanonit nielaisevat ne usein kokonaisina houkuteltuina tuohon leijuvaan herkullisuuteen.</v>
      </c>
      <c r="C8542" s="9" t="s">
        <v>1344</v>
      </c>
    </row>
    <row r="8543" ht="33.75" customHeight="1">
      <c r="A8543" s="6" t="s">
        <v>12585</v>
      </c>
      <c r="B8543" s="6" t="str">
        <f>IFERROR(__xludf.DUMMYFUNCTION("GOOGLETRANSLATE(A8543,""en"",""fi"")"),"Vaikka Bounsweetin hiki on liian sokerista ihmisravinnoksi, siitä voi tehdä juuri sopivasti makeaa mehua.")</f>
        <v>Vaikka Bounsweetin hiki on liian sokerista ihmisravinnoksi, siitä voi tehdä juuri sopivasti makeaa mehua.</v>
      </c>
      <c r="C8543" s="9" t="s">
        <v>1344</v>
      </c>
    </row>
    <row r="8544" ht="33.75" customHeight="1">
      <c r="A8544" s="6" t="s">
        <v>12587</v>
      </c>
      <c r="B8544" s="6" t="str">
        <f>IFERROR(__xludf.DUMMYFUNCTION("GOOGLETRANSLATE(A8544,""en"",""fi"")"),"Makean ja herkullisen tuoksunsa ansiosta lintu-Pokémonit ovat aina sen perässä, mutta se ei ole tarpeeksi älykäs välittääkseen.")</f>
        <v>Makean ja herkullisen tuoksunsa ansiosta lintu-Pokémonit ovat aina sen perässä, mutta se ei ole tarpeeksi älykäs välittääkseen.</v>
      </c>
      <c r="C8544" s="9" t="s">
        <v>1344</v>
      </c>
    </row>
    <row r="8545" ht="33.75" customHeight="1">
      <c r="A8545" s="6" t="s">
        <v>12588</v>
      </c>
      <c r="B8545" s="6" t="str">
        <f>IFERROR(__xludf.DUMMYFUNCTION("GOOGLETRANSLATE(A8545,""en"",""fi"")"),"Se yrittää vastustaa lintu-Pokémonin nielemistä pyörittämällä verholehtiä päänsä ympäri. Se on yleensä tulokseton yritys.")</f>
        <v>Se yrittää vastustaa lintu-Pokémonin nielemistä pyörittämällä verholehtiä päänsä ympäri. Se on yleensä tulokseton yritys.</v>
      </c>
      <c r="C8545" s="9" t="s">
        <v>1344</v>
      </c>
    </row>
    <row r="8546" ht="33.75" customHeight="1">
      <c r="A8546" s="6" t="s">
        <v>12589</v>
      </c>
      <c r="B8546" s="6" t="str">
        <f>IFERROR(__xludf.DUMMYFUNCTION("GOOGLETRANSLATE(A8546,""en"",""fi"")"),"Sen ruumiista lähtee makea, hedelmäinen tuoksu, joka on erittäin houkutteleva lintu-Pokémoneille.")</f>
        <v>Sen ruumiista lähtee makea, hedelmäinen tuoksu, joka on erittäin houkutteleva lintu-Pokémoneille.</v>
      </c>
      <c r="C8546" s="9" t="s">
        <v>1344</v>
      </c>
    </row>
    <row r="8547" ht="33.75" customHeight="1">
      <c r="A8547" s="6" t="s">
        <v>12590</v>
      </c>
      <c r="B8547" s="6" t="str">
        <f>IFERROR(__xludf.DUMMYFUNCTION("GOOGLETRANSLATE(A8547,""en"",""fi"")"),"Hyökkäyksen kohteeksi joutuessaan se erittää makeaa ja herkullista hikeä. Tuoksu vain houkuttelee lisää vihollisia puoleensa.")</f>
        <v>Hyökkäyksen kohteeksi joutuessaan se erittää makeaa ja herkullista hikeä. Tuoksu vain houkuttelee lisää vihollisia puoleensa.</v>
      </c>
      <c r="C8547" s="9" t="s">
        <v>1344</v>
      </c>
    </row>
    <row r="8548" ht="33.75" customHeight="1">
      <c r="A8548" s="6" t="s">
        <v>12592</v>
      </c>
      <c r="B8548" s="6" t="str">
        <f>IFERROR(__xludf.DUMMYFUNCTION("GOOGLETRANSLATE(A8548,""en"",""fi"")"),"Sen päässä olevat verholehdet kehittyivät suojaamaan sen kehoa. Nämä ovat melko kovia, joten vaikka lintu-Pokémonit nokkisivat sitä, tämä Pokémon on täysin kunnossa.")</f>
        <v>Sen päässä olevat verholehdet kehittyivät suojaamaan sen kehoa. Nämä ovat melko kovia, joten vaikka lintu-Pokémonit nokkisivat sitä, tämä Pokémon on täysin kunnossa.</v>
      </c>
      <c r="C8548" s="9" t="s">
        <v>1344</v>
      </c>
    </row>
    <row r="8549" ht="33.75" customHeight="1">
      <c r="A8549" s="6" t="s">
        <v>12593</v>
      </c>
      <c r="B8549" s="6" t="str">
        <f>IFERROR(__xludf.DUMMYFUNCTION("GOOGLETRANSLATE(A8549,""en"",""fi"")"),"Tämä Pokémon pomppii aina energisesti ympäriinsä. Sen eloisa ulkonäkö ja miellyttävä tuoksu houkuttelevat muita Pokémoneja.")</f>
        <v>Tämä Pokémon pomppii aina energisesti ympäriinsä. Sen eloisa ulkonäkö ja miellyttävä tuoksu houkuttelevat muita Pokémoneja.</v>
      </c>
      <c r="C8549" s="9" t="s">
        <v>1344</v>
      </c>
    </row>
    <row r="8550" ht="33.75" customHeight="1">
      <c r="A8550" s="6" t="s">
        <v>12595</v>
      </c>
      <c r="B8550" s="6" t="str">
        <f>IFERROR(__xludf.DUMMYFUNCTION("GOOGLETRANSLATE(A8550,""en"",""fi"")"),"Kovat verholehdet suojaavat sitä, joten se leikkii lintu-Pokémonien kanssa huoletta. Ne nokkivat sitä armottomasti, mutta se ei välitä.")</f>
        <v>Kovat verholehdet suojaavat sitä, joten se leikkii lintu-Pokémonien kanssa huoletta. Ne nokkivat sitä armottomasti, mutta se ei välitä.</v>
      </c>
      <c r="C8550" s="9" t="s">
        <v>1344</v>
      </c>
    </row>
    <row r="8551" ht="33.75" customHeight="1">
      <c r="A8551" s="6" t="s">
        <v>12600</v>
      </c>
      <c r="B8551" s="6" t="str">
        <f>IFERROR(__xludf.DUMMYFUNCTION("GOOGLETRANSLATE(A8551,""en"",""fi"")"),"Se pomppii ympäriinsä heiluttaen verholehtiä päänsä päällä huolettomasti. Ne ovat melko kivuliaita, kun ne läimäyttävät sinua!")</f>
        <v>Se pomppii ympäriinsä heiluttaen verholehtiä päänsä päällä huolettomasti. Ne ovat melko kivuliaita, kun ne läimäyttävät sinua!</v>
      </c>
      <c r="C8551" s="9" t="s">
        <v>1344</v>
      </c>
    </row>
    <row r="8552" ht="33.75" customHeight="1">
      <c r="A8552" s="6" t="s">
        <v>12602</v>
      </c>
      <c r="B8552" s="6" t="str">
        <f>IFERROR(__xludf.DUMMYFUNCTION("GOOGLETRANSLATE(A8552,""en"",""fi"")"),"Sen pyöriessä kuin tanssija, sen ympärille leviää makea tuoksu. Jokainen, joka hengittää tuoksua, tuntee onnen aallon.")</f>
        <v>Sen pyöriessä kuin tanssija, sen ympärille leviää makea tuoksu. Jokainen, joka hengittää tuoksua, tuntee onnen aallon.</v>
      </c>
      <c r="C8552" s="9" t="s">
        <v>1344</v>
      </c>
    </row>
    <row r="8553" ht="33.75" customHeight="1">
      <c r="A8553" s="6" t="s">
        <v>12603</v>
      </c>
      <c r="B8553" s="6" t="str">
        <f>IFERROR(__xludf.DUMMYFUNCTION("GOOGLETRANSLATE(A8553,""en"",""fi"")"),"Jokainen tätä Pokémonia nokkiva Corvisquire saa osakseen läimäyksen verholehdiltä ja terävän potkun.")</f>
        <v>Jokainen tätä Pokémonia nokkiva Corvisquire saa osakseen läimäyksen verholehdiltä ja terävän potkun.</v>
      </c>
      <c r="C8553" s="9" t="s">
        <v>1344</v>
      </c>
    </row>
    <row r="8554" ht="33.75" customHeight="1">
      <c r="A8554" s="6" t="s">
        <v>12605</v>
      </c>
      <c r="B8554" s="6" t="str">
        <f>IFERROR(__xludf.DUMMYFUNCTION("GOOGLETRANSLATE(A8554,""en"",""fi"")"),"Sen pitkät, iskevät jalat eivät ole vain näön vuoksi, vaan niitä käytetään taitavaan potkimiseen. Voitossa se pröystäilee potkaisemalla voitetulle ja nauramalla äänekkäästi.")</f>
        <v>Sen pitkät, iskevät jalat eivät ole vain näön vuoksi, vaan niitä käytetään taitavaan potkimiseen. Voitossa se pröystäilee potkaisemalla voitetulle ja nauramalla äänekkäästi.</v>
      </c>
      <c r="C8554" s="9" t="s">
        <v>1344</v>
      </c>
    </row>
    <row r="8555" ht="33.75" customHeight="1">
      <c r="A8555" s="6" t="s">
        <v>12607</v>
      </c>
      <c r="B8555" s="6" t="str">
        <f>IFERROR(__xludf.DUMMYFUNCTION("GOOGLETRANSLATE(A8555,""en"",""fi"")"),"Pokémon, joka tunnetaan kauniista, hyvin muotoilluista jaloistaan, esiintyy joskus maskottina kauneushoitoloiden mainoksissa.")</f>
        <v>Pokémon, joka tunnetaan kauniista, hyvin muotoilluista jaloistaan, esiintyy joskus maskottina kauneushoitoloiden mainoksissa.</v>
      </c>
      <c r="C8555" s="9" t="s">
        <v>1344</v>
      </c>
    </row>
    <row r="8556" ht="33.75" customHeight="1">
      <c r="A8556" s="6" t="s">
        <v>12608</v>
      </c>
      <c r="B8556" s="6" t="str">
        <f>IFERROR(__xludf.DUMMYFUNCTION("GOOGLETRANSLATE(A8556,""en"",""fi"")"),"Suurien ja kauniiden potkujen mestari, se voi tyrmätä jopa potkunyrkkeilyn mestarit yhdellä iskulla.")</f>
        <v>Suurien ja kauniiden potkujen mestari, se voi tyrmätä jopa potkunyrkkeilyn mestarit yhdellä iskulla.</v>
      </c>
      <c r="C8556" s="9" t="s">
        <v>1344</v>
      </c>
    </row>
    <row r="8557" ht="33.75" customHeight="1">
      <c r="A8557" s="6" t="s">
        <v>12610</v>
      </c>
      <c r="B8557" s="6" t="str">
        <f>IFERROR(__xludf.DUMMYFUNCTION("GOOGLETRANSLATE(A8557,""en"",""fi"")"),"Aggressiivinen persoonallisuus ja potkimisen taito omaava Pokémon kikattelee joka kerta potkaistessaan vastustajaa.")</f>
        <v>Aggressiivinen persoonallisuus ja potkimisen taito omaava Pokémon kikattelee joka kerta potkaistessaan vastustajaa.</v>
      </c>
      <c r="C8557" s="9" t="s">
        <v>1344</v>
      </c>
    </row>
    <row r="8558" ht="33.75" customHeight="1">
      <c r="A8558" s="6" t="s">
        <v>12612</v>
      </c>
      <c r="B8558" s="6" t="str">
        <f>IFERROR(__xludf.DUMMYFUNCTION("GOOGLETRANSLATE(A8558,""en"",""fi"")"),"Tällä pelätyllä Pokémonilla on pitkät, hoikat jalat ja julma sydän. Se ei osoita armoa tallatessaan vastustajiaan.")</f>
        <v>Tällä pelätyllä Pokémonilla on pitkät, hoikat jalat ja julma sydän. Se ei osoita armoa tallatessaan vastustajiaan.</v>
      </c>
      <c r="C8558" s="9" t="s">
        <v>1344</v>
      </c>
    </row>
    <row r="8559" ht="33.75" customHeight="1">
      <c r="A8559" s="6" t="s">
        <v>12613</v>
      </c>
      <c r="B8559" s="6" t="str">
        <f>IFERROR(__xludf.DUMMYFUNCTION("GOOGLETRANSLATE(A8559,""en"",""fi"")"),"Pokémonin kovettuneista jalkojen kärjistä tuleva potku jättää vastustajan kehoon ja sieluun paranemattoman haavan.")</f>
        <v>Pokémonin kovettuneista jalkojen kärjistä tuleva potku jättää vastustajan kehoon ja sieluun paranemattoman haavan.</v>
      </c>
      <c r="C8559" s="9" t="s">
        <v>1344</v>
      </c>
    </row>
    <row r="8560" ht="33.75" customHeight="1">
      <c r="A8560" s="6" t="s">
        <v>12615</v>
      </c>
      <c r="B8560" s="6" t="str">
        <f>IFERROR(__xludf.DUMMYFUNCTION("GOOGLETRANSLATE(A8560,""en"",""fi"")"),"Se kiinnittää kukkia erittäin ravinteikkaaseen köynnökseensä. Tämä elvyttää kukkia ja ne tuottavat aromaattisen tuoksun.")</f>
        <v>Se kiinnittää kukkia erittäin ravinteikkaaseen köynnökseensä. Tämä elvyttää kukkia ja ne tuottavat aromaattisen tuoksun.</v>
      </c>
      <c r="C8560" s="9" t="s">
        <v>1344</v>
      </c>
    </row>
    <row r="8561" ht="33.75" customHeight="1">
      <c r="A8561" s="6" t="s">
        <v>12616</v>
      </c>
      <c r="B8561" s="6" t="str">
        <f>IFERROR(__xludf.DUMMYFUNCTION("GOOGLETRANSLATE(A8561,""en"",""fi"")"),"Sen köynnöksen kukista tehdyillä kylvyillä on rentouttava vaikutus, joten tämä Pokémon on monien ihmisten suosikki.")</f>
        <v>Sen köynnöksen kukista tehdyillä kylvyillä on rentouttava vaikutus, joten tämä Pokémon on monien ihmisten suosikki.</v>
      </c>
      <c r="C8561" s="9" t="s">
        <v>1344</v>
      </c>
    </row>
    <row r="8562" ht="33.75" customHeight="1">
      <c r="A8562" s="6" t="s">
        <v>12618</v>
      </c>
      <c r="B8562" s="6" t="str">
        <f>IFERROR(__xludf.DUMMYFUNCTION("GOOGLETRANSLATE(A8562,""en"",""fi"")"),"Se venyttää tahmeita köynnöksiä päästään ja poimii kukkia koristeeksi. Kun sillä ei ole kukkia, se on levoton.")</f>
        <v>Se venyttää tahmeita köynnöksiä päästään ja poimii kukkia koristeeksi. Kun sillä ei ole kukkia, se on levoton.</v>
      </c>
      <c r="C8562" s="9" t="s">
        <v>1344</v>
      </c>
    </row>
    <row r="8563" ht="33.75" customHeight="1">
      <c r="A8563" s="6" t="s">
        <v>12619</v>
      </c>
      <c r="B8563" s="6" t="str">
        <f>IFERROR(__xludf.DUMMYFUNCTION("GOOGLETRANSLATE(A8563,""en"",""fi"")"),"Se poimii kukkia ja kiinnittää niitä kehoonsa erittämällään nesteellä. Sen terälehdistä leijuva tuoksu on parantava.")</f>
        <v>Se poimii kukkia ja kiinnittää niitä kehoonsa erittämällään nesteellä. Sen terälehdistä leijuva tuoksu on parantava.</v>
      </c>
      <c r="C8563" s="9" t="s">
        <v>1344</v>
      </c>
    </row>
    <row r="8564" ht="33.75" customHeight="1">
      <c r="A8564" s="6" t="s">
        <v>12620</v>
      </c>
      <c r="B8564" s="6" t="str">
        <f>IFERROR(__xludf.DUMMYFUNCTION("GOOGLETRANSLATE(A8564,""en"",""fi"")"),"Comfey poimii kukkia köynnöksellään ja koristelee itsensä niillä. Jostain syystä kukat eivät kuihtu, kun ne on kiinnitetty Comfeyyn.")</f>
        <v>Comfey poimii kukkia köynnöksellään ja koristelee itsensä niillä. Jostain syystä kukat eivät kuihtu, kun ne on kiinnitetty Comfeyyn.</v>
      </c>
      <c r="C8564" s="9" t="s">
        <v>1344</v>
      </c>
    </row>
    <row r="8565" ht="33.75" customHeight="1">
      <c r="A8565" s="6" t="s">
        <v>12621</v>
      </c>
      <c r="B8565" s="6" t="str">
        <f>IFERROR(__xludf.DUMMYFUNCTION("GOOGLETRANSLATE(A8565,""en"",""fi"")"),"Nämä Pokémonit tuoksuvat erittäin hyvältä. Kaikilla Comfeyilla on erilaiset kukat, joten jokaisella näistä Pokémoneista on oma yksilöllinen tuoksunsa.")</f>
        <v>Nämä Pokémonit tuoksuvat erittäin hyvältä. Kaikilla Comfeyilla on erilaiset kukat, joten jokaisella näistä Pokémoneista on oma yksilöllinen tuoksunsa.</v>
      </c>
      <c r="C8565" s="9" t="s">
        <v>1344</v>
      </c>
    </row>
    <row r="8566" ht="33.75" customHeight="1">
      <c r="A8566" s="6" t="s">
        <v>12622</v>
      </c>
      <c r="B8566" s="6" t="str">
        <f>IFERROR(__xludf.DUMMYFUNCTION("GOOGLETRANSLATE(A8566,""en"",""fi"")"),"Äärimmäisestä älykkyydestään tunnettu Pokémon halveksii kokemattomia kouluttajia, joten se sopii parhaiten kokeneille kouluttajille.")</f>
        <v>Äärimmäisestä älykkyydestään tunnettu Pokémon halveksii kokemattomia kouluttajia, joten se sopii parhaiten kokeneille kouluttajille.</v>
      </c>
      <c r="C8566" s="9" t="s">
        <v>1344</v>
      </c>
    </row>
    <row r="8567" ht="33.75" customHeight="1">
      <c r="A8567" s="6" t="s">
        <v>12623</v>
      </c>
      <c r="B8567" s="6" t="str">
        <f>IFERROR(__xludf.DUMMYFUNCTION("GOOGLETRANSLATE(A8567,""en"",""fi"")"),"Syvällä viidakossa, korkealla korkeiden lehtien latvustossa, tämä Pokémon asuu. Harvinaisissa tapauksissa se ilmestyy rannalle kilpailemaan älykkyydestä Slowkingin kanssa.")</f>
        <v>Syvällä viidakossa, korkealla korkeiden lehtien latvustossa, tämä Pokémon asuu. Harvinaisissa tapauksissa se ilmestyy rannalle kilpailemaan älykkyydestä Slowkingin kanssa.</v>
      </c>
      <c r="C8567" s="9" t="s">
        <v>1344</v>
      </c>
    </row>
    <row r="8568" ht="33.75" customHeight="1">
      <c r="A8568" s="6" t="s">
        <v>12624</v>
      </c>
      <c r="B8568" s="6" t="str">
        <f>IFERROR(__xludf.DUMMYFUNCTION("GOOGLETRANSLATE(A8568,""en"",""fi"")"),"Se viettää yleensä aikansa meditoiden puiden latvoissa. Se heittelee Poképalloja ja antaa muille Pokémoneille käskyjä mielensä mukaan.")</f>
        <v>Se viettää yleensä aikansa meditoiden puiden latvoissa. Se heittelee Poképalloja ja antaa muille Pokémoneille käskyjä mielensä mukaan.</v>
      </c>
      <c r="C8568" s="9" t="s">
        <v>1344</v>
      </c>
    </row>
    <row r="8569" ht="33.75" customHeight="1">
      <c r="A8569" s="6" t="s">
        <v>12625</v>
      </c>
      <c r="B8569" s="6" t="str">
        <f>IFERROR(__xludf.DUMMYFUNCTION("GOOGLETRANSLATE(A8569,""en"",""fi"")"),"Orangurut eivät tule toimeen keskenään, joten ne käyvät jatkuvasti älytaisteluita selvittääkseen, kumpi on parempi.")</f>
        <v>Orangurut eivät tule toimeen keskenään, joten ne käyvät jatkuvasti älytaisteluita selvittääkseen, kumpi on parempi.</v>
      </c>
      <c r="C8569" s="9" t="s">
        <v>1344</v>
      </c>
    </row>
    <row r="8570" ht="33.75" customHeight="1">
      <c r="A8570" s="6" t="s">
        <v>12626</v>
      </c>
      <c r="B8570" s="6" t="str">
        <f>IFERROR(__xludf.DUMMYFUNCTION("GOOGLETRANSLATE(A8570,""en"",""fi"")"),"Lehdistä ja omasta turkistaan ​​tehdyn viuhkansa aaltoilla Oranguru antaa taitavasti ohjeita muille Pokémoneille.")</f>
        <v>Lehdistä ja omasta turkistaan ​​tehdyn viuhkansa aaltoilla Oranguru antaa taitavasti ohjeita muille Pokémoneille.</v>
      </c>
      <c r="C8570" s="9" t="s">
        <v>1344</v>
      </c>
    </row>
    <row r="8571" ht="33.75" customHeight="1">
      <c r="A8571" s="6" t="s">
        <v>12627</v>
      </c>
      <c r="B8571" s="6" t="str">
        <f>IFERROR(__xludf.DUMMYFUNCTION("GOOGLETRANSLATE(A8571,""en"",""fi"")"),"Se tuntee metsän läpikotaisin. Jos se kohtaa haavoittuneen Pokémonin, Oranguru kerää lääkekasveja sen hoitamiseksi.")</f>
        <v>Se tuntee metsän läpikotaisin. Jos se kohtaa haavoittuneen Pokémonin, Oranguru kerää lääkekasveja sen hoitamiseksi.</v>
      </c>
      <c r="C8571" s="9" t="s">
        <v>1344</v>
      </c>
    </row>
    <row r="8572" ht="33.75" customHeight="1">
      <c r="A8572" s="6" t="s">
        <v>12628</v>
      </c>
      <c r="B8572" s="6" t="str">
        <f>IFERROR(__xludf.DUMMYFUNCTION("GOOGLETRANSLATE(A8572,""en"",""fi"")"),"He muodostavat noin 20 henkilön ryhmiä. Heidän keskinäinen siteensä on merkittävä – he eivät koskaan petä toveriaan.")</f>
        <v>He muodostavat noin 20 henkilön ryhmiä. Heidän keskinäinen siteensä on merkittävä – he eivät koskaan petä toveriaan.</v>
      </c>
      <c r="C8572" s="9" t="s">
        <v>1344</v>
      </c>
    </row>
    <row r="8573" ht="33.75" customHeight="1">
      <c r="A8573" s="6" t="s">
        <v>12629</v>
      </c>
      <c r="B8573" s="6" t="str">
        <f>IFERROR(__xludf.DUMMYFUNCTION("GOOGLETRANSLATE(A8573,""en"",""fi"")"),"He taistelevat kovilla marjoilla saadakseen aseita. Heidän tekniikkansa siirtyvät pomolta ryhmälle sukupolvi toisensa jälkeen.")</f>
        <v>He taistelevat kovilla marjoilla saadakseen aseita. Heidän tekniikkansa siirtyvät pomolta ryhmälle sukupolvi toisensa jälkeen.</v>
      </c>
      <c r="C8573" s="9" t="s">
        <v>1344</v>
      </c>
    </row>
    <row r="8574" ht="33.75" customHeight="1">
      <c r="A8574" s="6" t="s">
        <v>12630</v>
      </c>
      <c r="B8574" s="6" t="str">
        <f>IFERROR(__xludf.DUMMYFUNCTION("GOOGLETRANSLATE(A8574,""en"",""fi"")"),"Ne käyttävät sylkeään kiinnittääkseen lehtiä hartioilleen. Lehtien sijainnista voi päätellä, mihin ryhmään ne kuuluvat.")</f>
        <v>Ne käyttävät sylkeään kiinnittääkseen lehtiä hartioilleen. Lehtien sijainnista voi päätellä, mihin ryhmään ne kuuluvat.</v>
      </c>
      <c r="C8574" s="9" t="s">
        <v>1344</v>
      </c>
    </row>
    <row r="8575" ht="33.75" customHeight="1">
      <c r="A8575" s="6" t="s">
        <v>12631</v>
      </c>
      <c r="B8575" s="6" t="str">
        <f>IFERROR(__xludf.DUMMYFUNCTION("GOOGLETRANSLATE(A8575,""en"",""fi"")"),"Marjat ovat sen aseita ja sen ruokavalion perusta. Se, joka pystyy heittämään marjan kauimmalle, on joukon pomo.")</f>
        <v>Marjat ovat sen aseita ja sen ruokavalion perusta. Se, joka pystyy heittämään marjan kauimmalle, on joukon pomo.</v>
      </c>
      <c r="C8575" s="9" t="s">
        <v>1344</v>
      </c>
    </row>
    <row r="8576" ht="33.75" customHeight="1">
      <c r="A8576" s="6" t="s">
        <v>12633</v>
      </c>
      <c r="B8576" s="6" t="str">
        <f>IFERROR(__xludf.DUMMYFUNCTION("GOOGLETRANSLATE(A8576,""en"",""fi"")"),"He osoittavat hämmästyttävää tiimityötä noudattaen pomonsa käskyjä ja auttavat yhdessä lempimarjojensa etsimisessä.")</f>
        <v>He osoittavat hämmästyttävää tiimityötä noudattaen pomonsa käskyjä ja auttavat yhdessä lempimarjojensa etsimisessä.</v>
      </c>
      <c r="C8576" s="9" t="s">
        <v>1344</v>
      </c>
    </row>
    <row r="8577" ht="33.75" customHeight="1">
      <c r="A8577" s="6" t="s">
        <v>12634</v>
      </c>
      <c r="B8577" s="6" t="str">
        <f>IFERROR(__xludf.DUMMYFUNCTION("GOOGLETRANSLATE(A8577,""en"",""fi"")"),"Passimialaiset elävät noin 20 yksilön ryhmissä, joissa jokaisella jäsenellä on oma tehtävänsä. Yhteistyön ansiosta ryhmä selviytyy.")</f>
        <v>Passimialaiset elävät noin 20 yksilön ryhmissä, joissa jokaisella jäsenellä on oma tehtävänsä. Yhteistyön ansiosta ryhmä selviytyy.</v>
      </c>
      <c r="C8577" s="9" t="s">
        <v>1344</v>
      </c>
    </row>
    <row r="8578" ht="33.75" customHeight="1">
      <c r="A8578" s="6" t="s">
        <v>12636</v>
      </c>
      <c r="B8578" s="6" t="str">
        <f>IFERROR(__xludf.DUMMYFUNCTION("GOOGLETRANSLATE(A8578,""en"",""fi"")"),"Tämä Pokémon on pelkuri. Sen epätoivoisen syöksyn aikana sen monien jalkojen heiluminen jättää jälkeensä säihkyvän puhtaan polun.")</f>
        <v>Tämä Pokémon on pelkuri. Sen epätoivoisen syöksyn aikana sen monien jalkojen heiluminen jättää jälkeensä säihkyvän puhtaan polun.</v>
      </c>
      <c r="C8578" s="9" t="s">
        <v>1344</v>
      </c>
    </row>
    <row r="8579" ht="33.75" customHeight="1">
      <c r="A8579" s="6" t="s">
        <v>12638</v>
      </c>
      <c r="B8579" s="6" t="str">
        <f>IFERROR(__xludf.DUMMYFUNCTION("GOOGLETRANSLATE(A8579,""en"",""fi"")"),"Sen elinympäristö vaihtelee rannoista merenpohjiin. Luonnollisena raadonsyöjänä se syö mielellään kaikkea syötävää, olipa se kuinka mätää tahansa.")</f>
        <v>Sen elinympäristö vaihtelee rannoista merenpohjiin. Luonnollisena raadonsyöjänä se syö mielellään kaikkea syötävää, olipa se kuinka mätää tahansa.</v>
      </c>
      <c r="C8579" s="9" t="s">
        <v>1344</v>
      </c>
    </row>
    <row r="8580" ht="33.75" customHeight="1">
      <c r="A8580" s="6" t="s">
        <v>12640</v>
      </c>
      <c r="B8580" s="6" t="str">
        <f>IFERROR(__xludf.DUMMYFUNCTION("GOOGLETRANSLATE(A8580,""en"",""fi"")"),"Se poimii kaiken, mitä se löytää maasta. Joskus se löytää kolikoita, joten Murkrow ja Meowth lähtevät sen perään.")</f>
        <v>Se poimii kaiken, mitä se löytää maasta. Joskus se löytää kolikoita, joten Murkrow ja Meowth lähtevät sen perään.</v>
      </c>
      <c r="C8580" s="9" t="s">
        <v>1344</v>
      </c>
    </row>
    <row r="8581" ht="33.75" customHeight="1">
      <c r="A8581" s="6" t="s">
        <v>12641</v>
      </c>
      <c r="B8581" s="6" t="str">
        <f>IFERROR(__xludf.DUMMYFUNCTION("GOOGLETRANSLATE(A8581,""en"",""fi"")"),"Hämmästyttävän pelkurimainen Pokémon Wimpod pyörittää jalkojaan kovaa vauhtia paetakseen, jos jokin tulee lähelle.")</f>
        <v>Hämmästyttävän pelkurimainen Pokémon Wimpod pyörittää jalkojaan kovaa vauhtia paetakseen, jos jokin tulee lähelle.</v>
      </c>
      <c r="C8581" s="9" t="s">
        <v>1344</v>
      </c>
    </row>
    <row r="8582" ht="33.75" customHeight="1">
      <c r="A8582" s="6" t="s">
        <v>12644</v>
      </c>
      <c r="B8582" s="6" t="str">
        <f>IFERROR(__xludf.DUMMYFUNCTION("GOOGLETRANSLATE(A8582,""en"",""fi"")"),"Se on luonnon puhdistaja – se syö kaikkea, myös roskia ja mädäntyneitä asioita. Sen pesän lähellä oleva maa on aina puhdas.")</f>
        <v>Se on luonnon puhdistaja – se syö kaikkea, myös roskia ja mädäntyneitä asioita. Sen pesän lähellä oleva maa on aina puhdas.</v>
      </c>
      <c r="C8582" s="9" t="s">
        <v>1344</v>
      </c>
    </row>
    <row r="8583" ht="33.75" customHeight="1">
      <c r="A8583" s="6" t="s">
        <v>12645</v>
      </c>
      <c r="B8583" s="6" t="str">
        <f>IFERROR(__xludf.DUMMYFUNCTION("GOOGLETRANSLATE(A8583,""en"",""fi"")"),"Nynnyt kerääntyvät parviin jatkuvasti varoen vaaraa. Ne hajaantuvat heti, kun ne havaitsevat vihollisen läsnäolon.")</f>
        <v>Nynnyt kerääntyvät parviin jatkuvasti varoen vaaraa. Ne hajaantuvat heti, kun ne havaitsevat vihollisen läsnäolon.</v>
      </c>
      <c r="C8583" s="9" t="s">
        <v>1344</v>
      </c>
    </row>
    <row r="8584" ht="33.75" customHeight="1">
      <c r="A8584" s="6" t="s">
        <v>12646</v>
      </c>
      <c r="B8584" s="6" t="str">
        <f>IFERROR(__xludf.DUMMYFUNCTION("GOOGLETRANSLATE(A8584,""en"",""fi"")"),"Jättimäisten terävien kynsiensä välkkyvällä viillolla se halkaisee meriveden – tai jopa ilman – kahtia.")</f>
        <v>Jättimäisten terävien kynsiensä välkkyvällä viillolla se halkaisee meriveden – tai jopa ilman – kahtia.</v>
      </c>
      <c r="C8584" s="9" t="s">
        <v>1344</v>
      </c>
    </row>
    <row r="8585" ht="33.75" customHeight="1">
      <c r="A8585" s="6" t="s">
        <v>12648</v>
      </c>
      <c r="B8585" s="6" t="str">
        <f>IFERROR(__xludf.DUMMYFUNCTION("GOOGLETRANSLATE(A8585,""en"",""fi"")"),"Se taistelee taitavasti kuudella kädellään, mutta viettää suurimman osan ajastaan ​​rauhallisesti meditoiden syvällä meren alla olevissa luolissa.")</f>
        <v>Se taistelee taitavasti kuudella kädellään, mutta viettää suurimman osan ajastaan ​​rauhallisesti meditoiden syvällä meren alla olevissa luolissa.</v>
      </c>
      <c r="C8585" s="9" t="s">
        <v>1344</v>
      </c>
    </row>
    <row r="8586" ht="33.75" customHeight="1">
      <c r="A8586" s="6" t="s">
        <v>12649</v>
      </c>
      <c r="B8586" s="6" t="str">
        <f>IFERROR(__xludf.DUMMYFUNCTION("GOOGLETRANSLATE(A8586,""en"",""fi"")"),"Sen vartaloa peittävä kuori on timantinkova. Tämä Pokémon tekee kaikkensa voittaakseen.")</f>
        <v>Sen vartaloa peittävä kuori on timantinkova. Tämä Pokémon tekee kaikkensa voittaakseen.</v>
      </c>
      <c r="C8586" s="9" t="s">
        <v>1344</v>
      </c>
    </row>
    <row r="8587" ht="33.75" customHeight="1">
      <c r="A8587" s="6" t="s">
        <v>12650</v>
      </c>
      <c r="B8587" s="6" t="str">
        <f>IFERROR(__xludf.DUMMYFUNCTION("GOOGLETRANSLATE(A8587,""en"",""fi"")"),"Sen kynnet, joita se voi ojentaa ja vetää umpeen mielensä mukaan, ovat sen parhaimmat aseet. Golisopodilla on joskus seurassaan Wimpod.")</f>
        <v>Sen kynnet, joita se voi ojentaa ja vetää umpeen mielensä mukaan, ovat sen parhaimmat aseet. Golisopodilla on joskus seurassaan Wimpod.</v>
      </c>
      <c r="C8587" s="9" t="s">
        <v>1344</v>
      </c>
    </row>
    <row r="8588" ht="33.75" customHeight="1">
      <c r="A8588" s="6" t="s">
        <v>12652</v>
      </c>
      <c r="B8588" s="6" t="str">
        <f>IFERROR(__xludf.DUMMYFUNCTION("GOOGLETRANSLATE(A8588,""en"",""fi"")"),"Se tekee mitä tahansa voittaakseen, hyödyntää jokaisen tilaisuuden ja viimeistelee vastustajat etujalkojensa pienillä kynsillä.")</f>
        <v>Se tekee mitä tahansa voittaakseen, hyödyntää jokaisen tilaisuuden ja viimeistelee vastustajat etujalkojensa pienillä kynsillä.</v>
      </c>
      <c r="C8588" s="9" t="s">
        <v>1344</v>
      </c>
    </row>
    <row r="8589" ht="33.75" customHeight="1">
      <c r="A8589" s="6" t="s">
        <v>12653</v>
      </c>
      <c r="B8589" s="6" t="str">
        <f>IFERROR(__xludf.DUMMYFUNCTION("GOOGLETRANSLATE(A8589,""en"",""fi"")"),"Ne elävät uponneissa laivoissa tai merenpohjan koloissa. Kun Golisopod ja Grapploct taistelevat, häviäjästä tulee voittajan ateria.")</f>
        <v>Ne elävät uponneissa laivoissa tai merenpohjan koloissa. Kun Golisopod ja Grapploct taistelevat, häviäjästä tulee voittajan ateria.</v>
      </c>
      <c r="C8589" s="9" t="s">
        <v>1344</v>
      </c>
    </row>
    <row r="8590" ht="33.75" customHeight="1">
      <c r="A8590" s="6" t="s">
        <v>12655</v>
      </c>
      <c r="B8590" s="6" t="str">
        <f>IFERROR(__xludf.DUMMYFUNCTION("GOOGLETRANSLATE(A8590,""en"",""fi"")"),"Lapsen leikkisästi rakentamasta hiekkakumpasta syntynyt Pokémon ilmentää vainajien kaunoja.")</f>
        <v>Lapsen leikkisästi rakentamasta hiekkakumpasta syntynyt Pokémon ilmentää vainajien kaunoja.</v>
      </c>
      <c r="C8590" s="9" t="s">
        <v>1344</v>
      </c>
    </row>
    <row r="8591" ht="33.75" customHeight="1">
      <c r="A8591" s="6" t="s">
        <v>12656</v>
      </c>
      <c r="B8591" s="6" t="str">
        <f>IFERROR(__xludf.DUMMYFUNCTION("GOOGLETRANSLATE(A8591,""en"",""fi"")"),"Se ottaa vallan jokaisesta, joka laittaa käden sen suuhun. Ja näin se kasvattaa hiekkakumpunsa muodostamaa ruumista.")</f>
        <v>Se ottaa vallan jokaisesta, joka laittaa käden sen suuhun. Ja näin se kasvattaa hiekkakumpunsa muodostamaa ruumista.</v>
      </c>
      <c r="C8591" s="9" t="s">
        <v>1344</v>
      </c>
    </row>
    <row r="8592" ht="33.75" customHeight="1">
      <c r="A8592" s="6" t="s">
        <v>12658</v>
      </c>
      <c r="B8592" s="6" t="str">
        <f>IFERROR(__xludf.DUMMYFUNCTION("GOOGLETRANSLATE(A8592,""en"",""fi"")"),"Se pitää päässään olevasta lapiosta, joten Sandygast vakavoituu ja tappelee kaikkia lapsia vastaan, jotka tulevat hakemaan sen takaisin.")</f>
        <v>Se pitää päässään olevasta lapiosta, joten Sandygast vakavoituu ja tappelee kaikkia lapsia vastaan, jotka tulevat hakemaan sen takaisin.</v>
      </c>
      <c r="C8592" s="9" t="s">
        <v>1344</v>
      </c>
    </row>
    <row r="8593" ht="33.75" customHeight="1">
      <c r="A8593" s="6" t="s">
        <v>12660</v>
      </c>
      <c r="B8593" s="6" t="str">
        <f>IFERROR(__xludf.DUMMYFUNCTION("GOOGLETRANSLATE(A8593,""en"",""fi"")"),"Jos rakennat hiekkakasoja pelatessasi, tuhoa ne ennen kotiin lähtöä, tai ne voivat joutua Sandgast-hahmojen valtaamiksi.")</f>
        <v>Jos rakennat hiekkakasoja pelatessasi, tuhoa ne ennen kotiin lähtöä, tai ne voivat joutua Sandgast-hahmojen valtaamiksi.</v>
      </c>
      <c r="C8593" s="9" t="s">
        <v>1344</v>
      </c>
    </row>
    <row r="8594" ht="33.75" customHeight="1">
      <c r="A8594" s="6" t="s">
        <v>12661</v>
      </c>
      <c r="B8594" s="6" t="str">
        <f>IFERROR(__xludf.DUMMYFUNCTION("GOOGLETRANSLATE(A8594,""en"",""fi"")"),"Kuolleiden kaunat ovat ottaneet haltuunsa hiekkakasan ja muuttuneet Pokémoneiksi. Sandygast pitää sen päässä olevasta lapiosta.")</f>
        <v>Kuolleiden kaunat ovat ottaneet haltuunsa hiekkakasan ja muuttuneet Pokémoneiksi. Sandygast pitää sen päässä olevasta lapiosta.</v>
      </c>
      <c r="C8594" s="9" t="s">
        <v>1344</v>
      </c>
    </row>
    <row r="8595" ht="33.75" customHeight="1">
      <c r="A8595" s="6" t="s">
        <v>12663</v>
      </c>
      <c r="B8595" s="6" t="str">
        <f>IFERROR(__xludf.DUMMYFUNCTION("GOOGLETRANSLATE(A8595,""en"",""fi"")"),"Sandygast asuttaa pääasiassa rantoja. Se ottaa vallan kenestä tahansa, joka laittaa kätensä sen suuhun, pakottaen heidät kasvattamaan ruumistaan.")</f>
        <v>Sandygast asuttaa pääasiassa rantoja. Se ottaa vallan kenestä tahansa, joka laittaa kätensä sen suuhun, pakottaen heidät kasvattamaan ruumistaan.</v>
      </c>
      <c r="C8595" s="9" t="s">
        <v>1344</v>
      </c>
    </row>
    <row r="8596" ht="33.75" customHeight="1">
      <c r="A8596" s="6" t="s">
        <v>12664</v>
      </c>
      <c r="B8596" s="6" t="str">
        <f>IFERROR(__xludf.DUMMYFUNCTION("GOOGLETRANSLATE(A8596,""en"",""fi"")"),"Tämän Pokémonin hallitsemat riivatut ihmiset muuttivat hiekkakasansa linnaksi. Sen kehittyessä sen kirousvoima kasvoi yhä vahvemmaksi.")</f>
        <v>Tämän Pokémonin hallitsemat riivatut ihmiset muuttivat hiekkakasansa linnaksi. Sen kehittyessä sen kirousvoima kasvoi yhä vahvemmaksi.</v>
      </c>
      <c r="C8596" s="9" t="s">
        <v>1344</v>
      </c>
    </row>
    <row r="8597" ht="33.75" customHeight="1">
      <c r="A8597" s="6" t="s">
        <v>12665</v>
      </c>
      <c r="B8597" s="6" t="str">
        <f>IFERROR(__xludf.DUMMYFUNCTION("GOOGLETRANSLATE(A8597,""en"",""fi"")"),"Linnan alle on haudattu kasoittain kuivuneita luita niiltä, ​​joiden elinvoiman se on imenyt.")</f>
        <v>Linnan alle on haudattu kasoittain kuivuneita luita niiltä, ​​joiden elinvoiman se on imenyt.</v>
      </c>
      <c r="C8597" s="9" t="s">
        <v>1344</v>
      </c>
    </row>
    <row r="8598" ht="33.75" customHeight="1">
      <c r="A8598" s="6" t="s">
        <v>12666</v>
      </c>
      <c r="B8598" s="6" t="str">
        <f>IFERROR(__xludf.DUMMYFUNCTION("GOOGLETRANSLATE(A8598,""en"",""fi"")"),"Jokaisella sen hiekanjyvästä on oma tahtonsa. Palossand syö pieniä Pokémoneja ja imee niiden elinvoiman niiden ollessa vielä elossa.")</f>
        <v>Jokaisella sen hiekanjyvästä on oma tahtonsa. Palossand syö pieniä Pokémoneja ja imee niiden elinvoiman niiden ollessa vielä elossa.</v>
      </c>
      <c r="C8598" s="9" t="s">
        <v>1344</v>
      </c>
    </row>
    <row r="8599" ht="33.75" customHeight="1">
      <c r="A8599" s="6" t="s">
        <v>12667</v>
      </c>
      <c r="B8599" s="6" t="str">
        <f>IFERROR(__xludf.DUMMYFUNCTION("GOOGLETRANSLATE(A8599,""en"",""fi"")"),"Kun se on nostattanut hiekkamyrskyn pysäyttääkseen vastustajansa, tämä kauhistuttava Pokémon riistää heiltä elinvoiman.")</f>
        <v>Kun se on nostattanut hiekkamyrskyn pysäyttääkseen vastustajansa, tämä kauhistuttava Pokémon riistää heiltä elinvoiman.</v>
      </c>
      <c r="C8599" s="9" t="s">
        <v>1344</v>
      </c>
    </row>
    <row r="8600" ht="33.75" customHeight="1">
      <c r="A8600" s="6" t="s">
        <v>12668</v>
      </c>
      <c r="B8600" s="6" t="str">
        <f>IFERROR(__xludf.DUMMYFUNCTION("GOOGLETRANSLATE(A8600,""en"",""fi"")"),"Palossandia kutsutaan Rantapainajaiseksi. Se vetää saaliinsa alas hiekkaan hallitsemalla itse hiekkaa ja imee sitten niiden sielut ulos.")</f>
        <v>Palossandia kutsutaan Rantapainajaiseksi. Se vetää saaliinsa alas hiekkaan hallitsemalla itse hiekkaa ja imee sitten niiden sielut ulos.</v>
      </c>
      <c r="C8600" s="9" t="s">
        <v>1344</v>
      </c>
    </row>
    <row r="8601" ht="33.75" customHeight="1">
      <c r="A8601" s="6" t="s">
        <v>12669</v>
      </c>
      <c r="B8601" s="6" t="str">
        <f>IFERROR(__xludf.DUMMYFUNCTION("GOOGLETRANSLATE(A8601,""en"",""fi"")"),"Tämä Pokémon elää rannoilla, mutta se vihaa vettä. Palossand ei pysty säilyttämään linnamaista muotoaan, jos rankkasade kastuu sen läpimäräksi.")</f>
        <v>Tämä Pokémon elää rannoilla, mutta se vihaa vettä. Palossand ei pysty säilyttämään linnamaista muotoaan, jos rankkasade kastuu sen läpimäräksi.</v>
      </c>
      <c r="C8601" s="9" t="s">
        <v>1344</v>
      </c>
    </row>
    <row r="8602" ht="33.75" customHeight="1">
      <c r="A8602" s="6" t="s">
        <v>12670</v>
      </c>
      <c r="B8602" s="6" t="str">
        <f>IFERROR(__xludf.DUMMYFUNCTION("GOOGLETRANSLATE(A8602,""en"",""fi"")"),"Se elää matalissa merissä, kuten rantojen lähellä. Se voi työntää ulos sisäelimensä, joita se käyttää saaliinsa nielemiseen tai vihollisten torjuntaan.")</f>
        <v>Se elää matalissa merissä, kuten rantojen lähellä. Se voi työntää ulos sisäelimensä, joita se käyttää saaliinsa nielemiseen tai vihollisten torjuntaan.</v>
      </c>
      <c r="C8602" s="9" t="s">
        <v>1344</v>
      </c>
    </row>
    <row r="8603" ht="33.75" customHeight="1">
      <c r="A8603" s="6" t="s">
        <v>12672</v>
      </c>
      <c r="B8603" s="6" t="str">
        <f>IFERROR(__xludf.DUMMYFUNCTION("GOOGLETRANSLATE(A8603,""en"",""fi"")"),"Nämä Pokémonit reunustavat rantoja. Niiden kehoja peittävää tahmeaa limaa voidaan käyttää auringonpolttaman ihon rauhoittamiseen. Kuinka kätevää!")</f>
        <v>Nämä Pokémonit reunustavat rantoja. Niiden kehoja peittävää tahmeaa limaa voidaan käyttää auringonpolttaman ihon rauhoittamiseen. Kuinka kätevää!</v>
      </c>
      <c r="C8603" s="9" t="s">
        <v>1344</v>
      </c>
    </row>
    <row r="8604" ht="33.75" customHeight="1">
      <c r="A8604" s="6" t="s">
        <v>12674</v>
      </c>
      <c r="B8604" s="6" t="str">
        <f>IFERROR(__xludf.DUMMYFUNCTION("GOOGLETRANSLATE(A8604,""en"",""fi"")"),"Pyukumuku-heittoperinne sai alkunsa tavasta heittää Pyukumuku takaisin mereen sen jälkeen, kun ne huuhtoutuivat rannalle.")</f>
        <v>Pyukumuku-heittoperinne sai alkunsa tavasta heittää Pyukumuku takaisin mereen sen jälkeen, kun ne huuhtoutuivat rannalle.</v>
      </c>
      <c r="C8604" s="9" t="s">
        <v>1344</v>
      </c>
    </row>
    <row r="8605" ht="33.75" customHeight="1">
      <c r="A8605" s="6" t="s">
        <v>12677</v>
      </c>
      <c r="B8605" s="6" t="str">
        <f>IFERROR(__xludf.DUMMYFUNCTION("GOOGLETRANSLATE(A8605,""en"",""fi"")"),"Sen koko ruumis on peittynyt sen omaan limaan. Jos vahingossa astut sen päälle, liukastut ja se suuttuu ja läimäisee sinua!")</f>
        <v>Sen koko ruumis on peittynyt sen omaan limaan. Jos vahingossa astut sen päälle, liukastut ja se suuttuu ja läimäisee sinua!</v>
      </c>
      <c r="C8605" s="9" t="s">
        <v>1344</v>
      </c>
    </row>
    <row r="8606" ht="33.75" customHeight="1">
      <c r="A8606" s="6" t="s">
        <v>12679</v>
      </c>
      <c r="B8606" s="6" t="str">
        <f>IFERROR(__xludf.DUMMYFUNCTION("GOOGLETRANSLATE(A8606,""en"",""fi"")"),"Se elää lämpimissä, matalissa vesissä. Jos se kohtaa vihollisen, se sylkee sisäelimensä ulos lyödäkseen sitä.")</f>
        <v>Se elää lämpimissä, matalissa vesissä. Jos se kohtaa vihollisen, se sylkee sisäelimensä ulos lyödäkseen sitä.</v>
      </c>
      <c r="C8606" s="9" t="s">
        <v>1344</v>
      </c>
    </row>
    <row r="8607" ht="33.75" customHeight="1">
      <c r="A8607" s="6" t="s">
        <v>12681</v>
      </c>
      <c r="B8607" s="6" t="str">
        <f>IFERROR(__xludf.DUMMYFUNCTION("GOOGLETRANSLATE(A8607,""en"",""fi"")"),"Se on peittynyt limakalvoon, joka pitää sen ihon kosteana, jolloin se voi pysyä maalla päiviä kuivumatta.")</f>
        <v>Se on peittynyt limakalvoon, joka pitää sen ihon kosteana, jolloin se voi pysyä maalla päiviä kuivumatta.</v>
      </c>
      <c r="C8607" s="9" t="s">
        <v>1344</v>
      </c>
    </row>
    <row r="8608" ht="33.75" customHeight="1">
      <c r="A8608" s="6" t="s">
        <v>12682</v>
      </c>
      <c r="B8608" s="6" t="str">
        <f>IFERROR(__xludf.DUMMYFUNCTION("GOOGLETRANSLATE(A8608,""en"",""fi"")"),"Sen raskas kontrollinaamio tukahduttaa sen sisäiset kyvyt. Tällä Pokémonilla on piilotettuja erityisvoimia.")</f>
        <v>Sen raskas kontrollinaamio tukahduttaa sen sisäiset kyvyt. Tällä Pokémonilla on piilotettuja erityisvoimia.</v>
      </c>
      <c r="C8608" s="9" t="s">
        <v>1344</v>
      </c>
    </row>
    <row r="8609" ht="33.75" customHeight="1">
      <c r="A8609" s="6" t="s">
        <v>12684</v>
      </c>
      <c r="B8609" s="6" t="str">
        <f>IFERROR(__xludf.DUMMYFUNCTION("GOOGLETRANSLATE(A8609,""en"",""fi"")"),"Koska tämä synteettinen Pokémon voi riehua, se käyttää naamaria hillitäkseen voimaansa.")</f>
        <v>Koska tämä synteettinen Pokémon voi riehua, se käyttää naamaria hillitäkseen voimaansa.</v>
      </c>
      <c r="C8609" s="9" t="s">
        <v>1344</v>
      </c>
    </row>
    <row r="8610" ht="33.75" customHeight="1">
      <c r="A8610" s="6" t="s">
        <v>12686</v>
      </c>
      <c r="B8610" s="6" t="str">
        <f>IFERROR(__xludf.DUMMYFUNCTION("GOOGLETRANSLATE(A8610,""en"",""fi"")"),"Tiettyä tehtävää varten kehitetty Pokémon-ase sekosi kokeen aikana, joten se jäädytettiin kryogeenisesti.")</f>
        <v>Tiettyä tehtävää varten kehitetty Pokémon-ase sekosi kokeen aikana, joten se jäädytettiin kryogeenisesti.</v>
      </c>
      <c r="C8610" s="9" t="s">
        <v>1344</v>
      </c>
    </row>
    <row r="8611" ht="33.75" customHeight="1">
      <c r="A8611" s="6" t="s">
        <v>12687</v>
      </c>
      <c r="B8611" s="6" t="str">
        <f>IFERROR(__xludf.DUMMYFUNCTION("GOOGLETRANSLATE(A8611,""en"",""fi"")"),"On olemassa vaara, että se riehuu, joten sen todellinen voima on sinetöity sen hallintanaamion alle.")</f>
        <v>On olemassa vaara, että se riehuu, joten sen todellinen voima on sinetöity sen hallintanaamion alle.</v>
      </c>
      <c r="C8611" s="9" t="s">
        <v>1344</v>
      </c>
    </row>
    <row r="8612" ht="33.75" customHeight="1">
      <c r="A8612" s="6" t="s">
        <v>12689</v>
      </c>
      <c r="B8612" s="6" t="str">
        <f>IFERROR(__xludf.DUMMYFUNCTION("GOOGLETRANSLATE(A8612,""en"",""fi"")"),"Huhun mukaan huippusalaisten tutkimusmuistiinpanojen varastaminen johti uuden Pokémonin luomiseen Galarin alueella.")</f>
        <v>Huhun mukaan huippusalaisten tutkimusmuistiinpanojen varastaminen johti uuden Pokémonin luomiseen Galarin alueella.</v>
      </c>
      <c r="C8612" s="9" t="s">
        <v>1344</v>
      </c>
    </row>
    <row r="8613" ht="33.75" customHeight="1">
      <c r="A8613" s="6" t="s">
        <v>12691</v>
      </c>
      <c r="B8613" s="6" t="str">
        <f>IFERROR(__xludf.DUMMYFUNCTION("GOOGLETRANSLATE(A8613,""en"",""fi"")"),"Se on mallinnettu mahtavan myyttisen Pokémonin mukaan. Sille asetettu naamio rajoittaa sen voimaa pitääkseen sen hallinnassa.")</f>
        <v>Se on mallinnettu mahtavan myyttisen Pokémonin mukaan. Sille asetettu naamio rajoittaa sen voimaa pitääkseen sen hallinnassa.</v>
      </c>
      <c r="C8613" s="9" t="s">
        <v>1344</v>
      </c>
    </row>
    <row r="8614" ht="33.75" customHeight="1">
      <c r="A8614" s="6" t="s">
        <v>12692</v>
      </c>
      <c r="B8614" s="6" t="str">
        <f>IFERROR(__xludf.DUMMYFUNCTION("GOOGLETRANSLATE(A8614,""en"",""fi"")"),"Sen luottamus kumppaniinsa herättää sen. Tämä Pokémon pystyy vaihtamaan tyyppiään, ja tämä joustavuus näkyy hyvin taistelussa.")</f>
        <v>Sen luottamus kumppaniinsa herättää sen. Tämä Pokémon pystyy vaihtamaan tyyppiään, ja tämä joustavuus näkyy hyvin taistelussa.</v>
      </c>
      <c r="C8614" s="9" t="s">
        <v>1344</v>
      </c>
    </row>
    <row r="8615" ht="33.75" customHeight="1">
      <c r="A8615" s="6" t="s">
        <v>12693</v>
      </c>
      <c r="B8615" s="6" t="str">
        <f>IFERROR(__xludf.DUMMYFUNCTION("GOOGLETRANSLATE(A8615,""en"",""fi"")"),"Vaikka sen nimi oli aluksi Tyyppi: Null, poika, joka kehitti sen tähän muotoon, antoi sille nimen, jolla se nykyään tunnetaan.")</f>
        <v>Vaikka sen nimi oli aluksi Tyyppi: Null, poika, joka kehitti sen tähän muotoon, antoi sille nimen, jolla se nykyään tunnetaan.</v>
      </c>
      <c r="C8615" s="9" t="s">
        <v>1344</v>
      </c>
    </row>
    <row r="8616" ht="33.75" customHeight="1">
      <c r="A8616" s="6" t="s">
        <v>12694</v>
      </c>
      <c r="B8616" s="6" t="str">
        <f>IFERROR(__xludf.DUMMYFUNCTION("GOOGLETRANSLATE(A8616,""en"",""fi"")"),"Tämä on sen muoto herättyä ja kehittynyt. Vapauduttuaan raskaasta naamiostaan ​​sen nopeus kasvaa huomattavasti.")</f>
        <v>Tämä on sen muoto herättyä ja kehittynyt. Vapauduttuaan raskaasta naamiostaan ​​sen nopeus kasvaa huomattavasti.</v>
      </c>
      <c r="C8616" s="9" t="s">
        <v>1344</v>
      </c>
    </row>
    <row r="8617" ht="33.75" customHeight="1">
      <c r="A8617" s="6" t="s">
        <v>12695</v>
      </c>
      <c r="B8617" s="6" t="str">
        <f>IFERROR(__xludf.DUMMYFUNCTION("GOOGLETRANSLATE(A8617,""en"",""fi"")"),"Kouluttajansa kanssa muodostaman siteen kautta sen tahto vahvistui ja se kykeni tuhoamaan kontrollinaamionsa.")</f>
        <v>Kouluttajansa kanssa muodostaman siteen kautta sen tahto vahvistui ja se kykeni tuhoamaan kontrollinaamionsa.</v>
      </c>
      <c r="C8617" s="9" t="s">
        <v>1344</v>
      </c>
    </row>
    <row r="8618" ht="33.75" customHeight="1">
      <c r="A8618" s="6" t="s">
        <v>12696</v>
      </c>
      <c r="B8618" s="6" t="str">
        <f>IFERROR(__xludf.DUMMYFUNCTION("GOOGLETRANSLATE(A8618,""en"",""fi"")"),"Tämän Pokémonin ja sen kouluttajan välinen vahva luottamusside herätti Silvallyn sisällä piilevän voiman. Se voi muuttaa tyyppiään mielensä mukaan.")</f>
        <v>Tämän Pokémonin ja sen kouluttajan välinen vahva luottamusside herätti Silvallyn sisällä piilevän voiman. Se voi muuttaa tyyppiään mielensä mukaan.</v>
      </c>
      <c r="C8618" s="9" t="s">
        <v>1344</v>
      </c>
    </row>
    <row r="8619" ht="33.75" customHeight="1">
      <c r="A8619" s="6" t="s">
        <v>12697</v>
      </c>
      <c r="B8619" s="6" t="str">
        <f>IFERROR(__xludf.DUMMYFUNCTION("GOOGLETRANSLATE(A8619,""en"",""fi"")"),"Viimeinen tekijä, joka tarvittiin tämän Pokémonin todellisen voiman vapauttamiseksi, oli vahva side kouluttajaan, johon se luottaa.")</f>
        <v>Viimeinen tekijä, joka tarvittiin tämän Pokémonin todellisen voiman vapauttamiseksi, oli vahva side kouluttajaan, johon se luottaa.</v>
      </c>
      <c r="C8619" s="9" t="s">
        <v>1344</v>
      </c>
    </row>
    <row r="8620" ht="33.75" customHeight="1">
      <c r="A8620" s="6" t="s">
        <v>12698</v>
      </c>
      <c r="B8620" s="6" t="str">
        <f>IFERROR(__xludf.DUMMYFUNCTION("GOOGLETRANSLATE(A8620,""en"",""fi"")"),"Alun perin otsonikerroksessa elänyt se syöksyy maahan, kun sen ruumista ympäröivä kuori kasvaa liian raskaaksi.")</f>
        <v>Alun perin otsonikerroksessa elänyt se syöksyy maahan, kun sen ruumista ympäröivä kuori kasvaa liian raskaaksi.</v>
      </c>
      <c r="C8620" s="9" t="s">
        <v>1344</v>
      </c>
    </row>
    <row r="8621" ht="33.75" customHeight="1">
      <c r="A8621" s="6" t="s">
        <v>12700</v>
      </c>
      <c r="B8621" s="6" t="str">
        <f>IFERROR(__xludf.DUMMYFUNCTION("GOOGLETRANSLATE(A8621,""en"",""fi"")"),"Voimakkaat iskut voivat pudottaa sen kuorestaan. Tämä Pokémon syntyi mutatoituneista nanopartikkeleista.")</f>
        <v>Voimakkaat iskut voivat pudottaa sen kuorestaan. Tämä Pokémon syntyi mutatoituneista nanopartikkeleista.</v>
      </c>
      <c r="C8621" s="9" t="s">
        <v>1344</v>
      </c>
    </row>
    <row r="8622" ht="33.75" customHeight="1">
      <c r="A8622" s="6" t="s">
        <v>12701</v>
      </c>
      <c r="B8622" s="6" t="str">
        <f>IFERROR(__xludf.DUMMYFUNCTION("GOOGLETRANSLATE(A8622,""en"",""fi"")"),"Se elää otsonikerroksessa, jossa siitä tulee ravintoa vahvemmille Pokémoneille. Kun se yrittää paeta, se putoaa maahan.")</f>
        <v>Se elää otsonikerroksessa, jossa siitä tulee ravintoa vahvemmille Pokémoneille. Kun se yrittää paeta, se putoaa maahan.</v>
      </c>
      <c r="C8622" s="9" t="s">
        <v>1344</v>
      </c>
    </row>
    <row r="8623" ht="33.75" customHeight="1">
      <c r="A8623" s="6" t="s">
        <v>12702</v>
      </c>
      <c r="B8623" s="6" t="str">
        <f>IFERROR(__xludf.DUMMYFUNCTION("GOOGLETRANSLATE(A8623,""en"",""fi"")"),"Vaikka sen ulkokuori on epätavallisen kestävä, maahan putoamisen isku murskaa kuoren palasiksi.")</f>
        <v>Vaikka sen ulkokuori on epätavallisen kestävä, maahan putoamisen isku murskaa kuoren palasiksi.</v>
      </c>
      <c r="C8623" s="9" t="s">
        <v>1344</v>
      </c>
    </row>
    <row r="8624" ht="33.75" customHeight="1">
      <c r="A8624" s="6" t="s">
        <v>12703</v>
      </c>
      <c r="B8624" s="6" t="str">
        <f>IFERROR(__xludf.DUMMYFUNCTION("GOOGLETRANSLATE(A8624,""en"",""fi"")"),"Se syntyy unessa ja kuolee unessa. Kaikki sen liikkeet ovat näennäisesti vain sen unissa pyörimisen ja pyörimisen tulosta.")</f>
        <v>Se syntyy unessa ja kuolee unessa. Kaikki sen liikkeet ovat näennäisesti vain sen unissa pyörimisen ja pyörimisen tulosta.</v>
      </c>
      <c r="C8624" s="9" t="s">
        <v>1344</v>
      </c>
    </row>
    <row r="8625" ht="33.75" customHeight="1">
      <c r="A8625" s="6" t="s">
        <v>12704</v>
      </c>
      <c r="B8625" s="6" t="str">
        <f>IFERROR(__xludf.DUMMYFUNCTION("GOOGLETRANSLATE(A8625,""en"",""fi"")"),"Sen vanhemmat antoivat sille sen syntymässä lokin, jota se pitää kädessään. Sen tiedetään myös tarrautuvan ystävällisen kouluttajan käsivarteen.")</f>
        <v>Sen vanhemmat antoivat sille sen syntymässä lokin, jota se pitää kädessään. Sen tiedetään myös tarrautuvan ystävällisen kouluttajan käsivarteen.</v>
      </c>
      <c r="C8625" s="9" t="s">
        <v>1344</v>
      </c>
    </row>
    <row r="8626" ht="33.75" customHeight="1">
      <c r="A8626" s="6" t="s">
        <v>12706</v>
      </c>
      <c r="B8626" s="6" t="str">
        <f>IFERROR(__xludf.DUMMYFUNCTION("GOOGLETRANSLATE(A8626,""en"",""fi"")"),"Se nukkuu syntymästään lähtien. Kun se vaipuu syvään uneen, se lakkaa liikkumasta kokonaan.")</f>
        <v>Se nukkuu syntymästään lähtien. Kun se vaipuu syvään uneen, se lakkaa liikkumasta kokonaan.</v>
      </c>
      <c r="C8626" s="9" t="s">
        <v>1344</v>
      </c>
    </row>
    <row r="8627" ht="33.75" customHeight="1">
      <c r="A8627" s="6" t="s">
        <v>12707</v>
      </c>
      <c r="B8627" s="6" t="str">
        <f>IFERROR(__xludf.DUMMYFUNCTION("GOOGLETRANSLATE(A8627,""en"",""fi"")"),"Se pysyy unessa syntymästä kuolemaan sen ruokavaliota muodostavien lehtien rauhoittavien ominaisuuksien seurauksena.")</f>
        <v>Se pysyy unessa syntymästä kuolemaan sen ruokavaliota muodostavien lehtien rauhoittavien ominaisuuksien seurauksena.</v>
      </c>
      <c r="C8627" s="9" t="s">
        <v>1344</v>
      </c>
    </row>
    <row r="8628" ht="33.75" customHeight="1">
      <c r="A8628" s="6" t="s">
        <v>12708</v>
      </c>
      <c r="B8628" s="6" t="str">
        <f>IFERROR(__xludf.DUMMYFUNCTION("GOOGLETRANSLATE(A8628,""en"",""fi"")"),"Sen selässä oleva kuori on kemiallisesti epävakaa ja räjähtää rajusti, jos siihen isketään. Vatsassa oleva reikä on sen heikko kohta.")</f>
        <v>Sen selässä oleva kuori on kemiallisesti epävakaa ja räjähtää rajusti, jos siihen isketään. Vatsassa oleva reikä on sen heikko kohta.</v>
      </c>
      <c r="C8628" s="9" t="s">
        <v>1344</v>
      </c>
    </row>
    <row r="8629" ht="33.75" customHeight="1">
      <c r="A8629" s="6" t="s">
        <v>12709</v>
      </c>
      <c r="B8629" s="6" t="str">
        <f>IFERROR(__xludf.DUMMYFUNCTION("GOOGLETRANSLATE(A8629,""en"",""fi"")"),"Se syöskee sieraimistaan ​​tulta ja myrkyllisiä kaasuja. Sen jätökset ovat räjähdysherkkiä ja niitä voidaan käyttää moniin eri tarkoituksiin.")</f>
        <v>Se syöskee sieraimistaan ​​tulta ja myrkyllisiä kaasuja. Sen jätökset ovat räjähdysherkkiä ja niitä voidaan käyttää moniin eri tarkoituksiin.</v>
      </c>
      <c r="C8629" s="9" t="s">
        <v>1344</v>
      </c>
    </row>
    <row r="8630" ht="33.75" customHeight="1">
      <c r="A8630" s="6" t="s">
        <v>12710</v>
      </c>
      <c r="B8630" s="6" t="str">
        <f>IFERROR(__xludf.DUMMYFUNCTION("GOOGLETRANSLATE(A8630,""en"",""fi"")"),"Se elää tulivuorissa ja syö rikkiä ja muita mineraaleja. Sen syömän ruoan materiaalit muodostavat sen räjähtävän kuoren perustan.")</f>
        <v>Se elää tulivuorissa ja syö rikkiä ja muita mineraaleja. Sen syömän ruoan materiaalit muodostavat sen räjähtävän kuoren perustan.</v>
      </c>
      <c r="C8630" s="9" t="s">
        <v>1344</v>
      </c>
    </row>
    <row r="8631" ht="33.75" customHeight="1">
      <c r="A8631" s="6" t="s">
        <v>12711</v>
      </c>
      <c r="B8631" s="6" t="str">
        <f>IFERROR(__xludf.DUMMYFUNCTION("GOOGLETRANSLATE(A8631,""en"",""fi"")"),"Sen räjähtävä kuori on todellinen vaara, mutta se on herkkä kosteudelle. Sateisina päivinä Turtonator piiloutuu hiljaa luoliin.")</f>
        <v>Sen räjähtävä kuori on todellinen vaara, mutta se on herkkä kosteudelle. Sateisina päivinä Turtonator piiloutuu hiljaa luoliin.</v>
      </c>
      <c r="C8631" s="9" t="s">
        <v>1344</v>
      </c>
    </row>
    <row r="8632" ht="33.75" customHeight="1">
      <c r="A8632" s="6" t="s">
        <v>12712</v>
      </c>
      <c r="B8632" s="6" t="str">
        <f>IFERROR(__xludf.DUMMYFUNCTION("GOOGLETRANSLATE(A8632,""en"",""fi"")"),"Kranaatti on peitetty räjähtävillä aineilla sen selästä. Viholliset, jotka uskaltavat hyökätä sen kimppuun, räjähtävät pois valtavalla räjähdyksellä.")</f>
        <v>Kranaatti on peitetty räjähtävillä aineilla sen selästä. Viholliset, jotka uskaltavat hyökätä sen kimppuun, räjähtävät pois valtavalla räjähdyksellä.</v>
      </c>
      <c r="C8632" s="9" t="s">
        <v>1344</v>
      </c>
    </row>
    <row r="8633" ht="33.75" customHeight="1">
      <c r="A8633" s="6" t="s">
        <v>12713</v>
      </c>
      <c r="B8633" s="6" t="str">
        <f>IFERROR(__xludf.DUMMYFUNCTION("GOOGLETRANSLATE(A8633,""en"",""fi"")"),"Rikin syöminen sen vulkaanisessa elinympäristössä aiheuttaa räjähtävien yhdisteiden kehittymistä sen kuoreen. Myös sen ulosteet ovat vaarallisen räjähdysherkkiä.")</f>
        <v>Rikin syöminen sen vulkaanisessa elinympäristössä aiheuttaa räjähtävien yhdisteiden kehittymistä sen kuoreen. Myös sen ulosteet ovat vaarallisen räjähdysherkkiä.</v>
      </c>
      <c r="C8633" s="9" t="s">
        <v>1344</v>
      </c>
    </row>
    <row r="8634" ht="33.75" customHeight="1">
      <c r="A8634" s="6" t="s">
        <v>12714</v>
      </c>
      <c r="B8634" s="6" t="str">
        <f>IFERROR(__xludf.DUMMYFUNCTION("GOOGLETRANSLATE(A8634,""en"",""fi"")"),"Sen selän piikikäs turkki on normaalisti levossa. Kun tämä Pokémon levottomaksi muuttuu, sen turkki nousee pystyyn ja iskee hyökkääjiinsä.")</f>
        <v>Sen selän piikikäs turkki on normaalisti levossa. Kun tämä Pokémon levottomaksi muuttuu, sen turkki nousee pystyyn ja iskee hyökkääjiinsä.</v>
      </c>
      <c r="C8634" s="9" t="s">
        <v>1344</v>
      </c>
    </row>
    <row r="8635" ht="33.75" customHeight="1">
      <c r="A8635" s="6" t="s">
        <v>12716</v>
      </c>
      <c r="B8635" s="6" t="str">
        <f>IFERROR(__xludf.DUMMYFUNCTION("GOOGLETRANSLATE(A8635,""en"",""fi"")"),"Sen selässä olevat pitkät karvat toimivat salamanjohtimina. Sen puoleensa vetävät salamaniskut varastoituvat energiana sen sähköpussiin.")</f>
        <v>Sen selässä olevat pitkät karvat toimivat salamanjohtimina. Sen puoleensa vetävät salamaniskut varastoituvat energiana sen sähköpussiin.</v>
      </c>
      <c r="C8635" s="9" t="s">
        <v>1344</v>
      </c>
    </row>
    <row r="8636" ht="33.75" customHeight="1">
      <c r="A8636" s="6" t="s">
        <v>12717</v>
      </c>
      <c r="B8636" s="6" t="str">
        <f>IFERROR(__xludf.DUMMYFUNCTION("GOOGLETRANSLATE(A8636,""en"",""fi"")"),"Kun se on yllättynyt tai levoton, sen selässä olevat 14 piikkiä nousevat tahtomattaan pystyyn.")</f>
        <v>Kun se on yllättynyt tai levoton, sen selässä olevat 14 piikkiä nousevat tahtomattaan pystyyn.</v>
      </c>
      <c r="C8636" s="9" t="s">
        <v>1344</v>
      </c>
    </row>
    <row r="8637" ht="33.75" customHeight="1">
      <c r="A8637" s="6" t="s">
        <v>12718</v>
      </c>
      <c r="B8637" s="6" t="str">
        <f>IFERROR(__xludf.DUMMYFUNCTION("GOOGLETRANSLATE(A8637,""en"",""fi"")"),"Sen kyky tuottaa sähköä on jonkin verran rajallinen, joten se latautuu antamalla salaman iskeä siihen!")</f>
        <v>Sen kyky tuottaa sähköä on jonkin verran rajallinen, joten se latautuu antamalla salaman iskeä siihen!</v>
      </c>
      <c r="C8637" s="9" t="s">
        <v>1344</v>
      </c>
    </row>
    <row r="8638" ht="33.75" customHeight="1">
      <c r="A8638" s="6" t="s">
        <v>12719</v>
      </c>
      <c r="B8638" s="6" t="str">
        <f>IFERROR(__xludf.DUMMYFUNCTION("GOOGLETRANSLATE(A8638,""en"",""fi"")"),"Pitkät selkäkarvansa ansiosta tämä Pokémon imee sähköä muilta sähköisiltä Pokémoneilta. Se varastoi imemänsä sähköpussiin.")</f>
        <v>Pitkät selkäkarvansa ansiosta tämä Pokémon imee sähköä muilta sähköisiltä Pokémoneilta. Se varastoi imemänsä sähköpussiin.</v>
      </c>
      <c r="C8638" s="9" t="s">
        <v>1344</v>
      </c>
    </row>
    <row r="8639" ht="33.75" customHeight="1">
      <c r="A8639" s="6" t="s">
        <v>12720</v>
      </c>
      <c r="B8639" s="6" t="str">
        <f>IFERROR(__xludf.DUMMYFUNCTION("GOOGLETRANSLATE(A8639,""en"",""fi"")"),"Hädässä se käpertyy palloksi, nostaa piikkikarvansa pystyyn ja purkaa sitten sähköä umpimähkään.")</f>
        <v>Hädässä se käpertyy palloksi, nostaa piikkikarvansa pystyyn ja purkaa sitten sähköä umpimähkään.</v>
      </c>
      <c r="C8639" s="9" t="s">
        <v>1344</v>
      </c>
    </row>
    <row r="8640" ht="33.75" customHeight="1">
      <c r="A8640" s="6" t="s">
        <v>12722</v>
      </c>
      <c r="B8640" s="6" t="str">
        <f>IFERROR(__xludf.DUMMYFUNCTION("GOOGLETRANSLATE(A8640,""en"",""fi"")"),"Sen todellinen ulkonäkö on tuntematon. Tutkija, joka näki, mitä sen rätin alla oli, joutui kauhun valtaan ja kuoli järkytykseen.")</f>
        <v>Sen todellinen ulkonäkö on tuntematon. Tutkija, joka näki, mitä sen rätin alla oli, joutui kauhun valtaan ja kuoli järkytykseen.</v>
      </c>
      <c r="C8640" s="9" t="s">
        <v>1344</v>
      </c>
    </row>
    <row r="8641" ht="33.75" customHeight="1">
      <c r="A8641" s="6" t="s">
        <v>12723</v>
      </c>
      <c r="B8641" s="6" t="str">
        <f>IFERROR(__xludf.DUMMYFUNCTION("GOOGLETRANSLATE(A8641,""en"",""fi"")"),"Yksinäinen Pokémon, joka kätkee kauhistuttavan ulkonäkönsä vanhan rätin alle päästäkseen lähemmäksi ihmisiä ja muita Pokémoneja.")</f>
        <v>Yksinäinen Pokémon, joka kätkee kauhistuttavan ulkonäkönsä vanhan rätin alle päästäkseen lähemmäksi ihmisiä ja muita Pokémoneja.</v>
      </c>
      <c r="C8641" s="9" t="s">
        <v>1344</v>
      </c>
    </row>
    <row r="8642" ht="33.75" customHeight="1">
      <c r="A8642" s="6" t="s">
        <v>12724</v>
      </c>
      <c r="B8642" s="6" t="str">
        <f>IFERROR(__xludf.DUMMYFUNCTION("GOOGLETRANSLATE(A8642,""en"",""fi"")"),"Vaikka se on hiljainen ja yksinäinen Pokémon, se kiihtyy ja vastustelee rajusti, jos yrität katsoa sen rätin alle.")</f>
        <v>Vaikka se on hiljainen ja yksinäinen Pokémon, se kiihtyy ja vastustelee rajusti, jos yrität katsoa sen rätin alle.</v>
      </c>
      <c r="C8642" s="9" t="s">
        <v>1344</v>
      </c>
    </row>
    <row r="8643" ht="33.75" customHeight="1">
      <c r="A8643" s="6" t="s">
        <v>12726</v>
      </c>
      <c r="B8643" s="6" t="str">
        <f>IFERROR(__xludf.DUMMYFUNCTION("GOOGLETRANSLATE(A8643,""en"",""fi"")"),"Tuulenpuuska paljasti ohikulkevalle kouluttajalle, mitä tämän Pokémonin rätin alla piilee. Kouluttaja meni kotiin ja kuoli tuskallisesti samana yönä.")</f>
        <v>Tuulenpuuska paljasti ohikulkevalle kouluttajalle, mitä tämän Pokémonin rätin alla piilee. Kouluttaja meni kotiin ja kuoli tuskallisesti samana yönä.</v>
      </c>
      <c r="C8643" s="9" t="s">
        <v>1344</v>
      </c>
    </row>
    <row r="8644" ht="33.75" customHeight="1">
      <c r="A8644" s="6" t="s">
        <v>12727</v>
      </c>
      <c r="B8644" s="6" t="str">
        <f>IFERROR(__xludf.DUMMYFUNCTION("GOOGLETRANSLATE(A8644,""en"",""fi"")"),"Se käyttää rättiä, joka on muotoiltu Pikachun asuksi näyttääkseen vähemmän pelottavalta. Valitettavasti asu tekee siitä vain kammottavamman.")</f>
        <v>Se käyttää rättiä, joka on muotoiltu Pikachun asuksi näyttääkseen vähemmän pelottavalta. Valitettavasti asu tekee siitä vain kammottavamman.</v>
      </c>
      <c r="C8644" s="9" t="s">
        <v>1344</v>
      </c>
    </row>
    <row r="8645" ht="33.75" customHeight="1">
      <c r="A8645" s="6" t="s">
        <v>12729</v>
      </c>
      <c r="B8645" s="6" t="str">
        <f>IFERROR(__xludf.DUMMYFUNCTION("GOOGLETRANSLATE(A8645,""en"",""fi"")"),"Eräs tiedemies kurkisti Mimikyun vanhan rätin alle tutkimuksen nimissä. Tiedemies kuoli salaperäiseen tautiin.")</f>
        <v>Eräs tiedemies kurkisti Mimikyun vanhan rätin alle tutkimuksen nimissä. Tiedemies kuoli salaperäiseen tautiin.</v>
      </c>
      <c r="C8645" s="9" t="s">
        <v>1344</v>
      </c>
    </row>
    <row r="8646" ht="33.75" customHeight="1">
      <c r="A8646" s="6" t="s">
        <v>12733</v>
      </c>
      <c r="B8646" s="6" t="str">
        <f>IFERROR(__xludf.DUMMYFUNCTION("GOOGLETRANSLATE(A8646,""en"",""fi"")"),"Kun se vapauttaa psyykkisen voimansa päänsä kohoumasta, hampaiden narskuttelun rahin kaikuu alueella.")</f>
        <v>Kun se vapauttaa psyykkisen voimansa päänsä kohoumasta, hampaiden narskuttelun rahin kaikuu alueella.</v>
      </c>
      <c r="C8646" s="9" t="s">
        <v>1344</v>
      </c>
    </row>
    <row r="8647" ht="33.75" customHeight="1">
      <c r="A8647" s="6" t="s">
        <v>12734</v>
      </c>
      <c r="B8647" s="6" t="str">
        <f>IFERROR(__xludf.DUMMYFUNCTION("GOOGLETRANSLATE(A8647,""en"",""fi"")"),"Se tainnuttaa saaliinsa psykokineesillä ja jauhaa sen sitten mössöksi vahvoilla hampaillaan. Edes Shellderin kuori ei kestä sitä.")</f>
        <v>Se tainnuttaa saaliinsa psykokineesillä ja jauhaa sen sitten mössöksi vahvoilla hampaillaan. Edes Shellderin kuori ei kestä sitä.</v>
      </c>
      <c r="C8647" s="9" t="s">
        <v>1344</v>
      </c>
    </row>
    <row r="8648" ht="33.75" customHeight="1">
      <c r="A8648" s="6" t="s">
        <v>12736</v>
      </c>
      <c r="B8648" s="6" t="str">
        <f>IFERROR(__xludf.DUMMYFUNCTION("GOOGLETRANSLATE(A8648,""en"",""fi"")"),"Se kaivautuu hiekan alle säteillen psyykkistä voimaa päänsä kohoumasta. Se odottaa saalista tarkkaillessaan aluetta.")</f>
        <v>Se kaivautuu hiekan alle säteillen psyykkistä voimaa päänsä kohoumasta. Se odottaa saalista tarkkaillessaan aluetta.</v>
      </c>
      <c r="C8648" s="9" t="s">
        <v>1344</v>
      </c>
    </row>
    <row r="8649" ht="33.75" customHeight="1">
      <c r="A8649" s="6" t="s">
        <v>12737</v>
      </c>
      <c r="B8649" s="6" t="str">
        <f>IFERROR(__xludf.DUMMYFUNCTION("GOOGLETRANSLATE(A8649,""en"",""fi"")"),"Sen iho on riittävän paksu torjumaan Mareanien piikit. Voimakkailla hampaillaan Bruxish murskaa piikit ja syö ne.")</f>
        <v>Sen iho on riittävän paksu torjumaan Mareanien piikit. Voimakkailla hampaillaan Bruxish murskaa piikit ja syö ne.</v>
      </c>
      <c r="C8649" s="9" t="s">
        <v>1344</v>
      </c>
    </row>
    <row r="8650" ht="33.75" customHeight="1">
      <c r="A8650" s="6" t="s">
        <v>12738</v>
      </c>
      <c r="B8650" s="6" t="str">
        <f>IFERROR(__xludf.DUMMYFUNCTION("GOOGLETRANSLATE(A8650,""en"",""fi"")"),"Sillä on myötätuntoinen persoonallisuus, mutta jos se suuttuu, se tuhoaa ympäristönsä täysin voimakkaalla hengityksellään.")</f>
        <v>Sillä on myötätuntoinen persoonallisuus, mutta jos se suuttuu, se tuhoaa ympäristönsä täysin voimakkaalla hengityksellään.</v>
      </c>
      <c r="C8650" s="9" t="s">
        <v>1344</v>
      </c>
    </row>
    <row r="8651" ht="33.75" customHeight="1">
      <c r="A8651" s="6" t="s">
        <v>12740</v>
      </c>
      <c r="B8651" s="6" t="str">
        <f>IFERROR(__xludf.DUMMYFUNCTION("GOOGLETRANSLATE(A8651,""en"",""fi"")"),"Tämä Pokémon on ystävällinen ihmisille ja rakastaa ennen kaikkea lapsia. Se tulee syvältä vuorilta leikkimään lasten kanssa, joista se pitää kaupungissa.")</f>
        <v>Tämä Pokémon on ystävällinen ihmisille ja rakastaa ennen kaikkea lapsia. Se tulee syvältä vuorilta leikkimään lasten kanssa, joista se pitää kaupungissa.</v>
      </c>
      <c r="C8651" s="9" t="s">
        <v>1344</v>
      </c>
    </row>
    <row r="8652" ht="33.75" customHeight="1">
      <c r="A8652" s="6" t="s">
        <v>12741</v>
      </c>
      <c r="B8652" s="6" t="str">
        <f>IFERROR(__xludf.DUMMYFUNCTION("GOOGLETRANSLATE(A8652,""en"",""fi"")"),"Jos lapsi, jonka kanssa se on ystävystynyt, joutuu kiusatuksi, Drampa löytää kiusaajan talon ja polttaa sen maan tasalle.")</f>
        <v>Jos lapsi, jonka kanssa se on ystävystynyt, joutuu kiusatuksi, Drampa löytää kiusaajan talon ja polttaa sen maan tasalle.</v>
      </c>
      <c r="C8652" s="9" t="s">
        <v>1344</v>
      </c>
    </row>
    <row r="8653" ht="33.75" customHeight="1">
      <c r="A8653" s="6" t="s">
        <v>12743</v>
      </c>
      <c r="B8653" s="6" t="str">
        <f>IFERROR(__xludf.DUMMYFUNCTION("GOOGLETRANSLATE(A8653,""en"",""fi"")"),"Se ilmestyy kaupunkeihin ja leikkii lasten kanssa. Drampa suojelee lapsia vaarassa, joten heidän äitiensä ei tarvitse huolehtia.")</f>
        <v>Se ilmestyy kaupunkeihin ja leikkii lasten kanssa. Drampa suojelee lapsia vaarassa, joten heidän äitiensä ei tarvitse huolehtia.</v>
      </c>
      <c r="C8653" s="9" t="s">
        <v>1344</v>
      </c>
    </row>
    <row r="8654" ht="33.75" customHeight="1">
      <c r="A8654" s="6" t="s">
        <v>12744</v>
      </c>
      <c r="B8654" s="6" t="str">
        <f>IFERROR(__xludf.DUMMYFUNCTION("GOOGLETRANSLATE(A8654,""en"",""fi"")"),"Vuoret, joita se kutsuu kodikseen, ovat lähes kolmen kilometrin korkuisia. Harvinaisissa tapauksissa se laskeutuu alas leikkimään alapuolella olevien kaupunkien lasten kanssa.")</f>
        <v>Vuoret, joita se kutsuu kodikseen, ovat lähes kolmen kilometrin korkuisia. Harvinaisissa tapauksissa se laskeutuu alas leikkimään alapuolella olevien kaupunkien lasten kanssa.</v>
      </c>
      <c r="C8654" s="9" t="s">
        <v>1344</v>
      </c>
    </row>
    <row r="8655" ht="33.75" customHeight="1">
      <c r="A8655" s="6" t="s">
        <v>12745</v>
      </c>
      <c r="B8655" s="6" t="str">
        <f>IFERROR(__xludf.DUMMYFUNCTION("GOOGLETRANSLATE(A8655,""en"",""fi"")"),"Drampa on kiltti ja ystävällinen Pokémon – kunnes se suuttuu. Suututtuaan se nostattaa myrskyn ja tekee kaiken ympärillään maan tasalle.")</f>
        <v>Drampa on kiltti ja ystävällinen Pokémon – kunnes se suuttuu. Suututtuaan se nostattaa myrskyn ja tekee kaiken ympärillään maan tasalle.</v>
      </c>
      <c r="C8655" s="9" t="s">
        <v>1344</v>
      </c>
    </row>
    <row r="8656" ht="33.75" customHeight="1">
      <c r="A8656" s="6" t="s">
        <v>12746</v>
      </c>
      <c r="B8656" s="6" t="str">
        <f>IFERROR(__xludf.DUMMYFUNCTION("GOOGLETRANSLATE(A8656,""en"",""fi"")"),"Heilauttaen massiivista ankkuriaan se voi tyrmätä Wailordin yhdellä iskulla. Se, mikä näyttää vihreältä merilevältä, onkin itse asiassa sen ruumis.")</f>
        <v>Heilauttaen massiivista ankkuriaan se voi tyrmätä Wailordin yhdellä iskulla. Se, mikä näyttää vihreältä merilevältä, onkin itse asiassa sen ruumis.</v>
      </c>
      <c r="C8656" s="9" t="s">
        <v>1344</v>
      </c>
    </row>
    <row r="8657" ht="33.75" customHeight="1">
      <c r="A8657" s="6" t="s">
        <v>12747</v>
      </c>
      <c r="B8657" s="6" t="str">
        <f>IFERROR(__xludf.DUMMYFUNCTION("GOOGLETRANSLATE(A8657,""en"",""fi"")"),"Aalloissa ajelehtivan merilevän sielu syntyi uudelleen tänä Pokémonina. Se ylläpitää itseään uusilla merenpohjan roskien ja merilevän lisäyksillä.")</f>
        <v>Aalloissa ajelehtivan merilevän sielu syntyi uudelleen tänä Pokémonina. Se ylläpitää itseään uusilla merenpohjan roskien ja merilevän lisäyksillä.</v>
      </c>
      <c r="C8657" s="9" t="s">
        <v>1344</v>
      </c>
    </row>
    <row r="8658" ht="33.75" customHeight="1">
      <c r="A8658" s="6" t="s">
        <v>12749</v>
      </c>
      <c r="B8658" s="6" t="str">
        <f>IFERROR(__xludf.DUMMYFUNCTION("GOOGLETRANSLATE(A8658,""en"",""fi"")"),"Se käärii saaliinsa vihreään merilevään ja imee niiden elinvoiman. Se jahtaa mielellään vain isoa saalista, kuten Wailordia.")</f>
        <v>Se käärii saaliinsa vihreään merilevään ja imee niiden elinvoiman. Se jahtaa mielellään vain isoa saalista, kuten Wailordia.</v>
      </c>
      <c r="C8658" s="9" t="s">
        <v>1344</v>
      </c>
    </row>
    <row r="8659" ht="33.75" customHeight="1">
      <c r="A8659" s="6" t="s">
        <v>12750</v>
      </c>
      <c r="B8659" s="6" t="str">
        <f>IFERROR(__xludf.DUMMYFUNCTION("GOOGLETRANSLATE(A8659,""en"",""fi"")"),"Sen ketjumainen vihreä merilevä voi ulottua satojen metrien päähän. Jostain syystä se tulee hyvin toimeen Skrepin kanssa.")</f>
        <v>Sen ketjumainen vihreä merilevä voi ulottua satojen metrien päähän. Jostain syystä se tulee hyvin toimeen Skrepin kanssa.</v>
      </c>
      <c r="C8659" s="9" t="s">
        <v>1344</v>
      </c>
    </row>
    <row r="8660" ht="33.75" customHeight="1">
      <c r="A8660" s="6" t="s">
        <v>12751</v>
      </c>
      <c r="B8660" s="6" t="str">
        <f>IFERROR(__xludf.DUMMYFUNCTION("GOOGLETRANSLATE(A8660,""en"",""fi"")"),"Kun merilevänpala sekoittui uponneen laivan roskiin, se syntyi uudelleen tähän haamu-Pokémoniin.")</f>
        <v>Kun merilevänpala sekoittui uponneen laivan roskiin, se syntyi uudelleen tähän haamu-Pokémoniin.</v>
      </c>
      <c r="C8660" s="9" t="s">
        <v>1344</v>
      </c>
    </row>
    <row r="8661" ht="33.75" customHeight="1">
      <c r="A8661" s="6" t="s">
        <v>12752</v>
      </c>
      <c r="B8661" s="6" t="str">
        <f>IFERROR(__xludf.DUMMYFUNCTION("GOOGLETRANSLATE(A8661,""en"",""fi"")"),"Laskettuaan ankkurinsa se jää odottamaan saalistaan. Se nappaa suuren Wailordin ja imee sen elinvoiman.")</f>
        <v>Laskettuaan ankkurinsa se jää odottamaan saalistaan. Se nappaa suuren Wailordin ja imee sen elinvoiman.</v>
      </c>
      <c r="C8661" s="9" t="s">
        <v>1344</v>
      </c>
    </row>
    <row r="8662" ht="33.75" customHeight="1">
      <c r="A8662" s="6" t="s">
        <v>12753</v>
      </c>
      <c r="B8662" s="6" t="str">
        <f>IFERROR(__xludf.DUMMYFUNCTION("GOOGLETRANSLATE(A8662,""en"",""fi"")"),"Se ilmaisee tunteitaan läpsyttämällä suomujaan. Metalliset äänet kaikuvat korkeiden vuorten läpi, joilla Jangmo-o asuu.")</f>
        <v>Se ilmaisee tunteitaan läpsyttämällä suomujaan. Metalliset äänet kaikuvat korkeiden vuorten läpi, joilla Jangmo-o asuu.</v>
      </c>
      <c r="C8662" s="9" t="s">
        <v>1344</v>
      </c>
    </row>
    <row r="8663" ht="33.75" customHeight="1">
      <c r="A8663" s="6" t="s">
        <v>12754</v>
      </c>
      <c r="B8663" s="6" t="str">
        <f>IFERROR(__xludf.DUMMYFUNCTION("GOOGLETRANSLATE(A8663,""en"",""fi"")"),"Ne elävät vuorilla, joissa ei ole jälkeäkään ihmisistä. Jangmo-ot kasvavat vähitellen taistellessaan toisiaan vastaan.")</f>
        <v>Ne elävät vuorilla, joissa ei ole jälkeäkään ihmisistä. Jangmo-ot kasvavat vähitellen taistellessaan toisiaan vastaan.</v>
      </c>
      <c r="C8663" s="9" t="s">
        <v>1344</v>
      </c>
    </row>
    <row r="8664" ht="33.75" customHeight="1">
      <c r="A8664" s="6" t="s">
        <v>12755</v>
      </c>
      <c r="B8664" s="6" t="str">
        <f>IFERROR(__xludf.DUMMYFUNCTION("GOOGLETRANSLATE(A8664,""en"",""fi"")"),"Se läimäyttää päänsä suomuja kiviin tai maahan pelotellakseen vastustajiaan. Se voi myös ottaa yhteyttä ystäviinsä näillä äänillä.")</f>
        <v>Se läimäyttää päänsä suomuja kiviin tai maahan pelotellakseen vastustajiaan. Se voi myös ottaa yhteyttä ystäviinsä näillä äänillä.</v>
      </c>
      <c r="C8664" s="9" t="s">
        <v>1344</v>
      </c>
    </row>
    <row r="8665" ht="33.75" customHeight="1">
      <c r="A8665" s="6" t="s">
        <v>12756</v>
      </c>
      <c r="B8665" s="6" t="str">
        <f>IFERROR(__xludf.DUMMYFUNCTION("GOOGLETRANSLATE(A8665,""en"",""fi"")"),"Se ei koskaan osoita viholliselle selkäänsä taistelussa. Muinaiset soturit pitivät Jangmo-osta sen urhean luonteen vuoksi ja tekivät siitä omanlaisensa.")</f>
        <v>Se ei koskaan osoita viholliselle selkäänsä taistelussa. Muinaiset soturit pitivät Jangmo-osta sen urhean luonteen vuoksi ja tekivät siitä omanlaisensa.</v>
      </c>
      <c r="C8665" s="9" t="s">
        <v>1344</v>
      </c>
    </row>
    <row r="8666" ht="33.75" customHeight="1">
      <c r="A8666" s="6" t="s">
        <v>12758</v>
      </c>
      <c r="B8666" s="6" t="str">
        <f>IFERROR(__xludf.DUMMYFUNCTION("GOOGLETRANSLATE(A8666,""en"",""fi"")"),"He oppivat taistelemaan murskaamalla päänsä suomuja yhteen. Kaksintaistelu vahvistaa sekä heidän taitojaan että henkeään.")</f>
        <v>He oppivat taistelemaan murskaamalla päänsä suomuja yhteen. Kaksintaistelu vahvistaa sekä heidän taitojaan että henkeään.</v>
      </c>
      <c r="C8666" s="9" t="s">
        <v>1344</v>
      </c>
    </row>
    <row r="8667" ht="33.75" customHeight="1">
      <c r="A8667" s="6" t="s">
        <v>12759</v>
      </c>
      <c r="B8667" s="6" t="str">
        <f>IFERROR(__xludf.DUMMYFUNCTION("GOOGLETRANSLATE(A8667,""en"",""fi"")"),"Jangmo-o käyttää suomujaan kommunikoidakseen muiden kaltaistensa kanssa. Sen suomut ovat itse asiassa metallinkovuista turkkia.")</f>
        <v>Jangmo-o käyttää suomujaan kommunikoidakseen muiden kaltaistensa kanssa. Sen suomut ovat itse asiassa metallinkovuista turkkia.</v>
      </c>
      <c r="C8667" s="9" t="s">
        <v>1344</v>
      </c>
    </row>
    <row r="8668" ht="33.75" customHeight="1">
      <c r="A8668" s="6" t="s">
        <v>12760</v>
      </c>
      <c r="B8668" s="6" t="str">
        <f>IFERROR(__xludf.DUMMYFUNCTION("GOOGLETRANSLATE(A8668,""en"",""fi"")"),"Se hyppää saaliinsa kimppuun rohkealla huudolla. Sen suomumaiset iskut repivät vastustajat kappaleiksi.")</f>
        <v>Se hyppää saaliinsa kimppuun rohkealla huudolla. Sen suomumaiset iskut repivät vastustajat kappaleiksi.</v>
      </c>
      <c r="C8668" s="9" t="s">
        <v>1344</v>
      </c>
    </row>
    <row r="8669" ht="33.75" customHeight="1">
      <c r="A8669" s="6" t="s">
        <v>12762</v>
      </c>
      <c r="B8669" s="6" t="str">
        <f>IFERROR(__xludf.DUMMYFUNCTION("GOOGLETRANSLATE(A8669,""en"",""fi"")"),"Se karvaa ja kasvattaa suomujaan jatkuvasti. Suomut kovenevat ja terävöityvät joka kerta, kun ne kasvavat uudelleen.")</f>
        <v>Se karvaa ja kasvattaa suomujaan jatkuvasti. Suomut kovenevat ja terävöityvät joka kerta, kun ne kasvavat uudelleen.</v>
      </c>
      <c r="C8669" s="9" t="s">
        <v>1344</v>
      </c>
    </row>
    <row r="8670" ht="33.75" customHeight="1">
      <c r="A8670" s="6" t="s">
        <v>12763</v>
      </c>
      <c r="B8670" s="6" t="str">
        <f>IFERROR(__xludf.DUMMYFUNCTION("GOOGLETRANSLATE(A8670,""en"",""fi"")"),"Se pitää ääntä kalistemalla suomujaan yhteen. Kun rytmi on saavuttanut huippunsa, Hakamo-o hyökkää.")</f>
        <v>Se pitää ääntä kalistemalla suomujaan yhteen. Kun rytmi on saavuttanut huippunsa, Hakamo-o hyökkää.</v>
      </c>
      <c r="C8670" s="9" t="s">
        <v>1344</v>
      </c>
    </row>
    <row r="8671" ht="33.75" customHeight="1">
      <c r="A8671" s="6" t="s">
        <v>12764</v>
      </c>
      <c r="B8671" s="6" t="str">
        <f>IFERROR(__xludf.DUMMYFUNCTION("GOOGLETRANSLATE(A8671,""en"",""fi"")"),"Sen irtoavia suomuja voidaan muovata ja käsitellä kattiloiden ja pannujen valmistamiseksi. Ne johtavat lämpöä hyvin, joten ne ovat suosittuja.")</f>
        <v>Sen irtoavia suomuja voidaan muovata ja käsitellä kattiloiden ja pannujen valmistamiseksi. Ne johtavat lämpöä hyvin, joten ne ovat suosittuja.</v>
      </c>
      <c r="C8671" s="9" t="s">
        <v>1344</v>
      </c>
    </row>
    <row r="8672" ht="33.75" customHeight="1">
      <c r="A8672" s="6" t="s">
        <v>12765</v>
      </c>
      <c r="B8672" s="6" t="str">
        <f>IFERROR(__xludf.DUMMYFUNCTION("GOOGLETRANSLATE(A8672,""en"",""fi"")"),"Sen suomuttomat, arpeutuneet ruumiinosat ovat merkkejä sen vahvuudesta. Se esittelee niitä voitettujen vastustajien edessä.")</f>
        <v>Sen suomuttomat, arpeutuneet ruumiinosat ovat merkkejä sen vahvuudesta. Se esittelee niitä voitettujen vastustajien edessä.</v>
      </c>
      <c r="C8672" s="9" t="s">
        <v>1344</v>
      </c>
    </row>
    <row r="8673" ht="33.75" customHeight="1">
      <c r="A8673" s="6" t="s">
        <v>12766</v>
      </c>
      <c r="B8673" s="6" t="str">
        <f>IFERROR(__xludf.DUMMYFUNCTION("GOOGLETRANSLATE(A8673,""en"",""fi"")"),"Ennen vihollisten kimppuun hyökkäämistä se lyö suomunsa yhteen ja karjuu. Sen terävät kynnet silpovat vastustajan.")</f>
        <v>Ennen vihollisten kimppuun hyökkäämistä se lyö suomunsa yhteen ja karjuu. Sen terävät kynnet silpovat vastustajan.</v>
      </c>
      <c r="C8673" s="9" t="s">
        <v>1344</v>
      </c>
    </row>
    <row r="8674" ht="33.75" customHeight="1">
      <c r="A8674" s="6" t="s">
        <v>12767</v>
      </c>
      <c r="B8674" s="6" t="str">
        <f>IFERROR(__xludf.DUMMYFUNCTION("GOOGLETRANSLATE(A8674,""en"",""fi"")"),"Havaitessaan vihollisia se uhkaa heitä heiluttamalla pyrstössään olevia suomuja. Heikot vastustajat säpsähtelevät ja pakenevat paniikissa.")</f>
        <v>Havaitessaan vihollisia se uhkaa heitä heiluttamalla pyrstössään olevia suomuja. Heikot vastustajat säpsähtelevät ja pakenevat paniikissa.</v>
      </c>
      <c r="C8674" s="9" t="s">
        <v>1344</v>
      </c>
    </row>
    <row r="8675" ht="33.75" customHeight="1">
      <c r="A8675" s="6" t="s">
        <v>12768</v>
      </c>
      <c r="B8675" s="6" t="str">
        <f>IFERROR(__xludf.DUMMYFUNCTION("GOOGLETRANSLATE(A8675,""en"",""fi"")"),"Sen jäykät vaa'at toimivat sekä hyökkäyksessä että puolustuksessa. Ennen vanhaan sen vaakoja käytettiin aseiden ja muiden hyödykkeiden valmistukseen.")</f>
        <v>Sen jäykät vaa'at toimivat sekä hyökkäyksessä että puolustuksessa. Ennen vanhaan sen vaakoja käytettiin aseiden ja muiden hyödykkeiden valmistukseen.</v>
      </c>
      <c r="C8675" s="9" t="s">
        <v>1344</v>
      </c>
    </row>
    <row r="8676" ht="33.75" customHeight="1">
      <c r="A8676" s="6" t="s">
        <v>12770</v>
      </c>
      <c r="B8676" s="6" t="str">
        <f>IFERROR(__xludf.DUMMYFUNCTION("GOOGLETRANSLATE(A8676,""en"",""fi"")"),"Kun se ulvoo saaliinsa lopetettuaan, sen juhlivien tovereiden metalliset äänet kuuluvat kaikkialta.")</f>
        <v>Kun se ulvoo saaliinsa lopetettuaan, sen juhlivien tovereiden metalliset äänet kuuluvat kaikkialta.</v>
      </c>
      <c r="C8676" s="9" t="s">
        <v>1344</v>
      </c>
    </row>
    <row r="8677" ht="33.75" customHeight="1">
      <c r="A8677" s="6" t="s">
        <v>12771</v>
      </c>
      <c r="B8677" s="6" t="str">
        <f>IFERROR(__xludf.DUMMYFUNCTION("GOOGLETRANSLATE(A8677,""en"",""fi"")"),"Se taistelee urheasti terässuomuilla panssaroituilla nyrkeillään. Kommo-o on erikoistunut yläleikkauksiin.")</f>
        <v>Se taistelee urheasti terässuomuilla panssaroituilla nyrkeillään. Kommo-o on erikoistunut yläleikkauksiin.</v>
      </c>
      <c r="C8677" s="9" t="s">
        <v>1344</v>
      </c>
    </row>
    <row r="8678" ht="33.75" customHeight="1">
      <c r="A8678" s="6" t="s">
        <v>12772</v>
      </c>
      <c r="B8678" s="6" t="str">
        <f>IFERROR(__xludf.DUMMYFUNCTION("GOOGLETRANSLATE(A8678,""en"",""fi"")"),"Se räpyttää pyrstösuomujaan hermostuttaakseen vastustajia. Tämä Pokémon taistelee vain niitä vastaan, jotka pysyvät lujina tämän näytöksen edessä.")</f>
        <v>Se räpyttää pyrstösuomujaan hermostuttaakseen vastustajia. Tämä Pokémon taistelee vain niitä vastaan, jotka pysyvät lujina tämän näytöksen edessä.</v>
      </c>
      <c r="C8678" s="9" t="s">
        <v>1344</v>
      </c>
    </row>
    <row r="8679" ht="33.75" customHeight="1">
      <c r="A8679" s="6" t="s">
        <v>12773</v>
      </c>
      <c r="B8679" s="6" t="str">
        <f>IFERROR(__xludf.DUMMYFUNCTION("GOOGLETRANSLATE(A8679,""en"",""fi"")"),"Tietyissä raunioissa on maalauksia muinaisista sotureista, jotka käyttävät Kommo-o-suomuista tehtyjä haarniskoja.")</f>
        <v>Tietyissä raunioissa on maalauksia muinaisista sotureista, jotka käyttävät Kommo-o-suomuista tehtyjä haarniskoja.</v>
      </c>
      <c r="C8679" s="9" t="s">
        <v>1344</v>
      </c>
    </row>
    <row r="8680" ht="33.75" customHeight="1">
      <c r="A8680" s="6" t="s">
        <v>12774</v>
      </c>
      <c r="B8680" s="6" t="str">
        <f>IFERROR(__xludf.DUMMYFUNCTION("GOOGLETRANSLATE(A8680,""en"",""fi"")"),"Tämä Melemelen suojelusjumala on täynnä uteliaisuutta. Se kutsuu ukkospilviä ja varastoi niiden salamat kehoonsa.")</f>
        <v>Tämä Melemelen suojelusjumala on täynnä uteliaisuutta. Se kutsuu ukkospilviä ja varastoi niiden salamat kehoonsa.</v>
      </c>
      <c r="C8680" s="9" t="s">
        <v>1344</v>
      </c>
    </row>
    <row r="8681" ht="33.75" customHeight="1">
      <c r="A8681" s="6" t="s">
        <v>12775</v>
      </c>
      <c r="B8681" s="6" t="str">
        <f>IFERROR(__xludf.DUMMYFUNCTION("GOOGLETRANSLATE(A8681,""en"",""fi"")"),"Se hämmentää vihollisiaan lentämällä liian nopeasti silmän seuraamiseksi. Sillä on nopea temperamentti, mutta se unohtaa hetkessä, mikä sen suututti.")</f>
        <v>Se hämmentää vihollisiaan lentämällä liian nopeasti silmän seuraamiseksi. Sillä on nopea temperamentti, mutta se unohtaa hetkessä, mikä sen suututti.</v>
      </c>
      <c r="C8681" s="9" t="s">
        <v>1344</v>
      </c>
    </row>
    <row r="8682" ht="33.75" customHeight="1">
      <c r="A8682" s="6" t="s">
        <v>12776</v>
      </c>
      <c r="B8682" s="6" t="str">
        <f>IFERROR(__xludf.DUMMYFUNCTION("GOOGLETRANSLATE(A8682,""en"",""fi"")"),"Vaikka sitä kutsutaan suojelusjumaluuden, jos joku tai Pokémon saa sen huonolle tuulelle, siitä tulee pahansuopa jumaluus ja se hyökkää.")</f>
        <v>Vaikka sitä kutsutaan suojelusjumaluuden, jos joku tai Pokémon saa sen huonolle tuulelle, siitä tulee pahansuopa jumaluus ja se hyökkää.</v>
      </c>
      <c r="C8682" s="9" t="s">
        <v>1344</v>
      </c>
    </row>
    <row r="8683" ht="33.75" customHeight="1">
      <c r="A8683" s="6" t="s">
        <v>12778</v>
      </c>
      <c r="B8683" s="6" t="str">
        <f>IFERROR(__xludf.DUMMYFUNCTION("GOOGLETRANSLATE(A8683,""en"",""fi"")"),"Melemelen salamointia heiluttava suojelusjumala Tapu Koko on täynnä uteliaisuutta ja ilmestyy ihmisten eteen aika ajoin.")</f>
        <v>Melemelen salamointia heiluttava suojelusjumala Tapu Koko on täynnä uteliaisuutta ja ilmestyy ihmisten eteen aika ajoin.</v>
      </c>
      <c r="C8683" s="9" t="s">
        <v>1344</v>
      </c>
    </row>
    <row r="8684" ht="33.75" customHeight="1">
      <c r="A8684" s="6" t="s">
        <v>12779</v>
      </c>
      <c r="B8684" s="6" t="str">
        <f>IFERROR(__xludf.DUMMYFUNCTION("GOOGLETRANSLATE(A8684,""en"",""fi"")"),"Tämä Akalan suojelusjumala on viattoman julma. Kukkien tuoksu on sen energian lähde.")</f>
        <v>Tämä Akalan suojelusjumala on viattoman julma. Kukkien tuoksu on sen energian lähde.</v>
      </c>
      <c r="C8684" s="9" t="s">
        <v>1344</v>
      </c>
    </row>
    <row r="8685" ht="33.75" customHeight="1">
      <c r="A8685" s="6" t="s">
        <v>12780</v>
      </c>
      <c r="B8685" s="6" t="str">
        <f>IFERROR(__xludf.DUMMYFUNCTION("GOOGLETRANSLATE(A8685,""en"",""fi"")"),"Lepätessään se levittää oudosti hohtavia suomujaan. Niiden koskettamisen sanotaan palauttavan terveyden välittömästi.")</f>
        <v>Lepätessään se levittää oudosti hohtavia suomujaan. Niiden koskettamisen sanotaan palauttavan terveyden välittömästi.</v>
      </c>
      <c r="C8685" s="9" t="s">
        <v>1344</v>
      </c>
    </row>
    <row r="8686" ht="33.75" customHeight="1">
      <c r="A8686" s="6" t="s">
        <v>12781</v>
      </c>
      <c r="B8686" s="6" t="str">
        <f>IFERROR(__xludf.DUMMYFUNCTION("GOOGLETRANSLATE(A8686,""en"",""fi"")"),"Se parantaa ihmisten ja Pokémonien haavat pirskottamalla niitä kimaltelevilla suomuillaan. Tätä suojelusjumalaa palvotaan Akalalla.")</f>
        <v>Se parantaa ihmisten ja Pokémonien haavat pirskottamalla niitä kimaltelevilla suomuillaan. Tätä suojelusjumalaa palvotaan Akalalla.</v>
      </c>
      <c r="C8686" s="9" t="s">
        <v>1344</v>
      </c>
    </row>
    <row r="8687" ht="33.75" customHeight="1">
      <c r="A8687" s="6" t="s">
        <v>12783</v>
      </c>
      <c r="B8687" s="6" t="str">
        <f>IFERROR(__xludf.DUMMYFUNCTION("GOOGLETRANSLATE(A8687,""en"",""fi"")"),"Vaikka Tapu Leleä kutsutaan suojelusjumaluuteen, hän ei tunne syyllisyyttä julmasta luonteestaan ​​ja sitä voidaan kuvailla luonnon ruumiillistumaksi.")</f>
        <v>Vaikka Tapu Leleä kutsutaan suojelusjumaluuteen, hän ei tunne syyllisyyttä julmasta luonteestaan ​​ja sitä voidaan kuvailla luonnon ruumiillistumaksi.</v>
      </c>
      <c r="C8687" s="9" t="s">
        <v>1344</v>
      </c>
    </row>
    <row r="8688" ht="33.75" customHeight="1">
      <c r="A8688" s="6" t="s">
        <v>12784</v>
      </c>
      <c r="B8688" s="6" t="str">
        <f>IFERROR(__xludf.DUMMYFUNCTION("GOOGLETRANSLATE(A8688,""en"",""fi"")"),"Se vetää suuria puita juuristaan ​​ylös ja heiluttelee niitä ympäriinsä. Se saa kasvillisuuden kasvamaan ja sitten se imee energiaa kasvusta.")</f>
        <v>Se vetää suuria puita juuristaan ​​ylös ja heiluttelee niitä ympäriinsä. Se saa kasvillisuuden kasvamaan ja sitten se imee energiaa kasvusta.</v>
      </c>
      <c r="C8688" s="9" t="s">
        <v>1344</v>
      </c>
    </row>
    <row r="8689" ht="33.75" customHeight="1">
      <c r="A8689" s="6" t="s">
        <v>12786</v>
      </c>
      <c r="B8689" s="6" t="str">
        <f>IFERROR(__xludf.DUMMYFUNCTION("GOOGLETRANSLATE(A8689,""en"",""fi"")"),"Ula’ulan suojelusjumala on laiska Pokémon. Se käskee kasveja lamauttamaan vihollisensa ja sitten iskee niitä raa'asti sarvillaan.")</f>
        <v>Ula’ulan suojelusjumala on laiska Pokémon. Se käskee kasveja lamauttamaan vihollisensa ja sitten iskee niitä raa'asti sarvillaan.</v>
      </c>
      <c r="C8689" s="9" t="s">
        <v>1344</v>
      </c>
    </row>
    <row r="8690" ht="33.75" customHeight="1">
      <c r="A8690" s="6" t="s">
        <v>12790</v>
      </c>
      <c r="B8690" s="6" t="str">
        <f>IFERROR(__xludf.DUMMYFUNCTION("GOOGLETRANSLATE(A8690,""en"",""fi"")"),"Vaikka sitä kutsutaan suojelusjumaluuden uhriksi, se on tarpeeksi väkivaltainen murskatakseen kenet tahansa, jonka se pitää vihollisena.")</f>
        <v>Vaikka sitä kutsutaan suojelusjumaluuden uhriksi, se on tarpeeksi väkivaltainen murskatakseen kenet tahansa, jonka se pitää vihollisena.</v>
      </c>
      <c r="C8690" s="9" t="s">
        <v>1344</v>
      </c>
    </row>
    <row r="8691" ht="33.75" customHeight="1">
      <c r="A8691" s="6" t="s">
        <v>12791</v>
      </c>
      <c r="B8691" s="6" t="str">
        <f>IFERROR(__xludf.DUMMYFUNCTION("GOOGLETRANSLATE(A8691,""en"",""fi"")"),"Se soittaa hännällään soittoääniä kertoakseen muille missä se on, välttäen tarpeettomia konflikteja. Tämä Ula’ulan suojelusjumala hallitsee kasveja.")</f>
        <v>Se soittaa hännällään soittoääniä kertoakseen muille missä se on, välttäen tarpeettomia konflikteja. Tämä Ula’ulan suojelusjumala hallitsee kasveja.</v>
      </c>
      <c r="C8691" s="9" t="s">
        <v>1344</v>
      </c>
    </row>
    <row r="8692" ht="33.75" customHeight="1">
      <c r="A8692" s="6" t="s">
        <v>12793</v>
      </c>
      <c r="B8692" s="6" t="str">
        <f>IFERROR(__xludf.DUMMYFUNCTION("GOOGLETRANSLATE(A8692,""en"",""fi"")"),"Sen luoma tiheä sumu tuo mukanaan hämmentyneiden vihollistensa tuhon. Merivirrat ovat sen energian lähde.")</f>
        <v>Sen luoma tiheä sumu tuo mukanaan hämmentyneiden vihollistensa tuhon. Merivirrat ovat sen energian lähde.</v>
      </c>
      <c r="C8692" s="9" t="s">
        <v>1344</v>
      </c>
    </row>
    <row r="8693" ht="33.75" customHeight="1">
      <c r="A8693" s="6" t="s">
        <v>12794</v>
      </c>
      <c r="B8693" s="6" t="str">
        <f>IFERROR(__xludf.DUMMYFUNCTION("GOOGLETRANSLATE(A8693,""en"",""fi"")"),"Ponin suojelusjumala, se voi hallita vettä. Ihmisten mukaan se voi luoda puhdasta vettä, joka pesee pois kaiken epäpuhtauden.")</f>
        <v>Ponin suojelusjumala, se voi hallita vettä. Ihmisten mukaan se voi luoda puhdasta vettä, joka pesee pois kaiken epäpuhtauden.</v>
      </c>
      <c r="C8693" s="9" t="s">
        <v>1344</v>
      </c>
    </row>
    <row r="8694" ht="33.75" customHeight="1">
      <c r="A8694" s="6" t="s">
        <v>12798</v>
      </c>
      <c r="B8694" s="6" t="str">
        <f>IFERROR(__xludf.DUMMYFUNCTION("GOOGLETRANSLATE(A8694,""en"",""fi"")"),"Tämä Poni-saaren suojelusjumala hallitsee vettä. Koska se asuu syvällä tiheässä sumussa, siitä tuli sekä pelätty että kunnioitettu.")</f>
        <v>Tämä Poni-saaren suojelusjumala hallitsee vettä. Koska se asuu syvällä tiheässä sumussa, siitä tuli sekä pelätty että kunnioitettu.</v>
      </c>
      <c r="C8694" s="9" t="s">
        <v>1344</v>
      </c>
    </row>
    <row r="8695" ht="33.75" customHeight="1">
      <c r="A8695" s="6" t="s">
        <v>12800</v>
      </c>
      <c r="B8695" s="6" t="str">
        <f>IFERROR(__xludf.DUMMYFUNCTION("GOOGLETRANSLATE(A8695,""en"",""fi"")"),"Vaikka sitä kutsutaan suojelusjumaluuteen, kauheat onnettomuudet kohtaavat joskus niitä, jotka lähestyvät Tapu Finiä holtittomasti.")</f>
        <v>Vaikka sitä kutsutaan suojelusjumaluuteen, kauheat onnettomuudet kohtaavat joskus niitä, jotka lähestyvät Tapu Finiä holtittomasti.</v>
      </c>
      <c r="C8695" s="9" t="s">
        <v>1344</v>
      </c>
    </row>
    <row r="8696" ht="33.75" customHeight="1">
      <c r="A8696" s="6" t="s">
        <v>12801</v>
      </c>
      <c r="B8696" s="6" t="str">
        <f>IFERROR(__xludf.DUMMYFUNCTION("GOOGLETRANSLATE(A8696,""en"",""fi"")"),"Sen runko on kaasumainen ja hauras. Se kasvaa hitaasti kerätessään pölyä ilmakehästä.")</f>
        <v>Sen runko on kaasumainen ja hauras. Se kasvaa hitaasti kerätessään pölyä ilmakehästä.</v>
      </c>
      <c r="C8696" s="9" t="s">
        <v>1344</v>
      </c>
    </row>
    <row r="8697" ht="33.75" customHeight="1">
      <c r="A8697" s="6" t="s">
        <v>12802</v>
      </c>
      <c r="B8697" s="6" t="str">
        <f>IFERROR(__xludf.DUMMYFUNCTION("GOOGLETRANSLATE(A8697,""en"",""fi"")"),"Menneinä aikoina sitä kutsuttiin tähtien lapseksi. Sen sanotaan olevan Pokémon toisesta maailmasta, mutta tarkempia tietoja ei tiedetä.")</f>
        <v>Menneinä aikoina sitä kutsuttiin tähtien lapseksi. Sen sanotaan olevan Pokémon toisesta maailmasta, mutta tarkempia tietoja ei tiedetä.</v>
      </c>
      <c r="C8697" s="9" t="s">
        <v>1344</v>
      </c>
    </row>
    <row r="8698" ht="33.75" customHeight="1">
      <c r="A8698" s="6" t="s">
        <v>12803</v>
      </c>
      <c r="B8698" s="6" t="str">
        <f>IFERROR(__xludf.DUMMYFUNCTION("GOOGLETRANSLATE(A8698,""en"",""fi"")"),"Vaikka sen avuton, kaasumainen ruumis voi puhaltaa pois pienimmästäkin tuulenvireestä, se ei näytä välittävän.")</f>
        <v>Vaikka sen avuton, kaasumainen ruumis voi puhaltaa pois pienimmästäkin tuulenvireestä, se ei näytä välittävän.</v>
      </c>
      <c r="C8698" s="9" t="s">
        <v>1344</v>
      </c>
    </row>
    <row r="8699" ht="33.75" customHeight="1">
      <c r="A8699" s="6" t="s">
        <v>12804</v>
      </c>
      <c r="B8699" s="6" t="str">
        <f>IFERROR(__xludf.DUMMYFUNCTION("GOOGLETRANSLATE(A8699,""en"",""fi"")"),"Onko se Pokémon tästä maailmasta vai ei, on mysteeri. Kun se on jumissa, se livahtaa turvalliseen piilopaikkaan.")</f>
        <v>Onko se Pokémon tästä maailmasta vai ei, on mysteeri. Kun se on jumissa, se livahtaa turvalliseen piilopaikkaan.</v>
      </c>
      <c r="C8699" s="9" t="s">
        <v>1344</v>
      </c>
    </row>
    <row r="8700" ht="33.75" customHeight="1">
      <c r="A8700" s="6" t="s">
        <v>12806</v>
      </c>
      <c r="B8700" s="6" t="str">
        <f>IFERROR(__xludf.DUMMYFUNCTION("GOOGLETRANSLATE(A8700,""en"",""fi"")"),"Tämä Pokémon tuli toisesta universumista. Sen kaasumainen ruumis on niin kevyt, että jopa lempeä tuulenvire voi puhaltaa sen pois.")</f>
        <v>Tämä Pokémon tuli toisesta universumista. Sen kaasumainen ruumis on niin kevyt, että jopa lempeä tuulenvire voi puhaltaa sen pois.</v>
      </c>
      <c r="C8700" s="9" t="s">
        <v>1344</v>
      </c>
    </row>
    <row r="8701" ht="33.75" customHeight="1">
      <c r="A8701" s="6" t="s">
        <v>12807</v>
      </c>
      <c r="B8701" s="6" t="str">
        <f>IFERROR(__xludf.DUMMYFUNCTION("GOOGLETRANSLATE(A8701,""en"",""fi"")"),"Cosmog on hyvin utelias, mutta ei kovin varovainen, ja usein se asettaa itsensä vaaraan. Jos tilanne alkaa näyttää vaaralliselta, se teleporttautuu pois.")</f>
        <v>Cosmog on hyvin utelias, mutta ei kovin varovainen, ja usein se asettaa itsensä vaaraan. Jos tilanne alkaa näyttää vaaralliselta, se teleporttautuu pois.</v>
      </c>
      <c r="C8701" s="9" t="s">
        <v>1344</v>
      </c>
    </row>
    <row r="8702" ht="33.75" customHeight="1">
      <c r="A8702" s="6" t="s">
        <v>12808</v>
      </c>
      <c r="B8702" s="6" t="str">
        <f>IFERROR(__xludf.DUMMYFUNCTION("GOOGLETRANSLATE(A8702,""en"",""fi"")"),"Liikkumattomana kuin kuolleena, sen ruumis on himmeän lämmin koskettaa. Kaukaisessa menneisyydessä sitä kutsuttiin tähtien koteloksi.")</f>
        <v>Liikkumattomana kuin kuolleena, sen ruumis on himmeän lämmin koskettaa. Kaukaisessa menneisyydessä sitä kutsuttiin tähtien koteloksi.</v>
      </c>
      <c r="C8702" s="9" t="s">
        <v>1344</v>
      </c>
    </row>
    <row r="8703" ht="33.75" customHeight="1">
      <c r="A8703" s="6" t="s">
        <v>12809</v>
      </c>
      <c r="B8703" s="6" t="str">
        <f>IFERROR(__xludf.DUMMYFUNCTION("GOOGLETRANSLATE(A8703,""en"",""fi"")"),"Sen kovan kuoren sisällä olevan mustan ytimen ympärille kerääntyy jotakin. Ihmiset luulevat, että tämä Pokémon saattaa olla peräisin toisesta maailmasta.")</f>
        <v>Sen kovan kuoren sisällä olevan mustan ytimen ympärille kerääntyy jotakin. Ihmiset luulevat, että tämä Pokémon saattaa olla peräisin toisesta maailmasta.</v>
      </c>
      <c r="C8703" s="9" t="s">
        <v>1344</v>
      </c>
    </row>
    <row r="8704" ht="33.75" customHeight="1">
      <c r="A8704" s="6" t="s">
        <v>12810</v>
      </c>
      <c r="B8704" s="6" t="str">
        <f>IFERROR(__xludf.DUMMYFUNCTION("GOOGLETRANSLATE(A8704,""en"",""fi"")"),"Alolaa antiikin aikoina hallinnut kuningas kutsui sitä ""tähtien koteloksi"" ja rakensi alttarin sen palvomiseksi.")</f>
        <v>Alolaa antiikin aikoina hallinnut kuningas kutsui sitä "tähtien koteloksi" ja rakensi alttarin sen palvomiseksi.</v>
      </c>
      <c r="C8704" s="9" t="s">
        <v>1344</v>
      </c>
    </row>
    <row r="8705" ht="33.75" customHeight="1">
      <c r="A8705" s="6" t="s">
        <v>12812</v>
      </c>
      <c r="B8705" s="6" t="str">
        <f>IFERROR(__xludf.DUMMYFUNCTION("GOOGLETRANSLATE(A8705,""en"",""fi"")"),"Valoa absorboidessaan Cosmoem jatkaa kasvuaan. Sen kultainen kuori on yllättävän kiinteä.")</f>
        <v>Valoa absorboidessaan Cosmoem jatkaa kasvuaan. Sen kultainen kuori on yllättävän kiinteä.</v>
      </c>
      <c r="C8705" s="9" t="s">
        <v>1344</v>
      </c>
    </row>
    <row r="8706" ht="33.75" customHeight="1">
      <c r="A8706" s="6" t="s">
        <v>12814</v>
      </c>
      <c r="B8706" s="6" t="str">
        <f>IFERROR(__xludf.DUMMYFUNCTION("GOOGLETRANSLATE(A8706,""en"",""fi"")"),"Tähtien valon imeytyminen ruokkii tämän Pokémonin kasvua. Sitä ympäröivä kuori on kovempi kuin mikään tunnettu materiaali.")</f>
        <v>Tähtien valon imeytyminen ruokkii tämän Pokémonin kasvua. Sitä ympäröivä kuori on kovempi kuin mikään tunnettu materiaali.</v>
      </c>
      <c r="C8706" s="9" t="s">
        <v>1344</v>
      </c>
    </row>
    <row r="8707" ht="33.75" customHeight="1">
      <c r="A8707" s="6" t="s">
        <v>12815</v>
      </c>
      <c r="B8707" s="6" t="str">
        <f>IFERROR(__xludf.DUMMYFUNCTION("GOOGLETRANSLATE(A8707,""en"",""fi"")"),"Se imee pölyä ilmasta hämmästyttävällä nopeudella ja kerryttää vimmatusti energiaa ytimessään valmistautuakseen evoluutioon.")</f>
        <v>Se imee pölyä ilmasta hämmästyttävällä nopeudella ja kerryttää vimmatusti energiaa ytimessään valmistautuakseen evoluutioon.</v>
      </c>
      <c r="C8707" s="9" t="s">
        <v>1344</v>
      </c>
    </row>
    <row r="8708" ht="33.75" customHeight="1">
      <c r="A8708" s="6" t="s">
        <v>12816</v>
      </c>
      <c r="B8708" s="6" t="str">
        <f>IFERROR(__xludf.DUMMYFUNCTION("GOOGLETRANSLATE(A8708,""en"",""fi"")"),"Sen sanotaan elävän toisessa maailmassa. Sen ruumiinpinnasta säteilevä voimakas valo voi saada pimeimmätkin yöt valaisemaan kuin keskipäivä.")</f>
        <v>Sen sanotaan elävän toisessa maailmassa. Sen ruumiinpinnasta säteilevä voimakas valo voi saada pimeimmätkin yöt valaisemaan kuin keskipäivä.</v>
      </c>
      <c r="C8708" s="9" t="s">
        <v>1344</v>
      </c>
    </row>
    <row r="8709" ht="33.75" customHeight="1">
      <c r="A8709" s="6" t="s">
        <v>12817</v>
      </c>
      <c r="B8709" s="6" t="str">
        <f>IFERROR(__xludf.DUMMYFUNCTION("GOOGLETRANSLATE(A8709,""en"",""fi"")"),"Tämän Pokémonin sanotaan olevan Cosmogin miespuolinen kehitysaskel. Kolmannen silmänsä aktivoituessa se lähtee toiseen maailmaan.")</f>
        <v>Tämän Pokémonin sanotaan olevan Cosmogin miespuolinen kehitysaskel. Kolmannen silmänsä aktivoituessa se lähtee toiseen maailmaan.</v>
      </c>
      <c r="C8709" s="9" t="s">
        <v>1344</v>
      </c>
    </row>
    <row r="8710" ht="33.75" customHeight="1">
      <c r="A8710" s="6" t="s">
        <v>12818</v>
      </c>
      <c r="B8710" s="6" t="str">
        <f>IFERROR(__xludf.DUMMYFUNCTION("GOOGLETRANSLATE(A8710,""en"",""fi"")"),"Joskus sen avaamasta Ultra-madonreiästä seuraa, että energiaa ja elämänmuotoja muista maailmoista kutsutaan tänne tähän maailmaan.")</f>
        <v>Joskus sen avaamasta Ultra-madonreiästä seuraa, että energiaa ja elämänmuotoja muista maailmoista kutsutaan tänne tähän maailmaan.</v>
      </c>
      <c r="C8710" s="9" t="s">
        <v>1344</v>
      </c>
    </row>
    <row r="8711" ht="33.75" customHeight="1">
      <c r="A8711" s="6" t="s">
        <v>12820</v>
      </c>
      <c r="B8711" s="6" t="str">
        <f>IFERROR(__xludf.DUMMYFUNCTION("GOOGLETRANSLATE(A8711,""en"",""fi"")"),"Kaukaisen menneisyyden kirjoituksissa sitä kutsutaan nimellä ""peto, joka syö auringon"".")</f>
        <v>Kaukaisen menneisyyden kirjoituksissa sitä kutsutaan nimellä "peto, joka syö auringon".</v>
      </c>
      <c r="C8711" s="9" t="s">
        <v>1344</v>
      </c>
    </row>
    <row r="8712" ht="33.75" customHeight="1">
      <c r="A8712" s="6" t="s">
        <v>12821</v>
      </c>
      <c r="B8712" s="6" t="str">
        <f>IFERROR(__xludf.DUMMYFUNCTION("GOOGLETRANSLATE(A8712,""en"",""fi"")"),"Kun valo säteilee kehostaan, tämä Pokémon voi näyttää melkein auringolta. Se karkottaa kaiken pimeyden ja valaisee maailman.")</f>
        <v>Kun valo säteilee kehostaan, tämä Pokémon voi näyttää melkein auringolta. Se karkottaa kaiken pimeyden ja valaisee maailman.</v>
      </c>
      <c r="C8712" s="9" t="s">
        <v>1344</v>
      </c>
    </row>
    <row r="8713" ht="33.75" customHeight="1">
      <c r="A8713" s="6" t="s">
        <v>12822</v>
      </c>
      <c r="B8713" s="6" t="str">
        <f>IFERROR(__xludf.DUMMYFUNCTION("GOOGLETRANSLATE(A8713,""en"",""fi"")"),"Solgaleo tunnettiin aikoinaan nimellä Auringon ahmiva peto. Siitä säteilee rajattomasti valoenergiaa.")</f>
        <v>Solgaleo tunnettiin aikoinaan nimellä Auringon ahmiva peto. Siitä säteilee rajattomasti valoenergiaa.</v>
      </c>
      <c r="C8713" s="9" t="s">
        <v>1344</v>
      </c>
    </row>
    <row r="8714" ht="33.75" customHeight="1">
      <c r="A8714" s="6" t="s">
        <v>12824</v>
      </c>
      <c r="B8714" s="6" t="str">
        <f>IFERROR(__xludf.DUMMYFUNCTION("GOOGLETRANSLATE(A8714,""en"",""fi"")"),"Sen sanotaan olevan Cosmogin naispuolinen kehitysaskel. Kun sen kolmas silmä aktivoituu, se lentää toiseen maailmaan.")</f>
        <v>Sen sanotaan olevan Cosmogin naispuolinen kehitysaskel. Kun sen kolmas silmä aktivoituu, se lentää toiseen maailmaan.</v>
      </c>
      <c r="C8714" s="9" t="s">
        <v>1344</v>
      </c>
    </row>
    <row r="8715" ht="33.75" customHeight="1">
      <c r="A8715" s="6" t="s">
        <v>12825</v>
      </c>
      <c r="B8715" s="6" t="str">
        <f>IFERROR(__xludf.DUMMYFUNCTION("GOOGLETRANSLATE(A8715,""en"",""fi"")"),"Tämän Pokémonin sanotaan elävän toisessa maailmassa, ja se ahmii valoa vetämällä kuuttoman yön pimeän verhon päivän kirkkauden ylle.")</f>
        <v>Tämän Pokémonin sanotaan elävän toisessa maailmassa, ja se ahmii valoa vetämällä kuuttoman yön pimeän verhon päivän kirkkauden ylle.</v>
      </c>
      <c r="C8715" s="9" t="s">
        <v>1344</v>
      </c>
    </row>
    <row r="8716" ht="33.75" customHeight="1">
      <c r="A8716" s="6" t="s">
        <v>12827</v>
      </c>
      <c r="B8716" s="6" t="str">
        <f>IFERROR(__xludf.DUMMYFUNCTION("GOOGLETRANSLATE(A8716,""en"",""fi"")"),"Siitä on olemassa merkintöjä kauan, kauan sitten menneistä kirjoituksista, jolloin se tunnettiin nimellä ”peto, joka kutsuu kuuta”.")</f>
        <v>Siitä on olemassa merkintöjä kauan, kauan sitten menneistä kirjoituksista, jolloin se tunnettiin nimellä ”peto, joka kutsuu kuuta”.</v>
      </c>
      <c r="C8716" s="9" t="s">
        <v>1344</v>
      </c>
    </row>
    <row r="8717" ht="33.75" customHeight="1">
      <c r="A8717" s="6" t="s">
        <v>12829</v>
      </c>
      <c r="B8717" s="6" t="str">
        <f>IFERROR(__xludf.DUMMYFUNCTION("GOOGLETRANSLATE(A8717,""en"",""fi"")"),"Se kutsuu joskus tuntemattomia voimia ja elämänmuotoja tänne maailmaan reikistä, jotka johtavat muihin maailmoihin.")</f>
        <v>Se kutsuu joskus tuntemattomia voimia ja elämänmuotoja tänne maailmaan reikistä, jotka johtavat muihin maailmoihin.</v>
      </c>
      <c r="C8717" s="9" t="s">
        <v>1344</v>
      </c>
    </row>
    <row r="8718" ht="33.75" customHeight="1">
      <c r="A8718" s="6" t="s">
        <v>12830</v>
      </c>
      <c r="B8718" s="6" t="str">
        <f>IFERROR(__xludf.DUMMYFUNCTION("GOOGLETRANSLATE(A8718,""en"",""fi"")"),"Kuun Kutsujana tunnettu Pokémon elää imemällä itseensä kaiken valon ja muuttamalla sen omaksi energiakseen.")</f>
        <v>Kuun Kutsujana tunnettu Pokémon elää imemällä itseensä kaiken valon ja muuttamalla sen omaksi energiakseen.</v>
      </c>
      <c r="C8718" s="9" t="s">
        <v>1344</v>
      </c>
    </row>
    <row r="8719" ht="33.75" customHeight="1">
      <c r="A8719" s="6" t="s">
        <v>12832</v>
      </c>
      <c r="B8719" s="6" t="str">
        <f>IFERROR(__xludf.DUMMYFUNCTION("GOOGLETRANSLATE(A8719,""en"",""fi"")"),"Se varastaa valon ympäristöstään ja muuttuu sitten täysikuuksi, joka suihkuttaa omaa valoaan yötaivaan yli.")</f>
        <v>Se varastaa valon ympäristöstään ja muuttuu sitten täysikuuksi, joka suihkuttaa omaa valoaan yötaivaan yli.</v>
      </c>
      <c r="C8719" s="9" t="s">
        <v>1344</v>
      </c>
    </row>
    <row r="8720" ht="33.75" customHeight="1">
      <c r="A8720" s="6" t="s">
        <v>12833</v>
      </c>
      <c r="B8720" s="6" t="str">
        <f>IFERROR(__xludf.DUMMYFUNCTION("GOOGLETRANSLATE(A8720,""en"",""fi"")"),"Yksi useista salaperäisistä ultrapedoista. Kadulla ihmiset kertovat nähneensä sen saastuttamien ihmisten muuttuvan yhtäkkiä väkivaltaisiksi.")</f>
        <v>Yksi useista salaperäisistä ultrapedoista. Kadulla ihmiset kertovat nähneensä sen saastuttamien ihmisten muuttuvan yhtäkkiä väkivaltaisiksi.</v>
      </c>
      <c r="C8720" s="9" t="s">
        <v>1344</v>
      </c>
    </row>
    <row r="8721" ht="33.75" customHeight="1">
      <c r="A8721" s="6" t="s">
        <v>12835</v>
      </c>
      <c r="B8721" s="6" t="str">
        <f>IFERROR(__xludf.DUMMYFUNCTION("GOOGLETRANSLATE(A8721,""en"",""fi"")"),"Yksi Ultra-oloista. Ei ole selvää, onko tämä Pokémon älykäs, mutta joskus sen voi havaita käyttäytyvän kuin nuoren tytön.")</f>
        <v>Yksi Ultra-oloista. Ei ole selvää, onko tämä Pokémon älykäs, mutta joskus sen voi havaita käyttäytyvän kuin nuoren tytön.</v>
      </c>
      <c r="C8721" s="9" t="s">
        <v>1344</v>
      </c>
    </row>
    <row r="8722" ht="33.75" customHeight="1">
      <c r="A8722" s="6" t="s">
        <v>12837</v>
      </c>
      <c r="B8722" s="6" t="str">
        <f>IFERROR(__xludf.DUMMYFUNCTION("GOOGLETRANSLATE(A8722,""en"",""fi"")"),"Toisesta maailmasta kotoisin oleva elämänmuoto, jota kutsuttiin UB:ksi, uskotaan tuottavan voimakasta neurotoksiinia.")</f>
        <v>Toisesta maailmasta kotoisin oleva elämänmuoto, jota kutsuttiin UB:ksi, uskotaan tuottavan voimakasta neurotoksiinia.</v>
      </c>
      <c r="C8722" s="9" t="s">
        <v>1344</v>
      </c>
    </row>
    <row r="8723" ht="33.75" customHeight="1">
      <c r="A8723" s="6" t="s">
        <v>12838</v>
      </c>
      <c r="B8723" s="6" t="str">
        <f>IFERROR(__xludf.DUMMYFUNCTION("GOOGLETRANSLATE(A8723,""en"",""fi"")"),"Se ilmestyi tähän maailmaan ultramadonreiästä. Nihilego näyttää olevan loinen, joka elää syömällä ihmisiä ja Pokémoneja.")</f>
        <v>Se ilmestyi tähän maailmaan ultramadonreiästä. Nihilego näyttää olevan loinen, joka elää syömällä ihmisiä ja Pokémoneja.</v>
      </c>
      <c r="C8723" s="9" t="s">
        <v>1344</v>
      </c>
    </row>
    <row r="8724" ht="33.75" customHeight="1">
      <c r="A8724" s="6" t="s">
        <v>12840</v>
      </c>
      <c r="B8724" s="6" t="str">
        <f>IFERROR(__xludf.DUMMYFUNCTION("GOOGLETRANSLATE(A8724,""en"",""fi"")"),"Tämä ultrapeto ilmestyi toisesta maailmasta. Se esittelee vartaloaan, mutta onko se kehuskelua vai uhkausta, on epäselvää.")</f>
        <v>Tämä ultrapeto ilmestyi toisesta maailmasta. Se esittelee vartaloaan, mutta onko se kehuskelua vai uhkausta, on epäselvää.</v>
      </c>
      <c r="C8724" s="9" t="s">
        <v>1344</v>
      </c>
    </row>
    <row r="8725" ht="33.75" customHeight="1">
      <c r="A8725" s="6" t="s">
        <v>12842</v>
      </c>
      <c r="B8725" s="6" t="str">
        <f>IFERROR(__xludf.DUMMYFUNCTION("GOOGLETRANSLATE(A8725,""en"",""fi"")"),"Salaperäinen elämänmuoto nimeltä Ultrapeto. Silminnäkijät näkivät sen murskaavan kippiauton yhdellä iskulla.")</f>
        <v>Salaperäinen elämänmuoto nimeltä Ultrapeto. Silminnäkijät näkivät sen murskaavan kippiauton yhdellä iskulla.</v>
      </c>
      <c r="C8725" s="9" t="s">
        <v>1344</v>
      </c>
    </row>
    <row r="8726" ht="33.75" customHeight="1">
      <c r="A8726" s="6" t="s">
        <v>12845</v>
      </c>
      <c r="B8726" s="6" t="str">
        <f>IFERROR(__xludf.DUMMYFUNCTION("GOOGLETRANSLATE(A8726,""en"",""fi"")"),"Vaikka se on vieras tälle maailmalle ja vaarallinen täällä, se on ilmeisesti yleinen organismi maailmassa, jossa se normaalisti elää.")</f>
        <v>Vaikka se on vieras tälle maailmalle ja vaarallinen täällä, se on ilmeisesti yleinen organismi maailmassa, jossa se normaalisti elää.</v>
      </c>
      <c r="C8726" s="9" t="s">
        <v>1344</v>
      </c>
    </row>
    <row r="8727" ht="33.75" customHeight="1">
      <c r="A8727" s="6" t="s">
        <v>12847</v>
      </c>
      <c r="B8727" s="6" t="str">
        <f>IFERROR(__xludf.DUMMYFUNCTION("GOOGLETRANSLATE(A8727,""en"",""fi"")"),"Buzzwole kulkee ympäriinsä esitellen epätavallisen turvonneita lihaksiaan. Se on eräänlainen ultrapeto.")</f>
        <v>Buzzwole kulkee ympäriinsä esitellen epätavallisen turvonneita lihaksiaan. Se on eräänlainen ultrapeto.</v>
      </c>
      <c r="C8727" s="9" t="s">
        <v>1344</v>
      </c>
    </row>
    <row r="8728" ht="33.75" customHeight="1">
      <c r="A8728" s="6" t="s">
        <v>12848</v>
      </c>
      <c r="B8728" s="6" t="str">
        <f>IFERROR(__xludf.DUMMYFUNCTION("GOOGLETRANSLATE(A8728,""en"",""fi"")"),"Yksi vaarallisista Ultrapedoista, se on nähty juoksevan maan halki valtavalla nopeudella.")</f>
        <v>Yksi vaarallisista Ultrapedoista, se on nähty juoksevan maan halki valtavalla nopeudella.</v>
      </c>
      <c r="C8728" s="9" t="s">
        <v>1344</v>
      </c>
    </row>
    <row r="8729" ht="33.75" customHeight="1">
      <c r="A8729" s="6" t="s">
        <v>12851</v>
      </c>
      <c r="B8729" s="6" t="str">
        <f>IFERROR(__xludf.DUMMYFUNCTION("GOOGLETRANSLATE(A8729,""en"",""fi"")"),"Yksi ultrapedoista. Se kieltäytyy koskemasta mihinkään, ehkä siksi, että se aistii jonkinlaista epäpuhtautta tässä maailmassa.")</f>
        <v>Yksi ultrapedoista. Se kieltäytyy koskemasta mihinkään, ehkä siksi, että se aistii jonkinlaista epäpuhtautta tässä maailmassa.</v>
      </c>
      <c r="C8729" s="9" t="s">
        <v>1344</v>
      </c>
    </row>
    <row r="8730" ht="33.75" customHeight="1">
      <c r="A8730" s="6" t="s">
        <v>12853</v>
      </c>
      <c r="B8730" s="6" t="str">
        <f>IFERROR(__xludf.DUMMYFUNCTION("GOOGLETRANSLATE(A8730,""en"",""fi"")"),"Elämänmuoto, joka elää toisessa maailmassa, sen ruumis on laiha ja notkea, mutta sillä on myös suuri voima.")</f>
        <v>Elämänmuoto, joka elää toisessa maailmassa, sen ruumis on laiha ja notkea, mutta sillä on myös suuri voima.</v>
      </c>
      <c r="C8730" s="9" t="s">
        <v>1344</v>
      </c>
    </row>
    <row r="8731" ht="33.75" customHeight="1">
      <c r="A8731" s="6" t="s">
        <v>12855</v>
      </c>
      <c r="B8731" s="6" t="str">
        <f>IFERROR(__xludf.DUMMYFUNCTION("GOOGLETRANSLATE(A8731,""en"",""fi"")"),"Yksi salaperäisistä elämänmuodoista, jotka tunnetaan nimellä Ultra Beasts. Silminnäkijöiden mukaan sen koko kehosta lähtee hämmästyttäviä sähköiskuja.")</f>
        <v>Yksi salaperäisistä elämänmuodoista, jotka tunnetaan nimellä Ultra Beasts. Silminnäkijöiden mukaan sen koko kehosta lähtee hämmästyttäviä sähköiskuja.</v>
      </c>
      <c r="C8731" s="9" t="s">
        <v>1344</v>
      </c>
    </row>
    <row r="8732" ht="33.75" customHeight="1">
      <c r="A8732" s="6" t="s">
        <v>12856</v>
      </c>
      <c r="B8732" s="6" t="str">
        <f>IFERROR(__xludf.DUMMYFUNCTION("GOOGLETRANSLATE(A8732,""en"",""fi"")"),"Se ilmestyi Ultramadonreiästä. Se hyökkäsi voimalaitokseen, joten ihmiset luulevat sen energisoivan itseään sähköllä.")</f>
        <v>Se ilmestyi Ultramadonreiästä. Se hyökkäsi voimalaitokseen, joten ihmiset luulevat sen energisoivan itseään sähköllä.</v>
      </c>
      <c r="C8732" s="9" t="s">
        <v>1344</v>
      </c>
    </row>
    <row r="8733" ht="33.75" customHeight="1">
      <c r="A8733" s="6" t="s">
        <v>12858</v>
      </c>
      <c r="B8733" s="6" t="str">
        <f>IFERROR(__xludf.DUMMYFUNCTION("GOOGLETRANSLATE(A8733,""en"",""fi"")"),"Niitä on kutsuttu Ultrapedoiksi. Jotkut niistä seisovat liikkumatta kuin puut, kädet ja jalat maassa.")</f>
        <v>Niitä on kutsuttu Ultrapedoiksi. Jotkut niistä seisovat liikkumatta kuin puut, kädet ja jalat maassa.</v>
      </c>
      <c r="C8733" s="9" t="s">
        <v>1344</v>
      </c>
    </row>
    <row r="8734" ht="33.75" customHeight="1">
      <c r="A8734" s="6" t="s">
        <v>12860</v>
      </c>
      <c r="B8734" s="6" t="str">
        <f>IFERROR(__xludf.DUMMYFUNCTION("GOOGLETRANSLATE(A8734,""en"",""fi"")"),"Se ilmestyi Ultra-madonreiästä. Silminnäkijät näkivät sen lentävän taivaalla suurella nopeudella.")</f>
        <v>Se ilmestyi Ultra-madonreiästä. Silminnäkijät näkivät sen lentävän taivaalla suurella nopeudella.</v>
      </c>
      <c r="C8734" s="9" t="s">
        <v>1344</v>
      </c>
    </row>
    <row r="8735" ht="33.75" customHeight="1">
      <c r="A8735" s="6" t="s">
        <v>12862</v>
      </c>
      <c r="B8735" s="6" t="str">
        <f>IFERROR(__xludf.DUMMYFUNCTION("GOOGLETRANSLATE(A8735,""en"",""fi"")"),"Yksi ultrapetolaji. Silminnäkijät ovat nähneet sen polttavan metsän maan tasalle purkamalla kaasua kahdesta käsivarrestaan.")</f>
        <v>Yksi ultrapetolaji. Silminnäkijät ovat nähneet sen polttavan metsän maan tasalle purkamalla kaasua kahdesta käsivarrestaan.</v>
      </c>
      <c r="C8735" s="9" t="s">
        <v>1344</v>
      </c>
    </row>
    <row r="8736" ht="33.75" customHeight="1">
      <c r="A8736" s="6" t="s">
        <v>12864</v>
      </c>
      <c r="B8736" s="6" t="str">
        <f>IFERROR(__xludf.DUMMYFUNCTION("GOOGLETRANSLATE(A8736,""en"",""fi"")"),"Yksi vaarallisista UB-kappaleista, sen molemmista valtavista haaroista voidaan havaita korkeaenergisiä lukemia.")</f>
        <v>Yksi vaarallisista UB-kappaleista, sen molemmista valtavista haaroista voidaan havaita korkeaenergisiä lukemia.</v>
      </c>
      <c r="C8736" s="9" t="s">
        <v>1344</v>
      </c>
    </row>
    <row r="8737" ht="33.75" customHeight="1">
      <c r="A8737" s="6" t="s">
        <v>12866</v>
      </c>
      <c r="B8737" s="6" t="str">
        <f>IFERROR(__xludf.DUMMYFUNCTION("GOOGLETRANSLATE(A8737,""en"",""fi"")"),"Tämä ultrapeto tuli ultramadonreiästä. Se ei näytä hyökkäävän vihollisten kimppuun yksinään, mutta sen terävä ruumis on itsessään vaarallinen ase.")</f>
        <v>Tämä ultrapeto tuli ultramadonreiästä. Se ei näytä hyökkäävän vihollisten kimppuun yksinään, mutta sen terävä ruumis on itsessään vaarallinen ase.</v>
      </c>
      <c r="C8737" s="9" t="s">
        <v>1344</v>
      </c>
    </row>
    <row r="8738" ht="33.75" customHeight="1">
      <c r="A8738" s="6" t="s">
        <v>12868</v>
      </c>
      <c r="B8738" s="6" t="str">
        <f>IFERROR(__xludf.DUMMYFUNCTION("GOOGLETRANSLATE(A8738,""en"",""fi"")"),"Yksi Ultra Beast -elämänmuodoista, sen havaittiin kaatavan jättimäisen terästornin yhdellä teräniskulla.")</f>
        <v>Yksi Ultra Beast -elämänmuodoista, sen havaittiin kaatavan jättimäisen terästornin yhdellä teräniskulla.</v>
      </c>
      <c r="C8738" s="9" t="s">
        <v>1344</v>
      </c>
    </row>
    <row r="8739" ht="33.75" customHeight="1">
      <c r="A8739" s="6" t="s">
        <v>12870</v>
      </c>
      <c r="B8739" s="6" t="str">
        <f>IFERROR(__xludf.DUMMYFUNCTION("GOOGLETRANSLATE(A8739,""en"",""fi"")"),"Tämän Ultrapedon paperin ohut vartalo on kuin teroitettu miekka.")</f>
        <v>Tämän Ultrapedon paperin ohut vartalo on kuin teroitettu miekka.</v>
      </c>
      <c r="C8739" s="9" t="s">
        <v>1344</v>
      </c>
    </row>
    <row r="8740" ht="33.75" customHeight="1">
      <c r="A8740" s="6" t="s">
        <v>12871</v>
      </c>
      <c r="B8740" s="6" t="str">
        <f>IFERROR(__xludf.DUMMYFUNCTION("GOOGLETRANSLATE(A8740,""en"",""fi"")"),"Raporttien mukaan se on ahminut vuoria ja niellyt kokonaisia ​​rakennuksia. Se on yksi Ultrapedoista.")</f>
        <v>Raporttien mukaan se on ahminut vuoria ja niellyt kokonaisia ​​rakennuksia. Se on yksi Ultrapedoista.</v>
      </c>
      <c r="C8740" s="9" t="s">
        <v>1344</v>
      </c>
    </row>
    <row r="8741" ht="33.75" customHeight="1">
      <c r="A8741" s="6" t="s">
        <v>12872</v>
      </c>
      <c r="B8741" s="6" t="str">
        <f>IFERROR(__xludf.DUMMYFUNCTION("GOOGLETRANSLATE(A8741,""en"",""fi"")"),"Vaarallinen ultrapeto näyttää syövän jatkuvasti, mutta jostain syystä sen ulosteita ei ole koskaan löydetty.")</f>
        <v>Vaarallinen ultrapeto näyttää syövän jatkuvasti, mutta jostain syystä sen ulosteita ei ole koskaan löydetty.</v>
      </c>
      <c r="C8741" s="9" t="s">
        <v>1344</v>
      </c>
    </row>
    <row r="8742" ht="33.75" customHeight="1">
      <c r="A8742" s="6" t="s">
        <v>12874</v>
      </c>
      <c r="B8742" s="6" t="str">
        <f>IFERROR(__xludf.DUMMYFUNCTION("GOOGLETRANSLATE(A8742,""en"",""fi"")"),"Tuntematon elämänmuoto nimeltä UB. Se voi olla jatkuvasti nälkäinen – se varmasti ahmii aina jotakin.")</f>
        <v>Tuntematon elämänmuoto nimeltä UB. Se voi olla jatkuvasti nälkäinen – se varmasti ahmii aina jotakin.</v>
      </c>
      <c r="C8742" s="9" t="s">
        <v>1344</v>
      </c>
    </row>
    <row r="8743" ht="33.75" customHeight="1">
      <c r="A8743" s="6" t="s">
        <v>12875</v>
      </c>
      <c r="B8743" s="6" t="str">
        <f>IFERROR(__xludf.DUMMYFUNCTION("GOOGLETRANSLATE(A8743,""en"",""fi"")"),"Tämä Ultrapetoja muistuttava elämänmuoto, joka ilmeisesti nukkuu maan alla, on uskottu tulleen toisesta maailmasta muinaisina aikoina.")</f>
        <v>Tämä Ultrapetoja muistuttava elämänmuoto, joka ilmeisesti nukkuu maan alla, on uskottu tulleen toisesta maailmasta muinaisina aikoina.</v>
      </c>
      <c r="C8743" s="9" t="s">
        <v>1344</v>
      </c>
    </row>
    <row r="8744" ht="33.75" customHeight="1">
      <c r="A8744" s="6" t="s">
        <v>12876</v>
      </c>
      <c r="B8744" s="6" t="str">
        <f>IFERROR(__xludf.DUMMYFUNCTION("GOOGLETRANSLATE(A8744,""en"",""fi"")"),"Valo on ilmeisesti sen energian lähde. Sillä on poikkeuksellisen vihamielinen luonne ja se ampuu jatkuvasti lasersäteitä.")</f>
        <v>Valo on ilmeisesti sen energian lähde. Sillä on poikkeuksellisen vihamielinen luonne ja se ampuu jatkuvasti lasersäteitä.</v>
      </c>
      <c r="C8744" s="9" t="s">
        <v>1344</v>
      </c>
    </row>
    <row r="8745" ht="33.75" customHeight="1">
      <c r="A8745" s="6" t="s">
        <v>12878</v>
      </c>
      <c r="B8745" s="6" t="str">
        <f>IFERROR(__xludf.DUMMYFUNCTION("GOOGLETRANSLATE(A8745,""en"",""fi"")"),"Se näyttää jotenkin tuskaiselta raivotessaan ympäriinsä etsien valoa, joka toimii sen energiana. Se on ilmeisesti toisesta maailmasta.")</f>
        <v>Se näyttää jotenkin tuskaiselta raivotessaan ympäriinsä etsien valoa, joka toimii sen energiana. Se on ilmeisesti toisesta maailmasta.</v>
      </c>
      <c r="C8745" s="9" t="s">
        <v>1344</v>
      </c>
    </row>
    <row r="8746" ht="33.75" customHeight="1">
      <c r="A8746" s="6" t="s">
        <v>12879</v>
      </c>
      <c r="B8746" s="6" t="str">
        <f>IFERROR(__xludf.DUMMYFUNCTION("GOOGLETRANSLATE(A8746,""en"",""fi"")"),"Valo on sen energian lähde. Jos se ei niele valoa, siihen ja sen pinnalle kertyy epäpuhtauksia, ja Necrozma tummuu ja lakkaa liikkumasta.")</f>
        <v>Valo on sen energian lähde. Jos se ei niele valoa, siihen ja sen pinnalle kertyy epäpuhtauksia, ja Necrozma tummuu ja lakkaa liikkumasta.</v>
      </c>
      <c r="C8746" s="9" t="s">
        <v>1344</v>
      </c>
    </row>
    <row r="8747" ht="33.75" customHeight="1">
      <c r="A8747" s="6" t="s">
        <v>12880</v>
      </c>
      <c r="B8747" s="6" t="str">
        <f>IFERROR(__xludf.DUMMYFUNCTION("GOOGLETRANSLATE(A8747,""en"",""fi"")"),"Se selviää absorboimalla valoa. Pitkän maan alla nukkumisen jälkeen sen sisään kertyi epäpuhtauksia, jotka aiheuttivat sen ruumiin tummumisen.")</f>
        <v>Se selviää absorboimalla valoa. Pitkän maan alla nukkumisen jälkeen sen sisään kertyi epäpuhtauksia, jotka aiheuttivat sen ruumiin tummumisen.</v>
      </c>
      <c r="C8747" s="9" t="s">
        <v>1344</v>
      </c>
    </row>
    <row r="8748" ht="33.75" customHeight="1">
      <c r="A8748" s="6" t="s">
        <v>12882</v>
      </c>
      <c r="B8748" s="6" t="str">
        <f>IFERROR(__xludf.DUMMYFUNCTION("GOOGLETRANSLATE(A8748,""en"",""fi"")"),"Se tarvitsee valoa selviytyäkseen ja riehuu sitä etsiessään. Sen lasersäteet leikkaavat minkä tahansa palasiksi.")</f>
        <v>Se tarvitsee valoa selviytyäkseen ja riehuu sitä etsiessään. Sen lasersäteet leikkaavat minkä tahansa palasiksi.</v>
      </c>
      <c r="C8748" s="9" t="s">
        <v>1344</v>
      </c>
    </row>
    <row r="8749" ht="33.75" customHeight="1">
      <c r="A8749" s="6" t="s">
        <v>12884</v>
      </c>
      <c r="B8749" s="6" t="str">
        <f>IFERROR(__xludf.DUMMYFUNCTION("GOOGLETRANSLATE(A8749,""en"",""fi"")"),"Tämä yli 500 vuotta sitten rakennettu keinotekoinen Pokémon ymmärtää ihmisen puhetta, mutta ei itse pysty puhumaan.")</f>
        <v>Tämä yli 500 vuotta sitten rakennettu keinotekoinen Pokémon ymmärtää ihmisen puhetta, mutta ei itse pysty puhumaan.</v>
      </c>
      <c r="C8749" s="9" t="s">
        <v>1344</v>
      </c>
    </row>
    <row r="8750" ht="33.75" customHeight="1">
      <c r="A8750" s="6" t="s">
        <v>12885</v>
      </c>
      <c r="B8750" s="6" t="str">
        <f>IFERROR(__xludf.DUMMYFUNCTION("GOOGLETRANSLATE(A8750,""en"",""fi"")"),"Sen mekaaninen ruumis on vain astia. Sen todellinen minä on sen Sielu-Sydän, keinotekoinen sielu.")</f>
        <v>Sen mekaaninen ruumis on vain astia. Sen todellinen minä on sen Sielu-Sydän, keinotekoinen sielu.</v>
      </c>
      <c r="C8750" s="9" t="s">
        <v>1344</v>
      </c>
    </row>
    <row r="8751" ht="33.75" customHeight="1">
      <c r="A8751" s="6" t="s">
        <v>12887</v>
      </c>
      <c r="B8751" s="6" t="str">
        <f>IFERROR(__xludf.DUMMYFUNCTION("GOOGLETRANSLATE(A8751,""en"",""fi"")"),"Se synkronoi tietoisuutensa muiden kanssa ymmärtääkseen heidän tunteitaan. Tämä kyky tekee siitä hyödyllisen ihmisten hoitamisessa.")</f>
        <v>Se synkronoi tietoisuutensa muiden kanssa ymmärtääkseen heidän tunteitaan. Tämä kyky tekee siitä hyödyllisen ihmisten hoitamisessa.</v>
      </c>
      <c r="C8751" s="9" t="s">
        <v>1344</v>
      </c>
    </row>
    <row r="8752" ht="33.75" customHeight="1">
      <c r="A8752" s="6" t="s">
        <v>12888</v>
      </c>
      <c r="B8752" s="6" t="str">
        <f>IFERROR(__xludf.DUMMYFUNCTION("GOOGLETRANSLATE(A8752,""en"",""fi"")"),"Tiedemiehen noin 500 vuotta sitten rakentama Sielu-Sydämeksi kutsuttu osa on varsinainen elämänmuoto.")</f>
        <v>Tiedemiehen noin 500 vuotta sitten rakentama Sielu-Sydämeksi kutsuttu osa on varsinainen elämänmuoto.</v>
      </c>
      <c r="C8752" s="9" t="s">
        <v>1344</v>
      </c>
    </row>
    <row r="8753" ht="33.75" customHeight="1">
      <c r="A8753" s="6" t="s">
        <v>12890</v>
      </c>
      <c r="B8753" s="6" t="str">
        <f>IFERROR(__xludf.DUMMYFUNCTION("GOOGLETRANSLATE(A8753,""en"",""fi"")"),"Koska se kykeni kätkeytymään varjoihin, se ei koskaan ilmesty ihmisten eteen, joten sen olemassaolo oli myytin ainesta.")</f>
        <v>Koska se kykeni kätkeytymään varjoihin, se ei koskaan ilmesty ihmisten eteen, joten sen olemassaolo oli myytin ainesta.</v>
      </c>
      <c r="C8753" s="9" t="s">
        <v>1344</v>
      </c>
    </row>
    <row r="8754" ht="33.75" customHeight="1">
      <c r="A8754" s="6" t="s">
        <v>12891</v>
      </c>
      <c r="B8754" s="6" t="str">
        <f>IFERROR(__xludf.DUMMYFUNCTION("GOOGLETRANSLATE(A8754,""en"",""fi"")"),"Se lymyilee toisten varjoissa kopioiden heidän liikkeitään ja voimiaan. Tämä Pokémon on pelkurimainen ja arasteleva.")</f>
        <v>Se lymyilee toisten varjoissa kopioiden heidän liikkeitään ja voimiaan. Tämä Pokémon on pelkurimainen ja arasteleva.</v>
      </c>
      <c r="C8754" s="9" t="s">
        <v>1344</v>
      </c>
    </row>
    <row r="8755" ht="33.75" customHeight="1">
      <c r="A8755" s="6" t="s">
        <v>12893</v>
      </c>
      <c r="B8755" s="6" t="str">
        <f>IFERROR(__xludf.DUMMYFUNCTION("GOOGLETRANSLATE(A8755,""en"",""fi"")"),"Se livahtaa toisten varjoihin ja matkii heidän voimiaan ja liikkeitään. Kehittyessään siitä tulee vahvempi kuin ne, joita se matkii.")</f>
        <v>Se livahtaa toisten varjoihin ja matkii heidän voimiaan ja liikkeitään. Kehittyessään siitä tulee vahvempi kuin ne, joita se matkii.</v>
      </c>
      <c r="C8755" s="9" t="s">
        <v>1344</v>
      </c>
    </row>
    <row r="8756" ht="33.75" customHeight="1">
      <c r="A8756" s="6" t="s">
        <v>12895</v>
      </c>
      <c r="B8756" s="6" t="str">
        <f>IFERROR(__xludf.DUMMYFUNCTION("GOOGLETRANSLATE(A8756,""en"",""fi"")"),"Se vajoaa ihmisten ja Pokémonien varjoihin, missä se voi ymmärtää heidän tunteitaan ja kopioida heidän kykyjään.")</f>
        <v>Se vajoaa ihmisten ja Pokémonien varjoihin, missä se voi ymmärtää heidän tunteitaan ja kopioida heidän kykyjään.</v>
      </c>
      <c r="C8756" s="9" t="s">
        <v>1344</v>
      </c>
    </row>
    <row r="8757" ht="33.75" customHeight="1">
      <c r="A8757" s="6" t="s">
        <v>12897</v>
      </c>
      <c r="B8757" s="6" t="str">
        <f>IFERROR(__xludf.DUMMYFUNCTION("GOOGLETRANSLATE(A8757,""en"",""fi"")"),"Vajoamalla kamppailulajien mestarin varjoon ja kopioimalla heidän liikkeitään tämä Pokémon oppi perimmäiset tekniikat.")</f>
        <v>Vajoamalla kamppailulajien mestarin varjoon ja kopioimalla heidän liikkeitään tämä Pokémon oppi perimmäiset tekniikat.</v>
      </c>
      <c r="C8757" s="9" t="s">
        <v>1344</v>
      </c>
    </row>
    <row r="8758" ht="33.75" customHeight="1">
      <c r="A8758" s="6" t="s">
        <v>12899</v>
      </c>
      <c r="B8758" s="6" t="str">
        <f>IFERROR(__xludf.DUMMYFUNCTION("GOOGLETRANSLATE(A8758,""en"",""fi"")"),"Tämä Pokémon voi piiloutua mihin tahansa varjoon, joten se pysyi pitkään huomaamatta.")</f>
        <v>Tämä Pokémon voi piiloutua mihin tahansa varjoon, joten se pysyi pitkään huomaamatta.</v>
      </c>
      <c r="C8758" s="9" t="s">
        <v>1344</v>
      </c>
    </row>
    <row r="8759" ht="33.75" customHeight="1">
      <c r="A8759" s="6" t="s">
        <v>12901</v>
      </c>
      <c r="B8759" s="6" t="str">
        <f>IFERROR(__xludf.DUMMYFUNCTION("GOOGLETRANSLATE(A8759,""en"",""fi"")"),"Tätä Ultrapetoa pidetään niin paljon, että se valitaan ensimmäiseksi kumppaniksi omaan maailmaansa.")</f>
        <v>Tätä Ultrapetoa pidetään niin paljon, että se valitaan ensimmäiseksi kumppaniksi omaan maailmaansa.</v>
      </c>
      <c r="C8759" s="9" t="s">
        <v>1344</v>
      </c>
    </row>
    <row r="8760" ht="33.75" customHeight="1">
      <c r="A8760" s="6" t="s">
        <v>12903</v>
      </c>
      <c r="B8760" s="6" t="str">
        <f>IFERROR(__xludf.DUMMYFUNCTION("GOOGLETRANSLATE(A8760,""en"",""fi"")"),"Ultrapeto, joka elää eri maailmassa, kikattelee villisti suihkuttaessaan vastustajiinsa myrkkyä päänsä neuloilla.")</f>
        <v>Ultrapeto, joka elää eri maailmassa, kikattelee villisti suihkuttaessaan vastustajiinsa myrkkyä päänsä neuloilla.</v>
      </c>
      <c r="C8760" s="9" t="s">
        <v>1344</v>
      </c>
    </row>
    <row r="8761" ht="33.75" customHeight="1">
      <c r="A8761" s="6" t="s">
        <v>12905</v>
      </c>
      <c r="B8761" s="6" t="str">
        <f>IFERROR(__xludf.DUMMYFUNCTION("GOOGLETRANSLATE(A8761,""en"",""fi"")"),"Se varastoi kehoonsa satoja litroja myrkyllistä nestettä. Se on yksi UB-nimisistä eliöistä.")</f>
        <v>Se varastoi kehoonsa satoja litroja myrkyllistä nestettä. Se on yksi UB-nimisistä eliöistä.</v>
      </c>
      <c r="C8761" s="9" t="s">
        <v>1344</v>
      </c>
    </row>
    <row r="8762" ht="33.75" customHeight="1">
      <c r="A8762" s="6" t="s">
        <v>12906</v>
      </c>
      <c r="B8762" s="6" t="str">
        <f>IFERROR(__xludf.DUMMYFUNCTION("GOOGLETRANSLATE(A8762,""en"",""fi"")"),"Se on eräänlainen Ultrapeto, joka ampuu neuloistaan ​​hehkuvaa, myrkyllistä nestettä. Tämä neste on myös erittäin tarttuvaa.")</f>
        <v>Se on eräänlainen Ultrapeto, joka ampuu neuloistaan ​​hehkuvaa, myrkyllistä nestettä. Tämä neste on myös erittäin tarttuvaa.</v>
      </c>
      <c r="C8762" s="9" t="s">
        <v>1344</v>
      </c>
    </row>
    <row r="8763" ht="33.75" customHeight="1">
      <c r="A8763" s="6" t="s">
        <v>12909</v>
      </c>
      <c r="B8763" s="6" t="str">
        <f>IFERROR(__xludf.DUMMYFUNCTION("GOOGLETRANSLATE(A8763,""en"",""fi"")"),"Se ilmestyi ultramadonreiästä. Jokainen niistä näyttää koostuvan monista päällekkäin pinotuista elämänmuodoista.")</f>
        <v>Se ilmestyi ultramadonreiästä. Jokainen niistä näyttää koostuvan monista päällekkäin pinotuista elämänmuodoista.</v>
      </c>
      <c r="C8763" s="9" t="s">
        <v>1344</v>
      </c>
    </row>
    <row r="8764" ht="33.75" customHeight="1">
      <c r="A8764" s="6" t="s">
        <v>12911</v>
      </c>
      <c r="B8764" s="6" t="str">
        <f>IFERROR(__xludf.DUMMYFUNCTION("GOOGLETRANSLATE(A8764,""en"",""fi"")"),"Kun kiviseinät alkoivat liikkua ja hyökätä, eläimen todellinen identiteetti oli tämä salaperäinen elämänmuoto, joka tuo mieleen ultrapedon.")</f>
        <v>Kun kiviseinät alkoivat liikkua ja hyökätä, eläimen todellinen identiteetti oli tämä salaperäinen elämänmuoto, joka tuo mieleen ultrapedon.</v>
      </c>
      <c r="C8764" s="9" t="s">
        <v>1344</v>
      </c>
    </row>
    <row r="8765" ht="33.75" customHeight="1">
      <c r="A8765" s="6" t="s">
        <v>12913</v>
      </c>
      <c r="B8765" s="6" t="str">
        <f>IFERROR(__xludf.DUMMYFUNCTION("GOOGLETRANSLATE(A8765,""en"",""fi"")"),"Se luikertelee ihmisiä kohti. Sitten, varoittamatta, se laukaisee oman päänsä räjähdyksen. Se on ilmeisesti eräänlainen ultrapeto.")</f>
        <v>Se luikertelee ihmisiä kohti. Sitten, varoittamatta, se laukaisee oman päänsä räjähdyksen. Se on ilmeisesti eräänlainen ultrapeto.</v>
      </c>
      <c r="C8765" s="9" t="s">
        <v>1344</v>
      </c>
    </row>
    <row r="8766" ht="33.75" customHeight="1">
      <c r="A8766" s="6" t="s">
        <v>12916</v>
      </c>
      <c r="B8766" s="6" t="str">
        <f>IFERROR(__xludf.DUMMYFUNCTION("GOOGLETRANSLATE(A8766,""en"",""fi"")"),"Ultramadonreiästä ilmestynyt UB aiheuttaa räjähdyksiä ja hyödyntää sitten vastustajien yllätystä riistääkseen heiltä elinvoiman.")</f>
        <v>Ultramadonreiästä ilmestynyt UB aiheuttaa räjähdyksiä ja hyödyntää sitten vastustajien yllätystä riistääkseen heiltä elinvoiman.</v>
      </c>
      <c r="C8766" s="9" t="s">
        <v>1344</v>
      </c>
    </row>
    <row r="8767" ht="33.75" customHeight="1">
      <c r="A8767" s="6" t="s">
        <v>12918</v>
      </c>
      <c r="B8767" s="6" t="str">
        <f>IFERROR(__xludf.DUMMYFUNCTION("GOOGLETRANSLATE(A8767,""en"",""fi"")"),"Se sähköistää kyntensä ja repii niillä vastustajansa kappaleiksi. Vaikka he väistäisivätkin sen hyökkäyksen, lentävät kipinät sähköistävät heidät.")</f>
        <v>Se sähköistää kyntensä ja repii niillä vastustajansa kappaleiksi. Vaikka he väistäisivätkin sen hyökkäyksen, lentävät kipinät sähköistävät heidät.</v>
      </c>
      <c r="C8767" s="9" t="s">
        <v>1344</v>
      </c>
    </row>
    <row r="8768" ht="33.75" customHeight="1">
      <c r="A8768" s="6" t="s">
        <v>12919</v>
      </c>
      <c r="B8768" s="6" t="str">
        <f>IFERROR(__xludf.DUMMYFUNCTION("GOOGLETRANSLATE(A8768,""en"",""fi"")"),"Se lähestyy vihollisiaan salamannopeudella ja repii heidät sitten raajoista raajaan terävillä kynsillään.")</f>
        <v>Se lähestyy vihollisiaan salamannopeudella ja repii heidät sitten raajoista raajaan terävillä kynsillään.</v>
      </c>
      <c r="C8768" s="9" t="s">
        <v>1344</v>
      </c>
    </row>
    <row r="8769" ht="33.75" customHeight="1">
      <c r="A8769" s="6" t="s">
        <v>12920</v>
      </c>
      <c r="B8769" s="6" t="str">
        <f>IFERROR(__xludf.DUMMYFUNCTION("GOOGLETRANSLATE(A8769,""en"",""fi"")"),"Se juoksee salamaniskun lailla ja murskaa vastustajansa korkeajännitteisillä kynsillään.")</f>
        <v>Se juoksee salamaniskun lailla ja murskaa vastustajansa korkeajännitteisillä kynsillään.</v>
      </c>
      <c r="C8769" s="9" t="s">
        <v>1344</v>
      </c>
    </row>
    <row r="8770" ht="33.75" customHeight="1">
      <c r="A8770" s="6" t="s">
        <v>12921</v>
      </c>
      <c r="B8770" s="6" t="str">
        <f>IFERROR(__xludf.DUMMYFUNCTION("GOOGLETRANSLATE(A8770,""en"",""fi"")"),"Sähkö kipinöi sen raajojen pohjallisista. Minne tahansa Zeraora juokseekin, siellä välähtää salama ja jyrisee ukkonen.")</f>
        <v>Sähkö kipinöi sen raajojen pohjallisista. Minne tahansa Zeraora juokseekin, siellä välähtää salama ja jyrisee ukkonen.</v>
      </c>
      <c r="C8770" s="9" t="s">
        <v>1344</v>
      </c>
    </row>
    <row r="8771" ht="33.75" customHeight="1">
      <c r="A8771" s="6" t="s">
        <v>12923</v>
      </c>
      <c r="B8771" s="6" t="str">
        <f>IFERROR(__xludf.DUMMYFUNCTION("GOOGLETRANSLATE(A8771,""en"",""fi"")"),"Se sulattaa maaperästä löytyviä raudan ja muiden metallien hiukkasia, jotta se voi imeä ne sulaan teräsrunkoonsa.")</f>
        <v>Se sulattaa maaperästä löytyviä raudan ja muiden metallien hiukkasia, jotta se voi imeä ne sulaan teräsrunkoonsa.</v>
      </c>
      <c r="C8771" s="9" t="s">
        <v>1344</v>
      </c>
    </row>
    <row r="8772" ht="33.75" customHeight="1">
      <c r="A8772" s="6" t="s">
        <v>12924</v>
      </c>
      <c r="B8772" s="6" t="str">
        <f>IFERROR(__xludf.DUMMYFUNCTION("GOOGLETRANSLATE(A8772,""en"",""fi"")"),"Se liuottaa ja syö metallia. Se tuottaa energiaa kiertämällä nestemäistä metallia kehossaan.")</f>
        <v>Se liuottaa ja syö metallia. Se tuottaa energiaa kiertämällä nestemäistä metallia kehossaan.</v>
      </c>
      <c r="C8772" s="9" t="s">
        <v>1344</v>
      </c>
    </row>
    <row r="8773" ht="33.75" customHeight="1">
      <c r="A8773" s="6" t="s">
        <v>12925</v>
      </c>
      <c r="B8773" s="6" t="str">
        <f>IFERROR(__xludf.DUMMYFUNCTION("GOOGLETRANSLATE(A8773,""en"",""fi"")"),"He elävät ryhmänä, mutta kun aika koittaa, yksi vahva Meltan imee itseensä kaikki muut ja kehittyy.")</f>
        <v>He elävät ryhmänä, mutta kun aika koittaa, yksi vahva Meltan imee itseensä kaikki muut ja kehittyy.</v>
      </c>
      <c r="C8773" s="9" t="s">
        <v>1344</v>
      </c>
    </row>
    <row r="8774" ht="33.75" customHeight="1">
      <c r="A8774" s="6" t="s">
        <v>12927</v>
      </c>
      <c r="B8774" s="6" t="str">
        <f>IFERROR(__xludf.DUMMYFUNCTION("GOOGLETRANSLATE(A8774,""en"",""fi"")"),"Kauan sitten sen kyvystä luoda rautaa tyhjästä kunnioitettiin sitä, mutta jostain syystä se on herännyt henkiin 3 000 vuoden jälkeen.")</f>
        <v>Kauan sitten sen kyvystä luoda rautaa tyhjästä kunnioitettiin sitä, mutta jostain syystä se on herännyt henkiin 3 000 vuoden jälkeen.</v>
      </c>
      <c r="C8774" s="9" t="s">
        <v>1344</v>
      </c>
    </row>
    <row r="8775" ht="33.75" customHeight="1">
      <c r="A8775" s="6" t="s">
        <v>12928</v>
      </c>
      <c r="B8775" s="6" t="str">
        <f>IFERROR(__xludf.DUMMYFUNCTION("GOOGLETRANSLATE(A8775,""en"",""fi"")"),"Elinikänsä lopussa Melmetal ruostuu ja hajoaa. Jäljelle jääneet pienet sirpaleet syntyvät lopulta uudelleen Meltanina.")</f>
        <v>Elinikänsä lopussa Melmetal ruostuu ja hajoaa. Jäljelle jääneet pienet sirpaleet syntyvät lopulta uudelleen Meltanina.</v>
      </c>
      <c r="C8775" s="9" t="s">
        <v>1344</v>
      </c>
    </row>
    <row r="8776" ht="33.75" customHeight="1">
      <c r="A8776" s="6" t="s">
        <v>12930</v>
      </c>
      <c r="B8776" s="6" t="str">
        <f>IFERROR(__xludf.DUMMYFUNCTION("GOOGLETRANSLATE(A8776,""en"",""fi"")"),"Melmetalin raskaiden kuusiokolokäsivarsien iskujen taustalla on keskipakoisvoima. Melmetalin sanotaan antavan kaikista Pokémoneista voimakkaimmat iskut.")</f>
        <v>Melmetalin raskaiden kuusiokolokäsivarsien iskujen taustalla on keskipakoisvoima. Melmetalin sanotaan antavan kaikista Pokémoneista voimakkaimmat iskut.</v>
      </c>
      <c r="C8776" s="9" t="s">
        <v>1344</v>
      </c>
    </row>
    <row r="8777" ht="33.75" customHeight="1">
      <c r="A8777" s="6" t="s">
        <v>12932</v>
      </c>
      <c r="B8777" s="6" t="str">
        <f>IFERROR(__xludf.DUMMYFUNCTION("GOOGLETRANSLATE(A8777,""en"",""fi"")"),"Kun se käyttää erityistä keppiään tahdin käynnistämiseen, tuotetut ääniaallot kuljettavat elvyttävää energiaa alueen kasveihin ja kukkiin.")</f>
        <v>Kun se käyttää erityistä keppiään tahdin käynnistämiseen, tuotetut ääniaallot kuljettavat elvyttävää energiaa alueen kasveihin ja kukkiin.</v>
      </c>
      <c r="C8777" s="9" t="s">
        <v>1344</v>
      </c>
    </row>
    <row r="8778" ht="33.75" customHeight="1">
      <c r="A8778" s="6" t="s">
        <v>12933</v>
      </c>
      <c r="B8778" s="6" t="str">
        <f>IFERROR(__xludf.DUMMYFUNCTION("GOOGLETRANSLATE(A8778,""en"",""fi"")"),"Se hyökkää nopeilla kepiniskuilla. Iskuessaan hämmästyttävällä nopeudella se saa yhä enemmän energiaa.")</f>
        <v>Se hyökkää nopeilla kepiniskuilla. Iskuessaan hämmästyttävällä nopeudella se saa yhä enemmän energiaa.</v>
      </c>
      <c r="C8778" s="9" t="s">
        <v>1344</v>
      </c>
    </row>
    <row r="8779" ht="33.75" customHeight="1">
      <c r="A8779" s="6" t="s">
        <v>12934</v>
      </c>
      <c r="B8779" s="6" t="str">
        <f>IFERROR(__xludf.DUMMYFUNCTION("GOOGLETRANSLATE(A8779,""en"",""fi"")"),"Mitä nopeammin Thwackey pystyy lyömään rytmin kahdella kepillään, sitä enemmän kunnioitusta se saa tovereiltaan.")</f>
        <v>Mitä nopeammin Thwackey pystyy lyömään rytmin kahdella kepillään, sitä enemmän kunnioitusta se saa tovereiltaan.</v>
      </c>
      <c r="C8779" s="9" t="s">
        <v>1344</v>
      </c>
    </row>
    <row r="8780" ht="33.75" customHeight="1">
      <c r="A8780" s="6" t="s">
        <v>12938</v>
      </c>
      <c r="B8780" s="6" t="str">
        <f>IFERROR(__xludf.DUMMYFUNCTION("GOOGLETRANSLATE(A8780,""en"",""fi"")"),"Kun se rummuttelee nopeita iskuja taistelussa, se uppoutuu rytmiin niin paljon, ettei se edes huomaa tyrmänneensä vastustajansa.")</f>
        <v>Kun se rummuttelee nopeita iskuja taistelussa, se uppoutuu rytmiin niin paljon, ettei se edes huomaa tyrmänneensä vastustajansa.</v>
      </c>
      <c r="C8780" s="9" t="s">
        <v>1344</v>
      </c>
    </row>
    <row r="8781" ht="33.75" customHeight="1">
      <c r="A8781" s="6" t="s">
        <v>12941</v>
      </c>
      <c r="B8781" s="6" t="str">
        <f>IFERROR(__xludf.DUMMYFUNCTION("GOOGLETRANSLATE(A8781,""en"",""fi"")"),"Rumpuja nyökkäämällä se hyödyntää erityisen puunkannon voimaa. Kannon juuret seuraavat sen suuntaa taistelussa.")</f>
        <v>Rumpuja nyökkäämällä se hyödyntää erityisen puunkannon voimaa. Kannon juuret seuraavat sen suuntaa taistelussa.</v>
      </c>
      <c r="C8781" s="9" t="s">
        <v>1344</v>
      </c>
    </row>
    <row r="8782" ht="33.75" customHeight="1">
      <c r="A8782" s="6" t="s">
        <v>12943</v>
      </c>
      <c r="B8782" s="6" t="str">
        <f>IFERROR(__xludf.DUMMYFUNCTION("GOOGLETRANSLATE(A8782,""en"",""fi"")"),"Parhaan rumputekniikan hallitsevasta tulee ryhmän pomo. Hänellä on lempeä luonne ja hän arvostaa harmoniaa ryhmänsä sisällä.")</f>
        <v>Parhaan rumputekniikan hallitsevasta tulee ryhmän pomo. Hänellä on lempeä luonne ja hän arvostaa harmoniaa ryhmänsä sisällä.</v>
      </c>
      <c r="C8782" s="9" t="s">
        <v>1344</v>
      </c>
    </row>
    <row r="8783" ht="33.75" customHeight="1">
      <c r="A8783" s="6" t="s">
        <v>12945</v>
      </c>
      <c r="B8783" s="6" t="str">
        <f>IFERROR(__xludf.DUMMYFUNCTION("GOOGLETRANSLATE(A8783,""en"",""fi"")"),"Juoksemalla tehtävä lämmittely saa tulienergian virtaamaan tämän Pokémonin kehossa. Kun se tapahtuu, se on valmis taistelemaan täydellä teholla.")</f>
        <v>Juoksemalla tehtävä lämmittely saa tulienergian virtaamaan tämän Pokémonin kehossa. Kun se tapahtuu, se on valmis taistelemaan täydellä teholla.</v>
      </c>
      <c r="C8783" s="9" t="s">
        <v>1344</v>
      </c>
    </row>
    <row r="8784" ht="33.75" customHeight="1">
      <c r="A8784" s="6" t="s">
        <v>12947</v>
      </c>
      <c r="B8784" s="6" t="str">
        <f>IFERROR(__xludf.DUMMYFUNCTION("GOOGLETRANSLATE(A8784,""en"",""fi"")"),"Sillä on erityiset tyynyt tassujen takaosissa ja yksi kuonossa. Kun se on taisteluvalmiina, nämä tyynyt säteilevät valtavasti lämpöä.")</f>
        <v>Sillä on erityiset tyynyt tassujen takaosissa ja yksi kuonossa. Kun se on taisteluvalmiina, nämä tyynyt säteilevät valtavasti lämpöä.</v>
      </c>
      <c r="C8784" s="9" t="s">
        <v>1344</v>
      </c>
    </row>
    <row r="8785" ht="33.75" customHeight="1">
      <c r="A8785" s="6" t="s">
        <v>12949</v>
      </c>
      <c r="B8785" s="6" t="str">
        <f>IFERROR(__xludf.DUMMYFUNCTION("GOOGLETRANSLATE(A8785,""en"",""fi"")"),"Sen paksu ja pörröinen turkki suojaa sitä kylmältä ja mahdollistaa kuumempien tuliliikkeiden käytön.")</f>
        <v>Sen paksu ja pörröinen turkki suojaa sitä kylmältä ja mahdollistaa kuumempien tuliliikkeiden käytön.</v>
      </c>
      <c r="C8785" s="9" t="s">
        <v>1344</v>
      </c>
    </row>
    <row r="8786" ht="33.75" customHeight="1">
      <c r="A8786" s="6" t="s">
        <v>12950</v>
      </c>
      <c r="B8786" s="6" t="str">
        <f>IFERROR(__xludf.DUMMYFUNCTION("GOOGLETRANSLATE(A8786,""en"",""fi"")"),"Se potkailee marjoja suoraan puiden oksilta ja jonglööraa niitä sitten jaloillaan harjoitellen jalkatyötään.")</f>
        <v>Se potkailee marjoja suoraan puiden oksilta ja jonglööraa niitä sitten jaloillaan harjoitellen jalkatyötään.</v>
      </c>
      <c r="C8786" s="9" t="s">
        <v>1344</v>
      </c>
    </row>
    <row r="8787" ht="33.75" customHeight="1">
      <c r="A8787" s="6" t="s">
        <v>12951</v>
      </c>
      <c r="B8787" s="6" t="str">
        <f>IFERROR(__xludf.DUMMYFUNCTION("GOOGLETRANSLATE(A8787,""en"",""fi"")"),"Se jonglööraa kiveä jaloillaan muuttaen sen palavaksi jalkapalloksi. Sen laukaukset osuvat vastustajiin lujaa ja polttavat heidät.")</f>
        <v>Se jonglööraa kiveä jaloillaan muuttaen sen palavaksi jalkapalloksi. Sen laukaukset osuvat vastustajiin lujaa ja polttavat heidät.</v>
      </c>
      <c r="C8787" s="9" t="s">
        <v>1344</v>
      </c>
    </row>
    <row r="8788" ht="33.75" customHeight="1">
      <c r="A8788" s="6" t="s">
        <v>12952</v>
      </c>
      <c r="B8788" s="6" t="str">
        <f>IFERROR(__xludf.DUMMYFUNCTION("GOOGLETRANSLATE(A8788,""en"",""fi"")"),"Se on taitava sekä hyökkäyksessä että puolustuksessa, ja se saa energiaa kannustuksesta. Mutta jos se alkaa näyttäytyä, se voi joutua vaikeaan tilanteeseen.")</f>
        <v>Se on taitava sekä hyökkäyksessä että puolustuksessa, ja se saa energiaa kannustuksesta. Mutta jos se alkaa näyttäytyä, se voi joutua vaikeaan tilanteeseen.</v>
      </c>
      <c r="C8788" s="9" t="s">
        <v>1344</v>
      </c>
    </row>
    <row r="8789" ht="33.75" customHeight="1">
      <c r="A8789" s="6" t="s">
        <v>12954</v>
      </c>
      <c r="B8789" s="6" t="str">
        <f>IFERROR(__xludf.DUMMYFUNCTION("GOOGLETRANSLATE(A8789,""en"",""fi"")"),"Pelästyessään tämä Pokémon itkee. Sen kyyneleet ovat kemiallisesti yhtä tehokkaita kuin 100 sipulia, eivätkä hyökkääjät pysty vastustamaan itkua.")</f>
        <v>Pelästyessään tämä Pokémon itkee. Sen kyyneleet ovat kemiallisesti yhtä tehokkaita kuin 100 sipulia, eivätkä hyökkääjät pysty vastustamaan itkua.</v>
      </c>
      <c r="C8789" s="9" t="s">
        <v>1344</v>
      </c>
    </row>
    <row r="8790" ht="33.75" customHeight="1">
      <c r="A8790" s="6" t="s">
        <v>12955</v>
      </c>
      <c r="B8790" s="6" t="str">
        <f>IFERROR(__xludf.DUMMYFUNCTION("GOOGLETRANSLATE(A8790,""en"",""fi"")"),"Kastuessaan sen iho vaihtaa väriä, ja tästä Pokémonista tulee näkymätön ikään kuin se olisi naamioitu.")</f>
        <v>Kastuessaan sen iho vaihtaa väriä, ja tästä Pokémonista tulee näkymätön ikään kuin se olisi naamioitu.</v>
      </c>
      <c r="C8790" s="9" t="s">
        <v>1344</v>
      </c>
    </row>
    <row r="8791" ht="33.75" customHeight="1">
      <c r="A8791" s="6" t="s">
        <v>12957</v>
      </c>
      <c r="B8791" s="6" t="str">
        <f>IFERROR(__xludf.DUMMYFUNCTION("GOOGLETRANSLATE(A8791,""en"",""fi"")"),"Tämä Pokémon on nokkela taistelija, joka taistelee käyttämällä vesipalloja, jotka on luotu sen kämmenistä erittyvästä kosteudesta.")</f>
        <v>Tämä Pokémon on nokkela taistelija, joka taistelee käyttämällä vesipalloja, jotka on luotu sen kämmenistä erittyvästä kosteudesta.</v>
      </c>
      <c r="C8791" s="9" t="s">
        <v>1344</v>
      </c>
    </row>
    <row r="8792" ht="33.75" customHeight="1">
      <c r="A8792" s="6" t="s">
        <v>12958</v>
      </c>
      <c r="B8792" s="6" t="str">
        <f>IFERROR(__xludf.DUMMYFUNCTION("GOOGLETRANSLATE(A8792,""en"",""fi"")"),"Erittäin älykäs mutta myös hyvin laiska, se pitää viholliset poissa reviiriltään asettamalla ansoja kaikkialle.")</f>
        <v>Erittäin älykäs mutta myös hyvin laiska, se pitää viholliset poissa reviiriltään asettamalla ansoja kaikkialle.</v>
      </c>
      <c r="C8792" s="9" t="s">
        <v>1344</v>
      </c>
    </row>
    <row r="8793" ht="33.75" customHeight="1">
      <c r="A8793" s="6" t="s">
        <v>12959</v>
      </c>
      <c r="B8793" s="6" t="str">
        <f>IFERROR(__xludf.DUMMYFUNCTION("GOOGLETRANSLATE(A8793,""en"",""fi"")"),"Sillä on monia piilotettuja ominaisuuksia, kuten sormenpäät, joilla se voi ampua vettä, ja selässä oleva kalvo, jota se voi käyttää liukumiseen ilmassa.")</f>
        <v>Sillä on monia piilotettuja ominaisuuksia, kuten sormenpäät, joilla se voi ampua vettä, ja selässä oleva kalvo, jota se voi käyttää liukumiseen ilmassa.</v>
      </c>
      <c r="C8793" s="9" t="s">
        <v>1344</v>
      </c>
    </row>
    <row r="8794" ht="33.75" customHeight="1">
      <c r="A8794" s="6" t="s">
        <v>12960</v>
      </c>
      <c r="B8794" s="6" t="str">
        <f>IFERROR(__xludf.DUMMYFUNCTION("GOOGLETRANSLATE(A8794,""en"",""fi"")"),"Sen vilkkukalvot antavat sen tunnistaa vihollisten heikot kohdat, jotta se voi ampua niitä tarkasti sormenpäistään Mach 3 -nopeudella suihkuavalla vedellä.")</f>
        <v>Sen vilkkukalvot antavat sen tunnistaa vihollisten heikot kohdat, jotta se voi ampua niitä tarkasti sormenpäistään Mach 3 -nopeudella suihkuavalla vedellä.</v>
      </c>
      <c r="C8794" s="9" t="s">
        <v>1344</v>
      </c>
    </row>
    <row r="8795" ht="33.75" customHeight="1">
      <c r="A8795" s="6" t="s">
        <v>12961</v>
      </c>
      <c r="B8795" s="6" t="str">
        <f>IFERROR(__xludf.DUMMYFUNCTION("GOOGLETRANSLATE(A8795,""en"",""fi"")"),"Tätä Galarin alueella esiintyvää Pokémonia vaivaa, jos sen posket ovat kokonaan tyhjät marjoista.")</f>
        <v>Tätä Galarin alueella esiintyvää Pokémonia vaivaa, jos sen posket ovat kokonaan tyhjät marjoista.</v>
      </c>
      <c r="C8795" s="9" t="s">
        <v>1344</v>
      </c>
    </row>
    <row r="8796" ht="33.75" customHeight="1">
      <c r="A8796" s="6" t="s">
        <v>12963</v>
      </c>
      <c r="B8796" s="6" t="str">
        <f>IFERROR(__xludf.DUMMYFUNCTION("GOOGLETRANSLATE(A8796,""en"",""fi"")"),"Se syö marjoja taukoamatta – tapa, joka on tehnyt siitä sitkeämmän kuin miltä se näyttää. Se ilmestyy maatiloille etsimään lisää marjoja.")</f>
        <v>Se syö marjoja taukoamatta – tapa, joka on tehnyt siitä sitkeämmän kuin miltä se näyttää. Se ilmestyy maatiloille etsimään lisää marjoja.</v>
      </c>
      <c r="C8796" s="9" t="s">
        <v>1344</v>
      </c>
    </row>
    <row r="8797" ht="33.75" customHeight="1">
      <c r="A8797" s="6" t="s">
        <v>12964</v>
      </c>
      <c r="B8797" s="6" t="str">
        <f>IFERROR(__xludf.DUMMYFUNCTION("GOOGLETRANSLATE(A8797,""en"",""fi"")"),"Se kätkee marjoja pyrstöönsä – niin paljon marjoja, että ne putoavat ulos jatkuvasti. Mutta tämä Pokémon on hieman hidasälyinen, joten se ei huomaa niiden katoamista.")</f>
        <v>Se kätkee marjoja pyrstöönsä – niin paljon marjoja, että ne putoavat ulos jatkuvasti. Mutta tämä Pokémon on hieman hidasälyinen, joten se ei huomaa niiden katoamista.</v>
      </c>
      <c r="C8797" s="9" t="s">
        <v>1344</v>
      </c>
    </row>
    <row r="8798" ht="33.75" customHeight="1">
      <c r="A8798" s="6" t="s">
        <v>12965</v>
      </c>
      <c r="B8798" s="6" t="str">
        <f>IFERROR(__xludf.DUMMYFUNCTION("GOOGLETRANSLATE(A8798,""en"",""fi"")"),"Galarin alueella yleinen Pokémon, jolla on vahvat hampaat ja joka voi pureskella läpi kovimpienkin marjojen kuorien.")</f>
        <v>Galarin alueella yleinen Pokémon, jolla on vahvat hampaat ja joka voi pureskella läpi kovimpienkin marjojen kuorien.</v>
      </c>
      <c r="C8798" s="9" t="s">
        <v>1344</v>
      </c>
    </row>
    <row r="8799" ht="33.75" customHeight="1">
      <c r="A8799" s="6" t="s">
        <v>12966</v>
      </c>
      <c r="B8799" s="6" t="str">
        <f>IFERROR(__xludf.DUMMYFUNCTION("GOOGLETRANSLATE(A8799,""en"",""fi"")"),"Se haastaa rohkeasti minkä tahansa vastustajan, olipa tämä kuinka voimakas tahansa. Tämä Pokémon hyötyy jokaisesta taistelusta – jopa tappio lisää sen voimaa hieman.")</f>
        <v>Se haastaa rohkeasti minkä tahansa vastustajan, olipa tämä kuinka voimakas tahansa. Tämä Pokémon hyötyy jokaisesta taistelusta – jopa tappio lisää sen voimaa hieman.</v>
      </c>
      <c r="C8799" s="9" t="s">
        <v>1344</v>
      </c>
    </row>
    <row r="8800" ht="33.75" customHeight="1">
      <c r="A8800" s="6" t="s">
        <v>12968</v>
      </c>
      <c r="B8800" s="6" t="str">
        <f>IFERROR(__xludf.DUMMYFUNCTION("GOOGLETRANSLATE(A8800,""en"",""fi"")"),"Ketterästi hyppivä pienikokoinen Pokémon hyödyntää pienimmätkin tilaisuudet hämmentääkseen suurempia vastustajia.")</f>
        <v>Ketterästi hyppivä pienikokoinen Pokémon hyödyntää pienimmätkin tilaisuudet hämmentääkseen suurempia vastustajia.</v>
      </c>
      <c r="C8800" s="9" t="s">
        <v>1344</v>
      </c>
    </row>
    <row r="8801" ht="33.75" customHeight="1">
      <c r="A8801" s="6" t="s">
        <v>12969</v>
      </c>
      <c r="B8801" s="6" t="str">
        <f>IFERROR(__xludf.DUMMYFUNCTION("GOOGLETRANSLATE(A8801,""en"",""fi"")"),"Nämä Pokémonit ovat tarpeeksi älykkäitä käyttämään työkaluja taistelussa, ja heidän on nähty poimivan kiviä ja heittelevän niitä tai käyttävän köysiä vihollisten käärimiseen.")</f>
        <v>Nämä Pokémonit ovat tarpeeksi älykkäitä käyttämään työkaluja taistelussa, ja heidän on nähty poimivan kiviä ja heittelevän niitä tai käyttävän köysiä vihollisten käärimiseen.</v>
      </c>
      <c r="C8801" s="9" t="s">
        <v>1344</v>
      </c>
    </row>
    <row r="8802" ht="33.75" customHeight="1">
      <c r="A8802" s="6" t="s">
        <v>12971</v>
      </c>
      <c r="B8802" s="6" t="str">
        <f>IFERROR(__xludf.DUMMYFUNCTION("GOOGLETRANSLATE(A8802,""en"",""fi"")"),"Monien ankarien taisteluiden opetukset ovat opettaneet sille, miten vastustajan vahvuus arvioidaan tarkasti.")</f>
        <v>Monien ankarien taisteluiden opetukset ovat opettaneet sille, miten vastustajan vahvuus arvioidaan tarkasti.</v>
      </c>
      <c r="C8802" s="9" t="s">
        <v>1344</v>
      </c>
    </row>
    <row r="8803" ht="33.75" customHeight="1">
      <c r="A8803" s="6" t="s">
        <v>12974</v>
      </c>
      <c r="B8803" s="6" t="str">
        <f>IFERROR(__xludf.DUMMYFUNCTION("GOOGLETRANSLATE(A8803,""en"",""fi"")"),"Tämä Pokémon hallitsee Galarin alueen taivaita. Sen teräsrungon musta kiilto voi ajaa kauhun minkä tahansa vihollisen sydämeen.")</f>
        <v>Tämä Pokémon hallitsee Galarin alueen taivaita. Sen teräsrungon musta kiilto voi ajaa kauhun minkä tahansa vihollisen sydämeen.</v>
      </c>
      <c r="C8803" s="9" t="s">
        <v>1344</v>
      </c>
    </row>
    <row r="8804" ht="33.75" customHeight="1">
      <c r="A8804" s="6" t="s">
        <v>12976</v>
      </c>
      <c r="B8804" s="6" t="str">
        <f>IFERROR(__xludf.DUMMYFUNCTION("GOOGLETRANSLATE(A8804,""en"",""fi"")"),"Suuren älykkyytensä ja lentokykyjensä ansiosta nämä Pokémonit toimivat erittäin menestyksekkäästi Galarin alueen ilmataksinapalveluina.")</f>
        <v>Suuren älykkyytensä ja lentokykyjensä ansiosta nämä Pokémonit toimivat erittäin menestyksekkäästi Galarin alueen ilmataksinapalveluina.</v>
      </c>
      <c r="C8804" s="9" t="s">
        <v>1344</v>
      </c>
    </row>
    <row r="8805" ht="33.75" customHeight="1">
      <c r="A8805" s="6" t="s">
        <v>12977</v>
      </c>
      <c r="B8805" s="6" t="str">
        <f>IFERROR(__xludf.DUMMYFUNCTION("GOOGLETRANSLATE(A8805,""en"",""fi"")"),"Jatkuva tiedonkerääjänä tämä Pokémon on erittäin älykäs. Erittäin vahva se ei kuitenkaan ole.")</f>
        <v>Jatkuva tiedonkerääjänä tämä Pokémon on erittäin älykäs. Erittäin vahva se ei kuitenkaan ole.</v>
      </c>
      <c r="C8805" s="9" t="s">
        <v>1344</v>
      </c>
    </row>
    <row r="8806" ht="33.75" customHeight="1">
      <c r="A8806" s="6" t="s">
        <v>12979</v>
      </c>
      <c r="B8806" s="6" t="str">
        <f>IFERROR(__xludf.DUMMYFUNCTION("GOOGLETRANSLATE(A8806,""en"",""fi"")"),"Usein puutarhoissa tavattavalla Pokémonilla on kehossaan karvoja, joita se käyttää ympäristönsä arvioimiseen.")</f>
        <v>Usein puutarhoissa tavattavalla Pokémonilla on kehossaan karvoja, joita se käyttää ympäristönsä arvioimiseen.</v>
      </c>
      <c r="C8806" s="9" t="s">
        <v>1344</v>
      </c>
    </row>
    <row r="8807" ht="33.75" customHeight="1">
      <c r="A8807" s="6" t="s">
        <v>12982</v>
      </c>
      <c r="B8807" s="6" t="str">
        <f>IFERROR(__xludf.DUMMYFUNCTION("GOOGLETRANSLATE(A8807,""en"",""fi"")"),"Se tuskin liikkuu, mutta on silti elossa. Piiloutuminen kuoressaan ilman ruokaa tai vettä näyttää herättäneen sen psyykkiset voimat.")</f>
        <v>Se tuskin liikkuu, mutta on silti elossa. Piiloutuminen kuoressaan ilman ruokaa tai vettä näyttää herättäneen sen psyykkiset voimat.</v>
      </c>
      <c r="C8807" s="9" t="s">
        <v>1344</v>
      </c>
    </row>
    <row r="8808" ht="33.75" customHeight="1">
      <c r="A8808" s="6" t="s">
        <v>12984</v>
      </c>
      <c r="B8808" s="6" t="str">
        <f>IFERROR(__xludf.DUMMYFUNCTION("GOOGLETRANSLATE(A8808,""en"",""fi"")"),"Kasvaessaan kuorensa sisällä se käyttää psyykkisiä kykyjään ulkomaailman tarkkailuun ja evoluutioon valmistautumiseen.")</f>
        <v>Kasvaessaan kuorensa sisällä se käyttää psyykkisiä kykyjään ulkomaailman tarkkailuun ja evoluutioon valmistautumiseen.</v>
      </c>
      <c r="C8808" s="9" t="s">
        <v>1344</v>
      </c>
    </row>
    <row r="8809" ht="33.75" customHeight="1">
      <c r="A8809" s="6" t="s">
        <v>12986</v>
      </c>
      <c r="B8809" s="6" t="str">
        <f>IFERROR(__xludf.DUMMYFUNCTION("GOOGLETRANSLATE(A8809,""en"",""fi"")"),"Se on kuuluisa korkeasta älykkyydestään, ja sen aivojen suuri koko on todiste siitä, että sillä on myös valtava psyykkinen voima.")</f>
        <v>Se on kuuluisa korkeasta älykkyydestään, ja sen aivojen suuri koko on todiste siitä, että sillä on myös valtava psyykkinen voima.</v>
      </c>
      <c r="C8809" s="9" t="s">
        <v>1344</v>
      </c>
    </row>
    <row r="8810" ht="33.75" customHeight="1">
      <c r="A8810" s="6" t="s">
        <v>12988</v>
      </c>
      <c r="B8810" s="6" t="str">
        <f>IFERROR(__xludf.DUMMYFUNCTION("GOOGLETRANSLATE(A8810,""en"",""fi"")"),"Se säteilee psyykkistä energiaa havainnoidakseen ja tutkiakseen ympäristöään – ja sen ympäristö voi sisältää yli kuuden mailin päässä olevia asioita.")</f>
        <v>Se säteilee psyykkistä energiaa havainnoidakseen ja tutkiakseen ympäristöään – ja sen ympäristö voi sisältää yli kuuden mailin päässä olevia asioita.</v>
      </c>
      <c r="C8810" s="9" t="s">
        <v>1344</v>
      </c>
    </row>
    <row r="8811" ht="33.75" customHeight="1">
      <c r="A8811" s="6" t="s">
        <v>12989</v>
      </c>
      <c r="B8811" s="6" t="str">
        <f>IFERROR(__xludf.DUMMYFUNCTION("GOOGLETRANSLATE(A8811,""en"",""fi"")"),"Pehmeiden tassujensa avulla se ryöstää äänettömästi muiden Pokémonien ruokavarastoja. Se selviytyy epäreilusti hankkimillaan saaliilla.")</f>
        <v>Pehmeiden tassujensa avulla se ryöstää äänettömästi muiden Pokémonien ruokavarastoja. Se selviytyy epäreilusti hankkimillaan saaliilla.</v>
      </c>
      <c r="C8811" s="9" t="s">
        <v>1344</v>
      </c>
    </row>
    <row r="8812" ht="33.75" customHeight="1">
      <c r="A8812" s="6" t="s">
        <v>12991</v>
      </c>
      <c r="B8812" s="6" t="str">
        <f>IFERROR(__xludf.DUMMYFUNCTION("GOOGLETRANSLATE(A8812,""en"",""fi"")"),"Tämä viekas ja varovainen Pokémon selviää varastamalla ruokaa muilta. Se pyyhkii jälkensä pois hännänheilautuksilla lähtiessään karkuun saaliinsa kanssa.")</f>
        <v>Tämä viekas ja varovainen Pokémon selviää varastamalla ruokaa muilta. Se pyyhkii jälkensä pois hännänheilautuksilla lähtiessään karkuun saaliinsa kanssa.</v>
      </c>
      <c r="C8812" s="9" t="s">
        <v>1344</v>
      </c>
    </row>
    <row r="8813" ht="33.75" customHeight="1">
      <c r="A8813" s="6" t="s">
        <v>12992</v>
      </c>
      <c r="B8813" s="6" t="str">
        <f>IFERROR(__xludf.DUMMYFUNCTION("GOOGLETRANSLATE(A8813,""en"",""fi"")"),"Se merkitsee salaa potentiaaliset kohteet hajulla. Seuraamalla hajua se vaanii kohteitaan ja varastaa heiltä juuri silloin, kun he sitä vähiten odottavat.")</f>
        <v>Se merkitsee salaa potentiaaliset kohteet hajulla. Seuraamalla hajua se vaanii kohteitaan ja varastaa heiltä juuri silloin, kun he sitä vähiten odottavat.</v>
      </c>
      <c r="C8813" s="9" t="s">
        <v>1344</v>
      </c>
    </row>
    <row r="8814" ht="33.75" customHeight="1">
      <c r="A8814" s="6" t="s">
        <v>12993</v>
      </c>
      <c r="B8814" s="6" t="str">
        <f>IFERROR(__xludf.DUMMYFUNCTION("GOOGLETRANSLATE(A8814,""en"",""fi"")"),"Notkean ruumiinsa ja terävien kynsiensä ansiosta se kulkee ympäriinsä varastaen ruokaa ja munia. Boltund on sen luontainen vihollinen.")</f>
        <v>Notkean ruumiinsa ja terävien kynsiensä ansiosta se kulkee ympäriinsä varastaen ruokaa ja munia. Boltund on sen luontainen vihollinen.</v>
      </c>
      <c r="C8814" s="9" t="s">
        <v>1344</v>
      </c>
    </row>
    <row r="8815" ht="33.75" customHeight="1">
      <c r="A8815" s="6" t="s">
        <v>12995</v>
      </c>
      <c r="B8815" s="6" t="str">
        <f>IFERROR(__xludf.DUMMYFUNCTION("GOOGLETRANSLATE(A8815,""en"",""fi"")"),"Se ankkuroi itsensä maahan yhdellä jalallaan ja paistattelee sitten auringossa. Saatuaan riittävästi auringonvaloa sen terälehdet leviävät ja se kukkii loistokkaasti.")</f>
        <v>Se ankkuroi itsensä maahan yhdellä jalallaan ja paistattelee sitten auringossa. Saatuaan riittävästi auringonvaloa sen terälehdet leviävät ja se kukkii loistokkaasti.</v>
      </c>
      <c r="C8815" s="9" t="s">
        <v>1344</v>
      </c>
    </row>
    <row r="8816" ht="33.75" customHeight="1">
      <c r="A8816" s="6" t="s">
        <v>12996</v>
      </c>
      <c r="B8816" s="6" t="str">
        <f>IFERROR(__xludf.DUMMYFUNCTION("GOOGLETRANSLATE(A8816,""en"",""fi"")"),"Se pyörii tuulessa laulaen iloista laulua. Tämä ihastuttava esitys on hurmannut monia kasvattamaan tämän Pokémonin.")</f>
        <v>Se pyörii tuulessa laulaen iloista laulua. Tämä ihastuttava esitys on hurmannut monia kasvattamaan tämän Pokémonin.</v>
      </c>
      <c r="C8816" s="9" t="s">
        <v>1344</v>
      </c>
    </row>
    <row r="8817" ht="33.75" customHeight="1">
      <c r="A8817" s="6" t="s">
        <v>12997</v>
      </c>
      <c r="B8817" s="6" t="str">
        <f>IFERROR(__xludf.DUMMYFUNCTION("GOOGLETRANSLATE(A8817,""en"",""fi"")"),"Sen puuvillanöyhtään kiinnittyneet siemenet ovat täynnä ravinteita. Se levittää niitä tuulen mukana, jotta kasvit ja muut Pokémonit voivat hyötyä niistä.")</f>
        <v>Sen puuvillanöyhtään kiinnittyneet siemenet ovat täynnä ravinteita. Se levittää niitä tuulen mukana, jotta kasvit ja muut Pokémonit voivat hyötyä niistä.</v>
      </c>
      <c r="C8817" s="9" t="s">
        <v>1344</v>
      </c>
    </row>
    <row r="8818" ht="33.75" customHeight="1">
      <c r="A8818" s="6" t="s">
        <v>12999</v>
      </c>
      <c r="B8818" s="6" t="str">
        <f>IFERROR(__xludf.DUMMYFUNCTION("GOOGLETRANSLATE(A8818,""en"",""fi"")"),"Tämän Pokémonin päässä olevasta puuvillasta voidaan kehrätä kiiltävää, upeaa lankaa – Galarin alueellista erikoisuutta.")</f>
        <v>Tämän Pokémonin päässä olevasta puuvillasta voidaan kehrätä kiiltävää, upeaa lankaa – Galarin alueellista erikoisuutta.</v>
      </c>
      <c r="C8818" s="9" t="s">
        <v>1344</v>
      </c>
    </row>
    <row r="8819" ht="33.75" customHeight="1">
      <c r="A8819" s="6" t="s">
        <v>13000</v>
      </c>
      <c r="B8819" s="6" t="str">
        <f>IFERROR(__xludf.DUMMYFUNCTION("GOOGLETRANSLATE(A8819,""en"",""fi"")"),"Sen kihara fleece on niin tehokas tyyny, että tämä Pokémon voi pudota kalliolta ja nousta takaisin alhaalta vahingoittumattomana.")</f>
        <v>Sen kihara fleece on niin tehokas tyyny, että tämä Pokémon voi pudota kalliolta ja nousta takaisin alhaalta vahingoittumattomana.</v>
      </c>
      <c r="C8819" s="9" t="s">
        <v>1344</v>
      </c>
    </row>
    <row r="8820" ht="33.75" customHeight="1">
      <c r="A8820" s="6" t="s">
        <v>13001</v>
      </c>
      <c r="B8820" s="6" t="str">
        <f>IFERROR(__xludf.DUMMYFUNCTION("GOOGLETRANSLATE(A8820,""en"",""fi"")"),"Jos sen fleece kasvaa liian pitkäksi, Wooloo ei pysty liikkumaan. Tämän Pokémonin villasta tehty kangas on yllättävän vahvaa.")</f>
        <v>Jos sen fleece kasvaa liian pitkäksi, Wooloo ei pysty liikkumaan. Tämän Pokémonin villasta tehty kangas on yllättävän vahvaa.</v>
      </c>
      <c r="C8820" s="9" t="s">
        <v>1344</v>
      </c>
    </row>
    <row r="8821" ht="33.75" customHeight="1">
      <c r="A8821" s="6" t="s">
        <v>13003</v>
      </c>
      <c r="B8821" s="6" t="str">
        <f>IFERROR(__xludf.DUMMYFUNCTION("GOOGLETRANSLATE(A8821,""en"",""fi"")"),"Kudo matto sen joustavasta villasta, niin saat jotain lähemmäs trampoliinia. Alat pomppia heti, kun astut sille.")</f>
        <v>Kudo matto sen joustavasta villasta, niin saat jotain lähemmäs trampoliinia. Alat pomppia heti, kun astut sille.</v>
      </c>
      <c r="C8821" s="9" t="s">
        <v>1344</v>
      </c>
    </row>
    <row r="8822" ht="33.75" customHeight="1">
      <c r="A8822" s="6" t="s">
        <v>13004</v>
      </c>
      <c r="B8822" s="6" t="str">
        <f>IFERROR(__xludf.DUMMYFUNCTION("GOOGLETRANSLATE(A8822,""en"",""fi"")"),"Sen majesteettiset sarvet on tarkoitettu vain tekemään vaikutus vastakkaiseen sukupuoleen. Niille ei koskaan ole käyttöä taistelussa.")</f>
        <v>Sen majesteettiset sarvet on tarkoitettu vain tekemään vaikutus vastakkaiseen sukupuoleen. Niille ei koskaan ole käyttöä taistelussa.</v>
      </c>
      <c r="C8822" s="9" t="s">
        <v>1344</v>
      </c>
    </row>
    <row r="8823" ht="33.75" customHeight="1">
      <c r="A8823" s="6" t="s">
        <v>13005</v>
      </c>
      <c r="B8823" s="6" t="str">
        <f>IFERROR(__xludf.DUMMYFUNCTION("GOOGLETRANSLATE(A8823,""en"",""fi"")"),"Ilmeisesti hampaiden puhkeamisen kutina ajaa sen napsahtamaan leukojaan kaikelle edessään olevalle.")</f>
        <v>Ilmeisesti hampaiden puhkeamisen kutina ajaa sen napsahtamaan leukojaan kaikelle edessään olevalle.</v>
      </c>
      <c r="C8823" s="9" t="s">
        <v>1344</v>
      </c>
    </row>
    <row r="8824" ht="33.75" customHeight="1">
      <c r="A8824" s="6" t="s">
        <v>13007</v>
      </c>
      <c r="B8824" s="6" t="str">
        <f>IFERROR(__xludf.DUMMYFUNCTION("GOOGLETRANSLATE(A8824,""en"",""fi"")"),"Se aloittaa taistelut hyökkäämällä kivikovalla sarvellaan, mutta heti kun vastustaja säpsähtää, tämä Pokémon puree alas eikä päästä irti.")</f>
        <v>Se aloittaa taistelut hyökkäämällä kivikovalla sarvellaan, mutta heti kun vastustaja säpsähtää, tämä Pokémon puree alas eikä päästä irti.</v>
      </c>
      <c r="C8824" s="9" t="s">
        <v>1344</v>
      </c>
    </row>
    <row r="8825" ht="33.75" customHeight="1">
      <c r="A8825" s="6" t="s">
        <v>13008</v>
      </c>
      <c r="B8825" s="6" t="str">
        <f>IFERROR(__xludf.DUMMYFUNCTION("GOOGLETRANSLATE(A8825,""en"",""fi"")"),"Terästankojen läpi katkaisevilla leuoillaan tämä erittäin aggressiivinen Pokémon jyrää epäonnista saalistaan.")</f>
        <v>Terästankojen läpi katkaisevilla leuoillaan tämä erittäin aggressiivinen Pokémon jyrää epäonnista saalistaan.</v>
      </c>
      <c r="C8825" s="9" t="s">
        <v>1344</v>
      </c>
    </row>
    <row r="8826" ht="33.75" customHeight="1">
      <c r="A8826" s="6" t="s">
        <v>13009</v>
      </c>
      <c r="B8826" s="6" t="str">
        <f>IFERROR(__xludf.DUMMYFUNCTION("GOOGLETRANSLATE(A8826,""en"",""fi"")"),"Tämä Pokémon ojentaa nopeasti sisäänvedettävän kaulansa upottaakseen terävät kulmahampaansa kaukaisiin vihollisiin ja kaataakseen ne.")</f>
        <v>Tämä Pokémon ojentaa nopeasti sisäänvedettävän kaulansa upottaakseen terävät kulmahampaansa kaukaisiin vihollisiin ja kaataakseen ne.</v>
      </c>
      <c r="C8826" s="9" t="s">
        <v>1344</v>
      </c>
    </row>
    <row r="8827" ht="33.75" customHeight="1">
      <c r="A8827" s="6" t="s">
        <v>13011</v>
      </c>
      <c r="B8827" s="6" t="str">
        <f>IFERROR(__xludf.DUMMYFUNCTION("GOOGLETRANSLATE(A8827,""en"",""fi"")"),"Tämä Pokémon on erittäin suosittu paimenkoira Galarin alueella. Juostessaan se tuottaa sähköä hännäntyvestä.")</f>
        <v>Tämä Pokémon on erittäin suosittu paimenkoira Galarin alueella. Juostessaan se tuottaa sähköä hännäntyvestä.</v>
      </c>
      <c r="C8827" s="9" t="s">
        <v>1344</v>
      </c>
    </row>
    <row r="8828" ht="33.75" customHeight="1">
      <c r="A8828" s="6" t="s">
        <v>13012</v>
      </c>
      <c r="B8828" s="6" t="str">
        <f>IFERROR(__xludf.DUMMYFUNCTION("GOOGLETRANSLATE(A8828,""en"",""fi"")"),"Tämä ahne Pokémon auttaa ihmisiä töissä vain, koska se haluaa herkkuja. Juostessaan se rätisee sähköstä.")</f>
        <v>Tämä ahne Pokémon auttaa ihmisiä töissä vain, koska se haluaa herkkuja. Juostessaan se rätisee sähköstä.</v>
      </c>
      <c r="C8828" s="9" t="s">
        <v>1344</v>
      </c>
    </row>
    <row r="8829" ht="33.75" customHeight="1">
      <c r="A8829" s="6" t="s">
        <v>13013</v>
      </c>
      <c r="B8829" s="6" t="str">
        <f>IFERROR(__xludf.DUMMYFUNCTION("GOOGLETRANSLATE(A8829,""en"",""fi"")"),"Tämä Pokémon tuottaa sähköä ja kanavoi sitä jalkoihinsa pitääkseen ne vahvoina. Boltund voi juosta tauotta kolme kokonaista päivää.")</f>
        <v>Tämä Pokémon tuottaa sähköä ja kanavoi sitä jalkoihinsa pitääkseen ne vahvoina. Boltund voi juosta tauotta kolme kokonaista päivää.</v>
      </c>
      <c r="C8829" s="9" t="s">
        <v>1344</v>
      </c>
    </row>
    <row r="8830" ht="33.75" customHeight="1">
      <c r="A8830" s="6" t="s">
        <v>13014</v>
      </c>
      <c r="B8830" s="6" t="str">
        <f>IFERROR(__xludf.DUMMYFUNCTION("GOOGLETRANSLATE(A8830,""en"",""fi"")"),"Se lähettää sähköä jalkojensa kautta lisätäkseen niiden voimaa. Huippunopeudella se saavuttaa helposti 80 km/h nopeuden.")</f>
        <v>Se lähettää sähköä jalkojensa kautta lisätäkseen niiden voimaa. Huippunopeudella se saavuttaa helposti 80 km/h nopeuden.</v>
      </c>
      <c r="C8830" s="9" t="s">
        <v>1344</v>
      </c>
    </row>
    <row r="8831" ht="33.75" customHeight="1">
      <c r="A8831" s="6" t="s">
        <v>13016</v>
      </c>
      <c r="B8831" s="6" t="str">
        <f>IFERROR(__xludf.DUMMYFUNCTION("GOOGLETRANSLATE(A8831,""en"",""fi"")"),"Suurin osa sen ruumiista on koostumukseltaan samaa kuin kivihiilellä. Sopivasti tämä Pokémon löydettiin ensimmäisen kerran hiilikaivoksista noin 400 vuotta sitten.")</f>
        <v>Suurin osa sen ruumiista on koostumukseltaan samaa kuin kivihiilellä. Sopivasti tämä Pokémon löydettiin ensimmäisen kerran hiilikaivoksista noin 400 vuotta sitten.</v>
      </c>
      <c r="C8831" s="9" t="s">
        <v>1344</v>
      </c>
    </row>
    <row r="8832" ht="33.75" customHeight="1">
      <c r="A8832" s="6" t="s">
        <v>13017</v>
      </c>
      <c r="B8832" s="6" t="str">
        <f>IFERROR(__xludf.DUMMYFUNCTION("GOOGLETRANSLATE(A8832,""en"",""fi"")"),"Se voi kiitää ympäriinsä kuin yksipyöräinen, jopa epätasaisessa, kivisessä maastossa. Hiilen palaminen pitää sen käynnissä.")</f>
        <v>Se voi kiitää ympäriinsä kuin yksipyöräinen, jopa epätasaisessa, kivisessä maastossa. Hiilen palaminen pitää sen käynnissä.</v>
      </c>
      <c r="C8832" s="9" t="s">
        <v>1344</v>
      </c>
    </row>
    <row r="8833" ht="33.75" customHeight="1">
      <c r="A8833" s="6" t="s">
        <v>13018</v>
      </c>
      <c r="B8833" s="6" t="str">
        <f>IFERROR(__xludf.DUMMYFUNCTION("GOOGLETRANSLATE(A8833,""en"",""fi"")"),"Se muodostaa hiiltä kehossaan. Tämän Pokémonin pudottama hiili auttoi aikoinaan ruokkimaan Galarin alueen ihmisten elämää.")</f>
        <v>Se muodostaa hiiltä kehossaan. Tämän Pokémonin pudottama hiili auttoi aikoinaan ruokkimaan Galarin alueen ihmisten elämää.</v>
      </c>
      <c r="C8833" s="9" t="s">
        <v>1344</v>
      </c>
    </row>
    <row r="8834" ht="33.75" customHeight="1">
      <c r="A8834" s="6" t="s">
        <v>13021</v>
      </c>
      <c r="B8834" s="6" t="str">
        <f>IFERROR(__xludf.DUMMYFUNCTION("GOOGLETRANSLATE(A8834,""en"",""fi"")"),"Nopeasti jalkojaan pyörittämällä se voi kulkea yli 29 km/h nopeudella. Sen hengittämien liekkien lämpötila ylittää 700 celsiusastetta.")</f>
        <v>Nopeasti jalkojaan pyörittämällä se voi kulkea yli 29 km/h nopeudella. Sen hengittämien liekkien lämpötila ylittää 700 celsiusastetta.</v>
      </c>
      <c r="C8834" s="9" t="s">
        <v>1344</v>
      </c>
    </row>
    <row r="8835" ht="33.75" customHeight="1">
      <c r="A8835" s="6" t="s">
        <v>13022</v>
      </c>
      <c r="B8835" s="6" t="str">
        <f>IFERROR(__xludf.DUMMYFUNCTION("GOOGLETRANSLATE(A8835,""en"",""fi"")"),"Yleensä siellä on rauhallista, mutta kaivosten vandalismi raivostuttaa. Rikkojat poltetaan liekeissä, joiden lämpötila nousee 2 700 celsiusasteeseen.")</f>
        <v>Yleensä siellä on rauhallista, mutta kaivosten vandalismi raivostuttaa. Rikkojat poltetaan liekeissä, joiden lämpötila nousee 2 700 celsiusasteeseen.</v>
      </c>
      <c r="C8835" s="9" t="s">
        <v>1344</v>
      </c>
    </row>
    <row r="8836" ht="33.75" customHeight="1">
      <c r="A8836" s="6" t="s">
        <v>13023</v>
      </c>
      <c r="B8836" s="6" t="str">
        <f>IFERROR(__xludf.DUMMYFUNCTION("GOOGLETRANSLATE(A8836,""en"",""fi"")"),"Taistelun aikana sen hiilivuori hehkuu kirkkaan punaisena ja lähettää kipinöitä, jotka polttavat ympäröivän alueen.")</f>
        <v>Taistelun aikana sen hiilivuori hehkuu kirkkaan punaisena ja lähettää kipinöitä, jotka polttavat ympäröivän alueen.</v>
      </c>
      <c r="C8836" s="9" t="s">
        <v>1344</v>
      </c>
    </row>
    <row r="8837" ht="33.75" customHeight="1">
      <c r="A8837" s="6" t="s">
        <v>13024</v>
      </c>
      <c r="B8837" s="6" t="str">
        <f>IFERROR(__xludf.DUMMYFUNCTION("GOOGLETRANSLATE(A8837,""en"",""fi"")"),"Se viettää koko elämänsä omenan sisällä. Se piiloutuu luonnollisilta vihollisiltaan, lintu-Pokémoneilta, teeskentelemällä olevansa vain omena eikä mitään muuta.")</f>
        <v>Se viettää koko elämänsä omenan sisällä. Se piiloutuu luonnollisilta vihollisiltaan, lintu-Pokémoneilta, teeskentelemällä olevansa vain omena eikä mitään muuta.</v>
      </c>
      <c r="C8837" s="9" t="s">
        <v>1344</v>
      </c>
    </row>
    <row r="8838" ht="33.75" customHeight="1">
      <c r="A8838" s="6" t="s">
        <v>13025</v>
      </c>
      <c r="B8838" s="6" t="str">
        <f>IFERROR(__xludf.DUMMYFUNCTION("GOOGLETRANSLATE(A8838,""en"",""fi"")"),"Heti syntyttyään se kaivautuu omenaan. Omena ei ainoastaan ​​toimi sen ravinnonlähteenä, vaan hedelmän maku määrää sen kehityksen.")</f>
        <v>Heti syntyttyään se kaivautuu omenaan. Omena ei ainoastaan ​​toimi sen ravinnonlähteenä, vaan hedelmän maku määrää sen kehityksen.</v>
      </c>
      <c r="C8838" s="9" t="s">
        <v>1344</v>
      </c>
    </row>
    <row r="8839" ht="33.75" customHeight="1">
      <c r="A8839" s="6" t="s">
        <v>13027</v>
      </c>
      <c r="B8839" s="6" t="str">
        <f>IFERROR(__xludf.DUMMYFUNCTION("GOOGLETRANSLATE(A8839,""en"",""fi"")"),"Se söi happaman omenan, ja se käynnisti sen evoluution. Sen poskissa on happoa, joka voi aiheuttaa kemiallisia palovammoja.")</f>
        <v>Se söi happaman omenan, ja se käynnisti sen evoluution. Sen poskissa on happoa, joka voi aiheuttaa kemiallisia palovammoja.</v>
      </c>
      <c r="C8839" s="9" t="s">
        <v>1344</v>
      </c>
    </row>
    <row r="8840" ht="33.75" customHeight="1">
      <c r="A8840" s="6" t="s">
        <v>13028</v>
      </c>
      <c r="B8840" s="6" t="str">
        <f>IFERROR(__xludf.DUMMYFUNCTION("GOOGLETRANSLATE(A8840,""en"",""fi"")"),"Se lentää omenankuoren siivillä ja sylkee voimakasta happoa. Se voi myös muuttaa muotoaan omenan muotoiseksi.")</f>
        <v>Se lentää omenankuoren siivillä ja sylkee voimakasta happoa. Se voi myös muuttaa muotoaan omenan muotoiseksi.</v>
      </c>
      <c r="C8840" s="9" t="s">
        <v>1344</v>
      </c>
    </row>
    <row r="8841" ht="33.75" customHeight="1">
      <c r="A8841" s="6" t="s">
        <v>13029</v>
      </c>
      <c r="B8841" s="6" t="str">
        <f>IFERROR(__xludf.DUMMYFUNCTION("GOOGLETRANSLATE(A8841,""en"",""fi"")"),"Makean omenan syöminen johti sen evoluutioon. Sen kehosta leijuu mekkäinen tuoksu, joka houkuttelee puoleensa sen saalistaman ötökkä-Pokémonin.")</f>
        <v>Makean omenan syöminen johti sen evoluutioon. Sen kehosta leijuu mekkäinen tuoksu, joka houkuttelee puoleensa sen saalistaman ötökkä-Pokémonin.</v>
      </c>
      <c r="C8841" s="9" t="s">
        <v>1344</v>
      </c>
    </row>
    <row r="8842" ht="33.75" customHeight="1">
      <c r="A8842" s="6" t="s">
        <v>13031</v>
      </c>
      <c r="B8842" s="6" t="str">
        <f>IFERROR(__xludf.DUMMYFUNCTION("GOOGLETRANSLATE(A8842,""en"",""fi"")"),"Sen ruumis on peittynyt makeaan nektariin, ja sen selän nahka on erityisen herkullinen. Lapset söivät sitä ennen välipalana.")</f>
        <v>Sen ruumis on peittynyt makeaan nektariin, ja sen selän nahka on erityisen herkullinen. Lapset söivät sitä ennen välipalana.</v>
      </c>
      <c r="C8842" s="9" t="s">
        <v>1344</v>
      </c>
    </row>
    <row r="8843" ht="33.75" customHeight="1">
      <c r="A8843" s="6" t="s">
        <v>13033</v>
      </c>
      <c r="B8843" s="6" t="str">
        <f>IFERROR(__xludf.DUMMYFUNCTION("GOOGLETRANSLATE(A8843,""en"",""fi"")"),"Kaivaessaan se nielee hiekkaa ja varastoi sen kaulapussiinsa. Pussiin mahtuu yli 7,5 kiloa hiekkaa.")</f>
        <v>Kaivaessaan se nielee hiekkaa ja varastoi sen kaulapussiinsa. Pussiin mahtuu yli 7,5 kiloa hiekkaa.</v>
      </c>
      <c r="C8843" s="9" t="s">
        <v>1344</v>
      </c>
    </row>
    <row r="8844" ht="33.75" customHeight="1">
      <c r="A8844" s="6" t="s">
        <v>13034</v>
      </c>
      <c r="B8844" s="6" t="str">
        <f>IFERROR(__xludf.DUMMYFUNCTION("GOOGLETRANSLATE(A8844,""en"",""fi"")"),"Se sylkee hiekkaa sieraimistaan. Vihollisen ollessa sokaistunut se kaivautuu maahan piiloutuakseen.")</f>
        <v>Se sylkee hiekkaa sieraimistaan. Vihollisen ollessa sokaistunut se kaivautuu maahan piiloutuakseen.</v>
      </c>
      <c r="C8844" s="9" t="s">
        <v>1344</v>
      </c>
    </row>
    <row r="8845" ht="33.75" customHeight="1">
      <c r="A8845" s="6" t="s">
        <v>13037</v>
      </c>
      <c r="B8845" s="6" t="str">
        <f>IFERROR(__xludf.DUMMYFUNCTION("GOOGLETRANSLATE(A8845,""en"",""fi"")"),"Kun se supistaa ruumistaan, sen kuonosta suihkuaa yli 100 kiloa hiekkaa. Jos hiekka loppuu, se lannistuu.")</f>
        <v>Kun se supistaa ruumistaan, sen kuonosta suihkuaa yli 100 kiloa hiekkaa. Jos hiekka loppuu, se lannistuu.</v>
      </c>
      <c r="C8845" s="9" t="s">
        <v>1344</v>
      </c>
    </row>
    <row r="8846" ht="33.75" customHeight="1">
      <c r="A8846" s="6" t="s">
        <v>13039</v>
      </c>
      <c r="B8846" s="6" t="str">
        <f>IFERROR(__xludf.DUMMYFUNCTION("GOOGLETRANSLATE(A8846,""en"",""fi"")"),"Sen ainutlaatuinen kelaustapa mahdollistaa hiekan tehokkaamman puhaltamisen hiekkapussistaan.")</f>
        <v>Sen ainutlaatuinen kelaustapa mahdollistaa hiekan tehokkaamman puhaltamisen hiekkapussistaan.</v>
      </c>
      <c r="C8846" s="9" t="s">
        <v>1344</v>
      </c>
    </row>
    <row r="8847" ht="33.75" customHeight="1">
      <c r="A8847" s="6" t="s">
        <v>13043</v>
      </c>
      <c r="B8847" s="6" t="str">
        <f>IFERROR(__xludf.DUMMYFUNCTION("GOOGLETRANSLATE(A8847,""en"",""fi"")"),"Se on niin vahva, että se voi tyrmätä vastustajia yhdellä iskulla, mutta se saattaa myös unohtaa kesken taistelun, mitä vastaan ​​se taistelee.")</f>
        <v>Se on niin vahva, että se voi tyrmätä vastustajia yhdellä iskulla, mutta se saattaa myös unohtaa kesken taistelun, mitä vastaan ​​se taistelee.</v>
      </c>
      <c r="C8847" s="9" t="s">
        <v>1344</v>
      </c>
    </row>
    <row r="8848" ht="33.75" customHeight="1">
      <c r="A8848" s="6" t="s">
        <v>13045</v>
      </c>
      <c r="B8848" s="6" t="str">
        <f>IFERROR(__xludf.DUMMYFUNCTION("GOOGLETRANSLATE(A8848,""en"",""fi"")"),"Tämä nälkäinen Pokémon nielee Arrokudan kokonaisena. Toisinaan se tekee virheen ja yrittää niellä muun Pokémonin kuin suosikkisaaliinsa.")</f>
        <v>Tämä nälkäinen Pokémon nielee Arrokudan kokonaisena. Toisinaan se tekee virheen ja yrittää niellä muun Pokémonin kuin suosikkisaaliinsa.</v>
      </c>
      <c r="C8848" s="9" t="s">
        <v>1344</v>
      </c>
    </row>
    <row r="8849" ht="33.75" customHeight="1">
      <c r="A8849" s="6" t="s">
        <v>13047</v>
      </c>
      <c r="B8849" s="6" t="str">
        <f>IFERROR(__xludf.DUMMYFUNCTION("GOOGLETRANSLATE(A8849,""en"",""fi"")"),"Jos se näkee liikettä ympärillään, tämä Pokémon ryntää sen kimppuun heti teräväkärkisellä leuallaan edellä. Se on erittäin ylpeä leuastaan.")</f>
        <v>Jos se näkee liikettä ympärillään, tämä Pokémon ryntää sen kimppuun heti teräväkärkisellä leuallaan edellä. Se on erittäin ylpeä leuastaan.</v>
      </c>
      <c r="C8849" s="9" t="s">
        <v>1344</v>
      </c>
    </row>
    <row r="8850" ht="33.75" customHeight="1">
      <c r="A8850" s="6" t="s">
        <v>13049</v>
      </c>
      <c r="B8850" s="6" t="str">
        <f>IFERROR(__xludf.DUMMYFUNCTION("GOOGLETRANSLATE(A8850,""en"",""fi"")"),"Kun se on syönyt vatsansa täyteen, sen liikkeet hidastuvat äärimmäisen hitaasti. Silloin Cramorant nielaisee sen.")</f>
        <v>Kun se on syönyt vatsansa täyteen, sen liikkeet hidastuvat äärimmäisen hitaasti. Silloin Cramorant nielaisee sen.</v>
      </c>
      <c r="C8850" s="9" t="s">
        <v>1344</v>
      </c>
    </row>
    <row r="8851" ht="33.75" customHeight="1">
      <c r="A8851" s="6" t="s">
        <v>13052</v>
      </c>
      <c r="B8851" s="6" t="str">
        <f>IFERROR(__xludf.DUMMYFUNCTION("GOOGLETRANSLATE(A8851,""en"",""fi"")"),"Tämän Pokémonin leuka on terävä kuin keihäs ja vahva kuin teräs. Ilmeisesti myös Barraskewdan liha on yllättävän maukasta.")</f>
        <v>Tämän Pokémonin leuka on terävä kuin keihäs ja vahva kuin teräs. Ilmeisesti myös Barraskewdan liha on yllättävän maukasta.</v>
      </c>
      <c r="C8851" s="9" t="s">
        <v>1344</v>
      </c>
    </row>
    <row r="8852" ht="33.75" customHeight="1">
      <c r="A8852" s="6" t="s">
        <v>13053</v>
      </c>
      <c r="B8852" s="6" t="str">
        <f>IFERROR(__xludf.DUMMYFUNCTION("GOOGLETRANSLATE(A8852,""en"",""fi"")"),"Se pyörittää pyrstöeviään liikkuakseen eteenpäin, syöksyy eteenpäin yli 100 solmun nopeudella ennen kuin törmää saaliiseen ja iskee siihen.")</f>
        <v>Se pyörittää pyrstöeviään liikkuakseen eteenpäin, syöksyy eteenpäin yli 100 solmun nopeudella ennen kuin törmää saaliiseen ja iskee siihen.</v>
      </c>
      <c r="C8852" s="9" t="s">
        <v>1344</v>
      </c>
    </row>
    <row r="8853" ht="33.75" customHeight="1">
      <c r="A8853" s="6" t="s">
        <v>13055</v>
      </c>
      <c r="B8853" s="6" t="str">
        <f>IFERROR(__xludf.DUMMYFUNCTION("GOOGLETRANSLATE(A8853,""en"",""fi"")"),"Se varastoi myrkkyä sisäiseen myrkkypussiin ja erittää sitä ihonsa läpi. Jos kosket tähän Pokémoniin, tunnet kihelmöintiä.")</f>
        <v>Se varastoi myrkkyä sisäiseen myrkkypussiin ja erittää sitä ihonsa läpi. Jos kosket tähän Pokémoniin, tunnet kihelmöintiä.</v>
      </c>
      <c r="C8853" s="9" t="s">
        <v>1344</v>
      </c>
    </row>
    <row r="8854" ht="33.75" customHeight="1">
      <c r="A8854" s="6" t="s">
        <v>13057</v>
      </c>
      <c r="B8854" s="6" t="str">
        <f>IFERROR(__xludf.DUMMYFUNCTION("GOOGLETRANSLATE(A8854,""en"",""fi"")"),"Se muokkaa myrkkynsä kemiallista koostumusta tuottaakseen sähköä. Jännite on heikko, mutta se voi aiheuttaa kihelmöivän halvaantumisen.")</f>
        <v>Se muokkaa myrkkynsä kemiallista koostumusta tuottaakseen sähköä. Jännite on heikko, mutta se voi aiheuttaa kihelmöivän halvaantumisen.</v>
      </c>
      <c r="C8854" s="9" t="s">
        <v>1344</v>
      </c>
    </row>
    <row r="8855" ht="33.75" customHeight="1">
      <c r="A8855" s="6" t="s">
        <v>13058</v>
      </c>
      <c r="B8855" s="6" t="str">
        <f>IFERROR(__xludf.DUMMYFUNCTION("GOOGLETRANSLATE(A8855,""en"",""fi"")"),"Kun tämä Pokémon kuulostaa siltä kuin se näppäilisi kitaraa, se itse asiassa raapii rintansa ulokkeita tuottaakseen sähköä.")</f>
        <v>Kun tämä Pokémon kuulostaa siltä kuin se näppäilisi kitaraa, se itse asiassa raapii rintansa ulokkeita tuottaakseen sähköä.</v>
      </c>
      <c r="C8855" s="9" t="s">
        <v>1344</v>
      </c>
    </row>
    <row r="8856" ht="33.75" customHeight="1">
      <c r="A8856" s="6" t="s">
        <v>13059</v>
      </c>
      <c r="B8856" s="6" t="str">
        <f>IFERROR(__xludf.DUMMYFUNCTION("GOOGLETRANSLATE(A8856,""en"",""fi"")"),"Tämä äkkipikainen ja aggressiivinen Pokémon imee seisovaa vettä itseensä kaikki sen mahdolliset myrkyt.")</f>
        <v>Tämä äkkipikainen ja aggressiivinen Pokémon imee seisovaa vettä itseensä kaikki sen mahdolliset myrkyt.</v>
      </c>
      <c r="C8856" s="9" t="s">
        <v>1344</v>
      </c>
    </row>
    <row r="8857" ht="33.75" customHeight="1">
      <c r="A8857" s="6" t="s">
        <v>13060</v>
      </c>
      <c r="B8857" s="6" t="str">
        <f>IFERROR(__xludf.DUMMYFUNCTION("GOOGLETRANSLATE(A8857,""en"",""fi"")"),"Se varastoi syttyvää kaasua kehoonsa ja käyttää sitä lämmön tuottamiseen. Sen vatsan keltaiset alueet kuumenevat erityisen kuumiksi.")</f>
        <v>Se varastoi syttyvää kaasua kehoonsa ja käyttää sitä lämmön tuottamiseen. Sen vatsan keltaiset alueet kuumenevat erityisen kuumiksi.</v>
      </c>
      <c r="C8857" s="9" t="s">
        <v>1344</v>
      </c>
    </row>
    <row r="8858" ht="33.75" customHeight="1">
      <c r="A8858" s="6" t="s">
        <v>13061</v>
      </c>
      <c r="B8858" s="6" t="str">
        <f>IFERROR(__xludf.DUMMYFUNCTION("GOOGLETRANSLATE(A8858,""en"",""fi"")"),"Se käärii saaliinsa kuumentuneeseen ruumiiseensa ja kypsentää ne kiemuroihinsa. Kun saalis on kypsää, se nakertelee sitä ahneesti viimeiseen palaan asti.")</f>
        <v>Se käärii saaliinsa kuumentuneeseen ruumiiseensa ja kypsentää ne kiemuroihinsa. Kun saalis on kypsää, se nakertelee sitä ahneesti viimeiseen palaan asti.</v>
      </c>
      <c r="C8858" s="9" t="s">
        <v>1344</v>
      </c>
    </row>
    <row r="8859" ht="33.75" customHeight="1">
      <c r="A8859" s="6" t="s">
        <v>13062</v>
      </c>
      <c r="B8859" s="6" t="str">
        <f>IFERROR(__xludf.DUMMYFUNCTION("GOOGLETRANSLATE(A8859,""en"",""fi"")"),"Kun se lämpenee, sen ruumiinlämpötila nousee noin 600 celsiusasteeseen. Se lyö ruumistaan ​​kuin ruoska ja syöksyy vihollisia kohti.")</f>
        <v>Kun se lämpenee, sen ruumiinlämpötila nousee noin 600 celsiusasteeseen. Se lyö ruumistaan ​​kuin ruoska ja syöksyy vihollisia kohti.</v>
      </c>
      <c r="C8859" s="9" t="s">
        <v>1344</v>
      </c>
    </row>
    <row r="8860" ht="33.75" customHeight="1">
      <c r="A8860" s="6" t="s">
        <v>13064</v>
      </c>
      <c r="B8860" s="6" t="str">
        <f>IFERROR(__xludf.DUMMYFUNCTION("GOOGLETRANSLATE(A8860,""en"",""fi"")"),"Vaikka sen palava ruumis on jo itsessään vaarallinen, tällä äärimmäisen vihamielisellä Pokémonilla on myös suuret ja erittäin terävät torahampaat.")</f>
        <v>Vaikka sen palava ruumis on jo itsessään vaarallinen, tällä äärimmäisen vihamielisellä Pokémonilla on myös suuret ja erittäin terävät torahampaat.</v>
      </c>
      <c r="C8860" s="9" t="s">
        <v>1344</v>
      </c>
    </row>
    <row r="8861" ht="33.75" customHeight="1">
      <c r="A8861" s="6" t="s">
        <v>13065</v>
      </c>
      <c r="B8861" s="6" t="str">
        <f>IFERROR(__xludf.DUMMYFUNCTION("GOOGLETRANSLATE(A8861,""en"",""fi"")"),"Se on hyvin utelias, mutta sen tapa tutkia asioita on yrittää lyödä niitä lonkeroillaan. Ruoan etsintä tuo sen maihin.")</f>
        <v>Se on hyvin utelias, mutta sen tapa tutkia asioita on yrittää lyödä niitä lonkeroillaan. Ruoan etsintä tuo sen maihin.</v>
      </c>
      <c r="C8861" s="9" t="s">
        <v>1344</v>
      </c>
    </row>
    <row r="8862" ht="33.75" customHeight="1">
      <c r="A8862" s="6" t="s">
        <v>13066</v>
      </c>
      <c r="B8862" s="6" t="str">
        <f>IFERROR(__xludf.DUMMYFUNCTION("GOOGLETRANSLATE(A8862,""en"",""fi"")"),"Sen lonkerot repeävät helposti irti, mutta se ei säikähdä silloin – se tietää niiden kasvavan takaisin. Se on suunnilleen yhtä älykäs kuin kolmevuotias.")</f>
        <v>Sen lonkerot repeävät helposti irti, mutta se ei säikähdä silloin – se tietää niiden kasvavan takaisin. Se on suunnilleen yhtä älykäs kuin kolmevuotias.</v>
      </c>
      <c r="C8862" s="9" t="s">
        <v>1344</v>
      </c>
    </row>
    <row r="8863" ht="33.75" customHeight="1">
      <c r="A8863" s="6" t="s">
        <v>13068</v>
      </c>
      <c r="B8863" s="6" t="str">
        <f>IFERROR(__xludf.DUMMYFUNCTION("GOOGLETRANSLATE(A8863,""en"",""fi"")"),"Pelkistä lihaksista koostuva ruumis tekee tämän Pokémonin lonkeroillaan suorittamista painiliikkeistä valtavan voimakkaita.")</f>
        <v>Pelkistä lihaksista koostuva ruumis tekee tämän Pokémonin lonkeroillaan suorittamista painiliikkeistä valtavan voimakkaita.</v>
      </c>
      <c r="C8863" s="9" t="s">
        <v>1344</v>
      </c>
    </row>
    <row r="8864" ht="33.75" customHeight="1">
      <c r="A8864" s="6" t="s">
        <v>13070</v>
      </c>
      <c r="B8864" s="6" t="str">
        <f>IFERROR(__xludf.DUMMYFUNCTION("GOOGLETRANSLATE(A8864,""en"",""fi"")"),"Etsiessään vastustajaa, jota vastaan ​​testata taitojaan, se nousee maihin. Taistelun päätyttyä se palaa mereen.")</f>
        <v>Etsiessään vastustajaa, jota vastaan ​​testata taitojaan, se nousee maihin. Taistelun päätyttyä se palaa mereen.</v>
      </c>
      <c r="C8864" s="9" t="s">
        <v>1344</v>
      </c>
    </row>
    <row r="8865" ht="33.75" customHeight="1">
      <c r="A8865" s="6" t="s">
        <v>13072</v>
      </c>
      <c r="B8865" s="6" t="str">
        <f>IFERROR(__xludf.DUMMYFUNCTION("GOOGLETRANSLATE(A8865,""en"",""fi"")"),"Tämän Pokémonin sanotaan syntyneen, kun yksinäinen henki otti haltuunsa kylmän, teetä yli jääneen kupin.")</f>
        <v>Tämän Pokémonin sanotaan syntyneen, kun yksinäinen henki otti haltuunsa kylmän, teetä yli jääneen kupin.</v>
      </c>
      <c r="C8865" s="9" t="s">
        <v>1344</v>
      </c>
    </row>
    <row r="8866" ht="33.75" customHeight="1">
      <c r="A8866" s="6" t="s">
        <v>13075</v>
      </c>
      <c r="B8866" s="6" t="str">
        <f>IFERROR(__xludf.DUMMYFUNCTION("GOOGLETRANSLATE(A8866,""en"",""fi"")"),"Teekuppi, jossa tämä Pokémon asuu, on kuuluisa antiikkiastiasto. Liikkeellä on monia väärennöksiä.")</f>
        <v>Teekuppi, jossa tämä Pokémon asuu, on kuuluisa antiikkiastiasto. Liikkeellä on monia väärennöksiä.</v>
      </c>
      <c r="C8866" s="9" t="s">
        <v>1344</v>
      </c>
    </row>
    <row r="8867" ht="33.75" customHeight="1">
      <c r="A8867" s="6" t="s">
        <v>13077</v>
      </c>
      <c r="B8867" s="6" t="str">
        <f>IFERROR(__xludf.DUMMYFUNCTION("GOOGLETRANSLATE(A8867,""en"",""fi"")"),"Tämä laji elää antiikkisissa teekannuissa. Useimmat kannut ovat väärennöksiä, mutta harvoin löytyy aitoja teoksia.")</f>
        <v>Tämä laji elää antiikkisissa teekannuissa. Useimmat kannut ovat väärennöksiä, mutta harvoin löytyy aitoja teoksia.</v>
      </c>
      <c r="C8867" s="9" t="s">
        <v>1344</v>
      </c>
    </row>
    <row r="8868" ht="33.75" customHeight="1">
      <c r="A8868" s="6" t="s">
        <v>13079</v>
      </c>
      <c r="B8868" s="6" t="str">
        <f>IFERROR(__xludf.DUMMYFUNCTION("GOOGLETRANSLATE(A8868,""en"",""fi"")"),"Jäljelle jääneen mustan teen jättäminen ilman valvontaa pyytää tätä Pokémonia tulemaan ja kaatamaan itsensä teehen, muuttaen teen uudeksi polteageistiksi.")</f>
        <v>Jäljelle jääneen mustan teen jättäminen ilman valvontaa pyytää tätä Pokémonia tulemaan ja kaatamaan itsensä teehen, muuttaen teen uudeksi polteageistiksi.</v>
      </c>
      <c r="C8868" s="9" t="s">
        <v>1344</v>
      </c>
    </row>
    <row r="8869" ht="33.75" customHeight="1">
      <c r="A8869" s="6" t="s">
        <v>13081</v>
      </c>
      <c r="B8869" s="6" t="str">
        <f>IFERROR(__xludf.DUMMYFUNCTION("GOOGLETRANSLATE(A8869,""en"",""fi"")"),"Pään ulokkeen kautta se aistii muiden olentojen tunteita. Jos sinulla ei ole rauhallista luonnetta, se ei koskaan lämpene sinua kohtaan.")</f>
        <v>Pään ulokkeen kautta se aistii muiden olentojen tunteita. Jos sinulla ei ole rauhallista luonnetta, se ei koskaan lämpene sinua kohtaan.</v>
      </c>
      <c r="C8869" s="9" t="s">
        <v>1344</v>
      </c>
    </row>
    <row r="8870" ht="33.75" customHeight="1">
      <c r="A8870" s="6" t="s">
        <v>13086</v>
      </c>
      <c r="B8870" s="6" t="str">
        <f>IFERROR(__xludf.DUMMYFUNCTION("GOOGLETRANSLATE(A8870,""en"",""fi"")"),"Jos tämä Pokémon aistii voimakkaan tunteen, se juoksee karkuun niin nopeasti kuin pystyy. Se suosii alueita, joilla ei ole ihmisiä.")</f>
        <v>Jos tämä Pokémon aistii voimakkaan tunteen, se juoksee karkuun niin nopeasti kuin pystyy. Se suosii alueita, joilla ei ole ihmisiä.</v>
      </c>
      <c r="C8870" s="9" t="s">
        <v>1344</v>
      </c>
    </row>
    <row r="8871" ht="33.75" customHeight="1">
      <c r="A8871" s="6" t="s">
        <v>13088</v>
      </c>
      <c r="B8871" s="6" t="str">
        <f>IFERROR(__xludf.DUMMYFUNCTION("GOOGLETRANSLATE(A8871,""en"",""fi"")"),"Olitpa kuka tahansa, jos tuot voimakkaita tunteita tämän Pokémonin lähelle, se hiljentää sinut rajusti.")</f>
        <v>Olitpa kuka tahansa, jos tuot voimakkaita tunteita tämän Pokémonin lähelle, se hiljentää sinut rajusti.</v>
      </c>
      <c r="C8871" s="9" t="s">
        <v>1344</v>
      </c>
    </row>
    <row r="8872" ht="33.75" customHeight="1">
      <c r="A8872" s="6" t="s">
        <v>13090</v>
      </c>
      <c r="B8872" s="6" t="str">
        <f>IFERROR(__xludf.DUMMYFUNCTION("GOOGLETRANSLATE(A8872,""en"",""fi"")"),"Se lyö vihollisia päässään olevilla leteillä saadakseen heidät rauhoittumaan. Yksi isku noista leteistä tyrmäisi ammattinyrkkeilijän.")</f>
        <v>Se lyö vihollisia päässään olevilla leteillä saadakseen heidät rauhoittumaan. Yksi isku noista leteistä tyrmäisi ammattinyrkkeilijän.</v>
      </c>
      <c r="C8872" s="9" t="s">
        <v>1344</v>
      </c>
    </row>
    <row r="8873" ht="33.75" customHeight="1">
      <c r="A8873" s="6" t="s">
        <v>13092</v>
      </c>
      <c r="B8873" s="6" t="str">
        <f>IFERROR(__xludf.DUMMYFUNCTION("GOOGLETRANSLATE(A8873,""en"",""fi"")"),"Se säteilee psyykkistä voimaa, joka on niin voimakasta, että se aiheuttaa päänsärkyä ja estää muita lähestymästä.")</f>
        <v>Se säteilee psyykkistä voimaa, joka on niin voimakasta, että se aiheuttaa päänsärkyä ja estää muita lähestymästä.</v>
      </c>
      <c r="C8873" s="9" t="s">
        <v>1344</v>
      </c>
    </row>
    <row r="8874" ht="33.75" customHeight="1">
      <c r="A8874" s="6" t="s">
        <v>13093</v>
      </c>
      <c r="B8874" s="6" t="str">
        <f>IFERROR(__xludf.DUMMYFUNCTION("GOOGLETRANSLATE(A8874,""en"",""fi"")"),"Jos olet liian äänekäs sen lähellä, sen lonkeron kynnet voivat repiä sinut kappaleiksi. Tämä Pokémon tunnetaan myös nimellä Metsän noita.")</f>
        <v>Jos olet liian äänekäs sen lähellä, sen lonkeron kynnet voivat repiä sinut kappaleiksi. Tämä Pokémon tunnetaan myös nimellä Metsän noita.</v>
      </c>
      <c r="C8874" s="9" t="s">
        <v>1344</v>
      </c>
    </row>
    <row r="8875" ht="33.75" customHeight="1">
      <c r="A8875" s="6" t="s">
        <v>13095</v>
      </c>
      <c r="B8875" s="6" t="str">
        <f>IFERROR(__xludf.DUMMYFUNCTION("GOOGLETRANSLATE(A8875,""en"",""fi"")"),"Nenänsä kautta se imee sisäänsä ihmisten ja Pokémonien ärsyyntyneistä lähteitä. Se elää tästä negatiivisesta energiasta.")</f>
        <v>Nenänsä kautta se imee sisäänsä ihmisten ja Pokémonien ärsyyntyneistä lähteitä. Se elää tästä negatiivisesta energiasta.</v>
      </c>
      <c r="C8875" s="9" t="s">
        <v>1344</v>
      </c>
    </row>
    <row r="8876" ht="33.75" customHeight="1">
      <c r="A8876" s="6" t="s">
        <v>13097</v>
      </c>
      <c r="B8876" s="6" t="str">
        <f>IFERROR(__xludf.DUMMYFUNCTION("GOOGLETRANSLATE(A8876,""en"",""fi"")"),"Se hiipii ihmisten koteihin, varastaa tavaroita ja herkuttelee turhautuneiden asukkaiden negatiivisella energialla.")</f>
        <v>Se hiipii ihmisten koteihin, varastaa tavaroita ja herkuttelee turhautuneiden asukkaiden negatiivisella energialla.</v>
      </c>
      <c r="C8876" s="9" t="s">
        <v>1344</v>
      </c>
    </row>
    <row r="8877" ht="33.75" customHeight="1">
      <c r="A8877" s="6" t="s">
        <v>13099</v>
      </c>
      <c r="B8877" s="6" t="str">
        <f>IFERROR(__xludf.DUMMYFUNCTION("GOOGLETRANSLATE(A8877,""en"",""fi"")"),"Kun se laskeutuu kontalleen ikään kuin anelemaan anteeksiantoa, se yrittää houkutella vastustajia luokseen voidakseen iskeä heitä keihäänmäisillä karvoillaan.")</f>
        <v>Kun se laskeutuu kontalleen ikään kuin anelemaan anteeksiantoa, se yrittää houkutella vastustajia luokseen voidakseen iskeä heitä keihäänmäisillä karvoillaan.</v>
      </c>
      <c r="C8877" s="9" t="s">
        <v>1344</v>
      </c>
    </row>
    <row r="8878" ht="33.75" customHeight="1">
      <c r="A8878" s="6" t="s">
        <v>13101</v>
      </c>
      <c r="B8878" s="6" t="str">
        <f>IFERROR(__xludf.DUMMYFUNCTION("GOOGLETRANSLATE(A8878,""en"",""fi"")"),"Se yrittää oveluudella houkutella ihmisiä metsään. Jotkut uskovat, että sillä on kyky saada sadot kasvamaan.")</f>
        <v>Se yrittää oveluudella houkutella ihmisiä metsään. Jotkut uskovat, että sillä on kyky saada sadot kasvamaan.</v>
      </c>
      <c r="C8878" s="9" t="s">
        <v>1344</v>
      </c>
    </row>
    <row r="8879" ht="33.75" customHeight="1">
      <c r="A8879" s="6" t="s">
        <v>13102</v>
      </c>
      <c r="B8879" s="6" t="str">
        <f>IFERROR(__xludf.DUMMYFUNCTION("GOOGLETRANSLATE(A8879,""en"",""fi"")"),"Karvojen kiedotessa sen vartalon ympärille ja vahvistaen sen lihaksia, tämä Pokémon voi hämmentää jopa Machampia.")</f>
        <v>Karvojen kiedotessa sen vartalon ympärille ja vahvistaen sen lihaksia, tämä Pokémon voi hämmentää jopa Machampia.</v>
      </c>
      <c r="C8879" s="9" t="s">
        <v>1344</v>
      </c>
    </row>
    <row r="8880" ht="33.75" customHeight="1">
      <c r="A8880" s="6" t="s">
        <v>13103</v>
      </c>
      <c r="B8880" s="6" t="str">
        <f>IFERROR(__xludf.DUMMYFUNCTION("GOOGLETRANSLATE(A8880,""en"",""fi"")"),"Sen karvat toimivat kuin lihaskuidut. Kun sen karvat avautuvat, ne tarttuvat vastustajiin ja kietovat heidät ansaan kuin lonkerot.")</f>
        <v>Sen karvat toimivat kuin lihaskuidut. Kun sen karvat avautuvat, ne tarttuvat vastustajiin ja kietovat heidät ansaan kuin lonkerot.</v>
      </c>
      <c r="C8880" s="9" t="s">
        <v>1344</v>
      </c>
    </row>
    <row r="8881" ht="33.75" customHeight="1">
      <c r="A8881" s="6" t="s">
        <v>13104</v>
      </c>
      <c r="B8881" s="6" t="str">
        <f>IFERROR(__xludf.DUMMYFUNCTION("GOOGLETRANSLATE(A8881,""en"",""fi"")"),"Sen ääni on häkellyttävän voimakas. Esteellä on taipumus ottaa uhkaava asento ja huutaa – tätä liikettä kutsutaan Esteeksi.")</f>
        <v>Sen ääni on häkellyttävän voimakas. Esteellä on taipumus ottaa uhkaava asento ja huutaa – tätä liikettä kutsutaan Esteeksi.</v>
      </c>
      <c r="C8881" s="9" t="s">
        <v>1344</v>
      </c>
    </row>
    <row r="8882" ht="33.75" customHeight="1">
      <c r="A8882" s="6" t="s">
        <v>13105</v>
      </c>
      <c r="B8882" s="6" t="str">
        <f>IFERROR(__xludf.DUMMYFUNCTION("GOOGLETRANSLATE(A8882,""en"",""fi"")"),"Se kehittyi lukuisten taisteluiden jälkeen. Ristiessään käsivartensa se päästää huudon, joka saa minkä tahansa vastustajan säpsähtämään.")</f>
        <v>Se kehittyi lukuisten taisteluiden jälkeen. Ristiessään käsivartensa se päästää huudon, joka saa minkä tahansa vastustajan säpsähtämään.</v>
      </c>
      <c r="C8882" s="9" t="s">
        <v>1344</v>
      </c>
    </row>
    <row r="8883" ht="33.75" customHeight="1">
      <c r="A8883" s="6" t="s">
        <v>13106</v>
      </c>
      <c r="B8883" s="6" t="str">
        <f>IFERROR(__xludf.DUMMYFUNCTION("GOOGLETRANSLATE(A8883,""en"",""fi"")"),"Rautakypärältä näyttävä Pokémon on itse asiassa kovettunutta hiusta. Tämä Pokémon elää taistelun jännityksestä.")</f>
        <v>Rautakypärältä näyttävä Pokémon on itse asiassa kovettunutta hiusta. Tämä Pokémon elää taistelun jännityksestä.</v>
      </c>
      <c r="C8883" s="9" t="s">
        <v>1344</v>
      </c>
    </row>
    <row r="8884" ht="33.75" customHeight="1">
      <c r="A8884" s="6" t="s">
        <v>13107</v>
      </c>
      <c r="B8884" s="6" t="str">
        <f>IFERROR(__xludf.DUMMYFUNCTION("GOOGLETRANSLATE(A8884,""en"",""fi"")"),"Monien taisteluiden jälkeen se kehitti vaaralliset kynnet, jotka ojennettuina muodostavat tikareita.")</f>
        <v>Monien taisteluiden jälkeen se kehitti vaaralliset kynnet, jotka ojennettuina muodostavat tikareita.</v>
      </c>
      <c r="C8884" s="9" t="s">
        <v>1344</v>
      </c>
    </row>
    <row r="8885" ht="33.75" customHeight="1">
      <c r="A8885" s="6" t="s">
        <v>13108</v>
      </c>
      <c r="B8885" s="6" t="str">
        <f>IFERROR(__xludf.DUMMYFUNCTION("GOOGLETRANSLATE(A8885,""en"",""fi"")"),"Sen kuori pursuaa korostunutta toismaailmallista energiaa. Ektoplasma toimii suojana tämän Pokémonin ydinhengelle.")</f>
        <v>Sen kuori pursuaa korostunutta toismaailmallista energiaa. Ektoplasma toimii suojana tämän Pokémonin ydinhengelle.</v>
      </c>
      <c r="C8885" s="9" t="s">
        <v>1344</v>
      </c>
    </row>
    <row r="8886" ht="33.75" customHeight="1">
      <c r="A8886" s="6" t="s">
        <v>13109</v>
      </c>
      <c r="B8886" s="6" t="str">
        <f>IFERROR(__xludf.DUMMYFUNCTION("GOOGLETRANSLATE(A8886,""en"",""fi"")"),"Ole varovainen sen sielua ympäröivän ektoplasmisen ruumiin suhteen. Kosketat sitä ja jäykistyt kuin kivi.")</f>
        <v>Ole varovainen sen sielua ympäröivän ektoplasmisen ruumiin suhteen. Kosketat sitä ja jäykistyt kuin kivi.</v>
      </c>
      <c r="C8886" s="9" t="s">
        <v>1344</v>
      </c>
    </row>
    <row r="8887" ht="33.75" customHeight="1">
      <c r="A8887" s="6" t="s">
        <v>13110</v>
      </c>
      <c r="B8887" s="6" t="str">
        <f>IFERROR(__xludf.DUMMYFUNCTION("GOOGLETRANSLATE(A8887,""en"",""fi"")"),"Vain useista taisteluista selvinneet Farfetch’dit voivat saavuttaa tämän evoluution. Kun tämän Pokémonin purjo kuihtuu, se vetäytyy taistelusta.")</f>
        <v>Vain useista taisteluista selvinneet Farfetch’dit voivat saavuttaa tämän evoluution. Kun tämän Pokémonin purjo kuihtuu, se vetäytyy taistelusta.</v>
      </c>
      <c r="C8887" s="9" t="s">
        <v>1344</v>
      </c>
    </row>
    <row r="8888" ht="33.75" customHeight="1">
      <c r="A8888" s="6" t="s">
        <v>13111</v>
      </c>
      <c r="B8888" s="6" t="str">
        <f>IFERROR(__xludf.DUMMYFUNCTION("GOOGLETRANSLATE(A8888,""en"",""fi"")"),"Torjuttuaan hyökkäykset kovalla lehtikilvellään se iskee takaisin terävällä purjon varrellaan. Purjon varsi on sekä ase että ruoka.")</f>
        <v>Torjuttuaan hyökkäykset kovalla lehtikilvellään se iskee takaisin terävällä purjon varrellaan. Purjon varsi on sekä ase että ruoka.</v>
      </c>
      <c r="C8888" s="9" t="s">
        <v>1344</v>
      </c>
    </row>
    <row r="8889" ht="33.75" customHeight="1">
      <c r="A8889" s="6" t="s">
        <v>13113</v>
      </c>
      <c r="B8889" s="6" t="str">
        <f>IFERROR(__xludf.DUMMYFUNCTION("GOOGLETRANSLATE(A8889,""en"",""fi"")"),"Se on erittäin taitava steppaamaan. Se heiluttaa jääkeppiään sulavasti tahdissa.")</f>
        <v>Se on erittäin taitava steppaamaan. Se heiluttaa jääkeppiään sulavasti tahdissa.</v>
      </c>
      <c r="C8889" s="9" t="s">
        <v>1344</v>
      </c>
    </row>
    <row r="8890" ht="33.75" customHeight="1">
      <c r="A8890" s="6" t="s">
        <v>13115</v>
      </c>
      <c r="B8890" s="6" t="str">
        <f>IFERROR(__xludf.DUMMYFUNCTION("GOOGLETRANSLATE(A8890,""en"",""fi"")"),"Sen hauskat liikkeet tekevät siitä erittäin suositun. Se vapauttaa psyykkisen voimansa vatsansa kuviosta.")</f>
        <v>Sen hauskat liikkeet tekevät siitä erittäin suositun. Se vapauttaa psyykkisen voimansa vatsansa kuviosta.</v>
      </c>
      <c r="C8890" s="9" t="s">
        <v>1344</v>
      </c>
    </row>
    <row r="8891" ht="33.75" customHeight="1">
      <c r="A8891" s="6" t="s">
        <v>13117</v>
      </c>
      <c r="B8891" s="6" t="str">
        <f>IFERROR(__xludf.DUMMYFUNCTION("GOOGLETRANSLATE(A8891,""en"",""fi"")"),"Voimakas kirous oli kudottu muinaiseen maalaukseen. Imeytyään itseensä Yamaskin hengen maalaus alkoi liikkua.")</f>
        <v>Voimakas kirous oli kudottu muinaiseen maalaukseen. Imeytyään itseensä Yamaskin hengen maalaus alkoi liikkua.</v>
      </c>
      <c r="C8891" s="9" t="s">
        <v>1344</v>
      </c>
    </row>
    <row r="8892" ht="33.75" customHeight="1">
      <c r="A8892" s="6" t="s">
        <v>13120</v>
      </c>
      <c r="B8892" s="6" t="str">
        <f>IFERROR(__xludf.DUMMYFUNCTION("GOOGLETRANSLATE(A8892,""en"",""fi"")"),"Älä koskaan koske sen varjomaiseen vartaloon, tai sinulle näytetään siihen kaiverretun kuvan takana olevat kauhistuttavat muistot.")</f>
        <v>Älä koskaan koske sen varjomaiseen vartaloon, tai sinulle näytetään siihen kaiverretun kuvan takana olevat kauhistuttavat muistot.</v>
      </c>
      <c r="C8892" s="9" t="s">
        <v>1344</v>
      </c>
    </row>
    <row r="8893" ht="33.75" customHeight="1">
      <c r="A8893" s="6" t="s">
        <v>13122</v>
      </c>
      <c r="B8893" s="6" t="str">
        <f>IFERROR(__xludf.DUMMYFUNCTION("GOOGLETRANSLATE(A8893,""en"",""fi"")"),"Tämä Pokémon syntyi ilmassa olevista makeantuoksuisista hiukkasista. Sen ruumis on tehty kermasta.")</f>
        <v>Tämä Pokémon syntyi ilmassa olevista makeantuoksuisista hiukkasista. Sen ruumis on tehty kermasta.</v>
      </c>
      <c r="C8893" s="9" t="s">
        <v>1344</v>
      </c>
    </row>
    <row r="8894" ht="33.75" customHeight="1">
      <c r="A8894" s="6" t="s">
        <v>13124</v>
      </c>
      <c r="B8894" s="6" t="str">
        <f>IFERROR(__xludf.DUMMYFUNCTION("GOOGLETRANSLATE(A8894,""en"",""fi"")"),"Sanotaan, että Milceryn vierailema leivonnainen tuo taatusti menestystä ja onnea.")</f>
        <v>Sanotaan, että Milceryn vierailema leivonnainen tuo taatusti menestystä ja onnea.</v>
      </c>
      <c r="C8894" s="9" t="s">
        <v>1344</v>
      </c>
    </row>
    <row r="8895" ht="33.75" customHeight="1">
      <c r="A8895" s="6" t="s">
        <v>13126</v>
      </c>
      <c r="B8895" s="6" t="str">
        <f>IFERROR(__xludf.DUMMYFUNCTION("GOOGLETRANSLATE(A8895,""en"",""fi"")"),"Kun se luottaa kouluttajaan, se hemmottelee sitä kermalla koristelluilla marjoilla.")</f>
        <v>Kun se luottaa kouluttajaan, se hemmottelee sitä kermalla koristelluilla marjoilla.</v>
      </c>
      <c r="C8895" s="9" t="s">
        <v>1344</v>
      </c>
    </row>
    <row r="8896" ht="33.75" customHeight="1">
      <c r="A8896" s="6" t="s">
        <v>13128</v>
      </c>
      <c r="B8896" s="6" t="str">
        <f>IFERROR(__xludf.DUMMYFUNCTION("GOOGLETRANSLATE(A8896,""en"",""fi"")"),"Kun Alcremie on tyytyväinen, sen käsistä erittämä kerma muuttuu makeammaksi ja täyteläisemmäksi.")</f>
        <v>Kun Alcremie on tyytyväinen, sen käsistä erittämä kerma muuttuu makeammaksi ja täyteläisemmäksi.</v>
      </c>
      <c r="C8896" s="9" t="s">
        <v>1344</v>
      </c>
    </row>
    <row r="8897" ht="33.75" customHeight="1">
      <c r="A8897" s="6" t="s">
        <v>13129</v>
      </c>
      <c r="B8897" s="6" t="str">
        <f>IFERROR(__xludf.DUMMYFUNCTION("GOOGLETRANSLATE(A8897,""en"",""fi"")"),"Viisi heistä on sotilaita ja yksi on johtokunnan jäseniä. Johtajien käskyt ovat ehdottomat.")</f>
        <v>Viisi heistä on sotilaita ja yksi on johtokunnan jäseniä. Johtajien käskyt ovat ehdottomat.</v>
      </c>
      <c r="C8897" s="9" t="s">
        <v>1344</v>
      </c>
    </row>
    <row r="8898" ht="33.75" customHeight="1">
      <c r="A8898" s="6" t="s">
        <v>13131</v>
      </c>
      <c r="B8898" s="6" t="str">
        <f>IFERROR(__xludf.DUMMYFUNCTION("GOOGLETRANSLATE(A8898,""en"",""fi"")"),"Heistä kuusi työskentelee yhdessä yhtenä Pokémonina. Tiimityöskentely on myös heidän taistelustrategiansa, ja he muuttavat jatkuvasti muodostelmaansa taistelun aikana.")</f>
        <v>Heistä kuusi työskentelee yhdessä yhtenä Pokémonina. Tiimityöskentely on myös heidän taistelustrategiansa, ja he muuttavat jatkuvasti muodostelmaansa taistelun aikana.</v>
      </c>
      <c r="C8898" s="9" t="s">
        <v>1344</v>
      </c>
    </row>
    <row r="8899" ht="33.75" customHeight="1">
      <c r="A8899" s="6" t="s">
        <v>13132</v>
      </c>
      <c r="B8899" s="6" t="str">
        <f>IFERROR(__xludf.DUMMYFUNCTION("GOOGLETRANSLATE(A8899,""en"",""fi"")"),"Se syö merilevää ja kaapii sitä kivistä hampaillaan. Sähkövirta kulkee sen piikkien kärjistä.")</f>
        <v>Se syö merilevää ja kaapii sitä kivistä hampaillaan. Sähkövirta kulkee sen piikkien kärjistä.</v>
      </c>
      <c r="C8899" s="9" t="s">
        <v>1344</v>
      </c>
    </row>
    <row r="8900" ht="33.75" customHeight="1">
      <c r="A8900" s="6" t="s">
        <v>13134</v>
      </c>
      <c r="B8900" s="6" t="str">
        <f>IFERROR(__xludf.DUMMYFUNCTION("GOOGLETRANSLATE(A8900,""en"",""fi"")"),"Se varastoi sähköä kumpaankin selkärankaan. Vaikka toinen katkeaisi, se jatkaa sähkön säteilyä vähintään kolmen tunnin ajan.")</f>
        <v>Se varastoi sähköä kumpaankin selkärankaan. Vaikka toinen katkeaisi, se jatkaa sähkön säteilyä vähintään kolmen tunnin ajan.</v>
      </c>
      <c r="C8900" s="9" t="s">
        <v>1344</v>
      </c>
    </row>
    <row r="8901" ht="33.75" customHeight="1">
      <c r="A8901" s="6" t="s">
        <v>13135</v>
      </c>
      <c r="B8901" s="6" t="str">
        <f>IFERROR(__xludf.DUMMYFUNCTION("GOOGLETRANSLATE(A8901,""en"",""fi"")"),"Se sylkee ulos jääkylmän energian kyllästämää lankaa ja käyttää sitä sitoakseen ruumiinsa oksiin naamioituen jääpuikoksi nukkuessaan.")</f>
        <v>Se sylkee ulos jääkylmän energian kyllästämää lankaa ja käyttää sitä sitoakseen ruumiinsa oksiin naamioituen jääpuikoksi nukkuessaan.</v>
      </c>
      <c r="C8901" s="9" t="s">
        <v>1344</v>
      </c>
    </row>
    <row r="8902" ht="33.75" customHeight="1">
      <c r="A8902" s="6" t="s">
        <v>13136</v>
      </c>
      <c r="B8902" s="6" t="str">
        <f>IFERROR(__xludf.DUMMYFUNCTION("GOOGLETRANSLATE(A8902,""en"",""fi"")"),"Se syö maahan kasaantuvaa lunta. Mitä enemmän lunta se syö, sitä suuremmiksi ja vaikuttavammiksi sen selässä olevat piikit kasvavat.")</f>
        <v>Se syö maahan kasaantuvaa lunta. Mitä enemmän lunta se syö, sitä suuremmiksi ja vaikuttavammiksi sen selässä olevat piikit kasvavat.</v>
      </c>
      <c r="C8902" s="9" t="s">
        <v>1344</v>
      </c>
    </row>
    <row r="8903" ht="33.75" customHeight="1">
      <c r="A8903" s="6" t="s">
        <v>13138</v>
      </c>
      <c r="B8903" s="6" t="str">
        <f>IFERROR(__xludf.DUMMYFUNCTION("GOOGLETRANSLATE(A8903,""en"",""fi"")"),"Jäisiä suomuja putoaa sen siivistä kuin lunta sen lentäessä peltojen ja vuorten yli. Sen siipien lämpötila on alle −290 celsiusastetta.")</f>
        <v>Jäisiä suomuja putoaa sen siivistä kuin lunta sen lentäessä peltojen ja vuorten yli. Sen siipien lämpötila on alle −290 celsiusastetta.</v>
      </c>
      <c r="C8903" s="9" t="s">
        <v>1344</v>
      </c>
    </row>
    <row r="8904" ht="33.75" customHeight="1">
      <c r="A8904" s="6" t="s">
        <v>13139</v>
      </c>
      <c r="B8904" s="6" t="str">
        <f>IFERROR(__xludf.DUMMYFUNCTION("GOOGLETRANSLATE(A8904,""en"",""fi"")"),"Se ei armahda ketään, joka häpäisee peltoja ja vuoria. Se lentää jäisillä siivillään ja aiheuttaa lumimyrskyn, joka ajaa loukkaajat pois.")</f>
        <v>Se ei armahda ketään, joka häpäisee peltoja ja vuoria. Se lentää jäisillä siivillään ja aiheuttaa lumimyrskyn, joka ajaa loukkaajat pois.</v>
      </c>
      <c r="C8904" s="9" t="s">
        <v>1344</v>
      </c>
    </row>
    <row r="8905" ht="33.75" customHeight="1">
      <c r="A8905" s="6" t="s">
        <v>13141</v>
      </c>
      <c r="B8905" s="6" t="str">
        <f>IFERROR(__xludf.DUMMYFUNCTION("GOOGLETRANSLATE(A8905,""en"",""fi"")"),"Se seisoo ruohoalueilla ja katselee auringon laskeutumista zeniitistä horisonttiin. Tällä Pokémonilla on kyky antaa dynaamisia potkuja.")</f>
        <v>Se seisoo ruohoalueilla ja katselee auringon laskeutumista zeniitistä horisonttiin. Tällä Pokémonilla on kyky antaa dynaamisia potkuja.</v>
      </c>
      <c r="C8905" s="9" t="s">
        <v>1344</v>
      </c>
    </row>
    <row r="8906" ht="33.75" customHeight="1">
      <c r="A8906" s="6" t="s">
        <v>13142</v>
      </c>
      <c r="B8906" s="6" t="str">
        <f>IFERROR(__xludf.DUMMYFUNCTION("GOOGLETRANSLATE(A8906,""en"",""fi"")"),"Kerran vuodessa, tiettynä päivänä ja tiettyyn aikaan, he kokoontuvat tyhjästä ja muodostavat ympyrän.")</f>
        <v>Kerran vuodessa, tiettynä päivänä ja tiettyyn aikaan, he kokoontuvat tyhjästä ja muodostavat ympyrän.</v>
      </c>
      <c r="C8906" s="9" t="s">
        <v>1344</v>
      </c>
    </row>
    <row r="8907" ht="33.75" customHeight="1">
      <c r="A8907" s="6" t="s">
        <v>13143</v>
      </c>
      <c r="B8907" s="6" t="str">
        <f>IFERROR(__xludf.DUMMYFUNCTION("GOOGLETRANSLATE(A8907,""en"",""fi"")"),"Se ajelehti kylmältä paikalta virtaavien merivesien mukana. Se pitää päänsä jatkuvasti jäässä pysyäkseen mukavan kylmänä.")</f>
        <v>Se ajelehti kylmältä paikalta virtaavien merivesien mukana. Se pitää päänsä jatkuvasti jäässä pysyäkseen mukavan kylmänä.</v>
      </c>
      <c r="C8907" s="9" t="s">
        <v>1344</v>
      </c>
    </row>
    <row r="8908" ht="33.75" customHeight="1">
      <c r="A8908" s="6" t="s">
        <v>13144</v>
      </c>
      <c r="B8908" s="6" t="str">
        <f>IFERROR(__xludf.DUMMYFUNCTION("GOOGLETRANSLATE(A8908,""en"",""fi"")"),"Tämä Pokémon pitää lämpöherkän päänsä viileänä jäällä. Se kalastaa ruokansa ja houkuttelee saalista roikottamalla yksittäisiä karvojaan mereen.")</f>
        <v>Tämä Pokémon pitää lämpöherkän päänsä viileänä jäällä. Se kalastaa ruokansa ja houkuttelee saalista roikottamalla yksittäisiä karvojaan mereen.</v>
      </c>
      <c r="C8908" s="9" t="s">
        <v>1344</v>
      </c>
    </row>
    <row r="8909" ht="33.75" customHeight="1">
      <c r="A8909" s="6" t="s">
        <v>13145</v>
      </c>
      <c r="B8909" s="6" t="str">
        <f>IFERROR(__xludf.DUMMYFUNCTION("GOOGLETRANSLATE(A8909,""en"",""fi"")"),"Se käyttää päässään olevia sarvia aistiakseen muiden tunteita. Urokset toimivat palvelijoinaan ja huolehtivat heidän jokaisesta tarpeestaan.")</f>
        <v>Se käyttää päässään olevia sarvia aistiakseen muiden tunteita. Urokset toimivat palvelijoinaan ja huolehtivat heidän jokaisesta tarpeestaan.</v>
      </c>
      <c r="C8909" s="9" t="s">
        <v>1344</v>
      </c>
    </row>
    <row r="8910" ht="33.75" customHeight="1">
      <c r="A8910" s="6" t="s">
        <v>13146</v>
      </c>
      <c r="B8910" s="6" t="str">
        <f>IFERROR(__xludf.DUMMYFUNCTION("GOOGLETRANSLATE(A8910,""en"",""fi"")"),"Sarviensa kautta se voi aistia ympärillään olevien olentojen tunteita. Positiiviset tunteet ovat sen voiman lähde.")</f>
        <v>Sarviensa kautta se voi aistia ympärillään olevien olentojen tunteita. Positiiviset tunteet ovat sen voiman lähde.</v>
      </c>
      <c r="C8910" s="9" t="s">
        <v>1344</v>
      </c>
    </row>
    <row r="8911" ht="33.75" customHeight="1">
      <c r="A8911" s="6" t="s">
        <v>13147</v>
      </c>
      <c r="B8911" s="6" t="str">
        <f>IFERROR(__xludf.DUMMYFUNCTION("GOOGLETRANSLATE(A8911,""en"",""fi"")"),"Syödessään taskumaisissa pusseissaan varastoituja siemeniä tämä Pokémon ei ainoastaan ​​tyydytä jatkuvaa nälkäänsä, vaan se myös tuottaa sähköä.")</f>
        <v>Syödessään taskumaisissa pusseissaan varastoituja siemeniä tämä Pokémon ei ainoastaan ​​tyydytä jatkuvaa nälkäänsä, vaan se myös tuottaa sähköä.</v>
      </c>
      <c r="C8911" s="9" t="s">
        <v>1344</v>
      </c>
    </row>
    <row r="8912" ht="33.75" customHeight="1">
      <c r="A8912" s="6" t="s">
        <v>13148</v>
      </c>
      <c r="B8912" s="6" t="str">
        <f>IFERROR(__xludf.DUMMYFUNCTION("GOOGLETRANSLATE(A8912,""en"",""fi"")"),"Se kantaa mukanaan sähköisesti paahdettuja siemeniä kuin arvokkaita aarteita. Syöpä se kuinka paljon tahansa, se tulee aina pian uudelleen nälkäiseksi.")</f>
        <v>Se kantaa mukanaan sähköisesti paahdettuja siemeniä kuin arvokkaita aarteita. Syöpä se kuinka paljon tahansa, se tulee aina pian uudelleen nälkäiseksi.</v>
      </c>
      <c r="C8912" s="9" t="s">
        <v>1344</v>
      </c>
    </row>
    <row r="8913" ht="33.75" customHeight="1">
      <c r="A8913" s="6" t="s">
        <v>13150</v>
      </c>
      <c r="B8913" s="6" t="str">
        <f>IFERROR(__xludf.DUMMYFUNCTION("GOOGLETRANSLATE(A8913,""en"",""fi"")"),"Se kaivaa maan ylös rungollaan. Se on myös erittäin vahva ja pystyy kantamaan yli viiden tonnin kuormia ilman ongelmia.")</f>
        <v>Se kaivaa maan ylös rungollaan. Se on myös erittäin vahva ja pystyy kantamaan yli viiden tonnin kuormia ilman ongelmia.</v>
      </c>
      <c r="C8913" s="9" t="s">
        <v>1344</v>
      </c>
    </row>
    <row r="8914" ht="33.75" customHeight="1">
      <c r="A8914" s="6" t="s">
        <v>13151</v>
      </c>
      <c r="B8914" s="6" t="str">
        <f>IFERROR(__xludf.DUMMYFUNCTION("GOOGLETRANSLATE(A8914,""en"",""fi"")"),"Jos työ vaatii vakavaa voimaa, tämä Pokémon loistaa siinä. Sen kuparinvärinen ruumis tummuu sateessa muuttuen eloisan vihreäksi.")</f>
        <v>Jos työ vaatii vakavaa voimaa, tämä Pokémon loistaa siinä. Sen kuparinvärinen ruumis tummuu sateessa muuttuen eloisan vihreäksi.</v>
      </c>
      <c r="C8914" s="9" t="s">
        <v>1344</v>
      </c>
    </row>
    <row r="8915" ht="33.75" customHeight="1">
      <c r="A8915" s="6" t="s">
        <v>13153</v>
      </c>
      <c r="B8915" s="6" t="str">
        <f>IFERROR(__xludf.DUMMYFUNCTION("GOOGLETRANSLATE(A8915,""en"",""fi"")"),"Ne tulivat toiselta alueelta kauan sitten ja työskentelivät yhdessä ihmisten kanssa. Niiden vihreä iho on vettähylkivä.")</f>
        <v>Ne tulivat toiselta alueelta kauan sitten ja työskentelivät yhdessä ihmisten kanssa. Niiden vihreä iho on vettähylkivä.</v>
      </c>
      <c r="C8915" s="9" t="s">
        <v>1344</v>
      </c>
    </row>
    <row r="8916" ht="33.75" customHeight="1">
      <c r="A8916" s="6" t="s">
        <v>13156</v>
      </c>
      <c r="B8916" s="6" t="str">
        <f>IFERROR(__xludf.DUMMYFUNCTION("GOOGLETRANSLATE(A8916,""en"",""fi"")"),"Nämä Pokémonit elävät laumoissa. Niiden kärsillä on uskomaton otevoima, joka on riittävän vahva murskaamaan jättimäisiä kiviä tomuksi.")</f>
        <v>Nämä Pokémonit elävät laumoissa. Niiden kärsillä on uskomaton otevoima, joka on riittävän vahva murskaamaan jättimäisiä kiviä tomuksi.</v>
      </c>
      <c r="C8916" s="9" t="s">
        <v>1344</v>
      </c>
    </row>
    <row r="8917" ht="33.75" customHeight="1">
      <c r="A8917" s="6" t="s">
        <v>13158</v>
      </c>
      <c r="B8917" s="6" t="str">
        <f>IFERROR(__xludf.DUMMYFUNCTION("GOOGLETRANSLATE(A8917,""en"",""fi"")"),"Muinaisina aikoina se oli lyömätön voimakkaan alavartalonsa ansiosta, mutta se kuoli sukupuuttoon joka tapauksessa, kun se oli ehtyttänyt kaikki kasviperäiset ravinnonlähteensä.")</f>
        <v>Muinaisina aikoina se oli lyömätön voimakkaan alavartalonsa ansiosta, mutta se kuoli sukupuuttoon joka tapauksessa, kun se oli ehtyttänyt kaikki kasviperäiset ravinnonlähteensä.</v>
      </c>
      <c r="C8917" s="9" t="s">
        <v>1344</v>
      </c>
    </row>
    <row r="8918" ht="33.75" customHeight="1">
      <c r="A8918" s="6" t="s">
        <v>13161</v>
      </c>
      <c r="B8918" s="6" t="str">
        <f>IFERROR(__xludf.DUMMYFUNCTION("GOOGLETRANSLATE(A8918,""en"",""fi"")"),"Sen hännän voimakkaat lihakset tuottavat sille sähköä. Verrattuna sen alavartaloon sen ylävartalo on aivan liian pieni.")</f>
        <v>Sen hännän voimakkaat lihakset tuottavat sille sähköä. Verrattuna sen alavartaloon sen ylävartalo on aivan liian pieni.</v>
      </c>
      <c r="C8918" s="9" t="s">
        <v>1344</v>
      </c>
    </row>
    <row r="8919" ht="33.75" customHeight="1">
      <c r="A8919" s="6" t="s">
        <v>13163</v>
      </c>
      <c r="B8919" s="6" t="str">
        <f>IFERROR(__xludf.DUMMYFUNCTION("GOOGLETRANSLATE(A8919,""en"",""fi"")"),"Sen jäätyneen yläosan tärinä tuottaa sen sähköä. Sen on vaikea kävellä ympäriinsä.")</f>
        <v>Sen jäätyneen yläosan tärinä tuottaa sen sähköä. Sen on vaikea kävellä ympäriinsä.</v>
      </c>
      <c r="C8919" s="9" t="s">
        <v>1344</v>
      </c>
    </row>
    <row r="8920" ht="33.75" customHeight="1">
      <c r="A8920" s="6" t="s">
        <v>13165</v>
      </c>
      <c r="B8920" s="6" t="str">
        <f>IFERROR(__xludf.DUMMYFUNCTION("GOOGLETRANSLATE(A8920,""en"",""fi"")"),"Tämä Pokémon eli esihistoriallisilla merenrannoilla ja kykeni säilyttämään ruokaa ruumiinsa jään avulla. Se kuoli sukupuuttoon, koska se liikkui niin hitaasti.")</f>
        <v>Tämä Pokémon eli esihistoriallisilla merenrannoilla ja kykeni säilyttämään ruokaa ruumiinsa jään avulla. Se kuoli sukupuuttoon, koska se liikkui niin hitaasti.</v>
      </c>
      <c r="C8920" s="9" t="s">
        <v>1344</v>
      </c>
    </row>
    <row r="8921" ht="33.75" customHeight="1">
      <c r="A8921" s="6" t="s">
        <v>13167</v>
      </c>
      <c r="B8921" s="6" t="str">
        <f>IFERROR(__xludf.DUMMYFUNCTION("GOOGLETRANSLATE(A8921,""en"",""fi"")"),"Voimakkaat jalat ja leuat tekivät siitä aikansa huippupedon. Sen oma saaliin metsästys ajoi sen sukupuuttoon.")</f>
        <v>Voimakkaat jalat ja leuat tekivät siitä aikansa huippupedon. Sen oma saaliin metsästys ajoi sen sukupuuttoon.</v>
      </c>
      <c r="C8921" s="9" t="s">
        <v>1344</v>
      </c>
    </row>
    <row r="8922" ht="33.75" customHeight="1">
      <c r="A8922" s="6" t="s">
        <v>13168</v>
      </c>
      <c r="B8922" s="6" t="str">
        <f>IFERROR(__xludf.DUMMYFUNCTION("GOOGLETRANSLATE(A8922,""en"",""fi"")"),"Sen mahtavat jalat pystyvät juoksemaan yli 64 km/h nopeudella, mutta tämä Pokémon ei voi hengittää, ellei se ole veden alla.")</f>
        <v>Sen mahtavat jalat pystyvät juoksemaan yli 64 km/h nopeudella, mutta tämä Pokémon ei voi hengittää, ellei se ole veden alla.</v>
      </c>
      <c r="C8922" s="9" t="s">
        <v>1344</v>
      </c>
    </row>
    <row r="8923" ht="33.75" customHeight="1">
      <c r="A8923" s="6" t="s">
        <v>13170</v>
      </c>
      <c r="B8923" s="6" t="str">
        <f>IFERROR(__xludf.DUMMYFUNCTION("GOOGLETRANSLATE(A8923,""en"",""fi"")"),"Vaikka se pystyy nappaamaan saaliin jäädyttämällä ympäristönsä, sillä on vaikeuksia syödä saalista jälkikäteen, koska sen suu on pään päällä.")</f>
        <v>Vaikka se pystyy nappaamaan saaliin jäädyttämällä ympäristönsä, sillä on vaikeuksia syödä saalista jälkikäteen, koska sen suu on pään päällä.</v>
      </c>
      <c r="C8923" s="9" t="s">
        <v>1344</v>
      </c>
    </row>
    <row r="8924" ht="33.75" customHeight="1">
      <c r="A8924" s="6" t="s">
        <v>13171</v>
      </c>
      <c r="B8924" s="6" t="str">
        <f>IFERROR(__xludf.DUMMYFUNCTION("GOOGLETRANSLATE(A8924,""en"",""fi"")"),"Sen kasvojen iho on hyökkäyksille vastustuskykyinen, mutta hengitysvaikeudet tekivät tästä Pokémonista joka tapauksessa sukupuuttoon kuolleen.")</f>
        <v>Sen kasvojen iho on hyökkäyksille vastustuskykyinen, mutta hengitysvaikeudet tekivät tästä Pokémonista joka tapauksessa sukupuuttoon kuolleen.</v>
      </c>
      <c r="C8924" s="9" t="s">
        <v>1344</v>
      </c>
    </row>
    <row r="8925" ht="33.75" customHeight="1">
      <c r="A8925" s="6" t="s">
        <v>13172</v>
      </c>
      <c r="B8925" s="6" t="str">
        <f>IFERROR(__xludf.DUMMYFUNCTION("GOOGLETRANSLATE(A8925,""en"",""fi"")"),"Sen runko muistuttaa kiillotettua metallia, ja se on sekä kevyt että vahva. Ainoa haittapuoli on, että se ruostuu helposti.")</f>
        <v>Sen runko muistuttaa kiillotettua metallia, ja se on sekä kevyt että vahva. Ainoa haittapuoli on, että se ruostuu helposti.</v>
      </c>
      <c r="C8925" s="9" t="s">
        <v>1344</v>
      </c>
    </row>
    <row r="8926" ht="33.75" customHeight="1">
      <c r="A8926" s="6" t="s">
        <v>13174</v>
      </c>
      <c r="B8926" s="6" t="str">
        <f>IFERROR(__xludf.DUMMYFUNCTION("GOOGLETRANSLATE(A8926,""en"",""fi"")"),"Sen ruumiin muodostava erityinen metalli on erittäin kevyttä, joten tällä Pokémonilla on huomattavaa ketteryyttä. Se asuu luolissa, koska se ei pidä sateesta.")</f>
        <v>Sen ruumiin muodostava erityinen metalli on erittäin kevyttä, joten tällä Pokémonilla on huomattavaa ketteryyttä. Se asuu luolissa, koska se ei pidä sateesta.</v>
      </c>
      <c r="C8926" s="9" t="s">
        <v>1344</v>
      </c>
    </row>
    <row r="8927" ht="33.75" customHeight="1">
      <c r="A8927" s="6" t="s">
        <v>13175</v>
      </c>
      <c r="B8927" s="6" t="str">
        <f>IFERROR(__xludf.DUMMYFUNCTION("GOOGLETRANSLATE(A8927,""en"",""fi"")"),"Synnyttyään uudelleen haamu-Pokémoniksi Dreepy vaeltaa alueilla, joilla se asutti aikoinaan esihistoriallisissa merissä.")</f>
        <v>Synnyttyään uudelleen haamu-Pokémoniksi Dreepy vaeltaa alueilla, joilla se asutti aikoinaan esihistoriallisissa merissä.</v>
      </c>
      <c r="C8927" s="9" t="s">
        <v>1344</v>
      </c>
    </row>
    <row r="8928" ht="33.75" customHeight="1">
      <c r="A8928" s="6" t="s">
        <v>13176</v>
      </c>
      <c r="B8928" s="6" t="str">
        <f>IFERROR(__xludf.DUMMYFUNCTION("GOOGLETRANSLATE(A8928,""en"",""fi"")"),"Jos tämä heikko Pokémon on yksin, pelkkä lapsi voisi voittaa sen. Mutta jos Dreepyllä on ystäviä auttamassa sitä kouluttautumisessa, se voi kehittyä ja tulla paljon vahvemmaksi.")</f>
        <v>Jos tämä heikko Pokémon on yksin, pelkkä lapsi voisi voittaa sen. Mutta jos Dreepyllä on ystäviä auttamassa sitä kouluttautumisessa, se voi kehittyä ja tulla paljon vahvemmaksi.</v>
      </c>
      <c r="C8928" s="9" t="s">
        <v>1344</v>
      </c>
    </row>
    <row r="8929" ht="33.75" customHeight="1">
      <c r="A8929" s="6" t="s">
        <v>13177</v>
      </c>
      <c r="B8929" s="6" t="str">
        <f>IFERROR(__xludf.DUMMYFUNCTION("GOOGLETRANSLATE(A8929,""en"",""fi"")"),"Se pystyy lentämään yli 190 km/h nopeudella. Se taistelee Dreepyn rinnalla ja himoitsee heitä, kunnes he kehittyvät onnistuneesti.")</f>
        <v>Se pystyy lentämään yli 190 km/h nopeudella. Se taistelee Dreepyn rinnalla ja himoitsee heitä, kunnes he kehittyvät onnistuneesti.</v>
      </c>
      <c r="C8929" s="9" t="s">
        <v>1344</v>
      </c>
    </row>
    <row r="8930" ht="33.75" customHeight="1">
      <c r="A8930" s="6" t="s">
        <v>13178</v>
      </c>
      <c r="B8930" s="6" t="str">
        <f>IFERROR(__xludf.DUMMYFUNCTION("GOOGLETRANSLATE(A8930,""en"",""fi"")"),"Ilman päähänsä asetettavaa ja hoidettavaa Dreepyä se levottomaksi muuttuu niin, että se yrittää korvata kadonneen Dreepyn millä tahansa löytämällään Pokémonilla.")</f>
        <v>Ilman päähänsä asetettavaa ja hoidettavaa Dreepyä se levottomaksi muuttuu niin, että se yrittää korvata kadonneen Dreepyn millä tahansa löytämällään Pokémonilla.</v>
      </c>
      <c r="C8930" s="9" t="s">
        <v>1344</v>
      </c>
    </row>
    <row r="8931" ht="33.75" customHeight="1">
      <c r="A8931" s="6" t="s">
        <v>13179</v>
      </c>
      <c r="B8931" s="6" t="str">
        <f>IFERROR(__xludf.DUMMYFUNCTION("GOOGLETRANSLATE(A8931,""en"",""fi"")"),"Kun se ei taistele, se pitää Dreepyn sarviensa rei'issä. Taistelun alkaessa se laukaisee Dreepyn kuin yliääniohjukset.")</f>
        <v>Kun se ei taistele, se pitää Dreepyn sarviensa rei'issä. Taistelun alkaessa se laukaisee Dreepyn kuin yliääniohjukset.</v>
      </c>
      <c r="C8931" s="9" t="s">
        <v>1344</v>
      </c>
    </row>
    <row r="8932" ht="33.75" customHeight="1">
      <c r="A8932" s="6" t="s">
        <v>13181</v>
      </c>
      <c r="B8932" s="6" t="str">
        <f>IFERROR(__xludf.DUMMYFUNCTION("GOOGLETRANSLATE(A8932,""en"",""fi"")"),"Ilmeisesti Dragapultin sarvien sisällä oleva Dreepy odottaa innolla Mach-nopeuksilla laukaistavaa Dreepyä.")</f>
        <v>Ilmeisesti Dragapultin sarvien sisällä oleva Dreepy odottaa innolla Mach-nopeuksilla laukaistavaa Dreepyä.</v>
      </c>
      <c r="C8932" s="9" t="s">
        <v>1344</v>
      </c>
    </row>
    <row r="8933" ht="33.75" customHeight="1">
      <c r="A8933" s="6" t="s">
        <v>13183</v>
      </c>
      <c r="B8933" s="6" t="str">
        <f>IFERROR(__xludf.DUMMYFUNCTION("GOOGLETRANSLATE(A8933,""en"",""fi"")"),"Legendaarisena sankarina tunnettu Pokémon imee metallihiukkasia ja muuttaa ne taisteluaseeksi.")</f>
        <v>Legendaarisena sankarina tunnettu Pokémon imee metallihiukkasia ja muuttaa ne taisteluaseeksi.</v>
      </c>
      <c r="C8933" s="9" t="s">
        <v>1344</v>
      </c>
    </row>
    <row r="8934" ht="33.75" customHeight="1">
      <c r="A8934" s="6" t="s">
        <v>13185</v>
      </c>
      <c r="B8934" s="6" t="str">
        <f>IFERROR(__xludf.DUMMYFUNCTION("GOOGLETRANSLATE(A8934,""en"",""fi"")"),"Tämä Pokémon on nukkunut vuosia. Jotkut sanovat sen olevan Zamazentan isosisko – toiset sanovat, että nämä kaksi Pokémonia ovat kilpailijoita.")</f>
        <v>Tämä Pokémon on nukkunut vuosia. Jotkut sanovat sen olevan Zamazentan isosisko – toiset sanovat, että nämä kaksi Pokémonia ovat kilpailijoita.</v>
      </c>
      <c r="C8934" s="9" t="s">
        <v>1344</v>
      </c>
    </row>
    <row r="8935" ht="33.75" customHeight="1">
      <c r="A8935" s="6" t="s">
        <v>13189</v>
      </c>
      <c r="B8935" s="6" t="str">
        <f>IFERROR(__xludf.DUMMYFUNCTION("GOOGLETRANSLATE(A8935,""en"",""fi"")"),"Menneisyydessä se työskenteli yhdessä kansan kuninkaan kanssa pelastaakseen Galarin alueen. Se imee metallia, jota se sitten käyttää taistelussa.")</f>
        <v>Menneisyydessä se työskenteli yhdessä kansan kuninkaan kanssa pelastaakseen Galarin alueen. Se imee metallia, jota se sitten käyttää taistelussa.</v>
      </c>
      <c r="C8935" s="9" t="s">
        <v>1344</v>
      </c>
    </row>
    <row r="8936" ht="33.75" customHeight="1">
      <c r="A8936" s="6" t="s">
        <v>13192</v>
      </c>
      <c r="B8936" s="6" t="str">
        <f>IFERROR(__xludf.DUMMYFUNCTION("GOOGLETRANSLATE(A8936,""en"",""fi"")"),"Tämä Pokémon nukkui aionien ajan patsaan muodossa. Se nukkui niin kauan, että ihmiset unohtivat sen olemassaolon.")</f>
        <v>Tämä Pokémon nukkui aionien ajan patsaan muodossa. Se nukkui niin kauan, että ihmiset unohtivat sen olemassaolon.</v>
      </c>
      <c r="C8936" s="9" t="s">
        <v>1344</v>
      </c>
    </row>
    <row r="8937" ht="33.75" customHeight="1">
      <c r="A8937" s="6" t="s">
        <v>13193</v>
      </c>
      <c r="B8937" s="6" t="str">
        <f>IFERROR(__xludf.DUMMYFUNCTION("GOOGLETRANSLATE(A8937,""en"",""fi"")"),"Sen rinnassa oleva ydin imee itseensä Galarin alueen mailta tulevaa energiaa. Tämä energia antaa Eternatuksen pysyä aktiivisena.")</f>
        <v>Sen rinnassa oleva ydin imee itseensä Galarin alueen mailta tulevaa energiaa. Tämä energia antaa Eternatuksen pysyä aktiivisena.</v>
      </c>
      <c r="C8937" s="9" t="s">
        <v>1344</v>
      </c>
    </row>
    <row r="8938" ht="33.75" customHeight="1">
      <c r="A8938" s="6" t="s">
        <v>13195</v>
      </c>
      <c r="B8938" s="6" t="str">
        <f>IFERROR(__xludf.DUMMYFUNCTION("GOOGLETRANSLATE(A8938,""en"",""fi"")"),"Se oli meteoriitin sisällä, joka putosi 20 000 vuotta sitten. Tämän Pokémonin ja Dynamax-ilmiön välillä näyttää olevan yhteys.")</f>
        <v>Se oli meteoriitin sisällä, joka putosi 20 000 vuotta sitten. Tämän Pokémonin ja Dynamax-ilmiön välillä näyttää olevan yhteys.</v>
      </c>
      <c r="C8938" s="9" t="s">
        <v>1344</v>
      </c>
    </row>
    <row r="8939" ht="33.75" customHeight="1">
      <c r="A8939" s="6" t="s">
        <v>13197</v>
      </c>
      <c r="B8939" s="6" t="str">
        <f>IFERROR(__xludf.DUMMYFUNCTION("GOOGLETRANSLATE(A8939,""en"",""fi"")"),"Kubfu harjoittelee ahkerasti täydellistääkseen liikkeitään. Sen hallitsemat liikkeet määräävät, minkä muodon se ottaa kehittyessään.")</f>
        <v>Kubfu harjoittelee ahkerasti täydellistääkseen liikkeitään. Sen hallitsemat liikkeet määräävät, minkä muodon se ottaa kehittyessään.</v>
      </c>
      <c r="C8939" s="9" t="s">
        <v>1344</v>
      </c>
    </row>
    <row r="8940" ht="33.75" customHeight="1">
      <c r="A8940" s="6" t="s">
        <v>13198</v>
      </c>
      <c r="B8940" s="6" t="str">
        <f>IFERROR(__xludf.DUMMYFUNCTION("GOOGLETRANSLATE(A8940,""en"",""fi"")"),"Jos Kubfu vetää sen pitkät valkoiset hiukset päähän, sen taistelutahto voimistuu ja voima kumpuaa sen vatsan syvyyksistä.")</f>
        <v>Jos Kubfu vetää sen pitkät valkoiset hiukset päähän, sen taistelutahto voimistuu ja voima kumpuaa sen vatsan syvyyksistä.</v>
      </c>
      <c r="C8940" s="9" t="s">
        <v>1344</v>
      </c>
    </row>
    <row r="8941" ht="33.75" customHeight="1">
      <c r="A8941" s="6" t="s">
        <v>13200</v>
      </c>
      <c r="B8941" s="6" t="str">
        <f>IFERROR(__xludf.DUMMYFUNCTION("GOOGLETRANSLATE(A8941,""en"",""fi"")"),"Tämä Urshifu-muoto uskoo vahvasti yhden osuman tyrmäykseen. Sen strategiana on hypätä lähelle vihollista ja iskeä tuhoisa isku kovetetulla nyrkillä.")</f>
        <v>Tämä Urshifu-muoto uskoo vahvasti yhden osuman tyrmäykseen. Sen strategiana on hypätä lähelle vihollista ja iskeä tuhoisa isku kovetetulla nyrkillä.</v>
      </c>
      <c r="C8941" s="9" t="s">
        <v>1344</v>
      </c>
    </row>
    <row r="8942" ht="33.75" customHeight="1">
      <c r="A8942" s="6" t="s">
        <v>13202</v>
      </c>
      <c r="B8942" s="6" t="str">
        <f>IFERROR(__xludf.DUMMYFUNCTION("GOOGLETRANSLATE(A8942,""en"",""fi"")"),"Kaukaisen alueen vuorilla asuen tämä Pokémon kiitää jyrkkien kallioiden yli harjoitellen jalkojaan ja hioen liikkeitään.")</f>
        <v>Kaukaisen alueen vuorilla asuen tämä Pokémon kiitää jyrkkien kallioiden yli harjoitellen jalkojaan ja hioen liikkeitään.</v>
      </c>
      <c r="C8942" s="9" t="s">
        <v>1344</v>
      </c>
    </row>
    <row r="8943" ht="33.75" customHeight="1">
      <c r="A8943" s="6" t="s">
        <v>13203</v>
      </c>
      <c r="B8943" s="6" t="str">
        <f>IFERROR(__xludf.DUMMYFUNCTION("GOOGLETRANSLATE(A8943,""en"",""fi"")"),"Tiheissä metsissä tämä Pokémon elää laumassa muiden lajitovereidensa kanssa. Se on uskomattoman aggressiivinen, ja metsän muut Pokémonit pelkäävät sitä.")</f>
        <v>Tiheissä metsissä tämä Pokémon elää laumassa muiden lajitovereidensa kanssa. Se on uskomattoman aggressiivinen, ja metsän muut Pokémonit pelkäävät sitä.</v>
      </c>
      <c r="C8943" s="9" t="s">
        <v>1344</v>
      </c>
    </row>
    <row r="8944" ht="33.75" customHeight="1">
      <c r="A8944" s="6" t="s">
        <v>13205</v>
      </c>
      <c r="B8944" s="6" t="str">
        <f>IFERROR(__xludf.DUMMYFUNCTION("GOOGLETRANSLATE(A8944,""en"",""fi"")"),"Kun Zaruden ruumiin köynnökset repeävät irti, niistä tulee maaperän ravinteita. Tämä auttaa metsän kasveja kasvamaan.")</f>
        <v>Kun Zaruden ruumiin köynnökset repeävät irti, niistä tulee maaperän ravinteita. Tämä auttaa metsän kasveja kasvamaan.</v>
      </c>
      <c r="C8944" s="9" t="s">
        <v>1344</v>
      </c>
    </row>
    <row r="8945" ht="33.75" customHeight="1">
      <c r="A8945" s="6" t="s">
        <v>13206</v>
      </c>
      <c r="B8945" s="6" t="str">
        <f>IFERROR(__xludf.DUMMYFUNCTION("GOOGLETRANSLATE(A8945,""en"",""fi"")"),"Tämä Pokémon on sähköenergiaryppä. Sanotaan, että Regielekin kehosta olevien renkaiden poistaminen vapauttaa Pokémonin piilevän voiman.")</f>
        <v>Tämä Pokémon on sähköenergiaryppä. Sanotaan, että Regielekin kehosta olevien renkaiden poistaminen vapauttaa Pokémonin piilevän voiman.</v>
      </c>
      <c r="C8945" s="9" t="s">
        <v>1344</v>
      </c>
    </row>
    <row r="8946" ht="33.75" customHeight="1">
      <c r="A8946" s="6" t="s">
        <v>13208</v>
      </c>
      <c r="B8946" s="6" t="str">
        <f>IFERROR(__xludf.DUMMYFUNCTION("GOOGLETRANSLATE(A8946,""en"",""fi"")"),"Sen koko keho koostuu yhdestä elimestä, joka tuottaa sähköenergiaa. Regieleki pystyy tuottamaan kaiken Galarin sähkön.")</f>
        <v>Sen koko keho koostuu yhdestä elimestä, joka tuottaa sähköenergiaa. Regieleki pystyy tuottamaan kaiken Galarin sähkön.</v>
      </c>
      <c r="C8946" s="9" t="s">
        <v>1344</v>
      </c>
    </row>
    <row r="8947" ht="33.75" customHeight="1">
      <c r="A8947" s="6" t="s">
        <v>13209</v>
      </c>
      <c r="B8947" s="6" t="str">
        <f>IFERROR(__xludf.DUMMYFUNCTION("GOOGLETRANSLATE(A8947,""en"",""fi"")"),"Akateemisen teorian mukaan Regidragon käsivarret olivat aikoinaan muinaisen lohikäärme-Pokémonin pää. Teoriaa ei ole vielä todistettu.")</f>
        <v>Akateemisen teorian mukaan Regidragon käsivarret olivat aikoinaan muinaisen lohikäärme-Pokémonin pää. Teoriaa ei ole vielä todistettu.</v>
      </c>
      <c r="C8947" s="9" t="s">
        <v>1344</v>
      </c>
    </row>
    <row r="8948" ht="33.75" customHeight="1">
      <c r="A8948" s="6" t="s">
        <v>13210</v>
      </c>
      <c r="B8948" s="6" t="str">
        <f>IFERROR(__xludf.DUMMYFUNCTION("GOOGLETRANSLATE(A8948,""en"",""fi"")"),"Sen keho koostuu kiteytyneestä lohikäärmeenergiasta. Regidragolla sanotaan olevan jokaisen lohikäärme-Pokémonin voimat.")</f>
        <v>Sen keho koostuu kiteytyneestä lohikäärmeenergiasta. Regidragolla sanotaan olevan jokaisen lohikäärme-Pokémonin voimat.</v>
      </c>
      <c r="C8948" s="9" t="s">
        <v>1344</v>
      </c>
    </row>
    <row r="8949" ht="33.75" customHeight="1">
      <c r="A8949" s="6" t="s">
        <v>13212</v>
      </c>
      <c r="B8949" s="6" t="str">
        <f>IFERROR(__xludf.DUMMYFUNCTION("GOOGLETRANSLATE(A8949,""en"",""fi"")"),"Glastrier erittää kavioistaan ​​voimakasta kylmyyttä. Se on myös sotaisa Pokémon – se ottaa kaiken, mitä haluaa, väkisin.")</f>
        <v>Glastrier erittää kavioistaan ​​voimakasta kylmyyttä. Se on myös sotaisa Pokémon – se ottaa kaiken, mitä haluaa, väkisin.</v>
      </c>
      <c r="C8949" s="9" t="s">
        <v>1344</v>
      </c>
    </row>
    <row r="8950" ht="33.75" customHeight="1">
      <c r="A8950" s="6" t="s">
        <v>13213</v>
      </c>
      <c r="B8950" s="6" t="str">
        <f>IFERROR(__xludf.DUMMYFUNCTION("GOOGLETRANSLATE(A8950,""en"",""fi"")"),"Glastrierilla on valtava fyysinen voima, ja sen kasvoja peittävä jäänaamio on 100 kertaa kovempi kuin timantti.")</f>
        <v>Glastrierilla on valtava fyysinen voima, ja sen kasvoja peittävä jäänaamio on 100 kertaa kovempi kuin timantti.</v>
      </c>
      <c r="C8950" s="9" t="s">
        <v>1344</v>
      </c>
    </row>
    <row r="8951" ht="33.75" customHeight="1">
      <c r="A8951" s="6" t="s">
        <v>13215</v>
      </c>
      <c r="B8951" s="6" t="str">
        <f>IFERROR(__xludf.DUMMYFUNCTION("GOOGLETRANSLATE(A8951,""en"",""fi"")"),"Se luotaa ympäristöään kaikilla aisteillaan yhtä lukuun ottamatta – se ei käytä näköaistiaan. Aaveen potkujen sanotaan erottavan sielun ruumiista.")</f>
        <v>Se luotaa ympäristöään kaikilla aisteillaan yhtä lukuun ottamatta – se ei käytä näköaistiaan. Aaveen potkujen sanotaan erottavan sielun ruumiista.</v>
      </c>
      <c r="C8951" s="9" t="s">
        <v>1344</v>
      </c>
    </row>
    <row r="8952" ht="33.75" customHeight="1">
      <c r="A8952" s="6" t="s">
        <v>13216</v>
      </c>
      <c r="B8952" s="6" t="str">
        <f>IFERROR(__xludf.DUMMYFUNCTION("GOOGLETRANSLATE(A8952,""en"",""fi"")"),"Yön halki kiitäessään Spectrier imee itseensä nukkuvien olentojen elämänvoiman. Se kaipaa hiljaisuutta ja yksinäisyyttä.")</f>
        <v>Yön halki kiitäessään Spectrier imee itseensä nukkuvien olentojen elämänvoiman. Se kaipaa hiljaisuutta ja yksinäisyyttä.</v>
      </c>
      <c r="C8952" s="9" t="s">
        <v>1344</v>
      </c>
    </row>
    <row r="8953" ht="33.75" customHeight="1">
      <c r="A8953" s="6" t="s">
        <v>13217</v>
      </c>
      <c r="B8953" s="6" t="str">
        <f>IFERROR(__xludf.DUMMYFUNCTION("GOOGLETRANSLATE(A8953,""en"",""fi"")"),"Calyrex on armollinen Pokémon, joka kykenee parantamaan ja siunaamaan. Se hallitsi Galarin aluetta menneinä aikoina.")</f>
        <v>Calyrex on armollinen Pokémon, joka kykenee parantamaan ja siunaamaan. Se hallitsi Galarin aluetta menneinä aikoina.</v>
      </c>
      <c r="C8953" s="9" t="s">
        <v>1344</v>
      </c>
    </row>
    <row r="8954" ht="33.75" customHeight="1">
      <c r="A8954" s="6" t="s">
        <v>13218</v>
      </c>
      <c r="B8954" s="6" t="str">
        <f>IFERROR(__xludf.DUMMYFUNCTION("GOOGLETRANSLATE(A8954,""en"",""fi"")"),"Calyrex tunnetaan legendoissa kuninkaana, joka hallitsi Galaria muinaisina aikoina. Sillä on voima saada sydämet korjaamaan ja kasvit kasvattamaan.")</f>
        <v>Calyrex tunnetaan legendoissa kuninkaana, joka hallitsi Galaria muinaisina aikoina. Sillä on voima saada sydämet korjaamaan ja kasvit kasvattamaan.</v>
      </c>
      <c r="C8954" s="9" t="s">
        <v>1344</v>
      </c>
    </row>
    <row r="8955" ht="33.75" customHeight="1">
      <c r="A8955" s="6" t="s">
        <v>13219</v>
      </c>
      <c r="B8955" s="6" t="str">
        <f>IFERROR(__xludf.DUMMYFUNCTION("GOOGLETRANSLATE(A8955,""en"",""fi"")"),"Mustat pallot loistavat oudosti, kun Pokémon pystyttää näkymättömiä esteitä. Sen parrasta irtoava turkki pitää lämmön hyvin ja on erittäin hyödyllinen materiaali talvivaatteissa.")</f>
        <v>Mustat pallot loistavat oudosti, kun Pokémon pystyttää näkymättömiä esteitä. Sen parrasta irtoava turkki pitää lämmön hyvin ja on erittäin hyödyllinen materiaali talvivaatteissa.</v>
      </c>
      <c r="C8955" s="9" t="s">
        <v>1344</v>
      </c>
    </row>
    <row r="8956" ht="33.75" customHeight="1">
      <c r="A8956" s="6" t="s">
        <v>13220</v>
      </c>
      <c r="B8956" s="6" t="str">
        <f>IFERROR(__xludf.DUMMYFUNCTION("GOOGLETRANSLATE(A8956,""en"",""fi"")"),"Väkivaltainen olento, joka kaataa korkeita puita karkeilla kirveillään ja suojaa itseään kovalla kivellä. Jos joku sattuu kohtaamaan tämän Pokémonin erämaassa, ainoa keino on paeta.")</f>
        <v>Väkivaltainen olento, joka kaataa korkeita puita karkeilla kirveillään ja suojaa itseään kovalla kivellä. Jos joku sattuu kohtaamaan tämän Pokémonin erämaassa, ainoa keino on paeta.</v>
      </c>
      <c r="C8956" s="9" t="s">
        <v>1344</v>
      </c>
    </row>
    <row r="8957" ht="33.75" customHeight="1">
      <c r="A8957" s="6" t="s">
        <v>13221</v>
      </c>
      <c r="B8957" s="6" t="str">
        <f>IFERROR(__xludf.DUMMYFUNCTION("GOOGLETRANSLATE(A8957,""en"",""fi"")"),"Uskon, että Hisuin soinen maasto antoi Ursalunalle sen rotevan fysiikan ja uuden kyvyn manipuloida turvetta mielensä mukaan.")</f>
        <v>Uskon, että Hisuin soinen maasto antoi Ursalunalle sen rotevan fysiikan ja uuden kyvyn manipuloida turvetta mielensä mukaan.</v>
      </c>
      <c r="C8957" s="9" t="s">
        <v>1344</v>
      </c>
    </row>
    <row r="8958" ht="33.75" customHeight="1">
      <c r="A8958" s="6" t="s">
        <v>13222</v>
      </c>
      <c r="B8958" s="6" t="str">
        <f>IFERROR(__xludf.DUMMYFUNCTION("GOOGLETRANSLATE(A8958,""en"",""fi"")"),"Verhoutuu tovereiden sieluihin, jotka menehtyivät ennen kuin olivat saavuttaneet tavoitteensa matkustaa ylävirtaan. Mikään muu laji Hisuin joissa ei ole Basculegionin veroinen.")</f>
        <v>Verhoutuu tovereiden sieluihin, jotka menehtyivät ennen kuin olivat saavuttaneet tavoitteensa matkustaa ylävirtaan. Mikään muu laji Hisuin joissa ei ole Basculegionin veroinen.</v>
      </c>
      <c r="C8958" s="9" t="s">
        <v>1344</v>
      </c>
    </row>
    <row r="8959" ht="33.75" customHeight="1">
      <c r="A8959" s="6" t="s">
        <v>13223</v>
      </c>
      <c r="B8959" s="6" t="str">
        <f>IFERROR(__xludf.DUMMYFUNCTION("GOOGLETRANSLATE(A8959,""en"",""fi"")"),"Sneaslerin myrkyllisen myrkyn ja pelottavan fyysisen kyvykkyyden vuoksi mikään muu laji ei voisi toivoa voittavansa sitä jäisillä ylängöillä. Yksinäisyyttä suosiva laji ei muodosta laumoja.")</f>
        <v>Sneaslerin myrkyllisen myrkyn ja pelottavan fyysisen kyvykkyyden vuoksi mikään muu laji ei voisi toivoa voittavansa sitä jäisillä ylängöillä. Yksinäisyyttä suosiva laji ei muodosta laumoja.</v>
      </c>
      <c r="C8959" s="9" t="s">
        <v>1344</v>
      </c>
    </row>
    <row r="8960" ht="33.75" customHeight="1">
      <c r="A8960" s="6" t="s">
        <v>13224</v>
      </c>
      <c r="B8960" s="6" t="str">
        <f>IFERROR(__xludf.DUMMYFUNCTION("GOOGLETRANSLATE(A8960,""en"",""fi"")"),"Sen keihäänmuotoiset piikit ja raa'a luonne ovat ansainneet sille lempinimen ”merihirviö”. Se ahmii myrkkyä ravinnoksi.")</f>
        <v>Sen keihäänmuotoiset piikit ja raa'a luonne ovat ansainneet sille lempinimen ”merihirviö”. Se ahmii myrkkyä ravinnoksi.</v>
      </c>
      <c r="C8960" s="9" t="s">
        <v>1344</v>
      </c>
    </row>
    <row r="8961" ht="33.75" customHeight="1">
      <c r="A8961" s="6" t="s">
        <v>13225</v>
      </c>
      <c r="B8961" s="6" t="str">
        <f>IFERROR(__xludf.DUMMYFUNCTION("GOOGLETRANSLATE(A8961,""en"",""fi"")"),"Kun se lentää tälle maalle meren toiselta puolelta, katkera talvi päättyy. Legendan mukaan tämän Pokémonin rakkaus synnyttää uuden elämän Hisuin halki.")</f>
        <v>Kun se lentää tälle maalle meren toiselta puolelta, katkera talvi päättyy. Legendan mukaan tämän Pokémonin rakkaus synnyttää uuden elämän Hisuin halki.</v>
      </c>
      <c r="C8961" s="9" t="s">
        <v>1344</v>
      </c>
    </row>
    <row r="8962" ht="33.75" customHeight="1">
      <c r="A8962" s="6" t="s">
        <v>13226</v>
      </c>
      <c r="B8962" s="6" t="str">
        <f>IFERROR(__xludf.DUMMYFUNCTION("GOOGLETRANSLATE(A8962,""en"",""fi"")"),"Sen pörröinen turkki on koostumukseltaan samanlainen kuin kasveilla. Tämä Pokémon pesee kasvonsa usein estääkseen sitä kuivumasta.")</f>
        <v>Sen pörröinen turkki on koostumukseltaan samanlainen kuin kasveilla. Tämä Pokémon pesee kasvonsa usein estääkseen sitä kuivumasta.</v>
      </c>
      <c r="C8962" s="9" t="s">
        <v>1344</v>
      </c>
    </row>
    <row r="8963" ht="33.75" customHeight="1">
      <c r="A8963" s="6" t="s">
        <v>13227</v>
      </c>
      <c r="B8963" s="6" t="str">
        <f>IFERROR(__xludf.DUMMYFUNCTION("GOOGLETRANSLATE(A8963,""en"",""fi"")"),"Sen kehon makea tuoksu lumoaa ympärillä olevat. Tuoksu voimistuu auringossa.")</f>
        <v>Sen kehon makea tuoksu lumoaa ympärillä olevat. Tuoksu voimistuu auringossa.</v>
      </c>
      <c r="C8963" s="9" t="s">
        <v>1344</v>
      </c>
    </row>
    <row r="8964" ht="33.75" customHeight="1">
      <c r="A8964" s="6" t="s">
        <v>13228</v>
      </c>
      <c r="B8964" s="6" t="str">
        <f>IFERROR(__xludf.DUMMYFUNCTION("GOOGLETRANSLATE(A8964,""en"",""fi"")"),"Floragato käyttää taitavasti pitkän turkin alla piilossa olevaa köynnöstä ja paiskaa kovan kukkanupun vastustajiaan vasten.")</f>
        <v>Floragato käyttää taitavasti pitkän turkin alla piilossa olevaa köynnöstä ja paiskaa kovan kukkanupun vastustajiaan vasten.</v>
      </c>
      <c r="C8964" s="9" t="s">
        <v>1344</v>
      </c>
    </row>
    <row r="8965" ht="33.75" customHeight="1">
      <c r="A8965" s="6" t="s">
        <v>13229</v>
      </c>
      <c r="B8965" s="6" t="str">
        <f>IFERROR(__xludf.DUMMYFUNCTION("GOOGLETRANSLATE(A8965,""en"",""fi"")"),"Floragaton turkin kovuus riippuu Pokémonin mielialasta. Kun Floragato on valmis taisteluun, sen turkista tulee terävä ja neulanterävä.")</f>
        <v>Floragaton turkin kovuus riippuu Pokémonin mielialasta. Kun Floragato on valmis taisteluun, sen turkista tulee terävä ja neulanterävä.</v>
      </c>
      <c r="C8965" s="9" t="s">
        <v>1344</v>
      </c>
    </row>
    <row r="8966" ht="33.75" customHeight="1">
      <c r="A8966" s="6" t="s">
        <v>13230</v>
      </c>
      <c r="B8966" s="6" t="str">
        <f>IFERROR(__xludf.DUMMYFUNCTION("GOOGLETRANSLATE(A8966,""en"",""fi"")"),"Tämä Pokémon käyttää viittansa heijastavaa turkkia naamioidakseen kukkansa varren, luoden illuusion siitä, että kukka leijuu.")</f>
        <v>Tämä Pokémon käyttää viittansa heijastavaa turkkia naamioidakseen kukkansa varren, luoden illuusion siitä, että kukka leijuu.</v>
      </c>
      <c r="C8966" s="9" t="s">
        <v>1344</v>
      </c>
    </row>
    <row r="8967" ht="33.75" customHeight="1">
      <c r="A8967" s="6" t="s">
        <v>13231</v>
      </c>
      <c r="B8967" s="6" t="str">
        <f>IFERROR(__xludf.DUMMYFUNCTION("GOOGLETRANSLATE(A8967,""en"",""fi"")"),"Taitavasti harhauttamalla se hämäilee vihollisia siitepölyä täynnä olevilla kukkapommeilla. Meowscarada laukaisee pommit ennen kuin viholliset tajuavat, mistä on kyse.")</f>
        <v>Taitavasti harhauttamalla se hämäilee vihollisia siitepölyä täynnä olevilla kukkapommeilla. Meowscarada laukaisee pommit ennen kuin viholliset tajuavat, mistä on kyse.</v>
      </c>
      <c r="C8967" s="9" t="s">
        <v>1344</v>
      </c>
    </row>
    <row r="8968" ht="33.75" customHeight="1">
      <c r="A8968" s="6" t="s">
        <v>13232</v>
      </c>
      <c r="B8968" s="6" t="str">
        <f>IFERROR(__xludf.DUMMYFUNCTION("GOOGLETRANSLATE(A8968,""en"",""fi"")"),"Se makaa lämpimillä kivillä ja käyttää neliönmuotoisten suomujensa imemää lämpöä tulienergian luomiseen.")</f>
        <v>Se makaa lämpimillä kivillä ja käyttää neliönmuotoisten suomujensa imemää lämpöä tulienergian luomiseen.</v>
      </c>
      <c r="C8968" s="9" t="s">
        <v>1344</v>
      </c>
    </row>
    <row r="8969" ht="33.75" customHeight="1">
      <c r="A8969" s="6" t="s">
        <v>13233</v>
      </c>
      <c r="B8969" s="6" t="str">
        <f>IFERROR(__xludf.DUMMYFUNCTION("GOOGLETRANSLATE(A8969,""en"",""fi"")"),"Sen liekkipussi on pieni, joten energiaa vuotaa jatkuvasti ulos. Tämä energia vapautuu Fuecocon pään päällä olevasta lommosta ja lepattaa edestakaisin.")</f>
        <v>Sen liekkipussi on pieni, joten energiaa vuotaa jatkuvasti ulos. Tämä energia vapautuu Fuecocon pään päällä olevasta lommosta ja lepattaa edestakaisin.</v>
      </c>
      <c r="C8969" s="9" t="s">
        <v>1344</v>
      </c>
    </row>
    <row r="8970" ht="33.75" customHeight="1">
      <c r="A8970" s="6" t="s">
        <v>13235</v>
      </c>
      <c r="B8970" s="6" t="str">
        <f>IFERROR(__xludf.DUMMYFUNCTION("GOOGLETRANSLATE(A8970,""en"",""fi"")"),"Crocalorin tulienergian ja tulvivan elinvoiman yhdistelmä on saanut aikaan munanmuotoisen tulipallon ilmestymisen Pokémonin päähän.")</f>
        <v>Crocalorin tulienergian ja tulvivan elinvoiman yhdistelmä on saanut aikaan munanmuotoisen tulipallon ilmestymisen Pokémonin päähän.</v>
      </c>
      <c r="C8970" s="9" t="s">
        <v>1344</v>
      </c>
    </row>
    <row r="8971" ht="33.75" customHeight="1">
      <c r="A8971" s="6" t="s">
        <v>13236</v>
      </c>
      <c r="B8971" s="6" t="str">
        <f>IFERROR(__xludf.DUMMYFUNCTION("GOOGLETRANSLATE(A8971,""en"",""fi"")"),"Crocalorin liekkipussin läppä on läheisesti yhteydessä sen äänihuulten kanssa. Tämä Pokémon päästää kurkkuhuudon syljessään liekkejä joka suuntaan.")</f>
        <v>Crocalorin liekkipussin läppä on läheisesti yhteydessä sen äänihuulten kanssa. Tämä Pokémon päästää kurkkuhuudon syljessään liekkejä joka suuntaan.</v>
      </c>
      <c r="C8971" s="9" t="s">
        <v>1344</v>
      </c>
    </row>
    <row r="8972" ht="33.75" customHeight="1">
      <c r="A8972" s="6" t="s">
        <v>13238</v>
      </c>
      <c r="B8972" s="6" t="str">
        <f>IFERROR(__xludf.DUMMYFUNCTION("GOOGLETRANSLATE(A8972,""en"",""fi"")"),"Tulinen lintu muuttaa muotoaan Skeledirgen laulaessa. Huhun mukaan lintu syntyi, kun Skeledirgen päässä oleva tulipallo sai sielun.")</f>
        <v>Tulinen lintu muuttaa muotoaan Skeledirgen laulaessa. Huhun mukaan lintu syntyi, kun Skeledirgen päässä oleva tulipallo sai sielun.</v>
      </c>
      <c r="C8972" s="9" t="s">
        <v>1344</v>
      </c>
    </row>
    <row r="8973" ht="33.75" customHeight="1">
      <c r="A8973" s="6" t="s">
        <v>13239</v>
      </c>
      <c r="B8973" s="6" t="str">
        <f>IFERROR(__xludf.DUMMYFUNCTION("GOOGLETRANSLATE(A8973,""en"",""fi"")"),"Skeledirgen lempeä laulu rauhoittaa kaikkien sen kuulijoiden sieluja. Se polttaa vihollisensa rapeaksi yli 2 400 celsiusasteen liekeissä.")</f>
        <v>Skeledirgen lempeä laulu rauhoittaa kaikkien sen kuulijoiden sieluja. Se polttaa vihollisensa rapeaksi yli 2 400 celsiusasteen liekeissä.</v>
      </c>
      <c r="C8973" s="9" t="s">
        <v>1344</v>
      </c>
    </row>
    <row r="8974" ht="33.75" customHeight="1">
      <c r="A8974" s="6" t="s">
        <v>13240</v>
      </c>
      <c r="B8974" s="6" t="str">
        <f>IFERROR(__xludf.DUMMYFUNCTION("GOOGLETRANSLATE(A8974,""en"",""fi"")"),"Tämä Pokémon muutti Paldeaan kaukaisista maista kauan sitten. Sen höyhenten erittämä geeli hylkii vettä ja likaa.")</f>
        <v>Tämä Pokémon muutti Paldeaan kaukaisista maista kauan sitten. Sen höyhenten erittämä geeli hylkii vettä ja likaa.</v>
      </c>
      <c r="C8974" s="9" t="s">
        <v>1344</v>
      </c>
    </row>
    <row r="8975" ht="33.75" customHeight="1">
      <c r="A8975" s="6" t="s">
        <v>13242</v>
      </c>
      <c r="B8975" s="6" t="str">
        <f>IFERROR(__xludf.DUMMYFUNCTION("GOOGLETRANSLATE(A8975,""en"",""fi"")"),"Vahvojen jalkojensa ansiosta se ui helposti jopa nopeasti virtaavissa joissa. Se pitää mielellään asiat siisteinä ja on taipuvainen ylianalysoimaan asioita.")</f>
        <v>Vahvojen jalkojensa ansiosta se ui helposti jopa nopeasti virtaavissa joissa. Se pitää mielellään asiat siisteinä ja on taipuvainen ylianalysoimaan asioita.</v>
      </c>
      <c r="C8975" s="9" t="s">
        <v>1344</v>
      </c>
    </row>
    <row r="8976" ht="33.75" customHeight="1">
      <c r="A8976" s="6" t="s">
        <v>13244</v>
      </c>
      <c r="B8976" s="6" t="str">
        <f>IFERROR(__xludf.DUMMYFUNCTION("GOOGLETRANSLATE(A8976,""en"",""fi"")"),"Nämä Pokémonit juoksevat jatkuvasti matalissa vesissä harjoittaakseen jalkojaan ja kilpailevat sitten keskenään siitä, kuka niistä potkaisee sulavammin.")</f>
        <v>Nämä Pokémonit juoksevat jatkuvasti matalissa vesissä harjoittaakseen jalkojaan ja kilpailevat sitten keskenään siitä, kuka niistä potkaisee sulavammin.</v>
      </c>
      <c r="C8976" s="9" t="s">
        <v>1344</v>
      </c>
    </row>
    <row r="8977" ht="33.75" customHeight="1">
      <c r="A8977" s="6" t="s">
        <v>13246</v>
      </c>
      <c r="B8977" s="6" t="str">
        <f>IFERROR(__xludf.DUMMYFUNCTION("GOOGLETRANSLATE(A8977,""en"",""fi"")"),"Ahkera Quaxwell tarkkailee eri alueiden ihmisiä ja Pokémoneja ja sisällyttää heidän liikkeitään omiin tanssirutiineihinsa.")</f>
        <v>Ahkera Quaxwell tarkkailee eri alueiden ihmisiä ja Pokémoneja ja sisällyttää heidän liikkeitään omiin tanssirutiineihinsa.</v>
      </c>
      <c r="C8977" s="9" t="s">
        <v>1344</v>
      </c>
    </row>
    <row r="8978" ht="33.75" customHeight="1">
      <c r="A8978" s="6" t="s">
        <v>13248</v>
      </c>
      <c r="B8978" s="6" t="str">
        <f>IFERROR(__xludf.DUMMYFUNCTION("GOOGLETRANSLATE(A8978,""en"",""fi"")"),"Yksi Quaquavalin potku voi saada kuorma-auton liikkeelle. Tämä Pokémon käyttää voimakkaita jalkojaan esittääkseen iskeviä tansseja kaukaisista maista.")</f>
        <v>Yksi Quaquavalin potku voi saada kuorma-auton liikkeelle. Tämä Pokémon käyttää voimakkaita jalkojaan esittääkseen iskeviä tansseja kaukaisista maista.</v>
      </c>
      <c r="C8978" s="9" t="s">
        <v>1344</v>
      </c>
    </row>
    <row r="8979" ht="33.75" customHeight="1">
      <c r="A8979" s="6" t="s">
        <v>13249</v>
      </c>
      <c r="B8979" s="6" t="str">
        <f>IFERROR(__xludf.DUMMYFUNCTION("GOOGLETRANSLATE(A8979,""en"",""fi"")"),"Tanssien tavoilla, jotka herättävät mielikuvia kaukaisista paikoista, tämä Pokémon lumoaa kaikki näkevät. Sen koristeelliset vesihöyhenet viiltävät vihollisia.")</f>
        <v>Tanssien tavoilla, jotka herättävät mielikuvia kaukaisista paikoista, tämä Pokémon lumoaa kaikki näkevät. Sen koristeelliset vesihöyhenet viiltävät vihollisia.</v>
      </c>
      <c r="C8979" s="9" t="s">
        <v>1344</v>
      </c>
    </row>
    <row r="8980" ht="33.75" customHeight="1">
      <c r="A8980" s="6" t="s">
        <v>13250</v>
      </c>
      <c r="B8980" s="6" t="str">
        <f>IFERROR(__xludf.DUMMYFUNCTION("GOOGLETRANSLATE(A8980,""en"",""fi"")"),"Se etsii ruokaa koko päivän. Sillä on tarkka hajuaisti, mutta se ei käytä sitä mihinkään muuhun kuin ravinnon etsimiseen.")</f>
        <v>Se etsii ruokaa koko päivän. Sillä on tarkka hajuaisti, mutta se ei käytä sitä mihinkään muuhun kuin ravinnon etsimiseen.</v>
      </c>
      <c r="C8980" s="9" t="s">
        <v>1344</v>
      </c>
    </row>
    <row r="8981" ht="33.75" customHeight="1">
      <c r="A8981" s="6" t="s">
        <v>13252</v>
      </c>
      <c r="B8981" s="6" t="str">
        <f>IFERROR(__xludf.DUMMYFUNCTION("GOOGLETRANSLATE(A8981,""en"",""fi"")"),"Tämä Pokémon hylkii kaikkea paitsi parasta ruokaa. Sen kehosta lähtee yrttimäinen tuoksu, jota Pokémonit inhoavat.")</f>
        <v>Tämä Pokémon hylkii kaikkea paitsi parasta ruokaa. Sen kehosta lähtee yrttimäinen tuoksu, jota Pokémonit inhoavat.</v>
      </c>
      <c r="C8981" s="9" t="s">
        <v>1344</v>
      </c>
    </row>
    <row r="8982" ht="33.75" customHeight="1">
      <c r="A8982" s="6" t="s">
        <v>13253</v>
      </c>
      <c r="B8982" s="6" t="str">
        <f>IFERROR(__xludf.DUMMYFUNCTION("GOOGLETRANSLATE(A8982,""en"",""fi"")"),"Oinkologne on ylpeä hienosta, kiiltävästä ihostaan. Se erittää pyrstönsä päästä tiivistä tuoksua.")</f>
        <v>Oinkologne on ylpeä hienosta, kiiltävästä ihostaan. Se erittää pyrstönsä päästä tiivistä tuoksua.</v>
      </c>
      <c r="C8982" s="9" t="s">
        <v>1344</v>
      </c>
    </row>
    <row r="8983" ht="33.75" customHeight="1">
      <c r="A8983" s="6" t="s">
        <v>13254</v>
      </c>
      <c r="B8983" s="6" t="str">
        <f>IFERROR(__xludf.DUMMYFUNCTION("GOOGLETRANSLATE(A8983,""en"",""fi"")"),"Se lumoaa naispuoliset Pokémonit makealla, viettelevällä tuoksulla, joka leijailee koko sen kehosta.")</f>
        <v>Se lumoaa naispuoliset Pokémonit makealla, viettelevällä tuoksulla, joka leijailee koko sen kehosta.</v>
      </c>
      <c r="C8983" s="9" t="s">
        <v>1344</v>
      </c>
    </row>
    <row r="8984" ht="33.75" customHeight="1">
      <c r="A8984" s="6" t="s">
        <v>13256</v>
      </c>
      <c r="B8984" s="6" t="str">
        <f>IFERROR(__xludf.DUMMYFUNCTION("GOOGLETRANSLATE(A8984,""en"",""fi"")"),"Sen vartalon ympärille kiedottu lankapallo on riittävän joustava torjumaan Scytherin, tämän Pokémonin luonnollisen vihollisen, viikatteet.")</f>
        <v>Sen vartalon ympärille kiedottu lankapallo on riittävän joustava torjumaan Scytherin, tämän Pokémonin luonnollisen vihollisen, viikatteet.</v>
      </c>
      <c r="C8984" s="9" t="s">
        <v>1344</v>
      </c>
    </row>
    <row r="8985" ht="33.75" customHeight="1">
      <c r="A8985" s="6" t="s">
        <v>13257</v>
      </c>
      <c r="B8985" s="6" t="str">
        <f>IFERROR(__xludf.DUMMYFUNCTION("GOOGLETRANSLATE(A8985,""en"",""fi"")"),"Sen takaosasta erittämä lanka on langanvahvaa. Langan vahvuuden salaisuutta tutkitaan parhaillaan.")</f>
        <v>Sen takaosasta erittämä lanka on langanvahvaa. Langan vahvuuden salaisuutta tutkitaan parhaillaan.</v>
      </c>
      <c r="C8985" s="9" t="s">
        <v>1344</v>
      </c>
    </row>
    <row r="8986" ht="33.75" customHeight="1">
      <c r="A8986" s="6" t="s">
        <v>13259</v>
      </c>
      <c r="B8986" s="6" t="str">
        <f>IFERROR(__xludf.DUMMYFUNCTION("GOOGLETRANSLATE(A8986,""en"",""fi"")"),"Se roikkuu oksissa ja katoissa lankojensa avulla ja liikkuu äänettömästi. Se vetää saaliinsa kuoliaaksi ennen kuin saalis edes huomaa sitä.")</f>
        <v>Se roikkuu oksissa ja katoissa lankojensa avulla ja liikkuu äänettömästi. Se vetää saaliinsa kuoliaaksi ennen kuin saalis edes huomaa sitä.</v>
      </c>
      <c r="C8986" s="9" t="s">
        <v>1344</v>
      </c>
    </row>
    <row r="8987" ht="33.75" customHeight="1">
      <c r="A8987" s="6" t="s">
        <v>13260</v>
      </c>
      <c r="B8987" s="6" t="str">
        <f>IFERROR(__xludf.DUMMYFUNCTION("GOOGLETRANSLATE(A8987,""en"",""fi"")"),"Spidops peittää reviirinsä kovilla, tahmeilla langoilla asettaakseen ansoja tunkeilijoille.")</f>
        <v>Spidops peittää reviirinsä kovilla, tahmeilla langoilla asettaakseen ansoja tunkeilijoille.</v>
      </c>
      <c r="C8987" s="9" t="s">
        <v>1344</v>
      </c>
    </row>
    <row r="8988" ht="33.75" customHeight="1">
      <c r="A8988" s="6" t="s">
        <v>13261</v>
      </c>
      <c r="B8988" s="6" t="str">
        <f>IFERROR(__xludf.DUMMYFUNCTION("GOOGLETRANSLATE(A8988,""en"",""fi"")"),"Sen kolmannet jalat ovat taivutettuina. Vaikeassa paikassa tämä Pokémon hyppää yli 9 metriä jalkojensa voimalla.")</f>
        <v>Sen kolmannet jalat ovat taivutettuina. Vaikeassa paikassa tämä Pokémon hyppää yli 9 metriä jalkojensa voimalla.</v>
      </c>
      <c r="C8988" s="9" t="s">
        <v>1344</v>
      </c>
    </row>
    <row r="8989" ht="33.75" customHeight="1">
      <c r="A8989" s="6" t="s">
        <v>13263</v>
      </c>
      <c r="B8989" s="6" t="str">
        <f>IFERROR(__xludf.DUMMYFUNCTION("GOOGLETRANSLATE(A8989,""en"",""fi"")"),"Se on erittäin taitava taistelutyylissään, jossa se käyttää hyppykykyjään väistelläkseen tulevia hyökkäyksiä ja samalla aiheuttaakseen vahinkoa vastustajille.")</f>
        <v>Se on erittäin taitava taistelutyylissään, jossa se käyttää hyppykykyjään väistelläkseen tulevia hyökkäyksiä ja samalla aiheuttaakseen vahinkoa vastustajille.</v>
      </c>
      <c r="C8989" s="9" t="s">
        <v>1344</v>
      </c>
    </row>
    <row r="8990" ht="33.75" customHeight="1">
      <c r="A8990" s="6" t="s">
        <v>13264</v>
      </c>
      <c r="B8990" s="6" t="str">
        <f>IFERROR(__xludf.DUMMYFUNCTION("GOOGLETRANSLATE(A8990,""en"",""fi"")"),"Kun se päättää taistella täysillä, se nousee aiemmin taitetuille jaloilleen siirtyäkseen Välienselvittelytilaan. Se tekee vihollisensa vaarattomiksi lyhyessä ajassa.")</f>
        <v>Kun se päättää taistella täysillä, se nousee aiemmin taitetuille jaloilleen siirtyäkseen Välienselvittelytilaan. Se tekee vihollisensa vaarattomiksi lyhyessä ajassa.</v>
      </c>
      <c r="C8990" s="9" t="s">
        <v>1344</v>
      </c>
    </row>
    <row r="8991" ht="33.75" customHeight="1">
      <c r="A8991" s="6" t="s">
        <v>13266</v>
      </c>
      <c r="B8991" s="6" t="str">
        <f>IFERROR(__xludf.DUMMYFUNCTION("GOOGLETRANSLATE(A8991,""en"",""fi"")"),"Se käyttää normaalisti taitettuja kolmansia jalkojaan Showdown-tilassa. Tämä rasittaa sen kehoa valtavasti, joten se ei voi pysyä tässä tilassa pitkään.")</f>
        <v>Se käyttää normaalisti taitettuja kolmansia jalkojaan Showdown-tilassa. Tämä rasittaa sen kehoa valtavasti, joten se ei voi pysyä tässä tilassa pitkään.</v>
      </c>
      <c r="C8991" s="9" t="s">
        <v>1344</v>
      </c>
    </row>
    <row r="8992" ht="33.75" customHeight="1">
      <c r="A8992" s="6" t="s">
        <v>13267</v>
      </c>
      <c r="B8992" s="6" t="str">
        <f>IFERROR(__xludf.DUMMYFUNCTION("GOOGLETRANSLATE(A8992,""en"",""fi"")"),"Sen poskissa on alikehittyneet sähköpussit. Nämä pussit voivat tuottaa sähköä vain, jos Pawmi hieroo niitä raivokkaasti etutassujensa tyynyillä.")</f>
        <v>Sen poskissa on alikehittyneet sähköpussit. Nämä pussit voivat tuottaa sähköä vain, jos Pawmi hieroo niitä raivokkaasti etutassujensa tyynyillä.</v>
      </c>
      <c r="C8992" s="9" t="s">
        <v>1344</v>
      </c>
    </row>
    <row r="8993" ht="33.75" customHeight="1">
      <c r="A8993" s="6" t="s">
        <v>13268</v>
      </c>
      <c r="B8993" s="6" t="str">
        <f>IFERROR(__xludf.DUMMYFUNCTION("GOOGLETRANSLATE(A8993,""en"",""fi"")"),"Sen käpälien tyynyt ovat sähköä purkavia elimiä. Pawmi ampuu sähköä etukäpälistään seisten horjuen takajaloillaan.")</f>
        <v>Sen käpälien tyynyt ovat sähköä purkavia elimiä. Pawmi ampuu sähköä etukäpälistään seisten horjuen takajaloillaan.</v>
      </c>
      <c r="C8993" s="9" t="s">
        <v>1344</v>
      </c>
    </row>
    <row r="8994" ht="33.75" customHeight="1">
      <c r="A8994" s="6" t="s">
        <v>13269</v>
      </c>
      <c r="B8994" s="6" t="str">
        <f>IFERROR(__xludf.DUMMYFUNCTION("GOOGLETRANSLATE(A8994,""en"",""fi"")"),"Kun Pawmo-ryhmää hyökätään, se hyppää ensimmäisenä taisteluun ja kukistaa viholliset sähköiskuja hyödyntävällä taistelutekniikalla.")</f>
        <v>Kun Pawmo-ryhmää hyökätään, se hyppää ensimmäisenä taisteluun ja kukistaa viholliset sähköiskuja hyödyntävällä taistelutekniikalla.</v>
      </c>
      <c r="C8994" s="9" t="s">
        <v>1344</v>
      </c>
    </row>
    <row r="8995" ht="33.75" customHeight="1">
      <c r="A8995" s="6" t="s">
        <v>13270</v>
      </c>
      <c r="B8995" s="6" t="str">
        <f>IFERROR(__xludf.DUMMYFUNCTION("GOOGLETRANSLATE(A8995,""en"",""fi"")"),"Pawmo käyttää ainutlaatuista taistelutekniikkaa, jossa se iskee vihollisiin etukäpälillään ja samanaikaisesti sähköistää heidät tassujen tyynyillään.")</f>
        <v>Pawmo käyttää ainutlaatuista taistelutekniikkaa, jossa se iskee vihollisiin etukäpälillään ja samanaikaisesti sähköistää heidät tassujen tyynyillään.</v>
      </c>
      <c r="C8995" s="9" t="s">
        <v>1344</v>
      </c>
    </row>
    <row r="8996" ht="33.75" customHeight="1">
      <c r="A8996" s="6" t="s">
        <v>13271</v>
      </c>
      <c r="B8996" s="6" t="str">
        <f>IFERROR(__xludf.DUMMYFUNCTION("GOOGLETRANSLATE(A8996,""en"",""fi"")"),"Tämä Pokémon reagoi normaalisti hitaasti, mutta taisteluun astunut se iskee vihollisensa salamannopeilla liikkeillä.")</f>
        <v>Tämä Pokémon reagoi normaalisti hitaasti, mutta taisteluun astunut se iskee vihollisensa salamannopeilla liikkeillä.</v>
      </c>
      <c r="C8996" s="9" t="s">
        <v>1344</v>
      </c>
    </row>
    <row r="8997" ht="33.75" customHeight="1">
      <c r="A8997" s="6" t="s">
        <v>13272</v>
      </c>
      <c r="B8997" s="6" t="str">
        <f>IFERROR(__xludf.DUMMYFUNCTION("GOOGLETRANSLATE(A8997,""en"",""fi"")"),"Pawmotin pörröinen turkki toimii akkuna. Se voi varastoida saman määrän sähköä kuin sähköauto.")</f>
        <v>Pawmotin pörröinen turkki toimii akkuna. Se voi varastoida saman määrän sähköä kuin sähköauto.</v>
      </c>
      <c r="C8997" s="9" t="s">
        <v>1344</v>
      </c>
    </row>
    <row r="8998" ht="33.75" customHeight="1">
      <c r="A8998" s="6" t="s">
        <v>13273</v>
      </c>
      <c r="B8998" s="6" t="str">
        <f>IFERROR(__xludf.DUMMYFUNCTION("GOOGLETRANSLATE(A8998,""en"",""fi"")"),"Ne osoittavat erinomaista tiimityötä leikkaamalla etuhampaillaan paloja mistä tahansa pesänrakennusmateriaalista ja viemällä ne sitten karkuun.")</f>
        <v>Ne osoittavat erinomaista tiimityötä leikkaamalla etuhampaillaan paloja mistä tahansa pesänrakennusmateriaalista ja viemällä ne sitten karkuun.</v>
      </c>
      <c r="C8998" s="9" t="s">
        <v>1344</v>
      </c>
    </row>
    <row r="8999" ht="33.75" customHeight="1">
      <c r="A8999" s="6" t="s">
        <v>13274</v>
      </c>
      <c r="B8999" s="6" t="str">
        <f>IFERROR(__xludf.DUMMYFUNCTION("GOOGLETRANSLATE(A8999,""en"",""fi"")"),"Pari pysyy yhdessä kaikesta huolimatta. He halkaisevat löytämänsä ruoan täsmälleen kahtia ja syövät sen sitten yhdessä.")</f>
        <v>Pari pysyy yhdessä kaikesta huolimatta. He halkaisevat löytämänsä ruoan täsmälleen kahtia ja syövät sen sitten yhdessä.</v>
      </c>
      <c r="C8999" s="9" t="s">
        <v>1344</v>
      </c>
    </row>
    <row r="9000" ht="33.75" customHeight="1">
      <c r="A9000" s="6" t="s">
        <v>13275</v>
      </c>
      <c r="B9000" s="6" t="str">
        <f>IFERROR(__xludf.DUMMYFUNCTION("GOOGLETRANSLATE(A9000,""en"",""fi"")"),"Kaksi pientä ilmestyi vain yhtenä päivänä. Ryhmä saattaa olla sukua olevien Pokémonien perhe, mutta kukaan ei tiedä varmasti.")</f>
        <v>Kaksi pientä ilmestyi vain yhtenä päivänä. Ryhmä saattaa olla sukua olevien Pokémonien perhe, mutta kukaan ei tiedä varmasti.</v>
      </c>
      <c r="C9000" s="9" t="s">
        <v>1344</v>
      </c>
    </row>
    <row r="9001" ht="33.75" customHeight="1">
      <c r="A9001" s="6" t="s">
        <v>13277</v>
      </c>
      <c r="B9001" s="6" t="str">
        <f>IFERROR(__xludf.DUMMYFUNCTION("GOOGLETRANSLATE(A9001,""en"",""fi"")"),"Suurempi pari suojelee pienempiä taisteluiden aikana. Vahvoja vastustajia kohdatessaan koko ryhmä liittyy taisteluun.")</f>
        <v>Suurempi pari suojelee pienempiä taisteluiden aikana. Vahvoja vastustajia kohdatessaan koko ryhmä liittyy taisteluun.</v>
      </c>
      <c r="C9001" s="9" t="s">
        <v>1344</v>
      </c>
    </row>
    <row r="9002" ht="33.75" customHeight="1">
      <c r="A9002" s="6" t="s">
        <v>13278</v>
      </c>
      <c r="B9002" s="6" t="str">
        <f>IFERROR(__xludf.DUMMYFUNCTION("GOOGLETRANSLATE(A9002,""en"",""fi"")"),"Tämä Pokémon on sileä ja kostea koskettaa. Fidoughin hengityksessä oleva hiiva aiheuttaa käymistä Pokémonin läheisyydessä.")</f>
        <v>Tämä Pokémon on sileä ja kostea koskettaa. Fidoughin hengityksessä oleva hiiva aiheuttaa käymistä Pokémonin läheisyydessä.</v>
      </c>
      <c r="C9002" s="9" t="s">
        <v>1344</v>
      </c>
    </row>
    <row r="9003" ht="33.75" customHeight="1">
      <c r="A9003" s="6" t="s">
        <v>13279</v>
      </c>
      <c r="B9003" s="6" t="str">
        <f>IFERROR(__xludf.DUMMYFUNCTION("GOOGLETRANSLATE(A9003,""en"",""fi"")"),"Fidoughin hengityksessä oleva hiiva on hyödyllistä ruoanlaitossa, joten ihmiset ovat suojelleet tätä Pokémonia jo kauan sitten.")</f>
        <v>Fidoughin hengityksessä oleva hiiva on hyödyllistä ruoanlaitossa, joten ihmiset ovat suojelleet tätä Pokémonia jo kauan sitten.</v>
      </c>
      <c r="C9003" s="9" t="s">
        <v>1344</v>
      </c>
    </row>
    <row r="9004" ht="33.75" customHeight="1">
      <c r="A9004" s="6" t="s">
        <v>13280</v>
      </c>
      <c r="B9004" s="6" t="str">
        <f>IFERROR(__xludf.DUMMYFUNCTION("GOOGLETRANSLATE(A9004,""en"",""fi"")"),"Tämän Pokémonin kehosta huokuva miellyttävä tuoksu auttaa vehnää kasvamaan, joten maanviljelijäkylät ovat vaalineet Dachsbunia.")</f>
        <v>Tämän Pokémonin kehosta huokuva miellyttävä tuoksu auttaa vehnää kasvamaan, joten maanviljelijäkylät ovat vaalineet Dachsbunia.</v>
      </c>
      <c r="C9004" s="9" t="s">
        <v>1344</v>
      </c>
    </row>
    <row r="9005" ht="33.75" customHeight="1">
      <c r="A9005" s="6" t="s">
        <v>13281</v>
      </c>
      <c r="B9005" s="6" t="str">
        <f>IFERROR(__xludf.DUMMYFUNCTION("GOOGLETRANSLATE(A9005,""en"",""fi"")"),"Tämän Pokémonin ihon pinta kovettuu altistuessaan voimakkaalle kuumuudelle, ja sen keholla on herkullinen tuoksu.")</f>
        <v>Tämän Pokémonin ihon pinta kovettuu altistuessaan voimakkaalle kuumuudelle, ja sen keholla on herkullinen tuoksu.</v>
      </c>
      <c r="C9005" s="9" t="s">
        <v>1344</v>
      </c>
    </row>
    <row r="9006" ht="33.75" customHeight="1">
      <c r="A9006" s="6" t="s">
        <v>13283</v>
      </c>
      <c r="B9006" s="6" t="str">
        <f>IFERROR(__xludf.DUMMYFUNCTION("GOOGLETRANSLATE(A9006,""en"",""fi"")"),"Se suojelee itseään vihollisilta erittämällä öljyä hedelmästään sen päässä. Tämä öljy on niin kitkerää ja supistavaa, että se saa ihmisen säpsähtämään.")</f>
        <v>Se suojelee itseään vihollisilta erittämällä öljyä hedelmästään sen päässä. Tämä öljy on niin kitkerää ja supistavaa, että se saa ihmisen säpsähtämään.</v>
      </c>
      <c r="C9006" s="9" t="s">
        <v>1344</v>
      </c>
    </row>
    <row r="9007" ht="33.75" customHeight="1">
      <c r="A9007" s="6" t="s">
        <v>13285</v>
      </c>
      <c r="B9007" s="6" t="str">
        <f>IFERROR(__xludf.DUMMYFUNCTION("GOOGLETRANSLATE(A9007,""en"",""fi"")"),"Tämä Pokémon muuntaa ravinteet öljyksi, jota se varastoi päänsä hedelmään. Se voi helposti olla kokonaisen viikon syömättä tai juomatta.")</f>
        <v>Tämä Pokémon muuntaa ravinteet öljyksi, jota se varastoi päänsä hedelmään. Se voi helposti olla kokonaisen viikon syömättä tai juomatta.</v>
      </c>
      <c r="C9007" s="9" t="s">
        <v>1344</v>
      </c>
    </row>
    <row r="9008" ht="33.75" customHeight="1">
      <c r="A9008" s="6" t="s">
        <v>13286</v>
      </c>
      <c r="B9008" s="6" t="str">
        <f>IFERROR(__xludf.DUMMYFUNCTION("GOOGLETRANSLATE(A9008,""en"",""fi"")"),"Dolliv jakaa maukasta, raikkaan tuoksuista öljyään muiden kanssa. Tämä laji on elänyt rinnakkain ihmisten kanssa muinaisista ajoista lähtien.")</f>
        <v>Dolliv jakaa maukasta, raikkaan tuoksuista öljyään muiden kanssa. Tämä laji on elänyt rinnakkain ihmisten kanssa muinaisista ajoista lähtien.</v>
      </c>
      <c r="C9008" s="9" t="s">
        <v>1344</v>
      </c>
    </row>
    <row r="9009" ht="33.75" customHeight="1">
      <c r="A9009" s="6" t="s">
        <v>13287</v>
      </c>
      <c r="B9009" s="6" t="str">
        <f>IFERROR(__xludf.DUMMYFUNCTION("GOOGLETRANSLATE(A9009,""en"",""fi"")"),"Se paistattelee auringossa sydämensä kyllyydestä, kunnes sen päässä olevat hedelmät kypsyvät. Sen jälkeen Dolliv jättää asutuksen ja lähtee matkalle.")</f>
        <v>Se paistattelee auringossa sydämensä kyllyydestä, kunnes sen päässä olevat hedelmät kypsyvät. Sen jälkeen Dolliv jättää asutuksen ja lähtee matkalle.</v>
      </c>
      <c r="C9009" s="9" t="s">
        <v>1344</v>
      </c>
    </row>
    <row r="9010" ht="33.75" customHeight="1">
      <c r="A9010" s="6" t="s">
        <v>13288</v>
      </c>
      <c r="B9010" s="6" t="str">
        <f>IFERROR(__xludf.DUMMYFUNCTION("GOOGLETRANSLATE(A9010,""en"",""fi"")"),"Tämä rauhallinen Pokémon on hyvin myötätuntoinen. Se jakaa herkullista, ravinnepitoista öljyään heikentyneiden Pokémonien kanssa.")</f>
        <v>Tämä rauhallinen Pokémon on hyvin myötätuntoinen. Se jakaa herkullista, ravinnepitoista öljyään heikentyneiden Pokémonien kanssa.</v>
      </c>
      <c r="C9010" s="9" t="s">
        <v>1344</v>
      </c>
    </row>
    <row r="9011" ht="33.75" customHeight="1">
      <c r="A9011" s="6" t="s">
        <v>13289</v>
      </c>
      <c r="B9011" s="6" t="str">
        <f>IFERROR(__xludf.DUMMYFUNCTION("GOOGLETRANSLATE(A9011,""en"",""fi"")"),"Tämä Pokémon ajaa viholliset takaisin ampumalla rikasta, aromaattista öljyään heitä kohti niin voimakkaasti, että se murskaa lohkareen.")</f>
        <v>Tämä Pokémon ajaa viholliset takaisin ampumalla rikasta, aromaattista öljyään heitä kohti niin voimakkaasti, että se murskaa lohkareen.</v>
      </c>
      <c r="C9011" s="9" t="s">
        <v>1344</v>
      </c>
    </row>
    <row r="9012" ht="33.75" customHeight="1">
      <c r="A9012" s="6" t="s">
        <v>13291</v>
      </c>
      <c r="B9012" s="6" t="str">
        <f>IFERROR(__xludf.DUMMYFUNCTION("GOOGLETRANSLATE(A9012,""en"",""fi"")"),"Nämä Pokémonit viihtyvät kaupungeissa. Ne muodostavat parvia höyheniensä värin perusteella ja taistelevat alueesta.")</f>
        <v>Nämä Pokémonit viihtyvät kaupungeissa. Ne muodostavat parvia höyheniensä värin perusteella ja taistelevat alueesta.</v>
      </c>
      <c r="C9012" s="9" t="s">
        <v>1344</v>
      </c>
    </row>
    <row r="9013" ht="33.75" customHeight="1">
      <c r="A9013" s="6" t="s">
        <v>13292</v>
      </c>
      <c r="B9013" s="6" t="str">
        <f>IFERROR(__xludf.DUMMYFUNCTION("GOOGLETRANSLATE(A9013,""en"",""fi"")"),"Vihreähöyheniset parvet hallitsevat eniten. Kun ne etsivät ruokaa aamuisin ja iltaisin, siitä tulee erittäin meluisaa.")</f>
        <v>Vihreähöyheniset parvet hallitsevat eniten. Kun ne etsivät ruokaa aamuisin ja iltaisin, siitä tulee erittäin meluisaa.</v>
      </c>
      <c r="C9013" s="9" t="s">
        <v>1344</v>
      </c>
    </row>
    <row r="9014" ht="33.75" customHeight="1">
      <c r="A9014" s="6" t="s">
        <v>13294</v>
      </c>
      <c r="B9014" s="6" t="str">
        <f>IFERROR(__xludf.DUMMYFUNCTION("GOOGLETRANSLATE(A9014,""en"",""fi"")"),"Se syntyi syvällä maan alla olevassa vuorisuolakerroksessa. Tätä lajia arvostettiin erityisesti ennen vanhaan, sillä ne jakoivat arvokasta suolaa.")</f>
        <v>Se syntyi syvällä maan alla olevassa vuorisuolakerroksessa. Tätä lajia arvostettiin erityisesti ennen vanhaan, sillä ne jakoivat arvokasta suolaa.</v>
      </c>
      <c r="C9014" s="9" t="s">
        <v>1344</v>
      </c>
    </row>
    <row r="9015" ht="33.75" customHeight="1">
      <c r="A9015" s="6" t="s">
        <v>13297</v>
      </c>
      <c r="B9015" s="6" t="str">
        <f>IFERROR(__xludf.DUMMYFUNCTION("GOOGLETRANSLATE(A9015,""en"",""fi"")"),"Maa raapii sen kehoa matkalla, jolloin se jättää jälkeensä suolaa. Suolaa syntyy ja täydentyy jatkuvasti Naclin kehossa.")</f>
        <v>Maa raapii sen kehoa matkalla, jolloin se jättää jälkeensä suolaa. Suolaa syntyy ja täydentyy jatkuvasti Naclin kehossa.</v>
      </c>
      <c r="C9015" s="9" t="s">
        <v>1344</v>
      </c>
    </row>
    <row r="9016" ht="33.75" customHeight="1">
      <c r="A9016" s="6" t="s">
        <v>13300</v>
      </c>
      <c r="B9016" s="6" t="str">
        <f>IFERROR(__xludf.DUMMYFUNCTION("GOOGLETRANSLATE(A9016,""en"",""fi"")"),"Tämä Pokémon kuivakovettaa saaliinsa suihkuttamalla suolaa sen päälle. Kovetusprosessi varastaa veden saaliin kehosta.")</f>
        <v>Tämä Pokémon kuivakovettaa saaliinsa suihkuttamalla suolaa sen päälle. Kovetusprosessi varastaa veden saaliin kehosta.</v>
      </c>
      <c r="C9016" s="9" t="s">
        <v>1344</v>
      </c>
    </row>
    <row r="9017" ht="33.75" customHeight="1">
      <c r="A9017" s="6" t="s">
        <v>13302</v>
      </c>
      <c r="B9017" s="6" t="str">
        <f>IFERROR(__xludf.DUMMYFUNCTION("GOOGLETRANSLATE(A9017,""en"",""fi"")"),"Se puristaa vuorisuolaa ruumiinsa sisään ja ampuu ulos kovettunutta suolarakeita niin suurella voimalla, että se lävistää rautalevyn.")</f>
        <v>Se puristaa vuorisuolaa ruumiinsa sisään ja ampuu ulos kovettunutta suolarakeita niin suurella voimalla, että se lävistää rautalevyn.</v>
      </c>
      <c r="C9017" s="9" t="s">
        <v>1344</v>
      </c>
    </row>
    <row r="9018" ht="33.75" customHeight="1">
      <c r="A9018" s="6" t="s">
        <v>13304</v>
      </c>
      <c r="B9018" s="6" t="str">
        <f>IFERROR(__xludf.DUMMYFUNCTION("GOOGLETRANSLATE(A9018,""en"",""fi"")"),"Garganacl hieroo sormenpäitään yhteen ja ripottelee suolaa loukkaantuneille Pokémoneille. Jopa vakavat haavat paranevat nopeasti sen jälkeen.")</f>
        <v>Garganacl hieroo sormenpäitään yhteen ja ripottelee suolaa loukkaantuneille Pokémoneille. Jopa vakavat haavat paranevat nopeasti sen jälkeen.</v>
      </c>
      <c r="C9018" s="9" t="s">
        <v>1344</v>
      </c>
    </row>
    <row r="9019" ht="33.75" customHeight="1">
      <c r="A9019" s="6" t="s">
        <v>13305</v>
      </c>
      <c r="B9019" s="6" t="str">
        <f>IFERROR(__xludf.DUMMYFUNCTION("GOOGLETRANSLATE(A9019,""en"",""fi"")"),"Monet Pokémonit kerääntyvät Garganacl'n ympärille toivoen nuolevansa sen mineraalipitoista suolaa.")</f>
        <v>Monet Pokémonit kerääntyvät Garganacl'n ympärille toivoen nuolevansa sen mineraalipitoista suolaa.</v>
      </c>
      <c r="C9019" s="9" t="s">
        <v>1344</v>
      </c>
    </row>
    <row r="9020" ht="33.75" customHeight="1">
      <c r="A9020" s="6" t="s">
        <v>13307</v>
      </c>
      <c r="B9020" s="6" t="str">
        <f>IFERROR(__xludf.DUMMYFUNCTION("GOOGLETRANSLATE(A9020,""en"",""fi"")"),"Palanut hiili heräsi eloon ja siitä tuli Pokémon. Tulisen taistelutahtonsa ansiosta Charcadet taistelee koviakin vastustajia vastaan.")</f>
        <v>Palanut hiili heräsi eloon ja siitä tuli Pokémon. Tulisen taistelutahtonsa ansiosta Charcadet taistelee koviakin vastustajia vastaan.</v>
      </c>
      <c r="C9020" s="9" t="s">
        <v>1344</v>
      </c>
    </row>
    <row r="9021" ht="33.75" customHeight="1">
      <c r="A9021" s="6" t="s">
        <v>13309</v>
      </c>
      <c r="B9021" s="6" t="str">
        <f>IFERROR(__xludf.DUMMYFUNCTION("GOOGLETRANSLATE(A9021,""en"",""fi"")"),"Sen tulivoima kasvaa taistelussa ja lämpötila nousee yli 800 celsiusasteeseen. Se pitää rasvaisista marjoista.")</f>
        <v>Sen tulivoima kasvaa taistelussa ja lämpötila nousee yli 800 celsiusasteeseen. Se pitää rasvaisista marjoista.</v>
      </c>
      <c r="C9021" s="9" t="s">
        <v>1344</v>
      </c>
    </row>
    <row r="9022" ht="33.75" customHeight="1">
      <c r="A9022" s="6" t="s">
        <v>13311</v>
      </c>
      <c r="B9022" s="6" t="str">
        <f>IFERROR(__xludf.DUMMYFUNCTION("GOOGLETRANSLATE(A9022,""en"",""fi"")"),"Armarouge kehittyi käyttämällä haarniskoja, jotka kuuluivat arvostetulle soturille. Tämä Pokémon on uskomattoman uskollinen.")</f>
        <v>Armarouge kehittyi käyttämällä haarniskoja, jotka kuuluivat arvostetulle soturille. Tämä Pokémon on uskomattoman uskollinen.</v>
      </c>
      <c r="C9022" s="9" t="s">
        <v>1344</v>
      </c>
    </row>
    <row r="9023" ht="33.75" customHeight="1">
      <c r="A9023" s="6" t="s">
        <v>13313</v>
      </c>
      <c r="B9023" s="6" t="str">
        <f>IFERROR(__xludf.DUMMYFUNCTION("GOOGLETRANSLATE(A9023,""en"",""fi"")"),"Tämä Pokémon pukeutuu psyykkisellä ja tulienergialla vahvistettuun haarniskaan ja ampuu liekehtiviä tulipalloja.")</f>
        <v>Tämä Pokémon pukeutuu psyykkisellä ja tulienergialla vahvistettuun haarniskaan ja ampuu liekehtiviä tulipalloja.</v>
      </c>
      <c r="C9023" s="9" t="s">
        <v>1344</v>
      </c>
    </row>
    <row r="9024" ht="33.75" customHeight="1">
      <c r="A9024" s="6" t="s">
        <v>13315</v>
      </c>
      <c r="B9024" s="6" t="str">
        <f>IFERROR(__xludf.DUMMYFUNCTION("GOOGLETRANSLATE(A9024,""en"",""fi"")"),"Sen käsien tulisissa teräissä välähtää raivokkaasti miekankäyttäjän viipyilevä kauna, joka kaatui ennen tavoitteensa saavuttamista.")</f>
        <v>Sen käsien tulisissa teräissä välähtää raivokkaasti miekankäyttäjän viipyilevä kauna, joka kaatui ennen tavoitteensa saavuttamista.</v>
      </c>
      <c r="C9024" s="9" t="s">
        <v>1344</v>
      </c>
    </row>
    <row r="9025" ht="33.75" customHeight="1">
      <c r="A9025" s="6" t="s">
        <v>13316</v>
      </c>
      <c r="B9025" s="6" t="str">
        <f>IFERROR(__xludf.DUMMYFUNCTION("GOOGLETRANSLATE(A9025,""en"",""fi"")"),"Vanha, kaunojen kyllästämä haarniska aiheutti tämän Pokémonin evoluution. Ceruledge silpoo vihollisensa palasiksi armotta.")</f>
        <v>Vanha, kaunojen kyllästämä haarniska aiheutti tämän Pokémonin evoluution. Ceruledge silpoo vihollisensa palasiksi armotta.</v>
      </c>
      <c r="C9025" s="9" t="s">
        <v>1344</v>
      </c>
    </row>
    <row r="9026" ht="33.75" customHeight="1">
      <c r="A9026" s="6" t="s">
        <v>13317</v>
      </c>
      <c r="B9026" s="6" t="str">
        <f>IFERROR(__xludf.DUMMYFUNCTION("GOOGLETRANSLATE(A9026,""en"",""fi"")"),"Tadbulb ravistelee häntäänsä tuottaakseen sähköä. Jos se aistii vaaran, se saa päänsä vilkkumaan hälyttääkseen liittolaisiaan.")</f>
        <v>Tadbulb ravistelee häntäänsä tuottaakseen sähköä. Jos se aistii vaaran, se saa päänsä vilkkumaan hälyttääkseen liittolaisiaan.</v>
      </c>
      <c r="C9026" s="9" t="s">
        <v>1344</v>
      </c>
    </row>
    <row r="9027" ht="33.75" customHeight="1">
      <c r="A9027" s="6" t="s">
        <v>13318</v>
      </c>
      <c r="B9027" s="6" t="str">
        <f>IFERROR(__xludf.DUMMYFUNCTION("GOOGLETRANSLATE(A9027,""en"",""fi"")"),"Se kelluu kehoonsa varastoituneen sähkön avulla. Ukkospilvien ollessa lähellä Tadbulb leijuu korkeammalle maanpinnasta.")</f>
        <v>Se kelluu kehoonsa varastoituneen sähkön avulla. Ukkospilvien ollessa lähellä Tadbulb leijuu korkeammalle maanpinnasta.</v>
      </c>
      <c r="C9027" s="9" t="s">
        <v>1344</v>
      </c>
    </row>
    <row r="9028" ht="33.75" customHeight="1">
      <c r="A9028" s="6" t="s">
        <v>13319</v>
      </c>
      <c r="B9028" s="6" t="str">
        <f>IFERROR(__xludf.DUMMYFUNCTION("GOOGLETRANSLATE(A9028,""en"",""fi"")"),"Kun tämä Pokémon laajenee ja supistaa heiluvaa ruumistaan, sen vatsassa oleva napadynamo tuottaa valtavan määrän sähköä.")</f>
        <v>Kun tämä Pokémon laajenee ja supistaa heiluvaa ruumistaan, sen vatsassa oleva napadynamo tuottaa valtavan määrän sähköä.</v>
      </c>
      <c r="C9028" s="9" t="s">
        <v>1344</v>
      </c>
    </row>
    <row r="9029" ht="33.75" customHeight="1">
      <c r="A9029" s="6" t="s">
        <v>13320</v>
      </c>
      <c r="B9029" s="6" t="str">
        <f>IFERROR(__xludf.DUMMYFUNCTION("GOOGLETRANSLATE(A9029,""en"",""fi"")"),"Silmämunilta näyttävät elimet ovat itse asiassa elimiä, jotka purkavat Belliboltin napadynamon tuottamaa sähköä.")</f>
        <v>Silmämunilta näyttävät elimet ovat itse asiassa elimiä, jotka purkavat Belliboltin napadynamon tuottamaa sähköä.</v>
      </c>
      <c r="C9029" s="9" t="s">
        <v>1344</v>
      </c>
    </row>
    <row r="9030" ht="33.75" customHeight="1">
      <c r="A9030" s="6" t="s">
        <v>13321</v>
      </c>
      <c r="B9030" s="6" t="str">
        <f>IFERROR(__xludf.DUMMYFUNCTION("GOOGLETRANSLATE(A9030,""en"",""fi"")"),"Kun sen siivet osuvat tuuleen, niiden sisällä olevat luut tuottavat sähköä. Tämä Pokémon sukeltaa mereen ja pyydystää saalista sähköiskulla.")</f>
        <v>Kun sen siivet osuvat tuuleen, niiden sisällä olevat luut tuottavat sähköä. Tämä Pokémon sukeltaa mereen ja pyydystää saalista sähköiskulla.</v>
      </c>
      <c r="C9030" s="9" t="s">
        <v>1344</v>
      </c>
    </row>
    <row r="9031" ht="33.75" customHeight="1">
      <c r="A9031" s="6" t="s">
        <v>13322</v>
      </c>
      <c r="B9031" s="6" t="str">
        <f>IFERROR(__xludf.DUMMYFUNCTION("GOOGLETRANSLATE(A9031,""en"",""fi"")"),"Nämä Pokémonit tekevät pesänsä rannikkokallioille. Pesillä on outo, rätisevä rakenne, ja ne ovat suosittu herkku.")</f>
        <v>Nämä Pokémonit tekevät pesänsä rannikkokallioille. Pesillä on outo, rätisevä rakenne, ja ne ovat suosittu herkku.</v>
      </c>
      <c r="C9031" s="9" t="s">
        <v>1344</v>
      </c>
    </row>
    <row r="9032" ht="33.75" customHeight="1">
      <c r="A9032" s="6" t="s">
        <v>13323</v>
      </c>
      <c r="B9032" s="6" t="str">
        <f>IFERROR(__xludf.DUMMYFUNCTION("GOOGLETRANSLATE(A9032,""en"",""fi"")"),"Kilowattrel täyttää kurkkupussinsa vahvistaakseen sähköisyyttään. Tuulen avulla tämä Pokémon voi lentää yli 700 kilometriä päivässä.")</f>
        <v>Kilowattrel täyttää kurkkupussinsa vahvistaakseen sähköisyyttään. Tuulen avulla tämä Pokémon voi lentää yli 700 kilometriä päivässä.</v>
      </c>
      <c r="C9032" s="9" t="s">
        <v>1344</v>
      </c>
    </row>
    <row r="9033" ht="33.75" customHeight="1">
      <c r="A9033" s="6" t="s">
        <v>13324</v>
      </c>
      <c r="B9033" s="6" t="str">
        <f>IFERROR(__xludf.DUMMYFUNCTION("GOOGLETRANSLATE(A9033,""en"",""fi"")"),"Se käyttää kurkkupussiaan siipiensä tuottaman sähkön varastointiin. Sen höyhenissä on tuskin lainkaan öljyä, joten se on huono uimari.")</f>
        <v>Se käyttää kurkkupussiaan siipiensä tuottaman sähkön varastointiin. Sen höyhenissä on tuskin lainkaan öljyä, joten se on huono uimari.</v>
      </c>
      <c r="C9033" s="9" t="s">
        <v>1344</v>
      </c>
    </row>
    <row r="9034" ht="33.75" customHeight="1">
      <c r="A9034" s="6" t="s">
        <v>13325</v>
      </c>
      <c r="B9034" s="6" t="str">
        <f>IFERROR(__xludf.DUMMYFUNCTION("GOOGLETRANSLATE(A9034,""en"",""fi"")"),"Se aina irvistää yrittäessään saada vastustajat ottamaan sen vakavasti, mutta jopa itkevät lapset purskahtavat nauruun nähdessään Maschiffin kasvot.")</f>
        <v>Se aina irvistää yrittäessään saada vastustajat ottamaan sen vakavasti, mutta jopa itkevät lapset purskahtavat nauruun nähdessään Maschiffin kasvot.</v>
      </c>
      <c r="C9034" s="9" t="s">
        <v>1344</v>
      </c>
    </row>
    <row r="9035" ht="33.75" customHeight="1">
      <c r="A9035" s="6" t="s">
        <v>13327</v>
      </c>
      <c r="B9035" s="6" t="str">
        <f>IFERROR(__xludf.DUMMYFUNCTION("GOOGLETRANSLATE(A9035,""en"",""fi"")"),"Sen hyvin kehittyneet leuat ja kulmahampaat ovat riittävän vahvat murskaamaan lohkareita, ja sen paksu rasva tarjoaa erinomaisen puolustuksen.")</f>
        <v>Sen hyvin kehittyneet leuat ja kulmahampaat ovat riittävän vahvat murskaamaan lohkareita, ja sen paksu rasva tarjoaa erinomaisen puolustuksen.</v>
      </c>
      <c r="C9035" s="9" t="s">
        <v>1344</v>
      </c>
    </row>
    <row r="9036" ht="33.75" customHeight="1">
      <c r="A9036" s="6" t="s">
        <v>13328</v>
      </c>
      <c r="B9036" s="6" t="str">
        <f>IFERROR(__xludf.DUMMYFUNCTION("GOOGLETRANSLATE(A9036,""en"",""fi"")"),"Tämä Pokémon voi varastoida energiaa suureen kaulanalustaan. Mabosstiff vapauttaa tämän energian kerralla räjäyttääkseen viholliset pois.")</f>
        <v>Tämä Pokémon voi varastoida energiaa suureen kaulanalustaan. Mabosstiff vapauttaa tämän energian kerralla räjäyttääkseen viholliset pois.</v>
      </c>
      <c r="C9036" s="9" t="s">
        <v>1344</v>
      </c>
    </row>
    <row r="9037" ht="33.75" customHeight="1">
      <c r="A9037" s="6" t="s">
        <v>13330</v>
      </c>
      <c r="B9037" s="6" t="str">
        <f>IFERROR(__xludf.DUMMYFUNCTION("GOOGLETRANSLATE(A9037,""en"",""fi"")"),"Mabosstiff rakastaa leikkiä lasten kanssa. Vaikka se on yleensä lempeä, se näyttää pelottavalta suojellessaan perhettään.")</f>
        <v>Mabosstiff rakastaa leikkiä lasten kanssa. Vaikka se on yleensä lempeä, se näyttää pelottavalta suojellessaan perhettään.</v>
      </c>
      <c r="C9037" s="9" t="s">
        <v>1344</v>
      </c>
    </row>
    <row r="9038" ht="33.75" customHeight="1">
      <c r="A9038" s="6" t="s">
        <v>13331</v>
      </c>
      <c r="B9038" s="6" t="str">
        <f>IFERROR(__xludf.DUMMYFUNCTION("GOOGLETRANSLATE(A9038,""en"",""fi"")"),"Vaikka se on yleensä leppoisa Pokémon, se upottaa terävät, myrkytetyt etuhampaansa mihin tahansa, mikä suututtaa sitä, aiheuttaen vihansa kohteen halvaantumisen.")</f>
        <v>Vaikka se on yleensä leppoisa Pokémon, se upottaa terävät, myrkytetyt etuhampaansa mihin tahansa, mikä suututtaa sitä, aiheuttaen vihansa kohteen halvaantumisen.</v>
      </c>
      <c r="C9038" s="9" t="s">
        <v>1344</v>
      </c>
    </row>
    <row r="9039" ht="33.75" customHeight="1">
      <c r="A9039" s="6" t="s">
        <v>13332</v>
      </c>
      <c r="B9039" s="6" t="str">
        <f>IFERROR(__xludf.DUMMYFUNCTION("GOOGLETRANSLATE(A9039,""en"",""fi"")"),"Pitääkseen viholliset poissa reviiriltään se maalaa pesänsä ympärille merkintöjä myrkyllisellä nesteellä, jolla on pistävän haju.")</f>
        <v>Pitääkseen viholliset poissa reviiriltään se maalaa pesänsä ympärille merkintöjä myrkyllisellä nesteellä, jolla on pistävän haju.</v>
      </c>
      <c r="C9039" s="9" t="s">
        <v>1344</v>
      </c>
    </row>
    <row r="9040" ht="33.75" customHeight="1">
      <c r="A9040" s="6" t="s">
        <v>13333</v>
      </c>
      <c r="B9040" s="6" t="str">
        <f>IFERROR(__xludf.DUMMYFUNCTION("GOOGLETRANSLATE(A9040,""en"",""fi"")"),"Myrkyllisen syljen väri riippuu siitä, mitä Pokémon syö. Grafaiai peittää sormensa sylkeen ja piirtää kuvioita puihin metsissä.")</f>
        <v>Myrkyllisen syljen väri riippuu siitä, mitä Pokémon syö. Grafaiai peittää sormensa sylkeen ja piirtää kuvioita puihin metsissä.</v>
      </c>
      <c r="C9040" s="9" t="s">
        <v>1344</v>
      </c>
    </row>
    <row r="9041" ht="33.75" customHeight="1">
      <c r="A9041" s="6" t="s">
        <v>13335</v>
      </c>
      <c r="B9041" s="6" t="str">
        <f>IFERROR(__xludf.DUMMYFUNCTION("GOOGLETRANSLATE(A9041,""en"",""fi"")"),"Jokainen Grafaiai maalaa oman yksilöllisen kuvionsa, ja se maalaa saman kuvion yhä uudelleen ja uudelleen koko elämänsä ajan.")</f>
        <v>Jokainen Grafaiai maalaa oman yksilöllisen kuvionsa, ja se maalaa saman kuvion yhä uudelleen ja uudelleen koko elämänsä ajan.</v>
      </c>
      <c r="C9041" s="9" t="s">
        <v>1344</v>
      </c>
    </row>
    <row r="9042" ht="33.75" customHeight="1">
      <c r="A9042" s="6" t="s">
        <v>13337</v>
      </c>
      <c r="B9042" s="6" t="str">
        <f>IFERROR(__xludf.DUMMYFUNCTION("GOOGLETRANSLATE(A9042,""en"",""fi"")"),"Sielu, joka ei kyennyt siirtymään tuonpuoleiseen, joutui tuulen lennättämäksi, kunnes se takertui kuivaan ruohoon ja siitä tuli Pokémon.")</f>
        <v>Sielu, joka ei kyennyt siirtymään tuonpuoleiseen, joutui tuulen lennättämäksi, kunnes se takertui kuivaan ruohoon ja siitä tuli Pokémon.</v>
      </c>
      <c r="C9042" s="9" t="s">
        <v>1344</v>
      </c>
    </row>
    <row r="9043" ht="33.75" customHeight="1">
      <c r="A9043" s="6" t="s">
        <v>13338</v>
      </c>
      <c r="B9043" s="6" t="str">
        <f>IFERROR(__xludf.DUMMYFUNCTION("GOOGLETRANSLATE(A9043,""en"",""fi"")"),"Edes Bramblin ei tiedä minne se on menossa syöksyessään erämaan halki tuulen viemänä. Se inhoaa kastumista.")</f>
        <v>Edes Bramblin ei tiedä minne se on menossa syöksyessään erämaan halki tuulen viemänä. Se inhoaa kastumista.</v>
      </c>
      <c r="C9043" s="9" t="s">
        <v>1344</v>
      </c>
    </row>
    <row r="9044" ht="33.75" customHeight="1">
      <c r="A9044" s="6" t="s">
        <v>13340</v>
      </c>
      <c r="B9044" s="6" t="str">
        <f>IFERROR(__xludf.DUMMYFUNCTION("GOOGLETRANSLATE(A9044,""en"",""fi"")"),"Se avaa päänsä oksat ympäröidäkseen saaliinsa. Kun se on imenyt kaiken tarvitsemansa elämänenergian, se karkottaa saaliin ja hylkää sen.")</f>
        <v>Se avaa päänsä oksat ympäröidäkseen saaliinsa. Kun se on imenyt kaiken tarvitsemansa elämänenergian, se karkottaa saaliin ja hylkää sen.</v>
      </c>
      <c r="C9044" s="9" t="s">
        <v>1344</v>
      </c>
    </row>
    <row r="9045" ht="33.75" customHeight="1">
      <c r="A9045" s="6" t="s">
        <v>13343</v>
      </c>
      <c r="B9045" s="6" t="str">
        <f>IFERROR(__xludf.DUMMYFUNCTION("GOOGLETRANSLATE(A9045,""en"",""fi"")"),"Brambleghast vaeltelee kuivilla alueilla. Harvinaisissa tapauksissa näiden Pokémonien massaesiintymät hautaavat kokonaisen kaupungin.")</f>
        <v>Brambleghast vaeltelee kuivilla alueilla. Harvinaisissa tapauksissa näiden Pokémonien massaesiintymät hautaavat kokonaisen kaupungin.</v>
      </c>
      <c r="C9045" s="9" t="s">
        <v>1344</v>
      </c>
    </row>
    <row r="9046" ht="33.75" customHeight="1">
      <c r="A9046" s="6" t="s">
        <v>13344</v>
      </c>
      <c r="B9046" s="6" t="str">
        <f>IFERROR(__xludf.DUMMYFUNCTION("GOOGLETRANSLATE(A9046,""en"",""fi"")"),"Toedscool elää kosteissa metsissä. Sen ruumiista putoavat läpät ovat sitkeitä ja erittäin herkullisia.")</f>
        <v>Toedscool elää kosteissa metsissä. Sen ruumiista putoavat läpät ovat sitkeitä ja erittäin herkullisia.</v>
      </c>
      <c r="C9046" s="9" t="s">
        <v>1344</v>
      </c>
    </row>
    <row r="9047" ht="33.75" customHeight="1">
      <c r="A9047" s="6" t="s">
        <v>13346</v>
      </c>
      <c r="B9047" s="6" t="str">
        <f>IFERROR(__xludf.DUMMYFUNCTION("GOOGLETRANSLATE(A9047,""en"",""fi"")"),"Vaikka se näyttää Tentacool-kalalta, Toedscool on täysin eri laji. Sen jalat saattavat olla ohuet, mutta se voi juosta jopa 48 km/h nopeudella.")</f>
        <v>Vaikka se näyttää Tentacool-kalalta, Toedscool on täysin eri laji. Sen jalat saattavat olla ohuet, mutta se voi juosta jopa 48 km/h nopeudella.</v>
      </c>
      <c r="C9047" s="9" t="s">
        <v>1344</v>
      </c>
    </row>
    <row r="9048" ht="33.75" customHeight="1">
      <c r="A9048" s="6" t="s">
        <v>13347</v>
      </c>
      <c r="B9048" s="6" t="str">
        <f>IFERROR(__xludf.DUMMYFUNCTION("GOOGLETRANSLATE(A9048,""en"",""fi"")"),"Nämä Pokémonit kerääntyvät ryhmiin ja muodostavat yhdyskuntia syvällä metsissä. Ne vihaavat sitä, kun vieraat lähestyvät.")</f>
        <v>Nämä Pokémonit kerääntyvät ryhmiin ja muodostavat yhdyskuntia syvällä metsissä. Ne vihaavat sitä, kun vieraat lähestyvät.</v>
      </c>
      <c r="C9048" s="9" t="s">
        <v>1344</v>
      </c>
    </row>
    <row r="9049" ht="33.75" customHeight="1">
      <c r="A9049" s="6" t="s">
        <v>13349</v>
      </c>
      <c r="B9049" s="6" t="str">
        <f>IFERROR(__xludf.DUMMYFUNCTION("GOOGLETRANSLATE(A9049,""en"",""fi"")"),"Se kietoo 10 lonkeronsa saaliinsa ympärille ja imee niiden ravinteet, mikä aiheuttaa saaliille kipua. Sen pään reunan poimut ovat suosittua herkkua.")</f>
        <v>Se kietoo 10 lonkeronsa saaliinsa ympärille ja imee niiden ravinteet, mikä aiheuttaa saaliille kipua. Sen pään reunan poimut ovat suosittua herkkua.</v>
      </c>
      <c r="C9049" s="9" t="s">
        <v>1344</v>
      </c>
    </row>
    <row r="9050" ht="33.75" customHeight="1">
      <c r="A9050" s="6" t="s">
        <v>13352</v>
      </c>
      <c r="B9050" s="6" t="str">
        <f>IFERROR(__xludf.DUMMYFUNCTION("GOOGLETRANSLATE(A9050,""en"",""fi"")"),"Klawf roikkuu ylösalaisin kallioilla odottamassa saalista. Mutta Klawf ei voi pysyä tässä asennossa kauan, koska sen veri nousee päähän.")</f>
        <v>Klawf roikkuu ylösalaisin kallioilla odottamassa saalista. Mutta Klawf ei voi pysyä tässä asennossa kauan, koska sen veri nousee päähän.</v>
      </c>
      <c r="C9050" s="9" t="s">
        <v>1344</v>
      </c>
    </row>
    <row r="9051" ht="33.75" customHeight="1">
      <c r="A9051" s="6" t="s">
        <v>13354</v>
      </c>
      <c r="B9051" s="6" t="str">
        <f>IFERROR(__xludf.DUMMYFUNCTION("GOOGLETRANSLATE(A9051,""en"",""fi"")"),"Tämä Pokémon elää jyrkillä kallioilla. Se väistää vastustajien hyökkäykset ja hyökkää sitten kynsillään heidän heikkoihin kohtiinsa.")</f>
        <v>Tämä Pokémon elää jyrkillä kallioilla. Se väistää vastustajien hyökkäykset ja hyökkää sitten kynsillään heidän heikkoihin kohtiinsa.</v>
      </c>
      <c r="C9051" s="9" t="s">
        <v>1344</v>
      </c>
    </row>
    <row r="9052" ht="33.75" customHeight="1">
      <c r="A9052" s="6" t="s">
        <v>13356</v>
      </c>
      <c r="B9052" s="6" t="str">
        <f>IFERROR(__xludf.DUMMYFUNCTION("GOOGLETRANSLATE(A9052,""en"",""fi"")"),"Mitä enemmän auringonvaloa tämä Pokémon kylpee, sitä enemmän sen keho tuottaa mausteisempia kemikaaleja, ja sitä mausteisemmiksi sen liikkeet tulevat.")</f>
        <v>Mitä enemmän auringonvaloa tämä Pokémon kylpee, sitä enemmän sen keho tuottaa mausteisempia kemikaaleja, ja sitä mausteisemmiksi sen liikkeet tulevat.</v>
      </c>
      <c r="C9052" s="9" t="s">
        <v>1344</v>
      </c>
    </row>
    <row r="9053" ht="33.75" customHeight="1">
      <c r="A9053" s="6" t="s">
        <v>13357</v>
      </c>
      <c r="B9053" s="6" t="str">
        <f>IFERROR(__xludf.DUMMYFUNCTION("GOOGLETRANSLATE(A9053,""en"",""fi"")"),"Perinteiset paldealaiset ruoat voivat olla erittäin tulisia, koska niiden ainesosiin kuuluvat Capsakidin irronneet etuhampaat.")</f>
        <v>Perinteiset paldealaiset ruoat voivat olla erittäin tulisia, koska niiden ainesosiin kuuluvat Capsakidin irronneet etuhampaat.</v>
      </c>
      <c r="C9053" s="9" t="s">
        <v>1344</v>
      </c>
    </row>
    <row r="9054" ht="33.75" customHeight="1">
      <c r="A9054" s="6" t="s">
        <v>13359</v>
      </c>
      <c r="B9054" s="6" t="str">
        <f>IFERROR(__xludf.DUMMYFUNCTION("GOOGLETRANSLATE(A9054,""en"",""fi"")"),"Punainen pää muuntaa mausteiset kemikaalit tulienergiaksi ja räjäyttää ympäröivän alueen supermausteisella liekkisuihkulla.")</f>
        <v>Punainen pää muuntaa mausteiset kemikaalit tulienergiaksi ja räjäyttää ympäröivän alueen supermausteisella liekkisuihkulla.</v>
      </c>
      <c r="C9054" s="9" t="s">
        <v>1344</v>
      </c>
    </row>
    <row r="9055" ht="33.75" customHeight="1">
      <c r="A9055" s="6" t="s">
        <v>13361</v>
      </c>
      <c r="B9055" s="6" t="str">
        <f>IFERROR(__xludf.DUMMYFUNCTION("GOOGLETRANSLATE(A9055,""en"",""fi"")"),"Vihreä pää on muuttunut ilkeäksi mausteisten kemikaalien stimuloidessa sen aivoja. Kun se kerran riehuu, sitä ei voi pysäyttää.")</f>
        <v>Vihreä pää on muuttunut ilkeäksi mausteisten kemikaalien stimuloidessa sen aivoja. Kun se kerran riehuu, sitä ei voi pysäyttää.</v>
      </c>
      <c r="C9055" s="9" t="s">
        <v>1344</v>
      </c>
    </row>
    <row r="9056" ht="33.75" customHeight="1">
      <c r="A9056" s="6" t="s">
        <v>13362</v>
      </c>
      <c r="B9056" s="6" t="str">
        <f>IFERROR(__xludf.DUMMYFUNCTION("GOOGLETRANSLATE(A9056,""en"",""fi"")"),"Tämä Pokémon luo mutapallon sekoittamalla hiekkaa ja multaa psyykkiseen energiaan. Se vaalii mutapalloaan enemmän kuin omaa elämäänsä.")</f>
        <v>Tämä Pokémon luo mutapallon sekoittamalla hiekkaa ja multaa psyykkiseen energiaan. Se vaalii mutapalloaan enemmän kuin omaa elämäänsä.</v>
      </c>
      <c r="C9056" s="9" t="s">
        <v>1344</v>
      </c>
    </row>
    <row r="9057" ht="33.75" customHeight="1">
      <c r="A9057" s="6" t="s">
        <v>13363</v>
      </c>
      <c r="B9057" s="6" t="str">
        <f>IFERROR(__xludf.DUMMYFUNCTION("GOOGLETRANSLATE(A9057,""en"",""fi"")"),"Se pyörittelee mutapalloaan ympäriinsä samalla kun sen evoluutioon tarvitsema energia kypsyy. Lopulta koittaa sen kehityksen aika.")</f>
        <v>Se pyörittelee mutapalloaan ympäriinsä samalla kun sen evoluutioon tarvitsema energia kypsyy. Lopulta koittaa sen kehityksen aika.</v>
      </c>
      <c r="C9057" s="9" t="s">
        <v>1344</v>
      </c>
    </row>
    <row r="9058" ht="33.75" customHeight="1">
      <c r="A9058" s="6" t="s">
        <v>13364</v>
      </c>
      <c r="B9058" s="6" t="str">
        <f>IFERROR(__xludf.DUMMYFUNCTION("GOOGLETRANSLATE(A9058,""en"",""fi"")"),"Palloa tukeva ruumis tuskin liikkuu. Siksi ajatellaan, että tämän Pokémonin todellinen ruumis on itse asiassa pallon sisällä.")</f>
        <v>Palloa tukeva ruumis tuskin liikkuu. Siksi ajatellaan, että tämän Pokémonin todellinen ruumis on itse asiassa pallon sisällä.</v>
      </c>
      <c r="C9058" s="9" t="s">
        <v>1344</v>
      </c>
    </row>
    <row r="9059" ht="33.75" customHeight="1">
      <c r="A9059" s="6" t="s">
        <v>13366</v>
      </c>
      <c r="B9059" s="6" t="str">
        <f>IFERROR(__xludf.DUMMYFUNCTION("GOOGLETRANSLATE(A9059,""en"",""fi"")"),"Vauva nukkuu pallon sisällä. Rabsca pyörittelee palloa rauhoittavasti jaloillaan varmistaakseen, että vauva nukkuu mukavasti.")</f>
        <v>Vauva nukkuu pallon sisällä. Rabsca pyörittelee palloa rauhoittavasti jaloillaan varmistaakseen, että vauva nukkuu mukavasti.</v>
      </c>
      <c r="C9059" s="9" t="s">
        <v>1344</v>
      </c>
    </row>
    <row r="9060" ht="33.75" customHeight="1">
      <c r="A9060" s="6" t="s">
        <v>13367</v>
      </c>
      <c r="B9060" s="6" t="str">
        <f>IFERROR(__xludf.DUMMYFUNCTION("GOOGLETRANSLATE(A9060,""en"",""fi"")"),"Flittlen varpaat leijuvat noin puoli tuumaa maanpinnan yläpuolella Pokémonin vatsan röyhelöistä säteilevän psyykkisen voiman ansiosta.")</f>
        <v>Flittlen varpaat leijuvat noin puoli tuumaa maanpinnan yläpuolella Pokémonin vatsan röyhelöistä säteilevän psyykkisen voiman ansiosta.</v>
      </c>
      <c r="C9060" s="9" t="s">
        <v>1344</v>
      </c>
    </row>
    <row r="9061" ht="33.75" customHeight="1">
      <c r="A9061" s="6" t="s">
        <v>13368</v>
      </c>
      <c r="B9061" s="6" t="str">
        <f>IFERROR(__xludf.DUMMYFUNCTION("GOOGLETRANSLATE(A9061,""en"",""fi"")"),"Se viettää aikansa juosten autiomailla. Jos joku varastaa sen rakkaat marjat, se ajaa ne takaa ja kostaa.")</f>
        <v>Se viettää aikansa juosten autiomailla. Jos joku varastaa sen rakkaat marjat, se ajaa ne takaa ja kostaa.</v>
      </c>
      <c r="C9061" s="9" t="s">
        <v>1344</v>
      </c>
    </row>
    <row r="9062" ht="33.75" customHeight="1">
      <c r="A9062" s="6" t="s">
        <v>13369</v>
      </c>
      <c r="B9062" s="6" t="str">
        <f>IFERROR(__xludf.DUMMYFUNCTION("GOOGLETRANSLATE(A9062,""en"",""fi"")"),"Se lamauttaa vastustajat kylpemällä heitä psyykkisessä voimassa suurista silmistään. Ulkonäöstään huolimatta sillä on ilkeämielinen luonne.")</f>
        <v>Se lamauttaa vastustajat kylpemällä heitä psyykkisessä voimassa suurista silmistään. Ulkonäöstään huolimatta sillä on ilkeämielinen luonne.</v>
      </c>
      <c r="C9062" s="9" t="s">
        <v>1344</v>
      </c>
    </row>
    <row r="9063" ht="33.75" customHeight="1">
      <c r="A9063" s="6" t="s">
        <v>13371</v>
      </c>
      <c r="B9063" s="6" t="str">
        <f>IFERROR(__xludf.DUMMYFUNCTION("GOOGLETRANSLATE(A9063,""en"",""fi"")"),"Se säteilee psyykkistä voimaa moniväristen korsettien välisistä raoista ja spurttaa yli 120 mph:n nopeudella.")</f>
        <v>Se säteilee psyykkistä voimaa moniväristen korsettien välisistä raoista ja spurttaa yli 120 mph:n nopeudella.</v>
      </c>
      <c r="C9063" s="9" t="s">
        <v>1344</v>
      </c>
    </row>
    <row r="9064" ht="33.75" customHeight="1">
      <c r="A9064" s="6" t="s">
        <v>13373</v>
      </c>
      <c r="B9064" s="6" t="str">
        <f>IFERROR(__xludf.DUMMYFUNCTION("GOOGLETRANSLATE(A9064,""en"",""fi"")"),"Se heiluttelee itse tehtyä vasaraansa suojatakseen itseään, mutta metallia syövät Pokémonit usein varastavat vasaran.")</f>
        <v>Se heiluttelee itse tehtyä vasaraansa suojatakseen itseään, mutta metallia syövät Pokémonit usein varastavat vasaran.</v>
      </c>
      <c r="C9064" s="9" t="s">
        <v>1344</v>
      </c>
    </row>
    <row r="9065" ht="33.75" customHeight="1">
      <c r="A9065" s="6" t="s">
        <v>13374</v>
      </c>
      <c r="B9065" s="6" t="str">
        <f>IFERROR(__xludf.DUMMYFUNCTION("GOOGLETRANSLATE(A9065,""en"",""fi"")"),"Tämä Pokémon hakkaa rautaromuja yhteen tehdäkseen vasaran. Se tekee vasaraa uudestaan ​​ja uudestaan, kunnes on tyytyväinen lopputulokseen.")</f>
        <v>Tämä Pokémon hakkaa rautaromuja yhteen tehdäkseen vasaran. Se tekee vasaraa uudestaan ​​ja uudestaan, kunnes on tyytyväinen lopputulokseen.</v>
      </c>
      <c r="C9065" s="9" t="s">
        <v>1344</v>
      </c>
    </row>
    <row r="9066" ht="33.75" customHeight="1">
      <c r="A9066" s="6" t="s">
        <v>13375</v>
      </c>
      <c r="B9066" s="6" t="str">
        <f>IFERROR(__xludf.DUMMYFUNCTION("GOOGLETRANSLATE(A9066,""en"",""fi"")"),"Tämä Pokémon hyökkää Pawniard- ja Bisharp-ryhmien kimppuun ja kerää niistä metallia luodakseen suuren ja tukevan vasaran.")</f>
        <v>Tämä Pokémon hyökkää Pawniard- ja Bisharp-ryhmien kimppuun ja kerää niistä metallia luodakseen suuren ja tukevan vasaran.</v>
      </c>
      <c r="C9066" s="9" t="s">
        <v>1344</v>
      </c>
    </row>
    <row r="9067" ht="33.75" customHeight="1">
      <c r="A9067" s="6" t="s">
        <v>13376</v>
      </c>
      <c r="B9067" s="6" t="str">
        <f>IFERROR(__xludf.DUMMYFUNCTION("GOOGLETRANSLATE(A9067,""en"",""fi"")"),"Nämä Pokémonit rakentavat kotinsa romumetallikasoihin. Ne testaavat toistensa vasaroiden lujuutta murskaamalla niitä yhteen.")</f>
        <v>Nämä Pokémonit rakentavat kotinsa romumetallikasoihin. Ne testaavat toistensa vasaroiden lujuutta murskaamalla niitä yhteen.</v>
      </c>
      <c r="C9067" s="9" t="s">
        <v>1344</v>
      </c>
    </row>
    <row r="9068" ht="33.75" customHeight="1">
      <c r="A9068" s="6" t="s">
        <v>13377</v>
      </c>
      <c r="B9068" s="6" t="str">
        <f>IFERROR(__xludf.DUMMYFUNCTION("GOOGLETRANSLATE(A9068,""en"",""fi"")"),"Tällä älykkäällä Pokémonilla on erittäin rohkea luonne. Se hakkaa kiviä taivaalle vasarallaan ja tähtää Corvikinyön lentämään.")</f>
        <v>Tällä älykkäällä Pokémonilla on erittäin rohkea luonne. Se hakkaa kiviä taivaalle vasarallaan ja tähtää Corvikinyön lentämään.</v>
      </c>
      <c r="C9068" s="9" t="s">
        <v>1344</v>
      </c>
    </row>
    <row r="9069" ht="33.75" customHeight="1">
      <c r="A9069" s="6" t="s">
        <v>13378</v>
      </c>
      <c r="B9069" s="6" t="str">
        <f>IFERROR(__xludf.DUMMYFUNCTION("GOOGLETRANSLATE(A9069,""en"",""fi"")"),"Vasara painaa yli 220 paunaa, mutta Tinkaton heiluttelee sitä helposti varastessaan mitä haluaa ja kantaessaan saaliinsa takaisin kotiin.")</f>
        <v>Vasara painaa yli 220 paunaa, mutta Tinkaton heiluttelee sitä helposti varastessaan mitä haluaa ja kantaessaan saaliinsa takaisin kotiin.</v>
      </c>
      <c r="C9069" s="9" t="s">
        <v>1344</v>
      </c>
    </row>
    <row r="9070" ht="33.75" customHeight="1">
      <c r="A9070" s="6" t="s">
        <v>13379</v>
      </c>
      <c r="B9070" s="6" t="str">
        <f>IFERROR(__xludf.DUMMYFUNCTION("GOOGLETRANSLATE(A9070,""en"",""fi"")"),"Tämä Pokémon voi haistaa veluzan hajun hieman yli 20 metrin päästä ja piiloutuu hiekkaan.")</f>
        <v>Tämä Pokémon voi haistaa veluzan hajun hieman yli 20 metrin päästä ja piiloutuu hiekkaan.</v>
      </c>
      <c r="C9070" s="9" t="s">
        <v>1344</v>
      </c>
    </row>
    <row r="9071" ht="33.75" customHeight="1">
      <c r="A9071" s="6" t="s">
        <v>13380</v>
      </c>
      <c r="B9071" s="6" t="str">
        <f>IFERROR(__xludf.DUMMYFUNCTION("GOOGLETRANSLATE(A9071,""en"",""fi"")"),"Vaikka se näyttää Diglettiltä, ​​Wiglett on täysin eri laji. Yhdennäköisyys näyttää olevan sattumaa, että se on sopeutunut ympäristöön.")</f>
        <v>Vaikka se näyttää Diglettiltä, ​​Wiglett on täysin eri laji. Yhdennäköisyys näyttää olevan sattumaa, että se on sopeutunut ympäristöön.</v>
      </c>
      <c r="C9071" s="9" t="s">
        <v>1344</v>
      </c>
    </row>
    <row r="9072" ht="33.75" customHeight="1">
      <c r="A9072" s="6" t="s">
        <v>13381</v>
      </c>
      <c r="B9072" s="6" t="str">
        <f>IFERROR(__xludf.DUMMYFUNCTION("GOOGLETRANSLATE(A9072,""en"",""fi"")"),"Sillä on ilkeämielinen luonne, toisin kuin sen ulkonäkö saattaa antaa ymmärtää. Se kietoo pitkät ruumiinsa saaliinsa ympärille ja raahaa sen sitten pesäänsä.")</f>
        <v>Sillä on ilkeämielinen luonne, toisin kuin sen ulkonäkö saattaa antaa ymmärtää. Se kietoo pitkät ruumiinsa saaliinsa ympärille ja raahaa sen sitten pesäänsä.</v>
      </c>
      <c r="C9072" s="9" t="s">
        <v>1344</v>
      </c>
    </row>
    <row r="9073" ht="33.75" customHeight="1">
      <c r="A9073" s="6" t="s">
        <v>13382</v>
      </c>
      <c r="B9073" s="6" t="str">
        <f>IFERROR(__xludf.DUMMYFUNCTION("GOOGLETRANSLATE(A9073,""en"",""fi"")"),"Wugtrio on monipuolinen kala-Pokémon, jota pidettiin aikoinaan Dugtrion alueellisena muotona.")</f>
        <v>Wugtrio on monipuolinen kala-Pokémon, jota pidettiin aikoinaan Dugtrion alueellisena muotona.</v>
      </c>
      <c r="C9073" s="9" t="s">
        <v>1344</v>
      </c>
    </row>
    <row r="9074" ht="33.75" customHeight="1">
      <c r="A9074" s="6" t="s">
        <v>13383</v>
      </c>
      <c r="B9074" s="6" t="str">
        <f>IFERROR(__xludf.DUMMYFUNCTION("GOOGLETRANSLATE(A9074,""en"",""fi"")"),"Se kerää tavaroita esiliinaan, joka on tehty Pokémonin rintahöyheniin lisätyistä irronneista höyhenistä, ja pudottaa ne sitten korkeilta paikoilta huvin vuoksi.")</f>
        <v>Se kerää tavaroita esiliinaan, joka on tehty Pokémonin rintahöyheniin lisätyistä irronneista höyhenistä, ja pudottaa ne sitten korkeilta paikoilta huvin vuoksi.</v>
      </c>
      <c r="C9074" s="9" t="s">
        <v>1344</v>
      </c>
    </row>
    <row r="9075" ht="33.75" customHeight="1">
      <c r="A9075" s="6" t="s">
        <v>13384</v>
      </c>
      <c r="B9075" s="6" t="str">
        <f>IFERROR(__xludf.DUMMYFUNCTION("GOOGLETRANSLATE(A9075,""en"",""fi"")"),"Pommittaja käyttää rintansa päällä olevaa esiliinaa ruoan niputtamiseen, jonka se kantaa takaisin pesäänsä. Se nauttii kovia ääniä pitävien esineiden pudottamisesta.")</f>
        <v>Pommittaja käyttää rintansa päällä olevaa esiliinaa ruoan niputtamiseen, jonka se kantaa takaisin pesäänsä. Se nauttii kovia ääniä pitävien esineiden pudottamisesta.</v>
      </c>
      <c r="C9075" s="9" t="s">
        <v>1344</v>
      </c>
    </row>
    <row r="9076" ht="33.75" customHeight="1">
      <c r="A9076" s="6" t="s">
        <v>13385</v>
      </c>
      <c r="B9076" s="6" t="str">
        <f>IFERROR(__xludf.DUMMYFUNCTION("GOOGLETRANSLATE(A9076,""en"",""fi"")"),"Se tykkää leikkiä muiden lajitovereidensa kanssa käyttäen pyrstössään olevaa vesirengasta. Se käyttää ultraääniaaltoja aistiakseen muiden elävien olentojen tunteita.")</f>
        <v>Se tykkää leikkiä muiden lajitovereidensa kanssa käyttäen pyrstössään olevaa vesirengasta. Se käyttää ultraääniaaltoja aistiakseen muiden elävien olentojen tunteita.</v>
      </c>
      <c r="C9076" s="9" t="s">
        <v>1344</v>
      </c>
    </row>
    <row r="9077" ht="33.75" customHeight="1">
      <c r="A9077" s="6" t="s">
        <v>13386</v>
      </c>
      <c r="B9077" s="6" t="str">
        <f>IFERROR(__xludf.DUMMYFUNCTION("GOOGLETRANSLATE(A9077,""en"",""fi"")"),"Sen vesirengas on tehty merivedestä, johon on sekoitettu Finizenin puhallusreiästä erittämää tahmeaa nestettä.")</f>
        <v>Sen vesirengas on tehty merivedestä, johon on sekoitettu Finizenin puhallusreiästä erittämää tahmeaa nestettä.</v>
      </c>
      <c r="C9077" s="9" t="s">
        <v>1344</v>
      </c>
    </row>
    <row r="9078" ht="33.75" customHeight="1">
      <c r="A9078" s="6" t="s">
        <v>13387</v>
      </c>
      <c r="B9078" s="6" t="str">
        <f>IFERROR(__xludf.DUMMYFUNCTION("GOOGLETRANSLATE(A9078,""en"",""fi"")"),"Tämä Pokémon muuttaa ulkonäköään, jos se kuulee liittolaistensa huutavan apua. Palafin ei koskaan näytä kenellekään muodonmuutoksensa hetkeä.")</f>
        <v>Tämä Pokémon muuttaa ulkonäköään, jos se kuulee liittolaistensa huutavan apua. Palafin ei koskaan näytä kenellekään muodonmuutoksensa hetkeä.</v>
      </c>
      <c r="C9078" s="9" t="s">
        <v>1344</v>
      </c>
    </row>
    <row r="9079" ht="33.75" customHeight="1">
      <c r="A9079" s="6" t="s">
        <v>13389</v>
      </c>
      <c r="B9079" s="6" t="str">
        <f>IFERROR(__xludf.DUMMYFUNCTION("GOOGLETRANSLATE(A9079,""en"",""fi"")"),"Sen fyysiset kyvyt eivät eroa Finizenin kyvyistä, mutta kun sen liittolaiset ovat vaarassa, se muuntautuu ja voimistaa itseään.")</f>
        <v>Sen fyysiset kyvyt eivät eroa Finizenin kyvyistä, mutta kun sen liittolaiset ovat vaarassa, se muuntautuu ja voimistaa itseään.</v>
      </c>
      <c r="C9079" s="9" t="s">
        <v>1344</v>
      </c>
    </row>
    <row r="9080" ht="33.75" customHeight="1">
      <c r="A9080" s="6" t="s">
        <v>13390</v>
      </c>
      <c r="B9080" s="6" t="str">
        <f>IFERROR(__xludf.DUMMYFUNCTION("GOOGLETRANSLATE(A9080,""en"",""fi"")"),"Kerrotaan, että tämä Pokémon syntyi, kun tuntematon myrkky-Pokémon astui sisään ja sytytti romunjalostustehtaalle jätetyn moottorin.")</f>
        <v>Kerrotaan, että tämä Pokémon syntyi, kun tuntematon myrkky-Pokémon astui sisään ja sytytti romunjalostustehtaalle jätetyn moottorin.</v>
      </c>
      <c r="C9080" s="9" t="s">
        <v>1344</v>
      </c>
    </row>
    <row r="9081" ht="33.75" customHeight="1">
      <c r="A9081" s="6" t="s">
        <v>13391</v>
      </c>
      <c r="B9081" s="6" t="str">
        <f>IFERROR(__xludf.DUMMYFUNCTION("GOOGLETRANSLATE(A9081,""en"",""fi"")"),"Teräsosa on Varoomin varsinainen ruumis. Tämä Pokémon tarrautuu kiviin ja muuntaa niiden sisältämät mineraalit energiaksi, joka ruokkii sen toimintoja.")</f>
        <v>Teräsosa on Varoomin varsinainen ruumis. Tämä Pokémon tarrautuu kiviin ja muuntaa niiden sisältämät mineraalit energiaksi, joka ruokkii sen toimintoja.</v>
      </c>
      <c r="C9081" s="9" t="s">
        <v>1344</v>
      </c>
    </row>
    <row r="9082" ht="33.75" customHeight="1">
      <c r="A9082" s="6" t="s">
        <v>13392</v>
      </c>
      <c r="B9082" s="6" t="str">
        <f>IFERROR(__xludf.DUMMYFUNCTION("GOOGLETRANSLATE(A9082,""en"",""fi"")"),"Se luo kaasua myrkyistä ja kivien mineraaleista. Sitten se räjäyttää kaasun sylintereissään – joita on nyt kahdeksan – energian tuottamiseksi.")</f>
        <v>Se luo kaasua myrkyistä ja kivien mineraaleista. Sitten se räjäyttää kaasun sylintereissään – joita on nyt kahdeksan – energian tuottamiseksi.</v>
      </c>
      <c r="C9082" s="9" t="s">
        <v>1344</v>
      </c>
    </row>
    <row r="9083" ht="33.75" customHeight="1">
      <c r="A9083" s="6" t="s">
        <v>13393</v>
      </c>
      <c r="B9083" s="6" t="str">
        <f>IFERROR(__xludf.DUMMYFUNCTION("GOOGLETRANSLATE(A9083,""en"",""fi"")"),"Revavroom uhkailee ilkeästi muita pakoputkensa äänellä. Se työntää kielensä ulos lieriömäisestä suustaan ​​ja suihkuttaa myrkyllisiä nesteitä.")</f>
        <v>Revavroom uhkailee ilkeästi muita pakoputkensa äänellä. Se työntää kielensä ulos lieriömäisestä suustaan ​​ja suihkuttaa myrkyllisiä nesteitä.</v>
      </c>
      <c r="C9083" s="9" t="s">
        <v>1344</v>
      </c>
    </row>
    <row r="9084" ht="33.75" customHeight="1">
      <c r="A9084" s="6" t="s">
        <v>13394</v>
      </c>
      <c r="B9084" s="6" t="str">
        <f>IFERROR(__xludf.DUMMYFUNCTION("GOOGLETRANSLATE(A9084,""en"",""fi"")"),"Ilmeisesti kyklitsa on antanut ihmisten ratsastaa selällään muinaisista ajoista lähtien. Tästä on löydetty kuvia 10 000 vuotta vanhoista seinämaalauksista.")</f>
        <v>Ilmeisesti kyklitsa on antanut ihmisten ratsastaa selällään muinaisista ajoista lähtien. Tästä on löydetty kuvia 10 000 vuotta vanhoista seinämaalauksista.</v>
      </c>
      <c r="C9084" s="9" t="s">
        <v>1344</v>
      </c>
    </row>
    <row r="9085" ht="33.75" customHeight="1">
      <c r="A9085" s="6" t="s">
        <v>13396</v>
      </c>
      <c r="B9085" s="6" t="str">
        <f>IFERROR(__xludf.DUMMYFUNCTION("GOOGLETRANSLATE(A9085,""en"",""fi"")"),"Se voi juosta yli 110 km/h nopeudella kantaessaan ihmistä. Ratsastajan ruumiinlämpö lämmittää Cyclizarin selkää ja kohottaa Pokémonin mielialaa.")</f>
        <v>Se voi juosta yli 110 km/h nopeudella kantaessaan ihmistä. Ratsastajan ruumiinlämpö lämmittää Cyclizarin selkää ja kohottaa Pokémonin mielialaa.</v>
      </c>
      <c r="C9085" s="9" t="s">
        <v>1344</v>
      </c>
    </row>
    <row r="9086" ht="33.75" customHeight="1">
      <c r="A9086" s="6" t="s">
        <v>13397</v>
      </c>
      <c r="B9086" s="6" t="str">
        <f>IFERROR(__xludf.DUMMYFUNCTION("GOOGLETRANSLATE(A9086,""en"",""fi"")"),"Hyökkäyksen aikana tämä Pokémon käyttää kehossaan olevia kärhiä kuin nyrkkejä ja iskee vastustajaa iskujen myrskyllä.")</f>
        <v>Hyökkäyksen aikana tämä Pokémon käyttää kehossaan olevia kärhiä kuin nyrkkejä ja iskee vastustajaa iskujen myrskyllä.</v>
      </c>
      <c r="C9086" s="9" t="s">
        <v>1344</v>
      </c>
    </row>
    <row r="9087" ht="33.75" customHeight="1">
      <c r="A9087" s="6" t="s">
        <v>13398</v>
      </c>
      <c r="B9087" s="6" t="str">
        <f>IFERROR(__xludf.DUMMYFUNCTION("GOOGLETRANSLATE(A9087,""en"",""fi"")"),"Tämä Pokémon elää kuivilla aavikoilla. Se ylläpitää metallikehoaan kuluttamalla rautaa maaperästä.")</f>
        <v>Tämä Pokémon elää kuivilla aavikoilla. Se ylläpitää metallikehoaan kuluttamalla rautaa maaperästä.</v>
      </c>
      <c r="C9087" s="9" t="s">
        <v>1344</v>
      </c>
    </row>
    <row r="9088" ht="33.75" customHeight="1">
      <c r="A9088" s="6" t="s">
        <v>13399</v>
      </c>
      <c r="B9088" s="6" t="str">
        <f>IFERROR(__xludf.DUMMYFUNCTION("GOOGLETRANSLATE(A9088,""en"",""fi"")"),"Se imee ravinteita luolien seinistä. Sen käyttämät terälehdet on tehty kiteytyneestä myrkystä.")</f>
        <v>Se imee ravinteita luolien seinistä. Sen käyttämät terälehdet on tehty kiteytyneestä myrkystä.</v>
      </c>
      <c r="C9088" s="9" t="s">
        <v>1344</v>
      </c>
    </row>
    <row r="9089" ht="33.75" customHeight="1">
      <c r="A9089" s="6" t="s">
        <v>13400</v>
      </c>
      <c r="B9089" s="6" t="str">
        <f>IFERROR(__xludf.DUMMYFUNCTION("GOOGLETRANSLATE(A9089,""en"",""fi"")"),"Glimmetin myrkylliset mineraalikiteet näyttävät aivan kukan terälehdiltä. Tämä Pokémon levittää myrkyllistä jauhetta, kuten siitepölyä, suojellakseen itseään.")</f>
        <v>Glimmetin myrkylliset mineraalikiteet näyttävät aivan kukan terälehdiltä. Tämä Pokémon levittää myrkyllistä jauhetta, kuten siitepölyä, suojellakseen itseään.</v>
      </c>
      <c r="C9089" s="9" t="s">
        <v>1344</v>
      </c>
    </row>
    <row r="9090" ht="33.75" customHeight="1">
      <c r="A9090" s="6" t="s">
        <v>13401</v>
      </c>
      <c r="B9090" s="6" t="str">
        <f>IFERROR(__xludf.DUMMYFUNCTION("GOOGLETRANSLATE(A9090,""en"",""fi"")"),"Kun tämä Pokémon havaitsee vaaran, se avaa kristalliset terälehtensä ja purkaa tulisäteitä kartiomaisesta ruumiistaan.")</f>
        <v>Kun tämä Pokémon havaitsee vaaran, se avaa kristalliset terälehtensä ja purkaa tulisäteitä kartiomaisesta ruumiistaan.</v>
      </c>
      <c r="C9090" s="9" t="s">
        <v>1344</v>
      </c>
    </row>
    <row r="9091" ht="33.75" customHeight="1">
      <c r="A9091" s="6" t="s">
        <v>13405</v>
      </c>
      <c r="B9091" s="6" t="str">
        <f>IFERROR(__xludf.DUMMYFUNCTION("GOOGLETRANSLATE(A9091,""en"",""fi"")"),"Glimmoran terälehdet koostuvat kiteytyneestä myrkkyenergiasta. Viime aikoina on käynyt ilmi, että nämä terälehdet muistuttavat Tera-jalokiviä.")</f>
        <v>Glimmoran terälehdet koostuvat kiteytyneestä myrkkyenergiasta. Viime aikoina on käynyt ilmi, että nämä terälehdet muistuttavat Tera-jalokiviä.</v>
      </c>
      <c r="C9091" s="9" t="s">
        <v>1344</v>
      </c>
    </row>
    <row r="9092" ht="33.75" customHeight="1">
      <c r="A9092" s="6" t="s">
        <v>13407</v>
      </c>
      <c r="B9092" s="6" t="str">
        <f>IFERROR(__xludf.DUMMYFUNCTION("GOOGLETRANSLATE(A9092,""en"",""fi"")"),"Kerrotaan, että koira-Pokémon, joka kuoli luonnossa olematta koskaan vuorovaikutuksessa ihmisen kanssa, syntyi uudelleen tänä Pokémonina.")</f>
        <v>Kerrotaan, että koira-Pokémon, joka kuoli luonnossa olematta koskaan vuorovaikutuksessa ihmisen kanssa, syntyi uudelleen tänä Pokémonina.</v>
      </c>
      <c r="C9092" s="9" t="s">
        <v>1344</v>
      </c>
    </row>
    <row r="9093" ht="33.75" customHeight="1">
      <c r="A9093" s="6" t="s">
        <v>13408</v>
      </c>
      <c r="B9093" s="6" t="str">
        <f>IFERROR(__xludf.DUMMYFUNCTION("GOOGLETRANSLATE(A9093,""en"",""fi"")"),"Tämä ystävällinen Pokémon ei pidä yksin olemisesta. Kiinnitä sille pienintäkään huomiota, ja se seuraa sinua ikuisesti.")</f>
        <v>Tämä ystävällinen Pokémon ei pidä yksin olemisesta. Kiinnitä sille pienintäkään huomiota, ja se seuraa sinua ikuisesti.</v>
      </c>
      <c r="C9093" s="9" t="s">
        <v>1344</v>
      </c>
    </row>
    <row r="9094" ht="33.75" customHeight="1">
      <c r="A9094" s="6" t="s">
        <v>13410</v>
      </c>
      <c r="B9094" s="6" t="str">
        <f>IFERROR(__xludf.DUMMYFUNCTION("GOOGLETRANSLATE(A9094,""en"",""fi"")"),"Houndstone viettää suurimman osan ajastaan ​​nukkuen hautausmailla. Kaikista koira-Pokémoneista tämä on uskollisin isännälleen.")</f>
        <v>Houndstone viettää suurimman osan ajastaan ​​nukkuen hautausmailla. Kaikista koira-Pokémoneista tämä on uskollisin isännälleen.</v>
      </c>
      <c r="C9094" s="9" t="s">
        <v>1344</v>
      </c>
    </row>
    <row r="9095" ht="33.75" customHeight="1">
      <c r="A9095" s="6" t="s">
        <v>13411</v>
      </c>
      <c r="B9095" s="6" t="str">
        <f>IFERROR(__xludf.DUMMYFUNCTION("GOOGLETRANSLATE(A9095,""en"",""fi"")"),"Rakkaudella surtu Pokémon syntyi uudesti Houndstonena. Se ei pidä siitä, että kukaan koskee sen pään päällä olevaan kohoumaan.")</f>
        <v>Rakkaudella surtu Pokémon syntyi uudesti Houndstonena. Se ei pidä siitä, että kukaan koskee sen pään päällä olevaan kohoumaan.</v>
      </c>
      <c r="C9095" s="9" t="s">
        <v>1344</v>
      </c>
    </row>
    <row r="9096" ht="33.75" customHeight="1">
      <c r="A9096" s="6" t="s">
        <v>13413</v>
      </c>
      <c r="B9096" s="6" t="str">
        <f>IFERROR(__xludf.DUMMYFUNCTION("GOOGLETRANSLATE(A9096,""en"",""fi"")"),"Tämä Pokémon ilmeisesti sitoo niskansa tyven solmuun, jotta sen vatsaan varastoitunut energia ei karkaa nokasta.")</f>
        <v>Tämä Pokémon ilmeisesti sitoo niskansa tyven solmuun, jotta sen vatsaan varastoitunut energia ei karkaa nokasta.</v>
      </c>
      <c r="C9096" s="9" t="s">
        <v>1344</v>
      </c>
    </row>
    <row r="9097" ht="33.75" customHeight="1">
      <c r="A9097" s="6" t="s">
        <v>13415</v>
      </c>
      <c r="B9097" s="6" t="str">
        <f>IFERROR(__xludf.DUMMYFUNCTION("GOOGLETRANSLATE(A9097,""en"",""fi"")"),"Heidän ""synkronointina"" tunnetun käyttäytymisensä ansiosta kokonainen parvi näitä Pokémoneja voi hyökätä samanaikaisesti täydellisessä harmoniassa.")</f>
        <v>Heidän "synkronointina" tunnetun käyttäytymisensä ansiosta kokonainen parvi näitä Pokémoneja voi hyökätä samanaikaisesti täydellisessä harmoniassa.</v>
      </c>
      <c r="C9097" s="9" t="s">
        <v>1344</v>
      </c>
    </row>
    <row r="9098" ht="33.75" customHeight="1">
      <c r="A9098" s="6" t="s">
        <v>13416</v>
      </c>
      <c r="B9098" s="6" t="str">
        <f>IFERROR(__xludf.DUMMYFUNCTION("GOOGLETRANSLATE(A9098,""en"",""fi"")"),"Tämä laji muutti merestä maalle hyvin kauan sitten. Se näyttää olevan läheistä sukua Wailmerille.")</f>
        <v>Tämä laji muutti merestä maalle hyvin kauan sitten. Se näyttää olevan läheistä sukua Wailmerille.</v>
      </c>
      <c r="C9098" s="9" t="s">
        <v>1344</v>
      </c>
    </row>
    <row r="9099" ht="33.75" customHeight="1">
      <c r="A9099" s="6" t="s">
        <v>13418</v>
      </c>
      <c r="B9099" s="6" t="str">
        <f>IFERROR(__xludf.DUMMYFUNCTION("GOOGLETRANSLATE(A9099,""en"",""fi"")"),"Se elää kylmillä alueilla noin viiden yksilön parvissa. Se rakastaa lumen ja jään mineraaleja.")</f>
        <v>Se elää kylmillä alueilla noin viiden yksilön parvissa. Se rakastaa lumen ja jään mineraaleja.</v>
      </c>
      <c r="C9099" s="9" t="s">
        <v>1344</v>
      </c>
    </row>
    <row r="9100" ht="33.75" customHeight="1">
      <c r="A9100" s="6" t="s">
        <v>13419</v>
      </c>
      <c r="B9100" s="6" t="str">
        <f>IFERROR(__xludf.DUMMYFUNCTION("GOOGLETRANSLATE(A9100,""en"",""fi"")"),"Tämä Pokémon vaeltelee lumisilla ja jäisillä alueilla. Se suojaa kehoaan voimakkailla lihaksilla ja paksulla rasvakerroksella ihon alla.")</f>
        <v>Tämä Pokémon vaeltelee lumisilla ja jäisillä alueilla. Se suojaa kehoaan voimakkailla lihaksilla ja paksulla rasvakerroksella ihon alla.</v>
      </c>
      <c r="C9100" s="9" t="s">
        <v>1344</v>
      </c>
    </row>
    <row r="9101" ht="33.75" customHeight="1">
      <c r="A9101" s="6" t="s">
        <v>13420</v>
      </c>
      <c r="B9101" s="6" t="str">
        <f>IFERROR(__xludf.DUMMYFUNCTION("GOOGLETRANSLATE(A9101,""en"",""fi"")"),"Jääenergia kerääntyy sarven yläleuan sisään, minkä seurauksena sarvi saavuttaa kryogeeniset lämpötilat, jotka jäädyttävät sen ympäristön.")</f>
        <v>Jääenergia kerääntyy sarven yläleuan sisään, minkä seurauksena sarvi saavuttaa kryogeeniset lämpötilat, jotka jäädyttävät sen ympäristön.</v>
      </c>
      <c r="C9101" s="9" t="s">
        <v>1344</v>
      </c>
    </row>
    <row r="9102" ht="33.75" customHeight="1">
      <c r="A9102" s="6" t="s">
        <v>13421</v>
      </c>
      <c r="B9102" s="6" t="str">
        <f>IFERROR(__xludf.DUMMYFUNCTION("GOOGLETRANSLATE(A9102,""en"",""fi"")"),"Kun Veluza hylkää tarpeettoman lihan, sen mieli terävöityy ja sen psyykkinen voima kasvaa. Ylimääräisellä lihalla on mieto mutta herkullinen maku.")</f>
        <v>Kun Veluza hylkää tarpeettoman lihan, sen mieli terävöityy ja sen psyykkinen voima kasvaa. Ylimääräisellä lihalla on mieto mutta herkullinen maku.</v>
      </c>
      <c r="C9102" s="9" t="s">
        <v>1344</v>
      </c>
    </row>
    <row r="9103" ht="33.75" customHeight="1">
      <c r="A9103" s="6" t="s">
        <v>13422</v>
      </c>
      <c r="B9103" s="6" t="str">
        <f>IFERROR(__xludf.DUMMYFUNCTION("GOOGLETRANSLATE(A9103,""en"",""fi"")"),"Veluzalla on erinomaiset uusiutumiskyvyt. Se karistaa ylimääräistä lihaa kehostaan ​​parantaakseen ketteryyttään ja hyökkää sitten saaliinsa kimppuun.")</f>
        <v>Veluzalla on erinomaiset uusiutumiskyvyt. Se karistaa ylimääräistä lihaa kehostaan ​​parantaakseen ketteryyttään ja hyökkää sitten saaliinsa kimppuun.</v>
      </c>
      <c r="C9103" s="9" t="s">
        <v>1344</v>
      </c>
    </row>
    <row r="9104" ht="33.75" customHeight="1">
      <c r="A9104" s="6" t="s">
        <v>13423</v>
      </c>
      <c r="B9104" s="6" t="str">
        <f>IFERROR(__xludf.DUMMYFUNCTION("GOOGLETRANSLATE(A9104,""en"",""fi"")"),"Tämä Pokémon on ahmatti, mutta huono ruoan hankkimisessa. Se lyöttäytyy yhteen Tatsugirin kanssa saaliin nappaamiseksi.")</f>
        <v>Tämä Pokémon on ahmatti, mutta huono ruoan hankkimisessa. Se lyöttäytyy yhteen Tatsugirin kanssa saaliin nappaamiseksi.</v>
      </c>
      <c r="C9104" s="9" t="s">
        <v>1344</v>
      </c>
    </row>
    <row r="9105" ht="33.75" customHeight="1">
      <c r="A9105" s="6" t="s">
        <v>13424</v>
      </c>
      <c r="B9105" s="6" t="str">
        <f>IFERROR(__xludf.DUMMYFUNCTION("GOOGLETRANSLATE(A9105,""en"",""fi"")"),"Se kohtelee Tatsugiria kuin pomoaan ja seuraa tätä uskollisesti. Vaikka Dondozo on voimakas, hän ei ilmeisesti ole kovin älykäs.")</f>
        <v>Se kohtelee Tatsugiria kuin pomoaan ja seuraa tätä uskollisesti. Vaikka Dondozo on voimakas, hän ei ilmeisesti ole kovin älykäs.</v>
      </c>
      <c r="C9105" s="9" t="s">
        <v>1344</v>
      </c>
    </row>
    <row r="9106" ht="33.75" customHeight="1">
      <c r="A9106" s="6" t="s">
        <v>13426</v>
      </c>
      <c r="B9106" s="6" t="str">
        <f>IFERROR(__xludf.DUMMYFUNCTION("GOOGLETRANSLATE(A9106,""en"",""fi"")"),"Tämä on pieni lohikäärme-Pokémon. Se asuu Dondozon suussa suojellakseen itseään ulkopuolisilta vihollisilta.")</f>
        <v>Tämä on pieni lohikäärme-Pokémon. Se asuu Dondozon suussa suojellakseen itseään ulkopuolisilta vihollisilta.</v>
      </c>
      <c r="C9106" s="9" t="s">
        <v>1344</v>
      </c>
    </row>
    <row r="9107" ht="33.75" customHeight="1">
      <c r="A9107" s="6" t="s">
        <v>13427</v>
      </c>
      <c r="B9107" s="6" t="str">
        <f>IFERROR(__xludf.DUMMYFUNCTION("GOOGLETRANSLATE(A9107,""en"",""fi"")"),"Tatsugiri on äärimmäisen ovela Pokémon. Se teeskentelee heikkoutta houkutellakseen saalista puoleensa ja käskee sitten kumppaniaan hyökkäämään.")</f>
        <v>Tatsugiri on äärimmäisen ovela Pokémon. Se teeskentelee heikkoutta houkutellakseen saalista puoleensa ja käskee sitten kumppaniaan hyökkäämään.</v>
      </c>
      <c r="C9107" s="9" t="s">
        <v>1344</v>
      </c>
    </row>
    <row r="9108" ht="33.75" customHeight="1">
      <c r="A9108" s="6" t="s">
        <v>13428</v>
      </c>
      <c r="B9108" s="6" t="str">
        <f>IFERROR(__xludf.DUMMYFUNCTION("GOOGLETRANSLATE(A9108,""en"",""fi"")"),"Kun sen viha nousi kriittisen pisteen yli, tämä Pokémon sai voiman, jota sen fyysisen kehon rajat eivät kahlehdi.")</f>
        <v>Kun sen viha nousi kriittisen pisteen yli, tämä Pokémon sai voiman, jota sen fyysisen kehon rajat eivät kahlehdi.</v>
      </c>
      <c r="C9108" s="9" t="s">
        <v>1344</v>
      </c>
    </row>
    <row r="9109" ht="33.75" customHeight="1">
      <c r="A9109" s="6" t="s">
        <v>13429</v>
      </c>
      <c r="B9109" s="6" t="str">
        <f>IFERROR(__xludf.DUMMYFUNCTION("GOOGLETRANSLATE(A9109,""en"",""fi"")"),"Se kyllästää nyrkkinsä sydämessään piilossa pitämänsä raivon voimalla. Näiden kyllästettyjen nyrkkien iskemät vastustajat murskataan ytimiään myöten.")</f>
        <v>Se kyllästää nyrkkinsä sydämessään piilossa pitämänsä raivon voimalla. Näiden kyllästettyjen nyrkkien iskemät vastustajat murskataan ytimiään myöten.</v>
      </c>
      <c r="C9109" s="9" t="s">
        <v>1344</v>
      </c>
    </row>
    <row r="9110" ht="33.75" customHeight="1">
      <c r="A9110" s="6" t="s">
        <v>13430</v>
      </c>
      <c r="B9110" s="6" t="str">
        <f>IFERROR(__xludf.DUMMYFUNCTION("GOOGLETRANSLATE(A9110,""en"",""fi"")"),"Hyökätessä tämä Pokémon kostaa työntämällä paksut piikit ulos kehostaan. Se on riskialtis liike, joka asettaa kaiken vaakalaudalle.")</f>
        <v>Hyökätessä tämä Pokémon kostaa työntämällä paksut piikit ulos kehostaan. Se on riskialtis liike, joka asettaa kaiken vaakalaudalle.</v>
      </c>
      <c r="C9110" s="9" t="s">
        <v>1344</v>
      </c>
    </row>
    <row r="9111" ht="33.75" customHeight="1">
      <c r="A9111" s="6" t="s">
        <v>13431</v>
      </c>
      <c r="B9111" s="6" t="str">
        <f>IFERROR(__xludf.DUMMYFUNCTION("GOOGLETRANSLATE(A9111,""en"",""fi"")"),"Se elää lampien ja soiden pohjalla. Se kantaa Woopereita selässään ja kuljettaa niitä veden yli rannalta toiselle.")</f>
        <v>Se elää lampien ja soiden pohjalla. Se kantaa Woopereita selässään ja kuljettaa niitä veden yli rannalta toiselle.</v>
      </c>
      <c r="C9111" s="9" t="s">
        <v>1344</v>
      </c>
    </row>
    <row r="9112" ht="33.75" customHeight="1">
      <c r="A9112" s="6" t="s">
        <v>13432</v>
      </c>
      <c r="B9112" s="6" t="str">
        <f>IFERROR(__xludf.DUMMYFUNCTION("GOOGLETRANSLATE(A9112,""en"",""fi"")"),"Nyt kun pään ja hännän aivoaallot on synkronoitu, tämän Pokémonin psyykkinen voima on 10 kertaa vahvempi kuin Girafarigin.")</f>
        <v>Nyt kun pään ja hännän aivoaallot on synkronoitu, tämän Pokémonin psyykkinen voima on 10 kertaa vahvempi kuin Girafarigin.</v>
      </c>
      <c r="C9112" s="9" t="s">
        <v>1344</v>
      </c>
    </row>
    <row r="9113" ht="33.75" customHeight="1">
      <c r="A9113" s="6" t="s">
        <v>13433</v>
      </c>
      <c r="B9113" s="6" t="str">
        <f>IFERROR(__xludf.DUMMYFUNCTION("GOOGLETRANSLATE(A9113,""en"",""fi"")"),"Hännän kovettunut pää suojaa rungon päätä, kun Farigiraf heittää pitkää kaulaansa ja puskee vihollisia päällään.")</f>
        <v>Hännän kovettunut pää suojaa rungon päätä, kun Farigiraf heittää pitkää kaulaansa ja puskee vihollisia päällään.</v>
      </c>
      <c r="C9113" s="9" t="s">
        <v>1344</v>
      </c>
    </row>
    <row r="9114" ht="33.75" customHeight="1">
      <c r="A9114" s="6" t="s">
        <v>13434</v>
      </c>
      <c r="B9114" s="6" t="str">
        <f>IFERROR(__xludf.DUMMYFUNCTION("GOOGLETRANSLATE(A9114,""en"",""fi"")"),"Tämä Pokémon käyttää kovaa häntäänsä pesänsä rakentamiseen poraamalla reikiä syvälle maan alle kallioperään. Pesä voi kasvaa yli kuuden mailin pituiseksi.")</f>
        <v>Tämä Pokémon käyttää kovaa häntäänsä pesänsä rakentamiseen poraamalla reikiä syvälle maan alle kallioperään. Pesä voi kasvaa yli kuuden mailin pituiseksi.</v>
      </c>
      <c r="C9114" s="9" t="s">
        <v>1344</v>
      </c>
    </row>
    <row r="9115" ht="33.75" customHeight="1">
      <c r="A9115" s="6" t="s">
        <v>13435</v>
      </c>
      <c r="B9115" s="6" t="str">
        <f>IFERROR(__xludf.DUMMYFUNCTION("GOOGLETRANSLATE(A9115,""en"",""fi"")"),"Se ajaa viholliset ulos pesästään imemällä sisäänsä tarpeeksi ilmaa täyttääkseen pitkät, kapeat keuhkonsa ja vapauttamalla ilman sitten voimakkaana räjähdyksenä.")</f>
        <v>Se ajaa viholliset ulos pesästään imemällä sisäänsä tarpeeksi ilmaa täyttääkseen pitkät, kapeat keuhkonsa ja vapauttamalla ilman sitten voimakkaana räjähdyksenä.</v>
      </c>
      <c r="C9115" s="9" t="s">
        <v>1344</v>
      </c>
    </row>
    <row r="9116" ht="33.75" customHeight="1">
      <c r="A9116" s="6" t="s">
        <v>13437</v>
      </c>
      <c r="B9116" s="6" t="str">
        <f>IFERROR(__xludf.DUMMYFUNCTION("GOOGLETRANSLATE(A9116,""en"",""fi"")"),"Vain Bisharp, joka on kaikkien muiden yläpuolella valtavassa armeijassaan, voi kehittyä Kingambitiksi.")</f>
        <v>Vain Bisharp, joka on kaikkien muiden yläpuolella valtavassa armeijassaan, voi kehittyä Kingambitiksi.</v>
      </c>
      <c r="C9116" s="9" t="s">
        <v>1344</v>
      </c>
    </row>
    <row r="9117" ht="33.75" customHeight="1">
      <c r="A9117" s="6" t="s">
        <v>13438</v>
      </c>
      <c r="B9117" s="6" t="str">
        <f>IFERROR(__xludf.DUMMYFUNCTION("GOOGLETRANSLATE(A9117,""en"",""fi"")"),"Vaikka se komentaa valtavaa armeijaa taistelussa, se ei ole taitava suunnittelemaan monimutkaisia ​​strategioita. Se vain käyttää raakaa voimaa jatkaakseen eteenpäin.")</f>
        <v>Vaikka se komentaa valtavaa armeijaa taistelussa, se ei ole taitava suunnittelemaan monimutkaisia ​​strategioita. Se vain käyttää raakaa voimaa jatkaakseen eteenpäin.</v>
      </c>
      <c r="C9117" s="9" t="s">
        <v>1344</v>
      </c>
    </row>
    <row r="9118" ht="33.75" customHeight="1">
      <c r="A9118" s="6" t="s">
        <v>13439</v>
      </c>
      <c r="B9118" s="6" t="str">
        <f>IFERROR(__xludf.DUMMYFUNCTION("GOOGLETRANSLATE(A9118,""en"",""fi"")"),"Tätä Pokémonia on nähty viime vuosina. Nimi Great Tusk on otettu eräässä kirjassa mainitusta olennosta.")</f>
        <v>Tätä Pokémonia on nähty viime vuosina. Nimi Great Tusk on otettu eräässä kirjassa mainitusta olennosta.</v>
      </c>
      <c r="C9118" s="9" t="s">
        <v>1344</v>
      </c>
    </row>
    <row r="9119" ht="33.75" customHeight="1">
      <c r="A9119" s="6" t="s">
        <v>13441</v>
      </c>
      <c r="B9119" s="6" t="str">
        <f>IFERROR(__xludf.DUMMYFUNCTION("GOOGLETRANSLATE(A9119,""en"",""fi"")"),"Tämä olento muistuttaa salaperäistä Pokémonia, joka paranormaalilehden mukaan on elänyt muinaisista ajoista lähtien.")</f>
        <v>Tämä olento muistuttaa salaperäistä Pokémonia, joka paranormaalilehden mukaan on elänyt muinaisista ajoista lähtien.</v>
      </c>
      <c r="C9119" s="9" t="s">
        <v>1344</v>
      </c>
    </row>
    <row r="9120" ht="33.75" customHeight="1">
      <c r="A9120" s="6" t="s">
        <v>13442</v>
      </c>
      <c r="B9120" s="6" t="str">
        <f>IFERROR(__xludf.DUMMYFUNCTION("GOOGLETRANSLATE(A9120,""en"",""fi"")"),"Tästä Pokémonista on raportoitu vain yksi havainto. Se muistuttaa vanhassa retkikuntapäiväkirjassa kuvattua salaperäistä olentoa.")</f>
        <v>Tästä Pokémonista on raportoitu vain yksi havainto. Se muistuttaa vanhassa retkikuntapäiväkirjassa kuvattua salaperäistä olentoa.</v>
      </c>
      <c r="C9120" s="9" t="s">
        <v>1344</v>
      </c>
    </row>
    <row r="9121" ht="33.75" customHeight="1">
      <c r="A9121" s="6" t="s">
        <v>13443</v>
      </c>
      <c r="B9121" s="6" t="str">
        <f>IFERROR(__xludf.DUMMYFUNCTION("GOOGLETRANSLATE(A9121,""en"",""fi"")"),"Se muistuttaa salaperäistä Pokémonia, jota paranormaalissa lehdessä kuvataan miljardin vuoden takaiseksi Jigglypuffiksi.")</f>
        <v>Se muistuttaa salaperäistä Pokémonia, jota paranormaalissa lehdessä kuvataan miljardin vuoden takaiseksi Jigglypuffiksi.</v>
      </c>
      <c r="C9121" s="9" t="s">
        <v>1344</v>
      </c>
    </row>
    <row r="9122" ht="33.75" customHeight="1">
      <c r="A9122" s="6" t="s">
        <v>13445</v>
      </c>
      <c r="B9122" s="6" t="str">
        <f>IFERROR(__xludf.DUMMYFUNCTION("GOOGLETRANSLATE(A9122,""en"",""fi"")"),"On mahdollista, että tietyssä kirjassa Brute Bonnetina listattu olento voisi oikeasti olla tämä Pokémon.")</f>
        <v>On mahdollista, että tietyssä kirjassa Brute Bonnetina listattu olento voisi oikeasti olla tämä Pokémon.</v>
      </c>
      <c r="C9122" s="9" t="s">
        <v>1344</v>
      </c>
    </row>
    <row r="9123" ht="33.75" customHeight="1">
      <c r="A9123" s="6" t="s">
        <v>13447</v>
      </c>
      <c r="B9123" s="6" t="str">
        <f>IFERROR(__xludf.DUMMYFUNCTION("GOOGLETRANSLATE(A9123,""en"",""fi"")"),"Se muistuttaa hieman Pokémonia, jota kyseenalaisessa lehdessä kuvailtiin dinosauruksen ja sienen risteytyksellä.")</f>
        <v>Se muistuttaa hieman Pokémonia, jota kyseenalaisessa lehdessä kuvailtiin dinosauruksen ja sienen risteytyksellä.</v>
      </c>
      <c r="C9123" s="9" t="s">
        <v>1344</v>
      </c>
    </row>
    <row r="9124" ht="33.75" customHeight="1">
      <c r="A9124" s="6" t="s">
        <v>13448</v>
      </c>
      <c r="B9124" s="6" t="str">
        <f>IFERROR(__xludf.DUMMYFUNCTION("GOOGLETRANSLATE(A9124,""en"",""fi"")"),"Tällä Pokémonilla on samanlaisia ​​ominaisuuksia kuin Flutter Manella, eräässä kirjassa mainitulla olennolla.")</f>
        <v>Tällä Pokémonilla on samanlaisia ​​ominaisuuksia kuin Flutter Manella, eräässä kirjassa mainitulla olennolla.</v>
      </c>
      <c r="C9124" s="9" t="s">
        <v>1344</v>
      </c>
    </row>
    <row r="9125" ht="33.75" customHeight="1">
      <c r="A9125" s="6" t="s">
        <v>13451</v>
      </c>
      <c r="B9125" s="6" t="str">
        <f>IFERROR(__xludf.DUMMYFUNCTION("GOOGLETRANSLATE(A9125,""en"",""fi"")"),"Sillä on samanlaisia ​​piirteitä kuin paranormaalissa lehdessä käsitellyllä aavemaisella pterosauruksella, mutta niillä ei ole juuri muuta yhteistä.")</f>
        <v>Sillä on samanlaisia ​​piirteitä kuin paranormaalissa lehdessä käsitellyllä aavemaisella pterosauruksella, mutta niillä ei ole juuri muuta yhteistä.</v>
      </c>
      <c r="C9125" s="9" t="s">
        <v>1344</v>
      </c>
    </row>
    <row r="9126" ht="33.75" customHeight="1">
      <c r="A9126" s="6" t="s">
        <v>13454</v>
      </c>
      <c r="B9126" s="6" t="str">
        <f>IFERROR(__xludf.DUMMYFUNCTION("GOOGLETRANSLATE(A9126,""en"",""fi"")"),"Tällä salaperäisellä Pokémonilla on joitakin yhtäläisyyksiä olentoon, joka esiteltiin vanhassa kirjassa nimellä Slither Wing.")</f>
        <v>Tällä salaperäisellä Pokémonilla on joitakin yhtäläisyyksiä olentoon, joka esiteltiin vanhassa kirjassa nimellä Slither Wing.</v>
      </c>
      <c r="C9126" s="9" t="s">
        <v>1344</v>
      </c>
    </row>
    <row r="9127" ht="33.75" customHeight="1">
      <c r="A9127" s="6" t="s">
        <v>13456</v>
      </c>
      <c r="B9127" s="6" t="str">
        <f>IFERROR(__xludf.DUMMYFUNCTION("GOOGLETRANSLATE(A9127,""en"",""fi"")"),"Tämä Pokémon muistuttaa jossain määrin muinaista Volcaronaa, joka esiteltiin kyseenalaisessa lehdessä.")</f>
        <v>Tämä Pokémon muistuttaa jossain määrin muinaista Volcaronaa, joka esiteltiin kyseenalaisessa lehdessä.</v>
      </c>
      <c r="C9127" s="9" t="s">
        <v>1344</v>
      </c>
    </row>
    <row r="9128" ht="33.75" customHeight="1">
      <c r="A9128" s="6" t="s">
        <v>13458</v>
      </c>
      <c r="B9128" s="6" t="str">
        <f>IFERROR(__xludf.DUMMYFUNCTION("GOOGLETRANSLATE(A9128,""en"",""fi"")"),"Tämän Pokémonin pyydystämisestä ei ole tietoja. Tiedot puuttuvat, mutta Pokémonin ominaisuudet vastaavat retkikunnan päiväkirjassa näkyvää olentoa.")</f>
        <v>Tämän Pokémonin pyydystämisestä ei ole tietoja. Tiedot puuttuvat, mutta Pokémonin ominaisuudet vastaavat retkikunnan päiväkirjassa näkyvää olentoa.</v>
      </c>
      <c r="C9128" s="9" t="s">
        <v>1344</v>
      </c>
    </row>
    <row r="9129" ht="33.75" customHeight="1">
      <c r="A9129" s="6" t="s">
        <v>13461</v>
      </c>
      <c r="B9129" s="6" t="str">
        <f>IFERROR(__xludf.DUMMYFUNCTION("GOOGLETRANSLATE(A9129,""en"",""fi"")"),"Se muistuttaa hieman magnetonia, joka eli 10 000 vuotta ja josta oli juttu paranormaalilehden artikkelissa.")</f>
        <v>Se muistuttaa hieman magnetonia, joka eli 10 000 vuotta ja josta oli juttu paranormaalilehden artikkelissa.</v>
      </c>
      <c r="C9129" s="9" t="s">
        <v>1344</v>
      </c>
    </row>
    <row r="9130" ht="33.75" customHeight="1">
      <c r="A9130" s="6" t="s">
        <v>13462</v>
      </c>
      <c r="B9130" s="6" t="str">
        <f>IFERROR(__xludf.DUMMYFUNCTION("GOOGLETRANSLATE(A9130,""en"",""fi"")"),"Tämä Pokémon muistuttaa läheisesti tieteellistä asetta, jonka paranormaali lehti väitti avaruusolentojen lähettäneen tälle planeetalle.")</f>
        <v>Tämä Pokémon muistuttaa läheisesti tieteellistä asetta, jonka paranormaali lehti väitti avaruusolentojen lähettäneen tälle planeetalle.</v>
      </c>
      <c r="C9130" s="9" t="s">
        <v>1344</v>
      </c>
    </row>
    <row r="9131" ht="33.75" customHeight="1">
      <c r="A9131" s="6" t="s">
        <v>13464</v>
      </c>
      <c r="B9131" s="6" t="str">
        <f>IFERROR(__xludf.DUMMYFUNCTION("GOOGLETRANSLATE(A9131,""en"",""fi"")"),"Tätä Pokémonia on nähty viime vuosina. Se muistuttaa vanhassa retkikunnan päiväkirjassa kuvattua salaperäistä esinettä.")</f>
        <v>Tätä Pokémonia on nähty viime vuosina. Se muistuttaa vanhassa retkikunnan päiväkirjassa kuvattua salaperäistä esinettä.</v>
      </c>
      <c r="C9131" s="9" t="s">
        <v>1344</v>
      </c>
    </row>
    <row r="9132" ht="33.75" customHeight="1">
      <c r="A9132" s="6" t="s">
        <v>13465</v>
      </c>
      <c r="B9132" s="6" t="str">
        <f>IFERROR(__xludf.DUMMYFUNCTION("GOOGLETRANSLATE(A9132,""en"",""fi"")"),"Sen muoto muistuttaa paranormaalissa aikakauslehtiartikkelissa esiteltyä robottia. Robotin sanotaan olevan muinaisen sivilisaation luoma.")</f>
        <v>Sen muoto muistuttaa paranormaalissa aikakauslehtiartikkelissa esiteltyä robottia. Robotin sanotaan olevan muinaisen sivilisaation luoma.</v>
      </c>
      <c r="C9132" s="9" t="s">
        <v>1344</v>
      </c>
    </row>
    <row r="9133" ht="33.75" customHeight="1">
      <c r="A9133" s="6" t="s">
        <v>13466</v>
      </c>
      <c r="B9133" s="6" t="str">
        <f>IFERROR(__xludf.DUMMYFUNCTION("GOOGLETRANSLATE(A9133,""en"",""fi"")"),"Se muistuttaa vanhassa kirjassa mainittua salaperäistä esinettä. Tästä Pokémonista on raportoitu vain kaksi havaintoa.")</f>
        <v>Se muistuttaa vanhassa kirjassa mainittua salaperäistä esinettä. Tästä Pokémonista on raportoitu vain kaksi havaintoa.</v>
      </c>
      <c r="C9133" s="9" t="s">
        <v>1344</v>
      </c>
    </row>
    <row r="9134" ht="33.75" customHeight="1">
      <c r="A9134" s="6" t="s">
        <v>13468</v>
      </c>
      <c r="B9134" s="6" t="str">
        <f>IFERROR(__xludf.DUMMYFUNCTION("GOOGLETRANSLATE(A9134,""en"",""fi"")"),"Se on hyvin samanlainen kuin kyborgi, josta kirjoitetaan yksinomaan paranormaaleissa lehdissä. Kyborgin sanottiin olevan tietyn urheilijan muunneltu muoto.")</f>
        <v>Se on hyvin samanlainen kuin kyborgi, josta kirjoitetaan yksinomaan paranormaaleissa lehdissä. Kyborgin sanottiin olevan tietyn urheilijan muunneltu muoto.</v>
      </c>
      <c r="C9134" s="9" t="s">
        <v>1344</v>
      </c>
    </row>
    <row r="9135" ht="33.75" customHeight="1">
      <c r="A9135" s="6" t="s">
        <v>13469</v>
      </c>
      <c r="B9135" s="6" t="str">
        <f>IFERROR(__xludf.DUMMYFUNCTION("GOOGLETRANSLATE(A9135,""en"",""fi"")"),"Tällä Pokémonilla on monia yhtäläisyyksiä Rautakäden kanssa, esineen, joka mainitaan tietyssä retkikunnan päiväkirjassa.")</f>
        <v>Tällä Pokémonilla on monia yhtäläisyyksiä Rautakäden kanssa, esineen, joka mainitaan tietyssä retkikunnan päiväkirjassa.</v>
      </c>
      <c r="C9135" s="9" t="s">
        <v>1344</v>
      </c>
    </row>
    <row r="9136" ht="33.75" customHeight="1">
      <c r="A9136" s="6" t="s">
        <v>13470</v>
      </c>
      <c r="B9136" s="6" t="str">
        <f>IFERROR(__xludf.DUMMYFUNCTION("GOOGLETRANSLATE(A9136,""en"",""fi"")"),"Se muistuttaa tiettyä paranormaalissa lehdessä esiteltyä Pokémonia, jota kuvataan robottiin rakastuneen Hydreigonin jälkeläiseksi.")</f>
        <v>Se muistuttaa tiettyä paranormaalissa lehdessä esiteltyä Pokémonia, jota kuvataan robottiin rakastuneen Hydreigonin jälkeläiseksi.</v>
      </c>
      <c r="C9136" s="9" t="s">
        <v>1344</v>
      </c>
    </row>
    <row r="9137" ht="33.75" customHeight="1">
      <c r="A9137" s="6" t="s">
        <v>13471</v>
      </c>
      <c r="B9137" s="6" t="str">
        <f>IFERROR(__xludf.DUMMYFUNCTION("GOOGLETRANSLATE(A9137,""en"",""fi"")"),"On mahdollista, että vanhassa kirjassa kuvattu esine, Iron Jugulis, saattaakin olla tämä Pokémon.")</f>
        <v>On mahdollista, että vanhassa kirjassa kuvattu esine, Iron Jugulis, saattaakin olla tämä Pokémon.</v>
      </c>
      <c r="C9137" s="9" t="s">
        <v>1344</v>
      </c>
    </row>
    <row r="9138" ht="33.75" customHeight="1">
      <c r="A9138" s="6" t="s">
        <v>13472</v>
      </c>
      <c r="B9138" s="6" t="str">
        <f>IFERROR(__xludf.DUMMYFUNCTION("GOOGLETRANSLATE(A9138,""en"",""fi"")"),"Tämä Pokémon muistuttaa tuntematonta kohdetta, jota paranormaalissa lehdessä kuvataan ihmiskuntaa tarkkailemaan lähetetyksi UFOksi.")</f>
        <v>Tämä Pokémon muistuttaa tuntematonta kohdetta, jota paranormaalissa lehdessä kuvataan ihmiskuntaa tarkkailemaan lähetetyksi UFOksi.</v>
      </c>
      <c r="C9138" s="9" t="s">
        <v>1344</v>
      </c>
    </row>
    <row r="9139" ht="33.75" customHeight="1">
      <c r="A9139" s="6" t="s">
        <v>13473</v>
      </c>
      <c r="B9139" s="6" t="str">
        <f>IFERROR(__xludf.DUMMYFUNCTION("GOOGLETRANSLATE(A9139,""en"",""fi"")"),"Tämän lajin pyydystämisestä ei ole tietoja. Tiedot puuttuvat, mutta Pokémonin ominaisuudet vastaavat vanhassa kirjassa kuvattua esinettä.")</f>
        <v>Tämän lajin pyydystämisestä ei ole tietoja. Tiedot puuttuvat, mutta Pokémonin ominaisuudet vastaavat vanhassa kirjassa kuvattua esinettä.</v>
      </c>
      <c r="C9139" s="9" t="s">
        <v>1344</v>
      </c>
    </row>
    <row r="9140" ht="33.75" customHeight="1">
      <c r="A9140" s="6" t="s">
        <v>13474</v>
      </c>
      <c r="B9140" s="6" t="str">
        <f>IFERROR(__xludf.DUMMYFUNCTION("GOOGLETRANSLATE(A9140,""en"",""fi"")"),"Sillä on joitakin yhtäläisyyksiä Pokémoniin, joka esiteltiin kyseenalaisessa lehdessä tyranitarina miljardin vuoden päähän tulevaisuuteen.")</f>
        <v>Sillä on joitakin yhtäläisyyksiä Pokémoniin, joka esiteltiin kyseenalaisessa lehdessä tyranitarina miljardin vuoden päähän tulevaisuuteen.</v>
      </c>
      <c r="C9140" s="9" t="s">
        <v>1344</v>
      </c>
    </row>
    <row r="9141" ht="33.75" customHeight="1">
      <c r="A9141" s="6" t="s">
        <v>13475</v>
      </c>
      <c r="B9141" s="6" t="str">
        <f>IFERROR(__xludf.DUMMYFUNCTION("GOOGLETRANSLATE(A9141,""en"",""fi"")"),"Jotkin sen merkittävistä piirteistä vastaavat eräässä retkikunnan päiväkirjassa Rautapiikkinä nimetyn esineen piirteitä.")</f>
        <v>Jotkin sen merkittävistä piirteistä vastaavat eräässä retkikunnan päiväkirjassa Rautapiikkinä nimetyn esineen piirteitä.</v>
      </c>
      <c r="C9141" s="9" t="s">
        <v>1344</v>
      </c>
    </row>
    <row r="9142" ht="33.75" customHeight="1">
      <c r="A9142" s="6" t="s">
        <v>13476</v>
      </c>
      <c r="B9142" s="6" t="str">
        <f>IFERROR(__xludf.DUMMYFUNCTION("GOOGLETRANSLATE(A9142,""en"",""fi"")"),"Frigibax imee lämpöä selkäevänsä kautta ja muuntaa lämmön jääenergiaksi. Mitä korkeampi lämpötila, sitä enemmän energiaa Frigibax varastoi.")</f>
        <v>Frigibax imee lämpöä selkäevänsä kautta ja muuntaa lämmön jääenergiaksi. Mitä korkeampi lämpötila, sitä enemmän energiaa Frigibax varastoi.</v>
      </c>
      <c r="C9142" s="9" t="s">
        <v>1344</v>
      </c>
    </row>
    <row r="9143" ht="33.75" customHeight="1">
      <c r="A9143" s="6" t="s">
        <v>13477</v>
      </c>
      <c r="B9143" s="6" t="str">
        <f>IFERROR(__xludf.DUMMYFUNCTION("GOOGLETRANSLATE(A9143,""en"",""fi"")"),"Tämä Pokémon elää metsissä ja kallioisilla alueilla. Selkäevän voiman avulla se jäähdyttää pesänsä sisäpuolta kuin jääkaappi.")</f>
        <v>Tämä Pokémon elää metsissä ja kallioisilla alueilla. Selkäevän voiman avulla se jäähdyttää pesänsä sisäpuolta kuin jääkaappi.</v>
      </c>
      <c r="C9143" s="9" t="s">
        <v>1344</v>
      </c>
    </row>
    <row r="9144" ht="33.75" customHeight="1">
      <c r="A9144" s="6" t="s">
        <v>13478</v>
      </c>
      <c r="B9144" s="6" t="str">
        <f>IFERROR(__xludf.DUMMYFUNCTION("GOOGLETRANSLATE(A9144,""en"",""fi"")"),"Arctibax jäädyttää ympäröivän ilman suojaamalla kasvojaan jäänaamiolla ja muuttamalla selkäevänsä jääteräksi.")</f>
        <v>Arctibax jäädyttää ympäröivän ilman suojaamalla kasvojaan jäänaamiolla ja muuttamalla selkäevänsä jääteräksi.</v>
      </c>
      <c r="C9144" s="9" t="s">
        <v>1344</v>
      </c>
    </row>
    <row r="9145" ht="33.75" customHeight="1">
      <c r="A9145" s="6" t="s">
        <v>13479</v>
      </c>
      <c r="B9145" s="6" t="str">
        <f>IFERROR(__xludf.DUMMYFUNCTION("GOOGLETRANSLATE(A9145,""en"",""fi"")"),"Se hyökkää jäätyneen selkäevän lapalla tekemällä voltin ilmassa. Arctibaxin vahva selkä ja jalat mahdollistavat tämän tekniikan.")</f>
        <v>Se hyökkää jäätyneen selkäevän lapalla tekemällä voltin ilmassa. Arctibaxin vahva selkä ja jalat mahdollistavat tämän tekniikan.</v>
      </c>
      <c r="C9145" s="9" t="s">
        <v>1344</v>
      </c>
    </row>
    <row r="9146" ht="33.75" customHeight="1">
      <c r="A9146" s="6" t="s">
        <v>13480</v>
      </c>
      <c r="B9146" s="6" t="str">
        <f>IFERROR(__xludf.DUMMYFUNCTION("GOOGLETRANSLATE(A9146,""en"",""fi"")"),"Tämä Pokémon puhaltaa suustaan ​​kryogeenistä ilmaa. Tämä ilma voi jäädyttää välittömästi jopa nestemäisen kuuman laavan.")</f>
        <v>Tämä Pokémon puhaltaa suustaan ​​kryogeenistä ilmaa. Tämä ilma voi jäädyttää välittömästi jopa nestemäisen kuuman laavan.</v>
      </c>
      <c r="C9146" s="9" t="s">
        <v>1344</v>
      </c>
    </row>
    <row r="9147" ht="33.75" customHeight="1">
      <c r="A9147" s="6" t="s">
        <v>13482</v>
      </c>
      <c r="B9147" s="6" t="str">
        <f>IFERROR(__xludf.DUMMYFUNCTION("GOOGLETRANSLATE(A9147,""en"",""fi"")"),"Se syöksyy taisteluun kääntymällä ylösalaisin ja sylkemällä suustaan ​​kylmää ilmaa. Se viimeistelee vastustajat selkämiehellään.")</f>
        <v>Se syöksyy taisteluun kääntymällä ylösalaisin ja sylkemällä suustaan ​​kylmää ilmaa. Se viimeistelee vastustajat selkämiehellään.</v>
      </c>
      <c r="C9147" s="9" t="s">
        <v>1344</v>
      </c>
    </row>
    <row r="9148" ht="33.75" customHeight="1">
      <c r="A9148" s="6" t="s">
        <v>13483</v>
      </c>
      <c r="B9148" s="6" t="str">
        <f>IFERROR(__xludf.DUMMYFUNCTION("GOOGLETRANSLATE(A9148,""en"",""fi"")"),"Tämä Pokémon syntyi aarrearkussa noin 1 500 vuotta sitten. Se imee elinvoiman roistoista, jotka yrittävät varastaa aarteen.")</f>
        <v>Tämä Pokémon syntyi aarrearkussa noin 1 500 vuotta sitten. Se imee elinvoiman roistoista, jotka yrittävät varastaa aarteen.</v>
      </c>
      <c r="C9148" s="9" t="s">
        <v>1344</v>
      </c>
    </row>
    <row r="9149" ht="33.75" customHeight="1">
      <c r="A9149" s="6" t="s">
        <v>13484</v>
      </c>
      <c r="B9149" s="6" t="str">
        <f>IFERROR(__xludf.DUMMYFUNCTION("GOOGLETRANSLATE(A9149,""en"",""fi"")"),"Se asuu vanhassa aarrearkussa. Joskus se jää kauppojen nurkille, koska kukaan ei tiedä, että se on itse asiassa Pokémon.")</f>
        <v>Se asuu vanhassa aarrearkussa. Joskus se jää kauppojen nurkille, koska kukaan ei tiedä, että se on itse asiassa Pokémon.</v>
      </c>
      <c r="C9149" s="9" t="s">
        <v>1344</v>
      </c>
    </row>
    <row r="9150" ht="33.75" customHeight="1">
      <c r="A9150" s="6" t="s">
        <v>13487</v>
      </c>
      <c r="B9150" s="6" t="str">
        <f>IFERROR(__xludf.DUMMYFUNCTION("GOOGLETRANSLATE(A9150,""en"",""fi"")"),"Sen ruumis näyttää koostuvan 1 000 kolikosta. Tämä Pokémon tulee hyvin toimeen muiden kanssa ja ystävystyy nopeasti kenen tahansa kanssa.")</f>
        <v>Sen ruumis näyttää koostuvan 1 000 kolikosta. Tämä Pokémon tulee hyvin toimeen muiden kanssa ja ystävystyy nopeasti kenen tahansa kanssa.</v>
      </c>
      <c r="C9150" s="9" t="s">
        <v>1344</v>
      </c>
    </row>
    <row r="9151" ht="33.75" customHeight="1">
      <c r="A9151" s="6" t="s">
        <v>13490</v>
      </c>
      <c r="B9151" s="6" t="str">
        <f>IFERROR(__xludf.DUMMYFUNCTION("GOOGLETRANSLATE(A9151,""en"",""fi"")"),"Sillä on tukeva ruumis, joka koostuu pinotuista kolikoista. Gholdengo kukistaa vihollisensa ampumalla kolikkoa toisensa jälkeen nopeassa tahdissa.")</f>
        <v>Sillä on tukeva ruumis, joka koostuu pinotuista kolikoista. Gholdengo kukistaa vihollisensa ampumalla kolikkoa toisensa jälkeen nopeassa tahdissa.</v>
      </c>
      <c r="C9151" s="9" t="s">
        <v>1344</v>
      </c>
    </row>
    <row r="9152" ht="33.75" customHeight="1">
      <c r="A9152" s="6" t="s">
        <v>13493</v>
      </c>
      <c r="B9152" s="6" t="str">
        <f>IFERROR(__xludf.DUMMYFUNCTION("GOOGLETRANSLATE(A9152,""en"",""fi"")"),"Kuninkaan pahojen tekojen kirjoittamisesta puutauluihin rangaistuksen saaneen henkilön kaunan kantaminen on verhoutunut kuolleisiin lehtiin ja muuttunut Pokémoniksi.")</f>
        <v>Kuninkaan pahojen tekojen kirjoittamisesta puutauluihin rangaistuksen saaneen henkilön kaunan kantaminen on verhoutunut kuolleisiin lehtiin ja muuttunut Pokémoniksi.</v>
      </c>
      <c r="C9152" s="9" t="s">
        <v>1344</v>
      </c>
    </row>
    <row r="9153" ht="33.75" customHeight="1">
      <c r="A9153" s="6" t="s">
        <v>13495</v>
      </c>
      <c r="B9153" s="6" t="str">
        <f>IFERROR(__xludf.DUMMYFUNCTION("GOOGLETRANSLATE(A9153,""en"",""fi"")"),"Se imee kasvillisuuden elinvoiman, jolloin lähimetsät kuihtuvat välittömästi ja pellot muuttuvat karuiksi.")</f>
        <v>Se imee kasvillisuuden elinvoiman, jolloin lähimetsät kuihtuvat välittömästi ja pellot muuttuvat karuiksi.</v>
      </c>
      <c r="C9153" s="9" t="s">
        <v>1344</v>
      </c>
    </row>
    <row r="9154" ht="33.75" customHeight="1">
      <c r="A9154" s="6" t="s">
        <v>13496</v>
      </c>
      <c r="B9154" s="6" t="str">
        <f>IFERROR(__xludf.DUMMYFUNCTION("GOOGLETRANSLATE(A9154,""en"",""fi"")"),"Tämä Pokémon pystyy hallitsemaan 100 tonnia satanutta lunta. Se leikkii viattomasti hyppimällä aiheuttamiinsa lumivyöryihin ja ulos niistä.")</f>
        <v>Tämä Pokémon pystyy hallitsemaan 100 tonnia satanutta lunta. Se leikkii viattomasti hyppimällä aiheuttamiinsa lumivyöryihin ja ulos niistä.</v>
      </c>
      <c r="C9154" s="9" t="s">
        <v>1344</v>
      </c>
    </row>
    <row r="9155" ht="33.75" customHeight="1">
      <c r="A9155" s="6" t="s">
        <v>13498</v>
      </c>
      <c r="B9155" s="6" t="str">
        <f>IFERROR(__xludf.DUMMYFUNCTION("GOOGLETRANSLATE(A9155,""en"",""fi"")"),"Kauan sitten miekkaan menehtyneiden viha on verhoutunut lumeen ja muuttunut Pokémoniksi.")</f>
        <v>Kauan sitten miekkaan menehtyneiden viha on verhoutunut lumeen ja muuttunut Pokémoniksi.</v>
      </c>
      <c r="C9155" s="9" t="s">
        <v>1344</v>
      </c>
    </row>
    <row r="9156" ht="33.75" customHeight="1">
      <c r="A9156" s="6" t="s">
        <v>13500</v>
      </c>
      <c r="B9156" s="6" t="str">
        <f>IFERROR(__xludf.DUMMYFUNCTION("GOOGLETRANSLATE(A9156,""en"",""fi"")"),"Muinaiseen rituaaliastiaan kaadettu pelko on verhoutunut kiviin ja multaan ja muuttunut Pokémoniksi.")</f>
        <v>Muinaiseen rituaaliastiaan kaadettu pelko on verhoutunut kiviin ja multaan ja muuttunut Pokémoniksi.</v>
      </c>
      <c r="C9156" s="9" t="s">
        <v>1344</v>
      </c>
    </row>
    <row r="9157" ht="33.75" customHeight="1">
      <c r="A9157" s="6" t="s">
        <v>13501</v>
      </c>
      <c r="B9157" s="6" t="str">
        <f>IFERROR(__xludf.DUMMYFUNCTION("GOOGLETRANSLATE(A9157,""en"",""fi"")"),"Se painaa hitaasti raskaan päänsä maahan ja halkaisee maan valtavilla, yli 50 metrin syvyisillä halkeamilla.")</f>
        <v>Se painaa hitaasti raskaan päänsä maahan ja halkaisee maan valtavilla, yli 50 metrin syvyisillä halkeamilla.</v>
      </c>
      <c r="C9157" s="9" t="s">
        <v>1344</v>
      </c>
    </row>
    <row r="9158" ht="33.75" customHeight="1">
      <c r="A9158" s="6" t="s">
        <v>13502</v>
      </c>
      <c r="B9158" s="6" t="str">
        <f>IFERROR(__xludf.DUMMYFUNCTION("GOOGLETRANSLATE(A9158,""en"",""fi"")"),"Se hallitsee yli 5 400 Fahrenheit-asteen lämpötiloissa palavia liekkejä. Se ui huolettomasti laavameressä, jonka se luo sulattamalla kiveä ja hiekkaa.")</f>
        <v>Se hallitsee yli 5 400 Fahrenheit-asteen lämpötiloissa palavia liekkejä. Se ui huolettomasti laavameressä, jonka se luo sulattamalla kiveä ja hiekkaa.</v>
      </c>
      <c r="C9158" s="9" t="s">
        <v>1344</v>
      </c>
    </row>
    <row r="9159" ht="33.75" customHeight="1">
      <c r="A9159" s="6" t="s">
        <v>13503</v>
      </c>
      <c r="B9159" s="6" t="str">
        <f>IFERROR(__xludf.DUMMYFUNCTION("GOOGLETRANSLATE(A9159,""en"",""fi"")"),"Kaarevien helmien sisään kertynyt kateus, joka käynnisti useita konflikteja, on verhonnut itsensä tuleen ja muuttunut Pokémoniksi.")</f>
        <v>Kaarevien helmien sisään kertynyt kateus, joka käynnisti useita konflikteja, on verhonnut itsensä tuleen ja muuttunut Pokémoniksi.</v>
      </c>
      <c r="C9159" s="9" t="s">
        <v>1344</v>
      </c>
    </row>
    <row r="9160" ht="33.75" customHeight="1">
      <c r="A9160" s="6" t="s">
        <v>13505</v>
      </c>
      <c r="B9160" s="6" t="str">
        <f>IFERROR(__xludf.DUMMYFUNCTION("GOOGLETRANSLATE(A9160,""en"",""fi"")"),"On mahdollista, että tämä on sama olento, joka on listattu nimellä Mölyävä Kuu eräässä retkikunnan päiväkirjassa, joka sisältää edelleen monia mysteerejä.")</f>
        <v>On mahdollista, että tämä on sama olento, joka on listattu nimellä Mölyävä Kuu eräässä retkikunnan päiväkirjassa, joka sisältää edelleen monia mysteerejä.</v>
      </c>
      <c r="C9160" s="9" t="s">
        <v>1344</v>
      </c>
    </row>
    <row r="9161" ht="33.75" customHeight="1">
      <c r="A9161" s="6" t="s">
        <v>13506</v>
      </c>
      <c r="B9161" s="6" t="str">
        <f>IFERROR(__xludf.DUMMYFUNCTION("GOOGLETRANSLATE(A9161,""en"",""fi"")"),"Epäilyttävän lehden artikkelin mukaan tällä Pokémonilla on jokin yhteys tietyllä alueella esiintyvään ilmiöön.")</f>
        <v>Epäilyttävän lehden artikkelin mukaan tällä Pokémonilla on jokin yhteys tietyllä alueella esiintyvään ilmiöön.</v>
      </c>
      <c r="C9161" s="9" t="s">
        <v>1344</v>
      </c>
    </row>
    <row r="9162" ht="33.75" customHeight="1">
      <c r="A9162" s="6" t="s">
        <v>13507</v>
      </c>
      <c r="B9162" s="6" t="str">
        <f>IFERROR(__xludf.DUMMYFUNCTION("GOOGLETRANSLATE(A9162,""en"",""fi"")"),"Sillä on joitakin yhtäläisyyksiä paranormaalissa lehdessä käsitellyn hullun tiedemiehen keksinnön kanssa.")</f>
        <v>Sillä on joitakin yhtäläisyyksiä paranormaalissa lehdessä käsitellyn hullun tiedemiehen keksinnön kanssa.</v>
      </c>
      <c r="C9162" s="9" t="s">
        <v>1344</v>
      </c>
    </row>
    <row r="9163" ht="33.75" customHeight="1">
      <c r="A9163" s="6" t="s">
        <v>13508</v>
      </c>
      <c r="B9163" s="6" t="str">
        <f>IFERROR(__xludf.DUMMYFUNCTION("GOOGLETRANSLATE(A9163,""en"",""fi"")"),"On mahdollista, että tämä on se esine, joka on listattu nimellä Iron Valiant tietyn retkikunnan päiväkirjassa.")</f>
        <v>On mahdollista, että tämä on se esine, joka on listattu nimellä Iron Valiant tietyn retkikunnan päiväkirjassa.</v>
      </c>
      <c r="C9163" s="9" t="s">
        <v>1344</v>
      </c>
    </row>
    <row r="9164" ht="33.75" customHeight="1">
      <c r="A9164" s="6" t="s">
        <v>13509</v>
      </c>
      <c r="B9164" s="6" t="str">
        <f>IFERROR(__xludf.DUMMYFUNCTION("GOOGLETRANSLATE(A9164,""en"",""fi"")"),"Tämä näyttää olevan Siivekäs Kuningas, josta mainitaan vanhassa retkikunnan päiväkirjassa. Sen sanotaan halkaisseen maan paljain nyrkein.")</f>
        <v>Tämä näyttää olevan Siivekäs Kuningas, josta mainitaan vanhassa retkikunnan päiväkirjassa. Sen sanotaan halkaisseen maan paljain nyrkein.</v>
      </c>
      <c r="C9164" s="9" t="s">
        <v>1344</v>
      </c>
    </row>
    <row r="9165" ht="33.75" customHeight="1">
      <c r="A9165" s="6" t="s">
        <v>13510</v>
      </c>
      <c r="B9165" s="6" t="str">
        <f>IFERROR(__xludf.DUMMYFUNCTION("GOOGLETRANSLATE(A9165,""en"",""fi"")"),"Tämä Pokémon muistuttaa Cyclizaria, mutta on paljon vankkarakenteisempi ja raivokas. Sen ekologiasta tai muista ominaisuuksista ei tiedetä mitään.")</f>
        <v>Tämä Pokémon muistuttaa Cyclizaria, mutta on paljon vankkarakenteisempi ja raivokas. Sen ekologiasta tai muista ominaisuuksista ei tiedetä mitään.</v>
      </c>
      <c r="C9165" s="9" t="s">
        <v>1344</v>
      </c>
    </row>
    <row r="9166" ht="33.75" customHeight="1">
      <c r="A9166" s="6" t="s">
        <v>13511</v>
      </c>
      <c r="B9166" s="6" t="str">
        <f>IFERROR(__xludf.DUMMYFUNCTION("GOOGLETRANSLATE(A9166,""en"",""fi"")"),"Tästä olennosta on vielä paljon tuntematonta. Se muistuttaa Cyclizaria, mutta on paljon armoton ja voimakkaampi.")</f>
        <v>Tästä olennosta on vielä paljon tuntematonta. Se muistuttaa Cyclizaria, mutta on paljon armoton ja voimakkaampi.</v>
      </c>
      <c r="C9166" s="9" t="s">
        <v>1344</v>
      </c>
    </row>
    <row r="9167" ht="33.75" customHeight="1">
      <c r="A9167" s="6" t="s">
        <v>13513</v>
      </c>
      <c r="B9167" s="6" t="str">
        <f>IFERROR(__xludf.DUMMYFUNCTION("GOOGLETRANSLATE(A9167,""en"",""fi"")"),"Tämä näyttää olevan se Rautakäärme, josta mainitaan vanhassa kirjassa. Rautakäärmeen sanotaan muuttaneen maan tuhkaksi salamoillaan.")</f>
        <v>Tämä näyttää olevan se Rautakäärme, josta mainitaan vanhassa kirjassa. Rautakäärmeen sanotaan muuttaneen maan tuhkaksi salamoillaan.</v>
      </c>
      <c r="C9167" s="9" t="s">
        <v>1344</v>
      </c>
    </row>
    <row r="9168" ht="33.75" customHeight="1">
      <c r="A9168" s="6" t="s">
        <v>13514</v>
      </c>
      <c r="B9168" s="6" t="str">
        <f>IFERROR(__xludf.DUMMYFUNCTION("GOOGLETRANSLATE(A9168,""en"",""fi"")"),"Tämä raivokas olento on mysteerin verhoama. Se on nimetty vanhassa retkikunnan päiväkirjassa mainitun vesihirviön mukaan.")</f>
        <v>Tämä raivokas olento on mysteerin verhoama. Se on nimetty vanhassa retkikunnan päiväkirjassa mainitun vesihirviön mukaan.</v>
      </c>
      <c r="C9168" s="9" t="s">
        <v>1344</v>
      </c>
    </row>
    <row r="9169" ht="33.75" customHeight="1">
      <c r="A9169" s="6" t="s">
        <v>13515</v>
      </c>
      <c r="B9169" s="6" t="str">
        <f>IFERROR(__xludf.DUMMYFUNCTION("GOOGLETRANSLATE(A9169,""en"",""fi"")"),"Se muistuttaa paranormaalissa lehdessä julkaistua kuvaa, jonka sanotaan esittävän supermuinaista Suicunea.")</f>
        <v>Se muistuttaa paranormaalissa lehdessä julkaistua kuvaa, jonka sanotaan esittävän supermuinaista Suicunea.</v>
      </c>
      <c r="C9169" s="9" t="s">
        <v>1344</v>
      </c>
    </row>
    <row r="9170" ht="33.75" customHeight="1">
      <c r="A9170" s="6" t="s">
        <v>13516</v>
      </c>
      <c r="B9170" s="6" t="str">
        <f>IFERROR(__xludf.DUMMYFUNCTION("GOOGLETRANSLATE(A9170,""en"",""fi"")"),"Monet sen fyysisistä ominaisuuksista vastaavat tulevaisuudesta tulleen Virizionin ominaisuuksia, josta oli juttu paranormaalissa lehdessä.")</f>
        <v>Monet sen fyysisistä ominaisuuksista vastaavat tulevaisuudesta tulleen Virizionin ominaisuuksia, josta oli juttu paranormaalissa lehdessä.</v>
      </c>
      <c r="C9170" s="9" t="s">
        <v>1344</v>
      </c>
    </row>
    <row r="9171" ht="33.75" customHeight="1">
      <c r="A9171" s="6" t="s">
        <v>13517</v>
      </c>
      <c r="B9171" s="6" t="str">
        <f>IFERROR(__xludf.DUMMYFUNCTION("GOOGLETRANSLATE(A9171,""en"",""fi"")"),"Muutamien silminnäkijäkertomusten mukaan se käytti kiiltäviä teriään kaataakseen suuria puita ja lohkareita.")</f>
        <v>Muutamien silminnäkijäkertomusten mukaan se käytti kiiltäviä teriään kaataakseen suuria puita ja lohkareita.</v>
      </c>
      <c r="C9171" s="9" t="s">
        <v>1344</v>
      </c>
    </row>
    <row r="9172" ht="33.75" customHeight="1">
      <c r="A9172" s="6" t="s">
        <v>13518</v>
      </c>
      <c r="B9172" s="6" t="str">
        <f>IFERROR(__xludf.DUMMYFUNCTION("GOOGLETRANSLATE(A9172,""en"",""fi"")"),"Dipplin on kaksi olentoa yhdessä Pokémonissa. Sen evoluution laukaisi erityinen omena, jota kasvatettiin vain yhdessä paikassa.")</f>
        <v>Dipplin on kaksi olentoa yhdessä Pokémonissa. Sen evoluution laukaisi erityinen omena, jota kasvatettiin vain yhdessä paikassa.</v>
      </c>
      <c r="C9172" s="9" t="s">
        <v>1344</v>
      </c>
    </row>
    <row r="9173" ht="33.75" customHeight="1">
      <c r="A9173" s="6" t="s">
        <v>13521</v>
      </c>
      <c r="B9173" s="6" t="str">
        <f>IFERROR(__xludf.DUMMYFUNCTION("GOOGLETRANSLATE(A9173,""en"",""fi"")"),"Ulkoneva pää kuuluu etulaiselle, kun taas häntä kuuluu ydinlaiselle. Ne jakavat yhden omenan ja auttavat toisiaan.")</f>
        <v>Ulkoneva pää kuuluu etulaiselle, kun taas häntä kuuluu ydinlaiselle. Ne jakavat yhden omenan ja auttavat toisiaan.</v>
      </c>
      <c r="C9173" s="9" t="s">
        <v>1344</v>
      </c>
    </row>
    <row r="9174" ht="33.75" customHeight="1">
      <c r="A9174" s="6" t="s">
        <v>13522</v>
      </c>
      <c r="B9174" s="6" t="str">
        <f>IFERROR(__xludf.DUMMYFUNCTION("GOOGLETRANSLATE(A9174,""en"",""fi"")"),"Kerrotaan, että teeseremonian mestarin, joka kuoli ennen kuin hän oli saanut taitonsa täydellistettyä, katumus viipyi matchassa ja hänestä tuli Pokémon.")</f>
        <v>Kerrotaan, että teeseremonian mestarin, joka kuoli ennen kuin hän oli saanut taitonsa täydellistettyä, katumus viipyi matchassa ja hänestä tuli Pokémon.</v>
      </c>
      <c r="C9174" s="9" t="s">
        <v>1344</v>
      </c>
    </row>
    <row r="9175" ht="33.75" customHeight="1">
      <c r="A9175" s="6" t="s">
        <v>13523</v>
      </c>
      <c r="B9175" s="6" t="str">
        <f>IFERROR(__xludf.DUMMYFUNCTION("GOOGLETRANSLATE(A9175,""en"",""fi"")"),"Poltchageist näyttää Sinistean alueelliselta muodolta, mutta äskettäin havaittiin, että nämä kaksi Pokémonia eivät ole lainkaan sukua toisilleen.")</f>
        <v>Poltchageist näyttää Sinistean alueelliselta muodolta, mutta äskettäin havaittiin, että nämä kaksi Pokémonia eivät ole lainkaan sukua toisilleen.</v>
      </c>
      <c r="C9175" s="9" t="s">
        <v>1344</v>
      </c>
    </row>
    <row r="9176" ht="33.75" customHeight="1">
      <c r="A9176" s="6" t="s">
        <v>13524</v>
      </c>
      <c r="B9176" s="6" t="str">
        <f>IFERROR(__xludf.DUMMYFUNCTION("GOOGLETRANSLATE(A9176,""en"",""fi"")"),"Se teeskentelee olevansa teetä ja yrittää huijata ihmisiä juomaan sitä, jotta se voi imeä heidän elinvoimansa. Sen juoni on yleensä epäonnistunut.")</f>
        <v>Se teeskentelee olevansa teetä ja yrittää huijata ihmisiä juomaan sitä, jotta se voi imeä heidän elinvoimansa. Sen juoni on yleensä epäonnistunut.</v>
      </c>
      <c r="C9176" s="9" t="s">
        <v>1344</v>
      </c>
    </row>
    <row r="9177" ht="33.75" customHeight="1">
      <c r="A9177" s="6" t="s">
        <v>13526</v>
      </c>
      <c r="B9177" s="6" t="str">
        <f>IFERROR(__xludf.DUMMYFUNCTION("GOOGLETRANSLATE(A9177,""en"",""fi"")"),"Se viihtyy viileissä ja pimeissä paikoissa, kuten hyllyn takana tai kodin lattialautojen alla. Se vaeltelee etsimässä saalista auringonlaskun jälkeen.")</f>
        <v>Se viihtyy viileissä ja pimeissä paikoissa, kuten hyllyn takana tai kodin lattialautojen alla. Se vaeltelee etsimässä saalista auringonlaskun jälkeen.</v>
      </c>
      <c r="C9177" s="9" t="s">
        <v>1344</v>
      </c>
    </row>
    <row r="9178" ht="33.75" customHeight="1">
      <c r="A9178" s="6" t="s">
        <v>13529</v>
      </c>
      <c r="B9178" s="6" t="str">
        <f>IFERROR(__xludf.DUMMYFUNCTION("GOOGLETRANSLATE(A9178,""en"",""fi"")"),"Kun kaikki sen lihakset oli stimuloitu kaulassa olevan myrkyllisen ketjun vaikutuksesta, Okidogi muuttui ja sai voimakkaan fysiikan.")</f>
        <v>Kun kaikki sen lihakset oli stimuloitu kaulassa olevan myrkyllisen ketjun vaikutuksesta, Okidogi muuttui ja sai voimakkaan fysiikan.</v>
      </c>
      <c r="C9178" s="9" t="s">
        <v>1344</v>
      </c>
    </row>
    <row r="9179" ht="33.75" customHeight="1">
      <c r="A9179" s="6" t="s">
        <v>13531</v>
      </c>
      <c r="B9179" s="6" t="str">
        <f>IFERROR(__xludf.DUMMYFUNCTION("GOOGLETRANSLATE(A9179,""en"",""fi"")"),"Okidogi on äkkipikainen roisto. Se voi murskata mitä tahansa heiluttamalla ketjua kaulassaan.")</f>
        <v>Okidogi on äkkipikainen roisto. Se voi murskata mitä tahansa heiluttamalla ketjua kaulassaan.</v>
      </c>
      <c r="C9179" s="9" t="s">
        <v>1344</v>
      </c>
    </row>
    <row r="9180" ht="33.75" customHeight="1">
      <c r="A9180" s="6" t="s">
        <v>13532</v>
      </c>
      <c r="B9180" s="6" t="str">
        <f>IFERROR(__xludf.DUMMYFUNCTION("GOOGLETRANSLATE(A9180,""en"",""fi"")"),"Ketju on tehty kykyjä parantavista myrkkyistä. Se stimuloi Munkidorin aivoja ja sai Pokémonin psyykkiset voimat kukoistamaan.")</f>
        <v>Ketju on tehty kykyjä parantavista myrkkyistä. Se stimuloi Munkidorin aivoja ja sai Pokémonin psyykkiset voimat kukoistamaan.</v>
      </c>
      <c r="C9180" s="9" t="s">
        <v>1344</v>
      </c>
    </row>
    <row r="9181" ht="33.75" customHeight="1">
      <c r="A9181" s="6" t="s">
        <v>13534</v>
      </c>
      <c r="B9181" s="6" t="str">
        <f>IFERROR(__xludf.DUMMYFUNCTION("GOOGLETRANSLATE(A9181,""en"",""fi"")"),"Munkidori pysyttelee turvallisessa paikassa leikkiessään vihollistensa kanssa ja käyttää psykokineesiä aiheuttaakseen voimakasta huimausta.")</f>
        <v>Munkidori pysyttelee turvallisessa paikassa leikkiessään vihollistensa kanssa ja käyttää psykokineesiä aiheuttaakseen voimakasta huimausta.</v>
      </c>
      <c r="C9181" s="9" t="s">
        <v>1344</v>
      </c>
    </row>
    <row r="9182" ht="33.75" customHeight="1">
      <c r="A9182" s="6" t="s">
        <v>13535</v>
      </c>
      <c r="B9182" s="6" t="str">
        <f>IFERROR(__xludf.DUMMYFUNCTION("GOOGLETRANSLATE(A9182,""en"",""fi"")"),"Fezandipiti saa kauniin ulkonäkönsä ja ihanan äänensä velkaa sen ympärille kiedotusta ketjusta tuleville myrkyllisille piristeille.")</f>
        <v>Fezandipiti saa kauniin ulkonäkönsä ja ihanan äänensä velkaa sen ympärille kiedotusta ketjusta tuleville myrkyllisille piristeille.</v>
      </c>
      <c r="C9182" s="9" t="s">
        <v>1344</v>
      </c>
    </row>
    <row r="9183" ht="33.75" customHeight="1">
      <c r="A9183" s="6" t="s">
        <v>13536</v>
      </c>
      <c r="B9183" s="6" t="str">
        <f>IFERROR(__xludf.DUMMYFUNCTION("GOOGLETRANSLATE(A9183,""en"",""fi"")"),"Fezandipiti lyö kiiltäviä siipiään levittääkseen feromoneja, jotka kiehtovat ihmisiä ja Pokémoneja.")</f>
        <v>Fezandipiti lyö kiiltäviä siipiään levittääkseen feromoneja, jotka kiehtovat ihmisiä ja Pokémoneja.</v>
      </c>
      <c r="C9183" s="9" t="s">
        <v>1344</v>
      </c>
    </row>
    <row r="9184" ht="33.75" customHeight="1">
      <c r="A9184" s="6" t="s">
        <v>13538</v>
      </c>
      <c r="B9184" s="6" t="str">
        <f>IFERROR(__xludf.DUMMYFUNCTION("GOOGLETRANSLATE(A9184,""en"",""fi"")"),"Tämän Pokémonin tyyppi muuttuu sen käyttämän naamion mukaan. Se hämmentää vihollisensa ketterillä liikkeillään ja potkuillaan.")</f>
        <v>Tämän Pokémonin tyyppi muuttuu sen käyttämän naamion mukaan. Se hämmentää vihollisensa ketterillä liikkeillään ja potkuillaan.</v>
      </c>
      <c r="C9184" s="9" t="s">
        <v>1344</v>
      </c>
    </row>
    <row r="9185" ht="33.75" customHeight="1">
      <c r="A9185" s="6" t="s">
        <v>13539</v>
      </c>
      <c r="B9185" s="6" t="str">
        <f>IFERROR(__xludf.DUMMYFUNCTION("GOOGLETRANSLATE(A9185,""en"",""fi"")"),"Tämä ilkikurisuutta rakastava Pokémon on täynnä uteliaisuutta. Se taistelee ammentamalla esiin naamioistaan ​​löytyvän tyyppikohtaisen energian.")</f>
        <v>Tämä ilkikurisuutta rakastava Pokémon on täynnä uteliaisuutta. Se taistelee ammentamalla esiin naamioistaan ​​löytyvän tyyppikohtaisen energian.</v>
      </c>
      <c r="C9185" s="9" t="s">
        <v>1344</v>
      </c>
    </row>
    <row r="9186" ht="33.75" customHeight="1">
      <c r="A9186" s="6" t="s">
        <v>13540</v>
      </c>
      <c r="B9186" s="6" t="str">
        <f>IFERROR(__xludf.DUMMYFUNCTION("GOOGLETRANSLATE(A9186,""en"",""fi"")"),"Se kerää staattista sähköä ympäristöstään. Konttausasentoon laskeutuessaan sen lähettämät säteet ovat valtavan voimakkaita.")</f>
        <v>Se kerää staattista sähköä ympäristöstään. Konttausasentoon laskeutuessaan sen lähettämät säteet ovat valtavan voimakkaita.</v>
      </c>
      <c r="C9186" s="9" t="s">
        <v>1344</v>
      </c>
    </row>
    <row r="9187" ht="33.75" customHeight="1">
      <c r="A9187" s="6" t="s">
        <v>13542</v>
      </c>
      <c r="B9187" s="6" t="str">
        <f>IFERROR(__xludf.DUMMYFUNCTION("GOOGLETRANSLATE(A9187,""en"",""fi"")"),"Se kaivaa kuoppia vuorille etsien ruokaa. Se on niin kestävä, ettei sortumaan jääminen säikäytä sitä.")</f>
        <v>Se kaivaa kuoppia vuorille etsien ruokaa. Se on niin kestävä, ettei sortumaan jääminen säikäytä sitä.</v>
      </c>
      <c r="C9187" s="9" t="s">
        <v>1344</v>
      </c>
    </row>
    <row r="9188" ht="33.75" customHeight="1">
      <c r="A9188" s="6" t="s">
        <v>13543</v>
      </c>
      <c r="B9188" s="6" t="str">
        <f>IFERROR(__xludf.DUMMYFUNCTION("GOOGLETRANSLATE(A9188,""en"",""fi"")"),"Siirapista tehdyn omenan sisällä asuu seitsemän käärmettä. Keskellä oleva käärme on komentaja.")</f>
        <v>Siirapista tehdyn omenan sisällä asuu seitsemän käärmettä. Keskellä oleva käärme on komentaja.</v>
      </c>
      <c r="C9188" s="9" t="s">
        <v>1344</v>
      </c>
    </row>
    <row r="9189" ht="33.75" customHeight="1">
      <c r="A9189" s="6" t="s">
        <v>13544</v>
      </c>
      <c r="B9189" s="6" t="str">
        <f>IFERROR(__xludf.DUMMYFUNCTION("GOOGLETRANSLATE(A9189,""en"",""fi"")"),"Nämä oikukkaat käärmeenhahmot ovat yhdistäneet voimansa. Harvinaisissa tilanteissa, joissa heidän mielialansa kohtaavat, heidän todellinen voimansa pääsee valloilleen.")</f>
        <v>Nämä oikukkaat käärmeenhahmot ovat yhdistäneet voimansa. Harvinaisissa tilanteissa, joissa heidän mielialansa kohtaavat, heidän todellinen voimansa pääsee valloilleen.</v>
      </c>
      <c r="C9189" s="9" t="s">
        <v>1344</v>
      </c>
    </row>
    <row r="9190" ht="33.75" customHeight="1">
      <c r="A9190" s="6" t="s">
        <v>13545</v>
      </c>
      <c r="B9190" s="6" t="str">
        <f>IFERROR(__xludf.DUMMYFUNCTION("GOOGLETRANSLATE(A9190,""en"",""fi"")"),"Tämän olennon näkemisestä on tuskin havaintoja. Yhdessä lyhyessä videossa se riehuu ja syöksee liekkipilareita.")</f>
        <v>Tämän olennon näkemisestä on tuskin havaintoja. Yhdessä lyhyessä videossa se riehuu ja syöksee liekkipilareita.</v>
      </c>
      <c r="C9190" s="9" t="s">
        <v>1344</v>
      </c>
    </row>
    <row r="9191" ht="33.75" customHeight="1">
      <c r="A9191" s="6" t="s">
        <v>13546</v>
      </c>
      <c r="B9191" s="6" t="str">
        <f>IFERROR(__xludf.DUMMYFUNCTION("GOOGLETRANSLATE(A9191,""en"",""fi"")"),"Se muistuttaa aavemaista Pokémonia, jota kerran esitettiin paranormaalissa lehdessä. Pokémonin sanottiin olevan fossiilista uusiutunut Entei.")</f>
        <v>Se muistuttaa aavemaista Pokémonia, jota kerran esitettiin paranormaalissa lehdessä. Pokémonin sanottiin olevan fossiilista uusiutunut Entei.</v>
      </c>
      <c r="C9191" s="9" t="s">
        <v>1344</v>
      </c>
    </row>
    <row r="9192" ht="33.75" customHeight="1">
      <c r="A9192" s="6" t="s">
        <v>13547</v>
      </c>
      <c r="B9192" s="6" t="str">
        <f>IFERROR(__xludf.DUMMYFUNCTION("GOOGLETRANSLATE(A9192,""en"",""fi"")"),"Sen sanotaan polttavan kaiken ympärillään turkistaan ​​​​laukaisevilla salamoilla. Tästä olennosta tiedetään hyvin vähän.")</f>
        <v>Sen sanotaan polttavan kaiken ympärillään turkistaan ​​​​laukaisevilla salamoilla. Tästä olennosta tiedetään hyvin vähän.</v>
      </c>
      <c r="C9192" s="9" t="s">
        <v>1344</v>
      </c>
    </row>
    <row r="9193" ht="33.75" customHeight="1">
      <c r="A9193" s="6" t="s">
        <v>13549</v>
      </c>
      <c r="B9193" s="6" t="str">
        <f>IFERROR(__xludf.DUMMYFUNCTION("GOOGLETRANSLATE(A9193,""en"",""fi"")"),"Se muistuttaa Pokémonia, josta tuli hetken aikaa kuuma puheenaihe sen jälkeen, kun paranormaali lehti mainosti sitä Raikoun esi-isänä.")</f>
        <v>Se muistuttaa Pokémonia, josta tuli hetken aikaa kuuma puheenaihe sen jälkeen, kun paranormaali lehti mainosti sitä Raikoun esi-isänä.</v>
      </c>
      <c r="C9193" s="9" t="s">
        <v>1344</v>
      </c>
    </row>
    <row r="9194" ht="33.75" customHeight="1">
      <c r="A9194" s="6" t="s">
        <v>13551</v>
      </c>
      <c r="B9194" s="6" t="str">
        <f>IFERROR(__xludf.DUMMYFUNCTION("GOOGLETRANSLATE(A9194,""en"",""fi"")"),"Se muistuttaa Pokémonia, jota kyseenalaisessa lehdessä kuvataan pahamaineisen organisaation muokkaamaksi Terrakioniksi.")</f>
        <v>Se muistuttaa Pokémonia, jota kyseenalaisessa lehdessä kuvataan pahamaineisen organisaation muokkaamaksi Terrakioniksi.</v>
      </c>
      <c r="C9194" s="9" t="s">
        <v>1344</v>
      </c>
    </row>
    <row r="9195" ht="33.75" customHeight="1">
      <c r="A9195" s="6" t="s">
        <v>13552</v>
      </c>
      <c r="B9195" s="6" t="str">
        <f>IFERROR(__xludf.DUMMYFUNCTION("GOOGLETRANSLATE(A9195,""en"",""fi"")"),"Se nimettiin vanhaan kirjaan kirjatun salaperäisen esineen mukaan. Sen runko näyttää olevan metallinen.")</f>
        <v>Se nimettiin vanhaan kirjaan kirjatun salaperäisen esineen mukaan. Sen runko näyttää olevan metallinen.</v>
      </c>
      <c r="C9195" s="9" t="s">
        <v>1344</v>
      </c>
    </row>
    <row r="9196" ht="33.75" customHeight="1">
      <c r="A9196" s="6" t="s">
        <v>13554</v>
      </c>
      <c r="B9196" s="6" t="str">
        <f>IFERROR(__xludf.DUMMYFUNCTION("GOOGLETRANSLATE(A9196,""en"",""fi"")"),"Se muistuttaa paranormaalissa lehdessä esiteltyä salaperäistä esinettä, joka on kobalionin muotoinen huippuluokan ase.")</f>
        <v>Se muistuttaa paranormaalissa lehdessä esiteltyä salaperäistä esinettä, joka on kobalionin muotoinen huippuluokan ase.</v>
      </c>
      <c r="C9196" s="9" t="s">
        <v>1344</v>
      </c>
    </row>
    <row r="9197" ht="33.75" customHeight="1">
      <c r="A9197" s="6" t="s">
        <v>13555</v>
      </c>
      <c r="B9197" s="6" t="str">
        <f>IFERROR(__xludf.DUMMYFUNCTION("GOOGLETRANSLATE(A9197,""en"",""fi"")"),"Kerrotaan, että erään tapauksen aikana se laukaisi kiiltäviä teriä ja paloitteli kaiken ympärillään olevan palasiksi. Muuta siitä ei tiedetä juurikaan.")</f>
        <v>Kerrotaan, että erään tapauksen aikana se laukaisi kiiltäviä teriä ja paloitteli kaiken ympärillään olevan palasiksi. Muuta siitä ei tiedetä juurikaan.</v>
      </c>
      <c r="C9197" s="9" t="s">
        <v>1344</v>
      </c>
    </row>
    <row r="9198" ht="33.75" customHeight="1">
      <c r="A9198" s="6" t="s">
        <v>13556</v>
      </c>
      <c r="B9198" s="6" t="str">
        <f>IFERROR(__xludf.DUMMYFUNCTION("GOOGLETRANSLATE(A9198,""en"",""fi"")"),"Terapagos suojelee itseään käyttämällä kykyään muuttaa energiaa koviksi kiteiksi. Tämä Pokémon on Terastal-ilmiön lähde.")</f>
        <v>Terapagos suojelee itseään käyttämällä kykyään muuttaa energiaa koviksi kiteiksi. Tämä Pokémon on Terastal-ilmiön lähde.</v>
      </c>
      <c r="C9198" s="9" t="s">
        <v>1344</v>
      </c>
    </row>
    <row r="9199" ht="33.75" customHeight="1">
      <c r="A9199" s="6" t="s">
        <v>13557</v>
      </c>
      <c r="B9199" s="6" t="str">
        <f>IFERROR(__xludf.DUMMYFUNCTION("GOOGLETRANSLATE(A9199,""en"",""fi"")"),"Tämän Pokémonin uskotaan eläneen muinaisessa Paldeassa, kunnes se jäi maanjäristysten kouriin ja kuoli sukupuuttoon.")</f>
        <v>Tämän Pokémonin uskotaan eläneen muinaisessa Paldeassa, kunnes se jäi maanjäristysten kouriin ja kuoli sukupuuttoon.</v>
      </c>
      <c r="C9199" s="9" t="s">
        <v>1344</v>
      </c>
    </row>
    <row r="9200" ht="33.75" customHeight="1">
      <c r="A9200" s="6" t="s">
        <v>13559</v>
      </c>
      <c r="B9200" s="6" t="str">
        <f>IFERROR(__xludf.DUMMYFUNCTION("GOOGLETRANSLATE(A9200,""en"",""fi"")"),"Se ruokkii muita myrkyllisiä mochi-juomia, jotka herättävät haluja ja kykyjä. Mochia syövät joutuvat Pecharuntin hallintaan, kahlittuina sen tahtoon.")</f>
        <v>Se ruokkii muita myrkyllisiä mochi-juomia, jotka herättävät haluja ja kykyjä. Mochia syövät joutuvat Pecharuntin hallintaan, kahlittuina sen tahtoon.</v>
      </c>
      <c r="C9200" s="9" t="s">
        <v>1344</v>
      </c>
    </row>
    <row r="9201" ht="33.75" customHeight="1">
      <c r="A9201" s="6" t="s">
        <v>13560</v>
      </c>
      <c r="B9201" s="6" t="str">
        <f>IFERROR(__xludf.DUMMYFUNCTION("GOOGLETRANSLATE(A9201,""en"",""fi"")"),"Sen persikanmuotoinen kuori toimii varastona voimakkaalle myrkylle. Se valmistaa myrkyllisiä mochi-karkkeja ja tarjoilee niitä ihmisille ja Pokémoneille.")</f>
        <v>Sen persikanmuotoinen kuori toimii varastona voimakkaalle myrkylle. Se valmistaa myrkyllisiä mochi-karkkeja ja tarjoilee niitä ihmisille ja Pokémoneille.</v>
      </c>
      <c r="C9201" s="9" t="s">
        <v>1344</v>
      </c>
    </row>
  </sheetData>
  <printOptions/>
  <pageMargins bottom="0.75" footer="0.0" header="0.0" left="0.7" right="0.7" top="0.75"/>
  <pageSetup orientation="landscape"/>
  <drawing r:id="rId1"/>
  <tableParts count="1">
    <tablePart r:id="rId3"/>
  </tableParts>
</worksheet>
</file>